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Birmingham/Desktop/"/>
    </mc:Choice>
  </mc:AlternateContent>
  <bookViews>
    <workbookView xWindow="240" yWindow="460" windowWidth="19420" windowHeight="14200" activeTab="5"/>
  </bookViews>
  <sheets>
    <sheet name="metadata" sheetId="1" r:id="rId1"/>
    <sheet name="validation" sheetId="2" r:id="rId2"/>
    <sheet name="field descriptions" sheetId="3" r:id="rId3"/>
    <sheet name="metadata_schema" sheetId="4" r:id="rId4"/>
    <sheet name="metadata_form" sheetId="5" r:id="rId5"/>
    <sheet name="readme" sheetId="6"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D1004" i="2" l="1" a="1"/>
  <c r="AE1004" i="2"/>
  <c r="AF1004" i="2"/>
  <c r="AG1004" i="2"/>
  <c r="AH1004" i="2"/>
  <c r="AI1004" i="2"/>
  <c r="AJ1004" i="2"/>
  <c r="AK1004" i="2"/>
  <c r="AL1004" i="2"/>
  <c r="AM1004" i="2"/>
  <c r="AN1004" i="2"/>
  <c r="AO1004" i="2"/>
  <c r="AP1004" i="2"/>
  <c r="AQ1004" i="2"/>
  <c r="AR1004" i="2"/>
  <c r="AS1004" i="2"/>
  <c r="AT1004" i="2"/>
  <c r="AU1004" i="2"/>
  <c r="AD1004" i="2"/>
  <c r="S1001" i="1"/>
  <c r="AU1001" i="2"/>
  <c r="R1001" i="1"/>
  <c r="AT1001" i="2"/>
  <c r="Q1001" i="1"/>
  <c r="AS1001" i="2"/>
  <c r="P1001" i="1"/>
  <c r="AR1001" i="2"/>
  <c r="O1001" i="1"/>
  <c r="AQ1001" i="2"/>
  <c r="AP1001" i="2"/>
  <c r="AO1001" i="2"/>
  <c r="AN1001" i="2"/>
  <c r="K1001" i="1"/>
  <c r="AM1001" i="2"/>
  <c r="J1001" i="1"/>
  <c r="AL1001" i="2"/>
  <c r="I1001" i="1"/>
  <c r="AK1001" i="2"/>
  <c r="AJ1001" i="2"/>
  <c r="AI1001" i="2"/>
  <c r="AH1001" i="2"/>
  <c r="E1001" i="1"/>
  <c r="AG1001" i="2"/>
  <c r="D1001" i="1"/>
  <c r="AF1001" i="2"/>
  <c r="C1001" i="1"/>
  <c r="AE1001" i="2"/>
  <c r="AD1001" i="2"/>
  <c r="AA1001" i="2"/>
  <c r="Z1001" i="2"/>
  <c r="S1000" i="1"/>
  <c r="AU1000" i="2"/>
  <c r="R1000" i="1"/>
  <c r="AT1000" i="2"/>
  <c r="Q1000" i="1"/>
  <c r="AS1000" i="2"/>
  <c r="P1000" i="1"/>
  <c r="AR1000" i="2"/>
  <c r="O1000" i="1"/>
  <c r="AQ1000" i="2"/>
  <c r="AP1000" i="2"/>
  <c r="AO1000" i="2"/>
  <c r="AN1000" i="2"/>
  <c r="K1000" i="1"/>
  <c r="AM1000" i="2"/>
  <c r="J1000" i="1"/>
  <c r="AL1000" i="2"/>
  <c r="I1000" i="1"/>
  <c r="AK1000" i="2"/>
  <c r="AJ1000" i="2"/>
  <c r="AI1000" i="2"/>
  <c r="AH1000" i="2"/>
  <c r="E1000" i="1"/>
  <c r="AG1000" i="2"/>
  <c r="D1000" i="1"/>
  <c r="AF1000" i="2"/>
  <c r="C1000" i="1"/>
  <c r="AE1000" i="2"/>
  <c r="AD1000" i="2"/>
  <c r="AA1000" i="2"/>
  <c r="Z1000" i="2"/>
  <c r="S999" i="1"/>
  <c r="AU999" i="2"/>
  <c r="R999" i="1"/>
  <c r="AT999" i="2"/>
  <c r="Q999" i="1"/>
  <c r="AS999" i="2"/>
  <c r="P999" i="1"/>
  <c r="AR999" i="2"/>
  <c r="O999" i="1"/>
  <c r="AQ999" i="2"/>
  <c r="AP999" i="2"/>
  <c r="AO999" i="2"/>
  <c r="AN999" i="2"/>
  <c r="K999" i="1"/>
  <c r="AM999" i="2"/>
  <c r="J999" i="1"/>
  <c r="AL999" i="2"/>
  <c r="I999" i="1"/>
  <c r="AK999" i="2"/>
  <c r="AJ999" i="2"/>
  <c r="AI999" i="2"/>
  <c r="AH999" i="2"/>
  <c r="E999" i="1"/>
  <c r="AG999" i="2"/>
  <c r="D999" i="1"/>
  <c r="AF999" i="2"/>
  <c r="C999" i="1"/>
  <c r="AE999" i="2"/>
  <c r="AD999" i="2"/>
  <c r="AA999" i="2"/>
  <c r="Z999" i="2"/>
  <c r="S998" i="1"/>
  <c r="AU998" i="2"/>
  <c r="R998" i="1"/>
  <c r="AT998" i="2"/>
  <c r="Q998" i="1"/>
  <c r="AS998" i="2"/>
  <c r="P998" i="1"/>
  <c r="AR998" i="2"/>
  <c r="O998" i="1"/>
  <c r="AQ998" i="2"/>
  <c r="AP998" i="2"/>
  <c r="AO998" i="2"/>
  <c r="AN998" i="2"/>
  <c r="K998" i="1"/>
  <c r="AM998" i="2"/>
  <c r="J998" i="1"/>
  <c r="AL998" i="2"/>
  <c r="I998" i="1"/>
  <c r="AK998" i="2"/>
  <c r="AJ998" i="2"/>
  <c r="AI998" i="2"/>
  <c r="AH998" i="2"/>
  <c r="E998" i="1"/>
  <c r="AG998" i="2"/>
  <c r="D998" i="1"/>
  <c r="AF998" i="2"/>
  <c r="C998" i="1"/>
  <c r="AE998" i="2"/>
  <c r="AD998" i="2"/>
  <c r="AA998" i="2"/>
  <c r="Z998" i="2"/>
  <c r="S997" i="1"/>
  <c r="AU997" i="2"/>
  <c r="R997" i="1"/>
  <c r="AT997" i="2"/>
  <c r="Q997" i="1"/>
  <c r="AS997" i="2"/>
  <c r="P997" i="1"/>
  <c r="AR997" i="2"/>
  <c r="O997" i="1"/>
  <c r="AQ997" i="2"/>
  <c r="AP997" i="2"/>
  <c r="AO997" i="2"/>
  <c r="AN997" i="2"/>
  <c r="K997" i="1"/>
  <c r="AM997" i="2"/>
  <c r="J997" i="1"/>
  <c r="AL997" i="2"/>
  <c r="I997" i="1"/>
  <c r="AK997" i="2"/>
  <c r="AJ997" i="2"/>
  <c r="AI997" i="2"/>
  <c r="AH997" i="2"/>
  <c r="E997" i="1"/>
  <c r="AG997" i="2"/>
  <c r="D997" i="1"/>
  <c r="AF997" i="2"/>
  <c r="C997" i="1"/>
  <c r="AE997" i="2"/>
  <c r="AD997" i="2"/>
  <c r="AA997" i="2"/>
  <c r="Z997" i="2"/>
  <c r="S996" i="1"/>
  <c r="AU996" i="2"/>
  <c r="R996" i="1"/>
  <c r="AT996" i="2"/>
  <c r="Q996" i="1"/>
  <c r="AS996" i="2"/>
  <c r="P996" i="1"/>
  <c r="AR996" i="2"/>
  <c r="O996" i="1"/>
  <c r="AQ996" i="2"/>
  <c r="AP996" i="2"/>
  <c r="AO996" i="2"/>
  <c r="AN996" i="2"/>
  <c r="K996" i="1"/>
  <c r="AM996" i="2"/>
  <c r="J996" i="1"/>
  <c r="AL996" i="2"/>
  <c r="I996" i="1"/>
  <c r="AK996" i="2"/>
  <c r="AJ996" i="2"/>
  <c r="AI996" i="2"/>
  <c r="AH996" i="2"/>
  <c r="E996" i="1"/>
  <c r="AG996" i="2"/>
  <c r="D996" i="1"/>
  <c r="AF996" i="2"/>
  <c r="C996" i="1"/>
  <c r="AE996" i="2"/>
  <c r="AD996" i="2"/>
  <c r="AA996" i="2"/>
  <c r="Z996" i="2"/>
  <c r="S995" i="1"/>
  <c r="AU995" i="2"/>
  <c r="R995" i="1"/>
  <c r="AT995" i="2"/>
  <c r="Q995" i="1"/>
  <c r="AS995" i="2"/>
  <c r="P995" i="1"/>
  <c r="AR995" i="2"/>
  <c r="O995" i="1"/>
  <c r="AQ995" i="2"/>
  <c r="AP995" i="2"/>
  <c r="AO995" i="2"/>
  <c r="AN995" i="2"/>
  <c r="K995" i="1"/>
  <c r="AM995" i="2"/>
  <c r="J995" i="1"/>
  <c r="AL995" i="2"/>
  <c r="I995" i="1"/>
  <c r="AK995" i="2"/>
  <c r="AJ995" i="2"/>
  <c r="AI995" i="2"/>
  <c r="AH995" i="2"/>
  <c r="E995" i="1"/>
  <c r="AG995" i="2"/>
  <c r="D995" i="1"/>
  <c r="AF995" i="2"/>
  <c r="C995" i="1"/>
  <c r="AE995" i="2"/>
  <c r="AD995" i="2"/>
  <c r="AA995" i="2"/>
  <c r="Z995" i="2"/>
  <c r="S994" i="1"/>
  <c r="AU994" i="2"/>
  <c r="R994" i="1"/>
  <c r="AT994" i="2"/>
  <c r="Q994" i="1"/>
  <c r="AS994" i="2"/>
  <c r="P994" i="1"/>
  <c r="AR994" i="2"/>
  <c r="O994" i="1"/>
  <c r="AQ994" i="2"/>
  <c r="AP994" i="2"/>
  <c r="AO994" i="2"/>
  <c r="AN994" i="2"/>
  <c r="K994" i="1"/>
  <c r="AM994" i="2"/>
  <c r="J994" i="1"/>
  <c r="AL994" i="2"/>
  <c r="I994" i="1"/>
  <c r="AK994" i="2"/>
  <c r="AJ994" i="2"/>
  <c r="AI994" i="2"/>
  <c r="AH994" i="2"/>
  <c r="E994" i="1"/>
  <c r="AG994" i="2"/>
  <c r="D994" i="1"/>
  <c r="AF994" i="2"/>
  <c r="C994" i="1"/>
  <c r="AE994" i="2"/>
  <c r="AD994" i="2"/>
  <c r="AA994" i="2"/>
  <c r="Z994" i="2"/>
  <c r="S993" i="1"/>
  <c r="AU993" i="2"/>
  <c r="R993" i="1"/>
  <c r="AT993" i="2"/>
  <c r="Q993" i="1"/>
  <c r="AS993" i="2"/>
  <c r="P993" i="1"/>
  <c r="AR993" i="2"/>
  <c r="O993" i="1"/>
  <c r="AQ993" i="2"/>
  <c r="AP993" i="2"/>
  <c r="AO993" i="2"/>
  <c r="AN993" i="2"/>
  <c r="K993" i="1"/>
  <c r="AM993" i="2"/>
  <c r="J993" i="1"/>
  <c r="AL993" i="2"/>
  <c r="I993" i="1"/>
  <c r="AK993" i="2"/>
  <c r="AJ993" i="2"/>
  <c r="AI993" i="2"/>
  <c r="AH993" i="2"/>
  <c r="E993" i="1"/>
  <c r="AG993" i="2"/>
  <c r="D993" i="1"/>
  <c r="AF993" i="2"/>
  <c r="C993" i="1"/>
  <c r="AE993" i="2"/>
  <c r="AD993" i="2"/>
  <c r="AA993" i="2"/>
  <c r="Z993" i="2"/>
  <c r="S992" i="1"/>
  <c r="AU992" i="2"/>
  <c r="R992" i="1"/>
  <c r="AT992" i="2"/>
  <c r="Q992" i="1"/>
  <c r="AS992" i="2"/>
  <c r="P992" i="1"/>
  <c r="AR992" i="2"/>
  <c r="O992" i="1"/>
  <c r="AQ992" i="2"/>
  <c r="AP992" i="2"/>
  <c r="AO992" i="2"/>
  <c r="AN992" i="2"/>
  <c r="K992" i="1"/>
  <c r="AM992" i="2"/>
  <c r="J992" i="1"/>
  <c r="AL992" i="2"/>
  <c r="I992" i="1"/>
  <c r="AK992" i="2"/>
  <c r="AJ992" i="2"/>
  <c r="AI992" i="2"/>
  <c r="AH992" i="2"/>
  <c r="E992" i="1"/>
  <c r="AG992" i="2"/>
  <c r="D992" i="1"/>
  <c r="AF992" i="2"/>
  <c r="C992" i="1"/>
  <c r="AE992" i="2"/>
  <c r="AD992" i="2"/>
  <c r="AA992" i="2"/>
  <c r="Z992" i="2"/>
  <c r="S991" i="1"/>
  <c r="AU991" i="2"/>
  <c r="R991" i="1"/>
  <c r="AT991" i="2"/>
  <c r="Q991" i="1"/>
  <c r="AS991" i="2"/>
  <c r="P991" i="1"/>
  <c r="AR991" i="2"/>
  <c r="O991" i="1"/>
  <c r="AQ991" i="2"/>
  <c r="AP991" i="2"/>
  <c r="AO991" i="2"/>
  <c r="AN991" i="2"/>
  <c r="K991" i="1"/>
  <c r="AM991" i="2"/>
  <c r="J991" i="1"/>
  <c r="AL991" i="2"/>
  <c r="I991" i="1"/>
  <c r="AK991" i="2"/>
  <c r="AJ991" i="2"/>
  <c r="AI991" i="2"/>
  <c r="AH991" i="2"/>
  <c r="E991" i="1"/>
  <c r="AG991" i="2"/>
  <c r="D991" i="1"/>
  <c r="AF991" i="2"/>
  <c r="C991" i="1"/>
  <c r="AE991" i="2"/>
  <c r="AD991" i="2"/>
  <c r="AA991" i="2"/>
  <c r="Z991" i="2"/>
  <c r="S990" i="1"/>
  <c r="AU990" i="2"/>
  <c r="R990" i="1"/>
  <c r="AT990" i="2"/>
  <c r="Q990" i="1"/>
  <c r="AS990" i="2"/>
  <c r="P990" i="1"/>
  <c r="AR990" i="2"/>
  <c r="O990" i="1"/>
  <c r="AQ990" i="2"/>
  <c r="AP990" i="2"/>
  <c r="AO990" i="2"/>
  <c r="AN990" i="2"/>
  <c r="K990" i="1"/>
  <c r="AM990" i="2"/>
  <c r="J990" i="1"/>
  <c r="AL990" i="2"/>
  <c r="I990" i="1"/>
  <c r="AK990" i="2"/>
  <c r="AJ990" i="2"/>
  <c r="AI990" i="2"/>
  <c r="AH990" i="2"/>
  <c r="E990" i="1"/>
  <c r="AG990" i="2"/>
  <c r="D990" i="1"/>
  <c r="AF990" i="2"/>
  <c r="C990" i="1"/>
  <c r="AE990" i="2"/>
  <c r="AD990" i="2"/>
  <c r="AA990" i="2"/>
  <c r="Z990" i="2"/>
  <c r="S989" i="1"/>
  <c r="AU989" i="2"/>
  <c r="R989" i="1"/>
  <c r="AT989" i="2"/>
  <c r="Q989" i="1"/>
  <c r="AS989" i="2"/>
  <c r="P989" i="1"/>
  <c r="AR989" i="2"/>
  <c r="O989" i="1"/>
  <c r="AQ989" i="2"/>
  <c r="AP989" i="2"/>
  <c r="AO989" i="2"/>
  <c r="AN989" i="2"/>
  <c r="K989" i="1"/>
  <c r="AM989" i="2"/>
  <c r="J989" i="1"/>
  <c r="AL989" i="2"/>
  <c r="I989" i="1"/>
  <c r="AK989" i="2"/>
  <c r="AJ989" i="2"/>
  <c r="AI989" i="2"/>
  <c r="AH989" i="2"/>
  <c r="E989" i="1"/>
  <c r="AG989" i="2"/>
  <c r="D989" i="1"/>
  <c r="AF989" i="2"/>
  <c r="C989" i="1"/>
  <c r="AE989" i="2"/>
  <c r="AD989" i="2"/>
  <c r="AA989" i="2"/>
  <c r="Z989" i="2"/>
  <c r="S988" i="1"/>
  <c r="AU988" i="2"/>
  <c r="R988" i="1"/>
  <c r="AT988" i="2"/>
  <c r="Q988" i="1"/>
  <c r="AS988" i="2"/>
  <c r="P988" i="1"/>
  <c r="AR988" i="2"/>
  <c r="O988" i="1"/>
  <c r="AQ988" i="2"/>
  <c r="AP988" i="2"/>
  <c r="AO988" i="2"/>
  <c r="AN988" i="2"/>
  <c r="K988" i="1"/>
  <c r="AM988" i="2"/>
  <c r="J988" i="1"/>
  <c r="AL988" i="2"/>
  <c r="I988" i="1"/>
  <c r="AK988" i="2"/>
  <c r="AJ988" i="2"/>
  <c r="AI988" i="2"/>
  <c r="AH988" i="2"/>
  <c r="E988" i="1"/>
  <c r="AG988" i="2"/>
  <c r="D988" i="1"/>
  <c r="AF988" i="2"/>
  <c r="C988" i="1"/>
  <c r="AE988" i="2"/>
  <c r="AD988" i="2"/>
  <c r="AA988" i="2"/>
  <c r="Z988" i="2"/>
  <c r="S987" i="1"/>
  <c r="AU987" i="2"/>
  <c r="R987" i="1"/>
  <c r="AT987" i="2"/>
  <c r="Q987" i="1"/>
  <c r="AS987" i="2"/>
  <c r="P987" i="1"/>
  <c r="AR987" i="2"/>
  <c r="O987" i="1"/>
  <c r="AQ987" i="2"/>
  <c r="AP987" i="2"/>
  <c r="AO987" i="2"/>
  <c r="AN987" i="2"/>
  <c r="K987" i="1"/>
  <c r="AM987" i="2"/>
  <c r="J987" i="1"/>
  <c r="AL987" i="2"/>
  <c r="I987" i="1"/>
  <c r="AK987" i="2"/>
  <c r="AJ987" i="2"/>
  <c r="AI987" i="2"/>
  <c r="AH987" i="2"/>
  <c r="E987" i="1"/>
  <c r="AG987" i="2"/>
  <c r="D987" i="1"/>
  <c r="AF987" i="2"/>
  <c r="C987" i="1"/>
  <c r="AE987" i="2"/>
  <c r="AD987" i="2"/>
  <c r="AA987" i="2"/>
  <c r="Z987" i="2"/>
  <c r="S986" i="1"/>
  <c r="AU986" i="2"/>
  <c r="R986" i="1"/>
  <c r="AT986" i="2"/>
  <c r="Q986" i="1"/>
  <c r="AS986" i="2"/>
  <c r="P986" i="1"/>
  <c r="AR986" i="2"/>
  <c r="O986" i="1"/>
  <c r="AQ986" i="2"/>
  <c r="AP986" i="2"/>
  <c r="AO986" i="2"/>
  <c r="AN986" i="2"/>
  <c r="K986" i="1"/>
  <c r="AM986" i="2"/>
  <c r="J986" i="1"/>
  <c r="AL986" i="2"/>
  <c r="I986" i="1"/>
  <c r="AK986" i="2"/>
  <c r="AJ986" i="2"/>
  <c r="AI986" i="2"/>
  <c r="AH986" i="2"/>
  <c r="E986" i="1"/>
  <c r="AG986" i="2"/>
  <c r="D986" i="1"/>
  <c r="AF986" i="2"/>
  <c r="C986" i="1"/>
  <c r="AE986" i="2"/>
  <c r="AD986" i="2"/>
  <c r="AA986" i="2"/>
  <c r="Z986" i="2"/>
  <c r="S985" i="1"/>
  <c r="AU985" i="2"/>
  <c r="R985" i="1"/>
  <c r="AT985" i="2"/>
  <c r="Q985" i="1"/>
  <c r="AS985" i="2"/>
  <c r="P985" i="1"/>
  <c r="AR985" i="2"/>
  <c r="O985" i="1"/>
  <c r="AQ985" i="2"/>
  <c r="AP985" i="2"/>
  <c r="AO985" i="2"/>
  <c r="AN985" i="2"/>
  <c r="K985" i="1"/>
  <c r="AM985" i="2"/>
  <c r="J985" i="1"/>
  <c r="AL985" i="2"/>
  <c r="I985" i="1"/>
  <c r="AK985" i="2"/>
  <c r="AJ985" i="2"/>
  <c r="AI985" i="2"/>
  <c r="AH985" i="2"/>
  <c r="E985" i="1"/>
  <c r="AG985" i="2"/>
  <c r="D985" i="1"/>
  <c r="AF985" i="2"/>
  <c r="C985" i="1"/>
  <c r="AE985" i="2"/>
  <c r="AD985" i="2"/>
  <c r="AA985" i="2"/>
  <c r="Z985" i="2"/>
  <c r="S984" i="1"/>
  <c r="AU984" i="2"/>
  <c r="R984" i="1"/>
  <c r="AT984" i="2"/>
  <c r="Q984" i="1"/>
  <c r="AS984" i="2"/>
  <c r="P984" i="1"/>
  <c r="AR984" i="2"/>
  <c r="O984" i="1"/>
  <c r="AQ984" i="2"/>
  <c r="AP984" i="2"/>
  <c r="AO984" i="2"/>
  <c r="AN984" i="2"/>
  <c r="K984" i="1"/>
  <c r="AM984" i="2"/>
  <c r="J984" i="1"/>
  <c r="AL984" i="2"/>
  <c r="I984" i="1"/>
  <c r="AK984" i="2"/>
  <c r="AJ984" i="2"/>
  <c r="AI984" i="2"/>
  <c r="AH984" i="2"/>
  <c r="E984" i="1"/>
  <c r="AG984" i="2"/>
  <c r="D984" i="1"/>
  <c r="AF984" i="2"/>
  <c r="C984" i="1"/>
  <c r="AE984" i="2"/>
  <c r="AD984" i="2"/>
  <c r="AA984" i="2"/>
  <c r="Z984" i="2"/>
  <c r="S983" i="1"/>
  <c r="AU983" i="2"/>
  <c r="R983" i="1"/>
  <c r="AT983" i="2"/>
  <c r="Q983" i="1"/>
  <c r="AS983" i="2"/>
  <c r="P983" i="1"/>
  <c r="AR983" i="2"/>
  <c r="O983" i="1"/>
  <c r="AQ983" i="2"/>
  <c r="AP983" i="2"/>
  <c r="AO983" i="2"/>
  <c r="AN983" i="2"/>
  <c r="K983" i="1"/>
  <c r="AM983" i="2"/>
  <c r="J983" i="1"/>
  <c r="AL983" i="2"/>
  <c r="I983" i="1"/>
  <c r="AK983" i="2"/>
  <c r="AJ983" i="2"/>
  <c r="AI983" i="2"/>
  <c r="AH983" i="2"/>
  <c r="E983" i="1"/>
  <c r="AG983" i="2"/>
  <c r="D983" i="1"/>
  <c r="AF983" i="2"/>
  <c r="C983" i="1"/>
  <c r="AE983" i="2"/>
  <c r="AD983" i="2"/>
  <c r="AA983" i="2"/>
  <c r="Z983" i="2"/>
  <c r="S982" i="1"/>
  <c r="AU982" i="2"/>
  <c r="R982" i="1"/>
  <c r="AT982" i="2"/>
  <c r="Q982" i="1"/>
  <c r="AS982" i="2"/>
  <c r="P982" i="1"/>
  <c r="AR982" i="2"/>
  <c r="O982" i="1"/>
  <c r="AQ982" i="2"/>
  <c r="AP982" i="2"/>
  <c r="AO982" i="2"/>
  <c r="AN982" i="2"/>
  <c r="K982" i="1"/>
  <c r="AM982" i="2"/>
  <c r="J982" i="1"/>
  <c r="AL982" i="2"/>
  <c r="I982" i="1"/>
  <c r="AK982" i="2"/>
  <c r="AJ982" i="2"/>
  <c r="AI982" i="2"/>
  <c r="AH982" i="2"/>
  <c r="E982" i="1"/>
  <c r="AG982" i="2"/>
  <c r="D982" i="1"/>
  <c r="AF982" i="2"/>
  <c r="C982" i="1"/>
  <c r="AE982" i="2"/>
  <c r="AD982" i="2"/>
  <c r="AA982" i="2"/>
  <c r="Z982" i="2"/>
  <c r="S981" i="1"/>
  <c r="AU981" i="2"/>
  <c r="R981" i="1"/>
  <c r="AT981" i="2"/>
  <c r="Q981" i="1"/>
  <c r="AS981" i="2"/>
  <c r="P981" i="1"/>
  <c r="AR981" i="2"/>
  <c r="O981" i="1"/>
  <c r="AQ981" i="2"/>
  <c r="AP981" i="2"/>
  <c r="AO981" i="2"/>
  <c r="AN981" i="2"/>
  <c r="K981" i="1"/>
  <c r="AM981" i="2"/>
  <c r="J981" i="1"/>
  <c r="AL981" i="2"/>
  <c r="I981" i="1"/>
  <c r="AK981" i="2"/>
  <c r="AJ981" i="2"/>
  <c r="AI981" i="2"/>
  <c r="AH981" i="2"/>
  <c r="E981" i="1"/>
  <c r="AG981" i="2"/>
  <c r="D981" i="1"/>
  <c r="AF981" i="2"/>
  <c r="C981" i="1"/>
  <c r="AE981" i="2"/>
  <c r="AD981" i="2"/>
  <c r="AA981" i="2"/>
  <c r="Z981" i="2"/>
  <c r="S980" i="1"/>
  <c r="AU980" i="2"/>
  <c r="R980" i="1"/>
  <c r="AT980" i="2"/>
  <c r="Q980" i="1"/>
  <c r="AS980" i="2"/>
  <c r="P980" i="1"/>
  <c r="AR980" i="2"/>
  <c r="O980" i="1"/>
  <c r="AQ980" i="2"/>
  <c r="AP980" i="2"/>
  <c r="AO980" i="2"/>
  <c r="AN980" i="2"/>
  <c r="K980" i="1"/>
  <c r="AM980" i="2"/>
  <c r="J980" i="1"/>
  <c r="AL980" i="2"/>
  <c r="I980" i="1"/>
  <c r="AK980" i="2"/>
  <c r="AJ980" i="2"/>
  <c r="AI980" i="2"/>
  <c r="AH980" i="2"/>
  <c r="E980" i="1"/>
  <c r="AG980" i="2"/>
  <c r="D980" i="1"/>
  <c r="AF980" i="2"/>
  <c r="C980" i="1"/>
  <c r="AE980" i="2"/>
  <c r="AD980" i="2"/>
  <c r="AA980" i="2"/>
  <c r="Z980" i="2"/>
  <c r="S979" i="1"/>
  <c r="AU979" i="2"/>
  <c r="R979" i="1"/>
  <c r="AT979" i="2"/>
  <c r="Q979" i="1"/>
  <c r="AS979" i="2"/>
  <c r="P979" i="1"/>
  <c r="AR979" i="2"/>
  <c r="O979" i="1"/>
  <c r="AQ979" i="2"/>
  <c r="AP979" i="2"/>
  <c r="AO979" i="2"/>
  <c r="AN979" i="2"/>
  <c r="K979" i="1"/>
  <c r="AM979" i="2"/>
  <c r="J979" i="1"/>
  <c r="AL979" i="2"/>
  <c r="I979" i="1"/>
  <c r="AK979" i="2"/>
  <c r="AJ979" i="2"/>
  <c r="AI979" i="2"/>
  <c r="AH979" i="2"/>
  <c r="E979" i="1"/>
  <c r="AG979" i="2"/>
  <c r="D979" i="1"/>
  <c r="AF979" i="2"/>
  <c r="C979" i="1"/>
  <c r="AE979" i="2"/>
  <c r="AD979" i="2"/>
  <c r="AA979" i="2"/>
  <c r="Z979" i="2"/>
  <c r="S978" i="1"/>
  <c r="AU978" i="2"/>
  <c r="R978" i="1"/>
  <c r="AT978" i="2"/>
  <c r="Q978" i="1"/>
  <c r="AS978" i="2"/>
  <c r="P978" i="1"/>
  <c r="AR978" i="2"/>
  <c r="O978" i="1"/>
  <c r="AQ978" i="2"/>
  <c r="AP978" i="2"/>
  <c r="AO978" i="2"/>
  <c r="AN978" i="2"/>
  <c r="K978" i="1"/>
  <c r="AM978" i="2"/>
  <c r="J978" i="1"/>
  <c r="AL978" i="2"/>
  <c r="I978" i="1"/>
  <c r="AK978" i="2"/>
  <c r="AJ978" i="2"/>
  <c r="AI978" i="2"/>
  <c r="AH978" i="2"/>
  <c r="E978" i="1"/>
  <c r="AG978" i="2"/>
  <c r="D978" i="1"/>
  <c r="AF978" i="2"/>
  <c r="C978" i="1"/>
  <c r="AE978" i="2"/>
  <c r="AD978" i="2"/>
  <c r="AA978" i="2"/>
  <c r="Z978" i="2"/>
  <c r="S977" i="1"/>
  <c r="AU977" i="2"/>
  <c r="R977" i="1"/>
  <c r="AT977" i="2"/>
  <c r="Q977" i="1"/>
  <c r="AS977" i="2"/>
  <c r="P977" i="1"/>
  <c r="AR977" i="2"/>
  <c r="O977" i="1"/>
  <c r="AQ977" i="2"/>
  <c r="AP977" i="2"/>
  <c r="AO977" i="2"/>
  <c r="AN977" i="2"/>
  <c r="K977" i="1"/>
  <c r="AM977" i="2"/>
  <c r="J977" i="1"/>
  <c r="AL977" i="2"/>
  <c r="I977" i="1"/>
  <c r="AK977" i="2"/>
  <c r="AJ977" i="2"/>
  <c r="AI977" i="2"/>
  <c r="AH977" i="2"/>
  <c r="E977" i="1"/>
  <c r="AG977" i="2"/>
  <c r="D977" i="1"/>
  <c r="AF977" i="2"/>
  <c r="C977" i="1"/>
  <c r="AE977" i="2"/>
  <c r="AD977" i="2"/>
  <c r="AA977" i="2"/>
  <c r="Z977" i="2"/>
  <c r="S976" i="1"/>
  <c r="AU976" i="2"/>
  <c r="R976" i="1"/>
  <c r="AT976" i="2"/>
  <c r="Q976" i="1"/>
  <c r="AS976" i="2"/>
  <c r="P976" i="1"/>
  <c r="AR976" i="2"/>
  <c r="O976" i="1"/>
  <c r="AQ976" i="2"/>
  <c r="AP976" i="2"/>
  <c r="AO976" i="2"/>
  <c r="AN976" i="2"/>
  <c r="K976" i="1"/>
  <c r="AM976" i="2"/>
  <c r="J976" i="1"/>
  <c r="AL976" i="2"/>
  <c r="I976" i="1"/>
  <c r="AK976" i="2"/>
  <c r="AJ976" i="2"/>
  <c r="AI976" i="2"/>
  <c r="AH976" i="2"/>
  <c r="E976" i="1"/>
  <c r="AG976" i="2"/>
  <c r="D976" i="1"/>
  <c r="AF976" i="2"/>
  <c r="C976" i="1"/>
  <c r="AE976" i="2"/>
  <c r="AD976" i="2"/>
  <c r="AA976" i="2"/>
  <c r="Z976" i="2"/>
  <c r="S975" i="1"/>
  <c r="AU975" i="2"/>
  <c r="R975" i="1"/>
  <c r="AT975" i="2"/>
  <c r="Q975" i="1"/>
  <c r="AS975" i="2"/>
  <c r="P975" i="1"/>
  <c r="AR975" i="2"/>
  <c r="O975" i="1"/>
  <c r="AQ975" i="2"/>
  <c r="AP975" i="2"/>
  <c r="AO975" i="2"/>
  <c r="AN975" i="2"/>
  <c r="K975" i="1"/>
  <c r="AM975" i="2"/>
  <c r="J975" i="1"/>
  <c r="AL975" i="2"/>
  <c r="I975" i="1"/>
  <c r="AK975" i="2"/>
  <c r="AJ975" i="2"/>
  <c r="AI975" i="2"/>
  <c r="AH975" i="2"/>
  <c r="E975" i="1"/>
  <c r="AG975" i="2"/>
  <c r="D975" i="1"/>
  <c r="AF975" i="2"/>
  <c r="C975" i="1"/>
  <c r="AE975" i="2"/>
  <c r="AD975" i="2"/>
  <c r="AA975" i="2"/>
  <c r="Z975" i="2"/>
  <c r="S974" i="1"/>
  <c r="AU974" i="2"/>
  <c r="R974" i="1"/>
  <c r="AT974" i="2"/>
  <c r="Q974" i="1"/>
  <c r="AS974" i="2"/>
  <c r="P974" i="1"/>
  <c r="AR974" i="2"/>
  <c r="O974" i="1"/>
  <c r="AQ974" i="2"/>
  <c r="AP974" i="2"/>
  <c r="AO974" i="2"/>
  <c r="AN974" i="2"/>
  <c r="K974" i="1"/>
  <c r="AM974" i="2"/>
  <c r="J974" i="1"/>
  <c r="AL974" i="2"/>
  <c r="I974" i="1"/>
  <c r="AK974" i="2"/>
  <c r="AJ974" i="2"/>
  <c r="AI974" i="2"/>
  <c r="AH974" i="2"/>
  <c r="E974" i="1"/>
  <c r="AG974" i="2"/>
  <c r="D974" i="1"/>
  <c r="AF974" i="2"/>
  <c r="C974" i="1"/>
  <c r="AE974" i="2"/>
  <c r="AD974" i="2"/>
  <c r="AA974" i="2"/>
  <c r="Z974" i="2"/>
  <c r="S973" i="1"/>
  <c r="AU973" i="2"/>
  <c r="R973" i="1"/>
  <c r="AT973" i="2"/>
  <c r="Q973" i="1"/>
  <c r="AS973" i="2"/>
  <c r="P973" i="1"/>
  <c r="AR973" i="2"/>
  <c r="O973" i="1"/>
  <c r="AQ973" i="2"/>
  <c r="AP973" i="2"/>
  <c r="AO973" i="2"/>
  <c r="AN973" i="2"/>
  <c r="K973" i="1"/>
  <c r="AM973" i="2"/>
  <c r="J973" i="1"/>
  <c r="AL973" i="2"/>
  <c r="I973" i="1"/>
  <c r="AK973" i="2"/>
  <c r="AJ973" i="2"/>
  <c r="AI973" i="2"/>
  <c r="AH973" i="2"/>
  <c r="E973" i="1"/>
  <c r="AG973" i="2"/>
  <c r="D973" i="1"/>
  <c r="AF973" i="2"/>
  <c r="C973" i="1"/>
  <c r="AE973" i="2"/>
  <c r="AD973" i="2"/>
  <c r="AA973" i="2"/>
  <c r="Z973" i="2"/>
  <c r="S972" i="1"/>
  <c r="AU972" i="2"/>
  <c r="R972" i="1"/>
  <c r="AT972" i="2"/>
  <c r="Q972" i="1"/>
  <c r="AS972" i="2"/>
  <c r="P972" i="1"/>
  <c r="AR972" i="2"/>
  <c r="O972" i="1"/>
  <c r="AQ972" i="2"/>
  <c r="AP972" i="2"/>
  <c r="AO972" i="2"/>
  <c r="AN972" i="2"/>
  <c r="K972" i="1"/>
  <c r="AM972" i="2"/>
  <c r="J972" i="1"/>
  <c r="AL972" i="2"/>
  <c r="I972" i="1"/>
  <c r="AK972" i="2"/>
  <c r="AJ972" i="2"/>
  <c r="AI972" i="2"/>
  <c r="AH972" i="2"/>
  <c r="E972" i="1"/>
  <c r="AG972" i="2"/>
  <c r="D972" i="1"/>
  <c r="AF972" i="2"/>
  <c r="C972" i="1"/>
  <c r="AE972" i="2"/>
  <c r="AD972" i="2"/>
  <c r="AA972" i="2"/>
  <c r="Z972" i="2"/>
  <c r="S971" i="1"/>
  <c r="AU971" i="2"/>
  <c r="R971" i="1"/>
  <c r="AT971" i="2"/>
  <c r="Q971" i="1"/>
  <c r="AS971" i="2"/>
  <c r="P971" i="1"/>
  <c r="AR971" i="2"/>
  <c r="O971" i="1"/>
  <c r="AQ971" i="2"/>
  <c r="AP971" i="2"/>
  <c r="AO971" i="2"/>
  <c r="AN971" i="2"/>
  <c r="K971" i="1"/>
  <c r="AM971" i="2"/>
  <c r="J971" i="1"/>
  <c r="AL971" i="2"/>
  <c r="I971" i="1"/>
  <c r="AK971" i="2"/>
  <c r="AJ971" i="2"/>
  <c r="AI971" i="2"/>
  <c r="AH971" i="2"/>
  <c r="E971" i="1"/>
  <c r="AG971" i="2"/>
  <c r="D971" i="1"/>
  <c r="AF971" i="2"/>
  <c r="C971" i="1"/>
  <c r="AE971" i="2"/>
  <c r="AD971" i="2"/>
  <c r="AA971" i="2"/>
  <c r="Z971" i="2"/>
  <c r="S970" i="1"/>
  <c r="AU970" i="2"/>
  <c r="R970" i="1"/>
  <c r="AT970" i="2"/>
  <c r="Q970" i="1"/>
  <c r="AS970" i="2"/>
  <c r="P970" i="1"/>
  <c r="AR970" i="2"/>
  <c r="O970" i="1"/>
  <c r="AQ970" i="2"/>
  <c r="AP970" i="2"/>
  <c r="AO970" i="2"/>
  <c r="AN970" i="2"/>
  <c r="K970" i="1"/>
  <c r="AM970" i="2"/>
  <c r="J970" i="1"/>
  <c r="AL970" i="2"/>
  <c r="I970" i="1"/>
  <c r="AK970" i="2"/>
  <c r="AJ970" i="2"/>
  <c r="AI970" i="2"/>
  <c r="AH970" i="2"/>
  <c r="E970" i="1"/>
  <c r="AG970" i="2"/>
  <c r="D970" i="1"/>
  <c r="AF970" i="2"/>
  <c r="C970" i="1"/>
  <c r="AE970" i="2"/>
  <c r="AD970" i="2"/>
  <c r="AA970" i="2"/>
  <c r="Z970" i="2"/>
  <c r="S969" i="1"/>
  <c r="AU969" i="2"/>
  <c r="R969" i="1"/>
  <c r="AT969" i="2"/>
  <c r="Q969" i="1"/>
  <c r="AS969" i="2"/>
  <c r="P969" i="1"/>
  <c r="AR969" i="2"/>
  <c r="O969" i="1"/>
  <c r="AQ969" i="2"/>
  <c r="AP969" i="2"/>
  <c r="AO969" i="2"/>
  <c r="AN969" i="2"/>
  <c r="K969" i="1"/>
  <c r="AM969" i="2"/>
  <c r="J969" i="1"/>
  <c r="AL969" i="2"/>
  <c r="I969" i="1"/>
  <c r="AK969" i="2"/>
  <c r="AJ969" i="2"/>
  <c r="AI969" i="2"/>
  <c r="AH969" i="2"/>
  <c r="E969" i="1"/>
  <c r="AG969" i="2"/>
  <c r="D969" i="1"/>
  <c r="AF969" i="2"/>
  <c r="C969" i="1"/>
  <c r="AE969" i="2"/>
  <c r="AD969" i="2"/>
  <c r="AA969" i="2"/>
  <c r="Z969" i="2"/>
  <c r="S968" i="1"/>
  <c r="AU968" i="2"/>
  <c r="R968" i="1"/>
  <c r="AT968" i="2"/>
  <c r="Q968" i="1"/>
  <c r="AS968" i="2"/>
  <c r="P968" i="1"/>
  <c r="AR968" i="2"/>
  <c r="O968" i="1"/>
  <c r="AQ968" i="2"/>
  <c r="AP968" i="2"/>
  <c r="AO968" i="2"/>
  <c r="AN968" i="2"/>
  <c r="K968" i="1"/>
  <c r="AM968" i="2"/>
  <c r="J968" i="1"/>
  <c r="AL968" i="2"/>
  <c r="I968" i="1"/>
  <c r="AK968" i="2"/>
  <c r="AJ968" i="2"/>
  <c r="AI968" i="2"/>
  <c r="AH968" i="2"/>
  <c r="E968" i="1"/>
  <c r="AG968" i="2"/>
  <c r="D968" i="1"/>
  <c r="AF968" i="2"/>
  <c r="C968" i="1"/>
  <c r="AE968" i="2"/>
  <c r="AD968" i="2"/>
  <c r="AA968" i="2"/>
  <c r="Z968" i="2"/>
  <c r="S967" i="1"/>
  <c r="AU967" i="2"/>
  <c r="R967" i="1"/>
  <c r="AT967" i="2"/>
  <c r="Q967" i="1"/>
  <c r="AS967" i="2"/>
  <c r="P967" i="1"/>
  <c r="AR967" i="2"/>
  <c r="O967" i="1"/>
  <c r="AQ967" i="2"/>
  <c r="AP967" i="2"/>
  <c r="AO967" i="2"/>
  <c r="AN967" i="2"/>
  <c r="K967" i="1"/>
  <c r="AM967" i="2"/>
  <c r="J967" i="1"/>
  <c r="AL967" i="2"/>
  <c r="I967" i="1"/>
  <c r="AK967" i="2"/>
  <c r="AJ967" i="2"/>
  <c r="AI967" i="2"/>
  <c r="AH967" i="2"/>
  <c r="E967" i="1"/>
  <c r="AG967" i="2"/>
  <c r="D967" i="1"/>
  <c r="AF967" i="2"/>
  <c r="C967" i="1"/>
  <c r="AE967" i="2"/>
  <c r="AD967" i="2"/>
  <c r="AA967" i="2"/>
  <c r="Z967" i="2"/>
  <c r="S966" i="1"/>
  <c r="AU966" i="2"/>
  <c r="R966" i="1"/>
  <c r="AT966" i="2"/>
  <c r="Q966" i="1"/>
  <c r="AS966" i="2"/>
  <c r="P966" i="1"/>
  <c r="AR966" i="2"/>
  <c r="O966" i="1"/>
  <c r="AQ966" i="2"/>
  <c r="AP966" i="2"/>
  <c r="AO966" i="2"/>
  <c r="AN966" i="2"/>
  <c r="K966" i="1"/>
  <c r="AM966" i="2"/>
  <c r="J966" i="1"/>
  <c r="AL966" i="2"/>
  <c r="I966" i="1"/>
  <c r="AK966" i="2"/>
  <c r="AJ966" i="2"/>
  <c r="AI966" i="2"/>
  <c r="AH966" i="2"/>
  <c r="E966" i="1"/>
  <c r="AG966" i="2"/>
  <c r="D966" i="1"/>
  <c r="AF966" i="2"/>
  <c r="C966" i="1"/>
  <c r="AE966" i="2"/>
  <c r="AD966" i="2"/>
  <c r="AA966" i="2"/>
  <c r="Z966" i="2"/>
  <c r="S965" i="1"/>
  <c r="AU965" i="2"/>
  <c r="R965" i="1"/>
  <c r="AT965" i="2"/>
  <c r="Q965" i="1"/>
  <c r="AS965" i="2"/>
  <c r="P965" i="1"/>
  <c r="AR965" i="2"/>
  <c r="O965" i="1"/>
  <c r="AQ965" i="2"/>
  <c r="AP965" i="2"/>
  <c r="AO965" i="2"/>
  <c r="AN965" i="2"/>
  <c r="K965" i="1"/>
  <c r="AM965" i="2"/>
  <c r="J965" i="1"/>
  <c r="AL965" i="2"/>
  <c r="I965" i="1"/>
  <c r="AK965" i="2"/>
  <c r="AJ965" i="2"/>
  <c r="AI965" i="2"/>
  <c r="AH965" i="2"/>
  <c r="E965" i="1"/>
  <c r="AG965" i="2"/>
  <c r="D965" i="1"/>
  <c r="AF965" i="2"/>
  <c r="C965" i="1"/>
  <c r="AE965" i="2"/>
  <c r="AD965" i="2"/>
  <c r="AA965" i="2"/>
  <c r="Z965" i="2"/>
  <c r="S964" i="1"/>
  <c r="AU964" i="2"/>
  <c r="R964" i="1"/>
  <c r="AT964" i="2"/>
  <c r="Q964" i="1"/>
  <c r="AS964" i="2"/>
  <c r="P964" i="1"/>
  <c r="AR964" i="2"/>
  <c r="O964" i="1"/>
  <c r="AQ964" i="2"/>
  <c r="AP964" i="2"/>
  <c r="AO964" i="2"/>
  <c r="AN964" i="2"/>
  <c r="K964" i="1"/>
  <c r="AM964" i="2"/>
  <c r="J964" i="1"/>
  <c r="AL964" i="2"/>
  <c r="I964" i="1"/>
  <c r="AK964" i="2"/>
  <c r="AJ964" i="2"/>
  <c r="AI964" i="2"/>
  <c r="AH964" i="2"/>
  <c r="E964" i="1"/>
  <c r="AG964" i="2"/>
  <c r="D964" i="1"/>
  <c r="AF964" i="2"/>
  <c r="C964" i="1"/>
  <c r="AE964" i="2"/>
  <c r="AD964" i="2"/>
  <c r="AA964" i="2"/>
  <c r="Z964" i="2"/>
  <c r="S963" i="1"/>
  <c r="AU963" i="2"/>
  <c r="R963" i="1"/>
  <c r="AT963" i="2"/>
  <c r="Q963" i="1"/>
  <c r="AS963" i="2"/>
  <c r="P963" i="1"/>
  <c r="AR963" i="2"/>
  <c r="O963" i="1"/>
  <c r="AQ963" i="2"/>
  <c r="AP963" i="2"/>
  <c r="AO963" i="2"/>
  <c r="AN963" i="2"/>
  <c r="K963" i="1"/>
  <c r="AM963" i="2"/>
  <c r="J963" i="1"/>
  <c r="AL963" i="2"/>
  <c r="I963" i="1"/>
  <c r="AK963" i="2"/>
  <c r="AJ963" i="2"/>
  <c r="AI963" i="2"/>
  <c r="AH963" i="2"/>
  <c r="E963" i="1"/>
  <c r="AG963" i="2"/>
  <c r="D963" i="1"/>
  <c r="AF963" i="2"/>
  <c r="C963" i="1"/>
  <c r="AE963" i="2"/>
  <c r="AD963" i="2"/>
  <c r="AA963" i="2"/>
  <c r="Z963" i="2"/>
  <c r="S962" i="1"/>
  <c r="AU962" i="2"/>
  <c r="R962" i="1"/>
  <c r="AT962" i="2"/>
  <c r="Q962" i="1"/>
  <c r="AS962" i="2"/>
  <c r="P962" i="1"/>
  <c r="AR962" i="2"/>
  <c r="O962" i="1"/>
  <c r="AQ962" i="2"/>
  <c r="AP962" i="2"/>
  <c r="AO962" i="2"/>
  <c r="AN962" i="2"/>
  <c r="K962" i="1"/>
  <c r="AM962" i="2"/>
  <c r="J962" i="1"/>
  <c r="AL962" i="2"/>
  <c r="I962" i="1"/>
  <c r="AK962" i="2"/>
  <c r="AJ962" i="2"/>
  <c r="AI962" i="2"/>
  <c r="AH962" i="2"/>
  <c r="E962" i="1"/>
  <c r="AG962" i="2"/>
  <c r="D962" i="1"/>
  <c r="AF962" i="2"/>
  <c r="C962" i="1"/>
  <c r="AE962" i="2"/>
  <c r="AD962" i="2"/>
  <c r="AA962" i="2"/>
  <c r="Z962" i="2"/>
  <c r="S961" i="1"/>
  <c r="AU961" i="2"/>
  <c r="R961" i="1"/>
  <c r="AT961" i="2"/>
  <c r="Q961" i="1"/>
  <c r="AS961" i="2"/>
  <c r="P961" i="1"/>
  <c r="AR961" i="2"/>
  <c r="O961" i="1"/>
  <c r="AQ961" i="2"/>
  <c r="AP961" i="2"/>
  <c r="AO961" i="2"/>
  <c r="AN961" i="2"/>
  <c r="K961" i="1"/>
  <c r="AM961" i="2"/>
  <c r="J961" i="1"/>
  <c r="AL961" i="2"/>
  <c r="I961" i="1"/>
  <c r="AK961" i="2"/>
  <c r="AJ961" i="2"/>
  <c r="AI961" i="2"/>
  <c r="AH961" i="2"/>
  <c r="E961" i="1"/>
  <c r="AG961" i="2"/>
  <c r="D961" i="1"/>
  <c r="AF961" i="2"/>
  <c r="C961" i="1"/>
  <c r="AE961" i="2"/>
  <c r="AD961" i="2"/>
  <c r="AA961" i="2"/>
  <c r="Z961" i="2"/>
  <c r="S960" i="1"/>
  <c r="AU960" i="2"/>
  <c r="R960" i="1"/>
  <c r="AT960" i="2"/>
  <c r="Q960" i="1"/>
  <c r="AS960" i="2"/>
  <c r="P960" i="1"/>
  <c r="AR960" i="2"/>
  <c r="O960" i="1"/>
  <c r="AQ960" i="2"/>
  <c r="AP960" i="2"/>
  <c r="AO960" i="2"/>
  <c r="AN960" i="2"/>
  <c r="K960" i="1"/>
  <c r="AM960" i="2"/>
  <c r="J960" i="1"/>
  <c r="AL960" i="2"/>
  <c r="I960" i="1"/>
  <c r="AK960" i="2"/>
  <c r="AJ960" i="2"/>
  <c r="AI960" i="2"/>
  <c r="AH960" i="2"/>
  <c r="E960" i="1"/>
  <c r="AG960" i="2"/>
  <c r="D960" i="1"/>
  <c r="AF960" i="2"/>
  <c r="C960" i="1"/>
  <c r="AE960" i="2"/>
  <c r="AD960" i="2"/>
  <c r="AA960" i="2"/>
  <c r="Z960" i="2"/>
  <c r="S959" i="1"/>
  <c r="AU959" i="2"/>
  <c r="R959" i="1"/>
  <c r="AT959" i="2"/>
  <c r="Q959" i="1"/>
  <c r="AS959" i="2"/>
  <c r="P959" i="1"/>
  <c r="AR959" i="2"/>
  <c r="O959" i="1"/>
  <c r="AQ959" i="2"/>
  <c r="AP959" i="2"/>
  <c r="AO959" i="2"/>
  <c r="AN959" i="2"/>
  <c r="K959" i="1"/>
  <c r="AM959" i="2"/>
  <c r="J959" i="1"/>
  <c r="AL959" i="2"/>
  <c r="I959" i="1"/>
  <c r="AK959" i="2"/>
  <c r="AJ959" i="2"/>
  <c r="AI959" i="2"/>
  <c r="AH959" i="2"/>
  <c r="E959" i="1"/>
  <c r="AG959" i="2"/>
  <c r="D959" i="1"/>
  <c r="AF959" i="2"/>
  <c r="C959" i="1"/>
  <c r="AE959" i="2"/>
  <c r="AD959" i="2"/>
  <c r="AA959" i="2"/>
  <c r="Z959" i="2"/>
  <c r="S958" i="1"/>
  <c r="AU958" i="2"/>
  <c r="R958" i="1"/>
  <c r="AT958" i="2"/>
  <c r="Q958" i="1"/>
  <c r="AS958" i="2"/>
  <c r="P958" i="1"/>
  <c r="AR958" i="2"/>
  <c r="O958" i="1"/>
  <c r="AQ958" i="2"/>
  <c r="AP958" i="2"/>
  <c r="AO958" i="2"/>
  <c r="AN958" i="2"/>
  <c r="K958" i="1"/>
  <c r="AM958" i="2"/>
  <c r="J958" i="1"/>
  <c r="AL958" i="2"/>
  <c r="I958" i="1"/>
  <c r="AK958" i="2"/>
  <c r="AJ958" i="2"/>
  <c r="AI958" i="2"/>
  <c r="AH958" i="2"/>
  <c r="E958" i="1"/>
  <c r="AG958" i="2"/>
  <c r="D958" i="1"/>
  <c r="AF958" i="2"/>
  <c r="C958" i="1"/>
  <c r="AE958" i="2"/>
  <c r="AD958" i="2"/>
  <c r="AA958" i="2"/>
  <c r="Z958" i="2"/>
  <c r="S957" i="1"/>
  <c r="AU957" i="2"/>
  <c r="R957" i="1"/>
  <c r="AT957" i="2"/>
  <c r="Q957" i="1"/>
  <c r="AS957" i="2"/>
  <c r="P957" i="1"/>
  <c r="AR957" i="2"/>
  <c r="O957" i="1"/>
  <c r="AQ957" i="2"/>
  <c r="AP957" i="2"/>
  <c r="AO957" i="2"/>
  <c r="AN957" i="2"/>
  <c r="K957" i="1"/>
  <c r="AM957" i="2"/>
  <c r="J957" i="1"/>
  <c r="AL957" i="2"/>
  <c r="I957" i="1"/>
  <c r="AK957" i="2"/>
  <c r="AJ957" i="2"/>
  <c r="AI957" i="2"/>
  <c r="AH957" i="2"/>
  <c r="E957" i="1"/>
  <c r="AG957" i="2"/>
  <c r="D957" i="1"/>
  <c r="AF957" i="2"/>
  <c r="C957" i="1"/>
  <c r="AE957" i="2"/>
  <c r="AD957" i="2"/>
  <c r="AA957" i="2"/>
  <c r="Z957" i="2"/>
  <c r="S956" i="1"/>
  <c r="AU956" i="2"/>
  <c r="R956" i="1"/>
  <c r="AT956" i="2"/>
  <c r="Q956" i="1"/>
  <c r="AS956" i="2"/>
  <c r="P956" i="1"/>
  <c r="AR956" i="2"/>
  <c r="O956" i="1"/>
  <c r="AQ956" i="2"/>
  <c r="AP956" i="2"/>
  <c r="AO956" i="2"/>
  <c r="AN956" i="2"/>
  <c r="K956" i="1"/>
  <c r="AM956" i="2"/>
  <c r="J956" i="1"/>
  <c r="AL956" i="2"/>
  <c r="I956" i="1"/>
  <c r="AK956" i="2"/>
  <c r="AJ956" i="2"/>
  <c r="AI956" i="2"/>
  <c r="AH956" i="2"/>
  <c r="E956" i="1"/>
  <c r="AG956" i="2"/>
  <c r="D956" i="1"/>
  <c r="AF956" i="2"/>
  <c r="C956" i="1"/>
  <c r="AE956" i="2"/>
  <c r="AD956" i="2"/>
  <c r="AA956" i="2"/>
  <c r="Z956" i="2"/>
  <c r="S955" i="1"/>
  <c r="AU955" i="2"/>
  <c r="R955" i="1"/>
  <c r="AT955" i="2"/>
  <c r="Q955" i="1"/>
  <c r="AS955" i="2"/>
  <c r="P955" i="1"/>
  <c r="AR955" i="2"/>
  <c r="O955" i="1"/>
  <c r="AQ955" i="2"/>
  <c r="AP955" i="2"/>
  <c r="AO955" i="2"/>
  <c r="AN955" i="2"/>
  <c r="K955" i="1"/>
  <c r="AM955" i="2"/>
  <c r="J955" i="1"/>
  <c r="AL955" i="2"/>
  <c r="I955" i="1"/>
  <c r="AK955" i="2"/>
  <c r="AJ955" i="2"/>
  <c r="AI955" i="2"/>
  <c r="AH955" i="2"/>
  <c r="E955" i="1"/>
  <c r="AG955" i="2"/>
  <c r="D955" i="1"/>
  <c r="AF955" i="2"/>
  <c r="C955" i="1"/>
  <c r="AE955" i="2"/>
  <c r="AD955" i="2"/>
  <c r="AA955" i="2"/>
  <c r="Z955" i="2"/>
  <c r="S954" i="1"/>
  <c r="AU954" i="2"/>
  <c r="R954" i="1"/>
  <c r="AT954" i="2"/>
  <c r="Q954" i="1"/>
  <c r="AS954" i="2"/>
  <c r="P954" i="1"/>
  <c r="AR954" i="2"/>
  <c r="O954" i="1"/>
  <c r="AQ954" i="2"/>
  <c r="AP954" i="2"/>
  <c r="AO954" i="2"/>
  <c r="AN954" i="2"/>
  <c r="K954" i="1"/>
  <c r="AM954" i="2"/>
  <c r="J954" i="1"/>
  <c r="AL954" i="2"/>
  <c r="I954" i="1"/>
  <c r="AK954" i="2"/>
  <c r="AJ954" i="2"/>
  <c r="AI954" i="2"/>
  <c r="AH954" i="2"/>
  <c r="E954" i="1"/>
  <c r="AG954" i="2"/>
  <c r="D954" i="1"/>
  <c r="AF954" i="2"/>
  <c r="C954" i="1"/>
  <c r="AE954" i="2"/>
  <c r="AD954" i="2"/>
  <c r="AA954" i="2"/>
  <c r="Z954" i="2"/>
  <c r="S953" i="1"/>
  <c r="AU953" i="2"/>
  <c r="R953" i="1"/>
  <c r="AT953" i="2"/>
  <c r="Q953" i="1"/>
  <c r="AS953" i="2"/>
  <c r="P953" i="1"/>
  <c r="AR953" i="2"/>
  <c r="O953" i="1"/>
  <c r="AQ953" i="2"/>
  <c r="AP953" i="2"/>
  <c r="AO953" i="2"/>
  <c r="AN953" i="2"/>
  <c r="K953" i="1"/>
  <c r="AM953" i="2"/>
  <c r="J953" i="1"/>
  <c r="AL953" i="2"/>
  <c r="I953" i="1"/>
  <c r="AK953" i="2"/>
  <c r="AJ953" i="2"/>
  <c r="AI953" i="2"/>
  <c r="AH953" i="2"/>
  <c r="E953" i="1"/>
  <c r="AG953" i="2"/>
  <c r="D953" i="1"/>
  <c r="AF953" i="2"/>
  <c r="C953" i="1"/>
  <c r="AE953" i="2"/>
  <c r="AD953" i="2"/>
  <c r="AA953" i="2"/>
  <c r="Z953" i="2"/>
  <c r="S952" i="1"/>
  <c r="AU952" i="2"/>
  <c r="R952" i="1"/>
  <c r="AT952" i="2"/>
  <c r="Q952" i="1"/>
  <c r="AS952" i="2"/>
  <c r="P952" i="1"/>
  <c r="AR952" i="2"/>
  <c r="O952" i="1"/>
  <c r="AQ952" i="2"/>
  <c r="AP952" i="2"/>
  <c r="AO952" i="2"/>
  <c r="AN952" i="2"/>
  <c r="K952" i="1"/>
  <c r="AM952" i="2"/>
  <c r="J952" i="1"/>
  <c r="AL952" i="2"/>
  <c r="I952" i="1"/>
  <c r="AK952" i="2"/>
  <c r="AJ952" i="2"/>
  <c r="AI952" i="2"/>
  <c r="AH952" i="2"/>
  <c r="E952" i="1"/>
  <c r="AG952" i="2"/>
  <c r="D952" i="1"/>
  <c r="AF952" i="2"/>
  <c r="C952" i="1"/>
  <c r="AE952" i="2"/>
  <c r="AD952" i="2"/>
  <c r="AA952" i="2"/>
  <c r="Z952" i="2"/>
  <c r="S951" i="1"/>
  <c r="AU951" i="2"/>
  <c r="R951" i="1"/>
  <c r="AT951" i="2"/>
  <c r="Q951" i="1"/>
  <c r="AS951" i="2"/>
  <c r="P951" i="1"/>
  <c r="AR951" i="2"/>
  <c r="O951" i="1"/>
  <c r="AQ951" i="2"/>
  <c r="AP951" i="2"/>
  <c r="AO951" i="2"/>
  <c r="AN951" i="2"/>
  <c r="K951" i="1"/>
  <c r="AM951" i="2"/>
  <c r="J951" i="1"/>
  <c r="AL951" i="2"/>
  <c r="I951" i="1"/>
  <c r="AK951" i="2"/>
  <c r="AJ951" i="2"/>
  <c r="AI951" i="2"/>
  <c r="AH951" i="2"/>
  <c r="E951" i="1"/>
  <c r="AG951" i="2"/>
  <c r="D951" i="1"/>
  <c r="AF951" i="2"/>
  <c r="C951" i="1"/>
  <c r="AE951" i="2"/>
  <c r="AD951" i="2"/>
  <c r="AA951" i="2"/>
  <c r="Z951" i="2"/>
  <c r="S950" i="1"/>
  <c r="AU950" i="2"/>
  <c r="R950" i="1"/>
  <c r="AT950" i="2"/>
  <c r="Q950" i="1"/>
  <c r="AS950" i="2"/>
  <c r="P950" i="1"/>
  <c r="AR950" i="2"/>
  <c r="O950" i="1"/>
  <c r="AQ950" i="2"/>
  <c r="AP950" i="2"/>
  <c r="AO950" i="2"/>
  <c r="AN950" i="2"/>
  <c r="K950" i="1"/>
  <c r="AM950" i="2"/>
  <c r="J950" i="1"/>
  <c r="AL950" i="2"/>
  <c r="I950" i="1"/>
  <c r="AK950" i="2"/>
  <c r="AJ950" i="2"/>
  <c r="AI950" i="2"/>
  <c r="AH950" i="2"/>
  <c r="E950" i="1"/>
  <c r="AG950" i="2"/>
  <c r="D950" i="1"/>
  <c r="AF950" i="2"/>
  <c r="C950" i="1"/>
  <c r="AE950" i="2"/>
  <c r="AD950" i="2"/>
  <c r="AA950" i="2"/>
  <c r="Z950" i="2"/>
  <c r="S949" i="1"/>
  <c r="AU949" i="2"/>
  <c r="R949" i="1"/>
  <c r="AT949" i="2"/>
  <c r="Q949" i="1"/>
  <c r="AS949" i="2"/>
  <c r="P949" i="1"/>
  <c r="AR949" i="2"/>
  <c r="O949" i="1"/>
  <c r="AQ949" i="2"/>
  <c r="AP949" i="2"/>
  <c r="AO949" i="2"/>
  <c r="AN949" i="2"/>
  <c r="K949" i="1"/>
  <c r="AM949" i="2"/>
  <c r="J949" i="1"/>
  <c r="AL949" i="2"/>
  <c r="I949" i="1"/>
  <c r="AK949" i="2"/>
  <c r="AJ949" i="2"/>
  <c r="AI949" i="2"/>
  <c r="AH949" i="2"/>
  <c r="E949" i="1"/>
  <c r="AG949" i="2"/>
  <c r="D949" i="1"/>
  <c r="AF949" i="2"/>
  <c r="C949" i="1"/>
  <c r="AE949" i="2"/>
  <c r="AD949" i="2"/>
  <c r="AA949" i="2"/>
  <c r="Z949" i="2"/>
  <c r="S948" i="1"/>
  <c r="AU948" i="2"/>
  <c r="R948" i="1"/>
  <c r="AT948" i="2"/>
  <c r="Q948" i="1"/>
  <c r="AS948" i="2"/>
  <c r="P948" i="1"/>
  <c r="AR948" i="2"/>
  <c r="O948" i="1"/>
  <c r="AQ948" i="2"/>
  <c r="AP948" i="2"/>
  <c r="AO948" i="2"/>
  <c r="AN948" i="2"/>
  <c r="K948" i="1"/>
  <c r="AM948" i="2"/>
  <c r="J948" i="1"/>
  <c r="AL948" i="2"/>
  <c r="I948" i="1"/>
  <c r="AK948" i="2"/>
  <c r="AJ948" i="2"/>
  <c r="AI948" i="2"/>
  <c r="AH948" i="2"/>
  <c r="E948" i="1"/>
  <c r="AG948" i="2"/>
  <c r="D948" i="1"/>
  <c r="AF948" i="2"/>
  <c r="C948" i="1"/>
  <c r="AE948" i="2"/>
  <c r="AD948" i="2"/>
  <c r="AA948" i="2"/>
  <c r="Z948" i="2"/>
  <c r="S947" i="1"/>
  <c r="AU947" i="2"/>
  <c r="R947" i="1"/>
  <c r="AT947" i="2"/>
  <c r="Q947" i="1"/>
  <c r="AS947" i="2"/>
  <c r="P947" i="1"/>
  <c r="AR947" i="2"/>
  <c r="O947" i="1"/>
  <c r="AQ947" i="2"/>
  <c r="AP947" i="2"/>
  <c r="AO947" i="2"/>
  <c r="AN947" i="2"/>
  <c r="K947" i="1"/>
  <c r="AM947" i="2"/>
  <c r="J947" i="1"/>
  <c r="AL947" i="2"/>
  <c r="I947" i="1"/>
  <c r="AK947" i="2"/>
  <c r="AJ947" i="2"/>
  <c r="AI947" i="2"/>
  <c r="AH947" i="2"/>
  <c r="E947" i="1"/>
  <c r="AG947" i="2"/>
  <c r="D947" i="1"/>
  <c r="AF947" i="2"/>
  <c r="C947" i="1"/>
  <c r="AE947" i="2"/>
  <c r="AD947" i="2"/>
  <c r="AA947" i="2"/>
  <c r="Z947" i="2"/>
  <c r="S946" i="1"/>
  <c r="AU946" i="2"/>
  <c r="R946" i="1"/>
  <c r="AT946" i="2"/>
  <c r="Q946" i="1"/>
  <c r="AS946" i="2"/>
  <c r="P946" i="1"/>
  <c r="AR946" i="2"/>
  <c r="O946" i="1"/>
  <c r="AQ946" i="2"/>
  <c r="AP946" i="2"/>
  <c r="AO946" i="2"/>
  <c r="AN946" i="2"/>
  <c r="K946" i="1"/>
  <c r="AM946" i="2"/>
  <c r="J946" i="1"/>
  <c r="AL946" i="2"/>
  <c r="I946" i="1"/>
  <c r="AK946" i="2"/>
  <c r="AJ946" i="2"/>
  <c r="AI946" i="2"/>
  <c r="AH946" i="2"/>
  <c r="E946" i="1"/>
  <c r="AG946" i="2"/>
  <c r="D946" i="1"/>
  <c r="AF946" i="2"/>
  <c r="C946" i="1"/>
  <c r="AE946" i="2"/>
  <c r="AD946" i="2"/>
  <c r="AA946" i="2"/>
  <c r="Z946" i="2"/>
  <c r="S945" i="1"/>
  <c r="AU945" i="2"/>
  <c r="R945" i="1"/>
  <c r="AT945" i="2"/>
  <c r="Q945" i="1"/>
  <c r="AS945" i="2"/>
  <c r="P945" i="1"/>
  <c r="AR945" i="2"/>
  <c r="O945" i="1"/>
  <c r="AQ945" i="2"/>
  <c r="AP945" i="2"/>
  <c r="AO945" i="2"/>
  <c r="AN945" i="2"/>
  <c r="K945" i="1"/>
  <c r="AM945" i="2"/>
  <c r="J945" i="1"/>
  <c r="AL945" i="2"/>
  <c r="I945" i="1"/>
  <c r="AK945" i="2"/>
  <c r="AJ945" i="2"/>
  <c r="AI945" i="2"/>
  <c r="AH945" i="2"/>
  <c r="E945" i="1"/>
  <c r="AG945" i="2"/>
  <c r="D945" i="1"/>
  <c r="AF945" i="2"/>
  <c r="C945" i="1"/>
  <c r="AE945" i="2"/>
  <c r="AD945" i="2"/>
  <c r="AA945" i="2"/>
  <c r="Z945" i="2"/>
  <c r="S944" i="1"/>
  <c r="AU944" i="2"/>
  <c r="R944" i="1"/>
  <c r="AT944" i="2"/>
  <c r="Q944" i="1"/>
  <c r="AS944" i="2"/>
  <c r="P944" i="1"/>
  <c r="AR944" i="2"/>
  <c r="O944" i="1"/>
  <c r="AQ944" i="2"/>
  <c r="AP944" i="2"/>
  <c r="AO944" i="2"/>
  <c r="AN944" i="2"/>
  <c r="K944" i="1"/>
  <c r="AM944" i="2"/>
  <c r="J944" i="1"/>
  <c r="AL944" i="2"/>
  <c r="I944" i="1"/>
  <c r="AK944" i="2"/>
  <c r="AJ944" i="2"/>
  <c r="AI944" i="2"/>
  <c r="AH944" i="2"/>
  <c r="E944" i="1"/>
  <c r="AG944" i="2"/>
  <c r="D944" i="1"/>
  <c r="AF944" i="2"/>
  <c r="C944" i="1"/>
  <c r="AE944" i="2"/>
  <c r="AD944" i="2"/>
  <c r="AA944" i="2"/>
  <c r="Z944" i="2"/>
  <c r="S943" i="1"/>
  <c r="AU943" i="2"/>
  <c r="R943" i="1"/>
  <c r="AT943" i="2"/>
  <c r="Q943" i="1"/>
  <c r="AS943" i="2"/>
  <c r="P943" i="1"/>
  <c r="AR943" i="2"/>
  <c r="O943" i="1"/>
  <c r="AQ943" i="2"/>
  <c r="AP943" i="2"/>
  <c r="AO943" i="2"/>
  <c r="AN943" i="2"/>
  <c r="K943" i="1"/>
  <c r="AM943" i="2"/>
  <c r="J943" i="1"/>
  <c r="AL943" i="2"/>
  <c r="I943" i="1"/>
  <c r="AK943" i="2"/>
  <c r="AJ943" i="2"/>
  <c r="AI943" i="2"/>
  <c r="AH943" i="2"/>
  <c r="E943" i="1"/>
  <c r="AG943" i="2"/>
  <c r="D943" i="1"/>
  <c r="AF943" i="2"/>
  <c r="C943" i="1"/>
  <c r="AE943" i="2"/>
  <c r="AD943" i="2"/>
  <c r="AA943" i="2"/>
  <c r="Z943" i="2"/>
  <c r="S942" i="1"/>
  <c r="AU942" i="2"/>
  <c r="R942" i="1"/>
  <c r="AT942" i="2"/>
  <c r="Q942" i="1"/>
  <c r="AS942" i="2"/>
  <c r="P942" i="1"/>
  <c r="AR942" i="2"/>
  <c r="O942" i="1"/>
  <c r="AQ942" i="2"/>
  <c r="AP942" i="2"/>
  <c r="AO942" i="2"/>
  <c r="AN942" i="2"/>
  <c r="K942" i="1"/>
  <c r="AM942" i="2"/>
  <c r="J942" i="1"/>
  <c r="AL942" i="2"/>
  <c r="I942" i="1"/>
  <c r="AK942" i="2"/>
  <c r="AJ942" i="2"/>
  <c r="AI942" i="2"/>
  <c r="AH942" i="2"/>
  <c r="E942" i="1"/>
  <c r="AG942" i="2"/>
  <c r="D942" i="1"/>
  <c r="AF942" i="2"/>
  <c r="C942" i="1"/>
  <c r="AE942" i="2"/>
  <c r="AD942" i="2"/>
  <c r="AA942" i="2"/>
  <c r="Z942" i="2"/>
  <c r="S941" i="1"/>
  <c r="AU941" i="2"/>
  <c r="R941" i="1"/>
  <c r="AT941" i="2"/>
  <c r="Q941" i="1"/>
  <c r="AS941" i="2"/>
  <c r="P941" i="1"/>
  <c r="AR941" i="2"/>
  <c r="O941" i="1"/>
  <c r="AQ941" i="2"/>
  <c r="AP941" i="2"/>
  <c r="AO941" i="2"/>
  <c r="AN941" i="2"/>
  <c r="K941" i="1"/>
  <c r="AM941" i="2"/>
  <c r="J941" i="1"/>
  <c r="AL941" i="2"/>
  <c r="I941" i="1"/>
  <c r="AK941" i="2"/>
  <c r="AJ941" i="2"/>
  <c r="AI941" i="2"/>
  <c r="AH941" i="2"/>
  <c r="E941" i="1"/>
  <c r="AG941" i="2"/>
  <c r="D941" i="1"/>
  <c r="AF941" i="2"/>
  <c r="C941" i="1"/>
  <c r="AE941" i="2"/>
  <c r="AD941" i="2"/>
  <c r="AA941" i="2"/>
  <c r="Z941" i="2"/>
  <c r="S940" i="1"/>
  <c r="AU940" i="2"/>
  <c r="R940" i="1"/>
  <c r="AT940" i="2"/>
  <c r="Q940" i="1"/>
  <c r="AS940" i="2"/>
  <c r="P940" i="1"/>
  <c r="AR940" i="2"/>
  <c r="O940" i="1"/>
  <c r="AQ940" i="2"/>
  <c r="AP940" i="2"/>
  <c r="AO940" i="2"/>
  <c r="AN940" i="2"/>
  <c r="K940" i="1"/>
  <c r="AM940" i="2"/>
  <c r="J940" i="1"/>
  <c r="AL940" i="2"/>
  <c r="I940" i="1"/>
  <c r="AK940" i="2"/>
  <c r="AJ940" i="2"/>
  <c r="AI940" i="2"/>
  <c r="AH940" i="2"/>
  <c r="E940" i="1"/>
  <c r="AG940" i="2"/>
  <c r="D940" i="1"/>
  <c r="AF940" i="2"/>
  <c r="C940" i="1"/>
  <c r="AE940" i="2"/>
  <c r="AD940" i="2"/>
  <c r="AA940" i="2"/>
  <c r="Z940" i="2"/>
  <c r="S939" i="1"/>
  <c r="AU939" i="2"/>
  <c r="R939" i="1"/>
  <c r="AT939" i="2"/>
  <c r="Q939" i="1"/>
  <c r="AS939" i="2"/>
  <c r="P939" i="1"/>
  <c r="AR939" i="2"/>
  <c r="O939" i="1"/>
  <c r="AQ939" i="2"/>
  <c r="AP939" i="2"/>
  <c r="AO939" i="2"/>
  <c r="AN939" i="2"/>
  <c r="K939" i="1"/>
  <c r="AM939" i="2"/>
  <c r="J939" i="1"/>
  <c r="AL939" i="2"/>
  <c r="I939" i="1"/>
  <c r="AK939" i="2"/>
  <c r="AJ939" i="2"/>
  <c r="AI939" i="2"/>
  <c r="AH939" i="2"/>
  <c r="E939" i="1"/>
  <c r="AG939" i="2"/>
  <c r="D939" i="1"/>
  <c r="AF939" i="2"/>
  <c r="C939" i="1"/>
  <c r="AE939" i="2"/>
  <c r="AD939" i="2"/>
  <c r="AA939" i="2"/>
  <c r="Z939" i="2"/>
  <c r="S938" i="1"/>
  <c r="AU938" i="2"/>
  <c r="R938" i="1"/>
  <c r="AT938" i="2"/>
  <c r="Q938" i="1"/>
  <c r="AS938" i="2"/>
  <c r="P938" i="1"/>
  <c r="AR938" i="2"/>
  <c r="O938" i="1"/>
  <c r="AQ938" i="2"/>
  <c r="AP938" i="2"/>
  <c r="AO938" i="2"/>
  <c r="AN938" i="2"/>
  <c r="K938" i="1"/>
  <c r="AM938" i="2"/>
  <c r="J938" i="1"/>
  <c r="AL938" i="2"/>
  <c r="I938" i="1"/>
  <c r="AK938" i="2"/>
  <c r="AJ938" i="2"/>
  <c r="AI938" i="2"/>
  <c r="AH938" i="2"/>
  <c r="E938" i="1"/>
  <c r="AG938" i="2"/>
  <c r="D938" i="1"/>
  <c r="AF938" i="2"/>
  <c r="C938" i="1"/>
  <c r="AE938" i="2"/>
  <c r="AD938" i="2"/>
  <c r="AA938" i="2"/>
  <c r="Z938" i="2"/>
  <c r="S937" i="1"/>
  <c r="AU937" i="2"/>
  <c r="R937" i="1"/>
  <c r="AT937" i="2"/>
  <c r="Q937" i="1"/>
  <c r="AS937" i="2"/>
  <c r="P937" i="1"/>
  <c r="AR937" i="2"/>
  <c r="O937" i="1"/>
  <c r="AQ937" i="2"/>
  <c r="AP937" i="2"/>
  <c r="AO937" i="2"/>
  <c r="AN937" i="2"/>
  <c r="K937" i="1"/>
  <c r="AM937" i="2"/>
  <c r="J937" i="1"/>
  <c r="AL937" i="2"/>
  <c r="I937" i="1"/>
  <c r="AK937" i="2"/>
  <c r="AJ937" i="2"/>
  <c r="AI937" i="2"/>
  <c r="AH937" i="2"/>
  <c r="E937" i="1"/>
  <c r="AG937" i="2"/>
  <c r="D937" i="1"/>
  <c r="AF937" i="2"/>
  <c r="C937" i="1"/>
  <c r="AE937" i="2"/>
  <c r="AD937" i="2"/>
  <c r="AA937" i="2"/>
  <c r="Z937" i="2"/>
  <c r="S936" i="1"/>
  <c r="AU936" i="2"/>
  <c r="R936" i="1"/>
  <c r="AT936" i="2"/>
  <c r="Q936" i="1"/>
  <c r="AS936" i="2"/>
  <c r="P936" i="1"/>
  <c r="AR936" i="2"/>
  <c r="O936" i="1"/>
  <c r="AQ936" i="2"/>
  <c r="AP936" i="2"/>
  <c r="AO936" i="2"/>
  <c r="AN936" i="2"/>
  <c r="K936" i="1"/>
  <c r="AM936" i="2"/>
  <c r="J936" i="1"/>
  <c r="AL936" i="2"/>
  <c r="I936" i="1"/>
  <c r="AK936" i="2"/>
  <c r="AJ936" i="2"/>
  <c r="AI936" i="2"/>
  <c r="AH936" i="2"/>
  <c r="E936" i="1"/>
  <c r="AG936" i="2"/>
  <c r="D936" i="1"/>
  <c r="AF936" i="2"/>
  <c r="C936" i="1"/>
  <c r="AE936" i="2"/>
  <c r="AD936" i="2"/>
  <c r="AA936" i="2"/>
  <c r="Z936" i="2"/>
  <c r="S935" i="1"/>
  <c r="AU935" i="2"/>
  <c r="R935" i="1"/>
  <c r="AT935" i="2"/>
  <c r="Q935" i="1"/>
  <c r="AS935" i="2"/>
  <c r="P935" i="1"/>
  <c r="AR935" i="2"/>
  <c r="O935" i="1"/>
  <c r="AQ935" i="2"/>
  <c r="AP935" i="2"/>
  <c r="AO935" i="2"/>
  <c r="AN935" i="2"/>
  <c r="K935" i="1"/>
  <c r="AM935" i="2"/>
  <c r="J935" i="1"/>
  <c r="AL935" i="2"/>
  <c r="I935" i="1"/>
  <c r="AK935" i="2"/>
  <c r="AJ935" i="2"/>
  <c r="AI935" i="2"/>
  <c r="AH935" i="2"/>
  <c r="E935" i="1"/>
  <c r="AG935" i="2"/>
  <c r="D935" i="1"/>
  <c r="AF935" i="2"/>
  <c r="C935" i="1"/>
  <c r="AE935" i="2"/>
  <c r="AD935" i="2"/>
  <c r="AA935" i="2"/>
  <c r="Z935" i="2"/>
  <c r="S934" i="1"/>
  <c r="AU934" i="2"/>
  <c r="R934" i="1"/>
  <c r="AT934" i="2"/>
  <c r="Q934" i="1"/>
  <c r="AS934" i="2"/>
  <c r="P934" i="1"/>
  <c r="AR934" i="2"/>
  <c r="O934" i="1"/>
  <c r="AQ934" i="2"/>
  <c r="AP934" i="2"/>
  <c r="AO934" i="2"/>
  <c r="AN934" i="2"/>
  <c r="K934" i="1"/>
  <c r="AM934" i="2"/>
  <c r="J934" i="1"/>
  <c r="AL934" i="2"/>
  <c r="I934" i="1"/>
  <c r="AK934" i="2"/>
  <c r="AJ934" i="2"/>
  <c r="AI934" i="2"/>
  <c r="AH934" i="2"/>
  <c r="E934" i="1"/>
  <c r="AG934" i="2"/>
  <c r="D934" i="1"/>
  <c r="AF934" i="2"/>
  <c r="C934" i="1"/>
  <c r="AE934" i="2"/>
  <c r="AD934" i="2"/>
  <c r="AA934" i="2"/>
  <c r="Z934" i="2"/>
  <c r="S933" i="1"/>
  <c r="AU933" i="2"/>
  <c r="R933" i="1"/>
  <c r="AT933" i="2"/>
  <c r="Q933" i="1"/>
  <c r="AS933" i="2"/>
  <c r="P933" i="1"/>
  <c r="AR933" i="2"/>
  <c r="O933" i="1"/>
  <c r="AQ933" i="2"/>
  <c r="AP933" i="2"/>
  <c r="AO933" i="2"/>
  <c r="AN933" i="2"/>
  <c r="K933" i="1"/>
  <c r="AM933" i="2"/>
  <c r="J933" i="1"/>
  <c r="AL933" i="2"/>
  <c r="I933" i="1"/>
  <c r="AK933" i="2"/>
  <c r="AJ933" i="2"/>
  <c r="AI933" i="2"/>
  <c r="AH933" i="2"/>
  <c r="E933" i="1"/>
  <c r="AG933" i="2"/>
  <c r="D933" i="1"/>
  <c r="AF933" i="2"/>
  <c r="C933" i="1"/>
  <c r="AE933" i="2"/>
  <c r="AD933" i="2"/>
  <c r="AA933" i="2"/>
  <c r="Z933" i="2"/>
  <c r="S932" i="1"/>
  <c r="AU932" i="2"/>
  <c r="R932" i="1"/>
  <c r="AT932" i="2"/>
  <c r="Q932" i="1"/>
  <c r="AS932" i="2"/>
  <c r="P932" i="1"/>
  <c r="AR932" i="2"/>
  <c r="O932" i="1"/>
  <c r="AQ932" i="2"/>
  <c r="AP932" i="2"/>
  <c r="AO932" i="2"/>
  <c r="AN932" i="2"/>
  <c r="K932" i="1"/>
  <c r="AM932" i="2"/>
  <c r="J932" i="1"/>
  <c r="AL932" i="2"/>
  <c r="I932" i="1"/>
  <c r="AK932" i="2"/>
  <c r="AJ932" i="2"/>
  <c r="AI932" i="2"/>
  <c r="AH932" i="2"/>
  <c r="E932" i="1"/>
  <c r="AG932" i="2"/>
  <c r="D932" i="1"/>
  <c r="AF932" i="2"/>
  <c r="C932" i="1"/>
  <c r="AE932" i="2"/>
  <c r="AD932" i="2"/>
  <c r="AA932" i="2"/>
  <c r="Z932" i="2"/>
  <c r="S931" i="1"/>
  <c r="AU931" i="2"/>
  <c r="R931" i="1"/>
  <c r="AT931" i="2"/>
  <c r="Q931" i="1"/>
  <c r="AS931" i="2"/>
  <c r="P931" i="1"/>
  <c r="AR931" i="2"/>
  <c r="O931" i="1"/>
  <c r="AQ931" i="2"/>
  <c r="AP931" i="2"/>
  <c r="AO931" i="2"/>
  <c r="AN931" i="2"/>
  <c r="K931" i="1"/>
  <c r="AM931" i="2"/>
  <c r="J931" i="1"/>
  <c r="AL931" i="2"/>
  <c r="I931" i="1"/>
  <c r="AK931" i="2"/>
  <c r="AJ931" i="2"/>
  <c r="AI931" i="2"/>
  <c r="AH931" i="2"/>
  <c r="E931" i="1"/>
  <c r="AG931" i="2"/>
  <c r="D931" i="1"/>
  <c r="AF931" i="2"/>
  <c r="C931" i="1"/>
  <c r="AE931" i="2"/>
  <c r="AD931" i="2"/>
  <c r="AA931" i="2"/>
  <c r="Z931" i="2"/>
  <c r="S930" i="1"/>
  <c r="AU930" i="2"/>
  <c r="R930" i="1"/>
  <c r="AT930" i="2"/>
  <c r="Q930" i="1"/>
  <c r="AS930" i="2"/>
  <c r="P930" i="1"/>
  <c r="AR930" i="2"/>
  <c r="O930" i="1"/>
  <c r="AQ930" i="2"/>
  <c r="AP930" i="2"/>
  <c r="AO930" i="2"/>
  <c r="AN930" i="2"/>
  <c r="K930" i="1"/>
  <c r="AM930" i="2"/>
  <c r="J930" i="1"/>
  <c r="AL930" i="2"/>
  <c r="I930" i="1"/>
  <c r="AK930" i="2"/>
  <c r="AJ930" i="2"/>
  <c r="AI930" i="2"/>
  <c r="AH930" i="2"/>
  <c r="E930" i="1"/>
  <c r="AG930" i="2"/>
  <c r="D930" i="1"/>
  <c r="AF930" i="2"/>
  <c r="C930" i="1"/>
  <c r="AE930" i="2"/>
  <c r="AD930" i="2"/>
  <c r="AA930" i="2"/>
  <c r="Z930" i="2"/>
  <c r="S929" i="1"/>
  <c r="AU929" i="2"/>
  <c r="R929" i="1"/>
  <c r="AT929" i="2"/>
  <c r="Q929" i="1"/>
  <c r="AS929" i="2"/>
  <c r="P929" i="1"/>
  <c r="AR929" i="2"/>
  <c r="O929" i="1"/>
  <c r="AQ929" i="2"/>
  <c r="AP929" i="2"/>
  <c r="AO929" i="2"/>
  <c r="AN929" i="2"/>
  <c r="K929" i="1"/>
  <c r="AM929" i="2"/>
  <c r="J929" i="1"/>
  <c r="AL929" i="2"/>
  <c r="I929" i="1"/>
  <c r="AK929" i="2"/>
  <c r="AJ929" i="2"/>
  <c r="AI929" i="2"/>
  <c r="AH929" i="2"/>
  <c r="E929" i="1"/>
  <c r="AG929" i="2"/>
  <c r="D929" i="1"/>
  <c r="AF929" i="2"/>
  <c r="C929" i="1"/>
  <c r="AE929" i="2"/>
  <c r="AD929" i="2"/>
  <c r="AA929" i="2"/>
  <c r="Z929" i="2"/>
  <c r="S928" i="1"/>
  <c r="AU928" i="2"/>
  <c r="R928" i="1"/>
  <c r="AT928" i="2"/>
  <c r="Q928" i="1"/>
  <c r="AS928" i="2"/>
  <c r="P928" i="1"/>
  <c r="AR928" i="2"/>
  <c r="O928" i="1"/>
  <c r="AQ928" i="2"/>
  <c r="AP928" i="2"/>
  <c r="AO928" i="2"/>
  <c r="AN928" i="2"/>
  <c r="K928" i="1"/>
  <c r="AM928" i="2"/>
  <c r="J928" i="1"/>
  <c r="AL928" i="2"/>
  <c r="I928" i="1"/>
  <c r="AK928" i="2"/>
  <c r="AJ928" i="2"/>
  <c r="AI928" i="2"/>
  <c r="AH928" i="2"/>
  <c r="E928" i="1"/>
  <c r="AG928" i="2"/>
  <c r="D928" i="1"/>
  <c r="AF928" i="2"/>
  <c r="C928" i="1"/>
  <c r="AE928" i="2"/>
  <c r="AD928" i="2"/>
  <c r="AA928" i="2"/>
  <c r="Z928" i="2"/>
  <c r="S927" i="1"/>
  <c r="AU927" i="2"/>
  <c r="R927" i="1"/>
  <c r="AT927" i="2"/>
  <c r="Q927" i="1"/>
  <c r="AS927" i="2"/>
  <c r="P927" i="1"/>
  <c r="AR927" i="2"/>
  <c r="O927" i="1"/>
  <c r="AQ927" i="2"/>
  <c r="AP927" i="2"/>
  <c r="AO927" i="2"/>
  <c r="AN927" i="2"/>
  <c r="K927" i="1"/>
  <c r="AM927" i="2"/>
  <c r="J927" i="1"/>
  <c r="AL927" i="2"/>
  <c r="I927" i="1"/>
  <c r="AK927" i="2"/>
  <c r="AJ927" i="2"/>
  <c r="AI927" i="2"/>
  <c r="AH927" i="2"/>
  <c r="E927" i="1"/>
  <c r="AG927" i="2"/>
  <c r="D927" i="1"/>
  <c r="AF927" i="2"/>
  <c r="C927" i="1"/>
  <c r="AE927" i="2"/>
  <c r="AD927" i="2"/>
  <c r="AA927" i="2"/>
  <c r="Z927" i="2"/>
  <c r="S926" i="1"/>
  <c r="AU926" i="2"/>
  <c r="R926" i="1"/>
  <c r="AT926" i="2"/>
  <c r="Q926" i="1"/>
  <c r="AS926" i="2"/>
  <c r="P926" i="1"/>
  <c r="AR926" i="2"/>
  <c r="O926" i="1"/>
  <c r="AQ926" i="2"/>
  <c r="AP926" i="2"/>
  <c r="AO926" i="2"/>
  <c r="AN926" i="2"/>
  <c r="K926" i="1"/>
  <c r="AM926" i="2"/>
  <c r="J926" i="1"/>
  <c r="AL926" i="2"/>
  <c r="I926" i="1"/>
  <c r="AK926" i="2"/>
  <c r="AJ926" i="2"/>
  <c r="AI926" i="2"/>
  <c r="AH926" i="2"/>
  <c r="E926" i="1"/>
  <c r="AG926" i="2"/>
  <c r="D926" i="1"/>
  <c r="AF926" i="2"/>
  <c r="C926" i="1"/>
  <c r="AE926" i="2"/>
  <c r="AD926" i="2"/>
  <c r="AA926" i="2"/>
  <c r="Z926" i="2"/>
  <c r="S925" i="1"/>
  <c r="AU925" i="2"/>
  <c r="R925" i="1"/>
  <c r="AT925" i="2"/>
  <c r="Q925" i="1"/>
  <c r="AS925" i="2"/>
  <c r="P925" i="1"/>
  <c r="AR925" i="2"/>
  <c r="O925" i="1"/>
  <c r="AQ925" i="2"/>
  <c r="AP925" i="2"/>
  <c r="AO925" i="2"/>
  <c r="AN925" i="2"/>
  <c r="K925" i="1"/>
  <c r="AM925" i="2"/>
  <c r="J925" i="1"/>
  <c r="AL925" i="2"/>
  <c r="I925" i="1"/>
  <c r="AK925" i="2"/>
  <c r="AJ925" i="2"/>
  <c r="AI925" i="2"/>
  <c r="AH925" i="2"/>
  <c r="E925" i="1"/>
  <c r="AG925" i="2"/>
  <c r="D925" i="1"/>
  <c r="AF925" i="2"/>
  <c r="C925" i="1"/>
  <c r="AE925" i="2"/>
  <c r="AD925" i="2"/>
  <c r="AA925" i="2"/>
  <c r="Z925" i="2"/>
  <c r="S924" i="1"/>
  <c r="AU924" i="2"/>
  <c r="R924" i="1"/>
  <c r="AT924" i="2"/>
  <c r="Q924" i="1"/>
  <c r="AS924" i="2"/>
  <c r="P924" i="1"/>
  <c r="AR924" i="2"/>
  <c r="O924" i="1"/>
  <c r="AQ924" i="2"/>
  <c r="AP924" i="2"/>
  <c r="AO924" i="2"/>
  <c r="AN924" i="2"/>
  <c r="K924" i="1"/>
  <c r="AM924" i="2"/>
  <c r="J924" i="1"/>
  <c r="AL924" i="2"/>
  <c r="I924" i="1"/>
  <c r="AK924" i="2"/>
  <c r="AJ924" i="2"/>
  <c r="AI924" i="2"/>
  <c r="AH924" i="2"/>
  <c r="E924" i="1"/>
  <c r="AG924" i="2"/>
  <c r="D924" i="1"/>
  <c r="AF924" i="2"/>
  <c r="C924" i="1"/>
  <c r="AE924" i="2"/>
  <c r="AD924" i="2"/>
  <c r="AA924" i="2"/>
  <c r="Z924" i="2"/>
  <c r="S923" i="1"/>
  <c r="AU923" i="2"/>
  <c r="R923" i="1"/>
  <c r="AT923" i="2"/>
  <c r="Q923" i="1"/>
  <c r="AS923" i="2"/>
  <c r="P923" i="1"/>
  <c r="AR923" i="2"/>
  <c r="O923" i="1"/>
  <c r="AQ923" i="2"/>
  <c r="AP923" i="2"/>
  <c r="AO923" i="2"/>
  <c r="AN923" i="2"/>
  <c r="K923" i="1"/>
  <c r="AM923" i="2"/>
  <c r="J923" i="1"/>
  <c r="AL923" i="2"/>
  <c r="I923" i="1"/>
  <c r="AK923" i="2"/>
  <c r="AJ923" i="2"/>
  <c r="AI923" i="2"/>
  <c r="AH923" i="2"/>
  <c r="E923" i="1"/>
  <c r="AG923" i="2"/>
  <c r="D923" i="1"/>
  <c r="AF923" i="2"/>
  <c r="C923" i="1"/>
  <c r="AE923" i="2"/>
  <c r="AD923" i="2"/>
  <c r="AA923" i="2"/>
  <c r="Z923" i="2"/>
  <c r="S922" i="1"/>
  <c r="AU922" i="2"/>
  <c r="R922" i="1"/>
  <c r="AT922" i="2"/>
  <c r="Q922" i="1"/>
  <c r="AS922" i="2"/>
  <c r="P922" i="1"/>
  <c r="AR922" i="2"/>
  <c r="O922" i="1"/>
  <c r="AQ922" i="2"/>
  <c r="AP922" i="2"/>
  <c r="AO922" i="2"/>
  <c r="AN922" i="2"/>
  <c r="K922" i="1"/>
  <c r="AM922" i="2"/>
  <c r="J922" i="1"/>
  <c r="AL922" i="2"/>
  <c r="I922" i="1"/>
  <c r="AK922" i="2"/>
  <c r="AJ922" i="2"/>
  <c r="AI922" i="2"/>
  <c r="AH922" i="2"/>
  <c r="E922" i="1"/>
  <c r="AG922" i="2"/>
  <c r="D922" i="1"/>
  <c r="AF922" i="2"/>
  <c r="C922" i="1"/>
  <c r="AE922" i="2"/>
  <c r="AD922" i="2"/>
  <c r="AA922" i="2"/>
  <c r="Z922" i="2"/>
  <c r="S921" i="1"/>
  <c r="AU921" i="2"/>
  <c r="R921" i="1"/>
  <c r="AT921" i="2"/>
  <c r="Q921" i="1"/>
  <c r="AS921" i="2"/>
  <c r="P921" i="1"/>
  <c r="AR921" i="2"/>
  <c r="O921" i="1"/>
  <c r="AQ921" i="2"/>
  <c r="AP921" i="2"/>
  <c r="AO921" i="2"/>
  <c r="AN921" i="2"/>
  <c r="K921" i="1"/>
  <c r="AM921" i="2"/>
  <c r="J921" i="1"/>
  <c r="AL921" i="2"/>
  <c r="I921" i="1"/>
  <c r="AK921" i="2"/>
  <c r="AJ921" i="2"/>
  <c r="AI921" i="2"/>
  <c r="AH921" i="2"/>
  <c r="E921" i="1"/>
  <c r="AG921" i="2"/>
  <c r="D921" i="1"/>
  <c r="AF921" i="2"/>
  <c r="C921" i="1"/>
  <c r="AE921" i="2"/>
  <c r="AD921" i="2"/>
  <c r="AA921" i="2"/>
  <c r="Z921" i="2"/>
  <c r="S920" i="1"/>
  <c r="AU920" i="2"/>
  <c r="R920" i="1"/>
  <c r="AT920" i="2"/>
  <c r="Q920" i="1"/>
  <c r="AS920" i="2"/>
  <c r="P920" i="1"/>
  <c r="AR920" i="2"/>
  <c r="O920" i="1"/>
  <c r="AQ920" i="2"/>
  <c r="AP920" i="2"/>
  <c r="AO920" i="2"/>
  <c r="AN920" i="2"/>
  <c r="K920" i="1"/>
  <c r="AM920" i="2"/>
  <c r="J920" i="1"/>
  <c r="AL920" i="2"/>
  <c r="I920" i="1"/>
  <c r="AK920" i="2"/>
  <c r="AJ920" i="2"/>
  <c r="AI920" i="2"/>
  <c r="AH920" i="2"/>
  <c r="E920" i="1"/>
  <c r="AG920" i="2"/>
  <c r="D920" i="1"/>
  <c r="AF920" i="2"/>
  <c r="C920" i="1"/>
  <c r="AE920" i="2"/>
  <c r="AD920" i="2"/>
  <c r="AA920" i="2"/>
  <c r="Z920" i="2"/>
  <c r="S919" i="1"/>
  <c r="AU919" i="2"/>
  <c r="R919" i="1"/>
  <c r="AT919" i="2"/>
  <c r="Q919" i="1"/>
  <c r="AS919" i="2"/>
  <c r="P919" i="1"/>
  <c r="AR919" i="2"/>
  <c r="O919" i="1"/>
  <c r="AQ919" i="2"/>
  <c r="AP919" i="2"/>
  <c r="AO919" i="2"/>
  <c r="AN919" i="2"/>
  <c r="K919" i="1"/>
  <c r="AM919" i="2"/>
  <c r="J919" i="1"/>
  <c r="AL919" i="2"/>
  <c r="I919" i="1"/>
  <c r="AK919" i="2"/>
  <c r="AJ919" i="2"/>
  <c r="AI919" i="2"/>
  <c r="AH919" i="2"/>
  <c r="E919" i="1"/>
  <c r="AG919" i="2"/>
  <c r="D919" i="1"/>
  <c r="AF919" i="2"/>
  <c r="C919" i="1"/>
  <c r="AE919" i="2"/>
  <c r="AD919" i="2"/>
  <c r="AA919" i="2"/>
  <c r="Z919" i="2"/>
  <c r="S918" i="1"/>
  <c r="AU918" i="2"/>
  <c r="R918" i="1"/>
  <c r="AT918" i="2"/>
  <c r="Q918" i="1"/>
  <c r="AS918" i="2"/>
  <c r="P918" i="1"/>
  <c r="AR918" i="2"/>
  <c r="O918" i="1"/>
  <c r="AQ918" i="2"/>
  <c r="AP918" i="2"/>
  <c r="AO918" i="2"/>
  <c r="AN918" i="2"/>
  <c r="K918" i="1"/>
  <c r="AM918" i="2"/>
  <c r="J918" i="1"/>
  <c r="AL918" i="2"/>
  <c r="I918" i="1"/>
  <c r="AK918" i="2"/>
  <c r="AJ918" i="2"/>
  <c r="AI918" i="2"/>
  <c r="AH918" i="2"/>
  <c r="E918" i="1"/>
  <c r="AG918" i="2"/>
  <c r="D918" i="1"/>
  <c r="AF918" i="2"/>
  <c r="C918" i="1"/>
  <c r="AE918" i="2"/>
  <c r="AD918" i="2"/>
  <c r="AA918" i="2"/>
  <c r="Z918" i="2"/>
  <c r="S917" i="1"/>
  <c r="AU917" i="2"/>
  <c r="R917" i="1"/>
  <c r="AT917" i="2"/>
  <c r="Q917" i="1"/>
  <c r="AS917" i="2"/>
  <c r="P917" i="1"/>
  <c r="AR917" i="2"/>
  <c r="O917" i="1"/>
  <c r="AQ917" i="2"/>
  <c r="AP917" i="2"/>
  <c r="AO917" i="2"/>
  <c r="AN917" i="2"/>
  <c r="K917" i="1"/>
  <c r="AM917" i="2"/>
  <c r="J917" i="1"/>
  <c r="AL917" i="2"/>
  <c r="I917" i="1"/>
  <c r="AK917" i="2"/>
  <c r="AJ917" i="2"/>
  <c r="AI917" i="2"/>
  <c r="AH917" i="2"/>
  <c r="E917" i="1"/>
  <c r="AG917" i="2"/>
  <c r="D917" i="1"/>
  <c r="AF917" i="2"/>
  <c r="C917" i="1"/>
  <c r="AE917" i="2"/>
  <c r="AD917" i="2"/>
  <c r="AA917" i="2"/>
  <c r="Z917" i="2"/>
  <c r="S916" i="1"/>
  <c r="AU916" i="2"/>
  <c r="R916" i="1"/>
  <c r="AT916" i="2"/>
  <c r="Q916" i="1"/>
  <c r="AS916" i="2"/>
  <c r="P916" i="1"/>
  <c r="AR916" i="2"/>
  <c r="O916" i="1"/>
  <c r="AQ916" i="2"/>
  <c r="AP916" i="2"/>
  <c r="AO916" i="2"/>
  <c r="AN916" i="2"/>
  <c r="K916" i="1"/>
  <c r="AM916" i="2"/>
  <c r="J916" i="1"/>
  <c r="AL916" i="2"/>
  <c r="I916" i="1"/>
  <c r="AK916" i="2"/>
  <c r="AJ916" i="2"/>
  <c r="AI916" i="2"/>
  <c r="AH916" i="2"/>
  <c r="E916" i="1"/>
  <c r="AG916" i="2"/>
  <c r="D916" i="1"/>
  <c r="AF916" i="2"/>
  <c r="C916" i="1"/>
  <c r="AE916" i="2"/>
  <c r="AD916" i="2"/>
  <c r="AA916" i="2"/>
  <c r="Z916" i="2"/>
  <c r="S915" i="1"/>
  <c r="AU915" i="2"/>
  <c r="R915" i="1"/>
  <c r="AT915" i="2"/>
  <c r="Q915" i="1"/>
  <c r="AS915" i="2"/>
  <c r="P915" i="1"/>
  <c r="AR915" i="2"/>
  <c r="O915" i="1"/>
  <c r="AQ915" i="2"/>
  <c r="AP915" i="2"/>
  <c r="AO915" i="2"/>
  <c r="AN915" i="2"/>
  <c r="K915" i="1"/>
  <c r="AM915" i="2"/>
  <c r="J915" i="1"/>
  <c r="AL915" i="2"/>
  <c r="I915" i="1"/>
  <c r="AK915" i="2"/>
  <c r="AJ915" i="2"/>
  <c r="AI915" i="2"/>
  <c r="AH915" i="2"/>
  <c r="E915" i="1"/>
  <c r="AG915" i="2"/>
  <c r="D915" i="1"/>
  <c r="AF915" i="2"/>
  <c r="C915" i="1"/>
  <c r="AE915" i="2"/>
  <c r="AD915" i="2"/>
  <c r="AA915" i="2"/>
  <c r="Z915" i="2"/>
  <c r="S914" i="1"/>
  <c r="AU914" i="2"/>
  <c r="R914" i="1"/>
  <c r="AT914" i="2"/>
  <c r="Q914" i="1"/>
  <c r="AS914" i="2"/>
  <c r="P914" i="1"/>
  <c r="AR914" i="2"/>
  <c r="O914" i="1"/>
  <c r="AQ914" i="2"/>
  <c r="AP914" i="2"/>
  <c r="AO914" i="2"/>
  <c r="AN914" i="2"/>
  <c r="K914" i="1"/>
  <c r="AM914" i="2"/>
  <c r="J914" i="1"/>
  <c r="AL914" i="2"/>
  <c r="I914" i="1"/>
  <c r="AK914" i="2"/>
  <c r="AJ914" i="2"/>
  <c r="AI914" i="2"/>
  <c r="AH914" i="2"/>
  <c r="E914" i="1"/>
  <c r="AG914" i="2"/>
  <c r="D914" i="1"/>
  <c r="AF914" i="2"/>
  <c r="C914" i="1"/>
  <c r="AE914" i="2"/>
  <c r="AD914" i="2"/>
  <c r="AA914" i="2"/>
  <c r="Z914" i="2"/>
  <c r="S913" i="1"/>
  <c r="AU913" i="2"/>
  <c r="R913" i="1"/>
  <c r="AT913" i="2"/>
  <c r="Q913" i="1"/>
  <c r="AS913" i="2"/>
  <c r="P913" i="1"/>
  <c r="AR913" i="2"/>
  <c r="O913" i="1"/>
  <c r="AQ913" i="2"/>
  <c r="AP913" i="2"/>
  <c r="AO913" i="2"/>
  <c r="AN913" i="2"/>
  <c r="K913" i="1"/>
  <c r="AM913" i="2"/>
  <c r="J913" i="1"/>
  <c r="AL913" i="2"/>
  <c r="I913" i="1"/>
  <c r="AK913" i="2"/>
  <c r="AJ913" i="2"/>
  <c r="AI913" i="2"/>
  <c r="AH913" i="2"/>
  <c r="E913" i="1"/>
  <c r="AG913" i="2"/>
  <c r="D913" i="1"/>
  <c r="AF913" i="2"/>
  <c r="C913" i="1"/>
  <c r="AE913" i="2"/>
  <c r="AD913" i="2"/>
  <c r="AA913" i="2"/>
  <c r="Z913" i="2"/>
  <c r="S912" i="1"/>
  <c r="AU912" i="2"/>
  <c r="R912" i="1"/>
  <c r="AT912" i="2"/>
  <c r="Q912" i="1"/>
  <c r="AS912" i="2"/>
  <c r="P912" i="1"/>
  <c r="AR912" i="2"/>
  <c r="O912" i="1"/>
  <c r="AQ912" i="2"/>
  <c r="AP912" i="2"/>
  <c r="AO912" i="2"/>
  <c r="AN912" i="2"/>
  <c r="K912" i="1"/>
  <c r="AM912" i="2"/>
  <c r="J912" i="1"/>
  <c r="AL912" i="2"/>
  <c r="I912" i="1"/>
  <c r="AK912" i="2"/>
  <c r="AJ912" i="2"/>
  <c r="AI912" i="2"/>
  <c r="AH912" i="2"/>
  <c r="E912" i="1"/>
  <c r="AG912" i="2"/>
  <c r="D912" i="1"/>
  <c r="AF912" i="2"/>
  <c r="C912" i="1"/>
  <c r="AE912" i="2"/>
  <c r="AD912" i="2"/>
  <c r="AA912" i="2"/>
  <c r="Z912" i="2"/>
  <c r="S911" i="1"/>
  <c r="AU911" i="2"/>
  <c r="R911" i="1"/>
  <c r="AT911" i="2"/>
  <c r="Q911" i="1"/>
  <c r="AS911" i="2"/>
  <c r="P911" i="1"/>
  <c r="AR911" i="2"/>
  <c r="O911" i="1"/>
  <c r="AQ911" i="2"/>
  <c r="AP911" i="2"/>
  <c r="AO911" i="2"/>
  <c r="AN911" i="2"/>
  <c r="K911" i="1"/>
  <c r="AM911" i="2"/>
  <c r="J911" i="1"/>
  <c r="AL911" i="2"/>
  <c r="I911" i="1"/>
  <c r="AK911" i="2"/>
  <c r="AJ911" i="2"/>
  <c r="AI911" i="2"/>
  <c r="AH911" i="2"/>
  <c r="E911" i="1"/>
  <c r="AG911" i="2"/>
  <c r="D911" i="1"/>
  <c r="AF911" i="2"/>
  <c r="C911" i="1"/>
  <c r="AE911" i="2"/>
  <c r="AD911" i="2"/>
  <c r="AA911" i="2"/>
  <c r="Z911" i="2"/>
  <c r="S910" i="1"/>
  <c r="AU910" i="2"/>
  <c r="R910" i="1"/>
  <c r="AT910" i="2"/>
  <c r="Q910" i="1"/>
  <c r="AS910" i="2"/>
  <c r="P910" i="1"/>
  <c r="AR910" i="2"/>
  <c r="O910" i="1"/>
  <c r="AQ910" i="2"/>
  <c r="AP910" i="2"/>
  <c r="AO910" i="2"/>
  <c r="AN910" i="2"/>
  <c r="K910" i="1"/>
  <c r="AM910" i="2"/>
  <c r="J910" i="1"/>
  <c r="AL910" i="2"/>
  <c r="I910" i="1"/>
  <c r="AK910" i="2"/>
  <c r="AJ910" i="2"/>
  <c r="AI910" i="2"/>
  <c r="AH910" i="2"/>
  <c r="E910" i="1"/>
  <c r="AG910" i="2"/>
  <c r="D910" i="1"/>
  <c r="AF910" i="2"/>
  <c r="C910" i="1"/>
  <c r="AE910" i="2"/>
  <c r="AD910" i="2"/>
  <c r="AA910" i="2"/>
  <c r="Z910" i="2"/>
  <c r="S909" i="1"/>
  <c r="AU909" i="2"/>
  <c r="R909" i="1"/>
  <c r="AT909" i="2"/>
  <c r="Q909" i="1"/>
  <c r="AS909" i="2"/>
  <c r="P909" i="1"/>
  <c r="AR909" i="2"/>
  <c r="O909" i="1"/>
  <c r="AQ909" i="2"/>
  <c r="AP909" i="2"/>
  <c r="AO909" i="2"/>
  <c r="AN909" i="2"/>
  <c r="K909" i="1"/>
  <c r="AM909" i="2"/>
  <c r="J909" i="1"/>
  <c r="AL909" i="2"/>
  <c r="I909" i="1"/>
  <c r="AK909" i="2"/>
  <c r="AJ909" i="2"/>
  <c r="AI909" i="2"/>
  <c r="AH909" i="2"/>
  <c r="E909" i="1"/>
  <c r="AG909" i="2"/>
  <c r="D909" i="1"/>
  <c r="AF909" i="2"/>
  <c r="C909" i="1"/>
  <c r="AE909" i="2"/>
  <c r="AD909" i="2"/>
  <c r="AA909" i="2"/>
  <c r="Z909" i="2"/>
  <c r="S908" i="1"/>
  <c r="AU908" i="2"/>
  <c r="R908" i="1"/>
  <c r="AT908" i="2"/>
  <c r="Q908" i="1"/>
  <c r="AS908" i="2"/>
  <c r="P908" i="1"/>
  <c r="AR908" i="2"/>
  <c r="O908" i="1"/>
  <c r="AQ908" i="2"/>
  <c r="AP908" i="2"/>
  <c r="AO908" i="2"/>
  <c r="AN908" i="2"/>
  <c r="K908" i="1"/>
  <c r="AM908" i="2"/>
  <c r="J908" i="1"/>
  <c r="AL908" i="2"/>
  <c r="I908" i="1"/>
  <c r="AK908" i="2"/>
  <c r="AJ908" i="2"/>
  <c r="AI908" i="2"/>
  <c r="AH908" i="2"/>
  <c r="E908" i="1"/>
  <c r="AG908" i="2"/>
  <c r="D908" i="1"/>
  <c r="AF908" i="2"/>
  <c r="C908" i="1"/>
  <c r="AE908" i="2"/>
  <c r="AD908" i="2"/>
  <c r="AA908" i="2"/>
  <c r="Z908" i="2"/>
  <c r="S907" i="1"/>
  <c r="AU907" i="2"/>
  <c r="R907" i="1"/>
  <c r="AT907" i="2"/>
  <c r="Q907" i="1"/>
  <c r="AS907" i="2"/>
  <c r="P907" i="1"/>
  <c r="AR907" i="2"/>
  <c r="O907" i="1"/>
  <c r="AQ907" i="2"/>
  <c r="AP907" i="2"/>
  <c r="AO907" i="2"/>
  <c r="AN907" i="2"/>
  <c r="K907" i="1"/>
  <c r="AM907" i="2"/>
  <c r="J907" i="1"/>
  <c r="AL907" i="2"/>
  <c r="I907" i="1"/>
  <c r="AK907" i="2"/>
  <c r="AJ907" i="2"/>
  <c r="AI907" i="2"/>
  <c r="AH907" i="2"/>
  <c r="E907" i="1"/>
  <c r="AG907" i="2"/>
  <c r="D907" i="1"/>
  <c r="AF907" i="2"/>
  <c r="C907" i="1"/>
  <c r="AE907" i="2"/>
  <c r="AD907" i="2"/>
  <c r="AA907" i="2"/>
  <c r="Z907" i="2"/>
  <c r="S906" i="1"/>
  <c r="AU906" i="2"/>
  <c r="R906" i="1"/>
  <c r="AT906" i="2"/>
  <c r="Q906" i="1"/>
  <c r="AS906" i="2"/>
  <c r="P906" i="1"/>
  <c r="AR906" i="2"/>
  <c r="O906" i="1"/>
  <c r="AQ906" i="2"/>
  <c r="AP906" i="2"/>
  <c r="AO906" i="2"/>
  <c r="AN906" i="2"/>
  <c r="K906" i="1"/>
  <c r="AM906" i="2"/>
  <c r="J906" i="1"/>
  <c r="AL906" i="2"/>
  <c r="I906" i="1"/>
  <c r="AK906" i="2"/>
  <c r="AJ906" i="2"/>
  <c r="AI906" i="2"/>
  <c r="AH906" i="2"/>
  <c r="E906" i="1"/>
  <c r="AG906" i="2"/>
  <c r="D906" i="1"/>
  <c r="AF906" i="2"/>
  <c r="C906" i="1"/>
  <c r="AE906" i="2"/>
  <c r="AD906" i="2"/>
  <c r="AA906" i="2"/>
  <c r="Z906" i="2"/>
  <c r="S905" i="1"/>
  <c r="AU905" i="2"/>
  <c r="R905" i="1"/>
  <c r="AT905" i="2"/>
  <c r="Q905" i="1"/>
  <c r="AS905" i="2"/>
  <c r="P905" i="1"/>
  <c r="AR905" i="2"/>
  <c r="O905" i="1"/>
  <c r="AQ905" i="2"/>
  <c r="AP905" i="2"/>
  <c r="AO905" i="2"/>
  <c r="AN905" i="2"/>
  <c r="K905" i="1"/>
  <c r="AM905" i="2"/>
  <c r="J905" i="1"/>
  <c r="AL905" i="2"/>
  <c r="I905" i="1"/>
  <c r="AK905" i="2"/>
  <c r="AJ905" i="2"/>
  <c r="AI905" i="2"/>
  <c r="AH905" i="2"/>
  <c r="E905" i="1"/>
  <c r="AG905" i="2"/>
  <c r="D905" i="1"/>
  <c r="AF905" i="2"/>
  <c r="C905" i="1"/>
  <c r="AE905" i="2"/>
  <c r="AD905" i="2"/>
  <c r="AA905" i="2"/>
  <c r="Z905" i="2"/>
  <c r="S904" i="1"/>
  <c r="AU904" i="2"/>
  <c r="R904" i="1"/>
  <c r="AT904" i="2"/>
  <c r="Q904" i="1"/>
  <c r="AS904" i="2"/>
  <c r="P904" i="1"/>
  <c r="AR904" i="2"/>
  <c r="O904" i="1"/>
  <c r="AQ904" i="2"/>
  <c r="AP904" i="2"/>
  <c r="AO904" i="2"/>
  <c r="AN904" i="2"/>
  <c r="K904" i="1"/>
  <c r="AM904" i="2"/>
  <c r="J904" i="1"/>
  <c r="AL904" i="2"/>
  <c r="I904" i="1"/>
  <c r="AK904" i="2"/>
  <c r="AJ904" i="2"/>
  <c r="AI904" i="2"/>
  <c r="AH904" i="2"/>
  <c r="E904" i="1"/>
  <c r="AG904" i="2"/>
  <c r="D904" i="1"/>
  <c r="AF904" i="2"/>
  <c r="C904" i="1"/>
  <c r="AE904" i="2"/>
  <c r="AD904" i="2"/>
  <c r="AA904" i="2"/>
  <c r="Z904" i="2"/>
  <c r="S903" i="1"/>
  <c r="AU903" i="2"/>
  <c r="R903" i="1"/>
  <c r="AT903" i="2"/>
  <c r="Q903" i="1"/>
  <c r="AS903" i="2"/>
  <c r="P903" i="1"/>
  <c r="AR903" i="2"/>
  <c r="O903" i="1"/>
  <c r="AQ903" i="2"/>
  <c r="AP903" i="2"/>
  <c r="AO903" i="2"/>
  <c r="AN903" i="2"/>
  <c r="K903" i="1"/>
  <c r="AM903" i="2"/>
  <c r="J903" i="1"/>
  <c r="AL903" i="2"/>
  <c r="I903" i="1"/>
  <c r="AK903" i="2"/>
  <c r="AJ903" i="2"/>
  <c r="AI903" i="2"/>
  <c r="AH903" i="2"/>
  <c r="E903" i="1"/>
  <c r="AG903" i="2"/>
  <c r="D903" i="1"/>
  <c r="AF903" i="2"/>
  <c r="C903" i="1"/>
  <c r="AE903" i="2"/>
  <c r="AD903" i="2"/>
  <c r="AA903" i="2"/>
  <c r="Z903" i="2"/>
  <c r="S902" i="1"/>
  <c r="AU902" i="2"/>
  <c r="R902" i="1"/>
  <c r="AT902" i="2"/>
  <c r="Q902" i="1"/>
  <c r="AS902" i="2"/>
  <c r="P902" i="1"/>
  <c r="AR902" i="2"/>
  <c r="O902" i="1"/>
  <c r="AQ902" i="2"/>
  <c r="AP902" i="2"/>
  <c r="AO902" i="2"/>
  <c r="AN902" i="2"/>
  <c r="K902" i="1"/>
  <c r="AM902" i="2"/>
  <c r="J902" i="1"/>
  <c r="AL902" i="2"/>
  <c r="I902" i="1"/>
  <c r="AK902" i="2"/>
  <c r="AJ902" i="2"/>
  <c r="AI902" i="2"/>
  <c r="AH902" i="2"/>
  <c r="E902" i="1"/>
  <c r="AG902" i="2"/>
  <c r="D902" i="1"/>
  <c r="AF902" i="2"/>
  <c r="C902" i="1"/>
  <c r="AE902" i="2"/>
  <c r="AD902" i="2"/>
  <c r="AA902" i="2"/>
  <c r="Z902" i="2"/>
  <c r="S901" i="1"/>
  <c r="AU901" i="2"/>
  <c r="R901" i="1"/>
  <c r="AT901" i="2"/>
  <c r="Q901" i="1"/>
  <c r="AS901" i="2"/>
  <c r="P901" i="1"/>
  <c r="AR901" i="2"/>
  <c r="O901" i="1"/>
  <c r="AQ901" i="2"/>
  <c r="AP901" i="2"/>
  <c r="AO901" i="2"/>
  <c r="AN901" i="2"/>
  <c r="K901" i="1"/>
  <c r="AM901" i="2"/>
  <c r="J901" i="1"/>
  <c r="AL901" i="2"/>
  <c r="I901" i="1"/>
  <c r="AK901" i="2"/>
  <c r="AJ901" i="2"/>
  <c r="AI901" i="2"/>
  <c r="AH901" i="2"/>
  <c r="E901" i="1"/>
  <c r="AG901" i="2"/>
  <c r="D901" i="1"/>
  <c r="AF901" i="2"/>
  <c r="C901" i="1"/>
  <c r="AE901" i="2"/>
  <c r="AD901" i="2"/>
  <c r="AA901" i="2"/>
  <c r="Z901" i="2"/>
  <c r="S900" i="1"/>
  <c r="AU900" i="2"/>
  <c r="R900" i="1"/>
  <c r="AT900" i="2"/>
  <c r="Q900" i="1"/>
  <c r="AS900" i="2"/>
  <c r="P900" i="1"/>
  <c r="AR900" i="2"/>
  <c r="O900" i="1"/>
  <c r="AQ900" i="2"/>
  <c r="AP900" i="2"/>
  <c r="AO900" i="2"/>
  <c r="AN900" i="2"/>
  <c r="K900" i="1"/>
  <c r="AM900" i="2"/>
  <c r="J900" i="1"/>
  <c r="AL900" i="2"/>
  <c r="I900" i="1"/>
  <c r="AK900" i="2"/>
  <c r="AJ900" i="2"/>
  <c r="AI900" i="2"/>
  <c r="AH900" i="2"/>
  <c r="E900" i="1"/>
  <c r="AG900" i="2"/>
  <c r="D900" i="1"/>
  <c r="AF900" i="2"/>
  <c r="C900" i="1"/>
  <c r="AE900" i="2"/>
  <c r="AD900" i="2"/>
  <c r="AA900" i="2"/>
  <c r="Z900" i="2"/>
  <c r="S899" i="1"/>
  <c r="AU899" i="2"/>
  <c r="R899" i="1"/>
  <c r="AT899" i="2"/>
  <c r="Q899" i="1"/>
  <c r="AS899" i="2"/>
  <c r="P899" i="1"/>
  <c r="AR899" i="2"/>
  <c r="O899" i="1"/>
  <c r="AQ899" i="2"/>
  <c r="AP899" i="2"/>
  <c r="AO899" i="2"/>
  <c r="AN899" i="2"/>
  <c r="K899" i="1"/>
  <c r="AM899" i="2"/>
  <c r="J899" i="1"/>
  <c r="AL899" i="2"/>
  <c r="I899" i="1"/>
  <c r="AK899" i="2"/>
  <c r="AJ899" i="2"/>
  <c r="AI899" i="2"/>
  <c r="AH899" i="2"/>
  <c r="E899" i="1"/>
  <c r="AG899" i="2"/>
  <c r="D899" i="1"/>
  <c r="AF899" i="2"/>
  <c r="C899" i="1"/>
  <c r="AE899" i="2"/>
  <c r="AD899" i="2"/>
  <c r="AA899" i="2"/>
  <c r="Z899" i="2"/>
  <c r="S898" i="1"/>
  <c r="AU898" i="2"/>
  <c r="R898" i="1"/>
  <c r="AT898" i="2"/>
  <c r="Q898" i="1"/>
  <c r="AS898" i="2"/>
  <c r="P898" i="1"/>
  <c r="AR898" i="2"/>
  <c r="O898" i="1"/>
  <c r="AQ898" i="2"/>
  <c r="AP898" i="2"/>
  <c r="AO898" i="2"/>
  <c r="AN898" i="2"/>
  <c r="K898" i="1"/>
  <c r="AM898" i="2"/>
  <c r="J898" i="1"/>
  <c r="AL898" i="2"/>
  <c r="I898" i="1"/>
  <c r="AK898" i="2"/>
  <c r="AJ898" i="2"/>
  <c r="AI898" i="2"/>
  <c r="AH898" i="2"/>
  <c r="E898" i="1"/>
  <c r="AG898" i="2"/>
  <c r="D898" i="1"/>
  <c r="AF898" i="2"/>
  <c r="C898" i="1"/>
  <c r="AE898" i="2"/>
  <c r="AD898" i="2"/>
  <c r="AA898" i="2"/>
  <c r="Z898" i="2"/>
  <c r="S897" i="1"/>
  <c r="AU897" i="2"/>
  <c r="R897" i="1"/>
  <c r="AT897" i="2"/>
  <c r="Q897" i="1"/>
  <c r="AS897" i="2"/>
  <c r="P897" i="1"/>
  <c r="AR897" i="2"/>
  <c r="O897" i="1"/>
  <c r="AQ897" i="2"/>
  <c r="AP897" i="2"/>
  <c r="AO897" i="2"/>
  <c r="AN897" i="2"/>
  <c r="K897" i="1"/>
  <c r="AM897" i="2"/>
  <c r="J897" i="1"/>
  <c r="AL897" i="2"/>
  <c r="I897" i="1"/>
  <c r="AK897" i="2"/>
  <c r="AJ897" i="2"/>
  <c r="AI897" i="2"/>
  <c r="AH897" i="2"/>
  <c r="E897" i="1"/>
  <c r="AG897" i="2"/>
  <c r="D897" i="1"/>
  <c r="AF897" i="2"/>
  <c r="C897" i="1"/>
  <c r="AE897" i="2"/>
  <c r="AD897" i="2"/>
  <c r="AA897" i="2"/>
  <c r="Z897" i="2"/>
  <c r="S896" i="1"/>
  <c r="AU896" i="2"/>
  <c r="R896" i="1"/>
  <c r="AT896" i="2"/>
  <c r="Q896" i="1"/>
  <c r="AS896" i="2"/>
  <c r="P896" i="1"/>
  <c r="AR896" i="2"/>
  <c r="O896" i="1"/>
  <c r="AQ896" i="2"/>
  <c r="AP896" i="2"/>
  <c r="AO896" i="2"/>
  <c r="AN896" i="2"/>
  <c r="K896" i="1"/>
  <c r="AM896" i="2"/>
  <c r="J896" i="1"/>
  <c r="AL896" i="2"/>
  <c r="I896" i="1"/>
  <c r="AK896" i="2"/>
  <c r="AJ896" i="2"/>
  <c r="AI896" i="2"/>
  <c r="AH896" i="2"/>
  <c r="E896" i="1"/>
  <c r="AG896" i="2"/>
  <c r="D896" i="1"/>
  <c r="AF896" i="2"/>
  <c r="C896" i="1"/>
  <c r="AE896" i="2"/>
  <c r="AD896" i="2"/>
  <c r="AA896" i="2"/>
  <c r="Z896" i="2"/>
  <c r="S895" i="1"/>
  <c r="AU895" i="2"/>
  <c r="R895" i="1"/>
  <c r="AT895" i="2"/>
  <c r="Q895" i="1"/>
  <c r="AS895" i="2"/>
  <c r="P895" i="1"/>
  <c r="AR895" i="2"/>
  <c r="O895" i="1"/>
  <c r="AQ895" i="2"/>
  <c r="AP895" i="2"/>
  <c r="AO895" i="2"/>
  <c r="AN895" i="2"/>
  <c r="K895" i="1"/>
  <c r="AM895" i="2"/>
  <c r="J895" i="1"/>
  <c r="AL895" i="2"/>
  <c r="I895" i="1"/>
  <c r="AK895" i="2"/>
  <c r="AJ895" i="2"/>
  <c r="AI895" i="2"/>
  <c r="AH895" i="2"/>
  <c r="E895" i="1"/>
  <c r="AG895" i="2"/>
  <c r="D895" i="1"/>
  <c r="AF895" i="2"/>
  <c r="C895" i="1"/>
  <c r="AE895" i="2"/>
  <c r="AD895" i="2"/>
  <c r="AA895" i="2"/>
  <c r="Z895" i="2"/>
  <c r="S894" i="1"/>
  <c r="AU894" i="2"/>
  <c r="R894" i="1"/>
  <c r="AT894" i="2"/>
  <c r="Q894" i="1"/>
  <c r="AS894" i="2"/>
  <c r="P894" i="1"/>
  <c r="AR894" i="2"/>
  <c r="O894" i="1"/>
  <c r="AQ894" i="2"/>
  <c r="AP894" i="2"/>
  <c r="AO894" i="2"/>
  <c r="AN894" i="2"/>
  <c r="K894" i="1"/>
  <c r="AM894" i="2"/>
  <c r="J894" i="1"/>
  <c r="AL894" i="2"/>
  <c r="I894" i="1"/>
  <c r="AK894" i="2"/>
  <c r="AJ894" i="2"/>
  <c r="AI894" i="2"/>
  <c r="AH894" i="2"/>
  <c r="E894" i="1"/>
  <c r="AG894" i="2"/>
  <c r="D894" i="1"/>
  <c r="AF894" i="2"/>
  <c r="C894" i="1"/>
  <c r="AE894" i="2"/>
  <c r="AD894" i="2"/>
  <c r="AA894" i="2"/>
  <c r="Z894" i="2"/>
  <c r="S893" i="1"/>
  <c r="AU893" i="2"/>
  <c r="R893" i="1"/>
  <c r="AT893" i="2"/>
  <c r="Q893" i="1"/>
  <c r="AS893" i="2"/>
  <c r="P893" i="1"/>
  <c r="AR893" i="2"/>
  <c r="O893" i="1"/>
  <c r="AQ893" i="2"/>
  <c r="AP893" i="2"/>
  <c r="AO893" i="2"/>
  <c r="AN893" i="2"/>
  <c r="K893" i="1"/>
  <c r="AM893" i="2"/>
  <c r="J893" i="1"/>
  <c r="AL893" i="2"/>
  <c r="I893" i="1"/>
  <c r="AK893" i="2"/>
  <c r="AJ893" i="2"/>
  <c r="AI893" i="2"/>
  <c r="AH893" i="2"/>
  <c r="E893" i="1"/>
  <c r="AG893" i="2"/>
  <c r="D893" i="1"/>
  <c r="AF893" i="2"/>
  <c r="C893" i="1"/>
  <c r="AE893" i="2"/>
  <c r="AD893" i="2"/>
  <c r="AA893" i="2"/>
  <c r="Z893" i="2"/>
  <c r="S892" i="1"/>
  <c r="AU892" i="2"/>
  <c r="R892" i="1"/>
  <c r="AT892" i="2"/>
  <c r="Q892" i="1"/>
  <c r="AS892" i="2"/>
  <c r="P892" i="1"/>
  <c r="AR892" i="2"/>
  <c r="O892" i="1"/>
  <c r="AQ892" i="2"/>
  <c r="AP892" i="2"/>
  <c r="AO892" i="2"/>
  <c r="AN892" i="2"/>
  <c r="K892" i="1"/>
  <c r="AM892" i="2"/>
  <c r="J892" i="1"/>
  <c r="AL892" i="2"/>
  <c r="I892" i="1"/>
  <c r="AK892" i="2"/>
  <c r="AJ892" i="2"/>
  <c r="AI892" i="2"/>
  <c r="AH892" i="2"/>
  <c r="E892" i="1"/>
  <c r="AG892" i="2"/>
  <c r="D892" i="1"/>
  <c r="AF892" i="2"/>
  <c r="C892" i="1"/>
  <c r="AE892" i="2"/>
  <c r="AD892" i="2"/>
  <c r="AA892" i="2"/>
  <c r="Z892" i="2"/>
  <c r="S891" i="1"/>
  <c r="AU891" i="2"/>
  <c r="R891" i="1"/>
  <c r="AT891" i="2"/>
  <c r="Q891" i="1"/>
  <c r="AS891" i="2"/>
  <c r="P891" i="1"/>
  <c r="AR891" i="2"/>
  <c r="O891" i="1"/>
  <c r="AQ891" i="2"/>
  <c r="AP891" i="2"/>
  <c r="AO891" i="2"/>
  <c r="AN891" i="2"/>
  <c r="K891" i="1"/>
  <c r="AM891" i="2"/>
  <c r="J891" i="1"/>
  <c r="AL891" i="2"/>
  <c r="I891" i="1"/>
  <c r="AK891" i="2"/>
  <c r="AJ891" i="2"/>
  <c r="AI891" i="2"/>
  <c r="AH891" i="2"/>
  <c r="E891" i="1"/>
  <c r="AG891" i="2"/>
  <c r="D891" i="1"/>
  <c r="AF891" i="2"/>
  <c r="C891" i="1"/>
  <c r="AE891" i="2"/>
  <c r="AD891" i="2"/>
  <c r="AA891" i="2"/>
  <c r="Z891" i="2"/>
  <c r="S890" i="1"/>
  <c r="AU890" i="2"/>
  <c r="R890" i="1"/>
  <c r="AT890" i="2"/>
  <c r="Q890" i="1"/>
  <c r="AS890" i="2"/>
  <c r="P890" i="1"/>
  <c r="AR890" i="2"/>
  <c r="O890" i="1"/>
  <c r="AQ890" i="2"/>
  <c r="AP890" i="2"/>
  <c r="AO890" i="2"/>
  <c r="AN890" i="2"/>
  <c r="K890" i="1"/>
  <c r="AM890" i="2"/>
  <c r="J890" i="1"/>
  <c r="AL890" i="2"/>
  <c r="I890" i="1"/>
  <c r="AK890" i="2"/>
  <c r="AJ890" i="2"/>
  <c r="AI890" i="2"/>
  <c r="AH890" i="2"/>
  <c r="E890" i="1"/>
  <c r="AG890" i="2"/>
  <c r="D890" i="1"/>
  <c r="AF890" i="2"/>
  <c r="C890" i="1"/>
  <c r="AE890" i="2"/>
  <c r="AD890" i="2"/>
  <c r="AA890" i="2"/>
  <c r="Z890" i="2"/>
  <c r="S889" i="1"/>
  <c r="AU889" i="2"/>
  <c r="R889" i="1"/>
  <c r="AT889" i="2"/>
  <c r="Q889" i="1"/>
  <c r="AS889" i="2"/>
  <c r="P889" i="1"/>
  <c r="AR889" i="2"/>
  <c r="O889" i="1"/>
  <c r="AQ889" i="2"/>
  <c r="AP889" i="2"/>
  <c r="AO889" i="2"/>
  <c r="AN889" i="2"/>
  <c r="K889" i="1"/>
  <c r="AM889" i="2"/>
  <c r="J889" i="1"/>
  <c r="AL889" i="2"/>
  <c r="I889" i="1"/>
  <c r="AK889" i="2"/>
  <c r="AJ889" i="2"/>
  <c r="AI889" i="2"/>
  <c r="AH889" i="2"/>
  <c r="E889" i="1"/>
  <c r="AG889" i="2"/>
  <c r="D889" i="1"/>
  <c r="AF889" i="2"/>
  <c r="C889" i="1"/>
  <c r="AE889" i="2"/>
  <c r="AD889" i="2"/>
  <c r="AA889" i="2"/>
  <c r="Z889" i="2"/>
  <c r="S888" i="1"/>
  <c r="AU888" i="2"/>
  <c r="R888" i="1"/>
  <c r="AT888" i="2"/>
  <c r="Q888" i="1"/>
  <c r="AS888" i="2"/>
  <c r="P888" i="1"/>
  <c r="AR888" i="2"/>
  <c r="O888" i="1"/>
  <c r="AQ888" i="2"/>
  <c r="AP888" i="2"/>
  <c r="AO888" i="2"/>
  <c r="AN888" i="2"/>
  <c r="K888" i="1"/>
  <c r="AM888" i="2"/>
  <c r="J888" i="1"/>
  <c r="AL888" i="2"/>
  <c r="I888" i="1"/>
  <c r="AK888" i="2"/>
  <c r="AJ888" i="2"/>
  <c r="AI888" i="2"/>
  <c r="AH888" i="2"/>
  <c r="E888" i="1"/>
  <c r="AG888" i="2"/>
  <c r="D888" i="1"/>
  <c r="AF888" i="2"/>
  <c r="C888" i="1"/>
  <c r="AE888" i="2"/>
  <c r="AD888" i="2"/>
  <c r="AA888" i="2"/>
  <c r="Z888" i="2"/>
  <c r="S887" i="1"/>
  <c r="AU887" i="2"/>
  <c r="R887" i="1"/>
  <c r="AT887" i="2"/>
  <c r="Q887" i="1"/>
  <c r="AS887" i="2"/>
  <c r="P887" i="1"/>
  <c r="AR887" i="2"/>
  <c r="O887" i="1"/>
  <c r="AQ887" i="2"/>
  <c r="AP887" i="2"/>
  <c r="AO887" i="2"/>
  <c r="AN887" i="2"/>
  <c r="K887" i="1"/>
  <c r="AM887" i="2"/>
  <c r="J887" i="1"/>
  <c r="AL887" i="2"/>
  <c r="I887" i="1"/>
  <c r="AK887" i="2"/>
  <c r="AJ887" i="2"/>
  <c r="AI887" i="2"/>
  <c r="AH887" i="2"/>
  <c r="E887" i="1"/>
  <c r="AG887" i="2"/>
  <c r="D887" i="1"/>
  <c r="AF887" i="2"/>
  <c r="C887" i="1"/>
  <c r="AE887" i="2"/>
  <c r="AD887" i="2"/>
  <c r="AA887" i="2"/>
  <c r="Z887" i="2"/>
  <c r="S886" i="1"/>
  <c r="AU886" i="2"/>
  <c r="R886" i="1"/>
  <c r="AT886" i="2"/>
  <c r="Q886" i="1"/>
  <c r="AS886" i="2"/>
  <c r="P886" i="1"/>
  <c r="AR886" i="2"/>
  <c r="O886" i="1"/>
  <c r="AQ886" i="2"/>
  <c r="AP886" i="2"/>
  <c r="AO886" i="2"/>
  <c r="AN886" i="2"/>
  <c r="K886" i="1"/>
  <c r="AM886" i="2"/>
  <c r="J886" i="1"/>
  <c r="AL886" i="2"/>
  <c r="I886" i="1"/>
  <c r="AK886" i="2"/>
  <c r="AJ886" i="2"/>
  <c r="AI886" i="2"/>
  <c r="AH886" i="2"/>
  <c r="E886" i="1"/>
  <c r="AG886" i="2"/>
  <c r="D886" i="1"/>
  <c r="AF886" i="2"/>
  <c r="C886" i="1"/>
  <c r="AE886" i="2"/>
  <c r="AD886" i="2"/>
  <c r="AA886" i="2"/>
  <c r="Z886" i="2"/>
  <c r="S885" i="1"/>
  <c r="AU885" i="2"/>
  <c r="R885" i="1"/>
  <c r="AT885" i="2"/>
  <c r="Q885" i="1"/>
  <c r="AS885" i="2"/>
  <c r="P885" i="1"/>
  <c r="AR885" i="2"/>
  <c r="O885" i="1"/>
  <c r="AQ885" i="2"/>
  <c r="AP885" i="2"/>
  <c r="AO885" i="2"/>
  <c r="AN885" i="2"/>
  <c r="K885" i="1"/>
  <c r="AM885" i="2"/>
  <c r="J885" i="1"/>
  <c r="AL885" i="2"/>
  <c r="I885" i="1"/>
  <c r="AK885" i="2"/>
  <c r="AJ885" i="2"/>
  <c r="AI885" i="2"/>
  <c r="AH885" i="2"/>
  <c r="E885" i="1"/>
  <c r="AG885" i="2"/>
  <c r="D885" i="1"/>
  <c r="AF885" i="2"/>
  <c r="C885" i="1"/>
  <c r="AE885" i="2"/>
  <c r="AD885" i="2"/>
  <c r="AA885" i="2"/>
  <c r="Z885" i="2"/>
  <c r="S884" i="1"/>
  <c r="AU884" i="2"/>
  <c r="R884" i="1"/>
  <c r="AT884" i="2"/>
  <c r="Q884" i="1"/>
  <c r="AS884" i="2"/>
  <c r="P884" i="1"/>
  <c r="AR884" i="2"/>
  <c r="O884" i="1"/>
  <c r="AQ884" i="2"/>
  <c r="AP884" i="2"/>
  <c r="AO884" i="2"/>
  <c r="AN884" i="2"/>
  <c r="K884" i="1"/>
  <c r="AM884" i="2"/>
  <c r="J884" i="1"/>
  <c r="AL884" i="2"/>
  <c r="I884" i="1"/>
  <c r="AK884" i="2"/>
  <c r="AJ884" i="2"/>
  <c r="AI884" i="2"/>
  <c r="AH884" i="2"/>
  <c r="E884" i="1"/>
  <c r="AG884" i="2"/>
  <c r="D884" i="1"/>
  <c r="AF884" i="2"/>
  <c r="C884" i="1"/>
  <c r="AE884" i="2"/>
  <c r="AD884" i="2"/>
  <c r="AA884" i="2"/>
  <c r="Z884" i="2"/>
  <c r="S883" i="1"/>
  <c r="AU883" i="2"/>
  <c r="R883" i="1"/>
  <c r="AT883" i="2"/>
  <c r="Q883" i="1"/>
  <c r="AS883" i="2"/>
  <c r="P883" i="1"/>
  <c r="AR883" i="2"/>
  <c r="O883" i="1"/>
  <c r="AQ883" i="2"/>
  <c r="AP883" i="2"/>
  <c r="AO883" i="2"/>
  <c r="AN883" i="2"/>
  <c r="K883" i="1"/>
  <c r="AM883" i="2"/>
  <c r="J883" i="1"/>
  <c r="AL883" i="2"/>
  <c r="I883" i="1"/>
  <c r="AK883" i="2"/>
  <c r="AJ883" i="2"/>
  <c r="AI883" i="2"/>
  <c r="AH883" i="2"/>
  <c r="E883" i="1"/>
  <c r="AG883" i="2"/>
  <c r="D883" i="1"/>
  <c r="AF883" i="2"/>
  <c r="C883" i="1"/>
  <c r="AE883" i="2"/>
  <c r="AD883" i="2"/>
  <c r="AA883" i="2"/>
  <c r="Z883" i="2"/>
  <c r="S882" i="1"/>
  <c r="AU882" i="2"/>
  <c r="R882" i="1"/>
  <c r="AT882" i="2"/>
  <c r="Q882" i="1"/>
  <c r="AS882" i="2"/>
  <c r="P882" i="1"/>
  <c r="AR882" i="2"/>
  <c r="O882" i="1"/>
  <c r="AQ882" i="2"/>
  <c r="AP882" i="2"/>
  <c r="AO882" i="2"/>
  <c r="AN882" i="2"/>
  <c r="K882" i="1"/>
  <c r="AM882" i="2"/>
  <c r="J882" i="1"/>
  <c r="AL882" i="2"/>
  <c r="I882" i="1"/>
  <c r="AK882" i="2"/>
  <c r="AJ882" i="2"/>
  <c r="AI882" i="2"/>
  <c r="AH882" i="2"/>
  <c r="E882" i="1"/>
  <c r="AG882" i="2"/>
  <c r="D882" i="1"/>
  <c r="AF882" i="2"/>
  <c r="C882" i="1"/>
  <c r="AE882" i="2"/>
  <c r="AD882" i="2"/>
  <c r="AA882" i="2"/>
  <c r="Z882" i="2"/>
  <c r="S881" i="1"/>
  <c r="AU881" i="2"/>
  <c r="R881" i="1"/>
  <c r="AT881" i="2"/>
  <c r="Q881" i="1"/>
  <c r="AS881" i="2"/>
  <c r="P881" i="1"/>
  <c r="AR881" i="2"/>
  <c r="O881" i="1"/>
  <c r="AQ881" i="2"/>
  <c r="AP881" i="2"/>
  <c r="AO881" i="2"/>
  <c r="AN881" i="2"/>
  <c r="K881" i="1"/>
  <c r="AM881" i="2"/>
  <c r="J881" i="1"/>
  <c r="AL881" i="2"/>
  <c r="I881" i="1"/>
  <c r="AK881" i="2"/>
  <c r="AJ881" i="2"/>
  <c r="AI881" i="2"/>
  <c r="AH881" i="2"/>
  <c r="E881" i="1"/>
  <c r="AG881" i="2"/>
  <c r="D881" i="1"/>
  <c r="AF881" i="2"/>
  <c r="C881" i="1"/>
  <c r="AE881" i="2"/>
  <c r="AD881" i="2"/>
  <c r="AA881" i="2"/>
  <c r="Z881" i="2"/>
  <c r="S880" i="1"/>
  <c r="AU880" i="2"/>
  <c r="R880" i="1"/>
  <c r="AT880" i="2"/>
  <c r="Q880" i="1"/>
  <c r="AS880" i="2"/>
  <c r="P880" i="1"/>
  <c r="AR880" i="2"/>
  <c r="O880" i="1"/>
  <c r="AQ880" i="2"/>
  <c r="AP880" i="2"/>
  <c r="AO880" i="2"/>
  <c r="AN880" i="2"/>
  <c r="K880" i="1"/>
  <c r="AM880" i="2"/>
  <c r="J880" i="1"/>
  <c r="AL880" i="2"/>
  <c r="I880" i="1"/>
  <c r="AK880" i="2"/>
  <c r="AJ880" i="2"/>
  <c r="AI880" i="2"/>
  <c r="AH880" i="2"/>
  <c r="E880" i="1"/>
  <c r="AG880" i="2"/>
  <c r="D880" i="1"/>
  <c r="AF880" i="2"/>
  <c r="C880" i="1"/>
  <c r="AE880" i="2"/>
  <c r="AD880" i="2"/>
  <c r="AA880" i="2"/>
  <c r="Z880" i="2"/>
  <c r="S879" i="1"/>
  <c r="AU879" i="2"/>
  <c r="R879" i="1"/>
  <c r="AT879" i="2"/>
  <c r="Q879" i="1"/>
  <c r="AS879" i="2"/>
  <c r="P879" i="1"/>
  <c r="AR879" i="2"/>
  <c r="O879" i="1"/>
  <c r="AQ879" i="2"/>
  <c r="AP879" i="2"/>
  <c r="AO879" i="2"/>
  <c r="AN879" i="2"/>
  <c r="K879" i="1"/>
  <c r="AM879" i="2"/>
  <c r="J879" i="1"/>
  <c r="AL879" i="2"/>
  <c r="I879" i="1"/>
  <c r="AK879" i="2"/>
  <c r="AJ879" i="2"/>
  <c r="AI879" i="2"/>
  <c r="AH879" i="2"/>
  <c r="E879" i="1"/>
  <c r="AG879" i="2"/>
  <c r="D879" i="1"/>
  <c r="AF879" i="2"/>
  <c r="C879" i="1"/>
  <c r="AE879" i="2"/>
  <c r="AD879" i="2"/>
  <c r="AA879" i="2"/>
  <c r="Z879" i="2"/>
  <c r="S878" i="1"/>
  <c r="AU878" i="2"/>
  <c r="R878" i="1"/>
  <c r="AT878" i="2"/>
  <c r="Q878" i="1"/>
  <c r="AS878" i="2"/>
  <c r="P878" i="1"/>
  <c r="AR878" i="2"/>
  <c r="O878" i="1"/>
  <c r="AQ878" i="2"/>
  <c r="AP878" i="2"/>
  <c r="AO878" i="2"/>
  <c r="AN878" i="2"/>
  <c r="K878" i="1"/>
  <c r="AM878" i="2"/>
  <c r="J878" i="1"/>
  <c r="AL878" i="2"/>
  <c r="I878" i="1"/>
  <c r="AK878" i="2"/>
  <c r="AJ878" i="2"/>
  <c r="AI878" i="2"/>
  <c r="AH878" i="2"/>
  <c r="E878" i="1"/>
  <c r="AG878" i="2"/>
  <c r="D878" i="1"/>
  <c r="AF878" i="2"/>
  <c r="C878" i="1"/>
  <c r="AE878" i="2"/>
  <c r="AD878" i="2"/>
  <c r="AA878" i="2"/>
  <c r="Z878" i="2"/>
  <c r="S877" i="1"/>
  <c r="AU877" i="2"/>
  <c r="R877" i="1"/>
  <c r="AT877" i="2"/>
  <c r="Q877" i="1"/>
  <c r="AS877" i="2"/>
  <c r="P877" i="1"/>
  <c r="AR877" i="2"/>
  <c r="O877" i="1"/>
  <c r="AQ877" i="2"/>
  <c r="AP877" i="2"/>
  <c r="AO877" i="2"/>
  <c r="AN877" i="2"/>
  <c r="K877" i="1"/>
  <c r="AM877" i="2"/>
  <c r="J877" i="1"/>
  <c r="AL877" i="2"/>
  <c r="I877" i="1"/>
  <c r="AK877" i="2"/>
  <c r="AJ877" i="2"/>
  <c r="AI877" i="2"/>
  <c r="AH877" i="2"/>
  <c r="E877" i="1"/>
  <c r="AG877" i="2"/>
  <c r="D877" i="1"/>
  <c r="AF877" i="2"/>
  <c r="C877" i="1"/>
  <c r="AE877" i="2"/>
  <c r="AD877" i="2"/>
  <c r="AA877" i="2"/>
  <c r="Z877" i="2"/>
  <c r="S876" i="1"/>
  <c r="AU876" i="2"/>
  <c r="R876" i="1"/>
  <c r="AT876" i="2"/>
  <c r="Q876" i="1"/>
  <c r="AS876" i="2"/>
  <c r="P876" i="1"/>
  <c r="AR876" i="2"/>
  <c r="O876" i="1"/>
  <c r="AQ876" i="2"/>
  <c r="AP876" i="2"/>
  <c r="AO876" i="2"/>
  <c r="AN876" i="2"/>
  <c r="K876" i="1"/>
  <c r="AM876" i="2"/>
  <c r="J876" i="1"/>
  <c r="AL876" i="2"/>
  <c r="I876" i="1"/>
  <c r="AK876" i="2"/>
  <c r="AJ876" i="2"/>
  <c r="AI876" i="2"/>
  <c r="AH876" i="2"/>
  <c r="E876" i="1"/>
  <c r="AG876" i="2"/>
  <c r="D876" i="1"/>
  <c r="AF876" i="2"/>
  <c r="C876" i="1"/>
  <c r="AE876" i="2"/>
  <c r="AD876" i="2"/>
  <c r="AA876" i="2"/>
  <c r="Z876" i="2"/>
  <c r="S875" i="1"/>
  <c r="AU875" i="2"/>
  <c r="R875" i="1"/>
  <c r="AT875" i="2"/>
  <c r="Q875" i="1"/>
  <c r="AS875" i="2"/>
  <c r="P875" i="1"/>
  <c r="AR875" i="2"/>
  <c r="O875" i="1"/>
  <c r="AQ875" i="2"/>
  <c r="AP875" i="2"/>
  <c r="AO875" i="2"/>
  <c r="AN875" i="2"/>
  <c r="K875" i="1"/>
  <c r="AM875" i="2"/>
  <c r="J875" i="1"/>
  <c r="AL875" i="2"/>
  <c r="I875" i="1"/>
  <c r="AK875" i="2"/>
  <c r="AJ875" i="2"/>
  <c r="AI875" i="2"/>
  <c r="AH875" i="2"/>
  <c r="E875" i="1"/>
  <c r="AG875" i="2"/>
  <c r="D875" i="1"/>
  <c r="AF875" i="2"/>
  <c r="C875" i="1"/>
  <c r="AE875" i="2"/>
  <c r="AD875" i="2"/>
  <c r="AA875" i="2"/>
  <c r="Z875" i="2"/>
  <c r="S874" i="1"/>
  <c r="AU874" i="2"/>
  <c r="R874" i="1"/>
  <c r="AT874" i="2"/>
  <c r="Q874" i="1"/>
  <c r="AS874" i="2"/>
  <c r="P874" i="1"/>
  <c r="AR874" i="2"/>
  <c r="O874" i="1"/>
  <c r="AQ874" i="2"/>
  <c r="AP874" i="2"/>
  <c r="AO874" i="2"/>
  <c r="AN874" i="2"/>
  <c r="K874" i="1"/>
  <c r="AM874" i="2"/>
  <c r="J874" i="1"/>
  <c r="AL874" i="2"/>
  <c r="I874" i="1"/>
  <c r="AK874" i="2"/>
  <c r="AJ874" i="2"/>
  <c r="AI874" i="2"/>
  <c r="AH874" i="2"/>
  <c r="E874" i="1"/>
  <c r="AG874" i="2"/>
  <c r="D874" i="1"/>
  <c r="AF874" i="2"/>
  <c r="C874" i="1"/>
  <c r="AE874" i="2"/>
  <c r="AD874" i="2"/>
  <c r="AA874" i="2"/>
  <c r="Z874" i="2"/>
  <c r="S873" i="1"/>
  <c r="AU873" i="2"/>
  <c r="R873" i="1"/>
  <c r="AT873" i="2"/>
  <c r="Q873" i="1"/>
  <c r="AS873" i="2"/>
  <c r="P873" i="1"/>
  <c r="AR873" i="2"/>
  <c r="O873" i="1"/>
  <c r="AQ873" i="2"/>
  <c r="AP873" i="2"/>
  <c r="AO873" i="2"/>
  <c r="AN873" i="2"/>
  <c r="K873" i="1"/>
  <c r="AM873" i="2"/>
  <c r="J873" i="1"/>
  <c r="AL873" i="2"/>
  <c r="I873" i="1"/>
  <c r="AK873" i="2"/>
  <c r="AJ873" i="2"/>
  <c r="AI873" i="2"/>
  <c r="AH873" i="2"/>
  <c r="E873" i="1"/>
  <c r="AG873" i="2"/>
  <c r="D873" i="1"/>
  <c r="AF873" i="2"/>
  <c r="C873" i="1"/>
  <c r="AE873" i="2"/>
  <c r="AD873" i="2"/>
  <c r="AA873" i="2"/>
  <c r="Z873" i="2"/>
  <c r="S872" i="1"/>
  <c r="AU872" i="2"/>
  <c r="R872" i="1"/>
  <c r="AT872" i="2"/>
  <c r="Q872" i="1"/>
  <c r="AS872" i="2"/>
  <c r="P872" i="1"/>
  <c r="AR872" i="2"/>
  <c r="O872" i="1"/>
  <c r="AQ872" i="2"/>
  <c r="AP872" i="2"/>
  <c r="AO872" i="2"/>
  <c r="AN872" i="2"/>
  <c r="K872" i="1"/>
  <c r="AM872" i="2"/>
  <c r="J872" i="1"/>
  <c r="AL872" i="2"/>
  <c r="I872" i="1"/>
  <c r="AK872" i="2"/>
  <c r="AJ872" i="2"/>
  <c r="AI872" i="2"/>
  <c r="AH872" i="2"/>
  <c r="E872" i="1"/>
  <c r="AG872" i="2"/>
  <c r="D872" i="1"/>
  <c r="AF872" i="2"/>
  <c r="C872" i="1"/>
  <c r="AE872" i="2"/>
  <c r="AD872" i="2"/>
  <c r="AA872" i="2"/>
  <c r="Z872" i="2"/>
  <c r="S871" i="1"/>
  <c r="AU871" i="2"/>
  <c r="R871" i="1"/>
  <c r="AT871" i="2"/>
  <c r="Q871" i="1"/>
  <c r="AS871" i="2"/>
  <c r="P871" i="1"/>
  <c r="AR871" i="2"/>
  <c r="O871" i="1"/>
  <c r="AQ871" i="2"/>
  <c r="AP871" i="2"/>
  <c r="AO871" i="2"/>
  <c r="AN871" i="2"/>
  <c r="K871" i="1"/>
  <c r="AM871" i="2"/>
  <c r="J871" i="1"/>
  <c r="AL871" i="2"/>
  <c r="I871" i="1"/>
  <c r="AK871" i="2"/>
  <c r="AJ871" i="2"/>
  <c r="AI871" i="2"/>
  <c r="AH871" i="2"/>
  <c r="E871" i="1"/>
  <c r="AG871" i="2"/>
  <c r="D871" i="1"/>
  <c r="AF871" i="2"/>
  <c r="C871" i="1"/>
  <c r="AE871" i="2"/>
  <c r="AD871" i="2"/>
  <c r="AA871" i="2"/>
  <c r="Z871" i="2"/>
  <c r="S870" i="1"/>
  <c r="AU870" i="2"/>
  <c r="R870" i="1"/>
  <c r="AT870" i="2"/>
  <c r="Q870" i="1"/>
  <c r="AS870" i="2"/>
  <c r="P870" i="1"/>
  <c r="AR870" i="2"/>
  <c r="O870" i="1"/>
  <c r="AQ870" i="2"/>
  <c r="AP870" i="2"/>
  <c r="AO870" i="2"/>
  <c r="AN870" i="2"/>
  <c r="K870" i="1"/>
  <c r="AM870" i="2"/>
  <c r="J870" i="1"/>
  <c r="AL870" i="2"/>
  <c r="I870" i="1"/>
  <c r="AK870" i="2"/>
  <c r="AJ870" i="2"/>
  <c r="AI870" i="2"/>
  <c r="AH870" i="2"/>
  <c r="E870" i="1"/>
  <c r="AG870" i="2"/>
  <c r="D870" i="1"/>
  <c r="AF870" i="2"/>
  <c r="C870" i="1"/>
  <c r="AE870" i="2"/>
  <c r="AD870" i="2"/>
  <c r="AA870" i="2"/>
  <c r="Z870" i="2"/>
  <c r="S869" i="1"/>
  <c r="AU869" i="2"/>
  <c r="R869" i="1"/>
  <c r="AT869" i="2"/>
  <c r="Q869" i="1"/>
  <c r="AS869" i="2"/>
  <c r="P869" i="1"/>
  <c r="AR869" i="2"/>
  <c r="O869" i="1"/>
  <c r="AQ869" i="2"/>
  <c r="AP869" i="2"/>
  <c r="AO869" i="2"/>
  <c r="AN869" i="2"/>
  <c r="K869" i="1"/>
  <c r="AM869" i="2"/>
  <c r="J869" i="1"/>
  <c r="AL869" i="2"/>
  <c r="I869" i="1"/>
  <c r="AK869" i="2"/>
  <c r="AJ869" i="2"/>
  <c r="AI869" i="2"/>
  <c r="AH869" i="2"/>
  <c r="E869" i="1"/>
  <c r="AG869" i="2"/>
  <c r="D869" i="1"/>
  <c r="AF869" i="2"/>
  <c r="C869" i="1"/>
  <c r="AE869" i="2"/>
  <c r="AD869" i="2"/>
  <c r="AA869" i="2"/>
  <c r="Z869" i="2"/>
  <c r="S868" i="1"/>
  <c r="AU868" i="2"/>
  <c r="R868" i="1"/>
  <c r="AT868" i="2"/>
  <c r="Q868" i="1"/>
  <c r="AS868" i="2"/>
  <c r="P868" i="1"/>
  <c r="AR868" i="2"/>
  <c r="O868" i="1"/>
  <c r="AQ868" i="2"/>
  <c r="AP868" i="2"/>
  <c r="AO868" i="2"/>
  <c r="AN868" i="2"/>
  <c r="K868" i="1"/>
  <c r="AM868" i="2"/>
  <c r="J868" i="1"/>
  <c r="AL868" i="2"/>
  <c r="I868" i="1"/>
  <c r="AK868" i="2"/>
  <c r="AJ868" i="2"/>
  <c r="AI868" i="2"/>
  <c r="AH868" i="2"/>
  <c r="E868" i="1"/>
  <c r="AG868" i="2"/>
  <c r="D868" i="1"/>
  <c r="AF868" i="2"/>
  <c r="C868" i="1"/>
  <c r="AE868" i="2"/>
  <c r="AD868" i="2"/>
  <c r="AA868" i="2"/>
  <c r="Z868" i="2"/>
  <c r="S867" i="1"/>
  <c r="AU867" i="2"/>
  <c r="R867" i="1"/>
  <c r="AT867" i="2"/>
  <c r="Q867" i="1"/>
  <c r="AS867" i="2"/>
  <c r="P867" i="1"/>
  <c r="AR867" i="2"/>
  <c r="O867" i="1"/>
  <c r="AQ867" i="2"/>
  <c r="AP867" i="2"/>
  <c r="AO867" i="2"/>
  <c r="AN867" i="2"/>
  <c r="K867" i="1"/>
  <c r="AM867" i="2"/>
  <c r="J867" i="1"/>
  <c r="AL867" i="2"/>
  <c r="I867" i="1"/>
  <c r="AK867" i="2"/>
  <c r="AJ867" i="2"/>
  <c r="AI867" i="2"/>
  <c r="AH867" i="2"/>
  <c r="E867" i="1"/>
  <c r="AG867" i="2"/>
  <c r="D867" i="1"/>
  <c r="AF867" i="2"/>
  <c r="C867" i="1"/>
  <c r="AE867" i="2"/>
  <c r="AD867" i="2"/>
  <c r="AA867" i="2"/>
  <c r="Z867" i="2"/>
  <c r="S866" i="1"/>
  <c r="AU866" i="2"/>
  <c r="R866" i="1"/>
  <c r="AT866" i="2"/>
  <c r="Q866" i="1"/>
  <c r="AS866" i="2"/>
  <c r="P866" i="1"/>
  <c r="AR866" i="2"/>
  <c r="O866" i="1"/>
  <c r="AQ866" i="2"/>
  <c r="AP866" i="2"/>
  <c r="AO866" i="2"/>
  <c r="AN866" i="2"/>
  <c r="K866" i="1"/>
  <c r="AM866" i="2"/>
  <c r="J866" i="1"/>
  <c r="AL866" i="2"/>
  <c r="I866" i="1"/>
  <c r="AK866" i="2"/>
  <c r="AJ866" i="2"/>
  <c r="AI866" i="2"/>
  <c r="AH866" i="2"/>
  <c r="E866" i="1"/>
  <c r="AG866" i="2"/>
  <c r="D866" i="1"/>
  <c r="AF866" i="2"/>
  <c r="C866" i="1"/>
  <c r="AE866" i="2"/>
  <c r="AD866" i="2"/>
  <c r="AA866" i="2"/>
  <c r="Z866" i="2"/>
  <c r="S865" i="1"/>
  <c r="AU865" i="2"/>
  <c r="R865" i="1"/>
  <c r="AT865" i="2"/>
  <c r="Q865" i="1"/>
  <c r="AS865" i="2"/>
  <c r="P865" i="1"/>
  <c r="AR865" i="2"/>
  <c r="O865" i="1"/>
  <c r="AQ865" i="2"/>
  <c r="AP865" i="2"/>
  <c r="AO865" i="2"/>
  <c r="AN865" i="2"/>
  <c r="K865" i="1"/>
  <c r="AM865" i="2"/>
  <c r="J865" i="1"/>
  <c r="AL865" i="2"/>
  <c r="I865" i="1"/>
  <c r="AK865" i="2"/>
  <c r="AJ865" i="2"/>
  <c r="AI865" i="2"/>
  <c r="AH865" i="2"/>
  <c r="E865" i="1"/>
  <c r="AG865" i="2"/>
  <c r="D865" i="1"/>
  <c r="AF865" i="2"/>
  <c r="C865" i="1"/>
  <c r="AE865" i="2"/>
  <c r="AD865" i="2"/>
  <c r="AA865" i="2"/>
  <c r="Z865" i="2"/>
  <c r="S864" i="1"/>
  <c r="AU864" i="2"/>
  <c r="R864" i="1"/>
  <c r="AT864" i="2"/>
  <c r="Q864" i="1"/>
  <c r="AS864" i="2"/>
  <c r="P864" i="1"/>
  <c r="AR864" i="2"/>
  <c r="O864" i="1"/>
  <c r="AQ864" i="2"/>
  <c r="AP864" i="2"/>
  <c r="AO864" i="2"/>
  <c r="AN864" i="2"/>
  <c r="K864" i="1"/>
  <c r="AM864" i="2"/>
  <c r="J864" i="1"/>
  <c r="AL864" i="2"/>
  <c r="I864" i="1"/>
  <c r="AK864" i="2"/>
  <c r="AJ864" i="2"/>
  <c r="AI864" i="2"/>
  <c r="AH864" i="2"/>
  <c r="E864" i="1"/>
  <c r="AG864" i="2"/>
  <c r="D864" i="1"/>
  <c r="AF864" i="2"/>
  <c r="C864" i="1"/>
  <c r="AE864" i="2"/>
  <c r="AD864" i="2"/>
  <c r="AA864" i="2"/>
  <c r="Z864" i="2"/>
  <c r="S863" i="1"/>
  <c r="AU863" i="2"/>
  <c r="R863" i="1"/>
  <c r="AT863" i="2"/>
  <c r="Q863" i="1"/>
  <c r="AS863" i="2"/>
  <c r="P863" i="1"/>
  <c r="AR863" i="2"/>
  <c r="O863" i="1"/>
  <c r="AQ863" i="2"/>
  <c r="AP863" i="2"/>
  <c r="AO863" i="2"/>
  <c r="AN863" i="2"/>
  <c r="K863" i="1"/>
  <c r="AM863" i="2"/>
  <c r="J863" i="1"/>
  <c r="AL863" i="2"/>
  <c r="I863" i="1"/>
  <c r="AK863" i="2"/>
  <c r="AJ863" i="2"/>
  <c r="AI863" i="2"/>
  <c r="AH863" i="2"/>
  <c r="E863" i="1"/>
  <c r="AG863" i="2"/>
  <c r="D863" i="1"/>
  <c r="AF863" i="2"/>
  <c r="C863" i="1"/>
  <c r="AE863" i="2"/>
  <c r="AD863" i="2"/>
  <c r="AA863" i="2"/>
  <c r="Z863" i="2"/>
  <c r="S862" i="1"/>
  <c r="AU862" i="2"/>
  <c r="R862" i="1"/>
  <c r="AT862" i="2"/>
  <c r="Q862" i="1"/>
  <c r="AS862" i="2"/>
  <c r="P862" i="1"/>
  <c r="AR862" i="2"/>
  <c r="O862" i="1"/>
  <c r="AQ862" i="2"/>
  <c r="AP862" i="2"/>
  <c r="AO862" i="2"/>
  <c r="AN862" i="2"/>
  <c r="K862" i="1"/>
  <c r="AM862" i="2"/>
  <c r="J862" i="1"/>
  <c r="AL862" i="2"/>
  <c r="I862" i="1"/>
  <c r="AK862" i="2"/>
  <c r="AJ862" i="2"/>
  <c r="AI862" i="2"/>
  <c r="AH862" i="2"/>
  <c r="E862" i="1"/>
  <c r="AG862" i="2"/>
  <c r="D862" i="1"/>
  <c r="AF862" i="2"/>
  <c r="C862" i="1"/>
  <c r="AE862" i="2"/>
  <c r="AD862" i="2"/>
  <c r="AA862" i="2"/>
  <c r="Z862" i="2"/>
  <c r="S861" i="1"/>
  <c r="AU861" i="2"/>
  <c r="R861" i="1"/>
  <c r="AT861" i="2"/>
  <c r="Q861" i="1"/>
  <c r="AS861" i="2"/>
  <c r="P861" i="1"/>
  <c r="AR861" i="2"/>
  <c r="O861" i="1"/>
  <c r="AQ861" i="2"/>
  <c r="AP861" i="2"/>
  <c r="AO861" i="2"/>
  <c r="AN861" i="2"/>
  <c r="K861" i="1"/>
  <c r="AM861" i="2"/>
  <c r="J861" i="1"/>
  <c r="AL861" i="2"/>
  <c r="I861" i="1"/>
  <c r="AK861" i="2"/>
  <c r="AJ861" i="2"/>
  <c r="AI861" i="2"/>
  <c r="AH861" i="2"/>
  <c r="E861" i="1"/>
  <c r="AG861" i="2"/>
  <c r="D861" i="1"/>
  <c r="AF861" i="2"/>
  <c r="C861" i="1"/>
  <c r="AE861" i="2"/>
  <c r="AD861" i="2"/>
  <c r="AA861" i="2"/>
  <c r="Z861" i="2"/>
  <c r="S860" i="1"/>
  <c r="AU860" i="2"/>
  <c r="R860" i="1"/>
  <c r="AT860" i="2"/>
  <c r="Q860" i="1"/>
  <c r="AS860" i="2"/>
  <c r="P860" i="1"/>
  <c r="AR860" i="2"/>
  <c r="O860" i="1"/>
  <c r="AQ860" i="2"/>
  <c r="AP860" i="2"/>
  <c r="AO860" i="2"/>
  <c r="AN860" i="2"/>
  <c r="K860" i="1"/>
  <c r="AM860" i="2"/>
  <c r="J860" i="1"/>
  <c r="AL860" i="2"/>
  <c r="I860" i="1"/>
  <c r="AK860" i="2"/>
  <c r="AJ860" i="2"/>
  <c r="AI860" i="2"/>
  <c r="AH860" i="2"/>
  <c r="E860" i="1"/>
  <c r="AG860" i="2"/>
  <c r="D860" i="1"/>
  <c r="AF860" i="2"/>
  <c r="C860" i="1"/>
  <c r="AE860" i="2"/>
  <c r="AD860" i="2"/>
  <c r="AA860" i="2"/>
  <c r="Z860" i="2"/>
  <c r="S859" i="1"/>
  <c r="AU859" i="2"/>
  <c r="R859" i="1"/>
  <c r="AT859" i="2"/>
  <c r="Q859" i="1"/>
  <c r="AS859" i="2"/>
  <c r="P859" i="1"/>
  <c r="AR859" i="2"/>
  <c r="O859" i="1"/>
  <c r="AQ859" i="2"/>
  <c r="AP859" i="2"/>
  <c r="AO859" i="2"/>
  <c r="AN859" i="2"/>
  <c r="K859" i="1"/>
  <c r="AM859" i="2"/>
  <c r="J859" i="1"/>
  <c r="AL859" i="2"/>
  <c r="I859" i="1"/>
  <c r="AK859" i="2"/>
  <c r="AJ859" i="2"/>
  <c r="AI859" i="2"/>
  <c r="AH859" i="2"/>
  <c r="E859" i="1"/>
  <c r="AG859" i="2"/>
  <c r="D859" i="1"/>
  <c r="AF859" i="2"/>
  <c r="C859" i="1"/>
  <c r="AE859" i="2"/>
  <c r="AD859" i="2"/>
  <c r="AA859" i="2"/>
  <c r="Z859" i="2"/>
  <c r="S858" i="1"/>
  <c r="AU858" i="2"/>
  <c r="R858" i="1"/>
  <c r="AT858" i="2"/>
  <c r="Q858" i="1"/>
  <c r="AS858" i="2"/>
  <c r="P858" i="1"/>
  <c r="AR858" i="2"/>
  <c r="O858" i="1"/>
  <c r="AQ858" i="2"/>
  <c r="AP858" i="2"/>
  <c r="AO858" i="2"/>
  <c r="AN858" i="2"/>
  <c r="K858" i="1"/>
  <c r="AM858" i="2"/>
  <c r="J858" i="1"/>
  <c r="AL858" i="2"/>
  <c r="I858" i="1"/>
  <c r="AK858" i="2"/>
  <c r="AJ858" i="2"/>
  <c r="AI858" i="2"/>
  <c r="AH858" i="2"/>
  <c r="E858" i="1"/>
  <c r="AG858" i="2"/>
  <c r="D858" i="1"/>
  <c r="AF858" i="2"/>
  <c r="C858" i="1"/>
  <c r="AE858" i="2"/>
  <c r="AD858" i="2"/>
  <c r="AA858" i="2"/>
  <c r="Z858" i="2"/>
  <c r="S857" i="1"/>
  <c r="AU857" i="2"/>
  <c r="R857" i="1"/>
  <c r="AT857" i="2"/>
  <c r="Q857" i="1"/>
  <c r="AS857" i="2"/>
  <c r="P857" i="1"/>
  <c r="AR857" i="2"/>
  <c r="O857" i="1"/>
  <c r="AQ857" i="2"/>
  <c r="AP857" i="2"/>
  <c r="AO857" i="2"/>
  <c r="AN857" i="2"/>
  <c r="K857" i="1"/>
  <c r="AM857" i="2"/>
  <c r="J857" i="1"/>
  <c r="AL857" i="2"/>
  <c r="I857" i="1"/>
  <c r="AK857" i="2"/>
  <c r="AJ857" i="2"/>
  <c r="AI857" i="2"/>
  <c r="AH857" i="2"/>
  <c r="E857" i="1"/>
  <c r="AG857" i="2"/>
  <c r="D857" i="1"/>
  <c r="AF857" i="2"/>
  <c r="C857" i="1"/>
  <c r="AE857" i="2"/>
  <c r="AD857" i="2"/>
  <c r="AA857" i="2"/>
  <c r="Z857" i="2"/>
  <c r="S856" i="1"/>
  <c r="AU856" i="2"/>
  <c r="R856" i="1"/>
  <c r="AT856" i="2"/>
  <c r="Q856" i="1"/>
  <c r="AS856" i="2"/>
  <c r="P856" i="1"/>
  <c r="AR856" i="2"/>
  <c r="O856" i="1"/>
  <c r="AQ856" i="2"/>
  <c r="AP856" i="2"/>
  <c r="AO856" i="2"/>
  <c r="AN856" i="2"/>
  <c r="K856" i="1"/>
  <c r="AM856" i="2"/>
  <c r="J856" i="1"/>
  <c r="AL856" i="2"/>
  <c r="I856" i="1"/>
  <c r="AK856" i="2"/>
  <c r="AJ856" i="2"/>
  <c r="AI856" i="2"/>
  <c r="AH856" i="2"/>
  <c r="E856" i="1"/>
  <c r="AG856" i="2"/>
  <c r="D856" i="1"/>
  <c r="AF856" i="2"/>
  <c r="C856" i="1"/>
  <c r="AE856" i="2"/>
  <c r="AD856" i="2"/>
  <c r="AA856" i="2"/>
  <c r="Z856" i="2"/>
  <c r="S855" i="1"/>
  <c r="AU855" i="2"/>
  <c r="R855" i="1"/>
  <c r="AT855" i="2"/>
  <c r="Q855" i="1"/>
  <c r="AS855" i="2"/>
  <c r="P855" i="1"/>
  <c r="AR855" i="2"/>
  <c r="O855" i="1"/>
  <c r="AQ855" i="2"/>
  <c r="AP855" i="2"/>
  <c r="AO855" i="2"/>
  <c r="AN855" i="2"/>
  <c r="K855" i="1"/>
  <c r="AM855" i="2"/>
  <c r="J855" i="1"/>
  <c r="AL855" i="2"/>
  <c r="I855" i="1"/>
  <c r="AK855" i="2"/>
  <c r="AJ855" i="2"/>
  <c r="AI855" i="2"/>
  <c r="AH855" i="2"/>
  <c r="E855" i="1"/>
  <c r="AG855" i="2"/>
  <c r="D855" i="1"/>
  <c r="AF855" i="2"/>
  <c r="C855" i="1"/>
  <c r="AE855" i="2"/>
  <c r="AD855" i="2"/>
  <c r="AA855" i="2"/>
  <c r="Z855" i="2"/>
  <c r="S854" i="1"/>
  <c r="AU854" i="2"/>
  <c r="R854" i="1"/>
  <c r="AT854" i="2"/>
  <c r="Q854" i="1"/>
  <c r="AS854" i="2"/>
  <c r="P854" i="1"/>
  <c r="AR854" i="2"/>
  <c r="O854" i="1"/>
  <c r="AQ854" i="2"/>
  <c r="AP854" i="2"/>
  <c r="AO854" i="2"/>
  <c r="AN854" i="2"/>
  <c r="K854" i="1"/>
  <c r="AM854" i="2"/>
  <c r="J854" i="1"/>
  <c r="AL854" i="2"/>
  <c r="I854" i="1"/>
  <c r="AK854" i="2"/>
  <c r="AJ854" i="2"/>
  <c r="AI854" i="2"/>
  <c r="AH854" i="2"/>
  <c r="E854" i="1"/>
  <c r="AG854" i="2"/>
  <c r="D854" i="1"/>
  <c r="AF854" i="2"/>
  <c r="C854" i="1"/>
  <c r="AE854" i="2"/>
  <c r="AD854" i="2"/>
  <c r="AA854" i="2"/>
  <c r="Z854" i="2"/>
  <c r="S853" i="1"/>
  <c r="AU853" i="2"/>
  <c r="R853" i="1"/>
  <c r="AT853" i="2"/>
  <c r="Q853" i="1"/>
  <c r="AS853" i="2"/>
  <c r="P853" i="1"/>
  <c r="AR853" i="2"/>
  <c r="O853" i="1"/>
  <c r="AQ853" i="2"/>
  <c r="AP853" i="2"/>
  <c r="AO853" i="2"/>
  <c r="AN853" i="2"/>
  <c r="K853" i="1"/>
  <c r="AM853" i="2"/>
  <c r="J853" i="1"/>
  <c r="AL853" i="2"/>
  <c r="I853" i="1"/>
  <c r="AK853" i="2"/>
  <c r="AJ853" i="2"/>
  <c r="AI853" i="2"/>
  <c r="AH853" i="2"/>
  <c r="E853" i="1"/>
  <c r="AG853" i="2"/>
  <c r="D853" i="1"/>
  <c r="AF853" i="2"/>
  <c r="C853" i="1"/>
  <c r="AE853" i="2"/>
  <c r="AD853" i="2"/>
  <c r="AA853" i="2"/>
  <c r="Z853" i="2"/>
  <c r="S852" i="1"/>
  <c r="AU852" i="2"/>
  <c r="R852" i="1"/>
  <c r="AT852" i="2"/>
  <c r="Q852" i="1"/>
  <c r="AS852" i="2"/>
  <c r="P852" i="1"/>
  <c r="AR852" i="2"/>
  <c r="O852" i="1"/>
  <c r="AQ852" i="2"/>
  <c r="AP852" i="2"/>
  <c r="AO852" i="2"/>
  <c r="AN852" i="2"/>
  <c r="K852" i="1"/>
  <c r="AM852" i="2"/>
  <c r="J852" i="1"/>
  <c r="AL852" i="2"/>
  <c r="I852" i="1"/>
  <c r="AK852" i="2"/>
  <c r="AJ852" i="2"/>
  <c r="AI852" i="2"/>
  <c r="AH852" i="2"/>
  <c r="E852" i="1"/>
  <c r="AG852" i="2"/>
  <c r="D852" i="1"/>
  <c r="AF852" i="2"/>
  <c r="C852" i="1"/>
  <c r="AE852" i="2"/>
  <c r="AD852" i="2"/>
  <c r="AA852" i="2"/>
  <c r="Z852" i="2"/>
  <c r="S851" i="1"/>
  <c r="AU851" i="2"/>
  <c r="R851" i="1"/>
  <c r="AT851" i="2"/>
  <c r="Q851" i="1"/>
  <c r="AS851" i="2"/>
  <c r="P851" i="1"/>
  <c r="AR851" i="2"/>
  <c r="O851" i="1"/>
  <c r="AQ851" i="2"/>
  <c r="AP851" i="2"/>
  <c r="AO851" i="2"/>
  <c r="AN851" i="2"/>
  <c r="K851" i="1"/>
  <c r="AM851" i="2"/>
  <c r="J851" i="1"/>
  <c r="AL851" i="2"/>
  <c r="I851" i="1"/>
  <c r="AK851" i="2"/>
  <c r="AJ851" i="2"/>
  <c r="AI851" i="2"/>
  <c r="AH851" i="2"/>
  <c r="E851" i="1"/>
  <c r="AG851" i="2"/>
  <c r="D851" i="1"/>
  <c r="AF851" i="2"/>
  <c r="C851" i="1"/>
  <c r="AE851" i="2"/>
  <c r="AD851" i="2"/>
  <c r="AA851" i="2"/>
  <c r="Z851" i="2"/>
  <c r="S850" i="1"/>
  <c r="AU850" i="2"/>
  <c r="R850" i="1"/>
  <c r="AT850" i="2"/>
  <c r="Q850" i="1"/>
  <c r="AS850" i="2"/>
  <c r="P850" i="1"/>
  <c r="AR850" i="2"/>
  <c r="O850" i="1"/>
  <c r="AQ850" i="2"/>
  <c r="AP850" i="2"/>
  <c r="AO850" i="2"/>
  <c r="AN850" i="2"/>
  <c r="K850" i="1"/>
  <c r="AM850" i="2"/>
  <c r="J850" i="1"/>
  <c r="AL850" i="2"/>
  <c r="I850" i="1"/>
  <c r="AK850" i="2"/>
  <c r="AJ850" i="2"/>
  <c r="AI850" i="2"/>
  <c r="AH850" i="2"/>
  <c r="E850" i="1"/>
  <c r="AG850" i="2"/>
  <c r="D850" i="1"/>
  <c r="AF850" i="2"/>
  <c r="C850" i="1"/>
  <c r="AE850" i="2"/>
  <c r="AD850" i="2"/>
  <c r="AA850" i="2"/>
  <c r="Z850" i="2"/>
  <c r="S849" i="1"/>
  <c r="AU849" i="2"/>
  <c r="R849" i="1"/>
  <c r="AT849" i="2"/>
  <c r="Q849" i="1"/>
  <c r="AS849" i="2"/>
  <c r="P849" i="1"/>
  <c r="AR849" i="2"/>
  <c r="O849" i="1"/>
  <c r="AQ849" i="2"/>
  <c r="AP849" i="2"/>
  <c r="AO849" i="2"/>
  <c r="AN849" i="2"/>
  <c r="K849" i="1"/>
  <c r="AM849" i="2"/>
  <c r="J849" i="1"/>
  <c r="AL849" i="2"/>
  <c r="I849" i="1"/>
  <c r="AK849" i="2"/>
  <c r="AJ849" i="2"/>
  <c r="AI849" i="2"/>
  <c r="AH849" i="2"/>
  <c r="E849" i="1"/>
  <c r="AG849" i="2"/>
  <c r="D849" i="1"/>
  <c r="AF849" i="2"/>
  <c r="C849" i="1"/>
  <c r="AE849" i="2"/>
  <c r="AD849" i="2"/>
  <c r="AA849" i="2"/>
  <c r="Z849" i="2"/>
  <c r="S848" i="1"/>
  <c r="AU848" i="2"/>
  <c r="R848" i="1"/>
  <c r="AT848" i="2"/>
  <c r="Q848" i="1"/>
  <c r="AS848" i="2"/>
  <c r="P848" i="1"/>
  <c r="AR848" i="2"/>
  <c r="O848" i="1"/>
  <c r="AQ848" i="2"/>
  <c r="AP848" i="2"/>
  <c r="AO848" i="2"/>
  <c r="AN848" i="2"/>
  <c r="K848" i="1"/>
  <c r="AM848" i="2"/>
  <c r="J848" i="1"/>
  <c r="AL848" i="2"/>
  <c r="I848" i="1"/>
  <c r="AK848" i="2"/>
  <c r="AJ848" i="2"/>
  <c r="AI848" i="2"/>
  <c r="AH848" i="2"/>
  <c r="E848" i="1"/>
  <c r="AG848" i="2"/>
  <c r="D848" i="1"/>
  <c r="AF848" i="2"/>
  <c r="C848" i="1"/>
  <c r="AE848" i="2"/>
  <c r="AD848" i="2"/>
  <c r="AA848" i="2"/>
  <c r="Z848" i="2"/>
  <c r="S847" i="1"/>
  <c r="AU847" i="2"/>
  <c r="R847" i="1"/>
  <c r="AT847" i="2"/>
  <c r="Q847" i="1"/>
  <c r="AS847" i="2"/>
  <c r="P847" i="1"/>
  <c r="AR847" i="2"/>
  <c r="O847" i="1"/>
  <c r="AQ847" i="2"/>
  <c r="AP847" i="2"/>
  <c r="AO847" i="2"/>
  <c r="AN847" i="2"/>
  <c r="K847" i="1"/>
  <c r="AM847" i="2"/>
  <c r="J847" i="1"/>
  <c r="AL847" i="2"/>
  <c r="I847" i="1"/>
  <c r="AK847" i="2"/>
  <c r="AJ847" i="2"/>
  <c r="AI847" i="2"/>
  <c r="AH847" i="2"/>
  <c r="E847" i="1"/>
  <c r="AG847" i="2"/>
  <c r="D847" i="1"/>
  <c r="AF847" i="2"/>
  <c r="C847" i="1"/>
  <c r="AE847" i="2"/>
  <c r="AD847" i="2"/>
  <c r="AA847" i="2"/>
  <c r="Z847" i="2"/>
  <c r="S846" i="1"/>
  <c r="AU846" i="2"/>
  <c r="R846" i="1"/>
  <c r="AT846" i="2"/>
  <c r="Q846" i="1"/>
  <c r="AS846" i="2"/>
  <c r="P846" i="1"/>
  <c r="AR846" i="2"/>
  <c r="O846" i="1"/>
  <c r="AQ846" i="2"/>
  <c r="AP846" i="2"/>
  <c r="AO846" i="2"/>
  <c r="AN846" i="2"/>
  <c r="K846" i="1"/>
  <c r="AM846" i="2"/>
  <c r="J846" i="1"/>
  <c r="AL846" i="2"/>
  <c r="I846" i="1"/>
  <c r="AK846" i="2"/>
  <c r="AJ846" i="2"/>
  <c r="AI846" i="2"/>
  <c r="AH846" i="2"/>
  <c r="E846" i="1"/>
  <c r="AG846" i="2"/>
  <c r="D846" i="1"/>
  <c r="AF846" i="2"/>
  <c r="C846" i="1"/>
  <c r="AE846" i="2"/>
  <c r="AD846" i="2"/>
  <c r="AA846" i="2"/>
  <c r="Z846" i="2"/>
  <c r="S845" i="1"/>
  <c r="AU845" i="2"/>
  <c r="R845" i="1"/>
  <c r="AT845" i="2"/>
  <c r="Q845" i="1"/>
  <c r="AS845" i="2"/>
  <c r="P845" i="1"/>
  <c r="AR845" i="2"/>
  <c r="O845" i="1"/>
  <c r="AQ845" i="2"/>
  <c r="AP845" i="2"/>
  <c r="AO845" i="2"/>
  <c r="AN845" i="2"/>
  <c r="K845" i="1"/>
  <c r="AM845" i="2"/>
  <c r="J845" i="1"/>
  <c r="AL845" i="2"/>
  <c r="I845" i="1"/>
  <c r="AK845" i="2"/>
  <c r="AJ845" i="2"/>
  <c r="AI845" i="2"/>
  <c r="AH845" i="2"/>
  <c r="E845" i="1"/>
  <c r="AG845" i="2"/>
  <c r="D845" i="1"/>
  <c r="AF845" i="2"/>
  <c r="C845" i="1"/>
  <c r="AE845" i="2"/>
  <c r="AD845" i="2"/>
  <c r="AA845" i="2"/>
  <c r="Z845" i="2"/>
  <c r="S844" i="1"/>
  <c r="AU844" i="2"/>
  <c r="R844" i="1"/>
  <c r="AT844" i="2"/>
  <c r="Q844" i="1"/>
  <c r="AS844" i="2"/>
  <c r="P844" i="1"/>
  <c r="AR844" i="2"/>
  <c r="O844" i="1"/>
  <c r="AQ844" i="2"/>
  <c r="AP844" i="2"/>
  <c r="AO844" i="2"/>
  <c r="AN844" i="2"/>
  <c r="K844" i="1"/>
  <c r="AM844" i="2"/>
  <c r="J844" i="1"/>
  <c r="AL844" i="2"/>
  <c r="I844" i="1"/>
  <c r="AK844" i="2"/>
  <c r="AJ844" i="2"/>
  <c r="AI844" i="2"/>
  <c r="AH844" i="2"/>
  <c r="E844" i="1"/>
  <c r="AG844" i="2"/>
  <c r="D844" i="1"/>
  <c r="AF844" i="2"/>
  <c r="C844" i="1"/>
  <c r="AE844" i="2"/>
  <c r="AD844" i="2"/>
  <c r="AA844" i="2"/>
  <c r="Z844" i="2"/>
  <c r="S843" i="1"/>
  <c r="AU843" i="2"/>
  <c r="R843" i="1"/>
  <c r="AT843" i="2"/>
  <c r="Q843" i="1"/>
  <c r="AS843" i="2"/>
  <c r="P843" i="1"/>
  <c r="AR843" i="2"/>
  <c r="O843" i="1"/>
  <c r="AQ843" i="2"/>
  <c r="AP843" i="2"/>
  <c r="AO843" i="2"/>
  <c r="AN843" i="2"/>
  <c r="K843" i="1"/>
  <c r="AM843" i="2"/>
  <c r="J843" i="1"/>
  <c r="AL843" i="2"/>
  <c r="I843" i="1"/>
  <c r="AK843" i="2"/>
  <c r="AJ843" i="2"/>
  <c r="AI843" i="2"/>
  <c r="AH843" i="2"/>
  <c r="E843" i="1"/>
  <c r="AG843" i="2"/>
  <c r="D843" i="1"/>
  <c r="AF843" i="2"/>
  <c r="C843" i="1"/>
  <c r="AE843" i="2"/>
  <c r="AD843" i="2"/>
  <c r="AA843" i="2"/>
  <c r="Z843" i="2"/>
  <c r="S842" i="1"/>
  <c r="AU842" i="2"/>
  <c r="R842" i="1"/>
  <c r="AT842" i="2"/>
  <c r="Q842" i="1"/>
  <c r="AS842" i="2"/>
  <c r="P842" i="1"/>
  <c r="AR842" i="2"/>
  <c r="O842" i="1"/>
  <c r="AQ842" i="2"/>
  <c r="AP842" i="2"/>
  <c r="AO842" i="2"/>
  <c r="AN842" i="2"/>
  <c r="K842" i="1"/>
  <c r="AM842" i="2"/>
  <c r="J842" i="1"/>
  <c r="AL842" i="2"/>
  <c r="I842" i="1"/>
  <c r="AK842" i="2"/>
  <c r="AJ842" i="2"/>
  <c r="AI842" i="2"/>
  <c r="AH842" i="2"/>
  <c r="E842" i="1"/>
  <c r="AG842" i="2"/>
  <c r="D842" i="1"/>
  <c r="AF842" i="2"/>
  <c r="C842" i="1"/>
  <c r="AE842" i="2"/>
  <c r="AD842" i="2"/>
  <c r="AA842" i="2"/>
  <c r="Z842" i="2"/>
  <c r="S841" i="1"/>
  <c r="AU841" i="2"/>
  <c r="R841" i="1"/>
  <c r="AT841" i="2"/>
  <c r="Q841" i="1"/>
  <c r="AS841" i="2"/>
  <c r="P841" i="1"/>
  <c r="AR841" i="2"/>
  <c r="O841" i="1"/>
  <c r="AQ841" i="2"/>
  <c r="AP841" i="2"/>
  <c r="AO841" i="2"/>
  <c r="AN841" i="2"/>
  <c r="K841" i="1"/>
  <c r="AM841" i="2"/>
  <c r="J841" i="1"/>
  <c r="AL841" i="2"/>
  <c r="I841" i="1"/>
  <c r="AK841" i="2"/>
  <c r="AJ841" i="2"/>
  <c r="AI841" i="2"/>
  <c r="AH841" i="2"/>
  <c r="E841" i="1"/>
  <c r="AG841" i="2"/>
  <c r="D841" i="1"/>
  <c r="AF841" i="2"/>
  <c r="C841" i="1"/>
  <c r="AE841" i="2"/>
  <c r="AD841" i="2"/>
  <c r="AA841" i="2"/>
  <c r="Z841" i="2"/>
  <c r="S840" i="1"/>
  <c r="AU840" i="2"/>
  <c r="R840" i="1"/>
  <c r="AT840" i="2"/>
  <c r="Q840" i="1"/>
  <c r="AS840" i="2"/>
  <c r="P840" i="1"/>
  <c r="AR840" i="2"/>
  <c r="O840" i="1"/>
  <c r="AQ840" i="2"/>
  <c r="AP840" i="2"/>
  <c r="AO840" i="2"/>
  <c r="AN840" i="2"/>
  <c r="K840" i="1"/>
  <c r="AM840" i="2"/>
  <c r="J840" i="1"/>
  <c r="AL840" i="2"/>
  <c r="I840" i="1"/>
  <c r="AK840" i="2"/>
  <c r="AJ840" i="2"/>
  <c r="AI840" i="2"/>
  <c r="AH840" i="2"/>
  <c r="E840" i="1"/>
  <c r="AG840" i="2"/>
  <c r="D840" i="1"/>
  <c r="AF840" i="2"/>
  <c r="C840" i="1"/>
  <c r="AE840" i="2"/>
  <c r="AD840" i="2"/>
  <c r="AA840" i="2"/>
  <c r="Z840" i="2"/>
  <c r="S839" i="1"/>
  <c r="AU839" i="2"/>
  <c r="R839" i="1"/>
  <c r="AT839" i="2"/>
  <c r="Q839" i="1"/>
  <c r="AS839" i="2"/>
  <c r="P839" i="1"/>
  <c r="AR839" i="2"/>
  <c r="O839" i="1"/>
  <c r="AQ839" i="2"/>
  <c r="AP839" i="2"/>
  <c r="AO839" i="2"/>
  <c r="AN839" i="2"/>
  <c r="K839" i="1"/>
  <c r="AM839" i="2"/>
  <c r="J839" i="1"/>
  <c r="AL839" i="2"/>
  <c r="I839" i="1"/>
  <c r="AK839" i="2"/>
  <c r="AJ839" i="2"/>
  <c r="AI839" i="2"/>
  <c r="AH839" i="2"/>
  <c r="E839" i="1"/>
  <c r="AG839" i="2"/>
  <c r="D839" i="1"/>
  <c r="AF839" i="2"/>
  <c r="C839" i="1"/>
  <c r="AE839" i="2"/>
  <c r="AD839" i="2"/>
  <c r="AA839" i="2"/>
  <c r="Z839" i="2"/>
  <c r="S838" i="1"/>
  <c r="AU838" i="2"/>
  <c r="R838" i="1"/>
  <c r="AT838" i="2"/>
  <c r="Q838" i="1"/>
  <c r="AS838" i="2"/>
  <c r="P838" i="1"/>
  <c r="AR838" i="2"/>
  <c r="O838" i="1"/>
  <c r="AQ838" i="2"/>
  <c r="AP838" i="2"/>
  <c r="AO838" i="2"/>
  <c r="AN838" i="2"/>
  <c r="K838" i="1"/>
  <c r="AM838" i="2"/>
  <c r="J838" i="1"/>
  <c r="AL838" i="2"/>
  <c r="I838" i="1"/>
  <c r="AK838" i="2"/>
  <c r="AJ838" i="2"/>
  <c r="AI838" i="2"/>
  <c r="AH838" i="2"/>
  <c r="E838" i="1"/>
  <c r="AG838" i="2"/>
  <c r="D838" i="1"/>
  <c r="AF838" i="2"/>
  <c r="C838" i="1"/>
  <c r="AE838" i="2"/>
  <c r="AD838" i="2"/>
  <c r="AA838" i="2"/>
  <c r="Z838" i="2"/>
  <c r="S837" i="1"/>
  <c r="AU837" i="2"/>
  <c r="R837" i="1"/>
  <c r="AT837" i="2"/>
  <c r="Q837" i="1"/>
  <c r="AS837" i="2"/>
  <c r="P837" i="1"/>
  <c r="AR837" i="2"/>
  <c r="O837" i="1"/>
  <c r="AQ837" i="2"/>
  <c r="AP837" i="2"/>
  <c r="AO837" i="2"/>
  <c r="AN837" i="2"/>
  <c r="K837" i="1"/>
  <c r="AM837" i="2"/>
  <c r="J837" i="1"/>
  <c r="AL837" i="2"/>
  <c r="I837" i="1"/>
  <c r="AK837" i="2"/>
  <c r="AJ837" i="2"/>
  <c r="AI837" i="2"/>
  <c r="AH837" i="2"/>
  <c r="E837" i="1"/>
  <c r="AG837" i="2"/>
  <c r="D837" i="1"/>
  <c r="AF837" i="2"/>
  <c r="C837" i="1"/>
  <c r="AE837" i="2"/>
  <c r="AD837" i="2"/>
  <c r="AA837" i="2"/>
  <c r="Z837" i="2"/>
  <c r="S836" i="1"/>
  <c r="AU836" i="2"/>
  <c r="R836" i="1"/>
  <c r="AT836" i="2"/>
  <c r="Q836" i="1"/>
  <c r="AS836" i="2"/>
  <c r="P836" i="1"/>
  <c r="AR836" i="2"/>
  <c r="O836" i="1"/>
  <c r="AQ836" i="2"/>
  <c r="AP836" i="2"/>
  <c r="AO836" i="2"/>
  <c r="AN836" i="2"/>
  <c r="K836" i="1"/>
  <c r="AM836" i="2"/>
  <c r="J836" i="1"/>
  <c r="AL836" i="2"/>
  <c r="I836" i="1"/>
  <c r="AK836" i="2"/>
  <c r="AJ836" i="2"/>
  <c r="AI836" i="2"/>
  <c r="AH836" i="2"/>
  <c r="E836" i="1"/>
  <c r="AG836" i="2"/>
  <c r="D836" i="1"/>
  <c r="AF836" i="2"/>
  <c r="C836" i="1"/>
  <c r="AE836" i="2"/>
  <c r="AD836" i="2"/>
  <c r="AA836" i="2"/>
  <c r="Z836" i="2"/>
  <c r="S835" i="1"/>
  <c r="AU835" i="2"/>
  <c r="R835" i="1"/>
  <c r="AT835" i="2"/>
  <c r="Q835" i="1"/>
  <c r="AS835" i="2"/>
  <c r="P835" i="1"/>
  <c r="AR835" i="2"/>
  <c r="O835" i="1"/>
  <c r="AQ835" i="2"/>
  <c r="AP835" i="2"/>
  <c r="AO835" i="2"/>
  <c r="AN835" i="2"/>
  <c r="K835" i="1"/>
  <c r="AM835" i="2"/>
  <c r="J835" i="1"/>
  <c r="AL835" i="2"/>
  <c r="I835" i="1"/>
  <c r="AK835" i="2"/>
  <c r="AJ835" i="2"/>
  <c r="AI835" i="2"/>
  <c r="AH835" i="2"/>
  <c r="E835" i="1"/>
  <c r="AG835" i="2"/>
  <c r="D835" i="1"/>
  <c r="AF835" i="2"/>
  <c r="C835" i="1"/>
  <c r="AE835" i="2"/>
  <c r="AD835" i="2"/>
  <c r="AA835" i="2"/>
  <c r="Z835" i="2"/>
  <c r="S834" i="1"/>
  <c r="AU834" i="2"/>
  <c r="R834" i="1"/>
  <c r="AT834" i="2"/>
  <c r="Q834" i="1"/>
  <c r="AS834" i="2"/>
  <c r="P834" i="1"/>
  <c r="AR834" i="2"/>
  <c r="O834" i="1"/>
  <c r="AQ834" i="2"/>
  <c r="AP834" i="2"/>
  <c r="AO834" i="2"/>
  <c r="AN834" i="2"/>
  <c r="K834" i="1"/>
  <c r="AM834" i="2"/>
  <c r="J834" i="1"/>
  <c r="AL834" i="2"/>
  <c r="I834" i="1"/>
  <c r="AK834" i="2"/>
  <c r="AJ834" i="2"/>
  <c r="AI834" i="2"/>
  <c r="AH834" i="2"/>
  <c r="E834" i="1"/>
  <c r="AG834" i="2"/>
  <c r="D834" i="1"/>
  <c r="AF834" i="2"/>
  <c r="C834" i="1"/>
  <c r="AE834" i="2"/>
  <c r="AD834" i="2"/>
  <c r="AA834" i="2"/>
  <c r="Z834" i="2"/>
  <c r="S833" i="1"/>
  <c r="AU833" i="2"/>
  <c r="R833" i="1"/>
  <c r="AT833" i="2"/>
  <c r="Q833" i="1"/>
  <c r="AS833" i="2"/>
  <c r="P833" i="1"/>
  <c r="AR833" i="2"/>
  <c r="O833" i="1"/>
  <c r="AQ833" i="2"/>
  <c r="AP833" i="2"/>
  <c r="AO833" i="2"/>
  <c r="AN833" i="2"/>
  <c r="K833" i="1"/>
  <c r="AM833" i="2"/>
  <c r="J833" i="1"/>
  <c r="AL833" i="2"/>
  <c r="I833" i="1"/>
  <c r="AK833" i="2"/>
  <c r="AJ833" i="2"/>
  <c r="AI833" i="2"/>
  <c r="AH833" i="2"/>
  <c r="E833" i="1"/>
  <c r="AG833" i="2"/>
  <c r="D833" i="1"/>
  <c r="AF833" i="2"/>
  <c r="C833" i="1"/>
  <c r="AE833" i="2"/>
  <c r="AD833" i="2"/>
  <c r="AA833" i="2"/>
  <c r="Z833" i="2"/>
  <c r="S832" i="1"/>
  <c r="AU832" i="2"/>
  <c r="R832" i="1"/>
  <c r="AT832" i="2"/>
  <c r="Q832" i="1"/>
  <c r="AS832" i="2"/>
  <c r="P832" i="1"/>
  <c r="AR832" i="2"/>
  <c r="O832" i="1"/>
  <c r="AQ832" i="2"/>
  <c r="AP832" i="2"/>
  <c r="AO832" i="2"/>
  <c r="AN832" i="2"/>
  <c r="K832" i="1"/>
  <c r="AM832" i="2"/>
  <c r="J832" i="1"/>
  <c r="AL832" i="2"/>
  <c r="I832" i="1"/>
  <c r="AK832" i="2"/>
  <c r="AJ832" i="2"/>
  <c r="AI832" i="2"/>
  <c r="AH832" i="2"/>
  <c r="E832" i="1"/>
  <c r="AG832" i="2"/>
  <c r="D832" i="1"/>
  <c r="AF832" i="2"/>
  <c r="C832" i="1"/>
  <c r="AE832" i="2"/>
  <c r="AD832" i="2"/>
  <c r="AA832" i="2"/>
  <c r="Z832" i="2"/>
  <c r="S831" i="1"/>
  <c r="AU831" i="2"/>
  <c r="R831" i="1"/>
  <c r="AT831" i="2"/>
  <c r="Q831" i="1"/>
  <c r="AS831" i="2"/>
  <c r="P831" i="1"/>
  <c r="AR831" i="2"/>
  <c r="O831" i="1"/>
  <c r="AQ831" i="2"/>
  <c r="AP831" i="2"/>
  <c r="AO831" i="2"/>
  <c r="AN831" i="2"/>
  <c r="K831" i="1"/>
  <c r="AM831" i="2"/>
  <c r="J831" i="1"/>
  <c r="AL831" i="2"/>
  <c r="I831" i="1"/>
  <c r="AK831" i="2"/>
  <c r="AJ831" i="2"/>
  <c r="AI831" i="2"/>
  <c r="AH831" i="2"/>
  <c r="E831" i="1"/>
  <c r="AG831" i="2"/>
  <c r="D831" i="1"/>
  <c r="AF831" i="2"/>
  <c r="C831" i="1"/>
  <c r="AE831" i="2"/>
  <c r="AD831" i="2"/>
  <c r="AA831" i="2"/>
  <c r="Z831" i="2"/>
  <c r="S830" i="1"/>
  <c r="AU830" i="2"/>
  <c r="R830" i="1"/>
  <c r="AT830" i="2"/>
  <c r="Q830" i="1"/>
  <c r="AS830" i="2"/>
  <c r="P830" i="1"/>
  <c r="AR830" i="2"/>
  <c r="O830" i="1"/>
  <c r="AQ830" i="2"/>
  <c r="AP830" i="2"/>
  <c r="AO830" i="2"/>
  <c r="AN830" i="2"/>
  <c r="K830" i="1"/>
  <c r="AM830" i="2"/>
  <c r="J830" i="1"/>
  <c r="AL830" i="2"/>
  <c r="I830" i="1"/>
  <c r="AK830" i="2"/>
  <c r="AJ830" i="2"/>
  <c r="AI830" i="2"/>
  <c r="AH830" i="2"/>
  <c r="E830" i="1"/>
  <c r="AG830" i="2"/>
  <c r="D830" i="1"/>
  <c r="AF830" i="2"/>
  <c r="C830" i="1"/>
  <c r="AE830" i="2"/>
  <c r="AD830" i="2"/>
  <c r="AA830" i="2"/>
  <c r="Z830" i="2"/>
  <c r="S829" i="1"/>
  <c r="AU829" i="2"/>
  <c r="R829" i="1"/>
  <c r="AT829" i="2"/>
  <c r="Q829" i="1"/>
  <c r="AS829" i="2"/>
  <c r="P829" i="1"/>
  <c r="AR829" i="2"/>
  <c r="O829" i="1"/>
  <c r="AQ829" i="2"/>
  <c r="AP829" i="2"/>
  <c r="AO829" i="2"/>
  <c r="AN829" i="2"/>
  <c r="K829" i="1"/>
  <c r="AM829" i="2"/>
  <c r="J829" i="1"/>
  <c r="AL829" i="2"/>
  <c r="I829" i="1"/>
  <c r="AK829" i="2"/>
  <c r="AJ829" i="2"/>
  <c r="AI829" i="2"/>
  <c r="AH829" i="2"/>
  <c r="E829" i="1"/>
  <c r="AG829" i="2"/>
  <c r="D829" i="1"/>
  <c r="AF829" i="2"/>
  <c r="C829" i="1"/>
  <c r="AE829" i="2"/>
  <c r="AD829" i="2"/>
  <c r="AA829" i="2"/>
  <c r="Z829" i="2"/>
  <c r="S828" i="1"/>
  <c r="AU828" i="2"/>
  <c r="R828" i="1"/>
  <c r="AT828" i="2"/>
  <c r="Q828" i="1"/>
  <c r="AS828" i="2"/>
  <c r="P828" i="1"/>
  <c r="AR828" i="2"/>
  <c r="O828" i="1"/>
  <c r="AQ828" i="2"/>
  <c r="AP828" i="2"/>
  <c r="AO828" i="2"/>
  <c r="AN828" i="2"/>
  <c r="K828" i="1"/>
  <c r="AM828" i="2"/>
  <c r="J828" i="1"/>
  <c r="AL828" i="2"/>
  <c r="I828" i="1"/>
  <c r="AK828" i="2"/>
  <c r="AJ828" i="2"/>
  <c r="AI828" i="2"/>
  <c r="AH828" i="2"/>
  <c r="E828" i="1"/>
  <c r="AG828" i="2"/>
  <c r="D828" i="1"/>
  <c r="AF828" i="2"/>
  <c r="C828" i="1"/>
  <c r="AE828" i="2"/>
  <c r="AD828" i="2"/>
  <c r="AA828" i="2"/>
  <c r="Z828" i="2"/>
  <c r="S827" i="1"/>
  <c r="AU827" i="2"/>
  <c r="R827" i="1"/>
  <c r="AT827" i="2"/>
  <c r="Q827" i="1"/>
  <c r="AS827" i="2"/>
  <c r="P827" i="1"/>
  <c r="AR827" i="2"/>
  <c r="O827" i="1"/>
  <c r="AQ827" i="2"/>
  <c r="AP827" i="2"/>
  <c r="AO827" i="2"/>
  <c r="AN827" i="2"/>
  <c r="K827" i="1"/>
  <c r="AM827" i="2"/>
  <c r="J827" i="1"/>
  <c r="AL827" i="2"/>
  <c r="I827" i="1"/>
  <c r="AK827" i="2"/>
  <c r="AJ827" i="2"/>
  <c r="AI827" i="2"/>
  <c r="AH827" i="2"/>
  <c r="E827" i="1"/>
  <c r="AG827" i="2"/>
  <c r="D827" i="1"/>
  <c r="AF827" i="2"/>
  <c r="C827" i="1"/>
  <c r="AE827" i="2"/>
  <c r="AD827" i="2"/>
  <c r="AA827" i="2"/>
  <c r="Z827" i="2"/>
  <c r="S826" i="1"/>
  <c r="AU826" i="2"/>
  <c r="R826" i="1"/>
  <c r="AT826" i="2"/>
  <c r="Q826" i="1"/>
  <c r="AS826" i="2"/>
  <c r="P826" i="1"/>
  <c r="AR826" i="2"/>
  <c r="O826" i="1"/>
  <c r="AQ826" i="2"/>
  <c r="AP826" i="2"/>
  <c r="AO826" i="2"/>
  <c r="AN826" i="2"/>
  <c r="K826" i="1"/>
  <c r="AM826" i="2"/>
  <c r="J826" i="1"/>
  <c r="AL826" i="2"/>
  <c r="I826" i="1"/>
  <c r="AK826" i="2"/>
  <c r="AJ826" i="2"/>
  <c r="AI826" i="2"/>
  <c r="AH826" i="2"/>
  <c r="E826" i="1"/>
  <c r="AG826" i="2"/>
  <c r="D826" i="1"/>
  <c r="AF826" i="2"/>
  <c r="C826" i="1"/>
  <c r="AE826" i="2"/>
  <c r="AD826" i="2"/>
  <c r="AA826" i="2"/>
  <c r="Z826" i="2"/>
  <c r="S825" i="1"/>
  <c r="AU825" i="2"/>
  <c r="R825" i="1"/>
  <c r="AT825" i="2"/>
  <c r="Q825" i="1"/>
  <c r="AS825" i="2"/>
  <c r="P825" i="1"/>
  <c r="AR825" i="2"/>
  <c r="O825" i="1"/>
  <c r="AQ825" i="2"/>
  <c r="AP825" i="2"/>
  <c r="AO825" i="2"/>
  <c r="AN825" i="2"/>
  <c r="K825" i="1"/>
  <c r="AM825" i="2"/>
  <c r="J825" i="1"/>
  <c r="AL825" i="2"/>
  <c r="I825" i="1"/>
  <c r="AK825" i="2"/>
  <c r="AJ825" i="2"/>
  <c r="AI825" i="2"/>
  <c r="AH825" i="2"/>
  <c r="E825" i="1"/>
  <c r="AG825" i="2"/>
  <c r="D825" i="1"/>
  <c r="AF825" i="2"/>
  <c r="C825" i="1"/>
  <c r="AE825" i="2"/>
  <c r="AD825" i="2"/>
  <c r="AA825" i="2"/>
  <c r="Z825" i="2"/>
  <c r="S824" i="1"/>
  <c r="AU824" i="2"/>
  <c r="R824" i="1"/>
  <c r="AT824" i="2"/>
  <c r="Q824" i="1"/>
  <c r="AS824" i="2"/>
  <c r="P824" i="1"/>
  <c r="AR824" i="2"/>
  <c r="O824" i="1"/>
  <c r="AQ824" i="2"/>
  <c r="AP824" i="2"/>
  <c r="AO824" i="2"/>
  <c r="AN824" i="2"/>
  <c r="K824" i="1"/>
  <c r="AM824" i="2"/>
  <c r="J824" i="1"/>
  <c r="AL824" i="2"/>
  <c r="I824" i="1"/>
  <c r="AK824" i="2"/>
  <c r="AJ824" i="2"/>
  <c r="AI824" i="2"/>
  <c r="AH824" i="2"/>
  <c r="E824" i="1"/>
  <c r="AG824" i="2"/>
  <c r="D824" i="1"/>
  <c r="AF824" i="2"/>
  <c r="C824" i="1"/>
  <c r="AE824" i="2"/>
  <c r="AD824" i="2"/>
  <c r="AA824" i="2"/>
  <c r="Z824" i="2"/>
  <c r="S823" i="1"/>
  <c r="AU823" i="2"/>
  <c r="R823" i="1"/>
  <c r="AT823" i="2"/>
  <c r="Q823" i="1"/>
  <c r="AS823" i="2"/>
  <c r="P823" i="1"/>
  <c r="AR823" i="2"/>
  <c r="O823" i="1"/>
  <c r="AQ823" i="2"/>
  <c r="AP823" i="2"/>
  <c r="AO823" i="2"/>
  <c r="AN823" i="2"/>
  <c r="K823" i="1"/>
  <c r="AM823" i="2"/>
  <c r="J823" i="1"/>
  <c r="AL823" i="2"/>
  <c r="I823" i="1"/>
  <c r="AK823" i="2"/>
  <c r="AJ823" i="2"/>
  <c r="AI823" i="2"/>
  <c r="AH823" i="2"/>
  <c r="E823" i="1"/>
  <c r="AG823" i="2"/>
  <c r="D823" i="1"/>
  <c r="AF823" i="2"/>
  <c r="C823" i="1"/>
  <c r="AE823" i="2"/>
  <c r="AD823" i="2"/>
  <c r="AA823" i="2"/>
  <c r="Z823" i="2"/>
  <c r="S822" i="1"/>
  <c r="AU822" i="2"/>
  <c r="R822" i="1"/>
  <c r="AT822" i="2"/>
  <c r="Q822" i="1"/>
  <c r="AS822" i="2"/>
  <c r="P822" i="1"/>
  <c r="AR822" i="2"/>
  <c r="O822" i="1"/>
  <c r="AQ822" i="2"/>
  <c r="AP822" i="2"/>
  <c r="AO822" i="2"/>
  <c r="AN822" i="2"/>
  <c r="K822" i="1"/>
  <c r="AM822" i="2"/>
  <c r="J822" i="1"/>
  <c r="AL822" i="2"/>
  <c r="I822" i="1"/>
  <c r="AK822" i="2"/>
  <c r="AJ822" i="2"/>
  <c r="AI822" i="2"/>
  <c r="AH822" i="2"/>
  <c r="E822" i="1"/>
  <c r="AG822" i="2"/>
  <c r="D822" i="1"/>
  <c r="AF822" i="2"/>
  <c r="C822" i="1"/>
  <c r="AE822" i="2"/>
  <c r="AD822" i="2"/>
  <c r="AA822" i="2"/>
  <c r="Z822" i="2"/>
  <c r="S821" i="1"/>
  <c r="AU821" i="2"/>
  <c r="R821" i="1"/>
  <c r="AT821" i="2"/>
  <c r="Q821" i="1"/>
  <c r="AS821" i="2"/>
  <c r="P821" i="1"/>
  <c r="AR821" i="2"/>
  <c r="O821" i="1"/>
  <c r="AQ821" i="2"/>
  <c r="AP821" i="2"/>
  <c r="AO821" i="2"/>
  <c r="AN821" i="2"/>
  <c r="K821" i="1"/>
  <c r="AM821" i="2"/>
  <c r="J821" i="1"/>
  <c r="AL821" i="2"/>
  <c r="I821" i="1"/>
  <c r="AK821" i="2"/>
  <c r="AJ821" i="2"/>
  <c r="AI821" i="2"/>
  <c r="AH821" i="2"/>
  <c r="E821" i="1"/>
  <c r="AG821" i="2"/>
  <c r="D821" i="1"/>
  <c r="AF821" i="2"/>
  <c r="C821" i="1"/>
  <c r="AE821" i="2"/>
  <c r="AD821" i="2"/>
  <c r="AA821" i="2"/>
  <c r="Z821" i="2"/>
  <c r="S820" i="1"/>
  <c r="AU820" i="2"/>
  <c r="R820" i="1"/>
  <c r="AT820" i="2"/>
  <c r="Q820" i="1"/>
  <c r="AS820" i="2"/>
  <c r="P820" i="1"/>
  <c r="AR820" i="2"/>
  <c r="O820" i="1"/>
  <c r="AQ820" i="2"/>
  <c r="AP820" i="2"/>
  <c r="AO820" i="2"/>
  <c r="AN820" i="2"/>
  <c r="K820" i="1"/>
  <c r="AM820" i="2"/>
  <c r="J820" i="1"/>
  <c r="AL820" i="2"/>
  <c r="I820" i="1"/>
  <c r="AK820" i="2"/>
  <c r="AJ820" i="2"/>
  <c r="AI820" i="2"/>
  <c r="AH820" i="2"/>
  <c r="E820" i="1"/>
  <c r="AG820" i="2"/>
  <c r="D820" i="1"/>
  <c r="AF820" i="2"/>
  <c r="C820" i="1"/>
  <c r="AE820" i="2"/>
  <c r="AD820" i="2"/>
  <c r="AA820" i="2"/>
  <c r="Z820" i="2"/>
  <c r="S819" i="1"/>
  <c r="AU819" i="2"/>
  <c r="R819" i="1"/>
  <c r="AT819" i="2"/>
  <c r="Q819" i="1"/>
  <c r="AS819" i="2"/>
  <c r="P819" i="1"/>
  <c r="AR819" i="2"/>
  <c r="O819" i="1"/>
  <c r="AQ819" i="2"/>
  <c r="AP819" i="2"/>
  <c r="AO819" i="2"/>
  <c r="AN819" i="2"/>
  <c r="K819" i="1"/>
  <c r="AM819" i="2"/>
  <c r="J819" i="1"/>
  <c r="AL819" i="2"/>
  <c r="I819" i="1"/>
  <c r="AK819" i="2"/>
  <c r="AJ819" i="2"/>
  <c r="AI819" i="2"/>
  <c r="AH819" i="2"/>
  <c r="E819" i="1"/>
  <c r="AG819" i="2"/>
  <c r="D819" i="1"/>
  <c r="AF819" i="2"/>
  <c r="C819" i="1"/>
  <c r="AE819" i="2"/>
  <c r="AD819" i="2"/>
  <c r="AA819" i="2"/>
  <c r="Z819" i="2"/>
  <c r="S818" i="1"/>
  <c r="AU818" i="2"/>
  <c r="R818" i="1"/>
  <c r="AT818" i="2"/>
  <c r="Q818" i="1"/>
  <c r="AS818" i="2"/>
  <c r="P818" i="1"/>
  <c r="AR818" i="2"/>
  <c r="O818" i="1"/>
  <c r="AQ818" i="2"/>
  <c r="AP818" i="2"/>
  <c r="AO818" i="2"/>
  <c r="AN818" i="2"/>
  <c r="K818" i="1"/>
  <c r="AM818" i="2"/>
  <c r="J818" i="1"/>
  <c r="AL818" i="2"/>
  <c r="I818" i="1"/>
  <c r="AK818" i="2"/>
  <c r="AJ818" i="2"/>
  <c r="AI818" i="2"/>
  <c r="AH818" i="2"/>
  <c r="E818" i="1"/>
  <c r="AG818" i="2"/>
  <c r="D818" i="1"/>
  <c r="AF818" i="2"/>
  <c r="C818" i="1"/>
  <c r="AE818" i="2"/>
  <c r="AD818" i="2"/>
  <c r="AA818" i="2"/>
  <c r="Z818" i="2"/>
  <c r="S817" i="1"/>
  <c r="AU817" i="2"/>
  <c r="R817" i="1"/>
  <c r="AT817" i="2"/>
  <c r="Q817" i="1"/>
  <c r="AS817" i="2"/>
  <c r="P817" i="1"/>
  <c r="AR817" i="2"/>
  <c r="O817" i="1"/>
  <c r="AQ817" i="2"/>
  <c r="AP817" i="2"/>
  <c r="AO817" i="2"/>
  <c r="AN817" i="2"/>
  <c r="K817" i="1"/>
  <c r="AM817" i="2"/>
  <c r="J817" i="1"/>
  <c r="AL817" i="2"/>
  <c r="I817" i="1"/>
  <c r="AK817" i="2"/>
  <c r="AJ817" i="2"/>
  <c r="AI817" i="2"/>
  <c r="AH817" i="2"/>
  <c r="E817" i="1"/>
  <c r="AG817" i="2"/>
  <c r="D817" i="1"/>
  <c r="AF817" i="2"/>
  <c r="C817" i="1"/>
  <c r="AE817" i="2"/>
  <c r="AD817" i="2"/>
  <c r="AA817" i="2"/>
  <c r="Z817" i="2"/>
  <c r="S816" i="1"/>
  <c r="AU816" i="2"/>
  <c r="R816" i="1"/>
  <c r="AT816" i="2"/>
  <c r="Q816" i="1"/>
  <c r="AS816" i="2"/>
  <c r="P816" i="1"/>
  <c r="AR816" i="2"/>
  <c r="O816" i="1"/>
  <c r="AQ816" i="2"/>
  <c r="AP816" i="2"/>
  <c r="AO816" i="2"/>
  <c r="AN816" i="2"/>
  <c r="K816" i="1"/>
  <c r="AM816" i="2"/>
  <c r="J816" i="1"/>
  <c r="AL816" i="2"/>
  <c r="I816" i="1"/>
  <c r="AK816" i="2"/>
  <c r="AJ816" i="2"/>
  <c r="AI816" i="2"/>
  <c r="AH816" i="2"/>
  <c r="E816" i="1"/>
  <c r="AG816" i="2"/>
  <c r="D816" i="1"/>
  <c r="AF816" i="2"/>
  <c r="C816" i="1"/>
  <c r="AE816" i="2"/>
  <c r="AD816" i="2"/>
  <c r="AA816" i="2"/>
  <c r="Z816" i="2"/>
  <c r="S815" i="1"/>
  <c r="AU815" i="2"/>
  <c r="R815" i="1"/>
  <c r="AT815" i="2"/>
  <c r="Q815" i="1"/>
  <c r="AS815" i="2"/>
  <c r="P815" i="1"/>
  <c r="AR815" i="2"/>
  <c r="O815" i="1"/>
  <c r="AQ815" i="2"/>
  <c r="AP815" i="2"/>
  <c r="AO815" i="2"/>
  <c r="AN815" i="2"/>
  <c r="K815" i="1"/>
  <c r="AM815" i="2"/>
  <c r="J815" i="1"/>
  <c r="AL815" i="2"/>
  <c r="I815" i="1"/>
  <c r="AK815" i="2"/>
  <c r="AJ815" i="2"/>
  <c r="AI815" i="2"/>
  <c r="AH815" i="2"/>
  <c r="E815" i="1"/>
  <c r="AG815" i="2"/>
  <c r="D815" i="1"/>
  <c r="AF815" i="2"/>
  <c r="C815" i="1"/>
  <c r="AE815" i="2"/>
  <c r="AD815" i="2"/>
  <c r="AA815" i="2"/>
  <c r="Z815" i="2"/>
  <c r="S814" i="1"/>
  <c r="AU814" i="2"/>
  <c r="R814" i="1"/>
  <c r="AT814" i="2"/>
  <c r="Q814" i="1"/>
  <c r="AS814" i="2"/>
  <c r="P814" i="1"/>
  <c r="AR814" i="2"/>
  <c r="O814" i="1"/>
  <c r="AQ814" i="2"/>
  <c r="AP814" i="2"/>
  <c r="AO814" i="2"/>
  <c r="AN814" i="2"/>
  <c r="K814" i="1"/>
  <c r="AM814" i="2"/>
  <c r="J814" i="1"/>
  <c r="AL814" i="2"/>
  <c r="I814" i="1"/>
  <c r="AK814" i="2"/>
  <c r="AJ814" i="2"/>
  <c r="AI814" i="2"/>
  <c r="AH814" i="2"/>
  <c r="E814" i="1"/>
  <c r="AG814" i="2"/>
  <c r="D814" i="1"/>
  <c r="AF814" i="2"/>
  <c r="C814" i="1"/>
  <c r="AE814" i="2"/>
  <c r="AD814" i="2"/>
  <c r="AA814" i="2"/>
  <c r="Z814" i="2"/>
  <c r="S813" i="1"/>
  <c r="AU813" i="2"/>
  <c r="R813" i="1"/>
  <c r="AT813" i="2"/>
  <c r="Q813" i="1"/>
  <c r="AS813" i="2"/>
  <c r="P813" i="1"/>
  <c r="AR813" i="2"/>
  <c r="O813" i="1"/>
  <c r="AQ813" i="2"/>
  <c r="AP813" i="2"/>
  <c r="AO813" i="2"/>
  <c r="AN813" i="2"/>
  <c r="K813" i="1"/>
  <c r="AM813" i="2"/>
  <c r="J813" i="1"/>
  <c r="AL813" i="2"/>
  <c r="I813" i="1"/>
  <c r="AK813" i="2"/>
  <c r="AJ813" i="2"/>
  <c r="AI813" i="2"/>
  <c r="AH813" i="2"/>
  <c r="E813" i="1"/>
  <c r="AG813" i="2"/>
  <c r="D813" i="1"/>
  <c r="AF813" i="2"/>
  <c r="C813" i="1"/>
  <c r="AE813" i="2"/>
  <c r="AD813" i="2"/>
  <c r="AA813" i="2"/>
  <c r="Z813" i="2"/>
  <c r="S812" i="1"/>
  <c r="AU812" i="2"/>
  <c r="R812" i="1"/>
  <c r="AT812" i="2"/>
  <c r="Q812" i="1"/>
  <c r="AS812" i="2"/>
  <c r="P812" i="1"/>
  <c r="AR812" i="2"/>
  <c r="O812" i="1"/>
  <c r="AQ812" i="2"/>
  <c r="AP812" i="2"/>
  <c r="AO812" i="2"/>
  <c r="AN812" i="2"/>
  <c r="K812" i="1"/>
  <c r="AM812" i="2"/>
  <c r="J812" i="1"/>
  <c r="AL812" i="2"/>
  <c r="I812" i="1"/>
  <c r="AK812" i="2"/>
  <c r="AJ812" i="2"/>
  <c r="AI812" i="2"/>
  <c r="AH812" i="2"/>
  <c r="E812" i="1"/>
  <c r="AG812" i="2"/>
  <c r="D812" i="1"/>
  <c r="AF812" i="2"/>
  <c r="C812" i="1"/>
  <c r="AE812" i="2"/>
  <c r="AD812" i="2"/>
  <c r="AA812" i="2"/>
  <c r="Z812" i="2"/>
  <c r="S811" i="1"/>
  <c r="AU811" i="2"/>
  <c r="R811" i="1"/>
  <c r="AT811" i="2"/>
  <c r="Q811" i="1"/>
  <c r="AS811" i="2"/>
  <c r="P811" i="1"/>
  <c r="AR811" i="2"/>
  <c r="O811" i="1"/>
  <c r="AQ811" i="2"/>
  <c r="AP811" i="2"/>
  <c r="AO811" i="2"/>
  <c r="AN811" i="2"/>
  <c r="K811" i="1"/>
  <c r="AM811" i="2"/>
  <c r="J811" i="1"/>
  <c r="AL811" i="2"/>
  <c r="I811" i="1"/>
  <c r="AK811" i="2"/>
  <c r="AJ811" i="2"/>
  <c r="AI811" i="2"/>
  <c r="AH811" i="2"/>
  <c r="E811" i="1"/>
  <c r="AG811" i="2"/>
  <c r="D811" i="1"/>
  <c r="AF811" i="2"/>
  <c r="C811" i="1"/>
  <c r="AE811" i="2"/>
  <c r="AD811" i="2"/>
  <c r="AA811" i="2"/>
  <c r="Z811" i="2"/>
  <c r="S810" i="1"/>
  <c r="AU810" i="2"/>
  <c r="R810" i="1"/>
  <c r="AT810" i="2"/>
  <c r="Q810" i="1"/>
  <c r="AS810" i="2"/>
  <c r="P810" i="1"/>
  <c r="AR810" i="2"/>
  <c r="O810" i="1"/>
  <c r="AQ810" i="2"/>
  <c r="AP810" i="2"/>
  <c r="AO810" i="2"/>
  <c r="AN810" i="2"/>
  <c r="K810" i="1"/>
  <c r="AM810" i="2"/>
  <c r="J810" i="1"/>
  <c r="AL810" i="2"/>
  <c r="I810" i="1"/>
  <c r="AK810" i="2"/>
  <c r="AJ810" i="2"/>
  <c r="AI810" i="2"/>
  <c r="AH810" i="2"/>
  <c r="E810" i="1"/>
  <c r="AG810" i="2"/>
  <c r="D810" i="1"/>
  <c r="AF810" i="2"/>
  <c r="C810" i="1"/>
  <c r="AE810" i="2"/>
  <c r="AD810" i="2"/>
  <c r="AA810" i="2"/>
  <c r="Z810" i="2"/>
  <c r="S809" i="1"/>
  <c r="AU809" i="2"/>
  <c r="R809" i="1"/>
  <c r="AT809" i="2"/>
  <c r="Q809" i="1"/>
  <c r="AS809" i="2"/>
  <c r="P809" i="1"/>
  <c r="AR809" i="2"/>
  <c r="O809" i="1"/>
  <c r="AQ809" i="2"/>
  <c r="AP809" i="2"/>
  <c r="AO809" i="2"/>
  <c r="AN809" i="2"/>
  <c r="K809" i="1"/>
  <c r="AM809" i="2"/>
  <c r="J809" i="1"/>
  <c r="AL809" i="2"/>
  <c r="I809" i="1"/>
  <c r="AK809" i="2"/>
  <c r="AJ809" i="2"/>
  <c r="AI809" i="2"/>
  <c r="AH809" i="2"/>
  <c r="E809" i="1"/>
  <c r="AG809" i="2"/>
  <c r="D809" i="1"/>
  <c r="AF809" i="2"/>
  <c r="C809" i="1"/>
  <c r="AE809" i="2"/>
  <c r="AD809" i="2"/>
  <c r="AA809" i="2"/>
  <c r="Z809" i="2"/>
  <c r="S808" i="1"/>
  <c r="AU808" i="2"/>
  <c r="R808" i="1"/>
  <c r="AT808" i="2"/>
  <c r="Q808" i="1"/>
  <c r="AS808" i="2"/>
  <c r="P808" i="1"/>
  <c r="AR808" i="2"/>
  <c r="O808" i="1"/>
  <c r="AQ808" i="2"/>
  <c r="AP808" i="2"/>
  <c r="AO808" i="2"/>
  <c r="AN808" i="2"/>
  <c r="K808" i="1"/>
  <c r="AM808" i="2"/>
  <c r="J808" i="1"/>
  <c r="AL808" i="2"/>
  <c r="I808" i="1"/>
  <c r="AK808" i="2"/>
  <c r="AJ808" i="2"/>
  <c r="AI808" i="2"/>
  <c r="AH808" i="2"/>
  <c r="E808" i="1"/>
  <c r="AG808" i="2"/>
  <c r="D808" i="1"/>
  <c r="AF808" i="2"/>
  <c r="C808" i="1"/>
  <c r="AE808" i="2"/>
  <c r="AD808" i="2"/>
  <c r="AA808" i="2"/>
  <c r="Z808" i="2"/>
  <c r="S807" i="1"/>
  <c r="AU807" i="2"/>
  <c r="R807" i="1"/>
  <c r="AT807" i="2"/>
  <c r="Q807" i="1"/>
  <c r="AS807" i="2"/>
  <c r="P807" i="1"/>
  <c r="AR807" i="2"/>
  <c r="O807" i="1"/>
  <c r="AQ807" i="2"/>
  <c r="AP807" i="2"/>
  <c r="AO807" i="2"/>
  <c r="AN807" i="2"/>
  <c r="K807" i="1"/>
  <c r="AM807" i="2"/>
  <c r="J807" i="1"/>
  <c r="AL807" i="2"/>
  <c r="I807" i="1"/>
  <c r="AK807" i="2"/>
  <c r="AJ807" i="2"/>
  <c r="AI807" i="2"/>
  <c r="AH807" i="2"/>
  <c r="E807" i="1"/>
  <c r="AG807" i="2"/>
  <c r="D807" i="1"/>
  <c r="AF807" i="2"/>
  <c r="C807" i="1"/>
  <c r="AE807" i="2"/>
  <c r="AD807" i="2"/>
  <c r="AA807" i="2"/>
  <c r="Z807" i="2"/>
  <c r="S806" i="1"/>
  <c r="AU806" i="2"/>
  <c r="R806" i="1"/>
  <c r="AT806" i="2"/>
  <c r="Q806" i="1"/>
  <c r="AS806" i="2"/>
  <c r="P806" i="1"/>
  <c r="AR806" i="2"/>
  <c r="O806" i="1"/>
  <c r="AQ806" i="2"/>
  <c r="AP806" i="2"/>
  <c r="AO806" i="2"/>
  <c r="AN806" i="2"/>
  <c r="K806" i="1"/>
  <c r="AM806" i="2"/>
  <c r="J806" i="1"/>
  <c r="AL806" i="2"/>
  <c r="I806" i="1"/>
  <c r="AK806" i="2"/>
  <c r="AJ806" i="2"/>
  <c r="AI806" i="2"/>
  <c r="AH806" i="2"/>
  <c r="E806" i="1"/>
  <c r="AG806" i="2"/>
  <c r="D806" i="1"/>
  <c r="AF806" i="2"/>
  <c r="C806" i="1"/>
  <c r="AE806" i="2"/>
  <c r="AD806" i="2"/>
  <c r="AA806" i="2"/>
  <c r="Z806" i="2"/>
  <c r="S805" i="1"/>
  <c r="AU805" i="2"/>
  <c r="R805" i="1"/>
  <c r="AT805" i="2"/>
  <c r="Q805" i="1"/>
  <c r="AS805" i="2"/>
  <c r="P805" i="1"/>
  <c r="AR805" i="2"/>
  <c r="O805" i="1"/>
  <c r="AQ805" i="2"/>
  <c r="AP805" i="2"/>
  <c r="AO805" i="2"/>
  <c r="AN805" i="2"/>
  <c r="K805" i="1"/>
  <c r="AM805" i="2"/>
  <c r="J805" i="1"/>
  <c r="AL805" i="2"/>
  <c r="I805" i="1"/>
  <c r="AK805" i="2"/>
  <c r="AJ805" i="2"/>
  <c r="AI805" i="2"/>
  <c r="AH805" i="2"/>
  <c r="E805" i="1"/>
  <c r="AG805" i="2"/>
  <c r="D805" i="1"/>
  <c r="AF805" i="2"/>
  <c r="C805" i="1"/>
  <c r="AE805" i="2"/>
  <c r="AD805" i="2"/>
  <c r="AA805" i="2"/>
  <c r="Z805" i="2"/>
  <c r="S804" i="1"/>
  <c r="AU804" i="2"/>
  <c r="R804" i="1"/>
  <c r="AT804" i="2"/>
  <c r="Q804" i="1"/>
  <c r="AS804" i="2"/>
  <c r="P804" i="1"/>
  <c r="AR804" i="2"/>
  <c r="O804" i="1"/>
  <c r="AQ804" i="2"/>
  <c r="AP804" i="2"/>
  <c r="AO804" i="2"/>
  <c r="AN804" i="2"/>
  <c r="K804" i="1"/>
  <c r="AM804" i="2"/>
  <c r="J804" i="1"/>
  <c r="AL804" i="2"/>
  <c r="I804" i="1"/>
  <c r="AK804" i="2"/>
  <c r="AJ804" i="2"/>
  <c r="AI804" i="2"/>
  <c r="AH804" i="2"/>
  <c r="E804" i="1"/>
  <c r="AG804" i="2"/>
  <c r="D804" i="1"/>
  <c r="AF804" i="2"/>
  <c r="C804" i="1"/>
  <c r="AE804" i="2"/>
  <c r="AD804" i="2"/>
  <c r="AA804" i="2"/>
  <c r="Z804" i="2"/>
  <c r="S803" i="1"/>
  <c r="AU803" i="2"/>
  <c r="R803" i="1"/>
  <c r="AT803" i="2"/>
  <c r="Q803" i="1"/>
  <c r="AS803" i="2"/>
  <c r="P803" i="1"/>
  <c r="AR803" i="2"/>
  <c r="O803" i="1"/>
  <c r="AQ803" i="2"/>
  <c r="AP803" i="2"/>
  <c r="AO803" i="2"/>
  <c r="AN803" i="2"/>
  <c r="K803" i="1"/>
  <c r="AM803" i="2"/>
  <c r="J803" i="1"/>
  <c r="AL803" i="2"/>
  <c r="I803" i="1"/>
  <c r="AK803" i="2"/>
  <c r="AJ803" i="2"/>
  <c r="AI803" i="2"/>
  <c r="AH803" i="2"/>
  <c r="E803" i="1"/>
  <c r="AG803" i="2"/>
  <c r="D803" i="1"/>
  <c r="AF803" i="2"/>
  <c r="C803" i="1"/>
  <c r="AE803" i="2"/>
  <c r="AD803" i="2"/>
  <c r="AA803" i="2"/>
  <c r="Z803" i="2"/>
  <c r="S802" i="1"/>
  <c r="AU802" i="2"/>
  <c r="R802" i="1"/>
  <c r="AT802" i="2"/>
  <c r="Q802" i="1"/>
  <c r="AS802" i="2"/>
  <c r="P802" i="1"/>
  <c r="AR802" i="2"/>
  <c r="O802" i="1"/>
  <c r="AQ802" i="2"/>
  <c r="AP802" i="2"/>
  <c r="AO802" i="2"/>
  <c r="AN802" i="2"/>
  <c r="K802" i="1"/>
  <c r="AM802" i="2"/>
  <c r="J802" i="1"/>
  <c r="AL802" i="2"/>
  <c r="I802" i="1"/>
  <c r="AK802" i="2"/>
  <c r="AJ802" i="2"/>
  <c r="AI802" i="2"/>
  <c r="AH802" i="2"/>
  <c r="E802" i="1"/>
  <c r="AG802" i="2"/>
  <c r="D802" i="1"/>
  <c r="AF802" i="2"/>
  <c r="C802" i="1"/>
  <c r="AE802" i="2"/>
  <c r="AD802" i="2"/>
  <c r="AA802" i="2"/>
  <c r="Z802" i="2"/>
  <c r="S801" i="1"/>
  <c r="AU801" i="2"/>
  <c r="R801" i="1"/>
  <c r="AT801" i="2"/>
  <c r="Q801" i="1"/>
  <c r="AS801" i="2"/>
  <c r="P801" i="1"/>
  <c r="AR801" i="2"/>
  <c r="O801" i="1"/>
  <c r="AQ801" i="2"/>
  <c r="AP801" i="2"/>
  <c r="AO801" i="2"/>
  <c r="AN801" i="2"/>
  <c r="K801" i="1"/>
  <c r="AM801" i="2"/>
  <c r="J801" i="1"/>
  <c r="AL801" i="2"/>
  <c r="I801" i="1"/>
  <c r="AK801" i="2"/>
  <c r="AJ801" i="2"/>
  <c r="AI801" i="2"/>
  <c r="AH801" i="2"/>
  <c r="E801" i="1"/>
  <c r="AG801" i="2"/>
  <c r="D801" i="1"/>
  <c r="AF801" i="2"/>
  <c r="C801" i="1"/>
  <c r="AE801" i="2"/>
  <c r="AD801" i="2"/>
  <c r="AA801" i="2"/>
  <c r="Z801" i="2"/>
  <c r="S800" i="1"/>
  <c r="AU800" i="2"/>
  <c r="R800" i="1"/>
  <c r="AT800" i="2"/>
  <c r="Q800" i="1"/>
  <c r="AS800" i="2"/>
  <c r="P800" i="1"/>
  <c r="AR800" i="2"/>
  <c r="O800" i="1"/>
  <c r="AQ800" i="2"/>
  <c r="AP800" i="2"/>
  <c r="AO800" i="2"/>
  <c r="AN800" i="2"/>
  <c r="K800" i="1"/>
  <c r="AM800" i="2"/>
  <c r="J800" i="1"/>
  <c r="AL800" i="2"/>
  <c r="I800" i="1"/>
  <c r="AK800" i="2"/>
  <c r="AJ800" i="2"/>
  <c r="AI800" i="2"/>
  <c r="AH800" i="2"/>
  <c r="E800" i="1"/>
  <c r="AG800" i="2"/>
  <c r="D800" i="1"/>
  <c r="AF800" i="2"/>
  <c r="C800" i="1"/>
  <c r="AE800" i="2"/>
  <c r="AD800" i="2"/>
  <c r="AA800" i="2"/>
  <c r="Z800" i="2"/>
  <c r="S799" i="1"/>
  <c r="AU799" i="2"/>
  <c r="R799" i="1"/>
  <c r="AT799" i="2"/>
  <c r="Q799" i="1"/>
  <c r="AS799" i="2"/>
  <c r="P799" i="1"/>
  <c r="AR799" i="2"/>
  <c r="O799" i="1"/>
  <c r="AQ799" i="2"/>
  <c r="AP799" i="2"/>
  <c r="AO799" i="2"/>
  <c r="AN799" i="2"/>
  <c r="K799" i="1"/>
  <c r="AM799" i="2"/>
  <c r="J799" i="1"/>
  <c r="AL799" i="2"/>
  <c r="I799" i="1"/>
  <c r="AK799" i="2"/>
  <c r="AJ799" i="2"/>
  <c r="AI799" i="2"/>
  <c r="AH799" i="2"/>
  <c r="E799" i="1"/>
  <c r="AG799" i="2"/>
  <c r="D799" i="1"/>
  <c r="AF799" i="2"/>
  <c r="C799" i="1"/>
  <c r="AE799" i="2"/>
  <c r="AD799" i="2"/>
  <c r="AA799" i="2"/>
  <c r="Z799" i="2"/>
  <c r="S798" i="1"/>
  <c r="AU798" i="2"/>
  <c r="R798" i="1"/>
  <c r="AT798" i="2"/>
  <c r="Q798" i="1"/>
  <c r="AS798" i="2"/>
  <c r="P798" i="1"/>
  <c r="AR798" i="2"/>
  <c r="O798" i="1"/>
  <c r="AQ798" i="2"/>
  <c r="AP798" i="2"/>
  <c r="AO798" i="2"/>
  <c r="AN798" i="2"/>
  <c r="K798" i="1"/>
  <c r="AM798" i="2"/>
  <c r="J798" i="1"/>
  <c r="AL798" i="2"/>
  <c r="I798" i="1"/>
  <c r="AK798" i="2"/>
  <c r="AJ798" i="2"/>
  <c r="AI798" i="2"/>
  <c r="AH798" i="2"/>
  <c r="E798" i="1"/>
  <c r="AG798" i="2"/>
  <c r="D798" i="1"/>
  <c r="AF798" i="2"/>
  <c r="C798" i="1"/>
  <c r="AE798" i="2"/>
  <c r="AD798" i="2"/>
  <c r="AA798" i="2"/>
  <c r="Z798" i="2"/>
  <c r="S797" i="1"/>
  <c r="AU797" i="2"/>
  <c r="R797" i="1"/>
  <c r="AT797" i="2"/>
  <c r="Q797" i="1"/>
  <c r="AS797" i="2"/>
  <c r="P797" i="1"/>
  <c r="AR797" i="2"/>
  <c r="O797" i="1"/>
  <c r="AQ797" i="2"/>
  <c r="AP797" i="2"/>
  <c r="AO797" i="2"/>
  <c r="AN797" i="2"/>
  <c r="K797" i="1"/>
  <c r="AM797" i="2"/>
  <c r="J797" i="1"/>
  <c r="AL797" i="2"/>
  <c r="I797" i="1"/>
  <c r="AK797" i="2"/>
  <c r="AJ797" i="2"/>
  <c r="AI797" i="2"/>
  <c r="AH797" i="2"/>
  <c r="E797" i="1"/>
  <c r="AG797" i="2"/>
  <c r="D797" i="1"/>
  <c r="AF797" i="2"/>
  <c r="C797" i="1"/>
  <c r="AE797" i="2"/>
  <c r="AD797" i="2"/>
  <c r="AA797" i="2"/>
  <c r="Z797" i="2"/>
  <c r="S796" i="1"/>
  <c r="AU796" i="2"/>
  <c r="R796" i="1"/>
  <c r="AT796" i="2"/>
  <c r="Q796" i="1"/>
  <c r="AS796" i="2"/>
  <c r="P796" i="1"/>
  <c r="AR796" i="2"/>
  <c r="O796" i="1"/>
  <c r="AQ796" i="2"/>
  <c r="AP796" i="2"/>
  <c r="AO796" i="2"/>
  <c r="AN796" i="2"/>
  <c r="K796" i="1"/>
  <c r="AM796" i="2"/>
  <c r="J796" i="1"/>
  <c r="AL796" i="2"/>
  <c r="I796" i="1"/>
  <c r="AK796" i="2"/>
  <c r="AJ796" i="2"/>
  <c r="AI796" i="2"/>
  <c r="AH796" i="2"/>
  <c r="E796" i="1"/>
  <c r="AG796" i="2"/>
  <c r="D796" i="1"/>
  <c r="AF796" i="2"/>
  <c r="C796" i="1"/>
  <c r="AE796" i="2"/>
  <c r="AD796" i="2"/>
  <c r="AA796" i="2"/>
  <c r="Z796" i="2"/>
  <c r="S795" i="1"/>
  <c r="AU795" i="2"/>
  <c r="R795" i="1"/>
  <c r="AT795" i="2"/>
  <c r="Q795" i="1"/>
  <c r="AS795" i="2"/>
  <c r="P795" i="1"/>
  <c r="AR795" i="2"/>
  <c r="O795" i="1"/>
  <c r="AQ795" i="2"/>
  <c r="AP795" i="2"/>
  <c r="AO795" i="2"/>
  <c r="AN795" i="2"/>
  <c r="K795" i="1"/>
  <c r="AM795" i="2"/>
  <c r="J795" i="1"/>
  <c r="AL795" i="2"/>
  <c r="I795" i="1"/>
  <c r="AK795" i="2"/>
  <c r="AJ795" i="2"/>
  <c r="AI795" i="2"/>
  <c r="AH795" i="2"/>
  <c r="E795" i="1"/>
  <c r="AG795" i="2"/>
  <c r="D795" i="1"/>
  <c r="AF795" i="2"/>
  <c r="C795" i="1"/>
  <c r="AE795" i="2"/>
  <c r="AD795" i="2"/>
  <c r="AA795" i="2"/>
  <c r="Z795" i="2"/>
  <c r="S794" i="1"/>
  <c r="AU794" i="2"/>
  <c r="R794" i="1"/>
  <c r="AT794" i="2"/>
  <c r="Q794" i="1"/>
  <c r="AS794" i="2"/>
  <c r="P794" i="1"/>
  <c r="AR794" i="2"/>
  <c r="O794" i="1"/>
  <c r="AQ794" i="2"/>
  <c r="AP794" i="2"/>
  <c r="AO794" i="2"/>
  <c r="AN794" i="2"/>
  <c r="K794" i="1"/>
  <c r="AM794" i="2"/>
  <c r="J794" i="1"/>
  <c r="AL794" i="2"/>
  <c r="I794" i="1"/>
  <c r="AK794" i="2"/>
  <c r="AJ794" i="2"/>
  <c r="AI794" i="2"/>
  <c r="AH794" i="2"/>
  <c r="E794" i="1"/>
  <c r="AG794" i="2"/>
  <c r="D794" i="1"/>
  <c r="AF794" i="2"/>
  <c r="C794" i="1"/>
  <c r="AE794" i="2"/>
  <c r="AD794" i="2"/>
  <c r="AA794" i="2"/>
  <c r="Z794" i="2"/>
  <c r="S793" i="1"/>
  <c r="AU793" i="2"/>
  <c r="R793" i="1"/>
  <c r="AT793" i="2"/>
  <c r="Q793" i="1"/>
  <c r="AS793" i="2"/>
  <c r="P793" i="1"/>
  <c r="AR793" i="2"/>
  <c r="O793" i="1"/>
  <c r="AQ793" i="2"/>
  <c r="AP793" i="2"/>
  <c r="AO793" i="2"/>
  <c r="AN793" i="2"/>
  <c r="K793" i="1"/>
  <c r="AM793" i="2"/>
  <c r="J793" i="1"/>
  <c r="AL793" i="2"/>
  <c r="I793" i="1"/>
  <c r="AK793" i="2"/>
  <c r="AJ793" i="2"/>
  <c r="AI793" i="2"/>
  <c r="AH793" i="2"/>
  <c r="E793" i="1"/>
  <c r="AG793" i="2"/>
  <c r="D793" i="1"/>
  <c r="AF793" i="2"/>
  <c r="C793" i="1"/>
  <c r="AE793" i="2"/>
  <c r="AD793" i="2"/>
  <c r="AA793" i="2"/>
  <c r="Z793" i="2"/>
  <c r="S792" i="1"/>
  <c r="AU792" i="2"/>
  <c r="R792" i="1"/>
  <c r="AT792" i="2"/>
  <c r="Q792" i="1"/>
  <c r="AS792" i="2"/>
  <c r="P792" i="1"/>
  <c r="AR792" i="2"/>
  <c r="O792" i="1"/>
  <c r="AQ792" i="2"/>
  <c r="AP792" i="2"/>
  <c r="AO792" i="2"/>
  <c r="AN792" i="2"/>
  <c r="K792" i="1"/>
  <c r="AM792" i="2"/>
  <c r="J792" i="1"/>
  <c r="AL792" i="2"/>
  <c r="I792" i="1"/>
  <c r="AK792" i="2"/>
  <c r="AJ792" i="2"/>
  <c r="AI792" i="2"/>
  <c r="AH792" i="2"/>
  <c r="E792" i="1"/>
  <c r="AG792" i="2"/>
  <c r="D792" i="1"/>
  <c r="AF792" i="2"/>
  <c r="C792" i="1"/>
  <c r="AE792" i="2"/>
  <c r="AD792" i="2"/>
  <c r="AA792" i="2"/>
  <c r="Z792" i="2"/>
  <c r="S791" i="1"/>
  <c r="AU791" i="2"/>
  <c r="R791" i="1"/>
  <c r="AT791" i="2"/>
  <c r="Q791" i="1"/>
  <c r="AS791" i="2"/>
  <c r="P791" i="1"/>
  <c r="AR791" i="2"/>
  <c r="O791" i="1"/>
  <c r="AQ791" i="2"/>
  <c r="AP791" i="2"/>
  <c r="AO791" i="2"/>
  <c r="AN791" i="2"/>
  <c r="K791" i="1"/>
  <c r="AM791" i="2"/>
  <c r="J791" i="1"/>
  <c r="AL791" i="2"/>
  <c r="I791" i="1"/>
  <c r="AK791" i="2"/>
  <c r="AJ791" i="2"/>
  <c r="AI791" i="2"/>
  <c r="AH791" i="2"/>
  <c r="E791" i="1"/>
  <c r="AG791" i="2"/>
  <c r="D791" i="1"/>
  <c r="AF791" i="2"/>
  <c r="C791" i="1"/>
  <c r="AE791" i="2"/>
  <c r="AD791" i="2"/>
  <c r="AA791" i="2"/>
  <c r="Z791" i="2"/>
  <c r="S790" i="1"/>
  <c r="AU790" i="2"/>
  <c r="R790" i="1"/>
  <c r="AT790" i="2"/>
  <c r="Q790" i="1"/>
  <c r="AS790" i="2"/>
  <c r="P790" i="1"/>
  <c r="AR790" i="2"/>
  <c r="O790" i="1"/>
  <c r="AQ790" i="2"/>
  <c r="AP790" i="2"/>
  <c r="AO790" i="2"/>
  <c r="AN790" i="2"/>
  <c r="K790" i="1"/>
  <c r="AM790" i="2"/>
  <c r="J790" i="1"/>
  <c r="AL790" i="2"/>
  <c r="I790" i="1"/>
  <c r="AK790" i="2"/>
  <c r="AJ790" i="2"/>
  <c r="AI790" i="2"/>
  <c r="AH790" i="2"/>
  <c r="E790" i="1"/>
  <c r="AG790" i="2"/>
  <c r="D790" i="1"/>
  <c r="AF790" i="2"/>
  <c r="C790" i="1"/>
  <c r="AE790" i="2"/>
  <c r="AD790" i="2"/>
  <c r="AA790" i="2"/>
  <c r="Z790" i="2"/>
  <c r="S789" i="1"/>
  <c r="AU789" i="2"/>
  <c r="R789" i="1"/>
  <c r="AT789" i="2"/>
  <c r="Q789" i="1"/>
  <c r="AS789" i="2"/>
  <c r="P789" i="1"/>
  <c r="AR789" i="2"/>
  <c r="O789" i="1"/>
  <c r="AQ789" i="2"/>
  <c r="AP789" i="2"/>
  <c r="AO789" i="2"/>
  <c r="AN789" i="2"/>
  <c r="K789" i="1"/>
  <c r="AM789" i="2"/>
  <c r="J789" i="1"/>
  <c r="AL789" i="2"/>
  <c r="I789" i="1"/>
  <c r="AK789" i="2"/>
  <c r="AJ789" i="2"/>
  <c r="AI789" i="2"/>
  <c r="AH789" i="2"/>
  <c r="E789" i="1"/>
  <c r="AG789" i="2"/>
  <c r="D789" i="1"/>
  <c r="AF789" i="2"/>
  <c r="C789" i="1"/>
  <c r="AE789" i="2"/>
  <c r="AD789" i="2"/>
  <c r="AA789" i="2"/>
  <c r="Z789" i="2"/>
  <c r="S788" i="1"/>
  <c r="AU788" i="2"/>
  <c r="R788" i="1"/>
  <c r="AT788" i="2"/>
  <c r="Q788" i="1"/>
  <c r="AS788" i="2"/>
  <c r="P788" i="1"/>
  <c r="AR788" i="2"/>
  <c r="O788" i="1"/>
  <c r="AQ788" i="2"/>
  <c r="AP788" i="2"/>
  <c r="AO788" i="2"/>
  <c r="AN788" i="2"/>
  <c r="K788" i="1"/>
  <c r="AM788" i="2"/>
  <c r="J788" i="1"/>
  <c r="AL788" i="2"/>
  <c r="I788" i="1"/>
  <c r="AK788" i="2"/>
  <c r="AJ788" i="2"/>
  <c r="AI788" i="2"/>
  <c r="AH788" i="2"/>
  <c r="E788" i="1"/>
  <c r="AG788" i="2"/>
  <c r="D788" i="1"/>
  <c r="AF788" i="2"/>
  <c r="C788" i="1"/>
  <c r="AE788" i="2"/>
  <c r="AD788" i="2"/>
  <c r="AA788" i="2"/>
  <c r="Z788" i="2"/>
  <c r="S787" i="1"/>
  <c r="AU787" i="2"/>
  <c r="R787" i="1"/>
  <c r="AT787" i="2"/>
  <c r="Q787" i="1"/>
  <c r="AS787" i="2"/>
  <c r="P787" i="1"/>
  <c r="AR787" i="2"/>
  <c r="O787" i="1"/>
  <c r="AQ787" i="2"/>
  <c r="AP787" i="2"/>
  <c r="AO787" i="2"/>
  <c r="AN787" i="2"/>
  <c r="K787" i="1"/>
  <c r="AM787" i="2"/>
  <c r="J787" i="1"/>
  <c r="AL787" i="2"/>
  <c r="I787" i="1"/>
  <c r="AK787" i="2"/>
  <c r="AJ787" i="2"/>
  <c r="AI787" i="2"/>
  <c r="AH787" i="2"/>
  <c r="E787" i="1"/>
  <c r="AG787" i="2"/>
  <c r="D787" i="1"/>
  <c r="AF787" i="2"/>
  <c r="C787" i="1"/>
  <c r="AE787" i="2"/>
  <c r="AD787" i="2"/>
  <c r="AA787" i="2"/>
  <c r="Z787" i="2"/>
  <c r="S786" i="1"/>
  <c r="AU786" i="2"/>
  <c r="R786" i="1"/>
  <c r="AT786" i="2"/>
  <c r="Q786" i="1"/>
  <c r="AS786" i="2"/>
  <c r="P786" i="1"/>
  <c r="AR786" i="2"/>
  <c r="O786" i="1"/>
  <c r="AQ786" i="2"/>
  <c r="AP786" i="2"/>
  <c r="AO786" i="2"/>
  <c r="AN786" i="2"/>
  <c r="K786" i="1"/>
  <c r="AM786" i="2"/>
  <c r="J786" i="1"/>
  <c r="AL786" i="2"/>
  <c r="I786" i="1"/>
  <c r="AK786" i="2"/>
  <c r="AJ786" i="2"/>
  <c r="AI786" i="2"/>
  <c r="AH786" i="2"/>
  <c r="E786" i="1"/>
  <c r="AG786" i="2"/>
  <c r="D786" i="1"/>
  <c r="AF786" i="2"/>
  <c r="C786" i="1"/>
  <c r="AE786" i="2"/>
  <c r="AD786" i="2"/>
  <c r="AA786" i="2"/>
  <c r="Z786" i="2"/>
  <c r="S785" i="1"/>
  <c r="AU785" i="2"/>
  <c r="R785" i="1"/>
  <c r="AT785" i="2"/>
  <c r="Q785" i="1"/>
  <c r="AS785" i="2"/>
  <c r="P785" i="1"/>
  <c r="AR785" i="2"/>
  <c r="O785" i="1"/>
  <c r="AQ785" i="2"/>
  <c r="AP785" i="2"/>
  <c r="AO785" i="2"/>
  <c r="AN785" i="2"/>
  <c r="K785" i="1"/>
  <c r="AM785" i="2"/>
  <c r="J785" i="1"/>
  <c r="AL785" i="2"/>
  <c r="I785" i="1"/>
  <c r="AK785" i="2"/>
  <c r="AJ785" i="2"/>
  <c r="AI785" i="2"/>
  <c r="AH785" i="2"/>
  <c r="E785" i="1"/>
  <c r="AG785" i="2"/>
  <c r="D785" i="1"/>
  <c r="AF785" i="2"/>
  <c r="C785" i="1"/>
  <c r="AE785" i="2"/>
  <c r="AD785" i="2"/>
  <c r="AA785" i="2"/>
  <c r="Z785" i="2"/>
  <c r="S784" i="1"/>
  <c r="AU784" i="2"/>
  <c r="R784" i="1"/>
  <c r="AT784" i="2"/>
  <c r="Q784" i="1"/>
  <c r="AS784" i="2"/>
  <c r="P784" i="1"/>
  <c r="AR784" i="2"/>
  <c r="O784" i="1"/>
  <c r="AQ784" i="2"/>
  <c r="AP784" i="2"/>
  <c r="AO784" i="2"/>
  <c r="AN784" i="2"/>
  <c r="K784" i="1"/>
  <c r="AM784" i="2"/>
  <c r="J784" i="1"/>
  <c r="AL784" i="2"/>
  <c r="I784" i="1"/>
  <c r="AK784" i="2"/>
  <c r="AJ784" i="2"/>
  <c r="AI784" i="2"/>
  <c r="AH784" i="2"/>
  <c r="E784" i="1"/>
  <c r="AG784" i="2"/>
  <c r="D784" i="1"/>
  <c r="AF784" i="2"/>
  <c r="C784" i="1"/>
  <c r="AE784" i="2"/>
  <c r="AD784" i="2"/>
  <c r="AA784" i="2"/>
  <c r="Z784" i="2"/>
  <c r="S783" i="1"/>
  <c r="AU783" i="2"/>
  <c r="R783" i="1"/>
  <c r="AT783" i="2"/>
  <c r="Q783" i="1"/>
  <c r="AS783" i="2"/>
  <c r="P783" i="1"/>
  <c r="AR783" i="2"/>
  <c r="O783" i="1"/>
  <c r="AQ783" i="2"/>
  <c r="AP783" i="2"/>
  <c r="AO783" i="2"/>
  <c r="AN783" i="2"/>
  <c r="K783" i="1"/>
  <c r="AM783" i="2"/>
  <c r="J783" i="1"/>
  <c r="AL783" i="2"/>
  <c r="I783" i="1"/>
  <c r="AK783" i="2"/>
  <c r="AJ783" i="2"/>
  <c r="AI783" i="2"/>
  <c r="AH783" i="2"/>
  <c r="E783" i="1"/>
  <c r="AG783" i="2"/>
  <c r="D783" i="1"/>
  <c r="AF783" i="2"/>
  <c r="C783" i="1"/>
  <c r="AE783" i="2"/>
  <c r="AD783" i="2"/>
  <c r="AA783" i="2"/>
  <c r="Z783" i="2"/>
  <c r="S782" i="1"/>
  <c r="AU782" i="2"/>
  <c r="R782" i="1"/>
  <c r="AT782" i="2"/>
  <c r="Q782" i="1"/>
  <c r="AS782" i="2"/>
  <c r="P782" i="1"/>
  <c r="AR782" i="2"/>
  <c r="O782" i="1"/>
  <c r="AQ782" i="2"/>
  <c r="AP782" i="2"/>
  <c r="AO782" i="2"/>
  <c r="AN782" i="2"/>
  <c r="K782" i="1"/>
  <c r="AM782" i="2"/>
  <c r="J782" i="1"/>
  <c r="AL782" i="2"/>
  <c r="I782" i="1"/>
  <c r="AK782" i="2"/>
  <c r="AJ782" i="2"/>
  <c r="AI782" i="2"/>
  <c r="AH782" i="2"/>
  <c r="E782" i="1"/>
  <c r="AG782" i="2"/>
  <c r="D782" i="1"/>
  <c r="AF782" i="2"/>
  <c r="C782" i="1"/>
  <c r="AE782" i="2"/>
  <c r="AD782" i="2"/>
  <c r="AA782" i="2"/>
  <c r="Z782" i="2"/>
  <c r="S781" i="1"/>
  <c r="AU781" i="2"/>
  <c r="R781" i="1"/>
  <c r="AT781" i="2"/>
  <c r="Q781" i="1"/>
  <c r="AS781" i="2"/>
  <c r="P781" i="1"/>
  <c r="AR781" i="2"/>
  <c r="O781" i="1"/>
  <c r="AQ781" i="2"/>
  <c r="AP781" i="2"/>
  <c r="AO781" i="2"/>
  <c r="AN781" i="2"/>
  <c r="K781" i="1"/>
  <c r="AM781" i="2"/>
  <c r="J781" i="1"/>
  <c r="AL781" i="2"/>
  <c r="I781" i="1"/>
  <c r="AK781" i="2"/>
  <c r="AJ781" i="2"/>
  <c r="AI781" i="2"/>
  <c r="AH781" i="2"/>
  <c r="E781" i="1"/>
  <c r="AG781" i="2"/>
  <c r="D781" i="1"/>
  <c r="AF781" i="2"/>
  <c r="C781" i="1"/>
  <c r="AE781" i="2"/>
  <c r="AD781" i="2"/>
  <c r="AA781" i="2"/>
  <c r="Z781" i="2"/>
  <c r="S780" i="1"/>
  <c r="AU780" i="2"/>
  <c r="R780" i="1"/>
  <c r="AT780" i="2"/>
  <c r="Q780" i="1"/>
  <c r="AS780" i="2"/>
  <c r="P780" i="1"/>
  <c r="AR780" i="2"/>
  <c r="O780" i="1"/>
  <c r="AQ780" i="2"/>
  <c r="AP780" i="2"/>
  <c r="AO780" i="2"/>
  <c r="AN780" i="2"/>
  <c r="K780" i="1"/>
  <c r="AM780" i="2"/>
  <c r="J780" i="1"/>
  <c r="AL780" i="2"/>
  <c r="I780" i="1"/>
  <c r="AK780" i="2"/>
  <c r="AJ780" i="2"/>
  <c r="AI780" i="2"/>
  <c r="AH780" i="2"/>
  <c r="E780" i="1"/>
  <c r="AG780" i="2"/>
  <c r="D780" i="1"/>
  <c r="AF780" i="2"/>
  <c r="C780" i="1"/>
  <c r="AE780" i="2"/>
  <c r="AD780" i="2"/>
  <c r="AA780" i="2"/>
  <c r="Z780" i="2"/>
  <c r="S779" i="1"/>
  <c r="AU779" i="2"/>
  <c r="R779" i="1"/>
  <c r="AT779" i="2"/>
  <c r="Q779" i="1"/>
  <c r="AS779" i="2"/>
  <c r="P779" i="1"/>
  <c r="AR779" i="2"/>
  <c r="O779" i="1"/>
  <c r="AQ779" i="2"/>
  <c r="AP779" i="2"/>
  <c r="AO779" i="2"/>
  <c r="AN779" i="2"/>
  <c r="K779" i="1"/>
  <c r="AM779" i="2"/>
  <c r="J779" i="1"/>
  <c r="AL779" i="2"/>
  <c r="I779" i="1"/>
  <c r="AK779" i="2"/>
  <c r="AJ779" i="2"/>
  <c r="AI779" i="2"/>
  <c r="AH779" i="2"/>
  <c r="E779" i="1"/>
  <c r="AG779" i="2"/>
  <c r="D779" i="1"/>
  <c r="AF779" i="2"/>
  <c r="C779" i="1"/>
  <c r="AE779" i="2"/>
  <c r="AD779" i="2"/>
  <c r="AA779" i="2"/>
  <c r="Z779" i="2"/>
  <c r="S778" i="1"/>
  <c r="AU778" i="2"/>
  <c r="R778" i="1"/>
  <c r="AT778" i="2"/>
  <c r="Q778" i="1"/>
  <c r="AS778" i="2"/>
  <c r="P778" i="1"/>
  <c r="AR778" i="2"/>
  <c r="O778" i="1"/>
  <c r="AQ778" i="2"/>
  <c r="AP778" i="2"/>
  <c r="AO778" i="2"/>
  <c r="AN778" i="2"/>
  <c r="K778" i="1"/>
  <c r="AM778" i="2"/>
  <c r="J778" i="1"/>
  <c r="AL778" i="2"/>
  <c r="I778" i="1"/>
  <c r="AK778" i="2"/>
  <c r="AJ778" i="2"/>
  <c r="AI778" i="2"/>
  <c r="AH778" i="2"/>
  <c r="E778" i="1"/>
  <c r="AG778" i="2"/>
  <c r="D778" i="1"/>
  <c r="AF778" i="2"/>
  <c r="C778" i="1"/>
  <c r="AE778" i="2"/>
  <c r="AD778" i="2"/>
  <c r="AA778" i="2"/>
  <c r="Z778" i="2"/>
  <c r="S777" i="1"/>
  <c r="AU777" i="2"/>
  <c r="R777" i="1"/>
  <c r="AT777" i="2"/>
  <c r="Q777" i="1"/>
  <c r="AS777" i="2"/>
  <c r="P777" i="1"/>
  <c r="AR777" i="2"/>
  <c r="O777" i="1"/>
  <c r="AQ777" i="2"/>
  <c r="AP777" i="2"/>
  <c r="AO777" i="2"/>
  <c r="AN777" i="2"/>
  <c r="K777" i="1"/>
  <c r="AM777" i="2"/>
  <c r="J777" i="1"/>
  <c r="AL777" i="2"/>
  <c r="I777" i="1"/>
  <c r="AK777" i="2"/>
  <c r="AJ777" i="2"/>
  <c r="AI777" i="2"/>
  <c r="AH777" i="2"/>
  <c r="E777" i="1"/>
  <c r="AG777" i="2"/>
  <c r="D777" i="1"/>
  <c r="AF777" i="2"/>
  <c r="C777" i="1"/>
  <c r="AE777" i="2"/>
  <c r="AD777" i="2"/>
  <c r="AA777" i="2"/>
  <c r="Z777" i="2"/>
  <c r="S776" i="1"/>
  <c r="AU776" i="2"/>
  <c r="R776" i="1"/>
  <c r="AT776" i="2"/>
  <c r="Q776" i="1"/>
  <c r="AS776" i="2"/>
  <c r="P776" i="1"/>
  <c r="AR776" i="2"/>
  <c r="O776" i="1"/>
  <c r="AQ776" i="2"/>
  <c r="AP776" i="2"/>
  <c r="AO776" i="2"/>
  <c r="AN776" i="2"/>
  <c r="K776" i="1"/>
  <c r="AM776" i="2"/>
  <c r="J776" i="1"/>
  <c r="AL776" i="2"/>
  <c r="I776" i="1"/>
  <c r="AK776" i="2"/>
  <c r="AJ776" i="2"/>
  <c r="AI776" i="2"/>
  <c r="AH776" i="2"/>
  <c r="E776" i="1"/>
  <c r="AG776" i="2"/>
  <c r="D776" i="1"/>
  <c r="AF776" i="2"/>
  <c r="C776" i="1"/>
  <c r="AE776" i="2"/>
  <c r="AD776" i="2"/>
  <c r="AA776" i="2"/>
  <c r="Z776" i="2"/>
  <c r="S775" i="1"/>
  <c r="AU775" i="2"/>
  <c r="R775" i="1"/>
  <c r="AT775" i="2"/>
  <c r="Q775" i="1"/>
  <c r="AS775" i="2"/>
  <c r="P775" i="1"/>
  <c r="AR775" i="2"/>
  <c r="O775" i="1"/>
  <c r="AQ775" i="2"/>
  <c r="AP775" i="2"/>
  <c r="AO775" i="2"/>
  <c r="AN775" i="2"/>
  <c r="K775" i="1"/>
  <c r="AM775" i="2"/>
  <c r="J775" i="1"/>
  <c r="AL775" i="2"/>
  <c r="I775" i="1"/>
  <c r="AK775" i="2"/>
  <c r="AJ775" i="2"/>
  <c r="AI775" i="2"/>
  <c r="AH775" i="2"/>
  <c r="E775" i="1"/>
  <c r="AG775" i="2"/>
  <c r="D775" i="1"/>
  <c r="AF775" i="2"/>
  <c r="C775" i="1"/>
  <c r="AE775" i="2"/>
  <c r="AD775" i="2"/>
  <c r="AA775" i="2"/>
  <c r="Z775" i="2"/>
  <c r="S774" i="1"/>
  <c r="AU774" i="2"/>
  <c r="R774" i="1"/>
  <c r="AT774" i="2"/>
  <c r="Q774" i="1"/>
  <c r="AS774" i="2"/>
  <c r="P774" i="1"/>
  <c r="AR774" i="2"/>
  <c r="O774" i="1"/>
  <c r="AQ774" i="2"/>
  <c r="AP774" i="2"/>
  <c r="AO774" i="2"/>
  <c r="AN774" i="2"/>
  <c r="K774" i="1"/>
  <c r="AM774" i="2"/>
  <c r="J774" i="1"/>
  <c r="AL774" i="2"/>
  <c r="I774" i="1"/>
  <c r="AK774" i="2"/>
  <c r="AJ774" i="2"/>
  <c r="AI774" i="2"/>
  <c r="AH774" i="2"/>
  <c r="E774" i="1"/>
  <c r="AG774" i="2"/>
  <c r="D774" i="1"/>
  <c r="AF774" i="2"/>
  <c r="C774" i="1"/>
  <c r="AE774" i="2"/>
  <c r="AD774" i="2"/>
  <c r="AA774" i="2"/>
  <c r="Z774" i="2"/>
  <c r="S773" i="1"/>
  <c r="AU773" i="2"/>
  <c r="R773" i="1"/>
  <c r="AT773" i="2"/>
  <c r="Q773" i="1"/>
  <c r="AS773" i="2"/>
  <c r="P773" i="1"/>
  <c r="AR773" i="2"/>
  <c r="O773" i="1"/>
  <c r="AQ773" i="2"/>
  <c r="AP773" i="2"/>
  <c r="AO773" i="2"/>
  <c r="AN773" i="2"/>
  <c r="K773" i="1"/>
  <c r="AM773" i="2"/>
  <c r="J773" i="1"/>
  <c r="AL773" i="2"/>
  <c r="I773" i="1"/>
  <c r="AK773" i="2"/>
  <c r="AJ773" i="2"/>
  <c r="AI773" i="2"/>
  <c r="AH773" i="2"/>
  <c r="E773" i="1"/>
  <c r="AG773" i="2"/>
  <c r="D773" i="1"/>
  <c r="AF773" i="2"/>
  <c r="C773" i="1"/>
  <c r="AE773" i="2"/>
  <c r="AD773" i="2"/>
  <c r="AA773" i="2"/>
  <c r="Z773" i="2"/>
  <c r="S772" i="1"/>
  <c r="AU772" i="2"/>
  <c r="R772" i="1"/>
  <c r="AT772" i="2"/>
  <c r="Q772" i="1"/>
  <c r="AS772" i="2"/>
  <c r="P772" i="1"/>
  <c r="AR772" i="2"/>
  <c r="O772" i="1"/>
  <c r="AQ772" i="2"/>
  <c r="AP772" i="2"/>
  <c r="AO772" i="2"/>
  <c r="AN772" i="2"/>
  <c r="K772" i="1"/>
  <c r="AM772" i="2"/>
  <c r="J772" i="1"/>
  <c r="AL772" i="2"/>
  <c r="I772" i="1"/>
  <c r="AK772" i="2"/>
  <c r="AJ772" i="2"/>
  <c r="AI772" i="2"/>
  <c r="AH772" i="2"/>
  <c r="E772" i="1"/>
  <c r="AG772" i="2"/>
  <c r="D772" i="1"/>
  <c r="AF772" i="2"/>
  <c r="C772" i="1"/>
  <c r="AE772" i="2"/>
  <c r="AD772" i="2"/>
  <c r="AA772" i="2"/>
  <c r="Z772" i="2"/>
  <c r="S771" i="1"/>
  <c r="AU771" i="2"/>
  <c r="R771" i="1"/>
  <c r="AT771" i="2"/>
  <c r="Q771" i="1"/>
  <c r="AS771" i="2"/>
  <c r="P771" i="1"/>
  <c r="AR771" i="2"/>
  <c r="O771" i="1"/>
  <c r="AQ771" i="2"/>
  <c r="AP771" i="2"/>
  <c r="AO771" i="2"/>
  <c r="AN771" i="2"/>
  <c r="K771" i="1"/>
  <c r="AM771" i="2"/>
  <c r="J771" i="1"/>
  <c r="AL771" i="2"/>
  <c r="I771" i="1"/>
  <c r="AK771" i="2"/>
  <c r="AJ771" i="2"/>
  <c r="AI771" i="2"/>
  <c r="AH771" i="2"/>
  <c r="E771" i="1"/>
  <c r="AG771" i="2"/>
  <c r="D771" i="1"/>
  <c r="AF771" i="2"/>
  <c r="C771" i="1"/>
  <c r="AE771" i="2"/>
  <c r="AD771" i="2"/>
  <c r="AA771" i="2"/>
  <c r="Z771" i="2"/>
  <c r="S770" i="1"/>
  <c r="AU770" i="2"/>
  <c r="R770" i="1"/>
  <c r="AT770" i="2"/>
  <c r="Q770" i="1"/>
  <c r="AS770" i="2"/>
  <c r="P770" i="1"/>
  <c r="AR770" i="2"/>
  <c r="O770" i="1"/>
  <c r="AQ770" i="2"/>
  <c r="AP770" i="2"/>
  <c r="AO770" i="2"/>
  <c r="AN770" i="2"/>
  <c r="K770" i="1"/>
  <c r="AM770" i="2"/>
  <c r="J770" i="1"/>
  <c r="AL770" i="2"/>
  <c r="I770" i="1"/>
  <c r="AK770" i="2"/>
  <c r="AJ770" i="2"/>
  <c r="AI770" i="2"/>
  <c r="AH770" i="2"/>
  <c r="E770" i="1"/>
  <c r="AG770" i="2"/>
  <c r="D770" i="1"/>
  <c r="AF770" i="2"/>
  <c r="C770" i="1"/>
  <c r="AE770" i="2"/>
  <c r="AD770" i="2"/>
  <c r="AA770" i="2"/>
  <c r="Z770" i="2"/>
  <c r="S769" i="1"/>
  <c r="AU769" i="2"/>
  <c r="R769" i="1"/>
  <c r="AT769" i="2"/>
  <c r="Q769" i="1"/>
  <c r="AS769" i="2"/>
  <c r="P769" i="1"/>
  <c r="AR769" i="2"/>
  <c r="O769" i="1"/>
  <c r="AQ769" i="2"/>
  <c r="AP769" i="2"/>
  <c r="AO769" i="2"/>
  <c r="AN769" i="2"/>
  <c r="K769" i="1"/>
  <c r="AM769" i="2"/>
  <c r="J769" i="1"/>
  <c r="AL769" i="2"/>
  <c r="I769" i="1"/>
  <c r="AK769" i="2"/>
  <c r="AJ769" i="2"/>
  <c r="AI769" i="2"/>
  <c r="AH769" i="2"/>
  <c r="E769" i="1"/>
  <c r="AG769" i="2"/>
  <c r="D769" i="1"/>
  <c r="AF769" i="2"/>
  <c r="C769" i="1"/>
  <c r="AE769" i="2"/>
  <c r="AD769" i="2"/>
  <c r="AA769" i="2"/>
  <c r="Z769" i="2"/>
  <c r="S768" i="1"/>
  <c r="AU768" i="2"/>
  <c r="R768" i="1"/>
  <c r="AT768" i="2"/>
  <c r="Q768" i="1"/>
  <c r="AS768" i="2"/>
  <c r="P768" i="1"/>
  <c r="AR768" i="2"/>
  <c r="O768" i="1"/>
  <c r="AQ768" i="2"/>
  <c r="AP768" i="2"/>
  <c r="AO768" i="2"/>
  <c r="AN768" i="2"/>
  <c r="K768" i="1"/>
  <c r="AM768" i="2"/>
  <c r="J768" i="1"/>
  <c r="AL768" i="2"/>
  <c r="I768" i="1"/>
  <c r="AK768" i="2"/>
  <c r="AJ768" i="2"/>
  <c r="AI768" i="2"/>
  <c r="AH768" i="2"/>
  <c r="E768" i="1"/>
  <c r="AG768" i="2"/>
  <c r="D768" i="1"/>
  <c r="AF768" i="2"/>
  <c r="C768" i="1"/>
  <c r="AE768" i="2"/>
  <c r="AD768" i="2"/>
  <c r="AA768" i="2"/>
  <c r="Z768" i="2"/>
  <c r="S767" i="1"/>
  <c r="AU767" i="2"/>
  <c r="R767" i="1"/>
  <c r="AT767" i="2"/>
  <c r="Q767" i="1"/>
  <c r="AS767" i="2"/>
  <c r="P767" i="1"/>
  <c r="AR767" i="2"/>
  <c r="O767" i="1"/>
  <c r="AQ767" i="2"/>
  <c r="AP767" i="2"/>
  <c r="AO767" i="2"/>
  <c r="AN767" i="2"/>
  <c r="K767" i="1"/>
  <c r="AM767" i="2"/>
  <c r="J767" i="1"/>
  <c r="AL767" i="2"/>
  <c r="I767" i="1"/>
  <c r="AK767" i="2"/>
  <c r="AJ767" i="2"/>
  <c r="AI767" i="2"/>
  <c r="AH767" i="2"/>
  <c r="E767" i="1"/>
  <c r="AG767" i="2"/>
  <c r="D767" i="1"/>
  <c r="AF767" i="2"/>
  <c r="C767" i="1"/>
  <c r="AE767" i="2"/>
  <c r="AD767" i="2"/>
  <c r="AA767" i="2"/>
  <c r="Z767" i="2"/>
  <c r="S766" i="1"/>
  <c r="AU766" i="2"/>
  <c r="R766" i="1"/>
  <c r="AT766" i="2"/>
  <c r="Q766" i="1"/>
  <c r="AS766" i="2"/>
  <c r="P766" i="1"/>
  <c r="AR766" i="2"/>
  <c r="O766" i="1"/>
  <c r="AQ766" i="2"/>
  <c r="AP766" i="2"/>
  <c r="AO766" i="2"/>
  <c r="AN766" i="2"/>
  <c r="K766" i="1"/>
  <c r="AM766" i="2"/>
  <c r="J766" i="1"/>
  <c r="AL766" i="2"/>
  <c r="I766" i="1"/>
  <c r="AK766" i="2"/>
  <c r="AJ766" i="2"/>
  <c r="AI766" i="2"/>
  <c r="AH766" i="2"/>
  <c r="E766" i="1"/>
  <c r="AG766" i="2"/>
  <c r="D766" i="1"/>
  <c r="AF766" i="2"/>
  <c r="C766" i="1"/>
  <c r="AE766" i="2"/>
  <c r="AD766" i="2"/>
  <c r="AA766" i="2"/>
  <c r="Z766" i="2"/>
  <c r="S765" i="1"/>
  <c r="AU765" i="2"/>
  <c r="R765" i="1"/>
  <c r="AT765" i="2"/>
  <c r="Q765" i="1"/>
  <c r="AS765" i="2"/>
  <c r="P765" i="1"/>
  <c r="AR765" i="2"/>
  <c r="O765" i="1"/>
  <c r="AQ765" i="2"/>
  <c r="AP765" i="2"/>
  <c r="AO765" i="2"/>
  <c r="AN765" i="2"/>
  <c r="K765" i="1"/>
  <c r="AM765" i="2"/>
  <c r="J765" i="1"/>
  <c r="AL765" i="2"/>
  <c r="I765" i="1"/>
  <c r="AK765" i="2"/>
  <c r="AJ765" i="2"/>
  <c r="AI765" i="2"/>
  <c r="AH765" i="2"/>
  <c r="E765" i="1"/>
  <c r="AG765" i="2"/>
  <c r="D765" i="1"/>
  <c r="AF765" i="2"/>
  <c r="C765" i="1"/>
  <c r="AE765" i="2"/>
  <c r="AD765" i="2"/>
  <c r="AA765" i="2"/>
  <c r="Z765" i="2"/>
  <c r="S764" i="1"/>
  <c r="AU764" i="2"/>
  <c r="R764" i="1"/>
  <c r="AT764" i="2"/>
  <c r="Q764" i="1"/>
  <c r="AS764" i="2"/>
  <c r="P764" i="1"/>
  <c r="AR764" i="2"/>
  <c r="O764" i="1"/>
  <c r="AQ764" i="2"/>
  <c r="AP764" i="2"/>
  <c r="AO764" i="2"/>
  <c r="AN764" i="2"/>
  <c r="K764" i="1"/>
  <c r="AM764" i="2"/>
  <c r="J764" i="1"/>
  <c r="AL764" i="2"/>
  <c r="I764" i="1"/>
  <c r="AK764" i="2"/>
  <c r="AJ764" i="2"/>
  <c r="AI764" i="2"/>
  <c r="AH764" i="2"/>
  <c r="E764" i="1"/>
  <c r="AG764" i="2"/>
  <c r="D764" i="1"/>
  <c r="AF764" i="2"/>
  <c r="C764" i="1"/>
  <c r="AE764" i="2"/>
  <c r="AD764" i="2"/>
  <c r="AA764" i="2"/>
  <c r="Z764" i="2"/>
  <c r="S763" i="1"/>
  <c r="AU763" i="2"/>
  <c r="R763" i="1"/>
  <c r="AT763" i="2"/>
  <c r="Q763" i="1"/>
  <c r="AS763" i="2"/>
  <c r="P763" i="1"/>
  <c r="AR763" i="2"/>
  <c r="O763" i="1"/>
  <c r="AQ763" i="2"/>
  <c r="AP763" i="2"/>
  <c r="AO763" i="2"/>
  <c r="AN763" i="2"/>
  <c r="K763" i="1"/>
  <c r="AM763" i="2"/>
  <c r="J763" i="1"/>
  <c r="AL763" i="2"/>
  <c r="I763" i="1"/>
  <c r="AK763" i="2"/>
  <c r="AJ763" i="2"/>
  <c r="AI763" i="2"/>
  <c r="AH763" i="2"/>
  <c r="E763" i="1"/>
  <c r="AG763" i="2"/>
  <c r="D763" i="1"/>
  <c r="AF763" i="2"/>
  <c r="C763" i="1"/>
  <c r="AE763" i="2"/>
  <c r="AD763" i="2"/>
  <c r="AA763" i="2"/>
  <c r="Z763" i="2"/>
  <c r="S762" i="1"/>
  <c r="AU762" i="2"/>
  <c r="R762" i="1"/>
  <c r="AT762" i="2"/>
  <c r="Q762" i="1"/>
  <c r="AS762" i="2"/>
  <c r="P762" i="1"/>
  <c r="AR762" i="2"/>
  <c r="O762" i="1"/>
  <c r="AQ762" i="2"/>
  <c r="AP762" i="2"/>
  <c r="AO762" i="2"/>
  <c r="AN762" i="2"/>
  <c r="K762" i="1"/>
  <c r="AM762" i="2"/>
  <c r="J762" i="1"/>
  <c r="AL762" i="2"/>
  <c r="I762" i="1"/>
  <c r="AK762" i="2"/>
  <c r="AJ762" i="2"/>
  <c r="AI762" i="2"/>
  <c r="AH762" i="2"/>
  <c r="E762" i="1"/>
  <c r="AG762" i="2"/>
  <c r="D762" i="1"/>
  <c r="AF762" i="2"/>
  <c r="C762" i="1"/>
  <c r="AE762" i="2"/>
  <c r="AD762" i="2"/>
  <c r="AA762" i="2"/>
  <c r="Z762" i="2"/>
  <c r="S761" i="1"/>
  <c r="AU761" i="2"/>
  <c r="R761" i="1"/>
  <c r="AT761" i="2"/>
  <c r="Q761" i="1"/>
  <c r="AS761" i="2"/>
  <c r="P761" i="1"/>
  <c r="AR761" i="2"/>
  <c r="O761" i="1"/>
  <c r="AQ761" i="2"/>
  <c r="AP761" i="2"/>
  <c r="AO761" i="2"/>
  <c r="AN761" i="2"/>
  <c r="K761" i="1"/>
  <c r="AM761" i="2"/>
  <c r="J761" i="1"/>
  <c r="AL761" i="2"/>
  <c r="I761" i="1"/>
  <c r="AK761" i="2"/>
  <c r="AJ761" i="2"/>
  <c r="AI761" i="2"/>
  <c r="AH761" i="2"/>
  <c r="E761" i="1"/>
  <c r="AG761" i="2"/>
  <c r="D761" i="1"/>
  <c r="AF761" i="2"/>
  <c r="C761" i="1"/>
  <c r="AE761" i="2"/>
  <c r="AD761" i="2"/>
  <c r="AA761" i="2"/>
  <c r="Z761" i="2"/>
  <c r="S760" i="1"/>
  <c r="AU760" i="2"/>
  <c r="R760" i="1"/>
  <c r="AT760" i="2"/>
  <c r="Q760" i="1"/>
  <c r="AS760" i="2"/>
  <c r="P760" i="1"/>
  <c r="AR760" i="2"/>
  <c r="O760" i="1"/>
  <c r="AQ760" i="2"/>
  <c r="AP760" i="2"/>
  <c r="AO760" i="2"/>
  <c r="AN760" i="2"/>
  <c r="K760" i="1"/>
  <c r="AM760" i="2"/>
  <c r="J760" i="1"/>
  <c r="AL760" i="2"/>
  <c r="I760" i="1"/>
  <c r="AK760" i="2"/>
  <c r="AJ760" i="2"/>
  <c r="AI760" i="2"/>
  <c r="AH760" i="2"/>
  <c r="E760" i="1"/>
  <c r="AG760" i="2"/>
  <c r="D760" i="1"/>
  <c r="AF760" i="2"/>
  <c r="C760" i="1"/>
  <c r="AE760" i="2"/>
  <c r="AD760" i="2"/>
  <c r="AA760" i="2"/>
  <c r="Z760" i="2"/>
  <c r="S759" i="1"/>
  <c r="AU759" i="2"/>
  <c r="R759" i="1"/>
  <c r="AT759" i="2"/>
  <c r="Q759" i="1"/>
  <c r="AS759" i="2"/>
  <c r="P759" i="1"/>
  <c r="AR759" i="2"/>
  <c r="O759" i="1"/>
  <c r="AQ759" i="2"/>
  <c r="AP759" i="2"/>
  <c r="AO759" i="2"/>
  <c r="AN759" i="2"/>
  <c r="K759" i="1"/>
  <c r="AM759" i="2"/>
  <c r="J759" i="1"/>
  <c r="AL759" i="2"/>
  <c r="I759" i="1"/>
  <c r="AK759" i="2"/>
  <c r="AJ759" i="2"/>
  <c r="AI759" i="2"/>
  <c r="AH759" i="2"/>
  <c r="E759" i="1"/>
  <c r="AG759" i="2"/>
  <c r="D759" i="1"/>
  <c r="AF759" i="2"/>
  <c r="C759" i="1"/>
  <c r="AE759" i="2"/>
  <c r="AD759" i="2"/>
  <c r="AA759" i="2"/>
  <c r="Z759" i="2"/>
  <c r="S758" i="1"/>
  <c r="AU758" i="2"/>
  <c r="R758" i="1"/>
  <c r="AT758" i="2"/>
  <c r="Q758" i="1"/>
  <c r="AS758" i="2"/>
  <c r="P758" i="1"/>
  <c r="AR758" i="2"/>
  <c r="O758" i="1"/>
  <c r="AQ758" i="2"/>
  <c r="AP758" i="2"/>
  <c r="AO758" i="2"/>
  <c r="AN758" i="2"/>
  <c r="K758" i="1"/>
  <c r="AM758" i="2"/>
  <c r="J758" i="1"/>
  <c r="AL758" i="2"/>
  <c r="I758" i="1"/>
  <c r="AK758" i="2"/>
  <c r="AJ758" i="2"/>
  <c r="AI758" i="2"/>
  <c r="AH758" i="2"/>
  <c r="E758" i="1"/>
  <c r="AG758" i="2"/>
  <c r="D758" i="1"/>
  <c r="AF758" i="2"/>
  <c r="C758" i="1"/>
  <c r="AE758" i="2"/>
  <c r="AD758" i="2"/>
  <c r="AA758" i="2"/>
  <c r="Z758" i="2"/>
  <c r="S757" i="1"/>
  <c r="AU757" i="2"/>
  <c r="R757" i="1"/>
  <c r="AT757" i="2"/>
  <c r="Q757" i="1"/>
  <c r="AS757" i="2"/>
  <c r="P757" i="1"/>
  <c r="AR757" i="2"/>
  <c r="O757" i="1"/>
  <c r="AQ757" i="2"/>
  <c r="AP757" i="2"/>
  <c r="AO757" i="2"/>
  <c r="AN757" i="2"/>
  <c r="K757" i="1"/>
  <c r="AM757" i="2"/>
  <c r="J757" i="1"/>
  <c r="AL757" i="2"/>
  <c r="I757" i="1"/>
  <c r="AK757" i="2"/>
  <c r="AJ757" i="2"/>
  <c r="AI757" i="2"/>
  <c r="AH757" i="2"/>
  <c r="E757" i="1"/>
  <c r="AG757" i="2"/>
  <c r="D757" i="1"/>
  <c r="AF757" i="2"/>
  <c r="C757" i="1"/>
  <c r="AE757" i="2"/>
  <c r="AD757" i="2"/>
  <c r="AA757" i="2"/>
  <c r="Z757" i="2"/>
  <c r="S756" i="1"/>
  <c r="AU756" i="2"/>
  <c r="R756" i="1"/>
  <c r="AT756" i="2"/>
  <c r="Q756" i="1"/>
  <c r="AS756" i="2"/>
  <c r="P756" i="1"/>
  <c r="AR756" i="2"/>
  <c r="O756" i="1"/>
  <c r="AQ756" i="2"/>
  <c r="AP756" i="2"/>
  <c r="AO756" i="2"/>
  <c r="AN756" i="2"/>
  <c r="K756" i="1"/>
  <c r="AM756" i="2"/>
  <c r="J756" i="1"/>
  <c r="AL756" i="2"/>
  <c r="I756" i="1"/>
  <c r="AK756" i="2"/>
  <c r="AJ756" i="2"/>
  <c r="AI756" i="2"/>
  <c r="AH756" i="2"/>
  <c r="E756" i="1"/>
  <c r="AG756" i="2"/>
  <c r="D756" i="1"/>
  <c r="AF756" i="2"/>
  <c r="C756" i="1"/>
  <c r="AE756" i="2"/>
  <c r="AD756" i="2"/>
  <c r="AA756" i="2"/>
  <c r="Z756" i="2"/>
  <c r="S755" i="1"/>
  <c r="AU755" i="2"/>
  <c r="R755" i="1"/>
  <c r="AT755" i="2"/>
  <c r="Q755" i="1"/>
  <c r="AS755" i="2"/>
  <c r="P755" i="1"/>
  <c r="AR755" i="2"/>
  <c r="O755" i="1"/>
  <c r="AQ755" i="2"/>
  <c r="AP755" i="2"/>
  <c r="AO755" i="2"/>
  <c r="AN755" i="2"/>
  <c r="K755" i="1"/>
  <c r="AM755" i="2"/>
  <c r="J755" i="1"/>
  <c r="AL755" i="2"/>
  <c r="I755" i="1"/>
  <c r="AK755" i="2"/>
  <c r="AJ755" i="2"/>
  <c r="AI755" i="2"/>
  <c r="AH755" i="2"/>
  <c r="E755" i="1"/>
  <c r="AG755" i="2"/>
  <c r="D755" i="1"/>
  <c r="AF755" i="2"/>
  <c r="C755" i="1"/>
  <c r="AE755" i="2"/>
  <c r="AD755" i="2"/>
  <c r="AA755" i="2"/>
  <c r="Z755" i="2"/>
  <c r="S754" i="1"/>
  <c r="AU754" i="2"/>
  <c r="R754" i="1"/>
  <c r="AT754" i="2"/>
  <c r="Q754" i="1"/>
  <c r="AS754" i="2"/>
  <c r="P754" i="1"/>
  <c r="AR754" i="2"/>
  <c r="O754" i="1"/>
  <c r="AQ754" i="2"/>
  <c r="AP754" i="2"/>
  <c r="AO754" i="2"/>
  <c r="AN754" i="2"/>
  <c r="K754" i="1"/>
  <c r="AM754" i="2"/>
  <c r="J754" i="1"/>
  <c r="AL754" i="2"/>
  <c r="I754" i="1"/>
  <c r="AK754" i="2"/>
  <c r="AJ754" i="2"/>
  <c r="AI754" i="2"/>
  <c r="AH754" i="2"/>
  <c r="E754" i="1"/>
  <c r="AG754" i="2"/>
  <c r="D754" i="1"/>
  <c r="AF754" i="2"/>
  <c r="C754" i="1"/>
  <c r="AE754" i="2"/>
  <c r="AD754" i="2"/>
  <c r="AA754" i="2"/>
  <c r="Z754" i="2"/>
  <c r="S753" i="1"/>
  <c r="AU753" i="2"/>
  <c r="R753" i="1"/>
  <c r="AT753" i="2"/>
  <c r="Q753" i="1"/>
  <c r="AS753" i="2"/>
  <c r="P753" i="1"/>
  <c r="AR753" i="2"/>
  <c r="O753" i="1"/>
  <c r="AQ753" i="2"/>
  <c r="AP753" i="2"/>
  <c r="AO753" i="2"/>
  <c r="AN753" i="2"/>
  <c r="K753" i="1"/>
  <c r="AM753" i="2"/>
  <c r="J753" i="1"/>
  <c r="AL753" i="2"/>
  <c r="I753" i="1"/>
  <c r="AK753" i="2"/>
  <c r="AJ753" i="2"/>
  <c r="AI753" i="2"/>
  <c r="AH753" i="2"/>
  <c r="E753" i="1"/>
  <c r="AG753" i="2"/>
  <c r="D753" i="1"/>
  <c r="AF753" i="2"/>
  <c r="C753" i="1"/>
  <c r="AE753" i="2"/>
  <c r="AD753" i="2"/>
  <c r="AA753" i="2"/>
  <c r="Z753" i="2"/>
  <c r="S752" i="1"/>
  <c r="AU752" i="2"/>
  <c r="R752" i="1"/>
  <c r="AT752" i="2"/>
  <c r="Q752" i="1"/>
  <c r="AS752" i="2"/>
  <c r="P752" i="1"/>
  <c r="AR752" i="2"/>
  <c r="O752" i="1"/>
  <c r="AQ752" i="2"/>
  <c r="AP752" i="2"/>
  <c r="AO752" i="2"/>
  <c r="AN752" i="2"/>
  <c r="K752" i="1"/>
  <c r="AM752" i="2"/>
  <c r="J752" i="1"/>
  <c r="AL752" i="2"/>
  <c r="I752" i="1"/>
  <c r="AK752" i="2"/>
  <c r="AJ752" i="2"/>
  <c r="AI752" i="2"/>
  <c r="AH752" i="2"/>
  <c r="E752" i="1"/>
  <c r="AG752" i="2"/>
  <c r="D752" i="1"/>
  <c r="AF752" i="2"/>
  <c r="C752" i="1"/>
  <c r="AE752" i="2"/>
  <c r="AD752" i="2"/>
  <c r="AA752" i="2"/>
  <c r="Z752" i="2"/>
  <c r="S751" i="1"/>
  <c r="AU751" i="2"/>
  <c r="R751" i="1"/>
  <c r="AT751" i="2"/>
  <c r="Q751" i="1"/>
  <c r="AS751" i="2"/>
  <c r="P751" i="1"/>
  <c r="AR751" i="2"/>
  <c r="O751" i="1"/>
  <c r="AQ751" i="2"/>
  <c r="AP751" i="2"/>
  <c r="AO751" i="2"/>
  <c r="AN751" i="2"/>
  <c r="K751" i="1"/>
  <c r="AM751" i="2"/>
  <c r="J751" i="1"/>
  <c r="AL751" i="2"/>
  <c r="I751" i="1"/>
  <c r="AK751" i="2"/>
  <c r="AJ751" i="2"/>
  <c r="AI751" i="2"/>
  <c r="AH751" i="2"/>
  <c r="E751" i="1"/>
  <c r="AG751" i="2"/>
  <c r="D751" i="1"/>
  <c r="AF751" i="2"/>
  <c r="C751" i="1"/>
  <c r="AE751" i="2"/>
  <c r="AD751" i="2"/>
  <c r="AA751" i="2"/>
  <c r="Z751" i="2"/>
  <c r="S750" i="1"/>
  <c r="AU750" i="2"/>
  <c r="R750" i="1"/>
  <c r="AT750" i="2"/>
  <c r="Q750" i="1"/>
  <c r="AS750" i="2"/>
  <c r="P750" i="1"/>
  <c r="AR750" i="2"/>
  <c r="O750" i="1"/>
  <c r="AQ750" i="2"/>
  <c r="AP750" i="2"/>
  <c r="AO750" i="2"/>
  <c r="AN750" i="2"/>
  <c r="K750" i="1"/>
  <c r="AM750" i="2"/>
  <c r="J750" i="1"/>
  <c r="AL750" i="2"/>
  <c r="I750" i="1"/>
  <c r="AK750" i="2"/>
  <c r="AJ750" i="2"/>
  <c r="AI750" i="2"/>
  <c r="AH750" i="2"/>
  <c r="E750" i="1"/>
  <c r="AG750" i="2"/>
  <c r="D750" i="1"/>
  <c r="AF750" i="2"/>
  <c r="C750" i="1"/>
  <c r="AE750" i="2"/>
  <c r="AD750" i="2"/>
  <c r="AA750" i="2"/>
  <c r="Z750" i="2"/>
  <c r="S749" i="1"/>
  <c r="AU749" i="2"/>
  <c r="R749" i="1"/>
  <c r="AT749" i="2"/>
  <c r="Q749" i="1"/>
  <c r="AS749" i="2"/>
  <c r="P749" i="1"/>
  <c r="AR749" i="2"/>
  <c r="O749" i="1"/>
  <c r="AQ749" i="2"/>
  <c r="AP749" i="2"/>
  <c r="AO749" i="2"/>
  <c r="AN749" i="2"/>
  <c r="K749" i="1"/>
  <c r="AM749" i="2"/>
  <c r="J749" i="1"/>
  <c r="AL749" i="2"/>
  <c r="I749" i="1"/>
  <c r="AK749" i="2"/>
  <c r="AJ749" i="2"/>
  <c r="AI749" i="2"/>
  <c r="AH749" i="2"/>
  <c r="E749" i="1"/>
  <c r="AG749" i="2"/>
  <c r="D749" i="1"/>
  <c r="AF749" i="2"/>
  <c r="C749" i="1"/>
  <c r="AE749" i="2"/>
  <c r="AD749" i="2"/>
  <c r="AA749" i="2"/>
  <c r="Z749" i="2"/>
  <c r="S748" i="1"/>
  <c r="AU748" i="2"/>
  <c r="R748" i="1"/>
  <c r="AT748" i="2"/>
  <c r="Q748" i="1"/>
  <c r="AS748" i="2"/>
  <c r="P748" i="1"/>
  <c r="AR748" i="2"/>
  <c r="O748" i="1"/>
  <c r="AQ748" i="2"/>
  <c r="AP748" i="2"/>
  <c r="AO748" i="2"/>
  <c r="AN748" i="2"/>
  <c r="K748" i="1"/>
  <c r="AM748" i="2"/>
  <c r="J748" i="1"/>
  <c r="AL748" i="2"/>
  <c r="I748" i="1"/>
  <c r="AK748" i="2"/>
  <c r="AJ748" i="2"/>
  <c r="AI748" i="2"/>
  <c r="AH748" i="2"/>
  <c r="E748" i="1"/>
  <c r="AG748" i="2"/>
  <c r="D748" i="1"/>
  <c r="AF748" i="2"/>
  <c r="C748" i="1"/>
  <c r="AE748" i="2"/>
  <c r="AD748" i="2"/>
  <c r="AA748" i="2"/>
  <c r="Z748" i="2"/>
  <c r="S747" i="1"/>
  <c r="AU747" i="2"/>
  <c r="R747" i="1"/>
  <c r="AT747" i="2"/>
  <c r="Q747" i="1"/>
  <c r="AS747" i="2"/>
  <c r="P747" i="1"/>
  <c r="AR747" i="2"/>
  <c r="O747" i="1"/>
  <c r="AQ747" i="2"/>
  <c r="AP747" i="2"/>
  <c r="AO747" i="2"/>
  <c r="AN747" i="2"/>
  <c r="K747" i="1"/>
  <c r="AM747" i="2"/>
  <c r="J747" i="1"/>
  <c r="AL747" i="2"/>
  <c r="I747" i="1"/>
  <c r="AK747" i="2"/>
  <c r="AJ747" i="2"/>
  <c r="AI747" i="2"/>
  <c r="AH747" i="2"/>
  <c r="E747" i="1"/>
  <c r="AG747" i="2"/>
  <c r="D747" i="1"/>
  <c r="AF747" i="2"/>
  <c r="C747" i="1"/>
  <c r="AE747" i="2"/>
  <c r="AD747" i="2"/>
  <c r="AA747" i="2"/>
  <c r="Z747" i="2"/>
  <c r="S746" i="1"/>
  <c r="AU746" i="2"/>
  <c r="R746" i="1"/>
  <c r="AT746" i="2"/>
  <c r="Q746" i="1"/>
  <c r="AS746" i="2"/>
  <c r="P746" i="1"/>
  <c r="AR746" i="2"/>
  <c r="O746" i="1"/>
  <c r="AQ746" i="2"/>
  <c r="AP746" i="2"/>
  <c r="AO746" i="2"/>
  <c r="AN746" i="2"/>
  <c r="K746" i="1"/>
  <c r="AM746" i="2"/>
  <c r="J746" i="1"/>
  <c r="AL746" i="2"/>
  <c r="I746" i="1"/>
  <c r="AK746" i="2"/>
  <c r="AJ746" i="2"/>
  <c r="AI746" i="2"/>
  <c r="AH746" i="2"/>
  <c r="E746" i="1"/>
  <c r="AG746" i="2"/>
  <c r="D746" i="1"/>
  <c r="AF746" i="2"/>
  <c r="C746" i="1"/>
  <c r="AE746" i="2"/>
  <c r="AD746" i="2"/>
  <c r="AA746" i="2"/>
  <c r="Z746" i="2"/>
  <c r="S745" i="1"/>
  <c r="AU745" i="2"/>
  <c r="R745" i="1"/>
  <c r="AT745" i="2"/>
  <c r="Q745" i="1"/>
  <c r="AS745" i="2"/>
  <c r="P745" i="1"/>
  <c r="AR745" i="2"/>
  <c r="O745" i="1"/>
  <c r="AQ745" i="2"/>
  <c r="AP745" i="2"/>
  <c r="AO745" i="2"/>
  <c r="AN745" i="2"/>
  <c r="K745" i="1"/>
  <c r="AM745" i="2"/>
  <c r="J745" i="1"/>
  <c r="AL745" i="2"/>
  <c r="I745" i="1"/>
  <c r="AK745" i="2"/>
  <c r="AJ745" i="2"/>
  <c r="AI745" i="2"/>
  <c r="AH745" i="2"/>
  <c r="E745" i="1"/>
  <c r="AG745" i="2"/>
  <c r="D745" i="1"/>
  <c r="AF745" i="2"/>
  <c r="C745" i="1"/>
  <c r="AE745" i="2"/>
  <c r="AD745" i="2"/>
  <c r="AA745" i="2"/>
  <c r="Z745" i="2"/>
  <c r="S744" i="1"/>
  <c r="AU744" i="2"/>
  <c r="R744" i="1"/>
  <c r="AT744" i="2"/>
  <c r="Q744" i="1"/>
  <c r="AS744" i="2"/>
  <c r="P744" i="1"/>
  <c r="AR744" i="2"/>
  <c r="O744" i="1"/>
  <c r="AQ744" i="2"/>
  <c r="AP744" i="2"/>
  <c r="AO744" i="2"/>
  <c r="AN744" i="2"/>
  <c r="K744" i="1"/>
  <c r="AM744" i="2"/>
  <c r="J744" i="1"/>
  <c r="AL744" i="2"/>
  <c r="I744" i="1"/>
  <c r="AK744" i="2"/>
  <c r="AJ744" i="2"/>
  <c r="AI744" i="2"/>
  <c r="AH744" i="2"/>
  <c r="E744" i="1"/>
  <c r="AG744" i="2"/>
  <c r="D744" i="1"/>
  <c r="AF744" i="2"/>
  <c r="C744" i="1"/>
  <c r="AE744" i="2"/>
  <c r="AD744" i="2"/>
  <c r="AA744" i="2"/>
  <c r="Z744" i="2"/>
  <c r="S743" i="1"/>
  <c r="AU743" i="2"/>
  <c r="R743" i="1"/>
  <c r="AT743" i="2"/>
  <c r="Q743" i="1"/>
  <c r="AS743" i="2"/>
  <c r="P743" i="1"/>
  <c r="AR743" i="2"/>
  <c r="O743" i="1"/>
  <c r="AQ743" i="2"/>
  <c r="AP743" i="2"/>
  <c r="AO743" i="2"/>
  <c r="AN743" i="2"/>
  <c r="K743" i="1"/>
  <c r="AM743" i="2"/>
  <c r="J743" i="1"/>
  <c r="AL743" i="2"/>
  <c r="I743" i="1"/>
  <c r="AK743" i="2"/>
  <c r="AJ743" i="2"/>
  <c r="AI743" i="2"/>
  <c r="AH743" i="2"/>
  <c r="E743" i="1"/>
  <c r="AG743" i="2"/>
  <c r="D743" i="1"/>
  <c r="AF743" i="2"/>
  <c r="C743" i="1"/>
  <c r="AE743" i="2"/>
  <c r="AD743" i="2"/>
  <c r="AA743" i="2"/>
  <c r="Z743" i="2"/>
  <c r="S742" i="1"/>
  <c r="AU742" i="2"/>
  <c r="R742" i="1"/>
  <c r="AT742" i="2"/>
  <c r="Q742" i="1"/>
  <c r="AS742" i="2"/>
  <c r="P742" i="1"/>
  <c r="AR742" i="2"/>
  <c r="O742" i="1"/>
  <c r="AQ742" i="2"/>
  <c r="AP742" i="2"/>
  <c r="AO742" i="2"/>
  <c r="AN742" i="2"/>
  <c r="K742" i="1"/>
  <c r="AM742" i="2"/>
  <c r="J742" i="1"/>
  <c r="AL742" i="2"/>
  <c r="I742" i="1"/>
  <c r="AK742" i="2"/>
  <c r="AJ742" i="2"/>
  <c r="AI742" i="2"/>
  <c r="AH742" i="2"/>
  <c r="E742" i="1"/>
  <c r="AG742" i="2"/>
  <c r="D742" i="1"/>
  <c r="AF742" i="2"/>
  <c r="C742" i="1"/>
  <c r="AE742" i="2"/>
  <c r="AD742" i="2"/>
  <c r="AA742" i="2"/>
  <c r="Z742" i="2"/>
  <c r="S741" i="1"/>
  <c r="AU741" i="2"/>
  <c r="R741" i="1"/>
  <c r="AT741" i="2"/>
  <c r="Q741" i="1"/>
  <c r="AS741" i="2"/>
  <c r="P741" i="1"/>
  <c r="AR741" i="2"/>
  <c r="O741" i="1"/>
  <c r="AQ741" i="2"/>
  <c r="AP741" i="2"/>
  <c r="AO741" i="2"/>
  <c r="AN741" i="2"/>
  <c r="K741" i="1"/>
  <c r="AM741" i="2"/>
  <c r="J741" i="1"/>
  <c r="AL741" i="2"/>
  <c r="I741" i="1"/>
  <c r="AK741" i="2"/>
  <c r="AJ741" i="2"/>
  <c r="AI741" i="2"/>
  <c r="AH741" i="2"/>
  <c r="E741" i="1"/>
  <c r="AG741" i="2"/>
  <c r="D741" i="1"/>
  <c r="AF741" i="2"/>
  <c r="C741" i="1"/>
  <c r="AE741" i="2"/>
  <c r="AD741" i="2"/>
  <c r="AA741" i="2"/>
  <c r="Z741" i="2"/>
  <c r="S740" i="1"/>
  <c r="AU740" i="2"/>
  <c r="R740" i="1"/>
  <c r="AT740" i="2"/>
  <c r="Q740" i="1"/>
  <c r="AS740" i="2"/>
  <c r="P740" i="1"/>
  <c r="AR740" i="2"/>
  <c r="O740" i="1"/>
  <c r="AQ740" i="2"/>
  <c r="AP740" i="2"/>
  <c r="AO740" i="2"/>
  <c r="AN740" i="2"/>
  <c r="K740" i="1"/>
  <c r="AM740" i="2"/>
  <c r="J740" i="1"/>
  <c r="AL740" i="2"/>
  <c r="I740" i="1"/>
  <c r="AK740" i="2"/>
  <c r="AJ740" i="2"/>
  <c r="AI740" i="2"/>
  <c r="AH740" i="2"/>
  <c r="E740" i="1"/>
  <c r="AG740" i="2"/>
  <c r="D740" i="1"/>
  <c r="AF740" i="2"/>
  <c r="C740" i="1"/>
  <c r="AE740" i="2"/>
  <c r="AD740" i="2"/>
  <c r="AA740" i="2"/>
  <c r="Z740" i="2"/>
  <c r="S739" i="1"/>
  <c r="AU739" i="2"/>
  <c r="R739" i="1"/>
  <c r="AT739" i="2"/>
  <c r="Q739" i="1"/>
  <c r="AS739" i="2"/>
  <c r="P739" i="1"/>
  <c r="AR739" i="2"/>
  <c r="O739" i="1"/>
  <c r="AQ739" i="2"/>
  <c r="AP739" i="2"/>
  <c r="AO739" i="2"/>
  <c r="AN739" i="2"/>
  <c r="K739" i="1"/>
  <c r="AM739" i="2"/>
  <c r="J739" i="1"/>
  <c r="AL739" i="2"/>
  <c r="I739" i="1"/>
  <c r="AK739" i="2"/>
  <c r="AJ739" i="2"/>
  <c r="AI739" i="2"/>
  <c r="AH739" i="2"/>
  <c r="E739" i="1"/>
  <c r="AG739" i="2"/>
  <c r="D739" i="1"/>
  <c r="AF739" i="2"/>
  <c r="C739" i="1"/>
  <c r="AE739" i="2"/>
  <c r="AD739" i="2"/>
  <c r="AA739" i="2"/>
  <c r="Z739" i="2"/>
  <c r="S738" i="1"/>
  <c r="AU738" i="2"/>
  <c r="R738" i="1"/>
  <c r="AT738" i="2"/>
  <c r="Q738" i="1"/>
  <c r="AS738" i="2"/>
  <c r="P738" i="1"/>
  <c r="AR738" i="2"/>
  <c r="O738" i="1"/>
  <c r="AQ738" i="2"/>
  <c r="AP738" i="2"/>
  <c r="AO738" i="2"/>
  <c r="AN738" i="2"/>
  <c r="K738" i="1"/>
  <c r="AM738" i="2"/>
  <c r="J738" i="1"/>
  <c r="AL738" i="2"/>
  <c r="I738" i="1"/>
  <c r="AK738" i="2"/>
  <c r="AJ738" i="2"/>
  <c r="AI738" i="2"/>
  <c r="AH738" i="2"/>
  <c r="E738" i="1"/>
  <c r="AG738" i="2"/>
  <c r="D738" i="1"/>
  <c r="AF738" i="2"/>
  <c r="C738" i="1"/>
  <c r="AE738" i="2"/>
  <c r="AD738" i="2"/>
  <c r="AA738" i="2"/>
  <c r="Z738" i="2"/>
  <c r="S737" i="1"/>
  <c r="AU737" i="2"/>
  <c r="R737" i="1"/>
  <c r="AT737" i="2"/>
  <c r="Q737" i="1"/>
  <c r="AS737" i="2"/>
  <c r="P737" i="1"/>
  <c r="AR737" i="2"/>
  <c r="O737" i="1"/>
  <c r="AQ737" i="2"/>
  <c r="AP737" i="2"/>
  <c r="AO737" i="2"/>
  <c r="AN737" i="2"/>
  <c r="K737" i="1"/>
  <c r="AM737" i="2"/>
  <c r="J737" i="1"/>
  <c r="AL737" i="2"/>
  <c r="I737" i="1"/>
  <c r="AK737" i="2"/>
  <c r="AJ737" i="2"/>
  <c r="AI737" i="2"/>
  <c r="AH737" i="2"/>
  <c r="E737" i="1"/>
  <c r="AG737" i="2"/>
  <c r="D737" i="1"/>
  <c r="AF737" i="2"/>
  <c r="C737" i="1"/>
  <c r="AE737" i="2"/>
  <c r="AD737" i="2"/>
  <c r="AA737" i="2"/>
  <c r="Z737" i="2"/>
  <c r="S736" i="1"/>
  <c r="AU736" i="2"/>
  <c r="R736" i="1"/>
  <c r="AT736" i="2"/>
  <c r="Q736" i="1"/>
  <c r="AS736" i="2"/>
  <c r="P736" i="1"/>
  <c r="AR736" i="2"/>
  <c r="O736" i="1"/>
  <c r="AQ736" i="2"/>
  <c r="AP736" i="2"/>
  <c r="AO736" i="2"/>
  <c r="AN736" i="2"/>
  <c r="K736" i="1"/>
  <c r="AM736" i="2"/>
  <c r="J736" i="1"/>
  <c r="AL736" i="2"/>
  <c r="I736" i="1"/>
  <c r="AK736" i="2"/>
  <c r="AJ736" i="2"/>
  <c r="AI736" i="2"/>
  <c r="AH736" i="2"/>
  <c r="E736" i="1"/>
  <c r="AG736" i="2"/>
  <c r="D736" i="1"/>
  <c r="AF736" i="2"/>
  <c r="C736" i="1"/>
  <c r="AE736" i="2"/>
  <c r="AD736" i="2"/>
  <c r="AA736" i="2"/>
  <c r="Z736" i="2"/>
  <c r="S735" i="1"/>
  <c r="AU735" i="2"/>
  <c r="R735" i="1"/>
  <c r="AT735" i="2"/>
  <c r="Q735" i="1"/>
  <c r="AS735" i="2"/>
  <c r="P735" i="1"/>
  <c r="AR735" i="2"/>
  <c r="O735" i="1"/>
  <c r="AQ735" i="2"/>
  <c r="AP735" i="2"/>
  <c r="AO735" i="2"/>
  <c r="AN735" i="2"/>
  <c r="K735" i="1"/>
  <c r="AM735" i="2"/>
  <c r="J735" i="1"/>
  <c r="AL735" i="2"/>
  <c r="I735" i="1"/>
  <c r="AK735" i="2"/>
  <c r="AJ735" i="2"/>
  <c r="AI735" i="2"/>
  <c r="AH735" i="2"/>
  <c r="E735" i="1"/>
  <c r="AG735" i="2"/>
  <c r="D735" i="1"/>
  <c r="AF735" i="2"/>
  <c r="C735" i="1"/>
  <c r="AE735" i="2"/>
  <c r="AD735" i="2"/>
  <c r="AA735" i="2"/>
  <c r="Z735" i="2"/>
  <c r="S734" i="1"/>
  <c r="AU734" i="2"/>
  <c r="R734" i="1"/>
  <c r="AT734" i="2"/>
  <c r="Q734" i="1"/>
  <c r="AS734" i="2"/>
  <c r="P734" i="1"/>
  <c r="AR734" i="2"/>
  <c r="O734" i="1"/>
  <c r="AQ734" i="2"/>
  <c r="AP734" i="2"/>
  <c r="AO734" i="2"/>
  <c r="AN734" i="2"/>
  <c r="K734" i="1"/>
  <c r="AM734" i="2"/>
  <c r="J734" i="1"/>
  <c r="AL734" i="2"/>
  <c r="I734" i="1"/>
  <c r="AK734" i="2"/>
  <c r="AJ734" i="2"/>
  <c r="AI734" i="2"/>
  <c r="AH734" i="2"/>
  <c r="E734" i="1"/>
  <c r="AG734" i="2"/>
  <c r="D734" i="1"/>
  <c r="AF734" i="2"/>
  <c r="C734" i="1"/>
  <c r="AE734" i="2"/>
  <c r="AD734" i="2"/>
  <c r="AA734" i="2"/>
  <c r="Z734" i="2"/>
  <c r="S733" i="1"/>
  <c r="AU733" i="2"/>
  <c r="R733" i="1"/>
  <c r="AT733" i="2"/>
  <c r="Q733" i="1"/>
  <c r="AS733" i="2"/>
  <c r="P733" i="1"/>
  <c r="AR733" i="2"/>
  <c r="O733" i="1"/>
  <c r="AQ733" i="2"/>
  <c r="AP733" i="2"/>
  <c r="AO733" i="2"/>
  <c r="AN733" i="2"/>
  <c r="K733" i="1"/>
  <c r="AM733" i="2"/>
  <c r="J733" i="1"/>
  <c r="AL733" i="2"/>
  <c r="I733" i="1"/>
  <c r="AK733" i="2"/>
  <c r="AJ733" i="2"/>
  <c r="AI733" i="2"/>
  <c r="AH733" i="2"/>
  <c r="E733" i="1"/>
  <c r="AG733" i="2"/>
  <c r="D733" i="1"/>
  <c r="AF733" i="2"/>
  <c r="C733" i="1"/>
  <c r="AE733" i="2"/>
  <c r="AD733" i="2"/>
  <c r="AA733" i="2"/>
  <c r="Z733" i="2"/>
  <c r="S732" i="1"/>
  <c r="AU732" i="2"/>
  <c r="R732" i="1"/>
  <c r="AT732" i="2"/>
  <c r="Q732" i="1"/>
  <c r="AS732" i="2"/>
  <c r="P732" i="1"/>
  <c r="AR732" i="2"/>
  <c r="O732" i="1"/>
  <c r="AQ732" i="2"/>
  <c r="AP732" i="2"/>
  <c r="AO732" i="2"/>
  <c r="AN732" i="2"/>
  <c r="K732" i="1"/>
  <c r="AM732" i="2"/>
  <c r="J732" i="1"/>
  <c r="AL732" i="2"/>
  <c r="I732" i="1"/>
  <c r="AK732" i="2"/>
  <c r="AJ732" i="2"/>
  <c r="AI732" i="2"/>
  <c r="AH732" i="2"/>
  <c r="E732" i="1"/>
  <c r="AG732" i="2"/>
  <c r="D732" i="1"/>
  <c r="AF732" i="2"/>
  <c r="C732" i="1"/>
  <c r="AE732" i="2"/>
  <c r="AD732" i="2"/>
  <c r="AA732" i="2"/>
  <c r="Z732" i="2"/>
  <c r="S731" i="1"/>
  <c r="AU731" i="2"/>
  <c r="R731" i="1"/>
  <c r="AT731" i="2"/>
  <c r="Q731" i="1"/>
  <c r="AS731" i="2"/>
  <c r="P731" i="1"/>
  <c r="AR731" i="2"/>
  <c r="O731" i="1"/>
  <c r="AQ731" i="2"/>
  <c r="AP731" i="2"/>
  <c r="AO731" i="2"/>
  <c r="AN731" i="2"/>
  <c r="K731" i="1"/>
  <c r="AM731" i="2"/>
  <c r="J731" i="1"/>
  <c r="AL731" i="2"/>
  <c r="I731" i="1"/>
  <c r="AK731" i="2"/>
  <c r="AJ731" i="2"/>
  <c r="AI731" i="2"/>
  <c r="AH731" i="2"/>
  <c r="E731" i="1"/>
  <c r="AG731" i="2"/>
  <c r="D731" i="1"/>
  <c r="AF731" i="2"/>
  <c r="C731" i="1"/>
  <c r="AE731" i="2"/>
  <c r="AD731" i="2"/>
  <c r="AA731" i="2"/>
  <c r="Z731" i="2"/>
  <c r="S730" i="1"/>
  <c r="AU730" i="2"/>
  <c r="R730" i="1"/>
  <c r="AT730" i="2"/>
  <c r="Q730" i="1"/>
  <c r="AS730" i="2"/>
  <c r="P730" i="1"/>
  <c r="AR730" i="2"/>
  <c r="O730" i="1"/>
  <c r="AQ730" i="2"/>
  <c r="AP730" i="2"/>
  <c r="AO730" i="2"/>
  <c r="AN730" i="2"/>
  <c r="K730" i="1"/>
  <c r="AM730" i="2"/>
  <c r="J730" i="1"/>
  <c r="AL730" i="2"/>
  <c r="I730" i="1"/>
  <c r="AK730" i="2"/>
  <c r="AJ730" i="2"/>
  <c r="AI730" i="2"/>
  <c r="AH730" i="2"/>
  <c r="E730" i="1"/>
  <c r="AG730" i="2"/>
  <c r="D730" i="1"/>
  <c r="AF730" i="2"/>
  <c r="C730" i="1"/>
  <c r="AE730" i="2"/>
  <c r="AD730" i="2"/>
  <c r="AA730" i="2"/>
  <c r="Z730" i="2"/>
  <c r="S729" i="1"/>
  <c r="AU729" i="2"/>
  <c r="R729" i="1"/>
  <c r="AT729" i="2"/>
  <c r="Q729" i="1"/>
  <c r="AS729" i="2"/>
  <c r="P729" i="1"/>
  <c r="AR729" i="2"/>
  <c r="O729" i="1"/>
  <c r="AQ729" i="2"/>
  <c r="AP729" i="2"/>
  <c r="AO729" i="2"/>
  <c r="AN729" i="2"/>
  <c r="K729" i="1"/>
  <c r="AM729" i="2"/>
  <c r="J729" i="1"/>
  <c r="AL729" i="2"/>
  <c r="I729" i="1"/>
  <c r="AK729" i="2"/>
  <c r="AJ729" i="2"/>
  <c r="AI729" i="2"/>
  <c r="AH729" i="2"/>
  <c r="E729" i="1"/>
  <c r="AG729" i="2"/>
  <c r="D729" i="1"/>
  <c r="AF729" i="2"/>
  <c r="C729" i="1"/>
  <c r="AE729" i="2"/>
  <c r="AD729" i="2"/>
  <c r="AA729" i="2"/>
  <c r="Z729" i="2"/>
  <c r="S728" i="1"/>
  <c r="AU728" i="2"/>
  <c r="R728" i="1"/>
  <c r="AT728" i="2"/>
  <c r="Q728" i="1"/>
  <c r="AS728" i="2"/>
  <c r="P728" i="1"/>
  <c r="AR728" i="2"/>
  <c r="O728" i="1"/>
  <c r="AQ728" i="2"/>
  <c r="AP728" i="2"/>
  <c r="AO728" i="2"/>
  <c r="AN728" i="2"/>
  <c r="K728" i="1"/>
  <c r="AM728" i="2"/>
  <c r="J728" i="1"/>
  <c r="AL728" i="2"/>
  <c r="I728" i="1"/>
  <c r="AK728" i="2"/>
  <c r="AJ728" i="2"/>
  <c r="AI728" i="2"/>
  <c r="AH728" i="2"/>
  <c r="E728" i="1"/>
  <c r="AG728" i="2"/>
  <c r="D728" i="1"/>
  <c r="AF728" i="2"/>
  <c r="C728" i="1"/>
  <c r="AE728" i="2"/>
  <c r="AD728" i="2"/>
  <c r="AA728" i="2"/>
  <c r="Z728" i="2"/>
  <c r="S727" i="1"/>
  <c r="AU727" i="2"/>
  <c r="R727" i="1"/>
  <c r="AT727" i="2"/>
  <c r="Q727" i="1"/>
  <c r="AS727" i="2"/>
  <c r="P727" i="1"/>
  <c r="AR727" i="2"/>
  <c r="O727" i="1"/>
  <c r="AQ727" i="2"/>
  <c r="AP727" i="2"/>
  <c r="AO727" i="2"/>
  <c r="AN727" i="2"/>
  <c r="K727" i="1"/>
  <c r="AM727" i="2"/>
  <c r="J727" i="1"/>
  <c r="AL727" i="2"/>
  <c r="I727" i="1"/>
  <c r="AK727" i="2"/>
  <c r="AJ727" i="2"/>
  <c r="AI727" i="2"/>
  <c r="AH727" i="2"/>
  <c r="E727" i="1"/>
  <c r="AG727" i="2"/>
  <c r="D727" i="1"/>
  <c r="AF727" i="2"/>
  <c r="C727" i="1"/>
  <c r="AE727" i="2"/>
  <c r="AD727" i="2"/>
  <c r="AA727" i="2"/>
  <c r="Z727" i="2"/>
  <c r="S726" i="1"/>
  <c r="AU726" i="2"/>
  <c r="R726" i="1"/>
  <c r="AT726" i="2"/>
  <c r="Q726" i="1"/>
  <c r="AS726" i="2"/>
  <c r="P726" i="1"/>
  <c r="AR726" i="2"/>
  <c r="O726" i="1"/>
  <c r="AQ726" i="2"/>
  <c r="AP726" i="2"/>
  <c r="AO726" i="2"/>
  <c r="AN726" i="2"/>
  <c r="K726" i="1"/>
  <c r="AM726" i="2"/>
  <c r="J726" i="1"/>
  <c r="AL726" i="2"/>
  <c r="I726" i="1"/>
  <c r="AK726" i="2"/>
  <c r="AJ726" i="2"/>
  <c r="AI726" i="2"/>
  <c r="AH726" i="2"/>
  <c r="E726" i="1"/>
  <c r="AG726" i="2"/>
  <c r="D726" i="1"/>
  <c r="AF726" i="2"/>
  <c r="C726" i="1"/>
  <c r="AE726" i="2"/>
  <c r="AD726" i="2"/>
  <c r="AA726" i="2"/>
  <c r="Z726" i="2"/>
  <c r="S725" i="1"/>
  <c r="AU725" i="2"/>
  <c r="R725" i="1"/>
  <c r="AT725" i="2"/>
  <c r="Q725" i="1"/>
  <c r="AS725" i="2"/>
  <c r="P725" i="1"/>
  <c r="AR725" i="2"/>
  <c r="O725" i="1"/>
  <c r="AQ725" i="2"/>
  <c r="AP725" i="2"/>
  <c r="AO725" i="2"/>
  <c r="AN725" i="2"/>
  <c r="K725" i="1"/>
  <c r="AM725" i="2"/>
  <c r="J725" i="1"/>
  <c r="AL725" i="2"/>
  <c r="I725" i="1"/>
  <c r="AK725" i="2"/>
  <c r="AJ725" i="2"/>
  <c r="AI725" i="2"/>
  <c r="AH725" i="2"/>
  <c r="E725" i="1"/>
  <c r="AG725" i="2"/>
  <c r="D725" i="1"/>
  <c r="AF725" i="2"/>
  <c r="C725" i="1"/>
  <c r="AE725" i="2"/>
  <c r="AD725" i="2"/>
  <c r="AA725" i="2"/>
  <c r="Z725" i="2"/>
  <c r="S724" i="1"/>
  <c r="AU724" i="2"/>
  <c r="R724" i="1"/>
  <c r="AT724" i="2"/>
  <c r="Q724" i="1"/>
  <c r="AS724" i="2"/>
  <c r="P724" i="1"/>
  <c r="AR724" i="2"/>
  <c r="O724" i="1"/>
  <c r="AQ724" i="2"/>
  <c r="AP724" i="2"/>
  <c r="AO724" i="2"/>
  <c r="AN724" i="2"/>
  <c r="K724" i="1"/>
  <c r="AM724" i="2"/>
  <c r="J724" i="1"/>
  <c r="AL724" i="2"/>
  <c r="I724" i="1"/>
  <c r="AK724" i="2"/>
  <c r="AJ724" i="2"/>
  <c r="AI724" i="2"/>
  <c r="AH724" i="2"/>
  <c r="E724" i="1"/>
  <c r="AG724" i="2"/>
  <c r="D724" i="1"/>
  <c r="AF724" i="2"/>
  <c r="C724" i="1"/>
  <c r="AE724" i="2"/>
  <c r="AD724" i="2"/>
  <c r="AA724" i="2"/>
  <c r="Z724" i="2"/>
  <c r="S723" i="1"/>
  <c r="AU723" i="2"/>
  <c r="R723" i="1"/>
  <c r="AT723" i="2"/>
  <c r="Q723" i="1"/>
  <c r="AS723" i="2"/>
  <c r="P723" i="1"/>
  <c r="AR723" i="2"/>
  <c r="O723" i="1"/>
  <c r="AQ723" i="2"/>
  <c r="AP723" i="2"/>
  <c r="AO723" i="2"/>
  <c r="AN723" i="2"/>
  <c r="K723" i="1"/>
  <c r="AM723" i="2"/>
  <c r="J723" i="1"/>
  <c r="AL723" i="2"/>
  <c r="I723" i="1"/>
  <c r="AK723" i="2"/>
  <c r="AJ723" i="2"/>
  <c r="AI723" i="2"/>
  <c r="AH723" i="2"/>
  <c r="E723" i="1"/>
  <c r="AG723" i="2"/>
  <c r="D723" i="1"/>
  <c r="AF723" i="2"/>
  <c r="C723" i="1"/>
  <c r="AE723" i="2"/>
  <c r="AD723" i="2"/>
  <c r="AA723" i="2"/>
  <c r="Z723" i="2"/>
  <c r="S722" i="1"/>
  <c r="AU722" i="2"/>
  <c r="R722" i="1"/>
  <c r="AT722" i="2"/>
  <c r="Q722" i="1"/>
  <c r="AS722" i="2"/>
  <c r="P722" i="1"/>
  <c r="AR722" i="2"/>
  <c r="O722" i="1"/>
  <c r="AQ722" i="2"/>
  <c r="AP722" i="2"/>
  <c r="AO722" i="2"/>
  <c r="AN722" i="2"/>
  <c r="K722" i="1"/>
  <c r="AM722" i="2"/>
  <c r="J722" i="1"/>
  <c r="AL722" i="2"/>
  <c r="I722" i="1"/>
  <c r="AK722" i="2"/>
  <c r="AJ722" i="2"/>
  <c r="AI722" i="2"/>
  <c r="AH722" i="2"/>
  <c r="E722" i="1"/>
  <c r="AG722" i="2"/>
  <c r="D722" i="1"/>
  <c r="AF722" i="2"/>
  <c r="C722" i="1"/>
  <c r="AE722" i="2"/>
  <c r="AD722" i="2"/>
  <c r="AA722" i="2"/>
  <c r="Z722" i="2"/>
  <c r="S721" i="1"/>
  <c r="AU721" i="2"/>
  <c r="R721" i="1"/>
  <c r="AT721" i="2"/>
  <c r="Q721" i="1"/>
  <c r="AS721" i="2"/>
  <c r="P721" i="1"/>
  <c r="AR721" i="2"/>
  <c r="O721" i="1"/>
  <c r="AQ721" i="2"/>
  <c r="AP721" i="2"/>
  <c r="AO721" i="2"/>
  <c r="AN721" i="2"/>
  <c r="K721" i="1"/>
  <c r="AM721" i="2"/>
  <c r="J721" i="1"/>
  <c r="AL721" i="2"/>
  <c r="I721" i="1"/>
  <c r="AK721" i="2"/>
  <c r="AJ721" i="2"/>
  <c r="AI721" i="2"/>
  <c r="AH721" i="2"/>
  <c r="E721" i="1"/>
  <c r="AG721" i="2"/>
  <c r="D721" i="1"/>
  <c r="AF721" i="2"/>
  <c r="C721" i="1"/>
  <c r="AE721" i="2"/>
  <c r="AD721" i="2"/>
  <c r="AA721" i="2"/>
  <c r="Z721" i="2"/>
  <c r="S720" i="1"/>
  <c r="AU720" i="2"/>
  <c r="R720" i="1"/>
  <c r="AT720" i="2"/>
  <c r="Q720" i="1"/>
  <c r="AS720" i="2"/>
  <c r="P720" i="1"/>
  <c r="AR720" i="2"/>
  <c r="O720" i="1"/>
  <c r="AQ720" i="2"/>
  <c r="AP720" i="2"/>
  <c r="AO720" i="2"/>
  <c r="AN720" i="2"/>
  <c r="K720" i="1"/>
  <c r="AM720" i="2"/>
  <c r="J720" i="1"/>
  <c r="AL720" i="2"/>
  <c r="I720" i="1"/>
  <c r="AK720" i="2"/>
  <c r="AJ720" i="2"/>
  <c r="AI720" i="2"/>
  <c r="AH720" i="2"/>
  <c r="E720" i="1"/>
  <c r="AG720" i="2"/>
  <c r="D720" i="1"/>
  <c r="AF720" i="2"/>
  <c r="C720" i="1"/>
  <c r="AE720" i="2"/>
  <c r="AD720" i="2"/>
  <c r="AA720" i="2"/>
  <c r="Z720" i="2"/>
  <c r="S719" i="1"/>
  <c r="AU719" i="2"/>
  <c r="R719" i="1"/>
  <c r="AT719" i="2"/>
  <c r="Q719" i="1"/>
  <c r="AS719" i="2"/>
  <c r="P719" i="1"/>
  <c r="AR719" i="2"/>
  <c r="O719" i="1"/>
  <c r="AQ719" i="2"/>
  <c r="AP719" i="2"/>
  <c r="AO719" i="2"/>
  <c r="AN719" i="2"/>
  <c r="K719" i="1"/>
  <c r="AM719" i="2"/>
  <c r="J719" i="1"/>
  <c r="AL719" i="2"/>
  <c r="I719" i="1"/>
  <c r="AK719" i="2"/>
  <c r="AJ719" i="2"/>
  <c r="AI719" i="2"/>
  <c r="AH719" i="2"/>
  <c r="E719" i="1"/>
  <c r="AG719" i="2"/>
  <c r="D719" i="1"/>
  <c r="AF719" i="2"/>
  <c r="C719" i="1"/>
  <c r="AE719" i="2"/>
  <c r="AD719" i="2"/>
  <c r="AA719" i="2"/>
  <c r="Z719" i="2"/>
  <c r="S718" i="1"/>
  <c r="AU718" i="2"/>
  <c r="R718" i="1"/>
  <c r="AT718" i="2"/>
  <c r="Q718" i="1"/>
  <c r="AS718" i="2"/>
  <c r="P718" i="1"/>
  <c r="AR718" i="2"/>
  <c r="O718" i="1"/>
  <c r="AQ718" i="2"/>
  <c r="AP718" i="2"/>
  <c r="AO718" i="2"/>
  <c r="AN718" i="2"/>
  <c r="K718" i="1"/>
  <c r="AM718" i="2"/>
  <c r="J718" i="1"/>
  <c r="AL718" i="2"/>
  <c r="I718" i="1"/>
  <c r="AK718" i="2"/>
  <c r="AJ718" i="2"/>
  <c r="AI718" i="2"/>
  <c r="AH718" i="2"/>
  <c r="E718" i="1"/>
  <c r="AG718" i="2"/>
  <c r="D718" i="1"/>
  <c r="AF718" i="2"/>
  <c r="C718" i="1"/>
  <c r="AE718" i="2"/>
  <c r="AD718" i="2"/>
  <c r="AA718" i="2"/>
  <c r="Z718" i="2"/>
  <c r="S717" i="1"/>
  <c r="AU717" i="2"/>
  <c r="R717" i="1"/>
  <c r="AT717" i="2"/>
  <c r="Q717" i="1"/>
  <c r="AS717" i="2"/>
  <c r="P717" i="1"/>
  <c r="AR717" i="2"/>
  <c r="O717" i="1"/>
  <c r="AQ717" i="2"/>
  <c r="AP717" i="2"/>
  <c r="AO717" i="2"/>
  <c r="AN717" i="2"/>
  <c r="K717" i="1"/>
  <c r="AM717" i="2"/>
  <c r="J717" i="1"/>
  <c r="AL717" i="2"/>
  <c r="I717" i="1"/>
  <c r="AK717" i="2"/>
  <c r="AJ717" i="2"/>
  <c r="AI717" i="2"/>
  <c r="AH717" i="2"/>
  <c r="E717" i="1"/>
  <c r="AG717" i="2"/>
  <c r="D717" i="1"/>
  <c r="AF717" i="2"/>
  <c r="C717" i="1"/>
  <c r="AE717" i="2"/>
  <c r="AD717" i="2"/>
  <c r="AA717" i="2"/>
  <c r="Z717" i="2"/>
  <c r="S716" i="1"/>
  <c r="AU716" i="2"/>
  <c r="R716" i="1"/>
  <c r="AT716" i="2"/>
  <c r="Q716" i="1"/>
  <c r="AS716" i="2"/>
  <c r="P716" i="1"/>
  <c r="AR716" i="2"/>
  <c r="O716" i="1"/>
  <c r="AQ716" i="2"/>
  <c r="AP716" i="2"/>
  <c r="AO716" i="2"/>
  <c r="AN716" i="2"/>
  <c r="K716" i="1"/>
  <c r="AM716" i="2"/>
  <c r="J716" i="1"/>
  <c r="AL716" i="2"/>
  <c r="I716" i="1"/>
  <c r="AK716" i="2"/>
  <c r="AJ716" i="2"/>
  <c r="AI716" i="2"/>
  <c r="AH716" i="2"/>
  <c r="E716" i="1"/>
  <c r="AG716" i="2"/>
  <c r="D716" i="1"/>
  <c r="AF716" i="2"/>
  <c r="C716" i="1"/>
  <c r="AE716" i="2"/>
  <c r="AD716" i="2"/>
  <c r="AA716" i="2"/>
  <c r="Z716" i="2"/>
  <c r="S715" i="1"/>
  <c r="AU715" i="2"/>
  <c r="R715" i="1"/>
  <c r="AT715" i="2"/>
  <c r="Q715" i="1"/>
  <c r="AS715" i="2"/>
  <c r="P715" i="1"/>
  <c r="AR715" i="2"/>
  <c r="O715" i="1"/>
  <c r="AQ715" i="2"/>
  <c r="AP715" i="2"/>
  <c r="AO715" i="2"/>
  <c r="AN715" i="2"/>
  <c r="K715" i="1"/>
  <c r="AM715" i="2"/>
  <c r="J715" i="1"/>
  <c r="AL715" i="2"/>
  <c r="I715" i="1"/>
  <c r="AK715" i="2"/>
  <c r="AJ715" i="2"/>
  <c r="AI715" i="2"/>
  <c r="AH715" i="2"/>
  <c r="E715" i="1"/>
  <c r="AG715" i="2"/>
  <c r="D715" i="1"/>
  <c r="AF715" i="2"/>
  <c r="C715" i="1"/>
  <c r="AE715" i="2"/>
  <c r="AD715" i="2"/>
  <c r="AA715" i="2"/>
  <c r="Z715" i="2"/>
  <c r="S714" i="1"/>
  <c r="AU714" i="2"/>
  <c r="R714" i="1"/>
  <c r="AT714" i="2"/>
  <c r="Q714" i="1"/>
  <c r="AS714" i="2"/>
  <c r="P714" i="1"/>
  <c r="AR714" i="2"/>
  <c r="O714" i="1"/>
  <c r="AQ714" i="2"/>
  <c r="AP714" i="2"/>
  <c r="AO714" i="2"/>
  <c r="AN714" i="2"/>
  <c r="K714" i="1"/>
  <c r="AM714" i="2"/>
  <c r="J714" i="1"/>
  <c r="AL714" i="2"/>
  <c r="I714" i="1"/>
  <c r="AK714" i="2"/>
  <c r="AJ714" i="2"/>
  <c r="AI714" i="2"/>
  <c r="AH714" i="2"/>
  <c r="E714" i="1"/>
  <c r="AG714" i="2"/>
  <c r="D714" i="1"/>
  <c r="AF714" i="2"/>
  <c r="C714" i="1"/>
  <c r="AE714" i="2"/>
  <c r="AD714" i="2"/>
  <c r="AA714" i="2"/>
  <c r="Z714" i="2"/>
  <c r="S713" i="1"/>
  <c r="AU713" i="2"/>
  <c r="R713" i="1"/>
  <c r="AT713" i="2"/>
  <c r="Q713" i="1"/>
  <c r="AS713" i="2"/>
  <c r="P713" i="1"/>
  <c r="AR713" i="2"/>
  <c r="O713" i="1"/>
  <c r="AQ713" i="2"/>
  <c r="AP713" i="2"/>
  <c r="AO713" i="2"/>
  <c r="AN713" i="2"/>
  <c r="K713" i="1"/>
  <c r="AM713" i="2"/>
  <c r="J713" i="1"/>
  <c r="AL713" i="2"/>
  <c r="I713" i="1"/>
  <c r="AK713" i="2"/>
  <c r="AJ713" i="2"/>
  <c r="AI713" i="2"/>
  <c r="AH713" i="2"/>
  <c r="E713" i="1"/>
  <c r="AG713" i="2"/>
  <c r="D713" i="1"/>
  <c r="AF713" i="2"/>
  <c r="C713" i="1"/>
  <c r="AE713" i="2"/>
  <c r="AD713" i="2"/>
  <c r="AA713" i="2"/>
  <c r="Z713" i="2"/>
  <c r="S712" i="1"/>
  <c r="AU712" i="2"/>
  <c r="R712" i="1"/>
  <c r="AT712" i="2"/>
  <c r="Q712" i="1"/>
  <c r="AS712" i="2"/>
  <c r="P712" i="1"/>
  <c r="AR712" i="2"/>
  <c r="O712" i="1"/>
  <c r="AQ712" i="2"/>
  <c r="AP712" i="2"/>
  <c r="AO712" i="2"/>
  <c r="AN712" i="2"/>
  <c r="K712" i="1"/>
  <c r="AM712" i="2"/>
  <c r="J712" i="1"/>
  <c r="AL712" i="2"/>
  <c r="I712" i="1"/>
  <c r="AK712" i="2"/>
  <c r="AJ712" i="2"/>
  <c r="AI712" i="2"/>
  <c r="AH712" i="2"/>
  <c r="E712" i="1"/>
  <c r="AG712" i="2"/>
  <c r="D712" i="1"/>
  <c r="AF712" i="2"/>
  <c r="C712" i="1"/>
  <c r="AE712" i="2"/>
  <c r="AD712" i="2"/>
  <c r="AA712" i="2"/>
  <c r="Z712" i="2"/>
  <c r="S711" i="1"/>
  <c r="AU711" i="2"/>
  <c r="R711" i="1"/>
  <c r="AT711" i="2"/>
  <c r="Q711" i="1"/>
  <c r="AS711" i="2"/>
  <c r="P711" i="1"/>
  <c r="AR711" i="2"/>
  <c r="O711" i="1"/>
  <c r="AQ711" i="2"/>
  <c r="AP711" i="2"/>
  <c r="AO711" i="2"/>
  <c r="AN711" i="2"/>
  <c r="K711" i="1"/>
  <c r="AM711" i="2"/>
  <c r="J711" i="1"/>
  <c r="AL711" i="2"/>
  <c r="I711" i="1"/>
  <c r="AK711" i="2"/>
  <c r="AJ711" i="2"/>
  <c r="AI711" i="2"/>
  <c r="AH711" i="2"/>
  <c r="E711" i="1"/>
  <c r="AG711" i="2"/>
  <c r="D711" i="1"/>
  <c r="AF711" i="2"/>
  <c r="C711" i="1"/>
  <c r="AE711" i="2"/>
  <c r="AD711" i="2"/>
  <c r="AA711" i="2"/>
  <c r="Z711" i="2"/>
  <c r="S710" i="1"/>
  <c r="AU710" i="2"/>
  <c r="R710" i="1"/>
  <c r="AT710" i="2"/>
  <c r="Q710" i="1"/>
  <c r="AS710" i="2"/>
  <c r="P710" i="1"/>
  <c r="AR710" i="2"/>
  <c r="O710" i="1"/>
  <c r="AQ710" i="2"/>
  <c r="AP710" i="2"/>
  <c r="AO710" i="2"/>
  <c r="AN710" i="2"/>
  <c r="K710" i="1"/>
  <c r="AM710" i="2"/>
  <c r="J710" i="1"/>
  <c r="AL710" i="2"/>
  <c r="I710" i="1"/>
  <c r="AK710" i="2"/>
  <c r="AJ710" i="2"/>
  <c r="AI710" i="2"/>
  <c r="AH710" i="2"/>
  <c r="E710" i="1"/>
  <c r="AG710" i="2"/>
  <c r="D710" i="1"/>
  <c r="AF710" i="2"/>
  <c r="C710" i="1"/>
  <c r="AE710" i="2"/>
  <c r="AD710" i="2"/>
  <c r="AA710" i="2"/>
  <c r="Z710" i="2"/>
  <c r="S709" i="1"/>
  <c r="AU709" i="2"/>
  <c r="R709" i="1"/>
  <c r="AT709" i="2"/>
  <c r="Q709" i="1"/>
  <c r="AS709" i="2"/>
  <c r="P709" i="1"/>
  <c r="AR709" i="2"/>
  <c r="O709" i="1"/>
  <c r="AQ709" i="2"/>
  <c r="AP709" i="2"/>
  <c r="AO709" i="2"/>
  <c r="AN709" i="2"/>
  <c r="K709" i="1"/>
  <c r="AM709" i="2"/>
  <c r="J709" i="1"/>
  <c r="AL709" i="2"/>
  <c r="I709" i="1"/>
  <c r="AK709" i="2"/>
  <c r="AJ709" i="2"/>
  <c r="AI709" i="2"/>
  <c r="AH709" i="2"/>
  <c r="E709" i="1"/>
  <c r="AG709" i="2"/>
  <c r="D709" i="1"/>
  <c r="AF709" i="2"/>
  <c r="C709" i="1"/>
  <c r="AE709" i="2"/>
  <c r="AD709" i="2"/>
  <c r="AA709" i="2"/>
  <c r="Z709" i="2"/>
  <c r="S708" i="1"/>
  <c r="AU708" i="2"/>
  <c r="R708" i="1"/>
  <c r="AT708" i="2"/>
  <c r="Q708" i="1"/>
  <c r="AS708" i="2"/>
  <c r="P708" i="1"/>
  <c r="AR708" i="2"/>
  <c r="O708" i="1"/>
  <c r="AQ708" i="2"/>
  <c r="AP708" i="2"/>
  <c r="AO708" i="2"/>
  <c r="AN708" i="2"/>
  <c r="K708" i="1"/>
  <c r="AM708" i="2"/>
  <c r="J708" i="1"/>
  <c r="AL708" i="2"/>
  <c r="I708" i="1"/>
  <c r="AK708" i="2"/>
  <c r="AJ708" i="2"/>
  <c r="AI708" i="2"/>
  <c r="AH708" i="2"/>
  <c r="E708" i="1"/>
  <c r="AG708" i="2"/>
  <c r="D708" i="1"/>
  <c r="AF708" i="2"/>
  <c r="C708" i="1"/>
  <c r="AE708" i="2"/>
  <c r="AD708" i="2"/>
  <c r="AA708" i="2"/>
  <c r="Z708" i="2"/>
  <c r="S707" i="1"/>
  <c r="AU707" i="2"/>
  <c r="R707" i="1"/>
  <c r="AT707" i="2"/>
  <c r="Q707" i="1"/>
  <c r="AS707" i="2"/>
  <c r="P707" i="1"/>
  <c r="AR707" i="2"/>
  <c r="O707" i="1"/>
  <c r="AQ707" i="2"/>
  <c r="AP707" i="2"/>
  <c r="AO707" i="2"/>
  <c r="AN707" i="2"/>
  <c r="K707" i="1"/>
  <c r="AM707" i="2"/>
  <c r="J707" i="1"/>
  <c r="AL707" i="2"/>
  <c r="I707" i="1"/>
  <c r="AK707" i="2"/>
  <c r="AJ707" i="2"/>
  <c r="AI707" i="2"/>
  <c r="AH707" i="2"/>
  <c r="E707" i="1"/>
  <c r="AG707" i="2"/>
  <c r="D707" i="1"/>
  <c r="AF707" i="2"/>
  <c r="C707" i="1"/>
  <c r="AE707" i="2"/>
  <c r="AD707" i="2"/>
  <c r="AA707" i="2"/>
  <c r="Z707" i="2"/>
  <c r="S706" i="1"/>
  <c r="AU706" i="2"/>
  <c r="R706" i="1"/>
  <c r="AT706" i="2"/>
  <c r="Q706" i="1"/>
  <c r="AS706" i="2"/>
  <c r="P706" i="1"/>
  <c r="AR706" i="2"/>
  <c r="O706" i="1"/>
  <c r="AQ706" i="2"/>
  <c r="AP706" i="2"/>
  <c r="AO706" i="2"/>
  <c r="AN706" i="2"/>
  <c r="K706" i="1"/>
  <c r="AM706" i="2"/>
  <c r="J706" i="1"/>
  <c r="AL706" i="2"/>
  <c r="I706" i="1"/>
  <c r="AK706" i="2"/>
  <c r="AJ706" i="2"/>
  <c r="AI706" i="2"/>
  <c r="AH706" i="2"/>
  <c r="E706" i="1"/>
  <c r="AG706" i="2"/>
  <c r="D706" i="1"/>
  <c r="AF706" i="2"/>
  <c r="C706" i="1"/>
  <c r="AE706" i="2"/>
  <c r="AD706" i="2"/>
  <c r="AA706" i="2"/>
  <c r="Z706" i="2"/>
  <c r="S705" i="1"/>
  <c r="AU705" i="2"/>
  <c r="R705" i="1"/>
  <c r="AT705" i="2"/>
  <c r="Q705" i="1"/>
  <c r="AS705" i="2"/>
  <c r="P705" i="1"/>
  <c r="AR705" i="2"/>
  <c r="O705" i="1"/>
  <c r="AQ705" i="2"/>
  <c r="AP705" i="2"/>
  <c r="AO705" i="2"/>
  <c r="AN705" i="2"/>
  <c r="K705" i="1"/>
  <c r="AM705" i="2"/>
  <c r="J705" i="1"/>
  <c r="AL705" i="2"/>
  <c r="I705" i="1"/>
  <c r="AK705" i="2"/>
  <c r="AJ705" i="2"/>
  <c r="AI705" i="2"/>
  <c r="AH705" i="2"/>
  <c r="E705" i="1"/>
  <c r="AG705" i="2"/>
  <c r="D705" i="1"/>
  <c r="AF705" i="2"/>
  <c r="C705" i="1"/>
  <c r="AE705" i="2"/>
  <c r="AD705" i="2"/>
  <c r="AA705" i="2"/>
  <c r="Z705" i="2"/>
  <c r="S704" i="1"/>
  <c r="AU704" i="2"/>
  <c r="R704" i="1"/>
  <c r="AT704" i="2"/>
  <c r="Q704" i="1"/>
  <c r="AS704" i="2"/>
  <c r="P704" i="1"/>
  <c r="AR704" i="2"/>
  <c r="O704" i="1"/>
  <c r="AQ704" i="2"/>
  <c r="AP704" i="2"/>
  <c r="AO704" i="2"/>
  <c r="AN704" i="2"/>
  <c r="K704" i="1"/>
  <c r="AM704" i="2"/>
  <c r="J704" i="1"/>
  <c r="AL704" i="2"/>
  <c r="I704" i="1"/>
  <c r="AK704" i="2"/>
  <c r="AJ704" i="2"/>
  <c r="AI704" i="2"/>
  <c r="AH704" i="2"/>
  <c r="E704" i="1"/>
  <c r="AG704" i="2"/>
  <c r="D704" i="1"/>
  <c r="AF704" i="2"/>
  <c r="C704" i="1"/>
  <c r="AE704" i="2"/>
  <c r="AD704" i="2"/>
  <c r="AA704" i="2"/>
  <c r="Z704" i="2"/>
  <c r="S703" i="1"/>
  <c r="AU703" i="2"/>
  <c r="R703" i="1"/>
  <c r="AT703" i="2"/>
  <c r="Q703" i="1"/>
  <c r="AS703" i="2"/>
  <c r="P703" i="1"/>
  <c r="AR703" i="2"/>
  <c r="O703" i="1"/>
  <c r="AQ703" i="2"/>
  <c r="AP703" i="2"/>
  <c r="AO703" i="2"/>
  <c r="AN703" i="2"/>
  <c r="K703" i="1"/>
  <c r="AM703" i="2"/>
  <c r="J703" i="1"/>
  <c r="AL703" i="2"/>
  <c r="I703" i="1"/>
  <c r="AK703" i="2"/>
  <c r="AJ703" i="2"/>
  <c r="AI703" i="2"/>
  <c r="AH703" i="2"/>
  <c r="E703" i="1"/>
  <c r="AG703" i="2"/>
  <c r="D703" i="1"/>
  <c r="AF703" i="2"/>
  <c r="C703" i="1"/>
  <c r="AE703" i="2"/>
  <c r="AD703" i="2"/>
  <c r="AA703" i="2"/>
  <c r="Z703" i="2"/>
  <c r="S702" i="1"/>
  <c r="AU702" i="2"/>
  <c r="R702" i="1"/>
  <c r="AT702" i="2"/>
  <c r="Q702" i="1"/>
  <c r="AS702" i="2"/>
  <c r="P702" i="1"/>
  <c r="AR702" i="2"/>
  <c r="O702" i="1"/>
  <c r="AQ702" i="2"/>
  <c r="AP702" i="2"/>
  <c r="AO702" i="2"/>
  <c r="AN702" i="2"/>
  <c r="K702" i="1"/>
  <c r="AM702" i="2"/>
  <c r="J702" i="1"/>
  <c r="AL702" i="2"/>
  <c r="I702" i="1"/>
  <c r="AK702" i="2"/>
  <c r="AJ702" i="2"/>
  <c r="AI702" i="2"/>
  <c r="AH702" i="2"/>
  <c r="E702" i="1"/>
  <c r="AG702" i="2"/>
  <c r="D702" i="1"/>
  <c r="AF702" i="2"/>
  <c r="C702" i="1"/>
  <c r="AE702" i="2"/>
  <c r="AD702" i="2"/>
  <c r="AA702" i="2"/>
  <c r="Z702" i="2"/>
  <c r="S701" i="1"/>
  <c r="AU701" i="2"/>
  <c r="R701" i="1"/>
  <c r="AT701" i="2"/>
  <c r="Q701" i="1"/>
  <c r="AS701" i="2"/>
  <c r="P701" i="1"/>
  <c r="AR701" i="2"/>
  <c r="O701" i="1"/>
  <c r="AQ701" i="2"/>
  <c r="AP701" i="2"/>
  <c r="AO701" i="2"/>
  <c r="AN701" i="2"/>
  <c r="K701" i="1"/>
  <c r="AM701" i="2"/>
  <c r="J701" i="1"/>
  <c r="AL701" i="2"/>
  <c r="I701" i="1"/>
  <c r="AK701" i="2"/>
  <c r="AJ701" i="2"/>
  <c r="AI701" i="2"/>
  <c r="AH701" i="2"/>
  <c r="E701" i="1"/>
  <c r="AG701" i="2"/>
  <c r="D701" i="1"/>
  <c r="AF701" i="2"/>
  <c r="C701" i="1"/>
  <c r="AE701" i="2"/>
  <c r="AD701" i="2"/>
  <c r="AA701" i="2"/>
  <c r="Z701" i="2"/>
  <c r="S700" i="1"/>
  <c r="AU700" i="2"/>
  <c r="R700" i="1"/>
  <c r="AT700" i="2"/>
  <c r="Q700" i="1"/>
  <c r="AS700" i="2"/>
  <c r="P700" i="1"/>
  <c r="AR700" i="2"/>
  <c r="O700" i="1"/>
  <c r="AQ700" i="2"/>
  <c r="AP700" i="2"/>
  <c r="AO700" i="2"/>
  <c r="AN700" i="2"/>
  <c r="K700" i="1"/>
  <c r="AM700" i="2"/>
  <c r="J700" i="1"/>
  <c r="AL700" i="2"/>
  <c r="I700" i="1"/>
  <c r="AK700" i="2"/>
  <c r="AJ700" i="2"/>
  <c r="AI700" i="2"/>
  <c r="AH700" i="2"/>
  <c r="E700" i="1"/>
  <c r="AG700" i="2"/>
  <c r="D700" i="1"/>
  <c r="AF700" i="2"/>
  <c r="C700" i="1"/>
  <c r="AE700" i="2"/>
  <c r="AD700" i="2"/>
  <c r="AA700" i="2"/>
  <c r="Z700" i="2"/>
  <c r="S699" i="1"/>
  <c r="AU699" i="2"/>
  <c r="R699" i="1"/>
  <c r="AT699" i="2"/>
  <c r="Q699" i="1"/>
  <c r="AS699" i="2"/>
  <c r="P699" i="1"/>
  <c r="AR699" i="2"/>
  <c r="O699" i="1"/>
  <c r="AQ699" i="2"/>
  <c r="AP699" i="2"/>
  <c r="AO699" i="2"/>
  <c r="AN699" i="2"/>
  <c r="K699" i="1"/>
  <c r="AM699" i="2"/>
  <c r="J699" i="1"/>
  <c r="AL699" i="2"/>
  <c r="I699" i="1"/>
  <c r="AK699" i="2"/>
  <c r="AJ699" i="2"/>
  <c r="AI699" i="2"/>
  <c r="AH699" i="2"/>
  <c r="E699" i="1"/>
  <c r="AG699" i="2"/>
  <c r="D699" i="1"/>
  <c r="AF699" i="2"/>
  <c r="C699" i="1"/>
  <c r="AE699" i="2"/>
  <c r="AD699" i="2"/>
  <c r="AA699" i="2"/>
  <c r="Z699" i="2"/>
  <c r="S698" i="1"/>
  <c r="AU698" i="2"/>
  <c r="R698" i="1"/>
  <c r="AT698" i="2"/>
  <c r="Q698" i="1"/>
  <c r="AS698" i="2"/>
  <c r="P698" i="1"/>
  <c r="AR698" i="2"/>
  <c r="O698" i="1"/>
  <c r="AQ698" i="2"/>
  <c r="AP698" i="2"/>
  <c r="AO698" i="2"/>
  <c r="AN698" i="2"/>
  <c r="K698" i="1"/>
  <c r="AM698" i="2"/>
  <c r="J698" i="1"/>
  <c r="AL698" i="2"/>
  <c r="I698" i="1"/>
  <c r="AK698" i="2"/>
  <c r="AJ698" i="2"/>
  <c r="AI698" i="2"/>
  <c r="AH698" i="2"/>
  <c r="E698" i="1"/>
  <c r="AG698" i="2"/>
  <c r="D698" i="1"/>
  <c r="AF698" i="2"/>
  <c r="C698" i="1"/>
  <c r="AE698" i="2"/>
  <c r="AD698" i="2"/>
  <c r="AA698" i="2"/>
  <c r="Z698" i="2"/>
  <c r="S697" i="1"/>
  <c r="AU697" i="2"/>
  <c r="R697" i="1"/>
  <c r="AT697" i="2"/>
  <c r="Q697" i="1"/>
  <c r="AS697" i="2"/>
  <c r="P697" i="1"/>
  <c r="AR697" i="2"/>
  <c r="O697" i="1"/>
  <c r="AQ697" i="2"/>
  <c r="AP697" i="2"/>
  <c r="AO697" i="2"/>
  <c r="AN697" i="2"/>
  <c r="K697" i="1"/>
  <c r="AM697" i="2"/>
  <c r="J697" i="1"/>
  <c r="AL697" i="2"/>
  <c r="I697" i="1"/>
  <c r="AK697" i="2"/>
  <c r="AJ697" i="2"/>
  <c r="AI697" i="2"/>
  <c r="AH697" i="2"/>
  <c r="E697" i="1"/>
  <c r="AG697" i="2"/>
  <c r="D697" i="1"/>
  <c r="AF697" i="2"/>
  <c r="C697" i="1"/>
  <c r="AE697" i="2"/>
  <c r="AD697" i="2"/>
  <c r="AA697" i="2"/>
  <c r="Z697" i="2"/>
  <c r="S696" i="1"/>
  <c r="AU696" i="2"/>
  <c r="R696" i="1"/>
  <c r="AT696" i="2"/>
  <c r="Q696" i="1"/>
  <c r="AS696" i="2"/>
  <c r="P696" i="1"/>
  <c r="AR696" i="2"/>
  <c r="O696" i="1"/>
  <c r="AQ696" i="2"/>
  <c r="AP696" i="2"/>
  <c r="AO696" i="2"/>
  <c r="AN696" i="2"/>
  <c r="K696" i="1"/>
  <c r="AM696" i="2"/>
  <c r="J696" i="1"/>
  <c r="AL696" i="2"/>
  <c r="I696" i="1"/>
  <c r="AK696" i="2"/>
  <c r="AJ696" i="2"/>
  <c r="AI696" i="2"/>
  <c r="AH696" i="2"/>
  <c r="E696" i="1"/>
  <c r="AG696" i="2"/>
  <c r="D696" i="1"/>
  <c r="AF696" i="2"/>
  <c r="C696" i="1"/>
  <c r="AE696" i="2"/>
  <c r="AD696" i="2"/>
  <c r="AA696" i="2"/>
  <c r="Z696" i="2"/>
  <c r="S695" i="1"/>
  <c r="AU695" i="2"/>
  <c r="R695" i="1"/>
  <c r="AT695" i="2"/>
  <c r="Q695" i="1"/>
  <c r="AS695" i="2"/>
  <c r="P695" i="1"/>
  <c r="AR695" i="2"/>
  <c r="O695" i="1"/>
  <c r="AQ695" i="2"/>
  <c r="AP695" i="2"/>
  <c r="AO695" i="2"/>
  <c r="AN695" i="2"/>
  <c r="K695" i="1"/>
  <c r="AM695" i="2"/>
  <c r="J695" i="1"/>
  <c r="AL695" i="2"/>
  <c r="I695" i="1"/>
  <c r="AK695" i="2"/>
  <c r="AJ695" i="2"/>
  <c r="AI695" i="2"/>
  <c r="AH695" i="2"/>
  <c r="E695" i="1"/>
  <c r="AG695" i="2"/>
  <c r="D695" i="1"/>
  <c r="AF695" i="2"/>
  <c r="C695" i="1"/>
  <c r="AE695" i="2"/>
  <c r="AD695" i="2"/>
  <c r="AA695" i="2"/>
  <c r="Z695" i="2"/>
  <c r="S694" i="1"/>
  <c r="AU694" i="2"/>
  <c r="R694" i="1"/>
  <c r="AT694" i="2"/>
  <c r="Q694" i="1"/>
  <c r="AS694" i="2"/>
  <c r="P694" i="1"/>
  <c r="AR694" i="2"/>
  <c r="O694" i="1"/>
  <c r="AQ694" i="2"/>
  <c r="AP694" i="2"/>
  <c r="AO694" i="2"/>
  <c r="AN694" i="2"/>
  <c r="K694" i="1"/>
  <c r="AM694" i="2"/>
  <c r="J694" i="1"/>
  <c r="AL694" i="2"/>
  <c r="I694" i="1"/>
  <c r="AK694" i="2"/>
  <c r="AJ694" i="2"/>
  <c r="AI694" i="2"/>
  <c r="AH694" i="2"/>
  <c r="E694" i="1"/>
  <c r="AG694" i="2"/>
  <c r="D694" i="1"/>
  <c r="AF694" i="2"/>
  <c r="C694" i="1"/>
  <c r="AE694" i="2"/>
  <c r="AD694" i="2"/>
  <c r="AA694" i="2"/>
  <c r="Z694" i="2"/>
  <c r="S693" i="1"/>
  <c r="AU693" i="2"/>
  <c r="R693" i="1"/>
  <c r="AT693" i="2"/>
  <c r="Q693" i="1"/>
  <c r="AS693" i="2"/>
  <c r="P693" i="1"/>
  <c r="AR693" i="2"/>
  <c r="O693" i="1"/>
  <c r="AQ693" i="2"/>
  <c r="AP693" i="2"/>
  <c r="AO693" i="2"/>
  <c r="AN693" i="2"/>
  <c r="K693" i="1"/>
  <c r="AM693" i="2"/>
  <c r="J693" i="1"/>
  <c r="AL693" i="2"/>
  <c r="I693" i="1"/>
  <c r="AK693" i="2"/>
  <c r="AJ693" i="2"/>
  <c r="AI693" i="2"/>
  <c r="AH693" i="2"/>
  <c r="E693" i="1"/>
  <c r="AG693" i="2"/>
  <c r="D693" i="1"/>
  <c r="AF693" i="2"/>
  <c r="C693" i="1"/>
  <c r="AE693" i="2"/>
  <c r="AD693" i="2"/>
  <c r="AA693" i="2"/>
  <c r="Z693" i="2"/>
  <c r="S692" i="1"/>
  <c r="AU692" i="2"/>
  <c r="R692" i="1"/>
  <c r="AT692" i="2"/>
  <c r="Q692" i="1"/>
  <c r="AS692" i="2"/>
  <c r="P692" i="1"/>
  <c r="AR692" i="2"/>
  <c r="O692" i="1"/>
  <c r="AQ692" i="2"/>
  <c r="AP692" i="2"/>
  <c r="AO692" i="2"/>
  <c r="AN692" i="2"/>
  <c r="K692" i="1"/>
  <c r="AM692" i="2"/>
  <c r="J692" i="1"/>
  <c r="AL692" i="2"/>
  <c r="I692" i="1"/>
  <c r="AK692" i="2"/>
  <c r="AJ692" i="2"/>
  <c r="AI692" i="2"/>
  <c r="AH692" i="2"/>
  <c r="E692" i="1"/>
  <c r="AG692" i="2"/>
  <c r="D692" i="1"/>
  <c r="AF692" i="2"/>
  <c r="C692" i="1"/>
  <c r="AE692" i="2"/>
  <c r="AD692" i="2"/>
  <c r="AA692" i="2"/>
  <c r="Z692" i="2"/>
  <c r="S691" i="1"/>
  <c r="AU691" i="2"/>
  <c r="R691" i="1"/>
  <c r="AT691" i="2"/>
  <c r="Q691" i="1"/>
  <c r="AS691" i="2"/>
  <c r="P691" i="1"/>
  <c r="AR691" i="2"/>
  <c r="O691" i="1"/>
  <c r="AQ691" i="2"/>
  <c r="AP691" i="2"/>
  <c r="AO691" i="2"/>
  <c r="AN691" i="2"/>
  <c r="K691" i="1"/>
  <c r="AM691" i="2"/>
  <c r="J691" i="1"/>
  <c r="AL691" i="2"/>
  <c r="I691" i="1"/>
  <c r="AK691" i="2"/>
  <c r="AJ691" i="2"/>
  <c r="AI691" i="2"/>
  <c r="AH691" i="2"/>
  <c r="E691" i="1"/>
  <c r="AG691" i="2"/>
  <c r="D691" i="1"/>
  <c r="AF691" i="2"/>
  <c r="C691" i="1"/>
  <c r="AE691" i="2"/>
  <c r="AD691" i="2"/>
  <c r="AA691" i="2"/>
  <c r="Z691" i="2"/>
  <c r="S690" i="1"/>
  <c r="AU690" i="2"/>
  <c r="R690" i="1"/>
  <c r="AT690" i="2"/>
  <c r="Q690" i="1"/>
  <c r="AS690" i="2"/>
  <c r="P690" i="1"/>
  <c r="AR690" i="2"/>
  <c r="O690" i="1"/>
  <c r="AQ690" i="2"/>
  <c r="AP690" i="2"/>
  <c r="AO690" i="2"/>
  <c r="AN690" i="2"/>
  <c r="K690" i="1"/>
  <c r="AM690" i="2"/>
  <c r="J690" i="1"/>
  <c r="AL690" i="2"/>
  <c r="I690" i="1"/>
  <c r="AK690" i="2"/>
  <c r="AJ690" i="2"/>
  <c r="AI690" i="2"/>
  <c r="AH690" i="2"/>
  <c r="E690" i="1"/>
  <c r="AG690" i="2"/>
  <c r="D690" i="1"/>
  <c r="AF690" i="2"/>
  <c r="C690" i="1"/>
  <c r="AE690" i="2"/>
  <c r="AD690" i="2"/>
  <c r="AA690" i="2"/>
  <c r="Z690" i="2"/>
  <c r="S689" i="1"/>
  <c r="AU689" i="2"/>
  <c r="R689" i="1"/>
  <c r="AT689" i="2"/>
  <c r="Q689" i="1"/>
  <c r="AS689" i="2"/>
  <c r="P689" i="1"/>
  <c r="AR689" i="2"/>
  <c r="O689" i="1"/>
  <c r="AQ689" i="2"/>
  <c r="AP689" i="2"/>
  <c r="AO689" i="2"/>
  <c r="AN689" i="2"/>
  <c r="K689" i="1"/>
  <c r="AM689" i="2"/>
  <c r="J689" i="1"/>
  <c r="AL689" i="2"/>
  <c r="I689" i="1"/>
  <c r="AK689" i="2"/>
  <c r="AJ689" i="2"/>
  <c r="AI689" i="2"/>
  <c r="AH689" i="2"/>
  <c r="E689" i="1"/>
  <c r="AG689" i="2"/>
  <c r="D689" i="1"/>
  <c r="AF689" i="2"/>
  <c r="C689" i="1"/>
  <c r="AE689" i="2"/>
  <c r="AD689" i="2"/>
  <c r="AA689" i="2"/>
  <c r="Z689" i="2"/>
  <c r="S688" i="1"/>
  <c r="AU688" i="2"/>
  <c r="R688" i="1"/>
  <c r="AT688" i="2"/>
  <c r="Q688" i="1"/>
  <c r="AS688" i="2"/>
  <c r="P688" i="1"/>
  <c r="AR688" i="2"/>
  <c r="O688" i="1"/>
  <c r="AQ688" i="2"/>
  <c r="AP688" i="2"/>
  <c r="AO688" i="2"/>
  <c r="AN688" i="2"/>
  <c r="K688" i="1"/>
  <c r="AM688" i="2"/>
  <c r="J688" i="1"/>
  <c r="AL688" i="2"/>
  <c r="I688" i="1"/>
  <c r="AK688" i="2"/>
  <c r="AJ688" i="2"/>
  <c r="AI688" i="2"/>
  <c r="AH688" i="2"/>
  <c r="E688" i="1"/>
  <c r="AG688" i="2"/>
  <c r="D688" i="1"/>
  <c r="AF688" i="2"/>
  <c r="C688" i="1"/>
  <c r="AE688" i="2"/>
  <c r="AD688" i="2"/>
  <c r="AA688" i="2"/>
  <c r="Z688" i="2"/>
  <c r="S687" i="1"/>
  <c r="AU687" i="2"/>
  <c r="R687" i="1"/>
  <c r="AT687" i="2"/>
  <c r="Q687" i="1"/>
  <c r="AS687" i="2"/>
  <c r="P687" i="1"/>
  <c r="AR687" i="2"/>
  <c r="O687" i="1"/>
  <c r="AQ687" i="2"/>
  <c r="AP687" i="2"/>
  <c r="AO687" i="2"/>
  <c r="AN687" i="2"/>
  <c r="K687" i="1"/>
  <c r="AM687" i="2"/>
  <c r="J687" i="1"/>
  <c r="AL687" i="2"/>
  <c r="I687" i="1"/>
  <c r="AK687" i="2"/>
  <c r="AJ687" i="2"/>
  <c r="AI687" i="2"/>
  <c r="AH687" i="2"/>
  <c r="E687" i="1"/>
  <c r="AG687" i="2"/>
  <c r="D687" i="1"/>
  <c r="AF687" i="2"/>
  <c r="C687" i="1"/>
  <c r="AE687" i="2"/>
  <c r="AD687" i="2"/>
  <c r="AA687" i="2"/>
  <c r="Z687" i="2"/>
  <c r="S686" i="1"/>
  <c r="AU686" i="2"/>
  <c r="R686" i="1"/>
  <c r="AT686" i="2"/>
  <c r="Q686" i="1"/>
  <c r="AS686" i="2"/>
  <c r="P686" i="1"/>
  <c r="AR686" i="2"/>
  <c r="O686" i="1"/>
  <c r="AQ686" i="2"/>
  <c r="AP686" i="2"/>
  <c r="AO686" i="2"/>
  <c r="AN686" i="2"/>
  <c r="K686" i="1"/>
  <c r="AM686" i="2"/>
  <c r="J686" i="1"/>
  <c r="AL686" i="2"/>
  <c r="I686" i="1"/>
  <c r="AK686" i="2"/>
  <c r="AJ686" i="2"/>
  <c r="AI686" i="2"/>
  <c r="AH686" i="2"/>
  <c r="E686" i="1"/>
  <c r="AG686" i="2"/>
  <c r="D686" i="1"/>
  <c r="AF686" i="2"/>
  <c r="C686" i="1"/>
  <c r="AE686" i="2"/>
  <c r="AD686" i="2"/>
  <c r="AA686" i="2"/>
  <c r="Z686" i="2"/>
  <c r="S685" i="1"/>
  <c r="AU685" i="2"/>
  <c r="R685" i="1"/>
  <c r="AT685" i="2"/>
  <c r="Q685" i="1"/>
  <c r="AS685" i="2"/>
  <c r="P685" i="1"/>
  <c r="AR685" i="2"/>
  <c r="O685" i="1"/>
  <c r="AQ685" i="2"/>
  <c r="AP685" i="2"/>
  <c r="AO685" i="2"/>
  <c r="AN685" i="2"/>
  <c r="K685" i="1"/>
  <c r="AM685" i="2"/>
  <c r="J685" i="1"/>
  <c r="AL685" i="2"/>
  <c r="I685" i="1"/>
  <c r="AK685" i="2"/>
  <c r="AJ685" i="2"/>
  <c r="AI685" i="2"/>
  <c r="AH685" i="2"/>
  <c r="E685" i="1"/>
  <c r="AG685" i="2"/>
  <c r="D685" i="1"/>
  <c r="AF685" i="2"/>
  <c r="C685" i="1"/>
  <c r="AE685" i="2"/>
  <c r="AD685" i="2"/>
  <c r="AA685" i="2"/>
  <c r="Z685" i="2"/>
  <c r="S684" i="1"/>
  <c r="AU684" i="2"/>
  <c r="R684" i="1"/>
  <c r="AT684" i="2"/>
  <c r="Q684" i="1"/>
  <c r="AS684" i="2"/>
  <c r="P684" i="1"/>
  <c r="AR684" i="2"/>
  <c r="O684" i="1"/>
  <c r="AQ684" i="2"/>
  <c r="AP684" i="2"/>
  <c r="AO684" i="2"/>
  <c r="AN684" i="2"/>
  <c r="K684" i="1"/>
  <c r="AM684" i="2"/>
  <c r="J684" i="1"/>
  <c r="AL684" i="2"/>
  <c r="I684" i="1"/>
  <c r="AK684" i="2"/>
  <c r="AJ684" i="2"/>
  <c r="AI684" i="2"/>
  <c r="AH684" i="2"/>
  <c r="E684" i="1"/>
  <c r="AG684" i="2"/>
  <c r="D684" i="1"/>
  <c r="AF684" i="2"/>
  <c r="C684" i="1"/>
  <c r="AE684" i="2"/>
  <c r="AD684" i="2"/>
  <c r="AA684" i="2"/>
  <c r="Z684" i="2"/>
  <c r="S683" i="1"/>
  <c r="AU683" i="2"/>
  <c r="R683" i="1"/>
  <c r="AT683" i="2"/>
  <c r="Q683" i="1"/>
  <c r="AS683" i="2"/>
  <c r="P683" i="1"/>
  <c r="AR683" i="2"/>
  <c r="O683" i="1"/>
  <c r="AQ683" i="2"/>
  <c r="AP683" i="2"/>
  <c r="AO683" i="2"/>
  <c r="AN683" i="2"/>
  <c r="K683" i="1"/>
  <c r="AM683" i="2"/>
  <c r="J683" i="1"/>
  <c r="AL683" i="2"/>
  <c r="I683" i="1"/>
  <c r="AK683" i="2"/>
  <c r="AJ683" i="2"/>
  <c r="AI683" i="2"/>
  <c r="AH683" i="2"/>
  <c r="E683" i="1"/>
  <c r="AG683" i="2"/>
  <c r="D683" i="1"/>
  <c r="AF683" i="2"/>
  <c r="C683" i="1"/>
  <c r="AE683" i="2"/>
  <c r="AD683" i="2"/>
  <c r="AA683" i="2"/>
  <c r="Z683" i="2"/>
  <c r="S682" i="1"/>
  <c r="AU682" i="2"/>
  <c r="R682" i="1"/>
  <c r="AT682" i="2"/>
  <c r="Q682" i="1"/>
  <c r="AS682" i="2"/>
  <c r="P682" i="1"/>
  <c r="AR682" i="2"/>
  <c r="O682" i="1"/>
  <c r="AQ682" i="2"/>
  <c r="AP682" i="2"/>
  <c r="AO682" i="2"/>
  <c r="AN682" i="2"/>
  <c r="K682" i="1"/>
  <c r="AM682" i="2"/>
  <c r="J682" i="1"/>
  <c r="AL682" i="2"/>
  <c r="I682" i="1"/>
  <c r="AK682" i="2"/>
  <c r="AJ682" i="2"/>
  <c r="AI682" i="2"/>
  <c r="AH682" i="2"/>
  <c r="E682" i="1"/>
  <c r="AG682" i="2"/>
  <c r="D682" i="1"/>
  <c r="AF682" i="2"/>
  <c r="C682" i="1"/>
  <c r="AE682" i="2"/>
  <c r="AD682" i="2"/>
  <c r="AA682" i="2"/>
  <c r="Z682" i="2"/>
  <c r="S681" i="1"/>
  <c r="AU681" i="2"/>
  <c r="R681" i="1"/>
  <c r="AT681" i="2"/>
  <c r="Q681" i="1"/>
  <c r="AS681" i="2"/>
  <c r="P681" i="1"/>
  <c r="AR681" i="2"/>
  <c r="O681" i="1"/>
  <c r="AQ681" i="2"/>
  <c r="AP681" i="2"/>
  <c r="AO681" i="2"/>
  <c r="AN681" i="2"/>
  <c r="K681" i="1"/>
  <c r="AM681" i="2"/>
  <c r="J681" i="1"/>
  <c r="AL681" i="2"/>
  <c r="I681" i="1"/>
  <c r="AK681" i="2"/>
  <c r="AJ681" i="2"/>
  <c r="AI681" i="2"/>
  <c r="AH681" i="2"/>
  <c r="E681" i="1"/>
  <c r="AG681" i="2"/>
  <c r="D681" i="1"/>
  <c r="AF681" i="2"/>
  <c r="C681" i="1"/>
  <c r="AE681" i="2"/>
  <c r="AD681" i="2"/>
  <c r="AA681" i="2"/>
  <c r="Z681" i="2"/>
  <c r="S680" i="1"/>
  <c r="AU680" i="2"/>
  <c r="R680" i="1"/>
  <c r="AT680" i="2"/>
  <c r="Q680" i="1"/>
  <c r="AS680" i="2"/>
  <c r="P680" i="1"/>
  <c r="AR680" i="2"/>
  <c r="O680" i="1"/>
  <c r="AQ680" i="2"/>
  <c r="AP680" i="2"/>
  <c r="AO680" i="2"/>
  <c r="AN680" i="2"/>
  <c r="K680" i="1"/>
  <c r="AM680" i="2"/>
  <c r="J680" i="1"/>
  <c r="AL680" i="2"/>
  <c r="I680" i="1"/>
  <c r="AK680" i="2"/>
  <c r="AJ680" i="2"/>
  <c r="AI680" i="2"/>
  <c r="AH680" i="2"/>
  <c r="E680" i="1"/>
  <c r="AG680" i="2"/>
  <c r="D680" i="1"/>
  <c r="AF680" i="2"/>
  <c r="C680" i="1"/>
  <c r="AE680" i="2"/>
  <c r="AD680" i="2"/>
  <c r="AA680" i="2"/>
  <c r="Z680" i="2"/>
  <c r="S679" i="1"/>
  <c r="AU679" i="2"/>
  <c r="R679" i="1"/>
  <c r="AT679" i="2"/>
  <c r="Q679" i="1"/>
  <c r="AS679" i="2"/>
  <c r="P679" i="1"/>
  <c r="AR679" i="2"/>
  <c r="O679" i="1"/>
  <c r="AQ679" i="2"/>
  <c r="AP679" i="2"/>
  <c r="AO679" i="2"/>
  <c r="AN679" i="2"/>
  <c r="K679" i="1"/>
  <c r="AM679" i="2"/>
  <c r="J679" i="1"/>
  <c r="AL679" i="2"/>
  <c r="I679" i="1"/>
  <c r="AK679" i="2"/>
  <c r="AJ679" i="2"/>
  <c r="AI679" i="2"/>
  <c r="AH679" i="2"/>
  <c r="E679" i="1"/>
  <c r="AG679" i="2"/>
  <c r="D679" i="1"/>
  <c r="AF679" i="2"/>
  <c r="C679" i="1"/>
  <c r="AE679" i="2"/>
  <c r="AD679" i="2"/>
  <c r="AA679" i="2"/>
  <c r="Z679" i="2"/>
  <c r="S678" i="1"/>
  <c r="AU678" i="2"/>
  <c r="R678" i="1"/>
  <c r="AT678" i="2"/>
  <c r="Q678" i="1"/>
  <c r="AS678" i="2"/>
  <c r="P678" i="1"/>
  <c r="AR678" i="2"/>
  <c r="O678" i="1"/>
  <c r="AQ678" i="2"/>
  <c r="AP678" i="2"/>
  <c r="AO678" i="2"/>
  <c r="AN678" i="2"/>
  <c r="K678" i="1"/>
  <c r="AM678" i="2"/>
  <c r="J678" i="1"/>
  <c r="AL678" i="2"/>
  <c r="I678" i="1"/>
  <c r="AK678" i="2"/>
  <c r="AJ678" i="2"/>
  <c r="AI678" i="2"/>
  <c r="AH678" i="2"/>
  <c r="E678" i="1"/>
  <c r="AG678" i="2"/>
  <c r="D678" i="1"/>
  <c r="AF678" i="2"/>
  <c r="C678" i="1"/>
  <c r="AE678" i="2"/>
  <c r="AD678" i="2"/>
  <c r="AA678" i="2"/>
  <c r="Z678" i="2"/>
  <c r="S677" i="1"/>
  <c r="AU677" i="2"/>
  <c r="R677" i="1"/>
  <c r="AT677" i="2"/>
  <c r="Q677" i="1"/>
  <c r="AS677" i="2"/>
  <c r="P677" i="1"/>
  <c r="AR677" i="2"/>
  <c r="O677" i="1"/>
  <c r="AQ677" i="2"/>
  <c r="AP677" i="2"/>
  <c r="AO677" i="2"/>
  <c r="AN677" i="2"/>
  <c r="K677" i="1"/>
  <c r="AM677" i="2"/>
  <c r="J677" i="1"/>
  <c r="AL677" i="2"/>
  <c r="I677" i="1"/>
  <c r="AK677" i="2"/>
  <c r="AJ677" i="2"/>
  <c r="AI677" i="2"/>
  <c r="AH677" i="2"/>
  <c r="E677" i="1"/>
  <c r="AG677" i="2"/>
  <c r="D677" i="1"/>
  <c r="AF677" i="2"/>
  <c r="C677" i="1"/>
  <c r="AE677" i="2"/>
  <c r="AD677" i="2"/>
  <c r="AA677" i="2"/>
  <c r="Z677" i="2"/>
  <c r="S676" i="1"/>
  <c r="AU676" i="2"/>
  <c r="R676" i="1"/>
  <c r="AT676" i="2"/>
  <c r="Q676" i="1"/>
  <c r="AS676" i="2"/>
  <c r="P676" i="1"/>
  <c r="AR676" i="2"/>
  <c r="O676" i="1"/>
  <c r="AQ676" i="2"/>
  <c r="AP676" i="2"/>
  <c r="AO676" i="2"/>
  <c r="AN676" i="2"/>
  <c r="K676" i="1"/>
  <c r="AM676" i="2"/>
  <c r="J676" i="1"/>
  <c r="AL676" i="2"/>
  <c r="I676" i="1"/>
  <c r="AK676" i="2"/>
  <c r="AJ676" i="2"/>
  <c r="AI676" i="2"/>
  <c r="AH676" i="2"/>
  <c r="E676" i="1"/>
  <c r="AG676" i="2"/>
  <c r="D676" i="1"/>
  <c r="AF676" i="2"/>
  <c r="C676" i="1"/>
  <c r="AE676" i="2"/>
  <c r="AD676" i="2"/>
  <c r="AA676" i="2"/>
  <c r="Z676" i="2"/>
  <c r="S675" i="1"/>
  <c r="AU675" i="2"/>
  <c r="R675" i="1"/>
  <c r="AT675" i="2"/>
  <c r="Q675" i="1"/>
  <c r="AS675" i="2"/>
  <c r="P675" i="1"/>
  <c r="AR675" i="2"/>
  <c r="O675" i="1"/>
  <c r="AQ675" i="2"/>
  <c r="AP675" i="2"/>
  <c r="AO675" i="2"/>
  <c r="AN675" i="2"/>
  <c r="K675" i="1"/>
  <c r="AM675" i="2"/>
  <c r="J675" i="1"/>
  <c r="AL675" i="2"/>
  <c r="I675" i="1"/>
  <c r="AK675" i="2"/>
  <c r="AJ675" i="2"/>
  <c r="AI675" i="2"/>
  <c r="AH675" i="2"/>
  <c r="E675" i="1"/>
  <c r="AG675" i="2"/>
  <c r="D675" i="1"/>
  <c r="AF675" i="2"/>
  <c r="C675" i="1"/>
  <c r="AE675" i="2"/>
  <c r="AD675" i="2"/>
  <c r="AA675" i="2"/>
  <c r="Z675" i="2"/>
  <c r="S674" i="1"/>
  <c r="AU674" i="2"/>
  <c r="R674" i="1"/>
  <c r="AT674" i="2"/>
  <c r="Q674" i="1"/>
  <c r="AS674" i="2"/>
  <c r="P674" i="1"/>
  <c r="AR674" i="2"/>
  <c r="O674" i="1"/>
  <c r="AQ674" i="2"/>
  <c r="AP674" i="2"/>
  <c r="AO674" i="2"/>
  <c r="AN674" i="2"/>
  <c r="K674" i="1"/>
  <c r="AM674" i="2"/>
  <c r="J674" i="1"/>
  <c r="AL674" i="2"/>
  <c r="I674" i="1"/>
  <c r="AK674" i="2"/>
  <c r="AJ674" i="2"/>
  <c r="AI674" i="2"/>
  <c r="AH674" i="2"/>
  <c r="E674" i="1"/>
  <c r="AG674" i="2"/>
  <c r="D674" i="1"/>
  <c r="AF674" i="2"/>
  <c r="C674" i="1"/>
  <c r="AE674" i="2"/>
  <c r="AD674" i="2"/>
  <c r="AA674" i="2"/>
  <c r="Z674" i="2"/>
  <c r="S673" i="1"/>
  <c r="AU673" i="2"/>
  <c r="R673" i="1"/>
  <c r="AT673" i="2"/>
  <c r="Q673" i="1"/>
  <c r="AS673" i="2"/>
  <c r="P673" i="1"/>
  <c r="AR673" i="2"/>
  <c r="O673" i="1"/>
  <c r="AQ673" i="2"/>
  <c r="AP673" i="2"/>
  <c r="AO673" i="2"/>
  <c r="AN673" i="2"/>
  <c r="K673" i="1"/>
  <c r="AM673" i="2"/>
  <c r="J673" i="1"/>
  <c r="AL673" i="2"/>
  <c r="I673" i="1"/>
  <c r="AK673" i="2"/>
  <c r="AJ673" i="2"/>
  <c r="AI673" i="2"/>
  <c r="AH673" i="2"/>
  <c r="E673" i="1"/>
  <c r="AG673" i="2"/>
  <c r="D673" i="1"/>
  <c r="AF673" i="2"/>
  <c r="C673" i="1"/>
  <c r="AE673" i="2"/>
  <c r="AD673" i="2"/>
  <c r="AA673" i="2"/>
  <c r="Z673" i="2"/>
  <c r="S672" i="1"/>
  <c r="AU672" i="2"/>
  <c r="R672" i="1"/>
  <c r="AT672" i="2"/>
  <c r="Q672" i="1"/>
  <c r="AS672" i="2"/>
  <c r="P672" i="1"/>
  <c r="AR672" i="2"/>
  <c r="O672" i="1"/>
  <c r="AQ672" i="2"/>
  <c r="AP672" i="2"/>
  <c r="AO672" i="2"/>
  <c r="AN672" i="2"/>
  <c r="K672" i="1"/>
  <c r="AM672" i="2"/>
  <c r="J672" i="1"/>
  <c r="AL672" i="2"/>
  <c r="I672" i="1"/>
  <c r="AK672" i="2"/>
  <c r="AJ672" i="2"/>
  <c r="AI672" i="2"/>
  <c r="AH672" i="2"/>
  <c r="E672" i="1"/>
  <c r="AG672" i="2"/>
  <c r="D672" i="1"/>
  <c r="AF672" i="2"/>
  <c r="C672" i="1"/>
  <c r="AE672" i="2"/>
  <c r="AD672" i="2"/>
  <c r="AA672" i="2"/>
  <c r="Z672" i="2"/>
  <c r="S671" i="1"/>
  <c r="AU671" i="2"/>
  <c r="R671" i="1"/>
  <c r="AT671" i="2"/>
  <c r="Q671" i="1"/>
  <c r="AS671" i="2"/>
  <c r="P671" i="1"/>
  <c r="AR671" i="2"/>
  <c r="O671" i="1"/>
  <c r="AQ671" i="2"/>
  <c r="AP671" i="2"/>
  <c r="AO671" i="2"/>
  <c r="AN671" i="2"/>
  <c r="K671" i="1"/>
  <c r="AM671" i="2"/>
  <c r="J671" i="1"/>
  <c r="AL671" i="2"/>
  <c r="I671" i="1"/>
  <c r="AK671" i="2"/>
  <c r="AJ671" i="2"/>
  <c r="AI671" i="2"/>
  <c r="AH671" i="2"/>
  <c r="E671" i="1"/>
  <c r="AG671" i="2"/>
  <c r="D671" i="1"/>
  <c r="AF671" i="2"/>
  <c r="C671" i="1"/>
  <c r="AE671" i="2"/>
  <c r="AD671" i="2"/>
  <c r="AA671" i="2"/>
  <c r="Z671" i="2"/>
  <c r="S670" i="1"/>
  <c r="AU670" i="2"/>
  <c r="R670" i="1"/>
  <c r="AT670" i="2"/>
  <c r="Q670" i="1"/>
  <c r="AS670" i="2"/>
  <c r="P670" i="1"/>
  <c r="AR670" i="2"/>
  <c r="O670" i="1"/>
  <c r="AQ670" i="2"/>
  <c r="AP670" i="2"/>
  <c r="AO670" i="2"/>
  <c r="AN670" i="2"/>
  <c r="K670" i="1"/>
  <c r="AM670" i="2"/>
  <c r="J670" i="1"/>
  <c r="AL670" i="2"/>
  <c r="I670" i="1"/>
  <c r="AK670" i="2"/>
  <c r="AJ670" i="2"/>
  <c r="AI670" i="2"/>
  <c r="AH670" i="2"/>
  <c r="E670" i="1"/>
  <c r="AG670" i="2"/>
  <c r="D670" i="1"/>
  <c r="AF670" i="2"/>
  <c r="C670" i="1"/>
  <c r="AE670" i="2"/>
  <c r="AD670" i="2"/>
  <c r="AA670" i="2"/>
  <c r="Z670" i="2"/>
  <c r="S669" i="1"/>
  <c r="AU669" i="2"/>
  <c r="R669" i="1"/>
  <c r="AT669" i="2"/>
  <c r="Q669" i="1"/>
  <c r="AS669" i="2"/>
  <c r="P669" i="1"/>
  <c r="AR669" i="2"/>
  <c r="O669" i="1"/>
  <c r="AQ669" i="2"/>
  <c r="AP669" i="2"/>
  <c r="AO669" i="2"/>
  <c r="AN669" i="2"/>
  <c r="K669" i="1"/>
  <c r="AM669" i="2"/>
  <c r="J669" i="1"/>
  <c r="AL669" i="2"/>
  <c r="I669" i="1"/>
  <c r="AK669" i="2"/>
  <c r="AJ669" i="2"/>
  <c r="AI669" i="2"/>
  <c r="AH669" i="2"/>
  <c r="E669" i="1"/>
  <c r="AG669" i="2"/>
  <c r="D669" i="1"/>
  <c r="AF669" i="2"/>
  <c r="C669" i="1"/>
  <c r="AE669" i="2"/>
  <c r="AD669" i="2"/>
  <c r="AA669" i="2"/>
  <c r="Z669" i="2"/>
  <c r="S668" i="1"/>
  <c r="AU668" i="2"/>
  <c r="R668" i="1"/>
  <c r="AT668" i="2"/>
  <c r="Q668" i="1"/>
  <c r="AS668" i="2"/>
  <c r="P668" i="1"/>
  <c r="AR668" i="2"/>
  <c r="O668" i="1"/>
  <c r="AQ668" i="2"/>
  <c r="AP668" i="2"/>
  <c r="AO668" i="2"/>
  <c r="AN668" i="2"/>
  <c r="K668" i="1"/>
  <c r="AM668" i="2"/>
  <c r="J668" i="1"/>
  <c r="AL668" i="2"/>
  <c r="I668" i="1"/>
  <c r="AK668" i="2"/>
  <c r="AJ668" i="2"/>
  <c r="AI668" i="2"/>
  <c r="AH668" i="2"/>
  <c r="E668" i="1"/>
  <c r="AG668" i="2"/>
  <c r="D668" i="1"/>
  <c r="AF668" i="2"/>
  <c r="C668" i="1"/>
  <c r="AE668" i="2"/>
  <c r="AD668" i="2"/>
  <c r="AA668" i="2"/>
  <c r="Z668" i="2"/>
  <c r="S667" i="1"/>
  <c r="AU667" i="2"/>
  <c r="R667" i="1"/>
  <c r="AT667" i="2"/>
  <c r="Q667" i="1"/>
  <c r="AS667" i="2"/>
  <c r="P667" i="1"/>
  <c r="AR667" i="2"/>
  <c r="O667" i="1"/>
  <c r="AQ667" i="2"/>
  <c r="AP667" i="2"/>
  <c r="AO667" i="2"/>
  <c r="AN667" i="2"/>
  <c r="K667" i="1"/>
  <c r="AM667" i="2"/>
  <c r="J667" i="1"/>
  <c r="AL667" i="2"/>
  <c r="I667" i="1"/>
  <c r="AK667" i="2"/>
  <c r="AJ667" i="2"/>
  <c r="AI667" i="2"/>
  <c r="AH667" i="2"/>
  <c r="E667" i="1"/>
  <c r="AG667" i="2"/>
  <c r="D667" i="1"/>
  <c r="AF667" i="2"/>
  <c r="C667" i="1"/>
  <c r="AE667" i="2"/>
  <c r="AD667" i="2"/>
  <c r="AA667" i="2"/>
  <c r="Z667" i="2"/>
  <c r="S666" i="1"/>
  <c r="AU666" i="2"/>
  <c r="R666" i="1"/>
  <c r="AT666" i="2"/>
  <c r="Q666" i="1"/>
  <c r="AS666" i="2"/>
  <c r="P666" i="1"/>
  <c r="AR666" i="2"/>
  <c r="O666" i="1"/>
  <c r="AQ666" i="2"/>
  <c r="AP666" i="2"/>
  <c r="AO666" i="2"/>
  <c r="AN666" i="2"/>
  <c r="K666" i="1"/>
  <c r="AM666" i="2"/>
  <c r="J666" i="1"/>
  <c r="AL666" i="2"/>
  <c r="I666" i="1"/>
  <c r="AK666" i="2"/>
  <c r="AJ666" i="2"/>
  <c r="AI666" i="2"/>
  <c r="AH666" i="2"/>
  <c r="E666" i="1"/>
  <c r="AG666" i="2"/>
  <c r="D666" i="1"/>
  <c r="AF666" i="2"/>
  <c r="C666" i="1"/>
  <c r="AE666" i="2"/>
  <c r="AD666" i="2"/>
  <c r="AA666" i="2"/>
  <c r="Z666" i="2"/>
  <c r="S665" i="1"/>
  <c r="AU665" i="2"/>
  <c r="R665" i="1"/>
  <c r="AT665" i="2"/>
  <c r="Q665" i="1"/>
  <c r="AS665" i="2"/>
  <c r="P665" i="1"/>
  <c r="AR665" i="2"/>
  <c r="O665" i="1"/>
  <c r="AQ665" i="2"/>
  <c r="AP665" i="2"/>
  <c r="AO665" i="2"/>
  <c r="AN665" i="2"/>
  <c r="K665" i="1"/>
  <c r="AM665" i="2"/>
  <c r="J665" i="1"/>
  <c r="AL665" i="2"/>
  <c r="I665" i="1"/>
  <c r="AK665" i="2"/>
  <c r="AJ665" i="2"/>
  <c r="AI665" i="2"/>
  <c r="AH665" i="2"/>
  <c r="E665" i="1"/>
  <c r="AG665" i="2"/>
  <c r="D665" i="1"/>
  <c r="AF665" i="2"/>
  <c r="C665" i="1"/>
  <c r="AE665" i="2"/>
  <c r="AD665" i="2"/>
  <c r="AA665" i="2"/>
  <c r="Z665" i="2"/>
  <c r="S664" i="1"/>
  <c r="AU664" i="2"/>
  <c r="R664" i="1"/>
  <c r="AT664" i="2"/>
  <c r="Q664" i="1"/>
  <c r="AS664" i="2"/>
  <c r="P664" i="1"/>
  <c r="AR664" i="2"/>
  <c r="O664" i="1"/>
  <c r="AQ664" i="2"/>
  <c r="AP664" i="2"/>
  <c r="AO664" i="2"/>
  <c r="AN664" i="2"/>
  <c r="K664" i="1"/>
  <c r="AM664" i="2"/>
  <c r="J664" i="1"/>
  <c r="AL664" i="2"/>
  <c r="I664" i="1"/>
  <c r="AK664" i="2"/>
  <c r="AJ664" i="2"/>
  <c r="AI664" i="2"/>
  <c r="AH664" i="2"/>
  <c r="E664" i="1"/>
  <c r="AG664" i="2"/>
  <c r="D664" i="1"/>
  <c r="AF664" i="2"/>
  <c r="C664" i="1"/>
  <c r="AE664" i="2"/>
  <c r="AD664" i="2"/>
  <c r="AA664" i="2"/>
  <c r="Z664" i="2"/>
  <c r="S663" i="1"/>
  <c r="AU663" i="2"/>
  <c r="R663" i="1"/>
  <c r="AT663" i="2"/>
  <c r="Q663" i="1"/>
  <c r="AS663" i="2"/>
  <c r="P663" i="1"/>
  <c r="AR663" i="2"/>
  <c r="O663" i="1"/>
  <c r="AQ663" i="2"/>
  <c r="AP663" i="2"/>
  <c r="AO663" i="2"/>
  <c r="AN663" i="2"/>
  <c r="K663" i="1"/>
  <c r="AM663" i="2"/>
  <c r="J663" i="1"/>
  <c r="AL663" i="2"/>
  <c r="I663" i="1"/>
  <c r="AK663" i="2"/>
  <c r="AJ663" i="2"/>
  <c r="AI663" i="2"/>
  <c r="AH663" i="2"/>
  <c r="E663" i="1"/>
  <c r="AG663" i="2"/>
  <c r="D663" i="1"/>
  <c r="AF663" i="2"/>
  <c r="C663" i="1"/>
  <c r="AE663" i="2"/>
  <c r="AD663" i="2"/>
  <c r="AA663" i="2"/>
  <c r="Z663" i="2"/>
  <c r="S662" i="1"/>
  <c r="AU662" i="2"/>
  <c r="R662" i="1"/>
  <c r="AT662" i="2"/>
  <c r="Q662" i="1"/>
  <c r="AS662" i="2"/>
  <c r="P662" i="1"/>
  <c r="AR662" i="2"/>
  <c r="O662" i="1"/>
  <c r="AQ662" i="2"/>
  <c r="AP662" i="2"/>
  <c r="AO662" i="2"/>
  <c r="AN662" i="2"/>
  <c r="K662" i="1"/>
  <c r="AM662" i="2"/>
  <c r="J662" i="1"/>
  <c r="AL662" i="2"/>
  <c r="I662" i="1"/>
  <c r="AK662" i="2"/>
  <c r="AJ662" i="2"/>
  <c r="AI662" i="2"/>
  <c r="AH662" i="2"/>
  <c r="E662" i="1"/>
  <c r="AG662" i="2"/>
  <c r="D662" i="1"/>
  <c r="AF662" i="2"/>
  <c r="C662" i="1"/>
  <c r="AE662" i="2"/>
  <c r="AD662" i="2"/>
  <c r="AA662" i="2"/>
  <c r="Z662" i="2"/>
  <c r="S661" i="1"/>
  <c r="AU661" i="2"/>
  <c r="R661" i="1"/>
  <c r="AT661" i="2"/>
  <c r="Q661" i="1"/>
  <c r="AS661" i="2"/>
  <c r="P661" i="1"/>
  <c r="AR661" i="2"/>
  <c r="O661" i="1"/>
  <c r="AQ661" i="2"/>
  <c r="AP661" i="2"/>
  <c r="AO661" i="2"/>
  <c r="AN661" i="2"/>
  <c r="K661" i="1"/>
  <c r="AM661" i="2"/>
  <c r="J661" i="1"/>
  <c r="AL661" i="2"/>
  <c r="I661" i="1"/>
  <c r="AK661" i="2"/>
  <c r="AJ661" i="2"/>
  <c r="AI661" i="2"/>
  <c r="AH661" i="2"/>
  <c r="E661" i="1"/>
  <c r="AG661" i="2"/>
  <c r="D661" i="1"/>
  <c r="AF661" i="2"/>
  <c r="C661" i="1"/>
  <c r="AE661" i="2"/>
  <c r="AD661" i="2"/>
  <c r="AA661" i="2"/>
  <c r="Z661" i="2"/>
  <c r="S660" i="1"/>
  <c r="AU660" i="2"/>
  <c r="R660" i="1"/>
  <c r="AT660" i="2"/>
  <c r="Q660" i="1"/>
  <c r="AS660" i="2"/>
  <c r="P660" i="1"/>
  <c r="AR660" i="2"/>
  <c r="O660" i="1"/>
  <c r="AQ660" i="2"/>
  <c r="AP660" i="2"/>
  <c r="AO660" i="2"/>
  <c r="AN660" i="2"/>
  <c r="K660" i="1"/>
  <c r="AM660" i="2"/>
  <c r="J660" i="1"/>
  <c r="AL660" i="2"/>
  <c r="I660" i="1"/>
  <c r="AK660" i="2"/>
  <c r="AJ660" i="2"/>
  <c r="AI660" i="2"/>
  <c r="AH660" i="2"/>
  <c r="E660" i="1"/>
  <c r="AG660" i="2"/>
  <c r="D660" i="1"/>
  <c r="AF660" i="2"/>
  <c r="C660" i="1"/>
  <c r="AE660" i="2"/>
  <c r="AD660" i="2"/>
  <c r="AA660" i="2"/>
  <c r="Z660" i="2"/>
  <c r="S659" i="1"/>
  <c r="AU659" i="2"/>
  <c r="R659" i="1"/>
  <c r="AT659" i="2"/>
  <c r="Q659" i="1"/>
  <c r="AS659" i="2"/>
  <c r="P659" i="1"/>
  <c r="AR659" i="2"/>
  <c r="O659" i="1"/>
  <c r="AQ659" i="2"/>
  <c r="AP659" i="2"/>
  <c r="AO659" i="2"/>
  <c r="AN659" i="2"/>
  <c r="K659" i="1"/>
  <c r="AM659" i="2"/>
  <c r="J659" i="1"/>
  <c r="AL659" i="2"/>
  <c r="I659" i="1"/>
  <c r="AK659" i="2"/>
  <c r="AJ659" i="2"/>
  <c r="AI659" i="2"/>
  <c r="AH659" i="2"/>
  <c r="E659" i="1"/>
  <c r="AG659" i="2"/>
  <c r="D659" i="1"/>
  <c r="AF659" i="2"/>
  <c r="C659" i="1"/>
  <c r="AE659" i="2"/>
  <c r="AD659" i="2"/>
  <c r="AA659" i="2"/>
  <c r="Z659" i="2"/>
  <c r="S658" i="1"/>
  <c r="AU658" i="2"/>
  <c r="R658" i="1"/>
  <c r="AT658" i="2"/>
  <c r="Q658" i="1"/>
  <c r="AS658" i="2"/>
  <c r="P658" i="1"/>
  <c r="AR658" i="2"/>
  <c r="O658" i="1"/>
  <c r="AQ658" i="2"/>
  <c r="AP658" i="2"/>
  <c r="AO658" i="2"/>
  <c r="AN658" i="2"/>
  <c r="K658" i="1"/>
  <c r="AM658" i="2"/>
  <c r="J658" i="1"/>
  <c r="AL658" i="2"/>
  <c r="I658" i="1"/>
  <c r="AK658" i="2"/>
  <c r="AJ658" i="2"/>
  <c r="AI658" i="2"/>
  <c r="AH658" i="2"/>
  <c r="E658" i="1"/>
  <c r="AG658" i="2"/>
  <c r="D658" i="1"/>
  <c r="AF658" i="2"/>
  <c r="C658" i="1"/>
  <c r="AE658" i="2"/>
  <c r="AD658" i="2"/>
  <c r="AA658" i="2"/>
  <c r="Z658" i="2"/>
  <c r="S657" i="1"/>
  <c r="AU657" i="2"/>
  <c r="R657" i="1"/>
  <c r="AT657" i="2"/>
  <c r="Q657" i="1"/>
  <c r="AS657" i="2"/>
  <c r="P657" i="1"/>
  <c r="AR657" i="2"/>
  <c r="O657" i="1"/>
  <c r="AQ657" i="2"/>
  <c r="AP657" i="2"/>
  <c r="AO657" i="2"/>
  <c r="AN657" i="2"/>
  <c r="K657" i="1"/>
  <c r="AM657" i="2"/>
  <c r="J657" i="1"/>
  <c r="AL657" i="2"/>
  <c r="I657" i="1"/>
  <c r="AK657" i="2"/>
  <c r="AJ657" i="2"/>
  <c r="AI657" i="2"/>
  <c r="AH657" i="2"/>
  <c r="E657" i="1"/>
  <c r="AG657" i="2"/>
  <c r="D657" i="1"/>
  <c r="AF657" i="2"/>
  <c r="C657" i="1"/>
  <c r="AE657" i="2"/>
  <c r="AD657" i="2"/>
  <c r="AA657" i="2"/>
  <c r="Z657" i="2"/>
  <c r="S656" i="1"/>
  <c r="AU656" i="2"/>
  <c r="R656" i="1"/>
  <c r="AT656" i="2"/>
  <c r="Q656" i="1"/>
  <c r="AS656" i="2"/>
  <c r="P656" i="1"/>
  <c r="AR656" i="2"/>
  <c r="O656" i="1"/>
  <c r="AQ656" i="2"/>
  <c r="AP656" i="2"/>
  <c r="AO656" i="2"/>
  <c r="AN656" i="2"/>
  <c r="K656" i="1"/>
  <c r="AM656" i="2"/>
  <c r="J656" i="1"/>
  <c r="AL656" i="2"/>
  <c r="I656" i="1"/>
  <c r="AK656" i="2"/>
  <c r="AJ656" i="2"/>
  <c r="AI656" i="2"/>
  <c r="AH656" i="2"/>
  <c r="E656" i="1"/>
  <c r="AG656" i="2"/>
  <c r="D656" i="1"/>
  <c r="AF656" i="2"/>
  <c r="C656" i="1"/>
  <c r="AE656" i="2"/>
  <c r="AD656" i="2"/>
  <c r="AA656" i="2"/>
  <c r="Z656" i="2"/>
  <c r="S655" i="1"/>
  <c r="AU655" i="2"/>
  <c r="R655" i="1"/>
  <c r="AT655" i="2"/>
  <c r="Q655" i="1"/>
  <c r="AS655" i="2"/>
  <c r="P655" i="1"/>
  <c r="AR655" i="2"/>
  <c r="O655" i="1"/>
  <c r="AQ655" i="2"/>
  <c r="AP655" i="2"/>
  <c r="AO655" i="2"/>
  <c r="AN655" i="2"/>
  <c r="K655" i="1"/>
  <c r="AM655" i="2"/>
  <c r="J655" i="1"/>
  <c r="AL655" i="2"/>
  <c r="I655" i="1"/>
  <c r="AK655" i="2"/>
  <c r="AJ655" i="2"/>
  <c r="AI655" i="2"/>
  <c r="AH655" i="2"/>
  <c r="E655" i="1"/>
  <c r="AG655" i="2"/>
  <c r="D655" i="1"/>
  <c r="AF655" i="2"/>
  <c r="C655" i="1"/>
  <c r="AE655" i="2"/>
  <c r="AD655" i="2"/>
  <c r="AA655" i="2"/>
  <c r="Z655" i="2"/>
  <c r="S654" i="1"/>
  <c r="AU654" i="2"/>
  <c r="R654" i="1"/>
  <c r="AT654" i="2"/>
  <c r="Q654" i="1"/>
  <c r="AS654" i="2"/>
  <c r="P654" i="1"/>
  <c r="AR654" i="2"/>
  <c r="O654" i="1"/>
  <c r="AQ654" i="2"/>
  <c r="AP654" i="2"/>
  <c r="AO654" i="2"/>
  <c r="AN654" i="2"/>
  <c r="K654" i="1"/>
  <c r="AM654" i="2"/>
  <c r="J654" i="1"/>
  <c r="AL654" i="2"/>
  <c r="I654" i="1"/>
  <c r="AK654" i="2"/>
  <c r="AJ654" i="2"/>
  <c r="AI654" i="2"/>
  <c r="AH654" i="2"/>
  <c r="E654" i="1"/>
  <c r="AG654" i="2"/>
  <c r="D654" i="1"/>
  <c r="AF654" i="2"/>
  <c r="C654" i="1"/>
  <c r="AE654" i="2"/>
  <c r="AD654" i="2"/>
  <c r="AA654" i="2"/>
  <c r="Z654" i="2"/>
  <c r="S653" i="1"/>
  <c r="AU653" i="2"/>
  <c r="R653" i="1"/>
  <c r="AT653" i="2"/>
  <c r="Q653" i="1"/>
  <c r="AS653" i="2"/>
  <c r="P653" i="1"/>
  <c r="AR653" i="2"/>
  <c r="O653" i="1"/>
  <c r="AQ653" i="2"/>
  <c r="AP653" i="2"/>
  <c r="AO653" i="2"/>
  <c r="AN653" i="2"/>
  <c r="K653" i="1"/>
  <c r="AM653" i="2"/>
  <c r="J653" i="1"/>
  <c r="AL653" i="2"/>
  <c r="I653" i="1"/>
  <c r="AK653" i="2"/>
  <c r="AJ653" i="2"/>
  <c r="AI653" i="2"/>
  <c r="AH653" i="2"/>
  <c r="E653" i="1"/>
  <c r="AG653" i="2"/>
  <c r="D653" i="1"/>
  <c r="AF653" i="2"/>
  <c r="C653" i="1"/>
  <c r="AE653" i="2"/>
  <c r="AD653" i="2"/>
  <c r="AA653" i="2"/>
  <c r="Z653" i="2"/>
  <c r="S652" i="1"/>
  <c r="AU652" i="2"/>
  <c r="R652" i="1"/>
  <c r="AT652" i="2"/>
  <c r="Q652" i="1"/>
  <c r="AS652" i="2"/>
  <c r="P652" i="1"/>
  <c r="AR652" i="2"/>
  <c r="O652" i="1"/>
  <c r="AQ652" i="2"/>
  <c r="AP652" i="2"/>
  <c r="AO652" i="2"/>
  <c r="AN652" i="2"/>
  <c r="K652" i="1"/>
  <c r="AM652" i="2"/>
  <c r="J652" i="1"/>
  <c r="AL652" i="2"/>
  <c r="I652" i="1"/>
  <c r="AK652" i="2"/>
  <c r="AJ652" i="2"/>
  <c r="AI652" i="2"/>
  <c r="AH652" i="2"/>
  <c r="E652" i="1"/>
  <c r="AG652" i="2"/>
  <c r="D652" i="1"/>
  <c r="AF652" i="2"/>
  <c r="C652" i="1"/>
  <c r="AE652" i="2"/>
  <c r="AD652" i="2"/>
  <c r="AA652" i="2"/>
  <c r="Z652" i="2"/>
  <c r="S651" i="1"/>
  <c r="AU651" i="2"/>
  <c r="R651" i="1"/>
  <c r="AT651" i="2"/>
  <c r="Q651" i="1"/>
  <c r="AS651" i="2"/>
  <c r="P651" i="1"/>
  <c r="AR651" i="2"/>
  <c r="O651" i="1"/>
  <c r="AQ651" i="2"/>
  <c r="AP651" i="2"/>
  <c r="AO651" i="2"/>
  <c r="AN651" i="2"/>
  <c r="K651" i="1"/>
  <c r="AM651" i="2"/>
  <c r="J651" i="1"/>
  <c r="AL651" i="2"/>
  <c r="I651" i="1"/>
  <c r="AK651" i="2"/>
  <c r="AJ651" i="2"/>
  <c r="AI651" i="2"/>
  <c r="AH651" i="2"/>
  <c r="E651" i="1"/>
  <c r="AG651" i="2"/>
  <c r="D651" i="1"/>
  <c r="AF651" i="2"/>
  <c r="C651" i="1"/>
  <c r="AE651" i="2"/>
  <c r="AD651" i="2"/>
  <c r="AA651" i="2"/>
  <c r="Z651" i="2"/>
  <c r="S650" i="1"/>
  <c r="AU650" i="2"/>
  <c r="R650" i="1"/>
  <c r="AT650" i="2"/>
  <c r="Q650" i="1"/>
  <c r="AS650" i="2"/>
  <c r="P650" i="1"/>
  <c r="AR650" i="2"/>
  <c r="O650" i="1"/>
  <c r="AQ650" i="2"/>
  <c r="AP650" i="2"/>
  <c r="AO650" i="2"/>
  <c r="AN650" i="2"/>
  <c r="K650" i="1"/>
  <c r="AM650" i="2"/>
  <c r="J650" i="1"/>
  <c r="AL650" i="2"/>
  <c r="I650" i="1"/>
  <c r="AK650" i="2"/>
  <c r="AJ650" i="2"/>
  <c r="AI650" i="2"/>
  <c r="AH650" i="2"/>
  <c r="E650" i="1"/>
  <c r="AG650" i="2"/>
  <c r="D650" i="1"/>
  <c r="AF650" i="2"/>
  <c r="C650" i="1"/>
  <c r="AE650" i="2"/>
  <c r="AD650" i="2"/>
  <c r="AA650" i="2"/>
  <c r="Z650" i="2"/>
  <c r="S649" i="1"/>
  <c r="AU649" i="2"/>
  <c r="R649" i="1"/>
  <c r="AT649" i="2"/>
  <c r="Q649" i="1"/>
  <c r="AS649" i="2"/>
  <c r="P649" i="1"/>
  <c r="AR649" i="2"/>
  <c r="O649" i="1"/>
  <c r="AQ649" i="2"/>
  <c r="AP649" i="2"/>
  <c r="AO649" i="2"/>
  <c r="AN649" i="2"/>
  <c r="K649" i="1"/>
  <c r="AM649" i="2"/>
  <c r="J649" i="1"/>
  <c r="AL649" i="2"/>
  <c r="I649" i="1"/>
  <c r="AK649" i="2"/>
  <c r="AJ649" i="2"/>
  <c r="AI649" i="2"/>
  <c r="AH649" i="2"/>
  <c r="E649" i="1"/>
  <c r="AG649" i="2"/>
  <c r="D649" i="1"/>
  <c r="AF649" i="2"/>
  <c r="C649" i="1"/>
  <c r="AE649" i="2"/>
  <c r="AD649" i="2"/>
  <c r="AA649" i="2"/>
  <c r="Z649" i="2"/>
  <c r="S648" i="1"/>
  <c r="AU648" i="2"/>
  <c r="R648" i="1"/>
  <c r="AT648" i="2"/>
  <c r="Q648" i="1"/>
  <c r="AS648" i="2"/>
  <c r="P648" i="1"/>
  <c r="AR648" i="2"/>
  <c r="O648" i="1"/>
  <c r="AQ648" i="2"/>
  <c r="AP648" i="2"/>
  <c r="AO648" i="2"/>
  <c r="AN648" i="2"/>
  <c r="K648" i="1"/>
  <c r="AM648" i="2"/>
  <c r="J648" i="1"/>
  <c r="AL648" i="2"/>
  <c r="I648" i="1"/>
  <c r="AK648" i="2"/>
  <c r="AJ648" i="2"/>
  <c r="AI648" i="2"/>
  <c r="AH648" i="2"/>
  <c r="E648" i="1"/>
  <c r="AG648" i="2"/>
  <c r="D648" i="1"/>
  <c r="AF648" i="2"/>
  <c r="C648" i="1"/>
  <c r="AE648" i="2"/>
  <c r="AD648" i="2"/>
  <c r="AA648" i="2"/>
  <c r="Z648" i="2"/>
  <c r="S647" i="1"/>
  <c r="AU647" i="2"/>
  <c r="R647" i="1"/>
  <c r="AT647" i="2"/>
  <c r="Q647" i="1"/>
  <c r="AS647" i="2"/>
  <c r="P647" i="1"/>
  <c r="AR647" i="2"/>
  <c r="O647" i="1"/>
  <c r="AQ647" i="2"/>
  <c r="AP647" i="2"/>
  <c r="AO647" i="2"/>
  <c r="AN647" i="2"/>
  <c r="K647" i="1"/>
  <c r="AM647" i="2"/>
  <c r="J647" i="1"/>
  <c r="AL647" i="2"/>
  <c r="I647" i="1"/>
  <c r="AK647" i="2"/>
  <c r="AJ647" i="2"/>
  <c r="AI647" i="2"/>
  <c r="AH647" i="2"/>
  <c r="E647" i="1"/>
  <c r="AG647" i="2"/>
  <c r="D647" i="1"/>
  <c r="AF647" i="2"/>
  <c r="C647" i="1"/>
  <c r="AE647" i="2"/>
  <c r="AD647" i="2"/>
  <c r="AA647" i="2"/>
  <c r="Z647" i="2"/>
  <c r="S646" i="1"/>
  <c r="AU646" i="2"/>
  <c r="R646" i="1"/>
  <c r="AT646" i="2"/>
  <c r="Q646" i="1"/>
  <c r="AS646" i="2"/>
  <c r="P646" i="1"/>
  <c r="AR646" i="2"/>
  <c r="O646" i="1"/>
  <c r="AQ646" i="2"/>
  <c r="AP646" i="2"/>
  <c r="AO646" i="2"/>
  <c r="AN646" i="2"/>
  <c r="K646" i="1"/>
  <c r="AM646" i="2"/>
  <c r="J646" i="1"/>
  <c r="AL646" i="2"/>
  <c r="I646" i="1"/>
  <c r="AK646" i="2"/>
  <c r="AJ646" i="2"/>
  <c r="AI646" i="2"/>
  <c r="AH646" i="2"/>
  <c r="E646" i="1"/>
  <c r="AG646" i="2"/>
  <c r="D646" i="1"/>
  <c r="AF646" i="2"/>
  <c r="C646" i="1"/>
  <c r="AE646" i="2"/>
  <c r="AD646" i="2"/>
  <c r="AA646" i="2"/>
  <c r="Z646" i="2"/>
  <c r="S645" i="1"/>
  <c r="AU645" i="2"/>
  <c r="R645" i="1"/>
  <c r="AT645" i="2"/>
  <c r="Q645" i="1"/>
  <c r="AS645" i="2"/>
  <c r="P645" i="1"/>
  <c r="AR645" i="2"/>
  <c r="O645" i="1"/>
  <c r="AQ645" i="2"/>
  <c r="AP645" i="2"/>
  <c r="AO645" i="2"/>
  <c r="AN645" i="2"/>
  <c r="K645" i="1"/>
  <c r="AM645" i="2"/>
  <c r="J645" i="1"/>
  <c r="AL645" i="2"/>
  <c r="I645" i="1"/>
  <c r="AK645" i="2"/>
  <c r="AJ645" i="2"/>
  <c r="AI645" i="2"/>
  <c r="AH645" i="2"/>
  <c r="E645" i="1"/>
  <c r="AG645" i="2"/>
  <c r="D645" i="1"/>
  <c r="AF645" i="2"/>
  <c r="C645" i="1"/>
  <c r="AE645" i="2"/>
  <c r="AD645" i="2"/>
  <c r="AA645" i="2"/>
  <c r="Z645" i="2"/>
  <c r="S644" i="1"/>
  <c r="AU644" i="2"/>
  <c r="R644" i="1"/>
  <c r="AT644" i="2"/>
  <c r="Q644" i="1"/>
  <c r="AS644" i="2"/>
  <c r="P644" i="1"/>
  <c r="AR644" i="2"/>
  <c r="O644" i="1"/>
  <c r="AQ644" i="2"/>
  <c r="AP644" i="2"/>
  <c r="AO644" i="2"/>
  <c r="AN644" i="2"/>
  <c r="K644" i="1"/>
  <c r="AM644" i="2"/>
  <c r="J644" i="1"/>
  <c r="AL644" i="2"/>
  <c r="I644" i="1"/>
  <c r="AK644" i="2"/>
  <c r="AJ644" i="2"/>
  <c r="AI644" i="2"/>
  <c r="AH644" i="2"/>
  <c r="E644" i="1"/>
  <c r="AG644" i="2"/>
  <c r="D644" i="1"/>
  <c r="AF644" i="2"/>
  <c r="C644" i="1"/>
  <c r="AE644" i="2"/>
  <c r="AD644" i="2"/>
  <c r="AA644" i="2"/>
  <c r="Z644" i="2"/>
  <c r="S643" i="1"/>
  <c r="AU643" i="2"/>
  <c r="R643" i="1"/>
  <c r="AT643" i="2"/>
  <c r="Q643" i="1"/>
  <c r="AS643" i="2"/>
  <c r="P643" i="1"/>
  <c r="AR643" i="2"/>
  <c r="O643" i="1"/>
  <c r="AQ643" i="2"/>
  <c r="AP643" i="2"/>
  <c r="AO643" i="2"/>
  <c r="AN643" i="2"/>
  <c r="K643" i="1"/>
  <c r="AM643" i="2"/>
  <c r="J643" i="1"/>
  <c r="AL643" i="2"/>
  <c r="I643" i="1"/>
  <c r="AK643" i="2"/>
  <c r="AJ643" i="2"/>
  <c r="AI643" i="2"/>
  <c r="AH643" i="2"/>
  <c r="E643" i="1"/>
  <c r="AG643" i="2"/>
  <c r="D643" i="1"/>
  <c r="AF643" i="2"/>
  <c r="C643" i="1"/>
  <c r="AE643" i="2"/>
  <c r="AD643" i="2"/>
  <c r="AA643" i="2"/>
  <c r="Z643" i="2"/>
  <c r="S642" i="1"/>
  <c r="AU642" i="2"/>
  <c r="R642" i="1"/>
  <c r="AT642" i="2"/>
  <c r="Q642" i="1"/>
  <c r="AS642" i="2"/>
  <c r="P642" i="1"/>
  <c r="AR642" i="2"/>
  <c r="O642" i="1"/>
  <c r="AQ642" i="2"/>
  <c r="AP642" i="2"/>
  <c r="AO642" i="2"/>
  <c r="AN642" i="2"/>
  <c r="K642" i="1"/>
  <c r="AM642" i="2"/>
  <c r="J642" i="1"/>
  <c r="AL642" i="2"/>
  <c r="I642" i="1"/>
  <c r="AK642" i="2"/>
  <c r="AJ642" i="2"/>
  <c r="AI642" i="2"/>
  <c r="AH642" i="2"/>
  <c r="E642" i="1"/>
  <c r="AG642" i="2"/>
  <c r="D642" i="1"/>
  <c r="AF642" i="2"/>
  <c r="C642" i="1"/>
  <c r="AE642" i="2"/>
  <c r="AD642" i="2"/>
  <c r="AA642" i="2"/>
  <c r="Z642" i="2"/>
  <c r="S641" i="1"/>
  <c r="AU641" i="2"/>
  <c r="R641" i="1"/>
  <c r="AT641" i="2"/>
  <c r="Q641" i="1"/>
  <c r="AS641" i="2"/>
  <c r="P641" i="1"/>
  <c r="AR641" i="2"/>
  <c r="O641" i="1"/>
  <c r="AQ641" i="2"/>
  <c r="AP641" i="2"/>
  <c r="AO641" i="2"/>
  <c r="AN641" i="2"/>
  <c r="K641" i="1"/>
  <c r="AM641" i="2"/>
  <c r="J641" i="1"/>
  <c r="AL641" i="2"/>
  <c r="I641" i="1"/>
  <c r="AK641" i="2"/>
  <c r="AJ641" i="2"/>
  <c r="AI641" i="2"/>
  <c r="AH641" i="2"/>
  <c r="E641" i="1"/>
  <c r="AG641" i="2"/>
  <c r="D641" i="1"/>
  <c r="AF641" i="2"/>
  <c r="C641" i="1"/>
  <c r="AE641" i="2"/>
  <c r="AD641" i="2"/>
  <c r="AA641" i="2"/>
  <c r="Z641" i="2"/>
  <c r="S640" i="1"/>
  <c r="AU640" i="2"/>
  <c r="R640" i="1"/>
  <c r="AT640" i="2"/>
  <c r="Q640" i="1"/>
  <c r="AS640" i="2"/>
  <c r="P640" i="1"/>
  <c r="AR640" i="2"/>
  <c r="O640" i="1"/>
  <c r="AQ640" i="2"/>
  <c r="AP640" i="2"/>
  <c r="AO640" i="2"/>
  <c r="AN640" i="2"/>
  <c r="K640" i="1"/>
  <c r="AM640" i="2"/>
  <c r="J640" i="1"/>
  <c r="AL640" i="2"/>
  <c r="I640" i="1"/>
  <c r="AK640" i="2"/>
  <c r="AJ640" i="2"/>
  <c r="AI640" i="2"/>
  <c r="AH640" i="2"/>
  <c r="E640" i="1"/>
  <c r="AG640" i="2"/>
  <c r="D640" i="1"/>
  <c r="AF640" i="2"/>
  <c r="C640" i="1"/>
  <c r="AE640" i="2"/>
  <c r="AD640" i="2"/>
  <c r="AA640" i="2"/>
  <c r="Z640" i="2"/>
  <c r="S639" i="1"/>
  <c r="AU639" i="2"/>
  <c r="R639" i="1"/>
  <c r="AT639" i="2"/>
  <c r="Q639" i="1"/>
  <c r="AS639" i="2"/>
  <c r="P639" i="1"/>
  <c r="AR639" i="2"/>
  <c r="O639" i="1"/>
  <c r="AQ639" i="2"/>
  <c r="AP639" i="2"/>
  <c r="AO639" i="2"/>
  <c r="AN639" i="2"/>
  <c r="K639" i="1"/>
  <c r="AM639" i="2"/>
  <c r="J639" i="1"/>
  <c r="AL639" i="2"/>
  <c r="I639" i="1"/>
  <c r="AK639" i="2"/>
  <c r="AJ639" i="2"/>
  <c r="AI639" i="2"/>
  <c r="AH639" i="2"/>
  <c r="E639" i="1"/>
  <c r="AG639" i="2"/>
  <c r="D639" i="1"/>
  <c r="AF639" i="2"/>
  <c r="C639" i="1"/>
  <c r="AE639" i="2"/>
  <c r="AD639" i="2"/>
  <c r="AA639" i="2"/>
  <c r="Z639" i="2"/>
  <c r="S638" i="1"/>
  <c r="AU638" i="2"/>
  <c r="R638" i="1"/>
  <c r="AT638" i="2"/>
  <c r="Q638" i="1"/>
  <c r="AS638" i="2"/>
  <c r="P638" i="1"/>
  <c r="AR638" i="2"/>
  <c r="O638" i="1"/>
  <c r="AQ638" i="2"/>
  <c r="AP638" i="2"/>
  <c r="AO638" i="2"/>
  <c r="AN638" i="2"/>
  <c r="K638" i="1"/>
  <c r="AM638" i="2"/>
  <c r="J638" i="1"/>
  <c r="AL638" i="2"/>
  <c r="I638" i="1"/>
  <c r="AK638" i="2"/>
  <c r="AJ638" i="2"/>
  <c r="AI638" i="2"/>
  <c r="AH638" i="2"/>
  <c r="E638" i="1"/>
  <c r="AG638" i="2"/>
  <c r="D638" i="1"/>
  <c r="AF638" i="2"/>
  <c r="C638" i="1"/>
  <c r="AE638" i="2"/>
  <c r="AD638" i="2"/>
  <c r="AA638" i="2"/>
  <c r="Z638" i="2"/>
  <c r="S637" i="1"/>
  <c r="AU637" i="2"/>
  <c r="R637" i="1"/>
  <c r="AT637" i="2"/>
  <c r="Q637" i="1"/>
  <c r="AS637" i="2"/>
  <c r="P637" i="1"/>
  <c r="AR637" i="2"/>
  <c r="O637" i="1"/>
  <c r="AQ637" i="2"/>
  <c r="AP637" i="2"/>
  <c r="AO637" i="2"/>
  <c r="AN637" i="2"/>
  <c r="K637" i="1"/>
  <c r="AM637" i="2"/>
  <c r="J637" i="1"/>
  <c r="AL637" i="2"/>
  <c r="I637" i="1"/>
  <c r="AK637" i="2"/>
  <c r="AJ637" i="2"/>
  <c r="AI637" i="2"/>
  <c r="AH637" i="2"/>
  <c r="E637" i="1"/>
  <c r="AG637" i="2"/>
  <c r="D637" i="1"/>
  <c r="AF637" i="2"/>
  <c r="C637" i="1"/>
  <c r="AE637" i="2"/>
  <c r="AD637" i="2"/>
  <c r="AA637" i="2"/>
  <c r="Z637" i="2"/>
  <c r="S636" i="1"/>
  <c r="AU636" i="2"/>
  <c r="R636" i="1"/>
  <c r="AT636" i="2"/>
  <c r="Q636" i="1"/>
  <c r="AS636" i="2"/>
  <c r="P636" i="1"/>
  <c r="AR636" i="2"/>
  <c r="O636" i="1"/>
  <c r="AQ636" i="2"/>
  <c r="AP636" i="2"/>
  <c r="AO636" i="2"/>
  <c r="AN636" i="2"/>
  <c r="K636" i="1"/>
  <c r="AM636" i="2"/>
  <c r="J636" i="1"/>
  <c r="AL636" i="2"/>
  <c r="I636" i="1"/>
  <c r="AK636" i="2"/>
  <c r="AJ636" i="2"/>
  <c r="AI636" i="2"/>
  <c r="AH636" i="2"/>
  <c r="E636" i="1"/>
  <c r="AG636" i="2"/>
  <c r="D636" i="1"/>
  <c r="AF636" i="2"/>
  <c r="C636" i="1"/>
  <c r="AE636" i="2"/>
  <c r="AD636" i="2"/>
  <c r="AA636" i="2"/>
  <c r="Z636" i="2"/>
  <c r="S635" i="1"/>
  <c r="AU635" i="2"/>
  <c r="R635" i="1"/>
  <c r="AT635" i="2"/>
  <c r="Q635" i="1"/>
  <c r="AS635" i="2"/>
  <c r="P635" i="1"/>
  <c r="AR635" i="2"/>
  <c r="O635" i="1"/>
  <c r="AQ635" i="2"/>
  <c r="AP635" i="2"/>
  <c r="AO635" i="2"/>
  <c r="AN635" i="2"/>
  <c r="K635" i="1"/>
  <c r="AM635" i="2"/>
  <c r="J635" i="1"/>
  <c r="AL635" i="2"/>
  <c r="I635" i="1"/>
  <c r="AK635" i="2"/>
  <c r="AJ635" i="2"/>
  <c r="AI635" i="2"/>
  <c r="AH635" i="2"/>
  <c r="E635" i="1"/>
  <c r="AG635" i="2"/>
  <c r="D635" i="1"/>
  <c r="AF635" i="2"/>
  <c r="C635" i="1"/>
  <c r="AE635" i="2"/>
  <c r="AD635" i="2"/>
  <c r="AA635" i="2"/>
  <c r="Z635" i="2"/>
  <c r="S634" i="1"/>
  <c r="AU634" i="2"/>
  <c r="R634" i="1"/>
  <c r="AT634" i="2"/>
  <c r="Q634" i="1"/>
  <c r="AS634" i="2"/>
  <c r="P634" i="1"/>
  <c r="AR634" i="2"/>
  <c r="O634" i="1"/>
  <c r="AQ634" i="2"/>
  <c r="AP634" i="2"/>
  <c r="AO634" i="2"/>
  <c r="AN634" i="2"/>
  <c r="K634" i="1"/>
  <c r="AM634" i="2"/>
  <c r="J634" i="1"/>
  <c r="AL634" i="2"/>
  <c r="I634" i="1"/>
  <c r="AK634" i="2"/>
  <c r="AJ634" i="2"/>
  <c r="AI634" i="2"/>
  <c r="AH634" i="2"/>
  <c r="E634" i="1"/>
  <c r="AG634" i="2"/>
  <c r="D634" i="1"/>
  <c r="AF634" i="2"/>
  <c r="C634" i="1"/>
  <c r="AE634" i="2"/>
  <c r="AD634" i="2"/>
  <c r="AA634" i="2"/>
  <c r="Z634" i="2"/>
  <c r="S633" i="1"/>
  <c r="AU633" i="2"/>
  <c r="R633" i="1"/>
  <c r="AT633" i="2"/>
  <c r="Q633" i="1"/>
  <c r="AS633" i="2"/>
  <c r="P633" i="1"/>
  <c r="AR633" i="2"/>
  <c r="O633" i="1"/>
  <c r="AQ633" i="2"/>
  <c r="AP633" i="2"/>
  <c r="AO633" i="2"/>
  <c r="AN633" i="2"/>
  <c r="K633" i="1"/>
  <c r="AM633" i="2"/>
  <c r="J633" i="1"/>
  <c r="AL633" i="2"/>
  <c r="I633" i="1"/>
  <c r="AK633" i="2"/>
  <c r="AJ633" i="2"/>
  <c r="AI633" i="2"/>
  <c r="AH633" i="2"/>
  <c r="E633" i="1"/>
  <c r="AG633" i="2"/>
  <c r="D633" i="1"/>
  <c r="AF633" i="2"/>
  <c r="C633" i="1"/>
  <c r="AE633" i="2"/>
  <c r="AD633" i="2"/>
  <c r="AA633" i="2"/>
  <c r="Z633" i="2"/>
  <c r="S632" i="1"/>
  <c r="AU632" i="2"/>
  <c r="R632" i="1"/>
  <c r="AT632" i="2"/>
  <c r="Q632" i="1"/>
  <c r="AS632" i="2"/>
  <c r="P632" i="1"/>
  <c r="AR632" i="2"/>
  <c r="O632" i="1"/>
  <c r="AQ632" i="2"/>
  <c r="AP632" i="2"/>
  <c r="AO632" i="2"/>
  <c r="AN632" i="2"/>
  <c r="K632" i="1"/>
  <c r="AM632" i="2"/>
  <c r="J632" i="1"/>
  <c r="AL632" i="2"/>
  <c r="I632" i="1"/>
  <c r="AK632" i="2"/>
  <c r="AJ632" i="2"/>
  <c r="AI632" i="2"/>
  <c r="AH632" i="2"/>
  <c r="E632" i="1"/>
  <c r="AG632" i="2"/>
  <c r="D632" i="1"/>
  <c r="AF632" i="2"/>
  <c r="C632" i="1"/>
  <c r="AE632" i="2"/>
  <c r="AD632" i="2"/>
  <c r="AA632" i="2"/>
  <c r="Z632" i="2"/>
  <c r="S631" i="1"/>
  <c r="AU631" i="2"/>
  <c r="R631" i="1"/>
  <c r="AT631" i="2"/>
  <c r="Q631" i="1"/>
  <c r="AS631" i="2"/>
  <c r="P631" i="1"/>
  <c r="AR631" i="2"/>
  <c r="O631" i="1"/>
  <c r="AQ631" i="2"/>
  <c r="AP631" i="2"/>
  <c r="AO631" i="2"/>
  <c r="AN631" i="2"/>
  <c r="K631" i="1"/>
  <c r="AM631" i="2"/>
  <c r="J631" i="1"/>
  <c r="AL631" i="2"/>
  <c r="I631" i="1"/>
  <c r="AK631" i="2"/>
  <c r="AJ631" i="2"/>
  <c r="AI631" i="2"/>
  <c r="AH631" i="2"/>
  <c r="E631" i="1"/>
  <c r="AG631" i="2"/>
  <c r="D631" i="1"/>
  <c r="AF631" i="2"/>
  <c r="C631" i="1"/>
  <c r="AE631" i="2"/>
  <c r="AD631" i="2"/>
  <c r="AA631" i="2"/>
  <c r="Z631" i="2"/>
  <c r="S630" i="1"/>
  <c r="AU630" i="2"/>
  <c r="R630" i="1"/>
  <c r="AT630" i="2"/>
  <c r="Q630" i="1"/>
  <c r="AS630" i="2"/>
  <c r="P630" i="1"/>
  <c r="AR630" i="2"/>
  <c r="O630" i="1"/>
  <c r="AQ630" i="2"/>
  <c r="AP630" i="2"/>
  <c r="AO630" i="2"/>
  <c r="AN630" i="2"/>
  <c r="K630" i="1"/>
  <c r="AM630" i="2"/>
  <c r="J630" i="1"/>
  <c r="AL630" i="2"/>
  <c r="I630" i="1"/>
  <c r="AK630" i="2"/>
  <c r="AJ630" i="2"/>
  <c r="AI630" i="2"/>
  <c r="AH630" i="2"/>
  <c r="E630" i="1"/>
  <c r="AG630" i="2"/>
  <c r="D630" i="1"/>
  <c r="AF630" i="2"/>
  <c r="C630" i="1"/>
  <c r="AE630" i="2"/>
  <c r="AD630" i="2"/>
  <c r="AA630" i="2"/>
  <c r="Z630" i="2"/>
  <c r="S629" i="1"/>
  <c r="AU629" i="2"/>
  <c r="R629" i="1"/>
  <c r="AT629" i="2"/>
  <c r="Q629" i="1"/>
  <c r="AS629" i="2"/>
  <c r="P629" i="1"/>
  <c r="AR629" i="2"/>
  <c r="O629" i="1"/>
  <c r="AQ629" i="2"/>
  <c r="AP629" i="2"/>
  <c r="AO629" i="2"/>
  <c r="AN629" i="2"/>
  <c r="K629" i="1"/>
  <c r="AM629" i="2"/>
  <c r="J629" i="1"/>
  <c r="AL629" i="2"/>
  <c r="I629" i="1"/>
  <c r="AK629" i="2"/>
  <c r="AJ629" i="2"/>
  <c r="AI629" i="2"/>
  <c r="AH629" i="2"/>
  <c r="E629" i="1"/>
  <c r="AG629" i="2"/>
  <c r="D629" i="1"/>
  <c r="AF629" i="2"/>
  <c r="C629" i="1"/>
  <c r="AE629" i="2"/>
  <c r="AD629" i="2"/>
  <c r="AA629" i="2"/>
  <c r="Z629" i="2"/>
  <c r="S628" i="1"/>
  <c r="AU628" i="2"/>
  <c r="R628" i="1"/>
  <c r="AT628" i="2"/>
  <c r="Q628" i="1"/>
  <c r="AS628" i="2"/>
  <c r="P628" i="1"/>
  <c r="AR628" i="2"/>
  <c r="O628" i="1"/>
  <c r="AQ628" i="2"/>
  <c r="AP628" i="2"/>
  <c r="AO628" i="2"/>
  <c r="AN628" i="2"/>
  <c r="K628" i="1"/>
  <c r="AM628" i="2"/>
  <c r="J628" i="1"/>
  <c r="AL628" i="2"/>
  <c r="I628" i="1"/>
  <c r="AK628" i="2"/>
  <c r="AJ628" i="2"/>
  <c r="AI628" i="2"/>
  <c r="AH628" i="2"/>
  <c r="E628" i="1"/>
  <c r="AG628" i="2"/>
  <c r="D628" i="1"/>
  <c r="AF628" i="2"/>
  <c r="C628" i="1"/>
  <c r="AE628" i="2"/>
  <c r="AD628" i="2"/>
  <c r="AA628" i="2"/>
  <c r="Z628" i="2"/>
  <c r="S627" i="1"/>
  <c r="AU627" i="2"/>
  <c r="R627" i="1"/>
  <c r="AT627" i="2"/>
  <c r="Q627" i="1"/>
  <c r="AS627" i="2"/>
  <c r="P627" i="1"/>
  <c r="AR627" i="2"/>
  <c r="O627" i="1"/>
  <c r="AQ627" i="2"/>
  <c r="AP627" i="2"/>
  <c r="AO627" i="2"/>
  <c r="AN627" i="2"/>
  <c r="K627" i="1"/>
  <c r="AM627" i="2"/>
  <c r="J627" i="1"/>
  <c r="AL627" i="2"/>
  <c r="I627" i="1"/>
  <c r="AK627" i="2"/>
  <c r="AJ627" i="2"/>
  <c r="AI627" i="2"/>
  <c r="AH627" i="2"/>
  <c r="E627" i="1"/>
  <c r="AG627" i="2"/>
  <c r="D627" i="1"/>
  <c r="AF627" i="2"/>
  <c r="C627" i="1"/>
  <c r="AE627" i="2"/>
  <c r="AD627" i="2"/>
  <c r="AA627" i="2"/>
  <c r="Z627" i="2"/>
  <c r="S626" i="1"/>
  <c r="AU626" i="2"/>
  <c r="R626" i="1"/>
  <c r="AT626" i="2"/>
  <c r="Q626" i="1"/>
  <c r="AS626" i="2"/>
  <c r="P626" i="1"/>
  <c r="AR626" i="2"/>
  <c r="O626" i="1"/>
  <c r="AQ626" i="2"/>
  <c r="AP626" i="2"/>
  <c r="AO626" i="2"/>
  <c r="AN626" i="2"/>
  <c r="K626" i="1"/>
  <c r="AM626" i="2"/>
  <c r="J626" i="1"/>
  <c r="AL626" i="2"/>
  <c r="I626" i="1"/>
  <c r="AK626" i="2"/>
  <c r="AJ626" i="2"/>
  <c r="AI626" i="2"/>
  <c r="AH626" i="2"/>
  <c r="E626" i="1"/>
  <c r="AG626" i="2"/>
  <c r="D626" i="1"/>
  <c r="AF626" i="2"/>
  <c r="C626" i="1"/>
  <c r="AE626" i="2"/>
  <c r="AD626" i="2"/>
  <c r="AA626" i="2"/>
  <c r="Z626" i="2"/>
  <c r="S625" i="1"/>
  <c r="AU625" i="2"/>
  <c r="R625" i="1"/>
  <c r="AT625" i="2"/>
  <c r="Q625" i="1"/>
  <c r="AS625" i="2"/>
  <c r="P625" i="1"/>
  <c r="AR625" i="2"/>
  <c r="O625" i="1"/>
  <c r="AQ625" i="2"/>
  <c r="AP625" i="2"/>
  <c r="AO625" i="2"/>
  <c r="AN625" i="2"/>
  <c r="K625" i="1"/>
  <c r="AM625" i="2"/>
  <c r="J625" i="1"/>
  <c r="AL625" i="2"/>
  <c r="I625" i="1"/>
  <c r="AK625" i="2"/>
  <c r="AJ625" i="2"/>
  <c r="AI625" i="2"/>
  <c r="AH625" i="2"/>
  <c r="E625" i="1"/>
  <c r="AG625" i="2"/>
  <c r="D625" i="1"/>
  <c r="AF625" i="2"/>
  <c r="C625" i="1"/>
  <c r="AE625" i="2"/>
  <c r="AD625" i="2"/>
  <c r="AA625" i="2"/>
  <c r="Z625" i="2"/>
  <c r="S624" i="1"/>
  <c r="AU624" i="2"/>
  <c r="R624" i="1"/>
  <c r="AT624" i="2"/>
  <c r="Q624" i="1"/>
  <c r="AS624" i="2"/>
  <c r="P624" i="1"/>
  <c r="AR624" i="2"/>
  <c r="O624" i="1"/>
  <c r="AQ624" i="2"/>
  <c r="AP624" i="2"/>
  <c r="AO624" i="2"/>
  <c r="AN624" i="2"/>
  <c r="K624" i="1"/>
  <c r="AM624" i="2"/>
  <c r="J624" i="1"/>
  <c r="AL624" i="2"/>
  <c r="I624" i="1"/>
  <c r="AK624" i="2"/>
  <c r="AJ624" i="2"/>
  <c r="AI624" i="2"/>
  <c r="AH624" i="2"/>
  <c r="E624" i="1"/>
  <c r="AG624" i="2"/>
  <c r="D624" i="1"/>
  <c r="AF624" i="2"/>
  <c r="C624" i="1"/>
  <c r="AE624" i="2"/>
  <c r="AD624" i="2"/>
  <c r="AA624" i="2"/>
  <c r="Z624" i="2"/>
  <c r="S623" i="1"/>
  <c r="AU623" i="2"/>
  <c r="R623" i="1"/>
  <c r="AT623" i="2"/>
  <c r="Q623" i="1"/>
  <c r="AS623" i="2"/>
  <c r="P623" i="1"/>
  <c r="AR623" i="2"/>
  <c r="O623" i="1"/>
  <c r="AQ623" i="2"/>
  <c r="AP623" i="2"/>
  <c r="AO623" i="2"/>
  <c r="AN623" i="2"/>
  <c r="K623" i="1"/>
  <c r="AM623" i="2"/>
  <c r="J623" i="1"/>
  <c r="AL623" i="2"/>
  <c r="I623" i="1"/>
  <c r="AK623" i="2"/>
  <c r="AJ623" i="2"/>
  <c r="AI623" i="2"/>
  <c r="AH623" i="2"/>
  <c r="E623" i="1"/>
  <c r="AG623" i="2"/>
  <c r="D623" i="1"/>
  <c r="AF623" i="2"/>
  <c r="C623" i="1"/>
  <c r="AE623" i="2"/>
  <c r="AD623" i="2"/>
  <c r="AA623" i="2"/>
  <c r="Z623" i="2"/>
  <c r="S622" i="1"/>
  <c r="AU622" i="2"/>
  <c r="R622" i="1"/>
  <c r="AT622" i="2"/>
  <c r="Q622" i="1"/>
  <c r="AS622" i="2"/>
  <c r="P622" i="1"/>
  <c r="AR622" i="2"/>
  <c r="O622" i="1"/>
  <c r="AQ622" i="2"/>
  <c r="AP622" i="2"/>
  <c r="AO622" i="2"/>
  <c r="AN622" i="2"/>
  <c r="K622" i="1"/>
  <c r="AM622" i="2"/>
  <c r="J622" i="1"/>
  <c r="AL622" i="2"/>
  <c r="I622" i="1"/>
  <c r="AK622" i="2"/>
  <c r="AJ622" i="2"/>
  <c r="AI622" i="2"/>
  <c r="AH622" i="2"/>
  <c r="E622" i="1"/>
  <c r="AG622" i="2"/>
  <c r="D622" i="1"/>
  <c r="AF622" i="2"/>
  <c r="C622" i="1"/>
  <c r="AE622" i="2"/>
  <c r="AD622" i="2"/>
  <c r="AA622" i="2"/>
  <c r="Z622" i="2"/>
  <c r="S621" i="1"/>
  <c r="AU621" i="2"/>
  <c r="R621" i="1"/>
  <c r="AT621" i="2"/>
  <c r="Q621" i="1"/>
  <c r="AS621" i="2"/>
  <c r="P621" i="1"/>
  <c r="AR621" i="2"/>
  <c r="O621" i="1"/>
  <c r="AQ621" i="2"/>
  <c r="AP621" i="2"/>
  <c r="AO621" i="2"/>
  <c r="AN621" i="2"/>
  <c r="K621" i="1"/>
  <c r="AM621" i="2"/>
  <c r="J621" i="1"/>
  <c r="AL621" i="2"/>
  <c r="I621" i="1"/>
  <c r="AK621" i="2"/>
  <c r="AJ621" i="2"/>
  <c r="AI621" i="2"/>
  <c r="AH621" i="2"/>
  <c r="E621" i="1"/>
  <c r="AG621" i="2"/>
  <c r="D621" i="1"/>
  <c r="AF621" i="2"/>
  <c r="C621" i="1"/>
  <c r="AE621" i="2"/>
  <c r="AD621" i="2"/>
  <c r="AA621" i="2"/>
  <c r="Z621" i="2"/>
  <c r="S620" i="1"/>
  <c r="AU620" i="2"/>
  <c r="R620" i="1"/>
  <c r="AT620" i="2"/>
  <c r="Q620" i="1"/>
  <c r="AS620" i="2"/>
  <c r="P620" i="1"/>
  <c r="AR620" i="2"/>
  <c r="O620" i="1"/>
  <c r="AQ620" i="2"/>
  <c r="AP620" i="2"/>
  <c r="AO620" i="2"/>
  <c r="AN620" i="2"/>
  <c r="K620" i="1"/>
  <c r="AM620" i="2"/>
  <c r="J620" i="1"/>
  <c r="AL620" i="2"/>
  <c r="I620" i="1"/>
  <c r="AK620" i="2"/>
  <c r="AJ620" i="2"/>
  <c r="AI620" i="2"/>
  <c r="AH620" i="2"/>
  <c r="E620" i="1"/>
  <c r="AG620" i="2"/>
  <c r="D620" i="1"/>
  <c r="AF620" i="2"/>
  <c r="C620" i="1"/>
  <c r="AE620" i="2"/>
  <c r="AD620" i="2"/>
  <c r="AA620" i="2"/>
  <c r="Z620" i="2"/>
  <c r="S619" i="1"/>
  <c r="AU619" i="2"/>
  <c r="R619" i="1"/>
  <c r="AT619" i="2"/>
  <c r="Q619" i="1"/>
  <c r="AS619" i="2"/>
  <c r="P619" i="1"/>
  <c r="AR619" i="2"/>
  <c r="O619" i="1"/>
  <c r="AQ619" i="2"/>
  <c r="AP619" i="2"/>
  <c r="AO619" i="2"/>
  <c r="AN619" i="2"/>
  <c r="K619" i="1"/>
  <c r="AM619" i="2"/>
  <c r="J619" i="1"/>
  <c r="AL619" i="2"/>
  <c r="I619" i="1"/>
  <c r="AK619" i="2"/>
  <c r="AJ619" i="2"/>
  <c r="AI619" i="2"/>
  <c r="AH619" i="2"/>
  <c r="E619" i="1"/>
  <c r="AG619" i="2"/>
  <c r="D619" i="1"/>
  <c r="AF619" i="2"/>
  <c r="C619" i="1"/>
  <c r="AE619" i="2"/>
  <c r="AD619" i="2"/>
  <c r="AA619" i="2"/>
  <c r="Z619" i="2"/>
  <c r="S618" i="1"/>
  <c r="AU618" i="2"/>
  <c r="R618" i="1"/>
  <c r="AT618" i="2"/>
  <c r="Q618" i="1"/>
  <c r="AS618" i="2"/>
  <c r="P618" i="1"/>
  <c r="AR618" i="2"/>
  <c r="O618" i="1"/>
  <c r="AQ618" i="2"/>
  <c r="AP618" i="2"/>
  <c r="AO618" i="2"/>
  <c r="AN618" i="2"/>
  <c r="K618" i="1"/>
  <c r="AM618" i="2"/>
  <c r="J618" i="1"/>
  <c r="AL618" i="2"/>
  <c r="I618" i="1"/>
  <c r="AK618" i="2"/>
  <c r="AJ618" i="2"/>
  <c r="AI618" i="2"/>
  <c r="AH618" i="2"/>
  <c r="E618" i="1"/>
  <c r="AG618" i="2"/>
  <c r="D618" i="1"/>
  <c r="AF618" i="2"/>
  <c r="C618" i="1"/>
  <c r="AE618" i="2"/>
  <c r="AD618" i="2"/>
  <c r="AA618" i="2"/>
  <c r="Z618" i="2"/>
  <c r="S617" i="1"/>
  <c r="AU617" i="2"/>
  <c r="R617" i="1"/>
  <c r="AT617" i="2"/>
  <c r="Q617" i="1"/>
  <c r="AS617" i="2"/>
  <c r="P617" i="1"/>
  <c r="AR617" i="2"/>
  <c r="O617" i="1"/>
  <c r="AQ617" i="2"/>
  <c r="AP617" i="2"/>
  <c r="AO617" i="2"/>
  <c r="AN617" i="2"/>
  <c r="K617" i="1"/>
  <c r="AM617" i="2"/>
  <c r="J617" i="1"/>
  <c r="AL617" i="2"/>
  <c r="I617" i="1"/>
  <c r="AK617" i="2"/>
  <c r="AJ617" i="2"/>
  <c r="AI617" i="2"/>
  <c r="AH617" i="2"/>
  <c r="E617" i="1"/>
  <c r="AG617" i="2"/>
  <c r="D617" i="1"/>
  <c r="AF617" i="2"/>
  <c r="C617" i="1"/>
  <c r="AE617" i="2"/>
  <c r="AD617" i="2"/>
  <c r="AA617" i="2"/>
  <c r="Z617" i="2"/>
  <c r="S616" i="1"/>
  <c r="AU616" i="2"/>
  <c r="R616" i="1"/>
  <c r="AT616" i="2"/>
  <c r="Q616" i="1"/>
  <c r="AS616" i="2"/>
  <c r="P616" i="1"/>
  <c r="AR616" i="2"/>
  <c r="O616" i="1"/>
  <c r="AQ616" i="2"/>
  <c r="AP616" i="2"/>
  <c r="AO616" i="2"/>
  <c r="AN616" i="2"/>
  <c r="K616" i="1"/>
  <c r="AM616" i="2"/>
  <c r="J616" i="1"/>
  <c r="AL616" i="2"/>
  <c r="I616" i="1"/>
  <c r="AK616" i="2"/>
  <c r="AJ616" i="2"/>
  <c r="AI616" i="2"/>
  <c r="AH616" i="2"/>
  <c r="E616" i="1"/>
  <c r="AG616" i="2"/>
  <c r="D616" i="1"/>
  <c r="AF616" i="2"/>
  <c r="C616" i="1"/>
  <c r="AE616" i="2"/>
  <c r="AD616" i="2"/>
  <c r="AA616" i="2"/>
  <c r="Z616" i="2"/>
  <c r="S615" i="1"/>
  <c r="AU615" i="2"/>
  <c r="R615" i="1"/>
  <c r="AT615" i="2"/>
  <c r="Q615" i="1"/>
  <c r="AS615" i="2"/>
  <c r="P615" i="1"/>
  <c r="AR615" i="2"/>
  <c r="O615" i="1"/>
  <c r="AQ615" i="2"/>
  <c r="AP615" i="2"/>
  <c r="AO615" i="2"/>
  <c r="AN615" i="2"/>
  <c r="K615" i="1"/>
  <c r="AM615" i="2"/>
  <c r="J615" i="1"/>
  <c r="AL615" i="2"/>
  <c r="I615" i="1"/>
  <c r="AK615" i="2"/>
  <c r="AJ615" i="2"/>
  <c r="AI615" i="2"/>
  <c r="AH615" i="2"/>
  <c r="E615" i="1"/>
  <c r="AG615" i="2"/>
  <c r="D615" i="1"/>
  <c r="AF615" i="2"/>
  <c r="C615" i="1"/>
  <c r="AE615" i="2"/>
  <c r="AD615" i="2"/>
  <c r="AA615" i="2"/>
  <c r="Z615" i="2"/>
  <c r="S614" i="1"/>
  <c r="AU614" i="2"/>
  <c r="R614" i="1"/>
  <c r="AT614" i="2"/>
  <c r="Q614" i="1"/>
  <c r="AS614" i="2"/>
  <c r="P614" i="1"/>
  <c r="AR614" i="2"/>
  <c r="O614" i="1"/>
  <c r="AQ614" i="2"/>
  <c r="AP614" i="2"/>
  <c r="AO614" i="2"/>
  <c r="AN614" i="2"/>
  <c r="K614" i="1"/>
  <c r="AM614" i="2"/>
  <c r="J614" i="1"/>
  <c r="AL614" i="2"/>
  <c r="I614" i="1"/>
  <c r="AK614" i="2"/>
  <c r="AJ614" i="2"/>
  <c r="AI614" i="2"/>
  <c r="AH614" i="2"/>
  <c r="E614" i="1"/>
  <c r="AG614" i="2"/>
  <c r="D614" i="1"/>
  <c r="AF614" i="2"/>
  <c r="C614" i="1"/>
  <c r="AE614" i="2"/>
  <c r="AD614" i="2"/>
  <c r="AA614" i="2"/>
  <c r="Z614" i="2"/>
  <c r="S613" i="1"/>
  <c r="AU613" i="2"/>
  <c r="R613" i="1"/>
  <c r="AT613" i="2"/>
  <c r="Q613" i="1"/>
  <c r="AS613" i="2"/>
  <c r="P613" i="1"/>
  <c r="AR613" i="2"/>
  <c r="O613" i="1"/>
  <c r="AQ613" i="2"/>
  <c r="AP613" i="2"/>
  <c r="AO613" i="2"/>
  <c r="AN613" i="2"/>
  <c r="K613" i="1"/>
  <c r="AM613" i="2"/>
  <c r="J613" i="1"/>
  <c r="AL613" i="2"/>
  <c r="I613" i="1"/>
  <c r="AK613" i="2"/>
  <c r="AJ613" i="2"/>
  <c r="AI613" i="2"/>
  <c r="AH613" i="2"/>
  <c r="E613" i="1"/>
  <c r="AG613" i="2"/>
  <c r="D613" i="1"/>
  <c r="AF613" i="2"/>
  <c r="C613" i="1"/>
  <c r="AE613" i="2"/>
  <c r="AD613" i="2"/>
  <c r="AA613" i="2"/>
  <c r="Z613" i="2"/>
  <c r="S612" i="1"/>
  <c r="AU612" i="2"/>
  <c r="R612" i="1"/>
  <c r="AT612" i="2"/>
  <c r="Q612" i="1"/>
  <c r="AS612" i="2"/>
  <c r="P612" i="1"/>
  <c r="AR612" i="2"/>
  <c r="O612" i="1"/>
  <c r="AQ612" i="2"/>
  <c r="AP612" i="2"/>
  <c r="AO612" i="2"/>
  <c r="AN612" i="2"/>
  <c r="K612" i="1"/>
  <c r="AM612" i="2"/>
  <c r="J612" i="1"/>
  <c r="AL612" i="2"/>
  <c r="I612" i="1"/>
  <c r="AK612" i="2"/>
  <c r="AJ612" i="2"/>
  <c r="AI612" i="2"/>
  <c r="AH612" i="2"/>
  <c r="E612" i="1"/>
  <c r="AG612" i="2"/>
  <c r="D612" i="1"/>
  <c r="AF612" i="2"/>
  <c r="C612" i="1"/>
  <c r="AE612" i="2"/>
  <c r="AD612" i="2"/>
  <c r="AA612" i="2"/>
  <c r="Z612" i="2"/>
  <c r="S611" i="1"/>
  <c r="AU611" i="2"/>
  <c r="R611" i="1"/>
  <c r="AT611" i="2"/>
  <c r="Q611" i="1"/>
  <c r="AS611" i="2"/>
  <c r="P611" i="1"/>
  <c r="AR611" i="2"/>
  <c r="O611" i="1"/>
  <c r="AQ611" i="2"/>
  <c r="AP611" i="2"/>
  <c r="AO611" i="2"/>
  <c r="AN611" i="2"/>
  <c r="K611" i="1"/>
  <c r="AM611" i="2"/>
  <c r="J611" i="1"/>
  <c r="AL611" i="2"/>
  <c r="I611" i="1"/>
  <c r="AK611" i="2"/>
  <c r="AJ611" i="2"/>
  <c r="AI611" i="2"/>
  <c r="AH611" i="2"/>
  <c r="E611" i="1"/>
  <c r="AG611" i="2"/>
  <c r="D611" i="1"/>
  <c r="AF611" i="2"/>
  <c r="C611" i="1"/>
  <c r="AE611" i="2"/>
  <c r="AD611" i="2"/>
  <c r="AA611" i="2"/>
  <c r="Z611" i="2"/>
  <c r="S610" i="1"/>
  <c r="AU610" i="2"/>
  <c r="R610" i="1"/>
  <c r="AT610" i="2"/>
  <c r="Q610" i="1"/>
  <c r="AS610" i="2"/>
  <c r="P610" i="1"/>
  <c r="AR610" i="2"/>
  <c r="O610" i="1"/>
  <c r="AQ610" i="2"/>
  <c r="AP610" i="2"/>
  <c r="AO610" i="2"/>
  <c r="AN610" i="2"/>
  <c r="K610" i="1"/>
  <c r="AM610" i="2"/>
  <c r="J610" i="1"/>
  <c r="AL610" i="2"/>
  <c r="I610" i="1"/>
  <c r="AK610" i="2"/>
  <c r="AJ610" i="2"/>
  <c r="AI610" i="2"/>
  <c r="AH610" i="2"/>
  <c r="E610" i="1"/>
  <c r="AG610" i="2"/>
  <c r="D610" i="1"/>
  <c r="AF610" i="2"/>
  <c r="C610" i="1"/>
  <c r="AE610" i="2"/>
  <c r="AD610" i="2"/>
  <c r="AA610" i="2"/>
  <c r="Z610" i="2"/>
  <c r="S609" i="1"/>
  <c r="AU609" i="2"/>
  <c r="R609" i="1"/>
  <c r="AT609" i="2"/>
  <c r="Q609" i="1"/>
  <c r="AS609" i="2"/>
  <c r="P609" i="1"/>
  <c r="AR609" i="2"/>
  <c r="O609" i="1"/>
  <c r="AQ609" i="2"/>
  <c r="AP609" i="2"/>
  <c r="AO609" i="2"/>
  <c r="AN609" i="2"/>
  <c r="K609" i="1"/>
  <c r="AM609" i="2"/>
  <c r="J609" i="1"/>
  <c r="AL609" i="2"/>
  <c r="I609" i="1"/>
  <c r="AK609" i="2"/>
  <c r="AJ609" i="2"/>
  <c r="AI609" i="2"/>
  <c r="AH609" i="2"/>
  <c r="E609" i="1"/>
  <c r="AG609" i="2"/>
  <c r="D609" i="1"/>
  <c r="AF609" i="2"/>
  <c r="C609" i="1"/>
  <c r="AE609" i="2"/>
  <c r="AD609" i="2"/>
  <c r="AA609" i="2"/>
  <c r="Z609" i="2"/>
  <c r="S608" i="1"/>
  <c r="AU608" i="2"/>
  <c r="R608" i="1"/>
  <c r="AT608" i="2"/>
  <c r="Q608" i="1"/>
  <c r="AS608" i="2"/>
  <c r="P608" i="1"/>
  <c r="AR608" i="2"/>
  <c r="O608" i="1"/>
  <c r="AQ608" i="2"/>
  <c r="AP608" i="2"/>
  <c r="AO608" i="2"/>
  <c r="AN608" i="2"/>
  <c r="K608" i="1"/>
  <c r="AM608" i="2"/>
  <c r="J608" i="1"/>
  <c r="AL608" i="2"/>
  <c r="I608" i="1"/>
  <c r="AK608" i="2"/>
  <c r="AJ608" i="2"/>
  <c r="AI608" i="2"/>
  <c r="AH608" i="2"/>
  <c r="E608" i="1"/>
  <c r="AG608" i="2"/>
  <c r="D608" i="1"/>
  <c r="AF608" i="2"/>
  <c r="C608" i="1"/>
  <c r="AE608" i="2"/>
  <c r="AD608" i="2"/>
  <c r="AA608" i="2"/>
  <c r="Z608" i="2"/>
  <c r="S607" i="1"/>
  <c r="AU607" i="2"/>
  <c r="R607" i="1"/>
  <c r="AT607" i="2"/>
  <c r="Q607" i="1"/>
  <c r="AS607" i="2"/>
  <c r="P607" i="1"/>
  <c r="AR607" i="2"/>
  <c r="O607" i="1"/>
  <c r="AQ607" i="2"/>
  <c r="AP607" i="2"/>
  <c r="AO607" i="2"/>
  <c r="AN607" i="2"/>
  <c r="K607" i="1"/>
  <c r="AM607" i="2"/>
  <c r="J607" i="1"/>
  <c r="AL607" i="2"/>
  <c r="I607" i="1"/>
  <c r="AK607" i="2"/>
  <c r="AJ607" i="2"/>
  <c r="AI607" i="2"/>
  <c r="AH607" i="2"/>
  <c r="E607" i="1"/>
  <c r="AG607" i="2"/>
  <c r="D607" i="1"/>
  <c r="AF607" i="2"/>
  <c r="C607" i="1"/>
  <c r="AE607" i="2"/>
  <c r="AD607" i="2"/>
  <c r="AA607" i="2"/>
  <c r="Z607" i="2"/>
  <c r="S606" i="1"/>
  <c r="AU606" i="2"/>
  <c r="R606" i="1"/>
  <c r="AT606" i="2"/>
  <c r="Q606" i="1"/>
  <c r="AS606" i="2"/>
  <c r="P606" i="1"/>
  <c r="AR606" i="2"/>
  <c r="O606" i="1"/>
  <c r="AQ606" i="2"/>
  <c r="AP606" i="2"/>
  <c r="AO606" i="2"/>
  <c r="AN606" i="2"/>
  <c r="K606" i="1"/>
  <c r="AM606" i="2"/>
  <c r="J606" i="1"/>
  <c r="AL606" i="2"/>
  <c r="I606" i="1"/>
  <c r="AK606" i="2"/>
  <c r="AJ606" i="2"/>
  <c r="AI606" i="2"/>
  <c r="AH606" i="2"/>
  <c r="E606" i="1"/>
  <c r="AG606" i="2"/>
  <c r="D606" i="1"/>
  <c r="AF606" i="2"/>
  <c r="C606" i="1"/>
  <c r="AE606" i="2"/>
  <c r="AD606" i="2"/>
  <c r="AA606" i="2"/>
  <c r="Z606" i="2"/>
  <c r="S605" i="1"/>
  <c r="AU605" i="2"/>
  <c r="R605" i="1"/>
  <c r="AT605" i="2"/>
  <c r="Q605" i="1"/>
  <c r="AS605" i="2"/>
  <c r="P605" i="1"/>
  <c r="AR605" i="2"/>
  <c r="O605" i="1"/>
  <c r="AQ605" i="2"/>
  <c r="AP605" i="2"/>
  <c r="AO605" i="2"/>
  <c r="AN605" i="2"/>
  <c r="K605" i="1"/>
  <c r="AM605" i="2"/>
  <c r="J605" i="1"/>
  <c r="AL605" i="2"/>
  <c r="I605" i="1"/>
  <c r="AK605" i="2"/>
  <c r="AJ605" i="2"/>
  <c r="AI605" i="2"/>
  <c r="AH605" i="2"/>
  <c r="E605" i="1"/>
  <c r="AG605" i="2"/>
  <c r="D605" i="1"/>
  <c r="AF605" i="2"/>
  <c r="C605" i="1"/>
  <c r="AE605" i="2"/>
  <c r="AD605" i="2"/>
  <c r="AA605" i="2"/>
  <c r="Z605" i="2"/>
  <c r="S604" i="1"/>
  <c r="AU604" i="2"/>
  <c r="R604" i="1"/>
  <c r="AT604" i="2"/>
  <c r="Q604" i="1"/>
  <c r="AS604" i="2"/>
  <c r="P604" i="1"/>
  <c r="AR604" i="2"/>
  <c r="O604" i="1"/>
  <c r="AQ604" i="2"/>
  <c r="AP604" i="2"/>
  <c r="AO604" i="2"/>
  <c r="AN604" i="2"/>
  <c r="K604" i="1"/>
  <c r="AM604" i="2"/>
  <c r="J604" i="1"/>
  <c r="AL604" i="2"/>
  <c r="I604" i="1"/>
  <c r="AK604" i="2"/>
  <c r="AJ604" i="2"/>
  <c r="AI604" i="2"/>
  <c r="AH604" i="2"/>
  <c r="E604" i="1"/>
  <c r="AG604" i="2"/>
  <c r="D604" i="1"/>
  <c r="AF604" i="2"/>
  <c r="C604" i="1"/>
  <c r="AE604" i="2"/>
  <c r="AD604" i="2"/>
  <c r="AA604" i="2"/>
  <c r="Z604" i="2"/>
  <c r="S603" i="1"/>
  <c r="AU603" i="2"/>
  <c r="R603" i="1"/>
  <c r="AT603" i="2"/>
  <c r="Q603" i="1"/>
  <c r="AS603" i="2"/>
  <c r="P603" i="1"/>
  <c r="AR603" i="2"/>
  <c r="O603" i="1"/>
  <c r="AQ603" i="2"/>
  <c r="AP603" i="2"/>
  <c r="AO603" i="2"/>
  <c r="AN603" i="2"/>
  <c r="K603" i="1"/>
  <c r="AM603" i="2"/>
  <c r="J603" i="1"/>
  <c r="AL603" i="2"/>
  <c r="I603" i="1"/>
  <c r="AK603" i="2"/>
  <c r="AJ603" i="2"/>
  <c r="AI603" i="2"/>
  <c r="AH603" i="2"/>
  <c r="E603" i="1"/>
  <c r="AG603" i="2"/>
  <c r="D603" i="1"/>
  <c r="AF603" i="2"/>
  <c r="C603" i="1"/>
  <c r="AE603" i="2"/>
  <c r="AD603" i="2"/>
  <c r="AA603" i="2"/>
  <c r="Z603" i="2"/>
  <c r="S602" i="1"/>
  <c r="AU602" i="2"/>
  <c r="R602" i="1"/>
  <c r="AT602" i="2"/>
  <c r="Q602" i="1"/>
  <c r="AS602" i="2"/>
  <c r="P602" i="1"/>
  <c r="AR602" i="2"/>
  <c r="O602" i="1"/>
  <c r="AQ602" i="2"/>
  <c r="AP602" i="2"/>
  <c r="AO602" i="2"/>
  <c r="AN602" i="2"/>
  <c r="K602" i="1"/>
  <c r="AM602" i="2"/>
  <c r="J602" i="1"/>
  <c r="AL602" i="2"/>
  <c r="I602" i="1"/>
  <c r="AK602" i="2"/>
  <c r="AJ602" i="2"/>
  <c r="AI602" i="2"/>
  <c r="AH602" i="2"/>
  <c r="E602" i="1"/>
  <c r="AG602" i="2"/>
  <c r="D602" i="1"/>
  <c r="AF602" i="2"/>
  <c r="C602" i="1"/>
  <c r="AE602" i="2"/>
  <c r="AD602" i="2"/>
  <c r="AA602" i="2"/>
  <c r="Z602" i="2"/>
  <c r="S601" i="1"/>
  <c r="AU601" i="2"/>
  <c r="R601" i="1"/>
  <c r="AT601" i="2"/>
  <c r="Q601" i="1"/>
  <c r="AS601" i="2"/>
  <c r="P601" i="1"/>
  <c r="AR601" i="2"/>
  <c r="O601" i="1"/>
  <c r="AQ601" i="2"/>
  <c r="AP601" i="2"/>
  <c r="AO601" i="2"/>
  <c r="AN601" i="2"/>
  <c r="K601" i="1"/>
  <c r="AM601" i="2"/>
  <c r="J601" i="1"/>
  <c r="AL601" i="2"/>
  <c r="I601" i="1"/>
  <c r="AK601" i="2"/>
  <c r="AJ601" i="2"/>
  <c r="AI601" i="2"/>
  <c r="AH601" i="2"/>
  <c r="E601" i="1"/>
  <c r="AG601" i="2"/>
  <c r="D601" i="1"/>
  <c r="AF601" i="2"/>
  <c r="C601" i="1"/>
  <c r="AE601" i="2"/>
  <c r="AD601" i="2"/>
  <c r="AA601" i="2"/>
  <c r="Z601" i="2"/>
  <c r="S600" i="1"/>
  <c r="AU600" i="2"/>
  <c r="R600" i="1"/>
  <c r="AT600" i="2"/>
  <c r="Q600" i="1"/>
  <c r="AS600" i="2"/>
  <c r="P600" i="1"/>
  <c r="AR600" i="2"/>
  <c r="O600" i="1"/>
  <c r="AQ600" i="2"/>
  <c r="AP600" i="2"/>
  <c r="AO600" i="2"/>
  <c r="AN600" i="2"/>
  <c r="K600" i="1"/>
  <c r="AM600" i="2"/>
  <c r="J600" i="1"/>
  <c r="AL600" i="2"/>
  <c r="I600" i="1"/>
  <c r="AK600" i="2"/>
  <c r="AJ600" i="2"/>
  <c r="AI600" i="2"/>
  <c r="AH600" i="2"/>
  <c r="E600" i="1"/>
  <c r="AG600" i="2"/>
  <c r="D600" i="1"/>
  <c r="AF600" i="2"/>
  <c r="C600" i="1"/>
  <c r="AE600" i="2"/>
  <c r="AD600" i="2"/>
  <c r="AA600" i="2"/>
  <c r="Z600" i="2"/>
  <c r="S599" i="1"/>
  <c r="AU599" i="2"/>
  <c r="R599" i="1"/>
  <c r="AT599" i="2"/>
  <c r="Q599" i="1"/>
  <c r="AS599" i="2"/>
  <c r="P599" i="1"/>
  <c r="AR599" i="2"/>
  <c r="O599" i="1"/>
  <c r="AQ599" i="2"/>
  <c r="AP599" i="2"/>
  <c r="AO599" i="2"/>
  <c r="AN599" i="2"/>
  <c r="K599" i="1"/>
  <c r="AM599" i="2"/>
  <c r="J599" i="1"/>
  <c r="AL599" i="2"/>
  <c r="I599" i="1"/>
  <c r="AK599" i="2"/>
  <c r="AJ599" i="2"/>
  <c r="AI599" i="2"/>
  <c r="AH599" i="2"/>
  <c r="E599" i="1"/>
  <c r="AG599" i="2"/>
  <c r="D599" i="1"/>
  <c r="AF599" i="2"/>
  <c r="C599" i="1"/>
  <c r="AE599" i="2"/>
  <c r="AD599" i="2"/>
  <c r="AA599" i="2"/>
  <c r="Z599" i="2"/>
  <c r="S598" i="1"/>
  <c r="AU598" i="2"/>
  <c r="R598" i="1"/>
  <c r="AT598" i="2"/>
  <c r="Q598" i="1"/>
  <c r="AS598" i="2"/>
  <c r="P598" i="1"/>
  <c r="AR598" i="2"/>
  <c r="O598" i="1"/>
  <c r="AQ598" i="2"/>
  <c r="AP598" i="2"/>
  <c r="AO598" i="2"/>
  <c r="AN598" i="2"/>
  <c r="K598" i="1"/>
  <c r="AM598" i="2"/>
  <c r="J598" i="1"/>
  <c r="AL598" i="2"/>
  <c r="I598" i="1"/>
  <c r="AK598" i="2"/>
  <c r="AJ598" i="2"/>
  <c r="AI598" i="2"/>
  <c r="AH598" i="2"/>
  <c r="E598" i="1"/>
  <c r="AG598" i="2"/>
  <c r="D598" i="1"/>
  <c r="AF598" i="2"/>
  <c r="C598" i="1"/>
  <c r="AE598" i="2"/>
  <c r="AD598" i="2"/>
  <c r="AA598" i="2"/>
  <c r="Z598" i="2"/>
  <c r="S597" i="1"/>
  <c r="AU597" i="2"/>
  <c r="R597" i="1"/>
  <c r="AT597" i="2"/>
  <c r="Q597" i="1"/>
  <c r="AS597" i="2"/>
  <c r="P597" i="1"/>
  <c r="AR597" i="2"/>
  <c r="O597" i="1"/>
  <c r="AQ597" i="2"/>
  <c r="AP597" i="2"/>
  <c r="AO597" i="2"/>
  <c r="AN597" i="2"/>
  <c r="K597" i="1"/>
  <c r="AM597" i="2"/>
  <c r="J597" i="1"/>
  <c r="AL597" i="2"/>
  <c r="I597" i="1"/>
  <c r="AK597" i="2"/>
  <c r="AJ597" i="2"/>
  <c r="AI597" i="2"/>
  <c r="AH597" i="2"/>
  <c r="E597" i="1"/>
  <c r="AG597" i="2"/>
  <c r="D597" i="1"/>
  <c r="AF597" i="2"/>
  <c r="C597" i="1"/>
  <c r="AE597" i="2"/>
  <c r="AD597" i="2"/>
  <c r="AA597" i="2"/>
  <c r="Z597" i="2"/>
  <c r="S596" i="1"/>
  <c r="AU596" i="2"/>
  <c r="R596" i="1"/>
  <c r="AT596" i="2"/>
  <c r="Q596" i="1"/>
  <c r="AS596" i="2"/>
  <c r="P596" i="1"/>
  <c r="AR596" i="2"/>
  <c r="O596" i="1"/>
  <c r="AQ596" i="2"/>
  <c r="AP596" i="2"/>
  <c r="AO596" i="2"/>
  <c r="AN596" i="2"/>
  <c r="K596" i="1"/>
  <c r="AM596" i="2"/>
  <c r="J596" i="1"/>
  <c r="AL596" i="2"/>
  <c r="I596" i="1"/>
  <c r="AK596" i="2"/>
  <c r="AJ596" i="2"/>
  <c r="AI596" i="2"/>
  <c r="AH596" i="2"/>
  <c r="E596" i="1"/>
  <c r="AG596" i="2"/>
  <c r="D596" i="1"/>
  <c r="AF596" i="2"/>
  <c r="C596" i="1"/>
  <c r="AE596" i="2"/>
  <c r="AD596" i="2"/>
  <c r="AA596" i="2"/>
  <c r="Z596" i="2"/>
  <c r="S595" i="1"/>
  <c r="AU595" i="2"/>
  <c r="R595" i="1"/>
  <c r="AT595" i="2"/>
  <c r="Q595" i="1"/>
  <c r="AS595" i="2"/>
  <c r="P595" i="1"/>
  <c r="AR595" i="2"/>
  <c r="O595" i="1"/>
  <c r="AQ595" i="2"/>
  <c r="AP595" i="2"/>
  <c r="AO595" i="2"/>
  <c r="AN595" i="2"/>
  <c r="K595" i="1"/>
  <c r="AM595" i="2"/>
  <c r="J595" i="1"/>
  <c r="AL595" i="2"/>
  <c r="I595" i="1"/>
  <c r="AK595" i="2"/>
  <c r="AJ595" i="2"/>
  <c r="AI595" i="2"/>
  <c r="AH595" i="2"/>
  <c r="E595" i="1"/>
  <c r="AG595" i="2"/>
  <c r="D595" i="1"/>
  <c r="AF595" i="2"/>
  <c r="C595" i="1"/>
  <c r="AE595" i="2"/>
  <c r="AD595" i="2"/>
  <c r="AA595" i="2"/>
  <c r="Z595" i="2"/>
  <c r="S594" i="1"/>
  <c r="AU594" i="2"/>
  <c r="R594" i="1"/>
  <c r="AT594" i="2"/>
  <c r="Q594" i="1"/>
  <c r="AS594" i="2"/>
  <c r="P594" i="1"/>
  <c r="AR594" i="2"/>
  <c r="O594" i="1"/>
  <c r="AQ594" i="2"/>
  <c r="AP594" i="2"/>
  <c r="AO594" i="2"/>
  <c r="AN594" i="2"/>
  <c r="K594" i="1"/>
  <c r="AM594" i="2"/>
  <c r="J594" i="1"/>
  <c r="AL594" i="2"/>
  <c r="I594" i="1"/>
  <c r="AK594" i="2"/>
  <c r="AJ594" i="2"/>
  <c r="AI594" i="2"/>
  <c r="AH594" i="2"/>
  <c r="E594" i="1"/>
  <c r="AG594" i="2"/>
  <c r="D594" i="1"/>
  <c r="AF594" i="2"/>
  <c r="C594" i="1"/>
  <c r="AE594" i="2"/>
  <c r="AD594" i="2"/>
  <c r="AA594" i="2"/>
  <c r="Z594" i="2"/>
  <c r="S593" i="1"/>
  <c r="AU593" i="2"/>
  <c r="R593" i="1"/>
  <c r="AT593" i="2"/>
  <c r="Q593" i="1"/>
  <c r="AS593" i="2"/>
  <c r="P593" i="1"/>
  <c r="AR593" i="2"/>
  <c r="O593" i="1"/>
  <c r="AQ593" i="2"/>
  <c r="AP593" i="2"/>
  <c r="AO593" i="2"/>
  <c r="AN593" i="2"/>
  <c r="K593" i="1"/>
  <c r="AM593" i="2"/>
  <c r="J593" i="1"/>
  <c r="AL593" i="2"/>
  <c r="I593" i="1"/>
  <c r="AK593" i="2"/>
  <c r="AJ593" i="2"/>
  <c r="AI593" i="2"/>
  <c r="AH593" i="2"/>
  <c r="E593" i="1"/>
  <c r="AG593" i="2"/>
  <c r="D593" i="1"/>
  <c r="AF593" i="2"/>
  <c r="C593" i="1"/>
  <c r="AE593" i="2"/>
  <c r="AD593" i="2"/>
  <c r="AA593" i="2"/>
  <c r="Z593" i="2"/>
  <c r="S592" i="1"/>
  <c r="AU592" i="2"/>
  <c r="R592" i="1"/>
  <c r="AT592" i="2"/>
  <c r="Q592" i="1"/>
  <c r="AS592" i="2"/>
  <c r="P592" i="1"/>
  <c r="AR592" i="2"/>
  <c r="O592" i="1"/>
  <c r="AQ592" i="2"/>
  <c r="AP592" i="2"/>
  <c r="AO592" i="2"/>
  <c r="AN592" i="2"/>
  <c r="K592" i="1"/>
  <c r="AM592" i="2"/>
  <c r="J592" i="1"/>
  <c r="AL592" i="2"/>
  <c r="I592" i="1"/>
  <c r="AK592" i="2"/>
  <c r="AJ592" i="2"/>
  <c r="AI592" i="2"/>
  <c r="AH592" i="2"/>
  <c r="E592" i="1"/>
  <c r="AG592" i="2"/>
  <c r="D592" i="1"/>
  <c r="AF592" i="2"/>
  <c r="C592" i="1"/>
  <c r="AE592" i="2"/>
  <c r="AD592" i="2"/>
  <c r="AA592" i="2"/>
  <c r="Z592" i="2"/>
  <c r="S591" i="1"/>
  <c r="AU591" i="2"/>
  <c r="R591" i="1"/>
  <c r="AT591" i="2"/>
  <c r="Q591" i="1"/>
  <c r="AS591" i="2"/>
  <c r="P591" i="1"/>
  <c r="AR591" i="2"/>
  <c r="O591" i="1"/>
  <c r="AQ591" i="2"/>
  <c r="AP591" i="2"/>
  <c r="AO591" i="2"/>
  <c r="AN591" i="2"/>
  <c r="K591" i="1"/>
  <c r="AM591" i="2"/>
  <c r="J591" i="1"/>
  <c r="AL591" i="2"/>
  <c r="I591" i="1"/>
  <c r="AK591" i="2"/>
  <c r="AJ591" i="2"/>
  <c r="AI591" i="2"/>
  <c r="AH591" i="2"/>
  <c r="E591" i="1"/>
  <c r="AG591" i="2"/>
  <c r="D591" i="1"/>
  <c r="AF591" i="2"/>
  <c r="C591" i="1"/>
  <c r="AE591" i="2"/>
  <c r="AD591" i="2"/>
  <c r="AA591" i="2"/>
  <c r="Z591" i="2"/>
  <c r="S590" i="1"/>
  <c r="AU590" i="2"/>
  <c r="R590" i="1"/>
  <c r="AT590" i="2"/>
  <c r="Q590" i="1"/>
  <c r="AS590" i="2"/>
  <c r="P590" i="1"/>
  <c r="AR590" i="2"/>
  <c r="O590" i="1"/>
  <c r="AQ590" i="2"/>
  <c r="AP590" i="2"/>
  <c r="AO590" i="2"/>
  <c r="AN590" i="2"/>
  <c r="K590" i="1"/>
  <c r="AM590" i="2"/>
  <c r="J590" i="1"/>
  <c r="AL590" i="2"/>
  <c r="I590" i="1"/>
  <c r="AK590" i="2"/>
  <c r="AJ590" i="2"/>
  <c r="AI590" i="2"/>
  <c r="AH590" i="2"/>
  <c r="E590" i="1"/>
  <c r="AG590" i="2"/>
  <c r="D590" i="1"/>
  <c r="AF590" i="2"/>
  <c r="C590" i="1"/>
  <c r="AE590" i="2"/>
  <c r="AD590" i="2"/>
  <c r="AA590" i="2"/>
  <c r="Z590" i="2"/>
  <c r="S589" i="1"/>
  <c r="AU589" i="2"/>
  <c r="R589" i="1"/>
  <c r="AT589" i="2"/>
  <c r="Q589" i="1"/>
  <c r="AS589" i="2"/>
  <c r="P589" i="1"/>
  <c r="AR589" i="2"/>
  <c r="O589" i="1"/>
  <c r="AQ589" i="2"/>
  <c r="AP589" i="2"/>
  <c r="AO589" i="2"/>
  <c r="AN589" i="2"/>
  <c r="K589" i="1"/>
  <c r="AM589" i="2"/>
  <c r="J589" i="1"/>
  <c r="AL589" i="2"/>
  <c r="I589" i="1"/>
  <c r="AK589" i="2"/>
  <c r="AJ589" i="2"/>
  <c r="AI589" i="2"/>
  <c r="AH589" i="2"/>
  <c r="E589" i="1"/>
  <c r="AG589" i="2"/>
  <c r="D589" i="1"/>
  <c r="AF589" i="2"/>
  <c r="C589" i="1"/>
  <c r="AE589" i="2"/>
  <c r="AD589" i="2"/>
  <c r="AA589" i="2"/>
  <c r="Z589" i="2"/>
  <c r="S588" i="1"/>
  <c r="AU588" i="2"/>
  <c r="R588" i="1"/>
  <c r="AT588" i="2"/>
  <c r="Q588" i="1"/>
  <c r="AS588" i="2"/>
  <c r="P588" i="1"/>
  <c r="AR588" i="2"/>
  <c r="O588" i="1"/>
  <c r="AQ588" i="2"/>
  <c r="AP588" i="2"/>
  <c r="AO588" i="2"/>
  <c r="AN588" i="2"/>
  <c r="K588" i="1"/>
  <c r="AM588" i="2"/>
  <c r="J588" i="1"/>
  <c r="AL588" i="2"/>
  <c r="I588" i="1"/>
  <c r="AK588" i="2"/>
  <c r="AJ588" i="2"/>
  <c r="AI588" i="2"/>
  <c r="AH588" i="2"/>
  <c r="E588" i="1"/>
  <c r="AG588" i="2"/>
  <c r="D588" i="1"/>
  <c r="AF588" i="2"/>
  <c r="C588" i="1"/>
  <c r="AE588" i="2"/>
  <c r="AD588" i="2"/>
  <c r="AA588" i="2"/>
  <c r="Z588" i="2"/>
  <c r="S587" i="1"/>
  <c r="AU587" i="2"/>
  <c r="R587" i="1"/>
  <c r="AT587" i="2"/>
  <c r="Q587" i="1"/>
  <c r="AS587" i="2"/>
  <c r="P587" i="1"/>
  <c r="AR587" i="2"/>
  <c r="O587" i="1"/>
  <c r="AQ587" i="2"/>
  <c r="AP587" i="2"/>
  <c r="AO587" i="2"/>
  <c r="AN587" i="2"/>
  <c r="K587" i="1"/>
  <c r="AM587" i="2"/>
  <c r="J587" i="1"/>
  <c r="AL587" i="2"/>
  <c r="I587" i="1"/>
  <c r="AK587" i="2"/>
  <c r="AJ587" i="2"/>
  <c r="AI587" i="2"/>
  <c r="AH587" i="2"/>
  <c r="E587" i="1"/>
  <c r="AG587" i="2"/>
  <c r="D587" i="1"/>
  <c r="AF587" i="2"/>
  <c r="C587" i="1"/>
  <c r="AE587" i="2"/>
  <c r="AD587" i="2"/>
  <c r="AA587" i="2"/>
  <c r="Z587" i="2"/>
  <c r="S586" i="1"/>
  <c r="AU586" i="2"/>
  <c r="R586" i="1"/>
  <c r="AT586" i="2"/>
  <c r="Q586" i="1"/>
  <c r="AS586" i="2"/>
  <c r="P586" i="1"/>
  <c r="AR586" i="2"/>
  <c r="O586" i="1"/>
  <c r="AQ586" i="2"/>
  <c r="AP586" i="2"/>
  <c r="AO586" i="2"/>
  <c r="AN586" i="2"/>
  <c r="K586" i="1"/>
  <c r="AM586" i="2"/>
  <c r="J586" i="1"/>
  <c r="AL586" i="2"/>
  <c r="I586" i="1"/>
  <c r="AK586" i="2"/>
  <c r="AJ586" i="2"/>
  <c r="AI586" i="2"/>
  <c r="AH586" i="2"/>
  <c r="E586" i="1"/>
  <c r="AG586" i="2"/>
  <c r="D586" i="1"/>
  <c r="AF586" i="2"/>
  <c r="C586" i="1"/>
  <c r="AE586" i="2"/>
  <c r="AD586" i="2"/>
  <c r="AA586" i="2"/>
  <c r="Z586" i="2"/>
  <c r="S585" i="1"/>
  <c r="AU585" i="2"/>
  <c r="R585" i="1"/>
  <c r="AT585" i="2"/>
  <c r="Q585" i="1"/>
  <c r="AS585" i="2"/>
  <c r="P585" i="1"/>
  <c r="AR585" i="2"/>
  <c r="O585" i="1"/>
  <c r="AQ585" i="2"/>
  <c r="AP585" i="2"/>
  <c r="AO585" i="2"/>
  <c r="AN585" i="2"/>
  <c r="K585" i="1"/>
  <c r="AM585" i="2"/>
  <c r="J585" i="1"/>
  <c r="AL585" i="2"/>
  <c r="I585" i="1"/>
  <c r="AK585" i="2"/>
  <c r="AJ585" i="2"/>
  <c r="AI585" i="2"/>
  <c r="AH585" i="2"/>
  <c r="E585" i="1"/>
  <c r="AG585" i="2"/>
  <c r="D585" i="1"/>
  <c r="AF585" i="2"/>
  <c r="C585" i="1"/>
  <c r="AE585" i="2"/>
  <c r="AD585" i="2"/>
  <c r="AA585" i="2"/>
  <c r="Z585" i="2"/>
  <c r="S584" i="1"/>
  <c r="AU584" i="2"/>
  <c r="R584" i="1"/>
  <c r="AT584" i="2"/>
  <c r="Q584" i="1"/>
  <c r="AS584" i="2"/>
  <c r="P584" i="1"/>
  <c r="AR584" i="2"/>
  <c r="O584" i="1"/>
  <c r="AQ584" i="2"/>
  <c r="AP584" i="2"/>
  <c r="AO584" i="2"/>
  <c r="AN584" i="2"/>
  <c r="K584" i="1"/>
  <c r="AM584" i="2"/>
  <c r="J584" i="1"/>
  <c r="AL584" i="2"/>
  <c r="I584" i="1"/>
  <c r="AK584" i="2"/>
  <c r="AJ584" i="2"/>
  <c r="AI584" i="2"/>
  <c r="AH584" i="2"/>
  <c r="E584" i="1"/>
  <c r="AG584" i="2"/>
  <c r="D584" i="1"/>
  <c r="AF584" i="2"/>
  <c r="C584" i="1"/>
  <c r="AE584" i="2"/>
  <c r="AD584" i="2"/>
  <c r="AA584" i="2"/>
  <c r="Z584" i="2"/>
  <c r="S583" i="1"/>
  <c r="AU583" i="2"/>
  <c r="R583" i="1"/>
  <c r="AT583" i="2"/>
  <c r="Q583" i="1"/>
  <c r="AS583" i="2"/>
  <c r="P583" i="1"/>
  <c r="AR583" i="2"/>
  <c r="O583" i="1"/>
  <c r="AQ583" i="2"/>
  <c r="AP583" i="2"/>
  <c r="AO583" i="2"/>
  <c r="AN583" i="2"/>
  <c r="K583" i="1"/>
  <c r="AM583" i="2"/>
  <c r="J583" i="1"/>
  <c r="AL583" i="2"/>
  <c r="I583" i="1"/>
  <c r="AK583" i="2"/>
  <c r="AJ583" i="2"/>
  <c r="AI583" i="2"/>
  <c r="AH583" i="2"/>
  <c r="E583" i="1"/>
  <c r="AG583" i="2"/>
  <c r="D583" i="1"/>
  <c r="AF583" i="2"/>
  <c r="C583" i="1"/>
  <c r="AE583" i="2"/>
  <c r="AD583" i="2"/>
  <c r="AA583" i="2"/>
  <c r="Z583" i="2"/>
  <c r="S582" i="1"/>
  <c r="AU582" i="2"/>
  <c r="R582" i="1"/>
  <c r="AT582" i="2"/>
  <c r="Q582" i="1"/>
  <c r="AS582" i="2"/>
  <c r="P582" i="1"/>
  <c r="AR582" i="2"/>
  <c r="O582" i="1"/>
  <c r="AQ582" i="2"/>
  <c r="AP582" i="2"/>
  <c r="AO582" i="2"/>
  <c r="AN582" i="2"/>
  <c r="K582" i="1"/>
  <c r="AM582" i="2"/>
  <c r="J582" i="1"/>
  <c r="AL582" i="2"/>
  <c r="I582" i="1"/>
  <c r="AK582" i="2"/>
  <c r="AJ582" i="2"/>
  <c r="AI582" i="2"/>
  <c r="AH582" i="2"/>
  <c r="E582" i="1"/>
  <c r="AG582" i="2"/>
  <c r="D582" i="1"/>
  <c r="AF582" i="2"/>
  <c r="C582" i="1"/>
  <c r="AE582" i="2"/>
  <c r="AD582" i="2"/>
  <c r="AA582" i="2"/>
  <c r="Z582" i="2"/>
  <c r="S581" i="1"/>
  <c r="AU581" i="2"/>
  <c r="R581" i="1"/>
  <c r="AT581" i="2"/>
  <c r="Q581" i="1"/>
  <c r="AS581" i="2"/>
  <c r="P581" i="1"/>
  <c r="AR581" i="2"/>
  <c r="O581" i="1"/>
  <c r="AQ581" i="2"/>
  <c r="AP581" i="2"/>
  <c r="AO581" i="2"/>
  <c r="AN581" i="2"/>
  <c r="K581" i="1"/>
  <c r="AM581" i="2"/>
  <c r="J581" i="1"/>
  <c r="AL581" i="2"/>
  <c r="I581" i="1"/>
  <c r="AK581" i="2"/>
  <c r="AJ581" i="2"/>
  <c r="AI581" i="2"/>
  <c r="AH581" i="2"/>
  <c r="E581" i="1"/>
  <c r="AG581" i="2"/>
  <c r="D581" i="1"/>
  <c r="AF581" i="2"/>
  <c r="C581" i="1"/>
  <c r="AE581" i="2"/>
  <c r="AD581" i="2"/>
  <c r="AA581" i="2"/>
  <c r="Z581" i="2"/>
  <c r="S580" i="1"/>
  <c r="AU580" i="2"/>
  <c r="R580" i="1"/>
  <c r="AT580" i="2"/>
  <c r="Q580" i="1"/>
  <c r="AS580" i="2"/>
  <c r="P580" i="1"/>
  <c r="AR580" i="2"/>
  <c r="O580" i="1"/>
  <c r="AQ580" i="2"/>
  <c r="AP580" i="2"/>
  <c r="AO580" i="2"/>
  <c r="AN580" i="2"/>
  <c r="K580" i="1"/>
  <c r="AM580" i="2"/>
  <c r="J580" i="1"/>
  <c r="AL580" i="2"/>
  <c r="I580" i="1"/>
  <c r="AK580" i="2"/>
  <c r="AJ580" i="2"/>
  <c r="AI580" i="2"/>
  <c r="AH580" i="2"/>
  <c r="E580" i="1"/>
  <c r="AG580" i="2"/>
  <c r="D580" i="1"/>
  <c r="AF580" i="2"/>
  <c r="C580" i="1"/>
  <c r="AE580" i="2"/>
  <c r="AD580" i="2"/>
  <c r="AA580" i="2"/>
  <c r="Z580" i="2"/>
  <c r="S579" i="1"/>
  <c r="AU579" i="2"/>
  <c r="R579" i="1"/>
  <c r="AT579" i="2"/>
  <c r="Q579" i="1"/>
  <c r="AS579" i="2"/>
  <c r="P579" i="1"/>
  <c r="AR579" i="2"/>
  <c r="O579" i="1"/>
  <c r="AQ579" i="2"/>
  <c r="AP579" i="2"/>
  <c r="AO579" i="2"/>
  <c r="AN579" i="2"/>
  <c r="K579" i="1"/>
  <c r="AM579" i="2"/>
  <c r="J579" i="1"/>
  <c r="AL579" i="2"/>
  <c r="I579" i="1"/>
  <c r="AK579" i="2"/>
  <c r="AJ579" i="2"/>
  <c r="AI579" i="2"/>
  <c r="AH579" i="2"/>
  <c r="E579" i="1"/>
  <c r="AG579" i="2"/>
  <c r="D579" i="1"/>
  <c r="AF579" i="2"/>
  <c r="C579" i="1"/>
  <c r="AE579" i="2"/>
  <c r="AD579" i="2"/>
  <c r="AA579" i="2"/>
  <c r="Z579" i="2"/>
  <c r="S578" i="1"/>
  <c r="AU578" i="2"/>
  <c r="R578" i="1"/>
  <c r="AT578" i="2"/>
  <c r="Q578" i="1"/>
  <c r="AS578" i="2"/>
  <c r="P578" i="1"/>
  <c r="AR578" i="2"/>
  <c r="O578" i="1"/>
  <c r="AQ578" i="2"/>
  <c r="AP578" i="2"/>
  <c r="AO578" i="2"/>
  <c r="AN578" i="2"/>
  <c r="K578" i="1"/>
  <c r="AM578" i="2"/>
  <c r="J578" i="1"/>
  <c r="AL578" i="2"/>
  <c r="I578" i="1"/>
  <c r="AK578" i="2"/>
  <c r="AJ578" i="2"/>
  <c r="AI578" i="2"/>
  <c r="AH578" i="2"/>
  <c r="E578" i="1"/>
  <c r="AG578" i="2"/>
  <c r="D578" i="1"/>
  <c r="AF578" i="2"/>
  <c r="C578" i="1"/>
  <c r="AE578" i="2"/>
  <c r="AD578" i="2"/>
  <c r="AA578" i="2"/>
  <c r="Z578" i="2"/>
  <c r="S577" i="1"/>
  <c r="AU577" i="2"/>
  <c r="R577" i="1"/>
  <c r="AT577" i="2"/>
  <c r="Q577" i="1"/>
  <c r="AS577" i="2"/>
  <c r="P577" i="1"/>
  <c r="AR577" i="2"/>
  <c r="O577" i="1"/>
  <c r="AQ577" i="2"/>
  <c r="AP577" i="2"/>
  <c r="AO577" i="2"/>
  <c r="AN577" i="2"/>
  <c r="K577" i="1"/>
  <c r="AM577" i="2"/>
  <c r="J577" i="1"/>
  <c r="AL577" i="2"/>
  <c r="I577" i="1"/>
  <c r="AK577" i="2"/>
  <c r="AJ577" i="2"/>
  <c r="AI577" i="2"/>
  <c r="AH577" i="2"/>
  <c r="E577" i="1"/>
  <c r="AG577" i="2"/>
  <c r="D577" i="1"/>
  <c r="AF577" i="2"/>
  <c r="C577" i="1"/>
  <c r="AE577" i="2"/>
  <c r="AD577" i="2"/>
  <c r="AA577" i="2"/>
  <c r="Z577" i="2"/>
  <c r="S576" i="1"/>
  <c r="AU576" i="2"/>
  <c r="R576" i="1"/>
  <c r="AT576" i="2"/>
  <c r="Q576" i="1"/>
  <c r="AS576" i="2"/>
  <c r="P576" i="1"/>
  <c r="AR576" i="2"/>
  <c r="O576" i="1"/>
  <c r="AQ576" i="2"/>
  <c r="AP576" i="2"/>
  <c r="AO576" i="2"/>
  <c r="AN576" i="2"/>
  <c r="K576" i="1"/>
  <c r="AM576" i="2"/>
  <c r="J576" i="1"/>
  <c r="AL576" i="2"/>
  <c r="I576" i="1"/>
  <c r="AK576" i="2"/>
  <c r="AJ576" i="2"/>
  <c r="AI576" i="2"/>
  <c r="AH576" i="2"/>
  <c r="E576" i="1"/>
  <c r="AG576" i="2"/>
  <c r="D576" i="1"/>
  <c r="AF576" i="2"/>
  <c r="C576" i="1"/>
  <c r="AE576" i="2"/>
  <c r="AD576" i="2"/>
  <c r="AA576" i="2"/>
  <c r="Z576" i="2"/>
  <c r="S575" i="1"/>
  <c r="AU575" i="2"/>
  <c r="R575" i="1"/>
  <c r="AT575" i="2"/>
  <c r="Q575" i="1"/>
  <c r="AS575" i="2"/>
  <c r="P575" i="1"/>
  <c r="AR575" i="2"/>
  <c r="O575" i="1"/>
  <c r="AQ575" i="2"/>
  <c r="AP575" i="2"/>
  <c r="AO575" i="2"/>
  <c r="AN575" i="2"/>
  <c r="K575" i="1"/>
  <c r="AM575" i="2"/>
  <c r="J575" i="1"/>
  <c r="AL575" i="2"/>
  <c r="I575" i="1"/>
  <c r="AK575" i="2"/>
  <c r="AJ575" i="2"/>
  <c r="AI575" i="2"/>
  <c r="AH575" i="2"/>
  <c r="E575" i="1"/>
  <c r="AG575" i="2"/>
  <c r="D575" i="1"/>
  <c r="AF575" i="2"/>
  <c r="C575" i="1"/>
  <c r="AE575" i="2"/>
  <c r="AD575" i="2"/>
  <c r="AA575" i="2"/>
  <c r="Z575" i="2"/>
  <c r="S574" i="1"/>
  <c r="AU574" i="2"/>
  <c r="R574" i="1"/>
  <c r="AT574" i="2"/>
  <c r="Q574" i="1"/>
  <c r="AS574" i="2"/>
  <c r="P574" i="1"/>
  <c r="AR574" i="2"/>
  <c r="O574" i="1"/>
  <c r="AQ574" i="2"/>
  <c r="AP574" i="2"/>
  <c r="AO574" i="2"/>
  <c r="AN574" i="2"/>
  <c r="K574" i="1"/>
  <c r="AM574" i="2"/>
  <c r="J574" i="1"/>
  <c r="AL574" i="2"/>
  <c r="I574" i="1"/>
  <c r="AK574" i="2"/>
  <c r="AJ574" i="2"/>
  <c r="AI574" i="2"/>
  <c r="AH574" i="2"/>
  <c r="E574" i="1"/>
  <c r="AG574" i="2"/>
  <c r="D574" i="1"/>
  <c r="AF574" i="2"/>
  <c r="C574" i="1"/>
  <c r="AE574" i="2"/>
  <c r="AD574" i="2"/>
  <c r="AA574" i="2"/>
  <c r="Z574" i="2"/>
  <c r="S573" i="1"/>
  <c r="AU573" i="2"/>
  <c r="R573" i="1"/>
  <c r="AT573" i="2"/>
  <c r="Q573" i="1"/>
  <c r="AS573" i="2"/>
  <c r="P573" i="1"/>
  <c r="AR573" i="2"/>
  <c r="O573" i="1"/>
  <c r="AQ573" i="2"/>
  <c r="AP573" i="2"/>
  <c r="AO573" i="2"/>
  <c r="AN573" i="2"/>
  <c r="K573" i="1"/>
  <c r="AM573" i="2"/>
  <c r="J573" i="1"/>
  <c r="AL573" i="2"/>
  <c r="I573" i="1"/>
  <c r="AK573" i="2"/>
  <c r="AJ573" i="2"/>
  <c r="AI573" i="2"/>
  <c r="AH573" i="2"/>
  <c r="E573" i="1"/>
  <c r="AG573" i="2"/>
  <c r="D573" i="1"/>
  <c r="AF573" i="2"/>
  <c r="C573" i="1"/>
  <c r="AE573" i="2"/>
  <c r="AD573" i="2"/>
  <c r="AA573" i="2"/>
  <c r="Z573" i="2"/>
  <c r="S572" i="1"/>
  <c r="AU572" i="2"/>
  <c r="R572" i="1"/>
  <c r="AT572" i="2"/>
  <c r="Q572" i="1"/>
  <c r="AS572" i="2"/>
  <c r="P572" i="1"/>
  <c r="AR572" i="2"/>
  <c r="O572" i="1"/>
  <c r="AQ572" i="2"/>
  <c r="AP572" i="2"/>
  <c r="AO572" i="2"/>
  <c r="AN572" i="2"/>
  <c r="K572" i="1"/>
  <c r="AM572" i="2"/>
  <c r="J572" i="1"/>
  <c r="AL572" i="2"/>
  <c r="I572" i="1"/>
  <c r="AK572" i="2"/>
  <c r="AJ572" i="2"/>
  <c r="AI572" i="2"/>
  <c r="AH572" i="2"/>
  <c r="E572" i="1"/>
  <c r="AG572" i="2"/>
  <c r="D572" i="1"/>
  <c r="AF572" i="2"/>
  <c r="C572" i="1"/>
  <c r="AE572" i="2"/>
  <c r="AD572" i="2"/>
  <c r="AA572" i="2"/>
  <c r="Z572" i="2"/>
  <c r="S571" i="1"/>
  <c r="AU571" i="2"/>
  <c r="R571" i="1"/>
  <c r="AT571" i="2"/>
  <c r="Q571" i="1"/>
  <c r="AS571" i="2"/>
  <c r="P571" i="1"/>
  <c r="AR571" i="2"/>
  <c r="O571" i="1"/>
  <c r="AQ571" i="2"/>
  <c r="AP571" i="2"/>
  <c r="AO571" i="2"/>
  <c r="AN571" i="2"/>
  <c r="K571" i="1"/>
  <c r="AM571" i="2"/>
  <c r="J571" i="1"/>
  <c r="AL571" i="2"/>
  <c r="I571" i="1"/>
  <c r="AK571" i="2"/>
  <c r="AJ571" i="2"/>
  <c r="AI571" i="2"/>
  <c r="AH571" i="2"/>
  <c r="E571" i="1"/>
  <c r="AG571" i="2"/>
  <c r="D571" i="1"/>
  <c r="AF571" i="2"/>
  <c r="C571" i="1"/>
  <c r="AE571" i="2"/>
  <c r="AD571" i="2"/>
  <c r="AA571" i="2"/>
  <c r="Z571" i="2"/>
  <c r="S570" i="1"/>
  <c r="AU570" i="2"/>
  <c r="R570" i="1"/>
  <c r="AT570" i="2"/>
  <c r="Q570" i="1"/>
  <c r="AS570" i="2"/>
  <c r="P570" i="1"/>
  <c r="AR570" i="2"/>
  <c r="O570" i="1"/>
  <c r="AQ570" i="2"/>
  <c r="AP570" i="2"/>
  <c r="AO570" i="2"/>
  <c r="AN570" i="2"/>
  <c r="K570" i="1"/>
  <c r="AM570" i="2"/>
  <c r="J570" i="1"/>
  <c r="AL570" i="2"/>
  <c r="I570" i="1"/>
  <c r="AK570" i="2"/>
  <c r="AJ570" i="2"/>
  <c r="AI570" i="2"/>
  <c r="AH570" i="2"/>
  <c r="E570" i="1"/>
  <c r="AG570" i="2"/>
  <c r="D570" i="1"/>
  <c r="AF570" i="2"/>
  <c r="C570" i="1"/>
  <c r="AE570" i="2"/>
  <c r="AD570" i="2"/>
  <c r="AA570" i="2"/>
  <c r="Z570" i="2"/>
  <c r="S569" i="1"/>
  <c r="AU569" i="2"/>
  <c r="R569" i="1"/>
  <c r="AT569" i="2"/>
  <c r="Q569" i="1"/>
  <c r="AS569" i="2"/>
  <c r="P569" i="1"/>
  <c r="AR569" i="2"/>
  <c r="O569" i="1"/>
  <c r="AQ569" i="2"/>
  <c r="AP569" i="2"/>
  <c r="AO569" i="2"/>
  <c r="AN569" i="2"/>
  <c r="K569" i="1"/>
  <c r="AM569" i="2"/>
  <c r="J569" i="1"/>
  <c r="AL569" i="2"/>
  <c r="I569" i="1"/>
  <c r="AK569" i="2"/>
  <c r="AJ569" i="2"/>
  <c r="AI569" i="2"/>
  <c r="AH569" i="2"/>
  <c r="E569" i="1"/>
  <c r="AG569" i="2"/>
  <c r="D569" i="1"/>
  <c r="AF569" i="2"/>
  <c r="C569" i="1"/>
  <c r="AE569" i="2"/>
  <c r="AD569" i="2"/>
  <c r="AA569" i="2"/>
  <c r="Z569" i="2"/>
  <c r="S568" i="1"/>
  <c r="AU568" i="2"/>
  <c r="R568" i="1"/>
  <c r="AT568" i="2"/>
  <c r="Q568" i="1"/>
  <c r="AS568" i="2"/>
  <c r="P568" i="1"/>
  <c r="AR568" i="2"/>
  <c r="O568" i="1"/>
  <c r="AQ568" i="2"/>
  <c r="AP568" i="2"/>
  <c r="AO568" i="2"/>
  <c r="AN568" i="2"/>
  <c r="K568" i="1"/>
  <c r="AM568" i="2"/>
  <c r="J568" i="1"/>
  <c r="AL568" i="2"/>
  <c r="I568" i="1"/>
  <c r="AK568" i="2"/>
  <c r="AJ568" i="2"/>
  <c r="AI568" i="2"/>
  <c r="AH568" i="2"/>
  <c r="E568" i="1"/>
  <c r="AG568" i="2"/>
  <c r="D568" i="1"/>
  <c r="AF568" i="2"/>
  <c r="C568" i="1"/>
  <c r="AE568" i="2"/>
  <c r="AD568" i="2"/>
  <c r="AA568" i="2"/>
  <c r="Z568" i="2"/>
  <c r="S567" i="1"/>
  <c r="AU567" i="2"/>
  <c r="R567" i="1"/>
  <c r="AT567" i="2"/>
  <c r="Q567" i="1"/>
  <c r="AS567" i="2"/>
  <c r="P567" i="1"/>
  <c r="AR567" i="2"/>
  <c r="O567" i="1"/>
  <c r="AQ567" i="2"/>
  <c r="AP567" i="2"/>
  <c r="AO567" i="2"/>
  <c r="AN567" i="2"/>
  <c r="K567" i="1"/>
  <c r="AM567" i="2"/>
  <c r="J567" i="1"/>
  <c r="AL567" i="2"/>
  <c r="I567" i="1"/>
  <c r="AK567" i="2"/>
  <c r="AJ567" i="2"/>
  <c r="AI567" i="2"/>
  <c r="AH567" i="2"/>
  <c r="E567" i="1"/>
  <c r="AG567" i="2"/>
  <c r="D567" i="1"/>
  <c r="AF567" i="2"/>
  <c r="C567" i="1"/>
  <c r="AE567" i="2"/>
  <c r="AD567" i="2"/>
  <c r="AA567" i="2"/>
  <c r="Z567" i="2"/>
  <c r="S566" i="1"/>
  <c r="AU566" i="2"/>
  <c r="R566" i="1"/>
  <c r="AT566" i="2"/>
  <c r="Q566" i="1"/>
  <c r="AS566" i="2"/>
  <c r="P566" i="1"/>
  <c r="AR566" i="2"/>
  <c r="O566" i="1"/>
  <c r="AQ566" i="2"/>
  <c r="AP566" i="2"/>
  <c r="AO566" i="2"/>
  <c r="AN566" i="2"/>
  <c r="K566" i="1"/>
  <c r="AM566" i="2"/>
  <c r="J566" i="1"/>
  <c r="AL566" i="2"/>
  <c r="I566" i="1"/>
  <c r="AK566" i="2"/>
  <c r="AJ566" i="2"/>
  <c r="AI566" i="2"/>
  <c r="AH566" i="2"/>
  <c r="E566" i="1"/>
  <c r="AG566" i="2"/>
  <c r="D566" i="1"/>
  <c r="AF566" i="2"/>
  <c r="C566" i="1"/>
  <c r="AE566" i="2"/>
  <c r="AD566" i="2"/>
  <c r="AA566" i="2"/>
  <c r="Z566" i="2"/>
  <c r="S565" i="1"/>
  <c r="AU565" i="2"/>
  <c r="R565" i="1"/>
  <c r="AT565" i="2"/>
  <c r="Q565" i="1"/>
  <c r="AS565" i="2"/>
  <c r="P565" i="1"/>
  <c r="AR565" i="2"/>
  <c r="O565" i="1"/>
  <c r="AQ565" i="2"/>
  <c r="AP565" i="2"/>
  <c r="AO565" i="2"/>
  <c r="AN565" i="2"/>
  <c r="K565" i="1"/>
  <c r="AM565" i="2"/>
  <c r="J565" i="1"/>
  <c r="AL565" i="2"/>
  <c r="I565" i="1"/>
  <c r="AK565" i="2"/>
  <c r="AJ565" i="2"/>
  <c r="AI565" i="2"/>
  <c r="AH565" i="2"/>
  <c r="E565" i="1"/>
  <c r="AG565" i="2"/>
  <c r="D565" i="1"/>
  <c r="AF565" i="2"/>
  <c r="C565" i="1"/>
  <c r="AE565" i="2"/>
  <c r="AD565" i="2"/>
  <c r="AA565" i="2"/>
  <c r="Z565" i="2"/>
  <c r="S564" i="1"/>
  <c r="AU564" i="2"/>
  <c r="R564" i="1"/>
  <c r="AT564" i="2"/>
  <c r="Q564" i="1"/>
  <c r="AS564" i="2"/>
  <c r="P564" i="1"/>
  <c r="AR564" i="2"/>
  <c r="O564" i="1"/>
  <c r="AQ564" i="2"/>
  <c r="AP564" i="2"/>
  <c r="AO564" i="2"/>
  <c r="AN564" i="2"/>
  <c r="K564" i="1"/>
  <c r="AM564" i="2"/>
  <c r="J564" i="1"/>
  <c r="AL564" i="2"/>
  <c r="I564" i="1"/>
  <c r="AK564" i="2"/>
  <c r="AJ564" i="2"/>
  <c r="AI564" i="2"/>
  <c r="AH564" i="2"/>
  <c r="E564" i="1"/>
  <c r="AG564" i="2"/>
  <c r="D564" i="1"/>
  <c r="AF564" i="2"/>
  <c r="C564" i="1"/>
  <c r="AE564" i="2"/>
  <c r="AD564" i="2"/>
  <c r="AA564" i="2"/>
  <c r="Z564" i="2"/>
  <c r="S563" i="1"/>
  <c r="AU563" i="2"/>
  <c r="R563" i="1"/>
  <c r="AT563" i="2"/>
  <c r="Q563" i="1"/>
  <c r="AS563" i="2"/>
  <c r="P563" i="1"/>
  <c r="AR563" i="2"/>
  <c r="O563" i="1"/>
  <c r="AQ563" i="2"/>
  <c r="AP563" i="2"/>
  <c r="AO563" i="2"/>
  <c r="AN563" i="2"/>
  <c r="K563" i="1"/>
  <c r="AM563" i="2"/>
  <c r="J563" i="1"/>
  <c r="AL563" i="2"/>
  <c r="I563" i="1"/>
  <c r="AK563" i="2"/>
  <c r="AJ563" i="2"/>
  <c r="AI563" i="2"/>
  <c r="AH563" i="2"/>
  <c r="E563" i="1"/>
  <c r="AG563" i="2"/>
  <c r="D563" i="1"/>
  <c r="AF563" i="2"/>
  <c r="C563" i="1"/>
  <c r="AE563" i="2"/>
  <c r="AD563" i="2"/>
  <c r="AA563" i="2"/>
  <c r="Z563" i="2"/>
  <c r="S562" i="1"/>
  <c r="AU562" i="2"/>
  <c r="R562" i="1"/>
  <c r="AT562" i="2"/>
  <c r="Q562" i="1"/>
  <c r="AS562" i="2"/>
  <c r="P562" i="1"/>
  <c r="AR562" i="2"/>
  <c r="O562" i="1"/>
  <c r="AQ562" i="2"/>
  <c r="AP562" i="2"/>
  <c r="AO562" i="2"/>
  <c r="AN562" i="2"/>
  <c r="K562" i="1"/>
  <c r="AM562" i="2"/>
  <c r="J562" i="1"/>
  <c r="AL562" i="2"/>
  <c r="I562" i="1"/>
  <c r="AK562" i="2"/>
  <c r="AJ562" i="2"/>
  <c r="AI562" i="2"/>
  <c r="AH562" i="2"/>
  <c r="E562" i="1"/>
  <c r="AG562" i="2"/>
  <c r="D562" i="1"/>
  <c r="AF562" i="2"/>
  <c r="C562" i="1"/>
  <c r="AE562" i="2"/>
  <c r="AD562" i="2"/>
  <c r="AA562" i="2"/>
  <c r="Z562" i="2"/>
  <c r="S561" i="1"/>
  <c r="AU561" i="2"/>
  <c r="R561" i="1"/>
  <c r="AT561" i="2"/>
  <c r="Q561" i="1"/>
  <c r="AS561" i="2"/>
  <c r="P561" i="1"/>
  <c r="AR561" i="2"/>
  <c r="O561" i="1"/>
  <c r="AQ561" i="2"/>
  <c r="AP561" i="2"/>
  <c r="AO561" i="2"/>
  <c r="AN561" i="2"/>
  <c r="K561" i="1"/>
  <c r="AM561" i="2"/>
  <c r="J561" i="1"/>
  <c r="AL561" i="2"/>
  <c r="I561" i="1"/>
  <c r="AK561" i="2"/>
  <c r="AJ561" i="2"/>
  <c r="AI561" i="2"/>
  <c r="AH561" i="2"/>
  <c r="E561" i="1"/>
  <c r="AG561" i="2"/>
  <c r="D561" i="1"/>
  <c r="AF561" i="2"/>
  <c r="C561" i="1"/>
  <c r="AE561" i="2"/>
  <c r="AD561" i="2"/>
  <c r="AA561" i="2"/>
  <c r="Z561" i="2"/>
  <c r="S560" i="1"/>
  <c r="AU560" i="2"/>
  <c r="R560" i="1"/>
  <c r="AT560" i="2"/>
  <c r="Q560" i="1"/>
  <c r="AS560" i="2"/>
  <c r="P560" i="1"/>
  <c r="AR560" i="2"/>
  <c r="O560" i="1"/>
  <c r="AQ560" i="2"/>
  <c r="AP560" i="2"/>
  <c r="AO560" i="2"/>
  <c r="AN560" i="2"/>
  <c r="K560" i="1"/>
  <c r="AM560" i="2"/>
  <c r="J560" i="1"/>
  <c r="AL560" i="2"/>
  <c r="I560" i="1"/>
  <c r="AK560" i="2"/>
  <c r="AJ560" i="2"/>
  <c r="AI560" i="2"/>
  <c r="AH560" i="2"/>
  <c r="E560" i="1"/>
  <c r="AG560" i="2"/>
  <c r="D560" i="1"/>
  <c r="AF560" i="2"/>
  <c r="C560" i="1"/>
  <c r="AE560" i="2"/>
  <c r="AD560" i="2"/>
  <c r="AA560" i="2"/>
  <c r="Z560" i="2"/>
  <c r="S559" i="1"/>
  <c r="AU559" i="2"/>
  <c r="R559" i="1"/>
  <c r="AT559" i="2"/>
  <c r="Q559" i="1"/>
  <c r="AS559" i="2"/>
  <c r="P559" i="1"/>
  <c r="AR559" i="2"/>
  <c r="O559" i="1"/>
  <c r="AQ559" i="2"/>
  <c r="AP559" i="2"/>
  <c r="AO559" i="2"/>
  <c r="AN559" i="2"/>
  <c r="K559" i="1"/>
  <c r="AM559" i="2"/>
  <c r="J559" i="1"/>
  <c r="AL559" i="2"/>
  <c r="I559" i="1"/>
  <c r="AK559" i="2"/>
  <c r="AJ559" i="2"/>
  <c r="AI559" i="2"/>
  <c r="AH559" i="2"/>
  <c r="E559" i="1"/>
  <c r="AG559" i="2"/>
  <c r="D559" i="1"/>
  <c r="AF559" i="2"/>
  <c r="C559" i="1"/>
  <c r="AE559" i="2"/>
  <c r="AD559" i="2"/>
  <c r="AA559" i="2"/>
  <c r="Z559" i="2"/>
  <c r="S558" i="1"/>
  <c r="AU558" i="2"/>
  <c r="R558" i="1"/>
  <c r="AT558" i="2"/>
  <c r="Q558" i="1"/>
  <c r="AS558" i="2"/>
  <c r="P558" i="1"/>
  <c r="AR558" i="2"/>
  <c r="O558" i="1"/>
  <c r="AQ558" i="2"/>
  <c r="AP558" i="2"/>
  <c r="AO558" i="2"/>
  <c r="AN558" i="2"/>
  <c r="K558" i="1"/>
  <c r="AM558" i="2"/>
  <c r="J558" i="1"/>
  <c r="AL558" i="2"/>
  <c r="I558" i="1"/>
  <c r="AK558" i="2"/>
  <c r="AJ558" i="2"/>
  <c r="AI558" i="2"/>
  <c r="AH558" i="2"/>
  <c r="E558" i="1"/>
  <c r="AG558" i="2"/>
  <c r="D558" i="1"/>
  <c r="AF558" i="2"/>
  <c r="C558" i="1"/>
  <c r="AE558" i="2"/>
  <c r="AD558" i="2"/>
  <c r="AA558" i="2"/>
  <c r="Z558" i="2"/>
  <c r="S557" i="1"/>
  <c r="AU557" i="2"/>
  <c r="R557" i="1"/>
  <c r="AT557" i="2"/>
  <c r="Q557" i="1"/>
  <c r="AS557" i="2"/>
  <c r="P557" i="1"/>
  <c r="AR557" i="2"/>
  <c r="O557" i="1"/>
  <c r="AQ557" i="2"/>
  <c r="AP557" i="2"/>
  <c r="AO557" i="2"/>
  <c r="AN557" i="2"/>
  <c r="K557" i="1"/>
  <c r="AM557" i="2"/>
  <c r="J557" i="1"/>
  <c r="AL557" i="2"/>
  <c r="I557" i="1"/>
  <c r="AK557" i="2"/>
  <c r="AJ557" i="2"/>
  <c r="AI557" i="2"/>
  <c r="AH557" i="2"/>
  <c r="E557" i="1"/>
  <c r="AG557" i="2"/>
  <c r="D557" i="1"/>
  <c r="AF557" i="2"/>
  <c r="C557" i="1"/>
  <c r="AE557" i="2"/>
  <c r="AD557" i="2"/>
  <c r="AA557" i="2"/>
  <c r="Z557" i="2"/>
  <c r="S556" i="1"/>
  <c r="AU556" i="2"/>
  <c r="R556" i="1"/>
  <c r="AT556" i="2"/>
  <c r="Q556" i="1"/>
  <c r="AS556" i="2"/>
  <c r="P556" i="1"/>
  <c r="AR556" i="2"/>
  <c r="O556" i="1"/>
  <c r="AQ556" i="2"/>
  <c r="AP556" i="2"/>
  <c r="AO556" i="2"/>
  <c r="AN556" i="2"/>
  <c r="K556" i="1"/>
  <c r="AM556" i="2"/>
  <c r="J556" i="1"/>
  <c r="AL556" i="2"/>
  <c r="I556" i="1"/>
  <c r="AK556" i="2"/>
  <c r="AJ556" i="2"/>
  <c r="AI556" i="2"/>
  <c r="AH556" i="2"/>
  <c r="E556" i="1"/>
  <c r="AG556" i="2"/>
  <c r="D556" i="1"/>
  <c r="AF556" i="2"/>
  <c r="C556" i="1"/>
  <c r="AE556" i="2"/>
  <c r="AD556" i="2"/>
  <c r="AA556" i="2"/>
  <c r="Z556" i="2"/>
  <c r="S555" i="1"/>
  <c r="AU555" i="2"/>
  <c r="R555" i="1"/>
  <c r="AT555" i="2"/>
  <c r="Q555" i="1"/>
  <c r="AS555" i="2"/>
  <c r="P555" i="1"/>
  <c r="AR555" i="2"/>
  <c r="O555" i="1"/>
  <c r="AQ555" i="2"/>
  <c r="AP555" i="2"/>
  <c r="AO555" i="2"/>
  <c r="AN555" i="2"/>
  <c r="K555" i="1"/>
  <c r="AM555" i="2"/>
  <c r="J555" i="1"/>
  <c r="AL555" i="2"/>
  <c r="I555" i="1"/>
  <c r="AK555" i="2"/>
  <c r="AJ555" i="2"/>
  <c r="AI555" i="2"/>
  <c r="AH555" i="2"/>
  <c r="E555" i="1"/>
  <c r="AG555" i="2"/>
  <c r="D555" i="1"/>
  <c r="AF555" i="2"/>
  <c r="C555" i="1"/>
  <c r="AE555" i="2"/>
  <c r="AD555" i="2"/>
  <c r="AA555" i="2"/>
  <c r="Z555" i="2"/>
  <c r="S554" i="1"/>
  <c r="AU554" i="2"/>
  <c r="R554" i="1"/>
  <c r="AT554" i="2"/>
  <c r="Q554" i="1"/>
  <c r="AS554" i="2"/>
  <c r="P554" i="1"/>
  <c r="AR554" i="2"/>
  <c r="O554" i="1"/>
  <c r="AQ554" i="2"/>
  <c r="AP554" i="2"/>
  <c r="AO554" i="2"/>
  <c r="AN554" i="2"/>
  <c r="K554" i="1"/>
  <c r="AM554" i="2"/>
  <c r="J554" i="1"/>
  <c r="AL554" i="2"/>
  <c r="I554" i="1"/>
  <c r="AK554" i="2"/>
  <c r="AJ554" i="2"/>
  <c r="AI554" i="2"/>
  <c r="AH554" i="2"/>
  <c r="E554" i="1"/>
  <c r="AG554" i="2"/>
  <c r="D554" i="1"/>
  <c r="AF554" i="2"/>
  <c r="C554" i="1"/>
  <c r="AE554" i="2"/>
  <c r="AD554" i="2"/>
  <c r="AA554" i="2"/>
  <c r="Z554" i="2"/>
  <c r="S553" i="1"/>
  <c r="AU553" i="2"/>
  <c r="R553" i="1"/>
  <c r="AT553" i="2"/>
  <c r="Q553" i="1"/>
  <c r="AS553" i="2"/>
  <c r="P553" i="1"/>
  <c r="AR553" i="2"/>
  <c r="O553" i="1"/>
  <c r="AQ553" i="2"/>
  <c r="AP553" i="2"/>
  <c r="AO553" i="2"/>
  <c r="AN553" i="2"/>
  <c r="K553" i="1"/>
  <c r="AM553" i="2"/>
  <c r="J553" i="1"/>
  <c r="AL553" i="2"/>
  <c r="I553" i="1"/>
  <c r="AK553" i="2"/>
  <c r="AJ553" i="2"/>
  <c r="AI553" i="2"/>
  <c r="AH553" i="2"/>
  <c r="E553" i="1"/>
  <c r="AG553" i="2"/>
  <c r="D553" i="1"/>
  <c r="AF553" i="2"/>
  <c r="C553" i="1"/>
  <c r="AE553" i="2"/>
  <c r="AD553" i="2"/>
  <c r="AA553" i="2"/>
  <c r="Z553" i="2"/>
  <c r="S552" i="1"/>
  <c r="AU552" i="2"/>
  <c r="R552" i="1"/>
  <c r="AT552" i="2"/>
  <c r="Q552" i="1"/>
  <c r="AS552" i="2"/>
  <c r="P552" i="1"/>
  <c r="AR552" i="2"/>
  <c r="O552" i="1"/>
  <c r="AQ552" i="2"/>
  <c r="AP552" i="2"/>
  <c r="AO552" i="2"/>
  <c r="AN552" i="2"/>
  <c r="K552" i="1"/>
  <c r="AM552" i="2"/>
  <c r="J552" i="1"/>
  <c r="AL552" i="2"/>
  <c r="I552" i="1"/>
  <c r="AK552" i="2"/>
  <c r="AJ552" i="2"/>
  <c r="AI552" i="2"/>
  <c r="AH552" i="2"/>
  <c r="E552" i="1"/>
  <c r="AG552" i="2"/>
  <c r="D552" i="1"/>
  <c r="AF552" i="2"/>
  <c r="C552" i="1"/>
  <c r="AE552" i="2"/>
  <c r="AD552" i="2"/>
  <c r="AA552" i="2"/>
  <c r="Z552" i="2"/>
  <c r="S551" i="1"/>
  <c r="AU551" i="2"/>
  <c r="R551" i="1"/>
  <c r="AT551" i="2"/>
  <c r="Q551" i="1"/>
  <c r="AS551" i="2"/>
  <c r="P551" i="1"/>
  <c r="AR551" i="2"/>
  <c r="O551" i="1"/>
  <c r="AQ551" i="2"/>
  <c r="AP551" i="2"/>
  <c r="AO551" i="2"/>
  <c r="AN551" i="2"/>
  <c r="K551" i="1"/>
  <c r="AM551" i="2"/>
  <c r="J551" i="1"/>
  <c r="AL551" i="2"/>
  <c r="I551" i="1"/>
  <c r="AK551" i="2"/>
  <c r="AJ551" i="2"/>
  <c r="AI551" i="2"/>
  <c r="AH551" i="2"/>
  <c r="E551" i="1"/>
  <c r="AG551" i="2"/>
  <c r="D551" i="1"/>
  <c r="AF551" i="2"/>
  <c r="C551" i="1"/>
  <c r="AE551" i="2"/>
  <c r="AD551" i="2"/>
  <c r="AA551" i="2"/>
  <c r="Z551" i="2"/>
  <c r="S550" i="1"/>
  <c r="AU550" i="2"/>
  <c r="R550" i="1"/>
  <c r="AT550" i="2"/>
  <c r="Q550" i="1"/>
  <c r="AS550" i="2"/>
  <c r="P550" i="1"/>
  <c r="AR550" i="2"/>
  <c r="O550" i="1"/>
  <c r="AQ550" i="2"/>
  <c r="AP550" i="2"/>
  <c r="AO550" i="2"/>
  <c r="AN550" i="2"/>
  <c r="K550" i="1"/>
  <c r="AM550" i="2"/>
  <c r="J550" i="1"/>
  <c r="AL550" i="2"/>
  <c r="I550" i="1"/>
  <c r="AK550" i="2"/>
  <c r="AJ550" i="2"/>
  <c r="AI550" i="2"/>
  <c r="AH550" i="2"/>
  <c r="E550" i="1"/>
  <c r="AG550" i="2"/>
  <c r="D550" i="1"/>
  <c r="AF550" i="2"/>
  <c r="C550" i="1"/>
  <c r="AE550" i="2"/>
  <c r="AD550" i="2"/>
  <c r="AA550" i="2"/>
  <c r="Z550" i="2"/>
  <c r="S549" i="1"/>
  <c r="AU549" i="2"/>
  <c r="R549" i="1"/>
  <c r="AT549" i="2"/>
  <c r="Q549" i="1"/>
  <c r="AS549" i="2"/>
  <c r="P549" i="1"/>
  <c r="AR549" i="2"/>
  <c r="O549" i="1"/>
  <c r="AQ549" i="2"/>
  <c r="AP549" i="2"/>
  <c r="AO549" i="2"/>
  <c r="AN549" i="2"/>
  <c r="K549" i="1"/>
  <c r="AM549" i="2"/>
  <c r="J549" i="1"/>
  <c r="AL549" i="2"/>
  <c r="I549" i="1"/>
  <c r="AK549" i="2"/>
  <c r="AJ549" i="2"/>
  <c r="AI549" i="2"/>
  <c r="AH549" i="2"/>
  <c r="E549" i="1"/>
  <c r="AG549" i="2"/>
  <c r="D549" i="1"/>
  <c r="AF549" i="2"/>
  <c r="C549" i="1"/>
  <c r="AE549" i="2"/>
  <c r="AD549" i="2"/>
  <c r="AA549" i="2"/>
  <c r="Z549" i="2"/>
  <c r="S548" i="1"/>
  <c r="AU548" i="2"/>
  <c r="R548" i="1"/>
  <c r="AT548" i="2"/>
  <c r="Q548" i="1"/>
  <c r="AS548" i="2"/>
  <c r="P548" i="1"/>
  <c r="AR548" i="2"/>
  <c r="O548" i="1"/>
  <c r="AQ548" i="2"/>
  <c r="AP548" i="2"/>
  <c r="AO548" i="2"/>
  <c r="AN548" i="2"/>
  <c r="K548" i="1"/>
  <c r="AM548" i="2"/>
  <c r="J548" i="1"/>
  <c r="AL548" i="2"/>
  <c r="I548" i="1"/>
  <c r="AK548" i="2"/>
  <c r="AJ548" i="2"/>
  <c r="AI548" i="2"/>
  <c r="AH548" i="2"/>
  <c r="E548" i="1"/>
  <c r="AG548" i="2"/>
  <c r="D548" i="1"/>
  <c r="AF548" i="2"/>
  <c r="C548" i="1"/>
  <c r="AE548" i="2"/>
  <c r="AD548" i="2"/>
  <c r="AA548" i="2"/>
  <c r="Z548" i="2"/>
  <c r="S547" i="1"/>
  <c r="AU547" i="2"/>
  <c r="R547" i="1"/>
  <c r="AT547" i="2"/>
  <c r="Q547" i="1"/>
  <c r="AS547" i="2"/>
  <c r="P547" i="1"/>
  <c r="AR547" i="2"/>
  <c r="O547" i="1"/>
  <c r="AQ547" i="2"/>
  <c r="AP547" i="2"/>
  <c r="AO547" i="2"/>
  <c r="AN547" i="2"/>
  <c r="K547" i="1"/>
  <c r="AM547" i="2"/>
  <c r="J547" i="1"/>
  <c r="AL547" i="2"/>
  <c r="I547" i="1"/>
  <c r="AK547" i="2"/>
  <c r="AJ547" i="2"/>
  <c r="AI547" i="2"/>
  <c r="AH547" i="2"/>
  <c r="E547" i="1"/>
  <c r="AG547" i="2"/>
  <c r="D547" i="1"/>
  <c r="AF547" i="2"/>
  <c r="C547" i="1"/>
  <c r="AE547" i="2"/>
  <c r="AD547" i="2"/>
  <c r="AA547" i="2"/>
  <c r="Z547" i="2"/>
  <c r="S546" i="1"/>
  <c r="AU546" i="2"/>
  <c r="R546" i="1"/>
  <c r="AT546" i="2"/>
  <c r="Q546" i="1"/>
  <c r="AS546" i="2"/>
  <c r="P546" i="1"/>
  <c r="AR546" i="2"/>
  <c r="O546" i="1"/>
  <c r="AQ546" i="2"/>
  <c r="AP546" i="2"/>
  <c r="AO546" i="2"/>
  <c r="AN546" i="2"/>
  <c r="K546" i="1"/>
  <c r="AM546" i="2"/>
  <c r="J546" i="1"/>
  <c r="AL546" i="2"/>
  <c r="I546" i="1"/>
  <c r="AK546" i="2"/>
  <c r="AJ546" i="2"/>
  <c r="AI546" i="2"/>
  <c r="AH546" i="2"/>
  <c r="E546" i="1"/>
  <c r="AG546" i="2"/>
  <c r="D546" i="1"/>
  <c r="AF546" i="2"/>
  <c r="C546" i="1"/>
  <c r="AE546" i="2"/>
  <c r="AD546" i="2"/>
  <c r="AA546" i="2"/>
  <c r="Z546" i="2"/>
  <c r="S545" i="1"/>
  <c r="AU545" i="2"/>
  <c r="R545" i="1"/>
  <c r="AT545" i="2"/>
  <c r="Q545" i="1"/>
  <c r="AS545" i="2"/>
  <c r="P545" i="1"/>
  <c r="AR545" i="2"/>
  <c r="O545" i="1"/>
  <c r="AQ545" i="2"/>
  <c r="AP545" i="2"/>
  <c r="AO545" i="2"/>
  <c r="AN545" i="2"/>
  <c r="K545" i="1"/>
  <c r="AM545" i="2"/>
  <c r="J545" i="1"/>
  <c r="AL545" i="2"/>
  <c r="I545" i="1"/>
  <c r="AK545" i="2"/>
  <c r="AJ545" i="2"/>
  <c r="AI545" i="2"/>
  <c r="AH545" i="2"/>
  <c r="E545" i="1"/>
  <c r="AG545" i="2"/>
  <c r="D545" i="1"/>
  <c r="AF545" i="2"/>
  <c r="C545" i="1"/>
  <c r="AE545" i="2"/>
  <c r="AD545" i="2"/>
  <c r="AA545" i="2"/>
  <c r="Z545" i="2"/>
  <c r="S544" i="1"/>
  <c r="AU544" i="2"/>
  <c r="R544" i="1"/>
  <c r="AT544" i="2"/>
  <c r="Q544" i="1"/>
  <c r="AS544" i="2"/>
  <c r="P544" i="1"/>
  <c r="AR544" i="2"/>
  <c r="O544" i="1"/>
  <c r="AQ544" i="2"/>
  <c r="AP544" i="2"/>
  <c r="AO544" i="2"/>
  <c r="AN544" i="2"/>
  <c r="K544" i="1"/>
  <c r="AM544" i="2"/>
  <c r="J544" i="1"/>
  <c r="AL544" i="2"/>
  <c r="I544" i="1"/>
  <c r="AK544" i="2"/>
  <c r="AJ544" i="2"/>
  <c r="AI544" i="2"/>
  <c r="AH544" i="2"/>
  <c r="E544" i="1"/>
  <c r="AG544" i="2"/>
  <c r="D544" i="1"/>
  <c r="AF544" i="2"/>
  <c r="C544" i="1"/>
  <c r="AE544" i="2"/>
  <c r="AD544" i="2"/>
  <c r="AA544" i="2"/>
  <c r="Z544" i="2"/>
  <c r="S543" i="1"/>
  <c r="AU543" i="2"/>
  <c r="R543" i="1"/>
  <c r="AT543" i="2"/>
  <c r="Q543" i="1"/>
  <c r="AS543" i="2"/>
  <c r="P543" i="1"/>
  <c r="AR543" i="2"/>
  <c r="O543" i="1"/>
  <c r="AQ543" i="2"/>
  <c r="AP543" i="2"/>
  <c r="AO543" i="2"/>
  <c r="AN543" i="2"/>
  <c r="K543" i="1"/>
  <c r="AM543" i="2"/>
  <c r="J543" i="1"/>
  <c r="AL543" i="2"/>
  <c r="I543" i="1"/>
  <c r="AK543" i="2"/>
  <c r="AJ543" i="2"/>
  <c r="AI543" i="2"/>
  <c r="AH543" i="2"/>
  <c r="E543" i="1"/>
  <c r="AG543" i="2"/>
  <c r="D543" i="1"/>
  <c r="AF543" i="2"/>
  <c r="C543" i="1"/>
  <c r="AE543" i="2"/>
  <c r="AD543" i="2"/>
  <c r="AA543" i="2"/>
  <c r="Z543" i="2"/>
  <c r="S542" i="1"/>
  <c r="AU542" i="2"/>
  <c r="R542" i="1"/>
  <c r="AT542" i="2"/>
  <c r="Q542" i="1"/>
  <c r="AS542" i="2"/>
  <c r="P542" i="1"/>
  <c r="AR542" i="2"/>
  <c r="O542" i="1"/>
  <c r="AQ542" i="2"/>
  <c r="AP542" i="2"/>
  <c r="AO542" i="2"/>
  <c r="AN542" i="2"/>
  <c r="K542" i="1"/>
  <c r="AM542" i="2"/>
  <c r="J542" i="1"/>
  <c r="AL542" i="2"/>
  <c r="I542" i="1"/>
  <c r="AK542" i="2"/>
  <c r="AJ542" i="2"/>
  <c r="AI542" i="2"/>
  <c r="AH542" i="2"/>
  <c r="E542" i="1"/>
  <c r="AG542" i="2"/>
  <c r="D542" i="1"/>
  <c r="AF542" i="2"/>
  <c r="C542" i="1"/>
  <c r="AE542" i="2"/>
  <c r="AD542" i="2"/>
  <c r="AA542" i="2"/>
  <c r="Z542" i="2"/>
  <c r="S541" i="1"/>
  <c r="AU541" i="2"/>
  <c r="R541" i="1"/>
  <c r="AT541" i="2"/>
  <c r="Q541" i="1"/>
  <c r="AS541" i="2"/>
  <c r="P541" i="1"/>
  <c r="AR541" i="2"/>
  <c r="O541" i="1"/>
  <c r="AQ541" i="2"/>
  <c r="AP541" i="2"/>
  <c r="AO541" i="2"/>
  <c r="AN541" i="2"/>
  <c r="K541" i="1"/>
  <c r="AM541" i="2"/>
  <c r="J541" i="1"/>
  <c r="AL541" i="2"/>
  <c r="I541" i="1"/>
  <c r="AK541" i="2"/>
  <c r="AJ541" i="2"/>
  <c r="AI541" i="2"/>
  <c r="AH541" i="2"/>
  <c r="E541" i="1"/>
  <c r="AG541" i="2"/>
  <c r="D541" i="1"/>
  <c r="AF541" i="2"/>
  <c r="C541" i="1"/>
  <c r="AE541" i="2"/>
  <c r="AD541" i="2"/>
  <c r="AA541" i="2"/>
  <c r="Z541" i="2"/>
  <c r="S540" i="1"/>
  <c r="AU540" i="2"/>
  <c r="R540" i="1"/>
  <c r="AT540" i="2"/>
  <c r="Q540" i="1"/>
  <c r="AS540" i="2"/>
  <c r="P540" i="1"/>
  <c r="AR540" i="2"/>
  <c r="O540" i="1"/>
  <c r="AQ540" i="2"/>
  <c r="AP540" i="2"/>
  <c r="AO540" i="2"/>
  <c r="AN540" i="2"/>
  <c r="K540" i="1"/>
  <c r="AM540" i="2"/>
  <c r="J540" i="1"/>
  <c r="AL540" i="2"/>
  <c r="I540" i="1"/>
  <c r="AK540" i="2"/>
  <c r="AJ540" i="2"/>
  <c r="AI540" i="2"/>
  <c r="AH540" i="2"/>
  <c r="E540" i="1"/>
  <c r="AG540" i="2"/>
  <c r="D540" i="1"/>
  <c r="AF540" i="2"/>
  <c r="C540" i="1"/>
  <c r="AE540" i="2"/>
  <c r="AD540" i="2"/>
  <c r="AA540" i="2"/>
  <c r="Z540" i="2"/>
  <c r="S539" i="1"/>
  <c r="AU539" i="2"/>
  <c r="R539" i="1"/>
  <c r="AT539" i="2"/>
  <c r="Q539" i="1"/>
  <c r="AS539" i="2"/>
  <c r="P539" i="1"/>
  <c r="AR539" i="2"/>
  <c r="O539" i="1"/>
  <c r="AQ539" i="2"/>
  <c r="AP539" i="2"/>
  <c r="AO539" i="2"/>
  <c r="AN539" i="2"/>
  <c r="K539" i="1"/>
  <c r="AM539" i="2"/>
  <c r="J539" i="1"/>
  <c r="AL539" i="2"/>
  <c r="I539" i="1"/>
  <c r="AK539" i="2"/>
  <c r="AJ539" i="2"/>
  <c r="AI539" i="2"/>
  <c r="AH539" i="2"/>
  <c r="E539" i="1"/>
  <c r="AG539" i="2"/>
  <c r="D539" i="1"/>
  <c r="AF539" i="2"/>
  <c r="C539" i="1"/>
  <c r="AE539" i="2"/>
  <c r="AD539" i="2"/>
  <c r="AA539" i="2"/>
  <c r="Z539" i="2"/>
  <c r="S538" i="1"/>
  <c r="AU538" i="2"/>
  <c r="R538" i="1"/>
  <c r="AT538" i="2"/>
  <c r="Q538" i="1"/>
  <c r="AS538" i="2"/>
  <c r="P538" i="1"/>
  <c r="AR538" i="2"/>
  <c r="O538" i="1"/>
  <c r="AQ538" i="2"/>
  <c r="AP538" i="2"/>
  <c r="AO538" i="2"/>
  <c r="AN538" i="2"/>
  <c r="K538" i="1"/>
  <c r="AM538" i="2"/>
  <c r="J538" i="1"/>
  <c r="AL538" i="2"/>
  <c r="I538" i="1"/>
  <c r="AK538" i="2"/>
  <c r="AJ538" i="2"/>
  <c r="AI538" i="2"/>
  <c r="AH538" i="2"/>
  <c r="E538" i="1"/>
  <c r="AG538" i="2"/>
  <c r="D538" i="1"/>
  <c r="AF538" i="2"/>
  <c r="C538" i="1"/>
  <c r="AE538" i="2"/>
  <c r="AD538" i="2"/>
  <c r="AA538" i="2"/>
  <c r="Z538" i="2"/>
  <c r="S537" i="1"/>
  <c r="AU537" i="2"/>
  <c r="R537" i="1"/>
  <c r="AT537" i="2"/>
  <c r="Q537" i="1"/>
  <c r="AS537" i="2"/>
  <c r="P537" i="1"/>
  <c r="AR537" i="2"/>
  <c r="O537" i="1"/>
  <c r="AQ537" i="2"/>
  <c r="AP537" i="2"/>
  <c r="AO537" i="2"/>
  <c r="AN537" i="2"/>
  <c r="K537" i="1"/>
  <c r="AM537" i="2"/>
  <c r="J537" i="1"/>
  <c r="AL537" i="2"/>
  <c r="I537" i="1"/>
  <c r="AK537" i="2"/>
  <c r="AJ537" i="2"/>
  <c r="AI537" i="2"/>
  <c r="AH537" i="2"/>
  <c r="E537" i="1"/>
  <c r="AG537" i="2"/>
  <c r="D537" i="1"/>
  <c r="AF537" i="2"/>
  <c r="C537" i="1"/>
  <c r="AE537" i="2"/>
  <c r="AD537" i="2"/>
  <c r="AA537" i="2"/>
  <c r="Z537" i="2"/>
  <c r="S536" i="1"/>
  <c r="AU536" i="2"/>
  <c r="R536" i="1"/>
  <c r="AT536" i="2"/>
  <c r="Q536" i="1"/>
  <c r="AS536" i="2"/>
  <c r="P536" i="1"/>
  <c r="AR536" i="2"/>
  <c r="O536" i="1"/>
  <c r="AQ536" i="2"/>
  <c r="AP536" i="2"/>
  <c r="AO536" i="2"/>
  <c r="AN536" i="2"/>
  <c r="K536" i="1"/>
  <c r="AM536" i="2"/>
  <c r="J536" i="1"/>
  <c r="AL536" i="2"/>
  <c r="I536" i="1"/>
  <c r="AK536" i="2"/>
  <c r="AJ536" i="2"/>
  <c r="AI536" i="2"/>
  <c r="AH536" i="2"/>
  <c r="E536" i="1"/>
  <c r="AG536" i="2"/>
  <c r="D536" i="1"/>
  <c r="AF536" i="2"/>
  <c r="C536" i="1"/>
  <c r="AE536" i="2"/>
  <c r="AD536" i="2"/>
  <c r="AA536" i="2"/>
  <c r="Z536" i="2"/>
  <c r="S535" i="1"/>
  <c r="AU535" i="2"/>
  <c r="R535" i="1"/>
  <c r="AT535" i="2"/>
  <c r="Q535" i="1"/>
  <c r="AS535" i="2"/>
  <c r="P535" i="1"/>
  <c r="AR535" i="2"/>
  <c r="O535" i="1"/>
  <c r="AQ535" i="2"/>
  <c r="AP535" i="2"/>
  <c r="AO535" i="2"/>
  <c r="AN535" i="2"/>
  <c r="K535" i="1"/>
  <c r="AM535" i="2"/>
  <c r="J535" i="1"/>
  <c r="AL535" i="2"/>
  <c r="I535" i="1"/>
  <c r="AK535" i="2"/>
  <c r="AJ535" i="2"/>
  <c r="AI535" i="2"/>
  <c r="AH535" i="2"/>
  <c r="E535" i="1"/>
  <c r="AG535" i="2"/>
  <c r="D535" i="1"/>
  <c r="AF535" i="2"/>
  <c r="C535" i="1"/>
  <c r="AE535" i="2"/>
  <c r="AD535" i="2"/>
  <c r="AA535" i="2"/>
  <c r="Z535" i="2"/>
  <c r="S534" i="1"/>
  <c r="AU534" i="2"/>
  <c r="R534" i="1"/>
  <c r="AT534" i="2"/>
  <c r="Q534" i="1"/>
  <c r="AS534" i="2"/>
  <c r="P534" i="1"/>
  <c r="AR534" i="2"/>
  <c r="O534" i="1"/>
  <c r="AQ534" i="2"/>
  <c r="AP534" i="2"/>
  <c r="AO534" i="2"/>
  <c r="AN534" i="2"/>
  <c r="K534" i="1"/>
  <c r="AM534" i="2"/>
  <c r="J534" i="1"/>
  <c r="AL534" i="2"/>
  <c r="I534" i="1"/>
  <c r="AK534" i="2"/>
  <c r="AJ534" i="2"/>
  <c r="AI534" i="2"/>
  <c r="AH534" i="2"/>
  <c r="E534" i="1"/>
  <c r="AG534" i="2"/>
  <c r="D534" i="1"/>
  <c r="AF534" i="2"/>
  <c r="C534" i="1"/>
  <c r="AE534" i="2"/>
  <c r="AD534" i="2"/>
  <c r="AA534" i="2"/>
  <c r="Z534" i="2"/>
  <c r="S533" i="1"/>
  <c r="AU533" i="2"/>
  <c r="R533" i="1"/>
  <c r="AT533" i="2"/>
  <c r="Q533" i="1"/>
  <c r="AS533" i="2"/>
  <c r="P533" i="1"/>
  <c r="AR533" i="2"/>
  <c r="O533" i="1"/>
  <c r="AQ533" i="2"/>
  <c r="AP533" i="2"/>
  <c r="AO533" i="2"/>
  <c r="AN533" i="2"/>
  <c r="K533" i="1"/>
  <c r="AM533" i="2"/>
  <c r="J533" i="1"/>
  <c r="AL533" i="2"/>
  <c r="I533" i="1"/>
  <c r="AK533" i="2"/>
  <c r="AJ533" i="2"/>
  <c r="AI533" i="2"/>
  <c r="AH533" i="2"/>
  <c r="E533" i="1"/>
  <c r="AG533" i="2"/>
  <c r="D533" i="1"/>
  <c r="AF533" i="2"/>
  <c r="C533" i="1"/>
  <c r="AE533" i="2"/>
  <c r="AD533" i="2"/>
  <c r="AA533" i="2"/>
  <c r="Z533" i="2"/>
  <c r="S532" i="1"/>
  <c r="AU532" i="2"/>
  <c r="R532" i="1"/>
  <c r="AT532" i="2"/>
  <c r="Q532" i="1"/>
  <c r="AS532" i="2"/>
  <c r="P532" i="1"/>
  <c r="AR532" i="2"/>
  <c r="O532" i="1"/>
  <c r="AQ532" i="2"/>
  <c r="AP532" i="2"/>
  <c r="AO532" i="2"/>
  <c r="AN532" i="2"/>
  <c r="K532" i="1"/>
  <c r="AM532" i="2"/>
  <c r="J532" i="1"/>
  <c r="AL532" i="2"/>
  <c r="I532" i="1"/>
  <c r="AK532" i="2"/>
  <c r="AJ532" i="2"/>
  <c r="AI532" i="2"/>
  <c r="AH532" i="2"/>
  <c r="E532" i="1"/>
  <c r="AG532" i="2"/>
  <c r="D532" i="1"/>
  <c r="AF532" i="2"/>
  <c r="C532" i="1"/>
  <c r="AE532" i="2"/>
  <c r="AD532" i="2"/>
  <c r="AA532" i="2"/>
  <c r="Z532" i="2"/>
  <c r="S531" i="1"/>
  <c r="AU531" i="2"/>
  <c r="R531" i="1"/>
  <c r="AT531" i="2"/>
  <c r="Q531" i="1"/>
  <c r="AS531" i="2"/>
  <c r="P531" i="1"/>
  <c r="AR531" i="2"/>
  <c r="O531" i="1"/>
  <c r="AQ531" i="2"/>
  <c r="AP531" i="2"/>
  <c r="AO531" i="2"/>
  <c r="AN531" i="2"/>
  <c r="K531" i="1"/>
  <c r="AM531" i="2"/>
  <c r="J531" i="1"/>
  <c r="AL531" i="2"/>
  <c r="I531" i="1"/>
  <c r="AK531" i="2"/>
  <c r="AJ531" i="2"/>
  <c r="AI531" i="2"/>
  <c r="AH531" i="2"/>
  <c r="E531" i="1"/>
  <c r="AG531" i="2"/>
  <c r="D531" i="1"/>
  <c r="AF531" i="2"/>
  <c r="C531" i="1"/>
  <c r="AE531" i="2"/>
  <c r="AD531" i="2"/>
  <c r="AA531" i="2"/>
  <c r="Z531" i="2"/>
  <c r="S530" i="1"/>
  <c r="AU530" i="2"/>
  <c r="R530" i="1"/>
  <c r="AT530" i="2"/>
  <c r="Q530" i="1"/>
  <c r="AS530" i="2"/>
  <c r="P530" i="1"/>
  <c r="AR530" i="2"/>
  <c r="O530" i="1"/>
  <c r="AQ530" i="2"/>
  <c r="AP530" i="2"/>
  <c r="AO530" i="2"/>
  <c r="AN530" i="2"/>
  <c r="K530" i="1"/>
  <c r="AM530" i="2"/>
  <c r="J530" i="1"/>
  <c r="AL530" i="2"/>
  <c r="I530" i="1"/>
  <c r="AK530" i="2"/>
  <c r="AJ530" i="2"/>
  <c r="AI530" i="2"/>
  <c r="AH530" i="2"/>
  <c r="E530" i="1"/>
  <c r="AG530" i="2"/>
  <c r="D530" i="1"/>
  <c r="AF530" i="2"/>
  <c r="C530" i="1"/>
  <c r="AE530" i="2"/>
  <c r="AD530" i="2"/>
  <c r="AA530" i="2"/>
  <c r="Z530" i="2"/>
  <c r="S529" i="1"/>
  <c r="AU529" i="2"/>
  <c r="R529" i="1"/>
  <c r="AT529" i="2"/>
  <c r="Q529" i="1"/>
  <c r="AS529" i="2"/>
  <c r="P529" i="1"/>
  <c r="AR529" i="2"/>
  <c r="O529" i="1"/>
  <c r="AQ529" i="2"/>
  <c r="AP529" i="2"/>
  <c r="AO529" i="2"/>
  <c r="AN529" i="2"/>
  <c r="K529" i="1"/>
  <c r="AM529" i="2"/>
  <c r="J529" i="1"/>
  <c r="AL529" i="2"/>
  <c r="I529" i="1"/>
  <c r="AK529" i="2"/>
  <c r="AJ529" i="2"/>
  <c r="AI529" i="2"/>
  <c r="AH529" i="2"/>
  <c r="E529" i="1"/>
  <c r="AG529" i="2"/>
  <c r="D529" i="1"/>
  <c r="AF529" i="2"/>
  <c r="C529" i="1"/>
  <c r="AE529" i="2"/>
  <c r="AD529" i="2"/>
  <c r="AA529" i="2"/>
  <c r="Z529" i="2"/>
  <c r="S528" i="1"/>
  <c r="AU528" i="2"/>
  <c r="R528" i="1"/>
  <c r="AT528" i="2"/>
  <c r="Q528" i="1"/>
  <c r="AS528" i="2"/>
  <c r="P528" i="1"/>
  <c r="AR528" i="2"/>
  <c r="O528" i="1"/>
  <c r="AQ528" i="2"/>
  <c r="AP528" i="2"/>
  <c r="AO528" i="2"/>
  <c r="AN528" i="2"/>
  <c r="K528" i="1"/>
  <c r="AM528" i="2"/>
  <c r="J528" i="1"/>
  <c r="AL528" i="2"/>
  <c r="I528" i="1"/>
  <c r="AK528" i="2"/>
  <c r="AJ528" i="2"/>
  <c r="AI528" i="2"/>
  <c r="AH528" i="2"/>
  <c r="E528" i="1"/>
  <c r="AG528" i="2"/>
  <c r="D528" i="1"/>
  <c r="AF528" i="2"/>
  <c r="C528" i="1"/>
  <c r="AE528" i="2"/>
  <c r="AD528" i="2"/>
  <c r="AA528" i="2"/>
  <c r="Z528" i="2"/>
  <c r="S527" i="1"/>
  <c r="AU527" i="2"/>
  <c r="R527" i="1"/>
  <c r="AT527" i="2"/>
  <c r="Q527" i="1"/>
  <c r="AS527" i="2"/>
  <c r="P527" i="1"/>
  <c r="AR527" i="2"/>
  <c r="O527" i="1"/>
  <c r="AQ527" i="2"/>
  <c r="AP527" i="2"/>
  <c r="AO527" i="2"/>
  <c r="AN527" i="2"/>
  <c r="K527" i="1"/>
  <c r="AM527" i="2"/>
  <c r="J527" i="1"/>
  <c r="AL527" i="2"/>
  <c r="I527" i="1"/>
  <c r="AK527" i="2"/>
  <c r="AJ527" i="2"/>
  <c r="AI527" i="2"/>
  <c r="AH527" i="2"/>
  <c r="E527" i="1"/>
  <c r="AG527" i="2"/>
  <c r="D527" i="1"/>
  <c r="AF527" i="2"/>
  <c r="C527" i="1"/>
  <c r="AE527" i="2"/>
  <c r="AD527" i="2"/>
  <c r="AA527" i="2"/>
  <c r="Z527" i="2"/>
  <c r="S526" i="1"/>
  <c r="AU526" i="2"/>
  <c r="R526" i="1"/>
  <c r="AT526" i="2"/>
  <c r="Q526" i="1"/>
  <c r="AS526" i="2"/>
  <c r="P526" i="1"/>
  <c r="AR526" i="2"/>
  <c r="O526" i="1"/>
  <c r="AQ526" i="2"/>
  <c r="AP526" i="2"/>
  <c r="AO526" i="2"/>
  <c r="AN526" i="2"/>
  <c r="K526" i="1"/>
  <c r="AM526" i="2"/>
  <c r="J526" i="1"/>
  <c r="AL526" i="2"/>
  <c r="I526" i="1"/>
  <c r="AK526" i="2"/>
  <c r="AJ526" i="2"/>
  <c r="AI526" i="2"/>
  <c r="AH526" i="2"/>
  <c r="E526" i="1"/>
  <c r="AG526" i="2"/>
  <c r="D526" i="1"/>
  <c r="AF526" i="2"/>
  <c r="C526" i="1"/>
  <c r="AE526" i="2"/>
  <c r="AD526" i="2"/>
  <c r="AA526" i="2"/>
  <c r="Z526" i="2"/>
  <c r="S525" i="1"/>
  <c r="AU525" i="2"/>
  <c r="R525" i="1"/>
  <c r="AT525" i="2"/>
  <c r="Q525" i="1"/>
  <c r="AS525" i="2"/>
  <c r="P525" i="1"/>
  <c r="AR525" i="2"/>
  <c r="O525" i="1"/>
  <c r="AQ525" i="2"/>
  <c r="AP525" i="2"/>
  <c r="AO525" i="2"/>
  <c r="AN525" i="2"/>
  <c r="K525" i="1"/>
  <c r="AM525" i="2"/>
  <c r="J525" i="1"/>
  <c r="AL525" i="2"/>
  <c r="I525" i="1"/>
  <c r="AK525" i="2"/>
  <c r="AJ525" i="2"/>
  <c r="AI525" i="2"/>
  <c r="AH525" i="2"/>
  <c r="E525" i="1"/>
  <c r="AG525" i="2"/>
  <c r="D525" i="1"/>
  <c r="AF525" i="2"/>
  <c r="C525" i="1"/>
  <c r="AE525" i="2"/>
  <c r="AD525" i="2"/>
  <c r="AA525" i="2"/>
  <c r="Z525" i="2"/>
  <c r="S524" i="1"/>
  <c r="AU524" i="2"/>
  <c r="R524" i="1"/>
  <c r="AT524" i="2"/>
  <c r="Q524" i="1"/>
  <c r="AS524" i="2"/>
  <c r="P524" i="1"/>
  <c r="AR524" i="2"/>
  <c r="O524" i="1"/>
  <c r="AQ524" i="2"/>
  <c r="AP524" i="2"/>
  <c r="AO524" i="2"/>
  <c r="AN524" i="2"/>
  <c r="K524" i="1"/>
  <c r="AM524" i="2"/>
  <c r="J524" i="1"/>
  <c r="AL524" i="2"/>
  <c r="I524" i="1"/>
  <c r="AK524" i="2"/>
  <c r="AJ524" i="2"/>
  <c r="AI524" i="2"/>
  <c r="AH524" i="2"/>
  <c r="E524" i="1"/>
  <c r="AG524" i="2"/>
  <c r="D524" i="1"/>
  <c r="AF524" i="2"/>
  <c r="C524" i="1"/>
  <c r="AE524" i="2"/>
  <c r="AD524" i="2"/>
  <c r="AA524" i="2"/>
  <c r="Z524" i="2"/>
  <c r="S523" i="1"/>
  <c r="AU523" i="2"/>
  <c r="R523" i="1"/>
  <c r="AT523" i="2"/>
  <c r="Q523" i="1"/>
  <c r="AS523" i="2"/>
  <c r="P523" i="1"/>
  <c r="AR523" i="2"/>
  <c r="O523" i="1"/>
  <c r="AQ523" i="2"/>
  <c r="AP523" i="2"/>
  <c r="AO523" i="2"/>
  <c r="AN523" i="2"/>
  <c r="K523" i="1"/>
  <c r="AM523" i="2"/>
  <c r="J523" i="1"/>
  <c r="AL523" i="2"/>
  <c r="I523" i="1"/>
  <c r="AK523" i="2"/>
  <c r="AJ523" i="2"/>
  <c r="AI523" i="2"/>
  <c r="AH523" i="2"/>
  <c r="E523" i="1"/>
  <c r="AG523" i="2"/>
  <c r="D523" i="1"/>
  <c r="AF523" i="2"/>
  <c r="C523" i="1"/>
  <c r="AE523" i="2"/>
  <c r="AD523" i="2"/>
  <c r="AA523" i="2"/>
  <c r="Z523" i="2"/>
  <c r="S522" i="1"/>
  <c r="AU522" i="2"/>
  <c r="R522" i="1"/>
  <c r="AT522" i="2"/>
  <c r="Q522" i="1"/>
  <c r="AS522" i="2"/>
  <c r="P522" i="1"/>
  <c r="AR522" i="2"/>
  <c r="O522" i="1"/>
  <c r="AQ522" i="2"/>
  <c r="AP522" i="2"/>
  <c r="AO522" i="2"/>
  <c r="AN522" i="2"/>
  <c r="K522" i="1"/>
  <c r="AM522" i="2"/>
  <c r="J522" i="1"/>
  <c r="AL522" i="2"/>
  <c r="I522" i="1"/>
  <c r="AK522" i="2"/>
  <c r="AJ522" i="2"/>
  <c r="AI522" i="2"/>
  <c r="AH522" i="2"/>
  <c r="E522" i="1"/>
  <c r="AG522" i="2"/>
  <c r="D522" i="1"/>
  <c r="AF522" i="2"/>
  <c r="C522" i="1"/>
  <c r="AE522" i="2"/>
  <c r="AD522" i="2"/>
  <c r="AA522" i="2"/>
  <c r="Z522" i="2"/>
  <c r="S521" i="1"/>
  <c r="AU521" i="2"/>
  <c r="R521" i="1"/>
  <c r="AT521" i="2"/>
  <c r="Q521" i="1"/>
  <c r="AS521" i="2"/>
  <c r="P521" i="1"/>
  <c r="AR521" i="2"/>
  <c r="O521" i="1"/>
  <c r="AQ521" i="2"/>
  <c r="AP521" i="2"/>
  <c r="AO521" i="2"/>
  <c r="AN521" i="2"/>
  <c r="K521" i="1"/>
  <c r="AM521" i="2"/>
  <c r="J521" i="1"/>
  <c r="AL521" i="2"/>
  <c r="I521" i="1"/>
  <c r="AK521" i="2"/>
  <c r="AJ521" i="2"/>
  <c r="AI521" i="2"/>
  <c r="AH521" i="2"/>
  <c r="E521" i="1"/>
  <c r="AG521" i="2"/>
  <c r="D521" i="1"/>
  <c r="AF521" i="2"/>
  <c r="C521" i="1"/>
  <c r="AE521" i="2"/>
  <c r="AD521" i="2"/>
  <c r="AA521" i="2"/>
  <c r="Z521" i="2"/>
  <c r="S520" i="1"/>
  <c r="AU520" i="2"/>
  <c r="R520" i="1"/>
  <c r="AT520" i="2"/>
  <c r="Q520" i="1"/>
  <c r="AS520" i="2"/>
  <c r="P520" i="1"/>
  <c r="AR520" i="2"/>
  <c r="O520" i="1"/>
  <c r="AQ520" i="2"/>
  <c r="AP520" i="2"/>
  <c r="AO520" i="2"/>
  <c r="AN520" i="2"/>
  <c r="K520" i="1"/>
  <c r="AM520" i="2"/>
  <c r="J520" i="1"/>
  <c r="AL520" i="2"/>
  <c r="I520" i="1"/>
  <c r="AK520" i="2"/>
  <c r="AJ520" i="2"/>
  <c r="AI520" i="2"/>
  <c r="AH520" i="2"/>
  <c r="E520" i="1"/>
  <c r="AG520" i="2"/>
  <c r="D520" i="1"/>
  <c r="AF520" i="2"/>
  <c r="C520" i="1"/>
  <c r="AE520" i="2"/>
  <c r="AD520" i="2"/>
  <c r="AA520" i="2"/>
  <c r="Z520" i="2"/>
  <c r="S519" i="1"/>
  <c r="AU519" i="2"/>
  <c r="R519" i="1"/>
  <c r="AT519" i="2"/>
  <c r="Q519" i="1"/>
  <c r="AS519" i="2"/>
  <c r="P519" i="1"/>
  <c r="AR519" i="2"/>
  <c r="O519" i="1"/>
  <c r="AQ519" i="2"/>
  <c r="AP519" i="2"/>
  <c r="AO519" i="2"/>
  <c r="AN519" i="2"/>
  <c r="K519" i="1"/>
  <c r="AM519" i="2"/>
  <c r="J519" i="1"/>
  <c r="AL519" i="2"/>
  <c r="I519" i="1"/>
  <c r="AK519" i="2"/>
  <c r="AJ519" i="2"/>
  <c r="AI519" i="2"/>
  <c r="AH519" i="2"/>
  <c r="E519" i="1"/>
  <c r="AG519" i="2"/>
  <c r="D519" i="1"/>
  <c r="AF519" i="2"/>
  <c r="C519" i="1"/>
  <c r="AE519" i="2"/>
  <c r="AD519" i="2"/>
  <c r="AA519" i="2"/>
  <c r="Z519" i="2"/>
  <c r="S518" i="1"/>
  <c r="AU518" i="2"/>
  <c r="R518" i="1"/>
  <c r="AT518" i="2"/>
  <c r="Q518" i="1"/>
  <c r="AS518" i="2"/>
  <c r="P518" i="1"/>
  <c r="AR518" i="2"/>
  <c r="O518" i="1"/>
  <c r="AQ518" i="2"/>
  <c r="AP518" i="2"/>
  <c r="AO518" i="2"/>
  <c r="AN518" i="2"/>
  <c r="K518" i="1"/>
  <c r="AM518" i="2"/>
  <c r="J518" i="1"/>
  <c r="AL518" i="2"/>
  <c r="I518" i="1"/>
  <c r="AK518" i="2"/>
  <c r="AJ518" i="2"/>
  <c r="AI518" i="2"/>
  <c r="AH518" i="2"/>
  <c r="E518" i="1"/>
  <c r="AG518" i="2"/>
  <c r="D518" i="1"/>
  <c r="AF518" i="2"/>
  <c r="C518" i="1"/>
  <c r="AE518" i="2"/>
  <c r="AD518" i="2"/>
  <c r="AA518" i="2"/>
  <c r="Z518" i="2"/>
  <c r="S517" i="1"/>
  <c r="AU517" i="2"/>
  <c r="R517" i="1"/>
  <c r="AT517" i="2"/>
  <c r="Q517" i="1"/>
  <c r="AS517" i="2"/>
  <c r="P517" i="1"/>
  <c r="AR517" i="2"/>
  <c r="O517" i="1"/>
  <c r="AQ517" i="2"/>
  <c r="AP517" i="2"/>
  <c r="AO517" i="2"/>
  <c r="AN517" i="2"/>
  <c r="K517" i="1"/>
  <c r="AM517" i="2"/>
  <c r="J517" i="1"/>
  <c r="AL517" i="2"/>
  <c r="I517" i="1"/>
  <c r="AK517" i="2"/>
  <c r="AJ517" i="2"/>
  <c r="AI517" i="2"/>
  <c r="AH517" i="2"/>
  <c r="E517" i="1"/>
  <c r="AG517" i="2"/>
  <c r="D517" i="1"/>
  <c r="AF517" i="2"/>
  <c r="C517" i="1"/>
  <c r="AE517" i="2"/>
  <c r="AD517" i="2"/>
  <c r="AA517" i="2"/>
  <c r="Z517" i="2"/>
  <c r="S516" i="1"/>
  <c r="AU516" i="2"/>
  <c r="R516" i="1"/>
  <c r="AT516" i="2"/>
  <c r="Q516" i="1"/>
  <c r="AS516" i="2"/>
  <c r="P516" i="1"/>
  <c r="AR516" i="2"/>
  <c r="O516" i="1"/>
  <c r="AQ516" i="2"/>
  <c r="AP516" i="2"/>
  <c r="AO516" i="2"/>
  <c r="AN516" i="2"/>
  <c r="K516" i="1"/>
  <c r="AM516" i="2"/>
  <c r="J516" i="1"/>
  <c r="AL516" i="2"/>
  <c r="I516" i="1"/>
  <c r="AK516" i="2"/>
  <c r="AJ516" i="2"/>
  <c r="AI516" i="2"/>
  <c r="AH516" i="2"/>
  <c r="E516" i="1"/>
  <c r="AG516" i="2"/>
  <c r="D516" i="1"/>
  <c r="AF516" i="2"/>
  <c r="C516" i="1"/>
  <c r="AE516" i="2"/>
  <c r="AD516" i="2"/>
  <c r="AA516" i="2"/>
  <c r="Z516" i="2"/>
  <c r="S515" i="1"/>
  <c r="AU515" i="2"/>
  <c r="R515" i="1"/>
  <c r="AT515" i="2"/>
  <c r="Q515" i="1"/>
  <c r="AS515" i="2"/>
  <c r="P515" i="1"/>
  <c r="AR515" i="2"/>
  <c r="O515" i="1"/>
  <c r="AQ515" i="2"/>
  <c r="AP515" i="2"/>
  <c r="AO515" i="2"/>
  <c r="AN515" i="2"/>
  <c r="K515" i="1"/>
  <c r="AM515" i="2"/>
  <c r="J515" i="1"/>
  <c r="AL515" i="2"/>
  <c r="I515" i="1"/>
  <c r="AK515" i="2"/>
  <c r="AJ515" i="2"/>
  <c r="AI515" i="2"/>
  <c r="AH515" i="2"/>
  <c r="E515" i="1"/>
  <c r="AG515" i="2"/>
  <c r="D515" i="1"/>
  <c r="AF515" i="2"/>
  <c r="C515" i="1"/>
  <c r="AE515" i="2"/>
  <c r="AD515" i="2"/>
  <c r="AA515" i="2"/>
  <c r="Z515" i="2"/>
  <c r="S514" i="1"/>
  <c r="AU514" i="2"/>
  <c r="R514" i="1"/>
  <c r="AT514" i="2"/>
  <c r="Q514" i="1"/>
  <c r="AS514" i="2"/>
  <c r="P514" i="1"/>
  <c r="AR514" i="2"/>
  <c r="O514" i="1"/>
  <c r="AQ514" i="2"/>
  <c r="AP514" i="2"/>
  <c r="AO514" i="2"/>
  <c r="AN514" i="2"/>
  <c r="K514" i="1"/>
  <c r="AM514" i="2"/>
  <c r="J514" i="1"/>
  <c r="AL514" i="2"/>
  <c r="I514" i="1"/>
  <c r="AK514" i="2"/>
  <c r="AJ514" i="2"/>
  <c r="AI514" i="2"/>
  <c r="AH514" i="2"/>
  <c r="E514" i="1"/>
  <c r="AG514" i="2"/>
  <c r="D514" i="1"/>
  <c r="AF514" i="2"/>
  <c r="C514" i="1"/>
  <c r="AE514" i="2"/>
  <c r="AD514" i="2"/>
  <c r="AA514" i="2"/>
  <c r="Z514" i="2"/>
  <c r="S513" i="1"/>
  <c r="AU513" i="2"/>
  <c r="R513" i="1"/>
  <c r="AT513" i="2"/>
  <c r="Q513" i="1"/>
  <c r="AS513" i="2"/>
  <c r="P513" i="1"/>
  <c r="AR513" i="2"/>
  <c r="O513" i="1"/>
  <c r="AQ513" i="2"/>
  <c r="AP513" i="2"/>
  <c r="AO513" i="2"/>
  <c r="AN513" i="2"/>
  <c r="K513" i="1"/>
  <c r="AM513" i="2"/>
  <c r="J513" i="1"/>
  <c r="AL513" i="2"/>
  <c r="I513" i="1"/>
  <c r="AK513" i="2"/>
  <c r="AJ513" i="2"/>
  <c r="AI513" i="2"/>
  <c r="AH513" i="2"/>
  <c r="E513" i="1"/>
  <c r="AG513" i="2"/>
  <c r="D513" i="1"/>
  <c r="AF513" i="2"/>
  <c r="C513" i="1"/>
  <c r="AE513" i="2"/>
  <c r="AD513" i="2"/>
  <c r="AA513" i="2"/>
  <c r="Z513" i="2"/>
  <c r="S512" i="1"/>
  <c r="AU512" i="2"/>
  <c r="R512" i="1"/>
  <c r="AT512" i="2"/>
  <c r="Q512" i="1"/>
  <c r="AS512" i="2"/>
  <c r="P512" i="1"/>
  <c r="AR512" i="2"/>
  <c r="O512" i="1"/>
  <c r="AQ512" i="2"/>
  <c r="AP512" i="2"/>
  <c r="AO512" i="2"/>
  <c r="AN512" i="2"/>
  <c r="K512" i="1"/>
  <c r="AM512" i="2"/>
  <c r="J512" i="1"/>
  <c r="AL512" i="2"/>
  <c r="I512" i="1"/>
  <c r="AK512" i="2"/>
  <c r="AJ512" i="2"/>
  <c r="AI512" i="2"/>
  <c r="AH512" i="2"/>
  <c r="E512" i="1"/>
  <c r="AG512" i="2"/>
  <c r="D512" i="1"/>
  <c r="AF512" i="2"/>
  <c r="C512" i="1"/>
  <c r="AE512" i="2"/>
  <c r="AD512" i="2"/>
  <c r="AA512" i="2"/>
  <c r="Z512" i="2"/>
  <c r="S511" i="1"/>
  <c r="AU511" i="2"/>
  <c r="R511" i="1"/>
  <c r="AT511" i="2"/>
  <c r="Q511" i="1"/>
  <c r="AS511" i="2"/>
  <c r="P511" i="1"/>
  <c r="AR511" i="2"/>
  <c r="O511" i="1"/>
  <c r="AQ511" i="2"/>
  <c r="AP511" i="2"/>
  <c r="AO511" i="2"/>
  <c r="AN511" i="2"/>
  <c r="K511" i="1"/>
  <c r="AM511" i="2"/>
  <c r="J511" i="1"/>
  <c r="AL511" i="2"/>
  <c r="I511" i="1"/>
  <c r="AK511" i="2"/>
  <c r="AJ511" i="2"/>
  <c r="AI511" i="2"/>
  <c r="AH511" i="2"/>
  <c r="E511" i="1"/>
  <c r="AG511" i="2"/>
  <c r="D511" i="1"/>
  <c r="AF511" i="2"/>
  <c r="C511" i="1"/>
  <c r="AE511" i="2"/>
  <c r="AD511" i="2"/>
  <c r="AA511" i="2"/>
  <c r="Z511" i="2"/>
  <c r="S510" i="1"/>
  <c r="AU510" i="2"/>
  <c r="R510" i="1"/>
  <c r="AT510" i="2"/>
  <c r="Q510" i="1"/>
  <c r="AS510" i="2"/>
  <c r="P510" i="1"/>
  <c r="AR510" i="2"/>
  <c r="O510" i="1"/>
  <c r="AQ510" i="2"/>
  <c r="AP510" i="2"/>
  <c r="AO510" i="2"/>
  <c r="AN510" i="2"/>
  <c r="K510" i="1"/>
  <c r="AM510" i="2"/>
  <c r="J510" i="1"/>
  <c r="AL510" i="2"/>
  <c r="I510" i="1"/>
  <c r="AK510" i="2"/>
  <c r="AJ510" i="2"/>
  <c r="AI510" i="2"/>
  <c r="AH510" i="2"/>
  <c r="E510" i="1"/>
  <c r="AG510" i="2"/>
  <c r="D510" i="1"/>
  <c r="AF510" i="2"/>
  <c r="C510" i="1"/>
  <c r="AE510" i="2"/>
  <c r="AD510" i="2"/>
  <c r="AA510" i="2"/>
  <c r="Z510" i="2"/>
  <c r="S509" i="1"/>
  <c r="AU509" i="2"/>
  <c r="R509" i="1"/>
  <c r="AT509" i="2"/>
  <c r="Q509" i="1"/>
  <c r="AS509" i="2"/>
  <c r="P509" i="1"/>
  <c r="AR509" i="2"/>
  <c r="O509" i="1"/>
  <c r="AQ509" i="2"/>
  <c r="AP509" i="2"/>
  <c r="AO509" i="2"/>
  <c r="AN509" i="2"/>
  <c r="K509" i="1"/>
  <c r="AM509" i="2"/>
  <c r="J509" i="1"/>
  <c r="AL509" i="2"/>
  <c r="I509" i="1"/>
  <c r="AK509" i="2"/>
  <c r="AJ509" i="2"/>
  <c r="AI509" i="2"/>
  <c r="AH509" i="2"/>
  <c r="E509" i="1"/>
  <c r="AG509" i="2"/>
  <c r="D509" i="1"/>
  <c r="AF509" i="2"/>
  <c r="C509" i="1"/>
  <c r="AE509" i="2"/>
  <c r="AD509" i="2"/>
  <c r="AA509" i="2"/>
  <c r="Z509" i="2"/>
  <c r="S508" i="1"/>
  <c r="AU508" i="2"/>
  <c r="R508" i="1"/>
  <c r="AT508" i="2"/>
  <c r="Q508" i="1"/>
  <c r="AS508" i="2"/>
  <c r="P508" i="1"/>
  <c r="AR508" i="2"/>
  <c r="O508" i="1"/>
  <c r="AQ508" i="2"/>
  <c r="AP508" i="2"/>
  <c r="AO508" i="2"/>
  <c r="AN508" i="2"/>
  <c r="K508" i="1"/>
  <c r="AM508" i="2"/>
  <c r="J508" i="1"/>
  <c r="AL508" i="2"/>
  <c r="I508" i="1"/>
  <c r="AK508" i="2"/>
  <c r="AJ508" i="2"/>
  <c r="AI508" i="2"/>
  <c r="AH508" i="2"/>
  <c r="E508" i="1"/>
  <c r="AG508" i="2"/>
  <c r="D508" i="1"/>
  <c r="AF508" i="2"/>
  <c r="C508" i="1"/>
  <c r="AE508" i="2"/>
  <c r="AD508" i="2"/>
  <c r="AA508" i="2"/>
  <c r="Z508" i="2"/>
  <c r="S507" i="1"/>
  <c r="AU507" i="2"/>
  <c r="R507" i="1"/>
  <c r="AT507" i="2"/>
  <c r="Q507" i="1"/>
  <c r="AS507" i="2"/>
  <c r="P507" i="1"/>
  <c r="AR507" i="2"/>
  <c r="O507" i="1"/>
  <c r="AQ507" i="2"/>
  <c r="AP507" i="2"/>
  <c r="AO507" i="2"/>
  <c r="AN507" i="2"/>
  <c r="K507" i="1"/>
  <c r="AM507" i="2"/>
  <c r="J507" i="1"/>
  <c r="AL507" i="2"/>
  <c r="I507" i="1"/>
  <c r="AK507" i="2"/>
  <c r="AJ507" i="2"/>
  <c r="AI507" i="2"/>
  <c r="AH507" i="2"/>
  <c r="E507" i="1"/>
  <c r="AG507" i="2"/>
  <c r="D507" i="1"/>
  <c r="AF507" i="2"/>
  <c r="C507" i="1"/>
  <c r="AE507" i="2"/>
  <c r="AD507" i="2"/>
  <c r="AA507" i="2"/>
  <c r="Z507" i="2"/>
  <c r="S506" i="1"/>
  <c r="AU506" i="2"/>
  <c r="R506" i="1"/>
  <c r="AT506" i="2"/>
  <c r="Q506" i="1"/>
  <c r="AS506" i="2"/>
  <c r="P506" i="1"/>
  <c r="AR506" i="2"/>
  <c r="O506" i="1"/>
  <c r="AQ506" i="2"/>
  <c r="AP506" i="2"/>
  <c r="AO506" i="2"/>
  <c r="AN506" i="2"/>
  <c r="K506" i="1"/>
  <c r="AM506" i="2"/>
  <c r="J506" i="1"/>
  <c r="AL506" i="2"/>
  <c r="I506" i="1"/>
  <c r="AK506" i="2"/>
  <c r="AJ506" i="2"/>
  <c r="AI506" i="2"/>
  <c r="AH506" i="2"/>
  <c r="E506" i="1"/>
  <c r="AG506" i="2"/>
  <c r="D506" i="1"/>
  <c r="AF506" i="2"/>
  <c r="C506" i="1"/>
  <c r="AE506" i="2"/>
  <c r="AD506" i="2"/>
  <c r="AA506" i="2"/>
  <c r="Z506" i="2"/>
  <c r="S505" i="1"/>
  <c r="AU505" i="2"/>
  <c r="R505" i="1"/>
  <c r="AT505" i="2"/>
  <c r="Q505" i="1"/>
  <c r="AS505" i="2"/>
  <c r="P505" i="1"/>
  <c r="AR505" i="2"/>
  <c r="O505" i="1"/>
  <c r="AQ505" i="2"/>
  <c r="AP505" i="2"/>
  <c r="AO505" i="2"/>
  <c r="AN505" i="2"/>
  <c r="K505" i="1"/>
  <c r="AM505" i="2"/>
  <c r="J505" i="1"/>
  <c r="AL505" i="2"/>
  <c r="I505" i="1"/>
  <c r="AK505" i="2"/>
  <c r="AJ505" i="2"/>
  <c r="AI505" i="2"/>
  <c r="AH505" i="2"/>
  <c r="E505" i="1"/>
  <c r="AG505" i="2"/>
  <c r="D505" i="1"/>
  <c r="AF505" i="2"/>
  <c r="C505" i="1"/>
  <c r="AE505" i="2"/>
  <c r="AD505" i="2"/>
  <c r="AA505" i="2"/>
  <c r="Z505" i="2"/>
  <c r="S504" i="1"/>
  <c r="AU504" i="2"/>
  <c r="R504" i="1"/>
  <c r="AT504" i="2"/>
  <c r="Q504" i="1"/>
  <c r="AS504" i="2"/>
  <c r="P504" i="1"/>
  <c r="AR504" i="2"/>
  <c r="O504" i="1"/>
  <c r="AQ504" i="2"/>
  <c r="AP504" i="2"/>
  <c r="AO504" i="2"/>
  <c r="AN504" i="2"/>
  <c r="K504" i="1"/>
  <c r="AM504" i="2"/>
  <c r="J504" i="1"/>
  <c r="AL504" i="2"/>
  <c r="I504" i="1"/>
  <c r="AK504" i="2"/>
  <c r="AJ504" i="2"/>
  <c r="AI504" i="2"/>
  <c r="AH504" i="2"/>
  <c r="E504" i="1"/>
  <c r="AG504" i="2"/>
  <c r="D504" i="1"/>
  <c r="AF504" i="2"/>
  <c r="C504" i="1"/>
  <c r="AE504" i="2"/>
  <c r="AD504" i="2"/>
  <c r="AA504" i="2"/>
  <c r="Z504" i="2"/>
  <c r="S503" i="1"/>
  <c r="AU503" i="2"/>
  <c r="R503" i="1"/>
  <c r="AT503" i="2"/>
  <c r="Q503" i="1"/>
  <c r="AS503" i="2"/>
  <c r="P503" i="1"/>
  <c r="AR503" i="2"/>
  <c r="O503" i="1"/>
  <c r="AQ503" i="2"/>
  <c r="AP503" i="2"/>
  <c r="AO503" i="2"/>
  <c r="AN503" i="2"/>
  <c r="K503" i="1"/>
  <c r="AM503" i="2"/>
  <c r="J503" i="1"/>
  <c r="AL503" i="2"/>
  <c r="I503" i="1"/>
  <c r="AK503" i="2"/>
  <c r="AJ503" i="2"/>
  <c r="AI503" i="2"/>
  <c r="AH503" i="2"/>
  <c r="E503" i="1"/>
  <c r="AG503" i="2"/>
  <c r="D503" i="1"/>
  <c r="AF503" i="2"/>
  <c r="C503" i="1"/>
  <c r="AE503" i="2"/>
  <c r="AD503" i="2"/>
  <c r="AA503" i="2"/>
  <c r="Z503" i="2"/>
  <c r="S502" i="1"/>
  <c r="AU502" i="2"/>
  <c r="R502" i="1"/>
  <c r="AT502" i="2"/>
  <c r="Q502" i="1"/>
  <c r="AS502" i="2"/>
  <c r="P502" i="1"/>
  <c r="AR502" i="2"/>
  <c r="O502" i="1"/>
  <c r="AQ502" i="2"/>
  <c r="AP502" i="2"/>
  <c r="AO502" i="2"/>
  <c r="AN502" i="2"/>
  <c r="K502" i="1"/>
  <c r="AM502" i="2"/>
  <c r="J502" i="1"/>
  <c r="AL502" i="2"/>
  <c r="I502" i="1"/>
  <c r="AK502" i="2"/>
  <c r="AJ502" i="2"/>
  <c r="AI502" i="2"/>
  <c r="AH502" i="2"/>
  <c r="E502" i="1"/>
  <c r="AG502" i="2"/>
  <c r="D502" i="1"/>
  <c r="AF502" i="2"/>
  <c r="C502" i="1"/>
  <c r="AE502" i="2"/>
  <c r="AD502" i="2"/>
  <c r="AA502" i="2"/>
  <c r="Z502" i="2"/>
  <c r="S501" i="1"/>
  <c r="AU501" i="2"/>
  <c r="R501" i="1"/>
  <c r="AT501" i="2"/>
  <c r="Q501" i="1"/>
  <c r="AS501" i="2"/>
  <c r="P501" i="1"/>
  <c r="AR501" i="2"/>
  <c r="O501" i="1"/>
  <c r="AQ501" i="2"/>
  <c r="AP501" i="2"/>
  <c r="AO501" i="2"/>
  <c r="AN501" i="2"/>
  <c r="K501" i="1"/>
  <c r="AM501" i="2"/>
  <c r="J501" i="1"/>
  <c r="AL501" i="2"/>
  <c r="I501" i="1"/>
  <c r="AK501" i="2"/>
  <c r="AJ501" i="2"/>
  <c r="AI501" i="2"/>
  <c r="AH501" i="2"/>
  <c r="E501" i="1"/>
  <c r="AG501" i="2"/>
  <c r="D501" i="1"/>
  <c r="AF501" i="2"/>
  <c r="C501" i="1"/>
  <c r="AE501" i="2"/>
  <c r="AD501" i="2"/>
  <c r="AA501" i="2"/>
  <c r="Z501" i="2"/>
  <c r="S500" i="1"/>
  <c r="AU500" i="2"/>
  <c r="R500" i="1"/>
  <c r="AT500" i="2"/>
  <c r="Q500" i="1"/>
  <c r="AS500" i="2"/>
  <c r="P500" i="1"/>
  <c r="AR500" i="2"/>
  <c r="O500" i="1"/>
  <c r="AQ500" i="2"/>
  <c r="AP500" i="2"/>
  <c r="AO500" i="2"/>
  <c r="AN500" i="2"/>
  <c r="K500" i="1"/>
  <c r="AM500" i="2"/>
  <c r="J500" i="1"/>
  <c r="AL500" i="2"/>
  <c r="I500" i="1"/>
  <c r="AK500" i="2"/>
  <c r="AJ500" i="2"/>
  <c r="AI500" i="2"/>
  <c r="AH500" i="2"/>
  <c r="E500" i="1"/>
  <c r="AG500" i="2"/>
  <c r="D500" i="1"/>
  <c r="AF500" i="2"/>
  <c r="C500" i="1"/>
  <c r="AE500" i="2"/>
  <c r="AD500" i="2"/>
  <c r="AA500" i="2"/>
  <c r="Z500" i="2"/>
  <c r="S499" i="1"/>
  <c r="AU499" i="2"/>
  <c r="R499" i="1"/>
  <c r="AT499" i="2"/>
  <c r="Q499" i="1"/>
  <c r="AS499" i="2"/>
  <c r="P499" i="1"/>
  <c r="AR499" i="2"/>
  <c r="O499" i="1"/>
  <c r="AQ499" i="2"/>
  <c r="AP499" i="2"/>
  <c r="AO499" i="2"/>
  <c r="AN499" i="2"/>
  <c r="K499" i="1"/>
  <c r="AM499" i="2"/>
  <c r="J499" i="1"/>
  <c r="AL499" i="2"/>
  <c r="I499" i="1"/>
  <c r="AK499" i="2"/>
  <c r="AJ499" i="2"/>
  <c r="AI499" i="2"/>
  <c r="AH499" i="2"/>
  <c r="E499" i="1"/>
  <c r="AG499" i="2"/>
  <c r="D499" i="1"/>
  <c r="AF499" i="2"/>
  <c r="C499" i="1"/>
  <c r="AE499" i="2"/>
  <c r="AD499" i="2"/>
  <c r="AA499" i="2"/>
  <c r="Z499" i="2"/>
  <c r="S498" i="1"/>
  <c r="AU498" i="2"/>
  <c r="R498" i="1"/>
  <c r="AT498" i="2"/>
  <c r="Q498" i="1"/>
  <c r="AS498" i="2"/>
  <c r="P498" i="1"/>
  <c r="AR498" i="2"/>
  <c r="O498" i="1"/>
  <c r="AQ498" i="2"/>
  <c r="AP498" i="2"/>
  <c r="AO498" i="2"/>
  <c r="AN498" i="2"/>
  <c r="K498" i="1"/>
  <c r="AM498" i="2"/>
  <c r="J498" i="1"/>
  <c r="AL498" i="2"/>
  <c r="I498" i="1"/>
  <c r="AK498" i="2"/>
  <c r="AJ498" i="2"/>
  <c r="AI498" i="2"/>
  <c r="AH498" i="2"/>
  <c r="E498" i="1"/>
  <c r="AG498" i="2"/>
  <c r="D498" i="1"/>
  <c r="AF498" i="2"/>
  <c r="C498" i="1"/>
  <c r="AE498" i="2"/>
  <c r="AD498" i="2"/>
  <c r="AA498" i="2"/>
  <c r="Z498" i="2"/>
  <c r="S497" i="1"/>
  <c r="AU497" i="2"/>
  <c r="R497" i="1"/>
  <c r="AT497" i="2"/>
  <c r="Q497" i="1"/>
  <c r="AS497" i="2"/>
  <c r="P497" i="1"/>
  <c r="AR497" i="2"/>
  <c r="O497" i="1"/>
  <c r="AQ497" i="2"/>
  <c r="AP497" i="2"/>
  <c r="AO497" i="2"/>
  <c r="AN497" i="2"/>
  <c r="K497" i="1"/>
  <c r="AM497" i="2"/>
  <c r="J497" i="1"/>
  <c r="AL497" i="2"/>
  <c r="I497" i="1"/>
  <c r="AK497" i="2"/>
  <c r="AJ497" i="2"/>
  <c r="AI497" i="2"/>
  <c r="AH497" i="2"/>
  <c r="E497" i="1"/>
  <c r="AG497" i="2"/>
  <c r="D497" i="1"/>
  <c r="AF497" i="2"/>
  <c r="C497" i="1"/>
  <c r="AE497" i="2"/>
  <c r="AD497" i="2"/>
  <c r="AA497" i="2"/>
  <c r="Z497" i="2"/>
  <c r="S496" i="1"/>
  <c r="AU496" i="2"/>
  <c r="R496" i="1"/>
  <c r="AT496" i="2"/>
  <c r="Q496" i="1"/>
  <c r="AS496" i="2"/>
  <c r="P496" i="1"/>
  <c r="AR496" i="2"/>
  <c r="O496" i="1"/>
  <c r="AQ496" i="2"/>
  <c r="AP496" i="2"/>
  <c r="AO496" i="2"/>
  <c r="AN496" i="2"/>
  <c r="K496" i="1"/>
  <c r="AM496" i="2"/>
  <c r="J496" i="1"/>
  <c r="AL496" i="2"/>
  <c r="I496" i="1"/>
  <c r="AK496" i="2"/>
  <c r="AJ496" i="2"/>
  <c r="AI496" i="2"/>
  <c r="AH496" i="2"/>
  <c r="E496" i="1"/>
  <c r="AG496" i="2"/>
  <c r="D496" i="1"/>
  <c r="AF496" i="2"/>
  <c r="C496" i="1"/>
  <c r="AE496" i="2"/>
  <c r="AD496" i="2"/>
  <c r="AA496" i="2"/>
  <c r="Z496" i="2"/>
  <c r="S495" i="1"/>
  <c r="AU495" i="2"/>
  <c r="R495" i="1"/>
  <c r="AT495" i="2"/>
  <c r="Q495" i="1"/>
  <c r="AS495" i="2"/>
  <c r="P495" i="1"/>
  <c r="AR495" i="2"/>
  <c r="O495" i="1"/>
  <c r="AQ495" i="2"/>
  <c r="AP495" i="2"/>
  <c r="AO495" i="2"/>
  <c r="AN495" i="2"/>
  <c r="K495" i="1"/>
  <c r="AM495" i="2"/>
  <c r="J495" i="1"/>
  <c r="AL495" i="2"/>
  <c r="I495" i="1"/>
  <c r="AK495" i="2"/>
  <c r="AJ495" i="2"/>
  <c r="AI495" i="2"/>
  <c r="AH495" i="2"/>
  <c r="E495" i="1"/>
  <c r="AG495" i="2"/>
  <c r="D495" i="1"/>
  <c r="AF495" i="2"/>
  <c r="C495" i="1"/>
  <c r="AE495" i="2"/>
  <c r="AD495" i="2"/>
  <c r="AA495" i="2"/>
  <c r="Z495" i="2"/>
  <c r="S494" i="1"/>
  <c r="AU494" i="2"/>
  <c r="R494" i="1"/>
  <c r="AT494" i="2"/>
  <c r="Q494" i="1"/>
  <c r="AS494" i="2"/>
  <c r="P494" i="1"/>
  <c r="AR494" i="2"/>
  <c r="O494" i="1"/>
  <c r="AQ494" i="2"/>
  <c r="AP494" i="2"/>
  <c r="AO494" i="2"/>
  <c r="AN494" i="2"/>
  <c r="K494" i="1"/>
  <c r="AM494" i="2"/>
  <c r="J494" i="1"/>
  <c r="AL494" i="2"/>
  <c r="I494" i="1"/>
  <c r="AK494" i="2"/>
  <c r="AJ494" i="2"/>
  <c r="AI494" i="2"/>
  <c r="AH494" i="2"/>
  <c r="E494" i="1"/>
  <c r="AG494" i="2"/>
  <c r="D494" i="1"/>
  <c r="AF494" i="2"/>
  <c r="C494" i="1"/>
  <c r="AE494" i="2"/>
  <c r="AD494" i="2"/>
  <c r="AA494" i="2"/>
  <c r="Z494" i="2"/>
  <c r="S493" i="1"/>
  <c r="AU493" i="2"/>
  <c r="R493" i="1"/>
  <c r="AT493" i="2"/>
  <c r="Q493" i="1"/>
  <c r="AS493" i="2"/>
  <c r="P493" i="1"/>
  <c r="AR493" i="2"/>
  <c r="O493" i="1"/>
  <c r="AQ493" i="2"/>
  <c r="AP493" i="2"/>
  <c r="AO493" i="2"/>
  <c r="AN493" i="2"/>
  <c r="K493" i="1"/>
  <c r="AM493" i="2"/>
  <c r="J493" i="1"/>
  <c r="AL493" i="2"/>
  <c r="I493" i="1"/>
  <c r="AK493" i="2"/>
  <c r="AJ493" i="2"/>
  <c r="AI493" i="2"/>
  <c r="AH493" i="2"/>
  <c r="E493" i="1"/>
  <c r="AG493" i="2"/>
  <c r="D493" i="1"/>
  <c r="AF493" i="2"/>
  <c r="C493" i="1"/>
  <c r="AE493" i="2"/>
  <c r="AD493" i="2"/>
  <c r="AA493" i="2"/>
  <c r="Z493" i="2"/>
  <c r="S492" i="1"/>
  <c r="AU492" i="2"/>
  <c r="R492" i="1"/>
  <c r="AT492" i="2"/>
  <c r="Q492" i="1"/>
  <c r="AS492" i="2"/>
  <c r="P492" i="1"/>
  <c r="AR492" i="2"/>
  <c r="O492" i="1"/>
  <c r="AQ492" i="2"/>
  <c r="AP492" i="2"/>
  <c r="AO492" i="2"/>
  <c r="AN492" i="2"/>
  <c r="K492" i="1"/>
  <c r="AM492" i="2"/>
  <c r="J492" i="1"/>
  <c r="AL492" i="2"/>
  <c r="I492" i="1"/>
  <c r="AK492" i="2"/>
  <c r="AJ492" i="2"/>
  <c r="AI492" i="2"/>
  <c r="AH492" i="2"/>
  <c r="E492" i="1"/>
  <c r="AG492" i="2"/>
  <c r="D492" i="1"/>
  <c r="AF492" i="2"/>
  <c r="C492" i="1"/>
  <c r="AE492" i="2"/>
  <c r="AD492" i="2"/>
  <c r="AA492" i="2"/>
  <c r="Z492" i="2"/>
  <c r="S491" i="1"/>
  <c r="AU491" i="2"/>
  <c r="R491" i="1"/>
  <c r="AT491" i="2"/>
  <c r="Q491" i="1"/>
  <c r="AS491" i="2"/>
  <c r="P491" i="1"/>
  <c r="AR491" i="2"/>
  <c r="O491" i="1"/>
  <c r="AQ491" i="2"/>
  <c r="AP491" i="2"/>
  <c r="AO491" i="2"/>
  <c r="AN491" i="2"/>
  <c r="K491" i="1"/>
  <c r="AM491" i="2"/>
  <c r="J491" i="1"/>
  <c r="AL491" i="2"/>
  <c r="I491" i="1"/>
  <c r="AK491" i="2"/>
  <c r="AJ491" i="2"/>
  <c r="AI491" i="2"/>
  <c r="AH491" i="2"/>
  <c r="E491" i="1"/>
  <c r="AG491" i="2"/>
  <c r="D491" i="1"/>
  <c r="AF491" i="2"/>
  <c r="C491" i="1"/>
  <c r="AE491" i="2"/>
  <c r="AD491" i="2"/>
  <c r="AA491" i="2"/>
  <c r="Z491" i="2"/>
  <c r="S490" i="1"/>
  <c r="AU490" i="2"/>
  <c r="R490" i="1"/>
  <c r="AT490" i="2"/>
  <c r="Q490" i="1"/>
  <c r="AS490" i="2"/>
  <c r="P490" i="1"/>
  <c r="AR490" i="2"/>
  <c r="O490" i="1"/>
  <c r="AQ490" i="2"/>
  <c r="AP490" i="2"/>
  <c r="AO490" i="2"/>
  <c r="AN490" i="2"/>
  <c r="K490" i="1"/>
  <c r="AM490" i="2"/>
  <c r="J490" i="1"/>
  <c r="AL490" i="2"/>
  <c r="I490" i="1"/>
  <c r="AK490" i="2"/>
  <c r="AJ490" i="2"/>
  <c r="AI490" i="2"/>
  <c r="AH490" i="2"/>
  <c r="E490" i="1"/>
  <c r="AG490" i="2"/>
  <c r="D490" i="1"/>
  <c r="AF490" i="2"/>
  <c r="C490" i="1"/>
  <c r="AE490" i="2"/>
  <c r="AD490" i="2"/>
  <c r="AA490" i="2"/>
  <c r="Z490" i="2"/>
  <c r="S489" i="1"/>
  <c r="AU489" i="2"/>
  <c r="R489" i="1"/>
  <c r="AT489" i="2"/>
  <c r="Q489" i="1"/>
  <c r="AS489" i="2"/>
  <c r="P489" i="1"/>
  <c r="AR489" i="2"/>
  <c r="O489" i="1"/>
  <c r="AQ489" i="2"/>
  <c r="AP489" i="2"/>
  <c r="AO489" i="2"/>
  <c r="AN489" i="2"/>
  <c r="K489" i="1"/>
  <c r="AM489" i="2"/>
  <c r="J489" i="1"/>
  <c r="AL489" i="2"/>
  <c r="I489" i="1"/>
  <c r="AK489" i="2"/>
  <c r="AJ489" i="2"/>
  <c r="AI489" i="2"/>
  <c r="AH489" i="2"/>
  <c r="E489" i="1"/>
  <c r="AG489" i="2"/>
  <c r="D489" i="1"/>
  <c r="AF489" i="2"/>
  <c r="C489" i="1"/>
  <c r="AE489" i="2"/>
  <c r="AD489" i="2"/>
  <c r="AA489" i="2"/>
  <c r="Z489" i="2"/>
  <c r="S488" i="1"/>
  <c r="AU488" i="2"/>
  <c r="R488" i="1"/>
  <c r="AT488" i="2"/>
  <c r="Q488" i="1"/>
  <c r="AS488" i="2"/>
  <c r="P488" i="1"/>
  <c r="AR488" i="2"/>
  <c r="O488" i="1"/>
  <c r="AQ488" i="2"/>
  <c r="AP488" i="2"/>
  <c r="AO488" i="2"/>
  <c r="AN488" i="2"/>
  <c r="K488" i="1"/>
  <c r="AM488" i="2"/>
  <c r="J488" i="1"/>
  <c r="AL488" i="2"/>
  <c r="I488" i="1"/>
  <c r="AK488" i="2"/>
  <c r="AJ488" i="2"/>
  <c r="AI488" i="2"/>
  <c r="AH488" i="2"/>
  <c r="E488" i="1"/>
  <c r="AG488" i="2"/>
  <c r="D488" i="1"/>
  <c r="AF488" i="2"/>
  <c r="C488" i="1"/>
  <c r="AE488" i="2"/>
  <c r="AD488" i="2"/>
  <c r="AA488" i="2"/>
  <c r="Z488" i="2"/>
  <c r="S487" i="1"/>
  <c r="AU487" i="2"/>
  <c r="R487" i="1"/>
  <c r="AT487" i="2"/>
  <c r="Q487" i="1"/>
  <c r="AS487" i="2"/>
  <c r="P487" i="1"/>
  <c r="AR487" i="2"/>
  <c r="O487" i="1"/>
  <c r="AQ487" i="2"/>
  <c r="AP487" i="2"/>
  <c r="AO487" i="2"/>
  <c r="AN487" i="2"/>
  <c r="K487" i="1"/>
  <c r="AM487" i="2"/>
  <c r="J487" i="1"/>
  <c r="AL487" i="2"/>
  <c r="I487" i="1"/>
  <c r="AK487" i="2"/>
  <c r="AJ487" i="2"/>
  <c r="AI487" i="2"/>
  <c r="AH487" i="2"/>
  <c r="E487" i="1"/>
  <c r="AG487" i="2"/>
  <c r="D487" i="1"/>
  <c r="AF487" i="2"/>
  <c r="C487" i="1"/>
  <c r="AE487" i="2"/>
  <c r="AD487" i="2"/>
  <c r="AA487" i="2"/>
  <c r="Z487" i="2"/>
  <c r="S486" i="1"/>
  <c r="AU486" i="2"/>
  <c r="R486" i="1"/>
  <c r="AT486" i="2"/>
  <c r="Q486" i="1"/>
  <c r="AS486" i="2"/>
  <c r="P486" i="1"/>
  <c r="AR486" i="2"/>
  <c r="O486" i="1"/>
  <c r="AQ486" i="2"/>
  <c r="AP486" i="2"/>
  <c r="AO486" i="2"/>
  <c r="AN486" i="2"/>
  <c r="K486" i="1"/>
  <c r="AM486" i="2"/>
  <c r="J486" i="1"/>
  <c r="AL486" i="2"/>
  <c r="I486" i="1"/>
  <c r="AK486" i="2"/>
  <c r="AJ486" i="2"/>
  <c r="AI486" i="2"/>
  <c r="AH486" i="2"/>
  <c r="E486" i="1"/>
  <c r="AG486" i="2"/>
  <c r="D486" i="1"/>
  <c r="AF486" i="2"/>
  <c r="C486" i="1"/>
  <c r="AE486" i="2"/>
  <c r="AD486" i="2"/>
  <c r="AA486" i="2"/>
  <c r="Z486" i="2"/>
  <c r="S485" i="1"/>
  <c r="AU485" i="2"/>
  <c r="R485" i="1"/>
  <c r="AT485" i="2"/>
  <c r="Q485" i="1"/>
  <c r="AS485" i="2"/>
  <c r="P485" i="1"/>
  <c r="AR485" i="2"/>
  <c r="O485" i="1"/>
  <c r="AQ485" i="2"/>
  <c r="AP485" i="2"/>
  <c r="AO485" i="2"/>
  <c r="AN485" i="2"/>
  <c r="K485" i="1"/>
  <c r="AM485" i="2"/>
  <c r="J485" i="1"/>
  <c r="AL485" i="2"/>
  <c r="I485" i="1"/>
  <c r="AK485" i="2"/>
  <c r="AJ485" i="2"/>
  <c r="AI485" i="2"/>
  <c r="AH485" i="2"/>
  <c r="E485" i="1"/>
  <c r="AG485" i="2"/>
  <c r="D485" i="1"/>
  <c r="AF485" i="2"/>
  <c r="C485" i="1"/>
  <c r="AE485" i="2"/>
  <c r="AD485" i="2"/>
  <c r="AA485" i="2"/>
  <c r="Z485" i="2"/>
  <c r="S484" i="1"/>
  <c r="AU484" i="2"/>
  <c r="R484" i="1"/>
  <c r="AT484" i="2"/>
  <c r="Q484" i="1"/>
  <c r="AS484" i="2"/>
  <c r="P484" i="1"/>
  <c r="AR484" i="2"/>
  <c r="O484" i="1"/>
  <c r="AQ484" i="2"/>
  <c r="AP484" i="2"/>
  <c r="AO484" i="2"/>
  <c r="AN484" i="2"/>
  <c r="K484" i="1"/>
  <c r="AM484" i="2"/>
  <c r="J484" i="1"/>
  <c r="AL484" i="2"/>
  <c r="I484" i="1"/>
  <c r="AK484" i="2"/>
  <c r="AJ484" i="2"/>
  <c r="AI484" i="2"/>
  <c r="AH484" i="2"/>
  <c r="E484" i="1"/>
  <c r="AG484" i="2"/>
  <c r="D484" i="1"/>
  <c r="AF484" i="2"/>
  <c r="C484" i="1"/>
  <c r="AE484" i="2"/>
  <c r="AD484" i="2"/>
  <c r="AA484" i="2"/>
  <c r="Z484" i="2"/>
  <c r="S483" i="1"/>
  <c r="AU483" i="2"/>
  <c r="R483" i="1"/>
  <c r="AT483" i="2"/>
  <c r="Q483" i="1"/>
  <c r="AS483" i="2"/>
  <c r="P483" i="1"/>
  <c r="AR483" i="2"/>
  <c r="O483" i="1"/>
  <c r="AQ483" i="2"/>
  <c r="AP483" i="2"/>
  <c r="AO483" i="2"/>
  <c r="AN483" i="2"/>
  <c r="K483" i="1"/>
  <c r="AM483" i="2"/>
  <c r="J483" i="1"/>
  <c r="AL483" i="2"/>
  <c r="I483" i="1"/>
  <c r="AK483" i="2"/>
  <c r="AJ483" i="2"/>
  <c r="AI483" i="2"/>
  <c r="AH483" i="2"/>
  <c r="E483" i="1"/>
  <c r="AG483" i="2"/>
  <c r="D483" i="1"/>
  <c r="AF483" i="2"/>
  <c r="C483" i="1"/>
  <c r="AE483" i="2"/>
  <c r="AD483" i="2"/>
  <c r="AA483" i="2"/>
  <c r="Z483" i="2"/>
  <c r="S482" i="1"/>
  <c r="AU482" i="2"/>
  <c r="R482" i="1"/>
  <c r="AT482" i="2"/>
  <c r="Q482" i="1"/>
  <c r="AS482" i="2"/>
  <c r="P482" i="1"/>
  <c r="AR482" i="2"/>
  <c r="O482" i="1"/>
  <c r="AQ482" i="2"/>
  <c r="AP482" i="2"/>
  <c r="AO482" i="2"/>
  <c r="AN482" i="2"/>
  <c r="K482" i="1"/>
  <c r="AM482" i="2"/>
  <c r="J482" i="1"/>
  <c r="AL482" i="2"/>
  <c r="I482" i="1"/>
  <c r="AK482" i="2"/>
  <c r="AJ482" i="2"/>
  <c r="AI482" i="2"/>
  <c r="AH482" i="2"/>
  <c r="E482" i="1"/>
  <c r="AG482" i="2"/>
  <c r="D482" i="1"/>
  <c r="AF482" i="2"/>
  <c r="C482" i="1"/>
  <c r="AE482" i="2"/>
  <c r="AD482" i="2"/>
  <c r="AA482" i="2"/>
  <c r="Z482" i="2"/>
  <c r="S481" i="1"/>
  <c r="AU481" i="2"/>
  <c r="R481" i="1"/>
  <c r="AT481" i="2"/>
  <c r="Q481" i="1"/>
  <c r="AS481" i="2"/>
  <c r="P481" i="1"/>
  <c r="AR481" i="2"/>
  <c r="O481" i="1"/>
  <c r="AQ481" i="2"/>
  <c r="AP481" i="2"/>
  <c r="AO481" i="2"/>
  <c r="AN481" i="2"/>
  <c r="K481" i="1"/>
  <c r="AM481" i="2"/>
  <c r="J481" i="1"/>
  <c r="AL481" i="2"/>
  <c r="I481" i="1"/>
  <c r="AK481" i="2"/>
  <c r="AJ481" i="2"/>
  <c r="AI481" i="2"/>
  <c r="AH481" i="2"/>
  <c r="E481" i="1"/>
  <c r="AG481" i="2"/>
  <c r="D481" i="1"/>
  <c r="AF481" i="2"/>
  <c r="C481" i="1"/>
  <c r="AE481" i="2"/>
  <c r="AD481" i="2"/>
  <c r="AA481" i="2"/>
  <c r="Z481" i="2"/>
  <c r="S480" i="1"/>
  <c r="AU480" i="2"/>
  <c r="R480" i="1"/>
  <c r="AT480" i="2"/>
  <c r="Q480" i="1"/>
  <c r="AS480" i="2"/>
  <c r="P480" i="1"/>
  <c r="AR480" i="2"/>
  <c r="O480" i="1"/>
  <c r="AQ480" i="2"/>
  <c r="AP480" i="2"/>
  <c r="AO480" i="2"/>
  <c r="AN480" i="2"/>
  <c r="K480" i="1"/>
  <c r="AM480" i="2"/>
  <c r="J480" i="1"/>
  <c r="AL480" i="2"/>
  <c r="I480" i="1"/>
  <c r="AK480" i="2"/>
  <c r="AJ480" i="2"/>
  <c r="AI480" i="2"/>
  <c r="AH480" i="2"/>
  <c r="E480" i="1"/>
  <c r="AG480" i="2"/>
  <c r="D480" i="1"/>
  <c r="AF480" i="2"/>
  <c r="C480" i="1"/>
  <c r="AE480" i="2"/>
  <c r="AD480" i="2"/>
  <c r="AA480" i="2"/>
  <c r="Z480" i="2"/>
  <c r="S479" i="1"/>
  <c r="AU479" i="2"/>
  <c r="R479" i="1"/>
  <c r="AT479" i="2"/>
  <c r="Q479" i="1"/>
  <c r="AS479" i="2"/>
  <c r="P479" i="1"/>
  <c r="AR479" i="2"/>
  <c r="O479" i="1"/>
  <c r="AQ479" i="2"/>
  <c r="AP479" i="2"/>
  <c r="AO479" i="2"/>
  <c r="AN479" i="2"/>
  <c r="K479" i="1"/>
  <c r="AM479" i="2"/>
  <c r="J479" i="1"/>
  <c r="AL479" i="2"/>
  <c r="I479" i="1"/>
  <c r="AK479" i="2"/>
  <c r="AJ479" i="2"/>
  <c r="AI479" i="2"/>
  <c r="AH479" i="2"/>
  <c r="E479" i="1"/>
  <c r="AG479" i="2"/>
  <c r="D479" i="1"/>
  <c r="AF479" i="2"/>
  <c r="C479" i="1"/>
  <c r="AE479" i="2"/>
  <c r="AD479" i="2"/>
  <c r="AA479" i="2"/>
  <c r="Z479" i="2"/>
  <c r="S478" i="1"/>
  <c r="AU478" i="2"/>
  <c r="R478" i="1"/>
  <c r="AT478" i="2"/>
  <c r="Q478" i="1"/>
  <c r="AS478" i="2"/>
  <c r="P478" i="1"/>
  <c r="AR478" i="2"/>
  <c r="O478" i="1"/>
  <c r="AQ478" i="2"/>
  <c r="AP478" i="2"/>
  <c r="AO478" i="2"/>
  <c r="AN478" i="2"/>
  <c r="K478" i="1"/>
  <c r="AM478" i="2"/>
  <c r="J478" i="1"/>
  <c r="AL478" i="2"/>
  <c r="I478" i="1"/>
  <c r="AK478" i="2"/>
  <c r="AJ478" i="2"/>
  <c r="AI478" i="2"/>
  <c r="AH478" i="2"/>
  <c r="E478" i="1"/>
  <c r="AG478" i="2"/>
  <c r="D478" i="1"/>
  <c r="AF478" i="2"/>
  <c r="C478" i="1"/>
  <c r="AE478" i="2"/>
  <c r="AD478" i="2"/>
  <c r="AA478" i="2"/>
  <c r="Z478" i="2"/>
  <c r="S477" i="1"/>
  <c r="AU477" i="2"/>
  <c r="R477" i="1"/>
  <c r="AT477" i="2"/>
  <c r="Q477" i="1"/>
  <c r="AS477" i="2"/>
  <c r="P477" i="1"/>
  <c r="AR477" i="2"/>
  <c r="O477" i="1"/>
  <c r="AQ477" i="2"/>
  <c r="AP477" i="2"/>
  <c r="AO477" i="2"/>
  <c r="AN477" i="2"/>
  <c r="K477" i="1"/>
  <c r="AM477" i="2"/>
  <c r="J477" i="1"/>
  <c r="AL477" i="2"/>
  <c r="I477" i="1"/>
  <c r="AK477" i="2"/>
  <c r="AJ477" i="2"/>
  <c r="AI477" i="2"/>
  <c r="AH477" i="2"/>
  <c r="E477" i="1"/>
  <c r="AG477" i="2"/>
  <c r="D477" i="1"/>
  <c r="AF477" i="2"/>
  <c r="C477" i="1"/>
  <c r="AE477" i="2"/>
  <c r="AD477" i="2"/>
  <c r="AA477" i="2"/>
  <c r="Z477" i="2"/>
  <c r="S476" i="1"/>
  <c r="AU476" i="2"/>
  <c r="R476" i="1"/>
  <c r="AT476" i="2"/>
  <c r="Q476" i="1"/>
  <c r="AS476" i="2"/>
  <c r="P476" i="1"/>
  <c r="AR476" i="2"/>
  <c r="O476" i="1"/>
  <c r="AQ476" i="2"/>
  <c r="AP476" i="2"/>
  <c r="AO476" i="2"/>
  <c r="AN476" i="2"/>
  <c r="K476" i="1"/>
  <c r="AM476" i="2"/>
  <c r="J476" i="1"/>
  <c r="AL476" i="2"/>
  <c r="I476" i="1"/>
  <c r="AK476" i="2"/>
  <c r="AJ476" i="2"/>
  <c r="AI476" i="2"/>
  <c r="AH476" i="2"/>
  <c r="E476" i="1"/>
  <c r="AG476" i="2"/>
  <c r="D476" i="1"/>
  <c r="AF476" i="2"/>
  <c r="C476" i="1"/>
  <c r="AE476" i="2"/>
  <c r="AD476" i="2"/>
  <c r="AA476" i="2"/>
  <c r="Z476" i="2"/>
  <c r="S475" i="1"/>
  <c r="AU475" i="2"/>
  <c r="R475" i="1"/>
  <c r="AT475" i="2"/>
  <c r="Q475" i="1"/>
  <c r="AS475" i="2"/>
  <c r="P475" i="1"/>
  <c r="AR475" i="2"/>
  <c r="O475" i="1"/>
  <c r="AQ475" i="2"/>
  <c r="AP475" i="2"/>
  <c r="AO475" i="2"/>
  <c r="AN475" i="2"/>
  <c r="K475" i="1"/>
  <c r="AM475" i="2"/>
  <c r="J475" i="1"/>
  <c r="AL475" i="2"/>
  <c r="I475" i="1"/>
  <c r="AK475" i="2"/>
  <c r="AJ475" i="2"/>
  <c r="AI475" i="2"/>
  <c r="AH475" i="2"/>
  <c r="E475" i="1"/>
  <c r="AG475" i="2"/>
  <c r="D475" i="1"/>
  <c r="AF475" i="2"/>
  <c r="C475" i="1"/>
  <c r="AE475" i="2"/>
  <c r="AD475" i="2"/>
  <c r="AA475" i="2"/>
  <c r="Z475" i="2"/>
  <c r="S474" i="1"/>
  <c r="AU474" i="2"/>
  <c r="R474" i="1"/>
  <c r="AT474" i="2"/>
  <c r="Q474" i="1"/>
  <c r="AS474" i="2"/>
  <c r="P474" i="1"/>
  <c r="AR474" i="2"/>
  <c r="O474" i="1"/>
  <c r="AQ474" i="2"/>
  <c r="AP474" i="2"/>
  <c r="AO474" i="2"/>
  <c r="AN474" i="2"/>
  <c r="K474" i="1"/>
  <c r="AM474" i="2"/>
  <c r="J474" i="1"/>
  <c r="AL474" i="2"/>
  <c r="I474" i="1"/>
  <c r="AK474" i="2"/>
  <c r="AJ474" i="2"/>
  <c r="AI474" i="2"/>
  <c r="AH474" i="2"/>
  <c r="E474" i="1"/>
  <c r="AG474" i="2"/>
  <c r="D474" i="1"/>
  <c r="AF474" i="2"/>
  <c r="C474" i="1"/>
  <c r="AE474" i="2"/>
  <c r="AD474" i="2"/>
  <c r="AA474" i="2"/>
  <c r="Z474" i="2"/>
  <c r="S473" i="1"/>
  <c r="AU473" i="2"/>
  <c r="R473" i="1"/>
  <c r="AT473" i="2"/>
  <c r="Q473" i="1"/>
  <c r="AS473" i="2"/>
  <c r="P473" i="1"/>
  <c r="AR473" i="2"/>
  <c r="O473" i="1"/>
  <c r="AQ473" i="2"/>
  <c r="AP473" i="2"/>
  <c r="AO473" i="2"/>
  <c r="AN473" i="2"/>
  <c r="K473" i="1"/>
  <c r="AM473" i="2"/>
  <c r="J473" i="1"/>
  <c r="AL473" i="2"/>
  <c r="I473" i="1"/>
  <c r="AK473" i="2"/>
  <c r="AJ473" i="2"/>
  <c r="AI473" i="2"/>
  <c r="AH473" i="2"/>
  <c r="E473" i="1"/>
  <c r="AG473" i="2"/>
  <c r="D473" i="1"/>
  <c r="AF473" i="2"/>
  <c r="C473" i="1"/>
  <c r="AE473" i="2"/>
  <c r="AD473" i="2"/>
  <c r="AA473" i="2"/>
  <c r="Z473" i="2"/>
  <c r="S472" i="1"/>
  <c r="AU472" i="2"/>
  <c r="R472" i="1"/>
  <c r="AT472" i="2"/>
  <c r="Q472" i="1"/>
  <c r="AS472" i="2"/>
  <c r="P472" i="1"/>
  <c r="AR472" i="2"/>
  <c r="O472" i="1"/>
  <c r="AQ472" i="2"/>
  <c r="AP472" i="2"/>
  <c r="AO472" i="2"/>
  <c r="AN472" i="2"/>
  <c r="K472" i="1"/>
  <c r="AM472" i="2"/>
  <c r="J472" i="1"/>
  <c r="AL472" i="2"/>
  <c r="I472" i="1"/>
  <c r="AK472" i="2"/>
  <c r="AJ472" i="2"/>
  <c r="AI472" i="2"/>
  <c r="AH472" i="2"/>
  <c r="E472" i="1"/>
  <c r="AG472" i="2"/>
  <c r="D472" i="1"/>
  <c r="AF472" i="2"/>
  <c r="C472" i="1"/>
  <c r="AE472" i="2"/>
  <c r="AD472" i="2"/>
  <c r="AA472" i="2"/>
  <c r="Z472" i="2"/>
  <c r="S471" i="1"/>
  <c r="AU471" i="2"/>
  <c r="R471" i="1"/>
  <c r="AT471" i="2"/>
  <c r="Q471" i="1"/>
  <c r="AS471" i="2"/>
  <c r="P471" i="1"/>
  <c r="AR471" i="2"/>
  <c r="O471" i="1"/>
  <c r="AQ471" i="2"/>
  <c r="AP471" i="2"/>
  <c r="AO471" i="2"/>
  <c r="AN471" i="2"/>
  <c r="K471" i="1"/>
  <c r="AM471" i="2"/>
  <c r="J471" i="1"/>
  <c r="AL471" i="2"/>
  <c r="I471" i="1"/>
  <c r="AK471" i="2"/>
  <c r="AJ471" i="2"/>
  <c r="AI471" i="2"/>
  <c r="AH471" i="2"/>
  <c r="E471" i="1"/>
  <c r="AG471" i="2"/>
  <c r="D471" i="1"/>
  <c r="AF471" i="2"/>
  <c r="C471" i="1"/>
  <c r="AE471" i="2"/>
  <c r="AD471" i="2"/>
  <c r="AA471" i="2"/>
  <c r="Z471" i="2"/>
  <c r="S470" i="1"/>
  <c r="AU470" i="2"/>
  <c r="R470" i="1"/>
  <c r="AT470" i="2"/>
  <c r="Q470" i="1"/>
  <c r="AS470" i="2"/>
  <c r="P470" i="1"/>
  <c r="AR470" i="2"/>
  <c r="O470" i="1"/>
  <c r="AQ470" i="2"/>
  <c r="AP470" i="2"/>
  <c r="AO470" i="2"/>
  <c r="AN470" i="2"/>
  <c r="K470" i="1"/>
  <c r="AM470" i="2"/>
  <c r="J470" i="1"/>
  <c r="AL470" i="2"/>
  <c r="I470" i="1"/>
  <c r="AK470" i="2"/>
  <c r="AJ470" i="2"/>
  <c r="AI470" i="2"/>
  <c r="AH470" i="2"/>
  <c r="E470" i="1"/>
  <c r="AG470" i="2"/>
  <c r="D470" i="1"/>
  <c r="AF470" i="2"/>
  <c r="C470" i="1"/>
  <c r="AE470" i="2"/>
  <c r="AD470" i="2"/>
  <c r="AA470" i="2"/>
  <c r="Z470" i="2"/>
  <c r="S469" i="1"/>
  <c r="AU469" i="2"/>
  <c r="R469" i="1"/>
  <c r="AT469" i="2"/>
  <c r="Q469" i="1"/>
  <c r="AS469" i="2"/>
  <c r="P469" i="1"/>
  <c r="AR469" i="2"/>
  <c r="O469" i="1"/>
  <c r="AQ469" i="2"/>
  <c r="AP469" i="2"/>
  <c r="AO469" i="2"/>
  <c r="AN469" i="2"/>
  <c r="K469" i="1"/>
  <c r="AM469" i="2"/>
  <c r="J469" i="1"/>
  <c r="AL469" i="2"/>
  <c r="I469" i="1"/>
  <c r="AK469" i="2"/>
  <c r="AJ469" i="2"/>
  <c r="AI469" i="2"/>
  <c r="AH469" i="2"/>
  <c r="E469" i="1"/>
  <c r="AG469" i="2"/>
  <c r="D469" i="1"/>
  <c r="AF469" i="2"/>
  <c r="C469" i="1"/>
  <c r="AE469" i="2"/>
  <c r="AD469" i="2"/>
  <c r="AA469" i="2"/>
  <c r="Z469" i="2"/>
  <c r="S468" i="1"/>
  <c r="AU468" i="2"/>
  <c r="R468" i="1"/>
  <c r="AT468" i="2"/>
  <c r="Q468" i="1"/>
  <c r="AS468" i="2"/>
  <c r="P468" i="1"/>
  <c r="AR468" i="2"/>
  <c r="O468" i="1"/>
  <c r="AQ468" i="2"/>
  <c r="AP468" i="2"/>
  <c r="AO468" i="2"/>
  <c r="AN468" i="2"/>
  <c r="K468" i="1"/>
  <c r="AM468" i="2"/>
  <c r="J468" i="1"/>
  <c r="AL468" i="2"/>
  <c r="I468" i="1"/>
  <c r="AK468" i="2"/>
  <c r="AJ468" i="2"/>
  <c r="AI468" i="2"/>
  <c r="AH468" i="2"/>
  <c r="E468" i="1"/>
  <c r="AG468" i="2"/>
  <c r="D468" i="1"/>
  <c r="AF468" i="2"/>
  <c r="C468" i="1"/>
  <c r="AE468" i="2"/>
  <c r="AD468" i="2"/>
  <c r="AA468" i="2"/>
  <c r="Z468" i="2"/>
  <c r="S467" i="1"/>
  <c r="AU467" i="2"/>
  <c r="R467" i="1"/>
  <c r="AT467" i="2"/>
  <c r="Q467" i="1"/>
  <c r="AS467" i="2"/>
  <c r="P467" i="1"/>
  <c r="AR467" i="2"/>
  <c r="O467" i="1"/>
  <c r="AQ467" i="2"/>
  <c r="AP467" i="2"/>
  <c r="AO467" i="2"/>
  <c r="AN467" i="2"/>
  <c r="K467" i="1"/>
  <c r="AM467" i="2"/>
  <c r="J467" i="1"/>
  <c r="AL467" i="2"/>
  <c r="I467" i="1"/>
  <c r="AK467" i="2"/>
  <c r="AJ467" i="2"/>
  <c r="AI467" i="2"/>
  <c r="AH467" i="2"/>
  <c r="E467" i="1"/>
  <c r="AG467" i="2"/>
  <c r="D467" i="1"/>
  <c r="AF467" i="2"/>
  <c r="C467" i="1"/>
  <c r="AE467" i="2"/>
  <c r="AD467" i="2"/>
  <c r="AA467" i="2"/>
  <c r="Z467" i="2"/>
  <c r="S466" i="1"/>
  <c r="AU466" i="2"/>
  <c r="R466" i="1"/>
  <c r="AT466" i="2"/>
  <c r="Q466" i="1"/>
  <c r="AS466" i="2"/>
  <c r="P466" i="1"/>
  <c r="AR466" i="2"/>
  <c r="O466" i="1"/>
  <c r="AQ466" i="2"/>
  <c r="AP466" i="2"/>
  <c r="AO466" i="2"/>
  <c r="AN466" i="2"/>
  <c r="K466" i="1"/>
  <c r="AM466" i="2"/>
  <c r="J466" i="1"/>
  <c r="AL466" i="2"/>
  <c r="I466" i="1"/>
  <c r="AK466" i="2"/>
  <c r="AJ466" i="2"/>
  <c r="AI466" i="2"/>
  <c r="AH466" i="2"/>
  <c r="E466" i="1"/>
  <c r="AG466" i="2"/>
  <c r="D466" i="1"/>
  <c r="AF466" i="2"/>
  <c r="C466" i="1"/>
  <c r="AE466" i="2"/>
  <c r="AD466" i="2"/>
  <c r="AA466" i="2"/>
  <c r="Z466" i="2"/>
  <c r="S465" i="1"/>
  <c r="AU465" i="2"/>
  <c r="R465" i="1"/>
  <c r="AT465" i="2"/>
  <c r="Q465" i="1"/>
  <c r="AS465" i="2"/>
  <c r="P465" i="1"/>
  <c r="AR465" i="2"/>
  <c r="O465" i="1"/>
  <c r="AQ465" i="2"/>
  <c r="AP465" i="2"/>
  <c r="AO465" i="2"/>
  <c r="AN465" i="2"/>
  <c r="K465" i="1"/>
  <c r="AM465" i="2"/>
  <c r="J465" i="1"/>
  <c r="AL465" i="2"/>
  <c r="I465" i="1"/>
  <c r="AK465" i="2"/>
  <c r="AJ465" i="2"/>
  <c r="AI465" i="2"/>
  <c r="AH465" i="2"/>
  <c r="E465" i="1"/>
  <c r="AG465" i="2"/>
  <c r="D465" i="1"/>
  <c r="AF465" i="2"/>
  <c r="C465" i="1"/>
  <c r="AE465" i="2"/>
  <c r="AD465" i="2"/>
  <c r="AA465" i="2"/>
  <c r="Z465" i="2"/>
  <c r="S464" i="1"/>
  <c r="AU464" i="2"/>
  <c r="R464" i="1"/>
  <c r="AT464" i="2"/>
  <c r="Q464" i="1"/>
  <c r="AS464" i="2"/>
  <c r="P464" i="1"/>
  <c r="AR464" i="2"/>
  <c r="O464" i="1"/>
  <c r="AQ464" i="2"/>
  <c r="AP464" i="2"/>
  <c r="AO464" i="2"/>
  <c r="AN464" i="2"/>
  <c r="K464" i="1"/>
  <c r="AM464" i="2"/>
  <c r="J464" i="1"/>
  <c r="AL464" i="2"/>
  <c r="I464" i="1"/>
  <c r="AK464" i="2"/>
  <c r="AJ464" i="2"/>
  <c r="AI464" i="2"/>
  <c r="AH464" i="2"/>
  <c r="E464" i="1"/>
  <c r="AG464" i="2"/>
  <c r="D464" i="1"/>
  <c r="AF464" i="2"/>
  <c r="C464" i="1"/>
  <c r="AE464" i="2"/>
  <c r="AD464" i="2"/>
  <c r="AA464" i="2"/>
  <c r="Z464" i="2"/>
  <c r="S463" i="1"/>
  <c r="AU463" i="2"/>
  <c r="R463" i="1"/>
  <c r="AT463" i="2"/>
  <c r="Q463" i="1"/>
  <c r="AS463" i="2"/>
  <c r="P463" i="1"/>
  <c r="AR463" i="2"/>
  <c r="O463" i="1"/>
  <c r="AQ463" i="2"/>
  <c r="AP463" i="2"/>
  <c r="AO463" i="2"/>
  <c r="AN463" i="2"/>
  <c r="K463" i="1"/>
  <c r="AM463" i="2"/>
  <c r="J463" i="1"/>
  <c r="AL463" i="2"/>
  <c r="I463" i="1"/>
  <c r="AK463" i="2"/>
  <c r="AJ463" i="2"/>
  <c r="AI463" i="2"/>
  <c r="AH463" i="2"/>
  <c r="E463" i="1"/>
  <c r="AG463" i="2"/>
  <c r="D463" i="1"/>
  <c r="AF463" i="2"/>
  <c r="C463" i="1"/>
  <c r="AE463" i="2"/>
  <c r="AD463" i="2"/>
  <c r="AA463" i="2"/>
  <c r="Z463" i="2"/>
  <c r="S462" i="1"/>
  <c r="AU462" i="2"/>
  <c r="R462" i="1"/>
  <c r="AT462" i="2"/>
  <c r="Q462" i="1"/>
  <c r="AS462" i="2"/>
  <c r="P462" i="1"/>
  <c r="AR462" i="2"/>
  <c r="O462" i="1"/>
  <c r="AQ462" i="2"/>
  <c r="AP462" i="2"/>
  <c r="AO462" i="2"/>
  <c r="AN462" i="2"/>
  <c r="K462" i="1"/>
  <c r="AM462" i="2"/>
  <c r="J462" i="1"/>
  <c r="AL462" i="2"/>
  <c r="I462" i="1"/>
  <c r="AK462" i="2"/>
  <c r="AJ462" i="2"/>
  <c r="AI462" i="2"/>
  <c r="AH462" i="2"/>
  <c r="E462" i="1"/>
  <c r="AG462" i="2"/>
  <c r="D462" i="1"/>
  <c r="AF462" i="2"/>
  <c r="C462" i="1"/>
  <c r="AE462" i="2"/>
  <c r="AD462" i="2"/>
  <c r="AA462" i="2"/>
  <c r="Z462" i="2"/>
  <c r="S461" i="1"/>
  <c r="AU461" i="2"/>
  <c r="R461" i="1"/>
  <c r="AT461" i="2"/>
  <c r="Q461" i="1"/>
  <c r="AS461" i="2"/>
  <c r="P461" i="1"/>
  <c r="AR461" i="2"/>
  <c r="O461" i="1"/>
  <c r="AQ461" i="2"/>
  <c r="AP461" i="2"/>
  <c r="AO461" i="2"/>
  <c r="AN461" i="2"/>
  <c r="K461" i="1"/>
  <c r="AM461" i="2"/>
  <c r="J461" i="1"/>
  <c r="AL461" i="2"/>
  <c r="I461" i="1"/>
  <c r="AK461" i="2"/>
  <c r="AJ461" i="2"/>
  <c r="AI461" i="2"/>
  <c r="AH461" i="2"/>
  <c r="E461" i="1"/>
  <c r="AG461" i="2"/>
  <c r="D461" i="1"/>
  <c r="AF461" i="2"/>
  <c r="C461" i="1"/>
  <c r="AE461" i="2"/>
  <c r="AD461" i="2"/>
  <c r="AA461" i="2"/>
  <c r="Z461" i="2"/>
  <c r="S460" i="1"/>
  <c r="AU460" i="2"/>
  <c r="R460" i="1"/>
  <c r="AT460" i="2"/>
  <c r="Q460" i="1"/>
  <c r="AS460" i="2"/>
  <c r="P460" i="1"/>
  <c r="AR460" i="2"/>
  <c r="O460" i="1"/>
  <c r="AQ460" i="2"/>
  <c r="AP460" i="2"/>
  <c r="AO460" i="2"/>
  <c r="AN460" i="2"/>
  <c r="K460" i="1"/>
  <c r="AM460" i="2"/>
  <c r="J460" i="1"/>
  <c r="AL460" i="2"/>
  <c r="I460" i="1"/>
  <c r="AK460" i="2"/>
  <c r="AJ460" i="2"/>
  <c r="AI460" i="2"/>
  <c r="AH460" i="2"/>
  <c r="E460" i="1"/>
  <c r="AG460" i="2"/>
  <c r="D460" i="1"/>
  <c r="AF460" i="2"/>
  <c r="C460" i="1"/>
  <c r="AE460" i="2"/>
  <c r="AD460" i="2"/>
  <c r="AA460" i="2"/>
  <c r="Z460" i="2"/>
  <c r="S459" i="1"/>
  <c r="AU459" i="2"/>
  <c r="R459" i="1"/>
  <c r="AT459" i="2"/>
  <c r="Q459" i="1"/>
  <c r="AS459" i="2"/>
  <c r="P459" i="1"/>
  <c r="AR459" i="2"/>
  <c r="O459" i="1"/>
  <c r="AQ459" i="2"/>
  <c r="AP459" i="2"/>
  <c r="AO459" i="2"/>
  <c r="AN459" i="2"/>
  <c r="K459" i="1"/>
  <c r="AM459" i="2"/>
  <c r="J459" i="1"/>
  <c r="AL459" i="2"/>
  <c r="I459" i="1"/>
  <c r="AK459" i="2"/>
  <c r="AJ459" i="2"/>
  <c r="AI459" i="2"/>
  <c r="AH459" i="2"/>
  <c r="E459" i="1"/>
  <c r="AG459" i="2"/>
  <c r="D459" i="1"/>
  <c r="AF459" i="2"/>
  <c r="C459" i="1"/>
  <c r="AE459" i="2"/>
  <c r="AD459" i="2"/>
  <c r="AA459" i="2"/>
  <c r="Z459" i="2"/>
  <c r="S458" i="1"/>
  <c r="AU458" i="2"/>
  <c r="R458" i="1"/>
  <c r="AT458" i="2"/>
  <c r="Q458" i="1"/>
  <c r="AS458" i="2"/>
  <c r="P458" i="1"/>
  <c r="AR458" i="2"/>
  <c r="O458" i="1"/>
  <c r="AQ458" i="2"/>
  <c r="AP458" i="2"/>
  <c r="AO458" i="2"/>
  <c r="AN458" i="2"/>
  <c r="K458" i="1"/>
  <c r="AM458" i="2"/>
  <c r="J458" i="1"/>
  <c r="AL458" i="2"/>
  <c r="I458" i="1"/>
  <c r="AK458" i="2"/>
  <c r="AJ458" i="2"/>
  <c r="AI458" i="2"/>
  <c r="AH458" i="2"/>
  <c r="E458" i="1"/>
  <c r="AG458" i="2"/>
  <c r="D458" i="1"/>
  <c r="AF458" i="2"/>
  <c r="C458" i="1"/>
  <c r="AE458" i="2"/>
  <c r="AD458" i="2"/>
  <c r="AA458" i="2"/>
  <c r="Z458" i="2"/>
  <c r="S457" i="1"/>
  <c r="AU457" i="2"/>
  <c r="R457" i="1"/>
  <c r="AT457" i="2"/>
  <c r="Q457" i="1"/>
  <c r="AS457" i="2"/>
  <c r="P457" i="1"/>
  <c r="AR457" i="2"/>
  <c r="O457" i="1"/>
  <c r="AQ457" i="2"/>
  <c r="AP457" i="2"/>
  <c r="AO457" i="2"/>
  <c r="AN457" i="2"/>
  <c r="K457" i="1"/>
  <c r="AM457" i="2"/>
  <c r="J457" i="1"/>
  <c r="AL457" i="2"/>
  <c r="I457" i="1"/>
  <c r="AK457" i="2"/>
  <c r="AJ457" i="2"/>
  <c r="AI457" i="2"/>
  <c r="AH457" i="2"/>
  <c r="E457" i="1"/>
  <c r="AG457" i="2"/>
  <c r="D457" i="1"/>
  <c r="AF457" i="2"/>
  <c r="C457" i="1"/>
  <c r="AE457" i="2"/>
  <c r="AD457" i="2"/>
  <c r="AA457" i="2"/>
  <c r="Z457" i="2"/>
  <c r="S456" i="1"/>
  <c r="AU456" i="2"/>
  <c r="R456" i="1"/>
  <c r="AT456" i="2"/>
  <c r="Q456" i="1"/>
  <c r="AS456" i="2"/>
  <c r="P456" i="1"/>
  <c r="AR456" i="2"/>
  <c r="O456" i="1"/>
  <c r="AQ456" i="2"/>
  <c r="AP456" i="2"/>
  <c r="AO456" i="2"/>
  <c r="AN456" i="2"/>
  <c r="K456" i="1"/>
  <c r="AM456" i="2"/>
  <c r="J456" i="1"/>
  <c r="AL456" i="2"/>
  <c r="I456" i="1"/>
  <c r="AK456" i="2"/>
  <c r="AJ456" i="2"/>
  <c r="AI456" i="2"/>
  <c r="AH456" i="2"/>
  <c r="E456" i="1"/>
  <c r="AG456" i="2"/>
  <c r="D456" i="1"/>
  <c r="AF456" i="2"/>
  <c r="C456" i="1"/>
  <c r="AE456" i="2"/>
  <c r="AD456" i="2"/>
  <c r="AA456" i="2"/>
  <c r="Z456" i="2"/>
  <c r="S455" i="1"/>
  <c r="AU455" i="2"/>
  <c r="R455" i="1"/>
  <c r="AT455" i="2"/>
  <c r="Q455" i="1"/>
  <c r="AS455" i="2"/>
  <c r="P455" i="1"/>
  <c r="AR455" i="2"/>
  <c r="O455" i="1"/>
  <c r="AQ455" i="2"/>
  <c r="AP455" i="2"/>
  <c r="AO455" i="2"/>
  <c r="AN455" i="2"/>
  <c r="K455" i="1"/>
  <c r="AM455" i="2"/>
  <c r="J455" i="1"/>
  <c r="AL455" i="2"/>
  <c r="I455" i="1"/>
  <c r="AK455" i="2"/>
  <c r="AJ455" i="2"/>
  <c r="AI455" i="2"/>
  <c r="AH455" i="2"/>
  <c r="E455" i="1"/>
  <c r="AG455" i="2"/>
  <c r="D455" i="1"/>
  <c r="AF455" i="2"/>
  <c r="C455" i="1"/>
  <c r="AE455" i="2"/>
  <c r="AD455" i="2"/>
  <c r="AA455" i="2"/>
  <c r="Z455" i="2"/>
  <c r="S454" i="1"/>
  <c r="AU454" i="2"/>
  <c r="R454" i="1"/>
  <c r="AT454" i="2"/>
  <c r="Q454" i="1"/>
  <c r="AS454" i="2"/>
  <c r="P454" i="1"/>
  <c r="AR454" i="2"/>
  <c r="O454" i="1"/>
  <c r="AQ454" i="2"/>
  <c r="AP454" i="2"/>
  <c r="AO454" i="2"/>
  <c r="AN454" i="2"/>
  <c r="K454" i="1"/>
  <c r="AM454" i="2"/>
  <c r="J454" i="1"/>
  <c r="AL454" i="2"/>
  <c r="I454" i="1"/>
  <c r="AK454" i="2"/>
  <c r="AJ454" i="2"/>
  <c r="AI454" i="2"/>
  <c r="AH454" i="2"/>
  <c r="E454" i="1"/>
  <c r="AG454" i="2"/>
  <c r="D454" i="1"/>
  <c r="AF454" i="2"/>
  <c r="C454" i="1"/>
  <c r="AE454" i="2"/>
  <c r="AD454" i="2"/>
  <c r="AA454" i="2"/>
  <c r="Z454" i="2"/>
  <c r="S453" i="1"/>
  <c r="AU453" i="2"/>
  <c r="R453" i="1"/>
  <c r="AT453" i="2"/>
  <c r="Q453" i="1"/>
  <c r="AS453" i="2"/>
  <c r="P453" i="1"/>
  <c r="AR453" i="2"/>
  <c r="O453" i="1"/>
  <c r="AQ453" i="2"/>
  <c r="AP453" i="2"/>
  <c r="AO453" i="2"/>
  <c r="AN453" i="2"/>
  <c r="K453" i="1"/>
  <c r="AM453" i="2"/>
  <c r="J453" i="1"/>
  <c r="AL453" i="2"/>
  <c r="I453" i="1"/>
  <c r="AK453" i="2"/>
  <c r="AJ453" i="2"/>
  <c r="AI453" i="2"/>
  <c r="AH453" i="2"/>
  <c r="E453" i="1"/>
  <c r="AG453" i="2"/>
  <c r="D453" i="1"/>
  <c r="AF453" i="2"/>
  <c r="C453" i="1"/>
  <c r="AE453" i="2"/>
  <c r="AD453" i="2"/>
  <c r="AA453" i="2"/>
  <c r="Z453" i="2"/>
  <c r="S452" i="1"/>
  <c r="AU452" i="2"/>
  <c r="R452" i="1"/>
  <c r="AT452" i="2"/>
  <c r="Q452" i="1"/>
  <c r="AS452" i="2"/>
  <c r="P452" i="1"/>
  <c r="AR452" i="2"/>
  <c r="O452" i="1"/>
  <c r="AQ452" i="2"/>
  <c r="AP452" i="2"/>
  <c r="AO452" i="2"/>
  <c r="AN452" i="2"/>
  <c r="K452" i="1"/>
  <c r="AM452" i="2"/>
  <c r="J452" i="1"/>
  <c r="AL452" i="2"/>
  <c r="I452" i="1"/>
  <c r="AK452" i="2"/>
  <c r="AJ452" i="2"/>
  <c r="AI452" i="2"/>
  <c r="AH452" i="2"/>
  <c r="E452" i="1"/>
  <c r="AG452" i="2"/>
  <c r="D452" i="1"/>
  <c r="AF452" i="2"/>
  <c r="C452" i="1"/>
  <c r="AE452" i="2"/>
  <c r="AD452" i="2"/>
  <c r="AA452" i="2"/>
  <c r="Z452" i="2"/>
  <c r="S451" i="1"/>
  <c r="AU451" i="2"/>
  <c r="R451" i="1"/>
  <c r="AT451" i="2"/>
  <c r="Q451" i="1"/>
  <c r="AS451" i="2"/>
  <c r="P451" i="1"/>
  <c r="AR451" i="2"/>
  <c r="O451" i="1"/>
  <c r="AQ451" i="2"/>
  <c r="AP451" i="2"/>
  <c r="AO451" i="2"/>
  <c r="AN451" i="2"/>
  <c r="K451" i="1"/>
  <c r="AM451" i="2"/>
  <c r="J451" i="1"/>
  <c r="AL451" i="2"/>
  <c r="I451" i="1"/>
  <c r="AK451" i="2"/>
  <c r="AJ451" i="2"/>
  <c r="AI451" i="2"/>
  <c r="AH451" i="2"/>
  <c r="E451" i="1"/>
  <c r="AG451" i="2"/>
  <c r="D451" i="1"/>
  <c r="AF451" i="2"/>
  <c r="C451" i="1"/>
  <c r="AE451" i="2"/>
  <c r="AD451" i="2"/>
  <c r="AA451" i="2"/>
  <c r="Z451" i="2"/>
  <c r="S450" i="1"/>
  <c r="AU450" i="2"/>
  <c r="R450" i="1"/>
  <c r="AT450" i="2"/>
  <c r="Q450" i="1"/>
  <c r="AS450" i="2"/>
  <c r="P450" i="1"/>
  <c r="AR450" i="2"/>
  <c r="O450" i="1"/>
  <c r="AQ450" i="2"/>
  <c r="AP450" i="2"/>
  <c r="AO450" i="2"/>
  <c r="AN450" i="2"/>
  <c r="K450" i="1"/>
  <c r="AM450" i="2"/>
  <c r="J450" i="1"/>
  <c r="AL450" i="2"/>
  <c r="I450" i="1"/>
  <c r="AK450" i="2"/>
  <c r="AJ450" i="2"/>
  <c r="AI450" i="2"/>
  <c r="AH450" i="2"/>
  <c r="E450" i="1"/>
  <c r="AG450" i="2"/>
  <c r="D450" i="1"/>
  <c r="AF450" i="2"/>
  <c r="C450" i="1"/>
  <c r="AE450" i="2"/>
  <c r="AD450" i="2"/>
  <c r="AA450" i="2"/>
  <c r="Z450" i="2"/>
  <c r="S449" i="1"/>
  <c r="AU449" i="2"/>
  <c r="R449" i="1"/>
  <c r="AT449" i="2"/>
  <c r="Q449" i="1"/>
  <c r="AS449" i="2"/>
  <c r="P449" i="1"/>
  <c r="AR449" i="2"/>
  <c r="O449" i="1"/>
  <c r="AQ449" i="2"/>
  <c r="AP449" i="2"/>
  <c r="AO449" i="2"/>
  <c r="AN449" i="2"/>
  <c r="K449" i="1"/>
  <c r="AM449" i="2"/>
  <c r="J449" i="1"/>
  <c r="AL449" i="2"/>
  <c r="I449" i="1"/>
  <c r="AK449" i="2"/>
  <c r="AJ449" i="2"/>
  <c r="AI449" i="2"/>
  <c r="AH449" i="2"/>
  <c r="E449" i="1"/>
  <c r="AG449" i="2"/>
  <c r="D449" i="1"/>
  <c r="AF449" i="2"/>
  <c r="C449" i="1"/>
  <c r="AE449" i="2"/>
  <c r="AD449" i="2"/>
  <c r="AA449" i="2"/>
  <c r="Z449" i="2"/>
  <c r="S448" i="1"/>
  <c r="AU448" i="2"/>
  <c r="R448" i="1"/>
  <c r="AT448" i="2"/>
  <c r="Q448" i="1"/>
  <c r="AS448" i="2"/>
  <c r="P448" i="1"/>
  <c r="AR448" i="2"/>
  <c r="O448" i="1"/>
  <c r="AQ448" i="2"/>
  <c r="AP448" i="2"/>
  <c r="AO448" i="2"/>
  <c r="AN448" i="2"/>
  <c r="K448" i="1"/>
  <c r="AM448" i="2"/>
  <c r="J448" i="1"/>
  <c r="AL448" i="2"/>
  <c r="I448" i="1"/>
  <c r="AK448" i="2"/>
  <c r="AJ448" i="2"/>
  <c r="AI448" i="2"/>
  <c r="AH448" i="2"/>
  <c r="E448" i="1"/>
  <c r="AG448" i="2"/>
  <c r="D448" i="1"/>
  <c r="AF448" i="2"/>
  <c r="C448" i="1"/>
  <c r="AE448" i="2"/>
  <c r="AD448" i="2"/>
  <c r="AA448" i="2"/>
  <c r="Z448" i="2"/>
  <c r="S447" i="1"/>
  <c r="AU447" i="2"/>
  <c r="R447" i="1"/>
  <c r="AT447" i="2"/>
  <c r="Q447" i="1"/>
  <c r="AS447" i="2"/>
  <c r="P447" i="1"/>
  <c r="AR447" i="2"/>
  <c r="O447" i="1"/>
  <c r="AQ447" i="2"/>
  <c r="AP447" i="2"/>
  <c r="AO447" i="2"/>
  <c r="AN447" i="2"/>
  <c r="K447" i="1"/>
  <c r="AM447" i="2"/>
  <c r="J447" i="1"/>
  <c r="AL447" i="2"/>
  <c r="I447" i="1"/>
  <c r="AK447" i="2"/>
  <c r="AJ447" i="2"/>
  <c r="AI447" i="2"/>
  <c r="AH447" i="2"/>
  <c r="E447" i="1"/>
  <c r="AG447" i="2"/>
  <c r="D447" i="1"/>
  <c r="AF447" i="2"/>
  <c r="C447" i="1"/>
  <c r="AE447" i="2"/>
  <c r="AD447" i="2"/>
  <c r="AA447" i="2"/>
  <c r="Z447" i="2"/>
  <c r="S446" i="1"/>
  <c r="AU446" i="2"/>
  <c r="R446" i="1"/>
  <c r="AT446" i="2"/>
  <c r="Q446" i="1"/>
  <c r="AS446" i="2"/>
  <c r="P446" i="1"/>
  <c r="AR446" i="2"/>
  <c r="O446" i="1"/>
  <c r="AQ446" i="2"/>
  <c r="AP446" i="2"/>
  <c r="AO446" i="2"/>
  <c r="AN446" i="2"/>
  <c r="K446" i="1"/>
  <c r="AM446" i="2"/>
  <c r="J446" i="1"/>
  <c r="AL446" i="2"/>
  <c r="I446" i="1"/>
  <c r="AK446" i="2"/>
  <c r="AJ446" i="2"/>
  <c r="AI446" i="2"/>
  <c r="AH446" i="2"/>
  <c r="E446" i="1"/>
  <c r="AG446" i="2"/>
  <c r="D446" i="1"/>
  <c r="AF446" i="2"/>
  <c r="C446" i="1"/>
  <c r="AE446" i="2"/>
  <c r="AD446" i="2"/>
  <c r="AA446" i="2"/>
  <c r="Z446" i="2"/>
  <c r="S445" i="1"/>
  <c r="AU445" i="2"/>
  <c r="R445" i="1"/>
  <c r="AT445" i="2"/>
  <c r="Q445" i="1"/>
  <c r="AS445" i="2"/>
  <c r="P445" i="1"/>
  <c r="AR445" i="2"/>
  <c r="O445" i="1"/>
  <c r="AQ445" i="2"/>
  <c r="AP445" i="2"/>
  <c r="AO445" i="2"/>
  <c r="AN445" i="2"/>
  <c r="K445" i="1"/>
  <c r="AM445" i="2"/>
  <c r="J445" i="1"/>
  <c r="AL445" i="2"/>
  <c r="I445" i="1"/>
  <c r="AK445" i="2"/>
  <c r="AJ445" i="2"/>
  <c r="AI445" i="2"/>
  <c r="AH445" i="2"/>
  <c r="E445" i="1"/>
  <c r="AG445" i="2"/>
  <c r="D445" i="1"/>
  <c r="AF445" i="2"/>
  <c r="C445" i="1"/>
  <c r="AE445" i="2"/>
  <c r="AD445" i="2"/>
  <c r="AA445" i="2"/>
  <c r="Z445" i="2"/>
  <c r="S444" i="1"/>
  <c r="AU444" i="2"/>
  <c r="R444" i="1"/>
  <c r="AT444" i="2"/>
  <c r="Q444" i="1"/>
  <c r="AS444" i="2"/>
  <c r="P444" i="1"/>
  <c r="AR444" i="2"/>
  <c r="O444" i="1"/>
  <c r="AQ444" i="2"/>
  <c r="AP444" i="2"/>
  <c r="AO444" i="2"/>
  <c r="AN444" i="2"/>
  <c r="K444" i="1"/>
  <c r="AM444" i="2"/>
  <c r="J444" i="1"/>
  <c r="AL444" i="2"/>
  <c r="I444" i="1"/>
  <c r="AK444" i="2"/>
  <c r="AJ444" i="2"/>
  <c r="AI444" i="2"/>
  <c r="AH444" i="2"/>
  <c r="E444" i="1"/>
  <c r="AG444" i="2"/>
  <c r="D444" i="1"/>
  <c r="AF444" i="2"/>
  <c r="C444" i="1"/>
  <c r="AE444" i="2"/>
  <c r="AD444" i="2"/>
  <c r="AA444" i="2"/>
  <c r="Z444" i="2"/>
  <c r="S443" i="1"/>
  <c r="AU443" i="2"/>
  <c r="R443" i="1"/>
  <c r="AT443" i="2"/>
  <c r="Q443" i="1"/>
  <c r="AS443" i="2"/>
  <c r="P443" i="1"/>
  <c r="AR443" i="2"/>
  <c r="O443" i="1"/>
  <c r="AQ443" i="2"/>
  <c r="AP443" i="2"/>
  <c r="AO443" i="2"/>
  <c r="AN443" i="2"/>
  <c r="K443" i="1"/>
  <c r="AM443" i="2"/>
  <c r="J443" i="1"/>
  <c r="AL443" i="2"/>
  <c r="I443" i="1"/>
  <c r="AK443" i="2"/>
  <c r="AJ443" i="2"/>
  <c r="AI443" i="2"/>
  <c r="AH443" i="2"/>
  <c r="E443" i="1"/>
  <c r="AG443" i="2"/>
  <c r="D443" i="1"/>
  <c r="AF443" i="2"/>
  <c r="C443" i="1"/>
  <c r="AE443" i="2"/>
  <c r="AD443" i="2"/>
  <c r="AA443" i="2"/>
  <c r="Z443" i="2"/>
  <c r="S442" i="1"/>
  <c r="AU442" i="2"/>
  <c r="R442" i="1"/>
  <c r="AT442" i="2"/>
  <c r="Q442" i="1"/>
  <c r="AS442" i="2"/>
  <c r="P442" i="1"/>
  <c r="AR442" i="2"/>
  <c r="O442" i="1"/>
  <c r="AQ442" i="2"/>
  <c r="AP442" i="2"/>
  <c r="AO442" i="2"/>
  <c r="AN442" i="2"/>
  <c r="K442" i="1"/>
  <c r="AM442" i="2"/>
  <c r="J442" i="1"/>
  <c r="AL442" i="2"/>
  <c r="I442" i="1"/>
  <c r="AK442" i="2"/>
  <c r="AJ442" i="2"/>
  <c r="AI442" i="2"/>
  <c r="AH442" i="2"/>
  <c r="E442" i="1"/>
  <c r="AG442" i="2"/>
  <c r="D442" i="1"/>
  <c r="AF442" i="2"/>
  <c r="C442" i="1"/>
  <c r="AE442" i="2"/>
  <c r="AD442" i="2"/>
  <c r="AA442" i="2"/>
  <c r="Z442" i="2"/>
  <c r="S441" i="1"/>
  <c r="AU441" i="2"/>
  <c r="R441" i="1"/>
  <c r="AT441" i="2"/>
  <c r="Q441" i="1"/>
  <c r="AS441" i="2"/>
  <c r="P441" i="1"/>
  <c r="AR441" i="2"/>
  <c r="O441" i="1"/>
  <c r="AQ441" i="2"/>
  <c r="AP441" i="2"/>
  <c r="AO441" i="2"/>
  <c r="AN441" i="2"/>
  <c r="K441" i="1"/>
  <c r="AM441" i="2"/>
  <c r="J441" i="1"/>
  <c r="AL441" i="2"/>
  <c r="I441" i="1"/>
  <c r="AK441" i="2"/>
  <c r="AJ441" i="2"/>
  <c r="AI441" i="2"/>
  <c r="AH441" i="2"/>
  <c r="E441" i="1"/>
  <c r="AG441" i="2"/>
  <c r="D441" i="1"/>
  <c r="AF441" i="2"/>
  <c r="C441" i="1"/>
  <c r="AE441" i="2"/>
  <c r="AD441" i="2"/>
  <c r="AA441" i="2"/>
  <c r="Z441" i="2"/>
  <c r="S440" i="1"/>
  <c r="AU440" i="2"/>
  <c r="R440" i="1"/>
  <c r="AT440" i="2"/>
  <c r="Q440" i="1"/>
  <c r="AS440" i="2"/>
  <c r="P440" i="1"/>
  <c r="AR440" i="2"/>
  <c r="O440" i="1"/>
  <c r="AQ440" i="2"/>
  <c r="AP440" i="2"/>
  <c r="AO440" i="2"/>
  <c r="AN440" i="2"/>
  <c r="K440" i="1"/>
  <c r="AM440" i="2"/>
  <c r="J440" i="1"/>
  <c r="AL440" i="2"/>
  <c r="I440" i="1"/>
  <c r="AK440" i="2"/>
  <c r="AJ440" i="2"/>
  <c r="AI440" i="2"/>
  <c r="AH440" i="2"/>
  <c r="E440" i="1"/>
  <c r="AG440" i="2"/>
  <c r="D440" i="1"/>
  <c r="AF440" i="2"/>
  <c r="C440" i="1"/>
  <c r="AE440" i="2"/>
  <c r="AD440" i="2"/>
  <c r="AA440" i="2"/>
  <c r="Z440" i="2"/>
  <c r="S439" i="1"/>
  <c r="AU439" i="2"/>
  <c r="R439" i="1"/>
  <c r="AT439" i="2"/>
  <c r="Q439" i="1"/>
  <c r="AS439" i="2"/>
  <c r="P439" i="1"/>
  <c r="AR439" i="2"/>
  <c r="O439" i="1"/>
  <c r="AQ439" i="2"/>
  <c r="AP439" i="2"/>
  <c r="AO439" i="2"/>
  <c r="AN439" i="2"/>
  <c r="K439" i="1"/>
  <c r="AM439" i="2"/>
  <c r="J439" i="1"/>
  <c r="AL439" i="2"/>
  <c r="I439" i="1"/>
  <c r="AK439" i="2"/>
  <c r="AJ439" i="2"/>
  <c r="AI439" i="2"/>
  <c r="AH439" i="2"/>
  <c r="E439" i="1"/>
  <c r="AG439" i="2"/>
  <c r="D439" i="1"/>
  <c r="AF439" i="2"/>
  <c r="C439" i="1"/>
  <c r="AE439" i="2"/>
  <c r="AD439" i="2"/>
  <c r="AA439" i="2"/>
  <c r="Z439" i="2"/>
  <c r="S438" i="1"/>
  <c r="AU438" i="2"/>
  <c r="R438" i="1"/>
  <c r="AT438" i="2"/>
  <c r="Q438" i="1"/>
  <c r="AS438" i="2"/>
  <c r="P438" i="1"/>
  <c r="AR438" i="2"/>
  <c r="O438" i="1"/>
  <c r="AQ438" i="2"/>
  <c r="AP438" i="2"/>
  <c r="AO438" i="2"/>
  <c r="AN438" i="2"/>
  <c r="K438" i="1"/>
  <c r="AM438" i="2"/>
  <c r="J438" i="1"/>
  <c r="AL438" i="2"/>
  <c r="I438" i="1"/>
  <c r="AK438" i="2"/>
  <c r="AJ438" i="2"/>
  <c r="AI438" i="2"/>
  <c r="AH438" i="2"/>
  <c r="E438" i="1"/>
  <c r="AG438" i="2"/>
  <c r="D438" i="1"/>
  <c r="AF438" i="2"/>
  <c r="C438" i="1"/>
  <c r="AE438" i="2"/>
  <c r="AD438" i="2"/>
  <c r="AA438" i="2"/>
  <c r="Z438" i="2"/>
  <c r="S437" i="1"/>
  <c r="AU437" i="2"/>
  <c r="R437" i="1"/>
  <c r="AT437" i="2"/>
  <c r="Q437" i="1"/>
  <c r="AS437" i="2"/>
  <c r="P437" i="1"/>
  <c r="AR437" i="2"/>
  <c r="O437" i="1"/>
  <c r="AQ437" i="2"/>
  <c r="AP437" i="2"/>
  <c r="AO437" i="2"/>
  <c r="AN437" i="2"/>
  <c r="K437" i="1"/>
  <c r="AM437" i="2"/>
  <c r="J437" i="1"/>
  <c r="AL437" i="2"/>
  <c r="I437" i="1"/>
  <c r="AK437" i="2"/>
  <c r="AJ437" i="2"/>
  <c r="AI437" i="2"/>
  <c r="AH437" i="2"/>
  <c r="E437" i="1"/>
  <c r="AG437" i="2"/>
  <c r="D437" i="1"/>
  <c r="AF437" i="2"/>
  <c r="C437" i="1"/>
  <c r="AE437" i="2"/>
  <c r="AD437" i="2"/>
  <c r="AA437" i="2"/>
  <c r="Z437" i="2"/>
  <c r="S436" i="1"/>
  <c r="AU436" i="2"/>
  <c r="R436" i="1"/>
  <c r="AT436" i="2"/>
  <c r="Q436" i="1"/>
  <c r="AS436" i="2"/>
  <c r="P436" i="1"/>
  <c r="AR436" i="2"/>
  <c r="O436" i="1"/>
  <c r="AQ436" i="2"/>
  <c r="AP436" i="2"/>
  <c r="AO436" i="2"/>
  <c r="AN436" i="2"/>
  <c r="K436" i="1"/>
  <c r="AM436" i="2"/>
  <c r="J436" i="1"/>
  <c r="AL436" i="2"/>
  <c r="I436" i="1"/>
  <c r="AK436" i="2"/>
  <c r="AJ436" i="2"/>
  <c r="AI436" i="2"/>
  <c r="AH436" i="2"/>
  <c r="E436" i="1"/>
  <c r="AG436" i="2"/>
  <c r="D436" i="1"/>
  <c r="AF436" i="2"/>
  <c r="C436" i="1"/>
  <c r="AE436" i="2"/>
  <c r="AD436" i="2"/>
  <c r="AA436" i="2"/>
  <c r="Z436" i="2"/>
  <c r="S435" i="1"/>
  <c r="AU435" i="2"/>
  <c r="R435" i="1"/>
  <c r="AT435" i="2"/>
  <c r="Q435" i="1"/>
  <c r="AS435" i="2"/>
  <c r="P435" i="1"/>
  <c r="AR435" i="2"/>
  <c r="O435" i="1"/>
  <c r="AQ435" i="2"/>
  <c r="AP435" i="2"/>
  <c r="AO435" i="2"/>
  <c r="AN435" i="2"/>
  <c r="K435" i="1"/>
  <c r="AM435" i="2"/>
  <c r="J435" i="1"/>
  <c r="AL435" i="2"/>
  <c r="I435" i="1"/>
  <c r="AK435" i="2"/>
  <c r="AJ435" i="2"/>
  <c r="AI435" i="2"/>
  <c r="AH435" i="2"/>
  <c r="E435" i="1"/>
  <c r="AG435" i="2"/>
  <c r="D435" i="1"/>
  <c r="AF435" i="2"/>
  <c r="C435" i="1"/>
  <c r="AE435" i="2"/>
  <c r="AD435" i="2"/>
  <c r="AA435" i="2"/>
  <c r="Z435" i="2"/>
  <c r="S434" i="1"/>
  <c r="AU434" i="2"/>
  <c r="R434" i="1"/>
  <c r="AT434" i="2"/>
  <c r="Q434" i="1"/>
  <c r="AS434" i="2"/>
  <c r="P434" i="1"/>
  <c r="AR434" i="2"/>
  <c r="O434" i="1"/>
  <c r="AQ434" i="2"/>
  <c r="AP434" i="2"/>
  <c r="AO434" i="2"/>
  <c r="AN434" i="2"/>
  <c r="K434" i="1"/>
  <c r="AM434" i="2"/>
  <c r="J434" i="1"/>
  <c r="AL434" i="2"/>
  <c r="I434" i="1"/>
  <c r="AK434" i="2"/>
  <c r="AJ434" i="2"/>
  <c r="AI434" i="2"/>
  <c r="AH434" i="2"/>
  <c r="E434" i="1"/>
  <c r="AG434" i="2"/>
  <c r="D434" i="1"/>
  <c r="AF434" i="2"/>
  <c r="C434" i="1"/>
  <c r="AE434" i="2"/>
  <c r="AD434" i="2"/>
  <c r="AA434" i="2"/>
  <c r="Z434" i="2"/>
  <c r="S433" i="1"/>
  <c r="AU433" i="2"/>
  <c r="R433" i="1"/>
  <c r="AT433" i="2"/>
  <c r="Q433" i="1"/>
  <c r="AS433" i="2"/>
  <c r="P433" i="1"/>
  <c r="AR433" i="2"/>
  <c r="O433" i="1"/>
  <c r="AQ433" i="2"/>
  <c r="AP433" i="2"/>
  <c r="AO433" i="2"/>
  <c r="AN433" i="2"/>
  <c r="K433" i="1"/>
  <c r="AM433" i="2"/>
  <c r="J433" i="1"/>
  <c r="AL433" i="2"/>
  <c r="I433" i="1"/>
  <c r="AK433" i="2"/>
  <c r="AJ433" i="2"/>
  <c r="AI433" i="2"/>
  <c r="AH433" i="2"/>
  <c r="E433" i="1"/>
  <c r="AG433" i="2"/>
  <c r="D433" i="1"/>
  <c r="AF433" i="2"/>
  <c r="C433" i="1"/>
  <c r="AE433" i="2"/>
  <c r="AD433" i="2"/>
  <c r="AA433" i="2"/>
  <c r="Z433" i="2"/>
  <c r="S432" i="1"/>
  <c r="AU432" i="2"/>
  <c r="R432" i="1"/>
  <c r="AT432" i="2"/>
  <c r="Q432" i="1"/>
  <c r="AS432" i="2"/>
  <c r="P432" i="1"/>
  <c r="AR432" i="2"/>
  <c r="O432" i="1"/>
  <c r="AQ432" i="2"/>
  <c r="AP432" i="2"/>
  <c r="AO432" i="2"/>
  <c r="AN432" i="2"/>
  <c r="K432" i="1"/>
  <c r="AM432" i="2"/>
  <c r="J432" i="1"/>
  <c r="AL432" i="2"/>
  <c r="I432" i="1"/>
  <c r="AK432" i="2"/>
  <c r="AJ432" i="2"/>
  <c r="AI432" i="2"/>
  <c r="AH432" i="2"/>
  <c r="E432" i="1"/>
  <c r="AG432" i="2"/>
  <c r="D432" i="1"/>
  <c r="AF432" i="2"/>
  <c r="C432" i="1"/>
  <c r="AE432" i="2"/>
  <c r="AD432" i="2"/>
  <c r="AA432" i="2"/>
  <c r="Z432" i="2"/>
  <c r="S431" i="1"/>
  <c r="AU431" i="2"/>
  <c r="R431" i="1"/>
  <c r="AT431" i="2"/>
  <c r="Q431" i="1"/>
  <c r="AS431" i="2"/>
  <c r="P431" i="1"/>
  <c r="AR431" i="2"/>
  <c r="O431" i="1"/>
  <c r="AQ431" i="2"/>
  <c r="AP431" i="2"/>
  <c r="AO431" i="2"/>
  <c r="AN431" i="2"/>
  <c r="K431" i="1"/>
  <c r="AM431" i="2"/>
  <c r="J431" i="1"/>
  <c r="AL431" i="2"/>
  <c r="I431" i="1"/>
  <c r="AK431" i="2"/>
  <c r="AJ431" i="2"/>
  <c r="AI431" i="2"/>
  <c r="AH431" i="2"/>
  <c r="E431" i="1"/>
  <c r="AG431" i="2"/>
  <c r="D431" i="1"/>
  <c r="AF431" i="2"/>
  <c r="C431" i="1"/>
  <c r="AE431" i="2"/>
  <c r="AD431" i="2"/>
  <c r="AA431" i="2"/>
  <c r="Z431" i="2"/>
  <c r="S430" i="1"/>
  <c r="AU430" i="2"/>
  <c r="R430" i="1"/>
  <c r="AT430" i="2"/>
  <c r="Q430" i="1"/>
  <c r="AS430" i="2"/>
  <c r="P430" i="1"/>
  <c r="AR430" i="2"/>
  <c r="O430" i="1"/>
  <c r="AQ430" i="2"/>
  <c r="AP430" i="2"/>
  <c r="AO430" i="2"/>
  <c r="AN430" i="2"/>
  <c r="K430" i="1"/>
  <c r="AM430" i="2"/>
  <c r="J430" i="1"/>
  <c r="AL430" i="2"/>
  <c r="I430" i="1"/>
  <c r="AK430" i="2"/>
  <c r="AJ430" i="2"/>
  <c r="AI430" i="2"/>
  <c r="AH430" i="2"/>
  <c r="E430" i="1"/>
  <c r="AG430" i="2"/>
  <c r="D430" i="1"/>
  <c r="AF430" i="2"/>
  <c r="C430" i="1"/>
  <c r="AE430" i="2"/>
  <c r="AD430" i="2"/>
  <c r="AA430" i="2"/>
  <c r="Z430" i="2"/>
  <c r="S429" i="1"/>
  <c r="AU429" i="2"/>
  <c r="R429" i="1"/>
  <c r="AT429" i="2"/>
  <c r="Q429" i="1"/>
  <c r="AS429" i="2"/>
  <c r="P429" i="1"/>
  <c r="AR429" i="2"/>
  <c r="O429" i="1"/>
  <c r="AQ429" i="2"/>
  <c r="AP429" i="2"/>
  <c r="AO429" i="2"/>
  <c r="AN429" i="2"/>
  <c r="K429" i="1"/>
  <c r="AM429" i="2"/>
  <c r="J429" i="1"/>
  <c r="AL429" i="2"/>
  <c r="I429" i="1"/>
  <c r="AK429" i="2"/>
  <c r="AJ429" i="2"/>
  <c r="AI429" i="2"/>
  <c r="AH429" i="2"/>
  <c r="E429" i="1"/>
  <c r="AG429" i="2"/>
  <c r="D429" i="1"/>
  <c r="AF429" i="2"/>
  <c r="C429" i="1"/>
  <c r="AE429" i="2"/>
  <c r="AD429" i="2"/>
  <c r="AA429" i="2"/>
  <c r="Z429" i="2"/>
  <c r="S428" i="1"/>
  <c r="AU428" i="2"/>
  <c r="R428" i="1"/>
  <c r="AT428" i="2"/>
  <c r="Q428" i="1"/>
  <c r="AS428" i="2"/>
  <c r="P428" i="1"/>
  <c r="AR428" i="2"/>
  <c r="O428" i="1"/>
  <c r="AQ428" i="2"/>
  <c r="AP428" i="2"/>
  <c r="AO428" i="2"/>
  <c r="AN428" i="2"/>
  <c r="K428" i="1"/>
  <c r="AM428" i="2"/>
  <c r="J428" i="1"/>
  <c r="AL428" i="2"/>
  <c r="I428" i="1"/>
  <c r="AK428" i="2"/>
  <c r="AJ428" i="2"/>
  <c r="AI428" i="2"/>
  <c r="AH428" i="2"/>
  <c r="E428" i="1"/>
  <c r="AG428" i="2"/>
  <c r="D428" i="1"/>
  <c r="AF428" i="2"/>
  <c r="C428" i="1"/>
  <c r="AE428" i="2"/>
  <c r="AD428" i="2"/>
  <c r="AA428" i="2"/>
  <c r="Z428" i="2"/>
  <c r="S427" i="1"/>
  <c r="AU427" i="2"/>
  <c r="R427" i="1"/>
  <c r="AT427" i="2"/>
  <c r="Q427" i="1"/>
  <c r="AS427" i="2"/>
  <c r="P427" i="1"/>
  <c r="AR427" i="2"/>
  <c r="O427" i="1"/>
  <c r="AQ427" i="2"/>
  <c r="AP427" i="2"/>
  <c r="AO427" i="2"/>
  <c r="AN427" i="2"/>
  <c r="K427" i="1"/>
  <c r="AM427" i="2"/>
  <c r="J427" i="1"/>
  <c r="AL427" i="2"/>
  <c r="I427" i="1"/>
  <c r="AK427" i="2"/>
  <c r="AJ427" i="2"/>
  <c r="AI427" i="2"/>
  <c r="AH427" i="2"/>
  <c r="E427" i="1"/>
  <c r="AG427" i="2"/>
  <c r="D427" i="1"/>
  <c r="AF427" i="2"/>
  <c r="C427" i="1"/>
  <c r="AE427" i="2"/>
  <c r="AD427" i="2"/>
  <c r="AA427" i="2"/>
  <c r="Z427" i="2"/>
  <c r="S426" i="1"/>
  <c r="AU426" i="2"/>
  <c r="R426" i="1"/>
  <c r="AT426" i="2"/>
  <c r="Q426" i="1"/>
  <c r="AS426" i="2"/>
  <c r="P426" i="1"/>
  <c r="AR426" i="2"/>
  <c r="O426" i="1"/>
  <c r="AQ426" i="2"/>
  <c r="AP426" i="2"/>
  <c r="AO426" i="2"/>
  <c r="AN426" i="2"/>
  <c r="K426" i="1"/>
  <c r="AM426" i="2"/>
  <c r="J426" i="1"/>
  <c r="AL426" i="2"/>
  <c r="I426" i="1"/>
  <c r="AK426" i="2"/>
  <c r="AJ426" i="2"/>
  <c r="AI426" i="2"/>
  <c r="AH426" i="2"/>
  <c r="E426" i="1"/>
  <c r="AG426" i="2"/>
  <c r="D426" i="1"/>
  <c r="AF426" i="2"/>
  <c r="C426" i="1"/>
  <c r="AE426" i="2"/>
  <c r="AD426" i="2"/>
  <c r="AA426" i="2"/>
  <c r="Z426" i="2"/>
  <c r="S425" i="1"/>
  <c r="AU425" i="2"/>
  <c r="R425" i="1"/>
  <c r="AT425" i="2"/>
  <c r="Q425" i="1"/>
  <c r="AS425" i="2"/>
  <c r="P425" i="1"/>
  <c r="AR425" i="2"/>
  <c r="O425" i="1"/>
  <c r="AQ425" i="2"/>
  <c r="AP425" i="2"/>
  <c r="AO425" i="2"/>
  <c r="AN425" i="2"/>
  <c r="K425" i="1"/>
  <c r="AM425" i="2"/>
  <c r="J425" i="1"/>
  <c r="AL425" i="2"/>
  <c r="I425" i="1"/>
  <c r="AK425" i="2"/>
  <c r="AJ425" i="2"/>
  <c r="AI425" i="2"/>
  <c r="AH425" i="2"/>
  <c r="E425" i="1"/>
  <c r="AG425" i="2"/>
  <c r="D425" i="1"/>
  <c r="AF425" i="2"/>
  <c r="C425" i="1"/>
  <c r="AE425" i="2"/>
  <c r="AD425" i="2"/>
  <c r="AA425" i="2"/>
  <c r="Z425" i="2"/>
  <c r="S424" i="1"/>
  <c r="AU424" i="2"/>
  <c r="R424" i="1"/>
  <c r="AT424" i="2"/>
  <c r="Q424" i="1"/>
  <c r="AS424" i="2"/>
  <c r="P424" i="1"/>
  <c r="AR424" i="2"/>
  <c r="O424" i="1"/>
  <c r="AQ424" i="2"/>
  <c r="AP424" i="2"/>
  <c r="AO424" i="2"/>
  <c r="AN424" i="2"/>
  <c r="K424" i="1"/>
  <c r="AM424" i="2"/>
  <c r="J424" i="1"/>
  <c r="AL424" i="2"/>
  <c r="I424" i="1"/>
  <c r="AK424" i="2"/>
  <c r="AJ424" i="2"/>
  <c r="AI424" i="2"/>
  <c r="AH424" i="2"/>
  <c r="E424" i="1"/>
  <c r="AG424" i="2"/>
  <c r="D424" i="1"/>
  <c r="AF424" i="2"/>
  <c r="C424" i="1"/>
  <c r="AE424" i="2"/>
  <c r="AD424" i="2"/>
  <c r="AA424" i="2"/>
  <c r="Z424" i="2"/>
  <c r="S423" i="1"/>
  <c r="AU423" i="2"/>
  <c r="R423" i="1"/>
  <c r="AT423" i="2"/>
  <c r="Q423" i="1"/>
  <c r="AS423" i="2"/>
  <c r="P423" i="1"/>
  <c r="AR423" i="2"/>
  <c r="O423" i="1"/>
  <c r="AQ423" i="2"/>
  <c r="AP423" i="2"/>
  <c r="AO423" i="2"/>
  <c r="AN423" i="2"/>
  <c r="K423" i="1"/>
  <c r="AM423" i="2"/>
  <c r="J423" i="1"/>
  <c r="AL423" i="2"/>
  <c r="I423" i="1"/>
  <c r="AK423" i="2"/>
  <c r="AJ423" i="2"/>
  <c r="AI423" i="2"/>
  <c r="AH423" i="2"/>
  <c r="E423" i="1"/>
  <c r="AG423" i="2"/>
  <c r="D423" i="1"/>
  <c r="AF423" i="2"/>
  <c r="C423" i="1"/>
  <c r="AE423" i="2"/>
  <c r="AD423" i="2"/>
  <c r="AA423" i="2"/>
  <c r="Z423" i="2"/>
  <c r="S422" i="1"/>
  <c r="AU422" i="2"/>
  <c r="R422" i="1"/>
  <c r="AT422" i="2"/>
  <c r="Q422" i="1"/>
  <c r="AS422" i="2"/>
  <c r="P422" i="1"/>
  <c r="AR422" i="2"/>
  <c r="O422" i="1"/>
  <c r="AQ422" i="2"/>
  <c r="AP422" i="2"/>
  <c r="AO422" i="2"/>
  <c r="AN422" i="2"/>
  <c r="K422" i="1"/>
  <c r="AM422" i="2"/>
  <c r="J422" i="1"/>
  <c r="AL422" i="2"/>
  <c r="I422" i="1"/>
  <c r="AK422" i="2"/>
  <c r="AJ422" i="2"/>
  <c r="AI422" i="2"/>
  <c r="AH422" i="2"/>
  <c r="E422" i="1"/>
  <c r="AG422" i="2"/>
  <c r="D422" i="1"/>
  <c r="AF422" i="2"/>
  <c r="C422" i="1"/>
  <c r="AE422" i="2"/>
  <c r="AD422" i="2"/>
  <c r="AA422" i="2"/>
  <c r="Z422" i="2"/>
  <c r="S421" i="1"/>
  <c r="AU421" i="2"/>
  <c r="R421" i="1"/>
  <c r="AT421" i="2"/>
  <c r="Q421" i="1"/>
  <c r="AS421" i="2"/>
  <c r="P421" i="1"/>
  <c r="AR421" i="2"/>
  <c r="O421" i="1"/>
  <c r="AQ421" i="2"/>
  <c r="AP421" i="2"/>
  <c r="AO421" i="2"/>
  <c r="AN421" i="2"/>
  <c r="K421" i="1"/>
  <c r="AM421" i="2"/>
  <c r="J421" i="1"/>
  <c r="AL421" i="2"/>
  <c r="I421" i="1"/>
  <c r="AK421" i="2"/>
  <c r="AJ421" i="2"/>
  <c r="AI421" i="2"/>
  <c r="AH421" i="2"/>
  <c r="E421" i="1"/>
  <c r="AG421" i="2"/>
  <c r="D421" i="1"/>
  <c r="AF421" i="2"/>
  <c r="C421" i="1"/>
  <c r="AE421" i="2"/>
  <c r="AD421" i="2"/>
  <c r="AA421" i="2"/>
  <c r="Z421" i="2"/>
  <c r="S420" i="1"/>
  <c r="AU420" i="2"/>
  <c r="R420" i="1"/>
  <c r="AT420" i="2"/>
  <c r="Q420" i="1"/>
  <c r="AS420" i="2"/>
  <c r="P420" i="1"/>
  <c r="AR420" i="2"/>
  <c r="O420" i="1"/>
  <c r="AQ420" i="2"/>
  <c r="AP420" i="2"/>
  <c r="AO420" i="2"/>
  <c r="AN420" i="2"/>
  <c r="K420" i="1"/>
  <c r="AM420" i="2"/>
  <c r="J420" i="1"/>
  <c r="AL420" i="2"/>
  <c r="I420" i="1"/>
  <c r="AK420" i="2"/>
  <c r="AJ420" i="2"/>
  <c r="AI420" i="2"/>
  <c r="AH420" i="2"/>
  <c r="E420" i="1"/>
  <c r="AG420" i="2"/>
  <c r="D420" i="1"/>
  <c r="AF420" i="2"/>
  <c r="C420" i="1"/>
  <c r="AE420" i="2"/>
  <c r="AD420" i="2"/>
  <c r="AA420" i="2"/>
  <c r="Z420" i="2"/>
  <c r="S419" i="1"/>
  <c r="AU419" i="2"/>
  <c r="R419" i="1"/>
  <c r="AT419" i="2"/>
  <c r="Q419" i="1"/>
  <c r="AS419" i="2"/>
  <c r="P419" i="1"/>
  <c r="AR419" i="2"/>
  <c r="O419" i="1"/>
  <c r="AQ419" i="2"/>
  <c r="AP419" i="2"/>
  <c r="AO419" i="2"/>
  <c r="AN419" i="2"/>
  <c r="K419" i="1"/>
  <c r="AM419" i="2"/>
  <c r="J419" i="1"/>
  <c r="AL419" i="2"/>
  <c r="I419" i="1"/>
  <c r="AK419" i="2"/>
  <c r="AJ419" i="2"/>
  <c r="AI419" i="2"/>
  <c r="AH419" i="2"/>
  <c r="E419" i="1"/>
  <c r="AG419" i="2"/>
  <c r="D419" i="1"/>
  <c r="AF419" i="2"/>
  <c r="C419" i="1"/>
  <c r="AE419" i="2"/>
  <c r="AD419" i="2"/>
  <c r="AA419" i="2"/>
  <c r="Z419" i="2"/>
  <c r="S418" i="1"/>
  <c r="AU418" i="2"/>
  <c r="R418" i="1"/>
  <c r="AT418" i="2"/>
  <c r="Q418" i="1"/>
  <c r="AS418" i="2"/>
  <c r="P418" i="1"/>
  <c r="AR418" i="2"/>
  <c r="O418" i="1"/>
  <c r="AQ418" i="2"/>
  <c r="AP418" i="2"/>
  <c r="AO418" i="2"/>
  <c r="AN418" i="2"/>
  <c r="K418" i="1"/>
  <c r="AM418" i="2"/>
  <c r="J418" i="1"/>
  <c r="AL418" i="2"/>
  <c r="I418" i="1"/>
  <c r="AK418" i="2"/>
  <c r="AJ418" i="2"/>
  <c r="AI418" i="2"/>
  <c r="AH418" i="2"/>
  <c r="E418" i="1"/>
  <c r="AG418" i="2"/>
  <c r="D418" i="1"/>
  <c r="AF418" i="2"/>
  <c r="C418" i="1"/>
  <c r="AE418" i="2"/>
  <c r="AD418" i="2"/>
  <c r="AA418" i="2"/>
  <c r="Z418" i="2"/>
  <c r="S417" i="1"/>
  <c r="AU417" i="2"/>
  <c r="R417" i="1"/>
  <c r="AT417" i="2"/>
  <c r="Q417" i="1"/>
  <c r="AS417" i="2"/>
  <c r="P417" i="1"/>
  <c r="AR417" i="2"/>
  <c r="O417" i="1"/>
  <c r="AQ417" i="2"/>
  <c r="AP417" i="2"/>
  <c r="AO417" i="2"/>
  <c r="AN417" i="2"/>
  <c r="K417" i="1"/>
  <c r="AM417" i="2"/>
  <c r="J417" i="1"/>
  <c r="AL417" i="2"/>
  <c r="I417" i="1"/>
  <c r="AK417" i="2"/>
  <c r="AJ417" i="2"/>
  <c r="AI417" i="2"/>
  <c r="AH417" i="2"/>
  <c r="E417" i="1"/>
  <c r="AG417" i="2"/>
  <c r="D417" i="1"/>
  <c r="AF417" i="2"/>
  <c r="C417" i="1"/>
  <c r="AE417" i="2"/>
  <c r="AD417" i="2"/>
  <c r="AA417" i="2"/>
  <c r="Z417" i="2"/>
  <c r="S416" i="1"/>
  <c r="AU416" i="2"/>
  <c r="R416" i="1"/>
  <c r="AT416" i="2"/>
  <c r="Q416" i="1"/>
  <c r="AS416" i="2"/>
  <c r="P416" i="1"/>
  <c r="AR416" i="2"/>
  <c r="O416" i="1"/>
  <c r="AQ416" i="2"/>
  <c r="AP416" i="2"/>
  <c r="AO416" i="2"/>
  <c r="AN416" i="2"/>
  <c r="K416" i="1"/>
  <c r="AM416" i="2"/>
  <c r="J416" i="1"/>
  <c r="AL416" i="2"/>
  <c r="I416" i="1"/>
  <c r="AK416" i="2"/>
  <c r="AJ416" i="2"/>
  <c r="AI416" i="2"/>
  <c r="AH416" i="2"/>
  <c r="E416" i="1"/>
  <c r="AG416" i="2"/>
  <c r="D416" i="1"/>
  <c r="AF416" i="2"/>
  <c r="C416" i="1"/>
  <c r="AE416" i="2"/>
  <c r="AD416" i="2"/>
  <c r="AA416" i="2"/>
  <c r="Z416" i="2"/>
  <c r="S415" i="1"/>
  <c r="AU415" i="2"/>
  <c r="R415" i="1"/>
  <c r="AT415" i="2"/>
  <c r="Q415" i="1"/>
  <c r="AS415" i="2"/>
  <c r="P415" i="1"/>
  <c r="AR415" i="2"/>
  <c r="O415" i="1"/>
  <c r="AQ415" i="2"/>
  <c r="AP415" i="2"/>
  <c r="AO415" i="2"/>
  <c r="AN415" i="2"/>
  <c r="K415" i="1"/>
  <c r="AM415" i="2"/>
  <c r="J415" i="1"/>
  <c r="AL415" i="2"/>
  <c r="I415" i="1"/>
  <c r="AK415" i="2"/>
  <c r="AJ415" i="2"/>
  <c r="AI415" i="2"/>
  <c r="AH415" i="2"/>
  <c r="E415" i="1"/>
  <c r="AG415" i="2"/>
  <c r="D415" i="1"/>
  <c r="AF415" i="2"/>
  <c r="C415" i="1"/>
  <c r="AE415" i="2"/>
  <c r="AD415" i="2"/>
  <c r="AA415" i="2"/>
  <c r="Z415" i="2"/>
  <c r="S414" i="1"/>
  <c r="AU414" i="2"/>
  <c r="R414" i="1"/>
  <c r="AT414" i="2"/>
  <c r="Q414" i="1"/>
  <c r="AS414" i="2"/>
  <c r="P414" i="1"/>
  <c r="AR414" i="2"/>
  <c r="O414" i="1"/>
  <c r="AQ414" i="2"/>
  <c r="AP414" i="2"/>
  <c r="AO414" i="2"/>
  <c r="AN414" i="2"/>
  <c r="K414" i="1"/>
  <c r="AM414" i="2"/>
  <c r="J414" i="1"/>
  <c r="AL414" i="2"/>
  <c r="I414" i="1"/>
  <c r="AK414" i="2"/>
  <c r="AJ414" i="2"/>
  <c r="AI414" i="2"/>
  <c r="AH414" i="2"/>
  <c r="E414" i="1"/>
  <c r="AG414" i="2"/>
  <c r="D414" i="1"/>
  <c r="AF414" i="2"/>
  <c r="C414" i="1"/>
  <c r="AE414" i="2"/>
  <c r="AD414" i="2"/>
  <c r="AA414" i="2"/>
  <c r="Z414" i="2"/>
  <c r="S413" i="1"/>
  <c r="AU413" i="2"/>
  <c r="R413" i="1"/>
  <c r="AT413" i="2"/>
  <c r="Q413" i="1"/>
  <c r="AS413" i="2"/>
  <c r="P413" i="1"/>
  <c r="AR413" i="2"/>
  <c r="O413" i="1"/>
  <c r="AQ413" i="2"/>
  <c r="AP413" i="2"/>
  <c r="AO413" i="2"/>
  <c r="AN413" i="2"/>
  <c r="K413" i="1"/>
  <c r="AM413" i="2"/>
  <c r="J413" i="1"/>
  <c r="AL413" i="2"/>
  <c r="I413" i="1"/>
  <c r="AK413" i="2"/>
  <c r="AJ413" i="2"/>
  <c r="AI413" i="2"/>
  <c r="AH413" i="2"/>
  <c r="E413" i="1"/>
  <c r="AG413" i="2"/>
  <c r="D413" i="1"/>
  <c r="AF413" i="2"/>
  <c r="C413" i="1"/>
  <c r="AE413" i="2"/>
  <c r="AD413" i="2"/>
  <c r="AA413" i="2"/>
  <c r="Z413" i="2"/>
  <c r="S412" i="1"/>
  <c r="AU412" i="2"/>
  <c r="R412" i="1"/>
  <c r="AT412" i="2"/>
  <c r="Q412" i="1"/>
  <c r="AS412" i="2"/>
  <c r="P412" i="1"/>
  <c r="AR412" i="2"/>
  <c r="O412" i="1"/>
  <c r="AQ412" i="2"/>
  <c r="AP412" i="2"/>
  <c r="AO412" i="2"/>
  <c r="AN412" i="2"/>
  <c r="K412" i="1"/>
  <c r="AM412" i="2"/>
  <c r="J412" i="1"/>
  <c r="AL412" i="2"/>
  <c r="I412" i="1"/>
  <c r="AK412" i="2"/>
  <c r="AJ412" i="2"/>
  <c r="AI412" i="2"/>
  <c r="AH412" i="2"/>
  <c r="E412" i="1"/>
  <c r="AG412" i="2"/>
  <c r="D412" i="1"/>
  <c r="AF412" i="2"/>
  <c r="C412" i="1"/>
  <c r="AE412" i="2"/>
  <c r="AD412" i="2"/>
  <c r="AA412" i="2"/>
  <c r="Z412" i="2"/>
  <c r="S411" i="1"/>
  <c r="AU411" i="2"/>
  <c r="R411" i="1"/>
  <c r="AT411" i="2"/>
  <c r="Q411" i="1"/>
  <c r="AS411" i="2"/>
  <c r="P411" i="1"/>
  <c r="AR411" i="2"/>
  <c r="O411" i="1"/>
  <c r="AQ411" i="2"/>
  <c r="AP411" i="2"/>
  <c r="AO411" i="2"/>
  <c r="AN411" i="2"/>
  <c r="K411" i="1"/>
  <c r="AM411" i="2"/>
  <c r="J411" i="1"/>
  <c r="AL411" i="2"/>
  <c r="I411" i="1"/>
  <c r="AK411" i="2"/>
  <c r="AJ411" i="2"/>
  <c r="AI411" i="2"/>
  <c r="AH411" i="2"/>
  <c r="E411" i="1"/>
  <c r="AG411" i="2"/>
  <c r="D411" i="1"/>
  <c r="AF411" i="2"/>
  <c r="C411" i="1"/>
  <c r="AE411" i="2"/>
  <c r="AD411" i="2"/>
  <c r="AA411" i="2"/>
  <c r="Z411" i="2"/>
  <c r="S410" i="1"/>
  <c r="AU410" i="2"/>
  <c r="R410" i="1"/>
  <c r="AT410" i="2"/>
  <c r="Q410" i="1"/>
  <c r="AS410" i="2"/>
  <c r="P410" i="1"/>
  <c r="AR410" i="2"/>
  <c r="O410" i="1"/>
  <c r="AQ410" i="2"/>
  <c r="AP410" i="2"/>
  <c r="AO410" i="2"/>
  <c r="AN410" i="2"/>
  <c r="K410" i="1"/>
  <c r="AM410" i="2"/>
  <c r="J410" i="1"/>
  <c r="AL410" i="2"/>
  <c r="I410" i="1"/>
  <c r="AK410" i="2"/>
  <c r="AJ410" i="2"/>
  <c r="AI410" i="2"/>
  <c r="AH410" i="2"/>
  <c r="E410" i="1"/>
  <c r="AG410" i="2"/>
  <c r="D410" i="1"/>
  <c r="AF410" i="2"/>
  <c r="C410" i="1"/>
  <c r="AE410" i="2"/>
  <c r="AD410" i="2"/>
  <c r="AA410" i="2"/>
  <c r="Z410" i="2"/>
  <c r="S409" i="1"/>
  <c r="AU409" i="2"/>
  <c r="R409" i="1"/>
  <c r="AT409" i="2"/>
  <c r="Q409" i="1"/>
  <c r="AS409" i="2"/>
  <c r="P409" i="1"/>
  <c r="AR409" i="2"/>
  <c r="O409" i="1"/>
  <c r="AQ409" i="2"/>
  <c r="AP409" i="2"/>
  <c r="AO409" i="2"/>
  <c r="AN409" i="2"/>
  <c r="K409" i="1"/>
  <c r="AM409" i="2"/>
  <c r="J409" i="1"/>
  <c r="AL409" i="2"/>
  <c r="I409" i="1"/>
  <c r="AK409" i="2"/>
  <c r="AJ409" i="2"/>
  <c r="AI409" i="2"/>
  <c r="AH409" i="2"/>
  <c r="E409" i="1"/>
  <c r="AG409" i="2"/>
  <c r="D409" i="1"/>
  <c r="AF409" i="2"/>
  <c r="C409" i="1"/>
  <c r="AE409" i="2"/>
  <c r="AD409" i="2"/>
  <c r="AA409" i="2"/>
  <c r="Z409" i="2"/>
  <c r="S408" i="1"/>
  <c r="AU408" i="2"/>
  <c r="R408" i="1"/>
  <c r="AT408" i="2"/>
  <c r="Q408" i="1"/>
  <c r="AS408" i="2"/>
  <c r="P408" i="1"/>
  <c r="AR408" i="2"/>
  <c r="O408" i="1"/>
  <c r="AQ408" i="2"/>
  <c r="AP408" i="2"/>
  <c r="AO408" i="2"/>
  <c r="AN408" i="2"/>
  <c r="K408" i="1"/>
  <c r="AM408" i="2"/>
  <c r="J408" i="1"/>
  <c r="AL408" i="2"/>
  <c r="I408" i="1"/>
  <c r="AK408" i="2"/>
  <c r="AJ408" i="2"/>
  <c r="AI408" i="2"/>
  <c r="AH408" i="2"/>
  <c r="E408" i="1"/>
  <c r="AG408" i="2"/>
  <c r="D408" i="1"/>
  <c r="AF408" i="2"/>
  <c r="C408" i="1"/>
  <c r="AE408" i="2"/>
  <c r="AD408" i="2"/>
  <c r="AA408" i="2"/>
  <c r="Z408" i="2"/>
  <c r="S407" i="1"/>
  <c r="AU407" i="2"/>
  <c r="R407" i="1"/>
  <c r="AT407" i="2"/>
  <c r="Q407" i="1"/>
  <c r="AS407" i="2"/>
  <c r="P407" i="1"/>
  <c r="AR407" i="2"/>
  <c r="O407" i="1"/>
  <c r="AQ407" i="2"/>
  <c r="AP407" i="2"/>
  <c r="AO407" i="2"/>
  <c r="AN407" i="2"/>
  <c r="K407" i="1"/>
  <c r="AM407" i="2"/>
  <c r="J407" i="1"/>
  <c r="AL407" i="2"/>
  <c r="I407" i="1"/>
  <c r="AK407" i="2"/>
  <c r="AJ407" i="2"/>
  <c r="AI407" i="2"/>
  <c r="AH407" i="2"/>
  <c r="E407" i="1"/>
  <c r="AG407" i="2"/>
  <c r="D407" i="1"/>
  <c r="AF407" i="2"/>
  <c r="C407" i="1"/>
  <c r="AE407" i="2"/>
  <c r="AD407" i="2"/>
  <c r="AA407" i="2"/>
  <c r="Z407" i="2"/>
  <c r="S406" i="1"/>
  <c r="AU406" i="2"/>
  <c r="R406" i="1"/>
  <c r="AT406" i="2"/>
  <c r="Q406" i="1"/>
  <c r="AS406" i="2"/>
  <c r="P406" i="1"/>
  <c r="AR406" i="2"/>
  <c r="O406" i="1"/>
  <c r="AQ406" i="2"/>
  <c r="AP406" i="2"/>
  <c r="AO406" i="2"/>
  <c r="AN406" i="2"/>
  <c r="K406" i="1"/>
  <c r="AM406" i="2"/>
  <c r="J406" i="1"/>
  <c r="AL406" i="2"/>
  <c r="I406" i="1"/>
  <c r="AK406" i="2"/>
  <c r="AJ406" i="2"/>
  <c r="AI406" i="2"/>
  <c r="AH406" i="2"/>
  <c r="E406" i="1"/>
  <c r="AG406" i="2"/>
  <c r="D406" i="1"/>
  <c r="AF406" i="2"/>
  <c r="C406" i="1"/>
  <c r="AE406" i="2"/>
  <c r="AD406" i="2"/>
  <c r="AA406" i="2"/>
  <c r="Z406" i="2"/>
  <c r="S405" i="1"/>
  <c r="AU405" i="2"/>
  <c r="R405" i="1"/>
  <c r="AT405" i="2"/>
  <c r="Q405" i="1"/>
  <c r="AS405" i="2"/>
  <c r="P405" i="1"/>
  <c r="AR405" i="2"/>
  <c r="O405" i="1"/>
  <c r="AQ405" i="2"/>
  <c r="AP405" i="2"/>
  <c r="AO405" i="2"/>
  <c r="AN405" i="2"/>
  <c r="K405" i="1"/>
  <c r="AM405" i="2"/>
  <c r="J405" i="1"/>
  <c r="AL405" i="2"/>
  <c r="I405" i="1"/>
  <c r="AK405" i="2"/>
  <c r="AJ405" i="2"/>
  <c r="AI405" i="2"/>
  <c r="AH405" i="2"/>
  <c r="E405" i="1"/>
  <c r="AG405" i="2"/>
  <c r="D405" i="1"/>
  <c r="AF405" i="2"/>
  <c r="C405" i="1"/>
  <c r="AE405" i="2"/>
  <c r="AD405" i="2"/>
  <c r="AA405" i="2"/>
  <c r="Z405" i="2"/>
  <c r="S404" i="1"/>
  <c r="AU404" i="2"/>
  <c r="R404" i="1"/>
  <c r="AT404" i="2"/>
  <c r="Q404" i="1"/>
  <c r="AS404" i="2"/>
  <c r="P404" i="1"/>
  <c r="AR404" i="2"/>
  <c r="O404" i="1"/>
  <c r="AQ404" i="2"/>
  <c r="AP404" i="2"/>
  <c r="AO404" i="2"/>
  <c r="AN404" i="2"/>
  <c r="K404" i="1"/>
  <c r="AM404" i="2"/>
  <c r="J404" i="1"/>
  <c r="AL404" i="2"/>
  <c r="I404" i="1"/>
  <c r="AK404" i="2"/>
  <c r="AJ404" i="2"/>
  <c r="AI404" i="2"/>
  <c r="AH404" i="2"/>
  <c r="E404" i="1"/>
  <c r="AG404" i="2"/>
  <c r="D404" i="1"/>
  <c r="AF404" i="2"/>
  <c r="C404" i="1"/>
  <c r="AE404" i="2"/>
  <c r="AD404" i="2"/>
  <c r="AA404" i="2"/>
  <c r="Z404" i="2"/>
  <c r="S403" i="1"/>
  <c r="AU403" i="2"/>
  <c r="R403" i="1"/>
  <c r="AT403" i="2"/>
  <c r="Q403" i="1"/>
  <c r="AS403" i="2"/>
  <c r="P403" i="1"/>
  <c r="AR403" i="2"/>
  <c r="O403" i="1"/>
  <c r="AQ403" i="2"/>
  <c r="AP403" i="2"/>
  <c r="AO403" i="2"/>
  <c r="AN403" i="2"/>
  <c r="K403" i="1"/>
  <c r="AM403" i="2"/>
  <c r="J403" i="1"/>
  <c r="AL403" i="2"/>
  <c r="I403" i="1"/>
  <c r="AK403" i="2"/>
  <c r="AJ403" i="2"/>
  <c r="AI403" i="2"/>
  <c r="AH403" i="2"/>
  <c r="E403" i="1"/>
  <c r="AG403" i="2"/>
  <c r="D403" i="1"/>
  <c r="AF403" i="2"/>
  <c r="C403" i="1"/>
  <c r="AE403" i="2"/>
  <c r="AD403" i="2"/>
  <c r="AA403" i="2"/>
  <c r="Z403" i="2"/>
  <c r="S402" i="1"/>
  <c r="AU402" i="2"/>
  <c r="R402" i="1"/>
  <c r="AT402" i="2"/>
  <c r="Q402" i="1"/>
  <c r="AS402" i="2"/>
  <c r="P402" i="1"/>
  <c r="AR402" i="2"/>
  <c r="O402" i="1"/>
  <c r="AQ402" i="2"/>
  <c r="AP402" i="2"/>
  <c r="AO402" i="2"/>
  <c r="AN402" i="2"/>
  <c r="K402" i="1"/>
  <c r="AM402" i="2"/>
  <c r="J402" i="1"/>
  <c r="AL402" i="2"/>
  <c r="I402" i="1"/>
  <c r="AK402" i="2"/>
  <c r="AJ402" i="2"/>
  <c r="AI402" i="2"/>
  <c r="AH402" i="2"/>
  <c r="E402" i="1"/>
  <c r="AG402" i="2"/>
  <c r="D402" i="1"/>
  <c r="AF402" i="2"/>
  <c r="C402" i="1"/>
  <c r="AE402" i="2"/>
  <c r="AD402" i="2"/>
  <c r="AA402" i="2"/>
  <c r="Z402" i="2"/>
  <c r="S401" i="1"/>
  <c r="AU401" i="2"/>
  <c r="R401" i="1"/>
  <c r="AT401" i="2"/>
  <c r="Q401" i="1"/>
  <c r="AS401" i="2"/>
  <c r="P401" i="1"/>
  <c r="AR401" i="2"/>
  <c r="O401" i="1"/>
  <c r="AQ401" i="2"/>
  <c r="AP401" i="2"/>
  <c r="AO401" i="2"/>
  <c r="AN401" i="2"/>
  <c r="K401" i="1"/>
  <c r="AM401" i="2"/>
  <c r="J401" i="1"/>
  <c r="AL401" i="2"/>
  <c r="I401" i="1"/>
  <c r="AK401" i="2"/>
  <c r="AJ401" i="2"/>
  <c r="AI401" i="2"/>
  <c r="AH401" i="2"/>
  <c r="E401" i="1"/>
  <c r="AG401" i="2"/>
  <c r="D401" i="1"/>
  <c r="AF401" i="2"/>
  <c r="C401" i="1"/>
  <c r="AE401" i="2"/>
  <c r="AD401" i="2"/>
  <c r="AA401" i="2"/>
  <c r="Z401" i="2"/>
  <c r="S400" i="1"/>
  <c r="AU400" i="2"/>
  <c r="R400" i="1"/>
  <c r="AT400" i="2"/>
  <c r="Q400" i="1"/>
  <c r="AS400" i="2"/>
  <c r="P400" i="1"/>
  <c r="AR400" i="2"/>
  <c r="O400" i="1"/>
  <c r="AQ400" i="2"/>
  <c r="AP400" i="2"/>
  <c r="AO400" i="2"/>
  <c r="AN400" i="2"/>
  <c r="K400" i="1"/>
  <c r="AM400" i="2"/>
  <c r="J400" i="1"/>
  <c r="AL400" i="2"/>
  <c r="I400" i="1"/>
  <c r="AK400" i="2"/>
  <c r="AJ400" i="2"/>
  <c r="AI400" i="2"/>
  <c r="AH400" i="2"/>
  <c r="E400" i="1"/>
  <c r="AG400" i="2"/>
  <c r="D400" i="1"/>
  <c r="AF400" i="2"/>
  <c r="C400" i="1"/>
  <c r="AE400" i="2"/>
  <c r="AD400" i="2"/>
  <c r="AA400" i="2"/>
  <c r="Z400" i="2"/>
  <c r="S399" i="1"/>
  <c r="AU399" i="2"/>
  <c r="R399" i="1"/>
  <c r="AT399" i="2"/>
  <c r="Q399" i="1"/>
  <c r="AS399" i="2"/>
  <c r="P399" i="1"/>
  <c r="AR399" i="2"/>
  <c r="O399" i="1"/>
  <c r="AQ399" i="2"/>
  <c r="AP399" i="2"/>
  <c r="AO399" i="2"/>
  <c r="AN399" i="2"/>
  <c r="K399" i="1"/>
  <c r="AM399" i="2"/>
  <c r="J399" i="1"/>
  <c r="AL399" i="2"/>
  <c r="I399" i="1"/>
  <c r="AK399" i="2"/>
  <c r="AJ399" i="2"/>
  <c r="AI399" i="2"/>
  <c r="AH399" i="2"/>
  <c r="E399" i="1"/>
  <c r="AG399" i="2"/>
  <c r="D399" i="1"/>
  <c r="AF399" i="2"/>
  <c r="C399" i="1"/>
  <c r="AE399" i="2"/>
  <c r="AD399" i="2"/>
  <c r="AA399" i="2"/>
  <c r="Z399" i="2"/>
  <c r="S398" i="1"/>
  <c r="AU398" i="2"/>
  <c r="R398" i="1"/>
  <c r="AT398" i="2"/>
  <c r="Q398" i="1"/>
  <c r="AS398" i="2"/>
  <c r="P398" i="1"/>
  <c r="AR398" i="2"/>
  <c r="O398" i="1"/>
  <c r="AQ398" i="2"/>
  <c r="AP398" i="2"/>
  <c r="AO398" i="2"/>
  <c r="AN398" i="2"/>
  <c r="K398" i="1"/>
  <c r="AM398" i="2"/>
  <c r="J398" i="1"/>
  <c r="AL398" i="2"/>
  <c r="I398" i="1"/>
  <c r="AK398" i="2"/>
  <c r="AJ398" i="2"/>
  <c r="AI398" i="2"/>
  <c r="AH398" i="2"/>
  <c r="E398" i="1"/>
  <c r="AG398" i="2"/>
  <c r="D398" i="1"/>
  <c r="AF398" i="2"/>
  <c r="C398" i="1"/>
  <c r="AE398" i="2"/>
  <c r="AD398" i="2"/>
  <c r="AA398" i="2"/>
  <c r="Z398" i="2"/>
  <c r="S397" i="1"/>
  <c r="AU397" i="2"/>
  <c r="R397" i="1"/>
  <c r="AT397" i="2"/>
  <c r="Q397" i="1"/>
  <c r="AS397" i="2"/>
  <c r="P397" i="1"/>
  <c r="AR397" i="2"/>
  <c r="O397" i="1"/>
  <c r="AQ397" i="2"/>
  <c r="AP397" i="2"/>
  <c r="AO397" i="2"/>
  <c r="AN397" i="2"/>
  <c r="K397" i="1"/>
  <c r="AM397" i="2"/>
  <c r="J397" i="1"/>
  <c r="AL397" i="2"/>
  <c r="I397" i="1"/>
  <c r="AK397" i="2"/>
  <c r="AJ397" i="2"/>
  <c r="AI397" i="2"/>
  <c r="AH397" i="2"/>
  <c r="E397" i="1"/>
  <c r="AG397" i="2"/>
  <c r="D397" i="1"/>
  <c r="AF397" i="2"/>
  <c r="C397" i="1"/>
  <c r="AE397" i="2"/>
  <c r="AD397" i="2"/>
  <c r="AA397" i="2"/>
  <c r="Z397" i="2"/>
  <c r="S396" i="1"/>
  <c r="AU396" i="2"/>
  <c r="R396" i="1"/>
  <c r="AT396" i="2"/>
  <c r="Q396" i="1"/>
  <c r="AS396" i="2"/>
  <c r="P396" i="1"/>
  <c r="AR396" i="2"/>
  <c r="O396" i="1"/>
  <c r="AQ396" i="2"/>
  <c r="AP396" i="2"/>
  <c r="AO396" i="2"/>
  <c r="AN396" i="2"/>
  <c r="K396" i="1"/>
  <c r="AM396" i="2"/>
  <c r="J396" i="1"/>
  <c r="AL396" i="2"/>
  <c r="I396" i="1"/>
  <c r="AK396" i="2"/>
  <c r="AJ396" i="2"/>
  <c r="AI396" i="2"/>
  <c r="AH396" i="2"/>
  <c r="E396" i="1"/>
  <c r="AG396" i="2"/>
  <c r="D396" i="1"/>
  <c r="AF396" i="2"/>
  <c r="C396" i="1"/>
  <c r="AE396" i="2"/>
  <c r="AD396" i="2"/>
  <c r="AA396" i="2"/>
  <c r="Z396" i="2"/>
  <c r="S395" i="1"/>
  <c r="AU395" i="2"/>
  <c r="R395" i="1"/>
  <c r="AT395" i="2"/>
  <c r="Q395" i="1"/>
  <c r="AS395" i="2"/>
  <c r="P395" i="1"/>
  <c r="AR395" i="2"/>
  <c r="O395" i="1"/>
  <c r="AQ395" i="2"/>
  <c r="AP395" i="2"/>
  <c r="AO395" i="2"/>
  <c r="AN395" i="2"/>
  <c r="K395" i="1"/>
  <c r="AM395" i="2"/>
  <c r="J395" i="1"/>
  <c r="AL395" i="2"/>
  <c r="I395" i="1"/>
  <c r="AK395" i="2"/>
  <c r="AJ395" i="2"/>
  <c r="AI395" i="2"/>
  <c r="AH395" i="2"/>
  <c r="E395" i="1"/>
  <c r="AG395" i="2"/>
  <c r="D395" i="1"/>
  <c r="AF395" i="2"/>
  <c r="C395" i="1"/>
  <c r="AE395" i="2"/>
  <c r="AD395" i="2"/>
  <c r="AA395" i="2"/>
  <c r="Z395" i="2"/>
  <c r="S394" i="1"/>
  <c r="AU394" i="2"/>
  <c r="R394" i="1"/>
  <c r="AT394" i="2"/>
  <c r="Q394" i="1"/>
  <c r="AS394" i="2"/>
  <c r="P394" i="1"/>
  <c r="AR394" i="2"/>
  <c r="O394" i="1"/>
  <c r="AQ394" i="2"/>
  <c r="AP394" i="2"/>
  <c r="AO394" i="2"/>
  <c r="AN394" i="2"/>
  <c r="K394" i="1"/>
  <c r="AM394" i="2"/>
  <c r="J394" i="1"/>
  <c r="AL394" i="2"/>
  <c r="I394" i="1"/>
  <c r="AK394" i="2"/>
  <c r="AJ394" i="2"/>
  <c r="AI394" i="2"/>
  <c r="AH394" i="2"/>
  <c r="E394" i="1"/>
  <c r="AG394" i="2"/>
  <c r="D394" i="1"/>
  <c r="AF394" i="2"/>
  <c r="C394" i="1"/>
  <c r="AE394" i="2"/>
  <c r="AD394" i="2"/>
  <c r="AA394" i="2"/>
  <c r="Z394" i="2"/>
  <c r="S393" i="1"/>
  <c r="AU393" i="2"/>
  <c r="R393" i="1"/>
  <c r="AT393" i="2"/>
  <c r="Q393" i="1"/>
  <c r="AS393" i="2"/>
  <c r="P393" i="1"/>
  <c r="AR393" i="2"/>
  <c r="O393" i="1"/>
  <c r="AQ393" i="2"/>
  <c r="AP393" i="2"/>
  <c r="AO393" i="2"/>
  <c r="AN393" i="2"/>
  <c r="K393" i="1"/>
  <c r="AM393" i="2"/>
  <c r="J393" i="1"/>
  <c r="AL393" i="2"/>
  <c r="I393" i="1"/>
  <c r="AK393" i="2"/>
  <c r="AJ393" i="2"/>
  <c r="AI393" i="2"/>
  <c r="AH393" i="2"/>
  <c r="E393" i="1"/>
  <c r="AG393" i="2"/>
  <c r="D393" i="1"/>
  <c r="AF393" i="2"/>
  <c r="C393" i="1"/>
  <c r="AE393" i="2"/>
  <c r="AD393" i="2"/>
  <c r="AA393" i="2"/>
  <c r="Z393" i="2"/>
  <c r="S392" i="1"/>
  <c r="AU392" i="2"/>
  <c r="R392" i="1"/>
  <c r="AT392" i="2"/>
  <c r="Q392" i="1"/>
  <c r="AS392" i="2"/>
  <c r="P392" i="1"/>
  <c r="AR392" i="2"/>
  <c r="O392" i="1"/>
  <c r="AQ392" i="2"/>
  <c r="AP392" i="2"/>
  <c r="AO392" i="2"/>
  <c r="AN392" i="2"/>
  <c r="K392" i="1"/>
  <c r="AM392" i="2"/>
  <c r="J392" i="1"/>
  <c r="AL392" i="2"/>
  <c r="I392" i="1"/>
  <c r="AK392" i="2"/>
  <c r="AJ392" i="2"/>
  <c r="AI392" i="2"/>
  <c r="AH392" i="2"/>
  <c r="E392" i="1"/>
  <c r="AG392" i="2"/>
  <c r="D392" i="1"/>
  <c r="AF392" i="2"/>
  <c r="C392" i="1"/>
  <c r="AE392" i="2"/>
  <c r="AD392" i="2"/>
  <c r="AA392" i="2"/>
  <c r="Z392" i="2"/>
  <c r="S391" i="1"/>
  <c r="AU391" i="2"/>
  <c r="R391" i="1"/>
  <c r="AT391" i="2"/>
  <c r="Q391" i="1"/>
  <c r="AS391" i="2"/>
  <c r="P391" i="1"/>
  <c r="AR391" i="2"/>
  <c r="O391" i="1"/>
  <c r="AQ391" i="2"/>
  <c r="AP391" i="2"/>
  <c r="AO391" i="2"/>
  <c r="AN391" i="2"/>
  <c r="K391" i="1"/>
  <c r="AM391" i="2"/>
  <c r="J391" i="1"/>
  <c r="AL391" i="2"/>
  <c r="I391" i="1"/>
  <c r="AK391" i="2"/>
  <c r="AJ391" i="2"/>
  <c r="AI391" i="2"/>
  <c r="AH391" i="2"/>
  <c r="E391" i="1"/>
  <c r="AG391" i="2"/>
  <c r="D391" i="1"/>
  <c r="AF391" i="2"/>
  <c r="C391" i="1"/>
  <c r="AE391" i="2"/>
  <c r="AD391" i="2"/>
  <c r="AA391" i="2"/>
  <c r="Z391" i="2"/>
  <c r="S390" i="1"/>
  <c r="AU390" i="2"/>
  <c r="R390" i="1"/>
  <c r="AT390" i="2"/>
  <c r="Q390" i="1"/>
  <c r="AS390" i="2"/>
  <c r="P390" i="1"/>
  <c r="AR390" i="2"/>
  <c r="O390" i="1"/>
  <c r="AQ390" i="2"/>
  <c r="AP390" i="2"/>
  <c r="AO390" i="2"/>
  <c r="AN390" i="2"/>
  <c r="K390" i="1"/>
  <c r="AM390" i="2"/>
  <c r="J390" i="1"/>
  <c r="AL390" i="2"/>
  <c r="I390" i="1"/>
  <c r="AK390" i="2"/>
  <c r="AJ390" i="2"/>
  <c r="AI390" i="2"/>
  <c r="AH390" i="2"/>
  <c r="E390" i="1"/>
  <c r="AG390" i="2"/>
  <c r="D390" i="1"/>
  <c r="AF390" i="2"/>
  <c r="C390" i="1"/>
  <c r="AE390" i="2"/>
  <c r="AD390" i="2"/>
  <c r="AA390" i="2"/>
  <c r="Z390" i="2"/>
  <c r="S389" i="1"/>
  <c r="AU389" i="2"/>
  <c r="R389" i="1"/>
  <c r="AT389" i="2"/>
  <c r="Q389" i="1"/>
  <c r="AS389" i="2"/>
  <c r="P389" i="1"/>
  <c r="AR389" i="2"/>
  <c r="O389" i="1"/>
  <c r="AQ389" i="2"/>
  <c r="AP389" i="2"/>
  <c r="AO389" i="2"/>
  <c r="AN389" i="2"/>
  <c r="K389" i="1"/>
  <c r="AM389" i="2"/>
  <c r="J389" i="1"/>
  <c r="AL389" i="2"/>
  <c r="I389" i="1"/>
  <c r="AK389" i="2"/>
  <c r="AJ389" i="2"/>
  <c r="AI389" i="2"/>
  <c r="AH389" i="2"/>
  <c r="E389" i="1"/>
  <c r="AG389" i="2"/>
  <c r="D389" i="1"/>
  <c r="AF389" i="2"/>
  <c r="C389" i="1"/>
  <c r="AE389" i="2"/>
  <c r="AD389" i="2"/>
  <c r="AA389" i="2"/>
  <c r="Z389" i="2"/>
  <c r="S388" i="1"/>
  <c r="AU388" i="2"/>
  <c r="R388" i="1"/>
  <c r="AT388" i="2"/>
  <c r="Q388" i="1"/>
  <c r="AS388" i="2"/>
  <c r="P388" i="1"/>
  <c r="AR388" i="2"/>
  <c r="O388" i="1"/>
  <c r="AQ388" i="2"/>
  <c r="AP388" i="2"/>
  <c r="AO388" i="2"/>
  <c r="AN388" i="2"/>
  <c r="K388" i="1"/>
  <c r="AM388" i="2"/>
  <c r="J388" i="1"/>
  <c r="AL388" i="2"/>
  <c r="I388" i="1"/>
  <c r="AK388" i="2"/>
  <c r="AJ388" i="2"/>
  <c r="AI388" i="2"/>
  <c r="AH388" i="2"/>
  <c r="E388" i="1"/>
  <c r="AG388" i="2"/>
  <c r="D388" i="1"/>
  <c r="AF388" i="2"/>
  <c r="C388" i="1"/>
  <c r="AE388" i="2"/>
  <c r="AD388" i="2"/>
  <c r="AA388" i="2"/>
  <c r="Z388" i="2"/>
  <c r="S387" i="1"/>
  <c r="AU387" i="2"/>
  <c r="R387" i="1"/>
  <c r="AT387" i="2"/>
  <c r="Q387" i="1"/>
  <c r="AS387" i="2"/>
  <c r="P387" i="1"/>
  <c r="AR387" i="2"/>
  <c r="O387" i="1"/>
  <c r="AQ387" i="2"/>
  <c r="AP387" i="2"/>
  <c r="AO387" i="2"/>
  <c r="AN387" i="2"/>
  <c r="K387" i="1"/>
  <c r="AM387" i="2"/>
  <c r="J387" i="1"/>
  <c r="AL387" i="2"/>
  <c r="I387" i="1"/>
  <c r="AK387" i="2"/>
  <c r="AJ387" i="2"/>
  <c r="AI387" i="2"/>
  <c r="AH387" i="2"/>
  <c r="E387" i="1"/>
  <c r="AG387" i="2"/>
  <c r="D387" i="1"/>
  <c r="AF387" i="2"/>
  <c r="C387" i="1"/>
  <c r="AE387" i="2"/>
  <c r="AD387" i="2"/>
  <c r="AA387" i="2"/>
  <c r="Z387" i="2"/>
  <c r="S386" i="1"/>
  <c r="AU386" i="2"/>
  <c r="R386" i="1"/>
  <c r="AT386" i="2"/>
  <c r="Q386" i="1"/>
  <c r="AS386" i="2"/>
  <c r="P386" i="1"/>
  <c r="AR386" i="2"/>
  <c r="O386" i="1"/>
  <c r="AQ386" i="2"/>
  <c r="AP386" i="2"/>
  <c r="AO386" i="2"/>
  <c r="AN386" i="2"/>
  <c r="K386" i="1"/>
  <c r="AM386" i="2"/>
  <c r="J386" i="1"/>
  <c r="AL386" i="2"/>
  <c r="I386" i="1"/>
  <c r="AK386" i="2"/>
  <c r="AJ386" i="2"/>
  <c r="AI386" i="2"/>
  <c r="AH386" i="2"/>
  <c r="E386" i="1"/>
  <c r="AG386" i="2"/>
  <c r="D386" i="1"/>
  <c r="AF386" i="2"/>
  <c r="C386" i="1"/>
  <c r="AE386" i="2"/>
  <c r="AD386" i="2"/>
  <c r="AA386" i="2"/>
  <c r="Z386" i="2"/>
  <c r="S385" i="1"/>
  <c r="AU385" i="2"/>
  <c r="R385" i="1"/>
  <c r="AT385" i="2"/>
  <c r="Q385" i="1"/>
  <c r="AS385" i="2"/>
  <c r="P385" i="1"/>
  <c r="AR385" i="2"/>
  <c r="O385" i="1"/>
  <c r="AQ385" i="2"/>
  <c r="AP385" i="2"/>
  <c r="AO385" i="2"/>
  <c r="AN385" i="2"/>
  <c r="K385" i="1"/>
  <c r="AM385" i="2"/>
  <c r="J385" i="1"/>
  <c r="AL385" i="2"/>
  <c r="I385" i="1"/>
  <c r="AK385" i="2"/>
  <c r="AJ385" i="2"/>
  <c r="AI385" i="2"/>
  <c r="AH385" i="2"/>
  <c r="E385" i="1"/>
  <c r="AG385" i="2"/>
  <c r="D385" i="1"/>
  <c r="AF385" i="2"/>
  <c r="C385" i="1"/>
  <c r="AE385" i="2"/>
  <c r="AD385" i="2"/>
  <c r="AA385" i="2"/>
  <c r="Z385" i="2"/>
  <c r="S384" i="1"/>
  <c r="AU384" i="2"/>
  <c r="R384" i="1"/>
  <c r="AT384" i="2"/>
  <c r="Q384" i="1"/>
  <c r="AS384" i="2"/>
  <c r="P384" i="1"/>
  <c r="AR384" i="2"/>
  <c r="O384" i="1"/>
  <c r="AQ384" i="2"/>
  <c r="AP384" i="2"/>
  <c r="AO384" i="2"/>
  <c r="AN384" i="2"/>
  <c r="K384" i="1"/>
  <c r="AM384" i="2"/>
  <c r="J384" i="1"/>
  <c r="AL384" i="2"/>
  <c r="I384" i="1"/>
  <c r="AK384" i="2"/>
  <c r="AJ384" i="2"/>
  <c r="AI384" i="2"/>
  <c r="AH384" i="2"/>
  <c r="E384" i="1"/>
  <c r="AG384" i="2"/>
  <c r="D384" i="1"/>
  <c r="AF384" i="2"/>
  <c r="C384" i="1"/>
  <c r="AE384" i="2"/>
  <c r="AD384" i="2"/>
  <c r="AA384" i="2"/>
  <c r="Z384" i="2"/>
  <c r="S383" i="1"/>
  <c r="AU383" i="2"/>
  <c r="R383" i="1"/>
  <c r="AT383" i="2"/>
  <c r="Q383" i="1"/>
  <c r="AS383" i="2"/>
  <c r="P383" i="1"/>
  <c r="AR383" i="2"/>
  <c r="O383" i="1"/>
  <c r="AQ383" i="2"/>
  <c r="AP383" i="2"/>
  <c r="AO383" i="2"/>
  <c r="AN383" i="2"/>
  <c r="K383" i="1"/>
  <c r="AM383" i="2"/>
  <c r="J383" i="1"/>
  <c r="AL383" i="2"/>
  <c r="I383" i="1"/>
  <c r="AK383" i="2"/>
  <c r="AJ383" i="2"/>
  <c r="AI383" i="2"/>
  <c r="AH383" i="2"/>
  <c r="E383" i="1"/>
  <c r="AG383" i="2"/>
  <c r="D383" i="1"/>
  <c r="AF383" i="2"/>
  <c r="C383" i="1"/>
  <c r="AE383" i="2"/>
  <c r="AD383" i="2"/>
  <c r="AA383" i="2"/>
  <c r="Z383" i="2"/>
  <c r="S382" i="1"/>
  <c r="AU382" i="2"/>
  <c r="R382" i="1"/>
  <c r="AT382" i="2"/>
  <c r="Q382" i="1"/>
  <c r="AS382" i="2"/>
  <c r="P382" i="1"/>
  <c r="AR382" i="2"/>
  <c r="O382" i="1"/>
  <c r="AQ382" i="2"/>
  <c r="AP382" i="2"/>
  <c r="AO382" i="2"/>
  <c r="AN382" i="2"/>
  <c r="K382" i="1"/>
  <c r="AM382" i="2"/>
  <c r="J382" i="1"/>
  <c r="AL382" i="2"/>
  <c r="I382" i="1"/>
  <c r="AK382" i="2"/>
  <c r="AJ382" i="2"/>
  <c r="AI382" i="2"/>
  <c r="AH382" i="2"/>
  <c r="E382" i="1"/>
  <c r="AG382" i="2"/>
  <c r="D382" i="1"/>
  <c r="AF382" i="2"/>
  <c r="C382" i="1"/>
  <c r="AE382" i="2"/>
  <c r="AD382" i="2"/>
  <c r="AA382" i="2"/>
  <c r="Z382" i="2"/>
  <c r="S381" i="1"/>
  <c r="AU381" i="2"/>
  <c r="R381" i="1"/>
  <c r="AT381" i="2"/>
  <c r="Q381" i="1"/>
  <c r="AS381" i="2"/>
  <c r="P381" i="1"/>
  <c r="AR381" i="2"/>
  <c r="O381" i="1"/>
  <c r="AQ381" i="2"/>
  <c r="AP381" i="2"/>
  <c r="AO381" i="2"/>
  <c r="AN381" i="2"/>
  <c r="K381" i="1"/>
  <c r="AM381" i="2"/>
  <c r="J381" i="1"/>
  <c r="AL381" i="2"/>
  <c r="I381" i="1"/>
  <c r="AK381" i="2"/>
  <c r="AJ381" i="2"/>
  <c r="AI381" i="2"/>
  <c r="AH381" i="2"/>
  <c r="E381" i="1"/>
  <c r="AG381" i="2"/>
  <c r="D381" i="1"/>
  <c r="AF381" i="2"/>
  <c r="C381" i="1"/>
  <c r="AE381" i="2"/>
  <c r="AD381" i="2"/>
  <c r="AA381" i="2"/>
  <c r="Z381" i="2"/>
  <c r="S380" i="1"/>
  <c r="AU380" i="2"/>
  <c r="R380" i="1"/>
  <c r="AT380" i="2"/>
  <c r="Q380" i="1"/>
  <c r="AS380" i="2"/>
  <c r="P380" i="1"/>
  <c r="AR380" i="2"/>
  <c r="O380" i="1"/>
  <c r="AQ380" i="2"/>
  <c r="AP380" i="2"/>
  <c r="AO380" i="2"/>
  <c r="AN380" i="2"/>
  <c r="K380" i="1"/>
  <c r="AM380" i="2"/>
  <c r="J380" i="1"/>
  <c r="AL380" i="2"/>
  <c r="I380" i="1"/>
  <c r="AK380" i="2"/>
  <c r="AJ380" i="2"/>
  <c r="AI380" i="2"/>
  <c r="AH380" i="2"/>
  <c r="E380" i="1"/>
  <c r="AG380" i="2"/>
  <c r="D380" i="1"/>
  <c r="AF380" i="2"/>
  <c r="C380" i="1"/>
  <c r="AE380" i="2"/>
  <c r="AD380" i="2"/>
  <c r="AA380" i="2"/>
  <c r="Z380" i="2"/>
  <c r="S379" i="1"/>
  <c r="AU379" i="2"/>
  <c r="R379" i="1"/>
  <c r="AT379" i="2"/>
  <c r="Q379" i="1"/>
  <c r="AS379" i="2"/>
  <c r="P379" i="1"/>
  <c r="AR379" i="2"/>
  <c r="O379" i="1"/>
  <c r="AQ379" i="2"/>
  <c r="AP379" i="2"/>
  <c r="AO379" i="2"/>
  <c r="AN379" i="2"/>
  <c r="K379" i="1"/>
  <c r="AM379" i="2"/>
  <c r="J379" i="1"/>
  <c r="AL379" i="2"/>
  <c r="I379" i="1"/>
  <c r="AK379" i="2"/>
  <c r="AJ379" i="2"/>
  <c r="AI379" i="2"/>
  <c r="AH379" i="2"/>
  <c r="E379" i="1"/>
  <c r="AG379" i="2"/>
  <c r="D379" i="1"/>
  <c r="AF379" i="2"/>
  <c r="C379" i="1"/>
  <c r="AE379" i="2"/>
  <c r="AD379" i="2"/>
  <c r="AA379" i="2"/>
  <c r="Z379" i="2"/>
  <c r="S378" i="1"/>
  <c r="AU378" i="2"/>
  <c r="R378" i="1"/>
  <c r="AT378" i="2"/>
  <c r="Q378" i="1"/>
  <c r="AS378" i="2"/>
  <c r="P378" i="1"/>
  <c r="AR378" i="2"/>
  <c r="O378" i="1"/>
  <c r="AQ378" i="2"/>
  <c r="AP378" i="2"/>
  <c r="AO378" i="2"/>
  <c r="AN378" i="2"/>
  <c r="K378" i="1"/>
  <c r="AM378" i="2"/>
  <c r="J378" i="1"/>
  <c r="AL378" i="2"/>
  <c r="I378" i="1"/>
  <c r="AK378" i="2"/>
  <c r="AJ378" i="2"/>
  <c r="AI378" i="2"/>
  <c r="AH378" i="2"/>
  <c r="E378" i="1"/>
  <c r="AG378" i="2"/>
  <c r="D378" i="1"/>
  <c r="AF378" i="2"/>
  <c r="C378" i="1"/>
  <c r="AE378" i="2"/>
  <c r="AD378" i="2"/>
  <c r="AA378" i="2"/>
  <c r="Z378" i="2"/>
  <c r="S377" i="1"/>
  <c r="AU377" i="2"/>
  <c r="R377" i="1"/>
  <c r="AT377" i="2"/>
  <c r="Q377" i="1"/>
  <c r="AS377" i="2"/>
  <c r="P377" i="1"/>
  <c r="AR377" i="2"/>
  <c r="O377" i="1"/>
  <c r="AQ377" i="2"/>
  <c r="AP377" i="2"/>
  <c r="AO377" i="2"/>
  <c r="AN377" i="2"/>
  <c r="K377" i="1"/>
  <c r="AM377" i="2"/>
  <c r="J377" i="1"/>
  <c r="AL377" i="2"/>
  <c r="I377" i="1"/>
  <c r="AK377" i="2"/>
  <c r="AJ377" i="2"/>
  <c r="AI377" i="2"/>
  <c r="AH377" i="2"/>
  <c r="E377" i="1"/>
  <c r="AG377" i="2"/>
  <c r="D377" i="1"/>
  <c r="AF377" i="2"/>
  <c r="C377" i="1"/>
  <c r="AE377" i="2"/>
  <c r="AD377" i="2"/>
  <c r="AA377" i="2"/>
  <c r="Z377" i="2"/>
  <c r="S376" i="1"/>
  <c r="AU376" i="2"/>
  <c r="R376" i="1"/>
  <c r="AT376" i="2"/>
  <c r="Q376" i="1"/>
  <c r="AS376" i="2"/>
  <c r="P376" i="1"/>
  <c r="AR376" i="2"/>
  <c r="O376" i="1"/>
  <c r="AQ376" i="2"/>
  <c r="AP376" i="2"/>
  <c r="AO376" i="2"/>
  <c r="AN376" i="2"/>
  <c r="K376" i="1"/>
  <c r="AM376" i="2"/>
  <c r="J376" i="1"/>
  <c r="AL376" i="2"/>
  <c r="I376" i="1"/>
  <c r="AK376" i="2"/>
  <c r="AJ376" i="2"/>
  <c r="AI376" i="2"/>
  <c r="AH376" i="2"/>
  <c r="E376" i="1"/>
  <c r="AG376" i="2"/>
  <c r="D376" i="1"/>
  <c r="AF376" i="2"/>
  <c r="C376" i="1"/>
  <c r="AE376" i="2"/>
  <c r="AD376" i="2"/>
  <c r="AA376" i="2"/>
  <c r="Z376" i="2"/>
  <c r="S375" i="1"/>
  <c r="AU375" i="2"/>
  <c r="R375" i="1"/>
  <c r="AT375" i="2"/>
  <c r="Q375" i="1"/>
  <c r="AS375" i="2"/>
  <c r="P375" i="1"/>
  <c r="AR375" i="2"/>
  <c r="O375" i="1"/>
  <c r="AQ375" i="2"/>
  <c r="AP375" i="2"/>
  <c r="AO375" i="2"/>
  <c r="AN375" i="2"/>
  <c r="K375" i="1"/>
  <c r="AM375" i="2"/>
  <c r="J375" i="1"/>
  <c r="AL375" i="2"/>
  <c r="I375" i="1"/>
  <c r="AK375" i="2"/>
  <c r="AJ375" i="2"/>
  <c r="AI375" i="2"/>
  <c r="AH375" i="2"/>
  <c r="E375" i="1"/>
  <c r="AG375" i="2"/>
  <c r="D375" i="1"/>
  <c r="AF375" i="2"/>
  <c r="C375" i="1"/>
  <c r="AE375" i="2"/>
  <c r="AD375" i="2"/>
  <c r="AA375" i="2"/>
  <c r="Z375" i="2"/>
  <c r="S374" i="1"/>
  <c r="AU374" i="2"/>
  <c r="R374" i="1"/>
  <c r="AT374" i="2"/>
  <c r="Q374" i="1"/>
  <c r="AS374" i="2"/>
  <c r="P374" i="1"/>
  <c r="AR374" i="2"/>
  <c r="O374" i="1"/>
  <c r="AQ374" i="2"/>
  <c r="AP374" i="2"/>
  <c r="AO374" i="2"/>
  <c r="AN374" i="2"/>
  <c r="K374" i="1"/>
  <c r="AM374" i="2"/>
  <c r="J374" i="1"/>
  <c r="AL374" i="2"/>
  <c r="I374" i="1"/>
  <c r="AK374" i="2"/>
  <c r="AJ374" i="2"/>
  <c r="AI374" i="2"/>
  <c r="AH374" i="2"/>
  <c r="E374" i="1"/>
  <c r="AG374" i="2"/>
  <c r="D374" i="1"/>
  <c r="AF374" i="2"/>
  <c r="C374" i="1"/>
  <c r="AE374" i="2"/>
  <c r="AD374" i="2"/>
  <c r="AA374" i="2"/>
  <c r="Z374" i="2"/>
  <c r="S373" i="1"/>
  <c r="AU373" i="2"/>
  <c r="R373" i="1"/>
  <c r="AT373" i="2"/>
  <c r="Q373" i="1"/>
  <c r="AS373" i="2"/>
  <c r="P373" i="1"/>
  <c r="AR373" i="2"/>
  <c r="O373" i="1"/>
  <c r="AQ373" i="2"/>
  <c r="AP373" i="2"/>
  <c r="AO373" i="2"/>
  <c r="AN373" i="2"/>
  <c r="K373" i="1"/>
  <c r="AM373" i="2"/>
  <c r="J373" i="1"/>
  <c r="AL373" i="2"/>
  <c r="I373" i="1"/>
  <c r="AK373" i="2"/>
  <c r="AJ373" i="2"/>
  <c r="AI373" i="2"/>
  <c r="AH373" i="2"/>
  <c r="E373" i="1"/>
  <c r="AG373" i="2"/>
  <c r="D373" i="1"/>
  <c r="AF373" i="2"/>
  <c r="C373" i="1"/>
  <c r="AE373" i="2"/>
  <c r="AD373" i="2"/>
  <c r="AA373" i="2"/>
  <c r="Z373" i="2"/>
  <c r="S372" i="1"/>
  <c r="AU372" i="2"/>
  <c r="R372" i="1"/>
  <c r="AT372" i="2"/>
  <c r="Q372" i="1"/>
  <c r="AS372" i="2"/>
  <c r="P372" i="1"/>
  <c r="AR372" i="2"/>
  <c r="O372" i="1"/>
  <c r="AQ372" i="2"/>
  <c r="AP372" i="2"/>
  <c r="AO372" i="2"/>
  <c r="AN372" i="2"/>
  <c r="K372" i="1"/>
  <c r="AM372" i="2"/>
  <c r="J372" i="1"/>
  <c r="AL372" i="2"/>
  <c r="I372" i="1"/>
  <c r="AK372" i="2"/>
  <c r="AJ372" i="2"/>
  <c r="AI372" i="2"/>
  <c r="AH372" i="2"/>
  <c r="E372" i="1"/>
  <c r="AG372" i="2"/>
  <c r="D372" i="1"/>
  <c r="AF372" i="2"/>
  <c r="C372" i="1"/>
  <c r="AE372" i="2"/>
  <c r="AD372" i="2"/>
  <c r="AA372" i="2"/>
  <c r="Z372" i="2"/>
  <c r="S371" i="1"/>
  <c r="AU371" i="2"/>
  <c r="R371" i="1"/>
  <c r="AT371" i="2"/>
  <c r="Q371" i="1"/>
  <c r="AS371" i="2"/>
  <c r="P371" i="1"/>
  <c r="AR371" i="2"/>
  <c r="O371" i="1"/>
  <c r="AQ371" i="2"/>
  <c r="AP371" i="2"/>
  <c r="AO371" i="2"/>
  <c r="AN371" i="2"/>
  <c r="K371" i="1"/>
  <c r="AM371" i="2"/>
  <c r="J371" i="1"/>
  <c r="AL371" i="2"/>
  <c r="I371" i="1"/>
  <c r="AK371" i="2"/>
  <c r="AJ371" i="2"/>
  <c r="AI371" i="2"/>
  <c r="AH371" i="2"/>
  <c r="E371" i="1"/>
  <c r="AG371" i="2"/>
  <c r="D371" i="1"/>
  <c r="AF371" i="2"/>
  <c r="C371" i="1"/>
  <c r="AE371" i="2"/>
  <c r="AD371" i="2"/>
  <c r="AA371" i="2"/>
  <c r="Z371" i="2"/>
  <c r="S370" i="1"/>
  <c r="AU370" i="2"/>
  <c r="R370" i="1"/>
  <c r="AT370" i="2"/>
  <c r="Q370" i="1"/>
  <c r="AS370" i="2"/>
  <c r="P370" i="1"/>
  <c r="AR370" i="2"/>
  <c r="O370" i="1"/>
  <c r="AQ370" i="2"/>
  <c r="AP370" i="2"/>
  <c r="AO370" i="2"/>
  <c r="AN370" i="2"/>
  <c r="K370" i="1"/>
  <c r="AM370" i="2"/>
  <c r="J370" i="1"/>
  <c r="AL370" i="2"/>
  <c r="I370" i="1"/>
  <c r="AK370" i="2"/>
  <c r="AJ370" i="2"/>
  <c r="AI370" i="2"/>
  <c r="AH370" i="2"/>
  <c r="E370" i="1"/>
  <c r="AG370" i="2"/>
  <c r="D370" i="1"/>
  <c r="AF370" i="2"/>
  <c r="C370" i="1"/>
  <c r="AE370" i="2"/>
  <c r="AD370" i="2"/>
  <c r="AA370" i="2"/>
  <c r="Z370" i="2"/>
  <c r="S369" i="1"/>
  <c r="AU369" i="2"/>
  <c r="R369" i="1"/>
  <c r="AT369" i="2"/>
  <c r="Q369" i="1"/>
  <c r="AS369" i="2"/>
  <c r="P369" i="1"/>
  <c r="AR369" i="2"/>
  <c r="O369" i="1"/>
  <c r="AQ369" i="2"/>
  <c r="AP369" i="2"/>
  <c r="AO369" i="2"/>
  <c r="AN369" i="2"/>
  <c r="K369" i="1"/>
  <c r="AM369" i="2"/>
  <c r="J369" i="1"/>
  <c r="AL369" i="2"/>
  <c r="I369" i="1"/>
  <c r="AK369" i="2"/>
  <c r="AJ369" i="2"/>
  <c r="AI369" i="2"/>
  <c r="AH369" i="2"/>
  <c r="E369" i="1"/>
  <c r="AG369" i="2"/>
  <c r="D369" i="1"/>
  <c r="AF369" i="2"/>
  <c r="C369" i="1"/>
  <c r="AE369" i="2"/>
  <c r="AD369" i="2"/>
  <c r="AA369" i="2"/>
  <c r="Z369" i="2"/>
  <c r="S368" i="1"/>
  <c r="AU368" i="2"/>
  <c r="R368" i="1"/>
  <c r="AT368" i="2"/>
  <c r="Q368" i="1"/>
  <c r="AS368" i="2"/>
  <c r="P368" i="1"/>
  <c r="AR368" i="2"/>
  <c r="O368" i="1"/>
  <c r="AQ368" i="2"/>
  <c r="AP368" i="2"/>
  <c r="AO368" i="2"/>
  <c r="AN368" i="2"/>
  <c r="K368" i="1"/>
  <c r="AM368" i="2"/>
  <c r="J368" i="1"/>
  <c r="AL368" i="2"/>
  <c r="I368" i="1"/>
  <c r="AK368" i="2"/>
  <c r="AJ368" i="2"/>
  <c r="AI368" i="2"/>
  <c r="AH368" i="2"/>
  <c r="E368" i="1"/>
  <c r="AG368" i="2"/>
  <c r="D368" i="1"/>
  <c r="AF368" i="2"/>
  <c r="C368" i="1"/>
  <c r="AE368" i="2"/>
  <c r="AD368" i="2"/>
  <c r="AA368" i="2"/>
  <c r="Z368" i="2"/>
  <c r="S367" i="1"/>
  <c r="AU367" i="2"/>
  <c r="R367" i="1"/>
  <c r="AT367" i="2"/>
  <c r="Q367" i="1"/>
  <c r="AS367" i="2"/>
  <c r="P367" i="1"/>
  <c r="AR367" i="2"/>
  <c r="O367" i="1"/>
  <c r="AQ367" i="2"/>
  <c r="AP367" i="2"/>
  <c r="AO367" i="2"/>
  <c r="AN367" i="2"/>
  <c r="K367" i="1"/>
  <c r="AM367" i="2"/>
  <c r="J367" i="1"/>
  <c r="AL367" i="2"/>
  <c r="I367" i="1"/>
  <c r="AK367" i="2"/>
  <c r="AJ367" i="2"/>
  <c r="AI367" i="2"/>
  <c r="AH367" i="2"/>
  <c r="E367" i="1"/>
  <c r="AG367" i="2"/>
  <c r="D367" i="1"/>
  <c r="AF367" i="2"/>
  <c r="C367" i="1"/>
  <c r="AE367" i="2"/>
  <c r="AD367" i="2"/>
  <c r="AA367" i="2"/>
  <c r="Z367" i="2"/>
  <c r="S366" i="1"/>
  <c r="AU366" i="2"/>
  <c r="R366" i="1"/>
  <c r="AT366" i="2"/>
  <c r="Q366" i="1"/>
  <c r="AS366" i="2"/>
  <c r="P366" i="1"/>
  <c r="AR366" i="2"/>
  <c r="O366" i="1"/>
  <c r="AQ366" i="2"/>
  <c r="AP366" i="2"/>
  <c r="AO366" i="2"/>
  <c r="AN366" i="2"/>
  <c r="K366" i="1"/>
  <c r="AM366" i="2"/>
  <c r="J366" i="1"/>
  <c r="AL366" i="2"/>
  <c r="I366" i="1"/>
  <c r="AK366" i="2"/>
  <c r="AJ366" i="2"/>
  <c r="AI366" i="2"/>
  <c r="AH366" i="2"/>
  <c r="E366" i="1"/>
  <c r="AG366" i="2"/>
  <c r="D366" i="1"/>
  <c r="AF366" i="2"/>
  <c r="C366" i="1"/>
  <c r="AE366" i="2"/>
  <c r="AD366" i="2"/>
  <c r="AA366" i="2"/>
  <c r="Z366" i="2"/>
  <c r="S365" i="1"/>
  <c r="AU365" i="2"/>
  <c r="R365" i="1"/>
  <c r="AT365" i="2"/>
  <c r="Q365" i="1"/>
  <c r="AS365" i="2"/>
  <c r="P365" i="1"/>
  <c r="AR365" i="2"/>
  <c r="O365" i="1"/>
  <c r="AQ365" i="2"/>
  <c r="AP365" i="2"/>
  <c r="AO365" i="2"/>
  <c r="AN365" i="2"/>
  <c r="K365" i="1"/>
  <c r="AM365" i="2"/>
  <c r="J365" i="1"/>
  <c r="AL365" i="2"/>
  <c r="I365" i="1"/>
  <c r="AK365" i="2"/>
  <c r="AJ365" i="2"/>
  <c r="AI365" i="2"/>
  <c r="AH365" i="2"/>
  <c r="E365" i="1"/>
  <c r="AG365" i="2"/>
  <c r="D365" i="1"/>
  <c r="AF365" i="2"/>
  <c r="C365" i="1"/>
  <c r="AE365" i="2"/>
  <c r="AD365" i="2"/>
  <c r="AA365" i="2"/>
  <c r="Z365" i="2"/>
  <c r="S364" i="1"/>
  <c r="AU364" i="2"/>
  <c r="R364" i="1"/>
  <c r="AT364" i="2"/>
  <c r="Q364" i="1"/>
  <c r="AS364" i="2"/>
  <c r="P364" i="1"/>
  <c r="AR364" i="2"/>
  <c r="O364" i="1"/>
  <c r="AQ364" i="2"/>
  <c r="AP364" i="2"/>
  <c r="AO364" i="2"/>
  <c r="AN364" i="2"/>
  <c r="K364" i="1"/>
  <c r="AM364" i="2"/>
  <c r="J364" i="1"/>
  <c r="AL364" i="2"/>
  <c r="I364" i="1"/>
  <c r="AK364" i="2"/>
  <c r="AJ364" i="2"/>
  <c r="AI364" i="2"/>
  <c r="AH364" i="2"/>
  <c r="E364" i="1"/>
  <c r="AG364" i="2"/>
  <c r="D364" i="1"/>
  <c r="AF364" i="2"/>
  <c r="C364" i="1"/>
  <c r="AE364" i="2"/>
  <c r="AD364" i="2"/>
  <c r="AA364" i="2"/>
  <c r="Z364" i="2"/>
  <c r="S363" i="1"/>
  <c r="AU363" i="2"/>
  <c r="R363" i="1"/>
  <c r="AT363" i="2"/>
  <c r="Q363" i="1"/>
  <c r="AS363" i="2"/>
  <c r="P363" i="1"/>
  <c r="AR363" i="2"/>
  <c r="O363" i="1"/>
  <c r="AQ363" i="2"/>
  <c r="AP363" i="2"/>
  <c r="AO363" i="2"/>
  <c r="AN363" i="2"/>
  <c r="K363" i="1"/>
  <c r="AM363" i="2"/>
  <c r="J363" i="1"/>
  <c r="AL363" i="2"/>
  <c r="I363" i="1"/>
  <c r="AK363" i="2"/>
  <c r="AJ363" i="2"/>
  <c r="AI363" i="2"/>
  <c r="AH363" i="2"/>
  <c r="E363" i="1"/>
  <c r="AG363" i="2"/>
  <c r="D363" i="1"/>
  <c r="AF363" i="2"/>
  <c r="C363" i="1"/>
  <c r="AE363" i="2"/>
  <c r="AD363" i="2"/>
  <c r="AA363" i="2"/>
  <c r="Z363" i="2"/>
  <c r="S362" i="1"/>
  <c r="AU362" i="2"/>
  <c r="R362" i="1"/>
  <c r="AT362" i="2"/>
  <c r="Q362" i="1"/>
  <c r="AS362" i="2"/>
  <c r="P362" i="1"/>
  <c r="AR362" i="2"/>
  <c r="O362" i="1"/>
  <c r="AQ362" i="2"/>
  <c r="AP362" i="2"/>
  <c r="AO362" i="2"/>
  <c r="AN362" i="2"/>
  <c r="K362" i="1"/>
  <c r="AM362" i="2"/>
  <c r="J362" i="1"/>
  <c r="AL362" i="2"/>
  <c r="I362" i="1"/>
  <c r="AK362" i="2"/>
  <c r="AJ362" i="2"/>
  <c r="AI362" i="2"/>
  <c r="AH362" i="2"/>
  <c r="E362" i="1"/>
  <c r="AG362" i="2"/>
  <c r="D362" i="1"/>
  <c r="AF362" i="2"/>
  <c r="C362" i="1"/>
  <c r="AE362" i="2"/>
  <c r="AD362" i="2"/>
  <c r="AA362" i="2"/>
  <c r="Z362" i="2"/>
  <c r="S361" i="1"/>
  <c r="AU361" i="2"/>
  <c r="R361" i="1"/>
  <c r="AT361" i="2"/>
  <c r="Q361" i="1"/>
  <c r="AS361" i="2"/>
  <c r="P361" i="1"/>
  <c r="AR361" i="2"/>
  <c r="O361" i="1"/>
  <c r="AQ361" i="2"/>
  <c r="AP361" i="2"/>
  <c r="AO361" i="2"/>
  <c r="AN361" i="2"/>
  <c r="K361" i="1"/>
  <c r="AM361" i="2"/>
  <c r="J361" i="1"/>
  <c r="AL361" i="2"/>
  <c r="I361" i="1"/>
  <c r="AK361" i="2"/>
  <c r="AJ361" i="2"/>
  <c r="AI361" i="2"/>
  <c r="AH361" i="2"/>
  <c r="E361" i="1"/>
  <c r="AG361" i="2"/>
  <c r="D361" i="1"/>
  <c r="AF361" i="2"/>
  <c r="C361" i="1"/>
  <c r="AE361" i="2"/>
  <c r="AD361" i="2"/>
  <c r="AA361" i="2"/>
  <c r="Z361" i="2"/>
  <c r="S360" i="1"/>
  <c r="AU360" i="2"/>
  <c r="R360" i="1"/>
  <c r="AT360" i="2"/>
  <c r="Q360" i="1"/>
  <c r="AS360" i="2"/>
  <c r="P360" i="1"/>
  <c r="AR360" i="2"/>
  <c r="O360" i="1"/>
  <c r="AQ360" i="2"/>
  <c r="AP360" i="2"/>
  <c r="AO360" i="2"/>
  <c r="AN360" i="2"/>
  <c r="K360" i="1"/>
  <c r="AM360" i="2"/>
  <c r="J360" i="1"/>
  <c r="AL360" i="2"/>
  <c r="I360" i="1"/>
  <c r="AK360" i="2"/>
  <c r="AJ360" i="2"/>
  <c r="AI360" i="2"/>
  <c r="AH360" i="2"/>
  <c r="E360" i="1"/>
  <c r="AG360" i="2"/>
  <c r="D360" i="1"/>
  <c r="AF360" i="2"/>
  <c r="C360" i="1"/>
  <c r="AE360" i="2"/>
  <c r="AD360" i="2"/>
  <c r="AA360" i="2"/>
  <c r="Z360" i="2"/>
  <c r="S359" i="1"/>
  <c r="AU359" i="2"/>
  <c r="R359" i="1"/>
  <c r="AT359" i="2"/>
  <c r="Q359" i="1"/>
  <c r="AS359" i="2"/>
  <c r="P359" i="1"/>
  <c r="AR359" i="2"/>
  <c r="O359" i="1"/>
  <c r="AQ359" i="2"/>
  <c r="AP359" i="2"/>
  <c r="AO359" i="2"/>
  <c r="AN359" i="2"/>
  <c r="K359" i="1"/>
  <c r="AM359" i="2"/>
  <c r="J359" i="1"/>
  <c r="AL359" i="2"/>
  <c r="I359" i="1"/>
  <c r="AK359" i="2"/>
  <c r="AJ359" i="2"/>
  <c r="AI359" i="2"/>
  <c r="AH359" i="2"/>
  <c r="E359" i="1"/>
  <c r="AG359" i="2"/>
  <c r="D359" i="1"/>
  <c r="AF359" i="2"/>
  <c r="C359" i="1"/>
  <c r="AE359" i="2"/>
  <c r="AD359" i="2"/>
  <c r="AA359" i="2"/>
  <c r="Z359" i="2"/>
  <c r="S358" i="1"/>
  <c r="AU358" i="2"/>
  <c r="R358" i="1"/>
  <c r="AT358" i="2"/>
  <c r="Q358" i="1"/>
  <c r="AS358" i="2"/>
  <c r="P358" i="1"/>
  <c r="AR358" i="2"/>
  <c r="O358" i="1"/>
  <c r="AQ358" i="2"/>
  <c r="AP358" i="2"/>
  <c r="AO358" i="2"/>
  <c r="AN358" i="2"/>
  <c r="K358" i="1"/>
  <c r="AM358" i="2"/>
  <c r="J358" i="1"/>
  <c r="AL358" i="2"/>
  <c r="I358" i="1"/>
  <c r="AK358" i="2"/>
  <c r="AJ358" i="2"/>
  <c r="AI358" i="2"/>
  <c r="AH358" i="2"/>
  <c r="E358" i="1"/>
  <c r="AG358" i="2"/>
  <c r="D358" i="1"/>
  <c r="AF358" i="2"/>
  <c r="C358" i="1"/>
  <c r="AE358" i="2"/>
  <c r="AD358" i="2"/>
  <c r="AA358" i="2"/>
  <c r="Z358" i="2"/>
  <c r="S357" i="1"/>
  <c r="AU357" i="2"/>
  <c r="R357" i="1"/>
  <c r="AT357" i="2"/>
  <c r="Q357" i="1"/>
  <c r="AS357" i="2"/>
  <c r="P357" i="1"/>
  <c r="AR357" i="2"/>
  <c r="O357" i="1"/>
  <c r="AQ357" i="2"/>
  <c r="AP357" i="2"/>
  <c r="AO357" i="2"/>
  <c r="AN357" i="2"/>
  <c r="K357" i="1"/>
  <c r="AM357" i="2"/>
  <c r="J357" i="1"/>
  <c r="AL357" i="2"/>
  <c r="I357" i="1"/>
  <c r="AK357" i="2"/>
  <c r="AJ357" i="2"/>
  <c r="AI357" i="2"/>
  <c r="AH357" i="2"/>
  <c r="E357" i="1"/>
  <c r="AG357" i="2"/>
  <c r="D357" i="1"/>
  <c r="AF357" i="2"/>
  <c r="C357" i="1"/>
  <c r="AE357" i="2"/>
  <c r="AD357" i="2"/>
  <c r="AA357" i="2"/>
  <c r="Z357" i="2"/>
  <c r="S356" i="1"/>
  <c r="AU356" i="2"/>
  <c r="R356" i="1"/>
  <c r="AT356" i="2"/>
  <c r="Q356" i="1"/>
  <c r="AS356" i="2"/>
  <c r="P356" i="1"/>
  <c r="AR356" i="2"/>
  <c r="O356" i="1"/>
  <c r="AQ356" i="2"/>
  <c r="AP356" i="2"/>
  <c r="AO356" i="2"/>
  <c r="AN356" i="2"/>
  <c r="K356" i="1"/>
  <c r="AM356" i="2"/>
  <c r="J356" i="1"/>
  <c r="AL356" i="2"/>
  <c r="I356" i="1"/>
  <c r="AK356" i="2"/>
  <c r="AJ356" i="2"/>
  <c r="AI356" i="2"/>
  <c r="AH356" i="2"/>
  <c r="E356" i="1"/>
  <c r="AG356" i="2"/>
  <c r="D356" i="1"/>
  <c r="AF356" i="2"/>
  <c r="C356" i="1"/>
  <c r="AE356" i="2"/>
  <c r="AD356" i="2"/>
  <c r="AA356" i="2"/>
  <c r="Z356" i="2"/>
  <c r="S355" i="1"/>
  <c r="AU355" i="2"/>
  <c r="R355" i="1"/>
  <c r="AT355" i="2"/>
  <c r="Q355" i="1"/>
  <c r="AS355" i="2"/>
  <c r="P355" i="1"/>
  <c r="AR355" i="2"/>
  <c r="O355" i="1"/>
  <c r="AQ355" i="2"/>
  <c r="AP355" i="2"/>
  <c r="AO355" i="2"/>
  <c r="AN355" i="2"/>
  <c r="K355" i="1"/>
  <c r="AM355" i="2"/>
  <c r="J355" i="1"/>
  <c r="AL355" i="2"/>
  <c r="I355" i="1"/>
  <c r="AK355" i="2"/>
  <c r="AJ355" i="2"/>
  <c r="AI355" i="2"/>
  <c r="AH355" i="2"/>
  <c r="E355" i="1"/>
  <c r="AG355" i="2"/>
  <c r="D355" i="1"/>
  <c r="AF355" i="2"/>
  <c r="C355" i="1"/>
  <c r="AE355" i="2"/>
  <c r="AD355" i="2"/>
  <c r="AA355" i="2"/>
  <c r="Z355" i="2"/>
  <c r="S354" i="1"/>
  <c r="AU354" i="2"/>
  <c r="R354" i="1"/>
  <c r="AT354" i="2"/>
  <c r="Q354" i="1"/>
  <c r="AS354" i="2"/>
  <c r="P354" i="1"/>
  <c r="AR354" i="2"/>
  <c r="O354" i="1"/>
  <c r="AQ354" i="2"/>
  <c r="AP354" i="2"/>
  <c r="AO354" i="2"/>
  <c r="AN354" i="2"/>
  <c r="K354" i="1"/>
  <c r="AM354" i="2"/>
  <c r="J354" i="1"/>
  <c r="AL354" i="2"/>
  <c r="I354" i="1"/>
  <c r="AK354" i="2"/>
  <c r="AJ354" i="2"/>
  <c r="AI354" i="2"/>
  <c r="AH354" i="2"/>
  <c r="E354" i="1"/>
  <c r="AG354" i="2"/>
  <c r="D354" i="1"/>
  <c r="AF354" i="2"/>
  <c r="C354" i="1"/>
  <c r="AE354" i="2"/>
  <c r="AD354" i="2"/>
  <c r="AA354" i="2"/>
  <c r="Z354" i="2"/>
  <c r="S353" i="1"/>
  <c r="AU353" i="2"/>
  <c r="R353" i="1"/>
  <c r="AT353" i="2"/>
  <c r="Q353" i="1"/>
  <c r="AS353" i="2"/>
  <c r="P353" i="1"/>
  <c r="AR353" i="2"/>
  <c r="O353" i="1"/>
  <c r="AQ353" i="2"/>
  <c r="AP353" i="2"/>
  <c r="AO353" i="2"/>
  <c r="AN353" i="2"/>
  <c r="K353" i="1"/>
  <c r="AM353" i="2"/>
  <c r="J353" i="1"/>
  <c r="AL353" i="2"/>
  <c r="I353" i="1"/>
  <c r="AK353" i="2"/>
  <c r="AJ353" i="2"/>
  <c r="AI353" i="2"/>
  <c r="AH353" i="2"/>
  <c r="E353" i="1"/>
  <c r="AG353" i="2"/>
  <c r="D353" i="1"/>
  <c r="AF353" i="2"/>
  <c r="C353" i="1"/>
  <c r="AE353" i="2"/>
  <c r="AD353" i="2"/>
  <c r="AA353" i="2"/>
  <c r="Z353" i="2"/>
  <c r="S352" i="1"/>
  <c r="AU352" i="2"/>
  <c r="R352" i="1"/>
  <c r="AT352" i="2"/>
  <c r="Q352" i="1"/>
  <c r="AS352" i="2"/>
  <c r="P352" i="1"/>
  <c r="AR352" i="2"/>
  <c r="O352" i="1"/>
  <c r="AQ352" i="2"/>
  <c r="AP352" i="2"/>
  <c r="AO352" i="2"/>
  <c r="AN352" i="2"/>
  <c r="K352" i="1"/>
  <c r="AM352" i="2"/>
  <c r="J352" i="1"/>
  <c r="AL352" i="2"/>
  <c r="I352" i="1"/>
  <c r="AK352" i="2"/>
  <c r="AJ352" i="2"/>
  <c r="AI352" i="2"/>
  <c r="AH352" i="2"/>
  <c r="E352" i="1"/>
  <c r="AG352" i="2"/>
  <c r="D352" i="1"/>
  <c r="AF352" i="2"/>
  <c r="C352" i="1"/>
  <c r="AE352" i="2"/>
  <c r="AD352" i="2"/>
  <c r="AA352" i="2"/>
  <c r="Z352" i="2"/>
  <c r="S351" i="1"/>
  <c r="AU351" i="2"/>
  <c r="R351" i="1"/>
  <c r="AT351" i="2"/>
  <c r="Q351" i="1"/>
  <c r="AS351" i="2"/>
  <c r="P351" i="1"/>
  <c r="AR351" i="2"/>
  <c r="O351" i="1"/>
  <c r="AQ351" i="2"/>
  <c r="AP351" i="2"/>
  <c r="AO351" i="2"/>
  <c r="AN351" i="2"/>
  <c r="K351" i="1"/>
  <c r="AM351" i="2"/>
  <c r="J351" i="1"/>
  <c r="AL351" i="2"/>
  <c r="I351" i="1"/>
  <c r="AK351" i="2"/>
  <c r="AJ351" i="2"/>
  <c r="AI351" i="2"/>
  <c r="AH351" i="2"/>
  <c r="E351" i="1"/>
  <c r="AG351" i="2"/>
  <c r="D351" i="1"/>
  <c r="AF351" i="2"/>
  <c r="C351" i="1"/>
  <c r="AE351" i="2"/>
  <c r="AD351" i="2"/>
  <c r="AA351" i="2"/>
  <c r="Z351" i="2"/>
  <c r="S350" i="1"/>
  <c r="AU350" i="2"/>
  <c r="R350" i="1"/>
  <c r="AT350" i="2"/>
  <c r="Q350" i="1"/>
  <c r="AS350" i="2"/>
  <c r="P350" i="1"/>
  <c r="AR350" i="2"/>
  <c r="O350" i="1"/>
  <c r="AQ350" i="2"/>
  <c r="AP350" i="2"/>
  <c r="AO350" i="2"/>
  <c r="AN350" i="2"/>
  <c r="K350" i="1"/>
  <c r="AM350" i="2"/>
  <c r="J350" i="1"/>
  <c r="AL350" i="2"/>
  <c r="I350" i="1"/>
  <c r="AK350" i="2"/>
  <c r="AJ350" i="2"/>
  <c r="AI350" i="2"/>
  <c r="AH350" i="2"/>
  <c r="E350" i="1"/>
  <c r="AG350" i="2"/>
  <c r="D350" i="1"/>
  <c r="AF350" i="2"/>
  <c r="C350" i="1"/>
  <c r="AE350" i="2"/>
  <c r="AD350" i="2"/>
  <c r="AA350" i="2"/>
  <c r="Z350" i="2"/>
  <c r="S349" i="1"/>
  <c r="AU349" i="2"/>
  <c r="R349" i="1"/>
  <c r="AT349" i="2"/>
  <c r="Q349" i="1"/>
  <c r="AS349" i="2"/>
  <c r="P349" i="1"/>
  <c r="AR349" i="2"/>
  <c r="O349" i="1"/>
  <c r="AQ349" i="2"/>
  <c r="AP349" i="2"/>
  <c r="AO349" i="2"/>
  <c r="AN349" i="2"/>
  <c r="K349" i="1"/>
  <c r="AM349" i="2"/>
  <c r="J349" i="1"/>
  <c r="AL349" i="2"/>
  <c r="I349" i="1"/>
  <c r="AK349" i="2"/>
  <c r="AJ349" i="2"/>
  <c r="AI349" i="2"/>
  <c r="AH349" i="2"/>
  <c r="E349" i="1"/>
  <c r="AG349" i="2"/>
  <c r="D349" i="1"/>
  <c r="AF349" i="2"/>
  <c r="C349" i="1"/>
  <c r="AE349" i="2"/>
  <c r="AD349" i="2"/>
  <c r="AA349" i="2"/>
  <c r="Z349" i="2"/>
  <c r="S348" i="1"/>
  <c r="AU348" i="2"/>
  <c r="R348" i="1"/>
  <c r="AT348" i="2"/>
  <c r="Q348" i="1"/>
  <c r="AS348" i="2"/>
  <c r="P348" i="1"/>
  <c r="AR348" i="2"/>
  <c r="O348" i="1"/>
  <c r="AQ348" i="2"/>
  <c r="AP348" i="2"/>
  <c r="AO348" i="2"/>
  <c r="AN348" i="2"/>
  <c r="K348" i="1"/>
  <c r="AM348" i="2"/>
  <c r="J348" i="1"/>
  <c r="AL348" i="2"/>
  <c r="I348" i="1"/>
  <c r="AK348" i="2"/>
  <c r="AJ348" i="2"/>
  <c r="AI348" i="2"/>
  <c r="AH348" i="2"/>
  <c r="E348" i="1"/>
  <c r="AG348" i="2"/>
  <c r="D348" i="1"/>
  <c r="AF348" i="2"/>
  <c r="C348" i="1"/>
  <c r="AE348" i="2"/>
  <c r="AD348" i="2"/>
  <c r="AA348" i="2"/>
  <c r="Z348" i="2"/>
  <c r="S347" i="1"/>
  <c r="AU347" i="2"/>
  <c r="R347" i="1"/>
  <c r="AT347" i="2"/>
  <c r="Q347" i="1"/>
  <c r="AS347" i="2"/>
  <c r="P347" i="1"/>
  <c r="AR347" i="2"/>
  <c r="O347" i="1"/>
  <c r="AQ347" i="2"/>
  <c r="AP347" i="2"/>
  <c r="AO347" i="2"/>
  <c r="AN347" i="2"/>
  <c r="K347" i="1"/>
  <c r="AM347" i="2"/>
  <c r="J347" i="1"/>
  <c r="AL347" i="2"/>
  <c r="I347" i="1"/>
  <c r="AK347" i="2"/>
  <c r="AJ347" i="2"/>
  <c r="AI347" i="2"/>
  <c r="AH347" i="2"/>
  <c r="E347" i="1"/>
  <c r="AG347" i="2"/>
  <c r="D347" i="1"/>
  <c r="AF347" i="2"/>
  <c r="C347" i="1"/>
  <c r="AE347" i="2"/>
  <c r="AD347" i="2"/>
  <c r="AA347" i="2"/>
  <c r="Z347" i="2"/>
  <c r="S346" i="1"/>
  <c r="AU346" i="2"/>
  <c r="R346" i="1"/>
  <c r="AT346" i="2"/>
  <c r="Q346" i="1"/>
  <c r="AS346" i="2"/>
  <c r="P346" i="1"/>
  <c r="AR346" i="2"/>
  <c r="O346" i="1"/>
  <c r="AQ346" i="2"/>
  <c r="AP346" i="2"/>
  <c r="AO346" i="2"/>
  <c r="AN346" i="2"/>
  <c r="K346" i="1"/>
  <c r="AM346" i="2"/>
  <c r="J346" i="1"/>
  <c r="AL346" i="2"/>
  <c r="I346" i="1"/>
  <c r="AK346" i="2"/>
  <c r="AJ346" i="2"/>
  <c r="AI346" i="2"/>
  <c r="AH346" i="2"/>
  <c r="E346" i="1"/>
  <c r="AG346" i="2"/>
  <c r="D346" i="1"/>
  <c r="AF346" i="2"/>
  <c r="C346" i="1"/>
  <c r="AE346" i="2"/>
  <c r="AD346" i="2"/>
  <c r="AA346" i="2"/>
  <c r="Z346" i="2"/>
  <c r="S345" i="1"/>
  <c r="AU345" i="2"/>
  <c r="R345" i="1"/>
  <c r="AT345" i="2"/>
  <c r="Q345" i="1"/>
  <c r="AS345" i="2"/>
  <c r="P345" i="1"/>
  <c r="AR345" i="2"/>
  <c r="O345" i="1"/>
  <c r="AQ345" i="2"/>
  <c r="AP345" i="2"/>
  <c r="AO345" i="2"/>
  <c r="AN345" i="2"/>
  <c r="K345" i="1"/>
  <c r="AM345" i="2"/>
  <c r="J345" i="1"/>
  <c r="AL345" i="2"/>
  <c r="I345" i="1"/>
  <c r="AK345" i="2"/>
  <c r="AJ345" i="2"/>
  <c r="AI345" i="2"/>
  <c r="AH345" i="2"/>
  <c r="E345" i="1"/>
  <c r="AG345" i="2"/>
  <c r="D345" i="1"/>
  <c r="AF345" i="2"/>
  <c r="C345" i="1"/>
  <c r="AE345" i="2"/>
  <c r="AD345" i="2"/>
  <c r="AA345" i="2"/>
  <c r="Z345" i="2"/>
  <c r="S344" i="1"/>
  <c r="AU344" i="2"/>
  <c r="R344" i="1"/>
  <c r="AT344" i="2"/>
  <c r="Q344" i="1"/>
  <c r="AS344" i="2"/>
  <c r="P344" i="1"/>
  <c r="AR344" i="2"/>
  <c r="O344" i="1"/>
  <c r="AQ344" i="2"/>
  <c r="AP344" i="2"/>
  <c r="AO344" i="2"/>
  <c r="AN344" i="2"/>
  <c r="K344" i="1"/>
  <c r="AM344" i="2"/>
  <c r="J344" i="1"/>
  <c r="AL344" i="2"/>
  <c r="I344" i="1"/>
  <c r="AK344" i="2"/>
  <c r="AJ344" i="2"/>
  <c r="AI344" i="2"/>
  <c r="AH344" i="2"/>
  <c r="E344" i="1"/>
  <c r="AG344" i="2"/>
  <c r="D344" i="1"/>
  <c r="AF344" i="2"/>
  <c r="C344" i="1"/>
  <c r="AE344" i="2"/>
  <c r="AD344" i="2"/>
  <c r="AA344" i="2"/>
  <c r="Z344" i="2"/>
  <c r="S343" i="1"/>
  <c r="AU343" i="2"/>
  <c r="R343" i="1"/>
  <c r="AT343" i="2"/>
  <c r="Q343" i="1"/>
  <c r="AS343" i="2"/>
  <c r="P343" i="1"/>
  <c r="AR343" i="2"/>
  <c r="O343" i="1"/>
  <c r="AQ343" i="2"/>
  <c r="AP343" i="2"/>
  <c r="AO343" i="2"/>
  <c r="AN343" i="2"/>
  <c r="K343" i="1"/>
  <c r="AM343" i="2"/>
  <c r="J343" i="1"/>
  <c r="AL343" i="2"/>
  <c r="I343" i="1"/>
  <c r="AK343" i="2"/>
  <c r="AJ343" i="2"/>
  <c r="AI343" i="2"/>
  <c r="AH343" i="2"/>
  <c r="E343" i="1"/>
  <c r="AG343" i="2"/>
  <c r="D343" i="1"/>
  <c r="AF343" i="2"/>
  <c r="C343" i="1"/>
  <c r="AE343" i="2"/>
  <c r="AD343" i="2"/>
  <c r="AA343" i="2"/>
  <c r="Z343" i="2"/>
  <c r="S342" i="1"/>
  <c r="AU342" i="2"/>
  <c r="R342" i="1"/>
  <c r="AT342" i="2"/>
  <c r="Q342" i="1"/>
  <c r="AS342" i="2"/>
  <c r="P342" i="1"/>
  <c r="AR342" i="2"/>
  <c r="O342" i="1"/>
  <c r="AQ342" i="2"/>
  <c r="AP342" i="2"/>
  <c r="AO342" i="2"/>
  <c r="AN342" i="2"/>
  <c r="K342" i="1"/>
  <c r="AM342" i="2"/>
  <c r="J342" i="1"/>
  <c r="AL342" i="2"/>
  <c r="I342" i="1"/>
  <c r="AK342" i="2"/>
  <c r="AJ342" i="2"/>
  <c r="AI342" i="2"/>
  <c r="AH342" i="2"/>
  <c r="E342" i="1"/>
  <c r="AG342" i="2"/>
  <c r="D342" i="1"/>
  <c r="AF342" i="2"/>
  <c r="C342" i="1"/>
  <c r="AE342" i="2"/>
  <c r="AD342" i="2"/>
  <c r="AA342" i="2"/>
  <c r="Z342" i="2"/>
  <c r="S341" i="1"/>
  <c r="AU341" i="2"/>
  <c r="R341" i="1"/>
  <c r="AT341" i="2"/>
  <c r="Q341" i="1"/>
  <c r="AS341" i="2"/>
  <c r="P341" i="1"/>
  <c r="AR341" i="2"/>
  <c r="O341" i="1"/>
  <c r="AQ341" i="2"/>
  <c r="AP341" i="2"/>
  <c r="AO341" i="2"/>
  <c r="AN341" i="2"/>
  <c r="K341" i="1"/>
  <c r="AM341" i="2"/>
  <c r="J341" i="1"/>
  <c r="AL341" i="2"/>
  <c r="I341" i="1"/>
  <c r="AK341" i="2"/>
  <c r="AJ341" i="2"/>
  <c r="AI341" i="2"/>
  <c r="AH341" i="2"/>
  <c r="E341" i="1"/>
  <c r="AG341" i="2"/>
  <c r="D341" i="1"/>
  <c r="AF341" i="2"/>
  <c r="C341" i="1"/>
  <c r="AE341" i="2"/>
  <c r="AD341" i="2"/>
  <c r="AA341" i="2"/>
  <c r="Z341" i="2"/>
  <c r="S340" i="1"/>
  <c r="AU340" i="2"/>
  <c r="R340" i="1"/>
  <c r="AT340" i="2"/>
  <c r="Q340" i="1"/>
  <c r="AS340" i="2"/>
  <c r="P340" i="1"/>
  <c r="AR340" i="2"/>
  <c r="O340" i="1"/>
  <c r="AQ340" i="2"/>
  <c r="AP340" i="2"/>
  <c r="AO340" i="2"/>
  <c r="AN340" i="2"/>
  <c r="K340" i="1"/>
  <c r="AM340" i="2"/>
  <c r="J340" i="1"/>
  <c r="AL340" i="2"/>
  <c r="I340" i="1"/>
  <c r="AK340" i="2"/>
  <c r="AJ340" i="2"/>
  <c r="AI340" i="2"/>
  <c r="AH340" i="2"/>
  <c r="E340" i="1"/>
  <c r="AG340" i="2"/>
  <c r="D340" i="1"/>
  <c r="AF340" i="2"/>
  <c r="C340" i="1"/>
  <c r="AE340" i="2"/>
  <c r="AD340" i="2"/>
  <c r="AA340" i="2"/>
  <c r="Z340" i="2"/>
  <c r="S339" i="1"/>
  <c r="AU339" i="2"/>
  <c r="R339" i="1"/>
  <c r="AT339" i="2"/>
  <c r="Q339" i="1"/>
  <c r="AS339" i="2"/>
  <c r="P339" i="1"/>
  <c r="AR339" i="2"/>
  <c r="O339" i="1"/>
  <c r="AQ339" i="2"/>
  <c r="AP339" i="2"/>
  <c r="AO339" i="2"/>
  <c r="AN339" i="2"/>
  <c r="K339" i="1"/>
  <c r="AM339" i="2"/>
  <c r="J339" i="1"/>
  <c r="AL339" i="2"/>
  <c r="I339" i="1"/>
  <c r="AK339" i="2"/>
  <c r="AJ339" i="2"/>
  <c r="AI339" i="2"/>
  <c r="AH339" i="2"/>
  <c r="E339" i="1"/>
  <c r="AG339" i="2"/>
  <c r="D339" i="1"/>
  <c r="AF339" i="2"/>
  <c r="C339" i="1"/>
  <c r="AE339" i="2"/>
  <c r="AD339" i="2"/>
  <c r="AA339" i="2"/>
  <c r="Z339" i="2"/>
  <c r="S338" i="1"/>
  <c r="AU338" i="2"/>
  <c r="R338" i="1"/>
  <c r="AT338" i="2"/>
  <c r="Q338" i="1"/>
  <c r="AS338" i="2"/>
  <c r="P338" i="1"/>
  <c r="AR338" i="2"/>
  <c r="O338" i="1"/>
  <c r="AQ338" i="2"/>
  <c r="AP338" i="2"/>
  <c r="AO338" i="2"/>
  <c r="AN338" i="2"/>
  <c r="K338" i="1"/>
  <c r="AM338" i="2"/>
  <c r="J338" i="1"/>
  <c r="AL338" i="2"/>
  <c r="I338" i="1"/>
  <c r="AK338" i="2"/>
  <c r="AJ338" i="2"/>
  <c r="AI338" i="2"/>
  <c r="AH338" i="2"/>
  <c r="E338" i="1"/>
  <c r="AG338" i="2"/>
  <c r="D338" i="1"/>
  <c r="AF338" i="2"/>
  <c r="C338" i="1"/>
  <c r="AE338" i="2"/>
  <c r="AD338" i="2"/>
  <c r="AA338" i="2"/>
  <c r="Z338" i="2"/>
  <c r="S337" i="1"/>
  <c r="AU337" i="2"/>
  <c r="R337" i="1"/>
  <c r="AT337" i="2"/>
  <c r="Q337" i="1"/>
  <c r="AS337" i="2"/>
  <c r="P337" i="1"/>
  <c r="AR337" i="2"/>
  <c r="O337" i="1"/>
  <c r="AQ337" i="2"/>
  <c r="AP337" i="2"/>
  <c r="AO337" i="2"/>
  <c r="AN337" i="2"/>
  <c r="K337" i="1"/>
  <c r="AM337" i="2"/>
  <c r="J337" i="1"/>
  <c r="AL337" i="2"/>
  <c r="I337" i="1"/>
  <c r="AK337" i="2"/>
  <c r="AJ337" i="2"/>
  <c r="AI337" i="2"/>
  <c r="AH337" i="2"/>
  <c r="E337" i="1"/>
  <c r="AG337" i="2"/>
  <c r="D337" i="1"/>
  <c r="AF337" i="2"/>
  <c r="C337" i="1"/>
  <c r="AE337" i="2"/>
  <c r="AD337" i="2"/>
  <c r="AA337" i="2"/>
  <c r="Z337" i="2"/>
  <c r="S336" i="1"/>
  <c r="AU336" i="2"/>
  <c r="R336" i="1"/>
  <c r="AT336" i="2"/>
  <c r="Q336" i="1"/>
  <c r="AS336" i="2"/>
  <c r="P336" i="1"/>
  <c r="AR336" i="2"/>
  <c r="O336" i="1"/>
  <c r="AQ336" i="2"/>
  <c r="AP336" i="2"/>
  <c r="AO336" i="2"/>
  <c r="AN336" i="2"/>
  <c r="K336" i="1"/>
  <c r="AM336" i="2"/>
  <c r="J336" i="1"/>
  <c r="AL336" i="2"/>
  <c r="I336" i="1"/>
  <c r="AK336" i="2"/>
  <c r="AJ336" i="2"/>
  <c r="AI336" i="2"/>
  <c r="AH336" i="2"/>
  <c r="E336" i="1"/>
  <c r="AG336" i="2"/>
  <c r="D336" i="1"/>
  <c r="AF336" i="2"/>
  <c r="C336" i="1"/>
  <c r="AE336" i="2"/>
  <c r="AD336" i="2"/>
  <c r="AA336" i="2"/>
  <c r="Z336" i="2"/>
  <c r="S335" i="1"/>
  <c r="AU335" i="2"/>
  <c r="R335" i="1"/>
  <c r="AT335" i="2"/>
  <c r="Q335" i="1"/>
  <c r="AS335" i="2"/>
  <c r="P335" i="1"/>
  <c r="AR335" i="2"/>
  <c r="O335" i="1"/>
  <c r="AQ335" i="2"/>
  <c r="AP335" i="2"/>
  <c r="AO335" i="2"/>
  <c r="AN335" i="2"/>
  <c r="K335" i="1"/>
  <c r="AM335" i="2"/>
  <c r="J335" i="1"/>
  <c r="AL335" i="2"/>
  <c r="I335" i="1"/>
  <c r="AK335" i="2"/>
  <c r="AJ335" i="2"/>
  <c r="AI335" i="2"/>
  <c r="AH335" i="2"/>
  <c r="E335" i="1"/>
  <c r="AG335" i="2"/>
  <c r="D335" i="1"/>
  <c r="AF335" i="2"/>
  <c r="C335" i="1"/>
  <c r="AE335" i="2"/>
  <c r="AD335" i="2"/>
  <c r="AA335" i="2"/>
  <c r="Z335" i="2"/>
  <c r="S334" i="1"/>
  <c r="AU334" i="2"/>
  <c r="R334" i="1"/>
  <c r="AT334" i="2"/>
  <c r="Q334" i="1"/>
  <c r="AS334" i="2"/>
  <c r="P334" i="1"/>
  <c r="AR334" i="2"/>
  <c r="O334" i="1"/>
  <c r="AQ334" i="2"/>
  <c r="AP334" i="2"/>
  <c r="AO334" i="2"/>
  <c r="AN334" i="2"/>
  <c r="K334" i="1"/>
  <c r="AM334" i="2"/>
  <c r="J334" i="1"/>
  <c r="AL334" i="2"/>
  <c r="I334" i="1"/>
  <c r="AK334" i="2"/>
  <c r="AJ334" i="2"/>
  <c r="AI334" i="2"/>
  <c r="AH334" i="2"/>
  <c r="E334" i="1"/>
  <c r="AG334" i="2"/>
  <c r="D334" i="1"/>
  <c r="AF334" i="2"/>
  <c r="C334" i="1"/>
  <c r="AE334" i="2"/>
  <c r="AD334" i="2"/>
  <c r="AA334" i="2"/>
  <c r="Z334" i="2"/>
  <c r="S333" i="1"/>
  <c r="AU333" i="2"/>
  <c r="R333" i="1"/>
  <c r="AT333" i="2"/>
  <c r="Q333" i="1"/>
  <c r="AS333" i="2"/>
  <c r="P333" i="1"/>
  <c r="AR333" i="2"/>
  <c r="O333" i="1"/>
  <c r="AQ333" i="2"/>
  <c r="AP333" i="2"/>
  <c r="AO333" i="2"/>
  <c r="AN333" i="2"/>
  <c r="K333" i="1"/>
  <c r="AM333" i="2"/>
  <c r="J333" i="1"/>
  <c r="AL333" i="2"/>
  <c r="I333" i="1"/>
  <c r="AK333" i="2"/>
  <c r="AJ333" i="2"/>
  <c r="AI333" i="2"/>
  <c r="AH333" i="2"/>
  <c r="E333" i="1"/>
  <c r="AG333" i="2"/>
  <c r="D333" i="1"/>
  <c r="AF333" i="2"/>
  <c r="C333" i="1"/>
  <c r="AE333" i="2"/>
  <c r="AD333" i="2"/>
  <c r="AA333" i="2"/>
  <c r="Z333" i="2"/>
  <c r="S332" i="1"/>
  <c r="AU332" i="2"/>
  <c r="R332" i="1"/>
  <c r="AT332" i="2"/>
  <c r="Q332" i="1"/>
  <c r="AS332" i="2"/>
  <c r="P332" i="1"/>
  <c r="AR332" i="2"/>
  <c r="O332" i="1"/>
  <c r="AQ332" i="2"/>
  <c r="AP332" i="2"/>
  <c r="AO332" i="2"/>
  <c r="AN332" i="2"/>
  <c r="K332" i="1"/>
  <c r="AM332" i="2"/>
  <c r="J332" i="1"/>
  <c r="AL332" i="2"/>
  <c r="I332" i="1"/>
  <c r="AK332" i="2"/>
  <c r="AJ332" i="2"/>
  <c r="AI332" i="2"/>
  <c r="AH332" i="2"/>
  <c r="E332" i="1"/>
  <c r="AG332" i="2"/>
  <c r="D332" i="1"/>
  <c r="AF332" i="2"/>
  <c r="C332" i="1"/>
  <c r="AE332" i="2"/>
  <c r="AD332" i="2"/>
  <c r="AA332" i="2"/>
  <c r="Z332" i="2"/>
  <c r="S331" i="1"/>
  <c r="AU331" i="2"/>
  <c r="R331" i="1"/>
  <c r="AT331" i="2"/>
  <c r="Q331" i="1"/>
  <c r="AS331" i="2"/>
  <c r="P331" i="1"/>
  <c r="AR331" i="2"/>
  <c r="O331" i="1"/>
  <c r="AQ331" i="2"/>
  <c r="AP331" i="2"/>
  <c r="AO331" i="2"/>
  <c r="AN331" i="2"/>
  <c r="K331" i="1"/>
  <c r="AM331" i="2"/>
  <c r="J331" i="1"/>
  <c r="AL331" i="2"/>
  <c r="I331" i="1"/>
  <c r="AK331" i="2"/>
  <c r="AJ331" i="2"/>
  <c r="AI331" i="2"/>
  <c r="AH331" i="2"/>
  <c r="E331" i="1"/>
  <c r="AG331" i="2"/>
  <c r="D331" i="1"/>
  <c r="AF331" i="2"/>
  <c r="C331" i="1"/>
  <c r="AE331" i="2"/>
  <c r="AD331" i="2"/>
  <c r="AA331" i="2"/>
  <c r="Z331" i="2"/>
  <c r="S330" i="1"/>
  <c r="AU330" i="2"/>
  <c r="R330" i="1"/>
  <c r="AT330" i="2"/>
  <c r="Q330" i="1"/>
  <c r="AS330" i="2"/>
  <c r="P330" i="1"/>
  <c r="AR330" i="2"/>
  <c r="O330" i="1"/>
  <c r="AQ330" i="2"/>
  <c r="AP330" i="2"/>
  <c r="AO330" i="2"/>
  <c r="AN330" i="2"/>
  <c r="K330" i="1"/>
  <c r="AM330" i="2"/>
  <c r="J330" i="1"/>
  <c r="AL330" i="2"/>
  <c r="I330" i="1"/>
  <c r="AK330" i="2"/>
  <c r="AJ330" i="2"/>
  <c r="AI330" i="2"/>
  <c r="AH330" i="2"/>
  <c r="E330" i="1"/>
  <c r="AG330" i="2"/>
  <c r="D330" i="1"/>
  <c r="AF330" i="2"/>
  <c r="C330" i="1"/>
  <c r="AE330" i="2"/>
  <c r="AD330" i="2"/>
  <c r="AA330" i="2"/>
  <c r="Z330" i="2"/>
  <c r="S329" i="1"/>
  <c r="AU329" i="2"/>
  <c r="R329" i="1"/>
  <c r="AT329" i="2"/>
  <c r="Q329" i="1"/>
  <c r="AS329" i="2"/>
  <c r="P329" i="1"/>
  <c r="AR329" i="2"/>
  <c r="O329" i="1"/>
  <c r="AQ329" i="2"/>
  <c r="AP329" i="2"/>
  <c r="AO329" i="2"/>
  <c r="AN329" i="2"/>
  <c r="K329" i="1"/>
  <c r="AM329" i="2"/>
  <c r="J329" i="1"/>
  <c r="AL329" i="2"/>
  <c r="I329" i="1"/>
  <c r="AK329" i="2"/>
  <c r="AJ329" i="2"/>
  <c r="AI329" i="2"/>
  <c r="AH329" i="2"/>
  <c r="E329" i="1"/>
  <c r="AG329" i="2"/>
  <c r="D329" i="1"/>
  <c r="AF329" i="2"/>
  <c r="C329" i="1"/>
  <c r="AE329" i="2"/>
  <c r="AD329" i="2"/>
  <c r="AA329" i="2"/>
  <c r="Z329" i="2"/>
  <c r="S328" i="1"/>
  <c r="AU328" i="2"/>
  <c r="R328" i="1"/>
  <c r="AT328" i="2"/>
  <c r="Q328" i="1"/>
  <c r="AS328" i="2"/>
  <c r="P328" i="1"/>
  <c r="AR328" i="2"/>
  <c r="O328" i="1"/>
  <c r="AQ328" i="2"/>
  <c r="AP328" i="2"/>
  <c r="AO328" i="2"/>
  <c r="AN328" i="2"/>
  <c r="K328" i="1"/>
  <c r="AM328" i="2"/>
  <c r="J328" i="1"/>
  <c r="AL328" i="2"/>
  <c r="I328" i="1"/>
  <c r="AK328" i="2"/>
  <c r="AJ328" i="2"/>
  <c r="AI328" i="2"/>
  <c r="AH328" i="2"/>
  <c r="E328" i="1"/>
  <c r="AG328" i="2"/>
  <c r="D328" i="1"/>
  <c r="AF328" i="2"/>
  <c r="C328" i="1"/>
  <c r="AE328" i="2"/>
  <c r="AD328" i="2"/>
  <c r="AA328" i="2"/>
  <c r="Z328" i="2"/>
  <c r="S327" i="1"/>
  <c r="AU327" i="2"/>
  <c r="R327" i="1"/>
  <c r="AT327" i="2"/>
  <c r="Q327" i="1"/>
  <c r="AS327" i="2"/>
  <c r="P327" i="1"/>
  <c r="AR327" i="2"/>
  <c r="O327" i="1"/>
  <c r="AQ327" i="2"/>
  <c r="AP327" i="2"/>
  <c r="AO327" i="2"/>
  <c r="AN327" i="2"/>
  <c r="K327" i="1"/>
  <c r="AM327" i="2"/>
  <c r="J327" i="1"/>
  <c r="AL327" i="2"/>
  <c r="I327" i="1"/>
  <c r="AK327" i="2"/>
  <c r="AJ327" i="2"/>
  <c r="AI327" i="2"/>
  <c r="AH327" i="2"/>
  <c r="E327" i="1"/>
  <c r="AG327" i="2"/>
  <c r="D327" i="1"/>
  <c r="AF327" i="2"/>
  <c r="C327" i="1"/>
  <c r="AE327" i="2"/>
  <c r="AD327" i="2"/>
  <c r="AA327" i="2"/>
  <c r="Z327" i="2"/>
  <c r="S326" i="1"/>
  <c r="AU326" i="2"/>
  <c r="R326" i="1"/>
  <c r="AT326" i="2"/>
  <c r="Q326" i="1"/>
  <c r="AS326" i="2"/>
  <c r="P326" i="1"/>
  <c r="AR326" i="2"/>
  <c r="O326" i="1"/>
  <c r="AQ326" i="2"/>
  <c r="AP326" i="2"/>
  <c r="AO326" i="2"/>
  <c r="AN326" i="2"/>
  <c r="K326" i="1"/>
  <c r="AM326" i="2"/>
  <c r="J326" i="1"/>
  <c r="AL326" i="2"/>
  <c r="I326" i="1"/>
  <c r="AK326" i="2"/>
  <c r="AJ326" i="2"/>
  <c r="AI326" i="2"/>
  <c r="AH326" i="2"/>
  <c r="E326" i="1"/>
  <c r="AG326" i="2"/>
  <c r="D326" i="1"/>
  <c r="AF326" i="2"/>
  <c r="C326" i="1"/>
  <c r="AE326" i="2"/>
  <c r="AD326" i="2"/>
  <c r="AA326" i="2"/>
  <c r="Z326" i="2"/>
  <c r="S325" i="1"/>
  <c r="AU325" i="2"/>
  <c r="R325" i="1"/>
  <c r="AT325" i="2"/>
  <c r="Q325" i="1"/>
  <c r="AS325" i="2"/>
  <c r="P325" i="1"/>
  <c r="AR325" i="2"/>
  <c r="O325" i="1"/>
  <c r="AQ325" i="2"/>
  <c r="AP325" i="2"/>
  <c r="AO325" i="2"/>
  <c r="AN325" i="2"/>
  <c r="K325" i="1"/>
  <c r="AM325" i="2"/>
  <c r="J325" i="1"/>
  <c r="AL325" i="2"/>
  <c r="I325" i="1"/>
  <c r="AK325" i="2"/>
  <c r="AJ325" i="2"/>
  <c r="AI325" i="2"/>
  <c r="AH325" i="2"/>
  <c r="E325" i="1"/>
  <c r="AG325" i="2"/>
  <c r="D325" i="1"/>
  <c r="AF325" i="2"/>
  <c r="C325" i="1"/>
  <c r="AE325" i="2"/>
  <c r="AD325" i="2"/>
  <c r="AA325" i="2"/>
  <c r="Z325" i="2"/>
  <c r="S324" i="1"/>
  <c r="AU324" i="2"/>
  <c r="R324" i="1"/>
  <c r="AT324" i="2"/>
  <c r="Q324" i="1"/>
  <c r="AS324" i="2"/>
  <c r="P324" i="1"/>
  <c r="AR324" i="2"/>
  <c r="O324" i="1"/>
  <c r="AQ324" i="2"/>
  <c r="AP324" i="2"/>
  <c r="AO324" i="2"/>
  <c r="AN324" i="2"/>
  <c r="K324" i="1"/>
  <c r="AM324" i="2"/>
  <c r="J324" i="1"/>
  <c r="AL324" i="2"/>
  <c r="I324" i="1"/>
  <c r="AK324" i="2"/>
  <c r="AJ324" i="2"/>
  <c r="AI324" i="2"/>
  <c r="AH324" i="2"/>
  <c r="E324" i="1"/>
  <c r="AG324" i="2"/>
  <c r="D324" i="1"/>
  <c r="AF324" i="2"/>
  <c r="C324" i="1"/>
  <c r="AE324" i="2"/>
  <c r="AD324" i="2"/>
  <c r="AA324" i="2"/>
  <c r="Z324" i="2"/>
  <c r="S323" i="1"/>
  <c r="AU323" i="2"/>
  <c r="R323" i="1"/>
  <c r="AT323" i="2"/>
  <c r="Q323" i="1"/>
  <c r="AS323" i="2"/>
  <c r="P323" i="1"/>
  <c r="AR323" i="2"/>
  <c r="O323" i="1"/>
  <c r="AQ323" i="2"/>
  <c r="AP323" i="2"/>
  <c r="AO323" i="2"/>
  <c r="AN323" i="2"/>
  <c r="K323" i="1"/>
  <c r="AM323" i="2"/>
  <c r="J323" i="1"/>
  <c r="AL323" i="2"/>
  <c r="I323" i="1"/>
  <c r="AK323" i="2"/>
  <c r="AJ323" i="2"/>
  <c r="AI323" i="2"/>
  <c r="AH323" i="2"/>
  <c r="E323" i="1"/>
  <c r="AG323" i="2"/>
  <c r="D323" i="1"/>
  <c r="AF323" i="2"/>
  <c r="C323" i="1"/>
  <c r="AE323" i="2"/>
  <c r="AD323" i="2"/>
  <c r="AA323" i="2"/>
  <c r="Z323" i="2"/>
  <c r="S322" i="1"/>
  <c r="AU322" i="2"/>
  <c r="R322" i="1"/>
  <c r="AT322" i="2"/>
  <c r="Q322" i="1"/>
  <c r="AS322" i="2"/>
  <c r="P322" i="1"/>
  <c r="AR322" i="2"/>
  <c r="O322" i="1"/>
  <c r="AQ322" i="2"/>
  <c r="AP322" i="2"/>
  <c r="AO322" i="2"/>
  <c r="AN322" i="2"/>
  <c r="K322" i="1"/>
  <c r="AM322" i="2"/>
  <c r="J322" i="1"/>
  <c r="AL322" i="2"/>
  <c r="I322" i="1"/>
  <c r="AK322" i="2"/>
  <c r="AJ322" i="2"/>
  <c r="AI322" i="2"/>
  <c r="AH322" i="2"/>
  <c r="E322" i="1"/>
  <c r="AG322" i="2"/>
  <c r="D322" i="1"/>
  <c r="AF322" i="2"/>
  <c r="C322" i="1"/>
  <c r="AE322" i="2"/>
  <c r="AD322" i="2"/>
  <c r="AA322" i="2"/>
  <c r="Z322" i="2"/>
  <c r="S321" i="1"/>
  <c r="AU321" i="2"/>
  <c r="R321" i="1"/>
  <c r="AT321" i="2"/>
  <c r="Q321" i="1"/>
  <c r="AS321" i="2"/>
  <c r="P321" i="1"/>
  <c r="AR321" i="2"/>
  <c r="O321" i="1"/>
  <c r="AQ321" i="2"/>
  <c r="AP321" i="2"/>
  <c r="AO321" i="2"/>
  <c r="AN321" i="2"/>
  <c r="K321" i="1"/>
  <c r="AM321" i="2"/>
  <c r="J321" i="1"/>
  <c r="AL321" i="2"/>
  <c r="I321" i="1"/>
  <c r="AK321" i="2"/>
  <c r="AJ321" i="2"/>
  <c r="AI321" i="2"/>
  <c r="AH321" i="2"/>
  <c r="E321" i="1"/>
  <c r="AG321" i="2"/>
  <c r="D321" i="1"/>
  <c r="AF321" i="2"/>
  <c r="C321" i="1"/>
  <c r="AE321" i="2"/>
  <c r="AD321" i="2"/>
  <c r="AA321" i="2"/>
  <c r="Z321" i="2"/>
  <c r="S320" i="1"/>
  <c r="AU320" i="2"/>
  <c r="R320" i="1"/>
  <c r="AT320" i="2"/>
  <c r="Q320" i="1"/>
  <c r="AS320" i="2"/>
  <c r="P320" i="1"/>
  <c r="AR320" i="2"/>
  <c r="O320" i="1"/>
  <c r="AQ320" i="2"/>
  <c r="AP320" i="2"/>
  <c r="AO320" i="2"/>
  <c r="AN320" i="2"/>
  <c r="K320" i="1"/>
  <c r="AM320" i="2"/>
  <c r="J320" i="1"/>
  <c r="AL320" i="2"/>
  <c r="I320" i="1"/>
  <c r="AK320" i="2"/>
  <c r="AJ320" i="2"/>
  <c r="AI320" i="2"/>
  <c r="AH320" i="2"/>
  <c r="E320" i="1"/>
  <c r="AG320" i="2"/>
  <c r="D320" i="1"/>
  <c r="AF320" i="2"/>
  <c r="C320" i="1"/>
  <c r="AE320" i="2"/>
  <c r="AD320" i="2"/>
  <c r="AA320" i="2"/>
  <c r="Z320" i="2"/>
  <c r="S319" i="1"/>
  <c r="AU319" i="2"/>
  <c r="R319" i="1"/>
  <c r="AT319" i="2"/>
  <c r="Q319" i="1"/>
  <c r="AS319" i="2"/>
  <c r="P319" i="1"/>
  <c r="AR319" i="2"/>
  <c r="O319" i="1"/>
  <c r="AQ319" i="2"/>
  <c r="AP319" i="2"/>
  <c r="AO319" i="2"/>
  <c r="AN319" i="2"/>
  <c r="K319" i="1"/>
  <c r="AM319" i="2"/>
  <c r="J319" i="1"/>
  <c r="AL319" i="2"/>
  <c r="I319" i="1"/>
  <c r="AK319" i="2"/>
  <c r="AJ319" i="2"/>
  <c r="AI319" i="2"/>
  <c r="AH319" i="2"/>
  <c r="E319" i="1"/>
  <c r="AG319" i="2"/>
  <c r="D319" i="1"/>
  <c r="AF319" i="2"/>
  <c r="C319" i="1"/>
  <c r="AE319" i="2"/>
  <c r="AD319" i="2"/>
  <c r="AA319" i="2"/>
  <c r="Z319" i="2"/>
  <c r="S318" i="1"/>
  <c r="AU318" i="2"/>
  <c r="R318" i="1"/>
  <c r="AT318" i="2"/>
  <c r="Q318" i="1"/>
  <c r="AS318" i="2"/>
  <c r="P318" i="1"/>
  <c r="AR318" i="2"/>
  <c r="O318" i="1"/>
  <c r="AQ318" i="2"/>
  <c r="AP318" i="2"/>
  <c r="AO318" i="2"/>
  <c r="AN318" i="2"/>
  <c r="K318" i="1"/>
  <c r="AM318" i="2"/>
  <c r="J318" i="1"/>
  <c r="AL318" i="2"/>
  <c r="I318" i="1"/>
  <c r="AK318" i="2"/>
  <c r="AJ318" i="2"/>
  <c r="AI318" i="2"/>
  <c r="AH318" i="2"/>
  <c r="E318" i="1"/>
  <c r="AG318" i="2"/>
  <c r="D318" i="1"/>
  <c r="AF318" i="2"/>
  <c r="C318" i="1"/>
  <c r="AE318" i="2"/>
  <c r="AD318" i="2"/>
  <c r="AA318" i="2"/>
  <c r="Z318" i="2"/>
  <c r="S317" i="1"/>
  <c r="AU317" i="2"/>
  <c r="R317" i="1"/>
  <c r="AT317" i="2"/>
  <c r="Q317" i="1"/>
  <c r="AS317" i="2"/>
  <c r="P317" i="1"/>
  <c r="AR317" i="2"/>
  <c r="O317" i="1"/>
  <c r="AQ317" i="2"/>
  <c r="AP317" i="2"/>
  <c r="AO317" i="2"/>
  <c r="AN317" i="2"/>
  <c r="K317" i="1"/>
  <c r="AM317" i="2"/>
  <c r="J317" i="1"/>
  <c r="AL317" i="2"/>
  <c r="I317" i="1"/>
  <c r="AK317" i="2"/>
  <c r="AJ317" i="2"/>
  <c r="AI317" i="2"/>
  <c r="AH317" i="2"/>
  <c r="E317" i="1"/>
  <c r="AG317" i="2"/>
  <c r="D317" i="1"/>
  <c r="AF317" i="2"/>
  <c r="C317" i="1"/>
  <c r="AE317" i="2"/>
  <c r="AD317" i="2"/>
  <c r="AA317" i="2"/>
  <c r="Z317" i="2"/>
  <c r="S316" i="1"/>
  <c r="AU316" i="2"/>
  <c r="R316" i="1"/>
  <c r="AT316" i="2"/>
  <c r="Q316" i="1"/>
  <c r="AS316" i="2"/>
  <c r="P316" i="1"/>
  <c r="AR316" i="2"/>
  <c r="O316" i="1"/>
  <c r="AQ316" i="2"/>
  <c r="AP316" i="2"/>
  <c r="AO316" i="2"/>
  <c r="AN316" i="2"/>
  <c r="K316" i="1"/>
  <c r="AM316" i="2"/>
  <c r="J316" i="1"/>
  <c r="AL316" i="2"/>
  <c r="I316" i="1"/>
  <c r="AK316" i="2"/>
  <c r="AJ316" i="2"/>
  <c r="AI316" i="2"/>
  <c r="AH316" i="2"/>
  <c r="E316" i="1"/>
  <c r="AG316" i="2"/>
  <c r="D316" i="1"/>
  <c r="AF316" i="2"/>
  <c r="C316" i="1"/>
  <c r="AE316" i="2"/>
  <c r="AD316" i="2"/>
  <c r="AA316" i="2"/>
  <c r="Z316" i="2"/>
  <c r="S315" i="1"/>
  <c r="AU315" i="2"/>
  <c r="R315" i="1"/>
  <c r="AT315" i="2"/>
  <c r="Q315" i="1"/>
  <c r="AS315" i="2"/>
  <c r="P315" i="1"/>
  <c r="AR315" i="2"/>
  <c r="O315" i="1"/>
  <c r="AQ315" i="2"/>
  <c r="AP315" i="2"/>
  <c r="AO315" i="2"/>
  <c r="AN315" i="2"/>
  <c r="K315" i="1"/>
  <c r="AM315" i="2"/>
  <c r="J315" i="1"/>
  <c r="AL315" i="2"/>
  <c r="I315" i="1"/>
  <c r="AK315" i="2"/>
  <c r="AJ315" i="2"/>
  <c r="AI315" i="2"/>
  <c r="AH315" i="2"/>
  <c r="E315" i="1"/>
  <c r="AG315" i="2"/>
  <c r="D315" i="1"/>
  <c r="AF315" i="2"/>
  <c r="C315" i="1"/>
  <c r="AE315" i="2"/>
  <c r="AD315" i="2"/>
  <c r="AA315" i="2"/>
  <c r="Z315" i="2"/>
  <c r="S314" i="1"/>
  <c r="AU314" i="2"/>
  <c r="R314" i="1"/>
  <c r="AT314" i="2"/>
  <c r="Q314" i="1"/>
  <c r="AS314" i="2"/>
  <c r="P314" i="1"/>
  <c r="AR314" i="2"/>
  <c r="O314" i="1"/>
  <c r="AQ314" i="2"/>
  <c r="AP314" i="2"/>
  <c r="AO314" i="2"/>
  <c r="AN314" i="2"/>
  <c r="K314" i="1"/>
  <c r="AM314" i="2"/>
  <c r="J314" i="1"/>
  <c r="AL314" i="2"/>
  <c r="I314" i="1"/>
  <c r="AK314" i="2"/>
  <c r="AJ314" i="2"/>
  <c r="AI314" i="2"/>
  <c r="AH314" i="2"/>
  <c r="E314" i="1"/>
  <c r="AG314" i="2"/>
  <c r="D314" i="1"/>
  <c r="AF314" i="2"/>
  <c r="C314" i="1"/>
  <c r="AE314" i="2"/>
  <c r="AD314" i="2"/>
  <c r="AA314" i="2"/>
  <c r="Z314" i="2"/>
  <c r="S313" i="1"/>
  <c r="AU313" i="2"/>
  <c r="R313" i="1"/>
  <c r="AT313" i="2"/>
  <c r="Q313" i="1"/>
  <c r="AS313" i="2"/>
  <c r="P313" i="1"/>
  <c r="AR313" i="2"/>
  <c r="O313" i="1"/>
  <c r="AQ313" i="2"/>
  <c r="AP313" i="2"/>
  <c r="AO313" i="2"/>
  <c r="AN313" i="2"/>
  <c r="K313" i="1"/>
  <c r="AM313" i="2"/>
  <c r="J313" i="1"/>
  <c r="AL313" i="2"/>
  <c r="I313" i="1"/>
  <c r="AK313" i="2"/>
  <c r="AJ313" i="2"/>
  <c r="AI313" i="2"/>
  <c r="AH313" i="2"/>
  <c r="E313" i="1"/>
  <c r="AG313" i="2"/>
  <c r="D313" i="1"/>
  <c r="AF313" i="2"/>
  <c r="C313" i="1"/>
  <c r="AE313" i="2"/>
  <c r="AD313" i="2"/>
  <c r="AA313" i="2"/>
  <c r="Z313" i="2"/>
  <c r="S312" i="1"/>
  <c r="AU312" i="2"/>
  <c r="R312" i="1"/>
  <c r="AT312" i="2"/>
  <c r="Q312" i="1"/>
  <c r="AS312" i="2"/>
  <c r="P312" i="1"/>
  <c r="AR312" i="2"/>
  <c r="O312" i="1"/>
  <c r="AQ312" i="2"/>
  <c r="AP312" i="2"/>
  <c r="AO312" i="2"/>
  <c r="AN312" i="2"/>
  <c r="K312" i="1"/>
  <c r="AM312" i="2"/>
  <c r="J312" i="1"/>
  <c r="AL312" i="2"/>
  <c r="I312" i="1"/>
  <c r="AK312" i="2"/>
  <c r="AJ312" i="2"/>
  <c r="AI312" i="2"/>
  <c r="AH312" i="2"/>
  <c r="E312" i="1"/>
  <c r="AG312" i="2"/>
  <c r="D312" i="1"/>
  <c r="AF312" i="2"/>
  <c r="C312" i="1"/>
  <c r="AE312" i="2"/>
  <c r="AD312" i="2"/>
  <c r="AA312" i="2"/>
  <c r="Z312" i="2"/>
  <c r="S311" i="1"/>
  <c r="AU311" i="2"/>
  <c r="R311" i="1"/>
  <c r="AT311" i="2"/>
  <c r="Q311" i="1"/>
  <c r="AS311" i="2"/>
  <c r="P311" i="1"/>
  <c r="AR311" i="2"/>
  <c r="O311" i="1"/>
  <c r="AQ311" i="2"/>
  <c r="AP311" i="2"/>
  <c r="AO311" i="2"/>
  <c r="AN311" i="2"/>
  <c r="K311" i="1"/>
  <c r="AM311" i="2"/>
  <c r="J311" i="1"/>
  <c r="AL311" i="2"/>
  <c r="I311" i="1"/>
  <c r="AK311" i="2"/>
  <c r="AJ311" i="2"/>
  <c r="AI311" i="2"/>
  <c r="AH311" i="2"/>
  <c r="E311" i="1"/>
  <c r="AG311" i="2"/>
  <c r="D311" i="1"/>
  <c r="AF311" i="2"/>
  <c r="C311" i="1"/>
  <c r="AE311" i="2"/>
  <c r="AD311" i="2"/>
  <c r="AA311" i="2"/>
  <c r="Z311" i="2"/>
  <c r="S310" i="1"/>
  <c r="AU310" i="2"/>
  <c r="R310" i="1"/>
  <c r="AT310" i="2"/>
  <c r="Q310" i="1"/>
  <c r="AS310" i="2"/>
  <c r="P310" i="1"/>
  <c r="AR310" i="2"/>
  <c r="O310" i="1"/>
  <c r="AQ310" i="2"/>
  <c r="AP310" i="2"/>
  <c r="AO310" i="2"/>
  <c r="AN310" i="2"/>
  <c r="K310" i="1"/>
  <c r="AM310" i="2"/>
  <c r="J310" i="1"/>
  <c r="AL310" i="2"/>
  <c r="I310" i="1"/>
  <c r="AK310" i="2"/>
  <c r="AJ310" i="2"/>
  <c r="AI310" i="2"/>
  <c r="AH310" i="2"/>
  <c r="E310" i="1"/>
  <c r="AG310" i="2"/>
  <c r="D310" i="1"/>
  <c r="AF310" i="2"/>
  <c r="C310" i="1"/>
  <c r="AE310" i="2"/>
  <c r="AD310" i="2"/>
  <c r="AA310" i="2"/>
  <c r="Z310" i="2"/>
  <c r="S309" i="1"/>
  <c r="AU309" i="2"/>
  <c r="R309" i="1"/>
  <c r="AT309" i="2"/>
  <c r="Q309" i="1"/>
  <c r="AS309" i="2"/>
  <c r="P309" i="1"/>
  <c r="AR309" i="2"/>
  <c r="O309" i="1"/>
  <c r="AQ309" i="2"/>
  <c r="AP309" i="2"/>
  <c r="AO309" i="2"/>
  <c r="AN309" i="2"/>
  <c r="K309" i="1"/>
  <c r="AM309" i="2"/>
  <c r="J309" i="1"/>
  <c r="AL309" i="2"/>
  <c r="I309" i="1"/>
  <c r="AK309" i="2"/>
  <c r="AJ309" i="2"/>
  <c r="AI309" i="2"/>
  <c r="AH309" i="2"/>
  <c r="E309" i="1"/>
  <c r="AG309" i="2"/>
  <c r="D309" i="1"/>
  <c r="AF309" i="2"/>
  <c r="C309" i="1"/>
  <c r="AE309" i="2"/>
  <c r="AD309" i="2"/>
  <c r="AA309" i="2"/>
  <c r="Z309" i="2"/>
  <c r="S308" i="1"/>
  <c r="AU308" i="2"/>
  <c r="R308" i="1"/>
  <c r="AT308" i="2"/>
  <c r="Q308" i="1"/>
  <c r="AS308" i="2"/>
  <c r="P308" i="1"/>
  <c r="AR308" i="2"/>
  <c r="O308" i="1"/>
  <c r="AQ308" i="2"/>
  <c r="AP308" i="2"/>
  <c r="AO308" i="2"/>
  <c r="AN308" i="2"/>
  <c r="K308" i="1"/>
  <c r="AM308" i="2"/>
  <c r="J308" i="1"/>
  <c r="AL308" i="2"/>
  <c r="I308" i="1"/>
  <c r="AK308" i="2"/>
  <c r="AJ308" i="2"/>
  <c r="AI308" i="2"/>
  <c r="AH308" i="2"/>
  <c r="E308" i="1"/>
  <c r="AG308" i="2"/>
  <c r="D308" i="1"/>
  <c r="AF308" i="2"/>
  <c r="C308" i="1"/>
  <c r="AE308" i="2"/>
  <c r="AD308" i="2"/>
  <c r="AA308" i="2"/>
  <c r="Z308" i="2"/>
  <c r="S307" i="1"/>
  <c r="AU307" i="2"/>
  <c r="R307" i="1"/>
  <c r="AT307" i="2"/>
  <c r="Q307" i="1"/>
  <c r="AS307" i="2"/>
  <c r="P307" i="1"/>
  <c r="AR307" i="2"/>
  <c r="O307" i="1"/>
  <c r="AQ307" i="2"/>
  <c r="AP307" i="2"/>
  <c r="AO307" i="2"/>
  <c r="AN307" i="2"/>
  <c r="K307" i="1"/>
  <c r="AM307" i="2"/>
  <c r="J307" i="1"/>
  <c r="AL307" i="2"/>
  <c r="I307" i="1"/>
  <c r="AK307" i="2"/>
  <c r="AJ307" i="2"/>
  <c r="AI307" i="2"/>
  <c r="AH307" i="2"/>
  <c r="E307" i="1"/>
  <c r="AG307" i="2"/>
  <c r="D307" i="1"/>
  <c r="AF307" i="2"/>
  <c r="C307" i="1"/>
  <c r="AE307" i="2"/>
  <c r="AD307" i="2"/>
  <c r="AA307" i="2"/>
  <c r="Z307" i="2"/>
  <c r="S306" i="1"/>
  <c r="AU306" i="2"/>
  <c r="R306" i="1"/>
  <c r="AT306" i="2"/>
  <c r="Q306" i="1"/>
  <c r="AS306" i="2"/>
  <c r="P306" i="1"/>
  <c r="AR306" i="2"/>
  <c r="O306" i="1"/>
  <c r="AQ306" i="2"/>
  <c r="AP306" i="2"/>
  <c r="AO306" i="2"/>
  <c r="AN306" i="2"/>
  <c r="K306" i="1"/>
  <c r="AM306" i="2"/>
  <c r="J306" i="1"/>
  <c r="AL306" i="2"/>
  <c r="I306" i="1"/>
  <c r="AK306" i="2"/>
  <c r="AJ306" i="2"/>
  <c r="AI306" i="2"/>
  <c r="AH306" i="2"/>
  <c r="E306" i="1"/>
  <c r="AG306" i="2"/>
  <c r="D306" i="1"/>
  <c r="AF306" i="2"/>
  <c r="C306" i="1"/>
  <c r="AE306" i="2"/>
  <c r="AD306" i="2"/>
  <c r="AA306" i="2"/>
  <c r="Z306" i="2"/>
  <c r="S305" i="1"/>
  <c r="AU305" i="2"/>
  <c r="R305" i="1"/>
  <c r="AT305" i="2"/>
  <c r="Q305" i="1"/>
  <c r="AS305" i="2"/>
  <c r="P305" i="1"/>
  <c r="AR305" i="2"/>
  <c r="O305" i="1"/>
  <c r="AQ305" i="2"/>
  <c r="AP305" i="2"/>
  <c r="AO305" i="2"/>
  <c r="AN305" i="2"/>
  <c r="K305" i="1"/>
  <c r="AM305" i="2"/>
  <c r="J305" i="1"/>
  <c r="AL305" i="2"/>
  <c r="I305" i="1"/>
  <c r="AK305" i="2"/>
  <c r="AJ305" i="2"/>
  <c r="AI305" i="2"/>
  <c r="AH305" i="2"/>
  <c r="E305" i="1"/>
  <c r="AG305" i="2"/>
  <c r="D305" i="1"/>
  <c r="AF305" i="2"/>
  <c r="C305" i="1"/>
  <c r="AE305" i="2"/>
  <c r="AD305" i="2"/>
  <c r="AA305" i="2"/>
  <c r="Z305" i="2"/>
  <c r="S304" i="1"/>
  <c r="AU304" i="2"/>
  <c r="R304" i="1"/>
  <c r="AT304" i="2"/>
  <c r="Q304" i="1"/>
  <c r="AS304" i="2"/>
  <c r="P304" i="1"/>
  <c r="AR304" i="2"/>
  <c r="O304" i="1"/>
  <c r="AQ304" i="2"/>
  <c r="AP304" i="2"/>
  <c r="AO304" i="2"/>
  <c r="AN304" i="2"/>
  <c r="K304" i="1"/>
  <c r="AM304" i="2"/>
  <c r="J304" i="1"/>
  <c r="AL304" i="2"/>
  <c r="I304" i="1"/>
  <c r="AK304" i="2"/>
  <c r="AJ304" i="2"/>
  <c r="AI304" i="2"/>
  <c r="AH304" i="2"/>
  <c r="E304" i="1"/>
  <c r="AG304" i="2"/>
  <c r="D304" i="1"/>
  <c r="AF304" i="2"/>
  <c r="C304" i="1"/>
  <c r="AE304" i="2"/>
  <c r="AD304" i="2"/>
  <c r="AA304" i="2"/>
  <c r="Z304" i="2"/>
  <c r="S303" i="1"/>
  <c r="AU303" i="2"/>
  <c r="R303" i="1"/>
  <c r="AT303" i="2"/>
  <c r="Q303" i="1"/>
  <c r="AS303" i="2"/>
  <c r="P303" i="1"/>
  <c r="AR303" i="2"/>
  <c r="O303" i="1"/>
  <c r="AQ303" i="2"/>
  <c r="AP303" i="2"/>
  <c r="AO303" i="2"/>
  <c r="AN303" i="2"/>
  <c r="K303" i="1"/>
  <c r="AM303" i="2"/>
  <c r="J303" i="1"/>
  <c r="AL303" i="2"/>
  <c r="I303" i="1"/>
  <c r="AK303" i="2"/>
  <c r="AJ303" i="2"/>
  <c r="AI303" i="2"/>
  <c r="AH303" i="2"/>
  <c r="E303" i="1"/>
  <c r="AG303" i="2"/>
  <c r="D303" i="1"/>
  <c r="AF303" i="2"/>
  <c r="C303" i="1"/>
  <c r="AE303" i="2"/>
  <c r="AD303" i="2"/>
  <c r="AA303" i="2"/>
  <c r="Z303" i="2"/>
  <c r="S302" i="1"/>
  <c r="AU302" i="2"/>
  <c r="R302" i="1"/>
  <c r="AT302" i="2"/>
  <c r="Q302" i="1"/>
  <c r="AS302" i="2"/>
  <c r="P302" i="1"/>
  <c r="AR302" i="2"/>
  <c r="O302" i="1"/>
  <c r="AQ302" i="2"/>
  <c r="AP302" i="2"/>
  <c r="AO302" i="2"/>
  <c r="AN302" i="2"/>
  <c r="K302" i="1"/>
  <c r="AM302" i="2"/>
  <c r="J302" i="1"/>
  <c r="AL302" i="2"/>
  <c r="I302" i="1"/>
  <c r="AK302" i="2"/>
  <c r="AJ302" i="2"/>
  <c r="AI302" i="2"/>
  <c r="AH302" i="2"/>
  <c r="E302" i="1"/>
  <c r="AG302" i="2"/>
  <c r="D302" i="1"/>
  <c r="AF302" i="2"/>
  <c r="C302" i="1"/>
  <c r="AE302" i="2"/>
  <c r="AD302" i="2"/>
  <c r="AA302" i="2"/>
  <c r="Z302" i="2"/>
  <c r="S301" i="1"/>
  <c r="AU301" i="2"/>
  <c r="R301" i="1"/>
  <c r="AT301" i="2"/>
  <c r="Q301" i="1"/>
  <c r="AS301" i="2"/>
  <c r="P301" i="1"/>
  <c r="AR301" i="2"/>
  <c r="O301" i="1"/>
  <c r="AQ301" i="2"/>
  <c r="AP301" i="2"/>
  <c r="AO301" i="2"/>
  <c r="AN301" i="2"/>
  <c r="K301" i="1"/>
  <c r="AM301" i="2"/>
  <c r="J301" i="1"/>
  <c r="AL301" i="2"/>
  <c r="I301" i="1"/>
  <c r="AK301" i="2"/>
  <c r="AJ301" i="2"/>
  <c r="AI301" i="2"/>
  <c r="AH301" i="2"/>
  <c r="E301" i="1"/>
  <c r="AG301" i="2"/>
  <c r="D301" i="1"/>
  <c r="AF301" i="2"/>
  <c r="C301" i="1"/>
  <c r="AE301" i="2"/>
  <c r="AD301" i="2"/>
  <c r="AA301" i="2"/>
  <c r="Z301" i="2"/>
  <c r="S300" i="1"/>
  <c r="AU300" i="2"/>
  <c r="R300" i="1"/>
  <c r="AT300" i="2"/>
  <c r="Q300" i="1"/>
  <c r="AS300" i="2"/>
  <c r="P300" i="1"/>
  <c r="AR300" i="2"/>
  <c r="O300" i="1"/>
  <c r="AQ300" i="2"/>
  <c r="AP300" i="2"/>
  <c r="AO300" i="2"/>
  <c r="AN300" i="2"/>
  <c r="K300" i="1"/>
  <c r="AM300" i="2"/>
  <c r="J300" i="1"/>
  <c r="AL300" i="2"/>
  <c r="I300" i="1"/>
  <c r="AK300" i="2"/>
  <c r="AJ300" i="2"/>
  <c r="AI300" i="2"/>
  <c r="AH300" i="2"/>
  <c r="E300" i="1"/>
  <c r="AG300" i="2"/>
  <c r="D300" i="1"/>
  <c r="AF300" i="2"/>
  <c r="C300" i="1"/>
  <c r="AE300" i="2"/>
  <c r="AD300" i="2"/>
  <c r="AA300" i="2"/>
  <c r="Z300" i="2"/>
  <c r="S299" i="1"/>
  <c r="AU299" i="2"/>
  <c r="R299" i="1"/>
  <c r="AT299" i="2"/>
  <c r="Q299" i="1"/>
  <c r="AS299" i="2"/>
  <c r="P299" i="1"/>
  <c r="AR299" i="2"/>
  <c r="O299" i="1"/>
  <c r="AQ299" i="2"/>
  <c r="AP299" i="2"/>
  <c r="AO299" i="2"/>
  <c r="AN299" i="2"/>
  <c r="K299" i="1"/>
  <c r="AM299" i="2"/>
  <c r="J299" i="1"/>
  <c r="AL299" i="2"/>
  <c r="I299" i="1"/>
  <c r="AK299" i="2"/>
  <c r="AJ299" i="2"/>
  <c r="AI299" i="2"/>
  <c r="AH299" i="2"/>
  <c r="E299" i="1"/>
  <c r="AG299" i="2"/>
  <c r="D299" i="1"/>
  <c r="AF299" i="2"/>
  <c r="C299" i="1"/>
  <c r="AE299" i="2"/>
  <c r="AD299" i="2"/>
  <c r="AA299" i="2"/>
  <c r="Z299" i="2"/>
  <c r="S298" i="1"/>
  <c r="AU298" i="2"/>
  <c r="R298" i="1"/>
  <c r="AT298" i="2"/>
  <c r="Q298" i="1"/>
  <c r="AS298" i="2"/>
  <c r="P298" i="1"/>
  <c r="AR298" i="2"/>
  <c r="O298" i="1"/>
  <c r="AQ298" i="2"/>
  <c r="AP298" i="2"/>
  <c r="AO298" i="2"/>
  <c r="AN298" i="2"/>
  <c r="K298" i="1"/>
  <c r="AM298" i="2"/>
  <c r="J298" i="1"/>
  <c r="AL298" i="2"/>
  <c r="I298" i="1"/>
  <c r="AK298" i="2"/>
  <c r="AJ298" i="2"/>
  <c r="AI298" i="2"/>
  <c r="AH298" i="2"/>
  <c r="E298" i="1"/>
  <c r="AG298" i="2"/>
  <c r="D298" i="1"/>
  <c r="AF298" i="2"/>
  <c r="C298" i="1"/>
  <c r="AE298" i="2"/>
  <c r="AD298" i="2"/>
  <c r="AA298" i="2"/>
  <c r="Z298" i="2"/>
  <c r="S297" i="1"/>
  <c r="AU297" i="2"/>
  <c r="R297" i="1"/>
  <c r="AT297" i="2"/>
  <c r="Q297" i="1"/>
  <c r="AS297" i="2"/>
  <c r="P297" i="1"/>
  <c r="AR297" i="2"/>
  <c r="O297" i="1"/>
  <c r="AQ297" i="2"/>
  <c r="AP297" i="2"/>
  <c r="AO297" i="2"/>
  <c r="AN297" i="2"/>
  <c r="K297" i="1"/>
  <c r="AM297" i="2"/>
  <c r="J297" i="1"/>
  <c r="AL297" i="2"/>
  <c r="I297" i="1"/>
  <c r="AK297" i="2"/>
  <c r="AJ297" i="2"/>
  <c r="AI297" i="2"/>
  <c r="AH297" i="2"/>
  <c r="E297" i="1"/>
  <c r="AG297" i="2"/>
  <c r="D297" i="1"/>
  <c r="AF297" i="2"/>
  <c r="C297" i="1"/>
  <c r="AE297" i="2"/>
  <c r="AD297" i="2"/>
  <c r="AA297" i="2"/>
  <c r="Z297" i="2"/>
  <c r="S296" i="1"/>
  <c r="AU296" i="2"/>
  <c r="R296" i="1"/>
  <c r="AT296" i="2"/>
  <c r="Q296" i="1"/>
  <c r="AS296" i="2"/>
  <c r="P296" i="1"/>
  <c r="AR296" i="2"/>
  <c r="O296" i="1"/>
  <c r="AQ296" i="2"/>
  <c r="AP296" i="2"/>
  <c r="AO296" i="2"/>
  <c r="AN296" i="2"/>
  <c r="K296" i="1"/>
  <c r="AM296" i="2"/>
  <c r="J296" i="1"/>
  <c r="AL296" i="2"/>
  <c r="I296" i="1"/>
  <c r="AK296" i="2"/>
  <c r="AJ296" i="2"/>
  <c r="AI296" i="2"/>
  <c r="AH296" i="2"/>
  <c r="E296" i="1"/>
  <c r="AG296" i="2"/>
  <c r="D296" i="1"/>
  <c r="AF296" i="2"/>
  <c r="C296" i="1"/>
  <c r="AE296" i="2"/>
  <c r="AD296" i="2"/>
  <c r="AA296" i="2"/>
  <c r="Z296" i="2"/>
  <c r="S295" i="1"/>
  <c r="AU295" i="2"/>
  <c r="R295" i="1"/>
  <c r="AT295" i="2"/>
  <c r="Q295" i="1"/>
  <c r="AS295" i="2"/>
  <c r="P295" i="1"/>
  <c r="AR295" i="2"/>
  <c r="O295" i="1"/>
  <c r="AQ295" i="2"/>
  <c r="AP295" i="2"/>
  <c r="AO295" i="2"/>
  <c r="AN295" i="2"/>
  <c r="K295" i="1"/>
  <c r="AM295" i="2"/>
  <c r="J295" i="1"/>
  <c r="AL295" i="2"/>
  <c r="I295" i="1"/>
  <c r="AK295" i="2"/>
  <c r="AJ295" i="2"/>
  <c r="AI295" i="2"/>
  <c r="AH295" i="2"/>
  <c r="E295" i="1"/>
  <c r="AG295" i="2"/>
  <c r="D295" i="1"/>
  <c r="AF295" i="2"/>
  <c r="C295" i="1"/>
  <c r="AE295" i="2"/>
  <c r="AD295" i="2"/>
  <c r="AA295" i="2"/>
  <c r="Z295" i="2"/>
  <c r="S294" i="1"/>
  <c r="AU294" i="2"/>
  <c r="R294" i="1"/>
  <c r="AT294" i="2"/>
  <c r="Q294" i="1"/>
  <c r="AS294" i="2"/>
  <c r="P294" i="1"/>
  <c r="AR294" i="2"/>
  <c r="O294" i="1"/>
  <c r="AQ294" i="2"/>
  <c r="AP294" i="2"/>
  <c r="AO294" i="2"/>
  <c r="AN294" i="2"/>
  <c r="K294" i="1"/>
  <c r="AM294" i="2"/>
  <c r="J294" i="1"/>
  <c r="AL294" i="2"/>
  <c r="I294" i="1"/>
  <c r="AK294" i="2"/>
  <c r="AJ294" i="2"/>
  <c r="AI294" i="2"/>
  <c r="AH294" i="2"/>
  <c r="E294" i="1"/>
  <c r="AG294" i="2"/>
  <c r="D294" i="1"/>
  <c r="AF294" i="2"/>
  <c r="C294" i="1"/>
  <c r="AE294" i="2"/>
  <c r="AD294" i="2"/>
  <c r="AA294" i="2"/>
  <c r="Z294" i="2"/>
  <c r="S293" i="1"/>
  <c r="AU293" i="2"/>
  <c r="R293" i="1"/>
  <c r="AT293" i="2"/>
  <c r="Q293" i="1"/>
  <c r="AS293" i="2"/>
  <c r="P293" i="1"/>
  <c r="AR293" i="2"/>
  <c r="O293" i="1"/>
  <c r="AQ293" i="2"/>
  <c r="AP293" i="2"/>
  <c r="AO293" i="2"/>
  <c r="AN293" i="2"/>
  <c r="K293" i="1"/>
  <c r="AM293" i="2"/>
  <c r="J293" i="1"/>
  <c r="AL293" i="2"/>
  <c r="I293" i="1"/>
  <c r="AK293" i="2"/>
  <c r="AJ293" i="2"/>
  <c r="AI293" i="2"/>
  <c r="AH293" i="2"/>
  <c r="E293" i="1"/>
  <c r="AG293" i="2"/>
  <c r="D293" i="1"/>
  <c r="AF293" i="2"/>
  <c r="C293" i="1"/>
  <c r="AE293" i="2"/>
  <c r="AD293" i="2"/>
  <c r="AA293" i="2"/>
  <c r="Z293" i="2"/>
  <c r="S292" i="1"/>
  <c r="AU292" i="2"/>
  <c r="R292" i="1"/>
  <c r="AT292" i="2"/>
  <c r="Q292" i="1"/>
  <c r="AS292" i="2"/>
  <c r="P292" i="1"/>
  <c r="AR292" i="2"/>
  <c r="O292" i="1"/>
  <c r="AQ292" i="2"/>
  <c r="AP292" i="2"/>
  <c r="AO292" i="2"/>
  <c r="AN292" i="2"/>
  <c r="K292" i="1"/>
  <c r="AM292" i="2"/>
  <c r="J292" i="1"/>
  <c r="AL292" i="2"/>
  <c r="I292" i="1"/>
  <c r="AK292" i="2"/>
  <c r="AJ292" i="2"/>
  <c r="AI292" i="2"/>
  <c r="AH292" i="2"/>
  <c r="E292" i="1"/>
  <c r="AG292" i="2"/>
  <c r="D292" i="1"/>
  <c r="AF292" i="2"/>
  <c r="C292" i="1"/>
  <c r="AE292" i="2"/>
  <c r="AD292" i="2"/>
  <c r="AA292" i="2"/>
  <c r="Z292" i="2"/>
  <c r="S291" i="1"/>
  <c r="AU291" i="2"/>
  <c r="R291" i="1"/>
  <c r="AT291" i="2"/>
  <c r="Q291" i="1"/>
  <c r="AS291" i="2"/>
  <c r="P291" i="1"/>
  <c r="AR291" i="2"/>
  <c r="O291" i="1"/>
  <c r="AQ291" i="2"/>
  <c r="AP291" i="2"/>
  <c r="AO291" i="2"/>
  <c r="AN291" i="2"/>
  <c r="K291" i="1"/>
  <c r="AM291" i="2"/>
  <c r="J291" i="1"/>
  <c r="AL291" i="2"/>
  <c r="I291" i="1"/>
  <c r="AK291" i="2"/>
  <c r="AJ291" i="2"/>
  <c r="AI291" i="2"/>
  <c r="AH291" i="2"/>
  <c r="E291" i="1"/>
  <c r="AG291" i="2"/>
  <c r="D291" i="1"/>
  <c r="AF291" i="2"/>
  <c r="C291" i="1"/>
  <c r="AE291" i="2"/>
  <c r="AD291" i="2"/>
  <c r="AA291" i="2"/>
  <c r="Z291" i="2"/>
  <c r="S290" i="1"/>
  <c r="AU290" i="2"/>
  <c r="R290" i="1"/>
  <c r="AT290" i="2"/>
  <c r="Q290" i="1"/>
  <c r="AS290" i="2"/>
  <c r="P290" i="1"/>
  <c r="AR290" i="2"/>
  <c r="O290" i="1"/>
  <c r="AQ290" i="2"/>
  <c r="AP290" i="2"/>
  <c r="AO290" i="2"/>
  <c r="AN290" i="2"/>
  <c r="K290" i="1"/>
  <c r="AM290" i="2"/>
  <c r="J290" i="1"/>
  <c r="AL290" i="2"/>
  <c r="I290" i="1"/>
  <c r="AK290" i="2"/>
  <c r="AJ290" i="2"/>
  <c r="AI290" i="2"/>
  <c r="AH290" i="2"/>
  <c r="E290" i="1"/>
  <c r="AG290" i="2"/>
  <c r="D290" i="1"/>
  <c r="AF290" i="2"/>
  <c r="C290" i="1"/>
  <c r="AE290" i="2"/>
  <c r="AD290" i="2"/>
  <c r="AA290" i="2"/>
  <c r="Z290" i="2"/>
  <c r="S289" i="1"/>
  <c r="AU289" i="2"/>
  <c r="R289" i="1"/>
  <c r="AT289" i="2"/>
  <c r="Q289" i="1"/>
  <c r="AS289" i="2"/>
  <c r="P289" i="1"/>
  <c r="AR289" i="2"/>
  <c r="O289" i="1"/>
  <c r="AQ289" i="2"/>
  <c r="AP289" i="2"/>
  <c r="AO289" i="2"/>
  <c r="AN289" i="2"/>
  <c r="K289" i="1"/>
  <c r="AM289" i="2"/>
  <c r="J289" i="1"/>
  <c r="AL289" i="2"/>
  <c r="I289" i="1"/>
  <c r="AK289" i="2"/>
  <c r="AJ289" i="2"/>
  <c r="AI289" i="2"/>
  <c r="AH289" i="2"/>
  <c r="E289" i="1"/>
  <c r="AG289" i="2"/>
  <c r="D289" i="1"/>
  <c r="AF289" i="2"/>
  <c r="C289" i="1"/>
  <c r="AE289" i="2"/>
  <c r="AD289" i="2"/>
  <c r="AA289" i="2"/>
  <c r="Z289" i="2"/>
  <c r="S288" i="1"/>
  <c r="AU288" i="2"/>
  <c r="R288" i="1"/>
  <c r="AT288" i="2"/>
  <c r="Q288" i="1"/>
  <c r="AS288" i="2"/>
  <c r="P288" i="1"/>
  <c r="AR288" i="2"/>
  <c r="O288" i="1"/>
  <c r="AQ288" i="2"/>
  <c r="AP288" i="2"/>
  <c r="AO288" i="2"/>
  <c r="AN288" i="2"/>
  <c r="K288" i="1"/>
  <c r="AM288" i="2"/>
  <c r="J288" i="1"/>
  <c r="AL288" i="2"/>
  <c r="I288" i="1"/>
  <c r="AK288" i="2"/>
  <c r="AJ288" i="2"/>
  <c r="AI288" i="2"/>
  <c r="AH288" i="2"/>
  <c r="E288" i="1"/>
  <c r="AG288" i="2"/>
  <c r="D288" i="1"/>
  <c r="AF288" i="2"/>
  <c r="C288" i="1"/>
  <c r="AE288" i="2"/>
  <c r="AD288" i="2"/>
  <c r="AA288" i="2"/>
  <c r="Z288" i="2"/>
  <c r="S287" i="1"/>
  <c r="AU287" i="2"/>
  <c r="R287" i="1"/>
  <c r="AT287" i="2"/>
  <c r="Q287" i="1"/>
  <c r="AS287" i="2"/>
  <c r="P287" i="1"/>
  <c r="AR287" i="2"/>
  <c r="O287" i="1"/>
  <c r="AQ287" i="2"/>
  <c r="AP287" i="2"/>
  <c r="AO287" i="2"/>
  <c r="AN287" i="2"/>
  <c r="K287" i="1"/>
  <c r="AM287" i="2"/>
  <c r="J287" i="1"/>
  <c r="AL287" i="2"/>
  <c r="I287" i="1"/>
  <c r="AK287" i="2"/>
  <c r="AJ287" i="2"/>
  <c r="AI287" i="2"/>
  <c r="AH287" i="2"/>
  <c r="E287" i="1"/>
  <c r="AG287" i="2"/>
  <c r="D287" i="1"/>
  <c r="AF287" i="2"/>
  <c r="C287" i="1"/>
  <c r="AE287" i="2"/>
  <c r="AD287" i="2"/>
  <c r="AA287" i="2"/>
  <c r="Z287" i="2"/>
  <c r="S286" i="1"/>
  <c r="AU286" i="2"/>
  <c r="R286" i="1"/>
  <c r="AT286" i="2"/>
  <c r="Q286" i="1"/>
  <c r="AS286" i="2"/>
  <c r="P286" i="1"/>
  <c r="AR286" i="2"/>
  <c r="O286" i="1"/>
  <c r="AQ286" i="2"/>
  <c r="AP286" i="2"/>
  <c r="AO286" i="2"/>
  <c r="AN286" i="2"/>
  <c r="K286" i="1"/>
  <c r="AM286" i="2"/>
  <c r="J286" i="1"/>
  <c r="AL286" i="2"/>
  <c r="I286" i="1"/>
  <c r="AK286" i="2"/>
  <c r="AJ286" i="2"/>
  <c r="AI286" i="2"/>
  <c r="AH286" i="2"/>
  <c r="E286" i="1"/>
  <c r="AG286" i="2"/>
  <c r="D286" i="1"/>
  <c r="AF286" i="2"/>
  <c r="C286" i="1"/>
  <c r="AE286" i="2"/>
  <c r="AD286" i="2"/>
  <c r="AA286" i="2"/>
  <c r="Z286" i="2"/>
  <c r="S285" i="1"/>
  <c r="AU285" i="2"/>
  <c r="R285" i="1"/>
  <c r="AT285" i="2"/>
  <c r="Q285" i="1"/>
  <c r="AS285" i="2"/>
  <c r="P285" i="1"/>
  <c r="AR285" i="2"/>
  <c r="O285" i="1"/>
  <c r="AQ285" i="2"/>
  <c r="AP285" i="2"/>
  <c r="AO285" i="2"/>
  <c r="AN285" i="2"/>
  <c r="K285" i="1"/>
  <c r="AM285" i="2"/>
  <c r="J285" i="1"/>
  <c r="AL285" i="2"/>
  <c r="I285" i="1"/>
  <c r="AK285" i="2"/>
  <c r="AJ285" i="2"/>
  <c r="AI285" i="2"/>
  <c r="AH285" i="2"/>
  <c r="E285" i="1"/>
  <c r="AG285" i="2"/>
  <c r="D285" i="1"/>
  <c r="AF285" i="2"/>
  <c r="C285" i="1"/>
  <c r="AE285" i="2"/>
  <c r="AD285" i="2"/>
  <c r="AA285" i="2"/>
  <c r="Z285" i="2"/>
  <c r="S284" i="1"/>
  <c r="AU284" i="2"/>
  <c r="R284" i="1"/>
  <c r="AT284" i="2"/>
  <c r="Q284" i="1"/>
  <c r="AS284" i="2"/>
  <c r="P284" i="1"/>
  <c r="AR284" i="2"/>
  <c r="O284" i="1"/>
  <c r="AQ284" i="2"/>
  <c r="AP284" i="2"/>
  <c r="AO284" i="2"/>
  <c r="AN284" i="2"/>
  <c r="K284" i="1"/>
  <c r="AM284" i="2"/>
  <c r="J284" i="1"/>
  <c r="AL284" i="2"/>
  <c r="I284" i="1"/>
  <c r="AK284" i="2"/>
  <c r="AJ284" i="2"/>
  <c r="AI284" i="2"/>
  <c r="AH284" i="2"/>
  <c r="E284" i="1"/>
  <c r="AG284" i="2"/>
  <c r="D284" i="1"/>
  <c r="AF284" i="2"/>
  <c r="C284" i="1"/>
  <c r="AE284" i="2"/>
  <c r="AD284" i="2"/>
  <c r="AA284" i="2"/>
  <c r="Z284" i="2"/>
  <c r="S283" i="1"/>
  <c r="AU283" i="2"/>
  <c r="R283" i="1"/>
  <c r="AT283" i="2"/>
  <c r="Q283" i="1"/>
  <c r="AS283" i="2"/>
  <c r="P283" i="1"/>
  <c r="AR283" i="2"/>
  <c r="O283" i="1"/>
  <c r="AQ283" i="2"/>
  <c r="AP283" i="2"/>
  <c r="AO283" i="2"/>
  <c r="AN283" i="2"/>
  <c r="K283" i="1"/>
  <c r="AM283" i="2"/>
  <c r="J283" i="1"/>
  <c r="AL283" i="2"/>
  <c r="I283" i="1"/>
  <c r="AK283" i="2"/>
  <c r="AJ283" i="2"/>
  <c r="AI283" i="2"/>
  <c r="AH283" i="2"/>
  <c r="E283" i="1"/>
  <c r="AG283" i="2"/>
  <c r="D283" i="1"/>
  <c r="AF283" i="2"/>
  <c r="C283" i="1"/>
  <c r="AE283" i="2"/>
  <c r="AD283" i="2"/>
  <c r="AA283" i="2"/>
  <c r="Z283" i="2"/>
  <c r="S282" i="1"/>
  <c r="AU282" i="2"/>
  <c r="R282" i="1"/>
  <c r="AT282" i="2"/>
  <c r="Q282" i="1"/>
  <c r="AS282" i="2"/>
  <c r="P282" i="1"/>
  <c r="AR282" i="2"/>
  <c r="O282" i="1"/>
  <c r="AQ282" i="2"/>
  <c r="AP282" i="2"/>
  <c r="AO282" i="2"/>
  <c r="AN282" i="2"/>
  <c r="K282" i="1"/>
  <c r="AM282" i="2"/>
  <c r="J282" i="1"/>
  <c r="AL282" i="2"/>
  <c r="I282" i="1"/>
  <c r="AK282" i="2"/>
  <c r="AJ282" i="2"/>
  <c r="AI282" i="2"/>
  <c r="AH282" i="2"/>
  <c r="E282" i="1"/>
  <c r="AG282" i="2"/>
  <c r="D282" i="1"/>
  <c r="AF282" i="2"/>
  <c r="C282" i="1"/>
  <c r="AE282" i="2"/>
  <c r="AD282" i="2"/>
  <c r="AA282" i="2"/>
  <c r="Z282" i="2"/>
  <c r="S281" i="1"/>
  <c r="AU281" i="2"/>
  <c r="R281" i="1"/>
  <c r="AT281" i="2"/>
  <c r="Q281" i="1"/>
  <c r="AS281" i="2"/>
  <c r="P281" i="1"/>
  <c r="AR281" i="2"/>
  <c r="O281" i="1"/>
  <c r="AQ281" i="2"/>
  <c r="AP281" i="2"/>
  <c r="AO281" i="2"/>
  <c r="AN281" i="2"/>
  <c r="K281" i="1"/>
  <c r="AM281" i="2"/>
  <c r="J281" i="1"/>
  <c r="AL281" i="2"/>
  <c r="I281" i="1"/>
  <c r="AK281" i="2"/>
  <c r="AJ281" i="2"/>
  <c r="AI281" i="2"/>
  <c r="AH281" i="2"/>
  <c r="E281" i="1"/>
  <c r="AG281" i="2"/>
  <c r="D281" i="1"/>
  <c r="AF281" i="2"/>
  <c r="C281" i="1"/>
  <c r="AE281" i="2"/>
  <c r="AD281" i="2"/>
  <c r="AA281" i="2"/>
  <c r="Z281" i="2"/>
  <c r="S280" i="1"/>
  <c r="AU280" i="2"/>
  <c r="R280" i="1"/>
  <c r="AT280" i="2"/>
  <c r="Q280" i="1"/>
  <c r="AS280" i="2"/>
  <c r="P280" i="1"/>
  <c r="AR280" i="2"/>
  <c r="O280" i="1"/>
  <c r="AQ280" i="2"/>
  <c r="AP280" i="2"/>
  <c r="AO280" i="2"/>
  <c r="AN280" i="2"/>
  <c r="K280" i="1"/>
  <c r="AM280" i="2"/>
  <c r="J280" i="1"/>
  <c r="AL280" i="2"/>
  <c r="I280" i="1"/>
  <c r="AK280" i="2"/>
  <c r="AJ280" i="2"/>
  <c r="AI280" i="2"/>
  <c r="AH280" i="2"/>
  <c r="E280" i="1"/>
  <c r="AG280" i="2"/>
  <c r="D280" i="1"/>
  <c r="AF280" i="2"/>
  <c r="C280" i="1"/>
  <c r="AE280" i="2"/>
  <c r="AD280" i="2"/>
  <c r="AA280" i="2"/>
  <c r="Z280" i="2"/>
  <c r="S279" i="1"/>
  <c r="AU279" i="2"/>
  <c r="R279" i="1"/>
  <c r="AT279" i="2"/>
  <c r="Q279" i="1"/>
  <c r="AS279" i="2"/>
  <c r="P279" i="1"/>
  <c r="AR279" i="2"/>
  <c r="O279" i="1"/>
  <c r="AQ279" i="2"/>
  <c r="AP279" i="2"/>
  <c r="AO279" i="2"/>
  <c r="AN279" i="2"/>
  <c r="K279" i="1"/>
  <c r="AM279" i="2"/>
  <c r="J279" i="1"/>
  <c r="AL279" i="2"/>
  <c r="I279" i="1"/>
  <c r="AK279" i="2"/>
  <c r="AJ279" i="2"/>
  <c r="AI279" i="2"/>
  <c r="AH279" i="2"/>
  <c r="E279" i="1"/>
  <c r="AG279" i="2"/>
  <c r="D279" i="1"/>
  <c r="AF279" i="2"/>
  <c r="C279" i="1"/>
  <c r="AE279" i="2"/>
  <c r="AD279" i="2"/>
  <c r="AA279" i="2"/>
  <c r="Z279" i="2"/>
  <c r="S278" i="1"/>
  <c r="AU278" i="2"/>
  <c r="R278" i="1"/>
  <c r="AT278" i="2"/>
  <c r="Q278" i="1"/>
  <c r="AS278" i="2"/>
  <c r="P278" i="1"/>
  <c r="AR278" i="2"/>
  <c r="O278" i="1"/>
  <c r="AQ278" i="2"/>
  <c r="AP278" i="2"/>
  <c r="AO278" i="2"/>
  <c r="AN278" i="2"/>
  <c r="K278" i="1"/>
  <c r="AM278" i="2"/>
  <c r="J278" i="1"/>
  <c r="AL278" i="2"/>
  <c r="I278" i="1"/>
  <c r="AK278" i="2"/>
  <c r="AJ278" i="2"/>
  <c r="AI278" i="2"/>
  <c r="AH278" i="2"/>
  <c r="E278" i="1"/>
  <c r="AG278" i="2"/>
  <c r="D278" i="1"/>
  <c r="AF278" i="2"/>
  <c r="C278" i="1"/>
  <c r="AE278" i="2"/>
  <c r="AD278" i="2"/>
  <c r="AA278" i="2"/>
  <c r="Z278" i="2"/>
  <c r="S277" i="1"/>
  <c r="AU277" i="2"/>
  <c r="R277" i="1"/>
  <c r="AT277" i="2"/>
  <c r="Q277" i="1"/>
  <c r="AS277" i="2"/>
  <c r="P277" i="1"/>
  <c r="AR277" i="2"/>
  <c r="O277" i="1"/>
  <c r="AQ277" i="2"/>
  <c r="AP277" i="2"/>
  <c r="AO277" i="2"/>
  <c r="AN277" i="2"/>
  <c r="K277" i="1"/>
  <c r="AM277" i="2"/>
  <c r="J277" i="1"/>
  <c r="AL277" i="2"/>
  <c r="I277" i="1"/>
  <c r="AK277" i="2"/>
  <c r="AJ277" i="2"/>
  <c r="AI277" i="2"/>
  <c r="AH277" i="2"/>
  <c r="E277" i="1"/>
  <c r="AG277" i="2"/>
  <c r="D277" i="1"/>
  <c r="AF277" i="2"/>
  <c r="C277" i="1"/>
  <c r="AE277" i="2"/>
  <c r="AD277" i="2"/>
  <c r="AA277" i="2"/>
  <c r="Z277" i="2"/>
  <c r="S276" i="1"/>
  <c r="AU276" i="2"/>
  <c r="R276" i="1"/>
  <c r="AT276" i="2"/>
  <c r="Q276" i="1"/>
  <c r="AS276" i="2"/>
  <c r="P276" i="1"/>
  <c r="AR276" i="2"/>
  <c r="O276" i="1"/>
  <c r="AQ276" i="2"/>
  <c r="AP276" i="2"/>
  <c r="AO276" i="2"/>
  <c r="AN276" i="2"/>
  <c r="K276" i="1"/>
  <c r="AM276" i="2"/>
  <c r="J276" i="1"/>
  <c r="AL276" i="2"/>
  <c r="I276" i="1"/>
  <c r="AK276" i="2"/>
  <c r="AJ276" i="2"/>
  <c r="AI276" i="2"/>
  <c r="AH276" i="2"/>
  <c r="E276" i="1"/>
  <c r="AG276" i="2"/>
  <c r="D276" i="1"/>
  <c r="AF276" i="2"/>
  <c r="C276" i="1"/>
  <c r="AE276" i="2"/>
  <c r="AD276" i="2"/>
  <c r="AA276" i="2"/>
  <c r="Z276" i="2"/>
  <c r="S275" i="1"/>
  <c r="AU275" i="2"/>
  <c r="R275" i="1"/>
  <c r="AT275" i="2"/>
  <c r="Q275" i="1"/>
  <c r="AS275" i="2"/>
  <c r="P275" i="1"/>
  <c r="AR275" i="2"/>
  <c r="O275" i="1"/>
  <c r="AQ275" i="2"/>
  <c r="AP275" i="2"/>
  <c r="AO275" i="2"/>
  <c r="AN275" i="2"/>
  <c r="K275" i="1"/>
  <c r="AM275" i="2"/>
  <c r="J275" i="1"/>
  <c r="AL275" i="2"/>
  <c r="I275" i="1"/>
  <c r="AK275" i="2"/>
  <c r="AJ275" i="2"/>
  <c r="AI275" i="2"/>
  <c r="AH275" i="2"/>
  <c r="E275" i="1"/>
  <c r="AG275" i="2"/>
  <c r="D275" i="1"/>
  <c r="AF275" i="2"/>
  <c r="C275" i="1"/>
  <c r="AE275" i="2"/>
  <c r="AD275" i="2"/>
  <c r="AA275" i="2"/>
  <c r="Z275" i="2"/>
  <c r="S274" i="1"/>
  <c r="AU274" i="2"/>
  <c r="R274" i="1"/>
  <c r="AT274" i="2"/>
  <c r="Q274" i="1"/>
  <c r="AS274" i="2"/>
  <c r="P274" i="1"/>
  <c r="AR274" i="2"/>
  <c r="O274" i="1"/>
  <c r="AQ274" i="2"/>
  <c r="AP274" i="2"/>
  <c r="AO274" i="2"/>
  <c r="AN274" i="2"/>
  <c r="K274" i="1"/>
  <c r="AM274" i="2"/>
  <c r="J274" i="1"/>
  <c r="AL274" i="2"/>
  <c r="I274" i="1"/>
  <c r="AK274" i="2"/>
  <c r="AJ274" i="2"/>
  <c r="AI274" i="2"/>
  <c r="AH274" i="2"/>
  <c r="E274" i="1"/>
  <c r="AG274" i="2"/>
  <c r="D274" i="1"/>
  <c r="AF274" i="2"/>
  <c r="C274" i="1"/>
  <c r="AE274" i="2"/>
  <c r="AD274" i="2"/>
  <c r="AA274" i="2"/>
  <c r="Z274" i="2"/>
  <c r="S273" i="1"/>
  <c r="AU273" i="2"/>
  <c r="R273" i="1"/>
  <c r="AT273" i="2"/>
  <c r="Q273" i="1"/>
  <c r="AS273" i="2"/>
  <c r="P273" i="1"/>
  <c r="AR273" i="2"/>
  <c r="O273" i="1"/>
  <c r="AQ273" i="2"/>
  <c r="AP273" i="2"/>
  <c r="AO273" i="2"/>
  <c r="AN273" i="2"/>
  <c r="K273" i="1"/>
  <c r="AM273" i="2"/>
  <c r="J273" i="1"/>
  <c r="AL273" i="2"/>
  <c r="I273" i="1"/>
  <c r="AK273" i="2"/>
  <c r="AJ273" i="2"/>
  <c r="AI273" i="2"/>
  <c r="AH273" i="2"/>
  <c r="E273" i="1"/>
  <c r="AG273" i="2"/>
  <c r="D273" i="1"/>
  <c r="AF273" i="2"/>
  <c r="C273" i="1"/>
  <c r="AE273" i="2"/>
  <c r="AD273" i="2"/>
  <c r="AA273" i="2"/>
  <c r="Z273" i="2"/>
  <c r="S272" i="1"/>
  <c r="AU272" i="2"/>
  <c r="R272" i="1"/>
  <c r="AT272" i="2"/>
  <c r="Q272" i="1"/>
  <c r="AS272" i="2"/>
  <c r="P272" i="1"/>
  <c r="AR272" i="2"/>
  <c r="O272" i="1"/>
  <c r="AQ272" i="2"/>
  <c r="AP272" i="2"/>
  <c r="AO272" i="2"/>
  <c r="AN272" i="2"/>
  <c r="K272" i="1"/>
  <c r="AM272" i="2"/>
  <c r="J272" i="1"/>
  <c r="AL272" i="2"/>
  <c r="I272" i="1"/>
  <c r="AK272" i="2"/>
  <c r="AJ272" i="2"/>
  <c r="AI272" i="2"/>
  <c r="AH272" i="2"/>
  <c r="E272" i="1"/>
  <c r="AG272" i="2"/>
  <c r="D272" i="1"/>
  <c r="AF272" i="2"/>
  <c r="C272" i="1"/>
  <c r="AE272" i="2"/>
  <c r="AD272" i="2"/>
  <c r="AA272" i="2"/>
  <c r="Z272" i="2"/>
  <c r="S271" i="1"/>
  <c r="AU271" i="2"/>
  <c r="R271" i="1"/>
  <c r="AT271" i="2"/>
  <c r="Q271" i="1"/>
  <c r="AS271" i="2"/>
  <c r="P271" i="1"/>
  <c r="AR271" i="2"/>
  <c r="O271" i="1"/>
  <c r="AQ271" i="2"/>
  <c r="AP271" i="2"/>
  <c r="AO271" i="2"/>
  <c r="AN271" i="2"/>
  <c r="K271" i="1"/>
  <c r="AM271" i="2"/>
  <c r="J271" i="1"/>
  <c r="AL271" i="2"/>
  <c r="I271" i="1"/>
  <c r="AK271" i="2"/>
  <c r="AJ271" i="2"/>
  <c r="AI271" i="2"/>
  <c r="AH271" i="2"/>
  <c r="E271" i="1"/>
  <c r="AG271" i="2"/>
  <c r="D271" i="1"/>
  <c r="AF271" i="2"/>
  <c r="C271" i="1"/>
  <c r="AE271" i="2"/>
  <c r="AD271" i="2"/>
  <c r="AA271" i="2"/>
  <c r="Z271" i="2"/>
  <c r="S270" i="1"/>
  <c r="AU270" i="2"/>
  <c r="R270" i="1"/>
  <c r="AT270" i="2"/>
  <c r="Q270" i="1"/>
  <c r="AS270" i="2"/>
  <c r="P270" i="1"/>
  <c r="AR270" i="2"/>
  <c r="O270" i="1"/>
  <c r="AQ270" i="2"/>
  <c r="AP270" i="2"/>
  <c r="AO270" i="2"/>
  <c r="AN270" i="2"/>
  <c r="K270" i="1"/>
  <c r="AM270" i="2"/>
  <c r="J270" i="1"/>
  <c r="AL270" i="2"/>
  <c r="I270" i="1"/>
  <c r="AK270" i="2"/>
  <c r="AJ270" i="2"/>
  <c r="AI270" i="2"/>
  <c r="AH270" i="2"/>
  <c r="E270" i="1"/>
  <c r="AG270" i="2"/>
  <c r="D270" i="1"/>
  <c r="AF270" i="2"/>
  <c r="C270" i="1"/>
  <c r="AE270" i="2"/>
  <c r="AD270" i="2"/>
  <c r="AA270" i="2"/>
  <c r="Z270" i="2"/>
  <c r="S269" i="1"/>
  <c r="AU269" i="2"/>
  <c r="R269" i="1"/>
  <c r="AT269" i="2"/>
  <c r="Q269" i="1"/>
  <c r="AS269" i="2"/>
  <c r="P269" i="1"/>
  <c r="AR269" i="2"/>
  <c r="O269" i="1"/>
  <c r="AQ269" i="2"/>
  <c r="AP269" i="2"/>
  <c r="AO269" i="2"/>
  <c r="AN269" i="2"/>
  <c r="K269" i="1"/>
  <c r="AM269" i="2"/>
  <c r="J269" i="1"/>
  <c r="AL269" i="2"/>
  <c r="I269" i="1"/>
  <c r="AK269" i="2"/>
  <c r="AJ269" i="2"/>
  <c r="AI269" i="2"/>
  <c r="AH269" i="2"/>
  <c r="E269" i="1"/>
  <c r="AG269" i="2"/>
  <c r="D269" i="1"/>
  <c r="AF269" i="2"/>
  <c r="C269" i="1"/>
  <c r="AE269" i="2"/>
  <c r="AD269" i="2"/>
  <c r="AA269" i="2"/>
  <c r="Z269" i="2"/>
  <c r="S268" i="1"/>
  <c r="AU268" i="2"/>
  <c r="R268" i="1"/>
  <c r="AT268" i="2"/>
  <c r="Q268" i="1"/>
  <c r="AS268" i="2"/>
  <c r="P268" i="1"/>
  <c r="AR268" i="2"/>
  <c r="O268" i="1"/>
  <c r="AQ268" i="2"/>
  <c r="AP268" i="2"/>
  <c r="AO268" i="2"/>
  <c r="AN268" i="2"/>
  <c r="K268" i="1"/>
  <c r="AM268" i="2"/>
  <c r="J268" i="1"/>
  <c r="AL268" i="2"/>
  <c r="I268" i="1"/>
  <c r="AK268" i="2"/>
  <c r="AJ268" i="2"/>
  <c r="AI268" i="2"/>
  <c r="AH268" i="2"/>
  <c r="E268" i="1"/>
  <c r="AG268" i="2"/>
  <c r="D268" i="1"/>
  <c r="AF268" i="2"/>
  <c r="C268" i="1"/>
  <c r="AE268" i="2"/>
  <c r="AD268" i="2"/>
  <c r="AA268" i="2"/>
  <c r="Z268" i="2"/>
  <c r="S267" i="1"/>
  <c r="AU267" i="2"/>
  <c r="R267" i="1"/>
  <c r="AT267" i="2"/>
  <c r="Q267" i="1"/>
  <c r="AS267" i="2"/>
  <c r="P267" i="1"/>
  <c r="AR267" i="2"/>
  <c r="O267" i="1"/>
  <c r="AQ267" i="2"/>
  <c r="AP267" i="2"/>
  <c r="AO267" i="2"/>
  <c r="AN267" i="2"/>
  <c r="K267" i="1"/>
  <c r="AM267" i="2"/>
  <c r="J267" i="1"/>
  <c r="AL267" i="2"/>
  <c r="I267" i="1"/>
  <c r="AK267" i="2"/>
  <c r="AJ267" i="2"/>
  <c r="AI267" i="2"/>
  <c r="AH267" i="2"/>
  <c r="E267" i="1"/>
  <c r="AG267" i="2"/>
  <c r="D267" i="1"/>
  <c r="AF267" i="2"/>
  <c r="C267" i="1"/>
  <c r="AE267" i="2"/>
  <c r="AD267" i="2"/>
  <c r="AA267" i="2"/>
  <c r="Z267" i="2"/>
  <c r="S266" i="1"/>
  <c r="AU266" i="2"/>
  <c r="R266" i="1"/>
  <c r="AT266" i="2"/>
  <c r="Q266" i="1"/>
  <c r="AS266" i="2"/>
  <c r="P266" i="1"/>
  <c r="AR266" i="2"/>
  <c r="O266" i="1"/>
  <c r="AQ266" i="2"/>
  <c r="AP266" i="2"/>
  <c r="AO266" i="2"/>
  <c r="AN266" i="2"/>
  <c r="K266" i="1"/>
  <c r="AM266" i="2"/>
  <c r="J266" i="1"/>
  <c r="AL266" i="2"/>
  <c r="I266" i="1"/>
  <c r="AK266" i="2"/>
  <c r="AJ266" i="2"/>
  <c r="AI266" i="2"/>
  <c r="AH266" i="2"/>
  <c r="E266" i="1"/>
  <c r="AG266" i="2"/>
  <c r="D266" i="1"/>
  <c r="AF266" i="2"/>
  <c r="C266" i="1"/>
  <c r="AE266" i="2"/>
  <c r="AD266" i="2"/>
  <c r="AA266" i="2"/>
  <c r="Z266" i="2"/>
  <c r="S265" i="1"/>
  <c r="AU265" i="2"/>
  <c r="R265" i="1"/>
  <c r="AT265" i="2"/>
  <c r="Q265" i="1"/>
  <c r="AS265" i="2"/>
  <c r="P265" i="1"/>
  <c r="AR265" i="2"/>
  <c r="O265" i="1"/>
  <c r="AQ265" i="2"/>
  <c r="AP265" i="2"/>
  <c r="AO265" i="2"/>
  <c r="AN265" i="2"/>
  <c r="K265" i="1"/>
  <c r="AM265" i="2"/>
  <c r="J265" i="1"/>
  <c r="AL265" i="2"/>
  <c r="I265" i="1"/>
  <c r="AK265" i="2"/>
  <c r="AJ265" i="2"/>
  <c r="AI265" i="2"/>
  <c r="AH265" i="2"/>
  <c r="E265" i="1"/>
  <c r="AG265" i="2"/>
  <c r="D265" i="1"/>
  <c r="AF265" i="2"/>
  <c r="C265" i="1"/>
  <c r="AE265" i="2"/>
  <c r="AD265" i="2"/>
  <c r="AA265" i="2"/>
  <c r="Z265" i="2"/>
  <c r="S264" i="1"/>
  <c r="AU264" i="2"/>
  <c r="R264" i="1"/>
  <c r="AT264" i="2"/>
  <c r="Q264" i="1"/>
  <c r="AS264" i="2"/>
  <c r="P264" i="1"/>
  <c r="AR264" i="2"/>
  <c r="O264" i="1"/>
  <c r="AQ264" i="2"/>
  <c r="AP264" i="2"/>
  <c r="AO264" i="2"/>
  <c r="AN264" i="2"/>
  <c r="K264" i="1"/>
  <c r="AM264" i="2"/>
  <c r="J264" i="1"/>
  <c r="AL264" i="2"/>
  <c r="I264" i="1"/>
  <c r="AK264" i="2"/>
  <c r="AJ264" i="2"/>
  <c r="AI264" i="2"/>
  <c r="AH264" i="2"/>
  <c r="E264" i="1"/>
  <c r="AG264" i="2"/>
  <c r="D264" i="1"/>
  <c r="AF264" i="2"/>
  <c r="C264" i="1"/>
  <c r="AE264" i="2"/>
  <c r="AD264" i="2"/>
  <c r="AA264" i="2"/>
  <c r="Z264" i="2"/>
  <c r="S263" i="1"/>
  <c r="AU263" i="2"/>
  <c r="R263" i="1"/>
  <c r="AT263" i="2"/>
  <c r="Q263" i="1"/>
  <c r="AS263" i="2"/>
  <c r="P263" i="1"/>
  <c r="AR263" i="2"/>
  <c r="O263" i="1"/>
  <c r="AQ263" i="2"/>
  <c r="AP263" i="2"/>
  <c r="AO263" i="2"/>
  <c r="AN263" i="2"/>
  <c r="K263" i="1"/>
  <c r="AM263" i="2"/>
  <c r="J263" i="1"/>
  <c r="AL263" i="2"/>
  <c r="I263" i="1"/>
  <c r="AK263" i="2"/>
  <c r="AJ263" i="2"/>
  <c r="AI263" i="2"/>
  <c r="AH263" i="2"/>
  <c r="E263" i="1"/>
  <c r="AG263" i="2"/>
  <c r="D263" i="1"/>
  <c r="AF263" i="2"/>
  <c r="C263" i="1"/>
  <c r="AE263" i="2"/>
  <c r="AD263" i="2"/>
  <c r="AA263" i="2"/>
  <c r="Z263" i="2"/>
  <c r="S262" i="1"/>
  <c r="AU262" i="2"/>
  <c r="R262" i="1"/>
  <c r="AT262" i="2"/>
  <c r="Q262" i="1"/>
  <c r="AS262" i="2"/>
  <c r="P262" i="1"/>
  <c r="AR262" i="2"/>
  <c r="O262" i="1"/>
  <c r="AQ262" i="2"/>
  <c r="AP262" i="2"/>
  <c r="AO262" i="2"/>
  <c r="AN262" i="2"/>
  <c r="K262" i="1"/>
  <c r="AM262" i="2"/>
  <c r="J262" i="1"/>
  <c r="AL262" i="2"/>
  <c r="I262" i="1"/>
  <c r="AK262" i="2"/>
  <c r="AJ262" i="2"/>
  <c r="AI262" i="2"/>
  <c r="AH262" i="2"/>
  <c r="E262" i="1"/>
  <c r="AG262" i="2"/>
  <c r="D262" i="1"/>
  <c r="AF262" i="2"/>
  <c r="C262" i="1"/>
  <c r="AE262" i="2"/>
  <c r="AD262" i="2"/>
  <c r="AA262" i="2"/>
  <c r="Z262" i="2"/>
  <c r="S261" i="1"/>
  <c r="AU261" i="2"/>
  <c r="R261" i="1"/>
  <c r="AT261" i="2"/>
  <c r="Q261" i="1"/>
  <c r="AS261" i="2"/>
  <c r="P261" i="1"/>
  <c r="AR261" i="2"/>
  <c r="O261" i="1"/>
  <c r="AQ261" i="2"/>
  <c r="AP261" i="2"/>
  <c r="AO261" i="2"/>
  <c r="AN261" i="2"/>
  <c r="K261" i="1"/>
  <c r="AM261" i="2"/>
  <c r="J261" i="1"/>
  <c r="AL261" i="2"/>
  <c r="I261" i="1"/>
  <c r="AK261" i="2"/>
  <c r="AJ261" i="2"/>
  <c r="AI261" i="2"/>
  <c r="AH261" i="2"/>
  <c r="E261" i="1"/>
  <c r="AG261" i="2"/>
  <c r="D261" i="1"/>
  <c r="AF261" i="2"/>
  <c r="C261" i="1"/>
  <c r="AE261" i="2"/>
  <c r="AD261" i="2"/>
  <c r="AA261" i="2"/>
  <c r="Z261" i="2"/>
  <c r="S260" i="1"/>
  <c r="AU260" i="2"/>
  <c r="R260" i="1"/>
  <c r="AT260" i="2"/>
  <c r="Q260" i="1"/>
  <c r="AS260" i="2"/>
  <c r="P260" i="1"/>
  <c r="AR260" i="2"/>
  <c r="O260" i="1"/>
  <c r="AQ260" i="2"/>
  <c r="AP260" i="2"/>
  <c r="AO260" i="2"/>
  <c r="AN260" i="2"/>
  <c r="K260" i="1"/>
  <c r="AM260" i="2"/>
  <c r="J260" i="1"/>
  <c r="AL260" i="2"/>
  <c r="I260" i="1"/>
  <c r="AK260" i="2"/>
  <c r="AJ260" i="2"/>
  <c r="AI260" i="2"/>
  <c r="AH260" i="2"/>
  <c r="E260" i="1"/>
  <c r="AG260" i="2"/>
  <c r="D260" i="1"/>
  <c r="AF260" i="2"/>
  <c r="C260" i="1"/>
  <c r="AE260" i="2"/>
  <c r="AD260" i="2"/>
  <c r="AA260" i="2"/>
  <c r="Z260" i="2"/>
  <c r="S259" i="1"/>
  <c r="AU259" i="2"/>
  <c r="R259" i="1"/>
  <c r="AT259" i="2"/>
  <c r="Q259" i="1"/>
  <c r="AS259" i="2"/>
  <c r="P259" i="1"/>
  <c r="AR259" i="2"/>
  <c r="O259" i="1"/>
  <c r="AQ259" i="2"/>
  <c r="AP259" i="2"/>
  <c r="AO259" i="2"/>
  <c r="AN259" i="2"/>
  <c r="K259" i="1"/>
  <c r="AM259" i="2"/>
  <c r="J259" i="1"/>
  <c r="AL259" i="2"/>
  <c r="I259" i="1"/>
  <c r="AK259" i="2"/>
  <c r="AJ259" i="2"/>
  <c r="AI259" i="2"/>
  <c r="AH259" i="2"/>
  <c r="E259" i="1"/>
  <c r="AG259" i="2"/>
  <c r="D259" i="1"/>
  <c r="AF259" i="2"/>
  <c r="C259" i="1"/>
  <c r="AE259" i="2"/>
  <c r="AD259" i="2"/>
  <c r="AA259" i="2"/>
  <c r="Z259" i="2"/>
  <c r="S258" i="1"/>
  <c r="AU258" i="2"/>
  <c r="R258" i="1"/>
  <c r="AT258" i="2"/>
  <c r="Q258" i="1"/>
  <c r="AS258" i="2"/>
  <c r="P258" i="1"/>
  <c r="AR258" i="2"/>
  <c r="O258" i="1"/>
  <c r="AQ258" i="2"/>
  <c r="AP258" i="2"/>
  <c r="AO258" i="2"/>
  <c r="AN258" i="2"/>
  <c r="K258" i="1"/>
  <c r="AM258" i="2"/>
  <c r="J258" i="1"/>
  <c r="AL258" i="2"/>
  <c r="I258" i="1"/>
  <c r="AK258" i="2"/>
  <c r="AJ258" i="2"/>
  <c r="AI258" i="2"/>
  <c r="AH258" i="2"/>
  <c r="E258" i="1"/>
  <c r="AG258" i="2"/>
  <c r="D258" i="1"/>
  <c r="AF258" i="2"/>
  <c r="C258" i="1"/>
  <c r="AE258" i="2"/>
  <c r="AD258" i="2"/>
  <c r="AA258" i="2"/>
  <c r="Z258" i="2"/>
  <c r="S257" i="1"/>
  <c r="AU257" i="2"/>
  <c r="R257" i="1"/>
  <c r="AT257" i="2"/>
  <c r="Q257" i="1"/>
  <c r="AS257" i="2"/>
  <c r="P257" i="1"/>
  <c r="AR257" i="2"/>
  <c r="O257" i="1"/>
  <c r="AQ257" i="2"/>
  <c r="AP257" i="2"/>
  <c r="AO257" i="2"/>
  <c r="AN257" i="2"/>
  <c r="K257" i="1"/>
  <c r="AM257" i="2"/>
  <c r="J257" i="1"/>
  <c r="AL257" i="2"/>
  <c r="I257" i="1"/>
  <c r="AK257" i="2"/>
  <c r="AJ257" i="2"/>
  <c r="AI257" i="2"/>
  <c r="AH257" i="2"/>
  <c r="E257" i="1"/>
  <c r="AG257" i="2"/>
  <c r="D257" i="1"/>
  <c r="AF257" i="2"/>
  <c r="C257" i="1"/>
  <c r="AE257" i="2"/>
  <c r="AD257" i="2"/>
  <c r="AA257" i="2"/>
  <c r="Z257" i="2"/>
  <c r="S256" i="1"/>
  <c r="AU256" i="2"/>
  <c r="R256" i="1"/>
  <c r="AT256" i="2"/>
  <c r="Q256" i="1"/>
  <c r="AS256" i="2"/>
  <c r="P256" i="1"/>
  <c r="AR256" i="2"/>
  <c r="O256" i="1"/>
  <c r="AQ256" i="2"/>
  <c r="AP256" i="2"/>
  <c r="AO256" i="2"/>
  <c r="AN256" i="2"/>
  <c r="K256" i="1"/>
  <c r="AM256" i="2"/>
  <c r="J256" i="1"/>
  <c r="AL256" i="2"/>
  <c r="I256" i="1"/>
  <c r="AK256" i="2"/>
  <c r="AJ256" i="2"/>
  <c r="AI256" i="2"/>
  <c r="AH256" i="2"/>
  <c r="E256" i="1"/>
  <c r="AG256" i="2"/>
  <c r="D256" i="1"/>
  <c r="AF256" i="2"/>
  <c r="C256" i="1"/>
  <c r="AE256" i="2"/>
  <c r="AD256" i="2"/>
  <c r="AA256" i="2"/>
  <c r="Z256" i="2"/>
  <c r="S255" i="1"/>
  <c r="AU255" i="2"/>
  <c r="R255" i="1"/>
  <c r="AT255" i="2"/>
  <c r="Q255" i="1"/>
  <c r="AS255" i="2"/>
  <c r="P255" i="1"/>
  <c r="AR255" i="2"/>
  <c r="O255" i="1"/>
  <c r="AQ255" i="2"/>
  <c r="AP255" i="2"/>
  <c r="AO255" i="2"/>
  <c r="AN255" i="2"/>
  <c r="K255" i="1"/>
  <c r="AM255" i="2"/>
  <c r="J255" i="1"/>
  <c r="AL255" i="2"/>
  <c r="I255" i="1"/>
  <c r="AK255" i="2"/>
  <c r="AJ255" i="2"/>
  <c r="AI255" i="2"/>
  <c r="AH255" i="2"/>
  <c r="E255" i="1"/>
  <c r="AG255" i="2"/>
  <c r="D255" i="1"/>
  <c r="AF255" i="2"/>
  <c r="C255" i="1"/>
  <c r="AE255" i="2"/>
  <c r="AD255" i="2"/>
  <c r="AA255" i="2"/>
  <c r="Z255" i="2"/>
  <c r="S254" i="1"/>
  <c r="AU254" i="2"/>
  <c r="R254" i="1"/>
  <c r="AT254" i="2"/>
  <c r="Q254" i="1"/>
  <c r="AS254" i="2"/>
  <c r="P254" i="1"/>
  <c r="AR254" i="2"/>
  <c r="O254" i="1"/>
  <c r="AQ254" i="2"/>
  <c r="AP254" i="2"/>
  <c r="AO254" i="2"/>
  <c r="AN254" i="2"/>
  <c r="K254" i="1"/>
  <c r="AM254" i="2"/>
  <c r="J254" i="1"/>
  <c r="AL254" i="2"/>
  <c r="I254" i="1"/>
  <c r="AK254" i="2"/>
  <c r="AJ254" i="2"/>
  <c r="AI254" i="2"/>
  <c r="AH254" i="2"/>
  <c r="E254" i="1"/>
  <c r="AG254" i="2"/>
  <c r="D254" i="1"/>
  <c r="AF254" i="2"/>
  <c r="C254" i="1"/>
  <c r="AE254" i="2"/>
  <c r="AD254" i="2"/>
  <c r="AA254" i="2"/>
  <c r="Z254" i="2"/>
  <c r="S253" i="1"/>
  <c r="AU253" i="2"/>
  <c r="R253" i="1"/>
  <c r="AT253" i="2"/>
  <c r="Q253" i="1"/>
  <c r="AS253" i="2"/>
  <c r="P253" i="1"/>
  <c r="AR253" i="2"/>
  <c r="O253" i="1"/>
  <c r="AQ253" i="2"/>
  <c r="AP253" i="2"/>
  <c r="AO253" i="2"/>
  <c r="AN253" i="2"/>
  <c r="K253" i="1"/>
  <c r="AM253" i="2"/>
  <c r="J253" i="1"/>
  <c r="AL253" i="2"/>
  <c r="I253" i="1"/>
  <c r="AK253" i="2"/>
  <c r="AJ253" i="2"/>
  <c r="AI253" i="2"/>
  <c r="AH253" i="2"/>
  <c r="E253" i="1"/>
  <c r="AG253" i="2"/>
  <c r="D253" i="1"/>
  <c r="AF253" i="2"/>
  <c r="C253" i="1"/>
  <c r="AE253" i="2"/>
  <c r="AD253" i="2"/>
  <c r="AA253" i="2"/>
  <c r="Z253" i="2"/>
  <c r="S252" i="1"/>
  <c r="AU252" i="2"/>
  <c r="R252" i="1"/>
  <c r="AT252" i="2"/>
  <c r="Q252" i="1"/>
  <c r="AS252" i="2"/>
  <c r="P252" i="1"/>
  <c r="AR252" i="2"/>
  <c r="O252" i="1"/>
  <c r="AQ252" i="2"/>
  <c r="AP252" i="2"/>
  <c r="AO252" i="2"/>
  <c r="AN252" i="2"/>
  <c r="K252" i="1"/>
  <c r="AM252" i="2"/>
  <c r="J252" i="1"/>
  <c r="AL252" i="2"/>
  <c r="I252" i="1"/>
  <c r="AK252" i="2"/>
  <c r="AJ252" i="2"/>
  <c r="AI252" i="2"/>
  <c r="AH252" i="2"/>
  <c r="E252" i="1"/>
  <c r="AG252" i="2"/>
  <c r="D252" i="1"/>
  <c r="AF252" i="2"/>
  <c r="C252" i="1"/>
  <c r="AE252" i="2"/>
  <c r="AD252" i="2"/>
  <c r="AA252" i="2"/>
  <c r="Z252" i="2"/>
  <c r="S251" i="1"/>
  <c r="AU251" i="2"/>
  <c r="R251" i="1"/>
  <c r="AT251" i="2"/>
  <c r="Q251" i="1"/>
  <c r="AS251" i="2"/>
  <c r="P251" i="1"/>
  <c r="AR251" i="2"/>
  <c r="O251" i="1"/>
  <c r="AQ251" i="2"/>
  <c r="AP251" i="2"/>
  <c r="AO251" i="2"/>
  <c r="AN251" i="2"/>
  <c r="K251" i="1"/>
  <c r="AM251" i="2"/>
  <c r="J251" i="1"/>
  <c r="AL251" i="2"/>
  <c r="I251" i="1"/>
  <c r="AK251" i="2"/>
  <c r="AJ251" i="2"/>
  <c r="AI251" i="2"/>
  <c r="AH251" i="2"/>
  <c r="E251" i="1"/>
  <c r="AG251" i="2"/>
  <c r="D251" i="1"/>
  <c r="AF251" i="2"/>
  <c r="C251" i="1"/>
  <c r="AE251" i="2"/>
  <c r="AD251" i="2"/>
  <c r="AA251" i="2"/>
  <c r="Z251" i="2"/>
  <c r="S250" i="1"/>
  <c r="AU250" i="2"/>
  <c r="R250" i="1"/>
  <c r="AT250" i="2"/>
  <c r="Q250" i="1"/>
  <c r="AS250" i="2"/>
  <c r="P250" i="1"/>
  <c r="AR250" i="2"/>
  <c r="O250" i="1"/>
  <c r="AQ250" i="2"/>
  <c r="AP250" i="2"/>
  <c r="AO250" i="2"/>
  <c r="AN250" i="2"/>
  <c r="K250" i="1"/>
  <c r="AM250" i="2"/>
  <c r="J250" i="1"/>
  <c r="AL250" i="2"/>
  <c r="I250" i="1"/>
  <c r="AK250" i="2"/>
  <c r="AJ250" i="2"/>
  <c r="AI250" i="2"/>
  <c r="AH250" i="2"/>
  <c r="E250" i="1"/>
  <c r="AG250" i="2"/>
  <c r="D250" i="1"/>
  <c r="AF250" i="2"/>
  <c r="C250" i="1"/>
  <c r="AE250" i="2"/>
  <c r="AD250" i="2"/>
  <c r="AA250" i="2"/>
  <c r="Z250" i="2"/>
  <c r="S249" i="1"/>
  <c r="AU249" i="2"/>
  <c r="R249" i="1"/>
  <c r="AT249" i="2"/>
  <c r="Q249" i="1"/>
  <c r="AS249" i="2"/>
  <c r="P249" i="1"/>
  <c r="AR249" i="2"/>
  <c r="O249" i="1"/>
  <c r="AQ249" i="2"/>
  <c r="AP249" i="2"/>
  <c r="AO249" i="2"/>
  <c r="AN249" i="2"/>
  <c r="K249" i="1"/>
  <c r="AM249" i="2"/>
  <c r="J249" i="1"/>
  <c r="AL249" i="2"/>
  <c r="I249" i="1"/>
  <c r="AK249" i="2"/>
  <c r="AJ249" i="2"/>
  <c r="AI249" i="2"/>
  <c r="AH249" i="2"/>
  <c r="E249" i="1"/>
  <c r="AG249" i="2"/>
  <c r="D249" i="1"/>
  <c r="AF249" i="2"/>
  <c r="C249" i="1"/>
  <c r="AE249" i="2"/>
  <c r="AD249" i="2"/>
  <c r="AA249" i="2"/>
  <c r="Z249" i="2"/>
  <c r="S248" i="1"/>
  <c r="AU248" i="2"/>
  <c r="R248" i="1"/>
  <c r="AT248" i="2"/>
  <c r="Q248" i="1"/>
  <c r="AS248" i="2"/>
  <c r="P248" i="1"/>
  <c r="AR248" i="2"/>
  <c r="O248" i="1"/>
  <c r="AQ248" i="2"/>
  <c r="AP248" i="2"/>
  <c r="AO248" i="2"/>
  <c r="AN248" i="2"/>
  <c r="K248" i="1"/>
  <c r="AM248" i="2"/>
  <c r="J248" i="1"/>
  <c r="AL248" i="2"/>
  <c r="I248" i="1"/>
  <c r="AK248" i="2"/>
  <c r="AJ248" i="2"/>
  <c r="AI248" i="2"/>
  <c r="AH248" i="2"/>
  <c r="E248" i="1"/>
  <c r="AG248" i="2"/>
  <c r="D248" i="1"/>
  <c r="AF248" i="2"/>
  <c r="C248" i="1"/>
  <c r="AE248" i="2"/>
  <c r="AD248" i="2"/>
  <c r="AA248" i="2"/>
  <c r="Z248" i="2"/>
  <c r="S247" i="1"/>
  <c r="AU247" i="2"/>
  <c r="R247" i="1"/>
  <c r="AT247" i="2"/>
  <c r="Q247" i="1"/>
  <c r="AS247" i="2"/>
  <c r="P247" i="1"/>
  <c r="AR247" i="2"/>
  <c r="O247" i="1"/>
  <c r="AQ247" i="2"/>
  <c r="AP247" i="2"/>
  <c r="AO247" i="2"/>
  <c r="AN247" i="2"/>
  <c r="K247" i="1"/>
  <c r="AM247" i="2"/>
  <c r="J247" i="1"/>
  <c r="AL247" i="2"/>
  <c r="I247" i="1"/>
  <c r="AK247" i="2"/>
  <c r="AJ247" i="2"/>
  <c r="AI247" i="2"/>
  <c r="AH247" i="2"/>
  <c r="E247" i="1"/>
  <c r="AG247" i="2"/>
  <c r="D247" i="1"/>
  <c r="AF247" i="2"/>
  <c r="C247" i="1"/>
  <c r="AE247" i="2"/>
  <c r="AD247" i="2"/>
  <c r="AA247" i="2"/>
  <c r="Z247" i="2"/>
  <c r="S246" i="1"/>
  <c r="AU246" i="2"/>
  <c r="R246" i="1"/>
  <c r="AT246" i="2"/>
  <c r="Q246" i="1"/>
  <c r="AS246" i="2"/>
  <c r="P246" i="1"/>
  <c r="AR246" i="2"/>
  <c r="O246" i="1"/>
  <c r="AQ246" i="2"/>
  <c r="AP246" i="2"/>
  <c r="AO246" i="2"/>
  <c r="AN246" i="2"/>
  <c r="K246" i="1"/>
  <c r="AM246" i="2"/>
  <c r="J246" i="1"/>
  <c r="AL246" i="2"/>
  <c r="I246" i="1"/>
  <c r="AK246" i="2"/>
  <c r="AJ246" i="2"/>
  <c r="AI246" i="2"/>
  <c r="AH246" i="2"/>
  <c r="E246" i="1"/>
  <c r="AG246" i="2"/>
  <c r="D246" i="1"/>
  <c r="AF246" i="2"/>
  <c r="C246" i="1"/>
  <c r="AE246" i="2"/>
  <c r="AD246" i="2"/>
  <c r="AA246" i="2"/>
  <c r="Z246" i="2"/>
  <c r="S245" i="1"/>
  <c r="AU245" i="2"/>
  <c r="R245" i="1"/>
  <c r="AT245" i="2"/>
  <c r="Q245" i="1"/>
  <c r="AS245" i="2"/>
  <c r="P245" i="1"/>
  <c r="AR245" i="2"/>
  <c r="O245" i="1"/>
  <c r="AQ245" i="2"/>
  <c r="AP245" i="2"/>
  <c r="AO245" i="2"/>
  <c r="AN245" i="2"/>
  <c r="K245" i="1"/>
  <c r="AM245" i="2"/>
  <c r="J245" i="1"/>
  <c r="AL245" i="2"/>
  <c r="I245" i="1"/>
  <c r="AK245" i="2"/>
  <c r="AJ245" i="2"/>
  <c r="AI245" i="2"/>
  <c r="AH245" i="2"/>
  <c r="E245" i="1"/>
  <c r="AG245" i="2"/>
  <c r="D245" i="1"/>
  <c r="AF245" i="2"/>
  <c r="C245" i="1"/>
  <c r="AE245" i="2"/>
  <c r="AD245" i="2"/>
  <c r="AA245" i="2"/>
  <c r="Z245" i="2"/>
  <c r="S244" i="1"/>
  <c r="AU244" i="2"/>
  <c r="R244" i="1"/>
  <c r="AT244" i="2"/>
  <c r="Q244" i="1"/>
  <c r="AS244" i="2"/>
  <c r="P244" i="1"/>
  <c r="AR244" i="2"/>
  <c r="O244" i="1"/>
  <c r="AQ244" i="2"/>
  <c r="AP244" i="2"/>
  <c r="AO244" i="2"/>
  <c r="AN244" i="2"/>
  <c r="K244" i="1"/>
  <c r="AM244" i="2"/>
  <c r="J244" i="1"/>
  <c r="AL244" i="2"/>
  <c r="I244" i="1"/>
  <c r="AK244" i="2"/>
  <c r="AJ244" i="2"/>
  <c r="AI244" i="2"/>
  <c r="AH244" i="2"/>
  <c r="E244" i="1"/>
  <c r="AG244" i="2"/>
  <c r="D244" i="1"/>
  <c r="AF244" i="2"/>
  <c r="C244" i="1"/>
  <c r="AE244" i="2"/>
  <c r="AD244" i="2"/>
  <c r="AA244" i="2"/>
  <c r="Z244" i="2"/>
  <c r="S243" i="1"/>
  <c r="AU243" i="2"/>
  <c r="R243" i="1"/>
  <c r="AT243" i="2"/>
  <c r="Q243" i="1"/>
  <c r="AS243" i="2"/>
  <c r="P243" i="1"/>
  <c r="AR243" i="2"/>
  <c r="O243" i="1"/>
  <c r="AQ243" i="2"/>
  <c r="AP243" i="2"/>
  <c r="AO243" i="2"/>
  <c r="AN243" i="2"/>
  <c r="K243" i="1"/>
  <c r="AM243" i="2"/>
  <c r="J243" i="1"/>
  <c r="AL243" i="2"/>
  <c r="I243" i="1"/>
  <c r="AK243" i="2"/>
  <c r="AJ243" i="2"/>
  <c r="AI243" i="2"/>
  <c r="AH243" i="2"/>
  <c r="E243" i="1"/>
  <c r="AG243" i="2"/>
  <c r="D243" i="1"/>
  <c r="AF243" i="2"/>
  <c r="C243" i="1"/>
  <c r="AE243" i="2"/>
  <c r="AD243" i="2"/>
  <c r="AA243" i="2"/>
  <c r="Z243" i="2"/>
  <c r="S242" i="1"/>
  <c r="AU242" i="2"/>
  <c r="R242" i="1"/>
  <c r="AT242" i="2"/>
  <c r="Q242" i="1"/>
  <c r="AS242" i="2"/>
  <c r="P242" i="1"/>
  <c r="AR242" i="2"/>
  <c r="O242" i="1"/>
  <c r="AQ242" i="2"/>
  <c r="AP242" i="2"/>
  <c r="AO242" i="2"/>
  <c r="AN242" i="2"/>
  <c r="K242" i="1"/>
  <c r="AM242" i="2"/>
  <c r="J242" i="1"/>
  <c r="AL242" i="2"/>
  <c r="I242" i="1"/>
  <c r="AK242" i="2"/>
  <c r="AJ242" i="2"/>
  <c r="AI242" i="2"/>
  <c r="AH242" i="2"/>
  <c r="E242" i="1"/>
  <c r="AG242" i="2"/>
  <c r="D242" i="1"/>
  <c r="AF242" i="2"/>
  <c r="C242" i="1"/>
  <c r="AE242" i="2"/>
  <c r="AD242" i="2"/>
  <c r="AA242" i="2"/>
  <c r="Z242" i="2"/>
  <c r="S241" i="1"/>
  <c r="AU241" i="2"/>
  <c r="R241" i="1"/>
  <c r="AT241" i="2"/>
  <c r="Q241" i="1"/>
  <c r="AS241" i="2"/>
  <c r="P241" i="1"/>
  <c r="AR241" i="2"/>
  <c r="O241" i="1"/>
  <c r="AQ241" i="2"/>
  <c r="AP241" i="2"/>
  <c r="AO241" i="2"/>
  <c r="AN241" i="2"/>
  <c r="K241" i="1"/>
  <c r="AM241" i="2"/>
  <c r="J241" i="1"/>
  <c r="AL241" i="2"/>
  <c r="I241" i="1"/>
  <c r="AK241" i="2"/>
  <c r="AJ241" i="2"/>
  <c r="AI241" i="2"/>
  <c r="AH241" i="2"/>
  <c r="E241" i="1"/>
  <c r="AG241" i="2"/>
  <c r="D241" i="1"/>
  <c r="AF241" i="2"/>
  <c r="C241" i="1"/>
  <c r="AE241" i="2"/>
  <c r="AD241" i="2"/>
  <c r="AA241" i="2"/>
  <c r="Z241" i="2"/>
  <c r="S240" i="1"/>
  <c r="AU240" i="2"/>
  <c r="R240" i="1"/>
  <c r="AT240" i="2"/>
  <c r="Q240" i="1"/>
  <c r="AS240" i="2"/>
  <c r="P240" i="1"/>
  <c r="AR240" i="2"/>
  <c r="O240" i="1"/>
  <c r="AQ240" i="2"/>
  <c r="AP240" i="2"/>
  <c r="AO240" i="2"/>
  <c r="AN240" i="2"/>
  <c r="K240" i="1"/>
  <c r="AM240" i="2"/>
  <c r="J240" i="1"/>
  <c r="AL240" i="2"/>
  <c r="I240" i="1"/>
  <c r="AK240" i="2"/>
  <c r="AJ240" i="2"/>
  <c r="AI240" i="2"/>
  <c r="AH240" i="2"/>
  <c r="E240" i="1"/>
  <c r="AG240" i="2"/>
  <c r="D240" i="1"/>
  <c r="AF240" i="2"/>
  <c r="C240" i="1"/>
  <c r="AE240" i="2"/>
  <c r="AD240" i="2"/>
  <c r="AA240" i="2"/>
  <c r="Z240" i="2"/>
  <c r="S239" i="1"/>
  <c r="AU239" i="2"/>
  <c r="R239" i="1"/>
  <c r="AT239" i="2"/>
  <c r="Q239" i="1"/>
  <c r="AS239" i="2"/>
  <c r="P239" i="1"/>
  <c r="AR239" i="2"/>
  <c r="O239" i="1"/>
  <c r="AQ239" i="2"/>
  <c r="AP239" i="2"/>
  <c r="AO239" i="2"/>
  <c r="AN239" i="2"/>
  <c r="K239" i="1"/>
  <c r="AM239" i="2"/>
  <c r="J239" i="1"/>
  <c r="AL239" i="2"/>
  <c r="I239" i="1"/>
  <c r="AK239" i="2"/>
  <c r="AJ239" i="2"/>
  <c r="AI239" i="2"/>
  <c r="AH239" i="2"/>
  <c r="E239" i="1"/>
  <c r="AG239" i="2"/>
  <c r="D239" i="1"/>
  <c r="AF239" i="2"/>
  <c r="C239" i="1"/>
  <c r="AE239" i="2"/>
  <c r="AD239" i="2"/>
  <c r="AA239" i="2"/>
  <c r="Z239" i="2"/>
  <c r="S238" i="1"/>
  <c r="AU238" i="2"/>
  <c r="R238" i="1"/>
  <c r="AT238" i="2"/>
  <c r="Q238" i="1"/>
  <c r="AS238" i="2"/>
  <c r="P238" i="1"/>
  <c r="AR238" i="2"/>
  <c r="O238" i="1"/>
  <c r="AQ238" i="2"/>
  <c r="AP238" i="2"/>
  <c r="AO238" i="2"/>
  <c r="AN238" i="2"/>
  <c r="K238" i="1"/>
  <c r="AM238" i="2"/>
  <c r="J238" i="1"/>
  <c r="AL238" i="2"/>
  <c r="I238" i="1"/>
  <c r="AK238" i="2"/>
  <c r="AJ238" i="2"/>
  <c r="AI238" i="2"/>
  <c r="AH238" i="2"/>
  <c r="E238" i="1"/>
  <c r="AG238" i="2"/>
  <c r="D238" i="1"/>
  <c r="AF238" i="2"/>
  <c r="C238" i="1"/>
  <c r="AE238" i="2"/>
  <c r="AD238" i="2"/>
  <c r="AA238" i="2"/>
  <c r="Z238" i="2"/>
  <c r="S237" i="1"/>
  <c r="AU237" i="2"/>
  <c r="R237" i="1"/>
  <c r="AT237" i="2"/>
  <c r="Q237" i="1"/>
  <c r="AS237" i="2"/>
  <c r="P237" i="1"/>
  <c r="AR237" i="2"/>
  <c r="O237" i="1"/>
  <c r="AQ237" i="2"/>
  <c r="AP237" i="2"/>
  <c r="AO237" i="2"/>
  <c r="AN237" i="2"/>
  <c r="K237" i="1"/>
  <c r="AM237" i="2"/>
  <c r="J237" i="1"/>
  <c r="AL237" i="2"/>
  <c r="I237" i="1"/>
  <c r="AK237" i="2"/>
  <c r="AJ237" i="2"/>
  <c r="AI237" i="2"/>
  <c r="AH237" i="2"/>
  <c r="E237" i="1"/>
  <c r="AG237" i="2"/>
  <c r="D237" i="1"/>
  <c r="AF237" i="2"/>
  <c r="C237" i="1"/>
  <c r="AE237" i="2"/>
  <c r="AD237" i="2"/>
  <c r="AA237" i="2"/>
  <c r="Z237" i="2"/>
  <c r="S236" i="1"/>
  <c r="AU236" i="2"/>
  <c r="R236" i="1"/>
  <c r="AT236" i="2"/>
  <c r="Q236" i="1"/>
  <c r="AS236" i="2"/>
  <c r="P236" i="1"/>
  <c r="AR236" i="2"/>
  <c r="O236" i="1"/>
  <c r="AQ236" i="2"/>
  <c r="AP236" i="2"/>
  <c r="AO236" i="2"/>
  <c r="AN236" i="2"/>
  <c r="K236" i="1"/>
  <c r="AM236" i="2"/>
  <c r="J236" i="1"/>
  <c r="AL236" i="2"/>
  <c r="I236" i="1"/>
  <c r="AK236" i="2"/>
  <c r="AJ236" i="2"/>
  <c r="AI236" i="2"/>
  <c r="AH236" i="2"/>
  <c r="E236" i="1"/>
  <c r="AG236" i="2"/>
  <c r="D236" i="1"/>
  <c r="AF236" i="2"/>
  <c r="C236" i="1"/>
  <c r="AE236" i="2"/>
  <c r="AD236" i="2"/>
  <c r="AA236" i="2"/>
  <c r="Z236" i="2"/>
  <c r="S235" i="1"/>
  <c r="AU235" i="2"/>
  <c r="R235" i="1"/>
  <c r="AT235" i="2"/>
  <c r="Q235" i="1"/>
  <c r="AS235" i="2"/>
  <c r="P235" i="1"/>
  <c r="AR235" i="2"/>
  <c r="O235" i="1"/>
  <c r="AQ235" i="2"/>
  <c r="AP235" i="2"/>
  <c r="AO235" i="2"/>
  <c r="AN235" i="2"/>
  <c r="K235" i="1"/>
  <c r="AM235" i="2"/>
  <c r="J235" i="1"/>
  <c r="AL235" i="2"/>
  <c r="I235" i="1"/>
  <c r="AK235" i="2"/>
  <c r="AJ235" i="2"/>
  <c r="AI235" i="2"/>
  <c r="AH235" i="2"/>
  <c r="E235" i="1"/>
  <c r="AG235" i="2"/>
  <c r="D235" i="1"/>
  <c r="AF235" i="2"/>
  <c r="C235" i="1"/>
  <c r="AE235" i="2"/>
  <c r="AD235" i="2"/>
  <c r="AA235" i="2"/>
  <c r="Z235" i="2"/>
  <c r="S234" i="1"/>
  <c r="AU234" i="2"/>
  <c r="R234" i="1"/>
  <c r="AT234" i="2"/>
  <c r="Q234" i="1"/>
  <c r="AS234" i="2"/>
  <c r="P234" i="1"/>
  <c r="AR234" i="2"/>
  <c r="O234" i="1"/>
  <c r="AQ234" i="2"/>
  <c r="AP234" i="2"/>
  <c r="AO234" i="2"/>
  <c r="AN234" i="2"/>
  <c r="K234" i="1"/>
  <c r="AM234" i="2"/>
  <c r="J234" i="1"/>
  <c r="AL234" i="2"/>
  <c r="I234" i="1"/>
  <c r="AK234" i="2"/>
  <c r="AJ234" i="2"/>
  <c r="AI234" i="2"/>
  <c r="AH234" i="2"/>
  <c r="E234" i="1"/>
  <c r="AG234" i="2"/>
  <c r="D234" i="1"/>
  <c r="AF234" i="2"/>
  <c r="C234" i="1"/>
  <c r="AE234" i="2"/>
  <c r="AD234" i="2"/>
  <c r="AA234" i="2"/>
  <c r="Z234" i="2"/>
  <c r="S233" i="1"/>
  <c r="AU233" i="2"/>
  <c r="R233" i="1"/>
  <c r="AT233" i="2"/>
  <c r="Q233" i="1"/>
  <c r="AS233" i="2"/>
  <c r="P233" i="1"/>
  <c r="AR233" i="2"/>
  <c r="O233" i="1"/>
  <c r="AQ233" i="2"/>
  <c r="AP233" i="2"/>
  <c r="AO233" i="2"/>
  <c r="AN233" i="2"/>
  <c r="K233" i="1"/>
  <c r="AM233" i="2"/>
  <c r="J233" i="1"/>
  <c r="AL233" i="2"/>
  <c r="I233" i="1"/>
  <c r="AK233" i="2"/>
  <c r="AJ233" i="2"/>
  <c r="AI233" i="2"/>
  <c r="AH233" i="2"/>
  <c r="E233" i="1"/>
  <c r="AG233" i="2"/>
  <c r="D233" i="1"/>
  <c r="AF233" i="2"/>
  <c r="C233" i="1"/>
  <c r="AE233" i="2"/>
  <c r="AD233" i="2"/>
  <c r="AA233" i="2"/>
  <c r="Z233" i="2"/>
  <c r="S232" i="1"/>
  <c r="AU232" i="2"/>
  <c r="R232" i="1"/>
  <c r="AT232" i="2"/>
  <c r="Q232" i="1"/>
  <c r="AS232" i="2"/>
  <c r="P232" i="1"/>
  <c r="AR232" i="2"/>
  <c r="O232" i="1"/>
  <c r="AQ232" i="2"/>
  <c r="AP232" i="2"/>
  <c r="AO232" i="2"/>
  <c r="AN232" i="2"/>
  <c r="K232" i="1"/>
  <c r="AM232" i="2"/>
  <c r="J232" i="1"/>
  <c r="AL232" i="2"/>
  <c r="I232" i="1"/>
  <c r="AK232" i="2"/>
  <c r="AJ232" i="2"/>
  <c r="AI232" i="2"/>
  <c r="AH232" i="2"/>
  <c r="E232" i="1"/>
  <c r="AG232" i="2"/>
  <c r="D232" i="1"/>
  <c r="AF232" i="2"/>
  <c r="C232" i="1"/>
  <c r="AE232" i="2"/>
  <c r="AD232" i="2"/>
  <c r="AA232" i="2"/>
  <c r="Z232" i="2"/>
  <c r="S231" i="1"/>
  <c r="AU231" i="2"/>
  <c r="R231" i="1"/>
  <c r="AT231" i="2"/>
  <c r="Q231" i="1"/>
  <c r="AS231" i="2"/>
  <c r="P231" i="1"/>
  <c r="AR231" i="2"/>
  <c r="O231" i="1"/>
  <c r="AQ231" i="2"/>
  <c r="AP231" i="2"/>
  <c r="AO231" i="2"/>
  <c r="AN231" i="2"/>
  <c r="K231" i="1"/>
  <c r="AM231" i="2"/>
  <c r="J231" i="1"/>
  <c r="AL231" i="2"/>
  <c r="I231" i="1"/>
  <c r="AK231" i="2"/>
  <c r="AJ231" i="2"/>
  <c r="AI231" i="2"/>
  <c r="AH231" i="2"/>
  <c r="E231" i="1"/>
  <c r="AG231" i="2"/>
  <c r="D231" i="1"/>
  <c r="AF231" i="2"/>
  <c r="C231" i="1"/>
  <c r="AE231" i="2"/>
  <c r="AD231" i="2"/>
  <c r="AA231" i="2"/>
  <c r="Z231" i="2"/>
  <c r="S230" i="1"/>
  <c r="AU230" i="2"/>
  <c r="R230" i="1"/>
  <c r="AT230" i="2"/>
  <c r="Q230" i="1"/>
  <c r="AS230" i="2"/>
  <c r="P230" i="1"/>
  <c r="AR230" i="2"/>
  <c r="O230" i="1"/>
  <c r="AQ230" i="2"/>
  <c r="AP230" i="2"/>
  <c r="AO230" i="2"/>
  <c r="AN230" i="2"/>
  <c r="K230" i="1"/>
  <c r="AM230" i="2"/>
  <c r="J230" i="1"/>
  <c r="AL230" i="2"/>
  <c r="I230" i="1"/>
  <c r="AK230" i="2"/>
  <c r="AJ230" i="2"/>
  <c r="AI230" i="2"/>
  <c r="AH230" i="2"/>
  <c r="E230" i="1"/>
  <c r="AG230" i="2"/>
  <c r="D230" i="1"/>
  <c r="AF230" i="2"/>
  <c r="C230" i="1"/>
  <c r="AE230" i="2"/>
  <c r="AD230" i="2"/>
  <c r="AA230" i="2"/>
  <c r="Z230" i="2"/>
  <c r="S229" i="1"/>
  <c r="AU229" i="2"/>
  <c r="R229" i="1"/>
  <c r="AT229" i="2"/>
  <c r="Q229" i="1"/>
  <c r="AS229" i="2"/>
  <c r="P229" i="1"/>
  <c r="AR229" i="2"/>
  <c r="O229" i="1"/>
  <c r="AQ229" i="2"/>
  <c r="AP229" i="2"/>
  <c r="AO229" i="2"/>
  <c r="AN229" i="2"/>
  <c r="K229" i="1"/>
  <c r="AM229" i="2"/>
  <c r="J229" i="1"/>
  <c r="AL229" i="2"/>
  <c r="I229" i="1"/>
  <c r="AK229" i="2"/>
  <c r="AJ229" i="2"/>
  <c r="AI229" i="2"/>
  <c r="AH229" i="2"/>
  <c r="E229" i="1"/>
  <c r="AG229" i="2"/>
  <c r="D229" i="1"/>
  <c r="AF229" i="2"/>
  <c r="C229" i="1"/>
  <c r="AE229" i="2"/>
  <c r="AD229" i="2"/>
  <c r="AA229" i="2"/>
  <c r="Z229" i="2"/>
  <c r="S228" i="1"/>
  <c r="AU228" i="2"/>
  <c r="R228" i="1"/>
  <c r="AT228" i="2"/>
  <c r="Q228" i="1"/>
  <c r="AS228" i="2"/>
  <c r="P228" i="1"/>
  <c r="AR228" i="2"/>
  <c r="O228" i="1"/>
  <c r="AQ228" i="2"/>
  <c r="AP228" i="2"/>
  <c r="AO228" i="2"/>
  <c r="AN228" i="2"/>
  <c r="K228" i="1"/>
  <c r="AM228" i="2"/>
  <c r="J228" i="1"/>
  <c r="AL228" i="2"/>
  <c r="I228" i="1"/>
  <c r="AK228" i="2"/>
  <c r="AJ228" i="2"/>
  <c r="AI228" i="2"/>
  <c r="AH228" i="2"/>
  <c r="E228" i="1"/>
  <c r="AG228" i="2"/>
  <c r="D228" i="1"/>
  <c r="AF228" i="2"/>
  <c r="C228" i="1"/>
  <c r="AE228" i="2"/>
  <c r="AD228" i="2"/>
  <c r="AA228" i="2"/>
  <c r="Z228" i="2"/>
  <c r="S227" i="1"/>
  <c r="AU227" i="2"/>
  <c r="R227" i="1"/>
  <c r="AT227" i="2"/>
  <c r="Q227" i="1"/>
  <c r="AS227" i="2"/>
  <c r="P227" i="1"/>
  <c r="AR227" i="2"/>
  <c r="O227" i="1"/>
  <c r="AQ227" i="2"/>
  <c r="AP227" i="2"/>
  <c r="AO227" i="2"/>
  <c r="AN227" i="2"/>
  <c r="K227" i="1"/>
  <c r="AM227" i="2"/>
  <c r="J227" i="1"/>
  <c r="AL227" i="2"/>
  <c r="I227" i="1"/>
  <c r="AK227" i="2"/>
  <c r="AJ227" i="2"/>
  <c r="AI227" i="2"/>
  <c r="AH227" i="2"/>
  <c r="E227" i="1"/>
  <c r="AG227" i="2"/>
  <c r="D227" i="1"/>
  <c r="AF227" i="2"/>
  <c r="C227" i="1"/>
  <c r="AE227" i="2"/>
  <c r="AD227" i="2"/>
  <c r="AA227" i="2"/>
  <c r="Z227" i="2"/>
  <c r="S226" i="1"/>
  <c r="AU226" i="2"/>
  <c r="R226" i="1"/>
  <c r="AT226" i="2"/>
  <c r="Q226" i="1"/>
  <c r="AS226" i="2"/>
  <c r="P226" i="1"/>
  <c r="AR226" i="2"/>
  <c r="O226" i="1"/>
  <c r="AQ226" i="2"/>
  <c r="AP226" i="2"/>
  <c r="AO226" i="2"/>
  <c r="AN226" i="2"/>
  <c r="K226" i="1"/>
  <c r="AM226" i="2"/>
  <c r="J226" i="1"/>
  <c r="AL226" i="2"/>
  <c r="I226" i="1"/>
  <c r="AK226" i="2"/>
  <c r="AJ226" i="2"/>
  <c r="AI226" i="2"/>
  <c r="AH226" i="2"/>
  <c r="E226" i="1"/>
  <c r="AG226" i="2"/>
  <c r="D226" i="1"/>
  <c r="AF226" i="2"/>
  <c r="C226" i="1"/>
  <c r="AE226" i="2"/>
  <c r="AD226" i="2"/>
  <c r="AA226" i="2"/>
  <c r="Z226" i="2"/>
  <c r="S225" i="1"/>
  <c r="AU225" i="2"/>
  <c r="R225" i="1"/>
  <c r="AT225" i="2"/>
  <c r="Q225" i="1"/>
  <c r="AS225" i="2"/>
  <c r="P225" i="1"/>
  <c r="AR225" i="2"/>
  <c r="O225" i="1"/>
  <c r="AQ225" i="2"/>
  <c r="AP225" i="2"/>
  <c r="AO225" i="2"/>
  <c r="AN225" i="2"/>
  <c r="K225" i="1"/>
  <c r="AM225" i="2"/>
  <c r="J225" i="1"/>
  <c r="AL225" i="2"/>
  <c r="I225" i="1"/>
  <c r="AK225" i="2"/>
  <c r="AJ225" i="2"/>
  <c r="AI225" i="2"/>
  <c r="AH225" i="2"/>
  <c r="E225" i="1"/>
  <c r="AG225" i="2"/>
  <c r="D225" i="1"/>
  <c r="AF225" i="2"/>
  <c r="C225" i="1"/>
  <c r="AE225" i="2"/>
  <c r="AD225" i="2"/>
  <c r="AA225" i="2"/>
  <c r="Z225" i="2"/>
  <c r="S224" i="1"/>
  <c r="AU224" i="2"/>
  <c r="R224" i="1"/>
  <c r="AT224" i="2"/>
  <c r="Q224" i="1"/>
  <c r="AS224" i="2"/>
  <c r="P224" i="1"/>
  <c r="AR224" i="2"/>
  <c r="O224" i="1"/>
  <c r="AQ224" i="2"/>
  <c r="AP224" i="2"/>
  <c r="AO224" i="2"/>
  <c r="AN224" i="2"/>
  <c r="K224" i="1"/>
  <c r="AM224" i="2"/>
  <c r="J224" i="1"/>
  <c r="AL224" i="2"/>
  <c r="I224" i="1"/>
  <c r="AK224" i="2"/>
  <c r="AJ224" i="2"/>
  <c r="AI224" i="2"/>
  <c r="AH224" i="2"/>
  <c r="E224" i="1"/>
  <c r="AG224" i="2"/>
  <c r="D224" i="1"/>
  <c r="AF224" i="2"/>
  <c r="C224" i="1"/>
  <c r="AE224" i="2"/>
  <c r="AD224" i="2"/>
  <c r="AA224" i="2"/>
  <c r="Z224" i="2"/>
  <c r="S223" i="1"/>
  <c r="AU223" i="2"/>
  <c r="R223" i="1"/>
  <c r="AT223" i="2"/>
  <c r="Q223" i="1"/>
  <c r="AS223" i="2"/>
  <c r="P223" i="1"/>
  <c r="AR223" i="2"/>
  <c r="O223" i="1"/>
  <c r="AQ223" i="2"/>
  <c r="AP223" i="2"/>
  <c r="AO223" i="2"/>
  <c r="AN223" i="2"/>
  <c r="K223" i="1"/>
  <c r="AM223" i="2"/>
  <c r="J223" i="1"/>
  <c r="AL223" i="2"/>
  <c r="I223" i="1"/>
  <c r="AK223" i="2"/>
  <c r="AJ223" i="2"/>
  <c r="AI223" i="2"/>
  <c r="AH223" i="2"/>
  <c r="E223" i="1"/>
  <c r="AG223" i="2"/>
  <c r="D223" i="1"/>
  <c r="AF223" i="2"/>
  <c r="C223" i="1"/>
  <c r="AE223" i="2"/>
  <c r="AD223" i="2"/>
  <c r="AA223" i="2"/>
  <c r="Z223" i="2"/>
  <c r="S222" i="1"/>
  <c r="AU222" i="2"/>
  <c r="R222" i="1"/>
  <c r="AT222" i="2"/>
  <c r="Q222" i="1"/>
  <c r="AS222" i="2"/>
  <c r="P222" i="1"/>
  <c r="AR222" i="2"/>
  <c r="O222" i="1"/>
  <c r="AQ222" i="2"/>
  <c r="AP222" i="2"/>
  <c r="AO222" i="2"/>
  <c r="AN222" i="2"/>
  <c r="K222" i="1"/>
  <c r="AM222" i="2"/>
  <c r="J222" i="1"/>
  <c r="AL222" i="2"/>
  <c r="I222" i="1"/>
  <c r="AK222" i="2"/>
  <c r="AJ222" i="2"/>
  <c r="AI222" i="2"/>
  <c r="AH222" i="2"/>
  <c r="E222" i="1"/>
  <c r="AG222" i="2"/>
  <c r="D222" i="1"/>
  <c r="AF222" i="2"/>
  <c r="C222" i="1"/>
  <c r="AE222" i="2"/>
  <c r="AD222" i="2"/>
  <c r="AA222" i="2"/>
  <c r="Z222" i="2"/>
  <c r="S221" i="1"/>
  <c r="AU221" i="2"/>
  <c r="R221" i="1"/>
  <c r="AT221" i="2"/>
  <c r="Q221" i="1"/>
  <c r="AS221" i="2"/>
  <c r="P221" i="1"/>
  <c r="AR221" i="2"/>
  <c r="O221" i="1"/>
  <c r="AQ221" i="2"/>
  <c r="AP221" i="2"/>
  <c r="AO221" i="2"/>
  <c r="AN221" i="2"/>
  <c r="K221" i="1"/>
  <c r="AM221" i="2"/>
  <c r="J221" i="1"/>
  <c r="AL221" i="2"/>
  <c r="I221" i="1"/>
  <c r="AK221" i="2"/>
  <c r="AJ221" i="2"/>
  <c r="AI221" i="2"/>
  <c r="AH221" i="2"/>
  <c r="E221" i="1"/>
  <c r="AG221" i="2"/>
  <c r="D221" i="1"/>
  <c r="AF221" i="2"/>
  <c r="C221" i="1"/>
  <c r="AE221" i="2"/>
  <c r="AD221" i="2"/>
  <c r="AA221" i="2"/>
  <c r="Z221" i="2"/>
  <c r="S220" i="1"/>
  <c r="AU220" i="2"/>
  <c r="R220" i="1"/>
  <c r="AT220" i="2"/>
  <c r="Q220" i="1"/>
  <c r="AS220" i="2"/>
  <c r="P220" i="1"/>
  <c r="AR220" i="2"/>
  <c r="O220" i="1"/>
  <c r="AQ220" i="2"/>
  <c r="AP220" i="2"/>
  <c r="AO220" i="2"/>
  <c r="AN220" i="2"/>
  <c r="K220" i="1"/>
  <c r="AM220" i="2"/>
  <c r="J220" i="1"/>
  <c r="AL220" i="2"/>
  <c r="I220" i="1"/>
  <c r="AK220" i="2"/>
  <c r="AJ220" i="2"/>
  <c r="AI220" i="2"/>
  <c r="AH220" i="2"/>
  <c r="E220" i="1"/>
  <c r="AG220" i="2"/>
  <c r="D220" i="1"/>
  <c r="AF220" i="2"/>
  <c r="C220" i="1"/>
  <c r="AE220" i="2"/>
  <c r="AD220" i="2"/>
  <c r="AA220" i="2"/>
  <c r="Z220" i="2"/>
  <c r="S219" i="1"/>
  <c r="AU219" i="2"/>
  <c r="R219" i="1"/>
  <c r="AT219" i="2"/>
  <c r="Q219" i="1"/>
  <c r="AS219" i="2"/>
  <c r="P219" i="1"/>
  <c r="AR219" i="2"/>
  <c r="O219" i="1"/>
  <c r="AQ219" i="2"/>
  <c r="AP219" i="2"/>
  <c r="AO219" i="2"/>
  <c r="AN219" i="2"/>
  <c r="K219" i="1"/>
  <c r="AM219" i="2"/>
  <c r="J219" i="1"/>
  <c r="AL219" i="2"/>
  <c r="I219" i="1"/>
  <c r="AK219" i="2"/>
  <c r="AJ219" i="2"/>
  <c r="AI219" i="2"/>
  <c r="AH219" i="2"/>
  <c r="E219" i="1"/>
  <c r="AG219" i="2"/>
  <c r="D219" i="1"/>
  <c r="AF219" i="2"/>
  <c r="C219" i="1"/>
  <c r="AE219" i="2"/>
  <c r="AD219" i="2"/>
  <c r="AA219" i="2"/>
  <c r="Z219" i="2"/>
  <c r="S218" i="1"/>
  <c r="AU218" i="2"/>
  <c r="R218" i="1"/>
  <c r="AT218" i="2"/>
  <c r="Q218" i="1"/>
  <c r="AS218" i="2"/>
  <c r="P218" i="1"/>
  <c r="AR218" i="2"/>
  <c r="O218" i="1"/>
  <c r="AQ218" i="2"/>
  <c r="AP218" i="2"/>
  <c r="AO218" i="2"/>
  <c r="AN218" i="2"/>
  <c r="K218" i="1"/>
  <c r="AM218" i="2"/>
  <c r="J218" i="1"/>
  <c r="AL218" i="2"/>
  <c r="I218" i="1"/>
  <c r="AK218" i="2"/>
  <c r="AJ218" i="2"/>
  <c r="AI218" i="2"/>
  <c r="AH218" i="2"/>
  <c r="E218" i="1"/>
  <c r="AG218" i="2"/>
  <c r="D218" i="1"/>
  <c r="AF218" i="2"/>
  <c r="C218" i="1"/>
  <c r="AE218" i="2"/>
  <c r="AD218" i="2"/>
  <c r="AA218" i="2"/>
  <c r="Z218" i="2"/>
  <c r="S217" i="1"/>
  <c r="AU217" i="2"/>
  <c r="R217" i="1"/>
  <c r="AT217" i="2"/>
  <c r="Q217" i="1"/>
  <c r="AS217" i="2"/>
  <c r="P217" i="1"/>
  <c r="AR217" i="2"/>
  <c r="O217" i="1"/>
  <c r="AQ217" i="2"/>
  <c r="AP217" i="2"/>
  <c r="AO217" i="2"/>
  <c r="AN217" i="2"/>
  <c r="K217" i="1"/>
  <c r="AM217" i="2"/>
  <c r="J217" i="1"/>
  <c r="AL217" i="2"/>
  <c r="I217" i="1"/>
  <c r="AK217" i="2"/>
  <c r="AJ217" i="2"/>
  <c r="AI217" i="2"/>
  <c r="AH217" i="2"/>
  <c r="E217" i="1"/>
  <c r="AG217" i="2"/>
  <c r="D217" i="1"/>
  <c r="AF217" i="2"/>
  <c r="C217" i="1"/>
  <c r="AE217" i="2"/>
  <c r="AD217" i="2"/>
  <c r="AA217" i="2"/>
  <c r="Z217" i="2"/>
  <c r="S216" i="1"/>
  <c r="AU216" i="2"/>
  <c r="R216" i="1"/>
  <c r="AT216" i="2"/>
  <c r="Q216" i="1"/>
  <c r="AS216" i="2"/>
  <c r="P216" i="1"/>
  <c r="AR216" i="2"/>
  <c r="O216" i="1"/>
  <c r="AQ216" i="2"/>
  <c r="AP216" i="2"/>
  <c r="AO216" i="2"/>
  <c r="AN216" i="2"/>
  <c r="K216" i="1"/>
  <c r="AM216" i="2"/>
  <c r="J216" i="1"/>
  <c r="AL216" i="2"/>
  <c r="I216" i="1"/>
  <c r="AK216" i="2"/>
  <c r="AJ216" i="2"/>
  <c r="AI216" i="2"/>
  <c r="AH216" i="2"/>
  <c r="E216" i="1"/>
  <c r="AG216" i="2"/>
  <c r="D216" i="1"/>
  <c r="AF216" i="2"/>
  <c r="C216" i="1"/>
  <c r="AE216" i="2"/>
  <c r="AD216" i="2"/>
  <c r="AA216" i="2"/>
  <c r="Z216" i="2"/>
  <c r="S215" i="1"/>
  <c r="AU215" i="2"/>
  <c r="R215" i="1"/>
  <c r="AT215" i="2"/>
  <c r="Q215" i="1"/>
  <c r="AS215" i="2"/>
  <c r="P215" i="1"/>
  <c r="AR215" i="2"/>
  <c r="O215" i="1"/>
  <c r="AQ215" i="2"/>
  <c r="AP215" i="2"/>
  <c r="AO215" i="2"/>
  <c r="AN215" i="2"/>
  <c r="K215" i="1"/>
  <c r="AM215" i="2"/>
  <c r="J215" i="1"/>
  <c r="AL215" i="2"/>
  <c r="I215" i="1"/>
  <c r="AK215" i="2"/>
  <c r="AJ215" i="2"/>
  <c r="AI215" i="2"/>
  <c r="AH215" i="2"/>
  <c r="E215" i="1"/>
  <c r="AG215" i="2"/>
  <c r="D215" i="1"/>
  <c r="AF215" i="2"/>
  <c r="C215" i="1"/>
  <c r="AE215" i="2"/>
  <c r="AD215" i="2"/>
  <c r="AA215" i="2"/>
  <c r="Z215" i="2"/>
  <c r="S214" i="1"/>
  <c r="AU214" i="2"/>
  <c r="R214" i="1"/>
  <c r="AT214" i="2"/>
  <c r="Q214" i="1"/>
  <c r="AS214" i="2"/>
  <c r="P214" i="1"/>
  <c r="AR214" i="2"/>
  <c r="O214" i="1"/>
  <c r="AQ214" i="2"/>
  <c r="AP214" i="2"/>
  <c r="AO214" i="2"/>
  <c r="AN214" i="2"/>
  <c r="K214" i="1"/>
  <c r="AM214" i="2"/>
  <c r="J214" i="1"/>
  <c r="AL214" i="2"/>
  <c r="I214" i="1"/>
  <c r="AK214" i="2"/>
  <c r="AJ214" i="2"/>
  <c r="AI214" i="2"/>
  <c r="AH214" i="2"/>
  <c r="E214" i="1"/>
  <c r="AG214" i="2"/>
  <c r="D214" i="1"/>
  <c r="AF214" i="2"/>
  <c r="C214" i="1"/>
  <c r="AE214" i="2"/>
  <c r="AD214" i="2"/>
  <c r="AA214" i="2"/>
  <c r="Z214" i="2"/>
  <c r="S213" i="1"/>
  <c r="AU213" i="2"/>
  <c r="R213" i="1"/>
  <c r="AT213" i="2"/>
  <c r="Q213" i="1"/>
  <c r="AS213" i="2"/>
  <c r="P213" i="1"/>
  <c r="AR213" i="2"/>
  <c r="O213" i="1"/>
  <c r="AQ213" i="2"/>
  <c r="AP213" i="2"/>
  <c r="AO213" i="2"/>
  <c r="AN213" i="2"/>
  <c r="K213" i="1"/>
  <c r="AM213" i="2"/>
  <c r="J213" i="1"/>
  <c r="AL213" i="2"/>
  <c r="I213" i="1"/>
  <c r="AK213" i="2"/>
  <c r="AJ213" i="2"/>
  <c r="AI213" i="2"/>
  <c r="AH213" i="2"/>
  <c r="E213" i="1"/>
  <c r="AG213" i="2"/>
  <c r="D213" i="1"/>
  <c r="AF213" i="2"/>
  <c r="C213" i="1"/>
  <c r="AE213" i="2"/>
  <c r="AD213" i="2"/>
  <c r="AA213" i="2"/>
  <c r="Z213" i="2"/>
  <c r="S212" i="1"/>
  <c r="AU212" i="2"/>
  <c r="R212" i="1"/>
  <c r="AT212" i="2"/>
  <c r="Q212" i="1"/>
  <c r="AS212" i="2"/>
  <c r="P212" i="1"/>
  <c r="AR212" i="2"/>
  <c r="O212" i="1"/>
  <c r="AQ212" i="2"/>
  <c r="AP212" i="2"/>
  <c r="AO212" i="2"/>
  <c r="AN212" i="2"/>
  <c r="K212" i="1"/>
  <c r="AM212" i="2"/>
  <c r="J212" i="1"/>
  <c r="AL212" i="2"/>
  <c r="I212" i="1"/>
  <c r="AK212" i="2"/>
  <c r="AJ212" i="2"/>
  <c r="AI212" i="2"/>
  <c r="AH212" i="2"/>
  <c r="E212" i="1"/>
  <c r="AG212" i="2"/>
  <c r="D212" i="1"/>
  <c r="AF212" i="2"/>
  <c r="C212" i="1"/>
  <c r="AE212" i="2"/>
  <c r="AD212" i="2"/>
  <c r="AA212" i="2"/>
  <c r="Z212" i="2"/>
  <c r="S211" i="1"/>
  <c r="AU211" i="2"/>
  <c r="R211" i="1"/>
  <c r="AT211" i="2"/>
  <c r="Q211" i="1"/>
  <c r="AS211" i="2"/>
  <c r="P211" i="1"/>
  <c r="AR211" i="2"/>
  <c r="O211" i="1"/>
  <c r="AQ211" i="2"/>
  <c r="AP211" i="2"/>
  <c r="AO211" i="2"/>
  <c r="AN211" i="2"/>
  <c r="K211" i="1"/>
  <c r="AM211" i="2"/>
  <c r="J211" i="1"/>
  <c r="AL211" i="2"/>
  <c r="I211" i="1"/>
  <c r="AK211" i="2"/>
  <c r="AJ211" i="2"/>
  <c r="AI211" i="2"/>
  <c r="AH211" i="2"/>
  <c r="E211" i="1"/>
  <c r="AG211" i="2"/>
  <c r="D211" i="1"/>
  <c r="AF211" i="2"/>
  <c r="C211" i="1"/>
  <c r="AE211" i="2"/>
  <c r="AD211" i="2"/>
  <c r="AA211" i="2"/>
  <c r="Z211" i="2"/>
  <c r="S210" i="1"/>
  <c r="AU210" i="2"/>
  <c r="R210" i="1"/>
  <c r="AT210" i="2"/>
  <c r="Q210" i="1"/>
  <c r="AS210" i="2"/>
  <c r="P210" i="1"/>
  <c r="AR210" i="2"/>
  <c r="O210" i="1"/>
  <c r="AQ210" i="2"/>
  <c r="AP210" i="2"/>
  <c r="AO210" i="2"/>
  <c r="AN210" i="2"/>
  <c r="K210" i="1"/>
  <c r="AM210" i="2"/>
  <c r="J210" i="1"/>
  <c r="AL210" i="2"/>
  <c r="I210" i="1"/>
  <c r="AK210" i="2"/>
  <c r="AJ210" i="2"/>
  <c r="AI210" i="2"/>
  <c r="AH210" i="2"/>
  <c r="E210" i="1"/>
  <c r="AG210" i="2"/>
  <c r="D210" i="1"/>
  <c r="AF210" i="2"/>
  <c r="C210" i="1"/>
  <c r="AE210" i="2"/>
  <c r="AD210" i="2"/>
  <c r="AA210" i="2"/>
  <c r="Z210" i="2"/>
  <c r="S209" i="1"/>
  <c r="AU209" i="2"/>
  <c r="R209" i="1"/>
  <c r="AT209" i="2"/>
  <c r="Q209" i="1"/>
  <c r="AS209" i="2"/>
  <c r="P209" i="1"/>
  <c r="AR209" i="2"/>
  <c r="O209" i="1"/>
  <c r="AQ209" i="2"/>
  <c r="AP209" i="2"/>
  <c r="AO209" i="2"/>
  <c r="AN209" i="2"/>
  <c r="K209" i="1"/>
  <c r="AM209" i="2"/>
  <c r="J209" i="1"/>
  <c r="AL209" i="2"/>
  <c r="I209" i="1"/>
  <c r="AK209" i="2"/>
  <c r="AJ209" i="2"/>
  <c r="AI209" i="2"/>
  <c r="AH209" i="2"/>
  <c r="E209" i="1"/>
  <c r="AG209" i="2"/>
  <c r="D209" i="1"/>
  <c r="AF209" i="2"/>
  <c r="C209" i="1"/>
  <c r="AE209" i="2"/>
  <c r="AD209" i="2"/>
  <c r="AA209" i="2"/>
  <c r="Z209" i="2"/>
  <c r="S208" i="1"/>
  <c r="AU208" i="2"/>
  <c r="R208" i="1"/>
  <c r="AT208" i="2"/>
  <c r="Q208" i="1"/>
  <c r="AS208" i="2"/>
  <c r="P208" i="1"/>
  <c r="AR208" i="2"/>
  <c r="O208" i="1"/>
  <c r="AQ208" i="2"/>
  <c r="AP208" i="2"/>
  <c r="AO208" i="2"/>
  <c r="AN208" i="2"/>
  <c r="K208" i="1"/>
  <c r="AM208" i="2"/>
  <c r="J208" i="1"/>
  <c r="AL208" i="2"/>
  <c r="I208" i="1"/>
  <c r="AK208" i="2"/>
  <c r="AJ208" i="2"/>
  <c r="AI208" i="2"/>
  <c r="AH208" i="2"/>
  <c r="E208" i="1"/>
  <c r="AG208" i="2"/>
  <c r="D208" i="1"/>
  <c r="AF208" i="2"/>
  <c r="C208" i="1"/>
  <c r="AE208" i="2"/>
  <c r="AD208" i="2"/>
  <c r="AA208" i="2"/>
  <c r="Z208" i="2"/>
  <c r="S207" i="1"/>
  <c r="AU207" i="2"/>
  <c r="R207" i="1"/>
  <c r="AT207" i="2"/>
  <c r="Q207" i="1"/>
  <c r="AS207" i="2"/>
  <c r="P207" i="1"/>
  <c r="AR207" i="2"/>
  <c r="O207" i="1"/>
  <c r="AQ207" i="2"/>
  <c r="AP207" i="2"/>
  <c r="AO207" i="2"/>
  <c r="AN207" i="2"/>
  <c r="K207" i="1"/>
  <c r="AM207" i="2"/>
  <c r="J207" i="1"/>
  <c r="AL207" i="2"/>
  <c r="I207" i="1"/>
  <c r="AK207" i="2"/>
  <c r="AJ207" i="2"/>
  <c r="AI207" i="2"/>
  <c r="AH207" i="2"/>
  <c r="E207" i="1"/>
  <c r="AG207" i="2"/>
  <c r="D207" i="1"/>
  <c r="AF207" i="2"/>
  <c r="C207" i="1"/>
  <c r="AE207" i="2"/>
  <c r="AD207" i="2"/>
  <c r="AA207" i="2"/>
  <c r="Z207" i="2"/>
  <c r="S206" i="1"/>
  <c r="AU206" i="2"/>
  <c r="R206" i="1"/>
  <c r="AT206" i="2"/>
  <c r="Q206" i="1"/>
  <c r="AS206" i="2"/>
  <c r="P206" i="1"/>
  <c r="AR206" i="2"/>
  <c r="O206" i="1"/>
  <c r="AQ206" i="2"/>
  <c r="AP206" i="2"/>
  <c r="AO206" i="2"/>
  <c r="AN206" i="2"/>
  <c r="K206" i="1"/>
  <c r="AM206" i="2"/>
  <c r="J206" i="1"/>
  <c r="AL206" i="2"/>
  <c r="I206" i="1"/>
  <c r="AK206" i="2"/>
  <c r="AJ206" i="2"/>
  <c r="AI206" i="2"/>
  <c r="AH206" i="2"/>
  <c r="E206" i="1"/>
  <c r="AG206" i="2"/>
  <c r="D206" i="1"/>
  <c r="AF206" i="2"/>
  <c r="C206" i="1"/>
  <c r="AE206" i="2"/>
  <c r="AD206" i="2"/>
  <c r="AA206" i="2"/>
  <c r="Z206" i="2"/>
  <c r="S205" i="1"/>
  <c r="AU205" i="2"/>
  <c r="R205" i="1"/>
  <c r="AT205" i="2"/>
  <c r="Q205" i="1"/>
  <c r="AS205" i="2"/>
  <c r="P205" i="1"/>
  <c r="AR205" i="2"/>
  <c r="O205" i="1"/>
  <c r="AQ205" i="2"/>
  <c r="AP205" i="2"/>
  <c r="AO205" i="2"/>
  <c r="AN205" i="2"/>
  <c r="K205" i="1"/>
  <c r="AM205" i="2"/>
  <c r="J205" i="1"/>
  <c r="AL205" i="2"/>
  <c r="I205" i="1"/>
  <c r="AK205" i="2"/>
  <c r="AJ205" i="2"/>
  <c r="AI205" i="2"/>
  <c r="AH205" i="2"/>
  <c r="E205" i="1"/>
  <c r="AG205" i="2"/>
  <c r="D205" i="1"/>
  <c r="AF205" i="2"/>
  <c r="C205" i="1"/>
  <c r="AE205" i="2"/>
  <c r="AD205" i="2"/>
  <c r="AA205" i="2"/>
  <c r="Z205" i="2"/>
  <c r="S204" i="1"/>
  <c r="AU204" i="2"/>
  <c r="R204" i="1"/>
  <c r="AT204" i="2"/>
  <c r="Q204" i="1"/>
  <c r="AS204" i="2"/>
  <c r="P204" i="1"/>
  <c r="AR204" i="2"/>
  <c r="O204" i="1"/>
  <c r="AQ204" i="2"/>
  <c r="AP204" i="2"/>
  <c r="AO204" i="2"/>
  <c r="AN204" i="2"/>
  <c r="K204" i="1"/>
  <c r="AM204" i="2"/>
  <c r="J204" i="1"/>
  <c r="AL204" i="2"/>
  <c r="I204" i="1"/>
  <c r="AK204" i="2"/>
  <c r="AJ204" i="2"/>
  <c r="AI204" i="2"/>
  <c r="AH204" i="2"/>
  <c r="E204" i="1"/>
  <c r="AG204" i="2"/>
  <c r="D204" i="1"/>
  <c r="AF204" i="2"/>
  <c r="C204" i="1"/>
  <c r="AE204" i="2"/>
  <c r="AD204" i="2"/>
  <c r="AA204" i="2"/>
  <c r="Z204" i="2"/>
  <c r="S203" i="1"/>
  <c r="AU203" i="2"/>
  <c r="R203" i="1"/>
  <c r="AT203" i="2"/>
  <c r="Q203" i="1"/>
  <c r="AS203" i="2"/>
  <c r="P203" i="1"/>
  <c r="AR203" i="2"/>
  <c r="O203" i="1"/>
  <c r="AQ203" i="2"/>
  <c r="AP203" i="2"/>
  <c r="AO203" i="2"/>
  <c r="AN203" i="2"/>
  <c r="K203" i="1"/>
  <c r="AM203" i="2"/>
  <c r="J203" i="1"/>
  <c r="AL203" i="2"/>
  <c r="I203" i="1"/>
  <c r="AK203" i="2"/>
  <c r="AJ203" i="2"/>
  <c r="AI203" i="2"/>
  <c r="AH203" i="2"/>
  <c r="E203" i="1"/>
  <c r="AG203" i="2"/>
  <c r="D203" i="1"/>
  <c r="AF203" i="2"/>
  <c r="C203" i="1"/>
  <c r="AE203" i="2"/>
  <c r="AD203" i="2"/>
  <c r="AA203" i="2"/>
  <c r="Z203" i="2"/>
  <c r="S202" i="1"/>
  <c r="AU202" i="2"/>
  <c r="R202" i="1"/>
  <c r="AT202" i="2"/>
  <c r="Q202" i="1"/>
  <c r="AS202" i="2"/>
  <c r="P202" i="1"/>
  <c r="AR202" i="2"/>
  <c r="O202" i="1"/>
  <c r="AQ202" i="2"/>
  <c r="AP202" i="2"/>
  <c r="AO202" i="2"/>
  <c r="AN202" i="2"/>
  <c r="K202" i="1"/>
  <c r="AM202" i="2"/>
  <c r="J202" i="1"/>
  <c r="AL202" i="2"/>
  <c r="I202" i="1"/>
  <c r="AK202" i="2"/>
  <c r="AJ202" i="2"/>
  <c r="AI202" i="2"/>
  <c r="AH202" i="2"/>
  <c r="E202" i="1"/>
  <c r="AG202" i="2"/>
  <c r="D202" i="1"/>
  <c r="AF202" i="2"/>
  <c r="C202" i="1"/>
  <c r="AE202" i="2"/>
  <c r="AD202" i="2"/>
  <c r="AA202" i="2"/>
  <c r="Z202" i="2"/>
  <c r="S201" i="1"/>
  <c r="AU201" i="2"/>
  <c r="R201" i="1"/>
  <c r="AT201" i="2"/>
  <c r="Q201" i="1"/>
  <c r="AS201" i="2"/>
  <c r="P201" i="1"/>
  <c r="AR201" i="2"/>
  <c r="O201" i="1"/>
  <c r="AQ201" i="2"/>
  <c r="AP201" i="2"/>
  <c r="AO201" i="2"/>
  <c r="AN201" i="2"/>
  <c r="K201" i="1"/>
  <c r="AM201" i="2"/>
  <c r="J201" i="1"/>
  <c r="AL201" i="2"/>
  <c r="I201" i="1"/>
  <c r="AK201" i="2"/>
  <c r="AJ201" i="2"/>
  <c r="AI201" i="2"/>
  <c r="AH201" i="2"/>
  <c r="E201" i="1"/>
  <c r="AG201" i="2"/>
  <c r="D201" i="1"/>
  <c r="AF201" i="2"/>
  <c r="C201" i="1"/>
  <c r="AE201" i="2"/>
  <c r="AD201" i="2"/>
  <c r="AA201" i="2"/>
  <c r="Z201" i="2"/>
  <c r="S200" i="1"/>
  <c r="AU200" i="2"/>
  <c r="R200" i="1"/>
  <c r="AT200" i="2"/>
  <c r="Q200" i="1"/>
  <c r="AS200" i="2"/>
  <c r="P200" i="1"/>
  <c r="AR200" i="2"/>
  <c r="O200" i="1"/>
  <c r="AQ200" i="2"/>
  <c r="AP200" i="2"/>
  <c r="AO200" i="2"/>
  <c r="AN200" i="2"/>
  <c r="K200" i="1"/>
  <c r="AM200" i="2"/>
  <c r="J200" i="1"/>
  <c r="AL200" i="2"/>
  <c r="I200" i="1"/>
  <c r="AK200" i="2"/>
  <c r="AJ200" i="2"/>
  <c r="AI200" i="2"/>
  <c r="AH200" i="2"/>
  <c r="E200" i="1"/>
  <c r="AG200" i="2"/>
  <c r="D200" i="1"/>
  <c r="AF200" i="2"/>
  <c r="C200" i="1"/>
  <c r="AE200" i="2"/>
  <c r="AD200" i="2"/>
  <c r="AA200" i="2"/>
  <c r="Z200" i="2"/>
  <c r="S199" i="1"/>
  <c r="AU199" i="2"/>
  <c r="R199" i="1"/>
  <c r="AT199" i="2"/>
  <c r="Q199" i="1"/>
  <c r="AS199" i="2"/>
  <c r="P199" i="1"/>
  <c r="AR199" i="2"/>
  <c r="O199" i="1"/>
  <c r="AQ199" i="2"/>
  <c r="AP199" i="2"/>
  <c r="AO199" i="2"/>
  <c r="AN199" i="2"/>
  <c r="K199" i="1"/>
  <c r="AM199" i="2"/>
  <c r="J199" i="1"/>
  <c r="AL199" i="2"/>
  <c r="I199" i="1"/>
  <c r="AK199" i="2"/>
  <c r="AJ199" i="2"/>
  <c r="AI199" i="2"/>
  <c r="AH199" i="2"/>
  <c r="E199" i="1"/>
  <c r="AG199" i="2"/>
  <c r="D199" i="1"/>
  <c r="AF199" i="2"/>
  <c r="C199" i="1"/>
  <c r="AE199" i="2"/>
  <c r="AD199" i="2"/>
  <c r="AA199" i="2"/>
  <c r="Z199" i="2"/>
  <c r="S198" i="1"/>
  <c r="AU198" i="2"/>
  <c r="R198" i="1"/>
  <c r="AT198" i="2"/>
  <c r="Q198" i="1"/>
  <c r="AS198" i="2"/>
  <c r="P198" i="1"/>
  <c r="AR198" i="2"/>
  <c r="O198" i="1"/>
  <c r="AQ198" i="2"/>
  <c r="AP198" i="2"/>
  <c r="AO198" i="2"/>
  <c r="AN198" i="2"/>
  <c r="K198" i="1"/>
  <c r="AM198" i="2"/>
  <c r="J198" i="1"/>
  <c r="AL198" i="2"/>
  <c r="I198" i="1"/>
  <c r="AK198" i="2"/>
  <c r="AJ198" i="2"/>
  <c r="AI198" i="2"/>
  <c r="AH198" i="2"/>
  <c r="E198" i="1"/>
  <c r="AG198" i="2"/>
  <c r="D198" i="1"/>
  <c r="AF198" i="2"/>
  <c r="C198" i="1"/>
  <c r="AE198" i="2"/>
  <c r="AD198" i="2"/>
  <c r="AA198" i="2"/>
  <c r="Z198" i="2"/>
  <c r="S197" i="1"/>
  <c r="AU197" i="2"/>
  <c r="R197" i="1"/>
  <c r="AT197" i="2"/>
  <c r="Q197" i="1"/>
  <c r="AS197" i="2"/>
  <c r="P197" i="1"/>
  <c r="AR197" i="2"/>
  <c r="O197" i="1"/>
  <c r="AQ197" i="2"/>
  <c r="AP197" i="2"/>
  <c r="AO197" i="2"/>
  <c r="AN197" i="2"/>
  <c r="K197" i="1"/>
  <c r="AM197" i="2"/>
  <c r="J197" i="1"/>
  <c r="AL197" i="2"/>
  <c r="I197" i="1"/>
  <c r="AK197" i="2"/>
  <c r="AJ197" i="2"/>
  <c r="AI197" i="2"/>
  <c r="AH197" i="2"/>
  <c r="E197" i="1"/>
  <c r="AG197" i="2"/>
  <c r="D197" i="1"/>
  <c r="AF197" i="2"/>
  <c r="C197" i="1"/>
  <c r="AE197" i="2"/>
  <c r="AD197" i="2"/>
  <c r="AA197" i="2"/>
  <c r="Z197" i="2"/>
  <c r="S196" i="1"/>
  <c r="AU196" i="2"/>
  <c r="R196" i="1"/>
  <c r="AT196" i="2"/>
  <c r="Q196" i="1"/>
  <c r="AS196" i="2"/>
  <c r="P196" i="1"/>
  <c r="AR196" i="2"/>
  <c r="O196" i="1"/>
  <c r="AQ196" i="2"/>
  <c r="AP196" i="2"/>
  <c r="AO196" i="2"/>
  <c r="AN196" i="2"/>
  <c r="K196" i="1"/>
  <c r="AM196" i="2"/>
  <c r="J196" i="1"/>
  <c r="AL196" i="2"/>
  <c r="I196" i="1"/>
  <c r="AK196" i="2"/>
  <c r="AJ196" i="2"/>
  <c r="AI196" i="2"/>
  <c r="AH196" i="2"/>
  <c r="E196" i="1"/>
  <c r="AG196" i="2"/>
  <c r="D196" i="1"/>
  <c r="AF196" i="2"/>
  <c r="C196" i="1"/>
  <c r="AE196" i="2"/>
  <c r="AD196" i="2"/>
  <c r="AA196" i="2"/>
  <c r="Z196" i="2"/>
  <c r="S195" i="1"/>
  <c r="AU195" i="2"/>
  <c r="R195" i="1"/>
  <c r="AT195" i="2"/>
  <c r="Q195" i="1"/>
  <c r="AS195" i="2"/>
  <c r="P195" i="1"/>
  <c r="AR195" i="2"/>
  <c r="O195" i="1"/>
  <c r="AQ195" i="2"/>
  <c r="AP195" i="2"/>
  <c r="AO195" i="2"/>
  <c r="AN195" i="2"/>
  <c r="K195" i="1"/>
  <c r="AM195" i="2"/>
  <c r="J195" i="1"/>
  <c r="AL195" i="2"/>
  <c r="I195" i="1"/>
  <c r="AK195" i="2"/>
  <c r="AJ195" i="2"/>
  <c r="AI195" i="2"/>
  <c r="AH195" i="2"/>
  <c r="E195" i="1"/>
  <c r="AG195" i="2"/>
  <c r="D195" i="1"/>
  <c r="AF195" i="2"/>
  <c r="C195" i="1"/>
  <c r="AE195" i="2"/>
  <c r="AD195" i="2"/>
  <c r="AA195" i="2"/>
  <c r="Z195" i="2"/>
  <c r="S194" i="1"/>
  <c r="AU194" i="2"/>
  <c r="R194" i="1"/>
  <c r="AT194" i="2"/>
  <c r="Q194" i="1"/>
  <c r="AS194" i="2"/>
  <c r="P194" i="1"/>
  <c r="AR194" i="2"/>
  <c r="O194" i="1"/>
  <c r="AQ194" i="2"/>
  <c r="AP194" i="2"/>
  <c r="AO194" i="2"/>
  <c r="AN194" i="2"/>
  <c r="K194" i="1"/>
  <c r="AM194" i="2"/>
  <c r="J194" i="1"/>
  <c r="AL194" i="2"/>
  <c r="I194" i="1"/>
  <c r="AK194" i="2"/>
  <c r="AJ194" i="2"/>
  <c r="AI194" i="2"/>
  <c r="AH194" i="2"/>
  <c r="E194" i="1"/>
  <c r="AG194" i="2"/>
  <c r="D194" i="1"/>
  <c r="AF194" i="2"/>
  <c r="C194" i="1"/>
  <c r="AE194" i="2"/>
  <c r="AD194" i="2"/>
  <c r="AA194" i="2"/>
  <c r="Z194" i="2"/>
  <c r="S193" i="1"/>
  <c r="AU193" i="2"/>
  <c r="R193" i="1"/>
  <c r="AT193" i="2"/>
  <c r="Q193" i="1"/>
  <c r="AS193" i="2"/>
  <c r="P193" i="1"/>
  <c r="AR193" i="2"/>
  <c r="O193" i="1"/>
  <c r="AQ193" i="2"/>
  <c r="AP193" i="2"/>
  <c r="AO193" i="2"/>
  <c r="AN193" i="2"/>
  <c r="K193" i="1"/>
  <c r="AM193" i="2"/>
  <c r="J193" i="1"/>
  <c r="AL193" i="2"/>
  <c r="I193" i="1"/>
  <c r="AK193" i="2"/>
  <c r="AJ193" i="2"/>
  <c r="AI193" i="2"/>
  <c r="AH193" i="2"/>
  <c r="E193" i="1"/>
  <c r="AG193" i="2"/>
  <c r="D193" i="1"/>
  <c r="AF193" i="2"/>
  <c r="C193" i="1"/>
  <c r="AE193" i="2"/>
  <c r="AD193" i="2"/>
  <c r="AA193" i="2"/>
  <c r="Z193" i="2"/>
  <c r="S192" i="1"/>
  <c r="AU192" i="2"/>
  <c r="R192" i="1"/>
  <c r="AT192" i="2"/>
  <c r="Q192" i="1"/>
  <c r="AS192" i="2"/>
  <c r="P192" i="1"/>
  <c r="AR192" i="2"/>
  <c r="O192" i="1"/>
  <c r="AQ192" i="2"/>
  <c r="AP192" i="2"/>
  <c r="AO192" i="2"/>
  <c r="AN192" i="2"/>
  <c r="K192" i="1"/>
  <c r="AM192" i="2"/>
  <c r="J192" i="1"/>
  <c r="AL192" i="2"/>
  <c r="I192" i="1"/>
  <c r="AK192" i="2"/>
  <c r="AJ192" i="2"/>
  <c r="AI192" i="2"/>
  <c r="AH192" i="2"/>
  <c r="E192" i="1"/>
  <c r="AG192" i="2"/>
  <c r="D192" i="1"/>
  <c r="AF192" i="2"/>
  <c r="C192" i="1"/>
  <c r="AE192" i="2"/>
  <c r="AD192" i="2"/>
  <c r="AA192" i="2"/>
  <c r="Z192" i="2"/>
  <c r="S191" i="1"/>
  <c r="AU191" i="2"/>
  <c r="R191" i="1"/>
  <c r="AT191" i="2"/>
  <c r="Q191" i="1"/>
  <c r="AS191" i="2"/>
  <c r="P191" i="1"/>
  <c r="AR191" i="2"/>
  <c r="O191" i="1"/>
  <c r="AQ191" i="2"/>
  <c r="AP191" i="2"/>
  <c r="AO191" i="2"/>
  <c r="AN191" i="2"/>
  <c r="K191" i="1"/>
  <c r="AM191" i="2"/>
  <c r="J191" i="1"/>
  <c r="AL191" i="2"/>
  <c r="I191" i="1"/>
  <c r="AK191" i="2"/>
  <c r="AJ191" i="2"/>
  <c r="AI191" i="2"/>
  <c r="AH191" i="2"/>
  <c r="E191" i="1"/>
  <c r="AG191" i="2"/>
  <c r="D191" i="1"/>
  <c r="AF191" i="2"/>
  <c r="C191" i="1"/>
  <c r="AE191" i="2"/>
  <c r="AD191" i="2"/>
  <c r="AA191" i="2"/>
  <c r="Z191" i="2"/>
  <c r="S190" i="1"/>
  <c r="AU190" i="2"/>
  <c r="R190" i="1"/>
  <c r="AT190" i="2"/>
  <c r="Q190" i="1"/>
  <c r="AS190" i="2"/>
  <c r="P190" i="1"/>
  <c r="AR190" i="2"/>
  <c r="O190" i="1"/>
  <c r="AQ190" i="2"/>
  <c r="AP190" i="2"/>
  <c r="AO190" i="2"/>
  <c r="AN190" i="2"/>
  <c r="K190" i="1"/>
  <c r="AM190" i="2"/>
  <c r="J190" i="1"/>
  <c r="AL190" i="2"/>
  <c r="I190" i="1"/>
  <c r="AK190" i="2"/>
  <c r="AJ190" i="2"/>
  <c r="AI190" i="2"/>
  <c r="AH190" i="2"/>
  <c r="E190" i="1"/>
  <c r="AG190" i="2"/>
  <c r="D190" i="1"/>
  <c r="AF190" i="2"/>
  <c r="C190" i="1"/>
  <c r="AE190" i="2"/>
  <c r="AD190" i="2"/>
  <c r="AA190" i="2"/>
  <c r="Z190" i="2"/>
  <c r="S189" i="1"/>
  <c r="AU189" i="2"/>
  <c r="R189" i="1"/>
  <c r="AT189" i="2"/>
  <c r="Q189" i="1"/>
  <c r="AS189" i="2"/>
  <c r="P189" i="1"/>
  <c r="AR189" i="2"/>
  <c r="O189" i="1"/>
  <c r="AQ189" i="2"/>
  <c r="AP189" i="2"/>
  <c r="AO189" i="2"/>
  <c r="AN189" i="2"/>
  <c r="K189" i="1"/>
  <c r="AM189" i="2"/>
  <c r="J189" i="1"/>
  <c r="AL189" i="2"/>
  <c r="I189" i="1"/>
  <c r="AK189" i="2"/>
  <c r="AJ189" i="2"/>
  <c r="AI189" i="2"/>
  <c r="AH189" i="2"/>
  <c r="E189" i="1"/>
  <c r="AG189" i="2"/>
  <c r="D189" i="1"/>
  <c r="AF189" i="2"/>
  <c r="C189" i="1"/>
  <c r="AE189" i="2"/>
  <c r="AD189" i="2"/>
  <c r="AA189" i="2"/>
  <c r="Z189" i="2"/>
  <c r="S188" i="1"/>
  <c r="AU188" i="2"/>
  <c r="R188" i="1"/>
  <c r="AT188" i="2"/>
  <c r="Q188" i="1"/>
  <c r="AS188" i="2"/>
  <c r="P188" i="1"/>
  <c r="AR188" i="2"/>
  <c r="O188" i="1"/>
  <c r="AQ188" i="2"/>
  <c r="AP188" i="2"/>
  <c r="AO188" i="2"/>
  <c r="AN188" i="2"/>
  <c r="K188" i="1"/>
  <c r="AM188" i="2"/>
  <c r="J188" i="1"/>
  <c r="AL188" i="2"/>
  <c r="I188" i="1"/>
  <c r="AK188" i="2"/>
  <c r="AJ188" i="2"/>
  <c r="AI188" i="2"/>
  <c r="AH188" i="2"/>
  <c r="E188" i="1"/>
  <c r="AG188" i="2"/>
  <c r="D188" i="1"/>
  <c r="AF188" i="2"/>
  <c r="C188" i="1"/>
  <c r="AE188" i="2"/>
  <c r="AD188" i="2"/>
  <c r="AA188" i="2"/>
  <c r="Z188" i="2"/>
  <c r="S187" i="1"/>
  <c r="AU187" i="2"/>
  <c r="R187" i="1"/>
  <c r="AT187" i="2"/>
  <c r="Q187" i="1"/>
  <c r="AS187" i="2"/>
  <c r="P187" i="1"/>
  <c r="AR187" i="2"/>
  <c r="O187" i="1"/>
  <c r="AQ187" i="2"/>
  <c r="AP187" i="2"/>
  <c r="AO187" i="2"/>
  <c r="AN187" i="2"/>
  <c r="K187" i="1"/>
  <c r="AM187" i="2"/>
  <c r="J187" i="1"/>
  <c r="AL187" i="2"/>
  <c r="I187" i="1"/>
  <c r="AK187" i="2"/>
  <c r="AJ187" i="2"/>
  <c r="AI187" i="2"/>
  <c r="AH187" i="2"/>
  <c r="E187" i="1"/>
  <c r="AG187" i="2"/>
  <c r="D187" i="1"/>
  <c r="AF187" i="2"/>
  <c r="C187" i="1"/>
  <c r="AE187" i="2"/>
  <c r="AD187" i="2"/>
  <c r="AA187" i="2"/>
  <c r="Z187" i="2"/>
  <c r="S186" i="1"/>
  <c r="AU186" i="2"/>
  <c r="R186" i="1"/>
  <c r="AT186" i="2"/>
  <c r="Q186" i="1"/>
  <c r="AS186" i="2"/>
  <c r="P186" i="1"/>
  <c r="AR186" i="2"/>
  <c r="O186" i="1"/>
  <c r="AQ186" i="2"/>
  <c r="AP186" i="2"/>
  <c r="AO186" i="2"/>
  <c r="AN186" i="2"/>
  <c r="K186" i="1"/>
  <c r="AM186" i="2"/>
  <c r="J186" i="1"/>
  <c r="AL186" i="2"/>
  <c r="I186" i="1"/>
  <c r="AK186" i="2"/>
  <c r="AJ186" i="2"/>
  <c r="AI186" i="2"/>
  <c r="AH186" i="2"/>
  <c r="E186" i="1"/>
  <c r="AG186" i="2"/>
  <c r="D186" i="1"/>
  <c r="AF186" i="2"/>
  <c r="C186" i="1"/>
  <c r="AE186" i="2"/>
  <c r="AD186" i="2"/>
  <c r="AA186" i="2"/>
  <c r="Z186" i="2"/>
  <c r="S185" i="1"/>
  <c r="AU185" i="2"/>
  <c r="R185" i="1"/>
  <c r="AT185" i="2"/>
  <c r="Q185" i="1"/>
  <c r="AS185" i="2"/>
  <c r="P185" i="1"/>
  <c r="AR185" i="2"/>
  <c r="O185" i="1"/>
  <c r="AQ185" i="2"/>
  <c r="AP185" i="2"/>
  <c r="AO185" i="2"/>
  <c r="AN185" i="2"/>
  <c r="K185" i="1"/>
  <c r="AM185" i="2"/>
  <c r="J185" i="1"/>
  <c r="AL185" i="2"/>
  <c r="I185" i="1"/>
  <c r="AK185" i="2"/>
  <c r="AJ185" i="2"/>
  <c r="AI185" i="2"/>
  <c r="AH185" i="2"/>
  <c r="E185" i="1"/>
  <c r="AG185" i="2"/>
  <c r="D185" i="1"/>
  <c r="AF185" i="2"/>
  <c r="C185" i="1"/>
  <c r="AE185" i="2"/>
  <c r="AD185" i="2"/>
  <c r="AA185" i="2"/>
  <c r="Z185" i="2"/>
  <c r="S184" i="1"/>
  <c r="AU184" i="2"/>
  <c r="R184" i="1"/>
  <c r="AT184" i="2"/>
  <c r="Q184" i="1"/>
  <c r="AS184" i="2"/>
  <c r="P184" i="1"/>
  <c r="AR184" i="2"/>
  <c r="O184" i="1"/>
  <c r="AQ184" i="2"/>
  <c r="AP184" i="2"/>
  <c r="AO184" i="2"/>
  <c r="AN184" i="2"/>
  <c r="K184" i="1"/>
  <c r="AM184" i="2"/>
  <c r="J184" i="1"/>
  <c r="AL184" i="2"/>
  <c r="I184" i="1"/>
  <c r="AK184" i="2"/>
  <c r="AJ184" i="2"/>
  <c r="AI184" i="2"/>
  <c r="AH184" i="2"/>
  <c r="E184" i="1"/>
  <c r="AG184" i="2"/>
  <c r="D184" i="1"/>
  <c r="AF184" i="2"/>
  <c r="C184" i="1"/>
  <c r="AE184" i="2"/>
  <c r="AD184" i="2"/>
  <c r="AA184" i="2"/>
  <c r="Z184" i="2"/>
  <c r="S183" i="1"/>
  <c r="AU183" i="2"/>
  <c r="R183" i="1"/>
  <c r="AT183" i="2"/>
  <c r="Q183" i="1"/>
  <c r="AS183" i="2"/>
  <c r="P183" i="1"/>
  <c r="AR183" i="2"/>
  <c r="O183" i="1"/>
  <c r="AQ183" i="2"/>
  <c r="AP183" i="2"/>
  <c r="AO183" i="2"/>
  <c r="AN183" i="2"/>
  <c r="K183" i="1"/>
  <c r="AM183" i="2"/>
  <c r="J183" i="1"/>
  <c r="AL183" i="2"/>
  <c r="I183" i="1"/>
  <c r="AK183" i="2"/>
  <c r="AJ183" i="2"/>
  <c r="AI183" i="2"/>
  <c r="AH183" i="2"/>
  <c r="E183" i="1"/>
  <c r="AG183" i="2"/>
  <c r="D183" i="1"/>
  <c r="AF183" i="2"/>
  <c r="C183" i="1"/>
  <c r="AE183" i="2"/>
  <c r="AD183" i="2"/>
  <c r="AA183" i="2"/>
  <c r="Z183" i="2"/>
  <c r="S182" i="1"/>
  <c r="AU182" i="2"/>
  <c r="R182" i="1"/>
  <c r="AT182" i="2"/>
  <c r="Q182" i="1"/>
  <c r="AS182" i="2"/>
  <c r="P182" i="1"/>
  <c r="AR182" i="2"/>
  <c r="O182" i="1"/>
  <c r="AQ182" i="2"/>
  <c r="AP182" i="2"/>
  <c r="AO182" i="2"/>
  <c r="AN182" i="2"/>
  <c r="K182" i="1"/>
  <c r="AM182" i="2"/>
  <c r="J182" i="1"/>
  <c r="AL182" i="2"/>
  <c r="I182" i="1"/>
  <c r="AK182" i="2"/>
  <c r="AJ182" i="2"/>
  <c r="AI182" i="2"/>
  <c r="AH182" i="2"/>
  <c r="E182" i="1"/>
  <c r="AG182" i="2"/>
  <c r="D182" i="1"/>
  <c r="AF182" i="2"/>
  <c r="C182" i="1"/>
  <c r="AE182" i="2"/>
  <c r="AD182" i="2"/>
  <c r="AA182" i="2"/>
  <c r="Z182" i="2"/>
  <c r="S181" i="1"/>
  <c r="AU181" i="2"/>
  <c r="R181" i="1"/>
  <c r="AT181" i="2"/>
  <c r="Q181" i="1"/>
  <c r="AS181" i="2"/>
  <c r="P181" i="1"/>
  <c r="AR181" i="2"/>
  <c r="O181" i="1"/>
  <c r="AQ181" i="2"/>
  <c r="AP181" i="2"/>
  <c r="AO181" i="2"/>
  <c r="AN181" i="2"/>
  <c r="K181" i="1"/>
  <c r="AM181" i="2"/>
  <c r="J181" i="1"/>
  <c r="AL181" i="2"/>
  <c r="I181" i="1"/>
  <c r="AK181" i="2"/>
  <c r="AJ181" i="2"/>
  <c r="AI181" i="2"/>
  <c r="AH181" i="2"/>
  <c r="E181" i="1"/>
  <c r="AG181" i="2"/>
  <c r="D181" i="1"/>
  <c r="AF181" i="2"/>
  <c r="C181" i="1"/>
  <c r="AE181" i="2"/>
  <c r="AD181" i="2"/>
  <c r="AA181" i="2"/>
  <c r="Z181" i="2"/>
  <c r="S180" i="1"/>
  <c r="AU180" i="2"/>
  <c r="R180" i="1"/>
  <c r="AT180" i="2"/>
  <c r="Q180" i="1"/>
  <c r="AS180" i="2"/>
  <c r="P180" i="1"/>
  <c r="AR180" i="2"/>
  <c r="O180" i="1"/>
  <c r="AQ180" i="2"/>
  <c r="AP180" i="2"/>
  <c r="AO180" i="2"/>
  <c r="AN180" i="2"/>
  <c r="K180" i="1"/>
  <c r="AM180" i="2"/>
  <c r="J180" i="1"/>
  <c r="AL180" i="2"/>
  <c r="I180" i="1"/>
  <c r="AK180" i="2"/>
  <c r="AJ180" i="2"/>
  <c r="AI180" i="2"/>
  <c r="AH180" i="2"/>
  <c r="E180" i="1"/>
  <c r="AG180" i="2"/>
  <c r="D180" i="1"/>
  <c r="AF180" i="2"/>
  <c r="C180" i="1"/>
  <c r="AE180" i="2"/>
  <c r="AD180" i="2"/>
  <c r="AA180" i="2"/>
  <c r="Z180" i="2"/>
  <c r="S179" i="1"/>
  <c r="AU179" i="2"/>
  <c r="R179" i="1"/>
  <c r="AT179" i="2"/>
  <c r="Q179" i="1"/>
  <c r="AS179" i="2"/>
  <c r="P179" i="1"/>
  <c r="AR179" i="2"/>
  <c r="O179" i="1"/>
  <c r="AQ179" i="2"/>
  <c r="AP179" i="2"/>
  <c r="AO179" i="2"/>
  <c r="AN179" i="2"/>
  <c r="K179" i="1"/>
  <c r="AM179" i="2"/>
  <c r="J179" i="1"/>
  <c r="AL179" i="2"/>
  <c r="I179" i="1"/>
  <c r="AK179" i="2"/>
  <c r="AJ179" i="2"/>
  <c r="AI179" i="2"/>
  <c r="AH179" i="2"/>
  <c r="E179" i="1"/>
  <c r="AG179" i="2"/>
  <c r="D179" i="1"/>
  <c r="AF179" i="2"/>
  <c r="C179" i="1"/>
  <c r="AE179" i="2"/>
  <c r="AD179" i="2"/>
  <c r="AA179" i="2"/>
  <c r="Z179" i="2"/>
  <c r="S178" i="1"/>
  <c r="AU178" i="2"/>
  <c r="R178" i="1"/>
  <c r="AT178" i="2"/>
  <c r="Q178" i="1"/>
  <c r="AS178" i="2"/>
  <c r="P178" i="1"/>
  <c r="AR178" i="2"/>
  <c r="O178" i="1"/>
  <c r="AQ178" i="2"/>
  <c r="AP178" i="2"/>
  <c r="AO178" i="2"/>
  <c r="AN178" i="2"/>
  <c r="K178" i="1"/>
  <c r="AM178" i="2"/>
  <c r="J178" i="1"/>
  <c r="AL178" i="2"/>
  <c r="I178" i="1"/>
  <c r="AK178" i="2"/>
  <c r="AJ178" i="2"/>
  <c r="AI178" i="2"/>
  <c r="AH178" i="2"/>
  <c r="E178" i="1"/>
  <c r="AG178" i="2"/>
  <c r="D178" i="1"/>
  <c r="AF178" i="2"/>
  <c r="C178" i="1"/>
  <c r="AE178" i="2"/>
  <c r="AD178" i="2"/>
  <c r="AA178" i="2"/>
  <c r="Z178" i="2"/>
  <c r="S177" i="1"/>
  <c r="AU177" i="2"/>
  <c r="R177" i="1"/>
  <c r="AT177" i="2"/>
  <c r="Q177" i="1"/>
  <c r="AS177" i="2"/>
  <c r="P177" i="1"/>
  <c r="AR177" i="2"/>
  <c r="O177" i="1"/>
  <c r="AQ177" i="2"/>
  <c r="AP177" i="2"/>
  <c r="AO177" i="2"/>
  <c r="AN177" i="2"/>
  <c r="K177" i="1"/>
  <c r="AM177" i="2"/>
  <c r="J177" i="1"/>
  <c r="AL177" i="2"/>
  <c r="I177" i="1"/>
  <c r="AK177" i="2"/>
  <c r="AJ177" i="2"/>
  <c r="AI177" i="2"/>
  <c r="AH177" i="2"/>
  <c r="E177" i="1"/>
  <c r="AG177" i="2"/>
  <c r="D177" i="1"/>
  <c r="AF177" i="2"/>
  <c r="C177" i="1"/>
  <c r="AE177" i="2"/>
  <c r="AD177" i="2"/>
  <c r="AA177" i="2"/>
  <c r="Z177" i="2"/>
  <c r="S176" i="1"/>
  <c r="AU176" i="2"/>
  <c r="R176" i="1"/>
  <c r="AT176" i="2"/>
  <c r="Q176" i="1"/>
  <c r="AS176" i="2"/>
  <c r="P176" i="1"/>
  <c r="AR176" i="2"/>
  <c r="O176" i="1"/>
  <c r="AQ176" i="2"/>
  <c r="AP176" i="2"/>
  <c r="AO176" i="2"/>
  <c r="AN176" i="2"/>
  <c r="K176" i="1"/>
  <c r="AM176" i="2"/>
  <c r="J176" i="1"/>
  <c r="AL176" i="2"/>
  <c r="I176" i="1"/>
  <c r="AK176" i="2"/>
  <c r="AJ176" i="2"/>
  <c r="AI176" i="2"/>
  <c r="AH176" i="2"/>
  <c r="E176" i="1"/>
  <c r="AG176" i="2"/>
  <c r="D176" i="1"/>
  <c r="AF176" i="2"/>
  <c r="C176" i="1"/>
  <c r="AE176" i="2"/>
  <c r="AD176" i="2"/>
  <c r="AA176" i="2"/>
  <c r="Z176" i="2"/>
  <c r="S175" i="1"/>
  <c r="AU175" i="2"/>
  <c r="R175" i="1"/>
  <c r="AT175" i="2"/>
  <c r="Q175" i="1"/>
  <c r="AS175" i="2"/>
  <c r="P175" i="1"/>
  <c r="AR175" i="2"/>
  <c r="O175" i="1"/>
  <c r="AQ175" i="2"/>
  <c r="AP175" i="2"/>
  <c r="AO175" i="2"/>
  <c r="AN175" i="2"/>
  <c r="K175" i="1"/>
  <c r="AM175" i="2"/>
  <c r="J175" i="1"/>
  <c r="AL175" i="2"/>
  <c r="I175" i="1"/>
  <c r="AK175" i="2"/>
  <c r="AJ175" i="2"/>
  <c r="AI175" i="2"/>
  <c r="AH175" i="2"/>
  <c r="E175" i="1"/>
  <c r="AG175" i="2"/>
  <c r="D175" i="1"/>
  <c r="AF175" i="2"/>
  <c r="C175" i="1"/>
  <c r="AE175" i="2"/>
  <c r="AD175" i="2"/>
  <c r="AA175" i="2"/>
  <c r="Z175" i="2"/>
  <c r="S174" i="1"/>
  <c r="AU174" i="2"/>
  <c r="R174" i="1"/>
  <c r="AT174" i="2"/>
  <c r="Q174" i="1"/>
  <c r="AS174" i="2"/>
  <c r="P174" i="1"/>
  <c r="AR174" i="2"/>
  <c r="O174" i="1"/>
  <c r="AQ174" i="2"/>
  <c r="AP174" i="2"/>
  <c r="AO174" i="2"/>
  <c r="AN174" i="2"/>
  <c r="K174" i="1"/>
  <c r="AM174" i="2"/>
  <c r="J174" i="1"/>
  <c r="AL174" i="2"/>
  <c r="I174" i="1"/>
  <c r="AK174" i="2"/>
  <c r="AJ174" i="2"/>
  <c r="AI174" i="2"/>
  <c r="AH174" i="2"/>
  <c r="E174" i="1"/>
  <c r="AG174" i="2"/>
  <c r="D174" i="1"/>
  <c r="AF174" i="2"/>
  <c r="C174" i="1"/>
  <c r="AE174" i="2"/>
  <c r="AD174" i="2"/>
  <c r="AA174" i="2"/>
  <c r="Z174" i="2"/>
  <c r="S173" i="1"/>
  <c r="AU173" i="2"/>
  <c r="R173" i="1"/>
  <c r="AT173" i="2"/>
  <c r="Q173" i="1"/>
  <c r="AS173" i="2"/>
  <c r="P173" i="1"/>
  <c r="AR173" i="2"/>
  <c r="O173" i="1"/>
  <c r="AQ173" i="2"/>
  <c r="AP173" i="2"/>
  <c r="AO173" i="2"/>
  <c r="AN173" i="2"/>
  <c r="K173" i="1"/>
  <c r="AM173" i="2"/>
  <c r="J173" i="1"/>
  <c r="AL173" i="2"/>
  <c r="I173" i="1"/>
  <c r="AK173" i="2"/>
  <c r="AJ173" i="2"/>
  <c r="AI173" i="2"/>
  <c r="AH173" i="2"/>
  <c r="E173" i="1"/>
  <c r="AG173" i="2"/>
  <c r="D173" i="1"/>
  <c r="AF173" i="2"/>
  <c r="C173" i="1"/>
  <c r="AE173" i="2"/>
  <c r="AD173" i="2"/>
  <c r="AA173" i="2"/>
  <c r="Z173" i="2"/>
  <c r="S172" i="1"/>
  <c r="AU172" i="2"/>
  <c r="R172" i="1"/>
  <c r="AT172" i="2"/>
  <c r="Q172" i="1"/>
  <c r="AS172" i="2"/>
  <c r="P172" i="1"/>
  <c r="AR172" i="2"/>
  <c r="O172" i="1"/>
  <c r="AQ172" i="2"/>
  <c r="AP172" i="2"/>
  <c r="AO172" i="2"/>
  <c r="AN172" i="2"/>
  <c r="K172" i="1"/>
  <c r="AM172" i="2"/>
  <c r="J172" i="1"/>
  <c r="AL172" i="2"/>
  <c r="I172" i="1"/>
  <c r="AK172" i="2"/>
  <c r="AJ172" i="2"/>
  <c r="AI172" i="2"/>
  <c r="AH172" i="2"/>
  <c r="E172" i="1"/>
  <c r="AG172" i="2"/>
  <c r="D172" i="1"/>
  <c r="AF172" i="2"/>
  <c r="C172" i="1"/>
  <c r="AE172" i="2"/>
  <c r="AD172" i="2"/>
  <c r="AA172" i="2"/>
  <c r="Z172" i="2"/>
  <c r="S171" i="1"/>
  <c r="AU171" i="2"/>
  <c r="R171" i="1"/>
  <c r="AT171" i="2"/>
  <c r="Q171" i="1"/>
  <c r="AS171" i="2"/>
  <c r="P171" i="1"/>
  <c r="AR171" i="2"/>
  <c r="O171" i="1"/>
  <c r="AQ171" i="2"/>
  <c r="AP171" i="2"/>
  <c r="AO171" i="2"/>
  <c r="AN171" i="2"/>
  <c r="K171" i="1"/>
  <c r="AM171" i="2"/>
  <c r="J171" i="1"/>
  <c r="AL171" i="2"/>
  <c r="I171" i="1"/>
  <c r="AK171" i="2"/>
  <c r="AJ171" i="2"/>
  <c r="AI171" i="2"/>
  <c r="AH171" i="2"/>
  <c r="E171" i="1"/>
  <c r="AG171" i="2"/>
  <c r="D171" i="1"/>
  <c r="AF171" i="2"/>
  <c r="C171" i="1"/>
  <c r="AE171" i="2"/>
  <c r="AD171" i="2"/>
  <c r="AA171" i="2"/>
  <c r="Z171" i="2"/>
  <c r="S170" i="1"/>
  <c r="AU170" i="2"/>
  <c r="R170" i="1"/>
  <c r="AT170" i="2"/>
  <c r="Q170" i="1"/>
  <c r="AS170" i="2"/>
  <c r="P170" i="1"/>
  <c r="AR170" i="2"/>
  <c r="O170" i="1"/>
  <c r="AQ170" i="2"/>
  <c r="AP170" i="2"/>
  <c r="AO170" i="2"/>
  <c r="AN170" i="2"/>
  <c r="K170" i="1"/>
  <c r="AM170" i="2"/>
  <c r="J170" i="1"/>
  <c r="AL170" i="2"/>
  <c r="I170" i="1"/>
  <c r="AK170" i="2"/>
  <c r="AJ170" i="2"/>
  <c r="AI170" i="2"/>
  <c r="AH170" i="2"/>
  <c r="E170" i="1"/>
  <c r="AG170" i="2"/>
  <c r="D170" i="1"/>
  <c r="AF170" i="2"/>
  <c r="C170" i="1"/>
  <c r="AE170" i="2"/>
  <c r="AD170" i="2"/>
  <c r="AA170" i="2"/>
  <c r="Z170" i="2"/>
  <c r="S169" i="1"/>
  <c r="AU169" i="2"/>
  <c r="R169" i="1"/>
  <c r="AT169" i="2"/>
  <c r="Q169" i="1"/>
  <c r="AS169" i="2"/>
  <c r="P169" i="1"/>
  <c r="AR169" i="2"/>
  <c r="O169" i="1"/>
  <c r="AQ169" i="2"/>
  <c r="AP169" i="2"/>
  <c r="AO169" i="2"/>
  <c r="AN169" i="2"/>
  <c r="K169" i="1"/>
  <c r="AM169" i="2"/>
  <c r="J169" i="1"/>
  <c r="AL169" i="2"/>
  <c r="I169" i="1"/>
  <c r="AK169" i="2"/>
  <c r="AJ169" i="2"/>
  <c r="AI169" i="2"/>
  <c r="AH169" i="2"/>
  <c r="E169" i="1"/>
  <c r="AG169" i="2"/>
  <c r="D169" i="1"/>
  <c r="AF169" i="2"/>
  <c r="C169" i="1"/>
  <c r="AE169" i="2"/>
  <c r="AD169" i="2"/>
  <c r="AA169" i="2"/>
  <c r="Z169" i="2"/>
  <c r="S168" i="1"/>
  <c r="AU168" i="2"/>
  <c r="R168" i="1"/>
  <c r="AT168" i="2"/>
  <c r="Q168" i="1"/>
  <c r="AS168" i="2"/>
  <c r="P168" i="1"/>
  <c r="AR168" i="2"/>
  <c r="O168" i="1"/>
  <c r="AQ168" i="2"/>
  <c r="AP168" i="2"/>
  <c r="AO168" i="2"/>
  <c r="AN168" i="2"/>
  <c r="K168" i="1"/>
  <c r="AM168" i="2"/>
  <c r="J168" i="1"/>
  <c r="AL168" i="2"/>
  <c r="I168" i="1"/>
  <c r="AK168" i="2"/>
  <c r="AJ168" i="2"/>
  <c r="AI168" i="2"/>
  <c r="AH168" i="2"/>
  <c r="E168" i="1"/>
  <c r="AG168" i="2"/>
  <c r="D168" i="1"/>
  <c r="AF168" i="2"/>
  <c r="C168" i="1"/>
  <c r="AE168" i="2"/>
  <c r="AD168" i="2"/>
  <c r="AA168" i="2"/>
  <c r="Z168" i="2"/>
  <c r="S167" i="1"/>
  <c r="AU167" i="2"/>
  <c r="R167" i="1"/>
  <c r="AT167" i="2"/>
  <c r="Q167" i="1"/>
  <c r="AS167" i="2"/>
  <c r="P167" i="1"/>
  <c r="AR167" i="2"/>
  <c r="O167" i="1"/>
  <c r="AQ167" i="2"/>
  <c r="AP167" i="2"/>
  <c r="AO167" i="2"/>
  <c r="AN167" i="2"/>
  <c r="K167" i="1"/>
  <c r="AM167" i="2"/>
  <c r="J167" i="1"/>
  <c r="AL167" i="2"/>
  <c r="I167" i="1"/>
  <c r="AK167" i="2"/>
  <c r="AJ167" i="2"/>
  <c r="AI167" i="2"/>
  <c r="AH167" i="2"/>
  <c r="E167" i="1"/>
  <c r="AG167" i="2"/>
  <c r="D167" i="1"/>
  <c r="AF167" i="2"/>
  <c r="C167" i="1"/>
  <c r="AE167" i="2"/>
  <c r="AD167" i="2"/>
  <c r="AA167" i="2"/>
  <c r="Z167" i="2"/>
  <c r="S166" i="1"/>
  <c r="AU166" i="2"/>
  <c r="R166" i="1"/>
  <c r="AT166" i="2"/>
  <c r="Q166" i="1"/>
  <c r="AS166" i="2"/>
  <c r="P166" i="1"/>
  <c r="AR166" i="2"/>
  <c r="O166" i="1"/>
  <c r="AQ166" i="2"/>
  <c r="AP166" i="2"/>
  <c r="AO166" i="2"/>
  <c r="AN166" i="2"/>
  <c r="K166" i="1"/>
  <c r="AM166" i="2"/>
  <c r="J166" i="1"/>
  <c r="AL166" i="2"/>
  <c r="I166" i="1"/>
  <c r="AK166" i="2"/>
  <c r="AJ166" i="2"/>
  <c r="AI166" i="2"/>
  <c r="AH166" i="2"/>
  <c r="E166" i="1"/>
  <c r="AG166" i="2"/>
  <c r="D166" i="1"/>
  <c r="AF166" i="2"/>
  <c r="C166" i="1"/>
  <c r="AE166" i="2"/>
  <c r="AD166" i="2"/>
  <c r="AA166" i="2"/>
  <c r="Z166" i="2"/>
  <c r="S165" i="1"/>
  <c r="AU165" i="2"/>
  <c r="R165" i="1"/>
  <c r="AT165" i="2"/>
  <c r="Q165" i="1"/>
  <c r="AS165" i="2"/>
  <c r="P165" i="1"/>
  <c r="AR165" i="2"/>
  <c r="O165" i="1"/>
  <c r="AQ165" i="2"/>
  <c r="AP165" i="2"/>
  <c r="AO165" i="2"/>
  <c r="AN165" i="2"/>
  <c r="K165" i="1"/>
  <c r="AM165" i="2"/>
  <c r="J165" i="1"/>
  <c r="AL165" i="2"/>
  <c r="I165" i="1"/>
  <c r="AK165" i="2"/>
  <c r="AJ165" i="2"/>
  <c r="AI165" i="2"/>
  <c r="AH165" i="2"/>
  <c r="E165" i="1"/>
  <c r="AG165" i="2"/>
  <c r="D165" i="1"/>
  <c r="AF165" i="2"/>
  <c r="C165" i="1"/>
  <c r="AE165" i="2"/>
  <c r="AD165" i="2"/>
  <c r="AA165" i="2"/>
  <c r="Z165" i="2"/>
  <c r="S164" i="1"/>
  <c r="AU164" i="2"/>
  <c r="R164" i="1"/>
  <c r="AT164" i="2"/>
  <c r="Q164" i="1"/>
  <c r="AS164" i="2"/>
  <c r="P164" i="1"/>
  <c r="AR164" i="2"/>
  <c r="O164" i="1"/>
  <c r="AQ164" i="2"/>
  <c r="AP164" i="2"/>
  <c r="AO164" i="2"/>
  <c r="AN164" i="2"/>
  <c r="K164" i="1"/>
  <c r="AM164" i="2"/>
  <c r="J164" i="1"/>
  <c r="AL164" i="2"/>
  <c r="I164" i="1"/>
  <c r="AK164" i="2"/>
  <c r="AJ164" i="2"/>
  <c r="AI164" i="2"/>
  <c r="AH164" i="2"/>
  <c r="E164" i="1"/>
  <c r="AG164" i="2"/>
  <c r="D164" i="1"/>
  <c r="AF164" i="2"/>
  <c r="C164" i="1"/>
  <c r="AE164" i="2"/>
  <c r="AD164" i="2"/>
  <c r="AA164" i="2"/>
  <c r="Z164" i="2"/>
  <c r="S163" i="1"/>
  <c r="AU163" i="2"/>
  <c r="R163" i="1"/>
  <c r="AT163" i="2"/>
  <c r="Q163" i="1"/>
  <c r="AS163" i="2"/>
  <c r="P163" i="1"/>
  <c r="AR163" i="2"/>
  <c r="O163" i="1"/>
  <c r="AQ163" i="2"/>
  <c r="AP163" i="2"/>
  <c r="AO163" i="2"/>
  <c r="AN163" i="2"/>
  <c r="K163" i="1"/>
  <c r="AM163" i="2"/>
  <c r="J163" i="1"/>
  <c r="AL163" i="2"/>
  <c r="I163" i="1"/>
  <c r="AK163" i="2"/>
  <c r="AJ163" i="2"/>
  <c r="AI163" i="2"/>
  <c r="AH163" i="2"/>
  <c r="E163" i="1"/>
  <c r="AG163" i="2"/>
  <c r="D163" i="1"/>
  <c r="AF163" i="2"/>
  <c r="C163" i="1"/>
  <c r="AE163" i="2"/>
  <c r="AD163" i="2"/>
  <c r="AA163" i="2"/>
  <c r="Z163" i="2"/>
  <c r="S162" i="1"/>
  <c r="AU162" i="2"/>
  <c r="R162" i="1"/>
  <c r="AT162" i="2"/>
  <c r="Q162" i="1"/>
  <c r="AS162" i="2"/>
  <c r="P162" i="1"/>
  <c r="AR162" i="2"/>
  <c r="O162" i="1"/>
  <c r="AQ162" i="2"/>
  <c r="AP162" i="2"/>
  <c r="AO162" i="2"/>
  <c r="AN162" i="2"/>
  <c r="K162" i="1"/>
  <c r="AM162" i="2"/>
  <c r="J162" i="1"/>
  <c r="AL162" i="2"/>
  <c r="I162" i="1"/>
  <c r="AK162" i="2"/>
  <c r="AJ162" i="2"/>
  <c r="AI162" i="2"/>
  <c r="AH162" i="2"/>
  <c r="E162" i="1"/>
  <c r="AG162" i="2"/>
  <c r="D162" i="1"/>
  <c r="AF162" i="2"/>
  <c r="C162" i="1"/>
  <c r="AE162" i="2"/>
  <c r="AD162" i="2"/>
  <c r="AA162" i="2"/>
  <c r="Z162" i="2"/>
  <c r="S161" i="1"/>
  <c r="AU161" i="2"/>
  <c r="R161" i="1"/>
  <c r="AT161" i="2"/>
  <c r="Q161" i="1"/>
  <c r="AS161" i="2"/>
  <c r="P161" i="1"/>
  <c r="AR161" i="2"/>
  <c r="O161" i="1"/>
  <c r="AQ161" i="2"/>
  <c r="AP161" i="2"/>
  <c r="AO161" i="2"/>
  <c r="AN161" i="2"/>
  <c r="K161" i="1"/>
  <c r="AM161" i="2"/>
  <c r="J161" i="1"/>
  <c r="AL161" i="2"/>
  <c r="I161" i="1"/>
  <c r="AK161" i="2"/>
  <c r="AJ161" i="2"/>
  <c r="AI161" i="2"/>
  <c r="AH161" i="2"/>
  <c r="E161" i="1"/>
  <c r="AG161" i="2"/>
  <c r="D161" i="1"/>
  <c r="AF161" i="2"/>
  <c r="C161" i="1"/>
  <c r="AE161" i="2"/>
  <c r="AD161" i="2"/>
  <c r="AA161" i="2"/>
  <c r="Z161" i="2"/>
  <c r="S160" i="1"/>
  <c r="AU160" i="2"/>
  <c r="R160" i="1"/>
  <c r="AT160" i="2"/>
  <c r="Q160" i="1"/>
  <c r="AS160" i="2"/>
  <c r="P160" i="1"/>
  <c r="AR160" i="2"/>
  <c r="O160" i="1"/>
  <c r="AQ160" i="2"/>
  <c r="AP160" i="2"/>
  <c r="AO160" i="2"/>
  <c r="AN160" i="2"/>
  <c r="K160" i="1"/>
  <c r="AM160" i="2"/>
  <c r="J160" i="1"/>
  <c r="AL160" i="2"/>
  <c r="I160" i="1"/>
  <c r="AK160" i="2"/>
  <c r="AJ160" i="2"/>
  <c r="AI160" i="2"/>
  <c r="AH160" i="2"/>
  <c r="E160" i="1"/>
  <c r="AG160" i="2"/>
  <c r="D160" i="1"/>
  <c r="AF160" i="2"/>
  <c r="C160" i="1"/>
  <c r="AE160" i="2"/>
  <c r="AD160" i="2"/>
  <c r="AA160" i="2"/>
  <c r="Z160" i="2"/>
  <c r="S159" i="1"/>
  <c r="AU159" i="2"/>
  <c r="R159" i="1"/>
  <c r="AT159" i="2"/>
  <c r="Q159" i="1"/>
  <c r="AS159" i="2"/>
  <c r="P159" i="1"/>
  <c r="AR159" i="2"/>
  <c r="O159" i="1"/>
  <c r="AQ159" i="2"/>
  <c r="AP159" i="2"/>
  <c r="AO159" i="2"/>
  <c r="AN159" i="2"/>
  <c r="K159" i="1"/>
  <c r="AM159" i="2"/>
  <c r="J159" i="1"/>
  <c r="AL159" i="2"/>
  <c r="I159" i="1"/>
  <c r="AK159" i="2"/>
  <c r="AJ159" i="2"/>
  <c r="AI159" i="2"/>
  <c r="AH159" i="2"/>
  <c r="E159" i="1"/>
  <c r="AG159" i="2"/>
  <c r="D159" i="1"/>
  <c r="AF159" i="2"/>
  <c r="C159" i="1"/>
  <c r="AE159" i="2"/>
  <c r="AD159" i="2"/>
  <c r="AA159" i="2"/>
  <c r="Z159" i="2"/>
  <c r="S158" i="1"/>
  <c r="AU158" i="2"/>
  <c r="R158" i="1"/>
  <c r="AT158" i="2"/>
  <c r="Q158" i="1"/>
  <c r="AS158" i="2"/>
  <c r="P158" i="1"/>
  <c r="AR158" i="2"/>
  <c r="O158" i="1"/>
  <c r="AQ158" i="2"/>
  <c r="AP158" i="2"/>
  <c r="AO158" i="2"/>
  <c r="AN158" i="2"/>
  <c r="K158" i="1"/>
  <c r="AM158" i="2"/>
  <c r="J158" i="1"/>
  <c r="AL158" i="2"/>
  <c r="I158" i="1"/>
  <c r="AK158" i="2"/>
  <c r="AJ158" i="2"/>
  <c r="AI158" i="2"/>
  <c r="AH158" i="2"/>
  <c r="E158" i="1"/>
  <c r="AG158" i="2"/>
  <c r="D158" i="1"/>
  <c r="AF158" i="2"/>
  <c r="C158" i="1"/>
  <c r="AE158" i="2"/>
  <c r="AD158" i="2"/>
  <c r="AA158" i="2"/>
  <c r="Z158" i="2"/>
  <c r="S157" i="1"/>
  <c r="AU157" i="2"/>
  <c r="R157" i="1"/>
  <c r="AT157" i="2"/>
  <c r="Q157" i="1"/>
  <c r="AS157" i="2"/>
  <c r="P157" i="1"/>
  <c r="AR157" i="2"/>
  <c r="O157" i="1"/>
  <c r="AQ157" i="2"/>
  <c r="AP157" i="2"/>
  <c r="AO157" i="2"/>
  <c r="AN157" i="2"/>
  <c r="K157" i="1"/>
  <c r="AM157" i="2"/>
  <c r="J157" i="1"/>
  <c r="AL157" i="2"/>
  <c r="I157" i="1"/>
  <c r="AK157" i="2"/>
  <c r="AJ157" i="2"/>
  <c r="AI157" i="2"/>
  <c r="AH157" i="2"/>
  <c r="E157" i="1"/>
  <c r="AG157" i="2"/>
  <c r="D157" i="1"/>
  <c r="AF157" i="2"/>
  <c r="C157" i="1"/>
  <c r="AE157" i="2"/>
  <c r="AD157" i="2"/>
  <c r="AA157" i="2"/>
  <c r="Z157" i="2"/>
  <c r="S156" i="1"/>
  <c r="AU156" i="2"/>
  <c r="R156" i="1"/>
  <c r="AT156" i="2"/>
  <c r="Q156" i="1"/>
  <c r="AS156" i="2"/>
  <c r="P156" i="1"/>
  <c r="AR156" i="2"/>
  <c r="O156" i="1"/>
  <c r="AQ156" i="2"/>
  <c r="AP156" i="2"/>
  <c r="AO156" i="2"/>
  <c r="AN156" i="2"/>
  <c r="K156" i="1"/>
  <c r="AM156" i="2"/>
  <c r="J156" i="1"/>
  <c r="AL156" i="2"/>
  <c r="I156" i="1"/>
  <c r="AK156" i="2"/>
  <c r="AJ156" i="2"/>
  <c r="AI156" i="2"/>
  <c r="AH156" i="2"/>
  <c r="E156" i="1"/>
  <c r="AG156" i="2"/>
  <c r="D156" i="1"/>
  <c r="AF156" i="2"/>
  <c r="C156" i="1"/>
  <c r="AE156" i="2"/>
  <c r="AD156" i="2"/>
  <c r="AA156" i="2"/>
  <c r="Z156" i="2"/>
  <c r="S155" i="1"/>
  <c r="AU155" i="2"/>
  <c r="R155" i="1"/>
  <c r="AT155" i="2"/>
  <c r="Q155" i="1"/>
  <c r="AS155" i="2"/>
  <c r="P155" i="1"/>
  <c r="AR155" i="2"/>
  <c r="O155" i="1"/>
  <c r="AQ155" i="2"/>
  <c r="AP155" i="2"/>
  <c r="AO155" i="2"/>
  <c r="AN155" i="2"/>
  <c r="K155" i="1"/>
  <c r="AM155" i="2"/>
  <c r="J155" i="1"/>
  <c r="AL155" i="2"/>
  <c r="I155" i="1"/>
  <c r="AK155" i="2"/>
  <c r="AJ155" i="2"/>
  <c r="AI155" i="2"/>
  <c r="AH155" i="2"/>
  <c r="E155" i="1"/>
  <c r="AG155" i="2"/>
  <c r="D155" i="1"/>
  <c r="AF155" i="2"/>
  <c r="C155" i="1"/>
  <c r="AE155" i="2"/>
  <c r="AD155" i="2"/>
  <c r="AA155" i="2"/>
  <c r="Z155" i="2"/>
  <c r="S154" i="1"/>
  <c r="AU154" i="2"/>
  <c r="R154" i="1"/>
  <c r="AT154" i="2"/>
  <c r="Q154" i="1"/>
  <c r="AS154" i="2"/>
  <c r="P154" i="1"/>
  <c r="AR154" i="2"/>
  <c r="O154" i="1"/>
  <c r="AQ154" i="2"/>
  <c r="AP154" i="2"/>
  <c r="AO154" i="2"/>
  <c r="AN154" i="2"/>
  <c r="K154" i="1"/>
  <c r="AM154" i="2"/>
  <c r="J154" i="1"/>
  <c r="AL154" i="2"/>
  <c r="I154" i="1"/>
  <c r="AK154" i="2"/>
  <c r="AJ154" i="2"/>
  <c r="AI154" i="2"/>
  <c r="AH154" i="2"/>
  <c r="E154" i="1"/>
  <c r="AG154" i="2"/>
  <c r="D154" i="1"/>
  <c r="AF154" i="2"/>
  <c r="C154" i="1"/>
  <c r="AE154" i="2"/>
  <c r="AD154" i="2"/>
  <c r="AA154" i="2"/>
  <c r="Z154" i="2"/>
  <c r="S153" i="1"/>
  <c r="AU153" i="2"/>
  <c r="R153" i="1"/>
  <c r="AT153" i="2"/>
  <c r="Q153" i="1"/>
  <c r="AS153" i="2"/>
  <c r="P153" i="1"/>
  <c r="AR153" i="2"/>
  <c r="O153" i="1"/>
  <c r="AQ153" i="2"/>
  <c r="AP153" i="2"/>
  <c r="AO153" i="2"/>
  <c r="AN153" i="2"/>
  <c r="K153" i="1"/>
  <c r="AM153" i="2"/>
  <c r="J153" i="1"/>
  <c r="AL153" i="2"/>
  <c r="I153" i="1"/>
  <c r="AK153" i="2"/>
  <c r="AJ153" i="2"/>
  <c r="AI153" i="2"/>
  <c r="AH153" i="2"/>
  <c r="E153" i="1"/>
  <c r="AG153" i="2"/>
  <c r="D153" i="1"/>
  <c r="AF153" i="2"/>
  <c r="C153" i="1"/>
  <c r="AE153" i="2"/>
  <c r="AD153" i="2"/>
  <c r="AA153" i="2"/>
  <c r="Z153" i="2"/>
  <c r="S152" i="1"/>
  <c r="AU152" i="2"/>
  <c r="R152" i="1"/>
  <c r="AT152" i="2"/>
  <c r="Q152" i="1"/>
  <c r="AS152" i="2"/>
  <c r="P152" i="1"/>
  <c r="AR152" i="2"/>
  <c r="O152" i="1"/>
  <c r="AQ152" i="2"/>
  <c r="AP152" i="2"/>
  <c r="AO152" i="2"/>
  <c r="AN152" i="2"/>
  <c r="K152" i="1"/>
  <c r="AM152" i="2"/>
  <c r="J152" i="1"/>
  <c r="AL152" i="2"/>
  <c r="I152" i="1"/>
  <c r="AK152" i="2"/>
  <c r="AJ152" i="2"/>
  <c r="AI152" i="2"/>
  <c r="AH152" i="2"/>
  <c r="E152" i="1"/>
  <c r="AG152" i="2"/>
  <c r="D152" i="1"/>
  <c r="AF152" i="2"/>
  <c r="C152" i="1"/>
  <c r="AE152" i="2"/>
  <c r="AD152" i="2"/>
  <c r="AA152" i="2"/>
  <c r="Z152" i="2"/>
  <c r="S151" i="1"/>
  <c r="AU151" i="2"/>
  <c r="R151" i="1"/>
  <c r="AT151" i="2"/>
  <c r="Q151" i="1"/>
  <c r="AS151" i="2"/>
  <c r="P151" i="1"/>
  <c r="AR151" i="2"/>
  <c r="O151" i="1"/>
  <c r="AQ151" i="2"/>
  <c r="AP151" i="2"/>
  <c r="AO151" i="2"/>
  <c r="AN151" i="2"/>
  <c r="K151" i="1"/>
  <c r="AM151" i="2"/>
  <c r="J151" i="1"/>
  <c r="AL151" i="2"/>
  <c r="I151" i="1"/>
  <c r="AK151" i="2"/>
  <c r="AJ151" i="2"/>
  <c r="AI151" i="2"/>
  <c r="AH151" i="2"/>
  <c r="E151" i="1"/>
  <c r="AG151" i="2"/>
  <c r="D151" i="1"/>
  <c r="AF151" i="2"/>
  <c r="C151" i="1"/>
  <c r="AE151" i="2"/>
  <c r="AD151" i="2"/>
  <c r="AA151" i="2"/>
  <c r="Z151" i="2"/>
  <c r="S150" i="1"/>
  <c r="AU150" i="2"/>
  <c r="R150" i="1"/>
  <c r="AT150" i="2"/>
  <c r="Q150" i="1"/>
  <c r="AS150" i="2"/>
  <c r="P150" i="1"/>
  <c r="AR150" i="2"/>
  <c r="O150" i="1"/>
  <c r="AQ150" i="2"/>
  <c r="AP150" i="2"/>
  <c r="AO150" i="2"/>
  <c r="AN150" i="2"/>
  <c r="K150" i="1"/>
  <c r="AM150" i="2"/>
  <c r="J150" i="1"/>
  <c r="AL150" i="2"/>
  <c r="I150" i="1"/>
  <c r="AK150" i="2"/>
  <c r="AJ150" i="2"/>
  <c r="AI150" i="2"/>
  <c r="AH150" i="2"/>
  <c r="E150" i="1"/>
  <c r="AG150" i="2"/>
  <c r="D150" i="1"/>
  <c r="AF150" i="2"/>
  <c r="C150" i="1"/>
  <c r="AE150" i="2"/>
  <c r="AD150" i="2"/>
  <c r="AA150" i="2"/>
  <c r="Z150" i="2"/>
  <c r="S149" i="1"/>
  <c r="AU149" i="2"/>
  <c r="R149" i="1"/>
  <c r="AT149" i="2"/>
  <c r="Q149" i="1"/>
  <c r="AS149" i="2"/>
  <c r="P149" i="1"/>
  <c r="AR149" i="2"/>
  <c r="O149" i="1"/>
  <c r="AQ149" i="2"/>
  <c r="AP149" i="2"/>
  <c r="AO149" i="2"/>
  <c r="AN149" i="2"/>
  <c r="K149" i="1"/>
  <c r="AM149" i="2"/>
  <c r="J149" i="1"/>
  <c r="AL149" i="2"/>
  <c r="I149" i="1"/>
  <c r="AK149" i="2"/>
  <c r="AJ149" i="2"/>
  <c r="AI149" i="2"/>
  <c r="AH149" i="2"/>
  <c r="E149" i="1"/>
  <c r="AG149" i="2"/>
  <c r="D149" i="1"/>
  <c r="AF149" i="2"/>
  <c r="C149" i="1"/>
  <c r="AE149" i="2"/>
  <c r="AD149" i="2"/>
  <c r="AA149" i="2"/>
  <c r="Z149" i="2"/>
  <c r="S148" i="1"/>
  <c r="AU148" i="2"/>
  <c r="R148" i="1"/>
  <c r="AT148" i="2"/>
  <c r="Q148" i="1"/>
  <c r="AS148" i="2"/>
  <c r="P148" i="1"/>
  <c r="AR148" i="2"/>
  <c r="O148" i="1"/>
  <c r="AQ148" i="2"/>
  <c r="AP148" i="2"/>
  <c r="AO148" i="2"/>
  <c r="AN148" i="2"/>
  <c r="K148" i="1"/>
  <c r="AM148" i="2"/>
  <c r="J148" i="1"/>
  <c r="AL148" i="2"/>
  <c r="I148" i="1"/>
  <c r="AK148" i="2"/>
  <c r="AJ148" i="2"/>
  <c r="AI148" i="2"/>
  <c r="AH148" i="2"/>
  <c r="E148" i="1"/>
  <c r="AG148" i="2"/>
  <c r="D148" i="1"/>
  <c r="AF148" i="2"/>
  <c r="C148" i="1"/>
  <c r="AE148" i="2"/>
  <c r="AD148" i="2"/>
  <c r="AA148" i="2"/>
  <c r="Z148" i="2"/>
  <c r="S147" i="1"/>
  <c r="AU147" i="2"/>
  <c r="R147" i="1"/>
  <c r="AT147" i="2"/>
  <c r="Q147" i="1"/>
  <c r="AS147" i="2"/>
  <c r="P147" i="1"/>
  <c r="AR147" i="2"/>
  <c r="O147" i="1"/>
  <c r="AQ147" i="2"/>
  <c r="AP147" i="2"/>
  <c r="AO147" i="2"/>
  <c r="AN147" i="2"/>
  <c r="K147" i="1"/>
  <c r="AM147" i="2"/>
  <c r="J147" i="1"/>
  <c r="AL147" i="2"/>
  <c r="I147" i="1"/>
  <c r="AK147" i="2"/>
  <c r="AJ147" i="2"/>
  <c r="AI147" i="2"/>
  <c r="AH147" i="2"/>
  <c r="E147" i="1"/>
  <c r="AG147" i="2"/>
  <c r="D147" i="1"/>
  <c r="AF147" i="2"/>
  <c r="C147" i="1"/>
  <c r="AE147" i="2"/>
  <c r="AD147" i="2"/>
  <c r="AA147" i="2"/>
  <c r="Z147" i="2"/>
  <c r="S146" i="1"/>
  <c r="AU146" i="2"/>
  <c r="R146" i="1"/>
  <c r="AT146" i="2"/>
  <c r="Q146" i="1"/>
  <c r="AS146" i="2"/>
  <c r="P146" i="1"/>
  <c r="AR146" i="2"/>
  <c r="O146" i="1"/>
  <c r="AQ146" i="2"/>
  <c r="AP146" i="2"/>
  <c r="AO146" i="2"/>
  <c r="AN146" i="2"/>
  <c r="K146" i="1"/>
  <c r="AM146" i="2"/>
  <c r="J146" i="1"/>
  <c r="AL146" i="2"/>
  <c r="I146" i="1"/>
  <c r="AK146" i="2"/>
  <c r="AJ146" i="2"/>
  <c r="AI146" i="2"/>
  <c r="AH146" i="2"/>
  <c r="E146" i="1"/>
  <c r="AG146" i="2"/>
  <c r="D146" i="1"/>
  <c r="AF146" i="2"/>
  <c r="C146" i="1"/>
  <c r="AE146" i="2"/>
  <c r="AD146" i="2"/>
  <c r="AA146" i="2"/>
  <c r="Z146" i="2"/>
  <c r="S145" i="1"/>
  <c r="AU145" i="2"/>
  <c r="R145" i="1"/>
  <c r="AT145" i="2"/>
  <c r="Q145" i="1"/>
  <c r="AS145" i="2"/>
  <c r="P145" i="1"/>
  <c r="AR145" i="2"/>
  <c r="O145" i="1"/>
  <c r="AQ145" i="2"/>
  <c r="AP145" i="2"/>
  <c r="AO145" i="2"/>
  <c r="AN145" i="2"/>
  <c r="K145" i="1"/>
  <c r="AM145" i="2"/>
  <c r="J145" i="1"/>
  <c r="AL145" i="2"/>
  <c r="I145" i="1"/>
  <c r="AK145" i="2"/>
  <c r="AJ145" i="2"/>
  <c r="AI145" i="2"/>
  <c r="AH145" i="2"/>
  <c r="E145" i="1"/>
  <c r="AG145" i="2"/>
  <c r="D145" i="1"/>
  <c r="AF145" i="2"/>
  <c r="C145" i="1"/>
  <c r="AE145" i="2"/>
  <c r="AD145" i="2"/>
  <c r="AA145" i="2"/>
  <c r="Z145" i="2"/>
  <c r="S144" i="1"/>
  <c r="AU144" i="2"/>
  <c r="R144" i="1"/>
  <c r="AT144" i="2"/>
  <c r="Q144" i="1"/>
  <c r="AS144" i="2"/>
  <c r="P144" i="1"/>
  <c r="AR144" i="2"/>
  <c r="O144" i="1"/>
  <c r="AQ144" i="2"/>
  <c r="AP144" i="2"/>
  <c r="AO144" i="2"/>
  <c r="AN144" i="2"/>
  <c r="K144" i="1"/>
  <c r="AM144" i="2"/>
  <c r="J144" i="1"/>
  <c r="AL144" i="2"/>
  <c r="I144" i="1"/>
  <c r="AK144" i="2"/>
  <c r="AJ144" i="2"/>
  <c r="AI144" i="2"/>
  <c r="AH144" i="2"/>
  <c r="E144" i="1"/>
  <c r="AG144" i="2"/>
  <c r="D144" i="1"/>
  <c r="AF144" i="2"/>
  <c r="C144" i="1"/>
  <c r="AE144" i="2"/>
  <c r="AD144" i="2"/>
  <c r="AA144" i="2"/>
  <c r="Z144" i="2"/>
  <c r="S143" i="1"/>
  <c r="AU143" i="2"/>
  <c r="R143" i="1"/>
  <c r="AT143" i="2"/>
  <c r="Q143" i="1"/>
  <c r="AS143" i="2"/>
  <c r="P143" i="1"/>
  <c r="AR143" i="2"/>
  <c r="O143" i="1"/>
  <c r="AQ143" i="2"/>
  <c r="AP143" i="2"/>
  <c r="AO143" i="2"/>
  <c r="AN143" i="2"/>
  <c r="K143" i="1"/>
  <c r="AM143" i="2"/>
  <c r="J143" i="1"/>
  <c r="AL143" i="2"/>
  <c r="I143" i="1"/>
  <c r="AK143" i="2"/>
  <c r="AJ143" i="2"/>
  <c r="AI143" i="2"/>
  <c r="AH143" i="2"/>
  <c r="E143" i="1"/>
  <c r="AG143" i="2"/>
  <c r="D143" i="1"/>
  <c r="AF143" i="2"/>
  <c r="C143" i="1"/>
  <c r="AE143" i="2"/>
  <c r="AD143" i="2"/>
  <c r="AA143" i="2"/>
  <c r="Z143" i="2"/>
  <c r="S142" i="1"/>
  <c r="AU142" i="2"/>
  <c r="R142" i="1"/>
  <c r="AT142" i="2"/>
  <c r="Q142" i="1"/>
  <c r="AS142" i="2"/>
  <c r="P142" i="1"/>
  <c r="AR142" i="2"/>
  <c r="O142" i="1"/>
  <c r="AQ142" i="2"/>
  <c r="AP142" i="2"/>
  <c r="AO142" i="2"/>
  <c r="AN142" i="2"/>
  <c r="K142" i="1"/>
  <c r="AM142" i="2"/>
  <c r="J142" i="1"/>
  <c r="AL142" i="2"/>
  <c r="I142" i="1"/>
  <c r="AK142" i="2"/>
  <c r="AJ142" i="2"/>
  <c r="AI142" i="2"/>
  <c r="AH142" i="2"/>
  <c r="E142" i="1"/>
  <c r="AG142" i="2"/>
  <c r="D142" i="1"/>
  <c r="AF142" i="2"/>
  <c r="C142" i="1"/>
  <c r="AE142" i="2"/>
  <c r="AD142" i="2"/>
  <c r="AA142" i="2"/>
  <c r="Z142" i="2"/>
  <c r="S141" i="1"/>
  <c r="AU141" i="2"/>
  <c r="R141" i="1"/>
  <c r="AT141" i="2"/>
  <c r="Q141" i="1"/>
  <c r="AS141" i="2"/>
  <c r="P141" i="1"/>
  <c r="AR141" i="2"/>
  <c r="O141" i="1"/>
  <c r="AQ141" i="2"/>
  <c r="AP141" i="2"/>
  <c r="AO141" i="2"/>
  <c r="AN141" i="2"/>
  <c r="K141" i="1"/>
  <c r="AM141" i="2"/>
  <c r="J141" i="1"/>
  <c r="AL141" i="2"/>
  <c r="I141" i="1"/>
  <c r="AK141" i="2"/>
  <c r="AJ141" i="2"/>
  <c r="AI141" i="2"/>
  <c r="AH141" i="2"/>
  <c r="E141" i="1"/>
  <c r="AG141" i="2"/>
  <c r="D141" i="1"/>
  <c r="AF141" i="2"/>
  <c r="C141" i="1"/>
  <c r="AE141" i="2"/>
  <c r="AD141" i="2"/>
  <c r="AA141" i="2"/>
  <c r="Z141" i="2"/>
  <c r="S140" i="1"/>
  <c r="AU140" i="2"/>
  <c r="R140" i="1"/>
  <c r="AT140" i="2"/>
  <c r="Q140" i="1"/>
  <c r="AS140" i="2"/>
  <c r="P140" i="1"/>
  <c r="AR140" i="2"/>
  <c r="O140" i="1"/>
  <c r="AQ140" i="2"/>
  <c r="AP140" i="2"/>
  <c r="AO140" i="2"/>
  <c r="AN140" i="2"/>
  <c r="K140" i="1"/>
  <c r="AM140" i="2"/>
  <c r="J140" i="1"/>
  <c r="AL140" i="2"/>
  <c r="I140" i="1"/>
  <c r="AK140" i="2"/>
  <c r="AJ140" i="2"/>
  <c r="AI140" i="2"/>
  <c r="AH140" i="2"/>
  <c r="E140" i="1"/>
  <c r="AG140" i="2"/>
  <c r="D140" i="1"/>
  <c r="AF140" i="2"/>
  <c r="C140" i="1"/>
  <c r="AE140" i="2"/>
  <c r="AD140" i="2"/>
  <c r="AA140" i="2"/>
  <c r="Z140" i="2"/>
  <c r="S139" i="1"/>
  <c r="AU139" i="2"/>
  <c r="R139" i="1"/>
  <c r="AT139" i="2"/>
  <c r="Q139" i="1"/>
  <c r="AS139" i="2"/>
  <c r="P139" i="1"/>
  <c r="AR139" i="2"/>
  <c r="O139" i="1"/>
  <c r="AQ139" i="2"/>
  <c r="AP139" i="2"/>
  <c r="AO139" i="2"/>
  <c r="AN139" i="2"/>
  <c r="K139" i="1"/>
  <c r="AM139" i="2"/>
  <c r="J139" i="1"/>
  <c r="AL139" i="2"/>
  <c r="I139" i="1"/>
  <c r="AK139" i="2"/>
  <c r="AJ139" i="2"/>
  <c r="AI139" i="2"/>
  <c r="AH139" i="2"/>
  <c r="E139" i="1"/>
  <c r="AG139" i="2"/>
  <c r="D139" i="1"/>
  <c r="AF139" i="2"/>
  <c r="C139" i="1"/>
  <c r="AE139" i="2"/>
  <c r="AD139" i="2"/>
  <c r="AA139" i="2"/>
  <c r="Z139" i="2"/>
  <c r="S138" i="1"/>
  <c r="AU138" i="2"/>
  <c r="R138" i="1"/>
  <c r="AT138" i="2"/>
  <c r="Q138" i="1"/>
  <c r="AS138" i="2"/>
  <c r="P138" i="1"/>
  <c r="AR138" i="2"/>
  <c r="O138" i="1"/>
  <c r="AQ138" i="2"/>
  <c r="AP138" i="2"/>
  <c r="AO138" i="2"/>
  <c r="AN138" i="2"/>
  <c r="K138" i="1"/>
  <c r="AM138" i="2"/>
  <c r="J138" i="1"/>
  <c r="AL138" i="2"/>
  <c r="I138" i="1"/>
  <c r="AK138" i="2"/>
  <c r="AJ138" i="2"/>
  <c r="AI138" i="2"/>
  <c r="AH138" i="2"/>
  <c r="E138" i="1"/>
  <c r="AG138" i="2"/>
  <c r="D138" i="1"/>
  <c r="AF138" i="2"/>
  <c r="C138" i="1"/>
  <c r="AE138" i="2"/>
  <c r="AD138" i="2"/>
  <c r="AA138" i="2"/>
  <c r="Z138" i="2"/>
  <c r="S137" i="1"/>
  <c r="AU137" i="2"/>
  <c r="R137" i="1"/>
  <c r="AT137" i="2"/>
  <c r="Q137" i="1"/>
  <c r="AS137" i="2"/>
  <c r="P137" i="1"/>
  <c r="AR137" i="2"/>
  <c r="O137" i="1"/>
  <c r="AQ137" i="2"/>
  <c r="AP137" i="2"/>
  <c r="AO137" i="2"/>
  <c r="AN137" i="2"/>
  <c r="K137" i="1"/>
  <c r="AM137" i="2"/>
  <c r="J137" i="1"/>
  <c r="AL137" i="2"/>
  <c r="I137" i="1"/>
  <c r="AK137" i="2"/>
  <c r="AJ137" i="2"/>
  <c r="AI137" i="2"/>
  <c r="AH137" i="2"/>
  <c r="E137" i="1"/>
  <c r="AG137" i="2"/>
  <c r="D137" i="1"/>
  <c r="AF137" i="2"/>
  <c r="C137" i="1"/>
  <c r="AE137" i="2"/>
  <c r="AD137" i="2"/>
  <c r="AA137" i="2"/>
  <c r="Z137" i="2"/>
  <c r="S136" i="1"/>
  <c r="AU136" i="2"/>
  <c r="R136" i="1"/>
  <c r="AT136" i="2"/>
  <c r="Q136" i="1"/>
  <c r="AS136" i="2"/>
  <c r="P136" i="1"/>
  <c r="AR136" i="2"/>
  <c r="O136" i="1"/>
  <c r="AQ136" i="2"/>
  <c r="AP136" i="2"/>
  <c r="AO136" i="2"/>
  <c r="AN136" i="2"/>
  <c r="K136" i="1"/>
  <c r="AM136" i="2"/>
  <c r="J136" i="1"/>
  <c r="AL136" i="2"/>
  <c r="I136" i="1"/>
  <c r="AK136" i="2"/>
  <c r="AJ136" i="2"/>
  <c r="AI136" i="2"/>
  <c r="AH136" i="2"/>
  <c r="E136" i="1"/>
  <c r="AG136" i="2"/>
  <c r="D136" i="1"/>
  <c r="AF136" i="2"/>
  <c r="C136" i="1"/>
  <c r="AE136" i="2"/>
  <c r="AD136" i="2"/>
  <c r="AA136" i="2"/>
  <c r="Z136" i="2"/>
  <c r="S135" i="1"/>
  <c r="AU135" i="2"/>
  <c r="R135" i="1"/>
  <c r="AT135" i="2"/>
  <c r="Q135" i="1"/>
  <c r="AS135" i="2"/>
  <c r="P135" i="1"/>
  <c r="AR135" i="2"/>
  <c r="O135" i="1"/>
  <c r="AQ135" i="2"/>
  <c r="AP135" i="2"/>
  <c r="AO135" i="2"/>
  <c r="AN135" i="2"/>
  <c r="K135" i="1"/>
  <c r="AM135" i="2"/>
  <c r="J135" i="1"/>
  <c r="AL135" i="2"/>
  <c r="I135" i="1"/>
  <c r="AK135" i="2"/>
  <c r="AJ135" i="2"/>
  <c r="AI135" i="2"/>
  <c r="AH135" i="2"/>
  <c r="E135" i="1"/>
  <c r="AG135" i="2"/>
  <c r="D135" i="1"/>
  <c r="AF135" i="2"/>
  <c r="C135" i="1"/>
  <c r="AE135" i="2"/>
  <c r="AD135" i="2"/>
  <c r="AA135" i="2"/>
  <c r="Z135" i="2"/>
  <c r="S134" i="1"/>
  <c r="AU134" i="2"/>
  <c r="R134" i="1"/>
  <c r="AT134" i="2"/>
  <c r="Q134" i="1"/>
  <c r="AS134" i="2"/>
  <c r="P134" i="1"/>
  <c r="AR134" i="2"/>
  <c r="O134" i="1"/>
  <c r="AQ134" i="2"/>
  <c r="AP134" i="2"/>
  <c r="AO134" i="2"/>
  <c r="AN134" i="2"/>
  <c r="K134" i="1"/>
  <c r="AM134" i="2"/>
  <c r="J134" i="1"/>
  <c r="AL134" i="2"/>
  <c r="I134" i="1"/>
  <c r="AK134" i="2"/>
  <c r="AJ134" i="2"/>
  <c r="AI134" i="2"/>
  <c r="AH134" i="2"/>
  <c r="E134" i="1"/>
  <c r="AG134" i="2"/>
  <c r="D134" i="1"/>
  <c r="AF134" i="2"/>
  <c r="C134" i="1"/>
  <c r="AE134" i="2"/>
  <c r="AD134" i="2"/>
  <c r="AA134" i="2"/>
  <c r="Z134" i="2"/>
  <c r="S133" i="1"/>
  <c r="AU133" i="2"/>
  <c r="R133" i="1"/>
  <c r="AT133" i="2"/>
  <c r="Q133" i="1"/>
  <c r="AS133" i="2"/>
  <c r="P133" i="1"/>
  <c r="AR133" i="2"/>
  <c r="O133" i="1"/>
  <c r="AQ133" i="2"/>
  <c r="AP133" i="2"/>
  <c r="AO133" i="2"/>
  <c r="AN133" i="2"/>
  <c r="K133" i="1"/>
  <c r="AM133" i="2"/>
  <c r="J133" i="1"/>
  <c r="AL133" i="2"/>
  <c r="I133" i="1"/>
  <c r="AK133" i="2"/>
  <c r="AJ133" i="2"/>
  <c r="AI133" i="2"/>
  <c r="AH133" i="2"/>
  <c r="E133" i="1"/>
  <c r="AG133" i="2"/>
  <c r="D133" i="1"/>
  <c r="AF133" i="2"/>
  <c r="C133" i="1"/>
  <c r="AE133" i="2"/>
  <c r="AD133" i="2"/>
  <c r="AA133" i="2"/>
  <c r="Z133" i="2"/>
  <c r="S132" i="1"/>
  <c r="AU132" i="2"/>
  <c r="R132" i="1"/>
  <c r="AT132" i="2"/>
  <c r="Q132" i="1"/>
  <c r="AS132" i="2"/>
  <c r="P132" i="1"/>
  <c r="AR132" i="2"/>
  <c r="O132" i="1"/>
  <c r="AQ132" i="2"/>
  <c r="AP132" i="2"/>
  <c r="AO132" i="2"/>
  <c r="AN132" i="2"/>
  <c r="K132" i="1"/>
  <c r="AM132" i="2"/>
  <c r="J132" i="1"/>
  <c r="AL132" i="2"/>
  <c r="I132" i="1"/>
  <c r="AK132" i="2"/>
  <c r="AJ132" i="2"/>
  <c r="AI132" i="2"/>
  <c r="AH132" i="2"/>
  <c r="E132" i="1"/>
  <c r="AG132" i="2"/>
  <c r="D132" i="1"/>
  <c r="AF132" i="2"/>
  <c r="C132" i="1"/>
  <c r="AE132" i="2"/>
  <c r="AD132" i="2"/>
  <c r="AA132" i="2"/>
  <c r="Z132" i="2"/>
  <c r="S131" i="1"/>
  <c r="AU131" i="2"/>
  <c r="R131" i="1"/>
  <c r="AT131" i="2"/>
  <c r="Q131" i="1"/>
  <c r="AS131" i="2"/>
  <c r="P131" i="1"/>
  <c r="AR131" i="2"/>
  <c r="O131" i="1"/>
  <c r="AQ131" i="2"/>
  <c r="AP131" i="2"/>
  <c r="AO131" i="2"/>
  <c r="AN131" i="2"/>
  <c r="K131" i="1"/>
  <c r="AM131" i="2"/>
  <c r="J131" i="1"/>
  <c r="AL131" i="2"/>
  <c r="I131" i="1"/>
  <c r="AK131" i="2"/>
  <c r="AJ131" i="2"/>
  <c r="AI131" i="2"/>
  <c r="AH131" i="2"/>
  <c r="E131" i="1"/>
  <c r="AG131" i="2"/>
  <c r="D131" i="1"/>
  <c r="AF131" i="2"/>
  <c r="C131" i="1"/>
  <c r="AE131" i="2"/>
  <c r="AD131" i="2"/>
  <c r="AA131" i="2"/>
  <c r="Z131" i="2"/>
  <c r="S130" i="1"/>
  <c r="AU130" i="2"/>
  <c r="R130" i="1"/>
  <c r="AT130" i="2"/>
  <c r="Q130" i="1"/>
  <c r="AS130" i="2"/>
  <c r="P130" i="1"/>
  <c r="AR130" i="2"/>
  <c r="O130" i="1"/>
  <c r="AQ130" i="2"/>
  <c r="AP130" i="2"/>
  <c r="AO130" i="2"/>
  <c r="AN130" i="2"/>
  <c r="K130" i="1"/>
  <c r="AM130" i="2"/>
  <c r="J130" i="1"/>
  <c r="AL130" i="2"/>
  <c r="I130" i="1"/>
  <c r="AK130" i="2"/>
  <c r="AJ130" i="2"/>
  <c r="AI130" i="2"/>
  <c r="AH130" i="2"/>
  <c r="E130" i="1"/>
  <c r="AG130" i="2"/>
  <c r="D130" i="1"/>
  <c r="AF130" i="2"/>
  <c r="C130" i="1"/>
  <c r="AE130" i="2"/>
  <c r="AD130" i="2"/>
  <c r="AA130" i="2"/>
  <c r="Z130" i="2"/>
  <c r="S129" i="1"/>
  <c r="AU129" i="2"/>
  <c r="R129" i="1"/>
  <c r="AT129" i="2"/>
  <c r="Q129" i="1"/>
  <c r="AS129" i="2"/>
  <c r="P129" i="1"/>
  <c r="AR129" i="2"/>
  <c r="O129" i="1"/>
  <c r="AQ129" i="2"/>
  <c r="AP129" i="2"/>
  <c r="AO129" i="2"/>
  <c r="AN129" i="2"/>
  <c r="K129" i="1"/>
  <c r="AM129" i="2"/>
  <c r="J129" i="1"/>
  <c r="AL129" i="2"/>
  <c r="I129" i="1"/>
  <c r="AK129" i="2"/>
  <c r="AJ129" i="2"/>
  <c r="AI129" i="2"/>
  <c r="AH129" i="2"/>
  <c r="E129" i="1"/>
  <c r="AG129" i="2"/>
  <c r="D129" i="1"/>
  <c r="AF129" i="2"/>
  <c r="C129" i="1"/>
  <c r="AE129" i="2"/>
  <c r="AD129" i="2"/>
  <c r="AA129" i="2"/>
  <c r="Z129" i="2"/>
  <c r="S128" i="1"/>
  <c r="AU128" i="2"/>
  <c r="R128" i="1"/>
  <c r="AT128" i="2"/>
  <c r="Q128" i="1"/>
  <c r="AS128" i="2"/>
  <c r="P128" i="1"/>
  <c r="AR128" i="2"/>
  <c r="O128" i="1"/>
  <c r="AQ128" i="2"/>
  <c r="AP128" i="2"/>
  <c r="AO128" i="2"/>
  <c r="AN128" i="2"/>
  <c r="K128" i="1"/>
  <c r="AM128" i="2"/>
  <c r="J128" i="1"/>
  <c r="AL128" i="2"/>
  <c r="I128" i="1"/>
  <c r="AK128" i="2"/>
  <c r="AJ128" i="2"/>
  <c r="AI128" i="2"/>
  <c r="AH128" i="2"/>
  <c r="E128" i="1"/>
  <c r="AG128" i="2"/>
  <c r="D128" i="1"/>
  <c r="AF128" i="2"/>
  <c r="C128" i="1"/>
  <c r="AE128" i="2"/>
  <c r="AD128" i="2"/>
  <c r="AA128" i="2"/>
  <c r="Z128" i="2"/>
  <c r="S127" i="1"/>
  <c r="AU127" i="2"/>
  <c r="R127" i="1"/>
  <c r="AT127" i="2"/>
  <c r="Q127" i="1"/>
  <c r="AS127" i="2"/>
  <c r="P127" i="1"/>
  <c r="AR127" i="2"/>
  <c r="O127" i="1"/>
  <c r="AQ127" i="2"/>
  <c r="AP127" i="2"/>
  <c r="AO127" i="2"/>
  <c r="AN127" i="2"/>
  <c r="K127" i="1"/>
  <c r="AM127" i="2"/>
  <c r="J127" i="1"/>
  <c r="AL127" i="2"/>
  <c r="I127" i="1"/>
  <c r="AK127" i="2"/>
  <c r="AJ127" i="2"/>
  <c r="AI127" i="2"/>
  <c r="AH127" i="2"/>
  <c r="E127" i="1"/>
  <c r="AG127" i="2"/>
  <c r="D127" i="1"/>
  <c r="AF127" i="2"/>
  <c r="C127" i="1"/>
  <c r="AE127" i="2"/>
  <c r="AD127" i="2"/>
  <c r="AA127" i="2"/>
  <c r="Z127" i="2"/>
  <c r="S126" i="1"/>
  <c r="AU126" i="2"/>
  <c r="R126" i="1"/>
  <c r="AT126" i="2"/>
  <c r="Q126" i="1"/>
  <c r="AS126" i="2"/>
  <c r="P126" i="1"/>
  <c r="AR126" i="2"/>
  <c r="O126" i="1"/>
  <c r="AQ126" i="2"/>
  <c r="AP126" i="2"/>
  <c r="AO126" i="2"/>
  <c r="AN126" i="2"/>
  <c r="K126" i="1"/>
  <c r="AM126" i="2"/>
  <c r="J126" i="1"/>
  <c r="AL126" i="2"/>
  <c r="I126" i="1"/>
  <c r="AK126" i="2"/>
  <c r="AJ126" i="2"/>
  <c r="AI126" i="2"/>
  <c r="AH126" i="2"/>
  <c r="E126" i="1"/>
  <c r="AG126" i="2"/>
  <c r="D126" i="1"/>
  <c r="AF126" i="2"/>
  <c r="C126" i="1"/>
  <c r="AE126" i="2"/>
  <c r="AD126" i="2"/>
  <c r="AA126" i="2"/>
  <c r="Z126" i="2"/>
  <c r="S125" i="1"/>
  <c r="AU125" i="2"/>
  <c r="R125" i="1"/>
  <c r="AT125" i="2"/>
  <c r="Q125" i="1"/>
  <c r="AS125" i="2"/>
  <c r="P125" i="1"/>
  <c r="AR125" i="2"/>
  <c r="O125" i="1"/>
  <c r="AQ125" i="2"/>
  <c r="AP125" i="2"/>
  <c r="AO125" i="2"/>
  <c r="AN125" i="2"/>
  <c r="K125" i="1"/>
  <c r="AM125" i="2"/>
  <c r="J125" i="1"/>
  <c r="AL125" i="2"/>
  <c r="I125" i="1"/>
  <c r="AK125" i="2"/>
  <c r="AJ125" i="2"/>
  <c r="AI125" i="2"/>
  <c r="AH125" i="2"/>
  <c r="E125" i="1"/>
  <c r="AG125" i="2"/>
  <c r="D125" i="1"/>
  <c r="AF125" i="2"/>
  <c r="C125" i="1"/>
  <c r="AE125" i="2"/>
  <c r="AD125" i="2"/>
  <c r="AA125" i="2"/>
  <c r="Z125" i="2"/>
  <c r="S124" i="1"/>
  <c r="AU124" i="2"/>
  <c r="R124" i="1"/>
  <c r="AT124" i="2"/>
  <c r="Q124" i="1"/>
  <c r="AS124" i="2"/>
  <c r="P124" i="1"/>
  <c r="AR124" i="2"/>
  <c r="O124" i="1"/>
  <c r="AQ124" i="2"/>
  <c r="AP124" i="2"/>
  <c r="AO124" i="2"/>
  <c r="AN124" i="2"/>
  <c r="K124" i="1"/>
  <c r="AM124" i="2"/>
  <c r="J124" i="1"/>
  <c r="AL124" i="2"/>
  <c r="I124" i="1"/>
  <c r="AK124" i="2"/>
  <c r="AJ124" i="2"/>
  <c r="AI124" i="2"/>
  <c r="AH124" i="2"/>
  <c r="E124" i="1"/>
  <c r="AG124" i="2"/>
  <c r="D124" i="1"/>
  <c r="AF124" i="2"/>
  <c r="C124" i="1"/>
  <c r="AE124" i="2"/>
  <c r="AD124" i="2"/>
  <c r="AA124" i="2"/>
  <c r="Z124" i="2"/>
  <c r="S123" i="1"/>
  <c r="AU123" i="2"/>
  <c r="R123" i="1"/>
  <c r="AT123" i="2"/>
  <c r="Q123" i="1"/>
  <c r="AS123" i="2"/>
  <c r="P123" i="1"/>
  <c r="AR123" i="2"/>
  <c r="O123" i="1"/>
  <c r="AQ123" i="2"/>
  <c r="AP123" i="2"/>
  <c r="AO123" i="2"/>
  <c r="AN123" i="2"/>
  <c r="K123" i="1"/>
  <c r="AM123" i="2"/>
  <c r="J123" i="1"/>
  <c r="AL123" i="2"/>
  <c r="I123" i="1"/>
  <c r="AK123" i="2"/>
  <c r="AJ123" i="2"/>
  <c r="AI123" i="2"/>
  <c r="AH123" i="2"/>
  <c r="E123" i="1"/>
  <c r="AG123" i="2"/>
  <c r="D123" i="1"/>
  <c r="AF123" i="2"/>
  <c r="C123" i="1"/>
  <c r="AE123" i="2"/>
  <c r="AD123" i="2"/>
  <c r="AA123" i="2"/>
  <c r="Z123" i="2"/>
  <c r="S122" i="1"/>
  <c r="AU122" i="2"/>
  <c r="R122" i="1"/>
  <c r="AT122" i="2"/>
  <c r="Q122" i="1"/>
  <c r="AS122" i="2"/>
  <c r="P122" i="1"/>
  <c r="AR122" i="2"/>
  <c r="O122" i="1"/>
  <c r="AQ122" i="2"/>
  <c r="AP122" i="2"/>
  <c r="AO122" i="2"/>
  <c r="AN122" i="2"/>
  <c r="K122" i="1"/>
  <c r="AM122" i="2"/>
  <c r="J122" i="1"/>
  <c r="AL122" i="2"/>
  <c r="I122" i="1"/>
  <c r="AK122" i="2"/>
  <c r="AJ122" i="2"/>
  <c r="AI122" i="2"/>
  <c r="AH122" i="2"/>
  <c r="E122" i="1"/>
  <c r="AG122" i="2"/>
  <c r="D122" i="1"/>
  <c r="AF122" i="2"/>
  <c r="C122" i="1"/>
  <c r="AE122" i="2"/>
  <c r="AD122" i="2"/>
  <c r="AA122" i="2"/>
  <c r="Z122" i="2"/>
  <c r="S121" i="1"/>
  <c r="AU121" i="2"/>
  <c r="R121" i="1"/>
  <c r="AT121" i="2"/>
  <c r="Q121" i="1"/>
  <c r="AS121" i="2"/>
  <c r="P121" i="1"/>
  <c r="AR121" i="2"/>
  <c r="O121" i="1"/>
  <c r="AQ121" i="2"/>
  <c r="AP121" i="2"/>
  <c r="AO121" i="2"/>
  <c r="AN121" i="2"/>
  <c r="K121" i="1"/>
  <c r="AM121" i="2"/>
  <c r="J121" i="1"/>
  <c r="AL121" i="2"/>
  <c r="I121" i="1"/>
  <c r="AK121" i="2"/>
  <c r="AJ121" i="2"/>
  <c r="AI121" i="2"/>
  <c r="AH121" i="2"/>
  <c r="E121" i="1"/>
  <c r="AG121" i="2"/>
  <c r="D121" i="1"/>
  <c r="AF121" i="2"/>
  <c r="C121" i="1"/>
  <c r="AE121" i="2"/>
  <c r="AD121" i="2"/>
  <c r="AA121" i="2"/>
  <c r="Z121" i="2"/>
  <c r="S120" i="1"/>
  <c r="AU120" i="2"/>
  <c r="R120" i="1"/>
  <c r="AT120" i="2"/>
  <c r="Q120" i="1"/>
  <c r="AS120" i="2"/>
  <c r="P120" i="1"/>
  <c r="AR120" i="2"/>
  <c r="O120" i="1"/>
  <c r="AQ120" i="2"/>
  <c r="AP120" i="2"/>
  <c r="AO120" i="2"/>
  <c r="AN120" i="2"/>
  <c r="K120" i="1"/>
  <c r="AM120" i="2"/>
  <c r="J120" i="1"/>
  <c r="AL120" i="2"/>
  <c r="I120" i="1"/>
  <c r="AK120" i="2"/>
  <c r="AJ120" i="2"/>
  <c r="AI120" i="2"/>
  <c r="AH120" i="2"/>
  <c r="E120" i="1"/>
  <c r="AG120" i="2"/>
  <c r="D120" i="1"/>
  <c r="AF120" i="2"/>
  <c r="C120" i="1"/>
  <c r="AE120" i="2"/>
  <c r="AD120" i="2"/>
  <c r="AA120" i="2"/>
  <c r="Z120" i="2"/>
  <c r="S119" i="1"/>
  <c r="AU119" i="2"/>
  <c r="R119" i="1"/>
  <c r="AT119" i="2"/>
  <c r="Q119" i="1"/>
  <c r="AS119" i="2"/>
  <c r="P119" i="1"/>
  <c r="AR119" i="2"/>
  <c r="O119" i="1"/>
  <c r="AQ119" i="2"/>
  <c r="AP119" i="2"/>
  <c r="AO119" i="2"/>
  <c r="AN119" i="2"/>
  <c r="K119" i="1"/>
  <c r="AM119" i="2"/>
  <c r="J119" i="1"/>
  <c r="AL119" i="2"/>
  <c r="I119" i="1"/>
  <c r="AK119" i="2"/>
  <c r="AJ119" i="2"/>
  <c r="AI119" i="2"/>
  <c r="AH119" i="2"/>
  <c r="E119" i="1"/>
  <c r="AG119" i="2"/>
  <c r="D119" i="1"/>
  <c r="AF119" i="2"/>
  <c r="C119" i="1"/>
  <c r="AE119" i="2"/>
  <c r="AD119" i="2"/>
  <c r="AA119" i="2"/>
  <c r="Z119" i="2"/>
  <c r="S118" i="1"/>
  <c r="AU118" i="2"/>
  <c r="R118" i="1"/>
  <c r="AT118" i="2"/>
  <c r="Q118" i="1"/>
  <c r="AS118" i="2"/>
  <c r="P118" i="1"/>
  <c r="AR118" i="2"/>
  <c r="O118" i="1"/>
  <c r="AQ118" i="2"/>
  <c r="AP118" i="2"/>
  <c r="AO118" i="2"/>
  <c r="AN118" i="2"/>
  <c r="K118" i="1"/>
  <c r="AM118" i="2"/>
  <c r="J118" i="1"/>
  <c r="AL118" i="2"/>
  <c r="I118" i="1"/>
  <c r="AK118" i="2"/>
  <c r="AJ118" i="2"/>
  <c r="AI118" i="2"/>
  <c r="AH118" i="2"/>
  <c r="E118" i="1"/>
  <c r="AG118" i="2"/>
  <c r="D118" i="1"/>
  <c r="AF118" i="2"/>
  <c r="C118" i="1"/>
  <c r="AE118" i="2"/>
  <c r="AD118" i="2"/>
  <c r="AA118" i="2"/>
  <c r="Z118" i="2"/>
  <c r="S117" i="1"/>
  <c r="AU117" i="2"/>
  <c r="R117" i="1"/>
  <c r="AT117" i="2"/>
  <c r="Q117" i="1"/>
  <c r="AS117" i="2"/>
  <c r="P117" i="1"/>
  <c r="AR117" i="2"/>
  <c r="O117" i="1"/>
  <c r="AQ117" i="2"/>
  <c r="AP117" i="2"/>
  <c r="AO117" i="2"/>
  <c r="AN117" i="2"/>
  <c r="K117" i="1"/>
  <c r="AM117" i="2"/>
  <c r="J117" i="1"/>
  <c r="AL117" i="2"/>
  <c r="I117" i="1"/>
  <c r="AK117" i="2"/>
  <c r="AJ117" i="2"/>
  <c r="AI117" i="2"/>
  <c r="AH117" i="2"/>
  <c r="E117" i="1"/>
  <c r="AG117" i="2"/>
  <c r="D117" i="1"/>
  <c r="AF117" i="2"/>
  <c r="C117" i="1"/>
  <c r="AE117" i="2"/>
  <c r="AD117" i="2"/>
  <c r="AA117" i="2"/>
  <c r="Z117" i="2"/>
  <c r="S116" i="1"/>
  <c r="AU116" i="2"/>
  <c r="R116" i="1"/>
  <c r="AT116" i="2"/>
  <c r="Q116" i="1"/>
  <c r="AS116" i="2"/>
  <c r="P116" i="1"/>
  <c r="AR116" i="2"/>
  <c r="O116" i="1"/>
  <c r="AQ116" i="2"/>
  <c r="AP116" i="2"/>
  <c r="AO116" i="2"/>
  <c r="AN116" i="2"/>
  <c r="K116" i="1"/>
  <c r="AM116" i="2"/>
  <c r="J116" i="1"/>
  <c r="AL116" i="2"/>
  <c r="I116" i="1"/>
  <c r="AK116" i="2"/>
  <c r="AJ116" i="2"/>
  <c r="AI116" i="2"/>
  <c r="AH116" i="2"/>
  <c r="E116" i="1"/>
  <c r="AG116" i="2"/>
  <c r="D116" i="1"/>
  <c r="AF116" i="2"/>
  <c r="C116" i="1"/>
  <c r="AE116" i="2"/>
  <c r="AD116" i="2"/>
  <c r="AA116" i="2"/>
  <c r="Z116" i="2"/>
  <c r="S115" i="1"/>
  <c r="AU115" i="2"/>
  <c r="R115" i="1"/>
  <c r="AT115" i="2"/>
  <c r="Q115" i="1"/>
  <c r="AS115" i="2"/>
  <c r="P115" i="1"/>
  <c r="AR115" i="2"/>
  <c r="O115" i="1"/>
  <c r="AQ115" i="2"/>
  <c r="AP115" i="2"/>
  <c r="AO115" i="2"/>
  <c r="AN115" i="2"/>
  <c r="K115" i="1"/>
  <c r="AM115" i="2"/>
  <c r="J115" i="1"/>
  <c r="AL115" i="2"/>
  <c r="I115" i="1"/>
  <c r="AK115" i="2"/>
  <c r="AJ115" i="2"/>
  <c r="AI115" i="2"/>
  <c r="AH115" i="2"/>
  <c r="E115" i="1"/>
  <c r="AG115" i="2"/>
  <c r="D115" i="1"/>
  <c r="AF115" i="2"/>
  <c r="C115" i="1"/>
  <c r="AE115" i="2"/>
  <c r="AD115" i="2"/>
  <c r="AA115" i="2"/>
  <c r="Z115" i="2"/>
  <c r="S114" i="1"/>
  <c r="AU114" i="2"/>
  <c r="R114" i="1"/>
  <c r="AT114" i="2"/>
  <c r="Q114" i="1"/>
  <c r="AS114" i="2"/>
  <c r="P114" i="1"/>
  <c r="AR114" i="2"/>
  <c r="O114" i="1"/>
  <c r="AQ114" i="2"/>
  <c r="AP114" i="2"/>
  <c r="AO114" i="2"/>
  <c r="AN114" i="2"/>
  <c r="K114" i="1"/>
  <c r="AM114" i="2"/>
  <c r="J114" i="1"/>
  <c r="AL114" i="2"/>
  <c r="I114" i="1"/>
  <c r="AK114" i="2"/>
  <c r="AJ114" i="2"/>
  <c r="AI114" i="2"/>
  <c r="AH114" i="2"/>
  <c r="E114" i="1"/>
  <c r="AG114" i="2"/>
  <c r="D114" i="1"/>
  <c r="AF114" i="2"/>
  <c r="C114" i="1"/>
  <c r="AE114" i="2"/>
  <c r="AD114" i="2"/>
  <c r="AA114" i="2"/>
  <c r="Z114" i="2"/>
  <c r="S113" i="1"/>
  <c r="AU113" i="2"/>
  <c r="R113" i="1"/>
  <c r="AT113" i="2"/>
  <c r="Q113" i="1"/>
  <c r="AS113" i="2"/>
  <c r="P113" i="1"/>
  <c r="AR113" i="2"/>
  <c r="O113" i="1"/>
  <c r="AQ113" i="2"/>
  <c r="AP113" i="2"/>
  <c r="AO113" i="2"/>
  <c r="AN113" i="2"/>
  <c r="K113" i="1"/>
  <c r="AM113" i="2"/>
  <c r="J113" i="1"/>
  <c r="AL113" i="2"/>
  <c r="I113" i="1"/>
  <c r="AK113" i="2"/>
  <c r="AJ113" i="2"/>
  <c r="AI113" i="2"/>
  <c r="AH113" i="2"/>
  <c r="E113" i="1"/>
  <c r="AG113" i="2"/>
  <c r="D113" i="1"/>
  <c r="AF113" i="2"/>
  <c r="C113" i="1"/>
  <c r="AE113" i="2"/>
  <c r="AD113" i="2"/>
  <c r="AA113" i="2"/>
  <c r="Z113" i="2"/>
  <c r="S112" i="1"/>
  <c r="AU112" i="2"/>
  <c r="R112" i="1"/>
  <c r="AT112" i="2"/>
  <c r="Q112" i="1"/>
  <c r="AS112" i="2"/>
  <c r="P112" i="1"/>
  <c r="AR112" i="2"/>
  <c r="O112" i="1"/>
  <c r="AQ112" i="2"/>
  <c r="AP112" i="2"/>
  <c r="AO112" i="2"/>
  <c r="AN112" i="2"/>
  <c r="K112" i="1"/>
  <c r="AM112" i="2"/>
  <c r="J112" i="1"/>
  <c r="AL112" i="2"/>
  <c r="I112" i="1"/>
  <c r="AK112" i="2"/>
  <c r="AJ112" i="2"/>
  <c r="AI112" i="2"/>
  <c r="AH112" i="2"/>
  <c r="E112" i="1"/>
  <c r="AG112" i="2"/>
  <c r="D112" i="1"/>
  <c r="AF112" i="2"/>
  <c r="C112" i="1"/>
  <c r="AE112" i="2"/>
  <c r="AD112" i="2"/>
  <c r="AA112" i="2"/>
  <c r="Z112" i="2"/>
  <c r="S111" i="1"/>
  <c r="AU111" i="2"/>
  <c r="R111" i="1"/>
  <c r="AT111" i="2"/>
  <c r="Q111" i="1"/>
  <c r="AS111" i="2"/>
  <c r="P111" i="1"/>
  <c r="AR111" i="2"/>
  <c r="O111" i="1"/>
  <c r="AQ111" i="2"/>
  <c r="AP111" i="2"/>
  <c r="AO111" i="2"/>
  <c r="AN111" i="2"/>
  <c r="K111" i="1"/>
  <c r="AM111" i="2"/>
  <c r="J111" i="1"/>
  <c r="AL111" i="2"/>
  <c r="I111" i="1"/>
  <c r="AK111" i="2"/>
  <c r="AJ111" i="2"/>
  <c r="AI111" i="2"/>
  <c r="AH111" i="2"/>
  <c r="E111" i="1"/>
  <c r="AG111" i="2"/>
  <c r="D111" i="1"/>
  <c r="AF111" i="2"/>
  <c r="C111" i="1"/>
  <c r="AE111" i="2"/>
  <c r="AD111" i="2"/>
  <c r="AA111" i="2"/>
  <c r="Z111" i="2"/>
  <c r="S110" i="1"/>
  <c r="AU110" i="2"/>
  <c r="R110" i="1"/>
  <c r="AT110" i="2"/>
  <c r="Q110" i="1"/>
  <c r="AS110" i="2"/>
  <c r="P110" i="1"/>
  <c r="AR110" i="2"/>
  <c r="O110" i="1"/>
  <c r="AQ110" i="2"/>
  <c r="AP110" i="2"/>
  <c r="AO110" i="2"/>
  <c r="AN110" i="2"/>
  <c r="K110" i="1"/>
  <c r="AM110" i="2"/>
  <c r="J110" i="1"/>
  <c r="AL110" i="2"/>
  <c r="I110" i="1"/>
  <c r="AK110" i="2"/>
  <c r="AJ110" i="2"/>
  <c r="AI110" i="2"/>
  <c r="AH110" i="2"/>
  <c r="E110" i="1"/>
  <c r="AG110" i="2"/>
  <c r="D110" i="1"/>
  <c r="AF110" i="2"/>
  <c r="C110" i="1"/>
  <c r="AE110" i="2"/>
  <c r="AD110" i="2"/>
  <c r="AA110" i="2"/>
  <c r="Z110" i="2"/>
  <c r="S109" i="1"/>
  <c r="AU109" i="2"/>
  <c r="R109" i="1"/>
  <c r="AT109" i="2"/>
  <c r="Q109" i="1"/>
  <c r="AS109" i="2"/>
  <c r="P109" i="1"/>
  <c r="AR109" i="2"/>
  <c r="O109" i="1"/>
  <c r="AQ109" i="2"/>
  <c r="AP109" i="2"/>
  <c r="AO109" i="2"/>
  <c r="AN109" i="2"/>
  <c r="K109" i="1"/>
  <c r="AM109" i="2"/>
  <c r="J109" i="1"/>
  <c r="AL109" i="2"/>
  <c r="I109" i="1"/>
  <c r="AK109" i="2"/>
  <c r="AJ109" i="2"/>
  <c r="AI109" i="2"/>
  <c r="AH109" i="2"/>
  <c r="E109" i="1"/>
  <c r="AG109" i="2"/>
  <c r="D109" i="1"/>
  <c r="AF109" i="2"/>
  <c r="C109" i="1"/>
  <c r="AE109" i="2"/>
  <c r="AD109" i="2"/>
  <c r="AA109" i="2"/>
  <c r="Z109" i="2"/>
  <c r="S108" i="1"/>
  <c r="AU108" i="2"/>
  <c r="R108" i="1"/>
  <c r="AT108" i="2"/>
  <c r="Q108" i="1"/>
  <c r="AS108" i="2"/>
  <c r="P108" i="1"/>
  <c r="AR108" i="2"/>
  <c r="O108" i="1"/>
  <c r="AQ108" i="2"/>
  <c r="AP108" i="2"/>
  <c r="AO108" i="2"/>
  <c r="AN108" i="2"/>
  <c r="K108" i="1"/>
  <c r="AM108" i="2"/>
  <c r="J108" i="1"/>
  <c r="AL108" i="2"/>
  <c r="I108" i="1"/>
  <c r="AK108" i="2"/>
  <c r="AJ108" i="2"/>
  <c r="AI108" i="2"/>
  <c r="AH108" i="2"/>
  <c r="E108" i="1"/>
  <c r="AG108" i="2"/>
  <c r="D108" i="1"/>
  <c r="AF108" i="2"/>
  <c r="C108" i="1"/>
  <c r="AE108" i="2"/>
  <c r="AD108" i="2"/>
  <c r="AA108" i="2"/>
  <c r="Z108" i="2"/>
  <c r="S107" i="1"/>
  <c r="AU107" i="2"/>
  <c r="R107" i="1"/>
  <c r="AT107" i="2"/>
  <c r="Q107" i="1"/>
  <c r="AS107" i="2"/>
  <c r="P107" i="1"/>
  <c r="AR107" i="2"/>
  <c r="O107" i="1"/>
  <c r="AQ107" i="2"/>
  <c r="AP107" i="2"/>
  <c r="AO107" i="2"/>
  <c r="AN107" i="2"/>
  <c r="K107" i="1"/>
  <c r="AM107" i="2"/>
  <c r="J107" i="1"/>
  <c r="AL107" i="2"/>
  <c r="I107" i="1"/>
  <c r="AK107" i="2"/>
  <c r="AJ107" i="2"/>
  <c r="AI107" i="2"/>
  <c r="AH107" i="2"/>
  <c r="E107" i="1"/>
  <c r="AG107" i="2"/>
  <c r="D107" i="1"/>
  <c r="AF107" i="2"/>
  <c r="C107" i="1"/>
  <c r="AE107" i="2"/>
  <c r="AD107" i="2"/>
  <c r="AA107" i="2"/>
  <c r="Z107" i="2"/>
  <c r="S106" i="1"/>
  <c r="AU106" i="2"/>
  <c r="R106" i="1"/>
  <c r="AT106" i="2"/>
  <c r="Q106" i="1"/>
  <c r="AS106" i="2"/>
  <c r="P106" i="1"/>
  <c r="AR106" i="2"/>
  <c r="O106" i="1"/>
  <c r="AQ106" i="2"/>
  <c r="AP106" i="2"/>
  <c r="AO106" i="2"/>
  <c r="AN106" i="2"/>
  <c r="K106" i="1"/>
  <c r="AM106" i="2"/>
  <c r="J106" i="1"/>
  <c r="AL106" i="2"/>
  <c r="I106" i="1"/>
  <c r="AK106" i="2"/>
  <c r="AJ106" i="2"/>
  <c r="AI106" i="2"/>
  <c r="AH106" i="2"/>
  <c r="E106" i="1"/>
  <c r="AG106" i="2"/>
  <c r="D106" i="1"/>
  <c r="AF106" i="2"/>
  <c r="C106" i="1"/>
  <c r="AE106" i="2"/>
  <c r="AD106" i="2"/>
  <c r="AA106" i="2"/>
  <c r="Z106" i="2"/>
  <c r="S105" i="1"/>
  <c r="AU105" i="2"/>
  <c r="R105" i="1"/>
  <c r="AT105" i="2"/>
  <c r="Q105" i="1"/>
  <c r="AS105" i="2"/>
  <c r="P105" i="1"/>
  <c r="AR105" i="2"/>
  <c r="O105" i="1"/>
  <c r="AQ105" i="2"/>
  <c r="AP105" i="2"/>
  <c r="AO105" i="2"/>
  <c r="AN105" i="2"/>
  <c r="K105" i="1"/>
  <c r="AM105" i="2"/>
  <c r="J105" i="1"/>
  <c r="AL105" i="2"/>
  <c r="I105" i="1"/>
  <c r="AK105" i="2"/>
  <c r="AJ105" i="2"/>
  <c r="AI105" i="2"/>
  <c r="AH105" i="2"/>
  <c r="E105" i="1"/>
  <c r="AG105" i="2"/>
  <c r="D105" i="1"/>
  <c r="AF105" i="2"/>
  <c r="C105" i="1"/>
  <c r="AE105" i="2"/>
  <c r="AD105" i="2"/>
  <c r="AA105" i="2"/>
  <c r="Z105" i="2"/>
  <c r="S104" i="1"/>
  <c r="AU104" i="2"/>
  <c r="R104" i="1"/>
  <c r="AT104" i="2"/>
  <c r="Q104" i="1"/>
  <c r="AS104" i="2"/>
  <c r="P104" i="1"/>
  <c r="AR104" i="2"/>
  <c r="O104" i="1"/>
  <c r="AQ104" i="2"/>
  <c r="AP104" i="2"/>
  <c r="AO104" i="2"/>
  <c r="AN104" i="2"/>
  <c r="K104" i="1"/>
  <c r="AM104" i="2"/>
  <c r="J104" i="1"/>
  <c r="AL104" i="2"/>
  <c r="I104" i="1"/>
  <c r="AK104" i="2"/>
  <c r="AJ104" i="2"/>
  <c r="AI104" i="2"/>
  <c r="AH104" i="2"/>
  <c r="E104" i="1"/>
  <c r="AG104" i="2"/>
  <c r="D104" i="1"/>
  <c r="AF104" i="2"/>
  <c r="C104" i="1"/>
  <c r="AE104" i="2"/>
  <c r="AD104" i="2"/>
  <c r="AA104" i="2"/>
  <c r="Z104" i="2"/>
  <c r="S103" i="1"/>
  <c r="AU103" i="2"/>
  <c r="R103" i="1"/>
  <c r="AT103" i="2"/>
  <c r="Q103" i="1"/>
  <c r="AS103" i="2"/>
  <c r="P103" i="1"/>
  <c r="AR103" i="2"/>
  <c r="O103" i="1"/>
  <c r="AQ103" i="2"/>
  <c r="AP103" i="2"/>
  <c r="AO103" i="2"/>
  <c r="AN103" i="2"/>
  <c r="K103" i="1"/>
  <c r="AM103" i="2"/>
  <c r="J103" i="1"/>
  <c r="AL103" i="2"/>
  <c r="I103" i="1"/>
  <c r="AK103" i="2"/>
  <c r="AJ103" i="2"/>
  <c r="AI103" i="2"/>
  <c r="AH103" i="2"/>
  <c r="E103" i="1"/>
  <c r="AG103" i="2"/>
  <c r="D103" i="1"/>
  <c r="AF103" i="2"/>
  <c r="C103" i="1"/>
  <c r="AE103" i="2"/>
  <c r="AD103" i="2"/>
  <c r="AA103" i="2"/>
  <c r="Z103" i="2"/>
  <c r="S102" i="1"/>
  <c r="AU102" i="2"/>
  <c r="R102" i="1"/>
  <c r="AT102" i="2"/>
  <c r="Q102" i="1"/>
  <c r="AS102" i="2"/>
  <c r="P102" i="1"/>
  <c r="AR102" i="2"/>
  <c r="O102" i="1"/>
  <c r="AQ102" i="2"/>
  <c r="AP102" i="2"/>
  <c r="AO102" i="2"/>
  <c r="AN102" i="2"/>
  <c r="K102" i="1"/>
  <c r="AM102" i="2"/>
  <c r="J102" i="1"/>
  <c r="AL102" i="2"/>
  <c r="I102" i="1"/>
  <c r="AK102" i="2"/>
  <c r="AJ102" i="2"/>
  <c r="AI102" i="2"/>
  <c r="AH102" i="2"/>
  <c r="E102" i="1"/>
  <c r="AG102" i="2"/>
  <c r="D102" i="1"/>
  <c r="AF102" i="2"/>
  <c r="C102" i="1"/>
  <c r="AE102" i="2"/>
  <c r="AD102" i="2"/>
  <c r="AA102" i="2"/>
  <c r="Z102" i="2"/>
  <c r="S101" i="1"/>
  <c r="AU101" i="2"/>
  <c r="R101" i="1"/>
  <c r="AT101" i="2"/>
  <c r="Q101" i="1"/>
  <c r="AS101" i="2"/>
  <c r="P101" i="1"/>
  <c r="AR101" i="2"/>
  <c r="O101" i="1"/>
  <c r="AQ101" i="2"/>
  <c r="AP101" i="2"/>
  <c r="AO101" i="2"/>
  <c r="AN101" i="2"/>
  <c r="K101" i="1"/>
  <c r="AM101" i="2"/>
  <c r="J101" i="1"/>
  <c r="AL101" i="2"/>
  <c r="I101" i="1"/>
  <c r="AK101" i="2"/>
  <c r="AJ101" i="2"/>
  <c r="AI101" i="2"/>
  <c r="AH101" i="2"/>
  <c r="E101" i="1"/>
  <c r="AG101" i="2"/>
  <c r="D101" i="1"/>
  <c r="AF101" i="2"/>
  <c r="C101" i="1"/>
  <c r="AE101" i="2"/>
  <c r="AD101" i="2"/>
  <c r="AA101" i="2"/>
  <c r="Z101" i="2"/>
  <c r="S100" i="1"/>
  <c r="AU100" i="2"/>
  <c r="R100" i="1"/>
  <c r="AT100" i="2"/>
  <c r="Q100" i="1"/>
  <c r="AS100" i="2"/>
  <c r="P100" i="1"/>
  <c r="AR100" i="2"/>
  <c r="O100" i="1"/>
  <c r="AQ100" i="2"/>
  <c r="AP100" i="2"/>
  <c r="AO100" i="2"/>
  <c r="AN100" i="2"/>
  <c r="K100" i="1"/>
  <c r="AM100" i="2"/>
  <c r="J100" i="1"/>
  <c r="AL100" i="2"/>
  <c r="I100" i="1"/>
  <c r="AK100" i="2"/>
  <c r="AJ100" i="2"/>
  <c r="AI100" i="2"/>
  <c r="AH100" i="2"/>
  <c r="E100" i="1"/>
  <c r="AG100" i="2"/>
  <c r="D100" i="1"/>
  <c r="AF100" i="2"/>
  <c r="C100" i="1"/>
  <c r="AE100" i="2"/>
  <c r="AD100" i="2"/>
  <c r="AA100" i="2"/>
  <c r="Z100" i="2"/>
  <c r="S99" i="1"/>
  <c r="AU99" i="2"/>
  <c r="R99" i="1"/>
  <c r="AT99" i="2"/>
  <c r="Q99" i="1"/>
  <c r="AS99" i="2"/>
  <c r="P99" i="1"/>
  <c r="AR99" i="2"/>
  <c r="O99" i="1"/>
  <c r="AQ99" i="2"/>
  <c r="AP99" i="2"/>
  <c r="AO99" i="2"/>
  <c r="AN99" i="2"/>
  <c r="K99" i="1"/>
  <c r="AM99" i="2"/>
  <c r="J99" i="1"/>
  <c r="AL99" i="2"/>
  <c r="I99" i="1"/>
  <c r="AK99" i="2"/>
  <c r="AJ99" i="2"/>
  <c r="AI99" i="2"/>
  <c r="AH99" i="2"/>
  <c r="E99" i="1"/>
  <c r="AG99" i="2"/>
  <c r="D99" i="1"/>
  <c r="AF99" i="2"/>
  <c r="C99" i="1"/>
  <c r="AE99" i="2"/>
  <c r="AD99" i="2"/>
  <c r="AA99" i="2"/>
  <c r="Z99" i="2"/>
  <c r="S98" i="1"/>
  <c r="AU98" i="2"/>
  <c r="R98" i="1"/>
  <c r="AT98" i="2"/>
  <c r="Q98" i="1"/>
  <c r="AS98" i="2"/>
  <c r="P98" i="1"/>
  <c r="AR98" i="2"/>
  <c r="O98" i="1"/>
  <c r="AQ98" i="2"/>
  <c r="AP98" i="2"/>
  <c r="AO98" i="2"/>
  <c r="AN98" i="2"/>
  <c r="K98" i="1"/>
  <c r="AM98" i="2"/>
  <c r="J98" i="1"/>
  <c r="AL98" i="2"/>
  <c r="I98" i="1"/>
  <c r="AK98" i="2"/>
  <c r="AJ98" i="2"/>
  <c r="AI98" i="2"/>
  <c r="AH98" i="2"/>
  <c r="E98" i="1"/>
  <c r="AG98" i="2"/>
  <c r="D98" i="1"/>
  <c r="AF98" i="2"/>
  <c r="C98" i="1"/>
  <c r="AE98" i="2"/>
  <c r="AD98" i="2"/>
  <c r="AA98" i="2"/>
  <c r="Z98" i="2"/>
  <c r="S97" i="1"/>
  <c r="AU97" i="2"/>
  <c r="R97" i="1"/>
  <c r="AT97" i="2"/>
  <c r="Q97" i="1"/>
  <c r="AS97" i="2"/>
  <c r="P97" i="1"/>
  <c r="AR97" i="2"/>
  <c r="O97" i="1"/>
  <c r="AQ97" i="2"/>
  <c r="AP97" i="2"/>
  <c r="AO97" i="2"/>
  <c r="AN97" i="2"/>
  <c r="K97" i="1"/>
  <c r="AM97" i="2"/>
  <c r="J97" i="1"/>
  <c r="AL97" i="2"/>
  <c r="I97" i="1"/>
  <c r="AK97" i="2"/>
  <c r="AJ97" i="2"/>
  <c r="AI97" i="2"/>
  <c r="AH97" i="2"/>
  <c r="E97" i="1"/>
  <c r="AG97" i="2"/>
  <c r="D97" i="1"/>
  <c r="AF97" i="2"/>
  <c r="C97" i="1"/>
  <c r="AE97" i="2"/>
  <c r="AD97" i="2"/>
  <c r="AA97" i="2"/>
  <c r="Z97" i="2"/>
  <c r="S96" i="1"/>
  <c r="AU96" i="2"/>
  <c r="R96" i="1"/>
  <c r="AT96" i="2"/>
  <c r="Q96" i="1"/>
  <c r="AS96" i="2"/>
  <c r="P96" i="1"/>
  <c r="AR96" i="2"/>
  <c r="O96" i="1"/>
  <c r="AQ96" i="2"/>
  <c r="AP96" i="2"/>
  <c r="AO96" i="2"/>
  <c r="AN96" i="2"/>
  <c r="K96" i="1"/>
  <c r="AM96" i="2"/>
  <c r="J96" i="1"/>
  <c r="AL96" i="2"/>
  <c r="I96" i="1"/>
  <c r="AK96" i="2"/>
  <c r="AJ96" i="2"/>
  <c r="AI96" i="2"/>
  <c r="AH96" i="2"/>
  <c r="E96" i="1"/>
  <c r="AG96" i="2"/>
  <c r="D96" i="1"/>
  <c r="AF96" i="2"/>
  <c r="C96" i="1"/>
  <c r="AE96" i="2"/>
  <c r="AD96" i="2"/>
  <c r="AA96" i="2"/>
  <c r="Z96" i="2"/>
  <c r="S95" i="1"/>
  <c r="AU95" i="2"/>
  <c r="R95" i="1"/>
  <c r="AT95" i="2"/>
  <c r="Q95" i="1"/>
  <c r="AS95" i="2"/>
  <c r="P95" i="1"/>
  <c r="AR95" i="2"/>
  <c r="O95" i="1"/>
  <c r="AQ95" i="2"/>
  <c r="AP95" i="2"/>
  <c r="AO95" i="2"/>
  <c r="AN95" i="2"/>
  <c r="K95" i="1"/>
  <c r="AM95" i="2"/>
  <c r="J95" i="1"/>
  <c r="AL95" i="2"/>
  <c r="I95" i="1"/>
  <c r="AK95" i="2"/>
  <c r="AJ95" i="2"/>
  <c r="AI95" i="2"/>
  <c r="AH95" i="2"/>
  <c r="E95" i="1"/>
  <c r="AG95" i="2"/>
  <c r="D95" i="1"/>
  <c r="AF95" i="2"/>
  <c r="C95" i="1"/>
  <c r="AE95" i="2"/>
  <c r="AD95" i="2"/>
  <c r="AA95" i="2"/>
  <c r="Z95" i="2"/>
  <c r="S94" i="1"/>
  <c r="AU94" i="2"/>
  <c r="R94" i="1"/>
  <c r="AT94" i="2"/>
  <c r="Q94" i="1"/>
  <c r="AS94" i="2"/>
  <c r="P94" i="1"/>
  <c r="AR94" i="2"/>
  <c r="O94" i="1"/>
  <c r="AQ94" i="2"/>
  <c r="AP94" i="2"/>
  <c r="AO94" i="2"/>
  <c r="AN94" i="2"/>
  <c r="K94" i="1"/>
  <c r="AM94" i="2"/>
  <c r="J94" i="1"/>
  <c r="AL94" i="2"/>
  <c r="I94" i="1"/>
  <c r="AK94" i="2"/>
  <c r="AJ94" i="2"/>
  <c r="AI94" i="2"/>
  <c r="AH94" i="2"/>
  <c r="E94" i="1"/>
  <c r="AG94" i="2"/>
  <c r="D94" i="1"/>
  <c r="AF94" i="2"/>
  <c r="C94" i="1"/>
  <c r="AE94" i="2"/>
  <c r="AD94" i="2"/>
  <c r="AA94" i="2"/>
  <c r="Z94" i="2"/>
  <c r="S93" i="1"/>
  <c r="AU93" i="2"/>
  <c r="R93" i="1"/>
  <c r="AT93" i="2"/>
  <c r="Q93" i="1"/>
  <c r="AS93" i="2"/>
  <c r="P93" i="1"/>
  <c r="AR93" i="2"/>
  <c r="O93" i="1"/>
  <c r="AQ93" i="2"/>
  <c r="AP93" i="2"/>
  <c r="AO93" i="2"/>
  <c r="AN93" i="2"/>
  <c r="K93" i="1"/>
  <c r="AM93" i="2"/>
  <c r="J93" i="1"/>
  <c r="AL93" i="2"/>
  <c r="I93" i="1"/>
  <c r="AK93" i="2"/>
  <c r="AJ93" i="2"/>
  <c r="AI93" i="2"/>
  <c r="AH93" i="2"/>
  <c r="E93" i="1"/>
  <c r="AG93" i="2"/>
  <c r="D93" i="1"/>
  <c r="AF93" i="2"/>
  <c r="C93" i="1"/>
  <c r="AE93" i="2"/>
  <c r="AD93" i="2"/>
  <c r="AA93" i="2"/>
  <c r="Z93" i="2"/>
  <c r="S92" i="1"/>
  <c r="AU92" i="2"/>
  <c r="R92" i="1"/>
  <c r="AT92" i="2"/>
  <c r="Q92" i="1"/>
  <c r="AS92" i="2"/>
  <c r="P92" i="1"/>
  <c r="AR92" i="2"/>
  <c r="O92" i="1"/>
  <c r="AQ92" i="2"/>
  <c r="AP92" i="2"/>
  <c r="AO92" i="2"/>
  <c r="AN92" i="2"/>
  <c r="K92" i="1"/>
  <c r="AM92" i="2"/>
  <c r="J92" i="1"/>
  <c r="AL92" i="2"/>
  <c r="I92" i="1"/>
  <c r="AK92" i="2"/>
  <c r="AJ92" i="2"/>
  <c r="AI92" i="2"/>
  <c r="AH92" i="2"/>
  <c r="E92" i="1"/>
  <c r="AG92" i="2"/>
  <c r="D92" i="1"/>
  <c r="AF92" i="2"/>
  <c r="C92" i="1"/>
  <c r="AE92" i="2"/>
  <c r="AD92" i="2"/>
  <c r="AA92" i="2"/>
  <c r="Z92" i="2"/>
  <c r="S91" i="1"/>
  <c r="AU91" i="2"/>
  <c r="R91" i="1"/>
  <c r="AT91" i="2"/>
  <c r="Q91" i="1"/>
  <c r="AS91" i="2"/>
  <c r="P91" i="1"/>
  <c r="AR91" i="2"/>
  <c r="O91" i="1"/>
  <c r="AQ91" i="2"/>
  <c r="AP91" i="2"/>
  <c r="AO91" i="2"/>
  <c r="AN91" i="2"/>
  <c r="K91" i="1"/>
  <c r="AM91" i="2"/>
  <c r="J91" i="1"/>
  <c r="AL91" i="2"/>
  <c r="I91" i="1"/>
  <c r="AK91" i="2"/>
  <c r="AJ91" i="2"/>
  <c r="AI91" i="2"/>
  <c r="AH91" i="2"/>
  <c r="E91" i="1"/>
  <c r="AG91" i="2"/>
  <c r="D91" i="1"/>
  <c r="AF91" i="2"/>
  <c r="C91" i="1"/>
  <c r="AE91" i="2"/>
  <c r="AD91" i="2"/>
  <c r="AA91" i="2"/>
  <c r="Z91" i="2"/>
  <c r="S90" i="1"/>
  <c r="AU90" i="2"/>
  <c r="R90" i="1"/>
  <c r="AT90" i="2"/>
  <c r="Q90" i="1"/>
  <c r="AS90" i="2"/>
  <c r="P90" i="1"/>
  <c r="AR90" i="2"/>
  <c r="O90" i="1"/>
  <c r="AQ90" i="2"/>
  <c r="AP90" i="2"/>
  <c r="AO90" i="2"/>
  <c r="AN90" i="2"/>
  <c r="K90" i="1"/>
  <c r="AM90" i="2"/>
  <c r="J90" i="1"/>
  <c r="AL90" i="2"/>
  <c r="I90" i="1"/>
  <c r="AK90" i="2"/>
  <c r="AJ90" i="2"/>
  <c r="AI90" i="2"/>
  <c r="AH90" i="2"/>
  <c r="E90" i="1"/>
  <c r="AG90" i="2"/>
  <c r="D90" i="1"/>
  <c r="AF90" i="2"/>
  <c r="C90" i="1"/>
  <c r="AE90" i="2"/>
  <c r="AD90" i="2"/>
  <c r="AA90" i="2"/>
  <c r="Z90" i="2"/>
  <c r="S89" i="1"/>
  <c r="AU89" i="2"/>
  <c r="R89" i="1"/>
  <c r="AT89" i="2"/>
  <c r="Q89" i="1"/>
  <c r="AS89" i="2"/>
  <c r="P89" i="1"/>
  <c r="AR89" i="2"/>
  <c r="O89" i="1"/>
  <c r="AQ89" i="2"/>
  <c r="AP89" i="2"/>
  <c r="AO89" i="2"/>
  <c r="AN89" i="2"/>
  <c r="K89" i="1"/>
  <c r="AM89" i="2"/>
  <c r="J89" i="1"/>
  <c r="AL89" i="2"/>
  <c r="I89" i="1"/>
  <c r="AK89" i="2"/>
  <c r="AJ89" i="2"/>
  <c r="AI89" i="2"/>
  <c r="AH89" i="2"/>
  <c r="E89" i="1"/>
  <c r="AG89" i="2"/>
  <c r="D89" i="1"/>
  <c r="AF89" i="2"/>
  <c r="C89" i="1"/>
  <c r="AE89" i="2"/>
  <c r="AD89" i="2"/>
  <c r="AA89" i="2"/>
  <c r="Z89" i="2"/>
  <c r="S88" i="1"/>
  <c r="AU88" i="2"/>
  <c r="R88" i="1"/>
  <c r="AT88" i="2"/>
  <c r="Q88" i="1"/>
  <c r="AS88" i="2"/>
  <c r="P88" i="1"/>
  <c r="AR88" i="2"/>
  <c r="O88" i="1"/>
  <c r="AQ88" i="2"/>
  <c r="AP88" i="2"/>
  <c r="AO88" i="2"/>
  <c r="AN88" i="2"/>
  <c r="K88" i="1"/>
  <c r="AM88" i="2"/>
  <c r="J88" i="1"/>
  <c r="AL88" i="2"/>
  <c r="I88" i="1"/>
  <c r="AK88" i="2"/>
  <c r="AJ88" i="2"/>
  <c r="AI88" i="2"/>
  <c r="AH88" i="2"/>
  <c r="E88" i="1"/>
  <c r="AG88" i="2"/>
  <c r="D88" i="1"/>
  <c r="AF88" i="2"/>
  <c r="C88" i="1"/>
  <c r="AE88" i="2"/>
  <c r="AD88" i="2"/>
  <c r="AA88" i="2"/>
  <c r="Z88" i="2"/>
  <c r="S87" i="1"/>
  <c r="AU87" i="2"/>
  <c r="R87" i="1"/>
  <c r="AT87" i="2"/>
  <c r="Q87" i="1"/>
  <c r="AS87" i="2"/>
  <c r="P87" i="1"/>
  <c r="AR87" i="2"/>
  <c r="O87" i="1"/>
  <c r="AQ87" i="2"/>
  <c r="AP87" i="2"/>
  <c r="AO87" i="2"/>
  <c r="AN87" i="2"/>
  <c r="K87" i="1"/>
  <c r="AM87" i="2"/>
  <c r="J87" i="1"/>
  <c r="AL87" i="2"/>
  <c r="I87" i="1"/>
  <c r="AK87" i="2"/>
  <c r="AJ87" i="2"/>
  <c r="AI87" i="2"/>
  <c r="AH87" i="2"/>
  <c r="E87" i="1"/>
  <c r="AG87" i="2"/>
  <c r="D87" i="1"/>
  <c r="AF87" i="2"/>
  <c r="C87" i="1"/>
  <c r="AE87" i="2"/>
  <c r="AD87" i="2"/>
  <c r="AA87" i="2"/>
  <c r="Z87" i="2"/>
  <c r="S86" i="1"/>
  <c r="AU86" i="2"/>
  <c r="R86" i="1"/>
  <c r="AT86" i="2"/>
  <c r="Q86" i="1"/>
  <c r="AS86" i="2"/>
  <c r="P86" i="1"/>
  <c r="AR86" i="2"/>
  <c r="O86" i="1"/>
  <c r="AQ86" i="2"/>
  <c r="AP86" i="2"/>
  <c r="AO86" i="2"/>
  <c r="AN86" i="2"/>
  <c r="K86" i="1"/>
  <c r="AM86" i="2"/>
  <c r="J86" i="1"/>
  <c r="AL86" i="2"/>
  <c r="I86" i="1"/>
  <c r="AK86" i="2"/>
  <c r="AJ86" i="2"/>
  <c r="AI86" i="2"/>
  <c r="AH86" i="2"/>
  <c r="E86" i="1"/>
  <c r="AG86" i="2"/>
  <c r="D86" i="1"/>
  <c r="AF86" i="2"/>
  <c r="C86" i="1"/>
  <c r="AE86" i="2"/>
  <c r="AD86" i="2"/>
  <c r="AA86" i="2"/>
  <c r="Z86" i="2"/>
  <c r="S85" i="1"/>
  <c r="AU85" i="2"/>
  <c r="R85" i="1"/>
  <c r="AT85" i="2"/>
  <c r="Q85" i="1"/>
  <c r="AS85" i="2"/>
  <c r="P85" i="1"/>
  <c r="AR85" i="2"/>
  <c r="O85" i="1"/>
  <c r="AQ85" i="2"/>
  <c r="AP85" i="2"/>
  <c r="AO85" i="2"/>
  <c r="AN85" i="2"/>
  <c r="K85" i="1"/>
  <c r="AM85" i="2"/>
  <c r="J85" i="1"/>
  <c r="AL85" i="2"/>
  <c r="I85" i="1"/>
  <c r="AK85" i="2"/>
  <c r="AJ85" i="2"/>
  <c r="AI85" i="2"/>
  <c r="AH85" i="2"/>
  <c r="E85" i="1"/>
  <c r="AG85" i="2"/>
  <c r="D85" i="1"/>
  <c r="AF85" i="2"/>
  <c r="C85" i="1"/>
  <c r="AE85" i="2"/>
  <c r="AD85" i="2"/>
  <c r="AA85" i="2"/>
  <c r="Z85" i="2"/>
  <c r="S84" i="1"/>
  <c r="AU84" i="2"/>
  <c r="R84" i="1"/>
  <c r="AT84" i="2"/>
  <c r="Q84" i="1"/>
  <c r="AS84" i="2"/>
  <c r="P84" i="1"/>
  <c r="AR84" i="2"/>
  <c r="O84" i="1"/>
  <c r="AQ84" i="2"/>
  <c r="AP84" i="2"/>
  <c r="AO84" i="2"/>
  <c r="AN84" i="2"/>
  <c r="K84" i="1"/>
  <c r="AM84" i="2"/>
  <c r="J84" i="1"/>
  <c r="AL84" i="2"/>
  <c r="I84" i="1"/>
  <c r="AK84" i="2"/>
  <c r="AJ84" i="2"/>
  <c r="AI84" i="2"/>
  <c r="AH84" i="2"/>
  <c r="E84" i="1"/>
  <c r="AG84" i="2"/>
  <c r="D84" i="1"/>
  <c r="AF84" i="2"/>
  <c r="C84" i="1"/>
  <c r="AE84" i="2"/>
  <c r="AD84" i="2"/>
  <c r="AA84" i="2"/>
  <c r="Z84" i="2"/>
  <c r="S83" i="1"/>
  <c r="AU83" i="2"/>
  <c r="R83" i="1"/>
  <c r="AT83" i="2"/>
  <c r="Q83" i="1"/>
  <c r="AS83" i="2"/>
  <c r="P83" i="1"/>
  <c r="AR83" i="2"/>
  <c r="O83" i="1"/>
  <c r="AQ83" i="2"/>
  <c r="AP83" i="2"/>
  <c r="AO83" i="2"/>
  <c r="AN83" i="2"/>
  <c r="K83" i="1"/>
  <c r="AM83" i="2"/>
  <c r="J83" i="1"/>
  <c r="AL83" i="2"/>
  <c r="I83" i="1"/>
  <c r="AK83" i="2"/>
  <c r="AJ83" i="2"/>
  <c r="AI83" i="2"/>
  <c r="AH83" i="2"/>
  <c r="E83" i="1"/>
  <c r="AG83" i="2"/>
  <c r="D83" i="1"/>
  <c r="AF83" i="2"/>
  <c r="C83" i="1"/>
  <c r="AE83" i="2"/>
  <c r="AD83" i="2"/>
  <c r="AA83" i="2"/>
  <c r="Z83" i="2"/>
  <c r="S82" i="1"/>
  <c r="AU82" i="2"/>
  <c r="R82" i="1"/>
  <c r="AT82" i="2"/>
  <c r="Q82" i="1"/>
  <c r="AS82" i="2"/>
  <c r="P82" i="1"/>
  <c r="AR82" i="2"/>
  <c r="O82" i="1"/>
  <c r="AQ82" i="2"/>
  <c r="AP82" i="2"/>
  <c r="AO82" i="2"/>
  <c r="AN82" i="2"/>
  <c r="K82" i="1"/>
  <c r="AM82" i="2"/>
  <c r="J82" i="1"/>
  <c r="AL82" i="2"/>
  <c r="I82" i="1"/>
  <c r="AK82" i="2"/>
  <c r="AJ82" i="2"/>
  <c r="AI82" i="2"/>
  <c r="AH82" i="2"/>
  <c r="E82" i="1"/>
  <c r="AG82" i="2"/>
  <c r="D82" i="1"/>
  <c r="AF82" i="2"/>
  <c r="C82" i="1"/>
  <c r="AE82" i="2"/>
  <c r="AD82" i="2"/>
  <c r="AA82" i="2"/>
  <c r="Z82" i="2"/>
  <c r="S81" i="1"/>
  <c r="AU81" i="2"/>
  <c r="R81" i="1"/>
  <c r="AT81" i="2"/>
  <c r="Q81" i="1"/>
  <c r="AS81" i="2"/>
  <c r="P81" i="1"/>
  <c r="AR81" i="2"/>
  <c r="O81" i="1"/>
  <c r="AQ81" i="2"/>
  <c r="AP81" i="2"/>
  <c r="AO81" i="2"/>
  <c r="AN81" i="2"/>
  <c r="K81" i="1"/>
  <c r="AM81" i="2"/>
  <c r="J81" i="1"/>
  <c r="AL81" i="2"/>
  <c r="I81" i="1"/>
  <c r="AK81" i="2"/>
  <c r="AJ81" i="2"/>
  <c r="AI81" i="2"/>
  <c r="AH81" i="2"/>
  <c r="E81" i="1"/>
  <c r="AG81" i="2"/>
  <c r="D81" i="1"/>
  <c r="AF81" i="2"/>
  <c r="C81" i="1"/>
  <c r="AE81" i="2"/>
  <c r="AD81" i="2"/>
  <c r="AA81" i="2"/>
  <c r="Z81" i="2"/>
  <c r="S80" i="1"/>
  <c r="AU80" i="2"/>
  <c r="R80" i="1"/>
  <c r="AT80" i="2"/>
  <c r="Q80" i="1"/>
  <c r="AS80" i="2"/>
  <c r="P80" i="1"/>
  <c r="AR80" i="2"/>
  <c r="O80" i="1"/>
  <c r="AQ80" i="2"/>
  <c r="AP80" i="2"/>
  <c r="AO80" i="2"/>
  <c r="AN80" i="2"/>
  <c r="K80" i="1"/>
  <c r="AM80" i="2"/>
  <c r="J80" i="1"/>
  <c r="AL80" i="2"/>
  <c r="I80" i="1"/>
  <c r="AK80" i="2"/>
  <c r="AJ80" i="2"/>
  <c r="AI80" i="2"/>
  <c r="AH80" i="2"/>
  <c r="E80" i="1"/>
  <c r="AG80" i="2"/>
  <c r="D80" i="1"/>
  <c r="AF80" i="2"/>
  <c r="C80" i="1"/>
  <c r="AE80" i="2"/>
  <c r="AD80" i="2"/>
  <c r="AA80" i="2"/>
  <c r="Z80" i="2"/>
  <c r="S79" i="1"/>
  <c r="AU79" i="2"/>
  <c r="R79" i="1"/>
  <c r="AT79" i="2"/>
  <c r="Q79" i="1"/>
  <c r="AS79" i="2"/>
  <c r="P79" i="1"/>
  <c r="AR79" i="2"/>
  <c r="O79" i="1"/>
  <c r="AQ79" i="2"/>
  <c r="AP79" i="2"/>
  <c r="AO79" i="2"/>
  <c r="AN79" i="2"/>
  <c r="K79" i="1"/>
  <c r="AM79" i="2"/>
  <c r="J79" i="1"/>
  <c r="AL79" i="2"/>
  <c r="I79" i="1"/>
  <c r="AK79" i="2"/>
  <c r="AJ79" i="2"/>
  <c r="AI79" i="2"/>
  <c r="AH79" i="2"/>
  <c r="E79" i="1"/>
  <c r="AG79" i="2"/>
  <c r="D79" i="1"/>
  <c r="AF79" i="2"/>
  <c r="C79" i="1"/>
  <c r="AE79" i="2"/>
  <c r="AD79" i="2"/>
  <c r="AA79" i="2"/>
  <c r="Z79" i="2"/>
  <c r="S78" i="1"/>
  <c r="AU78" i="2"/>
  <c r="R78" i="1"/>
  <c r="AT78" i="2"/>
  <c r="Q78" i="1"/>
  <c r="AS78" i="2"/>
  <c r="P78" i="1"/>
  <c r="AR78" i="2"/>
  <c r="O78" i="1"/>
  <c r="AQ78" i="2"/>
  <c r="AP78" i="2"/>
  <c r="AO78" i="2"/>
  <c r="AN78" i="2"/>
  <c r="K78" i="1"/>
  <c r="AM78" i="2"/>
  <c r="J78" i="1"/>
  <c r="AL78" i="2"/>
  <c r="I78" i="1"/>
  <c r="AK78" i="2"/>
  <c r="AJ78" i="2"/>
  <c r="AI78" i="2"/>
  <c r="AH78" i="2"/>
  <c r="E78" i="1"/>
  <c r="AG78" i="2"/>
  <c r="D78" i="1"/>
  <c r="AF78" i="2"/>
  <c r="C78" i="1"/>
  <c r="AE78" i="2"/>
  <c r="AD78" i="2"/>
  <c r="AA78" i="2"/>
  <c r="Z78" i="2"/>
  <c r="S77" i="1"/>
  <c r="AU77" i="2"/>
  <c r="R77" i="1"/>
  <c r="AT77" i="2"/>
  <c r="Q77" i="1"/>
  <c r="AS77" i="2"/>
  <c r="P77" i="1"/>
  <c r="AR77" i="2"/>
  <c r="O77" i="1"/>
  <c r="AQ77" i="2"/>
  <c r="AP77" i="2"/>
  <c r="AO77" i="2"/>
  <c r="AN77" i="2"/>
  <c r="K77" i="1"/>
  <c r="AM77" i="2"/>
  <c r="J77" i="1"/>
  <c r="AL77" i="2"/>
  <c r="I77" i="1"/>
  <c r="AK77" i="2"/>
  <c r="AJ77" i="2"/>
  <c r="AI77" i="2"/>
  <c r="AH77" i="2"/>
  <c r="E77" i="1"/>
  <c r="AG77" i="2"/>
  <c r="D77" i="1"/>
  <c r="AF77" i="2"/>
  <c r="C77" i="1"/>
  <c r="AE77" i="2"/>
  <c r="AD77" i="2"/>
  <c r="AA77" i="2"/>
  <c r="Z77" i="2"/>
  <c r="S76" i="1"/>
  <c r="AU76" i="2"/>
  <c r="R76" i="1"/>
  <c r="AT76" i="2"/>
  <c r="Q76" i="1"/>
  <c r="AS76" i="2"/>
  <c r="P76" i="1"/>
  <c r="AR76" i="2"/>
  <c r="O76" i="1"/>
  <c r="AQ76" i="2"/>
  <c r="AP76" i="2"/>
  <c r="AO76" i="2"/>
  <c r="AN76" i="2"/>
  <c r="K76" i="1"/>
  <c r="AM76" i="2"/>
  <c r="J76" i="1"/>
  <c r="AL76" i="2"/>
  <c r="I76" i="1"/>
  <c r="AK76" i="2"/>
  <c r="AJ76" i="2"/>
  <c r="AI76" i="2"/>
  <c r="AH76" i="2"/>
  <c r="E76" i="1"/>
  <c r="AG76" i="2"/>
  <c r="D76" i="1"/>
  <c r="AF76" i="2"/>
  <c r="C76" i="1"/>
  <c r="AE76" i="2"/>
  <c r="AD76" i="2"/>
  <c r="AA76" i="2"/>
  <c r="Z76" i="2"/>
  <c r="S75" i="1"/>
  <c r="AU75" i="2"/>
  <c r="R75" i="1"/>
  <c r="AT75" i="2"/>
  <c r="Q75" i="1"/>
  <c r="AS75" i="2"/>
  <c r="P75" i="1"/>
  <c r="AR75" i="2"/>
  <c r="O75" i="1"/>
  <c r="AQ75" i="2"/>
  <c r="AP75" i="2"/>
  <c r="AO75" i="2"/>
  <c r="AN75" i="2"/>
  <c r="K75" i="1"/>
  <c r="AM75" i="2"/>
  <c r="J75" i="1"/>
  <c r="AL75" i="2"/>
  <c r="I75" i="1"/>
  <c r="AK75" i="2"/>
  <c r="AJ75" i="2"/>
  <c r="AI75" i="2"/>
  <c r="AH75" i="2"/>
  <c r="E75" i="1"/>
  <c r="AG75" i="2"/>
  <c r="D75" i="1"/>
  <c r="AF75" i="2"/>
  <c r="C75" i="1"/>
  <c r="AE75" i="2"/>
  <c r="AD75" i="2"/>
  <c r="AA75" i="2"/>
  <c r="Z75" i="2"/>
  <c r="S74" i="1"/>
  <c r="AU74" i="2"/>
  <c r="R74" i="1"/>
  <c r="AT74" i="2"/>
  <c r="Q74" i="1"/>
  <c r="AS74" i="2"/>
  <c r="P74" i="1"/>
  <c r="AR74" i="2"/>
  <c r="O74" i="1"/>
  <c r="AQ74" i="2"/>
  <c r="AP74" i="2"/>
  <c r="AO74" i="2"/>
  <c r="AN74" i="2"/>
  <c r="K74" i="1"/>
  <c r="AM74" i="2"/>
  <c r="J74" i="1"/>
  <c r="AL74" i="2"/>
  <c r="I74" i="1"/>
  <c r="AK74" i="2"/>
  <c r="AJ74" i="2"/>
  <c r="AI74" i="2"/>
  <c r="AH74" i="2"/>
  <c r="E74" i="1"/>
  <c r="AG74" i="2"/>
  <c r="D74" i="1"/>
  <c r="AF74" i="2"/>
  <c r="C74" i="1"/>
  <c r="AE74" i="2"/>
  <c r="AD74" i="2"/>
  <c r="AA74" i="2"/>
  <c r="Z74" i="2"/>
  <c r="S73" i="1"/>
  <c r="AU73" i="2"/>
  <c r="R73" i="1"/>
  <c r="AT73" i="2"/>
  <c r="Q73" i="1"/>
  <c r="AS73" i="2"/>
  <c r="P73" i="1"/>
  <c r="AR73" i="2"/>
  <c r="O73" i="1"/>
  <c r="AQ73" i="2"/>
  <c r="AP73" i="2"/>
  <c r="AO73" i="2"/>
  <c r="AN73" i="2"/>
  <c r="K73" i="1"/>
  <c r="AM73" i="2"/>
  <c r="J73" i="1"/>
  <c r="AL73" i="2"/>
  <c r="I73" i="1"/>
  <c r="AK73" i="2"/>
  <c r="AJ73" i="2"/>
  <c r="AI73" i="2"/>
  <c r="AH73" i="2"/>
  <c r="E73" i="1"/>
  <c r="AG73" i="2"/>
  <c r="D73" i="1"/>
  <c r="AF73" i="2"/>
  <c r="C73" i="1"/>
  <c r="AE73" i="2"/>
  <c r="AD73" i="2"/>
  <c r="AA73" i="2"/>
  <c r="Z73" i="2"/>
  <c r="S72" i="1"/>
  <c r="AU72" i="2"/>
  <c r="R72" i="1"/>
  <c r="AT72" i="2"/>
  <c r="Q72" i="1"/>
  <c r="AS72" i="2"/>
  <c r="P72" i="1"/>
  <c r="AR72" i="2"/>
  <c r="O72" i="1"/>
  <c r="AQ72" i="2"/>
  <c r="AP72" i="2"/>
  <c r="AO72" i="2"/>
  <c r="AN72" i="2"/>
  <c r="K72" i="1"/>
  <c r="AM72" i="2"/>
  <c r="J72" i="1"/>
  <c r="AL72" i="2"/>
  <c r="I72" i="1"/>
  <c r="AK72" i="2"/>
  <c r="AJ72" i="2"/>
  <c r="AI72" i="2"/>
  <c r="AH72" i="2"/>
  <c r="E72" i="1"/>
  <c r="AG72" i="2"/>
  <c r="D72" i="1"/>
  <c r="AF72" i="2"/>
  <c r="C72" i="1"/>
  <c r="AE72" i="2"/>
  <c r="AD72" i="2"/>
  <c r="AA72" i="2"/>
  <c r="Z72" i="2"/>
  <c r="S71" i="1"/>
  <c r="AU71" i="2"/>
  <c r="R71" i="1"/>
  <c r="AT71" i="2"/>
  <c r="Q71" i="1"/>
  <c r="AS71" i="2"/>
  <c r="P71" i="1"/>
  <c r="AR71" i="2"/>
  <c r="O71" i="1"/>
  <c r="AQ71" i="2"/>
  <c r="AP71" i="2"/>
  <c r="AO71" i="2"/>
  <c r="AN71" i="2"/>
  <c r="K71" i="1"/>
  <c r="AM71" i="2"/>
  <c r="J71" i="1"/>
  <c r="AL71" i="2"/>
  <c r="I71" i="1"/>
  <c r="AK71" i="2"/>
  <c r="AJ71" i="2"/>
  <c r="AI71" i="2"/>
  <c r="AH71" i="2"/>
  <c r="E71" i="1"/>
  <c r="AG71" i="2"/>
  <c r="D71" i="1"/>
  <c r="AF71" i="2"/>
  <c r="C71" i="1"/>
  <c r="AE71" i="2"/>
  <c r="AD71" i="2"/>
  <c r="AA71" i="2"/>
  <c r="Z71" i="2"/>
  <c r="S70" i="1"/>
  <c r="AU70" i="2"/>
  <c r="R70" i="1"/>
  <c r="AT70" i="2"/>
  <c r="Q70" i="1"/>
  <c r="AS70" i="2"/>
  <c r="P70" i="1"/>
  <c r="AR70" i="2"/>
  <c r="O70" i="1"/>
  <c r="AQ70" i="2"/>
  <c r="AP70" i="2"/>
  <c r="AO70" i="2"/>
  <c r="AN70" i="2"/>
  <c r="K70" i="1"/>
  <c r="AM70" i="2"/>
  <c r="J70" i="1"/>
  <c r="AL70" i="2"/>
  <c r="I70" i="1"/>
  <c r="AK70" i="2"/>
  <c r="AJ70" i="2"/>
  <c r="AI70" i="2"/>
  <c r="AH70" i="2"/>
  <c r="E70" i="1"/>
  <c r="AG70" i="2"/>
  <c r="D70" i="1"/>
  <c r="AF70" i="2"/>
  <c r="C70" i="1"/>
  <c r="AE70" i="2"/>
  <c r="AD70" i="2"/>
  <c r="AA70" i="2"/>
  <c r="Z70" i="2"/>
  <c r="S69" i="1"/>
  <c r="AU69" i="2"/>
  <c r="R69" i="1"/>
  <c r="AT69" i="2"/>
  <c r="Q69" i="1"/>
  <c r="AS69" i="2"/>
  <c r="P69" i="1"/>
  <c r="AR69" i="2"/>
  <c r="O69" i="1"/>
  <c r="AQ69" i="2"/>
  <c r="AP69" i="2"/>
  <c r="AO69" i="2"/>
  <c r="AN69" i="2"/>
  <c r="K69" i="1"/>
  <c r="AM69" i="2"/>
  <c r="J69" i="1"/>
  <c r="AL69" i="2"/>
  <c r="I69" i="1"/>
  <c r="AK69" i="2"/>
  <c r="AJ69" i="2"/>
  <c r="AI69" i="2"/>
  <c r="AH69" i="2"/>
  <c r="E69" i="1"/>
  <c r="AG69" i="2"/>
  <c r="D69" i="1"/>
  <c r="AF69" i="2"/>
  <c r="C69" i="1"/>
  <c r="AE69" i="2"/>
  <c r="AD69" i="2"/>
  <c r="AA69" i="2"/>
  <c r="Z69" i="2"/>
  <c r="S68" i="1"/>
  <c r="AU68" i="2"/>
  <c r="R68" i="1"/>
  <c r="AT68" i="2"/>
  <c r="Q68" i="1"/>
  <c r="AS68" i="2"/>
  <c r="P68" i="1"/>
  <c r="AR68" i="2"/>
  <c r="O68" i="1"/>
  <c r="AQ68" i="2"/>
  <c r="AP68" i="2"/>
  <c r="AO68" i="2"/>
  <c r="AN68" i="2"/>
  <c r="K68" i="1"/>
  <c r="AM68" i="2"/>
  <c r="J68" i="1"/>
  <c r="AL68" i="2"/>
  <c r="I68" i="1"/>
  <c r="AK68" i="2"/>
  <c r="AJ68" i="2"/>
  <c r="AI68" i="2"/>
  <c r="AH68" i="2"/>
  <c r="E68" i="1"/>
  <c r="AG68" i="2"/>
  <c r="D68" i="1"/>
  <c r="AF68" i="2"/>
  <c r="C68" i="1"/>
  <c r="AE68" i="2"/>
  <c r="AD68" i="2"/>
  <c r="AA68" i="2"/>
  <c r="Z68" i="2"/>
  <c r="S67" i="1"/>
  <c r="AU67" i="2"/>
  <c r="R67" i="1"/>
  <c r="AT67" i="2"/>
  <c r="Q67" i="1"/>
  <c r="AS67" i="2"/>
  <c r="P67" i="1"/>
  <c r="AR67" i="2"/>
  <c r="O67" i="1"/>
  <c r="AQ67" i="2"/>
  <c r="AP67" i="2"/>
  <c r="AO67" i="2"/>
  <c r="AN67" i="2"/>
  <c r="K67" i="1"/>
  <c r="AM67" i="2"/>
  <c r="J67" i="1"/>
  <c r="AL67" i="2"/>
  <c r="I67" i="1"/>
  <c r="AK67" i="2"/>
  <c r="AJ67" i="2"/>
  <c r="AI67" i="2"/>
  <c r="AH67" i="2"/>
  <c r="E67" i="1"/>
  <c r="AG67" i="2"/>
  <c r="D67" i="1"/>
  <c r="AF67" i="2"/>
  <c r="C67" i="1"/>
  <c r="AE67" i="2"/>
  <c r="AD67" i="2"/>
  <c r="AA67" i="2"/>
  <c r="Z67" i="2"/>
  <c r="S66" i="1"/>
  <c r="AU66" i="2"/>
  <c r="R66" i="1"/>
  <c r="AT66" i="2"/>
  <c r="Q66" i="1"/>
  <c r="AS66" i="2"/>
  <c r="P66" i="1"/>
  <c r="AR66" i="2"/>
  <c r="O66" i="1"/>
  <c r="AQ66" i="2"/>
  <c r="AP66" i="2"/>
  <c r="AO66" i="2"/>
  <c r="AN66" i="2"/>
  <c r="K66" i="1"/>
  <c r="AM66" i="2"/>
  <c r="J66" i="1"/>
  <c r="AL66" i="2"/>
  <c r="I66" i="1"/>
  <c r="AK66" i="2"/>
  <c r="AJ66" i="2"/>
  <c r="AI66" i="2"/>
  <c r="AH66" i="2"/>
  <c r="E66" i="1"/>
  <c r="AG66" i="2"/>
  <c r="D66" i="1"/>
  <c r="AF66" i="2"/>
  <c r="C66" i="1"/>
  <c r="AE66" i="2"/>
  <c r="AD66" i="2"/>
  <c r="AA66" i="2"/>
  <c r="Z66" i="2"/>
  <c r="S65" i="1"/>
  <c r="AU65" i="2"/>
  <c r="R65" i="1"/>
  <c r="AT65" i="2"/>
  <c r="Q65" i="1"/>
  <c r="AS65" i="2"/>
  <c r="P65" i="1"/>
  <c r="AR65" i="2"/>
  <c r="O65" i="1"/>
  <c r="AQ65" i="2"/>
  <c r="AP65" i="2"/>
  <c r="AO65" i="2"/>
  <c r="AN65" i="2"/>
  <c r="K65" i="1"/>
  <c r="AM65" i="2"/>
  <c r="J65" i="1"/>
  <c r="AL65" i="2"/>
  <c r="I65" i="1"/>
  <c r="AK65" i="2"/>
  <c r="AJ65" i="2"/>
  <c r="AI65" i="2"/>
  <c r="AH65" i="2"/>
  <c r="E65" i="1"/>
  <c r="AG65" i="2"/>
  <c r="D65" i="1"/>
  <c r="AF65" i="2"/>
  <c r="C65" i="1"/>
  <c r="AE65" i="2"/>
  <c r="AD65" i="2"/>
  <c r="AA65" i="2"/>
  <c r="Z65" i="2"/>
  <c r="S64" i="1"/>
  <c r="AU64" i="2"/>
  <c r="R64" i="1"/>
  <c r="AT64" i="2"/>
  <c r="Q64" i="1"/>
  <c r="AS64" i="2"/>
  <c r="P64" i="1"/>
  <c r="AR64" i="2"/>
  <c r="O64" i="1"/>
  <c r="AQ64" i="2"/>
  <c r="AP64" i="2"/>
  <c r="AO64" i="2"/>
  <c r="AN64" i="2"/>
  <c r="K64" i="1"/>
  <c r="AM64" i="2"/>
  <c r="J64" i="1"/>
  <c r="AL64" i="2"/>
  <c r="I64" i="1"/>
  <c r="AK64" i="2"/>
  <c r="AJ64" i="2"/>
  <c r="AI64" i="2"/>
  <c r="AH64" i="2"/>
  <c r="E64" i="1"/>
  <c r="AG64" i="2"/>
  <c r="D64" i="1"/>
  <c r="AF64" i="2"/>
  <c r="C64" i="1"/>
  <c r="AE64" i="2"/>
  <c r="AD64" i="2"/>
  <c r="AA64" i="2"/>
  <c r="Z64" i="2"/>
  <c r="S63" i="1"/>
  <c r="AU63" i="2"/>
  <c r="R63" i="1"/>
  <c r="AT63" i="2"/>
  <c r="Q63" i="1"/>
  <c r="AS63" i="2"/>
  <c r="P63" i="1"/>
  <c r="AR63" i="2"/>
  <c r="O63" i="1"/>
  <c r="AQ63" i="2"/>
  <c r="AP63" i="2"/>
  <c r="AO63" i="2"/>
  <c r="AN63" i="2"/>
  <c r="K63" i="1"/>
  <c r="AM63" i="2"/>
  <c r="J63" i="1"/>
  <c r="AL63" i="2"/>
  <c r="I63" i="1"/>
  <c r="AK63" i="2"/>
  <c r="AJ63" i="2"/>
  <c r="AI63" i="2"/>
  <c r="AH63" i="2"/>
  <c r="E63" i="1"/>
  <c r="AG63" i="2"/>
  <c r="D63" i="1"/>
  <c r="AF63" i="2"/>
  <c r="C63" i="1"/>
  <c r="AE63" i="2"/>
  <c r="AD63" i="2"/>
  <c r="AA63" i="2"/>
  <c r="Z63" i="2"/>
  <c r="S62" i="1"/>
  <c r="AU62" i="2"/>
  <c r="R62" i="1"/>
  <c r="AT62" i="2"/>
  <c r="Q62" i="1"/>
  <c r="AS62" i="2"/>
  <c r="P62" i="1"/>
  <c r="AR62" i="2"/>
  <c r="O62" i="1"/>
  <c r="AQ62" i="2"/>
  <c r="AP62" i="2"/>
  <c r="AO62" i="2"/>
  <c r="AN62" i="2"/>
  <c r="K62" i="1"/>
  <c r="AM62" i="2"/>
  <c r="J62" i="1"/>
  <c r="AL62" i="2"/>
  <c r="I62" i="1"/>
  <c r="AK62" i="2"/>
  <c r="AJ62" i="2"/>
  <c r="AI62" i="2"/>
  <c r="AH62" i="2"/>
  <c r="E62" i="1"/>
  <c r="AG62" i="2"/>
  <c r="D62" i="1"/>
  <c r="AF62" i="2"/>
  <c r="C62" i="1"/>
  <c r="AE62" i="2"/>
  <c r="AD62" i="2"/>
  <c r="AA62" i="2"/>
  <c r="Z62" i="2"/>
  <c r="S61" i="1"/>
  <c r="AU61" i="2"/>
  <c r="R61" i="1"/>
  <c r="AT61" i="2"/>
  <c r="Q61" i="1"/>
  <c r="AS61" i="2"/>
  <c r="P61" i="1"/>
  <c r="AR61" i="2"/>
  <c r="O61" i="1"/>
  <c r="AQ61" i="2"/>
  <c r="AP61" i="2"/>
  <c r="AO61" i="2"/>
  <c r="AN61" i="2"/>
  <c r="K61" i="1"/>
  <c r="AM61" i="2"/>
  <c r="J61" i="1"/>
  <c r="AL61" i="2"/>
  <c r="I61" i="1"/>
  <c r="AK61" i="2"/>
  <c r="AJ61" i="2"/>
  <c r="AI61" i="2"/>
  <c r="AH61" i="2"/>
  <c r="E61" i="1"/>
  <c r="AG61" i="2"/>
  <c r="D61" i="1"/>
  <c r="AF61" i="2"/>
  <c r="C61" i="1"/>
  <c r="AE61" i="2"/>
  <c r="AD61" i="2"/>
  <c r="AA61" i="2"/>
  <c r="Z61" i="2"/>
  <c r="S60" i="1"/>
  <c r="AU60" i="2"/>
  <c r="R60" i="1"/>
  <c r="AT60" i="2"/>
  <c r="Q60" i="1"/>
  <c r="AS60" i="2"/>
  <c r="P60" i="1"/>
  <c r="AR60" i="2"/>
  <c r="O60" i="1"/>
  <c r="AQ60" i="2"/>
  <c r="AP60" i="2"/>
  <c r="AO60" i="2"/>
  <c r="AN60" i="2"/>
  <c r="K60" i="1"/>
  <c r="AM60" i="2"/>
  <c r="J60" i="1"/>
  <c r="AL60" i="2"/>
  <c r="I60" i="1"/>
  <c r="AK60" i="2"/>
  <c r="AJ60" i="2"/>
  <c r="AI60" i="2"/>
  <c r="AH60" i="2"/>
  <c r="E60" i="1"/>
  <c r="AG60" i="2"/>
  <c r="D60" i="1"/>
  <c r="AF60" i="2"/>
  <c r="C60" i="1"/>
  <c r="AE60" i="2"/>
  <c r="AD60" i="2"/>
  <c r="AA60" i="2"/>
  <c r="Z60" i="2"/>
  <c r="S59" i="1"/>
  <c r="AU59" i="2"/>
  <c r="R59" i="1"/>
  <c r="AT59" i="2"/>
  <c r="Q59" i="1"/>
  <c r="AS59" i="2"/>
  <c r="P59" i="1"/>
  <c r="AR59" i="2"/>
  <c r="O59" i="1"/>
  <c r="AQ59" i="2"/>
  <c r="AP59" i="2"/>
  <c r="AO59" i="2"/>
  <c r="AN59" i="2"/>
  <c r="K59" i="1"/>
  <c r="AM59" i="2"/>
  <c r="J59" i="1"/>
  <c r="AL59" i="2"/>
  <c r="I59" i="1"/>
  <c r="AK59" i="2"/>
  <c r="AJ59" i="2"/>
  <c r="AI59" i="2"/>
  <c r="AH59" i="2"/>
  <c r="E59" i="1"/>
  <c r="AG59" i="2"/>
  <c r="D59" i="1"/>
  <c r="AF59" i="2"/>
  <c r="C59" i="1"/>
  <c r="AE59" i="2"/>
  <c r="AD59" i="2"/>
  <c r="AA59" i="2"/>
  <c r="Z59" i="2"/>
  <c r="S58" i="1"/>
  <c r="AU58" i="2"/>
  <c r="R58" i="1"/>
  <c r="AT58" i="2"/>
  <c r="Q58" i="1"/>
  <c r="AS58" i="2"/>
  <c r="P58" i="1"/>
  <c r="AR58" i="2"/>
  <c r="O58" i="1"/>
  <c r="AQ58" i="2"/>
  <c r="AP58" i="2"/>
  <c r="AO58" i="2"/>
  <c r="AN58" i="2"/>
  <c r="K58" i="1"/>
  <c r="AM58" i="2"/>
  <c r="J58" i="1"/>
  <c r="AL58" i="2"/>
  <c r="I58" i="1"/>
  <c r="AK58" i="2"/>
  <c r="AJ58" i="2"/>
  <c r="AI58" i="2"/>
  <c r="AH58" i="2"/>
  <c r="E58" i="1"/>
  <c r="AG58" i="2"/>
  <c r="D58" i="1"/>
  <c r="AF58" i="2"/>
  <c r="C58" i="1"/>
  <c r="AE58" i="2"/>
  <c r="AD58" i="2"/>
  <c r="AA58" i="2"/>
  <c r="Z58" i="2"/>
  <c r="S57" i="1"/>
  <c r="AU57" i="2"/>
  <c r="R57" i="1"/>
  <c r="AT57" i="2"/>
  <c r="Q57" i="1"/>
  <c r="AS57" i="2"/>
  <c r="P57" i="1"/>
  <c r="AR57" i="2"/>
  <c r="O57" i="1"/>
  <c r="AQ57" i="2"/>
  <c r="AP57" i="2"/>
  <c r="AO57" i="2"/>
  <c r="AN57" i="2"/>
  <c r="K57" i="1"/>
  <c r="AM57" i="2"/>
  <c r="J57" i="1"/>
  <c r="AL57" i="2"/>
  <c r="I57" i="1"/>
  <c r="AK57" i="2"/>
  <c r="AJ57" i="2"/>
  <c r="AI57" i="2"/>
  <c r="AH57" i="2"/>
  <c r="E57" i="1"/>
  <c r="AG57" i="2"/>
  <c r="D57" i="1"/>
  <c r="AF57" i="2"/>
  <c r="C57" i="1"/>
  <c r="AE57" i="2"/>
  <c r="AD57" i="2"/>
  <c r="AA57" i="2"/>
  <c r="Z57" i="2"/>
  <c r="S56" i="1"/>
  <c r="AU56" i="2"/>
  <c r="R56" i="1"/>
  <c r="AT56" i="2"/>
  <c r="Q56" i="1"/>
  <c r="AS56" i="2"/>
  <c r="P56" i="1"/>
  <c r="AR56" i="2"/>
  <c r="O56" i="1"/>
  <c r="AQ56" i="2"/>
  <c r="AP56" i="2"/>
  <c r="AO56" i="2"/>
  <c r="AN56" i="2"/>
  <c r="K56" i="1"/>
  <c r="AM56" i="2"/>
  <c r="J56" i="1"/>
  <c r="AL56" i="2"/>
  <c r="I56" i="1"/>
  <c r="AK56" i="2"/>
  <c r="AJ56" i="2"/>
  <c r="AI56" i="2"/>
  <c r="AH56" i="2"/>
  <c r="E56" i="1"/>
  <c r="AG56" i="2"/>
  <c r="D56" i="1"/>
  <c r="AF56" i="2"/>
  <c r="C56" i="1"/>
  <c r="AE56" i="2"/>
  <c r="AD56" i="2"/>
  <c r="AA56" i="2"/>
  <c r="Z56" i="2"/>
  <c r="S55" i="1"/>
  <c r="AU55" i="2"/>
  <c r="R55" i="1"/>
  <c r="AT55" i="2"/>
  <c r="Q55" i="1"/>
  <c r="AS55" i="2"/>
  <c r="P55" i="1"/>
  <c r="AR55" i="2"/>
  <c r="O55" i="1"/>
  <c r="AQ55" i="2"/>
  <c r="AP55" i="2"/>
  <c r="AO55" i="2"/>
  <c r="AN55" i="2"/>
  <c r="K55" i="1"/>
  <c r="AM55" i="2"/>
  <c r="J55" i="1"/>
  <c r="AL55" i="2"/>
  <c r="I55" i="1"/>
  <c r="AK55" i="2"/>
  <c r="AJ55" i="2"/>
  <c r="AI55" i="2"/>
  <c r="AH55" i="2"/>
  <c r="E55" i="1"/>
  <c r="AG55" i="2"/>
  <c r="D55" i="1"/>
  <c r="AF55" i="2"/>
  <c r="C55" i="1"/>
  <c r="AE55" i="2"/>
  <c r="AD55" i="2"/>
  <c r="AA55" i="2"/>
  <c r="Z55" i="2"/>
  <c r="S54" i="1"/>
  <c r="AU54" i="2"/>
  <c r="R54" i="1"/>
  <c r="AT54" i="2"/>
  <c r="Q54" i="1"/>
  <c r="AS54" i="2"/>
  <c r="P54" i="1"/>
  <c r="AR54" i="2"/>
  <c r="O54" i="1"/>
  <c r="AQ54" i="2"/>
  <c r="AP54" i="2"/>
  <c r="AO54" i="2"/>
  <c r="AN54" i="2"/>
  <c r="K54" i="1"/>
  <c r="AM54" i="2"/>
  <c r="J54" i="1"/>
  <c r="AL54" i="2"/>
  <c r="I54" i="1"/>
  <c r="AK54" i="2"/>
  <c r="AJ54" i="2"/>
  <c r="AI54" i="2"/>
  <c r="AH54" i="2"/>
  <c r="E54" i="1"/>
  <c r="AG54" i="2"/>
  <c r="D54" i="1"/>
  <c r="AF54" i="2"/>
  <c r="C54" i="1"/>
  <c r="AE54" i="2"/>
  <c r="AD54" i="2"/>
  <c r="AA54" i="2"/>
  <c r="Z54" i="2"/>
  <c r="S53" i="1"/>
  <c r="AU53" i="2"/>
  <c r="R53" i="1"/>
  <c r="AT53" i="2"/>
  <c r="Q53" i="1"/>
  <c r="AS53" i="2"/>
  <c r="P53" i="1"/>
  <c r="AR53" i="2"/>
  <c r="O53" i="1"/>
  <c r="AQ53" i="2"/>
  <c r="AP53" i="2"/>
  <c r="AO53" i="2"/>
  <c r="AN53" i="2"/>
  <c r="K53" i="1"/>
  <c r="AM53" i="2"/>
  <c r="J53" i="1"/>
  <c r="AL53" i="2"/>
  <c r="I53" i="1"/>
  <c r="AK53" i="2"/>
  <c r="AJ53" i="2"/>
  <c r="AI53" i="2"/>
  <c r="AH53" i="2"/>
  <c r="E53" i="1"/>
  <c r="AG53" i="2"/>
  <c r="D53" i="1"/>
  <c r="AF53" i="2"/>
  <c r="C53" i="1"/>
  <c r="AE53" i="2"/>
  <c r="AD53" i="2"/>
  <c r="AA53" i="2"/>
  <c r="Z53" i="2"/>
  <c r="S52" i="1"/>
  <c r="AU52" i="2"/>
  <c r="R52" i="1"/>
  <c r="AT52" i="2"/>
  <c r="Q52" i="1"/>
  <c r="AS52" i="2"/>
  <c r="P52" i="1"/>
  <c r="AR52" i="2"/>
  <c r="O52" i="1"/>
  <c r="AQ52" i="2"/>
  <c r="AP52" i="2"/>
  <c r="AO52" i="2"/>
  <c r="AN52" i="2"/>
  <c r="K52" i="1"/>
  <c r="AM52" i="2"/>
  <c r="J52" i="1"/>
  <c r="AL52" i="2"/>
  <c r="I52" i="1"/>
  <c r="AK52" i="2"/>
  <c r="AJ52" i="2"/>
  <c r="AI52" i="2"/>
  <c r="AH52" i="2"/>
  <c r="E52" i="1"/>
  <c r="AG52" i="2"/>
  <c r="D52" i="1"/>
  <c r="AF52" i="2"/>
  <c r="C52" i="1"/>
  <c r="AE52" i="2"/>
  <c r="AD52" i="2"/>
  <c r="AA52" i="2"/>
  <c r="Z52" i="2"/>
  <c r="S51" i="1"/>
  <c r="AU51" i="2"/>
  <c r="R51" i="1"/>
  <c r="AT51" i="2"/>
  <c r="Q51" i="1"/>
  <c r="AS51" i="2"/>
  <c r="P51" i="1"/>
  <c r="AR51" i="2"/>
  <c r="O51" i="1"/>
  <c r="AQ51" i="2"/>
  <c r="AP51" i="2"/>
  <c r="AO51" i="2"/>
  <c r="AN51" i="2"/>
  <c r="K51" i="1"/>
  <c r="AM51" i="2"/>
  <c r="J51" i="1"/>
  <c r="AL51" i="2"/>
  <c r="I51" i="1"/>
  <c r="AK51" i="2"/>
  <c r="AJ51" i="2"/>
  <c r="AI51" i="2"/>
  <c r="AH51" i="2"/>
  <c r="E51" i="1"/>
  <c r="AG51" i="2"/>
  <c r="D51" i="1"/>
  <c r="AF51" i="2"/>
  <c r="C51" i="1"/>
  <c r="AE51" i="2"/>
  <c r="AD51" i="2"/>
  <c r="AA51" i="2"/>
  <c r="Z51" i="2"/>
  <c r="S50" i="1"/>
  <c r="AU50" i="2"/>
  <c r="R50" i="1"/>
  <c r="AT50" i="2"/>
  <c r="Q50" i="1"/>
  <c r="AS50" i="2"/>
  <c r="P50" i="1"/>
  <c r="AR50" i="2"/>
  <c r="O50" i="1"/>
  <c r="AQ50" i="2"/>
  <c r="AP50" i="2"/>
  <c r="AO50" i="2"/>
  <c r="AN50" i="2"/>
  <c r="K50" i="1"/>
  <c r="AM50" i="2"/>
  <c r="J50" i="1"/>
  <c r="AL50" i="2"/>
  <c r="I50" i="1"/>
  <c r="AK50" i="2"/>
  <c r="AJ50" i="2"/>
  <c r="AI50" i="2"/>
  <c r="AH50" i="2"/>
  <c r="E50" i="1"/>
  <c r="AG50" i="2"/>
  <c r="D50" i="1"/>
  <c r="AF50" i="2"/>
  <c r="C50" i="1"/>
  <c r="AE50" i="2"/>
  <c r="AD50" i="2"/>
  <c r="AA50" i="2"/>
  <c r="Z50" i="2"/>
  <c r="S49" i="1"/>
  <c r="AU49" i="2"/>
  <c r="R49" i="1"/>
  <c r="AT49" i="2"/>
  <c r="Q49" i="1"/>
  <c r="AS49" i="2"/>
  <c r="P49" i="1"/>
  <c r="AR49" i="2"/>
  <c r="O49" i="1"/>
  <c r="AQ49" i="2"/>
  <c r="AP49" i="2"/>
  <c r="AO49" i="2"/>
  <c r="AN49" i="2"/>
  <c r="K49" i="1"/>
  <c r="AM49" i="2"/>
  <c r="J49" i="1"/>
  <c r="AL49" i="2"/>
  <c r="I49" i="1"/>
  <c r="AK49" i="2"/>
  <c r="AJ49" i="2"/>
  <c r="AI49" i="2"/>
  <c r="AH49" i="2"/>
  <c r="E49" i="1"/>
  <c r="AG49" i="2"/>
  <c r="D49" i="1"/>
  <c r="AF49" i="2"/>
  <c r="C49" i="1"/>
  <c r="AE49" i="2"/>
  <c r="AD49" i="2"/>
  <c r="AA49" i="2"/>
  <c r="Z49" i="2"/>
  <c r="S48" i="1"/>
  <c r="AU48" i="2"/>
  <c r="R48" i="1"/>
  <c r="AT48" i="2"/>
  <c r="Q48" i="1"/>
  <c r="AS48" i="2"/>
  <c r="P48" i="1"/>
  <c r="AR48" i="2"/>
  <c r="O48" i="1"/>
  <c r="AQ48" i="2"/>
  <c r="AP48" i="2"/>
  <c r="AO48" i="2"/>
  <c r="AN48" i="2"/>
  <c r="K48" i="1"/>
  <c r="AM48" i="2"/>
  <c r="J48" i="1"/>
  <c r="AL48" i="2"/>
  <c r="I48" i="1"/>
  <c r="AK48" i="2"/>
  <c r="AJ48" i="2"/>
  <c r="AI48" i="2"/>
  <c r="AH48" i="2"/>
  <c r="E48" i="1"/>
  <c r="AG48" i="2"/>
  <c r="D48" i="1"/>
  <c r="AF48" i="2"/>
  <c r="C48" i="1"/>
  <c r="AE48" i="2"/>
  <c r="AD48" i="2"/>
  <c r="AA48" i="2"/>
  <c r="Z48" i="2"/>
  <c r="S47" i="1"/>
  <c r="AU47" i="2"/>
  <c r="R47" i="1"/>
  <c r="AT47" i="2"/>
  <c r="Q47" i="1"/>
  <c r="AS47" i="2"/>
  <c r="P47" i="1"/>
  <c r="AR47" i="2"/>
  <c r="O47" i="1"/>
  <c r="AQ47" i="2"/>
  <c r="AP47" i="2"/>
  <c r="AO47" i="2"/>
  <c r="AN47" i="2"/>
  <c r="K47" i="1"/>
  <c r="AM47" i="2"/>
  <c r="J47" i="1"/>
  <c r="AL47" i="2"/>
  <c r="I47" i="1"/>
  <c r="AK47" i="2"/>
  <c r="AJ47" i="2"/>
  <c r="AI47" i="2"/>
  <c r="AH47" i="2"/>
  <c r="E47" i="1"/>
  <c r="AG47" i="2"/>
  <c r="D47" i="1"/>
  <c r="AF47" i="2"/>
  <c r="C47" i="1"/>
  <c r="AE47" i="2"/>
  <c r="AD47" i="2"/>
  <c r="AA47" i="2"/>
  <c r="Z47" i="2"/>
  <c r="S46" i="1"/>
  <c r="AU46" i="2"/>
  <c r="R46" i="1"/>
  <c r="AT46" i="2"/>
  <c r="Q46" i="1"/>
  <c r="AS46" i="2"/>
  <c r="P46" i="1"/>
  <c r="AR46" i="2"/>
  <c r="O46" i="1"/>
  <c r="AQ46" i="2"/>
  <c r="AP46" i="2"/>
  <c r="AO46" i="2"/>
  <c r="AN46" i="2"/>
  <c r="K46" i="1"/>
  <c r="AM46" i="2"/>
  <c r="J46" i="1"/>
  <c r="AL46" i="2"/>
  <c r="I46" i="1"/>
  <c r="AK46" i="2"/>
  <c r="AJ46" i="2"/>
  <c r="AI46" i="2"/>
  <c r="AH46" i="2"/>
  <c r="E46" i="1"/>
  <c r="AG46" i="2"/>
  <c r="D46" i="1"/>
  <c r="AF46" i="2"/>
  <c r="C46" i="1"/>
  <c r="AE46" i="2"/>
  <c r="AD46" i="2"/>
  <c r="AA46" i="2"/>
  <c r="Z46" i="2"/>
  <c r="S45" i="1"/>
  <c r="AU45" i="2"/>
  <c r="R45" i="1"/>
  <c r="AT45" i="2"/>
  <c r="Q45" i="1"/>
  <c r="AS45" i="2"/>
  <c r="P45" i="1"/>
  <c r="AR45" i="2"/>
  <c r="O45" i="1"/>
  <c r="AQ45" i="2"/>
  <c r="AP45" i="2"/>
  <c r="AO45" i="2"/>
  <c r="AN45" i="2"/>
  <c r="K45" i="1"/>
  <c r="AM45" i="2"/>
  <c r="J45" i="1"/>
  <c r="AL45" i="2"/>
  <c r="I45" i="1"/>
  <c r="AK45" i="2"/>
  <c r="AJ45" i="2"/>
  <c r="AI45" i="2"/>
  <c r="AH45" i="2"/>
  <c r="E45" i="1"/>
  <c r="AG45" i="2"/>
  <c r="D45" i="1"/>
  <c r="AF45" i="2"/>
  <c r="C45" i="1"/>
  <c r="AE45" i="2"/>
  <c r="AD45" i="2"/>
  <c r="AA45" i="2"/>
  <c r="Z45" i="2"/>
  <c r="S44" i="1"/>
  <c r="AU44" i="2"/>
  <c r="R44" i="1"/>
  <c r="AT44" i="2"/>
  <c r="Q44" i="1"/>
  <c r="AS44" i="2"/>
  <c r="P44" i="1"/>
  <c r="AR44" i="2"/>
  <c r="O44" i="1"/>
  <c r="AQ44" i="2"/>
  <c r="AP44" i="2"/>
  <c r="AO44" i="2"/>
  <c r="AN44" i="2"/>
  <c r="K44" i="1"/>
  <c r="AM44" i="2"/>
  <c r="J44" i="1"/>
  <c r="AL44" i="2"/>
  <c r="I44" i="1"/>
  <c r="AK44" i="2"/>
  <c r="AJ44" i="2"/>
  <c r="AI44" i="2"/>
  <c r="AH44" i="2"/>
  <c r="E44" i="1"/>
  <c r="AG44" i="2"/>
  <c r="D44" i="1"/>
  <c r="AF44" i="2"/>
  <c r="C44" i="1"/>
  <c r="AE44" i="2"/>
  <c r="AD44" i="2"/>
  <c r="AA44" i="2"/>
  <c r="Z44" i="2"/>
  <c r="S43" i="1"/>
  <c r="AU43" i="2"/>
  <c r="R43" i="1"/>
  <c r="AT43" i="2"/>
  <c r="Q43" i="1"/>
  <c r="AS43" i="2"/>
  <c r="P43" i="1"/>
  <c r="AR43" i="2"/>
  <c r="O43" i="1"/>
  <c r="AQ43" i="2"/>
  <c r="AP43" i="2"/>
  <c r="AO43" i="2"/>
  <c r="AN43" i="2"/>
  <c r="K43" i="1"/>
  <c r="AM43" i="2"/>
  <c r="J43" i="1"/>
  <c r="AL43" i="2"/>
  <c r="I43" i="1"/>
  <c r="AK43" i="2"/>
  <c r="AJ43" i="2"/>
  <c r="AI43" i="2"/>
  <c r="AH43" i="2"/>
  <c r="E43" i="1"/>
  <c r="AG43" i="2"/>
  <c r="D43" i="1"/>
  <c r="AF43" i="2"/>
  <c r="C43" i="1"/>
  <c r="AE43" i="2"/>
  <c r="AD43" i="2"/>
  <c r="AA43" i="2"/>
  <c r="Z43" i="2"/>
  <c r="S42" i="1"/>
  <c r="AU42" i="2"/>
  <c r="R42" i="1"/>
  <c r="AT42" i="2"/>
  <c r="Q42" i="1"/>
  <c r="AS42" i="2"/>
  <c r="P42" i="1"/>
  <c r="AR42" i="2"/>
  <c r="O42" i="1"/>
  <c r="AQ42" i="2"/>
  <c r="AP42" i="2"/>
  <c r="AO42" i="2"/>
  <c r="AN42" i="2"/>
  <c r="K42" i="1"/>
  <c r="AM42" i="2"/>
  <c r="J42" i="1"/>
  <c r="AL42" i="2"/>
  <c r="I42" i="1"/>
  <c r="AK42" i="2"/>
  <c r="AJ42" i="2"/>
  <c r="AI42" i="2"/>
  <c r="AH42" i="2"/>
  <c r="E42" i="1"/>
  <c r="AG42" i="2"/>
  <c r="D42" i="1"/>
  <c r="AF42" i="2"/>
  <c r="C42" i="1"/>
  <c r="AE42" i="2"/>
  <c r="AD42" i="2"/>
  <c r="AA42" i="2"/>
  <c r="Z42" i="2"/>
  <c r="S41" i="1"/>
  <c r="AU41" i="2"/>
  <c r="R41" i="1"/>
  <c r="AT41" i="2"/>
  <c r="Q41" i="1"/>
  <c r="AS41" i="2"/>
  <c r="P41" i="1"/>
  <c r="AR41" i="2"/>
  <c r="O41" i="1"/>
  <c r="AQ41" i="2"/>
  <c r="AP41" i="2"/>
  <c r="AO41" i="2"/>
  <c r="AN41" i="2"/>
  <c r="K41" i="1"/>
  <c r="AM41" i="2"/>
  <c r="J41" i="1"/>
  <c r="AL41" i="2"/>
  <c r="I41" i="1"/>
  <c r="AK41" i="2"/>
  <c r="AJ41" i="2"/>
  <c r="AI41" i="2"/>
  <c r="AH41" i="2"/>
  <c r="E41" i="1"/>
  <c r="AG41" i="2"/>
  <c r="D41" i="1"/>
  <c r="AF41" i="2"/>
  <c r="C41" i="1"/>
  <c r="AE41" i="2"/>
  <c r="AD41" i="2"/>
  <c r="AA41" i="2"/>
  <c r="Z41" i="2"/>
  <c r="S40" i="1"/>
  <c r="AU40" i="2"/>
  <c r="R40" i="1"/>
  <c r="AT40" i="2"/>
  <c r="Q40" i="1"/>
  <c r="AS40" i="2"/>
  <c r="P40" i="1"/>
  <c r="AR40" i="2"/>
  <c r="O40" i="1"/>
  <c r="AQ40" i="2"/>
  <c r="AP40" i="2"/>
  <c r="AO40" i="2"/>
  <c r="AN40" i="2"/>
  <c r="K40" i="1"/>
  <c r="AM40" i="2"/>
  <c r="J40" i="1"/>
  <c r="AL40" i="2"/>
  <c r="I40" i="1"/>
  <c r="AK40" i="2"/>
  <c r="AJ40" i="2"/>
  <c r="AI40" i="2"/>
  <c r="AH40" i="2"/>
  <c r="E40" i="1"/>
  <c r="AG40" i="2"/>
  <c r="D40" i="1"/>
  <c r="AF40" i="2"/>
  <c r="C40" i="1"/>
  <c r="AE40" i="2"/>
  <c r="AD40" i="2"/>
  <c r="AA40" i="2"/>
  <c r="Z40" i="2"/>
  <c r="S39" i="1"/>
  <c r="AU39" i="2"/>
  <c r="R39" i="1"/>
  <c r="AT39" i="2"/>
  <c r="Q39" i="1"/>
  <c r="AS39" i="2"/>
  <c r="P39" i="1"/>
  <c r="AR39" i="2"/>
  <c r="O39" i="1"/>
  <c r="AQ39" i="2"/>
  <c r="AP39" i="2"/>
  <c r="AO39" i="2"/>
  <c r="AN39" i="2"/>
  <c r="K39" i="1"/>
  <c r="AM39" i="2"/>
  <c r="J39" i="1"/>
  <c r="AL39" i="2"/>
  <c r="I39" i="1"/>
  <c r="AK39" i="2"/>
  <c r="AJ39" i="2"/>
  <c r="AI39" i="2"/>
  <c r="AH39" i="2"/>
  <c r="E39" i="1"/>
  <c r="AG39" i="2"/>
  <c r="D39" i="1"/>
  <c r="AF39" i="2"/>
  <c r="C39" i="1"/>
  <c r="AE39" i="2"/>
  <c r="AD39" i="2"/>
  <c r="AA39" i="2"/>
  <c r="Z39" i="2"/>
  <c r="S38" i="1"/>
  <c r="AU38" i="2"/>
  <c r="R38" i="1"/>
  <c r="AT38" i="2"/>
  <c r="Q38" i="1"/>
  <c r="AS38" i="2"/>
  <c r="P38" i="1"/>
  <c r="AR38" i="2"/>
  <c r="O38" i="1"/>
  <c r="AQ38" i="2"/>
  <c r="AP38" i="2"/>
  <c r="AO38" i="2"/>
  <c r="AN38" i="2"/>
  <c r="K38" i="1"/>
  <c r="AM38" i="2"/>
  <c r="J38" i="1"/>
  <c r="AL38" i="2"/>
  <c r="I38" i="1"/>
  <c r="AK38" i="2"/>
  <c r="AJ38" i="2"/>
  <c r="AI38" i="2"/>
  <c r="AH38" i="2"/>
  <c r="E38" i="1"/>
  <c r="AG38" i="2"/>
  <c r="D38" i="1"/>
  <c r="AF38" i="2"/>
  <c r="C38" i="1"/>
  <c r="AE38" i="2"/>
  <c r="AD38" i="2"/>
  <c r="AA38" i="2"/>
  <c r="Z38" i="2"/>
  <c r="S37" i="1"/>
  <c r="AU37" i="2"/>
  <c r="R37" i="1"/>
  <c r="AT37" i="2"/>
  <c r="Q37" i="1"/>
  <c r="AS37" i="2"/>
  <c r="P37" i="1"/>
  <c r="AR37" i="2"/>
  <c r="O37" i="1"/>
  <c r="AQ37" i="2"/>
  <c r="AP37" i="2"/>
  <c r="AO37" i="2"/>
  <c r="AN37" i="2"/>
  <c r="K37" i="1"/>
  <c r="AM37" i="2"/>
  <c r="J37" i="1"/>
  <c r="AL37" i="2"/>
  <c r="I37" i="1"/>
  <c r="AK37" i="2"/>
  <c r="AJ37" i="2"/>
  <c r="AI37" i="2"/>
  <c r="AH37" i="2"/>
  <c r="E37" i="1"/>
  <c r="AG37" i="2"/>
  <c r="D37" i="1"/>
  <c r="AF37" i="2"/>
  <c r="C37" i="1"/>
  <c r="AE37" i="2"/>
  <c r="AD37" i="2"/>
  <c r="AA37" i="2"/>
  <c r="Z37" i="2"/>
  <c r="S36" i="1"/>
  <c r="AU36" i="2"/>
  <c r="R36" i="1"/>
  <c r="AT36" i="2"/>
  <c r="Q36" i="1"/>
  <c r="AS36" i="2"/>
  <c r="P36" i="1"/>
  <c r="AR36" i="2"/>
  <c r="O36" i="1"/>
  <c r="AQ36" i="2"/>
  <c r="AP36" i="2"/>
  <c r="AO36" i="2"/>
  <c r="AN36" i="2"/>
  <c r="K36" i="1"/>
  <c r="AM36" i="2"/>
  <c r="J36" i="1"/>
  <c r="AL36" i="2"/>
  <c r="I36" i="1"/>
  <c r="AK36" i="2"/>
  <c r="AJ36" i="2"/>
  <c r="AI36" i="2"/>
  <c r="AH36" i="2"/>
  <c r="E36" i="1"/>
  <c r="AG36" i="2"/>
  <c r="D36" i="1"/>
  <c r="AF36" i="2"/>
  <c r="C36" i="1"/>
  <c r="AE36" i="2"/>
  <c r="AD36" i="2"/>
  <c r="AA36" i="2"/>
  <c r="Z36" i="2"/>
  <c r="S35" i="1"/>
  <c r="AU35" i="2"/>
  <c r="R35" i="1"/>
  <c r="AT35" i="2"/>
  <c r="Q35" i="1"/>
  <c r="AS35" i="2"/>
  <c r="P35" i="1"/>
  <c r="AR35" i="2"/>
  <c r="O35" i="1"/>
  <c r="AQ35" i="2"/>
  <c r="AP35" i="2"/>
  <c r="AO35" i="2"/>
  <c r="AN35" i="2"/>
  <c r="K35" i="1"/>
  <c r="AM35" i="2"/>
  <c r="J35" i="1"/>
  <c r="AL35" i="2"/>
  <c r="I35" i="1"/>
  <c r="AK35" i="2"/>
  <c r="AJ35" i="2"/>
  <c r="AI35" i="2"/>
  <c r="AH35" i="2"/>
  <c r="E35" i="1"/>
  <c r="AG35" i="2"/>
  <c r="D35" i="1"/>
  <c r="AF35" i="2"/>
  <c r="C35" i="1"/>
  <c r="AE35" i="2"/>
  <c r="AD35" i="2"/>
  <c r="AA35" i="2"/>
  <c r="Z35" i="2"/>
  <c r="S34" i="1"/>
  <c r="AU34" i="2"/>
  <c r="R34" i="1"/>
  <c r="AT34" i="2"/>
  <c r="Q34" i="1"/>
  <c r="AS34" i="2"/>
  <c r="P34" i="1"/>
  <c r="AR34" i="2"/>
  <c r="O34" i="1"/>
  <c r="AQ34" i="2"/>
  <c r="AP34" i="2"/>
  <c r="AO34" i="2"/>
  <c r="AN34" i="2"/>
  <c r="K34" i="1"/>
  <c r="AM34" i="2"/>
  <c r="J34" i="1"/>
  <c r="AL34" i="2"/>
  <c r="I34" i="1"/>
  <c r="AK34" i="2"/>
  <c r="AJ34" i="2"/>
  <c r="AI34" i="2"/>
  <c r="AH34" i="2"/>
  <c r="E34" i="1"/>
  <c r="AG34" i="2"/>
  <c r="D34" i="1"/>
  <c r="AF34" i="2"/>
  <c r="C34" i="1"/>
  <c r="AE34" i="2"/>
  <c r="AD34" i="2"/>
  <c r="AA34" i="2"/>
  <c r="Z34" i="2"/>
  <c r="S33" i="1"/>
  <c r="AU33" i="2"/>
  <c r="R33" i="1"/>
  <c r="AT33" i="2"/>
  <c r="Q33" i="1"/>
  <c r="AS33" i="2"/>
  <c r="P33" i="1"/>
  <c r="AR33" i="2"/>
  <c r="O33" i="1"/>
  <c r="AQ33" i="2"/>
  <c r="AP33" i="2"/>
  <c r="AO33" i="2"/>
  <c r="AN33" i="2"/>
  <c r="K33" i="1"/>
  <c r="AM33" i="2"/>
  <c r="J33" i="1"/>
  <c r="AL33" i="2"/>
  <c r="I33" i="1"/>
  <c r="AK33" i="2"/>
  <c r="AJ33" i="2"/>
  <c r="AI33" i="2"/>
  <c r="AH33" i="2"/>
  <c r="E33" i="1"/>
  <c r="AG33" i="2"/>
  <c r="D33" i="1"/>
  <c r="AF33" i="2"/>
  <c r="C33" i="1"/>
  <c r="AE33" i="2"/>
  <c r="AD33" i="2"/>
  <c r="AA33" i="2"/>
  <c r="Z33" i="2"/>
  <c r="S32" i="1"/>
  <c r="AU32" i="2"/>
  <c r="R32" i="1"/>
  <c r="AT32" i="2"/>
  <c r="Q32" i="1"/>
  <c r="AS32" i="2"/>
  <c r="P32" i="1"/>
  <c r="AR32" i="2"/>
  <c r="O32" i="1"/>
  <c r="AQ32" i="2"/>
  <c r="AP32" i="2"/>
  <c r="AO32" i="2"/>
  <c r="AN32" i="2"/>
  <c r="K32" i="1"/>
  <c r="AM32" i="2"/>
  <c r="J32" i="1"/>
  <c r="AL32" i="2"/>
  <c r="I32" i="1"/>
  <c r="AK32" i="2"/>
  <c r="AJ32" i="2"/>
  <c r="AI32" i="2"/>
  <c r="AH32" i="2"/>
  <c r="E32" i="1"/>
  <c r="AG32" i="2"/>
  <c r="D32" i="1"/>
  <c r="AF32" i="2"/>
  <c r="C32" i="1"/>
  <c r="AE32" i="2"/>
  <c r="AD32" i="2"/>
  <c r="AA32" i="2"/>
  <c r="Z32" i="2"/>
  <c r="S31" i="1"/>
  <c r="AU31" i="2"/>
  <c r="R31" i="1"/>
  <c r="AT31" i="2"/>
  <c r="Q31" i="1"/>
  <c r="AS31" i="2"/>
  <c r="P31" i="1"/>
  <c r="AR31" i="2"/>
  <c r="O31" i="1"/>
  <c r="AQ31" i="2"/>
  <c r="AP31" i="2"/>
  <c r="AO31" i="2"/>
  <c r="AN31" i="2"/>
  <c r="K31" i="1"/>
  <c r="AM31" i="2"/>
  <c r="J31" i="1"/>
  <c r="AL31" i="2"/>
  <c r="I31" i="1"/>
  <c r="AK31" i="2"/>
  <c r="AJ31" i="2"/>
  <c r="AI31" i="2"/>
  <c r="AH31" i="2"/>
  <c r="E31" i="1"/>
  <c r="AG31" i="2"/>
  <c r="D31" i="1"/>
  <c r="AF31" i="2"/>
  <c r="C31" i="1"/>
  <c r="AE31" i="2"/>
  <c r="AD31" i="2"/>
  <c r="AA31" i="2"/>
  <c r="Z31" i="2"/>
  <c r="S30" i="1"/>
  <c r="AU30" i="2"/>
  <c r="R30" i="1"/>
  <c r="AT30" i="2"/>
  <c r="Q30" i="1"/>
  <c r="AS30" i="2"/>
  <c r="P30" i="1"/>
  <c r="AR30" i="2"/>
  <c r="O30" i="1"/>
  <c r="AQ30" i="2"/>
  <c r="AP30" i="2"/>
  <c r="AO30" i="2"/>
  <c r="AN30" i="2"/>
  <c r="K30" i="1"/>
  <c r="AM30" i="2"/>
  <c r="J30" i="1"/>
  <c r="AL30" i="2"/>
  <c r="I30" i="1"/>
  <c r="AK30" i="2"/>
  <c r="AJ30" i="2"/>
  <c r="AI30" i="2"/>
  <c r="AH30" i="2"/>
  <c r="E30" i="1"/>
  <c r="AG30" i="2"/>
  <c r="D30" i="1"/>
  <c r="AF30" i="2"/>
  <c r="C30" i="1"/>
  <c r="AE30" i="2"/>
  <c r="AD30" i="2"/>
  <c r="AA30" i="2"/>
  <c r="Z30" i="2"/>
  <c r="S29" i="1"/>
  <c r="AU29" i="2"/>
  <c r="R29" i="1"/>
  <c r="AT29" i="2"/>
  <c r="Q29" i="1"/>
  <c r="AS29" i="2"/>
  <c r="P29" i="1"/>
  <c r="AR29" i="2"/>
  <c r="O29" i="1"/>
  <c r="AQ29" i="2"/>
  <c r="AP29" i="2"/>
  <c r="AO29" i="2"/>
  <c r="AN29" i="2"/>
  <c r="K29" i="1"/>
  <c r="AM29" i="2"/>
  <c r="J29" i="1"/>
  <c r="AL29" i="2"/>
  <c r="I29" i="1"/>
  <c r="AK29" i="2"/>
  <c r="AJ29" i="2"/>
  <c r="AI29" i="2"/>
  <c r="AH29" i="2"/>
  <c r="E29" i="1"/>
  <c r="AG29" i="2"/>
  <c r="D29" i="1"/>
  <c r="AF29" i="2"/>
  <c r="C29" i="1"/>
  <c r="AE29" i="2"/>
  <c r="AD29" i="2"/>
  <c r="AA29" i="2"/>
  <c r="Z29" i="2"/>
  <c r="S28" i="1"/>
  <c r="AU28" i="2"/>
  <c r="R28" i="1"/>
  <c r="AT28" i="2"/>
  <c r="Q28" i="1"/>
  <c r="AS28" i="2"/>
  <c r="P28" i="1"/>
  <c r="AR28" i="2"/>
  <c r="O28" i="1"/>
  <c r="AQ28" i="2"/>
  <c r="AP28" i="2"/>
  <c r="AO28" i="2"/>
  <c r="AN28" i="2"/>
  <c r="K28" i="1"/>
  <c r="AM28" i="2"/>
  <c r="J28" i="1"/>
  <c r="AL28" i="2"/>
  <c r="I28" i="1"/>
  <c r="AK28" i="2"/>
  <c r="AJ28" i="2"/>
  <c r="AI28" i="2"/>
  <c r="AH28" i="2"/>
  <c r="E28" i="1"/>
  <c r="AG28" i="2"/>
  <c r="D28" i="1"/>
  <c r="AF28" i="2"/>
  <c r="C28" i="1"/>
  <c r="AE28" i="2"/>
  <c r="AD28" i="2"/>
  <c r="AA28" i="2"/>
  <c r="Z28" i="2"/>
  <c r="S27" i="1"/>
  <c r="AU27" i="2"/>
  <c r="R27" i="1"/>
  <c r="AT27" i="2"/>
  <c r="Q27" i="1"/>
  <c r="AS27" i="2"/>
  <c r="P27" i="1"/>
  <c r="AR27" i="2"/>
  <c r="O27" i="1"/>
  <c r="AQ27" i="2"/>
  <c r="AP27" i="2"/>
  <c r="AO27" i="2"/>
  <c r="AN27" i="2"/>
  <c r="K27" i="1"/>
  <c r="AM27" i="2"/>
  <c r="J27" i="1"/>
  <c r="AL27" i="2"/>
  <c r="I27" i="1"/>
  <c r="AK27" i="2"/>
  <c r="AJ27" i="2"/>
  <c r="AI27" i="2"/>
  <c r="AH27" i="2"/>
  <c r="E27" i="1"/>
  <c r="AG27" i="2"/>
  <c r="D27" i="1"/>
  <c r="AF27" i="2"/>
  <c r="C27" i="1"/>
  <c r="AE27" i="2"/>
  <c r="AD27" i="2"/>
  <c r="AA27" i="2"/>
  <c r="Z27" i="2"/>
  <c r="S26" i="1"/>
  <c r="AU26" i="2"/>
  <c r="R26" i="1"/>
  <c r="AT26" i="2"/>
  <c r="Q26" i="1"/>
  <c r="AS26" i="2"/>
  <c r="P26" i="1"/>
  <c r="AR26" i="2"/>
  <c r="O26" i="1"/>
  <c r="AQ26" i="2"/>
  <c r="AP26" i="2"/>
  <c r="AO26" i="2"/>
  <c r="AN26" i="2"/>
  <c r="K26" i="1"/>
  <c r="AM26" i="2"/>
  <c r="J26" i="1"/>
  <c r="AL26" i="2"/>
  <c r="I26" i="1"/>
  <c r="AK26" i="2"/>
  <c r="AJ26" i="2"/>
  <c r="AI26" i="2"/>
  <c r="AH26" i="2"/>
  <c r="E26" i="1"/>
  <c r="AG26" i="2"/>
  <c r="D26" i="1"/>
  <c r="AF26" i="2"/>
  <c r="C26" i="1"/>
  <c r="AE26" i="2"/>
  <c r="AD26" i="2"/>
  <c r="AA26" i="2"/>
  <c r="Z26" i="2"/>
  <c r="S25" i="1"/>
  <c r="AU25" i="2"/>
  <c r="R25" i="1"/>
  <c r="AT25" i="2"/>
  <c r="Q25" i="1"/>
  <c r="AS25" i="2"/>
  <c r="P25" i="1"/>
  <c r="AR25" i="2"/>
  <c r="O25" i="1"/>
  <c r="AQ25" i="2"/>
  <c r="AP25" i="2"/>
  <c r="AO25" i="2"/>
  <c r="AN25" i="2"/>
  <c r="K25" i="1"/>
  <c r="AM25" i="2"/>
  <c r="J25" i="1"/>
  <c r="AL25" i="2"/>
  <c r="I25" i="1"/>
  <c r="AK25" i="2"/>
  <c r="AJ25" i="2"/>
  <c r="AI25" i="2"/>
  <c r="AH25" i="2"/>
  <c r="E25" i="1"/>
  <c r="AG25" i="2"/>
  <c r="D25" i="1"/>
  <c r="AF25" i="2"/>
  <c r="C25" i="1"/>
  <c r="AE25" i="2"/>
  <c r="AD25" i="2"/>
  <c r="AA25" i="2"/>
  <c r="Z25" i="2"/>
  <c r="S24" i="1"/>
  <c r="AU24" i="2"/>
  <c r="R24" i="1"/>
  <c r="AT24" i="2"/>
  <c r="Q24" i="1"/>
  <c r="AS24" i="2"/>
  <c r="P24" i="1"/>
  <c r="AR24" i="2"/>
  <c r="O24" i="1"/>
  <c r="AQ24" i="2"/>
  <c r="AP24" i="2"/>
  <c r="AO24" i="2"/>
  <c r="AN24" i="2"/>
  <c r="K24" i="1"/>
  <c r="AM24" i="2"/>
  <c r="J24" i="1"/>
  <c r="AL24" i="2"/>
  <c r="I24" i="1"/>
  <c r="AK24" i="2"/>
  <c r="AJ24" i="2"/>
  <c r="AI24" i="2"/>
  <c r="AH24" i="2"/>
  <c r="E24" i="1"/>
  <c r="AG24" i="2"/>
  <c r="D24" i="1"/>
  <c r="AF24" i="2"/>
  <c r="C24" i="1"/>
  <c r="AE24" i="2"/>
  <c r="AD24" i="2"/>
  <c r="AA24" i="2"/>
  <c r="Z24" i="2"/>
  <c r="S23" i="1"/>
  <c r="AU23" i="2"/>
  <c r="R23" i="1"/>
  <c r="AT23" i="2"/>
  <c r="Q23" i="1"/>
  <c r="AS23" i="2"/>
  <c r="P23" i="1"/>
  <c r="AR23" i="2"/>
  <c r="O23" i="1"/>
  <c r="AQ23" i="2"/>
  <c r="AP23" i="2"/>
  <c r="AO23" i="2"/>
  <c r="AN23" i="2"/>
  <c r="K23" i="1"/>
  <c r="AM23" i="2"/>
  <c r="J23" i="1"/>
  <c r="AL23" i="2"/>
  <c r="I23" i="1"/>
  <c r="AK23" i="2"/>
  <c r="AJ23" i="2"/>
  <c r="AI23" i="2"/>
  <c r="AH23" i="2"/>
  <c r="E23" i="1"/>
  <c r="AG23" i="2"/>
  <c r="D23" i="1"/>
  <c r="AF23" i="2"/>
  <c r="C23" i="1"/>
  <c r="AE23" i="2"/>
  <c r="AD23" i="2"/>
  <c r="AA23" i="2"/>
  <c r="Z23" i="2"/>
  <c r="S22" i="1"/>
  <c r="AU22" i="2"/>
  <c r="R22" i="1"/>
  <c r="AT22" i="2"/>
  <c r="Q22" i="1"/>
  <c r="AS22" i="2"/>
  <c r="P22" i="1"/>
  <c r="AR22" i="2"/>
  <c r="O22" i="1"/>
  <c r="AQ22" i="2"/>
  <c r="AP22" i="2"/>
  <c r="AO22" i="2"/>
  <c r="AN22" i="2"/>
  <c r="K22" i="1"/>
  <c r="AM22" i="2"/>
  <c r="J22" i="1"/>
  <c r="AL22" i="2"/>
  <c r="I22" i="1"/>
  <c r="AK22" i="2"/>
  <c r="AJ22" i="2"/>
  <c r="AI22" i="2"/>
  <c r="AH22" i="2"/>
  <c r="E22" i="1"/>
  <c r="AG22" i="2"/>
  <c r="D22" i="1"/>
  <c r="AF22" i="2"/>
  <c r="C22" i="1"/>
  <c r="AE22" i="2"/>
  <c r="AD22" i="2"/>
  <c r="AA22" i="2"/>
  <c r="Z22" i="2"/>
  <c r="S21" i="1"/>
  <c r="AU21" i="2"/>
  <c r="R21" i="1"/>
  <c r="AT21" i="2"/>
  <c r="Q21" i="1"/>
  <c r="AS21" i="2"/>
  <c r="P21" i="1"/>
  <c r="AR21" i="2"/>
  <c r="O21" i="1"/>
  <c r="AQ21" i="2"/>
  <c r="AP21" i="2"/>
  <c r="AO21" i="2"/>
  <c r="AN21" i="2"/>
  <c r="K21" i="1"/>
  <c r="AM21" i="2"/>
  <c r="J21" i="1"/>
  <c r="AL21" i="2"/>
  <c r="I21" i="1"/>
  <c r="AK21" i="2"/>
  <c r="AJ21" i="2"/>
  <c r="AI21" i="2"/>
  <c r="AH21" i="2"/>
  <c r="E21" i="1"/>
  <c r="AG21" i="2"/>
  <c r="D21" i="1"/>
  <c r="AF21" i="2"/>
  <c r="C21" i="1"/>
  <c r="AE21" i="2"/>
  <c r="AD21" i="2"/>
  <c r="AA21" i="2"/>
  <c r="Z21" i="2"/>
  <c r="S20" i="1"/>
  <c r="AU20" i="2"/>
  <c r="R20" i="1"/>
  <c r="AT20" i="2"/>
  <c r="Q20" i="1"/>
  <c r="AS20" i="2"/>
  <c r="P20" i="1"/>
  <c r="AR20" i="2"/>
  <c r="O20" i="1"/>
  <c r="AQ20" i="2"/>
  <c r="AP20" i="2"/>
  <c r="AO20" i="2"/>
  <c r="AN20" i="2"/>
  <c r="K20" i="1"/>
  <c r="AM20" i="2"/>
  <c r="J20" i="1"/>
  <c r="AL20" i="2"/>
  <c r="I20" i="1"/>
  <c r="AK20" i="2"/>
  <c r="AJ20" i="2"/>
  <c r="AI20" i="2"/>
  <c r="AH20" i="2"/>
  <c r="E20" i="1"/>
  <c r="AG20" i="2"/>
  <c r="D20" i="1"/>
  <c r="AF20" i="2"/>
  <c r="C20" i="1"/>
  <c r="AE20" i="2"/>
  <c r="AD20" i="2"/>
  <c r="AA20" i="2"/>
  <c r="Z20" i="2"/>
  <c r="S19" i="1"/>
  <c r="AU19" i="2"/>
  <c r="R19" i="1"/>
  <c r="AT19" i="2"/>
  <c r="Q19" i="1"/>
  <c r="AS19" i="2"/>
  <c r="P19" i="1"/>
  <c r="AR19" i="2"/>
  <c r="O19" i="1"/>
  <c r="AQ19" i="2"/>
  <c r="AP19" i="2"/>
  <c r="AO19" i="2"/>
  <c r="AN19" i="2"/>
  <c r="K19" i="1"/>
  <c r="AM19" i="2"/>
  <c r="J19" i="1"/>
  <c r="AL19" i="2"/>
  <c r="I19" i="1"/>
  <c r="AK19" i="2"/>
  <c r="AJ19" i="2"/>
  <c r="AI19" i="2"/>
  <c r="AH19" i="2"/>
  <c r="E19" i="1"/>
  <c r="AG19" i="2"/>
  <c r="D19" i="1"/>
  <c r="AF19" i="2"/>
  <c r="C19" i="1"/>
  <c r="AE19" i="2"/>
  <c r="AD19" i="2"/>
  <c r="AA19" i="2"/>
  <c r="Z19" i="2"/>
  <c r="S18" i="1"/>
  <c r="AU18" i="2"/>
  <c r="R18" i="1"/>
  <c r="AT18" i="2"/>
  <c r="Q18" i="1"/>
  <c r="AS18" i="2"/>
  <c r="P18" i="1"/>
  <c r="AR18" i="2"/>
  <c r="O18" i="1"/>
  <c r="AQ18" i="2"/>
  <c r="AP18" i="2"/>
  <c r="AO18" i="2"/>
  <c r="AN18" i="2"/>
  <c r="K18" i="1"/>
  <c r="AM18" i="2"/>
  <c r="J18" i="1"/>
  <c r="AL18" i="2"/>
  <c r="I18" i="1"/>
  <c r="AK18" i="2"/>
  <c r="AJ18" i="2"/>
  <c r="AI18" i="2"/>
  <c r="AH18" i="2"/>
  <c r="E18" i="1"/>
  <c r="AG18" i="2"/>
  <c r="D18" i="1"/>
  <c r="AF18" i="2"/>
  <c r="C18" i="1"/>
  <c r="AE18" i="2"/>
  <c r="AD18" i="2"/>
  <c r="AA18" i="2"/>
  <c r="Z18" i="2"/>
  <c r="S17" i="1"/>
  <c r="AU17" i="2"/>
  <c r="R17" i="1"/>
  <c r="AT17" i="2"/>
  <c r="Q17" i="1"/>
  <c r="AS17" i="2"/>
  <c r="P17" i="1"/>
  <c r="AR17" i="2"/>
  <c r="O17" i="1"/>
  <c r="AQ17" i="2"/>
  <c r="AP17" i="2"/>
  <c r="AO17" i="2"/>
  <c r="AN17" i="2"/>
  <c r="K17" i="1"/>
  <c r="AM17" i="2"/>
  <c r="J17" i="1"/>
  <c r="AL17" i="2"/>
  <c r="I17" i="1"/>
  <c r="AK17" i="2"/>
  <c r="AJ17" i="2"/>
  <c r="AI17" i="2"/>
  <c r="AH17" i="2"/>
  <c r="E17" i="1"/>
  <c r="AG17" i="2"/>
  <c r="D17" i="1"/>
  <c r="AF17" i="2"/>
  <c r="C17" i="1"/>
  <c r="AE17" i="2"/>
  <c r="AD17" i="2"/>
  <c r="AA17" i="2"/>
  <c r="Z17" i="2"/>
  <c r="S16" i="1"/>
  <c r="AU16" i="2"/>
  <c r="R16" i="1"/>
  <c r="AT16" i="2"/>
  <c r="Q16" i="1"/>
  <c r="AS16" i="2"/>
  <c r="P16" i="1"/>
  <c r="AR16" i="2"/>
  <c r="O16" i="1"/>
  <c r="AQ16" i="2"/>
  <c r="AP16" i="2"/>
  <c r="AO16" i="2"/>
  <c r="AN16" i="2"/>
  <c r="K16" i="1"/>
  <c r="AM16" i="2"/>
  <c r="J16" i="1"/>
  <c r="AL16" i="2"/>
  <c r="I16" i="1"/>
  <c r="AK16" i="2"/>
  <c r="AJ16" i="2"/>
  <c r="AI16" i="2"/>
  <c r="AH16" i="2"/>
  <c r="E16" i="1"/>
  <c r="AG16" i="2"/>
  <c r="D16" i="1"/>
  <c r="AF16" i="2"/>
  <c r="C16" i="1"/>
  <c r="AE16" i="2"/>
  <c r="AD16" i="2"/>
  <c r="AA16" i="2"/>
  <c r="Z16" i="2"/>
  <c r="S15" i="1"/>
  <c r="AU15" i="2"/>
  <c r="R15" i="1"/>
  <c r="AT15" i="2"/>
  <c r="Q15" i="1"/>
  <c r="AS15" i="2"/>
  <c r="P15" i="1"/>
  <c r="AR15" i="2"/>
  <c r="O15" i="1"/>
  <c r="AQ15" i="2"/>
  <c r="AP15" i="2"/>
  <c r="AO15" i="2"/>
  <c r="AN15" i="2"/>
  <c r="K15" i="1"/>
  <c r="AM15" i="2"/>
  <c r="J15" i="1"/>
  <c r="AL15" i="2"/>
  <c r="I15" i="1"/>
  <c r="AK15" i="2"/>
  <c r="AJ15" i="2"/>
  <c r="AI15" i="2"/>
  <c r="AH15" i="2"/>
  <c r="E15" i="1"/>
  <c r="AG15" i="2"/>
  <c r="D15" i="1"/>
  <c r="AF15" i="2"/>
  <c r="C15" i="1"/>
  <c r="AE15" i="2"/>
  <c r="AD15" i="2"/>
  <c r="AA15" i="2"/>
  <c r="Z15" i="2"/>
  <c r="S14" i="1"/>
  <c r="AU14" i="2"/>
  <c r="R14" i="1"/>
  <c r="AT14" i="2"/>
  <c r="Q14" i="1"/>
  <c r="AS14" i="2"/>
  <c r="P14" i="1"/>
  <c r="AR14" i="2"/>
  <c r="O14" i="1"/>
  <c r="AQ14" i="2"/>
  <c r="AP14" i="2"/>
  <c r="AO14" i="2"/>
  <c r="AN14" i="2"/>
  <c r="K14" i="1"/>
  <c r="AM14" i="2"/>
  <c r="J14" i="1"/>
  <c r="AL14" i="2"/>
  <c r="I14" i="1"/>
  <c r="AK14" i="2"/>
  <c r="AJ14" i="2"/>
  <c r="AI14" i="2"/>
  <c r="AH14" i="2"/>
  <c r="E14" i="1"/>
  <c r="AG14" i="2"/>
  <c r="D14" i="1"/>
  <c r="AF14" i="2"/>
  <c r="C14" i="1"/>
  <c r="AE14" i="2"/>
  <c r="AD14" i="2"/>
  <c r="AA14" i="2"/>
  <c r="Z14" i="2"/>
  <c r="S13" i="1"/>
  <c r="AU13" i="2"/>
  <c r="R13" i="1"/>
  <c r="AT13" i="2"/>
  <c r="Q13" i="1"/>
  <c r="AS13" i="2"/>
  <c r="P13" i="1"/>
  <c r="AR13" i="2"/>
  <c r="O13" i="1"/>
  <c r="AQ13" i="2"/>
  <c r="AP13" i="2"/>
  <c r="AO13" i="2"/>
  <c r="AN13" i="2"/>
  <c r="K13" i="1"/>
  <c r="AM13" i="2"/>
  <c r="J13" i="1"/>
  <c r="AL13" i="2"/>
  <c r="I13" i="1"/>
  <c r="AK13" i="2"/>
  <c r="AJ13" i="2"/>
  <c r="AI13" i="2"/>
  <c r="AH13" i="2"/>
  <c r="E13" i="1"/>
  <c r="AG13" i="2"/>
  <c r="D13" i="1"/>
  <c r="AF13" i="2"/>
  <c r="C13" i="1"/>
  <c r="AE13" i="2"/>
  <c r="AD13" i="2"/>
  <c r="AA13" i="2"/>
  <c r="Z13" i="2"/>
  <c r="S12" i="1"/>
  <c r="AU12" i="2"/>
  <c r="R12" i="1"/>
  <c r="AT12" i="2"/>
  <c r="Q12" i="1"/>
  <c r="AS12" i="2"/>
  <c r="P12" i="1"/>
  <c r="AR12" i="2"/>
  <c r="O12" i="1"/>
  <c r="AQ12" i="2"/>
  <c r="AP12" i="2"/>
  <c r="AO12" i="2"/>
  <c r="AN12" i="2"/>
  <c r="K12" i="1"/>
  <c r="AM12" i="2"/>
  <c r="J12" i="1"/>
  <c r="AL12" i="2"/>
  <c r="I12" i="1"/>
  <c r="AK12" i="2"/>
  <c r="AJ12" i="2"/>
  <c r="AI12" i="2"/>
  <c r="AH12" i="2"/>
  <c r="E12" i="1"/>
  <c r="AG12" i="2"/>
  <c r="D12" i="1"/>
  <c r="AF12" i="2"/>
  <c r="C12" i="1"/>
  <c r="AE12" i="2"/>
  <c r="AD12" i="2"/>
  <c r="AA12" i="2"/>
  <c r="Z12" i="2"/>
  <c r="S11" i="1"/>
  <c r="AU11" i="2"/>
  <c r="R11" i="1"/>
  <c r="AT11" i="2"/>
  <c r="Q11" i="1"/>
  <c r="AS11" i="2"/>
  <c r="P11" i="1"/>
  <c r="AR11" i="2"/>
  <c r="O11" i="1"/>
  <c r="AQ11" i="2"/>
  <c r="AP11" i="2"/>
  <c r="AO11" i="2"/>
  <c r="AN11" i="2"/>
  <c r="K11" i="1"/>
  <c r="AM11" i="2"/>
  <c r="J11" i="1"/>
  <c r="AL11" i="2"/>
  <c r="I11" i="1"/>
  <c r="AK11" i="2"/>
  <c r="AJ11" i="2"/>
  <c r="AI11" i="2"/>
  <c r="AH11" i="2"/>
  <c r="E11" i="1"/>
  <c r="AG11" i="2"/>
  <c r="D11" i="1"/>
  <c r="AF11" i="2"/>
  <c r="C11" i="1"/>
  <c r="AE11" i="2"/>
  <c r="AD11" i="2"/>
  <c r="AA11" i="2"/>
  <c r="Z11" i="2"/>
  <c r="S10" i="1"/>
  <c r="AU10" i="2"/>
  <c r="R10" i="1"/>
  <c r="AT10" i="2"/>
  <c r="Q10" i="1"/>
  <c r="AS10" i="2"/>
  <c r="P10" i="1"/>
  <c r="AR10" i="2"/>
  <c r="O10" i="1"/>
  <c r="AQ10" i="2"/>
  <c r="AP10" i="2"/>
  <c r="AO10" i="2"/>
  <c r="AN10" i="2"/>
  <c r="K10" i="1"/>
  <c r="AM10" i="2"/>
  <c r="J10" i="1"/>
  <c r="AL10" i="2"/>
  <c r="I10" i="1"/>
  <c r="AK10" i="2"/>
  <c r="AJ10" i="2"/>
  <c r="AI10" i="2"/>
  <c r="AH10" i="2"/>
  <c r="E10" i="1"/>
  <c r="AG10" i="2"/>
  <c r="D10" i="1"/>
  <c r="AF10" i="2"/>
  <c r="C10" i="1"/>
  <c r="AE10" i="2"/>
  <c r="AD10" i="2"/>
  <c r="AA10" i="2"/>
  <c r="Z10" i="2"/>
  <c r="S9" i="1"/>
  <c r="AU9" i="2"/>
  <c r="R9" i="1"/>
  <c r="AT9" i="2"/>
  <c r="Q9" i="1"/>
  <c r="AS9" i="2"/>
  <c r="P9" i="1"/>
  <c r="AR9" i="2"/>
  <c r="O9" i="1"/>
  <c r="AQ9" i="2"/>
  <c r="AP9" i="2"/>
  <c r="AO9" i="2"/>
  <c r="AN9" i="2"/>
  <c r="K9" i="1"/>
  <c r="AM9" i="2"/>
  <c r="J9" i="1"/>
  <c r="AL9" i="2"/>
  <c r="I9" i="1"/>
  <c r="AK9" i="2"/>
  <c r="AJ9" i="2"/>
  <c r="AI9" i="2"/>
  <c r="AH9" i="2"/>
  <c r="E9" i="1"/>
  <c r="AG9" i="2"/>
  <c r="D9" i="1"/>
  <c r="AF9" i="2"/>
  <c r="C9" i="1"/>
  <c r="AE9" i="2"/>
  <c r="AD9" i="2"/>
  <c r="AA9" i="2"/>
  <c r="Z9" i="2"/>
  <c r="S8" i="1"/>
  <c r="AU8" i="2"/>
  <c r="R8" i="1"/>
  <c r="AT8" i="2"/>
  <c r="Q8" i="1"/>
  <c r="AS8" i="2"/>
  <c r="P8" i="1"/>
  <c r="AR8" i="2"/>
  <c r="O8" i="1"/>
  <c r="AQ8" i="2"/>
  <c r="AP8" i="2"/>
  <c r="AO8" i="2"/>
  <c r="AN8" i="2"/>
  <c r="K8" i="1"/>
  <c r="AM8" i="2"/>
  <c r="J8" i="1"/>
  <c r="AL8" i="2"/>
  <c r="I8" i="1"/>
  <c r="AK8" i="2"/>
  <c r="AJ8" i="2"/>
  <c r="AI8" i="2"/>
  <c r="AH8" i="2"/>
  <c r="E8" i="1"/>
  <c r="AG8" i="2"/>
  <c r="D8" i="1"/>
  <c r="AF8" i="2"/>
  <c r="C8" i="1"/>
  <c r="AE8" i="2"/>
  <c r="AD8" i="2"/>
  <c r="AA8" i="2"/>
  <c r="Z8" i="2"/>
  <c r="S7" i="1"/>
  <c r="AU7" i="2"/>
  <c r="R7" i="1"/>
  <c r="AT7" i="2"/>
  <c r="Q7" i="1"/>
  <c r="AS7" i="2"/>
  <c r="P7" i="1"/>
  <c r="AR7" i="2"/>
  <c r="O7" i="1"/>
  <c r="AQ7" i="2"/>
  <c r="AP7" i="2"/>
  <c r="AO7" i="2"/>
  <c r="AN7" i="2"/>
  <c r="K7" i="1"/>
  <c r="AM7" i="2"/>
  <c r="J7" i="1"/>
  <c r="AL7" i="2"/>
  <c r="I7" i="1"/>
  <c r="AK7" i="2"/>
  <c r="AJ7" i="2"/>
  <c r="AI7" i="2"/>
  <c r="AH7" i="2"/>
  <c r="E7" i="1"/>
  <c r="AG7" i="2"/>
  <c r="D7" i="1"/>
  <c r="AF7" i="2"/>
  <c r="C7" i="1"/>
  <c r="AE7" i="2"/>
  <c r="AD7" i="2"/>
  <c r="AA7" i="2"/>
  <c r="Z7" i="2"/>
  <c r="S6" i="1"/>
  <c r="AU6" i="2"/>
  <c r="R6" i="1"/>
  <c r="AT6" i="2"/>
  <c r="Q6" i="1"/>
  <c r="AS6" i="2"/>
  <c r="P6" i="1"/>
  <c r="AR6" i="2"/>
  <c r="O6" i="1"/>
  <c r="AQ6" i="2"/>
  <c r="AP6" i="2"/>
  <c r="AO6" i="2"/>
  <c r="AN6" i="2"/>
  <c r="K6" i="1"/>
  <c r="AM6" i="2"/>
  <c r="J6" i="1"/>
  <c r="AL6" i="2"/>
  <c r="I6" i="1"/>
  <c r="AK6" i="2"/>
  <c r="AJ6" i="2"/>
  <c r="AI6" i="2"/>
  <c r="AH6" i="2"/>
  <c r="E6" i="1"/>
  <c r="AG6" i="2"/>
  <c r="D6" i="1"/>
  <c r="AF6" i="2"/>
  <c r="C6" i="1"/>
  <c r="AE6" i="2"/>
  <c r="AD6" i="2"/>
  <c r="AA6" i="2"/>
  <c r="Z6" i="2"/>
  <c r="S5" i="1"/>
  <c r="AU5" i="2"/>
  <c r="R5" i="1"/>
  <c r="AT5" i="2"/>
  <c r="Q5" i="1"/>
  <c r="AS5" i="2"/>
  <c r="P5" i="1"/>
  <c r="AR5" i="2"/>
  <c r="O5" i="1"/>
  <c r="AQ5" i="2"/>
  <c r="AP5" i="2"/>
  <c r="AO5" i="2"/>
  <c r="AN5" i="2"/>
  <c r="K5" i="1"/>
  <c r="AM5" i="2"/>
  <c r="J5" i="1"/>
  <c r="AL5" i="2"/>
  <c r="I5" i="1"/>
  <c r="AK5" i="2"/>
  <c r="AJ5" i="2"/>
  <c r="AI5" i="2"/>
  <c r="AH5" i="2"/>
  <c r="E5" i="1"/>
  <c r="AG5" i="2"/>
  <c r="D5" i="1"/>
  <c r="AF5" i="2"/>
  <c r="C5" i="1"/>
  <c r="AE5" i="2"/>
  <c r="AD5" i="2"/>
  <c r="AA5" i="2"/>
  <c r="Z5" i="2"/>
  <c r="S4" i="1"/>
  <c r="AU4" i="2"/>
  <c r="R4" i="1"/>
  <c r="AT4" i="2"/>
  <c r="Q4" i="1"/>
  <c r="AS4" i="2"/>
  <c r="P4" i="1"/>
  <c r="AR4" i="2"/>
  <c r="O4" i="1"/>
  <c r="AQ4" i="2"/>
  <c r="AP4" i="2"/>
  <c r="AO4" i="2"/>
  <c r="AN4" i="2"/>
  <c r="K4" i="1"/>
  <c r="AM4" i="2"/>
  <c r="J4" i="1"/>
  <c r="AL4" i="2"/>
  <c r="I4" i="1"/>
  <c r="AK4" i="2"/>
  <c r="AJ4" i="2"/>
  <c r="AI4" i="2"/>
  <c r="AH4" i="2"/>
  <c r="E4" i="1"/>
  <c r="AG4" i="2"/>
  <c r="D4" i="1"/>
  <c r="AF4" i="2"/>
  <c r="C4" i="1"/>
  <c r="AE4" i="2"/>
  <c r="AD4" i="2"/>
  <c r="AA4" i="2"/>
  <c r="Z4" i="2"/>
  <c r="S3" i="1"/>
  <c r="AU3" i="2"/>
  <c r="R3" i="1"/>
  <c r="AT3" i="2"/>
  <c r="Q3" i="1"/>
  <c r="AS3" i="2"/>
  <c r="P3" i="1"/>
  <c r="AR3" i="2"/>
  <c r="O3" i="1"/>
  <c r="AQ3" i="2"/>
  <c r="AP3" i="2"/>
  <c r="AO3" i="2"/>
  <c r="AN3" i="2"/>
  <c r="K3" i="1"/>
  <c r="AM3" i="2"/>
  <c r="J3" i="1"/>
  <c r="AL3" i="2"/>
  <c r="I3" i="1"/>
  <c r="AK3" i="2"/>
  <c r="AJ3" i="2"/>
  <c r="AI3" i="2"/>
  <c r="AH3" i="2"/>
  <c r="E3" i="1"/>
  <c r="AG3" i="2"/>
  <c r="D3" i="1"/>
  <c r="AF3" i="2"/>
  <c r="C3" i="1"/>
  <c r="AE3" i="2"/>
  <c r="AD3" i="2"/>
  <c r="AA3" i="2"/>
  <c r="Z3" i="2"/>
  <c r="S2" i="1"/>
  <c r="AU2" i="2"/>
  <c r="R2" i="1"/>
  <c r="AT2" i="2"/>
  <c r="Q2" i="1"/>
  <c r="AS2" i="2"/>
  <c r="P2" i="1"/>
  <c r="AR2" i="2"/>
  <c r="O2" i="1"/>
  <c r="AQ2" i="2"/>
  <c r="AP2" i="2"/>
  <c r="AO2" i="2"/>
  <c r="AN2" i="2"/>
  <c r="K2" i="1"/>
  <c r="AM2" i="2"/>
  <c r="J2" i="1"/>
  <c r="AL2" i="2"/>
  <c r="I2" i="1"/>
  <c r="AK2" i="2"/>
  <c r="AJ2" i="2"/>
  <c r="AI2" i="2"/>
  <c r="AH2" i="2"/>
  <c r="E2" i="1"/>
  <c r="AG2" i="2"/>
  <c r="D2" i="1"/>
  <c r="AF2" i="2"/>
  <c r="C2" i="1"/>
  <c r="AE2" i="2"/>
  <c r="AD2" i="2"/>
  <c r="AB2" i="2" a="1"/>
  <c r="AB3" i="2"/>
  <c r="AB4" i="2"/>
  <c r="AB5" i="2"/>
  <c r="AB6" i="2"/>
  <c r="AB7" i="2"/>
  <c r="AB8" i="2"/>
  <c r="AB9" i="2"/>
  <c r="AB10" i="2"/>
  <c r="AB11" i="2"/>
  <c r="AB12" i="2"/>
  <c r="AB13" i="2"/>
  <c r="AB14" i="2"/>
  <c r="AB15" i="2"/>
  <c r="AB16" i="2"/>
  <c r="AB17" i="2"/>
  <c r="AB18" i="2"/>
  <c r="AB19" i="2"/>
  <c r="AB20" i="2"/>
  <c r="AB21" i="2"/>
  <c r="AB22" i="2"/>
  <c r="AB23" i="2"/>
  <c r="AB24" i="2"/>
  <c r="AB25" i="2"/>
  <c r="AB26" i="2"/>
  <c r="AB27" i="2"/>
  <c r="AB28" i="2"/>
  <c r="AB29" i="2"/>
  <c r="AB30" i="2"/>
  <c r="AB31" i="2"/>
  <c r="AB32" i="2"/>
  <c r="AB33" i="2"/>
  <c r="AB34" i="2"/>
  <c r="AB35" i="2"/>
  <c r="AB36" i="2"/>
  <c r="AB37" i="2"/>
  <c r="AB38" i="2"/>
  <c r="AB39" i="2"/>
  <c r="AB40" i="2"/>
  <c r="AB41" i="2"/>
  <c r="AB42" i="2"/>
  <c r="AB43" i="2"/>
  <c r="AB44" i="2"/>
  <c r="AB45" i="2"/>
  <c r="AB46" i="2"/>
  <c r="AB47" i="2"/>
  <c r="AB48" i="2"/>
  <c r="AB49" i="2"/>
  <c r="AB50" i="2"/>
  <c r="AB51" i="2"/>
  <c r="AB52" i="2"/>
  <c r="AB53" i="2"/>
  <c r="AB54" i="2"/>
  <c r="AB55" i="2"/>
  <c r="AB56" i="2"/>
  <c r="AB57" i="2"/>
  <c r="AB58" i="2"/>
  <c r="AB59" i="2"/>
  <c r="AB60" i="2"/>
  <c r="AB61" i="2"/>
  <c r="AB62" i="2"/>
  <c r="AB63" i="2"/>
  <c r="AB64" i="2"/>
  <c r="AB65" i="2"/>
  <c r="AB66" i="2"/>
  <c r="AB67" i="2"/>
  <c r="AB68" i="2"/>
  <c r="AB69" i="2"/>
  <c r="AB70" i="2"/>
  <c r="AB71" i="2"/>
  <c r="AB72" i="2"/>
  <c r="AB73" i="2"/>
  <c r="AB74" i="2"/>
  <c r="AB75" i="2"/>
  <c r="AB76" i="2"/>
  <c r="AB77" i="2"/>
  <c r="AB78" i="2"/>
  <c r="AB79" i="2"/>
  <c r="AB80" i="2"/>
  <c r="AB81" i="2"/>
  <c r="AB82" i="2"/>
  <c r="AB83" i="2"/>
  <c r="AB84" i="2"/>
  <c r="AB85" i="2"/>
  <c r="AB86" i="2"/>
  <c r="AB87" i="2"/>
  <c r="AB88" i="2"/>
  <c r="AB89" i="2"/>
  <c r="AB90" i="2"/>
  <c r="AB91" i="2"/>
  <c r="AB92" i="2"/>
  <c r="AB93" i="2"/>
  <c r="AB94" i="2"/>
  <c r="AB95" i="2"/>
  <c r="AB96" i="2"/>
  <c r="AB97" i="2"/>
  <c r="AB98" i="2"/>
  <c r="AB99" i="2"/>
  <c r="AB100" i="2"/>
  <c r="AB101" i="2"/>
  <c r="AB102" i="2"/>
  <c r="AB103" i="2"/>
  <c r="AB104" i="2"/>
  <c r="AB105" i="2"/>
  <c r="AB106" i="2"/>
  <c r="AB107" i="2"/>
  <c r="AB108" i="2"/>
  <c r="AB109" i="2"/>
  <c r="AB110" i="2"/>
  <c r="AB111" i="2"/>
  <c r="AB112" i="2"/>
  <c r="AB113" i="2"/>
  <c r="AB114" i="2"/>
  <c r="AB115" i="2"/>
  <c r="AB116" i="2"/>
  <c r="AB117" i="2"/>
  <c r="AB118" i="2"/>
  <c r="AB119" i="2"/>
  <c r="AB120" i="2"/>
  <c r="AB121" i="2"/>
  <c r="AB122" i="2"/>
  <c r="AB123" i="2"/>
  <c r="AB124" i="2"/>
  <c r="AB125" i="2"/>
  <c r="AB126" i="2"/>
  <c r="AB127" i="2"/>
  <c r="AB128" i="2"/>
  <c r="AB129" i="2"/>
  <c r="AB130" i="2"/>
  <c r="AB131" i="2"/>
  <c r="AB132" i="2"/>
  <c r="AB133" i="2"/>
  <c r="AB134" i="2"/>
  <c r="AB135" i="2"/>
  <c r="AB136" i="2"/>
  <c r="AB137" i="2"/>
  <c r="AB138" i="2"/>
  <c r="AB139" i="2"/>
  <c r="AB140" i="2"/>
  <c r="AB141" i="2"/>
  <c r="AB142" i="2"/>
  <c r="AB143" i="2"/>
  <c r="AB144" i="2"/>
  <c r="AB145" i="2"/>
  <c r="AB146" i="2"/>
  <c r="AB147" i="2"/>
  <c r="AB148" i="2"/>
  <c r="AB149" i="2"/>
  <c r="AB150" i="2"/>
  <c r="AB151" i="2"/>
  <c r="AB152" i="2"/>
  <c r="AB153" i="2"/>
  <c r="AB154" i="2"/>
  <c r="AB155" i="2"/>
  <c r="AB156" i="2"/>
  <c r="AB157" i="2"/>
  <c r="AB158" i="2"/>
  <c r="AB159" i="2"/>
  <c r="AB160" i="2"/>
  <c r="AB161" i="2"/>
  <c r="AB162" i="2"/>
  <c r="AB163" i="2"/>
  <c r="AB164" i="2"/>
  <c r="AB165" i="2"/>
  <c r="AB166" i="2"/>
  <c r="AB167" i="2"/>
  <c r="AB168" i="2"/>
  <c r="AB169" i="2"/>
  <c r="AB170" i="2"/>
  <c r="AB171" i="2"/>
  <c r="AB172" i="2"/>
  <c r="AB173" i="2"/>
  <c r="AB174" i="2"/>
  <c r="AB175" i="2"/>
  <c r="AB176" i="2"/>
  <c r="AB177" i="2"/>
  <c r="AB178" i="2"/>
  <c r="AB179" i="2"/>
  <c r="AB180" i="2"/>
  <c r="AB181" i="2"/>
  <c r="AB182" i="2"/>
  <c r="AB183" i="2"/>
  <c r="AB184" i="2"/>
  <c r="AB185" i="2"/>
  <c r="AB186" i="2"/>
  <c r="AB187" i="2"/>
  <c r="AB188" i="2"/>
  <c r="AB189" i="2"/>
  <c r="AB190" i="2"/>
  <c r="AB191" i="2"/>
  <c r="AB192" i="2"/>
  <c r="AB193" i="2"/>
  <c r="AB194" i="2"/>
  <c r="AB195" i="2"/>
  <c r="AB196" i="2"/>
  <c r="AB197" i="2"/>
  <c r="AB198" i="2"/>
  <c r="AB199" i="2"/>
  <c r="AB200" i="2"/>
  <c r="AB201" i="2"/>
  <c r="AB202" i="2"/>
  <c r="AB203" i="2"/>
  <c r="AB204" i="2"/>
  <c r="AB205" i="2"/>
  <c r="AB206" i="2"/>
  <c r="AB207" i="2"/>
  <c r="AB208" i="2"/>
  <c r="AB209" i="2"/>
  <c r="AB210" i="2"/>
  <c r="AB211" i="2"/>
  <c r="AB212" i="2"/>
  <c r="AB213" i="2"/>
  <c r="AB214" i="2"/>
  <c r="AB215" i="2"/>
  <c r="AB216" i="2"/>
  <c r="AB217" i="2"/>
  <c r="AB218" i="2"/>
  <c r="AB219" i="2"/>
  <c r="AB220" i="2"/>
  <c r="AB221" i="2"/>
  <c r="AB222" i="2"/>
  <c r="AB223" i="2"/>
  <c r="AB224" i="2"/>
  <c r="AB225" i="2"/>
  <c r="AB226" i="2"/>
  <c r="AB227" i="2"/>
  <c r="AB228" i="2"/>
  <c r="AB229" i="2"/>
  <c r="AB230" i="2"/>
  <c r="AB231" i="2"/>
  <c r="AB232" i="2"/>
  <c r="AB233" i="2"/>
  <c r="AB234" i="2"/>
  <c r="AB235" i="2"/>
  <c r="AB236" i="2"/>
  <c r="AB237" i="2"/>
  <c r="AB238" i="2"/>
  <c r="AB239" i="2"/>
  <c r="AB240" i="2"/>
  <c r="AB241" i="2"/>
  <c r="AB242" i="2"/>
  <c r="AB243" i="2"/>
  <c r="AB244" i="2"/>
  <c r="AB245" i="2"/>
  <c r="AB246" i="2"/>
  <c r="AB247" i="2"/>
  <c r="AB248" i="2"/>
  <c r="AB249" i="2"/>
  <c r="AB250" i="2"/>
  <c r="AB251" i="2"/>
  <c r="AB252" i="2"/>
  <c r="AB253" i="2"/>
  <c r="AB254" i="2"/>
  <c r="AB255" i="2"/>
  <c r="AB256" i="2"/>
  <c r="AB257" i="2"/>
  <c r="AB258" i="2"/>
  <c r="AB259" i="2"/>
  <c r="AB260" i="2"/>
  <c r="AB261" i="2"/>
  <c r="AB262" i="2"/>
  <c r="AB263" i="2"/>
  <c r="AB264" i="2"/>
  <c r="AB265" i="2"/>
  <c r="AB266" i="2"/>
  <c r="AB267" i="2"/>
  <c r="AB268" i="2"/>
  <c r="AB269" i="2"/>
  <c r="AB270" i="2"/>
  <c r="AB271" i="2"/>
  <c r="AB272" i="2"/>
  <c r="AB273" i="2"/>
  <c r="AB274" i="2"/>
  <c r="AB275" i="2"/>
  <c r="AB276" i="2"/>
  <c r="AB277" i="2"/>
  <c r="AB278" i="2"/>
  <c r="AB279" i="2"/>
  <c r="AB280" i="2"/>
  <c r="AB281" i="2"/>
  <c r="AB282" i="2"/>
  <c r="AB283" i="2"/>
  <c r="AB284" i="2"/>
  <c r="AB285" i="2"/>
  <c r="AB286" i="2"/>
  <c r="AB287" i="2"/>
  <c r="AB288" i="2"/>
  <c r="AB289" i="2"/>
  <c r="AB290" i="2"/>
  <c r="AB291" i="2"/>
  <c r="AB292" i="2"/>
  <c r="AB293" i="2"/>
  <c r="AB294" i="2"/>
  <c r="AB295" i="2"/>
  <c r="AB296" i="2"/>
  <c r="AB297" i="2"/>
  <c r="AB298" i="2"/>
  <c r="AB299" i="2"/>
  <c r="AB300" i="2"/>
  <c r="AB301" i="2"/>
  <c r="AB302" i="2"/>
  <c r="AB303" i="2"/>
  <c r="AB304" i="2"/>
  <c r="AB305" i="2"/>
  <c r="AB306" i="2"/>
  <c r="AB307" i="2"/>
  <c r="AB308" i="2"/>
  <c r="AB309" i="2"/>
  <c r="AB310" i="2"/>
  <c r="AB311" i="2"/>
  <c r="AB312" i="2"/>
  <c r="AB313" i="2"/>
  <c r="AB314" i="2"/>
  <c r="AB315" i="2"/>
  <c r="AB316" i="2"/>
  <c r="AB317" i="2"/>
  <c r="AB318" i="2"/>
  <c r="AB319" i="2"/>
  <c r="AB320" i="2"/>
  <c r="AB321" i="2"/>
  <c r="AB322" i="2"/>
  <c r="AB323" i="2"/>
  <c r="AB324" i="2"/>
  <c r="AB325" i="2"/>
  <c r="AB326" i="2"/>
  <c r="AB327" i="2"/>
  <c r="AB328" i="2"/>
  <c r="AB329" i="2"/>
  <c r="AB330" i="2"/>
  <c r="AB331" i="2"/>
  <c r="AB332" i="2"/>
  <c r="AB333" i="2"/>
  <c r="AB334" i="2"/>
  <c r="AB335" i="2"/>
  <c r="AB336" i="2"/>
  <c r="AB337" i="2"/>
  <c r="AB338" i="2"/>
  <c r="AB339" i="2"/>
  <c r="AB340" i="2"/>
  <c r="AB341" i="2"/>
  <c r="AB342" i="2"/>
  <c r="AB343" i="2"/>
  <c r="AB344" i="2"/>
  <c r="AB345" i="2"/>
  <c r="AB346" i="2"/>
  <c r="AB347" i="2"/>
  <c r="AB348" i="2"/>
  <c r="AB349" i="2"/>
  <c r="AB350" i="2"/>
  <c r="AB351" i="2"/>
  <c r="AB352" i="2"/>
  <c r="AB353" i="2"/>
  <c r="AB354" i="2"/>
  <c r="AB355" i="2"/>
  <c r="AB356" i="2"/>
  <c r="AB357" i="2"/>
  <c r="AB358" i="2"/>
  <c r="AB359" i="2"/>
  <c r="AB360" i="2"/>
  <c r="AB361" i="2"/>
  <c r="AB362" i="2"/>
  <c r="AB363" i="2"/>
  <c r="AB364" i="2"/>
  <c r="AB365" i="2"/>
  <c r="AB366" i="2"/>
  <c r="AB367" i="2"/>
  <c r="AB368" i="2"/>
  <c r="AB369" i="2"/>
  <c r="AB370" i="2"/>
  <c r="AB371" i="2"/>
  <c r="AB372" i="2"/>
  <c r="AB373" i="2"/>
  <c r="AB374" i="2"/>
  <c r="AB375" i="2"/>
  <c r="AB376" i="2"/>
  <c r="AB377" i="2"/>
  <c r="AB378" i="2"/>
  <c r="AB379" i="2"/>
  <c r="AB380" i="2"/>
  <c r="AB381" i="2"/>
  <c r="AB382" i="2"/>
  <c r="AB383" i="2"/>
  <c r="AB384" i="2"/>
  <c r="AB385" i="2"/>
  <c r="AB386" i="2"/>
  <c r="AB387" i="2"/>
  <c r="AB388" i="2"/>
  <c r="AB389" i="2"/>
  <c r="AB390" i="2"/>
  <c r="AB391" i="2"/>
  <c r="AB392" i="2"/>
  <c r="AB393" i="2"/>
  <c r="AB394" i="2"/>
  <c r="AB395" i="2"/>
  <c r="AB396" i="2"/>
  <c r="AB397" i="2"/>
  <c r="AB398" i="2"/>
  <c r="AB399" i="2"/>
  <c r="AB400" i="2"/>
  <c r="AB401" i="2"/>
  <c r="AB402" i="2"/>
  <c r="AB403" i="2"/>
  <c r="AB404" i="2"/>
  <c r="AB405" i="2"/>
  <c r="AB406" i="2"/>
  <c r="AB407" i="2"/>
  <c r="AB408" i="2"/>
  <c r="AB409" i="2"/>
  <c r="AB410" i="2"/>
  <c r="AB411" i="2"/>
  <c r="AB412" i="2"/>
  <c r="AB413" i="2"/>
  <c r="AB414" i="2"/>
  <c r="AB415" i="2"/>
  <c r="AB416" i="2"/>
  <c r="AB417" i="2"/>
  <c r="AB418" i="2"/>
  <c r="AB419" i="2"/>
  <c r="AB420" i="2"/>
  <c r="AB421" i="2"/>
  <c r="AB422" i="2"/>
  <c r="AB423" i="2"/>
  <c r="AB424" i="2"/>
  <c r="AB425" i="2"/>
  <c r="AB426" i="2"/>
  <c r="AB427" i="2"/>
  <c r="AB428" i="2"/>
  <c r="AB429" i="2"/>
  <c r="AB430" i="2"/>
  <c r="AB431" i="2"/>
  <c r="AB432" i="2"/>
  <c r="AB433" i="2"/>
  <c r="AB434" i="2"/>
  <c r="AB435" i="2"/>
  <c r="AB436" i="2"/>
  <c r="AB437" i="2"/>
  <c r="AB438" i="2"/>
  <c r="AB439" i="2"/>
  <c r="AB440" i="2"/>
  <c r="AB441" i="2"/>
  <c r="AB442" i="2"/>
  <c r="AB443" i="2"/>
  <c r="AB444" i="2"/>
  <c r="AB445" i="2"/>
  <c r="AB446" i="2"/>
  <c r="AB447" i="2"/>
  <c r="AB448" i="2"/>
  <c r="AB449" i="2"/>
  <c r="AB450" i="2"/>
  <c r="AB451" i="2"/>
  <c r="AB452" i="2"/>
  <c r="AB453" i="2"/>
  <c r="AB454" i="2"/>
  <c r="AB455" i="2"/>
  <c r="AB456" i="2"/>
  <c r="AB457" i="2"/>
  <c r="AB458" i="2"/>
  <c r="AB459" i="2"/>
  <c r="AB460" i="2"/>
  <c r="AB461" i="2"/>
  <c r="AB462" i="2"/>
  <c r="AB463" i="2"/>
  <c r="AB464" i="2"/>
  <c r="AB465" i="2"/>
  <c r="AB466" i="2"/>
  <c r="AB467" i="2"/>
  <c r="AB468" i="2"/>
  <c r="AB469" i="2"/>
  <c r="AB470" i="2"/>
  <c r="AB471" i="2"/>
  <c r="AB472" i="2"/>
  <c r="AB473" i="2"/>
  <c r="AB474" i="2"/>
  <c r="AB475" i="2"/>
  <c r="AB476" i="2"/>
  <c r="AB477" i="2"/>
  <c r="AB478" i="2"/>
  <c r="AB479" i="2"/>
  <c r="AB480" i="2"/>
  <c r="AB481" i="2"/>
  <c r="AB482" i="2"/>
  <c r="AB483" i="2"/>
  <c r="AB484" i="2"/>
  <c r="AB485" i="2"/>
  <c r="AB486" i="2"/>
  <c r="AB487" i="2"/>
  <c r="AB488" i="2"/>
  <c r="AB489" i="2"/>
  <c r="AB490" i="2"/>
  <c r="AB491" i="2"/>
  <c r="AB492" i="2"/>
  <c r="AB493" i="2"/>
  <c r="AB494" i="2"/>
  <c r="AB495" i="2"/>
  <c r="AB496" i="2"/>
  <c r="AB497" i="2"/>
  <c r="AB498" i="2"/>
  <c r="AB499" i="2"/>
  <c r="AB500" i="2"/>
  <c r="AB501" i="2"/>
  <c r="AB502" i="2"/>
  <c r="AB503" i="2"/>
  <c r="AB504" i="2"/>
  <c r="AB505" i="2"/>
  <c r="AB506" i="2"/>
  <c r="AB507" i="2"/>
  <c r="AB508" i="2"/>
  <c r="AB509" i="2"/>
  <c r="AB510" i="2"/>
  <c r="AB511" i="2"/>
  <c r="AB512" i="2"/>
  <c r="AB513" i="2"/>
  <c r="AB514" i="2"/>
  <c r="AB515" i="2"/>
  <c r="AB516" i="2"/>
  <c r="AB517" i="2"/>
  <c r="AB518" i="2"/>
  <c r="AB519" i="2"/>
  <c r="AB520" i="2"/>
  <c r="AB521" i="2"/>
  <c r="AB522" i="2"/>
  <c r="AB523" i="2"/>
  <c r="AB524" i="2"/>
  <c r="AB525" i="2"/>
  <c r="AB526" i="2"/>
  <c r="AB527" i="2"/>
  <c r="AB528" i="2"/>
  <c r="AB529" i="2"/>
  <c r="AB530" i="2"/>
  <c r="AB531" i="2"/>
  <c r="AB532" i="2"/>
  <c r="AB533" i="2"/>
  <c r="AB534" i="2"/>
  <c r="AB535" i="2"/>
  <c r="AB536" i="2"/>
  <c r="AB537" i="2"/>
  <c r="AB538" i="2"/>
  <c r="AB539" i="2"/>
  <c r="AB540" i="2"/>
  <c r="AB541" i="2"/>
  <c r="AB542" i="2"/>
  <c r="AB543" i="2"/>
  <c r="AB544" i="2"/>
  <c r="AB545" i="2"/>
  <c r="AB546" i="2"/>
  <c r="AB547" i="2"/>
  <c r="AB548" i="2"/>
  <c r="AB549" i="2"/>
  <c r="AB550" i="2"/>
  <c r="AB551" i="2"/>
  <c r="AB552" i="2"/>
  <c r="AB553" i="2"/>
  <c r="AB554" i="2"/>
  <c r="AB555" i="2"/>
  <c r="AB556" i="2"/>
  <c r="AB557" i="2"/>
  <c r="AB558" i="2"/>
  <c r="AB559" i="2"/>
  <c r="AB560" i="2"/>
  <c r="AB561" i="2"/>
  <c r="AB562" i="2"/>
  <c r="AB563" i="2"/>
  <c r="AB564" i="2"/>
  <c r="AB565" i="2"/>
  <c r="AB566" i="2"/>
  <c r="AB567" i="2"/>
  <c r="AB568" i="2"/>
  <c r="AB569" i="2"/>
  <c r="AB570" i="2"/>
  <c r="AB571" i="2"/>
  <c r="AB572" i="2"/>
  <c r="AB573" i="2"/>
  <c r="AB574" i="2"/>
  <c r="AB575" i="2"/>
  <c r="AB576" i="2"/>
  <c r="AB577" i="2"/>
  <c r="AB578" i="2"/>
  <c r="AB579" i="2"/>
  <c r="AB580" i="2"/>
  <c r="AB581" i="2"/>
  <c r="AB582" i="2"/>
  <c r="AB583" i="2"/>
  <c r="AB584" i="2"/>
  <c r="AB585" i="2"/>
  <c r="AB586" i="2"/>
  <c r="AB587" i="2"/>
  <c r="AB588" i="2"/>
  <c r="AB589" i="2"/>
  <c r="AB590" i="2"/>
  <c r="AB591" i="2"/>
  <c r="AB592" i="2"/>
  <c r="AB593" i="2"/>
  <c r="AB594" i="2"/>
  <c r="AB595" i="2"/>
  <c r="AB596" i="2"/>
  <c r="AB597" i="2"/>
  <c r="AB598" i="2"/>
  <c r="AB599" i="2"/>
  <c r="AB600" i="2"/>
  <c r="AB601" i="2"/>
  <c r="AB602" i="2"/>
  <c r="AB603" i="2"/>
  <c r="AB604" i="2"/>
  <c r="AB605" i="2"/>
  <c r="AB606" i="2"/>
  <c r="AB607" i="2"/>
  <c r="AB608" i="2"/>
  <c r="AB609" i="2"/>
  <c r="AB610" i="2"/>
  <c r="AB611" i="2"/>
  <c r="AB612" i="2"/>
  <c r="AB613" i="2"/>
  <c r="AB614" i="2"/>
  <c r="AB615" i="2"/>
  <c r="AB616" i="2"/>
  <c r="AB617" i="2"/>
  <c r="AB618" i="2"/>
  <c r="AB619" i="2"/>
  <c r="AB620" i="2"/>
  <c r="AB621" i="2"/>
  <c r="AB622" i="2"/>
  <c r="AB623" i="2"/>
  <c r="AB624" i="2"/>
  <c r="AB625" i="2"/>
  <c r="AB626" i="2"/>
  <c r="AB627" i="2"/>
  <c r="AB628" i="2"/>
  <c r="AB629" i="2"/>
  <c r="AB630" i="2"/>
  <c r="AB631" i="2"/>
  <c r="AB632" i="2"/>
  <c r="AB633" i="2"/>
  <c r="AB634" i="2"/>
  <c r="AB635" i="2"/>
  <c r="AB636" i="2"/>
  <c r="AB637" i="2"/>
  <c r="AB638" i="2"/>
  <c r="AB639" i="2"/>
  <c r="AB640" i="2"/>
  <c r="AB641" i="2"/>
  <c r="AB642" i="2"/>
  <c r="AB643" i="2"/>
  <c r="AB644" i="2"/>
  <c r="AB645" i="2"/>
  <c r="AB646" i="2"/>
  <c r="AB647" i="2"/>
  <c r="AB648" i="2"/>
  <c r="AB649" i="2"/>
  <c r="AB650" i="2"/>
  <c r="AB651" i="2"/>
  <c r="AB652" i="2"/>
  <c r="AB653" i="2"/>
  <c r="AB654" i="2"/>
  <c r="AB655" i="2"/>
  <c r="AB656" i="2"/>
  <c r="AB657" i="2"/>
  <c r="AB658" i="2"/>
  <c r="AB659" i="2"/>
  <c r="AB660" i="2"/>
  <c r="AB661" i="2"/>
  <c r="AB662" i="2"/>
  <c r="AB663" i="2"/>
  <c r="AB664" i="2"/>
  <c r="AB665" i="2"/>
  <c r="AB666" i="2"/>
  <c r="AB667" i="2"/>
  <c r="AB668" i="2"/>
  <c r="AB669" i="2"/>
  <c r="AB670" i="2"/>
  <c r="AB671" i="2"/>
  <c r="AB672" i="2"/>
  <c r="AB673" i="2"/>
  <c r="AB674" i="2"/>
  <c r="AB675" i="2"/>
  <c r="AB676" i="2"/>
  <c r="AB677" i="2"/>
  <c r="AB678" i="2"/>
  <c r="AB679" i="2"/>
  <c r="AB680" i="2"/>
  <c r="AB681" i="2"/>
  <c r="AB682" i="2"/>
  <c r="AB683" i="2"/>
  <c r="AB684" i="2"/>
  <c r="AB685" i="2"/>
  <c r="AB686" i="2"/>
  <c r="AB687" i="2"/>
  <c r="AB688" i="2"/>
  <c r="AB689" i="2"/>
  <c r="AB690" i="2"/>
  <c r="AB691" i="2"/>
  <c r="AB692" i="2"/>
  <c r="AB693" i="2"/>
  <c r="AB694" i="2"/>
  <c r="AB695" i="2"/>
  <c r="AB696" i="2"/>
  <c r="AB697" i="2"/>
  <c r="AB698" i="2"/>
  <c r="AB699" i="2"/>
  <c r="AB700" i="2"/>
  <c r="AB701" i="2"/>
  <c r="AB702" i="2"/>
  <c r="AB703" i="2"/>
  <c r="AB704" i="2"/>
  <c r="AB705" i="2"/>
  <c r="AB706" i="2"/>
  <c r="AB707" i="2"/>
  <c r="AB708" i="2"/>
  <c r="AB709" i="2"/>
  <c r="AB710" i="2"/>
  <c r="AB711" i="2"/>
  <c r="AB712" i="2"/>
  <c r="AB713" i="2"/>
  <c r="AB714" i="2"/>
  <c r="AB715" i="2"/>
  <c r="AB716" i="2"/>
  <c r="AB717" i="2"/>
  <c r="AB718" i="2"/>
  <c r="AB719" i="2"/>
  <c r="AB720" i="2"/>
  <c r="AB721" i="2"/>
  <c r="AB722" i="2"/>
  <c r="AB723" i="2"/>
  <c r="AB724" i="2"/>
  <c r="AB725" i="2"/>
  <c r="AB726" i="2"/>
  <c r="AB727" i="2"/>
  <c r="AB728" i="2"/>
  <c r="AB729" i="2"/>
  <c r="AB730" i="2"/>
  <c r="AB731" i="2"/>
  <c r="AB732" i="2"/>
  <c r="AB733" i="2"/>
  <c r="AB734" i="2"/>
  <c r="AB735" i="2"/>
  <c r="AB736" i="2"/>
  <c r="AB737" i="2"/>
  <c r="AB738" i="2"/>
  <c r="AB739" i="2"/>
  <c r="AB740" i="2"/>
  <c r="AB741" i="2"/>
  <c r="AB742" i="2"/>
  <c r="AB743" i="2"/>
  <c r="AB744" i="2"/>
  <c r="AB745" i="2"/>
  <c r="AB746" i="2"/>
  <c r="AB747" i="2"/>
  <c r="AB748" i="2"/>
  <c r="AB749" i="2"/>
  <c r="AB750" i="2"/>
  <c r="AB751" i="2"/>
  <c r="AB752" i="2"/>
  <c r="AB753" i="2"/>
  <c r="AB754" i="2"/>
  <c r="AB755" i="2"/>
  <c r="AB756" i="2"/>
  <c r="AB757" i="2"/>
  <c r="AB758" i="2"/>
  <c r="AB759" i="2"/>
  <c r="AB760" i="2"/>
  <c r="AB761" i="2"/>
  <c r="AB762" i="2"/>
  <c r="AB763" i="2"/>
  <c r="AB764" i="2"/>
  <c r="AB765" i="2"/>
  <c r="AB766" i="2"/>
  <c r="AB767" i="2"/>
  <c r="AB768" i="2"/>
  <c r="AB769" i="2"/>
  <c r="AB770" i="2"/>
  <c r="AB771" i="2"/>
  <c r="AB772" i="2"/>
  <c r="AB773" i="2"/>
  <c r="AB774" i="2"/>
  <c r="AB775" i="2"/>
  <c r="AB776" i="2"/>
  <c r="AB777" i="2"/>
  <c r="AB778" i="2"/>
  <c r="AB779" i="2"/>
  <c r="AB780" i="2"/>
  <c r="AB781" i="2"/>
  <c r="AB782" i="2"/>
  <c r="AB783" i="2"/>
  <c r="AB784" i="2"/>
  <c r="AB785" i="2"/>
  <c r="AB786" i="2"/>
  <c r="AB787" i="2"/>
  <c r="AB788" i="2"/>
  <c r="AB789" i="2"/>
  <c r="AB790" i="2"/>
  <c r="AB791" i="2"/>
  <c r="AB792" i="2"/>
  <c r="AB793" i="2"/>
  <c r="AB794" i="2"/>
  <c r="AB795" i="2"/>
  <c r="AB796" i="2"/>
  <c r="AB797" i="2"/>
  <c r="AB798" i="2"/>
  <c r="AB799" i="2"/>
  <c r="AB800" i="2"/>
  <c r="AB801" i="2"/>
  <c r="AB802" i="2"/>
  <c r="AB803" i="2"/>
  <c r="AB804" i="2"/>
  <c r="AB805" i="2"/>
  <c r="AB806" i="2"/>
  <c r="AB807" i="2"/>
  <c r="AB808" i="2"/>
  <c r="AB809" i="2"/>
  <c r="AB810" i="2"/>
  <c r="AB811" i="2"/>
  <c r="AB812" i="2"/>
  <c r="AB813" i="2"/>
  <c r="AB814" i="2"/>
  <c r="AB815" i="2"/>
  <c r="AB816" i="2"/>
  <c r="AB817" i="2"/>
  <c r="AB818" i="2"/>
  <c r="AB819" i="2"/>
  <c r="AB820" i="2"/>
  <c r="AB821" i="2"/>
  <c r="AB822" i="2"/>
  <c r="AB823" i="2"/>
  <c r="AB824" i="2"/>
  <c r="AB825" i="2"/>
  <c r="AB826" i="2"/>
  <c r="AB827" i="2"/>
  <c r="AB828" i="2"/>
  <c r="AB829" i="2"/>
  <c r="AB830" i="2"/>
  <c r="AB831" i="2"/>
  <c r="AB832" i="2"/>
  <c r="AB833" i="2"/>
  <c r="AB834" i="2"/>
  <c r="AB835" i="2"/>
  <c r="AB836" i="2"/>
  <c r="AB837" i="2"/>
  <c r="AB838" i="2"/>
  <c r="AB839" i="2"/>
  <c r="AB840" i="2"/>
  <c r="AB841" i="2"/>
  <c r="AB842" i="2"/>
  <c r="AB843" i="2"/>
  <c r="AB844" i="2"/>
  <c r="AB845" i="2"/>
  <c r="AB846" i="2"/>
  <c r="AB847" i="2"/>
  <c r="AB848" i="2"/>
  <c r="AB849" i="2"/>
  <c r="AB850" i="2"/>
  <c r="AB851" i="2"/>
  <c r="AB852" i="2"/>
  <c r="AB853" i="2"/>
  <c r="AB854" i="2"/>
  <c r="AB855" i="2"/>
  <c r="AB856" i="2"/>
  <c r="AB857" i="2"/>
  <c r="AB858" i="2"/>
  <c r="AB859" i="2"/>
  <c r="AB860" i="2"/>
  <c r="AB861" i="2"/>
  <c r="AB862" i="2"/>
  <c r="AB863" i="2"/>
  <c r="AB864" i="2"/>
  <c r="AB865" i="2"/>
  <c r="AB866" i="2"/>
  <c r="AB867" i="2"/>
  <c r="AB868" i="2"/>
  <c r="AB869" i="2"/>
  <c r="AB870" i="2"/>
  <c r="AB871" i="2"/>
  <c r="AB872" i="2"/>
  <c r="AB873" i="2"/>
  <c r="AB874" i="2"/>
  <c r="AB875" i="2"/>
  <c r="AB876" i="2"/>
  <c r="AB877" i="2"/>
  <c r="AB878" i="2"/>
  <c r="AB879" i="2"/>
  <c r="AB880" i="2"/>
  <c r="AB881" i="2"/>
  <c r="AB882" i="2"/>
  <c r="AB883" i="2"/>
  <c r="AB884" i="2"/>
  <c r="AB885" i="2"/>
  <c r="AB886" i="2"/>
  <c r="AB887" i="2"/>
  <c r="AB888" i="2"/>
  <c r="AB889" i="2"/>
  <c r="AB890" i="2"/>
  <c r="AB891" i="2"/>
  <c r="AB892" i="2"/>
  <c r="AB893" i="2"/>
  <c r="AB894" i="2"/>
  <c r="AB895" i="2"/>
  <c r="AB896" i="2"/>
  <c r="AB897" i="2"/>
  <c r="AB898" i="2"/>
  <c r="AB899" i="2"/>
  <c r="AB900" i="2"/>
  <c r="AB901" i="2"/>
  <c r="AB902" i="2"/>
  <c r="AB903" i="2"/>
  <c r="AB904" i="2"/>
  <c r="AB905" i="2"/>
  <c r="AB906" i="2"/>
  <c r="AB907" i="2"/>
  <c r="AB908" i="2"/>
  <c r="AB909" i="2"/>
  <c r="AB910" i="2"/>
  <c r="AB911" i="2"/>
  <c r="AB912" i="2"/>
  <c r="AB913" i="2"/>
  <c r="AB914" i="2"/>
  <c r="AB915" i="2"/>
  <c r="AB916" i="2"/>
  <c r="AB917" i="2"/>
  <c r="AB918" i="2"/>
  <c r="AB919" i="2"/>
  <c r="AB920" i="2"/>
  <c r="AB921" i="2"/>
  <c r="AB922" i="2"/>
  <c r="AB923" i="2"/>
  <c r="AB924" i="2"/>
  <c r="AB925" i="2"/>
  <c r="AB926" i="2"/>
  <c r="AB927" i="2"/>
  <c r="AB928" i="2"/>
  <c r="AB929" i="2"/>
  <c r="AB930" i="2"/>
  <c r="AB931" i="2"/>
  <c r="AB932" i="2"/>
  <c r="AB933" i="2"/>
  <c r="AB934" i="2"/>
  <c r="AB935" i="2"/>
  <c r="AB936" i="2"/>
  <c r="AB937" i="2"/>
  <c r="AB938" i="2"/>
  <c r="AB939" i="2"/>
  <c r="AB940" i="2"/>
  <c r="AB941" i="2"/>
  <c r="AB942" i="2"/>
  <c r="AB943" i="2"/>
  <c r="AB944" i="2"/>
  <c r="AB945" i="2"/>
  <c r="AB946" i="2"/>
  <c r="AB947" i="2"/>
  <c r="AB948" i="2"/>
  <c r="AB949" i="2"/>
  <c r="AB950" i="2"/>
  <c r="AB951" i="2"/>
  <c r="AB952" i="2"/>
  <c r="AB953" i="2"/>
  <c r="AB954" i="2"/>
  <c r="AB955" i="2"/>
  <c r="AB956" i="2"/>
  <c r="AB957" i="2"/>
  <c r="AB958" i="2"/>
  <c r="AB959" i="2"/>
  <c r="AB960" i="2"/>
  <c r="AB961" i="2"/>
  <c r="AB962" i="2"/>
  <c r="AB963" i="2"/>
  <c r="AB964" i="2"/>
  <c r="AB965" i="2"/>
  <c r="AB966" i="2"/>
  <c r="AB967" i="2"/>
  <c r="AB968" i="2"/>
  <c r="AB969" i="2"/>
  <c r="AB970" i="2"/>
  <c r="AB971" i="2"/>
  <c r="AB972" i="2"/>
  <c r="AB973" i="2"/>
  <c r="AB974" i="2"/>
  <c r="AB975" i="2"/>
  <c r="AB976" i="2"/>
  <c r="AB977" i="2"/>
  <c r="AB978" i="2"/>
  <c r="AB979" i="2"/>
  <c r="AB980" i="2"/>
  <c r="AB981" i="2"/>
  <c r="AB982" i="2"/>
  <c r="AB983" i="2"/>
  <c r="AB984" i="2"/>
  <c r="AB985" i="2"/>
  <c r="AB986" i="2"/>
  <c r="AB987" i="2"/>
  <c r="AB988" i="2"/>
  <c r="AB989" i="2"/>
  <c r="AB990" i="2"/>
  <c r="AB991" i="2"/>
  <c r="AB992" i="2"/>
  <c r="AB993" i="2"/>
  <c r="AB994" i="2"/>
  <c r="AB995" i="2"/>
  <c r="AB996" i="2"/>
  <c r="AB997" i="2"/>
  <c r="AB998" i="2"/>
  <c r="AB999" i="2"/>
  <c r="AB1000" i="2"/>
  <c r="AB1001" i="2"/>
  <c r="AB2" i="2"/>
  <c r="AA2" i="2"/>
  <c r="Z2" i="2"/>
  <c r="Y2" i="2" a="1"/>
  <c r="Y3" i="2"/>
  <c r="Y4" i="2"/>
  <c r="Y5" i="2"/>
  <c r="Y6" i="2"/>
  <c r="Y7" i="2"/>
  <c r="Y8" i="2"/>
  <c r="Y9" i="2"/>
  <c r="Y10" i="2"/>
  <c r="Y11" i="2"/>
  <c r="Y12" i="2"/>
  <c r="Y13" i="2"/>
  <c r="Y14" i="2"/>
  <c r="Y15" i="2"/>
  <c r="Y16" i="2"/>
  <c r="Y17" i="2"/>
  <c r="Y18" i="2"/>
  <c r="Y19" i="2"/>
  <c r="Y20" i="2"/>
  <c r="Y21" i="2"/>
  <c r="Y22" i="2"/>
  <c r="Y23" i="2"/>
  <c r="Y24" i="2"/>
  <c r="Y25" i="2"/>
  <c r="Y26" i="2"/>
  <c r="Y27" i="2"/>
  <c r="Y28" i="2"/>
  <c r="Y29" i="2"/>
  <c r="Y30" i="2"/>
  <c r="Y31" i="2"/>
  <c r="Y32" i="2"/>
  <c r="Y33" i="2"/>
  <c r="Y34" i="2"/>
  <c r="Y35" i="2"/>
  <c r="Y36" i="2"/>
  <c r="Y37" i="2"/>
  <c r="Y38" i="2"/>
  <c r="Y39" i="2"/>
  <c r="Y40" i="2"/>
  <c r="Y41" i="2"/>
  <c r="Y42" i="2"/>
  <c r="Y43" i="2"/>
  <c r="Y44" i="2"/>
  <c r="Y45" i="2"/>
  <c r="Y46" i="2"/>
  <c r="Y47" i="2"/>
  <c r="Y48" i="2"/>
  <c r="Y49" i="2"/>
  <c r="Y50" i="2"/>
  <c r="Y51" i="2"/>
  <c r="Y52" i="2"/>
  <c r="Y53" i="2"/>
  <c r="Y54" i="2"/>
  <c r="Y55" i="2"/>
  <c r="Y56" i="2"/>
  <c r="Y57" i="2"/>
  <c r="Y58" i="2"/>
  <c r="Y59" i="2"/>
  <c r="Y60" i="2"/>
  <c r="Y61" i="2"/>
  <c r="Y62" i="2"/>
  <c r="Y63" i="2"/>
  <c r="Y64" i="2"/>
  <c r="Y65" i="2"/>
  <c r="Y66" i="2"/>
  <c r="Y67" i="2"/>
  <c r="Y68" i="2"/>
  <c r="Y69" i="2"/>
  <c r="Y70" i="2"/>
  <c r="Y71" i="2"/>
  <c r="Y72" i="2"/>
  <c r="Y73" i="2"/>
  <c r="Y74" i="2"/>
  <c r="Y75" i="2"/>
  <c r="Y76" i="2"/>
  <c r="Y77" i="2"/>
  <c r="Y78" i="2"/>
  <c r="Y79" i="2"/>
  <c r="Y80" i="2"/>
  <c r="Y81" i="2"/>
  <c r="Y82" i="2"/>
  <c r="Y83" i="2"/>
  <c r="Y84" i="2"/>
  <c r="Y85" i="2"/>
  <c r="Y86" i="2"/>
  <c r="Y87" i="2"/>
  <c r="Y88" i="2"/>
  <c r="Y89" i="2"/>
  <c r="Y90" i="2"/>
  <c r="Y91" i="2"/>
  <c r="Y92" i="2"/>
  <c r="Y93" i="2"/>
  <c r="Y94" i="2"/>
  <c r="Y95" i="2"/>
  <c r="Y96" i="2"/>
  <c r="Y97" i="2"/>
  <c r="Y98" i="2"/>
  <c r="Y99" i="2"/>
  <c r="Y10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34" i="2"/>
  <c r="Y135" i="2"/>
  <c r="Y136" i="2"/>
  <c r="Y137" i="2"/>
  <c r="Y138" i="2"/>
  <c r="Y139" i="2"/>
  <c r="Y140" i="2"/>
  <c r="Y141" i="2"/>
  <c r="Y142" i="2"/>
  <c r="Y143" i="2"/>
  <c r="Y144" i="2"/>
  <c r="Y145" i="2"/>
  <c r="Y146" i="2"/>
  <c r="Y147" i="2"/>
  <c r="Y148" i="2"/>
  <c r="Y149" i="2"/>
  <c r="Y150" i="2"/>
  <c r="Y151" i="2"/>
  <c r="Y152" i="2"/>
  <c r="Y153" i="2"/>
  <c r="Y154" i="2"/>
  <c r="Y155" i="2"/>
  <c r="Y156" i="2"/>
  <c r="Y157" i="2"/>
  <c r="Y158" i="2"/>
  <c r="Y159" i="2"/>
  <c r="Y160" i="2"/>
  <c r="Y161" i="2"/>
  <c r="Y162" i="2"/>
  <c r="Y163" i="2"/>
  <c r="Y164" i="2"/>
  <c r="Y165" i="2"/>
  <c r="Y166" i="2"/>
  <c r="Y167" i="2"/>
  <c r="Y168" i="2"/>
  <c r="Y169" i="2"/>
  <c r="Y170" i="2"/>
  <c r="Y171" i="2"/>
  <c r="Y172" i="2"/>
  <c r="Y173" i="2"/>
  <c r="Y174" i="2"/>
  <c r="Y175" i="2"/>
  <c r="Y176" i="2"/>
  <c r="Y177" i="2"/>
  <c r="Y178" i="2"/>
  <c r="Y179" i="2"/>
  <c r="Y180" i="2"/>
  <c r="Y181" i="2"/>
  <c r="Y182" i="2"/>
  <c r="Y183" i="2"/>
  <c r="Y184" i="2"/>
  <c r="Y185" i="2"/>
  <c r="Y186" i="2"/>
  <c r="Y187" i="2"/>
  <c r="Y188" i="2"/>
  <c r="Y189" i="2"/>
  <c r="Y190" i="2"/>
  <c r="Y191" i="2"/>
  <c r="Y192" i="2"/>
  <c r="Y193" i="2"/>
  <c r="Y194" i="2"/>
  <c r="Y195" i="2"/>
  <c r="Y196" i="2"/>
  <c r="Y197" i="2"/>
  <c r="Y198" i="2"/>
  <c r="Y199" i="2"/>
  <c r="Y200" i="2"/>
  <c r="Y201" i="2"/>
  <c r="Y202" i="2"/>
  <c r="Y203" i="2"/>
  <c r="Y204" i="2"/>
  <c r="Y205" i="2"/>
  <c r="Y206" i="2"/>
  <c r="Y207" i="2"/>
  <c r="Y208" i="2"/>
  <c r="Y209" i="2"/>
  <c r="Y210" i="2"/>
  <c r="Y211" i="2"/>
  <c r="Y212" i="2"/>
  <c r="Y213" i="2"/>
  <c r="Y214" i="2"/>
  <c r="Y215" i="2"/>
  <c r="Y216" i="2"/>
  <c r="Y217" i="2"/>
  <c r="Y218" i="2"/>
  <c r="Y219" i="2"/>
  <c r="Y220" i="2"/>
  <c r="Y221" i="2"/>
  <c r="Y222" i="2"/>
  <c r="Y223" i="2"/>
  <c r="Y224" i="2"/>
  <c r="Y225" i="2"/>
  <c r="Y226" i="2"/>
  <c r="Y227" i="2"/>
  <c r="Y228" i="2"/>
  <c r="Y229" i="2"/>
  <c r="Y230" i="2"/>
  <c r="Y231" i="2"/>
  <c r="Y232" i="2"/>
  <c r="Y233" i="2"/>
  <c r="Y234" i="2"/>
  <c r="Y235" i="2"/>
  <c r="Y236" i="2"/>
  <c r="Y237" i="2"/>
  <c r="Y238" i="2"/>
  <c r="Y239" i="2"/>
  <c r="Y240" i="2"/>
  <c r="Y241" i="2"/>
  <c r="Y242" i="2"/>
  <c r="Y243" i="2"/>
  <c r="Y244" i="2"/>
  <c r="Y245" i="2"/>
  <c r="Y246" i="2"/>
  <c r="Y247" i="2"/>
  <c r="Y248" i="2"/>
  <c r="Y249" i="2"/>
  <c r="Y250" i="2"/>
  <c r="Y251" i="2"/>
  <c r="Y252" i="2"/>
  <c r="Y253" i="2"/>
  <c r="Y254" i="2"/>
  <c r="Y255" i="2"/>
  <c r="Y256" i="2"/>
  <c r="Y257" i="2"/>
  <c r="Y258" i="2"/>
  <c r="Y259" i="2"/>
  <c r="Y260" i="2"/>
  <c r="Y261" i="2"/>
  <c r="Y262" i="2"/>
  <c r="Y263" i="2"/>
  <c r="Y264" i="2"/>
  <c r="Y265" i="2"/>
  <c r="Y266" i="2"/>
  <c r="Y267" i="2"/>
  <c r="Y268" i="2"/>
  <c r="Y269" i="2"/>
  <c r="Y270" i="2"/>
  <c r="Y271" i="2"/>
  <c r="Y272" i="2"/>
  <c r="Y273" i="2"/>
  <c r="Y274" i="2"/>
  <c r="Y275" i="2"/>
  <c r="Y276" i="2"/>
  <c r="Y277" i="2"/>
  <c r="Y278" i="2"/>
  <c r="Y279" i="2"/>
  <c r="Y280" i="2"/>
  <c r="Y281" i="2"/>
  <c r="Y282" i="2"/>
  <c r="Y283" i="2"/>
  <c r="Y284" i="2"/>
  <c r="Y285" i="2"/>
  <c r="Y286" i="2"/>
  <c r="Y287" i="2"/>
  <c r="Y288" i="2"/>
  <c r="Y289" i="2"/>
  <c r="Y290" i="2"/>
  <c r="Y291" i="2"/>
  <c r="Y292" i="2"/>
  <c r="Y293" i="2"/>
  <c r="Y294" i="2"/>
  <c r="Y295" i="2"/>
  <c r="Y296" i="2"/>
  <c r="Y297" i="2"/>
  <c r="Y298" i="2"/>
  <c r="Y299" i="2"/>
  <c r="Y300" i="2"/>
  <c r="Y301" i="2"/>
  <c r="Y302" i="2"/>
  <c r="Y303" i="2"/>
  <c r="Y304" i="2"/>
  <c r="Y305" i="2"/>
  <c r="Y306" i="2"/>
  <c r="Y307" i="2"/>
  <c r="Y308" i="2"/>
  <c r="Y309" i="2"/>
  <c r="Y310" i="2"/>
  <c r="Y311" i="2"/>
  <c r="Y312" i="2"/>
  <c r="Y313" i="2"/>
  <c r="Y314" i="2"/>
  <c r="Y315" i="2"/>
  <c r="Y316" i="2"/>
  <c r="Y317" i="2"/>
  <c r="Y318" i="2"/>
  <c r="Y319" i="2"/>
  <c r="Y320" i="2"/>
  <c r="Y321" i="2"/>
  <c r="Y322" i="2"/>
  <c r="Y323" i="2"/>
  <c r="Y324" i="2"/>
  <c r="Y325" i="2"/>
  <c r="Y326" i="2"/>
  <c r="Y327" i="2"/>
  <c r="Y328" i="2"/>
  <c r="Y329" i="2"/>
  <c r="Y330" i="2"/>
  <c r="Y331" i="2"/>
  <c r="Y332" i="2"/>
  <c r="Y333" i="2"/>
  <c r="Y334" i="2"/>
  <c r="Y335" i="2"/>
  <c r="Y336" i="2"/>
  <c r="Y337" i="2"/>
  <c r="Y338" i="2"/>
  <c r="Y339" i="2"/>
  <c r="Y340" i="2"/>
  <c r="Y341" i="2"/>
  <c r="Y342" i="2"/>
  <c r="Y343" i="2"/>
  <c r="Y344" i="2"/>
  <c r="Y345" i="2"/>
  <c r="Y346" i="2"/>
  <c r="Y347" i="2"/>
  <c r="Y348" i="2"/>
  <c r="Y349" i="2"/>
  <c r="Y350" i="2"/>
  <c r="Y351" i="2"/>
  <c r="Y352" i="2"/>
  <c r="Y353" i="2"/>
  <c r="Y354" i="2"/>
  <c r="Y355" i="2"/>
  <c r="Y356" i="2"/>
  <c r="Y357" i="2"/>
  <c r="Y358" i="2"/>
  <c r="Y359" i="2"/>
  <c r="Y360" i="2"/>
  <c r="Y361" i="2"/>
  <c r="Y362" i="2"/>
  <c r="Y363" i="2"/>
  <c r="Y364" i="2"/>
  <c r="Y365" i="2"/>
  <c r="Y366" i="2"/>
  <c r="Y367" i="2"/>
  <c r="Y368" i="2"/>
  <c r="Y369" i="2"/>
  <c r="Y370" i="2"/>
  <c r="Y371" i="2"/>
  <c r="Y372" i="2"/>
  <c r="Y373" i="2"/>
  <c r="Y374" i="2"/>
  <c r="Y375" i="2"/>
  <c r="Y376" i="2"/>
  <c r="Y377" i="2"/>
  <c r="Y378" i="2"/>
  <c r="Y379" i="2"/>
  <c r="Y380" i="2"/>
  <c r="Y381" i="2"/>
  <c r="Y382" i="2"/>
  <c r="Y383" i="2"/>
  <c r="Y384" i="2"/>
  <c r="Y385" i="2"/>
  <c r="Y386" i="2"/>
  <c r="Y387" i="2"/>
  <c r="Y388" i="2"/>
  <c r="Y389" i="2"/>
  <c r="Y390" i="2"/>
  <c r="Y391" i="2"/>
  <c r="Y392" i="2"/>
  <c r="Y393" i="2"/>
  <c r="Y394" i="2"/>
  <c r="Y395" i="2"/>
  <c r="Y396" i="2"/>
  <c r="Y397" i="2"/>
  <c r="Y398" i="2"/>
  <c r="Y399" i="2"/>
  <c r="Y400" i="2"/>
  <c r="Y401" i="2"/>
  <c r="Y402" i="2"/>
  <c r="Y403" i="2"/>
  <c r="Y404" i="2"/>
  <c r="Y405" i="2"/>
  <c r="Y406" i="2"/>
  <c r="Y407" i="2"/>
  <c r="Y408" i="2"/>
  <c r="Y409" i="2"/>
  <c r="Y410" i="2"/>
  <c r="Y411" i="2"/>
  <c r="Y412" i="2"/>
  <c r="Y413" i="2"/>
  <c r="Y414" i="2"/>
  <c r="Y415" i="2"/>
  <c r="Y416" i="2"/>
  <c r="Y417" i="2"/>
  <c r="Y418" i="2"/>
  <c r="Y419" i="2"/>
  <c r="Y420" i="2"/>
  <c r="Y421" i="2"/>
  <c r="Y422" i="2"/>
  <c r="Y423" i="2"/>
  <c r="Y424" i="2"/>
  <c r="Y425" i="2"/>
  <c r="Y426" i="2"/>
  <c r="Y427" i="2"/>
  <c r="Y428" i="2"/>
  <c r="Y429" i="2"/>
  <c r="Y430" i="2"/>
  <c r="Y431" i="2"/>
  <c r="Y432" i="2"/>
  <c r="Y433" i="2"/>
  <c r="Y434" i="2"/>
  <c r="Y435" i="2"/>
  <c r="Y436" i="2"/>
  <c r="Y437" i="2"/>
  <c r="Y438" i="2"/>
  <c r="Y439" i="2"/>
  <c r="Y440" i="2"/>
  <c r="Y441" i="2"/>
  <c r="Y442" i="2"/>
  <c r="Y443" i="2"/>
  <c r="Y444" i="2"/>
  <c r="Y445" i="2"/>
  <c r="Y446" i="2"/>
  <c r="Y447" i="2"/>
  <c r="Y448" i="2"/>
  <c r="Y449" i="2"/>
  <c r="Y450" i="2"/>
  <c r="Y451" i="2"/>
  <c r="Y452" i="2"/>
  <c r="Y453" i="2"/>
  <c r="Y454" i="2"/>
  <c r="Y455" i="2"/>
  <c r="Y456" i="2"/>
  <c r="Y457" i="2"/>
  <c r="Y458" i="2"/>
  <c r="Y459" i="2"/>
  <c r="Y460" i="2"/>
  <c r="Y461" i="2"/>
  <c r="Y462" i="2"/>
  <c r="Y463" i="2"/>
  <c r="Y464" i="2"/>
  <c r="Y465" i="2"/>
  <c r="Y466" i="2"/>
  <c r="Y467" i="2"/>
  <c r="Y468" i="2"/>
  <c r="Y469" i="2"/>
  <c r="Y470" i="2"/>
  <c r="Y471" i="2"/>
  <c r="Y472" i="2"/>
  <c r="Y473" i="2"/>
  <c r="Y474" i="2"/>
  <c r="Y475" i="2"/>
  <c r="Y476" i="2"/>
  <c r="Y477" i="2"/>
  <c r="Y478" i="2"/>
  <c r="Y479" i="2"/>
  <c r="Y480" i="2"/>
  <c r="Y481" i="2"/>
  <c r="Y482" i="2"/>
  <c r="Y483" i="2"/>
  <c r="Y484" i="2"/>
  <c r="Y485" i="2"/>
  <c r="Y486" i="2"/>
  <c r="Y487" i="2"/>
  <c r="Y488" i="2"/>
  <c r="Y489" i="2"/>
  <c r="Y490" i="2"/>
  <c r="Y491" i="2"/>
  <c r="Y492" i="2"/>
  <c r="Y493" i="2"/>
  <c r="Y494" i="2"/>
  <c r="Y495" i="2"/>
  <c r="Y496" i="2"/>
  <c r="Y497" i="2"/>
  <c r="Y498" i="2"/>
  <c r="Y499" i="2"/>
  <c r="Y500" i="2"/>
  <c r="Y501" i="2"/>
  <c r="Y502" i="2"/>
  <c r="Y503" i="2"/>
  <c r="Y504" i="2"/>
  <c r="Y505" i="2"/>
  <c r="Y506" i="2"/>
  <c r="Y507" i="2"/>
  <c r="Y508" i="2"/>
  <c r="Y509" i="2"/>
  <c r="Y510" i="2"/>
  <c r="Y511" i="2"/>
  <c r="Y512" i="2"/>
  <c r="Y513" i="2"/>
  <c r="Y514" i="2"/>
  <c r="Y515" i="2"/>
  <c r="Y516" i="2"/>
  <c r="Y517" i="2"/>
  <c r="Y518" i="2"/>
  <c r="Y519" i="2"/>
  <c r="Y520" i="2"/>
  <c r="Y521" i="2"/>
  <c r="Y522" i="2"/>
  <c r="Y523" i="2"/>
  <c r="Y524" i="2"/>
  <c r="Y525" i="2"/>
  <c r="Y526" i="2"/>
  <c r="Y527" i="2"/>
  <c r="Y528" i="2"/>
  <c r="Y529" i="2"/>
  <c r="Y530" i="2"/>
  <c r="Y531" i="2"/>
  <c r="Y532" i="2"/>
  <c r="Y533" i="2"/>
  <c r="Y534" i="2"/>
  <c r="Y535" i="2"/>
  <c r="Y536" i="2"/>
  <c r="Y537" i="2"/>
  <c r="Y538" i="2"/>
  <c r="Y539" i="2"/>
  <c r="Y540" i="2"/>
  <c r="Y541" i="2"/>
  <c r="Y542" i="2"/>
  <c r="Y543" i="2"/>
  <c r="Y544" i="2"/>
  <c r="Y545" i="2"/>
  <c r="Y546" i="2"/>
  <c r="Y547" i="2"/>
  <c r="Y548" i="2"/>
  <c r="Y549" i="2"/>
  <c r="Y550" i="2"/>
  <c r="Y551" i="2"/>
  <c r="Y552" i="2"/>
  <c r="Y553" i="2"/>
  <c r="Y554" i="2"/>
  <c r="Y555" i="2"/>
  <c r="Y556" i="2"/>
  <c r="Y557" i="2"/>
  <c r="Y558" i="2"/>
  <c r="Y559" i="2"/>
  <c r="Y560" i="2"/>
  <c r="Y561" i="2"/>
  <c r="Y562" i="2"/>
  <c r="Y563" i="2"/>
  <c r="Y564" i="2"/>
  <c r="Y565" i="2"/>
  <c r="Y566" i="2"/>
  <c r="Y567" i="2"/>
  <c r="Y568" i="2"/>
  <c r="Y569" i="2"/>
  <c r="Y570" i="2"/>
  <c r="Y571" i="2"/>
  <c r="Y572" i="2"/>
  <c r="Y573" i="2"/>
  <c r="Y574" i="2"/>
  <c r="Y575" i="2"/>
  <c r="Y576" i="2"/>
  <c r="Y577" i="2"/>
  <c r="Y578" i="2"/>
  <c r="Y579" i="2"/>
  <c r="Y580" i="2"/>
  <c r="Y581" i="2"/>
  <c r="Y582" i="2"/>
  <c r="Y583" i="2"/>
  <c r="Y584" i="2"/>
  <c r="Y585" i="2"/>
  <c r="Y586" i="2"/>
  <c r="Y587" i="2"/>
  <c r="Y588" i="2"/>
  <c r="Y589" i="2"/>
  <c r="Y590" i="2"/>
  <c r="Y591" i="2"/>
  <c r="Y592" i="2"/>
  <c r="Y593" i="2"/>
  <c r="Y594" i="2"/>
  <c r="Y595" i="2"/>
  <c r="Y596" i="2"/>
  <c r="Y597" i="2"/>
  <c r="Y598" i="2"/>
  <c r="Y599" i="2"/>
  <c r="Y600" i="2"/>
  <c r="Y601" i="2"/>
  <c r="Y602" i="2"/>
  <c r="Y603" i="2"/>
  <c r="Y604" i="2"/>
  <c r="Y605" i="2"/>
  <c r="Y606" i="2"/>
  <c r="Y607" i="2"/>
  <c r="Y608" i="2"/>
  <c r="Y609" i="2"/>
  <c r="Y610" i="2"/>
  <c r="Y611" i="2"/>
  <c r="Y612" i="2"/>
  <c r="Y613" i="2"/>
  <c r="Y614" i="2"/>
  <c r="Y615" i="2"/>
  <c r="Y616" i="2"/>
  <c r="Y617" i="2"/>
  <c r="Y618" i="2"/>
  <c r="Y619" i="2"/>
  <c r="Y620" i="2"/>
  <c r="Y621" i="2"/>
  <c r="Y622" i="2"/>
  <c r="Y623" i="2"/>
  <c r="Y624" i="2"/>
  <c r="Y625" i="2"/>
  <c r="Y626" i="2"/>
  <c r="Y627" i="2"/>
  <c r="Y628" i="2"/>
  <c r="Y629" i="2"/>
  <c r="Y630" i="2"/>
  <c r="Y631" i="2"/>
  <c r="Y632" i="2"/>
  <c r="Y633" i="2"/>
  <c r="Y634" i="2"/>
  <c r="Y635" i="2"/>
  <c r="Y636" i="2"/>
  <c r="Y637" i="2"/>
  <c r="Y638" i="2"/>
  <c r="Y639" i="2"/>
  <c r="Y640" i="2"/>
  <c r="Y641" i="2"/>
  <c r="Y642" i="2"/>
  <c r="Y643" i="2"/>
  <c r="Y644" i="2"/>
  <c r="Y645" i="2"/>
  <c r="Y646" i="2"/>
  <c r="Y647" i="2"/>
  <c r="Y648" i="2"/>
  <c r="Y649" i="2"/>
  <c r="Y650" i="2"/>
  <c r="Y651" i="2"/>
  <c r="Y652" i="2"/>
  <c r="Y653" i="2"/>
  <c r="Y654" i="2"/>
  <c r="Y655" i="2"/>
  <c r="Y656" i="2"/>
  <c r="Y657" i="2"/>
  <c r="Y658" i="2"/>
  <c r="Y659" i="2"/>
  <c r="Y660" i="2"/>
  <c r="Y661" i="2"/>
  <c r="Y662" i="2"/>
  <c r="Y663" i="2"/>
  <c r="Y664" i="2"/>
  <c r="Y665" i="2"/>
  <c r="Y666" i="2"/>
  <c r="Y667" i="2"/>
  <c r="Y668" i="2"/>
  <c r="Y669" i="2"/>
  <c r="Y670" i="2"/>
  <c r="Y671" i="2"/>
  <c r="Y672" i="2"/>
  <c r="Y673" i="2"/>
  <c r="Y674" i="2"/>
  <c r="Y675" i="2"/>
  <c r="Y676" i="2"/>
  <c r="Y677" i="2"/>
  <c r="Y678" i="2"/>
  <c r="Y679" i="2"/>
  <c r="Y680" i="2"/>
  <c r="Y681" i="2"/>
  <c r="Y682" i="2"/>
  <c r="Y683" i="2"/>
  <c r="Y684" i="2"/>
  <c r="Y685" i="2"/>
  <c r="Y686" i="2"/>
  <c r="Y687" i="2"/>
  <c r="Y688" i="2"/>
  <c r="Y689" i="2"/>
  <c r="Y690" i="2"/>
  <c r="Y691" i="2"/>
  <c r="Y692" i="2"/>
  <c r="Y693" i="2"/>
  <c r="Y694" i="2"/>
  <c r="Y695" i="2"/>
  <c r="Y696" i="2"/>
  <c r="Y697" i="2"/>
  <c r="Y698" i="2"/>
  <c r="Y699" i="2"/>
  <c r="Y700" i="2"/>
  <c r="Y701" i="2"/>
  <c r="Y702" i="2"/>
  <c r="Y703" i="2"/>
  <c r="Y704" i="2"/>
  <c r="Y705" i="2"/>
  <c r="Y706" i="2"/>
  <c r="Y707" i="2"/>
  <c r="Y708" i="2"/>
  <c r="Y709" i="2"/>
  <c r="Y710" i="2"/>
  <c r="Y711" i="2"/>
  <c r="Y712" i="2"/>
  <c r="Y713" i="2"/>
  <c r="Y714" i="2"/>
  <c r="Y715" i="2"/>
  <c r="Y716" i="2"/>
  <c r="Y717" i="2"/>
  <c r="Y718" i="2"/>
  <c r="Y719" i="2"/>
  <c r="Y720" i="2"/>
  <c r="Y721" i="2"/>
  <c r="Y722" i="2"/>
  <c r="Y723" i="2"/>
  <c r="Y724" i="2"/>
  <c r="Y725" i="2"/>
  <c r="Y726" i="2"/>
  <c r="Y727" i="2"/>
  <c r="Y728" i="2"/>
  <c r="Y729" i="2"/>
  <c r="Y730" i="2"/>
  <c r="Y731" i="2"/>
  <c r="Y732" i="2"/>
  <c r="Y733" i="2"/>
  <c r="Y734" i="2"/>
  <c r="Y735" i="2"/>
  <c r="Y736" i="2"/>
  <c r="Y737" i="2"/>
  <c r="Y738" i="2"/>
  <c r="Y739" i="2"/>
  <c r="Y740" i="2"/>
  <c r="Y741" i="2"/>
  <c r="Y742" i="2"/>
  <c r="Y743" i="2"/>
  <c r="Y744" i="2"/>
  <c r="Y745" i="2"/>
  <c r="Y746" i="2"/>
  <c r="Y747" i="2"/>
  <c r="Y748" i="2"/>
  <c r="Y749" i="2"/>
  <c r="Y750" i="2"/>
  <c r="Y751" i="2"/>
  <c r="Y752" i="2"/>
  <c r="Y753" i="2"/>
  <c r="Y754" i="2"/>
  <c r="Y755" i="2"/>
  <c r="Y756" i="2"/>
  <c r="Y757" i="2"/>
  <c r="Y758" i="2"/>
  <c r="Y759" i="2"/>
  <c r="Y760" i="2"/>
  <c r="Y761" i="2"/>
  <c r="Y762" i="2"/>
  <c r="Y763" i="2"/>
  <c r="Y764" i="2"/>
  <c r="Y765" i="2"/>
  <c r="Y766" i="2"/>
  <c r="Y767" i="2"/>
  <c r="Y768" i="2"/>
  <c r="Y769" i="2"/>
  <c r="Y770" i="2"/>
  <c r="Y771" i="2"/>
  <c r="Y772" i="2"/>
  <c r="Y773" i="2"/>
  <c r="Y774" i="2"/>
  <c r="Y775" i="2"/>
  <c r="Y776" i="2"/>
  <c r="Y777" i="2"/>
  <c r="Y778" i="2"/>
  <c r="Y779" i="2"/>
  <c r="Y780" i="2"/>
  <c r="Y781" i="2"/>
  <c r="Y782" i="2"/>
  <c r="Y783" i="2"/>
  <c r="Y784" i="2"/>
  <c r="Y785" i="2"/>
  <c r="Y786" i="2"/>
  <c r="Y787" i="2"/>
  <c r="Y788" i="2"/>
  <c r="Y789" i="2"/>
  <c r="Y790" i="2"/>
  <c r="Y791" i="2"/>
  <c r="Y792" i="2"/>
  <c r="Y793" i="2"/>
  <c r="Y794" i="2"/>
  <c r="Y795" i="2"/>
  <c r="Y796" i="2"/>
  <c r="Y797" i="2"/>
  <c r="Y798" i="2"/>
  <c r="Y799" i="2"/>
  <c r="Y800" i="2"/>
  <c r="Y801" i="2"/>
  <c r="Y802" i="2"/>
  <c r="Y803" i="2"/>
  <c r="Y804" i="2"/>
  <c r="Y805" i="2"/>
  <c r="Y806" i="2"/>
  <c r="Y807" i="2"/>
  <c r="Y808" i="2"/>
  <c r="Y809" i="2"/>
  <c r="Y810" i="2"/>
  <c r="Y811" i="2"/>
  <c r="Y812" i="2"/>
  <c r="Y813" i="2"/>
  <c r="Y814" i="2"/>
  <c r="Y815" i="2"/>
  <c r="Y816" i="2"/>
  <c r="Y817" i="2"/>
  <c r="Y818" i="2"/>
  <c r="Y819" i="2"/>
  <c r="Y820" i="2"/>
  <c r="Y821" i="2"/>
  <c r="Y822" i="2"/>
  <c r="Y823" i="2"/>
  <c r="Y824" i="2"/>
  <c r="Y825" i="2"/>
  <c r="Y826" i="2"/>
  <c r="Y827" i="2"/>
  <c r="Y828" i="2"/>
  <c r="Y829" i="2"/>
  <c r="Y830" i="2"/>
  <c r="Y831" i="2"/>
  <c r="Y832" i="2"/>
  <c r="Y833" i="2"/>
  <c r="Y834" i="2"/>
  <c r="Y835" i="2"/>
  <c r="Y836" i="2"/>
  <c r="Y837" i="2"/>
  <c r="Y838" i="2"/>
  <c r="Y839" i="2"/>
  <c r="Y840" i="2"/>
  <c r="Y841" i="2"/>
  <c r="Y842" i="2"/>
  <c r="Y843" i="2"/>
  <c r="Y844" i="2"/>
  <c r="Y845" i="2"/>
  <c r="Y846" i="2"/>
  <c r="Y847" i="2"/>
  <c r="Y848" i="2"/>
  <c r="Y849" i="2"/>
  <c r="Y850" i="2"/>
  <c r="Y851" i="2"/>
  <c r="Y852" i="2"/>
  <c r="Y853" i="2"/>
  <c r="Y854" i="2"/>
  <c r="Y855" i="2"/>
  <c r="Y856" i="2"/>
  <c r="Y857" i="2"/>
  <c r="Y858" i="2"/>
  <c r="Y859" i="2"/>
  <c r="Y860" i="2"/>
  <c r="Y861" i="2"/>
  <c r="Y862" i="2"/>
  <c r="Y863" i="2"/>
  <c r="Y864" i="2"/>
  <c r="Y865" i="2"/>
  <c r="Y866" i="2"/>
  <c r="Y867" i="2"/>
  <c r="Y868" i="2"/>
  <c r="Y869" i="2"/>
  <c r="Y870" i="2"/>
  <c r="Y871" i="2"/>
  <c r="Y872" i="2"/>
  <c r="Y873" i="2"/>
  <c r="Y874" i="2"/>
  <c r="Y875" i="2"/>
  <c r="Y876" i="2"/>
  <c r="Y877" i="2"/>
  <c r="Y878" i="2"/>
  <c r="Y879" i="2"/>
  <c r="Y880" i="2"/>
  <c r="Y881" i="2"/>
  <c r="Y882" i="2"/>
  <c r="Y883" i="2"/>
  <c r="Y884" i="2"/>
  <c r="Y885" i="2"/>
  <c r="Y886" i="2"/>
  <c r="Y887" i="2"/>
  <c r="Y888" i="2"/>
  <c r="Y889" i="2"/>
  <c r="Y890" i="2"/>
  <c r="Y891" i="2"/>
  <c r="Y892" i="2"/>
  <c r="Y893" i="2"/>
  <c r="Y894" i="2"/>
  <c r="Y895" i="2"/>
  <c r="Y896" i="2"/>
  <c r="Y897" i="2"/>
  <c r="Y898" i="2"/>
  <c r="Y899" i="2"/>
  <c r="Y900" i="2"/>
  <c r="Y901" i="2"/>
  <c r="Y902" i="2"/>
  <c r="Y903" i="2"/>
  <c r="Y904" i="2"/>
  <c r="Y905" i="2"/>
  <c r="Y906" i="2"/>
  <c r="Y907" i="2"/>
  <c r="Y908" i="2"/>
  <c r="Y909" i="2"/>
  <c r="Y910" i="2"/>
  <c r="Y911" i="2"/>
  <c r="Y912" i="2"/>
  <c r="Y913" i="2"/>
  <c r="Y914" i="2"/>
  <c r="Y915" i="2"/>
  <c r="Y916" i="2"/>
  <c r="Y917" i="2"/>
  <c r="Y918" i="2"/>
  <c r="Y919" i="2"/>
  <c r="Y920" i="2"/>
  <c r="Y921" i="2"/>
  <c r="Y922" i="2"/>
  <c r="Y923" i="2"/>
  <c r="Y924" i="2"/>
  <c r="Y925" i="2"/>
  <c r="Y926" i="2"/>
  <c r="Y927" i="2"/>
  <c r="Y928" i="2"/>
  <c r="Y929" i="2"/>
  <c r="Y930" i="2"/>
  <c r="Y931" i="2"/>
  <c r="Y932" i="2"/>
  <c r="Y933" i="2"/>
  <c r="Y934" i="2"/>
  <c r="Y935" i="2"/>
  <c r="Y936" i="2"/>
  <c r="Y937" i="2"/>
  <c r="Y938" i="2"/>
  <c r="Y939" i="2"/>
  <c r="Y940" i="2"/>
  <c r="Y941" i="2"/>
  <c r="Y942" i="2"/>
  <c r="Y943" i="2"/>
  <c r="Y944" i="2"/>
  <c r="Y945" i="2"/>
  <c r="Y946" i="2"/>
  <c r="Y947" i="2"/>
  <c r="Y948" i="2"/>
  <c r="Y949" i="2"/>
  <c r="Y950" i="2"/>
  <c r="Y951" i="2"/>
  <c r="Y952" i="2"/>
  <c r="Y953" i="2"/>
  <c r="Y954" i="2"/>
  <c r="Y955" i="2"/>
  <c r="Y956" i="2"/>
  <c r="Y957" i="2"/>
  <c r="Y958" i="2"/>
  <c r="Y959" i="2"/>
  <c r="Y960" i="2"/>
  <c r="Y961" i="2"/>
  <c r="Y962" i="2"/>
  <c r="Y963" i="2"/>
  <c r="Y964" i="2"/>
  <c r="Y965" i="2"/>
  <c r="Y966" i="2"/>
  <c r="Y967" i="2"/>
  <c r="Y968" i="2"/>
  <c r="Y969" i="2"/>
  <c r="Y970" i="2"/>
  <c r="Y971" i="2"/>
  <c r="Y972" i="2"/>
  <c r="Y973" i="2"/>
  <c r="Y974" i="2"/>
  <c r="Y975" i="2"/>
  <c r="Y976" i="2"/>
  <c r="Y977" i="2"/>
  <c r="Y978" i="2"/>
  <c r="Y979" i="2"/>
  <c r="Y980" i="2"/>
  <c r="Y981" i="2"/>
  <c r="Y982" i="2"/>
  <c r="Y983" i="2"/>
  <c r="Y984" i="2"/>
  <c r="Y985" i="2"/>
  <c r="Y986" i="2"/>
  <c r="Y987" i="2"/>
  <c r="Y988" i="2"/>
  <c r="Y989" i="2"/>
  <c r="Y990" i="2"/>
  <c r="Y991" i="2"/>
  <c r="Y992" i="2"/>
  <c r="Y993" i="2"/>
  <c r="Y994" i="2"/>
  <c r="Y995" i="2"/>
  <c r="Y996" i="2"/>
  <c r="Y997" i="2"/>
  <c r="Y998" i="2"/>
  <c r="Y999" i="2"/>
  <c r="Y1000" i="2"/>
  <c r="Y1001" i="2"/>
  <c r="Y2" i="2"/>
  <c r="X2" i="2" a="1"/>
  <c r="X3"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50" i="2"/>
  <c r="X51" i="2"/>
  <c r="X52" i="2"/>
  <c r="X53" i="2"/>
  <c r="X54" i="2"/>
  <c r="X55" i="2"/>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131" i="2"/>
  <c r="X132" i="2"/>
  <c r="X133" i="2"/>
  <c r="X134" i="2"/>
  <c r="X135" i="2"/>
  <c r="X136" i="2"/>
  <c r="X137" i="2"/>
  <c r="X138" i="2"/>
  <c r="X139" i="2"/>
  <c r="X140" i="2"/>
  <c r="X141" i="2"/>
  <c r="X142" i="2"/>
  <c r="X143" i="2"/>
  <c r="X144" i="2"/>
  <c r="X145" i="2"/>
  <c r="X146" i="2"/>
  <c r="X147" i="2"/>
  <c r="X148" i="2"/>
  <c r="X149" i="2"/>
  <c r="X150" i="2"/>
  <c r="X151" i="2"/>
  <c r="X152" i="2"/>
  <c r="X153" i="2"/>
  <c r="X154" i="2"/>
  <c r="X155" i="2"/>
  <c r="X156" i="2"/>
  <c r="X157" i="2"/>
  <c r="X158" i="2"/>
  <c r="X159" i="2"/>
  <c r="X160" i="2"/>
  <c r="X161" i="2"/>
  <c r="X162" i="2"/>
  <c r="X163" i="2"/>
  <c r="X164" i="2"/>
  <c r="X165" i="2"/>
  <c r="X166" i="2"/>
  <c r="X167" i="2"/>
  <c r="X168" i="2"/>
  <c r="X169" i="2"/>
  <c r="X170" i="2"/>
  <c r="X171" i="2"/>
  <c r="X172" i="2"/>
  <c r="X173" i="2"/>
  <c r="X174" i="2"/>
  <c r="X175" i="2"/>
  <c r="X176" i="2"/>
  <c r="X177" i="2"/>
  <c r="X178" i="2"/>
  <c r="X179" i="2"/>
  <c r="X180" i="2"/>
  <c r="X181" i="2"/>
  <c r="X182" i="2"/>
  <c r="X183" i="2"/>
  <c r="X184" i="2"/>
  <c r="X185" i="2"/>
  <c r="X186" i="2"/>
  <c r="X187" i="2"/>
  <c r="X188" i="2"/>
  <c r="X189" i="2"/>
  <c r="X190" i="2"/>
  <c r="X191" i="2"/>
  <c r="X192" i="2"/>
  <c r="X193" i="2"/>
  <c r="X194" i="2"/>
  <c r="X195" i="2"/>
  <c r="X196" i="2"/>
  <c r="X197" i="2"/>
  <c r="X198" i="2"/>
  <c r="X199" i="2"/>
  <c r="X200" i="2"/>
  <c r="X201" i="2"/>
  <c r="X202" i="2"/>
  <c r="X203" i="2"/>
  <c r="X204" i="2"/>
  <c r="X205" i="2"/>
  <c r="X206" i="2"/>
  <c r="X207" i="2"/>
  <c r="X208" i="2"/>
  <c r="X209" i="2"/>
  <c r="X210" i="2"/>
  <c r="X211" i="2"/>
  <c r="X212" i="2"/>
  <c r="X213" i="2"/>
  <c r="X214" i="2"/>
  <c r="X215" i="2"/>
  <c r="X216" i="2"/>
  <c r="X217" i="2"/>
  <c r="X218" i="2"/>
  <c r="X219" i="2"/>
  <c r="X220" i="2"/>
  <c r="X221" i="2"/>
  <c r="X222" i="2"/>
  <c r="X223" i="2"/>
  <c r="X224" i="2"/>
  <c r="X225" i="2"/>
  <c r="X226" i="2"/>
  <c r="X227" i="2"/>
  <c r="X228" i="2"/>
  <c r="X229" i="2"/>
  <c r="X230" i="2"/>
  <c r="X231" i="2"/>
  <c r="X232" i="2"/>
  <c r="X233" i="2"/>
  <c r="X234" i="2"/>
  <c r="X235" i="2"/>
  <c r="X236" i="2"/>
  <c r="X237" i="2"/>
  <c r="X238" i="2"/>
  <c r="X239" i="2"/>
  <c r="X240" i="2"/>
  <c r="X241" i="2"/>
  <c r="X242" i="2"/>
  <c r="X243" i="2"/>
  <c r="X244" i="2"/>
  <c r="X245" i="2"/>
  <c r="X246" i="2"/>
  <c r="X247" i="2"/>
  <c r="X248" i="2"/>
  <c r="X249" i="2"/>
  <c r="X250" i="2"/>
  <c r="X251" i="2"/>
  <c r="X252" i="2"/>
  <c r="X253" i="2"/>
  <c r="X254" i="2"/>
  <c r="X255" i="2"/>
  <c r="X256" i="2"/>
  <c r="X257" i="2"/>
  <c r="X258" i="2"/>
  <c r="X259" i="2"/>
  <c r="X260" i="2"/>
  <c r="X261" i="2"/>
  <c r="X262" i="2"/>
  <c r="X263" i="2"/>
  <c r="X264" i="2"/>
  <c r="X265" i="2"/>
  <c r="X266" i="2"/>
  <c r="X267" i="2"/>
  <c r="X268" i="2"/>
  <c r="X269" i="2"/>
  <c r="X270" i="2"/>
  <c r="X271" i="2"/>
  <c r="X272" i="2"/>
  <c r="X273" i="2"/>
  <c r="X274" i="2"/>
  <c r="X275" i="2"/>
  <c r="X276" i="2"/>
  <c r="X277" i="2"/>
  <c r="X278" i="2"/>
  <c r="X279" i="2"/>
  <c r="X280" i="2"/>
  <c r="X281" i="2"/>
  <c r="X282" i="2"/>
  <c r="X283" i="2"/>
  <c r="X284" i="2"/>
  <c r="X285" i="2"/>
  <c r="X286" i="2"/>
  <c r="X287" i="2"/>
  <c r="X288" i="2"/>
  <c r="X289" i="2"/>
  <c r="X290" i="2"/>
  <c r="X291" i="2"/>
  <c r="X292" i="2"/>
  <c r="X293" i="2"/>
  <c r="X294" i="2"/>
  <c r="X295" i="2"/>
  <c r="X296" i="2"/>
  <c r="X297" i="2"/>
  <c r="X298" i="2"/>
  <c r="X299" i="2"/>
  <c r="X300" i="2"/>
  <c r="X301" i="2"/>
  <c r="X302" i="2"/>
  <c r="X303" i="2"/>
  <c r="X304" i="2"/>
  <c r="X305" i="2"/>
  <c r="X306" i="2"/>
  <c r="X307" i="2"/>
  <c r="X308" i="2"/>
  <c r="X309" i="2"/>
  <c r="X310" i="2"/>
  <c r="X311" i="2"/>
  <c r="X312" i="2"/>
  <c r="X313" i="2"/>
  <c r="X314" i="2"/>
  <c r="X315" i="2"/>
  <c r="X316" i="2"/>
  <c r="X317" i="2"/>
  <c r="X318" i="2"/>
  <c r="X319" i="2"/>
  <c r="X320" i="2"/>
  <c r="X321" i="2"/>
  <c r="X322" i="2"/>
  <c r="X323" i="2"/>
  <c r="X324" i="2"/>
  <c r="X325" i="2"/>
  <c r="X326" i="2"/>
  <c r="X327" i="2"/>
  <c r="X328" i="2"/>
  <c r="X329" i="2"/>
  <c r="X330" i="2"/>
  <c r="X331" i="2"/>
  <c r="X332" i="2"/>
  <c r="X333" i="2"/>
  <c r="X334" i="2"/>
  <c r="X335" i="2"/>
  <c r="X336" i="2"/>
  <c r="X337" i="2"/>
  <c r="X338" i="2"/>
  <c r="X339" i="2"/>
  <c r="X340" i="2"/>
  <c r="X341" i="2"/>
  <c r="X342" i="2"/>
  <c r="X343" i="2"/>
  <c r="X344" i="2"/>
  <c r="X345" i="2"/>
  <c r="X346" i="2"/>
  <c r="X347" i="2"/>
  <c r="X348" i="2"/>
  <c r="X349" i="2"/>
  <c r="X350" i="2"/>
  <c r="X351" i="2"/>
  <c r="X352" i="2"/>
  <c r="X353" i="2"/>
  <c r="X354" i="2"/>
  <c r="X355" i="2"/>
  <c r="X356" i="2"/>
  <c r="X357" i="2"/>
  <c r="X358" i="2"/>
  <c r="X359" i="2"/>
  <c r="X360" i="2"/>
  <c r="X361" i="2"/>
  <c r="X362" i="2"/>
  <c r="X363" i="2"/>
  <c r="X364" i="2"/>
  <c r="X365" i="2"/>
  <c r="X366" i="2"/>
  <c r="X367" i="2"/>
  <c r="X368" i="2"/>
  <c r="X369" i="2"/>
  <c r="X370" i="2"/>
  <c r="X371" i="2"/>
  <c r="X372" i="2"/>
  <c r="X373" i="2"/>
  <c r="X374" i="2"/>
  <c r="X375" i="2"/>
  <c r="X376" i="2"/>
  <c r="X377" i="2"/>
  <c r="X378" i="2"/>
  <c r="X379" i="2"/>
  <c r="X380" i="2"/>
  <c r="X381" i="2"/>
  <c r="X382" i="2"/>
  <c r="X383" i="2"/>
  <c r="X384" i="2"/>
  <c r="X385" i="2"/>
  <c r="X386" i="2"/>
  <c r="X387" i="2"/>
  <c r="X388" i="2"/>
  <c r="X389" i="2"/>
  <c r="X390" i="2"/>
  <c r="X391" i="2"/>
  <c r="X392" i="2"/>
  <c r="X393" i="2"/>
  <c r="X394" i="2"/>
  <c r="X395" i="2"/>
  <c r="X396" i="2"/>
  <c r="X397" i="2"/>
  <c r="X398" i="2"/>
  <c r="X399" i="2"/>
  <c r="X400" i="2"/>
  <c r="X401" i="2"/>
  <c r="X402" i="2"/>
  <c r="X403" i="2"/>
  <c r="X404" i="2"/>
  <c r="X405" i="2"/>
  <c r="X406" i="2"/>
  <c r="X407" i="2"/>
  <c r="X408" i="2"/>
  <c r="X409" i="2"/>
  <c r="X410" i="2"/>
  <c r="X411" i="2"/>
  <c r="X412" i="2"/>
  <c r="X413" i="2"/>
  <c r="X414" i="2"/>
  <c r="X415" i="2"/>
  <c r="X416" i="2"/>
  <c r="X417" i="2"/>
  <c r="X418" i="2"/>
  <c r="X419" i="2"/>
  <c r="X420" i="2"/>
  <c r="X421" i="2"/>
  <c r="X422" i="2"/>
  <c r="X423" i="2"/>
  <c r="X424" i="2"/>
  <c r="X425" i="2"/>
  <c r="X426" i="2"/>
  <c r="X427" i="2"/>
  <c r="X428" i="2"/>
  <c r="X429" i="2"/>
  <c r="X430" i="2"/>
  <c r="X431" i="2"/>
  <c r="X432" i="2"/>
  <c r="X433" i="2"/>
  <c r="X434" i="2"/>
  <c r="X435" i="2"/>
  <c r="X436" i="2"/>
  <c r="X437" i="2"/>
  <c r="X438" i="2"/>
  <c r="X439" i="2"/>
  <c r="X440" i="2"/>
  <c r="X441" i="2"/>
  <c r="X442" i="2"/>
  <c r="X443" i="2"/>
  <c r="X444" i="2"/>
  <c r="X445" i="2"/>
  <c r="X446" i="2"/>
  <c r="X447" i="2"/>
  <c r="X448" i="2"/>
  <c r="X449" i="2"/>
  <c r="X450" i="2"/>
  <c r="X451" i="2"/>
  <c r="X452" i="2"/>
  <c r="X453" i="2"/>
  <c r="X454" i="2"/>
  <c r="X455" i="2"/>
  <c r="X456" i="2"/>
  <c r="X457" i="2"/>
  <c r="X458" i="2"/>
  <c r="X459" i="2"/>
  <c r="X460" i="2"/>
  <c r="X461" i="2"/>
  <c r="X462" i="2"/>
  <c r="X463" i="2"/>
  <c r="X464" i="2"/>
  <c r="X465" i="2"/>
  <c r="X466" i="2"/>
  <c r="X467" i="2"/>
  <c r="X468" i="2"/>
  <c r="X469" i="2"/>
  <c r="X470" i="2"/>
  <c r="X471" i="2"/>
  <c r="X472" i="2"/>
  <c r="X473" i="2"/>
  <c r="X474" i="2"/>
  <c r="X475" i="2"/>
  <c r="X476" i="2"/>
  <c r="X477" i="2"/>
  <c r="X478" i="2"/>
  <c r="X479" i="2"/>
  <c r="X480" i="2"/>
  <c r="X481" i="2"/>
  <c r="X482" i="2"/>
  <c r="X483" i="2"/>
  <c r="X484" i="2"/>
  <c r="X485" i="2"/>
  <c r="X486" i="2"/>
  <c r="X487" i="2"/>
  <c r="X488" i="2"/>
  <c r="X489" i="2"/>
  <c r="X490" i="2"/>
  <c r="X491" i="2"/>
  <c r="X492" i="2"/>
  <c r="X493" i="2"/>
  <c r="X494" i="2"/>
  <c r="X495" i="2"/>
  <c r="X496" i="2"/>
  <c r="X497" i="2"/>
  <c r="X498" i="2"/>
  <c r="X499" i="2"/>
  <c r="X500" i="2"/>
  <c r="X501" i="2"/>
  <c r="X502" i="2"/>
  <c r="X503" i="2"/>
  <c r="X504" i="2"/>
  <c r="X505" i="2"/>
  <c r="X506" i="2"/>
  <c r="X507" i="2"/>
  <c r="X508" i="2"/>
  <c r="X509" i="2"/>
  <c r="X510" i="2"/>
  <c r="X511" i="2"/>
  <c r="X512" i="2"/>
  <c r="X513" i="2"/>
  <c r="X514" i="2"/>
  <c r="X515" i="2"/>
  <c r="X516" i="2"/>
  <c r="X517" i="2"/>
  <c r="X518" i="2"/>
  <c r="X519" i="2"/>
  <c r="X520" i="2"/>
  <c r="X521" i="2"/>
  <c r="X522" i="2"/>
  <c r="X523" i="2"/>
  <c r="X524" i="2"/>
  <c r="X525" i="2"/>
  <c r="X526" i="2"/>
  <c r="X527" i="2"/>
  <c r="X528" i="2"/>
  <c r="X529" i="2"/>
  <c r="X530" i="2"/>
  <c r="X531" i="2"/>
  <c r="X532" i="2"/>
  <c r="X533" i="2"/>
  <c r="X534" i="2"/>
  <c r="X535" i="2"/>
  <c r="X536" i="2"/>
  <c r="X537" i="2"/>
  <c r="X538" i="2"/>
  <c r="X539" i="2"/>
  <c r="X540" i="2"/>
  <c r="X541" i="2"/>
  <c r="X542" i="2"/>
  <c r="X543" i="2"/>
  <c r="X544" i="2"/>
  <c r="X545" i="2"/>
  <c r="X546" i="2"/>
  <c r="X547" i="2"/>
  <c r="X548" i="2"/>
  <c r="X549" i="2"/>
  <c r="X550" i="2"/>
  <c r="X551" i="2"/>
  <c r="X552" i="2"/>
  <c r="X553" i="2"/>
  <c r="X554" i="2"/>
  <c r="X555" i="2"/>
  <c r="X556" i="2"/>
  <c r="X557" i="2"/>
  <c r="X558" i="2"/>
  <c r="X559" i="2"/>
  <c r="X560" i="2"/>
  <c r="X561" i="2"/>
  <c r="X562" i="2"/>
  <c r="X563" i="2"/>
  <c r="X564" i="2"/>
  <c r="X565" i="2"/>
  <c r="X566" i="2"/>
  <c r="X567" i="2"/>
  <c r="X568" i="2"/>
  <c r="X569" i="2"/>
  <c r="X570" i="2"/>
  <c r="X571" i="2"/>
  <c r="X572" i="2"/>
  <c r="X573" i="2"/>
  <c r="X574" i="2"/>
  <c r="X575" i="2"/>
  <c r="X576" i="2"/>
  <c r="X577" i="2"/>
  <c r="X578" i="2"/>
  <c r="X579" i="2"/>
  <c r="X580" i="2"/>
  <c r="X581" i="2"/>
  <c r="X582" i="2"/>
  <c r="X583" i="2"/>
  <c r="X584" i="2"/>
  <c r="X585" i="2"/>
  <c r="X586" i="2"/>
  <c r="X587" i="2"/>
  <c r="X588" i="2"/>
  <c r="X589" i="2"/>
  <c r="X590" i="2"/>
  <c r="X591" i="2"/>
  <c r="X592" i="2"/>
  <c r="X593" i="2"/>
  <c r="X594" i="2"/>
  <c r="X595" i="2"/>
  <c r="X596" i="2"/>
  <c r="X597" i="2"/>
  <c r="X598" i="2"/>
  <c r="X599" i="2"/>
  <c r="X600" i="2"/>
  <c r="X601" i="2"/>
  <c r="X602" i="2"/>
  <c r="X603" i="2"/>
  <c r="X604" i="2"/>
  <c r="X605" i="2"/>
  <c r="X606" i="2"/>
  <c r="X607" i="2"/>
  <c r="X608" i="2"/>
  <c r="X609" i="2"/>
  <c r="X610" i="2"/>
  <c r="X611" i="2"/>
  <c r="X612" i="2"/>
  <c r="X613" i="2"/>
  <c r="X614" i="2"/>
  <c r="X615" i="2"/>
  <c r="X616" i="2"/>
  <c r="X617" i="2"/>
  <c r="X618" i="2"/>
  <c r="X619" i="2"/>
  <c r="X620" i="2"/>
  <c r="X621" i="2"/>
  <c r="X622" i="2"/>
  <c r="X623" i="2"/>
  <c r="X624" i="2"/>
  <c r="X625" i="2"/>
  <c r="X626" i="2"/>
  <c r="X627" i="2"/>
  <c r="X628" i="2"/>
  <c r="X629" i="2"/>
  <c r="X630" i="2"/>
  <c r="X631" i="2"/>
  <c r="X632" i="2"/>
  <c r="X633" i="2"/>
  <c r="X634" i="2"/>
  <c r="X635" i="2"/>
  <c r="X636" i="2"/>
  <c r="X637" i="2"/>
  <c r="X638" i="2"/>
  <c r="X639" i="2"/>
  <c r="X640" i="2"/>
  <c r="X641" i="2"/>
  <c r="X642" i="2"/>
  <c r="X643" i="2"/>
  <c r="X644" i="2"/>
  <c r="X645" i="2"/>
  <c r="X646" i="2"/>
  <c r="X647" i="2"/>
  <c r="X648" i="2"/>
  <c r="X649" i="2"/>
  <c r="X650" i="2"/>
  <c r="X651" i="2"/>
  <c r="X652" i="2"/>
  <c r="X653" i="2"/>
  <c r="X654" i="2"/>
  <c r="X655" i="2"/>
  <c r="X656" i="2"/>
  <c r="X657" i="2"/>
  <c r="X658" i="2"/>
  <c r="X659" i="2"/>
  <c r="X660" i="2"/>
  <c r="X661" i="2"/>
  <c r="X662" i="2"/>
  <c r="X663" i="2"/>
  <c r="X664" i="2"/>
  <c r="X665" i="2"/>
  <c r="X666" i="2"/>
  <c r="X667" i="2"/>
  <c r="X668" i="2"/>
  <c r="X669" i="2"/>
  <c r="X670" i="2"/>
  <c r="X671" i="2"/>
  <c r="X672" i="2"/>
  <c r="X673" i="2"/>
  <c r="X674" i="2"/>
  <c r="X675" i="2"/>
  <c r="X676" i="2"/>
  <c r="X677" i="2"/>
  <c r="X678" i="2"/>
  <c r="X679" i="2"/>
  <c r="X680" i="2"/>
  <c r="X681" i="2"/>
  <c r="X682" i="2"/>
  <c r="X683" i="2"/>
  <c r="X684" i="2"/>
  <c r="X685" i="2"/>
  <c r="X686" i="2"/>
  <c r="X687" i="2"/>
  <c r="X688" i="2"/>
  <c r="X689" i="2"/>
  <c r="X690" i="2"/>
  <c r="X691" i="2"/>
  <c r="X692" i="2"/>
  <c r="X693" i="2"/>
  <c r="X694" i="2"/>
  <c r="X695" i="2"/>
  <c r="X696" i="2"/>
  <c r="X697" i="2"/>
  <c r="X698" i="2"/>
  <c r="X699" i="2"/>
  <c r="X700" i="2"/>
  <c r="X701" i="2"/>
  <c r="X702" i="2"/>
  <c r="X703" i="2"/>
  <c r="X704" i="2"/>
  <c r="X705" i="2"/>
  <c r="X706" i="2"/>
  <c r="X707" i="2"/>
  <c r="X708" i="2"/>
  <c r="X709" i="2"/>
  <c r="X710" i="2"/>
  <c r="X711" i="2"/>
  <c r="X712" i="2"/>
  <c r="X713" i="2"/>
  <c r="X714" i="2"/>
  <c r="X715" i="2"/>
  <c r="X716" i="2"/>
  <c r="X717" i="2"/>
  <c r="X718" i="2"/>
  <c r="X719" i="2"/>
  <c r="X720" i="2"/>
  <c r="X721" i="2"/>
  <c r="X722" i="2"/>
  <c r="X723" i="2"/>
  <c r="X724" i="2"/>
  <c r="X725" i="2"/>
  <c r="X726" i="2"/>
  <c r="X727" i="2"/>
  <c r="X728" i="2"/>
  <c r="X729" i="2"/>
  <c r="X730" i="2"/>
  <c r="X731" i="2"/>
  <c r="X732" i="2"/>
  <c r="X733" i="2"/>
  <c r="X734" i="2"/>
  <c r="X735" i="2"/>
  <c r="X736" i="2"/>
  <c r="X737" i="2"/>
  <c r="X738" i="2"/>
  <c r="X739" i="2"/>
  <c r="X740" i="2"/>
  <c r="X741" i="2"/>
  <c r="X742" i="2"/>
  <c r="X743" i="2"/>
  <c r="X744" i="2"/>
  <c r="X745" i="2"/>
  <c r="X746" i="2"/>
  <c r="X747" i="2"/>
  <c r="X748" i="2"/>
  <c r="X749" i="2"/>
  <c r="X750" i="2"/>
  <c r="X751" i="2"/>
  <c r="X752" i="2"/>
  <c r="X753" i="2"/>
  <c r="X754" i="2"/>
  <c r="X755" i="2"/>
  <c r="X756" i="2"/>
  <c r="X757" i="2"/>
  <c r="X758" i="2"/>
  <c r="X759" i="2"/>
  <c r="X760" i="2"/>
  <c r="X761" i="2"/>
  <c r="X762" i="2"/>
  <c r="X763" i="2"/>
  <c r="X764" i="2"/>
  <c r="X765" i="2"/>
  <c r="X766" i="2"/>
  <c r="X767" i="2"/>
  <c r="X768" i="2"/>
  <c r="X769" i="2"/>
  <c r="X770" i="2"/>
  <c r="X771" i="2"/>
  <c r="X772" i="2"/>
  <c r="X773" i="2"/>
  <c r="X774" i="2"/>
  <c r="X775" i="2"/>
  <c r="X776" i="2"/>
  <c r="X777" i="2"/>
  <c r="X778" i="2"/>
  <c r="X779" i="2"/>
  <c r="X780" i="2"/>
  <c r="X781" i="2"/>
  <c r="X782" i="2"/>
  <c r="X783" i="2"/>
  <c r="X784" i="2"/>
  <c r="X785" i="2"/>
  <c r="X786" i="2"/>
  <c r="X787" i="2"/>
  <c r="X788" i="2"/>
  <c r="X789" i="2"/>
  <c r="X790" i="2"/>
  <c r="X791" i="2"/>
  <c r="X792" i="2"/>
  <c r="X793" i="2"/>
  <c r="X794" i="2"/>
  <c r="X795" i="2"/>
  <c r="X796" i="2"/>
  <c r="X797" i="2"/>
  <c r="X798" i="2"/>
  <c r="X799" i="2"/>
  <c r="X800" i="2"/>
  <c r="X801" i="2"/>
  <c r="X802" i="2"/>
  <c r="X803" i="2"/>
  <c r="X804" i="2"/>
  <c r="X805" i="2"/>
  <c r="X806" i="2"/>
  <c r="X807" i="2"/>
  <c r="X808" i="2"/>
  <c r="X809" i="2"/>
  <c r="X810" i="2"/>
  <c r="X811" i="2"/>
  <c r="X812" i="2"/>
  <c r="X813" i="2"/>
  <c r="X814" i="2"/>
  <c r="X815" i="2"/>
  <c r="X816" i="2"/>
  <c r="X817" i="2"/>
  <c r="X818" i="2"/>
  <c r="X819" i="2"/>
  <c r="X820" i="2"/>
  <c r="X821" i="2"/>
  <c r="X822" i="2"/>
  <c r="X823" i="2"/>
  <c r="X824" i="2"/>
  <c r="X825" i="2"/>
  <c r="X826" i="2"/>
  <c r="X827" i="2"/>
  <c r="X828" i="2"/>
  <c r="X829" i="2"/>
  <c r="X830" i="2"/>
  <c r="X831" i="2"/>
  <c r="X832" i="2"/>
  <c r="X833" i="2"/>
  <c r="X834" i="2"/>
  <c r="X835" i="2"/>
  <c r="X836" i="2"/>
  <c r="X837" i="2"/>
  <c r="X838" i="2"/>
  <c r="X839" i="2"/>
  <c r="X840" i="2"/>
  <c r="X841" i="2"/>
  <c r="X842" i="2"/>
  <c r="X843" i="2"/>
  <c r="X844" i="2"/>
  <c r="X845" i="2"/>
  <c r="X846" i="2"/>
  <c r="X847" i="2"/>
  <c r="X848" i="2"/>
  <c r="X849" i="2"/>
  <c r="X850" i="2"/>
  <c r="X851" i="2"/>
  <c r="X852" i="2"/>
  <c r="X853" i="2"/>
  <c r="X854" i="2"/>
  <c r="X855" i="2"/>
  <c r="X856" i="2"/>
  <c r="X857" i="2"/>
  <c r="X858" i="2"/>
  <c r="X859" i="2"/>
  <c r="X860" i="2"/>
  <c r="X861" i="2"/>
  <c r="X862" i="2"/>
  <c r="X863" i="2"/>
  <c r="X864" i="2"/>
  <c r="X865" i="2"/>
  <c r="X866" i="2"/>
  <c r="X867" i="2"/>
  <c r="X868" i="2"/>
  <c r="X869" i="2"/>
  <c r="X870" i="2"/>
  <c r="X871" i="2"/>
  <c r="X872" i="2"/>
  <c r="X873" i="2"/>
  <c r="X874" i="2"/>
  <c r="X875" i="2"/>
  <c r="X876" i="2"/>
  <c r="X877" i="2"/>
  <c r="X878" i="2"/>
  <c r="X879" i="2"/>
  <c r="X880" i="2"/>
  <c r="X881" i="2"/>
  <c r="X882" i="2"/>
  <c r="X883" i="2"/>
  <c r="X884" i="2"/>
  <c r="X885" i="2"/>
  <c r="X886" i="2"/>
  <c r="X887" i="2"/>
  <c r="X888" i="2"/>
  <c r="X889" i="2"/>
  <c r="X890" i="2"/>
  <c r="X891" i="2"/>
  <c r="X892" i="2"/>
  <c r="X893" i="2"/>
  <c r="X894" i="2"/>
  <c r="X895" i="2"/>
  <c r="X896" i="2"/>
  <c r="X897" i="2"/>
  <c r="X898" i="2"/>
  <c r="X899" i="2"/>
  <c r="X900" i="2"/>
  <c r="X901" i="2"/>
  <c r="X902" i="2"/>
  <c r="X903" i="2"/>
  <c r="X904" i="2"/>
  <c r="X905" i="2"/>
  <c r="X906" i="2"/>
  <c r="X907" i="2"/>
  <c r="X908" i="2"/>
  <c r="X909" i="2"/>
  <c r="X910" i="2"/>
  <c r="X911" i="2"/>
  <c r="X912" i="2"/>
  <c r="X913" i="2"/>
  <c r="X914" i="2"/>
  <c r="X915" i="2"/>
  <c r="X916" i="2"/>
  <c r="X917" i="2"/>
  <c r="X918" i="2"/>
  <c r="X919" i="2"/>
  <c r="X920" i="2"/>
  <c r="X921" i="2"/>
  <c r="X922" i="2"/>
  <c r="X923" i="2"/>
  <c r="X924" i="2"/>
  <c r="X925" i="2"/>
  <c r="X926" i="2"/>
  <c r="X927" i="2"/>
  <c r="X928" i="2"/>
  <c r="X929" i="2"/>
  <c r="X930" i="2"/>
  <c r="X931" i="2"/>
  <c r="X932" i="2"/>
  <c r="X933" i="2"/>
  <c r="X934" i="2"/>
  <c r="X935" i="2"/>
  <c r="X936" i="2"/>
  <c r="X937" i="2"/>
  <c r="X938" i="2"/>
  <c r="X939" i="2"/>
  <c r="X940" i="2"/>
  <c r="X941" i="2"/>
  <c r="X942" i="2"/>
  <c r="X943" i="2"/>
  <c r="X944" i="2"/>
  <c r="X945" i="2"/>
  <c r="X946" i="2"/>
  <c r="X947" i="2"/>
  <c r="X948" i="2"/>
  <c r="X949" i="2"/>
  <c r="X950" i="2"/>
  <c r="X951" i="2"/>
  <c r="X952" i="2"/>
  <c r="X953" i="2"/>
  <c r="X954" i="2"/>
  <c r="X955" i="2"/>
  <c r="X956" i="2"/>
  <c r="X957" i="2"/>
  <c r="X958" i="2"/>
  <c r="X959" i="2"/>
  <c r="X960" i="2"/>
  <c r="X961" i="2"/>
  <c r="X962" i="2"/>
  <c r="X963" i="2"/>
  <c r="X964" i="2"/>
  <c r="X965" i="2"/>
  <c r="X966" i="2"/>
  <c r="X967" i="2"/>
  <c r="X968" i="2"/>
  <c r="X969" i="2"/>
  <c r="X970" i="2"/>
  <c r="X971" i="2"/>
  <c r="X972" i="2"/>
  <c r="X973" i="2"/>
  <c r="X974" i="2"/>
  <c r="X975" i="2"/>
  <c r="X976" i="2"/>
  <c r="X977" i="2"/>
  <c r="X978" i="2"/>
  <c r="X979" i="2"/>
  <c r="X980" i="2"/>
  <c r="X981" i="2"/>
  <c r="X982" i="2"/>
  <c r="X983" i="2"/>
  <c r="X984" i="2"/>
  <c r="X985" i="2"/>
  <c r="X986" i="2"/>
  <c r="X987" i="2"/>
  <c r="X988" i="2"/>
  <c r="X989" i="2"/>
  <c r="X990" i="2"/>
  <c r="X991" i="2"/>
  <c r="X992" i="2"/>
  <c r="X993" i="2"/>
  <c r="X994" i="2"/>
  <c r="X995" i="2"/>
  <c r="X996" i="2"/>
  <c r="X997" i="2"/>
  <c r="X998" i="2"/>
  <c r="X999" i="2"/>
  <c r="X1000" i="2"/>
  <c r="X1001" i="2"/>
  <c r="X2" i="2"/>
  <c r="A1001" i="1"/>
  <c r="A1000" i="1"/>
  <c r="A999" i="1"/>
  <c r="A998" i="1"/>
  <c r="A997" i="1"/>
  <c r="A996" i="1"/>
  <c r="A995" i="1"/>
  <c r="A994" i="1"/>
  <c r="A993" i="1"/>
  <c r="A992" i="1"/>
  <c r="A991" i="1"/>
  <c r="A990" i="1"/>
  <c r="A989" i="1"/>
  <c r="A988" i="1"/>
  <c r="A987" i="1"/>
  <c r="A986" i="1"/>
  <c r="A985" i="1"/>
  <c r="A984" i="1"/>
  <c r="A983" i="1"/>
  <c r="A982" i="1"/>
  <c r="A981" i="1"/>
  <c r="A980" i="1"/>
  <c r="A979" i="1"/>
  <c r="A978" i="1"/>
  <c r="A977" i="1"/>
  <c r="A976" i="1"/>
  <c r="A975" i="1"/>
  <c r="A974" i="1"/>
  <c r="A973" i="1"/>
  <c r="A972" i="1"/>
  <c r="A971" i="1"/>
  <c r="A970" i="1"/>
  <c r="A969" i="1"/>
  <c r="A968" i="1"/>
  <c r="A967" i="1"/>
  <c r="A966" i="1"/>
  <c r="A965" i="1"/>
  <c r="A964" i="1"/>
  <c r="A963" i="1"/>
  <c r="A962" i="1"/>
  <c r="A961" i="1"/>
  <c r="A960" i="1"/>
  <c r="A959" i="1"/>
  <c r="A958" i="1"/>
  <c r="A957" i="1"/>
  <c r="A956" i="1"/>
  <c r="A955" i="1"/>
  <c r="A954" i="1"/>
  <c r="A953" i="1"/>
  <c r="A952" i="1"/>
  <c r="A951" i="1"/>
  <c r="A950" i="1"/>
  <c r="A949" i="1"/>
  <c r="A948" i="1"/>
  <c r="A947" i="1"/>
  <c r="A946" i="1"/>
  <c r="A945" i="1"/>
  <c r="A944" i="1"/>
  <c r="A943" i="1"/>
  <c r="A942" i="1"/>
  <c r="A941" i="1"/>
  <c r="A940" i="1"/>
  <c r="A939" i="1"/>
  <c r="A938" i="1"/>
  <c r="A937" i="1"/>
  <c r="A936" i="1"/>
  <c r="A935" i="1"/>
  <c r="A934" i="1"/>
  <c r="A933" i="1"/>
  <c r="A932" i="1"/>
  <c r="A931" i="1"/>
  <c r="A930" i="1"/>
  <c r="A929" i="1"/>
  <c r="A928" i="1"/>
  <c r="A927" i="1"/>
  <c r="A926" i="1"/>
  <c r="A925" i="1"/>
  <c r="A924" i="1"/>
  <c r="A923" i="1"/>
  <c r="A922" i="1"/>
  <c r="A921" i="1"/>
  <c r="A920" i="1"/>
  <c r="A919" i="1"/>
  <c r="A918" i="1"/>
  <c r="A917" i="1"/>
  <c r="A916" i="1"/>
  <c r="A915" i="1"/>
  <c r="A914" i="1"/>
  <c r="A913" i="1"/>
  <c r="A912" i="1"/>
  <c r="A911" i="1"/>
  <c r="A910" i="1"/>
  <c r="A909" i="1"/>
  <c r="A908" i="1"/>
  <c r="A907" i="1"/>
  <c r="A906" i="1"/>
  <c r="A905" i="1"/>
  <c r="A904" i="1"/>
  <c r="A903" i="1"/>
  <c r="A902" i="1"/>
  <c r="A901" i="1"/>
  <c r="A900" i="1"/>
  <c r="A899" i="1"/>
  <c r="A898" i="1"/>
  <c r="A897" i="1"/>
  <c r="A896" i="1"/>
  <c r="A895" i="1"/>
  <c r="A894" i="1"/>
  <c r="A893" i="1"/>
  <c r="A892" i="1"/>
  <c r="A891" i="1"/>
  <c r="A890" i="1"/>
  <c r="A889" i="1"/>
  <c r="A888" i="1"/>
  <c r="A887" i="1"/>
  <c r="A886" i="1"/>
  <c r="A885" i="1"/>
  <c r="A884" i="1"/>
  <c r="A883" i="1"/>
  <c r="A882" i="1"/>
  <c r="A881" i="1"/>
  <c r="A880" i="1"/>
  <c r="A879" i="1"/>
  <c r="A878" i="1"/>
  <c r="A877" i="1"/>
  <c r="A876" i="1"/>
  <c r="A875" i="1"/>
  <c r="A874" i="1"/>
  <c r="A873" i="1"/>
  <c r="A872" i="1"/>
  <c r="A871" i="1"/>
  <c r="A870" i="1"/>
  <c r="A869" i="1"/>
  <c r="A868" i="1"/>
  <c r="A867" i="1"/>
  <c r="A866" i="1"/>
  <c r="A865" i="1"/>
  <c r="A864" i="1"/>
  <c r="A863" i="1"/>
  <c r="A862" i="1"/>
  <c r="A861" i="1"/>
  <c r="A860" i="1"/>
  <c r="A859" i="1"/>
  <c r="A858" i="1"/>
  <c r="A857" i="1"/>
  <c r="A856" i="1"/>
  <c r="A855" i="1"/>
  <c r="A854" i="1"/>
  <c r="A853" i="1"/>
  <c r="A852" i="1"/>
  <c r="A851" i="1"/>
  <c r="A850" i="1"/>
  <c r="A849" i="1"/>
  <c r="A848" i="1"/>
  <c r="A847" i="1"/>
  <c r="A846" i="1"/>
  <c r="A845" i="1"/>
  <c r="A844" i="1"/>
  <c r="A843" i="1"/>
  <c r="A842" i="1"/>
  <c r="A841" i="1"/>
  <c r="A840" i="1"/>
  <c r="A839" i="1"/>
  <c r="A838" i="1"/>
  <c r="A837" i="1"/>
  <c r="A836" i="1"/>
  <c r="A835" i="1"/>
  <c r="A834" i="1"/>
  <c r="A833" i="1"/>
  <c r="A832" i="1"/>
  <c r="A831" i="1"/>
  <c r="A830" i="1"/>
  <c r="A829" i="1"/>
  <c r="A828" i="1"/>
  <c r="A827" i="1"/>
  <c r="A826" i="1"/>
  <c r="A825" i="1"/>
  <c r="A824" i="1"/>
  <c r="A823" i="1"/>
  <c r="A822" i="1"/>
  <c r="A821" i="1"/>
  <c r="A820" i="1"/>
  <c r="A819" i="1"/>
  <c r="A818" i="1"/>
  <c r="A817" i="1"/>
  <c r="A816" i="1"/>
  <c r="A815" i="1"/>
  <c r="A814" i="1"/>
  <c r="A813" i="1"/>
  <c r="A812" i="1"/>
  <c r="A811" i="1"/>
  <c r="A810" i="1"/>
  <c r="A809" i="1"/>
  <c r="A808" i="1"/>
  <c r="A807" i="1"/>
  <c r="A806" i="1"/>
  <c r="A805" i="1"/>
  <c r="A804" i="1"/>
  <c r="A803" i="1"/>
  <c r="A802" i="1"/>
  <c r="A801" i="1"/>
  <c r="A800" i="1"/>
  <c r="A799" i="1"/>
  <c r="A798" i="1"/>
  <c r="A797" i="1"/>
  <c r="A796" i="1"/>
  <c r="A795" i="1"/>
  <c r="A794" i="1"/>
  <c r="A793" i="1"/>
  <c r="A792" i="1"/>
  <c r="A791" i="1"/>
  <c r="A790" i="1"/>
  <c r="A789" i="1"/>
  <c r="A788" i="1"/>
  <c r="A787" i="1"/>
  <c r="A786" i="1"/>
  <c r="A785" i="1"/>
  <c r="A784" i="1"/>
  <c r="A783" i="1"/>
  <c r="A782" i="1"/>
  <c r="A781" i="1"/>
  <c r="A780" i="1"/>
  <c r="A779" i="1"/>
  <c r="A778" i="1"/>
  <c r="A777" i="1"/>
  <c r="A776" i="1"/>
  <c r="A775" i="1"/>
  <c r="A774" i="1"/>
  <c r="A773" i="1"/>
  <c r="A772" i="1"/>
  <c r="A771" i="1"/>
  <c r="A770" i="1"/>
  <c r="A769" i="1"/>
  <c r="A768" i="1"/>
  <c r="A767" i="1"/>
  <c r="A766" i="1"/>
  <c r="A765" i="1"/>
  <c r="A764" i="1"/>
  <c r="A763" i="1"/>
  <c r="A762" i="1"/>
  <c r="A761" i="1"/>
  <c r="A760" i="1"/>
  <c r="A759" i="1"/>
  <c r="A758" i="1"/>
  <c r="A757" i="1"/>
  <c r="A756" i="1"/>
  <c r="A755" i="1"/>
  <c r="A754" i="1"/>
  <c r="A753" i="1"/>
  <c r="A752" i="1"/>
  <c r="A751" i="1"/>
  <c r="A750" i="1"/>
  <c r="A749" i="1"/>
  <c r="A748" i="1"/>
  <c r="A747" i="1"/>
  <c r="A746" i="1"/>
  <c r="A745" i="1"/>
  <c r="A744" i="1"/>
  <c r="A743" i="1"/>
  <c r="A742" i="1"/>
  <c r="A741" i="1"/>
  <c r="A740" i="1"/>
  <c r="A739" i="1"/>
  <c r="A738" i="1"/>
  <c r="A737" i="1"/>
  <c r="A736" i="1"/>
  <c r="A735" i="1"/>
  <c r="A734" i="1"/>
  <c r="A733" i="1"/>
  <c r="A732" i="1"/>
  <c r="A731" i="1"/>
  <c r="A730" i="1"/>
  <c r="A729" i="1"/>
  <c r="A728" i="1"/>
  <c r="A727" i="1"/>
  <c r="A726" i="1"/>
  <c r="A725" i="1"/>
  <c r="A724" i="1"/>
  <c r="A723" i="1"/>
  <c r="A722" i="1"/>
  <c r="A721" i="1"/>
  <c r="A720" i="1"/>
  <c r="A719" i="1"/>
  <c r="A718" i="1"/>
  <c r="A717" i="1"/>
  <c r="A716" i="1"/>
  <c r="A715" i="1"/>
  <c r="A714" i="1"/>
  <c r="A713" i="1"/>
  <c r="A712" i="1"/>
  <c r="A711" i="1"/>
  <c r="A710" i="1"/>
  <c r="A709" i="1"/>
  <c r="A708" i="1"/>
  <c r="A707" i="1"/>
  <c r="A706" i="1"/>
  <c r="A705" i="1"/>
  <c r="A704" i="1"/>
  <c r="A703" i="1"/>
  <c r="A702" i="1"/>
  <c r="A701" i="1"/>
  <c r="A700" i="1"/>
  <c r="A699" i="1"/>
  <c r="A698" i="1"/>
  <c r="A697" i="1"/>
  <c r="A696" i="1"/>
  <c r="A695" i="1"/>
  <c r="A694" i="1"/>
  <c r="A693" i="1"/>
  <c r="A692" i="1"/>
  <c r="A691" i="1"/>
  <c r="A690" i="1"/>
  <c r="A689" i="1"/>
  <c r="A688" i="1"/>
  <c r="A687" i="1"/>
  <c r="A686" i="1"/>
  <c r="A685" i="1"/>
  <c r="A684" i="1"/>
  <c r="A683" i="1"/>
  <c r="A682" i="1"/>
  <c r="A681" i="1"/>
  <c r="A680" i="1"/>
  <c r="A679" i="1"/>
  <c r="A678" i="1"/>
  <c r="A677" i="1"/>
  <c r="A676" i="1"/>
  <c r="A675" i="1"/>
  <c r="A674" i="1"/>
  <c r="A673" i="1"/>
  <c r="A672" i="1"/>
  <c r="A671" i="1"/>
  <c r="A670" i="1"/>
  <c r="A669" i="1"/>
  <c r="A668" i="1"/>
  <c r="A667" i="1"/>
  <c r="A666" i="1"/>
  <c r="A665" i="1"/>
  <c r="A664" i="1"/>
  <c r="A663" i="1"/>
  <c r="A662" i="1"/>
  <c r="A661" i="1"/>
  <c r="A660" i="1"/>
  <c r="A659" i="1"/>
  <c r="A658" i="1"/>
  <c r="A657" i="1"/>
  <c r="A656" i="1"/>
  <c r="A655" i="1"/>
  <c r="A654" i="1"/>
  <c r="A653" i="1"/>
  <c r="A652" i="1"/>
  <c r="A651" i="1"/>
  <c r="A650" i="1"/>
  <c r="A649" i="1"/>
  <c r="A648" i="1"/>
  <c r="A647" i="1"/>
  <c r="A646" i="1"/>
  <c r="A645" i="1"/>
  <c r="A644" i="1"/>
  <c r="A643" i="1"/>
  <c r="A642" i="1"/>
  <c r="A641" i="1"/>
  <c r="A640" i="1"/>
  <c r="A639" i="1"/>
  <c r="A638" i="1"/>
  <c r="A637" i="1"/>
  <c r="A636" i="1"/>
  <c r="A635" i="1"/>
  <c r="A634" i="1"/>
  <c r="A633" i="1"/>
  <c r="A632" i="1"/>
  <c r="A631" i="1"/>
  <c r="A630" i="1"/>
  <c r="A629" i="1"/>
  <c r="A628" i="1"/>
  <c r="A627" i="1"/>
  <c r="A626" i="1"/>
  <c r="A625" i="1"/>
  <c r="A624" i="1"/>
  <c r="A623" i="1"/>
  <c r="A622" i="1"/>
  <c r="A621" i="1"/>
  <c r="A620" i="1"/>
  <c r="A619" i="1"/>
  <c r="A618" i="1"/>
  <c r="A617" i="1"/>
  <c r="A616" i="1"/>
  <c r="A615" i="1"/>
  <c r="A614" i="1"/>
  <c r="A613" i="1"/>
  <c r="A612" i="1"/>
  <c r="A611" i="1"/>
  <c r="A610" i="1"/>
  <c r="A609" i="1"/>
  <c r="A608" i="1"/>
  <c r="A607" i="1"/>
  <c r="A606" i="1"/>
  <c r="A605" i="1"/>
  <c r="A604" i="1"/>
  <c r="A603" i="1"/>
  <c r="A602" i="1"/>
  <c r="A601" i="1"/>
  <c r="A600" i="1"/>
  <c r="A599" i="1"/>
  <c r="A598" i="1"/>
  <c r="A597" i="1"/>
  <c r="A596" i="1"/>
  <c r="A595" i="1"/>
  <c r="A594" i="1"/>
  <c r="A593" i="1"/>
  <c r="A592" i="1"/>
  <c r="A591" i="1"/>
  <c r="A590" i="1"/>
  <c r="A589" i="1"/>
  <c r="A588" i="1"/>
  <c r="A587" i="1"/>
  <c r="A586" i="1"/>
  <c r="A585" i="1"/>
  <c r="A584" i="1"/>
  <c r="A583" i="1"/>
  <c r="A582" i="1"/>
  <c r="A581" i="1"/>
  <c r="A580" i="1"/>
  <c r="A579" i="1"/>
  <c r="A578" i="1"/>
  <c r="A577" i="1"/>
  <c r="A576" i="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 r="W2" i="2" a="1"/>
  <c r="W2" i="2"/>
  <c r="W3" i="2"/>
  <c r="W4" i="2"/>
  <c r="W5" i="2"/>
  <c r="W6" i="2"/>
  <c r="W7" i="2"/>
  <c r="W8" i="2"/>
  <c r="W9" i="2"/>
  <c r="W10" i="2"/>
  <c r="W11" i="2"/>
  <c r="W12" i="2"/>
  <c r="W13" i="2"/>
  <c r="W14" i="2"/>
  <c r="W15" i="2"/>
  <c r="W16" i="2"/>
  <c r="W17" i="2"/>
  <c r="W18" i="2"/>
  <c r="W19" i="2"/>
  <c r="W20" i="2"/>
  <c r="W21" i="2"/>
  <c r="W22" i="2"/>
  <c r="W23" i="2"/>
  <c r="W24" i="2"/>
  <c r="W25" i="2"/>
  <c r="W26" i="2"/>
  <c r="W27" i="2"/>
  <c r="W28" i="2"/>
  <c r="W29" i="2"/>
  <c r="W30" i="2"/>
  <c r="W31" i="2"/>
  <c r="W32" i="2"/>
  <c r="W33" i="2"/>
  <c r="W34" i="2"/>
  <c r="W35" i="2"/>
  <c r="W36" i="2"/>
  <c r="W37" i="2"/>
  <c r="W38" i="2"/>
  <c r="W39" i="2"/>
  <c r="W40" i="2"/>
  <c r="W41" i="2"/>
  <c r="W42" i="2"/>
  <c r="W43" i="2"/>
  <c r="W44" i="2"/>
  <c r="W45" i="2"/>
  <c r="W46" i="2"/>
  <c r="W47" i="2"/>
  <c r="W48" i="2"/>
  <c r="W49" i="2"/>
  <c r="W50" i="2"/>
  <c r="W51" i="2"/>
  <c r="W52" i="2"/>
  <c r="W53" i="2"/>
  <c r="W54" i="2"/>
  <c r="W55" i="2"/>
  <c r="W56" i="2"/>
  <c r="W57" i="2"/>
  <c r="W58" i="2"/>
  <c r="W59" i="2"/>
  <c r="W60" i="2"/>
  <c r="W61" i="2"/>
  <c r="W62" i="2"/>
  <c r="W63" i="2"/>
  <c r="W64" i="2"/>
  <c r="W65" i="2"/>
  <c r="W66" i="2"/>
  <c r="W67" i="2"/>
  <c r="W68" i="2"/>
  <c r="W69" i="2"/>
  <c r="W70" i="2"/>
  <c r="W71" i="2"/>
  <c r="W72" i="2"/>
  <c r="W73" i="2"/>
  <c r="W74" i="2"/>
  <c r="W75" i="2"/>
  <c r="W76" i="2"/>
  <c r="W77" i="2"/>
  <c r="W78" i="2"/>
  <c r="W79" i="2"/>
  <c r="W80" i="2"/>
  <c r="W81" i="2"/>
  <c r="W82" i="2"/>
  <c r="W83" i="2"/>
  <c r="W84" i="2"/>
  <c r="W85" i="2"/>
  <c r="W86" i="2"/>
  <c r="W87" i="2"/>
  <c r="W88" i="2"/>
  <c r="W89" i="2"/>
  <c r="W90" i="2"/>
  <c r="W91" i="2"/>
  <c r="W92" i="2"/>
  <c r="W93" i="2"/>
  <c r="W94" i="2"/>
  <c r="W95" i="2"/>
  <c r="W96" i="2"/>
  <c r="W97" i="2"/>
  <c r="W98" i="2"/>
  <c r="W99" i="2"/>
  <c r="W100" i="2"/>
  <c r="W101" i="2"/>
  <c r="W102" i="2"/>
  <c r="W103" i="2"/>
  <c r="W104" i="2"/>
  <c r="W105" i="2"/>
  <c r="W106" i="2"/>
  <c r="W107" i="2"/>
  <c r="W108" i="2"/>
  <c r="W109" i="2"/>
  <c r="W110" i="2"/>
  <c r="W111" i="2"/>
  <c r="W112" i="2"/>
  <c r="W113" i="2"/>
  <c r="W114" i="2"/>
  <c r="W115" i="2"/>
  <c r="W116" i="2"/>
  <c r="W117" i="2"/>
  <c r="W118" i="2"/>
  <c r="W119" i="2"/>
  <c r="W120" i="2"/>
  <c r="W121" i="2"/>
  <c r="W122" i="2"/>
  <c r="W123" i="2"/>
  <c r="W124" i="2"/>
  <c r="W125" i="2"/>
  <c r="W126" i="2"/>
  <c r="W127" i="2"/>
  <c r="W128" i="2"/>
  <c r="W129" i="2"/>
  <c r="W130" i="2"/>
  <c r="W131" i="2"/>
  <c r="W132" i="2"/>
  <c r="W133" i="2"/>
  <c r="W134" i="2"/>
  <c r="W135" i="2"/>
  <c r="W136" i="2"/>
  <c r="W137" i="2"/>
  <c r="W138" i="2"/>
  <c r="W139" i="2"/>
  <c r="W140" i="2"/>
  <c r="W141" i="2"/>
  <c r="W142" i="2"/>
  <c r="W143" i="2"/>
  <c r="W144" i="2"/>
  <c r="W145" i="2"/>
  <c r="W146" i="2"/>
  <c r="W147" i="2"/>
  <c r="W148" i="2"/>
  <c r="W149" i="2"/>
  <c r="W150" i="2"/>
  <c r="W151" i="2"/>
  <c r="W152" i="2"/>
  <c r="W153" i="2"/>
  <c r="W154" i="2"/>
  <c r="W155" i="2"/>
  <c r="W156" i="2"/>
  <c r="W157" i="2"/>
  <c r="W158" i="2"/>
  <c r="W159" i="2"/>
  <c r="W160" i="2"/>
  <c r="W161" i="2"/>
  <c r="W162" i="2"/>
  <c r="W163" i="2"/>
  <c r="W164" i="2"/>
  <c r="W165" i="2"/>
  <c r="W166" i="2"/>
  <c r="W167" i="2"/>
  <c r="W168" i="2"/>
  <c r="W169" i="2"/>
  <c r="W170" i="2"/>
  <c r="W171" i="2"/>
  <c r="W172" i="2"/>
  <c r="W173" i="2"/>
  <c r="W174" i="2"/>
  <c r="W175" i="2"/>
  <c r="W176" i="2"/>
  <c r="W177" i="2"/>
  <c r="W178" i="2"/>
  <c r="W179" i="2"/>
  <c r="W180" i="2"/>
  <c r="W181" i="2"/>
  <c r="W182" i="2"/>
  <c r="W183" i="2"/>
  <c r="W184" i="2"/>
  <c r="W185" i="2"/>
  <c r="W186" i="2"/>
  <c r="W187" i="2"/>
  <c r="W188" i="2"/>
  <c r="W189" i="2"/>
  <c r="W190" i="2"/>
  <c r="W191" i="2"/>
  <c r="W192" i="2"/>
  <c r="W193" i="2"/>
  <c r="W194" i="2"/>
  <c r="W195" i="2"/>
  <c r="W196" i="2"/>
  <c r="W197" i="2"/>
  <c r="W198" i="2"/>
  <c r="W199" i="2"/>
  <c r="W200" i="2"/>
  <c r="W201" i="2"/>
  <c r="W202" i="2"/>
  <c r="W203" i="2"/>
  <c r="W204" i="2"/>
  <c r="W205" i="2"/>
  <c r="W206" i="2"/>
  <c r="W207" i="2"/>
  <c r="W208" i="2"/>
  <c r="W209" i="2"/>
  <c r="W210" i="2"/>
  <c r="W211" i="2"/>
  <c r="W212" i="2"/>
  <c r="W213" i="2"/>
  <c r="W214" i="2"/>
  <c r="W215" i="2"/>
  <c r="W216" i="2"/>
  <c r="W217" i="2"/>
  <c r="W218" i="2"/>
  <c r="W219" i="2"/>
  <c r="W220" i="2"/>
  <c r="W221" i="2"/>
  <c r="W222" i="2"/>
  <c r="W223" i="2"/>
  <c r="W224" i="2"/>
  <c r="W225" i="2"/>
  <c r="W226" i="2"/>
  <c r="W227" i="2"/>
  <c r="W228" i="2"/>
  <c r="W229" i="2"/>
  <c r="W230" i="2"/>
  <c r="W231" i="2"/>
  <c r="W232" i="2"/>
  <c r="W233" i="2"/>
  <c r="W234" i="2"/>
  <c r="W235" i="2"/>
  <c r="W236" i="2"/>
  <c r="W237" i="2"/>
  <c r="W238" i="2"/>
  <c r="W239" i="2"/>
  <c r="W240" i="2"/>
  <c r="W241" i="2"/>
  <c r="W242" i="2"/>
  <c r="W243" i="2"/>
  <c r="W244" i="2"/>
  <c r="W245" i="2"/>
  <c r="W246" i="2"/>
  <c r="W247" i="2"/>
  <c r="W248" i="2"/>
  <c r="W249" i="2"/>
  <c r="W250" i="2"/>
  <c r="W251" i="2"/>
  <c r="W252" i="2"/>
  <c r="W253" i="2"/>
  <c r="W254" i="2"/>
  <c r="W255" i="2"/>
  <c r="W256" i="2"/>
  <c r="W257" i="2"/>
  <c r="W258" i="2"/>
  <c r="W259" i="2"/>
  <c r="W260" i="2"/>
  <c r="W261" i="2"/>
  <c r="W262" i="2"/>
  <c r="W263" i="2"/>
  <c r="W264" i="2"/>
  <c r="W265" i="2"/>
  <c r="W266" i="2"/>
  <c r="W267" i="2"/>
  <c r="W268" i="2"/>
  <c r="W269" i="2"/>
  <c r="W270" i="2"/>
  <c r="W271" i="2"/>
  <c r="W272" i="2"/>
  <c r="W273" i="2"/>
  <c r="W274" i="2"/>
  <c r="W275" i="2"/>
  <c r="W276" i="2"/>
  <c r="W277" i="2"/>
  <c r="W278" i="2"/>
  <c r="W279" i="2"/>
  <c r="W280" i="2"/>
  <c r="W281" i="2"/>
  <c r="W282" i="2"/>
  <c r="W283" i="2"/>
  <c r="W284" i="2"/>
  <c r="W285" i="2"/>
  <c r="W286" i="2"/>
  <c r="W287" i="2"/>
  <c r="W288" i="2"/>
  <c r="W289" i="2"/>
  <c r="W290" i="2"/>
  <c r="W291" i="2"/>
  <c r="W292" i="2"/>
  <c r="W293" i="2"/>
  <c r="W294" i="2"/>
  <c r="W295" i="2"/>
  <c r="W296" i="2"/>
  <c r="W297" i="2"/>
  <c r="W298" i="2"/>
  <c r="W299" i="2"/>
  <c r="W300" i="2"/>
  <c r="W301" i="2"/>
  <c r="W302" i="2"/>
  <c r="W303" i="2"/>
  <c r="W304" i="2"/>
  <c r="W305" i="2"/>
  <c r="W306" i="2"/>
  <c r="W307" i="2"/>
  <c r="W308" i="2"/>
  <c r="W309" i="2"/>
  <c r="W310" i="2"/>
  <c r="W311" i="2"/>
  <c r="W312" i="2"/>
  <c r="W313" i="2"/>
  <c r="W314" i="2"/>
  <c r="W315" i="2"/>
  <c r="W316" i="2"/>
  <c r="W317" i="2"/>
  <c r="W318" i="2"/>
  <c r="W319" i="2"/>
  <c r="W320" i="2"/>
  <c r="W321" i="2"/>
  <c r="W322" i="2"/>
  <c r="W323" i="2"/>
  <c r="W324" i="2"/>
  <c r="W325" i="2"/>
  <c r="W326" i="2"/>
  <c r="W327" i="2"/>
  <c r="W328" i="2"/>
  <c r="W329" i="2"/>
  <c r="W330" i="2"/>
  <c r="W331" i="2"/>
  <c r="W332" i="2"/>
  <c r="W333" i="2"/>
  <c r="W334" i="2"/>
  <c r="W335" i="2"/>
  <c r="W336" i="2"/>
  <c r="W337" i="2"/>
  <c r="W338" i="2"/>
  <c r="W339" i="2"/>
  <c r="W340" i="2"/>
  <c r="W341" i="2"/>
  <c r="W342" i="2"/>
  <c r="W343" i="2"/>
  <c r="W344" i="2"/>
  <c r="W345" i="2"/>
  <c r="W346" i="2"/>
  <c r="W347" i="2"/>
  <c r="W348" i="2"/>
  <c r="W349" i="2"/>
  <c r="W350" i="2"/>
  <c r="W351" i="2"/>
  <c r="W352" i="2"/>
  <c r="W353" i="2"/>
  <c r="W354" i="2"/>
  <c r="W355" i="2"/>
  <c r="W356" i="2"/>
  <c r="W357" i="2"/>
  <c r="W358" i="2"/>
  <c r="W359" i="2"/>
  <c r="W360" i="2"/>
  <c r="W361" i="2"/>
  <c r="W362" i="2"/>
  <c r="W363" i="2"/>
  <c r="W364" i="2"/>
  <c r="W365" i="2"/>
  <c r="W366" i="2"/>
  <c r="W367" i="2"/>
  <c r="W368" i="2"/>
  <c r="W369" i="2"/>
  <c r="W370" i="2"/>
  <c r="W371" i="2"/>
  <c r="W372" i="2"/>
  <c r="W373" i="2"/>
  <c r="W374" i="2"/>
  <c r="W375" i="2"/>
  <c r="W376" i="2"/>
  <c r="W377" i="2"/>
  <c r="W378" i="2"/>
  <c r="W379" i="2"/>
  <c r="W380" i="2"/>
  <c r="W381" i="2"/>
  <c r="W382" i="2"/>
  <c r="W383" i="2"/>
  <c r="W384" i="2"/>
  <c r="W385" i="2"/>
  <c r="W386" i="2"/>
  <c r="W387" i="2"/>
  <c r="W388" i="2"/>
  <c r="W389" i="2"/>
  <c r="W390" i="2"/>
  <c r="W391" i="2"/>
  <c r="W392" i="2"/>
  <c r="W393" i="2"/>
  <c r="W394" i="2"/>
  <c r="W395" i="2"/>
  <c r="W396" i="2"/>
  <c r="W397" i="2"/>
  <c r="W398" i="2"/>
  <c r="W399" i="2"/>
  <c r="W400" i="2"/>
  <c r="W401" i="2"/>
  <c r="W402" i="2"/>
  <c r="W403" i="2"/>
  <c r="W404" i="2"/>
  <c r="W405" i="2"/>
  <c r="W406" i="2"/>
  <c r="W407" i="2"/>
  <c r="W408" i="2"/>
  <c r="W409" i="2"/>
  <c r="W410" i="2"/>
  <c r="W411" i="2"/>
  <c r="W412" i="2"/>
  <c r="W413" i="2"/>
  <c r="W414" i="2"/>
  <c r="W415" i="2"/>
  <c r="W416" i="2"/>
  <c r="W417" i="2"/>
  <c r="W418" i="2"/>
  <c r="W419" i="2"/>
  <c r="W420" i="2"/>
  <c r="W421" i="2"/>
  <c r="W422" i="2"/>
  <c r="W423" i="2"/>
  <c r="W424" i="2"/>
  <c r="W425" i="2"/>
  <c r="W426" i="2"/>
  <c r="W427" i="2"/>
  <c r="W428" i="2"/>
  <c r="W429" i="2"/>
  <c r="W430" i="2"/>
  <c r="W431" i="2"/>
  <c r="W432" i="2"/>
  <c r="W433" i="2"/>
  <c r="W434" i="2"/>
  <c r="W435" i="2"/>
  <c r="W436" i="2"/>
  <c r="W437" i="2"/>
  <c r="W438" i="2"/>
  <c r="W439" i="2"/>
  <c r="W440" i="2"/>
  <c r="W441" i="2"/>
  <c r="W442" i="2"/>
  <c r="W443" i="2"/>
  <c r="W444" i="2"/>
  <c r="W445" i="2"/>
  <c r="W446" i="2"/>
  <c r="W447" i="2"/>
  <c r="W448" i="2"/>
  <c r="W449" i="2"/>
  <c r="W450" i="2"/>
  <c r="W451" i="2"/>
  <c r="W452" i="2"/>
  <c r="W453" i="2"/>
  <c r="W454" i="2"/>
  <c r="W455" i="2"/>
  <c r="W456" i="2"/>
  <c r="W457" i="2"/>
  <c r="W458" i="2"/>
  <c r="W459" i="2"/>
  <c r="W460" i="2"/>
  <c r="W461" i="2"/>
  <c r="W462" i="2"/>
  <c r="W463" i="2"/>
  <c r="W464" i="2"/>
  <c r="W465" i="2"/>
  <c r="W466" i="2"/>
  <c r="W467" i="2"/>
  <c r="W468" i="2"/>
  <c r="W469" i="2"/>
  <c r="W470" i="2"/>
  <c r="W471" i="2"/>
  <c r="W472" i="2"/>
  <c r="W473" i="2"/>
  <c r="W474" i="2"/>
  <c r="W475" i="2"/>
  <c r="W476" i="2"/>
  <c r="W477" i="2"/>
  <c r="W478" i="2"/>
  <c r="W479" i="2"/>
  <c r="W480" i="2"/>
  <c r="W481" i="2"/>
  <c r="W482" i="2"/>
  <c r="W483" i="2"/>
  <c r="W484" i="2"/>
  <c r="W485" i="2"/>
  <c r="W486" i="2"/>
  <c r="W487" i="2"/>
  <c r="W488" i="2"/>
  <c r="W489" i="2"/>
  <c r="W490" i="2"/>
  <c r="W491" i="2"/>
  <c r="W492" i="2"/>
  <c r="W493" i="2"/>
  <c r="W494" i="2"/>
  <c r="W495" i="2"/>
  <c r="W496" i="2"/>
  <c r="W497" i="2"/>
  <c r="W498" i="2"/>
  <c r="W499" i="2"/>
  <c r="W500" i="2"/>
  <c r="W501" i="2"/>
  <c r="W502" i="2"/>
  <c r="W503" i="2"/>
  <c r="W504" i="2"/>
  <c r="W505" i="2"/>
  <c r="W506" i="2"/>
  <c r="W507" i="2"/>
  <c r="W508" i="2"/>
  <c r="W509" i="2"/>
  <c r="W510" i="2"/>
  <c r="W511" i="2"/>
  <c r="W512" i="2"/>
  <c r="W513" i="2"/>
  <c r="W514" i="2"/>
  <c r="W515" i="2"/>
  <c r="W516" i="2"/>
  <c r="W517" i="2"/>
  <c r="W518" i="2"/>
  <c r="W519" i="2"/>
  <c r="W520" i="2"/>
  <c r="W521" i="2"/>
  <c r="W522" i="2"/>
  <c r="W523" i="2"/>
  <c r="W524" i="2"/>
  <c r="W525" i="2"/>
  <c r="W526" i="2"/>
  <c r="W527" i="2"/>
  <c r="W528" i="2"/>
  <c r="W529" i="2"/>
  <c r="W530" i="2"/>
  <c r="W531" i="2"/>
  <c r="W532" i="2"/>
  <c r="W533" i="2"/>
  <c r="W534" i="2"/>
  <c r="W535" i="2"/>
  <c r="W536" i="2"/>
  <c r="W537" i="2"/>
  <c r="W538" i="2"/>
  <c r="W539" i="2"/>
  <c r="W540" i="2"/>
  <c r="W541" i="2"/>
  <c r="W542" i="2"/>
  <c r="W543" i="2"/>
  <c r="W544" i="2"/>
  <c r="W545" i="2"/>
  <c r="W546" i="2"/>
  <c r="W547" i="2"/>
  <c r="W548" i="2"/>
  <c r="W549" i="2"/>
  <c r="W550" i="2"/>
  <c r="W551" i="2"/>
  <c r="W552" i="2"/>
  <c r="W553" i="2"/>
  <c r="W554" i="2"/>
  <c r="W555" i="2"/>
  <c r="W556" i="2"/>
  <c r="W557" i="2"/>
  <c r="W558" i="2"/>
  <c r="W559" i="2"/>
  <c r="W560" i="2"/>
  <c r="W561" i="2"/>
  <c r="W562" i="2"/>
  <c r="W563" i="2"/>
  <c r="W564" i="2"/>
  <c r="W565" i="2"/>
  <c r="W566" i="2"/>
  <c r="W567" i="2"/>
  <c r="W568" i="2"/>
  <c r="W569" i="2"/>
  <c r="W570" i="2"/>
  <c r="W571" i="2"/>
  <c r="W572" i="2"/>
  <c r="W573" i="2"/>
  <c r="W574" i="2"/>
  <c r="W575" i="2"/>
  <c r="W576" i="2"/>
  <c r="W577" i="2"/>
  <c r="W578" i="2"/>
  <c r="W579" i="2"/>
  <c r="W580" i="2"/>
  <c r="W581" i="2"/>
  <c r="W582" i="2"/>
  <c r="W583" i="2"/>
  <c r="W584" i="2"/>
  <c r="W585" i="2"/>
  <c r="W586" i="2"/>
  <c r="W587" i="2"/>
  <c r="W588" i="2"/>
  <c r="W589" i="2"/>
  <c r="W590" i="2"/>
  <c r="W591" i="2"/>
  <c r="W592" i="2"/>
  <c r="W593" i="2"/>
  <c r="W594" i="2"/>
  <c r="W595" i="2"/>
  <c r="W596" i="2"/>
  <c r="W597" i="2"/>
  <c r="W598" i="2"/>
  <c r="W599" i="2"/>
  <c r="W600" i="2"/>
  <c r="W601" i="2"/>
  <c r="W602" i="2"/>
  <c r="W603" i="2"/>
  <c r="W604" i="2"/>
  <c r="W605" i="2"/>
  <c r="W606" i="2"/>
  <c r="W607" i="2"/>
  <c r="W608" i="2"/>
  <c r="W609" i="2"/>
  <c r="W610" i="2"/>
  <c r="W611" i="2"/>
  <c r="W612" i="2"/>
  <c r="W613" i="2"/>
  <c r="W614" i="2"/>
  <c r="W615" i="2"/>
  <c r="W616" i="2"/>
  <c r="W617" i="2"/>
  <c r="W618" i="2"/>
  <c r="W619" i="2"/>
  <c r="W620" i="2"/>
  <c r="W621" i="2"/>
  <c r="W622" i="2"/>
  <c r="W623" i="2"/>
  <c r="W624" i="2"/>
  <c r="W625" i="2"/>
  <c r="W626" i="2"/>
  <c r="W627" i="2"/>
  <c r="W628" i="2"/>
  <c r="W629" i="2"/>
  <c r="W630" i="2"/>
  <c r="W631" i="2"/>
  <c r="W632" i="2"/>
  <c r="W633" i="2"/>
  <c r="W634" i="2"/>
  <c r="W635" i="2"/>
  <c r="W636" i="2"/>
  <c r="W637" i="2"/>
  <c r="W638" i="2"/>
  <c r="W639" i="2"/>
  <c r="W640" i="2"/>
  <c r="W641" i="2"/>
  <c r="W642" i="2"/>
  <c r="W643" i="2"/>
  <c r="W644" i="2"/>
  <c r="W645" i="2"/>
  <c r="W646" i="2"/>
  <c r="W647" i="2"/>
  <c r="W648" i="2"/>
  <c r="W649" i="2"/>
  <c r="W650" i="2"/>
  <c r="W651" i="2"/>
  <c r="W652" i="2"/>
  <c r="W653" i="2"/>
  <c r="W654" i="2"/>
  <c r="W655" i="2"/>
  <c r="W656" i="2"/>
  <c r="W657" i="2"/>
  <c r="W658" i="2"/>
  <c r="W659" i="2"/>
  <c r="W660" i="2"/>
  <c r="W661" i="2"/>
  <c r="W662" i="2"/>
  <c r="W663" i="2"/>
  <c r="W664" i="2"/>
  <c r="W665" i="2"/>
  <c r="W666" i="2"/>
  <c r="W667" i="2"/>
  <c r="W668" i="2"/>
  <c r="W669" i="2"/>
  <c r="W670" i="2"/>
  <c r="W671" i="2"/>
  <c r="W672" i="2"/>
  <c r="W673" i="2"/>
  <c r="W674" i="2"/>
  <c r="W675" i="2"/>
  <c r="W676" i="2"/>
  <c r="W677" i="2"/>
  <c r="W678" i="2"/>
  <c r="W679" i="2"/>
  <c r="W680" i="2"/>
  <c r="W681" i="2"/>
  <c r="W682" i="2"/>
  <c r="W683" i="2"/>
  <c r="W684" i="2"/>
  <c r="W685" i="2"/>
  <c r="W686" i="2"/>
  <c r="W687" i="2"/>
  <c r="W688" i="2"/>
  <c r="W689" i="2"/>
  <c r="W690" i="2"/>
  <c r="W691" i="2"/>
  <c r="W692" i="2"/>
  <c r="W693" i="2"/>
  <c r="W694" i="2"/>
  <c r="W695" i="2"/>
  <c r="W696" i="2"/>
  <c r="W697" i="2"/>
  <c r="W698" i="2"/>
  <c r="W699" i="2"/>
  <c r="W700" i="2"/>
  <c r="W701" i="2"/>
  <c r="W702" i="2"/>
  <c r="W703" i="2"/>
  <c r="W704" i="2"/>
  <c r="W705" i="2"/>
  <c r="W706" i="2"/>
  <c r="W707" i="2"/>
  <c r="W708" i="2"/>
  <c r="W709" i="2"/>
  <c r="W710" i="2"/>
  <c r="W711" i="2"/>
  <c r="W712" i="2"/>
  <c r="W713" i="2"/>
  <c r="W714" i="2"/>
  <c r="W715" i="2"/>
  <c r="W716" i="2"/>
  <c r="W717" i="2"/>
  <c r="W718" i="2"/>
  <c r="W719" i="2"/>
  <c r="W720" i="2"/>
  <c r="W721" i="2"/>
  <c r="W722" i="2"/>
  <c r="W723" i="2"/>
  <c r="W724" i="2"/>
  <c r="W725" i="2"/>
  <c r="W726" i="2"/>
  <c r="W727" i="2"/>
  <c r="W728" i="2"/>
  <c r="W729" i="2"/>
  <c r="W730" i="2"/>
  <c r="W731" i="2"/>
  <c r="W732" i="2"/>
  <c r="W733" i="2"/>
  <c r="W734" i="2"/>
  <c r="W735" i="2"/>
  <c r="W736" i="2"/>
  <c r="W737" i="2"/>
  <c r="W738" i="2"/>
  <c r="W739" i="2"/>
  <c r="W740" i="2"/>
  <c r="W741" i="2"/>
  <c r="W742" i="2"/>
  <c r="W743" i="2"/>
  <c r="W744" i="2"/>
  <c r="W745" i="2"/>
  <c r="W746" i="2"/>
  <c r="W747" i="2"/>
  <c r="W748" i="2"/>
  <c r="W749" i="2"/>
  <c r="W750" i="2"/>
  <c r="W751" i="2"/>
  <c r="W752" i="2"/>
  <c r="W753" i="2"/>
  <c r="W754" i="2"/>
  <c r="W755" i="2"/>
  <c r="W756" i="2"/>
  <c r="W757" i="2"/>
  <c r="W758" i="2"/>
  <c r="W759" i="2"/>
  <c r="W760" i="2"/>
  <c r="W761" i="2"/>
  <c r="W762" i="2"/>
  <c r="W763" i="2"/>
  <c r="W764" i="2"/>
  <c r="W765" i="2"/>
  <c r="W766" i="2"/>
  <c r="W767" i="2"/>
  <c r="W768" i="2"/>
  <c r="W769" i="2"/>
  <c r="W770" i="2"/>
  <c r="W771" i="2"/>
  <c r="W772" i="2"/>
  <c r="W773" i="2"/>
  <c r="W774" i="2"/>
  <c r="W775" i="2"/>
  <c r="W776" i="2"/>
  <c r="W777" i="2"/>
  <c r="W778" i="2"/>
  <c r="W779" i="2"/>
  <c r="W780" i="2"/>
  <c r="W781" i="2"/>
  <c r="W782" i="2"/>
  <c r="W783" i="2"/>
  <c r="W784" i="2"/>
  <c r="W785" i="2"/>
  <c r="W786" i="2"/>
  <c r="W787" i="2"/>
  <c r="W788" i="2"/>
  <c r="W789" i="2"/>
  <c r="W790" i="2"/>
  <c r="W791" i="2"/>
  <c r="W792" i="2"/>
  <c r="W793" i="2"/>
  <c r="W794" i="2"/>
  <c r="W795" i="2"/>
  <c r="W796" i="2"/>
  <c r="W797" i="2"/>
  <c r="W798" i="2"/>
  <c r="W799" i="2"/>
  <c r="W800" i="2"/>
  <c r="W801" i="2"/>
  <c r="W802" i="2"/>
  <c r="W803" i="2"/>
  <c r="W804" i="2"/>
  <c r="W805" i="2"/>
  <c r="W806" i="2"/>
  <c r="W807" i="2"/>
  <c r="W808" i="2"/>
  <c r="W809" i="2"/>
  <c r="W810" i="2"/>
  <c r="W811" i="2"/>
  <c r="W812" i="2"/>
  <c r="W813" i="2"/>
  <c r="W814" i="2"/>
  <c r="W815" i="2"/>
  <c r="W816" i="2"/>
  <c r="W817" i="2"/>
  <c r="W818" i="2"/>
  <c r="W819" i="2"/>
  <c r="W820" i="2"/>
  <c r="W821" i="2"/>
  <c r="W822" i="2"/>
  <c r="W823" i="2"/>
  <c r="W824" i="2"/>
  <c r="W825" i="2"/>
  <c r="W826" i="2"/>
  <c r="W827" i="2"/>
  <c r="W828" i="2"/>
  <c r="W829" i="2"/>
  <c r="W830" i="2"/>
  <c r="W831" i="2"/>
  <c r="W832" i="2"/>
  <c r="W833" i="2"/>
  <c r="W834" i="2"/>
  <c r="W835" i="2"/>
  <c r="W836" i="2"/>
  <c r="W837" i="2"/>
  <c r="W838" i="2"/>
  <c r="W839" i="2"/>
  <c r="W840" i="2"/>
  <c r="W841" i="2"/>
  <c r="W842" i="2"/>
  <c r="W843" i="2"/>
  <c r="W844" i="2"/>
  <c r="W845" i="2"/>
  <c r="W846" i="2"/>
  <c r="W847" i="2"/>
  <c r="W848" i="2"/>
  <c r="W849" i="2"/>
  <c r="W850" i="2"/>
  <c r="W851" i="2"/>
  <c r="W852" i="2"/>
  <c r="W853" i="2"/>
  <c r="W854" i="2"/>
  <c r="W855" i="2"/>
  <c r="W856" i="2"/>
  <c r="W857" i="2"/>
  <c r="W858" i="2"/>
  <c r="W859" i="2"/>
  <c r="W860" i="2"/>
  <c r="W861" i="2"/>
  <c r="W862" i="2"/>
  <c r="W863" i="2"/>
  <c r="W864" i="2"/>
  <c r="W865" i="2"/>
  <c r="W866" i="2"/>
  <c r="W867" i="2"/>
  <c r="W868" i="2"/>
  <c r="W869" i="2"/>
  <c r="W870" i="2"/>
  <c r="W871" i="2"/>
  <c r="W872" i="2"/>
  <c r="W873" i="2"/>
  <c r="W874" i="2"/>
  <c r="W875" i="2"/>
  <c r="W876" i="2"/>
  <c r="W877" i="2"/>
  <c r="W878" i="2"/>
  <c r="W879" i="2"/>
  <c r="W880" i="2"/>
  <c r="W881" i="2"/>
  <c r="W882" i="2"/>
  <c r="W883" i="2"/>
  <c r="W884" i="2"/>
  <c r="W885" i="2"/>
  <c r="W886" i="2"/>
  <c r="W887" i="2"/>
  <c r="W888" i="2"/>
  <c r="W889" i="2"/>
  <c r="W890" i="2"/>
  <c r="W891" i="2"/>
  <c r="W892" i="2"/>
  <c r="W893" i="2"/>
  <c r="W894" i="2"/>
  <c r="W895" i="2"/>
  <c r="W896" i="2"/>
  <c r="W897" i="2"/>
  <c r="W898" i="2"/>
  <c r="W899" i="2"/>
  <c r="W900" i="2"/>
  <c r="W901" i="2"/>
  <c r="W902" i="2"/>
  <c r="W903" i="2"/>
  <c r="W904" i="2"/>
  <c r="W905" i="2"/>
  <c r="W906" i="2"/>
  <c r="W907" i="2"/>
  <c r="W908" i="2"/>
  <c r="W909" i="2"/>
  <c r="W910" i="2"/>
  <c r="W911" i="2"/>
  <c r="W912" i="2"/>
  <c r="W913" i="2"/>
  <c r="W914" i="2"/>
  <c r="W915" i="2"/>
  <c r="W916" i="2"/>
  <c r="W917" i="2"/>
  <c r="W918" i="2"/>
  <c r="W919" i="2"/>
  <c r="W920" i="2"/>
  <c r="W921" i="2"/>
  <c r="W922" i="2"/>
  <c r="W923" i="2"/>
  <c r="W924" i="2"/>
  <c r="W925" i="2"/>
  <c r="W926" i="2"/>
  <c r="W927" i="2"/>
  <c r="W928" i="2"/>
  <c r="W929" i="2"/>
  <c r="W930" i="2"/>
  <c r="W931" i="2"/>
  <c r="W932" i="2"/>
  <c r="W933" i="2"/>
  <c r="W934" i="2"/>
  <c r="W935" i="2"/>
  <c r="W936" i="2"/>
  <c r="W937" i="2"/>
  <c r="W938" i="2"/>
  <c r="W939" i="2"/>
  <c r="W940" i="2"/>
  <c r="W941" i="2"/>
  <c r="W942" i="2"/>
  <c r="W943" i="2"/>
  <c r="W944" i="2"/>
  <c r="W945" i="2"/>
  <c r="W946" i="2"/>
  <c r="W947" i="2"/>
  <c r="W948" i="2"/>
  <c r="W949" i="2"/>
  <c r="W950" i="2"/>
  <c r="W951" i="2"/>
  <c r="W952" i="2"/>
  <c r="W953" i="2"/>
  <c r="W954" i="2"/>
  <c r="W955" i="2"/>
  <c r="W956" i="2"/>
  <c r="W957" i="2"/>
  <c r="W958" i="2"/>
  <c r="W959" i="2"/>
  <c r="W960" i="2"/>
  <c r="W961" i="2"/>
  <c r="W962" i="2"/>
  <c r="W963" i="2"/>
  <c r="W964" i="2"/>
  <c r="W965" i="2"/>
  <c r="W966" i="2"/>
  <c r="W967" i="2"/>
  <c r="W968" i="2"/>
  <c r="W969" i="2"/>
  <c r="W970" i="2"/>
  <c r="W971" i="2"/>
  <c r="W972" i="2"/>
  <c r="W973" i="2"/>
  <c r="W974" i="2"/>
  <c r="W975" i="2"/>
  <c r="W976" i="2"/>
  <c r="W977" i="2"/>
  <c r="W978" i="2"/>
  <c r="W979" i="2"/>
  <c r="W980" i="2"/>
  <c r="W981" i="2"/>
  <c r="W982" i="2"/>
  <c r="W983" i="2"/>
  <c r="W984" i="2"/>
  <c r="W985" i="2"/>
  <c r="W986" i="2"/>
  <c r="W987" i="2"/>
  <c r="W988" i="2"/>
  <c r="W989" i="2"/>
  <c r="W990" i="2"/>
  <c r="W991" i="2"/>
  <c r="W992" i="2"/>
  <c r="W993" i="2"/>
  <c r="W994" i="2"/>
  <c r="W995" i="2"/>
  <c r="W996" i="2"/>
  <c r="W997" i="2"/>
  <c r="W998" i="2"/>
  <c r="W999" i="2"/>
  <c r="W1000" i="2"/>
  <c r="W1001" i="2"/>
  <c r="AD1003" i="2" a="1"/>
  <c r="AD1003" i="2"/>
  <c r="AE1003" i="2" a="1"/>
  <c r="AE1003" i="2"/>
  <c r="AF1003" i="2" a="1"/>
  <c r="AF1003" i="2"/>
  <c r="AG1003" i="2" a="1"/>
  <c r="AG1003" i="2"/>
  <c r="AH1003" i="2" a="1"/>
  <c r="AH1003" i="2"/>
  <c r="AI1003" i="2" a="1"/>
  <c r="AI1003" i="2"/>
  <c r="AJ1003" i="2" a="1"/>
  <c r="AJ1003" i="2"/>
  <c r="AK1003" i="2" a="1"/>
  <c r="AK1003" i="2"/>
  <c r="AL1003" i="2" a="1"/>
  <c r="AL1003" i="2"/>
  <c r="AM1003" i="2" a="1"/>
  <c r="AM1003" i="2"/>
  <c r="AN1003" i="2" a="1"/>
  <c r="AN1003" i="2"/>
  <c r="AO1003" i="2" a="1"/>
  <c r="AO1003" i="2"/>
  <c r="AP1003" i="2" a="1"/>
  <c r="AP1003" i="2"/>
  <c r="AQ1003" i="2" a="1"/>
  <c r="AQ1003" i="2"/>
  <c r="AR1003" i="2" a="1"/>
  <c r="AR1003" i="2"/>
  <c r="AS1003" i="2" a="1"/>
  <c r="AS1003" i="2"/>
  <c r="AT1003" i="2" a="1"/>
  <c r="AT1003" i="2"/>
  <c r="AU1003" i="2" a="1"/>
  <c r="AU1003" i="2"/>
  <c r="AD1005" i="2" a="1"/>
  <c r="AE1005" i="2"/>
  <c r="AF1005" i="2"/>
  <c r="AG1005" i="2"/>
  <c r="AH1005" i="2"/>
  <c r="AI1005" i="2"/>
  <c r="AJ1005" i="2"/>
  <c r="AK1005" i="2"/>
  <c r="AL1005" i="2"/>
  <c r="AM1005" i="2"/>
  <c r="AN1005" i="2"/>
  <c r="AO1005" i="2"/>
  <c r="AP1005" i="2"/>
  <c r="AQ1005" i="2"/>
  <c r="AR1005" i="2"/>
  <c r="AS1005" i="2"/>
  <c r="AT1005" i="2"/>
  <c r="AU1005" i="2"/>
  <c r="AD1005" i="2"/>
  <c r="AD1006" i="2" a="1"/>
  <c r="AD1006" i="2"/>
  <c r="AE1006" i="2"/>
  <c r="AF1006" i="2"/>
  <c r="AG1006" i="2"/>
  <c r="AH1006" i="2"/>
  <c r="AI1006" i="2"/>
  <c r="AJ1006" i="2"/>
  <c r="AK1006" i="2"/>
  <c r="AL1006" i="2"/>
  <c r="AM1006" i="2"/>
  <c r="AN1006" i="2"/>
  <c r="AO1006" i="2"/>
  <c r="AP1006" i="2"/>
  <c r="AQ1006" i="2"/>
  <c r="AR1006" i="2"/>
  <c r="AS1006" i="2"/>
  <c r="AT1006" i="2"/>
  <c r="AU1006" i="2"/>
  <c r="S1001" i="2"/>
  <c r="R1001" i="2"/>
  <c r="Q1001" i="2"/>
  <c r="P1001" i="2"/>
  <c r="O1001" i="2"/>
  <c r="N1001" i="2"/>
  <c r="M1001" i="2"/>
  <c r="L1001" i="2"/>
  <c r="K1001" i="2"/>
  <c r="J1001" i="2"/>
  <c r="I1001" i="2"/>
  <c r="H1001" i="2"/>
  <c r="G1001" i="2"/>
  <c r="F1001" i="2"/>
  <c r="E1001" i="2"/>
  <c r="D1001" i="2"/>
  <c r="C1001" i="2"/>
  <c r="B1001" i="2"/>
  <c r="A1001" i="2"/>
  <c r="S1000" i="2"/>
  <c r="R1000" i="2"/>
  <c r="Q1000" i="2"/>
  <c r="P1000" i="2"/>
  <c r="O1000" i="2"/>
  <c r="N1000" i="2"/>
  <c r="M1000" i="2"/>
  <c r="L1000" i="2"/>
  <c r="K1000" i="2"/>
  <c r="J1000" i="2"/>
  <c r="I1000" i="2"/>
  <c r="H1000" i="2"/>
  <c r="G1000" i="2"/>
  <c r="F1000" i="2"/>
  <c r="E1000" i="2"/>
  <c r="D1000" i="2"/>
  <c r="C1000" i="2"/>
  <c r="B1000" i="2"/>
  <c r="A1000" i="2"/>
  <c r="S999" i="2"/>
  <c r="R999" i="2"/>
  <c r="Q999" i="2"/>
  <c r="P999" i="2"/>
  <c r="O999" i="2"/>
  <c r="N999" i="2"/>
  <c r="M999" i="2"/>
  <c r="L999" i="2"/>
  <c r="K999" i="2"/>
  <c r="J999" i="2"/>
  <c r="I999" i="2"/>
  <c r="H999" i="2"/>
  <c r="G999" i="2"/>
  <c r="F999" i="2"/>
  <c r="E999" i="2"/>
  <c r="D999" i="2"/>
  <c r="C999" i="2"/>
  <c r="B999" i="2"/>
  <c r="A999" i="2"/>
  <c r="S998" i="2"/>
  <c r="R998" i="2"/>
  <c r="Q998" i="2"/>
  <c r="P998" i="2"/>
  <c r="O998" i="2"/>
  <c r="N998" i="2"/>
  <c r="M998" i="2"/>
  <c r="L998" i="2"/>
  <c r="K998" i="2"/>
  <c r="J998" i="2"/>
  <c r="I998" i="2"/>
  <c r="H998" i="2"/>
  <c r="G998" i="2"/>
  <c r="F998" i="2"/>
  <c r="E998" i="2"/>
  <c r="D998" i="2"/>
  <c r="C998" i="2"/>
  <c r="B998" i="2"/>
  <c r="A998" i="2"/>
  <c r="S997" i="2"/>
  <c r="R997" i="2"/>
  <c r="Q997" i="2"/>
  <c r="P997" i="2"/>
  <c r="O997" i="2"/>
  <c r="N997" i="2"/>
  <c r="M997" i="2"/>
  <c r="L997" i="2"/>
  <c r="K997" i="2"/>
  <c r="J997" i="2"/>
  <c r="I997" i="2"/>
  <c r="H997" i="2"/>
  <c r="G997" i="2"/>
  <c r="F997" i="2"/>
  <c r="E997" i="2"/>
  <c r="D997" i="2"/>
  <c r="C997" i="2"/>
  <c r="B997" i="2"/>
  <c r="A997" i="2"/>
  <c r="S996" i="2"/>
  <c r="R996" i="2"/>
  <c r="Q996" i="2"/>
  <c r="P996" i="2"/>
  <c r="O996" i="2"/>
  <c r="N996" i="2"/>
  <c r="M996" i="2"/>
  <c r="L996" i="2"/>
  <c r="K996" i="2"/>
  <c r="J996" i="2"/>
  <c r="I996" i="2"/>
  <c r="H996" i="2"/>
  <c r="G996" i="2"/>
  <c r="F996" i="2"/>
  <c r="E996" i="2"/>
  <c r="D996" i="2"/>
  <c r="C996" i="2"/>
  <c r="B996" i="2"/>
  <c r="A996" i="2"/>
  <c r="S995" i="2"/>
  <c r="R995" i="2"/>
  <c r="Q995" i="2"/>
  <c r="P995" i="2"/>
  <c r="O995" i="2"/>
  <c r="N995" i="2"/>
  <c r="M995" i="2"/>
  <c r="L995" i="2"/>
  <c r="K995" i="2"/>
  <c r="J995" i="2"/>
  <c r="I995" i="2"/>
  <c r="H995" i="2"/>
  <c r="G995" i="2"/>
  <c r="F995" i="2"/>
  <c r="E995" i="2"/>
  <c r="D995" i="2"/>
  <c r="C995" i="2"/>
  <c r="B995" i="2"/>
  <c r="A995" i="2"/>
  <c r="S994" i="2"/>
  <c r="R994" i="2"/>
  <c r="Q994" i="2"/>
  <c r="P994" i="2"/>
  <c r="O994" i="2"/>
  <c r="N994" i="2"/>
  <c r="M994" i="2"/>
  <c r="L994" i="2"/>
  <c r="K994" i="2"/>
  <c r="J994" i="2"/>
  <c r="I994" i="2"/>
  <c r="H994" i="2"/>
  <c r="G994" i="2"/>
  <c r="F994" i="2"/>
  <c r="E994" i="2"/>
  <c r="D994" i="2"/>
  <c r="C994" i="2"/>
  <c r="B994" i="2"/>
  <c r="A994" i="2"/>
  <c r="S993" i="2"/>
  <c r="R993" i="2"/>
  <c r="Q993" i="2"/>
  <c r="P993" i="2"/>
  <c r="O993" i="2"/>
  <c r="N993" i="2"/>
  <c r="M993" i="2"/>
  <c r="L993" i="2"/>
  <c r="K993" i="2"/>
  <c r="J993" i="2"/>
  <c r="I993" i="2"/>
  <c r="H993" i="2"/>
  <c r="G993" i="2"/>
  <c r="F993" i="2"/>
  <c r="E993" i="2"/>
  <c r="D993" i="2"/>
  <c r="C993" i="2"/>
  <c r="B993" i="2"/>
  <c r="A993" i="2"/>
  <c r="S992" i="2"/>
  <c r="R992" i="2"/>
  <c r="Q992" i="2"/>
  <c r="P992" i="2"/>
  <c r="O992" i="2"/>
  <c r="N992" i="2"/>
  <c r="M992" i="2"/>
  <c r="L992" i="2"/>
  <c r="K992" i="2"/>
  <c r="J992" i="2"/>
  <c r="I992" i="2"/>
  <c r="H992" i="2"/>
  <c r="G992" i="2"/>
  <c r="F992" i="2"/>
  <c r="E992" i="2"/>
  <c r="D992" i="2"/>
  <c r="C992" i="2"/>
  <c r="B992" i="2"/>
  <c r="A992" i="2"/>
  <c r="S991" i="2"/>
  <c r="R991" i="2"/>
  <c r="Q991" i="2"/>
  <c r="P991" i="2"/>
  <c r="O991" i="2"/>
  <c r="N991" i="2"/>
  <c r="M991" i="2"/>
  <c r="L991" i="2"/>
  <c r="K991" i="2"/>
  <c r="J991" i="2"/>
  <c r="I991" i="2"/>
  <c r="H991" i="2"/>
  <c r="G991" i="2"/>
  <c r="F991" i="2"/>
  <c r="E991" i="2"/>
  <c r="D991" i="2"/>
  <c r="C991" i="2"/>
  <c r="B991" i="2"/>
  <c r="A991" i="2"/>
  <c r="S990" i="2"/>
  <c r="R990" i="2"/>
  <c r="Q990" i="2"/>
  <c r="P990" i="2"/>
  <c r="O990" i="2"/>
  <c r="N990" i="2"/>
  <c r="M990" i="2"/>
  <c r="L990" i="2"/>
  <c r="K990" i="2"/>
  <c r="J990" i="2"/>
  <c r="I990" i="2"/>
  <c r="H990" i="2"/>
  <c r="G990" i="2"/>
  <c r="F990" i="2"/>
  <c r="E990" i="2"/>
  <c r="D990" i="2"/>
  <c r="C990" i="2"/>
  <c r="B990" i="2"/>
  <c r="A990" i="2"/>
  <c r="S989" i="2"/>
  <c r="R989" i="2"/>
  <c r="Q989" i="2"/>
  <c r="P989" i="2"/>
  <c r="O989" i="2"/>
  <c r="N989" i="2"/>
  <c r="M989" i="2"/>
  <c r="L989" i="2"/>
  <c r="K989" i="2"/>
  <c r="J989" i="2"/>
  <c r="I989" i="2"/>
  <c r="H989" i="2"/>
  <c r="G989" i="2"/>
  <c r="F989" i="2"/>
  <c r="E989" i="2"/>
  <c r="D989" i="2"/>
  <c r="C989" i="2"/>
  <c r="B989" i="2"/>
  <c r="A989" i="2"/>
  <c r="S988" i="2"/>
  <c r="R988" i="2"/>
  <c r="Q988" i="2"/>
  <c r="P988" i="2"/>
  <c r="O988" i="2"/>
  <c r="N988" i="2"/>
  <c r="M988" i="2"/>
  <c r="L988" i="2"/>
  <c r="K988" i="2"/>
  <c r="J988" i="2"/>
  <c r="I988" i="2"/>
  <c r="H988" i="2"/>
  <c r="G988" i="2"/>
  <c r="F988" i="2"/>
  <c r="E988" i="2"/>
  <c r="D988" i="2"/>
  <c r="C988" i="2"/>
  <c r="B988" i="2"/>
  <c r="A988" i="2"/>
  <c r="S987" i="2"/>
  <c r="R987" i="2"/>
  <c r="Q987" i="2"/>
  <c r="P987" i="2"/>
  <c r="O987" i="2"/>
  <c r="N987" i="2"/>
  <c r="M987" i="2"/>
  <c r="L987" i="2"/>
  <c r="K987" i="2"/>
  <c r="J987" i="2"/>
  <c r="I987" i="2"/>
  <c r="H987" i="2"/>
  <c r="G987" i="2"/>
  <c r="F987" i="2"/>
  <c r="E987" i="2"/>
  <c r="D987" i="2"/>
  <c r="C987" i="2"/>
  <c r="B987" i="2"/>
  <c r="A987" i="2"/>
  <c r="S986" i="2"/>
  <c r="R986" i="2"/>
  <c r="Q986" i="2"/>
  <c r="P986" i="2"/>
  <c r="O986" i="2"/>
  <c r="N986" i="2"/>
  <c r="M986" i="2"/>
  <c r="L986" i="2"/>
  <c r="K986" i="2"/>
  <c r="J986" i="2"/>
  <c r="I986" i="2"/>
  <c r="H986" i="2"/>
  <c r="G986" i="2"/>
  <c r="F986" i="2"/>
  <c r="E986" i="2"/>
  <c r="D986" i="2"/>
  <c r="C986" i="2"/>
  <c r="B986" i="2"/>
  <c r="A986" i="2"/>
  <c r="S985" i="2"/>
  <c r="R985" i="2"/>
  <c r="Q985" i="2"/>
  <c r="P985" i="2"/>
  <c r="O985" i="2"/>
  <c r="N985" i="2"/>
  <c r="M985" i="2"/>
  <c r="L985" i="2"/>
  <c r="K985" i="2"/>
  <c r="J985" i="2"/>
  <c r="I985" i="2"/>
  <c r="H985" i="2"/>
  <c r="G985" i="2"/>
  <c r="F985" i="2"/>
  <c r="E985" i="2"/>
  <c r="D985" i="2"/>
  <c r="C985" i="2"/>
  <c r="B985" i="2"/>
  <c r="A985" i="2"/>
  <c r="S984" i="2"/>
  <c r="R984" i="2"/>
  <c r="Q984" i="2"/>
  <c r="P984" i="2"/>
  <c r="O984" i="2"/>
  <c r="N984" i="2"/>
  <c r="M984" i="2"/>
  <c r="L984" i="2"/>
  <c r="K984" i="2"/>
  <c r="J984" i="2"/>
  <c r="I984" i="2"/>
  <c r="H984" i="2"/>
  <c r="G984" i="2"/>
  <c r="F984" i="2"/>
  <c r="E984" i="2"/>
  <c r="D984" i="2"/>
  <c r="C984" i="2"/>
  <c r="B984" i="2"/>
  <c r="A984" i="2"/>
  <c r="S983" i="2"/>
  <c r="R983" i="2"/>
  <c r="Q983" i="2"/>
  <c r="P983" i="2"/>
  <c r="O983" i="2"/>
  <c r="N983" i="2"/>
  <c r="M983" i="2"/>
  <c r="L983" i="2"/>
  <c r="K983" i="2"/>
  <c r="J983" i="2"/>
  <c r="I983" i="2"/>
  <c r="H983" i="2"/>
  <c r="G983" i="2"/>
  <c r="F983" i="2"/>
  <c r="E983" i="2"/>
  <c r="D983" i="2"/>
  <c r="C983" i="2"/>
  <c r="B983" i="2"/>
  <c r="A983" i="2"/>
  <c r="S982" i="2"/>
  <c r="R982" i="2"/>
  <c r="Q982" i="2"/>
  <c r="P982" i="2"/>
  <c r="O982" i="2"/>
  <c r="N982" i="2"/>
  <c r="M982" i="2"/>
  <c r="L982" i="2"/>
  <c r="K982" i="2"/>
  <c r="J982" i="2"/>
  <c r="I982" i="2"/>
  <c r="H982" i="2"/>
  <c r="G982" i="2"/>
  <c r="F982" i="2"/>
  <c r="E982" i="2"/>
  <c r="D982" i="2"/>
  <c r="C982" i="2"/>
  <c r="B982" i="2"/>
  <c r="A982" i="2"/>
  <c r="S981" i="2"/>
  <c r="R981" i="2"/>
  <c r="Q981" i="2"/>
  <c r="P981" i="2"/>
  <c r="O981" i="2"/>
  <c r="N981" i="2"/>
  <c r="M981" i="2"/>
  <c r="L981" i="2"/>
  <c r="K981" i="2"/>
  <c r="J981" i="2"/>
  <c r="I981" i="2"/>
  <c r="H981" i="2"/>
  <c r="G981" i="2"/>
  <c r="F981" i="2"/>
  <c r="E981" i="2"/>
  <c r="D981" i="2"/>
  <c r="C981" i="2"/>
  <c r="B981" i="2"/>
  <c r="A981" i="2"/>
  <c r="S980" i="2"/>
  <c r="R980" i="2"/>
  <c r="Q980" i="2"/>
  <c r="P980" i="2"/>
  <c r="O980" i="2"/>
  <c r="N980" i="2"/>
  <c r="M980" i="2"/>
  <c r="L980" i="2"/>
  <c r="K980" i="2"/>
  <c r="J980" i="2"/>
  <c r="I980" i="2"/>
  <c r="H980" i="2"/>
  <c r="G980" i="2"/>
  <c r="F980" i="2"/>
  <c r="E980" i="2"/>
  <c r="D980" i="2"/>
  <c r="C980" i="2"/>
  <c r="B980" i="2"/>
  <c r="A980" i="2"/>
  <c r="S979" i="2"/>
  <c r="R979" i="2"/>
  <c r="Q979" i="2"/>
  <c r="P979" i="2"/>
  <c r="O979" i="2"/>
  <c r="N979" i="2"/>
  <c r="M979" i="2"/>
  <c r="L979" i="2"/>
  <c r="K979" i="2"/>
  <c r="J979" i="2"/>
  <c r="I979" i="2"/>
  <c r="H979" i="2"/>
  <c r="G979" i="2"/>
  <c r="F979" i="2"/>
  <c r="E979" i="2"/>
  <c r="D979" i="2"/>
  <c r="C979" i="2"/>
  <c r="B979" i="2"/>
  <c r="A979" i="2"/>
  <c r="S978" i="2"/>
  <c r="R978" i="2"/>
  <c r="Q978" i="2"/>
  <c r="P978" i="2"/>
  <c r="O978" i="2"/>
  <c r="N978" i="2"/>
  <c r="M978" i="2"/>
  <c r="L978" i="2"/>
  <c r="K978" i="2"/>
  <c r="J978" i="2"/>
  <c r="I978" i="2"/>
  <c r="H978" i="2"/>
  <c r="G978" i="2"/>
  <c r="F978" i="2"/>
  <c r="E978" i="2"/>
  <c r="D978" i="2"/>
  <c r="C978" i="2"/>
  <c r="B978" i="2"/>
  <c r="A978" i="2"/>
  <c r="S977" i="2"/>
  <c r="R977" i="2"/>
  <c r="Q977" i="2"/>
  <c r="P977" i="2"/>
  <c r="O977" i="2"/>
  <c r="N977" i="2"/>
  <c r="M977" i="2"/>
  <c r="L977" i="2"/>
  <c r="K977" i="2"/>
  <c r="J977" i="2"/>
  <c r="I977" i="2"/>
  <c r="H977" i="2"/>
  <c r="G977" i="2"/>
  <c r="F977" i="2"/>
  <c r="E977" i="2"/>
  <c r="D977" i="2"/>
  <c r="C977" i="2"/>
  <c r="B977" i="2"/>
  <c r="A977" i="2"/>
  <c r="S976" i="2"/>
  <c r="R976" i="2"/>
  <c r="Q976" i="2"/>
  <c r="P976" i="2"/>
  <c r="O976" i="2"/>
  <c r="N976" i="2"/>
  <c r="M976" i="2"/>
  <c r="L976" i="2"/>
  <c r="K976" i="2"/>
  <c r="J976" i="2"/>
  <c r="I976" i="2"/>
  <c r="H976" i="2"/>
  <c r="G976" i="2"/>
  <c r="F976" i="2"/>
  <c r="E976" i="2"/>
  <c r="D976" i="2"/>
  <c r="C976" i="2"/>
  <c r="B976" i="2"/>
  <c r="A976" i="2"/>
  <c r="S975" i="2"/>
  <c r="R975" i="2"/>
  <c r="Q975" i="2"/>
  <c r="P975" i="2"/>
  <c r="O975" i="2"/>
  <c r="N975" i="2"/>
  <c r="M975" i="2"/>
  <c r="L975" i="2"/>
  <c r="K975" i="2"/>
  <c r="J975" i="2"/>
  <c r="I975" i="2"/>
  <c r="H975" i="2"/>
  <c r="G975" i="2"/>
  <c r="F975" i="2"/>
  <c r="E975" i="2"/>
  <c r="D975" i="2"/>
  <c r="C975" i="2"/>
  <c r="B975" i="2"/>
  <c r="A975" i="2"/>
  <c r="S974" i="2"/>
  <c r="R974" i="2"/>
  <c r="Q974" i="2"/>
  <c r="P974" i="2"/>
  <c r="O974" i="2"/>
  <c r="N974" i="2"/>
  <c r="M974" i="2"/>
  <c r="L974" i="2"/>
  <c r="K974" i="2"/>
  <c r="J974" i="2"/>
  <c r="I974" i="2"/>
  <c r="H974" i="2"/>
  <c r="G974" i="2"/>
  <c r="F974" i="2"/>
  <c r="E974" i="2"/>
  <c r="D974" i="2"/>
  <c r="C974" i="2"/>
  <c r="B974" i="2"/>
  <c r="A974" i="2"/>
  <c r="S973" i="2"/>
  <c r="R973" i="2"/>
  <c r="Q973" i="2"/>
  <c r="P973" i="2"/>
  <c r="O973" i="2"/>
  <c r="N973" i="2"/>
  <c r="M973" i="2"/>
  <c r="L973" i="2"/>
  <c r="K973" i="2"/>
  <c r="J973" i="2"/>
  <c r="I973" i="2"/>
  <c r="H973" i="2"/>
  <c r="G973" i="2"/>
  <c r="F973" i="2"/>
  <c r="E973" i="2"/>
  <c r="D973" i="2"/>
  <c r="C973" i="2"/>
  <c r="B973" i="2"/>
  <c r="A973" i="2"/>
  <c r="S972" i="2"/>
  <c r="R972" i="2"/>
  <c r="Q972" i="2"/>
  <c r="P972" i="2"/>
  <c r="O972" i="2"/>
  <c r="N972" i="2"/>
  <c r="M972" i="2"/>
  <c r="L972" i="2"/>
  <c r="K972" i="2"/>
  <c r="J972" i="2"/>
  <c r="I972" i="2"/>
  <c r="H972" i="2"/>
  <c r="G972" i="2"/>
  <c r="F972" i="2"/>
  <c r="E972" i="2"/>
  <c r="D972" i="2"/>
  <c r="C972" i="2"/>
  <c r="B972" i="2"/>
  <c r="A972" i="2"/>
  <c r="S971" i="2"/>
  <c r="R971" i="2"/>
  <c r="Q971" i="2"/>
  <c r="P971" i="2"/>
  <c r="O971" i="2"/>
  <c r="N971" i="2"/>
  <c r="M971" i="2"/>
  <c r="L971" i="2"/>
  <c r="K971" i="2"/>
  <c r="J971" i="2"/>
  <c r="I971" i="2"/>
  <c r="H971" i="2"/>
  <c r="G971" i="2"/>
  <c r="F971" i="2"/>
  <c r="E971" i="2"/>
  <c r="D971" i="2"/>
  <c r="C971" i="2"/>
  <c r="B971" i="2"/>
  <c r="A971" i="2"/>
  <c r="S970" i="2"/>
  <c r="R970" i="2"/>
  <c r="Q970" i="2"/>
  <c r="P970" i="2"/>
  <c r="O970" i="2"/>
  <c r="N970" i="2"/>
  <c r="M970" i="2"/>
  <c r="L970" i="2"/>
  <c r="K970" i="2"/>
  <c r="J970" i="2"/>
  <c r="I970" i="2"/>
  <c r="H970" i="2"/>
  <c r="G970" i="2"/>
  <c r="F970" i="2"/>
  <c r="E970" i="2"/>
  <c r="D970" i="2"/>
  <c r="C970" i="2"/>
  <c r="B970" i="2"/>
  <c r="A970" i="2"/>
  <c r="S969" i="2"/>
  <c r="R969" i="2"/>
  <c r="Q969" i="2"/>
  <c r="P969" i="2"/>
  <c r="O969" i="2"/>
  <c r="N969" i="2"/>
  <c r="M969" i="2"/>
  <c r="L969" i="2"/>
  <c r="K969" i="2"/>
  <c r="J969" i="2"/>
  <c r="I969" i="2"/>
  <c r="H969" i="2"/>
  <c r="G969" i="2"/>
  <c r="F969" i="2"/>
  <c r="E969" i="2"/>
  <c r="D969" i="2"/>
  <c r="C969" i="2"/>
  <c r="B969" i="2"/>
  <c r="A969" i="2"/>
  <c r="S968" i="2"/>
  <c r="R968" i="2"/>
  <c r="Q968" i="2"/>
  <c r="P968" i="2"/>
  <c r="O968" i="2"/>
  <c r="N968" i="2"/>
  <c r="M968" i="2"/>
  <c r="L968" i="2"/>
  <c r="K968" i="2"/>
  <c r="J968" i="2"/>
  <c r="I968" i="2"/>
  <c r="H968" i="2"/>
  <c r="G968" i="2"/>
  <c r="F968" i="2"/>
  <c r="E968" i="2"/>
  <c r="D968" i="2"/>
  <c r="C968" i="2"/>
  <c r="B968" i="2"/>
  <c r="A968" i="2"/>
  <c r="S967" i="2"/>
  <c r="R967" i="2"/>
  <c r="Q967" i="2"/>
  <c r="P967" i="2"/>
  <c r="O967" i="2"/>
  <c r="N967" i="2"/>
  <c r="M967" i="2"/>
  <c r="L967" i="2"/>
  <c r="K967" i="2"/>
  <c r="J967" i="2"/>
  <c r="I967" i="2"/>
  <c r="H967" i="2"/>
  <c r="G967" i="2"/>
  <c r="F967" i="2"/>
  <c r="E967" i="2"/>
  <c r="D967" i="2"/>
  <c r="C967" i="2"/>
  <c r="B967" i="2"/>
  <c r="A967" i="2"/>
  <c r="S966" i="2"/>
  <c r="R966" i="2"/>
  <c r="Q966" i="2"/>
  <c r="P966" i="2"/>
  <c r="O966" i="2"/>
  <c r="N966" i="2"/>
  <c r="M966" i="2"/>
  <c r="L966" i="2"/>
  <c r="K966" i="2"/>
  <c r="J966" i="2"/>
  <c r="I966" i="2"/>
  <c r="H966" i="2"/>
  <c r="G966" i="2"/>
  <c r="F966" i="2"/>
  <c r="E966" i="2"/>
  <c r="D966" i="2"/>
  <c r="C966" i="2"/>
  <c r="B966" i="2"/>
  <c r="A966" i="2"/>
  <c r="S965" i="2"/>
  <c r="R965" i="2"/>
  <c r="Q965" i="2"/>
  <c r="P965" i="2"/>
  <c r="O965" i="2"/>
  <c r="N965" i="2"/>
  <c r="M965" i="2"/>
  <c r="L965" i="2"/>
  <c r="K965" i="2"/>
  <c r="J965" i="2"/>
  <c r="I965" i="2"/>
  <c r="H965" i="2"/>
  <c r="G965" i="2"/>
  <c r="F965" i="2"/>
  <c r="E965" i="2"/>
  <c r="D965" i="2"/>
  <c r="C965" i="2"/>
  <c r="B965" i="2"/>
  <c r="A965" i="2"/>
  <c r="S964" i="2"/>
  <c r="R964" i="2"/>
  <c r="Q964" i="2"/>
  <c r="P964" i="2"/>
  <c r="O964" i="2"/>
  <c r="N964" i="2"/>
  <c r="M964" i="2"/>
  <c r="L964" i="2"/>
  <c r="K964" i="2"/>
  <c r="J964" i="2"/>
  <c r="I964" i="2"/>
  <c r="H964" i="2"/>
  <c r="G964" i="2"/>
  <c r="F964" i="2"/>
  <c r="E964" i="2"/>
  <c r="D964" i="2"/>
  <c r="C964" i="2"/>
  <c r="B964" i="2"/>
  <c r="A964" i="2"/>
  <c r="S963" i="2"/>
  <c r="R963" i="2"/>
  <c r="Q963" i="2"/>
  <c r="P963" i="2"/>
  <c r="O963" i="2"/>
  <c r="N963" i="2"/>
  <c r="M963" i="2"/>
  <c r="L963" i="2"/>
  <c r="K963" i="2"/>
  <c r="J963" i="2"/>
  <c r="I963" i="2"/>
  <c r="H963" i="2"/>
  <c r="G963" i="2"/>
  <c r="F963" i="2"/>
  <c r="E963" i="2"/>
  <c r="D963" i="2"/>
  <c r="C963" i="2"/>
  <c r="B963" i="2"/>
  <c r="A963" i="2"/>
  <c r="S962" i="2"/>
  <c r="R962" i="2"/>
  <c r="Q962" i="2"/>
  <c r="P962" i="2"/>
  <c r="O962" i="2"/>
  <c r="N962" i="2"/>
  <c r="M962" i="2"/>
  <c r="L962" i="2"/>
  <c r="K962" i="2"/>
  <c r="J962" i="2"/>
  <c r="I962" i="2"/>
  <c r="H962" i="2"/>
  <c r="G962" i="2"/>
  <c r="F962" i="2"/>
  <c r="E962" i="2"/>
  <c r="D962" i="2"/>
  <c r="C962" i="2"/>
  <c r="B962" i="2"/>
  <c r="A962" i="2"/>
  <c r="S961" i="2"/>
  <c r="R961" i="2"/>
  <c r="Q961" i="2"/>
  <c r="P961" i="2"/>
  <c r="O961" i="2"/>
  <c r="N961" i="2"/>
  <c r="M961" i="2"/>
  <c r="L961" i="2"/>
  <c r="K961" i="2"/>
  <c r="J961" i="2"/>
  <c r="I961" i="2"/>
  <c r="H961" i="2"/>
  <c r="G961" i="2"/>
  <c r="F961" i="2"/>
  <c r="E961" i="2"/>
  <c r="D961" i="2"/>
  <c r="C961" i="2"/>
  <c r="B961" i="2"/>
  <c r="A961" i="2"/>
  <c r="S960" i="2"/>
  <c r="R960" i="2"/>
  <c r="Q960" i="2"/>
  <c r="P960" i="2"/>
  <c r="O960" i="2"/>
  <c r="N960" i="2"/>
  <c r="M960" i="2"/>
  <c r="L960" i="2"/>
  <c r="K960" i="2"/>
  <c r="J960" i="2"/>
  <c r="I960" i="2"/>
  <c r="H960" i="2"/>
  <c r="G960" i="2"/>
  <c r="F960" i="2"/>
  <c r="E960" i="2"/>
  <c r="D960" i="2"/>
  <c r="C960" i="2"/>
  <c r="B960" i="2"/>
  <c r="A960" i="2"/>
  <c r="S959" i="2"/>
  <c r="R959" i="2"/>
  <c r="Q959" i="2"/>
  <c r="P959" i="2"/>
  <c r="O959" i="2"/>
  <c r="N959" i="2"/>
  <c r="M959" i="2"/>
  <c r="L959" i="2"/>
  <c r="K959" i="2"/>
  <c r="J959" i="2"/>
  <c r="I959" i="2"/>
  <c r="H959" i="2"/>
  <c r="G959" i="2"/>
  <c r="F959" i="2"/>
  <c r="E959" i="2"/>
  <c r="D959" i="2"/>
  <c r="C959" i="2"/>
  <c r="B959" i="2"/>
  <c r="A959" i="2"/>
  <c r="S958" i="2"/>
  <c r="R958" i="2"/>
  <c r="Q958" i="2"/>
  <c r="P958" i="2"/>
  <c r="O958" i="2"/>
  <c r="N958" i="2"/>
  <c r="M958" i="2"/>
  <c r="L958" i="2"/>
  <c r="K958" i="2"/>
  <c r="J958" i="2"/>
  <c r="I958" i="2"/>
  <c r="H958" i="2"/>
  <c r="G958" i="2"/>
  <c r="F958" i="2"/>
  <c r="E958" i="2"/>
  <c r="D958" i="2"/>
  <c r="C958" i="2"/>
  <c r="B958" i="2"/>
  <c r="A958" i="2"/>
  <c r="S957" i="2"/>
  <c r="R957" i="2"/>
  <c r="Q957" i="2"/>
  <c r="P957" i="2"/>
  <c r="O957" i="2"/>
  <c r="N957" i="2"/>
  <c r="M957" i="2"/>
  <c r="L957" i="2"/>
  <c r="K957" i="2"/>
  <c r="J957" i="2"/>
  <c r="I957" i="2"/>
  <c r="H957" i="2"/>
  <c r="G957" i="2"/>
  <c r="F957" i="2"/>
  <c r="E957" i="2"/>
  <c r="D957" i="2"/>
  <c r="C957" i="2"/>
  <c r="B957" i="2"/>
  <c r="A957" i="2"/>
  <c r="S956" i="2"/>
  <c r="R956" i="2"/>
  <c r="Q956" i="2"/>
  <c r="P956" i="2"/>
  <c r="O956" i="2"/>
  <c r="N956" i="2"/>
  <c r="M956" i="2"/>
  <c r="L956" i="2"/>
  <c r="K956" i="2"/>
  <c r="J956" i="2"/>
  <c r="I956" i="2"/>
  <c r="H956" i="2"/>
  <c r="G956" i="2"/>
  <c r="F956" i="2"/>
  <c r="E956" i="2"/>
  <c r="D956" i="2"/>
  <c r="C956" i="2"/>
  <c r="B956" i="2"/>
  <c r="A956" i="2"/>
  <c r="S955" i="2"/>
  <c r="R955" i="2"/>
  <c r="Q955" i="2"/>
  <c r="P955" i="2"/>
  <c r="O955" i="2"/>
  <c r="N955" i="2"/>
  <c r="M955" i="2"/>
  <c r="L955" i="2"/>
  <c r="K955" i="2"/>
  <c r="J955" i="2"/>
  <c r="I955" i="2"/>
  <c r="H955" i="2"/>
  <c r="G955" i="2"/>
  <c r="F955" i="2"/>
  <c r="E955" i="2"/>
  <c r="D955" i="2"/>
  <c r="C955" i="2"/>
  <c r="B955" i="2"/>
  <c r="A955" i="2"/>
  <c r="S954" i="2"/>
  <c r="R954" i="2"/>
  <c r="Q954" i="2"/>
  <c r="P954" i="2"/>
  <c r="O954" i="2"/>
  <c r="N954" i="2"/>
  <c r="M954" i="2"/>
  <c r="L954" i="2"/>
  <c r="K954" i="2"/>
  <c r="J954" i="2"/>
  <c r="I954" i="2"/>
  <c r="H954" i="2"/>
  <c r="G954" i="2"/>
  <c r="F954" i="2"/>
  <c r="E954" i="2"/>
  <c r="D954" i="2"/>
  <c r="C954" i="2"/>
  <c r="B954" i="2"/>
  <c r="A954" i="2"/>
  <c r="S953" i="2"/>
  <c r="R953" i="2"/>
  <c r="Q953" i="2"/>
  <c r="P953" i="2"/>
  <c r="O953" i="2"/>
  <c r="N953" i="2"/>
  <c r="M953" i="2"/>
  <c r="L953" i="2"/>
  <c r="K953" i="2"/>
  <c r="J953" i="2"/>
  <c r="I953" i="2"/>
  <c r="H953" i="2"/>
  <c r="G953" i="2"/>
  <c r="F953" i="2"/>
  <c r="E953" i="2"/>
  <c r="D953" i="2"/>
  <c r="C953" i="2"/>
  <c r="B953" i="2"/>
  <c r="A953" i="2"/>
  <c r="S952" i="2"/>
  <c r="R952" i="2"/>
  <c r="Q952" i="2"/>
  <c r="P952" i="2"/>
  <c r="O952" i="2"/>
  <c r="N952" i="2"/>
  <c r="M952" i="2"/>
  <c r="L952" i="2"/>
  <c r="K952" i="2"/>
  <c r="J952" i="2"/>
  <c r="I952" i="2"/>
  <c r="H952" i="2"/>
  <c r="G952" i="2"/>
  <c r="F952" i="2"/>
  <c r="E952" i="2"/>
  <c r="D952" i="2"/>
  <c r="C952" i="2"/>
  <c r="B952" i="2"/>
  <c r="A952" i="2"/>
  <c r="S951" i="2"/>
  <c r="R951" i="2"/>
  <c r="Q951" i="2"/>
  <c r="P951" i="2"/>
  <c r="O951" i="2"/>
  <c r="N951" i="2"/>
  <c r="M951" i="2"/>
  <c r="L951" i="2"/>
  <c r="K951" i="2"/>
  <c r="J951" i="2"/>
  <c r="I951" i="2"/>
  <c r="H951" i="2"/>
  <c r="G951" i="2"/>
  <c r="F951" i="2"/>
  <c r="E951" i="2"/>
  <c r="D951" i="2"/>
  <c r="C951" i="2"/>
  <c r="B951" i="2"/>
  <c r="A951" i="2"/>
  <c r="S950" i="2"/>
  <c r="R950" i="2"/>
  <c r="Q950" i="2"/>
  <c r="P950" i="2"/>
  <c r="O950" i="2"/>
  <c r="N950" i="2"/>
  <c r="M950" i="2"/>
  <c r="L950" i="2"/>
  <c r="K950" i="2"/>
  <c r="J950" i="2"/>
  <c r="I950" i="2"/>
  <c r="H950" i="2"/>
  <c r="G950" i="2"/>
  <c r="F950" i="2"/>
  <c r="E950" i="2"/>
  <c r="D950" i="2"/>
  <c r="C950" i="2"/>
  <c r="B950" i="2"/>
  <c r="A950" i="2"/>
  <c r="S949" i="2"/>
  <c r="R949" i="2"/>
  <c r="Q949" i="2"/>
  <c r="P949" i="2"/>
  <c r="O949" i="2"/>
  <c r="N949" i="2"/>
  <c r="M949" i="2"/>
  <c r="L949" i="2"/>
  <c r="K949" i="2"/>
  <c r="J949" i="2"/>
  <c r="I949" i="2"/>
  <c r="H949" i="2"/>
  <c r="G949" i="2"/>
  <c r="F949" i="2"/>
  <c r="E949" i="2"/>
  <c r="D949" i="2"/>
  <c r="C949" i="2"/>
  <c r="B949" i="2"/>
  <c r="A949" i="2"/>
  <c r="S948" i="2"/>
  <c r="R948" i="2"/>
  <c r="Q948" i="2"/>
  <c r="P948" i="2"/>
  <c r="O948" i="2"/>
  <c r="N948" i="2"/>
  <c r="M948" i="2"/>
  <c r="L948" i="2"/>
  <c r="K948" i="2"/>
  <c r="J948" i="2"/>
  <c r="I948" i="2"/>
  <c r="H948" i="2"/>
  <c r="G948" i="2"/>
  <c r="F948" i="2"/>
  <c r="E948" i="2"/>
  <c r="D948" i="2"/>
  <c r="C948" i="2"/>
  <c r="B948" i="2"/>
  <c r="A948" i="2"/>
  <c r="S947" i="2"/>
  <c r="R947" i="2"/>
  <c r="Q947" i="2"/>
  <c r="P947" i="2"/>
  <c r="O947" i="2"/>
  <c r="N947" i="2"/>
  <c r="M947" i="2"/>
  <c r="L947" i="2"/>
  <c r="K947" i="2"/>
  <c r="J947" i="2"/>
  <c r="I947" i="2"/>
  <c r="H947" i="2"/>
  <c r="G947" i="2"/>
  <c r="F947" i="2"/>
  <c r="E947" i="2"/>
  <c r="D947" i="2"/>
  <c r="C947" i="2"/>
  <c r="B947" i="2"/>
  <c r="A947" i="2"/>
  <c r="S946" i="2"/>
  <c r="R946" i="2"/>
  <c r="Q946" i="2"/>
  <c r="P946" i="2"/>
  <c r="O946" i="2"/>
  <c r="N946" i="2"/>
  <c r="M946" i="2"/>
  <c r="L946" i="2"/>
  <c r="K946" i="2"/>
  <c r="J946" i="2"/>
  <c r="I946" i="2"/>
  <c r="H946" i="2"/>
  <c r="G946" i="2"/>
  <c r="F946" i="2"/>
  <c r="E946" i="2"/>
  <c r="D946" i="2"/>
  <c r="C946" i="2"/>
  <c r="B946" i="2"/>
  <c r="A946" i="2"/>
  <c r="S945" i="2"/>
  <c r="R945" i="2"/>
  <c r="Q945" i="2"/>
  <c r="P945" i="2"/>
  <c r="O945" i="2"/>
  <c r="N945" i="2"/>
  <c r="M945" i="2"/>
  <c r="L945" i="2"/>
  <c r="K945" i="2"/>
  <c r="J945" i="2"/>
  <c r="I945" i="2"/>
  <c r="H945" i="2"/>
  <c r="G945" i="2"/>
  <c r="F945" i="2"/>
  <c r="E945" i="2"/>
  <c r="D945" i="2"/>
  <c r="C945" i="2"/>
  <c r="B945" i="2"/>
  <c r="A945" i="2"/>
  <c r="S944" i="2"/>
  <c r="R944" i="2"/>
  <c r="Q944" i="2"/>
  <c r="P944" i="2"/>
  <c r="O944" i="2"/>
  <c r="N944" i="2"/>
  <c r="M944" i="2"/>
  <c r="L944" i="2"/>
  <c r="K944" i="2"/>
  <c r="J944" i="2"/>
  <c r="I944" i="2"/>
  <c r="H944" i="2"/>
  <c r="G944" i="2"/>
  <c r="F944" i="2"/>
  <c r="E944" i="2"/>
  <c r="D944" i="2"/>
  <c r="C944" i="2"/>
  <c r="B944" i="2"/>
  <c r="A944" i="2"/>
  <c r="S943" i="2"/>
  <c r="R943" i="2"/>
  <c r="Q943" i="2"/>
  <c r="P943" i="2"/>
  <c r="O943" i="2"/>
  <c r="N943" i="2"/>
  <c r="M943" i="2"/>
  <c r="L943" i="2"/>
  <c r="K943" i="2"/>
  <c r="J943" i="2"/>
  <c r="I943" i="2"/>
  <c r="H943" i="2"/>
  <c r="G943" i="2"/>
  <c r="F943" i="2"/>
  <c r="E943" i="2"/>
  <c r="D943" i="2"/>
  <c r="C943" i="2"/>
  <c r="B943" i="2"/>
  <c r="A943" i="2"/>
  <c r="S942" i="2"/>
  <c r="R942" i="2"/>
  <c r="Q942" i="2"/>
  <c r="P942" i="2"/>
  <c r="O942" i="2"/>
  <c r="N942" i="2"/>
  <c r="M942" i="2"/>
  <c r="L942" i="2"/>
  <c r="K942" i="2"/>
  <c r="J942" i="2"/>
  <c r="I942" i="2"/>
  <c r="H942" i="2"/>
  <c r="G942" i="2"/>
  <c r="F942" i="2"/>
  <c r="E942" i="2"/>
  <c r="D942" i="2"/>
  <c r="C942" i="2"/>
  <c r="B942" i="2"/>
  <c r="A942" i="2"/>
  <c r="S941" i="2"/>
  <c r="R941" i="2"/>
  <c r="Q941" i="2"/>
  <c r="P941" i="2"/>
  <c r="O941" i="2"/>
  <c r="N941" i="2"/>
  <c r="M941" i="2"/>
  <c r="L941" i="2"/>
  <c r="K941" i="2"/>
  <c r="J941" i="2"/>
  <c r="I941" i="2"/>
  <c r="H941" i="2"/>
  <c r="G941" i="2"/>
  <c r="F941" i="2"/>
  <c r="E941" i="2"/>
  <c r="D941" i="2"/>
  <c r="C941" i="2"/>
  <c r="B941" i="2"/>
  <c r="A941" i="2"/>
  <c r="S940" i="2"/>
  <c r="R940" i="2"/>
  <c r="Q940" i="2"/>
  <c r="P940" i="2"/>
  <c r="O940" i="2"/>
  <c r="N940" i="2"/>
  <c r="M940" i="2"/>
  <c r="L940" i="2"/>
  <c r="K940" i="2"/>
  <c r="J940" i="2"/>
  <c r="I940" i="2"/>
  <c r="H940" i="2"/>
  <c r="G940" i="2"/>
  <c r="F940" i="2"/>
  <c r="E940" i="2"/>
  <c r="D940" i="2"/>
  <c r="C940" i="2"/>
  <c r="B940" i="2"/>
  <c r="A940" i="2"/>
  <c r="S939" i="2"/>
  <c r="R939" i="2"/>
  <c r="Q939" i="2"/>
  <c r="P939" i="2"/>
  <c r="O939" i="2"/>
  <c r="N939" i="2"/>
  <c r="M939" i="2"/>
  <c r="L939" i="2"/>
  <c r="K939" i="2"/>
  <c r="J939" i="2"/>
  <c r="I939" i="2"/>
  <c r="H939" i="2"/>
  <c r="G939" i="2"/>
  <c r="F939" i="2"/>
  <c r="E939" i="2"/>
  <c r="D939" i="2"/>
  <c r="C939" i="2"/>
  <c r="B939" i="2"/>
  <c r="A939" i="2"/>
  <c r="S938" i="2"/>
  <c r="R938" i="2"/>
  <c r="Q938" i="2"/>
  <c r="P938" i="2"/>
  <c r="O938" i="2"/>
  <c r="N938" i="2"/>
  <c r="M938" i="2"/>
  <c r="L938" i="2"/>
  <c r="K938" i="2"/>
  <c r="J938" i="2"/>
  <c r="I938" i="2"/>
  <c r="H938" i="2"/>
  <c r="G938" i="2"/>
  <c r="F938" i="2"/>
  <c r="E938" i="2"/>
  <c r="D938" i="2"/>
  <c r="C938" i="2"/>
  <c r="B938" i="2"/>
  <c r="A938" i="2"/>
  <c r="S937" i="2"/>
  <c r="R937" i="2"/>
  <c r="Q937" i="2"/>
  <c r="P937" i="2"/>
  <c r="O937" i="2"/>
  <c r="N937" i="2"/>
  <c r="M937" i="2"/>
  <c r="L937" i="2"/>
  <c r="K937" i="2"/>
  <c r="J937" i="2"/>
  <c r="I937" i="2"/>
  <c r="H937" i="2"/>
  <c r="G937" i="2"/>
  <c r="F937" i="2"/>
  <c r="E937" i="2"/>
  <c r="D937" i="2"/>
  <c r="C937" i="2"/>
  <c r="B937" i="2"/>
  <c r="A937" i="2"/>
  <c r="S936" i="2"/>
  <c r="R936" i="2"/>
  <c r="Q936" i="2"/>
  <c r="P936" i="2"/>
  <c r="O936" i="2"/>
  <c r="N936" i="2"/>
  <c r="M936" i="2"/>
  <c r="L936" i="2"/>
  <c r="K936" i="2"/>
  <c r="J936" i="2"/>
  <c r="I936" i="2"/>
  <c r="H936" i="2"/>
  <c r="G936" i="2"/>
  <c r="F936" i="2"/>
  <c r="E936" i="2"/>
  <c r="D936" i="2"/>
  <c r="C936" i="2"/>
  <c r="B936" i="2"/>
  <c r="A936" i="2"/>
  <c r="S935" i="2"/>
  <c r="R935" i="2"/>
  <c r="Q935" i="2"/>
  <c r="P935" i="2"/>
  <c r="O935" i="2"/>
  <c r="N935" i="2"/>
  <c r="M935" i="2"/>
  <c r="L935" i="2"/>
  <c r="K935" i="2"/>
  <c r="J935" i="2"/>
  <c r="I935" i="2"/>
  <c r="H935" i="2"/>
  <c r="G935" i="2"/>
  <c r="F935" i="2"/>
  <c r="E935" i="2"/>
  <c r="D935" i="2"/>
  <c r="C935" i="2"/>
  <c r="B935" i="2"/>
  <c r="A935" i="2"/>
  <c r="S934" i="2"/>
  <c r="R934" i="2"/>
  <c r="Q934" i="2"/>
  <c r="P934" i="2"/>
  <c r="O934" i="2"/>
  <c r="N934" i="2"/>
  <c r="M934" i="2"/>
  <c r="L934" i="2"/>
  <c r="K934" i="2"/>
  <c r="J934" i="2"/>
  <c r="I934" i="2"/>
  <c r="H934" i="2"/>
  <c r="G934" i="2"/>
  <c r="F934" i="2"/>
  <c r="E934" i="2"/>
  <c r="D934" i="2"/>
  <c r="C934" i="2"/>
  <c r="B934" i="2"/>
  <c r="A934" i="2"/>
  <c r="S933" i="2"/>
  <c r="R933" i="2"/>
  <c r="Q933" i="2"/>
  <c r="P933" i="2"/>
  <c r="O933" i="2"/>
  <c r="N933" i="2"/>
  <c r="M933" i="2"/>
  <c r="L933" i="2"/>
  <c r="K933" i="2"/>
  <c r="J933" i="2"/>
  <c r="I933" i="2"/>
  <c r="H933" i="2"/>
  <c r="G933" i="2"/>
  <c r="F933" i="2"/>
  <c r="E933" i="2"/>
  <c r="D933" i="2"/>
  <c r="C933" i="2"/>
  <c r="B933" i="2"/>
  <c r="A933" i="2"/>
  <c r="S932" i="2"/>
  <c r="R932" i="2"/>
  <c r="Q932" i="2"/>
  <c r="P932" i="2"/>
  <c r="O932" i="2"/>
  <c r="N932" i="2"/>
  <c r="M932" i="2"/>
  <c r="L932" i="2"/>
  <c r="K932" i="2"/>
  <c r="J932" i="2"/>
  <c r="I932" i="2"/>
  <c r="H932" i="2"/>
  <c r="G932" i="2"/>
  <c r="F932" i="2"/>
  <c r="E932" i="2"/>
  <c r="D932" i="2"/>
  <c r="C932" i="2"/>
  <c r="B932" i="2"/>
  <c r="A932" i="2"/>
  <c r="S931" i="2"/>
  <c r="R931" i="2"/>
  <c r="Q931" i="2"/>
  <c r="P931" i="2"/>
  <c r="O931" i="2"/>
  <c r="N931" i="2"/>
  <c r="M931" i="2"/>
  <c r="L931" i="2"/>
  <c r="K931" i="2"/>
  <c r="J931" i="2"/>
  <c r="I931" i="2"/>
  <c r="H931" i="2"/>
  <c r="G931" i="2"/>
  <c r="F931" i="2"/>
  <c r="E931" i="2"/>
  <c r="D931" i="2"/>
  <c r="C931" i="2"/>
  <c r="B931" i="2"/>
  <c r="A931" i="2"/>
  <c r="S930" i="2"/>
  <c r="R930" i="2"/>
  <c r="Q930" i="2"/>
  <c r="P930" i="2"/>
  <c r="O930" i="2"/>
  <c r="N930" i="2"/>
  <c r="M930" i="2"/>
  <c r="L930" i="2"/>
  <c r="K930" i="2"/>
  <c r="J930" i="2"/>
  <c r="I930" i="2"/>
  <c r="H930" i="2"/>
  <c r="G930" i="2"/>
  <c r="F930" i="2"/>
  <c r="E930" i="2"/>
  <c r="D930" i="2"/>
  <c r="C930" i="2"/>
  <c r="B930" i="2"/>
  <c r="A930" i="2"/>
  <c r="S929" i="2"/>
  <c r="R929" i="2"/>
  <c r="Q929" i="2"/>
  <c r="P929" i="2"/>
  <c r="O929" i="2"/>
  <c r="N929" i="2"/>
  <c r="M929" i="2"/>
  <c r="L929" i="2"/>
  <c r="K929" i="2"/>
  <c r="J929" i="2"/>
  <c r="I929" i="2"/>
  <c r="H929" i="2"/>
  <c r="G929" i="2"/>
  <c r="F929" i="2"/>
  <c r="E929" i="2"/>
  <c r="D929" i="2"/>
  <c r="C929" i="2"/>
  <c r="B929" i="2"/>
  <c r="A929" i="2"/>
  <c r="S928" i="2"/>
  <c r="R928" i="2"/>
  <c r="Q928" i="2"/>
  <c r="P928" i="2"/>
  <c r="O928" i="2"/>
  <c r="N928" i="2"/>
  <c r="M928" i="2"/>
  <c r="L928" i="2"/>
  <c r="K928" i="2"/>
  <c r="J928" i="2"/>
  <c r="I928" i="2"/>
  <c r="H928" i="2"/>
  <c r="G928" i="2"/>
  <c r="F928" i="2"/>
  <c r="E928" i="2"/>
  <c r="D928" i="2"/>
  <c r="C928" i="2"/>
  <c r="B928" i="2"/>
  <c r="A928" i="2"/>
  <c r="S927" i="2"/>
  <c r="R927" i="2"/>
  <c r="Q927" i="2"/>
  <c r="P927" i="2"/>
  <c r="O927" i="2"/>
  <c r="N927" i="2"/>
  <c r="M927" i="2"/>
  <c r="L927" i="2"/>
  <c r="K927" i="2"/>
  <c r="J927" i="2"/>
  <c r="I927" i="2"/>
  <c r="H927" i="2"/>
  <c r="G927" i="2"/>
  <c r="F927" i="2"/>
  <c r="E927" i="2"/>
  <c r="D927" i="2"/>
  <c r="C927" i="2"/>
  <c r="B927" i="2"/>
  <c r="A927" i="2"/>
  <c r="S926" i="2"/>
  <c r="R926" i="2"/>
  <c r="Q926" i="2"/>
  <c r="P926" i="2"/>
  <c r="O926" i="2"/>
  <c r="N926" i="2"/>
  <c r="M926" i="2"/>
  <c r="L926" i="2"/>
  <c r="K926" i="2"/>
  <c r="J926" i="2"/>
  <c r="I926" i="2"/>
  <c r="H926" i="2"/>
  <c r="G926" i="2"/>
  <c r="F926" i="2"/>
  <c r="E926" i="2"/>
  <c r="D926" i="2"/>
  <c r="C926" i="2"/>
  <c r="B926" i="2"/>
  <c r="A926" i="2"/>
  <c r="S925" i="2"/>
  <c r="R925" i="2"/>
  <c r="Q925" i="2"/>
  <c r="P925" i="2"/>
  <c r="O925" i="2"/>
  <c r="N925" i="2"/>
  <c r="M925" i="2"/>
  <c r="L925" i="2"/>
  <c r="K925" i="2"/>
  <c r="J925" i="2"/>
  <c r="I925" i="2"/>
  <c r="H925" i="2"/>
  <c r="G925" i="2"/>
  <c r="F925" i="2"/>
  <c r="E925" i="2"/>
  <c r="D925" i="2"/>
  <c r="C925" i="2"/>
  <c r="B925" i="2"/>
  <c r="A925" i="2"/>
  <c r="S924" i="2"/>
  <c r="R924" i="2"/>
  <c r="Q924" i="2"/>
  <c r="P924" i="2"/>
  <c r="O924" i="2"/>
  <c r="N924" i="2"/>
  <c r="M924" i="2"/>
  <c r="L924" i="2"/>
  <c r="K924" i="2"/>
  <c r="J924" i="2"/>
  <c r="I924" i="2"/>
  <c r="H924" i="2"/>
  <c r="G924" i="2"/>
  <c r="F924" i="2"/>
  <c r="E924" i="2"/>
  <c r="D924" i="2"/>
  <c r="C924" i="2"/>
  <c r="B924" i="2"/>
  <c r="A924" i="2"/>
  <c r="S923" i="2"/>
  <c r="R923" i="2"/>
  <c r="Q923" i="2"/>
  <c r="P923" i="2"/>
  <c r="O923" i="2"/>
  <c r="N923" i="2"/>
  <c r="M923" i="2"/>
  <c r="L923" i="2"/>
  <c r="K923" i="2"/>
  <c r="J923" i="2"/>
  <c r="I923" i="2"/>
  <c r="H923" i="2"/>
  <c r="G923" i="2"/>
  <c r="F923" i="2"/>
  <c r="E923" i="2"/>
  <c r="D923" i="2"/>
  <c r="C923" i="2"/>
  <c r="B923" i="2"/>
  <c r="A923" i="2"/>
  <c r="S922" i="2"/>
  <c r="R922" i="2"/>
  <c r="Q922" i="2"/>
  <c r="P922" i="2"/>
  <c r="O922" i="2"/>
  <c r="N922" i="2"/>
  <c r="M922" i="2"/>
  <c r="L922" i="2"/>
  <c r="K922" i="2"/>
  <c r="J922" i="2"/>
  <c r="I922" i="2"/>
  <c r="H922" i="2"/>
  <c r="G922" i="2"/>
  <c r="F922" i="2"/>
  <c r="E922" i="2"/>
  <c r="D922" i="2"/>
  <c r="C922" i="2"/>
  <c r="B922" i="2"/>
  <c r="A922" i="2"/>
  <c r="S921" i="2"/>
  <c r="R921" i="2"/>
  <c r="Q921" i="2"/>
  <c r="P921" i="2"/>
  <c r="O921" i="2"/>
  <c r="N921" i="2"/>
  <c r="M921" i="2"/>
  <c r="L921" i="2"/>
  <c r="K921" i="2"/>
  <c r="J921" i="2"/>
  <c r="I921" i="2"/>
  <c r="H921" i="2"/>
  <c r="G921" i="2"/>
  <c r="F921" i="2"/>
  <c r="E921" i="2"/>
  <c r="D921" i="2"/>
  <c r="C921" i="2"/>
  <c r="B921" i="2"/>
  <c r="A921" i="2"/>
  <c r="S920" i="2"/>
  <c r="R920" i="2"/>
  <c r="Q920" i="2"/>
  <c r="P920" i="2"/>
  <c r="O920" i="2"/>
  <c r="N920" i="2"/>
  <c r="M920" i="2"/>
  <c r="L920" i="2"/>
  <c r="K920" i="2"/>
  <c r="J920" i="2"/>
  <c r="I920" i="2"/>
  <c r="H920" i="2"/>
  <c r="G920" i="2"/>
  <c r="F920" i="2"/>
  <c r="E920" i="2"/>
  <c r="D920" i="2"/>
  <c r="C920" i="2"/>
  <c r="B920" i="2"/>
  <c r="A920" i="2"/>
  <c r="S919" i="2"/>
  <c r="R919" i="2"/>
  <c r="Q919" i="2"/>
  <c r="P919" i="2"/>
  <c r="O919" i="2"/>
  <c r="N919" i="2"/>
  <c r="M919" i="2"/>
  <c r="L919" i="2"/>
  <c r="K919" i="2"/>
  <c r="J919" i="2"/>
  <c r="I919" i="2"/>
  <c r="H919" i="2"/>
  <c r="G919" i="2"/>
  <c r="F919" i="2"/>
  <c r="E919" i="2"/>
  <c r="D919" i="2"/>
  <c r="C919" i="2"/>
  <c r="B919" i="2"/>
  <c r="A919" i="2"/>
  <c r="S918" i="2"/>
  <c r="R918" i="2"/>
  <c r="Q918" i="2"/>
  <c r="P918" i="2"/>
  <c r="O918" i="2"/>
  <c r="N918" i="2"/>
  <c r="M918" i="2"/>
  <c r="L918" i="2"/>
  <c r="K918" i="2"/>
  <c r="J918" i="2"/>
  <c r="I918" i="2"/>
  <c r="H918" i="2"/>
  <c r="G918" i="2"/>
  <c r="F918" i="2"/>
  <c r="E918" i="2"/>
  <c r="D918" i="2"/>
  <c r="C918" i="2"/>
  <c r="B918" i="2"/>
  <c r="A918" i="2"/>
  <c r="S917" i="2"/>
  <c r="R917" i="2"/>
  <c r="Q917" i="2"/>
  <c r="P917" i="2"/>
  <c r="O917" i="2"/>
  <c r="N917" i="2"/>
  <c r="M917" i="2"/>
  <c r="L917" i="2"/>
  <c r="K917" i="2"/>
  <c r="J917" i="2"/>
  <c r="I917" i="2"/>
  <c r="H917" i="2"/>
  <c r="G917" i="2"/>
  <c r="F917" i="2"/>
  <c r="E917" i="2"/>
  <c r="D917" i="2"/>
  <c r="C917" i="2"/>
  <c r="B917" i="2"/>
  <c r="A917" i="2"/>
  <c r="S916" i="2"/>
  <c r="R916" i="2"/>
  <c r="Q916" i="2"/>
  <c r="P916" i="2"/>
  <c r="O916" i="2"/>
  <c r="N916" i="2"/>
  <c r="M916" i="2"/>
  <c r="L916" i="2"/>
  <c r="K916" i="2"/>
  <c r="J916" i="2"/>
  <c r="I916" i="2"/>
  <c r="H916" i="2"/>
  <c r="G916" i="2"/>
  <c r="F916" i="2"/>
  <c r="E916" i="2"/>
  <c r="D916" i="2"/>
  <c r="C916" i="2"/>
  <c r="B916" i="2"/>
  <c r="A916" i="2"/>
  <c r="S915" i="2"/>
  <c r="R915" i="2"/>
  <c r="Q915" i="2"/>
  <c r="P915" i="2"/>
  <c r="O915" i="2"/>
  <c r="N915" i="2"/>
  <c r="M915" i="2"/>
  <c r="L915" i="2"/>
  <c r="K915" i="2"/>
  <c r="J915" i="2"/>
  <c r="I915" i="2"/>
  <c r="H915" i="2"/>
  <c r="G915" i="2"/>
  <c r="F915" i="2"/>
  <c r="E915" i="2"/>
  <c r="D915" i="2"/>
  <c r="C915" i="2"/>
  <c r="B915" i="2"/>
  <c r="A915" i="2"/>
  <c r="S914" i="2"/>
  <c r="R914" i="2"/>
  <c r="Q914" i="2"/>
  <c r="P914" i="2"/>
  <c r="O914" i="2"/>
  <c r="N914" i="2"/>
  <c r="M914" i="2"/>
  <c r="L914" i="2"/>
  <c r="K914" i="2"/>
  <c r="J914" i="2"/>
  <c r="I914" i="2"/>
  <c r="H914" i="2"/>
  <c r="G914" i="2"/>
  <c r="F914" i="2"/>
  <c r="E914" i="2"/>
  <c r="D914" i="2"/>
  <c r="C914" i="2"/>
  <c r="B914" i="2"/>
  <c r="A914" i="2"/>
  <c r="S913" i="2"/>
  <c r="R913" i="2"/>
  <c r="Q913" i="2"/>
  <c r="P913" i="2"/>
  <c r="O913" i="2"/>
  <c r="N913" i="2"/>
  <c r="M913" i="2"/>
  <c r="L913" i="2"/>
  <c r="K913" i="2"/>
  <c r="J913" i="2"/>
  <c r="I913" i="2"/>
  <c r="H913" i="2"/>
  <c r="G913" i="2"/>
  <c r="F913" i="2"/>
  <c r="E913" i="2"/>
  <c r="D913" i="2"/>
  <c r="C913" i="2"/>
  <c r="B913" i="2"/>
  <c r="A913" i="2"/>
  <c r="S912" i="2"/>
  <c r="R912" i="2"/>
  <c r="Q912" i="2"/>
  <c r="P912" i="2"/>
  <c r="O912" i="2"/>
  <c r="N912" i="2"/>
  <c r="M912" i="2"/>
  <c r="L912" i="2"/>
  <c r="K912" i="2"/>
  <c r="J912" i="2"/>
  <c r="I912" i="2"/>
  <c r="H912" i="2"/>
  <c r="G912" i="2"/>
  <c r="F912" i="2"/>
  <c r="E912" i="2"/>
  <c r="D912" i="2"/>
  <c r="C912" i="2"/>
  <c r="B912" i="2"/>
  <c r="A912" i="2"/>
  <c r="S911" i="2"/>
  <c r="R911" i="2"/>
  <c r="Q911" i="2"/>
  <c r="P911" i="2"/>
  <c r="O911" i="2"/>
  <c r="N911" i="2"/>
  <c r="M911" i="2"/>
  <c r="L911" i="2"/>
  <c r="K911" i="2"/>
  <c r="J911" i="2"/>
  <c r="I911" i="2"/>
  <c r="H911" i="2"/>
  <c r="G911" i="2"/>
  <c r="F911" i="2"/>
  <c r="E911" i="2"/>
  <c r="D911" i="2"/>
  <c r="C911" i="2"/>
  <c r="B911" i="2"/>
  <c r="A911" i="2"/>
  <c r="S910" i="2"/>
  <c r="R910" i="2"/>
  <c r="Q910" i="2"/>
  <c r="P910" i="2"/>
  <c r="O910" i="2"/>
  <c r="N910" i="2"/>
  <c r="M910" i="2"/>
  <c r="L910" i="2"/>
  <c r="K910" i="2"/>
  <c r="J910" i="2"/>
  <c r="I910" i="2"/>
  <c r="H910" i="2"/>
  <c r="G910" i="2"/>
  <c r="F910" i="2"/>
  <c r="E910" i="2"/>
  <c r="D910" i="2"/>
  <c r="C910" i="2"/>
  <c r="B910" i="2"/>
  <c r="A910" i="2"/>
  <c r="S909" i="2"/>
  <c r="R909" i="2"/>
  <c r="Q909" i="2"/>
  <c r="P909" i="2"/>
  <c r="O909" i="2"/>
  <c r="N909" i="2"/>
  <c r="M909" i="2"/>
  <c r="L909" i="2"/>
  <c r="K909" i="2"/>
  <c r="J909" i="2"/>
  <c r="I909" i="2"/>
  <c r="H909" i="2"/>
  <c r="G909" i="2"/>
  <c r="F909" i="2"/>
  <c r="E909" i="2"/>
  <c r="D909" i="2"/>
  <c r="C909" i="2"/>
  <c r="B909" i="2"/>
  <c r="A909" i="2"/>
  <c r="S908" i="2"/>
  <c r="R908" i="2"/>
  <c r="Q908" i="2"/>
  <c r="P908" i="2"/>
  <c r="O908" i="2"/>
  <c r="N908" i="2"/>
  <c r="M908" i="2"/>
  <c r="L908" i="2"/>
  <c r="K908" i="2"/>
  <c r="J908" i="2"/>
  <c r="I908" i="2"/>
  <c r="H908" i="2"/>
  <c r="G908" i="2"/>
  <c r="F908" i="2"/>
  <c r="E908" i="2"/>
  <c r="D908" i="2"/>
  <c r="C908" i="2"/>
  <c r="B908" i="2"/>
  <c r="A908" i="2"/>
  <c r="S907" i="2"/>
  <c r="R907" i="2"/>
  <c r="Q907" i="2"/>
  <c r="P907" i="2"/>
  <c r="O907" i="2"/>
  <c r="N907" i="2"/>
  <c r="M907" i="2"/>
  <c r="L907" i="2"/>
  <c r="K907" i="2"/>
  <c r="J907" i="2"/>
  <c r="I907" i="2"/>
  <c r="H907" i="2"/>
  <c r="G907" i="2"/>
  <c r="F907" i="2"/>
  <c r="E907" i="2"/>
  <c r="D907" i="2"/>
  <c r="C907" i="2"/>
  <c r="B907" i="2"/>
  <c r="A907" i="2"/>
  <c r="S906" i="2"/>
  <c r="R906" i="2"/>
  <c r="Q906" i="2"/>
  <c r="P906" i="2"/>
  <c r="O906" i="2"/>
  <c r="N906" i="2"/>
  <c r="M906" i="2"/>
  <c r="L906" i="2"/>
  <c r="K906" i="2"/>
  <c r="J906" i="2"/>
  <c r="I906" i="2"/>
  <c r="H906" i="2"/>
  <c r="G906" i="2"/>
  <c r="F906" i="2"/>
  <c r="E906" i="2"/>
  <c r="D906" i="2"/>
  <c r="C906" i="2"/>
  <c r="B906" i="2"/>
  <c r="A906" i="2"/>
  <c r="S905" i="2"/>
  <c r="R905" i="2"/>
  <c r="Q905" i="2"/>
  <c r="P905" i="2"/>
  <c r="O905" i="2"/>
  <c r="N905" i="2"/>
  <c r="M905" i="2"/>
  <c r="L905" i="2"/>
  <c r="K905" i="2"/>
  <c r="J905" i="2"/>
  <c r="I905" i="2"/>
  <c r="H905" i="2"/>
  <c r="G905" i="2"/>
  <c r="F905" i="2"/>
  <c r="E905" i="2"/>
  <c r="D905" i="2"/>
  <c r="C905" i="2"/>
  <c r="B905" i="2"/>
  <c r="A905" i="2"/>
  <c r="S904" i="2"/>
  <c r="R904" i="2"/>
  <c r="Q904" i="2"/>
  <c r="P904" i="2"/>
  <c r="O904" i="2"/>
  <c r="N904" i="2"/>
  <c r="M904" i="2"/>
  <c r="L904" i="2"/>
  <c r="K904" i="2"/>
  <c r="J904" i="2"/>
  <c r="I904" i="2"/>
  <c r="H904" i="2"/>
  <c r="G904" i="2"/>
  <c r="F904" i="2"/>
  <c r="E904" i="2"/>
  <c r="D904" i="2"/>
  <c r="C904" i="2"/>
  <c r="B904" i="2"/>
  <c r="A904" i="2"/>
  <c r="S903" i="2"/>
  <c r="R903" i="2"/>
  <c r="Q903" i="2"/>
  <c r="P903" i="2"/>
  <c r="O903" i="2"/>
  <c r="N903" i="2"/>
  <c r="M903" i="2"/>
  <c r="L903" i="2"/>
  <c r="K903" i="2"/>
  <c r="J903" i="2"/>
  <c r="I903" i="2"/>
  <c r="H903" i="2"/>
  <c r="G903" i="2"/>
  <c r="F903" i="2"/>
  <c r="E903" i="2"/>
  <c r="D903" i="2"/>
  <c r="C903" i="2"/>
  <c r="B903" i="2"/>
  <c r="A903" i="2"/>
  <c r="S902" i="2"/>
  <c r="R902" i="2"/>
  <c r="Q902" i="2"/>
  <c r="P902" i="2"/>
  <c r="O902" i="2"/>
  <c r="N902" i="2"/>
  <c r="M902" i="2"/>
  <c r="L902" i="2"/>
  <c r="K902" i="2"/>
  <c r="J902" i="2"/>
  <c r="I902" i="2"/>
  <c r="H902" i="2"/>
  <c r="G902" i="2"/>
  <c r="F902" i="2"/>
  <c r="E902" i="2"/>
  <c r="D902" i="2"/>
  <c r="C902" i="2"/>
  <c r="B902" i="2"/>
  <c r="A902" i="2"/>
  <c r="S901" i="2"/>
  <c r="R901" i="2"/>
  <c r="Q901" i="2"/>
  <c r="P901" i="2"/>
  <c r="O901" i="2"/>
  <c r="N901" i="2"/>
  <c r="M901" i="2"/>
  <c r="L901" i="2"/>
  <c r="K901" i="2"/>
  <c r="J901" i="2"/>
  <c r="I901" i="2"/>
  <c r="H901" i="2"/>
  <c r="G901" i="2"/>
  <c r="F901" i="2"/>
  <c r="E901" i="2"/>
  <c r="D901" i="2"/>
  <c r="C901" i="2"/>
  <c r="B901" i="2"/>
  <c r="A901" i="2"/>
  <c r="S900" i="2"/>
  <c r="R900" i="2"/>
  <c r="Q900" i="2"/>
  <c r="P900" i="2"/>
  <c r="O900" i="2"/>
  <c r="N900" i="2"/>
  <c r="M900" i="2"/>
  <c r="L900" i="2"/>
  <c r="K900" i="2"/>
  <c r="J900" i="2"/>
  <c r="I900" i="2"/>
  <c r="H900" i="2"/>
  <c r="G900" i="2"/>
  <c r="F900" i="2"/>
  <c r="E900" i="2"/>
  <c r="D900" i="2"/>
  <c r="C900" i="2"/>
  <c r="B900" i="2"/>
  <c r="A900" i="2"/>
  <c r="S899" i="2"/>
  <c r="R899" i="2"/>
  <c r="Q899" i="2"/>
  <c r="P899" i="2"/>
  <c r="O899" i="2"/>
  <c r="N899" i="2"/>
  <c r="M899" i="2"/>
  <c r="L899" i="2"/>
  <c r="K899" i="2"/>
  <c r="J899" i="2"/>
  <c r="I899" i="2"/>
  <c r="H899" i="2"/>
  <c r="G899" i="2"/>
  <c r="F899" i="2"/>
  <c r="E899" i="2"/>
  <c r="D899" i="2"/>
  <c r="C899" i="2"/>
  <c r="B899" i="2"/>
  <c r="A899" i="2"/>
  <c r="S898" i="2"/>
  <c r="R898" i="2"/>
  <c r="Q898" i="2"/>
  <c r="P898" i="2"/>
  <c r="O898" i="2"/>
  <c r="N898" i="2"/>
  <c r="M898" i="2"/>
  <c r="L898" i="2"/>
  <c r="K898" i="2"/>
  <c r="J898" i="2"/>
  <c r="I898" i="2"/>
  <c r="H898" i="2"/>
  <c r="G898" i="2"/>
  <c r="F898" i="2"/>
  <c r="E898" i="2"/>
  <c r="D898" i="2"/>
  <c r="C898" i="2"/>
  <c r="B898" i="2"/>
  <c r="A898" i="2"/>
  <c r="S897" i="2"/>
  <c r="R897" i="2"/>
  <c r="Q897" i="2"/>
  <c r="P897" i="2"/>
  <c r="O897" i="2"/>
  <c r="N897" i="2"/>
  <c r="M897" i="2"/>
  <c r="L897" i="2"/>
  <c r="K897" i="2"/>
  <c r="J897" i="2"/>
  <c r="I897" i="2"/>
  <c r="H897" i="2"/>
  <c r="G897" i="2"/>
  <c r="F897" i="2"/>
  <c r="E897" i="2"/>
  <c r="D897" i="2"/>
  <c r="C897" i="2"/>
  <c r="B897" i="2"/>
  <c r="A897" i="2"/>
  <c r="S896" i="2"/>
  <c r="R896" i="2"/>
  <c r="Q896" i="2"/>
  <c r="P896" i="2"/>
  <c r="O896" i="2"/>
  <c r="N896" i="2"/>
  <c r="M896" i="2"/>
  <c r="L896" i="2"/>
  <c r="K896" i="2"/>
  <c r="J896" i="2"/>
  <c r="I896" i="2"/>
  <c r="H896" i="2"/>
  <c r="G896" i="2"/>
  <c r="F896" i="2"/>
  <c r="E896" i="2"/>
  <c r="D896" i="2"/>
  <c r="C896" i="2"/>
  <c r="B896" i="2"/>
  <c r="A896" i="2"/>
  <c r="S895" i="2"/>
  <c r="R895" i="2"/>
  <c r="Q895" i="2"/>
  <c r="P895" i="2"/>
  <c r="O895" i="2"/>
  <c r="N895" i="2"/>
  <c r="M895" i="2"/>
  <c r="L895" i="2"/>
  <c r="K895" i="2"/>
  <c r="J895" i="2"/>
  <c r="I895" i="2"/>
  <c r="H895" i="2"/>
  <c r="G895" i="2"/>
  <c r="F895" i="2"/>
  <c r="E895" i="2"/>
  <c r="D895" i="2"/>
  <c r="C895" i="2"/>
  <c r="B895" i="2"/>
  <c r="A895" i="2"/>
  <c r="S894" i="2"/>
  <c r="R894" i="2"/>
  <c r="Q894" i="2"/>
  <c r="P894" i="2"/>
  <c r="O894" i="2"/>
  <c r="N894" i="2"/>
  <c r="M894" i="2"/>
  <c r="L894" i="2"/>
  <c r="K894" i="2"/>
  <c r="J894" i="2"/>
  <c r="I894" i="2"/>
  <c r="H894" i="2"/>
  <c r="G894" i="2"/>
  <c r="F894" i="2"/>
  <c r="E894" i="2"/>
  <c r="D894" i="2"/>
  <c r="C894" i="2"/>
  <c r="B894" i="2"/>
  <c r="A894" i="2"/>
  <c r="S893" i="2"/>
  <c r="R893" i="2"/>
  <c r="Q893" i="2"/>
  <c r="P893" i="2"/>
  <c r="O893" i="2"/>
  <c r="N893" i="2"/>
  <c r="M893" i="2"/>
  <c r="L893" i="2"/>
  <c r="K893" i="2"/>
  <c r="J893" i="2"/>
  <c r="I893" i="2"/>
  <c r="H893" i="2"/>
  <c r="G893" i="2"/>
  <c r="F893" i="2"/>
  <c r="E893" i="2"/>
  <c r="D893" i="2"/>
  <c r="C893" i="2"/>
  <c r="B893" i="2"/>
  <c r="A893" i="2"/>
  <c r="S892" i="2"/>
  <c r="R892" i="2"/>
  <c r="Q892" i="2"/>
  <c r="P892" i="2"/>
  <c r="O892" i="2"/>
  <c r="N892" i="2"/>
  <c r="M892" i="2"/>
  <c r="L892" i="2"/>
  <c r="K892" i="2"/>
  <c r="J892" i="2"/>
  <c r="I892" i="2"/>
  <c r="H892" i="2"/>
  <c r="G892" i="2"/>
  <c r="F892" i="2"/>
  <c r="E892" i="2"/>
  <c r="D892" i="2"/>
  <c r="C892" i="2"/>
  <c r="B892" i="2"/>
  <c r="A892" i="2"/>
  <c r="S891" i="2"/>
  <c r="R891" i="2"/>
  <c r="Q891" i="2"/>
  <c r="P891" i="2"/>
  <c r="O891" i="2"/>
  <c r="N891" i="2"/>
  <c r="M891" i="2"/>
  <c r="L891" i="2"/>
  <c r="K891" i="2"/>
  <c r="J891" i="2"/>
  <c r="I891" i="2"/>
  <c r="H891" i="2"/>
  <c r="G891" i="2"/>
  <c r="F891" i="2"/>
  <c r="E891" i="2"/>
  <c r="D891" i="2"/>
  <c r="C891" i="2"/>
  <c r="B891" i="2"/>
  <c r="A891" i="2"/>
  <c r="S890" i="2"/>
  <c r="R890" i="2"/>
  <c r="Q890" i="2"/>
  <c r="P890" i="2"/>
  <c r="O890" i="2"/>
  <c r="N890" i="2"/>
  <c r="M890" i="2"/>
  <c r="L890" i="2"/>
  <c r="K890" i="2"/>
  <c r="J890" i="2"/>
  <c r="I890" i="2"/>
  <c r="H890" i="2"/>
  <c r="G890" i="2"/>
  <c r="F890" i="2"/>
  <c r="E890" i="2"/>
  <c r="D890" i="2"/>
  <c r="C890" i="2"/>
  <c r="B890" i="2"/>
  <c r="A890" i="2"/>
  <c r="S889" i="2"/>
  <c r="R889" i="2"/>
  <c r="Q889" i="2"/>
  <c r="P889" i="2"/>
  <c r="O889" i="2"/>
  <c r="N889" i="2"/>
  <c r="M889" i="2"/>
  <c r="L889" i="2"/>
  <c r="K889" i="2"/>
  <c r="J889" i="2"/>
  <c r="I889" i="2"/>
  <c r="H889" i="2"/>
  <c r="G889" i="2"/>
  <c r="F889" i="2"/>
  <c r="E889" i="2"/>
  <c r="D889" i="2"/>
  <c r="C889" i="2"/>
  <c r="B889" i="2"/>
  <c r="A889" i="2"/>
  <c r="S888" i="2"/>
  <c r="R888" i="2"/>
  <c r="Q888" i="2"/>
  <c r="P888" i="2"/>
  <c r="O888" i="2"/>
  <c r="N888" i="2"/>
  <c r="M888" i="2"/>
  <c r="L888" i="2"/>
  <c r="K888" i="2"/>
  <c r="J888" i="2"/>
  <c r="I888" i="2"/>
  <c r="H888" i="2"/>
  <c r="G888" i="2"/>
  <c r="F888" i="2"/>
  <c r="E888" i="2"/>
  <c r="D888" i="2"/>
  <c r="C888" i="2"/>
  <c r="B888" i="2"/>
  <c r="A888" i="2"/>
  <c r="S887" i="2"/>
  <c r="R887" i="2"/>
  <c r="Q887" i="2"/>
  <c r="P887" i="2"/>
  <c r="O887" i="2"/>
  <c r="N887" i="2"/>
  <c r="M887" i="2"/>
  <c r="L887" i="2"/>
  <c r="K887" i="2"/>
  <c r="J887" i="2"/>
  <c r="I887" i="2"/>
  <c r="H887" i="2"/>
  <c r="G887" i="2"/>
  <c r="F887" i="2"/>
  <c r="E887" i="2"/>
  <c r="D887" i="2"/>
  <c r="C887" i="2"/>
  <c r="B887" i="2"/>
  <c r="A887" i="2"/>
  <c r="S886" i="2"/>
  <c r="R886" i="2"/>
  <c r="Q886" i="2"/>
  <c r="P886" i="2"/>
  <c r="O886" i="2"/>
  <c r="N886" i="2"/>
  <c r="M886" i="2"/>
  <c r="L886" i="2"/>
  <c r="K886" i="2"/>
  <c r="J886" i="2"/>
  <c r="I886" i="2"/>
  <c r="H886" i="2"/>
  <c r="G886" i="2"/>
  <c r="F886" i="2"/>
  <c r="E886" i="2"/>
  <c r="D886" i="2"/>
  <c r="C886" i="2"/>
  <c r="B886" i="2"/>
  <c r="A886" i="2"/>
  <c r="S885" i="2"/>
  <c r="R885" i="2"/>
  <c r="Q885" i="2"/>
  <c r="P885" i="2"/>
  <c r="O885" i="2"/>
  <c r="N885" i="2"/>
  <c r="M885" i="2"/>
  <c r="L885" i="2"/>
  <c r="K885" i="2"/>
  <c r="J885" i="2"/>
  <c r="I885" i="2"/>
  <c r="H885" i="2"/>
  <c r="G885" i="2"/>
  <c r="F885" i="2"/>
  <c r="E885" i="2"/>
  <c r="D885" i="2"/>
  <c r="C885" i="2"/>
  <c r="B885" i="2"/>
  <c r="A885" i="2"/>
  <c r="S884" i="2"/>
  <c r="R884" i="2"/>
  <c r="Q884" i="2"/>
  <c r="P884" i="2"/>
  <c r="O884" i="2"/>
  <c r="N884" i="2"/>
  <c r="M884" i="2"/>
  <c r="L884" i="2"/>
  <c r="K884" i="2"/>
  <c r="J884" i="2"/>
  <c r="I884" i="2"/>
  <c r="H884" i="2"/>
  <c r="G884" i="2"/>
  <c r="F884" i="2"/>
  <c r="E884" i="2"/>
  <c r="D884" i="2"/>
  <c r="C884" i="2"/>
  <c r="B884" i="2"/>
  <c r="A884" i="2"/>
  <c r="S883" i="2"/>
  <c r="R883" i="2"/>
  <c r="Q883" i="2"/>
  <c r="P883" i="2"/>
  <c r="O883" i="2"/>
  <c r="N883" i="2"/>
  <c r="M883" i="2"/>
  <c r="L883" i="2"/>
  <c r="K883" i="2"/>
  <c r="J883" i="2"/>
  <c r="I883" i="2"/>
  <c r="H883" i="2"/>
  <c r="G883" i="2"/>
  <c r="F883" i="2"/>
  <c r="E883" i="2"/>
  <c r="D883" i="2"/>
  <c r="C883" i="2"/>
  <c r="B883" i="2"/>
  <c r="A883" i="2"/>
  <c r="S882" i="2"/>
  <c r="R882" i="2"/>
  <c r="Q882" i="2"/>
  <c r="P882" i="2"/>
  <c r="O882" i="2"/>
  <c r="N882" i="2"/>
  <c r="M882" i="2"/>
  <c r="L882" i="2"/>
  <c r="K882" i="2"/>
  <c r="J882" i="2"/>
  <c r="I882" i="2"/>
  <c r="H882" i="2"/>
  <c r="G882" i="2"/>
  <c r="F882" i="2"/>
  <c r="E882" i="2"/>
  <c r="D882" i="2"/>
  <c r="C882" i="2"/>
  <c r="B882" i="2"/>
  <c r="A882" i="2"/>
  <c r="S881" i="2"/>
  <c r="R881" i="2"/>
  <c r="Q881" i="2"/>
  <c r="P881" i="2"/>
  <c r="O881" i="2"/>
  <c r="N881" i="2"/>
  <c r="M881" i="2"/>
  <c r="L881" i="2"/>
  <c r="K881" i="2"/>
  <c r="J881" i="2"/>
  <c r="I881" i="2"/>
  <c r="H881" i="2"/>
  <c r="G881" i="2"/>
  <c r="F881" i="2"/>
  <c r="E881" i="2"/>
  <c r="D881" i="2"/>
  <c r="C881" i="2"/>
  <c r="B881" i="2"/>
  <c r="A881" i="2"/>
  <c r="S880" i="2"/>
  <c r="R880" i="2"/>
  <c r="Q880" i="2"/>
  <c r="P880" i="2"/>
  <c r="O880" i="2"/>
  <c r="N880" i="2"/>
  <c r="M880" i="2"/>
  <c r="L880" i="2"/>
  <c r="K880" i="2"/>
  <c r="J880" i="2"/>
  <c r="I880" i="2"/>
  <c r="H880" i="2"/>
  <c r="G880" i="2"/>
  <c r="F880" i="2"/>
  <c r="E880" i="2"/>
  <c r="D880" i="2"/>
  <c r="C880" i="2"/>
  <c r="B880" i="2"/>
  <c r="A880" i="2"/>
  <c r="S879" i="2"/>
  <c r="R879" i="2"/>
  <c r="Q879" i="2"/>
  <c r="P879" i="2"/>
  <c r="O879" i="2"/>
  <c r="N879" i="2"/>
  <c r="M879" i="2"/>
  <c r="L879" i="2"/>
  <c r="K879" i="2"/>
  <c r="J879" i="2"/>
  <c r="I879" i="2"/>
  <c r="H879" i="2"/>
  <c r="G879" i="2"/>
  <c r="F879" i="2"/>
  <c r="E879" i="2"/>
  <c r="D879" i="2"/>
  <c r="C879" i="2"/>
  <c r="B879" i="2"/>
  <c r="A879" i="2"/>
  <c r="S878" i="2"/>
  <c r="R878" i="2"/>
  <c r="Q878" i="2"/>
  <c r="P878" i="2"/>
  <c r="O878" i="2"/>
  <c r="N878" i="2"/>
  <c r="M878" i="2"/>
  <c r="L878" i="2"/>
  <c r="K878" i="2"/>
  <c r="J878" i="2"/>
  <c r="I878" i="2"/>
  <c r="H878" i="2"/>
  <c r="G878" i="2"/>
  <c r="F878" i="2"/>
  <c r="E878" i="2"/>
  <c r="D878" i="2"/>
  <c r="C878" i="2"/>
  <c r="B878" i="2"/>
  <c r="A878" i="2"/>
  <c r="S877" i="2"/>
  <c r="R877" i="2"/>
  <c r="Q877" i="2"/>
  <c r="P877" i="2"/>
  <c r="O877" i="2"/>
  <c r="N877" i="2"/>
  <c r="M877" i="2"/>
  <c r="L877" i="2"/>
  <c r="K877" i="2"/>
  <c r="J877" i="2"/>
  <c r="I877" i="2"/>
  <c r="H877" i="2"/>
  <c r="G877" i="2"/>
  <c r="F877" i="2"/>
  <c r="E877" i="2"/>
  <c r="D877" i="2"/>
  <c r="C877" i="2"/>
  <c r="B877" i="2"/>
  <c r="A877" i="2"/>
  <c r="S876" i="2"/>
  <c r="R876" i="2"/>
  <c r="Q876" i="2"/>
  <c r="P876" i="2"/>
  <c r="O876" i="2"/>
  <c r="N876" i="2"/>
  <c r="M876" i="2"/>
  <c r="L876" i="2"/>
  <c r="K876" i="2"/>
  <c r="J876" i="2"/>
  <c r="I876" i="2"/>
  <c r="H876" i="2"/>
  <c r="G876" i="2"/>
  <c r="F876" i="2"/>
  <c r="E876" i="2"/>
  <c r="D876" i="2"/>
  <c r="C876" i="2"/>
  <c r="B876" i="2"/>
  <c r="A876" i="2"/>
  <c r="S875" i="2"/>
  <c r="R875" i="2"/>
  <c r="Q875" i="2"/>
  <c r="P875" i="2"/>
  <c r="O875" i="2"/>
  <c r="N875" i="2"/>
  <c r="M875" i="2"/>
  <c r="L875" i="2"/>
  <c r="K875" i="2"/>
  <c r="J875" i="2"/>
  <c r="I875" i="2"/>
  <c r="H875" i="2"/>
  <c r="G875" i="2"/>
  <c r="F875" i="2"/>
  <c r="E875" i="2"/>
  <c r="D875" i="2"/>
  <c r="C875" i="2"/>
  <c r="B875" i="2"/>
  <c r="A875" i="2"/>
  <c r="S874" i="2"/>
  <c r="R874" i="2"/>
  <c r="Q874" i="2"/>
  <c r="P874" i="2"/>
  <c r="O874" i="2"/>
  <c r="N874" i="2"/>
  <c r="M874" i="2"/>
  <c r="L874" i="2"/>
  <c r="K874" i="2"/>
  <c r="J874" i="2"/>
  <c r="I874" i="2"/>
  <c r="H874" i="2"/>
  <c r="G874" i="2"/>
  <c r="F874" i="2"/>
  <c r="E874" i="2"/>
  <c r="D874" i="2"/>
  <c r="C874" i="2"/>
  <c r="B874" i="2"/>
  <c r="A874" i="2"/>
  <c r="S873" i="2"/>
  <c r="R873" i="2"/>
  <c r="Q873" i="2"/>
  <c r="P873" i="2"/>
  <c r="O873" i="2"/>
  <c r="N873" i="2"/>
  <c r="M873" i="2"/>
  <c r="L873" i="2"/>
  <c r="K873" i="2"/>
  <c r="J873" i="2"/>
  <c r="I873" i="2"/>
  <c r="H873" i="2"/>
  <c r="G873" i="2"/>
  <c r="F873" i="2"/>
  <c r="E873" i="2"/>
  <c r="D873" i="2"/>
  <c r="C873" i="2"/>
  <c r="B873" i="2"/>
  <c r="A873" i="2"/>
  <c r="S872" i="2"/>
  <c r="R872" i="2"/>
  <c r="Q872" i="2"/>
  <c r="P872" i="2"/>
  <c r="O872" i="2"/>
  <c r="N872" i="2"/>
  <c r="M872" i="2"/>
  <c r="L872" i="2"/>
  <c r="K872" i="2"/>
  <c r="J872" i="2"/>
  <c r="I872" i="2"/>
  <c r="H872" i="2"/>
  <c r="G872" i="2"/>
  <c r="F872" i="2"/>
  <c r="E872" i="2"/>
  <c r="D872" i="2"/>
  <c r="C872" i="2"/>
  <c r="B872" i="2"/>
  <c r="A872" i="2"/>
  <c r="S871" i="2"/>
  <c r="R871" i="2"/>
  <c r="Q871" i="2"/>
  <c r="P871" i="2"/>
  <c r="O871" i="2"/>
  <c r="N871" i="2"/>
  <c r="M871" i="2"/>
  <c r="L871" i="2"/>
  <c r="K871" i="2"/>
  <c r="J871" i="2"/>
  <c r="I871" i="2"/>
  <c r="H871" i="2"/>
  <c r="G871" i="2"/>
  <c r="F871" i="2"/>
  <c r="E871" i="2"/>
  <c r="D871" i="2"/>
  <c r="C871" i="2"/>
  <c r="B871" i="2"/>
  <c r="A871" i="2"/>
  <c r="S870" i="2"/>
  <c r="R870" i="2"/>
  <c r="Q870" i="2"/>
  <c r="P870" i="2"/>
  <c r="O870" i="2"/>
  <c r="N870" i="2"/>
  <c r="M870" i="2"/>
  <c r="L870" i="2"/>
  <c r="K870" i="2"/>
  <c r="J870" i="2"/>
  <c r="I870" i="2"/>
  <c r="H870" i="2"/>
  <c r="G870" i="2"/>
  <c r="F870" i="2"/>
  <c r="E870" i="2"/>
  <c r="D870" i="2"/>
  <c r="C870" i="2"/>
  <c r="B870" i="2"/>
  <c r="A870" i="2"/>
  <c r="S869" i="2"/>
  <c r="R869" i="2"/>
  <c r="Q869" i="2"/>
  <c r="P869" i="2"/>
  <c r="O869" i="2"/>
  <c r="N869" i="2"/>
  <c r="M869" i="2"/>
  <c r="L869" i="2"/>
  <c r="K869" i="2"/>
  <c r="J869" i="2"/>
  <c r="I869" i="2"/>
  <c r="H869" i="2"/>
  <c r="G869" i="2"/>
  <c r="F869" i="2"/>
  <c r="E869" i="2"/>
  <c r="D869" i="2"/>
  <c r="C869" i="2"/>
  <c r="B869" i="2"/>
  <c r="A869" i="2"/>
  <c r="S868" i="2"/>
  <c r="R868" i="2"/>
  <c r="Q868" i="2"/>
  <c r="P868" i="2"/>
  <c r="O868" i="2"/>
  <c r="N868" i="2"/>
  <c r="M868" i="2"/>
  <c r="L868" i="2"/>
  <c r="K868" i="2"/>
  <c r="J868" i="2"/>
  <c r="I868" i="2"/>
  <c r="H868" i="2"/>
  <c r="G868" i="2"/>
  <c r="F868" i="2"/>
  <c r="E868" i="2"/>
  <c r="D868" i="2"/>
  <c r="C868" i="2"/>
  <c r="B868" i="2"/>
  <c r="A868" i="2"/>
  <c r="S867" i="2"/>
  <c r="R867" i="2"/>
  <c r="Q867" i="2"/>
  <c r="P867" i="2"/>
  <c r="O867" i="2"/>
  <c r="N867" i="2"/>
  <c r="M867" i="2"/>
  <c r="L867" i="2"/>
  <c r="K867" i="2"/>
  <c r="J867" i="2"/>
  <c r="I867" i="2"/>
  <c r="H867" i="2"/>
  <c r="G867" i="2"/>
  <c r="F867" i="2"/>
  <c r="E867" i="2"/>
  <c r="D867" i="2"/>
  <c r="C867" i="2"/>
  <c r="B867" i="2"/>
  <c r="A867" i="2"/>
  <c r="S866" i="2"/>
  <c r="R866" i="2"/>
  <c r="Q866" i="2"/>
  <c r="P866" i="2"/>
  <c r="O866" i="2"/>
  <c r="N866" i="2"/>
  <c r="M866" i="2"/>
  <c r="L866" i="2"/>
  <c r="K866" i="2"/>
  <c r="J866" i="2"/>
  <c r="I866" i="2"/>
  <c r="H866" i="2"/>
  <c r="G866" i="2"/>
  <c r="F866" i="2"/>
  <c r="E866" i="2"/>
  <c r="D866" i="2"/>
  <c r="C866" i="2"/>
  <c r="B866" i="2"/>
  <c r="A866" i="2"/>
  <c r="S865" i="2"/>
  <c r="R865" i="2"/>
  <c r="Q865" i="2"/>
  <c r="P865" i="2"/>
  <c r="O865" i="2"/>
  <c r="N865" i="2"/>
  <c r="M865" i="2"/>
  <c r="L865" i="2"/>
  <c r="K865" i="2"/>
  <c r="J865" i="2"/>
  <c r="I865" i="2"/>
  <c r="H865" i="2"/>
  <c r="G865" i="2"/>
  <c r="F865" i="2"/>
  <c r="E865" i="2"/>
  <c r="D865" i="2"/>
  <c r="C865" i="2"/>
  <c r="B865" i="2"/>
  <c r="A865" i="2"/>
  <c r="S864" i="2"/>
  <c r="R864" i="2"/>
  <c r="Q864" i="2"/>
  <c r="P864" i="2"/>
  <c r="O864" i="2"/>
  <c r="N864" i="2"/>
  <c r="M864" i="2"/>
  <c r="L864" i="2"/>
  <c r="K864" i="2"/>
  <c r="J864" i="2"/>
  <c r="I864" i="2"/>
  <c r="H864" i="2"/>
  <c r="G864" i="2"/>
  <c r="F864" i="2"/>
  <c r="E864" i="2"/>
  <c r="D864" i="2"/>
  <c r="C864" i="2"/>
  <c r="B864" i="2"/>
  <c r="A864" i="2"/>
  <c r="S863" i="2"/>
  <c r="R863" i="2"/>
  <c r="Q863" i="2"/>
  <c r="P863" i="2"/>
  <c r="O863" i="2"/>
  <c r="N863" i="2"/>
  <c r="M863" i="2"/>
  <c r="L863" i="2"/>
  <c r="K863" i="2"/>
  <c r="J863" i="2"/>
  <c r="I863" i="2"/>
  <c r="H863" i="2"/>
  <c r="G863" i="2"/>
  <c r="F863" i="2"/>
  <c r="E863" i="2"/>
  <c r="D863" i="2"/>
  <c r="C863" i="2"/>
  <c r="B863" i="2"/>
  <c r="A863" i="2"/>
  <c r="S862" i="2"/>
  <c r="R862" i="2"/>
  <c r="Q862" i="2"/>
  <c r="P862" i="2"/>
  <c r="O862" i="2"/>
  <c r="N862" i="2"/>
  <c r="M862" i="2"/>
  <c r="L862" i="2"/>
  <c r="K862" i="2"/>
  <c r="J862" i="2"/>
  <c r="I862" i="2"/>
  <c r="H862" i="2"/>
  <c r="G862" i="2"/>
  <c r="F862" i="2"/>
  <c r="E862" i="2"/>
  <c r="D862" i="2"/>
  <c r="C862" i="2"/>
  <c r="B862" i="2"/>
  <c r="A862" i="2"/>
  <c r="S861" i="2"/>
  <c r="R861" i="2"/>
  <c r="Q861" i="2"/>
  <c r="P861" i="2"/>
  <c r="O861" i="2"/>
  <c r="N861" i="2"/>
  <c r="M861" i="2"/>
  <c r="L861" i="2"/>
  <c r="K861" i="2"/>
  <c r="J861" i="2"/>
  <c r="I861" i="2"/>
  <c r="H861" i="2"/>
  <c r="G861" i="2"/>
  <c r="F861" i="2"/>
  <c r="E861" i="2"/>
  <c r="D861" i="2"/>
  <c r="C861" i="2"/>
  <c r="B861" i="2"/>
  <c r="A861" i="2"/>
  <c r="S860" i="2"/>
  <c r="R860" i="2"/>
  <c r="Q860" i="2"/>
  <c r="P860" i="2"/>
  <c r="O860" i="2"/>
  <c r="N860" i="2"/>
  <c r="M860" i="2"/>
  <c r="L860" i="2"/>
  <c r="K860" i="2"/>
  <c r="J860" i="2"/>
  <c r="I860" i="2"/>
  <c r="H860" i="2"/>
  <c r="G860" i="2"/>
  <c r="F860" i="2"/>
  <c r="E860" i="2"/>
  <c r="D860" i="2"/>
  <c r="C860" i="2"/>
  <c r="B860" i="2"/>
  <c r="A860" i="2"/>
  <c r="S859" i="2"/>
  <c r="R859" i="2"/>
  <c r="Q859" i="2"/>
  <c r="P859" i="2"/>
  <c r="O859" i="2"/>
  <c r="N859" i="2"/>
  <c r="M859" i="2"/>
  <c r="L859" i="2"/>
  <c r="K859" i="2"/>
  <c r="J859" i="2"/>
  <c r="I859" i="2"/>
  <c r="H859" i="2"/>
  <c r="G859" i="2"/>
  <c r="F859" i="2"/>
  <c r="E859" i="2"/>
  <c r="D859" i="2"/>
  <c r="C859" i="2"/>
  <c r="B859" i="2"/>
  <c r="A859" i="2"/>
  <c r="S858" i="2"/>
  <c r="R858" i="2"/>
  <c r="Q858" i="2"/>
  <c r="P858" i="2"/>
  <c r="O858" i="2"/>
  <c r="N858" i="2"/>
  <c r="M858" i="2"/>
  <c r="L858" i="2"/>
  <c r="K858" i="2"/>
  <c r="J858" i="2"/>
  <c r="I858" i="2"/>
  <c r="H858" i="2"/>
  <c r="G858" i="2"/>
  <c r="F858" i="2"/>
  <c r="E858" i="2"/>
  <c r="D858" i="2"/>
  <c r="C858" i="2"/>
  <c r="B858" i="2"/>
  <c r="A858" i="2"/>
  <c r="S857" i="2"/>
  <c r="R857" i="2"/>
  <c r="Q857" i="2"/>
  <c r="P857" i="2"/>
  <c r="O857" i="2"/>
  <c r="N857" i="2"/>
  <c r="M857" i="2"/>
  <c r="L857" i="2"/>
  <c r="K857" i="2"/>
  <c r="J857" i="2"/>
  <c r="I857" i="2"/>
  <c r="H857" i="2"/>
  <c r="G857" i="2"/>
  <c r="F857" i="2"/>
  <c r="E857" i="2"/>
  <c r="D857" i="2"/>
  <c r="C857" i="2"/>
  <c r="B857" i="2"/>
  <c r="A857" i="2"/>
  <c r="S856" i="2"/>
  <c r="R856" i="2"/>
  <c r="Q856" i="2"/>
  <c r="P856" i="2"/>
  <c r="O856" i="2"/>
  <c r="N856" i="2"/>
  <c r="M856" i="2"/>
  <c r="L856" i="2"/>
  <c r="K856" i="2"/>
  <c r="J856" i="2"/>
  <c r="I856" i="2"/>
  <c r="H856" i="2"/>
  <c r="G856" i="2"/>
  <c r="F856" i="2"/>
  <c r="E856" i="2"/>
  <c r="D856" i="2"/>
  <c r="C856" i="2"/>
  <c r="B856" i="2"/>
  <c r="A856" i="2"/>
  <c r="S855" i="2"/>
  <c r="R855" i="2"/>
  <c r="Q855" i="2"/>
  <c r="P855" i="2"/>
  <c r="O855" i="2"/>
  <c r="N855" i="2"/>
  <c r="M855" i="2"/>
  <c r="L855" i="2"/>
  <c r="K855" i="2"/>
  <c r="J855" i="2"/>
  <c r="I855" i="2"/>
  <c r="H855" i="2"/>
  <c r="G855" i="2"/>
  <c r="F855" i="2"/>
  <c r="E855" i="2"/>
  <c r="D855" i="2"/>
  <c r="C855" i="2"/>
  <c r="B855" i="2"/>
  <c r="A855" i="2"/>
  <c r="S854" i="2"/>
  <c r="R854" i="2"/>
  <c r="Q854" i="2"/>
  <c r="P854" i="2"/>
  <c r="O854" i="2"/>
  <c r="N854" i="2"/>
  <c r="M854" i="2"/>
  <c r="L854" i="2"/>
  <c r="K854" i="2"/>
  <c r="J854" i="2"/>
  <c r="I854" i="2"/>
  <c r="H854" i="2"/>
  <c r="G854" i="2"/>
  <c r="F854" i="2"/>
  <c r="E854" i="2"/>
  <c r="D854" i="2"/>
  <c r="C854" i="2"/>
  <c r="B854" i="2"/>
  <c r="A854" i="2"/>
  <c r="S853" i="2"/>
  <c r="R853" i="2"/>
  <c r="Q853" i="2"/>
  <c r="P853" i="2"/>
  <c r="O853" i="2"/>
  <c r="N853" i="2"/>
  <c r="M853" i="2"/>
  <c r="L853" i="2"/>
  <c r="K853" i="2"/>
  <c r="J853" i="2"/>
  <c r="I853" i="2"/>
  <c r="H853" i="2"/>
  <c r="G853" i="2"/>
  <c r="F853" i="2"/>
  <c r="E853" i="2"/>
  <c r="D853" i="2"/>
  <c r="C853" i="2"/>
  <c r="B853" i="2"/>
  <c r="A853" i="2"/>
  <c r="S852" i="2"/>
  <c r="R852" i="2"/>
  <c r="Q852" i="2"/>
  <c r="P852" i="2"/>
  <c r="O852" i="2"/>
  <c r="N852" i="2"/>
  <c r="M852" i="2"/>
  <c r="L852" i="2"/>
  <c r="K852" i="2"/>
  <c r="J852" i="2"/>
  <c r="I852" i="2"/>
  <c r="H852" i="2"/>
  <c r="G852" i="2"/>
  <c r="F852" i="2"/>
  <c r="E852" i="2"/>
  <c r="D852" i="2"/>
  <c r="C852" i="2"/>
  <c r="B852" i="2"/>
  <c r="A852" i="2"/>
  <c r="S851" i="2"/>
  <c r="R851" i="2"/>
  <c r="Q851" i="2"/>
  <c r="P851" i="2"/>
  <c r="O851" i="2"/>
  <c r="N851" i="2"/>
  <c r="M851" i="2"/>
  <c r="L851" i="2"/>
  <c r="K851" i="2"/>
  <c r="J851" i="2"/>
  <c r="I851" i="2"/>
  <c r="H851" i="2"/>
  <c r="G851" i="2"/>
  <c r="F851" i="2"/>
  <c r="E851" i="2"/>
  <c r="D851" i="2"/>
  <c r="C851" i="2"/>
  <c r="B851" i="2"/>
  <c r="A851" i="2"/>
  <c r="S850" i="2"/>
  <c r="R850" i="2"/>
  <c r="Q850" i="2"/>
  <c r="P850" i="2"/>
  <c r="O850" i="2"/>
  <c r="N850" i="2"/>
  <c r="M850" i="2"/>
  <c r="L850" i="2"/>
  <c r="K850" i="2"/>
  <c r="J850" i="2"/>
  <c r="I850" i="2"/>
  <c r="H850" i="2"/>
  <c r="G850" i="2"/>
  <c r="F850" i="2"/>
  <c r="E850" i="2"/>
  <c r="D850" i="2"/>
  <c r="C850" i="2"/>
  <c r="B850" i="2"/>
  <c r="A850" i="2"/>
  <c r="S849" i="2"/>
  <c r="R849" i="2"/>
  <c r="Q849" i="2"/>
  <c r="P849" i="2"/>
  <c r="O849" i="2"/>
  <c r="N849" i="2"/>
  <c r="M849" i="2"/>
  <c r="L849" i="2"/>
  <c r="K849" i="2"/>
  <c r="J849" i="2"/>
  <c r="I849" i="2"/>
  <c r="H849" i="2"/>
  <c r="G849" i="2"/>
  <c r="F849" i="2"/>
  <c r="E849" i="2"/>
  <c r="D849" i="2"/>
  <c r="C849" i="2"/>
  <c r="B849" i="2"/>
  <c r="A849" i="2"/>
  <c r="S848" i="2"/>
  <c r="R848" i="2"/>
  <c r="Q848" i="2"/>
  <c r="P848" i="2"/>
  <c r="O848" i="2"/>
  <c r="N848" i="2"/>
  <c r="M848" i="2"/>
  <c r="L848" i="2"/>
  <c r="K848" i="2"/>
  <c r="J848" i="2"/>
  <c r="I848" i="2"/>
  <c r="H848" i="2"/>
  <c r="G848" i="2"/>
  <c r="F848" i="2"/>
  <c r="E848" i="2"/>
  <c r="D848" i="2"/>
  <c r="C848" i="2"/>
  <c r="B848" i="2"/>
  <c r="A848" i="2"/>
  <c r="S847" i="2"/>
  <c r="R847" i="2"/>
  <c r="Q847" i="2"/>
  <c r="P847" i="2"/>
  <c r="O847" i="2"/>
  <c r="N847" i="2"/>
  <c r="M847" i="2"/>
  <c r="L847" i="2"/>
  <c r="K847" i="2"/>
  <c r="J847" i="2"/>
  <c r="I847" i="2"/>
  <c r="H847" i="2"/>
  <c r="G847" i="2"/>
  <c r="F847" i="2"/>
  <c r="E847" i="2"/>
  <c r="D847" i="2"/>
  <c r="C847" i="2"/>
  <c r="B847" i="2"/>
  <c r="A847" i="2"/>
  <c r="S846" i="2"/>
  <c r="R846" i="2"/>
  <c r="Q846" i="2"/>
  <c r="P846" i="2"/>
  <c r="O846" i="2"/>
  <c r="N846" i="2"/>
  <c r="M846" i="2"/>
  <c r="L846" i="2"/>
  <c r="K846" i="2"/>
  <c r="J846" i="2"/>
  <c r="I846" i="2"/>
  <c r="H846" i="2"/>
  <c r="G846" i="2"/>
  <c r="F846" i="2"/>
  <c r="E846" i="2"/>
  <c r="D846" i="2"/>
  <c r="C846" i="2"/>
  <c r="B846" i="2"/>
  <c r="A846" i="2"/>
  <c r="S845" i="2"/>
  <c r="R845" i="2"/>
  <c r="Q845" i="2"/>
  <c r="P845" i="2"/>
  <c r="O845" i="2"/>
  <c r="N845" i="2"/>
  <c r="M845" i="2"/>
  <c r="L845" i="2"/>
  <c r="K845" i="2"/>
  <c r="J845" i="2"/>
  <c r="I845" i="2"/>
  <c r="H845" i="2"/>
  <c r="G845" i="2"/>
  <c r="F845" i="2"/>
  <c r="E845" i="2"/>
  <c r="D845" i="2"/>
  <c r="C845" i="2"/>
  <c r="B845" i="2"/>
  <c r="A845" i="2"/>
  <c r="S844" i="2"/>
  <c r="R844" i="2"/>
  <c r="Q844" i="2"/>
  <c r="P844" i="2"/>
  <c r="O844" i="2"/>
  <c r="N844" i="2"/>
  <c r="M844" i="2"/>
  <c r="L844" i="2"/>
  <c r="K844" i="2"/>
  <c r="J844" i="2"/>
  <c r="I844" i="2"/>
  <c r="H844" i="2"/>
  <c r="G844" i="2"/>
  <c r="F844" i="2"/>
  <c r="E844" i="2"/>
  <c r="D844" i="2"/>
  <c r="C844" i="2"/>
  <c r="B844" i="2"/>
  <c r="A844" i="2"/>
  <c r="S843" i="2"/>
  <c r="R843" i="2"/>
  <c r="Q843" i="2"/>
  <c r="P843" i="2"/>
  <c r="O843" i="2"/>
  <c r="N843" i="2"/>
  <c r="M843" i="2"/>
  <c r="L843" i="2"/>
  <c r="K843" i="2"/>
  <c r="J843" i="2"/>
  <c r="I843" i="2"/>
  <c r="H843" i="2"/>
  <c r="G843" i="2"/>
  <c r="F843" i="2"/>
  <c r="E843" i="2"/>
  <c r="D843" i="2"/>
  <c r="C843" i="2"/>
  <c r="B843" i="2"/>
  <c r="A843" i="2"/>
  <c r="S842" i="2"/>
  <c r="R842" i="2"/>
  <c r="Q842" i="2"/>
  <c r="P842" i="2"/>
  <c r="O842" i="2"/>
  <c r="N842" i="2"/>
  <c r="M842" i="2"/>
  <c r="L842" i="2"/>
  <c r="K842" i="2"/>
  <c r="J842" i="2"/>
  <c r="I842" i="2"/>
  <c r="H842" i="2"/>
  <c r="G842" i="2"/>
  <c r="F842" i="2"/>
  <c r="E842" i="2"/>
  <c r="D842" i="2"/>
  <c r="C842" i="2"/>
  <c r="B842" i="2"/>
  <c r="A842" i="2"/>
  <c r="S841" i="2"/>
  <c r="R841" i="2"/>
  <c r="Q841" i="2"/>
  <c r="P841" i="2"/>
  <c r="O841" i="2"/>
  <c r="N841" i="2"/>
  <c r="M841" i="2"/>
  <c r="L841" i="2"/>
  <c r="K841" i="2"/>
  <c r="J841" i="2"/>
  <c r="I841" i="2"/>
  <c r="H841" i="2"/>
  <c r="G841" i="2"/>
  <c r="F841" i="2"/>
  <c r="E841" i="2"/>
  <c r="D841" i="2"/>
  <c r="C841" i="2"/>
  <c r="B841" i="2"/>
  <c r="A841" i="2"/>
  <c r="S840" i="2"/>
  <c r="R840" i="2"/>
  <c r="Q840" i="2"/>
  <c r="P840" i="2"/>
  <c r="O840" i="2"/>
  <c r="N840" i="2"/>
  <c r="M840" i="2"/>
  <c r="L840" i="2"/>
  <c r="K840" i="2"/>
  <c r="J840" i="2"/>
  <c r="I840" i="2"/>
  <c r="H840" i="2"/>
  <c r="G840" i="2"/>
  <c r="F840" i="2"/>
  <c r="E840" i="2"/>
  <c r="D840" i="2"/>
  <c r="C840" i="2"/>
  <c r="B840" i="2"/>
  <c r="A840" i="2"/>
  <c r="S839" i="2"/>
  <c r="R839" i="2"/>
  <c r="Q839" i="2"/>
  <c r="P839" i="2"/>
  <c r="O839" i="2"/>
  <c r="N839" i="2"/>
  <c r="M839" i="2"/>
  <c r="L839" i="2"/>
  <c r="K839" i="2"/>
  <c r="J839" i="2"/>
  <c r="I839" i="2"/>
  <c r="H839" i="2"/>
  <c r="G839" i="2"/>
  <c r="F839" i="2"/>
  <c r="E839" i="2"/>
  <c r="D839" i="2"/>
  <c r="C839" i="2"/>
  <c r="B839" i="2"/>
  <c r="A839" i="2"/>
  <c r="S838" i="2"/>
  <c r="R838" i="2"/>
  <c r="Q838" i="2"/>
  <c r="P838" i="2"/>
  <c r="O838" i="2"/>
  <c r="N838" i="2"/>
  <c r="M838" i="2"/>
  <c r="L838" i="2"/>
  <c r="K838" i="2"/>
  <c r="J838" i="2"/>
  <c r="I838" i="2"/>
  <c r="H838" i="2"/>
  <c r="G838" i="2"/>
  <c r="F838" i="2"/>
  <c r="E838" i="2"/>
  <c r="D838" i="2"/>
  <c r="C838" i="2"/>
  <c r="B838" i="2"/>
  <c r="A838" i="2"/>
  <c r="S837" i="2"/>
  <c r="R837" i="2"/>
  <c r="Q837" i="2"/>
  <c r="P837" i="2"/>
  <c r="O837" i="2"/>
  <c r="N837" i="2"/>
  <c r="M837" i="2"/>
  <c r="L837" i="2"/>
  <c r="K837" i="2"/>
  <c r="J837" i="2"/>
  <c r="I837" i="2"/>
  <c r="H837" i="2"/>
  <c r="G837" i="2"/>
  <c r="F837" i="2"/>
  <c r="E837" i="2"/>
  <c r="D837" i="2"/>
  <c r="C837" i="2"/>
  <c r="B837" i="2"/>
  <c r="A837" i="2"/>
  <c r="S836" i="2"/>
  <c r="R836" i="2"/>
  <c r="Q836" i="2"/>
  <c r="P836" i="2"/>
  <c r="O836" i="2"/>
  <c r="N836" i="2"/>
  <c r="M836" i="2"/>
  <c r="L836" i="2"/>
  <c r="K836" i="2"/>
  <c r="J836" i="2"/>
  <c r="I836" i="2"/>
  <c r="H836" i="2"/>
  <c r="G836" i="2"/>
  <c r="F836" i="2"/>
  <c r="E836" i="2"/>
  <c r="D836" i="2"/>
  <c r="C836" i="2"/>
  <c r="B836" i="2"/>
  <c r="A836" i="2"/>
  <c r="S835" i="2"/>
  <c r="R835" i="2"/>
  <c r="Q835" i="2"/>
  <c r="P835" i="2"/>
  <c r="O835" i="2"/>
  <c r="N835" i="2"/>
  <c r="M835" i="2"/>
  <c r="L835" i="2"/>
  <c r="K835" i="2"/>
  <c r="J835" i="2"/>
  <c r="I835" i="2"/>
  <c r="H835" i="2"/>
  <c r="G835" i="2"/>
  <c r="F835" i="2"/>
  <c r="E835" i="2"/>
  <c r="D835" i="2"/>
  <c r="C835" i="2"/>
  <c r="B835" i="2"/>
  <c r="A835" i="2"/>
  <c r="S834" i="2"/>
  <c r="R834" i="2"/>
  <c r="Q834" i="2"/>
  <c r="P834" i="2"/>
  <c r="O834" i="2"/>
  <c r="N834" i="2"/>
  <c r="M834" i="2"/>
  <c r="L834" i="2"/>
  <c r="K834" i="2"/>
  <c r="J834" i="2"/>
  <c r="I834" i="2"/>
  <c r="H834" i="2"/>
  <c r="G834" i="2"/>
  <c r="F834" i="2"/>
  <c r="E834" i="2"/>
  <c r="D834" i="2"/>
  <c r="C834" i="2"/>
  <c r="B834" i="2"/>
  <c r="A834" i="2"/>
  <c r="S833" i="2"/>
  <c r="R833" i="2"/>
  <c r="Q833" i="2"/>
  <c r="P833" i="2"/>
  <c r="O833" i="2"/>
  <c r="N833" i="2"/>
  <c r="M833" i="2"/>
  <c r="L833" i="2"/>
  <c r="K833" i="2"/>
  <c r="J833" i="2"/>
  <c r="I833" i="2"/>
  <c r="H833" i="2"/>
  <c r="G833" i="2"/>
  <c r="F833" i="2"/>
  <c r="E833" i="2"/>
  <c r="D833" i="2"/>
  <c r="C833" i="2"/>
  <c r="B833" i="2"/>
  <c r="A833" i="2"/>
  <c r="S832" i="2"/>
  <c r="R832" i="2"/>
  <c r="Q832" i="2"/>
  <c r="P832" i="2"/>
  <c r="O832" i="2"/>
  <c r="N832" i="2"/>
  <c r="M832" i="2"/>
  <c r="L832" i="2"/>
  <c r="K832" i="2"/>
  <c r="J832" i="2"/>
  <c r="I832" i="2"/>
  <c r="H832" i="2"/>
  <c r="G832" i="2"/>
  <c r="F832" i="2"/>
  <c r="E832" i="2"/>
  <c r="D832" i="2"/>
  <c r="C832" i="2"/>
  <c r="B832" i="2"/>
  <c r="A832" i="2"/>
  <c r="S831" i="2"/>
  <c r="R831" i="2"/>
  <c r="Q831" i="2"/>
  <c r="P831" i="2"/>
  <c r="O831" i="2"/>
  <c r="N831" i="2"/>
  <c r="M831" i="2"/>
  <c r="L831" i="2"/>
  <c r="K831" i="2"/>
  <c r="J831" i="2"/>
  <c r="I831" i="2"/>
  <c r="H831" i="2"/>
  <c r="G831" i="2"/>
  <c r="F831" i="2"/>
  <c r="E831" i="2"/>
  <c r="D831" i="2"/>
  <c r="C831" i="2"/>
  <c r="B831" i="2"/>
  <c r="A831" i="2"/>
  <c r="S830" i="2"/>
  <c r="R830" i="2"/>
  <c r="Q830" i="2"/>
  <c r="P830" i="2"/>
  <c r="O830" i="2"/>
  <c r="N830" i="2"/>
  <c r="M830" i="2"/>
  <c r="L830" i="2"/>
  <c r="K830" i="2"/>
  <c r="J830" i="2"/>
  <c r="I830" i="2"/>
  <c r="H830" i="2"/>
  <c r="G830" i="2"/>
  <c r="F830" i="2"/>
  <c r="E830" i="2"/>
  <c r="D830" i="2"/>
  <c r="C830" i="2"/>
  <c r="B830" i="2"/>
  <c r="A830" i="2"/>
  <c r="S829" i="2"/>
  <c r="R829" i="2"/>
  <c r="Q829" i="2"/>
  <c r="P829" i="2"/>
  <c r="O829" i="2"/>
  <c r="N829" i="2"/>
  <c r="M829" i="2"/>
  <c r="L829" i="2"/>
  <c r="K829" i="2"/>
  <c r="J829" i="2"/>
  <c r="I829" i="2"/>
  <c r="H829" i="2"/>
  <c r="G829" i="2"/>
  <c r="F829" i="2"/>
  <c r="E829" i="2"/>
  <c r="D829" i="2"/>
  <c r="C829" i="2"/>
  <c r="B829" i="2"/>
  <c r="A829" i="2"/>
  <c r="S828" i="2"/>
  <c r="R828" i="2"/>
  <c r="Q828" i="2"/>
  <c r="P828" i="2"/>
  <c r="O828" i="2"/>
  <c r="N828" i="2"/>
  <c r="M828" i="2"/>
  <c r="L828" i="2"/>
  <c r="K828" i="2"/>
  <c r="J828" i="2"/>
  <c r="I828" i="2"/>
  <c r="H828" i="2"/>
  <c r="G828" i="2"/>
  <c r="F828" i="2"/>
  <c r="E828" i="2"/>
  <c r="D828" i="2"/>
  <c r="C828" i="2"/>
  <c r="B828" i="2"/>
  <c r="A828" i="2"/>
  <c r="S827" i="2"/>
  <c r="R827" i="2"/>
  <c r="Q827" i="2"/>
  <c r="P827" i="2"/>
  <c r="O827" i="2"/>
  <c r="N827" i="2"/>
  <c r="M827" i="2"/>
  <c r="L827" i="2"/>
  <c r="K827" i="2"/>
  <c r="J827" i="2"/>
  <c r="I827" i="2"/>
  <c r="H827" i="2"/>
  <c r="G827" i="2"/>
  <c r="F827" i="2"/>
  <c r="E827" i="2"/>
  <c r="D827" i="2"/>
  <c r="C827" i="2"/>
  <c r="B827" i="2"/>
  <c r="A827" i="2"/>
  <c r="S826" i="2"/>
  <c r="R826" i="2"/>
  <c r="Q826" i="2"/>
  <c r="P826" i="2"/>
  <c r="O826" i="2"/>
  <c r="N826" i="2"/>
  <c r="M826" i="2"/>
  <c r="L826" i="2"/>
  <c r="K826" i="2"/>
  <c r="J826" i="2"/>
  <c r="I826" i="2"/>
  <c r="H826" i="2"/>
  <c r="G826" i="2"/>
  <c r="F826" i="2"/>
  <c r="E826" i="2"/>
  <c r="D826" i="2"/>
  <c r="C826" i="2"/>
  <c r="B826" i="2"/>
  <c r="A826" i="2"/>
  <c r="S825" i="2"/>
  <c r="R825" i="2"/>
  <c r="Q825" i="2"/>
  <c r="P825" i="2"/>
  <c r="O825" i="2"/>
  <c r="N825" i="2"/>
  <c r="M825" i="2"/>
  <c r="L825" i="2"/>
  <c r="K825" i="2"/>
  <c r="J825" i="2"/>
  <c r="I825" i="2"/>
  <c r="H825" i="2"/>
  <c r="G825" i="2"/>
  <c r="F825" i="2"/>
  <c r="E825" i="2"/>
  <c r="D825" i="2"/>
  <c r="C825" i="2"/>
  <c r="B825" i="2"/>
  <c r="A825" i="2"/>
  <c r="S824" i="2"/>
  <c r="R824" i="2"/>
  <c r="Q824" i="2"/>
  <c r="P824" i="2"/>
  <c r="O824" i="2"/>
  <c r="N824" i="2"/>
  <c r="M824" i="2"/>
  <c r="L824" i="2"/>
  <c r="K824" i="2"/>
  <c r="J824" i="2"/>
  <c r="I824" i="2"/>
  <c r="H824" i="2"/>
  <c r="G824" i="2"/>
  <c r="F824" i="2"/>
  <c r="E824" i="2"/>
  <c r="D824" i="2"/>
  <c r="C824" i="2"/>
  <c r="B824" i="2"/>
  <c r="A824" i="2"/>
  <c r="S823" i="2"/>
  <c r="R823" i="2"/>
  <c r="Q823" i="2"/>
  <c r="P823" i="2"/>
  <c r="O823" i="2"/>
  <c r="N823" i="2"/>
  <c r="M823" i="2"/>
  <c r="L823" i="2"/>
  <c r="K823" i="2"/>
  <c r="J823" i="2"/>
  <c r="I823" i="2"/>
  <c r="H823" i="2"/>
  <c r="G823" i="2"/>
  <c r="F823" i="2"/>
  <c r="E823" i="2"/>
  <c r="D823" i="2"/>
  <c r="C823" i="2"/>
  <c r="B823" i="2"/>
  <c r="A823" i="2"/>
  <c r="S822" i="2"/>
  <c r="R822" i="2"/>
  <c r="Q822" i="2"/>
  <c r="P822" i="2"/>
  <c r="O822" i="2"/>
  <c r="N822" i="2"/>
  <c r="M822" i="2"/>
  <c r="L822" i="2"/>
  <c r="K822" i="2"/>
  <c r="J822" i="2"/>
  <c r="I822" i="2"/>
  <c r="H822" i="2"/>
  <c r="G822" i="2"/>
  <c r="F822" i="2"/>
  <c r="E822" i="2"/>
  <c r="D822" i="2"/>
  <c r="C822" i="2"/>
  <c r="B822" i="2"/>
  <c r="A822" i="2"/>
  <c r="S821" i="2"/>
  <c r="R821" i="2"/>
  <c r="Q821" i="2"/>
  <c r="P821" i="2"/>
  <c r="O821" i="2"/>
  <c r="N821" i="2"/>
  <c r="M821" i="2"/>
  <c r="L821" i="2"/>
  <c r="K821" i="2"/>
  <c r="J821" i="2"/>
  <c r="I821" i="2"/>
  <c r="H821" i="2"/>
  <c r="G821" i="2"/>
  <c r="F821" i="2"/>
  <c r="E821" i="2"/>
  <c r="D821" i="2"/>
  <c r="C821" i="2"/>
  <c r="B821" i="2"/>
  <c r="A821" i="2"/>
  <c r="S820" i="2"/>
  <c r="R820" i="2"/>
  <c r="Q820" i="2"/>
  <c r="P820" i="2"/>
  <c r="O820" i="2"/>
  <c r="N820" i="2"/>
  <c r="M820" i="2"/>
  <c r="L820" i="2"/>
  <c r="K820" i="2"/>
  <c r="J820" i="2"/>
  <c r="I820" i="2"/>
  <c r="H820" i="2"/>
  <c r="G820" i="2"/>
  <c r="F820" i="2"/>
  <c r="E820" i="2"/>
  <c r="D820" i="2"/>
  <c r="C820" i="2"/>
  <c r="B820" i="2"/>
  <c r="A820" i="2"/>
  <c r="S819" i="2"/>
  <c r="R819" i="2"/>
  <c r="Q819" i="2"/>
  <c r="P819" i="2"/>
  <c r="O819" i="2"/>
  <c r="N819" i="2"/>
  <c r="M819" i="2"/>
  <c r="L819" i="2"/>
  <c r="K819" i="2"/>
  <c r="J819" i="2"/>
  <c r="I819" i="2"/>
  <c r="H819" i="2"/>
  <c r="G819" i="2"/>
  <c r="F819" i="2"/>
  <c r="E819" i="2"/>
  <c r="D819" i="2"/>
  <c r="C819" i="2"/>
  <c r="B819" i="2"/>
  <c r="A819" i="2"/>
  <c r="S818" i="2"/>
  <c r="R818" i="2"/>
  <c r="Q818" i="2"/>
  <c r="P818" i="2"/>
  <c r="O818" i="2"/>
  <c r="N818" i="2"/>
  <c r="M818" i="2"/>
  <c r="L818" i="2"/>
  <c r="K818" i="2"/>
  <c r="J818" i="2"/>
  <c r="I818" i="2"/>
  <c r="H818" i="2"/>
  <c r="G818" i="2"/>
  <c r="F818" i="2"/>
  <c r="E818" i="2"/>
  <c r="D818" i="2"/>
  <c r="C818" i="2"/>
  <c r="B818" i="2"/>
  <c r="A818" i="2"/>
  <c r="S817" i="2"/>
  <c r="R817" i="2"/>
  <c r="Q817" i="2"/>
  <c r="P817" i="2"/>
  <c r="O817" i="2"/>
  <c r="N817" i="2"/>
  <c r="M817" i="2"/>
  <c r="L817" i="2"/>
  <c r="K817" i="2"/>
  <c r="J817" i="2"/>
  <c r="I817" i="2"/>
  <c r="H817" i="2"/>
  <c r="G817" i="2"/>
  <c r="F817" i="2"/>
  <c r="E817" i="2"/>
  <c r="D817" i="2"/>
  <c r="C817" i="2"/>
  <c r="B817" i="2"/>
  <c r="A817" i="2"/>
  <c r="S816" i="2"/>
  <c r="R816" i="2"/>
  <c r="Q816" i="2"/>
  <c r="P816" i="2"/>
  <c r="O816" i="2"/>
  <c r="N816" i="2"/>
  <c r="M816" i="2"/>
  <c r="L816" i="2"/>
  <c r="K816" i="2"/>
  <c r="J816" i="2"/>
  <c r="I816" i="2"/>
  <c r="H816" i="2"/>
  <c r="G816" i="2"/>
  <c r="F816" i="2"/>
  <c r="E816" i="2"/>
  <c r="D816" i="2"/>
  <c r="C816" i="2"/>
  <c r="B816" i="2"/>
  <c r="A816" i="2"/>
  <c r="S815" i="2"/>
  <c r="R815" i="2"/>
  <c r="Q815" i="2"/>
  <c r="P815" i="2"/>
  <c r="O815" i="2"/>
  <c r="N815" i="2"/>
  <c r="M815" i="2"/>
  <c r="L815" i="2"/>
  <c r="K815" i="2"/>
  <c r="J815" i="2"/>
  <c r="I815" i="2"/>
  <c r="H815" i="2"/>
  <c r="G815" i="2"/>
  <c r="F815" i="2"/>
  <c r="E815" i="2"/>
  <c r="D815" i="2"/>
  <c r="C815" i="2"/>
  <c r="B815" i="2"/>
  <c r="A815" i="2"/>
  <c r="S814" i="2"/>
  <c r="R814" i="2"/>
  <c r="Q814" i="2"/>
  <c r="P814" i="2"/>
  <c r="O814" i="2"/>
  <c r="N814" i="2"/>
  <c r="M814" i="2"/>
  <c r="L814" i="2"/>
  <c r="K814" i="2"/>
  <c r="J814" i="2"/>
  <c r="I814" i="2"/>
  <c r="H814" i="2"/>
  <c r="G814" i="2"/>
  <c r="F814" i="2"/>
  <c r="E814" i="2"/>
  <c r="D814" i="2"/>
  <c r="C814" i="2"/>
  <c r="B814" i="2"/>
  <c r="A814" i="2"/>
  <c r="S813" i="2"/>
  <c r="R813" i="2"/>
  <c r="Q813" i="2"/>
  <c r="P813" i="2"/>
  <c r="O813" i="2"/>
  <c r="N813" i="2"/>
  <c r="M813" i="2"/>
  <c r="L813" i="2"/>
  <c r="K813" i="2"/>
  <c r="J813" i="2"/>
  <c r="I813" i="2"/>
  <c r="H813" i="2"/>
  <c r="G813" i="2"/>
  <c r="F813" i="2"/>
  <c r="E813" i="2"/>
  <c r="D813" i="2"/>
  <c r="C813" i="2"/>
  <c r="B813" i="2"/>
  <c r="A813" i="2"/>
  <c r="S812" i="2"/>
  <c r="R812" i="2"/>
  <c r="Q812" i="2"/>
  <c r="P812" i="2"/>
  <c r="O812" i="2"/>
  <c r="N812" i="2"/>
  <c r="M812" i="2"/>
  <c r="L812" i="2"/>
  <c r="K812" i="2"/>
  <c r="J812" i="2"/>
  <c r="I812" i="2"/>
  <c r="H812" i="2"/>
  <c r="G812" i="2"/>
  <c r="F812" i="2"/>
  <c r="E812" i="2"/>
  <c r="D812" i="2"/>
  <c r="C812" i="2"/>
  <c r="B812" i="2"/>
  <c r="A812" i="2"/>
  <c r="S811" i="2"/>
  <c r="R811" i="2"/>
  <c r="Q811" i="2"/>
  <c r="P811" i="2"/>
  <c r="O811" i="2"/>
  <c r="N811" i="2"/>
  <c r="M811" i="2"/>
  <c r="L811" i="2"/>
  <c r="K811" i="2"/>
  <c r="J811" i="2"/>
  <c r="I811" i="2"/>
  <c r="H811" i="2"/>
  <c r="G811" i="2"/>
  <c r="F811" i="2"/>
  <c r="E811" i="2"/>
  <c r="D811" i="2"/>
  <c r="C811" i="2"/>
  <c r="B811" i="2"/>
  <c r="A811" i="2"/>
  <c r="S810" i="2"/>
  <c r="R810" i="2"/>
  <c r="Q810" i="2"/>
  <c r="P810" i="2"/>
  <c r="O810" i="2"/>
  <c r="N810" i="2"/>
  <c r="M810" i="2"/>
  <c r="L810" i="2"/>
  <c r="K810" i="2"/>
  <c r="J810" i="2"/>
  <c r="I810" i="2"/>
  <c r="H810" i="2"/>
  <c r="G810" i="2"/>
  <c r="F810" i="2"/>
  <c r="E810" i="2"/>
  <c r="D810" i="2"/>
  <c r="C810" i="2"/>
  <c r="B810" i="2"/>
  <c r="A810" i="2"/>
  <c r="S809" i="2"/>
  <c r="R809" i="2"/>
  <c r="Q809" i="2"/>
  <c r="P809" i="2"/>
  <c r="O809" i="2"/>
  <c r="N809" i="2"/>
  <c r="M809" i="2"/>
  <c r="L809" i="2"/>
  <c r="K809" i="2"/>
  <c r="J809" i="2"/>
  <c r="I809" i="2"/>
  <c r="H809" i="2"/>
  <c r="G809" i="2"/>
  <c r="F809" i="2"/>
  <c r="E809" i="2"/>
  <c r="D809" i="2"/>
  <c r="C809" i="2"/>
  <c r="B809" i="2"/>
  <c r="A809" i="2"/>
  <c r="S808" i="2"/>
  <c r="R808" i="2"/>
  <c r="Q808" i="2"/>
  <c r="P808" i="2"/>
  <c r="O808" i="2"/>
  <c r="N808" i="2"/>
  <c r="M808" i="2"/>
  <c r="L808" i="2"/>
  <c r="K808" i="2"/>
  <c r="J808" i="2"/>
  <c r="I808" i="2"/>
  <c r="H808" i="2"/>
  <c r="G808" i="2"/>
  <c r="F808" i="2"/>
  <c r="E808" i="2"/>
  <c r="D808" i="2"/>
  <c r="C808" i="2"/>
  <c r="B808" i="2"/>
  <c r="A808" i="2"/>
  <c r="S807" i="2"/>
  <c r="R807" i="2"/>
  <c r="Q807" i="2"/>
  <c r="P807" i="2"/>
  <c r="O807" i="2"/>
  <c r="N807" i="2"/>
  <c r="M807" i="2"/>
  <c r="L807" i="2"/>
  <c r="K807" i="2"/>
  <c r="J807" i="2"/>
  <c r="I807" i="2"/>
  <c r="H807" i="2"/>
  <c r="G807" i="2"/>
  <c r="F807" i="2"/>
  <c r="E807" i="2"/>
  <c r="D807" i="2"/>
  <c r="C807" i="2"/>
  <c r="B807" i="2"/>
  <c r="A807" i="2"/>
  <c r="S806" i="2"/>
  <c r="R806" i="2"/>
  <c r="Q806" i="2"/>
  <c r="P806" i="2"/>
  <c r="O806" i="2"/>
  <c r="N806" i="2"/>
  <c r="M806" i="2"/>
  <c r="L806" i="2"/>
  <c r="K806" i="2"/>
  <c r="J806" i="2"/>
  <c r="I806" i="2"/>
  <c r="H806" i="2"/>
  <c r="G806" i="2"/>
  <c r="F806" i="2"/>
  <c r="E806" i="2"/>
  <c r="D806" i="2"/>
  <c r="C806" i="2"/>
  <c r="B806" i="2"/>
  <c r="A806" i="2"/>
  <c r="S805" i="2"/>
  <c r="R805" i="2"/>
  <c r="Q805" i="2"/>
  <c r="P805" i="2"/>
  <c r="O805" i="2"/>
  <c r="N805" i="2"/>
  <c r="M805" i="2"/>
  <c r="L805" i="2"/>
  <c r="K805" i="2"/>
  <c r="J805" i="2"/>
  <c r="I805" i="2"/>
  <c r="H805" i="2"/>
  <c r="G805" i="2"/>
  <c r="F805" i="2"/>
  <c r="E805" i="2"/>
  <c r="D805" i="2"/>
  <c r="C805" i="2"/>
  <c r="B805" i="2"/>
  <c r="A805" i="2"/>
  <c r="S804" i="2"/>
  <c r="R804" i="2"/>
  <c r="Q804" i="2"/>
  <c r="P804" i="2"/>
  <c r="O804" i="2"/>
  <c r="N804" i="2"/>
  <c r="M804" i="2"/>
  <c r="L804" i="2"/>
  <c r="K804" i="2"/>
  <c r="J804" i="2"/>
  <c r="I804" i="2"/>
  <c r="H804" i="2"/>
  <c r="G804" i="2"/>
  <c r="F804" i="2"/>
  <c r="E804" i="2"/>
  <c r="D804" i="2"/>
  <c r="C804" i="2"/>
  <c r="B804" i="2"/>
  <c r="A804" i="2"/>
  <c r="S803" i="2"/>
  <c r="R803" i="2"/>
  <c r="Q803" i="2"/>
  <c r="P803" i="2"/>
  <c r="O803" i="2"/>
  <c r="N803" i="2"/>
  <c r="M803" i="2"/>
  <c r="L803" i="2"/>
  <c r="K803" i="2"/>
  <c r="J803" i="2"/>
  <c r="I803" i="2"/>
  <c r="H803" i="2"/>
  <c r="G803" i="2"/>
  <c r="F803" i="2"/>
  <c r="E803" i="2"/>
  <c r="D803" i="2"/>
  <c r="C803" i="2"/>
  <c r="B803" i="2"/>
  <c r="A803" i="2"/>
  <c r="S802" i="2"/>
  <c r="R802" i="2"/>
  <c r="Q802" i="2"/>
  <c r="P802" i="2"/>
  <c r="O802" i="2"/>
  <c r="N802" i="2"/>
  <c r="M802" i="2"/>
  <c r="L802" i="2"/>
  <c r="K802" i="2"/>
  <c r="J802" i="2"/>
  <c r="I802" i="2"/>
  <c r="H802" i="2"/>
  <c r="G802" i="2"/>
  <c r="F802" i="2"/>
  <c r="E802" i="2"/>
  <c r="D802" i="2"/>
  <c r="C802" i="2"/>
  <c r="B802" i="2"/>
  <c r="A802" i="2"/>
  <c r="S801" i="2"/>
  <c r="R801" i="2"/>
  <c r="Q801" i="2"/>
  <c r="P801" i="2"/>
  <c r="O801" i="2"/>
  <c r="N801" i="2"/>
  <c r="M801" i="2"/>
  <c r="L801" i="2"/>
  <c r="K801" i="2"/>
  <c r="J801" i="2"/>
  <c r="I801" i="2"/>
  <c r="H801" i="2"/>
  <c r="G801" i="2"/>
  <c r="F801" i="2"/>
  <c r="E801" i="2"/>
  <c r="D801" i="2"/>
  <c r="C801" i="2"/>
  <c r="B801" i="2"/>
  <c r="A801" i="2"/>
  <c r="S800" i="2"/>
  <c r="R800" i="2"/>
  <c r="Q800" i="2"/>
  <c r="P800" i="2"/>
  <c r="O800" i="2"/>
  <c r="N800" i="2"/>
  <c r="M800" i="2"/>
  <c r="L800" i="2"/>
  <c r="K800" i="2"/>
  <c r="J800" i="2"/>
  <c r="I800" i="2"/>
  <c r="H800" i="2"/>
  <c r="G800" i="2"/>
  <c r="F800" i="2"/>
  <c r="E800" i="2"/>
  <c r="D800" i="2"/>
  <c r="C800" i="2"/>
  <c r="B800" i="2"/>
  <c r="A800" i="2"/>
  <c r="S799" i="2"/>
  <c r="R799" i="2"/>
  <c r="Q799" i="2"/>
  <c r="P799" i="2"/>
  <c r="O799" i="2"/>
  <c r="N799" i="2"/>
  <c r="M799" i="2"/>
  <c r="L799" i="2"/>
  <c r="K799" i="2"/>
  <c r="J799" i="2"/>
  <c r="I799" i="2"/>
  <c r="H799" i="2"/>
  <c r="G799" i="2"/>
  <c r="F799" i="2"/>
  <c r="E799" i="2"/>
  <c r="D799" i="2"/>
  <c r="C799" i="2"/>
  <c r="B799" i="2"/>
  <c r="A799" i="2"/>
  <c r="S798" i="2"/>
  <c r="R798" i="2"/>
  <c r="Q798" i="2"/>
  <c r="P798" i="2"/>
  <c r="O798" i="2"/>
  <c r="N798" i="2"/>
  <c r="M798" i="2"/>
  <c r="L798" i="2"/>
  <c r="K798" i="2"/>
  <c r="J798" i="2"/>
  <c r="I798" i="2"/>
  <c r="H798" i="2"/>
  <c r="G798" i="2"/>
  <c r="F798" i="2"/>
  <c r="E798" i="2"/>
  <c r="D798" i="2"/>
  <c r="C798" i="2"/>
  <c r="B798" i="2"/>
  <c r="A798" i="2"/>
  <c r="S797" i="2"/>
  <c r="R797" i="2"/>
  <c r="Q797" i="2"/>
  <c r="P797" i="2"/>
  <c r="O797" i="2"/>
  <c r="N797" i="2"/>
  <c r="M797" i="2"/>
  <c r="L797" i="2"/>
  <c r="K797" i="2"/>
  <c r="J797" i="2"/>
  <c r="I797" i="2"/>
  <c r="H797" i="2"/>
  <c r="G797" i="2"/>
  <c r="F797" i="2"/>
  <c r="E797" i="2"/>
  <c r="D797" i="2"/>
  <c r="C797" i="2"/>
  <c r="B797" i="2"/>
  <c r="A797" i="2"/>
  <c r="S796" i="2"/>
  <c r="R796" i="2"/>
  <c r="Q796" i="2"/>
  <c r="P796" i="2"/>
  <c r="O796" i="2"/>
  <c r="N796" i="2"/>
  <c r="M796" i="2"/>
  <c r="L796" i="2"/>
  <c r="K796" i="2"/>
  <c r="J796" i="2"/>
  <c r="I796" i="2"/>
  <c r="H796" i="2"/>
  <c r="G796" i="2"/>
  <c r="F796" i="2"/>
  <c r="E796" i="2"/>
  <c r="D796" i="2"/>
  <c r="C796" i="2"/>
  <c r="B796" i="2"/>
  <c r="A796" i="2"/>
  <c r="S795" i="2"/>
  <c r="R795" i="2"/>
  <c r="Q795" i="2"/>
  <c r="P795" i="2"/>
  <c r="O795" i="2"/>
  <c r="N795" i="2"/>
  <c r="M795" i="2"/>
  <c r="L795" i="2"/>
  <c r="K795" i="2"/>
  <c r="J795" i="2"/>
  <c r="I795" i="2"/>
  <c r="H795" i="2"/>
  <c r="G795" i="2"/>
  <c r="F795" i="2"/>
  <c r="E795" i="2"/>
  <c r="D795" i="2"/>
  <c r="C795" i="2"/>
  <c r="B795" i="2"/>
  <c r="A795" i="2"/>
  <c r="S794" i="2"/>
  <c r="R794" i="2"/>
  <c r="Q794" i="2"/>
  <c r="P794" i="2"/>
  <c r="O794" i="2"/>
  <c r="N794" i="2"/>
  <c r="M794" i="2"/>
  <c r="L794" i="2"/>
  <c r="K794" i="2"/>
  <c r="J794" i="2"/>
  <c r="I794" i="2"/>
  <c r="H794" i="2"/>
  <c r="G794" i="2"/>
  <c r="F794" i="2"/>
  <c r="E794" i="2"/>
  <c r="D794" i="2"/>
  <c r="C794" i="2"/>
  <c r="B794" i="2"/>
  <c r="A794" i="2"/>
  <c r="S793" i="2"/>
  <c r="R793" i="2"/>
  <c r="Q793" i="2"/>
  <c r="P793" i="2"/>
  <c r="O793" i="2"/>
  <c r="N793" i="2"/>
  <c r="M793" i="2"/>
  <c r="L793" i="2"/>
  <c r="K793" i="2"/>
  <c r="J793" i="2"/>
  <c r="I793" i="2"/>
  <c r="H793" i="2"/>
  <c r="G793" i="2"/>
  <c r="F793" i="2"/>
  <c r="E793" i="2"/>
  <c r="D793" i="2"/>
  <c r="C793" i="2"/>
  <c r="B793" i="2"/>
  <c r="A793" i="2"/>
  <c r="S792" i="2"/>
  <c r="R792" i="2"/>
  <c r="Q792" i="2"/>
  <c r="P792" i="2"/>
  <c r="O792" i="2"/>
  <c r="N792" i="2"/>
  <c r="M792" i="2"/>
  <c r="L792" i="2"/>
  <c r="K792" i="2"/>
  <c r="J792" i="2"/>
  <c r="I792" i="2"/>
  <c r="H792" i="2"/>
  <c r="G792" i="2"/>
  <c r="F792" i="2"/>
  <c r="E792" i="2"/>
  <c r="D792" i="2"/>
  <c r="C792" i="2"/>
  <c r="B792" i="2"/>
  <c r="A792" i="2"/>
  <c r="S791" i="2"/>
  <c r="R791" i="2"/>
  <c r="Q791" i="2"/>
  <c r="P791" i="2"/>
  <c r="O791" i="2"/>
  <c r="N791" i="2"/>
  <c r="M791" i="2"/>
  <c r="L791" i="2"/>
  <c r="K791" i="2"/>
  <c r="J791" i="2"/>
  <c r="I791" i="2"/>
  <c r="H791" i="2"/>
  <c r="G791" i="2"/>
  <c r="F791" i="2"/>
  <c r="E791" i="2"/>
  <c r="D791" i="2"/>
  <c r="C791" i="2"/>
  <c r="B791" i="2"/>
  <c r="A791" i="2"/>
  <c r="S790" i="2"/>
  <c r="R790" i="2"/>
  <c r="Q790" i="2"/>
  <c r="P790" i="2"/>
  <c r="O790" i="2"/>
  <c r="N790" i="2"/>
  <c r="M790" i="2"/>
  <c r="L790" i="2"/>
  <c r="K790" i="2"/>
  <c r="J790" i="2"/>
  <c r="I790" i="2"/>
  <c r="H790" i="2"/>
  <c r="G790" i="2"/>
  <c r="F790" i="2"/>
  <c r="E790" i="2"/>
  <c r="D790" i="2"/>
  <c r="C790" i="2"/>
  <c r="B790" i="2"/>
  <c r="A790" i="2"/>
  <c r="S789" i="2"/>
  <c r="R789" i="2"/>
  <c r="Q789" i="2"/>
  <c r="P789" i="2"/>
  <c r="O789" i="2"/>
  <c r="N789" i="2"/>
  <c r="M789" i="2"/>
  <c r="L789" i="2"/>
  <c r="K789" i="2"/>
  <c r="J789" i="2"/>
  <c r="I789" i="2"/>
  <c r="H789" i="2"/>
  <c r="G789" i="2"/>
  <c r="F789" i="2"/>
  <c r="E789" i="2"/>
  <c r="D789" i="2"/>
  <c r="C789" i="2"/>
  <c r="B789" i="2"/>
  <c r="A789" i="2"/>
  <c r="S788" i="2"/>
  <c r="R788" i="2"/>
  <c r="Q788" i="2"/>
  <c r="P788" i="2"/>
  <c r="O788" i="2"/>
  <c r="N788" i="2"/>
  <c r="M788" i="2"/>
  <c r="L788" i="2"/>
  <c r="K788" i="2"/>
  <c r="J788" i="2"/>
  <c r="I788" i="2"/>
  <c r="H788" i="2"/>
  <c r="G788" i="2"/>
  <c r="F788" i="2"/>
  <c r="E788" i="2"/>
  <c r="D788" i="2"/>
  <c r="C788" i="2"/>
  <c r="B788" i="2"/>
  <c r="A788" i="2"/>
  <c r="S787" i="2"/>
  <c r="R787" i="2"/>
  <c r="Q787" i="2"/>
  <c r="P787" i="2"/>
  <c r="O787" i="2"/>
  <c r="N787" i="2"/>
  <c r="M787" i="2"/>
  <c r="L787" i="2"/>
  <c r="K787" i="2"/>
  <c r="J787" i="2"/>
  <c r="I787" i="2"/>
  <c r="H787" i="2"/>
  <c r="G787" i="2"/>
  <c r="F787" i="2"/>
  <c r="E787" i="2"/>
  <c r="D787" i="2"/>
  <c r="C787" i="2"/>
  <c r="B787" i="2"/>
  <c r="A787" i="2"/>
  <c r="S786" i="2"/>
  <c r="R786" i="2"/>
  <c r="Q786" i="2"/>
  <c r="P786" i="2"/>
  <c r="O786" i="2"/>
  <c r="N786" i="2"/>
  <c r="M786" i="2"/>
  <c r="L786" i="2"/>
  <c r="K786" i="2"/>
  <c r="J786" i="2"/>
  <c r="I786" i="2"/>
  <c r="H786" i="2"/>
  <c r="G786" i="2"/>
  <c r="F786" i="2"/>
  <c r="E786" i="2"/>
  <c r="D786" i="2"/>
  <c r="C786" i="2"/>
  <c r="B786" i="2"/>
  <c r="A786" i="2"/>
  <c r="S785" i="2"/>
  <c r="R785" i="2"/>
  <c r="Q785" i="2"/>
  <c r="P785" i="2"/>
  <c r="O785" i="2"/>
  <c r="N785" i="2"/>
  <c r="M785" i="2"/>
  <c r="L785" i="2"/>
  <c r="K785" i="2"/>
  <c r="J785" i="2"/>
  <c r="I785" i="2"/>
  <c r="H785" i="2"/>
  <c r="G785" i="2"/>
  <c r="F785" i="2"/>
  <c r="E785" i="2"/>
  <c r="D785" i="2"/>
  <c r="C785" i="2"/>
  <c r="B785" i="2"/>
  <c r="A785" i="2"/>
  <c r="S784" i="2"/>
  <c r="R784" i="2"/>
  <c r="Q784" i="2"/>
  <c r="P784" i="2"/>
  <c r="O784" i="2"/>
  <c r="N784" i="2"/>
  <c r="M784" i="2"/>
  <c r="L784" i="2"/>
  <c r="K784" i="2"/>
  <c r="J784" i="2"/>
  <c r="I784" i="2"/>
  <c r="H784" i="2"/>
  <c r="G784" i="2"/>
  <c r="F784" i="2"/>
  <c r="E784" i="2"/>
  <c r="D784" i="2"/>
  <c r="C784" i="2"/>
  <c r="B784" i="2"/>
  <c r="A784" i="2"/>
  <c r="S783" i="2"/>
  <c r="R783" i="2"/>
  <c r="Q783" i="2"/>
  <c r="P783" i="2"/>
  <c r="O783" i="2"/>
  <c r="N783" i="2"/>
  <c r="M783" i="2"/>
  <c r="L783" i="2"/>
  <c r="K783" i="2"/>
  <c r="J783" i="2"/>
  <c r="I783" i="2"/>
  <c r="H783" i="2"/>
  <c r="G783" i="2"/>
  <c r="F783" i="2"/>
  <c r="E783" i="2"/>
  <c r="D783" i="2"/>
  <c r="C783" i="2"/>
  <c r="B783" i="2"/>
  <c r="A783" i="2"/>
  <c r="S782" i="2"/>
  <c r="R782" i="2"/>
  <c r="Q782" i="2"/>
  <c r="P782" i="2"/>
  <c r="O782" i="2"/>
  <c r="N782" i="2"/>
  <c r="M782" i="2"/>
  <c r="L782" i="2"/>
  <c r="K782" i="2"/>
  <c r="J782" i="2"/>
  <c r="I782" i="2"/>
  <c r="H782" i="2"/>
  <c r="G782" i="2"/>
  <c r="F782" i="2"/>
  <c r="E782" i="2"/>
  <c r="D782" i="2"/>
  <c r="C782" i="2"/>
  <c r="B782" i="2"/>
  <c r="A782" i="2"/>
  <c r="S781" i="2"/>
  <c r="R781" i="2"/>
  <c r="Q781" i="2"/>
  <c r="P781" i="2"/>
  <c r="O781" i="2"/>
  <c r="N781" i="2"/>
  <c r="M781" i="2"/>
  <c r="L781" i="2"/>
  <c r="K781" i="2"/>
  <c r="J781" i="2"/>
  <c r="I781" i="2"/>
  <c r="H781" i="2"/>
  <c r="G781" i="2"/>
  <c r="F781" i="2"/>
  <c r="E781" i="2"/>
  <c r="D781" i="2"/>
  <c r="C781" i="2"/>
  <c r="B781" i="2"/>
  <c r="A781" i="2"/>
  <c r="S780" i="2"/>
  <c r="R780" i="2"/>
  <c r="Q780" i="2"/>
  <c r="P780" i="2"/>
  <c r="O780" i="2"/>
  <c r="N780" i="2"/>
  <c r="M780" i="2"/>
  <c r="L780" i="2"/>
  <c r="K780" i="2"/>
  <c r="J780" i="2"/>
  <c r="I780" i="2"/>
  <c r="H780" i="2"/>
  <c r="G780" i="2"/>
  <c r="F780" i="2"/>
  <c r="E780" i="2"/>
  <c r="D780" i="2"/>
  <c r="C780" i="2"/>
  <c r="B780" i="2"/>
  <c r="A780" i="2"/>
  <c r="S779" i="2"/>
  <c r="R779" i="2"/>
  <c r="Q779" i="2"/>
  <c r="P779" i="2"/>
  <c r="O779" i="2"/>
  <c r="N779" i="2"/>
  <c r="M779" i="2"/>
  <c r="L779" i="2"/>
  <c r="K779" i="2"/>
  <c r="J779" i="2"/>
  <c r="I779" i="2"/>
  <c r="H779" i="2"/>
  <c r="G779" i="2"/>
  <c r="F779" i="2"/>
  <c r="E779" i="2"/>
  <c r="D779" i="2"/>
  <c r="C779" i="2"/>
  <c r="B779" i="2"/>
  <c r="A779" i="2"/>
  <c r="S778" i="2"/>
  <c r="R778" i="2"/>
  <c r="Q778" i="2"/>
  <c r="P778" i="2"/>
  <c r="O778" i="2"/>
  <c r="N778" i="2"/>
  <c r="M778" i="2"/>
  <c r="L778" i="2"/>
  <c r="K778" i="2"/>
  <c r="J778" i="2"/>
  <c r="I778" i="2"/>
  <c r="H778" i="2"/>
  <c r="G778" i="2"/>
  <c r="F778" i="2"/>
  <c r="E778" i="2"/>
  <c r="D778" i="2"/>
  <c r="C778" i="2"/>
  <c r="B778" i="2"/>
  <c r="A778" i="2"/>
  <c r="S777" i="2"/>
  <c r="R777" i="2"/>
  <c r="Q777" i="2"/>
  <c r="P777" i="2"/>
  <c r="O777" i="2"/>
  <c r="N777" i="2"/>
  <c r="M777" i="2"/>
  <c r="L777" i="2"/>
  <c r="K777" i="2"/>
  <c r="J777" i="2"/>
  <c r="I777" i="2"/>
  <c r="H777" i="2"/>
  <c r="G777" i="2"/>
  <c r="F777" i="2"/>
  <c r="E777" i="2"/>
  <c r="D777" i="2"/>
  <c r="C777" i="2"/>
  <c r="B777" i="2"/>
  <c r="A777" i="2"/>
  <c r="S776" i="2"/>
  <c r="R776" i="2"/>
  <c r="Q776" i="2"/>
  <c r="P776" i="2"/>
  <c r="O776" i="2"/>
  <c r="N776" i="2"/>
  <c r="M776" i="2"/>
  <c r="L776" i="2"/>
  <c r="K776" i="2"/>
  <c r="J776" i="2"/>
  <c r="I776" i="2"/>
  <c r="H776" i="2"/>
  <c r="G776" i="2"/>
  <c r="F776" i="2"/>
  <c r="E776" i="2"/>
  <c r="D776" i="2"/>
  <c r="C776" i="2"/>
  <c r="B776" i="2"/>
  <c r="A776" i="2"/>
  <c r="S775" i="2"/>
  <c r="R775" i="2"/>
  <c r="Q775" i="2"/>
  <c r="P775" i="2"/>
  <c r="O775" i="2"/>
  <c r="N775" i="2"/>
  <c r="M775" i="2"/>
  <c r="L775" i="2"/>
  <c r="K775" i="2"/>
  <c r="J775" i="2"/>
  <c r="I775" i="2"/>
  <c r="H775" i="2"/>
  <c r="G775" i="2"/>
  <c r="F775" i="2"/>
  <c r="E775" i="2"/>
  <c r="D775" i="2"/>
  <c r="C775" i="2"/>
  <c r="B775" i="2"/>
  <c r="A775" i="2"/>
  <c r="S774" i="2"/>
  <c r="R774" i="2"/>
  <c r="Q774" i="2"/>
  <c r="P774" i="2"/>
  <c r="O774" i="2"/>
  <c r="N774" i="2"/>
  <c r="M774" i="2"/>
  <c r="L774" i="2"/>
  <c r="K774" i="2"/>
  <c r="J774" i="2"/>
  <c r="I774" i="2"/>
  <c r="H774" i="2"/>
  <c r="G774" i="2"/>
  <c r="F774" i="2"/>
  <c r="E774" i="2"/>
  <c r="D774" i="2"/>
  <c r="C774" i="2"/>
  <c r="B774" i="2"/>
  <c r="A774" i="2"/>
  <c r="S773" i="2"/>
  <c r="R773" i="2"/>
  <c r="Q773" i="2"/>
  <c r="P773" i="2"/>
  <c r="O773" i="2"/>
  <c r="N773" i="2"/>
  <c r="M773" i="2"/>
  <c r="L773" i="2"/>
  <c r="K773" i="2"/>
  <c r="J773" i="2"/>
  <c r="I773" i="2"/>
  <c r="H773" i="2"/>
  <c r="G773" i="2"/>
  <c r="F773" i="2"/>
  <c r="E773" i="2"/>
  <c r="D773" i="2"/>
  <c r="C773" i="2"/>
  <c r="B773" i="2"/>
  <c r="A773" i="2"/>
  <c r="S772" i="2"/>
  <c r="R772" i="2"/>
  <c r="Q772" i="2"/>
  <c r="P772" i="2"/>
  <c r="O772" i="2"/>
  <c r="N772" i="2"/>
  <c r="M772" i="2"/>
  <c r="L772" i="2"/>
  <c r="K772" i="2"/>
  <c r="J772" i="2"/>
  <c r="I772" i="2"/>
  <c r="H772" i="2"/>
  <c r="G772" i="2"/>
  <c r="F772" i="2"/>
  <c r="E772" i="2"/>
  <c r="D772" i="2"/>
  <c r="C772" i="2"/>
  <c r="B772" i="2"/>
  <c r="A772" i="2"/>
  <c r="S771" i="2"/>
  <c r="R771" i="2"/>
  <c r="Q771" i="2"/>
  <c r="P771" i="2"/>
  <c r="O771" i="2"/>
  <c r="N771" i="2"/>
  <c r="M771" i="2"/>
  <c r="L771" i="2"/>
  <c r="K771" i="2"/>
  <c r="J771" i="2"/>
  <c r="I771" i="2"/>
  <c r="H771" i="2"/>
  <c r="G771" i="2"/>
  <c r="F771" i="2"/>
  <c r="E771" i="2"/>
  <c r="D771" i="2"/>
  <c r="C771" i="2"/>
  <c r="B771" i="2"/>
  <c r="A771" i="2"/>
  <c r="S770" i="2"/>
  <c r="R770" i="2"/>
  <c r="Q770" i="2"/>
  <c r="P770" i="2"/>
  <c r="O770" i="2"/>
  <c r="N770" i="2"/>
  <c r="M770" i="2"/>
  <c r="L770" i="2"/>
  <c r="K770" i="2"/>
  <c r="J770" i="2"/>
  <c r="I770" i="2"/>
  <c r="H770" i="2"/>
  <c r="G770" i="2"/>
  <c r="F770" i="2"/>
  <c r="E770" i="2"/>
  <c r="D770" i="2"/>
  <c r="C770" i="2"/>
  <c r="B770" i="2"/>
  <c r="A770" i="2"/>
  <c r="S769" i="2"/>
  <c r="R769" i="2"/>
  <c r="Q769" i="2"/>
  <c r="P769" i="2"/>
  <c r="O769" i="2"/>
  <c r="N769" i="2"/>
  <c r="M769" i="2"/>
  <c r="L769" i="2"/>
  <c r="K769" i="2"/>
  <c r="J769" i="2"/>
  <c r="I769" i="2"/>
  <c r="H769" i="2"/>
  <c r="G769" i="2"/>
  <c r="F769" i="2"/>
  <c r="E769" i="2"/>
  <c r="D769" i="2"/>
  <c r="C769" i="2"/>
  <c r="B769" i="2"/>
  <c r="A769" i="2"/>
  <c r="S768" i="2"/>
  <c r="R768" i="2"/>
  <c r="Q768" i="2"/>
  <c r="P768" i="2"/>
  <c r="O768" i="2"/>
  <c r="N768" i="2"/>
  <c r="M768" i="2"/>
  <c r="L768" i="2"/>
  <c r="K768" i="2"/>
  <c r="J768" i="2"/>
  <c r="I768" i="2"/>
  <c r="H768" i="2"/>
  <c r="G768" i="2"/>
  <c r="F768" i="2"/>
  <c r="E768" i="2"/>
  <c r="D768" i="2"/>
  <c r="C768" i="2"/>
  <c r="B768" i="2"/>
  <c r="A768" i="2"/>
  <c r="S767" i="2"/>
  <c r="R767" i="2"/>
  <c r="Q767" i="2"/>
  <c r="P767" i="2"/>
  <c r="O767" i="2"/>
  <c r="N767" i="2"/>
  <c r="M767" i="2"/>
  <c r="L767" i="2"/>
  <c r="K767" i="2"/>
  <c r="J767" i="2"/>
  <c r="I767" i="2"/>
  <c r="H767" i="2"/>
  <c r="G767" i="2"/>
  <c r="F767" i="2"/>
  <c r="E767" i="2"/>
  <c r="D767" i="2"/>
  <c r="C767" i="2"/>
  <c r="B767" i="2"/>
  <c r="A767" i="2"/>
  <c r="S766" i="2"/>
  <c r="R766" i="2"/>
  <c r="Q766" i="2"/>
  <c r="P766" i="2"/>
  <c r="O766" i="2"/>
  <c r="N766" i="2"/>
  <c r="M766" i="2"/>
  <c r="L766" i="2"/>
  <c r="K766" i="2"/>
  <c r="J766" i="2"/>
  <c r="I766" i="2"/>
  <c r="H766" i="2"/>
  <c r="G766" i="2"/>
  <c r="F766" i="2"/>
  <c r="E766" i="2"/>
  <c r="D766" i="2"/>
  <c r="C766" i="2"/>
  <c r="B766" i="2"/>
  <c r="A766" i="2"/>
  <c r="S765" i="2"/>
  <c r="R765" i="2"/>
  <c r="Q765" i="2"/>
  <c r="P765" i="2"/>
  <c r="O765" i="2"/>
  <c r="N765" i="2"/>
  <c r="M765" i="2"/>
  <c r="L765" i="2"/>
  <c r="K765" i="2"/>
  <c r="J765" i="2"/>
  <c r="I765" i="2"/>
  <c r="H765" i="2"/>
  <c r="G765" i="2"/>
  <c r="F765" i="2"/>
  <c r="E765" i="2"/>
  <c r="D765" i="2"/>
  <c r="C765" i="2"/>
  <c r="B765" i="2"/>
  <c r="A765" i="2"/>
  <c r="S764" i="2"/>
  <c r="R764" i="2"/>
  <c r="Q764" i="2"/>
  <c r="P764" i="2"/>
  <c r="O764" i="2"/>
  <c r="N764" i="2"/>
  <c r="M764" i="2"/>
  <c r="L764" i="2"/>
  <c r="K764" i="2"/>
  <c r="J764" i="2"/>
  <c r="I764" i="2"/>
  <c r="H764" i="2"/>
  <c r="G764" i="2"/>
  <c r="F764" i="2"/>
  <c r="E764" i="2"/>
  <c r="D764" i="2"/>
  <c r="C764" i="2"/>
  <c r="B764" i="2"/>
  <c r="A764" i="2"/>
  <c r="S763" i="2"/>
  <c r="R763" i="2"/>
  <c r="Q763" i="2"/>
  <c r="P763" i="2"/>
  <c r="O763" i="2"/>
  <c r="N763" i="2"/>
  <c r="M763" i="2"/>
  <c r="L763" i="2"/>
  <c r="K763" i="2"/>
  <c r="J763" i="2"/>
  <c r="I763" i="2"/>
  <c r="H763" i="2"/>
  <c r="G763" i="2"/>
  <c r="F763" i="2"/>
  <c r="E763" i="2"/>
  <c r="D763" i="2"/>
  <c r="C763" i="2"/>
  <c r="B763" i="2"/>
  <c r="A763" i="2"/>
  <c r="S762" i="2"/>
  <c r="R762" i="2"/>
  <c r="Q762" i="2"/>
  <c r="P762" i="2"/>
  <c r="O762" i="2"/>
  <c r="N762" i="2"/>
  <c r="M762" i="2"/>
  <c r="L762" i="2"/>
  <c r="K762" i="2"/>
  <c r="J762" i="2"/>
  <c r="I762" i="2"/>
  <c r="H762" i="2"/>
  <c r="G762" i="2"/>
  <c r="F762" i="2"/>
  <c r="E762" i="2"/>
  <c r="D762" i="2"/>
  <c r="C762" i="2"/>
  <c r="B762" i="2"/>
  <c r="A762" i="2"/>
  <c r="S761" i="2"/>
  <c r="R761" i="2"/>
  <c r="Q761" i="2"/>
  <c r="P761" i="2"/>
  <c r="O761" i="2"/>
  <c r="N761" i="2"/>
  <c r="M761" i="2"/>
  <c r="L761" i="2"/>
  <c r="K761" i="2"/>
  <c r="J761" i="2"/>
  <c r="I761" i="2"/>
  <c r="H761" i="2"/>
  <c r="G761" i="2"/>
  <c r="F761" i="2"/>
  <c r="E761" i="2"/>
  <c r="D761" i="2"/>
  <c r="C761" i="2"/>
  <c r="B761" i="2"/>
  <c r="A761" i="2"/>
  <c r="S760" i="2"/>
  <c r="R760" i="2"/>
  <c r="Q760" i="2"/>
  <c r="P760" i="2"/>
  <c r="O760" i="2"/>
  <c r="N760" i="2"/>
  <c r="M760" i="2"/>
  <c r="L760" i="2"/>
  <c r="K760" i="2"/>
  <c r="J760" i="2"/>
  <c r="I760" i="2"/>
  <c r="H760" i="2"/>
  <c r="G760" i="2"/>
  <c r="F760" i="2"/>
  <c r="E760" i="2"/>
  <c r="D760" i="2"/>
  <c r="C760" i="2"/>
  <c r="B760" i="2"/>
  <c r="A760" i="2"/>
  <c r="S759" i="2"/>
  <c r="R759" i="2"/>
  <c r="Q759" i="2"/>
  <c r="P759" i="2"/>
  <c r="O759" i="2"/>
  <c r="N759" i="2"/>
  <c r="M759" i="2"/>
  <c r="L759" i="2"/>
  <c r="K759" i="2"/>
  <c r="J759" i="2"/>
  <c r="I759" i="2"/>
  <c r="H759" i="2"/>
  <c r="G759" i="2"/>
  <c r="F759" i="2"/>
  <c r="E759" i="2"/>
  <c r="D759" i="2"/>
  <c r="C759" i="2"/>
  <c r="B759" i="2"/>
  <c r="A759" i="2"/>
  <c r="S758" i="2"/>
  <c r="R758" i="2"/>
  <c r="Q758" i="2"/>
  <c r="P758" i="2"/>
  <c r="O758" i="2"/>
  <c r="N758" i="2"/>
  <c r="M758" i="2"/>
  <c r="L758" i="2"/>
  <c r="K758" i="2"/>
  <c r="J758" i="2"/>
  <c r="I758" i="2"/>
  <c r="H758" i="2"/>
  <c r="G758" i="2"/>
  <c r="F758" i="2"/>
  <c r="E758" i="2"/>
  <c r="D758" i="2"/>
  <c r="C758" i="2"/>
  <c r="B758" i="2"/>
  <c r="A758" i="2"/>
  <c r="S757" i="2"/>
  <c r="R757" i="2"/>
  <c r="Q757" i="2"/>
  <c r="P757" i="2"/>
  <c r="O757" i="2"/>
  <c r="N757" i="2"/>
  <c r="M757" i="2"/>
  <c r="L757" i="2"/>
  <c r="K757" i="2"/>
  <c r="J757" i="2"/>
  <c r="I757" i="2"/>
  <c r="H757" i="2"/>
  <c r="G757" i="2"/>
  <c r="F757" i="2"/>
  <c r="E757" i="2"/>
  <c r="D757" i="2"/>
  <c r="C757" i="2"/>
  <c r="B757" i="2"/>
  <c r="A757" i="2"/>
  <c r="S756" i="2"/>
  <c r="R756" i="2"/>
  <c r="Q756" i="2"/>
  <c r="P756" i="2"/>
  <c r="O756" i="2"/>
  <c r="N756" i="2"/>
  <c r="M756" i="2"/>
  <c r="L756" i="2"/>
  <c r="K756" i="2"/>
  <c r="J756" i="2"/>
  <c r="I756" i="2"/>
  <c r="H756" i="2"/>
  <c r="G756" i="2"/>
  <c r="F756" i="2"/>
  <c r="E756" i="2"/>
  <c r="D756" i="2"/>
  <c r="C756" i="2"/>
  <c r="B756" i="2"/>
  <c r="A756" i="2"/>
  <c r="S755" i="2"/>
  <c r="R755" i="2"/>
  <c r="Q755" i="2"/>
  <c r="P755" i="2"/>
  <c r="O755" i="2"/>
  <c r="N755" i="2"/>
  <c r="M755" i="2"/>
  <c r="L755" i="2"/>
  <c r="K755" i="2"/>
  <c r="J755" i="2"/>
  <c r="I755" i="2"/>
  <c r="H755" i="2"/>
  <c r="G755" i="2"/>
  <c r="F755" i="2"/>
  <c r="E755" i="2"/>
  <c r="D755" i="2"/>
  <c r="C755" i="2"/>
  <c r="B755" i="2"/>
  <c r="A755" i="2"/>
  <c r="S754" i="2"/>
  <c r="R754" i="2"/>
  <c r="Q754" i="2"/>
  <c r="P754" i="2"/>
  <c r="O754" i="2"/>
  <c r="N754" i="2"/>
  <c r="M754" i="2"/>
  <c r="L754" i="2"/>
  <c r="K754" i="2"/>
  <c r="J754" i="2"/>
  <c r="I754" i="2"/>
  <c r="H754" i="2"/>
  <c r="G754" i="2"/>
  <c r="F754" i="2"/>
  <c r="E754" i="2"/>
  <c r="D754" i="2"/>
  <c r="C754" i="2"/>
  <c r="B754" i="2"/>
  <c r="A754" i="2"/>
  <c r="S753" i="2"/>
  <c r="R753" i="2"/>
  <c r="Q753" i="2"/>
  <c r="P753" i="2"/>
  <c r="O753" i="2"/>
  <c r="N753" i="2"/>
  <c r="M753" i="2"/>
  <c r="L753" i="2"/>
  <c r="K753" i="2"/>
  <c r="J753" i="2"/>
  <c r="I753" i="2"/>
  <c r="H753" i="2"/>
  <c r="G753" i="2"/>
  <c r="F753" i="2"/>
  <c r="E753" i="2"/>
  <c r="D753" i="2"/>
  <c r="C753" i="2"/>
  <c r="B753" i="2"/>
  <c r="A753" i="2"/>
  <c r="S752" i="2"/>
  <c r="R752" i="2"/>
  <c r="Q752" i="2"/>
  <c r="P752" i="2"/>
  <c r="O752" i="2"/>
  <c r="N752" i="2"/>
  <c r="M752" i="2"/>
  <c r="L752" i="2"/>
  <c r="K752" i="2"/>
  <c r="J752" i="2"/>
  <c r="I752" i="2"/>
  <c r="H752" i="2"/>
  <c r="G752" i="2"/>
  <c r="F752" i="2"/>
  <c r="E752" i="2"/>
  <c r="D752" i="2"/>
  <c r="C752" i="2"/>
  <c r="B752" i="2"/>
  <c r="A752" i="2"/>
  <c r="S751" i="2"/>
  <c r="R751" i="2"/>
  <c r="Q751" i="2"/>
  <c r="P751" i="2"/>
  <c r="O751" i="2"/>
  <c r="N751" i="2"/>
  <c r="M751" i="2"/>
  <c r="L751" i="2"/>
  <c r="K751" i="2"/>
  <c r="J751" i="2"/>
  <c r="I751" i="2"/>
  <c r="H751" i="2"/>
  <c r="G751" i="2"/>
  <c r="F751" i="2"/>
  <c r="E751" i="2"/>
  <c r="D751" i="2"/>
  <c r="C751" i="2"/>
  <c r="B751" i="2"/>
  <c r="A751" i="2"/>
  <c r="S750" i="2"/>
  <c r="R750" i="2"/>
  <c r="Q750" i="2"/>
  <c r="P750" i="2"/>
  <c r="O750" i="2"/>
  <c r="N750" i="2"/>
  <c r="M750" i="2"/>
  <c r="L750" i="2"/>
  <c r="K750" i="2"/>
  <c r="J750" i="2"/>
  <c r="I750" i="2"/>
  <c r="H750" i="2"/>
  <c r="G750" i="2"/>
  <c r="F750" i="2"/>
  <c r="E750" i="2"/>
  <c r="D750" i="2"/>
  <c r="C750" i="2"/>
  <c r="B750" i="2"/>
  <c r="A750" i="2"/>
  <c r="S749" i="2"/>
  <c r="R749" i="2"/>
  <c r="Q749" i="2"/>
  <c r="P749" i="2"/>
  <c r="O749" i="2"/>
  <c r="N749" i="2"/>
  <c r="M749" i="2"/>
  <c r="L749" i="2"/>
  <c r="K749" i="2"/>
  <c r="J749" i="2"/>
  <c r="I749" i="2"/>
  <c r="H749" i="2"/>
  <c r="G749" i="2"/>
  <c r="F749" i="2"/>
  <c r="E749" i="2"/>
  <c r="D749" i="2"/>
  <c r="C749" i="2"/>
  <c r="B749" i="2"/>
  <c r="A749" i="2"/>
  <c r="S748" i="2"/>
  <c r="R748" i="2"/>
  <c r="Q748" i="2"/>
  <c r="P748" i="2"/>
  <c r="O748" i="2"/>
  <c r="N748" i="2"/>
  <c r="M748" i="2"/>
  <c r="L748" i="2"/>
  <c r="K748" i="2"/>
  <c r="J748" i="2"/>
  <c r="I748" i="2"/>
  <c r="H748" i="2"/>
  <c r="G748" i="2"/>
  <c r="F748" i="2"/>
  <c r="E748" i="2"/>
  <c r="D748" i="2"/>
  <c r="C748" i="2"/>
  <c r="B748" i="2"/>
  <c r="A748" i="2"/>
  <c r="S747" i="2"/>
  <c r="R747" i="2"/>
  <c r="Q747" i="2"/>
  <c r="P747" i="2"/>
  <c r="O747" i="2"/>
  <c r="N747" i="2"/>
  <c r="M747" i="2"/>
  <c r="L747" i="2"/>
  <c r="K747" i="2"/>
  <c r="J747" i="2"/>
  <c r="I747" i="2"/>
  <c r="H747" i="2"/>
  <c r="G747" i="2"/>
  <c r="F747" i="2"/>
  <c r="E747" i="2"/>
  <c r="D747" i="2"/>
  <c r="C747" i="2"/>
  <c r="B747" i="2"/>
  <c r="A747" i="2"/>
  <c r="S746" i="2"/>
  <c r="R746" i="2"/>
  <c r="Q746" i="2"/>
  <c r="P746" i="2"/>
  <c r="O746" i="2"/>
  <c r="N746" i="2"/>
  <c r="M746" i="2"/>
  <c r="L746" i="2"/>
  <c r="K746" i="2"/>
  <c r="J746" i="2"/>
  <c r="I746" i="2"/>
  <c r="H746" i="2"/>
  <c r="G746" i="2"/>
  <c r="F746" i="2"/>
  <c r="E746" i="2"/>
  <c r="D746" i="2"/>
  <c r="C746" i="2"/>
  <c r="B746" i="2"/>
  <c r="A746" i="2"/>
  <c r="S745" i="2"/>
  <c r="R745" i="2"/>
  <c r="Q745" i="2"/>
  <c r="P745" i="2"/>
  <c r="O745" i="2"/>
  <c r="N745" i="2"/>
  <c r="M745" i="2"/>
  <c r="L745" i="2"/>
  <c r="K745" i="2"/>
  <c r="J745" i="2"/>
  <c r="I745" i="2"/>
  <c r="H745" i="2"/>
  <c r="G745" i="2"/>
  <c r="F745" i="2"/>
  <c r="E745" i="2"/>
  <c r="D745" i="2"/>
  <c r="C745" i="2"/>
  <c r="B745" i="2"/>
  <c r="A745" i="2"/>
  <c r="S744" i="2"/>
  <c r="R744" i="2"/>
  <c r="Q744" i="2"/>
  <c r="P744" i="2"/>
  <c r="O744" i="2"/>
  <c r="N744" i="2"/>
  <c r="M744" i="2"/>
  <c r="L744" i="2"/>
  <c r="K744" i="2"/>
  <c r="J744" i="2"/>
  <c r="I744" i="2"/>
  <c r="H744" i="2"/>
  <c r="G744" i="2"/>
  <c r="F744" i="2"/>
  <c r="E744" i="2"/>
  <c r="D744" i="2"/>
  <c r="C744" i="2"/>
  <c r="B744" i="2"/>
  <c r="A744" i="2"/>
  <c r="S743" i="2"/>
  <c r="R743" i="2"/>
  <c r="Q743" i="2"/>
  <c r="P743" i="2"/>
  <c r="O743" i="2"/>
  <c r="N743" i="2"/>
  <c r="M743" i="2"/>
  <c r="L743" i="2"/>
  <c r="K743" i="2"/>
  <c r="J743" i="2"/>
  <c r="I743" i="2"/>
  <c r="H743" i="2"/>
  <c r="G743" i="2"/>
  <c r="F743" i="2"/>
  <c r="E743" i="2"/>
  <c r="D743" i="2"/>
  <c r="C743" i="2"/>
  <c r="B743" i="2"/>
  <c r="A743" i="2"/>
  <c r="S742" i="2"/>
  <c r="R742" i="2"/>
  <c r="Q742" i="2"/>
  <c r="P742" i="2"/>
  <c r="O742" i="2"/>
  <c r="N742" i="2"/>
  <c r="M742" i="2"/>
  <c r="L742" i="2"/>
  <c r="K742" i="2"/>
  <c r="J742" i="2"/>
  <c r="I742" i="2"/>
  <c r="H742" i="2"/>
  <c r="G742" i="2"/>
  <c r="F742" i="2"/>
  <c r="E742" i="2"/>
  <c r="D742" i="2"/>
  <c r="C742" i="2"/>
  <c r="B742" i="2"/>
  <c r="A742" i="2"/>
  <c r="S741" i="2"/>
  <c r="R741" i="2"/>
  <c r="Q741" i="2"/>
  <c r="P741" i="2"/>
  <c r="O741" i="2"/>
  <c r="N741" i="2"/>
  <c r="M741" i="2"/>
  <c r="L741" i="2"/>
  <c r="K741" i="2"/>
  <c r="J741" i="2"/>
  <c r="I741" i="2"/>
  <c r="H741" i="2"/>
  <c r="G741" i="2"/>
  <c r="F741" i="2"/>
  <c r="E741" i="2"/>
  <c r="D741" i="2"/>
  <c r="C741" i="2"/>
  <c r="B741" i="2"/>
  <c r="A741" i="2"/>
  <c r="S740" i="2"/>
  <c r="R740" i="2"/>
  <c r="Q740" i="2"/>
  <c r="P740" i="2"/>
  <c r="O740" i="2"/>
  <c r="N740" i="2"/>
  <c r="M740" i="2"/>
  <c r="L740" i="2"/>
  <c r="K740" i="2"/>
  <c r="J740" i="2"/>
  <c r="I740" i="2"/>
  <c r="H740" i="2"/>
  <c r="G740" i="2"/>
  <c r="F740" i="2"/>
  <c r="E740" i="2"/>
  <c r="D740" i="2"/>
  <c r="C740" i="2"/>
  <c r="B740" i="2"/>
  <c r="A740" i="2"/>
  <c r="S739" i="2"/>
  <c r="R739" i="2"/>
  <c r="Q739" i="2"/>
  <c r="P739" i="2"/>
  <c r="O739" i="2"/>
  <c r="N739" i="2"/>
  <c r="M739" i="2"/>
  <c r="L739" i="2"/>
  <c r="K739" i="2"/>
  <c r="J739" i="2"/>
  <c r="I739" i="2"/>
  <c r="H739" i="2"/>
  <c r="G739" i="2"/>
  <c r="F739" i="2"/>
  <c r="E739" i="2"/>
  <c r="D739" i="2"/>
  <c r="C739" i="2"/>
  <c r="B739" i="2"/>
  <c r="A739" i="2"/>
  <c r="S738" i="2"/>
  <c r="R738" i="2"/>
  <c r="Q738" i="2"/>
  <c r="P738" i="2"/>
  <c r="O738" i="2"/>
  <c r="N738" i="2"/>
  <c r="M738" i="2"/>
  <c r="L738" i="2"/>
  <c r="K738" i="2"/>
  <c r="J738" i="2"/>
  <c r="I738" i="2"/>
  <c r="H738" i="2"/>
  <c r="G738" i="2"/>
  <c r="F738" i="2"/>
  <c r="E738" i="2"/>
  <c r="D738" i="2"/>
  <c r="C738" i="2"/>
  <c r="B738" i="2"/>
  <c r="A738" i="2"/>
  <c r="S737" i="2"/>
  <c r="R737" i="2"/>
  <c r="Q737" i="2"/>
  <c r="P737" i="2"/>
  <c r="O737" i="2"/>
  <c r="N737" i="2"/>
  <c r="M737" i="2"/>
  <c r="L737" i="2"/>
  <c r="K737" i="2"/>
  <c r="J737" i="2"/>
  <c r="I737" i="2"/>
  <c r="H737" i="2"/>
  <c r="G737" i="2"/>
  <c r="F737" i="2"/>
  <c r="E737" i="2"/>
  <c r="D737" i="2"/>
  <c r="C737" i="2"/>
  <c r="B737" i="2"/>
  <c r="A737" i="2"/>
  <c r="S736" i="2"/>
  <c r="R736" i="2"/>
  <c r="Q736" i="2"/>
  <c r="P736" i="2"/>
  <c r="O736" i="2"/>
  <c r="N736" i="2"/>
  <c r="M736" i="2"/>
  <c r="L736" i="2"/>
  <c r="K736" i="2"/>
  <c r="J736" i="2"/>
  <c r="I736" i="2"/>
  <c r="H736" i="2"/>
  <c r="G736" i="2"/>
  <c r="F736" i="2"/>
  <c r="E736" i="2"/>
  <c r="D736" i="2"/>
  <c r="C736" i="2"/>
  <c r="B736" i="2"/>
  <c r="A736" i="2"/>
  <c r="S735" i="2"/>
  <c r="R735" i="2"/>
  <c r="Q735" i="2"/>
  <c r="P735" i="2"/>
  <c r="O735" i="2"/>
  <c r="N735" i="2"/>
  <c r="M735" i="2"/>
  <c r="L735" i="2"/>
  <c r="K735" i="2"/>
  <c r="J735" i="2"/>
  <c r="I735" i="2"/>
  <c r="H735" i="2"/>
  <c r="G735" i="2"/>
  <c r="F735" i="2"/>
  <c r="E735" i="2"/>
  <c r="D735" i="2"/>
  <c r="C735" i="2"/>
  <c r="B735" i="2"/>
  <c r="A735" i="2"/>
  <c r="S734" i="2"/>
  <c r="R734" i="2"/>
  <c r="Q734" i="2"/>
  <c r="P734" i="2"/>
  <c r="O734" i="2"/>
  <c r="N734" i="2"/>
  <c r="M734" i="2"/>
  <c r="L734" i="2"/>
  <c r="K734" i="2"/>
  <c r="J734" i="2"/>
  <c r="I734" i="2"/>
  <c r="H734" i="2"/>
  <c r="G734" i="2"/>
  <c r="F734" i="2"/>
  <c r="E734" i="2"/>
  <c r="D734" i="2"/>
  <c r="C734" i="2"/>
  <c r="B734" i="2"/>
  <c r="A734" i="2"/>
  <c r="S733" i="2"/>
  <c r="R733" i="2"/>
  <c r="Q733" i="2"/>
  <c r="P733" i="2"/>
  <c r="O733" i="2"/>
  <c r="N733" i="2"/>
  <c r="M733" i="2"/>
  <c r="L733" i="2"/>
  <c r="K733" i="2"/>
  <c r="J733" i="2"/>
  <c r="I733" i="2"/>
  <c r="H733" i="2"/>
  <c r="G733" i="2"/>
  <c r="F733" i="2"/>
  <c r="E733" i="2"/>
  <c r="D733" i="2"/>
  <c r="C733" i="2"/>
  <c r="B733" i="2"/>
  <c r="A733" i="2"/>
  <c r="S732" i="2"/>
  <c r="R732" i="2"/>
  <c r="Q732" i="2"/>
  <c r="P732" i="2"/>
  <c r="O732" i="2"/>
  <c r="N732" i="2"/>
  <c r="M732" i="2"/>
  <c r="L732" i="2"/>
  <c r="K732" i="2"/>
  <c r="J732" i="2"/>
  <c r="I732" i="2"/>
  <c r="H732" i="2"/>
  <c r="G732" i="2"/>
  <c r="F732" i="2"/>
  <c r="E732" i="2"/>
  <c r="D732" i="2"/>
  <c r="C732" i="2"/>
  <c r="B732" i="2"/>
  <c r="A732" i="2"/>
  <c r="S731" i="2"/>
  <c r="R731" i="2"/>
  <c r="Q731" i="2"/>
  <c r="P731" i="2"/>
  <c r="O731" i="2"/>
  <c r="N731" i="2"/>
  <c r="M731" i="2"/>
  <c r="L731" i="2"/>
  <c r="K731" i="2"/>
  <c r="J731" i="2"/>
  <c r="I731" i="2"/>
  <c r="H731" i="2"/>
  <c r="G731" i="2"/>
  <c r="F731" i="2"/>
  <c r="E731" i="2"/>
  <c r="D731" i="2"/>
  <c r="C731" i="2"/>
  <c r="B731" i="2"/>
  <c r="A731" i="2"/>
  <c r="S730" i="2"/>
  <c r="R730" i="2"/>
  <c r="Q730" i="2"/>
  <c r="P730" i="2"/>
  <c r="O730" i="2"/>
  <c r="N730" i="2"/>
  <c r="M730" i="2"/>
  <c r="L730" i="2"/>
  <c r="K730" i="2"/>
  <c r="J730" i="2"/>
  <c r="I730" i="2"/>
  <c r="H730" i="2"/>
  <c r="G730" i="2"/>
  <c r="F730" i="2"/>
  <c r="E730" i="2"/>
  <c r="D730" i="2"/>
  <c r="C730" i="2"/>
  <c r="B730" i="2"/>
  <c r="A730" i="2"/>
  <c r="S729" i="2"/>
  <c r="R729" i="2"/>
  <c r="Q729" i="2"/>
  <c r="P729" i="2"/>
  <c r="O729" i="2"/>
  <c r="N729" i="2"/>
  <c r="M729" i="2"/>
  <c r="L729" i="2"/>
  <c r="K729" i="2"/>
  <c r="J729" i="2"/>
  <c r="I729" i="2"/>
  <c r="H729" i="2"/>
  <c r="G729" i="2"/>
  <c r="F729" i="2"/>
  <c r="E729" i="2"/>
  <c r="D729" i="2"/>
  <c r="C729" i="2"/>
  <c r="B729" i="2"/>
  <c r="A729" i="2"/>
  <c r="S728" i="2"/>
  <c r="R728" i="2"/>
  <c r="Q728" i="2"/>
  <c r="P728" i="2"/>
  <c r="O728" i="2"/>
  <c r="N728" i="2"/>
  <c r="M728" i="2"/>
  <c r="L728" i="2"/>
  <c r="K728" i="2"/>
  <c r="J728" i="2"/>
  <c r="I728" i="2"/>
  <c r="H728" i="2"/>
  <c r="G728" i="2"/>
  <c r="F728" i="2"/>
  <c r="E728" i="2"/>
  <c r="D728" i="2"/>
  <c r="C728" i="2"/>
  <c r="B728" i="2"/>
  <c r="A728" i="2"/>
  <c r="S727" i="2"/>
  <c r="R727" i="2"/>
  <c r="Q727" i="2"/>
  <c r="P727" i="2"/>
  <c r="O727" i="2"/>
  <c r="N727" i="2"/>
  <c r="M727" i="2"/>
  <c r="L727" i="2"/>
  <c r="K727" i="2"/>
  <c r="J727" i="2"/>
  <c r="I727" i="2"/>
  <c r="H727" i="2"/>
  <c r="G727" i="2"/>
  <c r="F727" i="2"/>
  <c r="E727" i="2"/>
  <c r="D727" i="2"/>
  <c r="C727" i="2"/>
  <c r="B727" i="2"/>
  <c r="A727" i="2"/>
  <c r="S726" i="2"/>
  <c r="R726" i="2"/>
  <c r="Q726" i="2"/>
  <c r="P726" i="2"/>
  <c r="O726" i="2"/>
  <c r="N726" i="2"/>
  <c r="M726" i="2"/>
  <c r="L726" i="2"/>
  <c r="K726" i="2"/>
  <c r="J726" i="2"/>
  <c r="I726" i="2"/>
  <c r="H726" i="2"/>
  <c r="G726" i="2"/>
  <c r="F726" i="2"/>
  <c r="E726" i="2"/>
  <c r="D726" i="2"/>
  <c r="C726" i="2"/>
  <c r="B726" i="2"/>
  <c r="A726" i="2"/>
  <c r="S725" i="2"/>
  <c r="R725" i="2"/>
  <c r="Q725" i="2"/>
  <c r="P725" i="2"/>
  <c r="O725" i="2"/>
  <c r="N725" i="2"/>
  <c r="M725" i="2"/>
  <c r="L725" i="2"/>
  <c r="K725" i="2"/>
  <c r="J725" i="2"/>
  <c r="I725" i="2"/>
  <c r="H725" i="2"/>
  <c r="G725" i="2"/>
  <c r="F725" i="2"/>
  <c r="E725" i="2"/>
  <c r="D725" i="2"/>
  <c r="C725" i="2"/>
  <c r="B725" i="2"/>
  <c r="A725" i="2"/>
  <c r="S724" i="2"/>
  <c r="R724" i="2"/>
  <c r="Q724" i="2"/>
  <c r="P724" i="2"/>
  <c r="O724" i="2"/>
  <c r="N724" i="2"/>
  <c r="M724" i="2"/>
  <c r="L724" i="2"/>
  <c r="K724" i="2"/>
  <c r="J724" i="2"/>
  <c r="I724" i="2"/>
  <c r="H724" i="2"/>
  <c r="G724" i="2"/>
  <c r="F724" i="2"/>
  <c r="E724" i="2"/>
  <c r="D724" i="2"/>
  <c r="C724" i="2"/>
  <c r="B724" i="2"/>
  <c r="A724" i="2"/>
  <c r="S723" i="2"/>
  <c r="R723" i="2"/>
  <c r="Q723" i="2"/>
  <c r="P723" i="2"/>
  <c r="O723" i="2"/>
  <c r="N723" i="2"/>
  <c r="M723" i="2"/>
  <c r="L723" i="2"/>
  <c r="K723" i="2"/>
  <c r="J723" i="2"/>
  <c r="I723" i="2"/>
  <c r="H723" i="2"/>
  <c r="G723" i="2"/>
  <c r="F723" i="2"/>
  <c r="E723" i="2"/>
  <c r="D723" i="2"/>
  <c r="C723" i="2"/>
  <c r="B723" i="2"/>
  <c r="A723" i="2"/>
  <c r="S722" i="2"/>
  <c r="R722" i="2"/>
  <c r="Q722" i="2"/>
  <c r="P722" i="2"/>
  <c r="O722" i="2"/>
  <c r="N722" i="2"/>
  <c r="M722" i="2"/>
  <c r="L722" i="2"/>
  <c r="K722" i="2"/>
  <c r="J722" i="2"/>
  <c r="I722" i="2"/>
  <c r="H722" i="2"/>
  <c r="G722" i="2"/>
  <c r="F722" i="2"/>
  <c r="E722" i="2"/>
  <c r="D722" i="2"/>
  <c r="C722" i="2"/>
  <c r="B722" i="2"/>
  <c r="A722" i="2"/>
  <c r="S721" i="2"/>
  <c r="R721" i="2"/>
  <c r="Q721" i="2"/>
  <c r="P721" i="2"/>
  <c r="O721" i="2"/>
  <c r="N721" i="2"/>
  <c r="M721" i="2"/>
  <c r="L721" i="2"/>
  <c r="K721" i="2"/>
  <c r="J721" i="2"/>
  <c r="I721" i="2"/>
  <c r="H721" i="2"/>
  <c r="G721" i="2"/>
  <c r="F721" i="2"/>
  <c r="E721" i="2"/>
  <c r="D721" i="2"/>
  <c r="C721" i="2"/>
  <c r="B721" i="2"/>
  <c r="A721" i="2"/>
  <c r="S720" i="2"/>
  <c r="R720" i="2"/>
  <c r="Q720" i="2"/>
  <c r="P720" i="2"/>
  <c r="O720" i="2"/>
  <c r="N720" i="2"/>
  <c r="M720" i="2"/>
  <c r="L720" i="2"/>
  <c r="K720" i="2"/>
  <c r="J720" i="2"/>
  <c r="I720" i="2"/>
  <c r="H720" i="2"/>
  <c r="G720" i="2"/>
  <c r="F720" i="2"/>
  <c r="E720" i="2"/>
  <c r="D720" i="2"/>
  <c r="C720" i="2"/>
  <c r="B720" i="2"/>
  <c r="A720" i="2"/>
  <c r="S719" i="2"/>
  <c r="R719" i="2"/>
  <c r="Q719" i="2"/>
  <c r="P719" i="2"/>
  <c r="O719" i="2"/>
  <c r="N719" i="2"/>
  <c r="M719" i="2"/>
  <c r="L719" i="2"/>
  <c r="K719" i="2"/>
  <c r="J719" i="2"/>
  <c r="I719" i="2"/>
  <c r="H719" i="2"/>
  <c r="G719" i="2"/>
  <c r="F719" i="2"/>
  <c r="E719" i="2"/>
  <c r="D719" i="2"/>
  <c r="C719" i="2"/>
  <c r="B719" i="2"/>
  <c r="A719" i="2"/>
  <c r="S718" i="2"/>
  <c r="R718" i="2"/>
  <c r="Q718" i="2"/>
  <c r="P718" i="2"/>
  <c r="O718" i="2"/>
  <c r="N718" i="2"/>
  <c r="M718" i="2"/>
  <c r="L718" i="2"/>
  <c r="K718" i="2"/>
  <c r="J718" i="2"/>
  <c r="I718" i="2"/>
  <c r="H718" i="2"/>
  <c r="G718" i="2"/>
  <c r="F718" i="2"/>
  <c r="E718" i="2"/>
  <c r="D718" i="2"/>
  <c r="C718" i="2"/>
  <c r="B718" i="2"/>
  <c r="A718" i="2"/>
  <c r="S717" i="2"/>
  <c r="R717" i="2"/>
  <c r="Q717" i="2"/>
  <c r="P717" i="2"/>
  <c r="O717" i="2"/>
  <c r="N717" i="2"/>
  <c r="M717" i="2"/>
  <c r="L717" i="2"/>
  <c r="K717" i="2"/>
  <c r="J717" i="2"/>
  <c r="I717" i="2"/>
  <c r="H717" i="2"/>
  <c r="G717" i="2"/>
  <c r="F717" i="2"/>
  <c r="E717" i="2"/>
  <c r="D717" i="2"/>
  <c r="C717" i="2"/>
  <c r="B717" i="2"/>
  <c r="A717" i="2"/>
  <c r="S716" i="2"/>
  <c r="R716" i="2"/>
  <c r="Q716" i="2"/>
  <c r="P716" i="2"/>
  <c r="O716" i="2"/>
  <c r="N716" i="2"/>
  <c r="M716" i="2"/>
  <c r="L716" i="2"/>
  <c r="K716" i="2"/>
  <c r="J716" i="2"/>
  <c r="I716" i="2"/>
  <c r="H716" i="2"/>
  <c r="G716" i="2"/>
  <c r="F716" i="2"/>
  <c r="E716" i="2"/>
  <c r="D716" i="2"/>
  <c r="C716" i="2"/>
  <c r="B716" i="2"/>
  <c r="A716" i="2"/>
  <c r="S715" i="2"/>
  <c r="R715" i="2"/>
  <c r="Q715" i="2"/>
  <c r="P715" i="2"/>
  <c r="O715" i="2"/>
  <c r="N715" i="2"/>
  <c r="M715" i="2"/>
  <c r="L715" i="2"/>
  <c r="K715" i="2"/>
  <c r="J715" i="2"/>
  <c r="I715" i="2"/>
  <c r="H715" i="2"/>
  <c r="G715" i="2"/>
  <c r="F715" i="2"/>
  <c r="E715" i="2"/>
  <c r="D715" i="2"/>
  <c r="C715" i="2"/>
  <c r="B715" i="2"/>
  <c r="A715" i="2"/>
  <c r="S714" i="2"/>
  <c r="R714" i="2"/>
  <c r="Q714" i="2"/>
  <c r="P714" i="2"/>
  <c r="O714" i="2"/>
  <c r="N714" i="2"/>
  <c r="M714" i="2"/>
  <c r="L714" i="2"/>
  <c r="K714" i="2"/>
  <c r="J714" i="2"/>
  <c r="I714" i="2"/>
  <c r="H714" i="2"/>
  <c r="G714" i="2"/>
  <c r="F714" i="2"/>
  <c r="E714" i="2"/>
  <c r="D714" i="2"/>
  <c r="C714" i="2"/>
  <c r="B714" i="2"/>
  <c r="A714" i="2"/>
  <c r="S713" i="2"/>
  <c r="R713" i="2"/>
  <c r="Q713" i="2"/>
  <c r="P713" i="2"/>
  <c r="O713" i="2"/>
  <c r="N713" i="2"/>
  <c r="M713" i="2"/>
  <c r="L713" i="2"/>
  <c r="K713" i="2"/>
  <c r="J713" i="2"/>
  <c r="I713" i="2"/>
  <c r="H713" i="2"/>
  <c r="G713" i="2"/>
  <c r="F713" i="2"/>
  <c r="E713" i="2"/>
  <c r="D713" i="2"/>
  <c r="C713" i="2"/>
  <c r="B713" i="2"/>
  <c r="A713" i="2"/>
  <c r="S712" i="2"/>
  <c r="R712" i="2"/>
  <c r="Q712" i="2"/>
  <c r="P712" i="2"/>
  <c r="O712" i="2"/>
  <c r="N712" i="2"/>
  <c r="M712" i="2"/>
  <c r="L712" i="2"/>
  <c r="K712" i="2"/>
  <c r="J712" i="2"/>
  <c r="I712" i="2"/>
  <c r="H712" i="2"/>
  <c r="G712" i="2"/>
  <c r="F712" i="2"/>
  <c r="E712" i="2"/>
  <c r="D712" i="2"/>
  <c r="C712" i="2"/>
  <c r="B712" i="2"/>
  <c r="A712" i="2"/>
  <c r="S711" i="2"/>
  <c r="R711" i="2"/>
  <c r="Q711" i="2"/>
  <c r="P711" i="2"/>
  <c r="O711" i="2"/>
  <c r="N711" i="2"/>
  <c r="M711" i="2"/>
  <c r="L711" i="2"/>
  <c r="K711" i="2"/>
  <c r="J711" i="2"/>
  <c r="I711" i="2"/>
  <c r="H711" i="2"/>
  <c r="G711" i="2"/>
  <c r="F711" i="2"/>
  <c r="E711" i="2"/>
  <c r="D711" i="2"/>
  <c r="C711" i="2"/>
  <c r="B711" i="2"/>
  <c r="A711" i="2"/>
  <c r="S710" i="2"/>
  <c r="R710" i="2"/>
  <c r="Q710" i="2"/>
  <c r="P710" i="2"/>
  <c r="O710" i="2"/>
  <c r="N710" i="2"/>
  <c r="M710" i="2"/>
  <c r="L710" i="2"/>
  <c r="K710" i="2"/>
  <c r="J710" i="2"/>
  <c r="I710" i="2"/>
  <c r="H710" i="2"/>
  <c r="G710" i="2"/>
  <c r="F710" i="2"/>
  <c r="E710" i="2"/>
  <c r="D710" i="2"/>
  <c r="C710" i="2"/>
  <c r="B710" i="2"/>
  <c r="A710" i="2"/>
  <c r="S709" i="2"/>
  <c r="R709" i="2"/>
  <c r="Q709" i="2"/>
  <c r="P709" i="2"/>
  <c r="O709" i="2"/>
  <c r="N709" i="2"/>
  <c r="M709" i="2"/>
  <c r="L709" i="2"/>
  <c r="K709" i="2"/>
  <c r="J709" i="2"/>
  <c r="I709" i="2"/>
  <c r="H709" i="2"/>
  <c r="G709" i="2"/>
  <c r="F709" i="2"/>
  <c r="E709" i="2"/>
  <c r="D709" i="2"/>
  <c r="C709" i="2"/>
  <c r="B709" i="2"/>
  <c r="A709" i="2"/>
  <c r="S708" i="2"/>
  <c r="R708" i="2"/>
  <c r="Q708" i="2"/>
  <c r="P708" i="2"/>
  <c r="O708" i="2"/>
  <c r="N708" i="2"/>
  <c r="M708" i="2"/>
  <c r="L708" i="2"/>
  <c r="K708" i="2"/>
  <c r="J708" i="2"/>
  <c r="I708" i="2"/>
  <c r="H708" i="2"/>
  <c r="G708" i="2"/>
  <c r="F708" i="2"/>
  <c r="E708" i="2"/>
  <c r="D708" i="2"/>
  <c r="C708" i="2"/>
  <c r="B708" i="2"/>
  <c r="A708" i="2"/>
  <c r="S707" i="2"/>
  <c r="R707" i="2"/>
  <c r="Q707" i="2"/>
  <c r="P707" i="2"/>
  <c r="O707" i="2"/>
  <c r="N707" i="2"/>
  <c r="M707" i="2"/>
  <c r="L707" i="2"/>
  <c r="K707" i="2"/>
  <c r="J707" i="2"/>
  <c r="I707" i="2"/>
  <c r="H707" i="2"/>
  <c r="G707" i="2"/>
  <c r="F707" i="2"/>
  <c r="E707" i="2"/>
  <c r="D707" i="2"/>
  <c r="C707" i="2"/>
  <c r="B707" i="2"/>
  <c r="A707" i="2"/>
  <c r="S706" i="2"/>
  <c r="R706" i="2"/>
  <c r="Q706" i="2"/>
  <c r="P706" i="2"/>
  <c r="O706" i="2"/>
  <c r="N706" i="2"/>
  <c r="M706" i="2"/>
  <c r="L706" i="2"/>
  <c r="K706" i="2"/>
  <c r="J706" i="2"/>
  <c r="I706" i="2"/>
  <c r="H706" i="2"/>
  <c r="G706" i="2"/>
  <c r="F706" i="2"/>
  <c r="E706" i="2"/>
  <c r="D706" i="2"/>
  <c r="C706" i="2"/>
  <c r="B706" i="2"/>
  <c r="A706" i="2"/>
  <c r="S705" i="2"/>
  <c r="R705" i="2"/>
  <c r="Q705" i="2"/>
  <c r="P705" i="2"/>
  <c r="O705" i="2"/>
  <c r="N705" i="2"/>
  <c r="M705" i="2"/>
  <c r="L705" i="2"/>
  <c r="K705" i="2"/>
  <c r="J705" i="2"/>
  <c r="I705" i="2"/>
  <c r="H705" i="2"/>
  <c r="G705" i="2"/>
  <c r="F705" i="2"/>
  <c r="E705" i="2"/>
  <c r="D705" i="2"/>
  <c r="C705" i="2"/>
  <c r="B705" i="2"/>
  <c r="A705" i="2"/>
  <c r="S704" i="2"/>
  <c r="R704" i="2"/>
  <c r="Q704" i="2"/>
  <c r="P704" i="2"/>
  <c r="O704" i="2"/>
  <c r="N704" i="2"/>
  <c r="M704" i="2"/>
  <c r="L704" i="2"/>
  <c r="K704" i="2"/>
  <c r="J704" i="2"/>
  <c r="I704" i="2"/>
  <c r="H704" i="2"/>
  <c r="G704" i="2"/>
  <c r="F704" i="2"/>
  <c r="E704" i="2"/>
  <c r="D704" i="2"/>
  <c r="C704" i="2"/>
  <c r="B704" i="2"/>
  <c r="A704" i="2"/>
  <c r="S703" i="2"/>
  <c r="R703" i="2"/>
  <c r="Q703" i="2"/>
  <c r="P703" i="2"/>
  <c r="O703" i="2"/>
  <c r="N703" i="2"/>
  <c r="M703" i="2"/>
  <c r="L703" i="2"/>
  <c r="K703" i="2"/>
  <c r="J703" i="2"/>
  <c r="I703" i="2"/>
  <c r="H703" i="2"/>
  <c r="G703" i="2"/>
  <c r="F703" i="2"/>
  <c r="E703" i="2"/>
  <c r="D703" i="2"/>
  <c r="C703" i="2"/>
  <c r="B703" i="2"/>
  <c r="A703" i="2"/>
  <c r="S702" i="2"/>
  <c r="R702" i="2"/>
  <c r="Q702" i="2"/>
  <c r="P702" i="2"/>
  <c r="O702" i="2"/>
  <c r="N702" i="2"/>
  <c r="M702" i="2"/>
  <c r="L702" i="2"/>
  <c r="K702" i="2"/>
  <c r="J702" i="2"/>
  <c r="I702" i="2"/>
  <c r="H702" i="2"/>
  <c r="G702" i="2"/>
  <c r="F702" i="2"/>
  <c r="E702" i="2"/>
  <c r="D702" i="2"/>
  <c r="C702" i="2"/>
  <c r="B702" i="2"/>
  <c r="A702" i="2"/>
  <c r="S701" i="2"/>
  <c r="R701" i="2"/>
  <c r="Q701" i="2"/>
  <c r="P701" i="2"/>
  <c r="O701" i="2"/>
  <c r="N701" i="2"/>
  <c r="M701" i="2"/>
  <c r="L701" i="2"/>
  <c r="K701" i="2"/>
  <c r="J701" i="2"/>
  <c r="I701" i="2"/>
  <c r="H701" i="2"/>
  <c r="G701" i="2"/>
  <c r="F701" i="2"/>
  <c r="E701" i="2"/>
  <c r="D701" i="2"/>
  <c r="C701" i="2"/>
  <c r="B701" i="2"/>
  <c r="A701" i="2"/>
  <c r="S700" i="2"/>
  <c r="R700" i="2"/>
  <c r="Q700" i="2"/>
  <c r="P700" i="2"/>
  <c r="O700" i="2"/>
  <c r="N700" i="2"/>
  <c r="M700" i="2"/>
  <c r="L700" i="2"/>
  <c r="K700" i="2"/>
  <c r="J700" i="2"/>
  <c r="I700" i="2"/>
  <c r="H700" i="2"/>
  <c r="G700" i="2"/>
  <c r="F700" i="2"/>
  <c r="E700" i="2"/>
  <c r="D700" i="2"/>
  <c r="C700" i="2"/>
  <c r="B700" i="2"/>
  <c r="A700" i="2"/>
  <c r="S699" i="2"/>
  <c r="R699" i="2"/>
  <c r="Q699" i="2"/>
  <c r="P699" i="2"/>
  <c r="O699" i="2"/>
  <c r="N699" i="2"/>
  <c r="M699" i="2"/>
  <c r="L699" i="2"/>
  <c r="K699" i="2"/>
  <c r="J699" i="2"/>
  <c r="I699" i="2"/>
  <c r="H699" i="2"/>
  <c r="G699" i="2"/>
  <c r="F699" i="2"/>
  <c r="E699" i="2"/>
  <c r="D699" i="2"/>
  <c r="C699" i="2"/>
  <c r="B699" i="2"/>
  <c r="A699" i="2"/>
  <c r="S698" i="2"/>
  <c r="R698" i="2"/>
  <c r="Q698" i="2"/>
  <c r="P698" i="2"/>
  <c r="O698" i="2"/>
  <c r="N698" i="2"/>
  <c r="M698" i="2"/>
  <c r="L698" i="2"/>
  <c r="K698" i="2"/>
  <c r="J698" i="2"/>
  <c r="I698" i="2"/>
  <c r="H698" i="2"/>
  <c r="G698" i="2"/>
  <c r="F698" i="2"/>
  <c r="E698" i="2"/>
  <c r="D698" i="2"/>
  <c r="C698" i="2"/>
  <c r="B698" i="2"/>
  <c r="A698" i="2"/>
  <c r="S697" i="2"/>
  <c r="R697" i="2"/>
  <c r="Q697" i="2"/>
  <c r="P697" i="2"/>
  <c r="O697" i="2"/>
  <c r="N697" i="2"/>
  <c r="M697" i="2"/>
  <c r="L697" i="2"/>
  <c r="K697" i="2"/>
  <c r="J697" i="2"/>
  <c r="I697" i="2"/>
  <c r="H697" i="2"/>
  <c r="G697" i="2"/>
  <c r="F697" i="2"/>
  <c r="E697" i="2"/>
  <c r="D697" i="2"/>
  <c r="C697" i="2"/>
  <c r="B697" i="2"/>
  <c r="A697" i="2"/>
  <c r="S696" i="2"/>
  <c r="R696" i="2"/>
  <c r="Q696" i="2"/>
  <c r="P696" i="2"/>
  <c r="O696" i="2"/>
  <c r="N696" i="2"/>
  <c r="M696" i="2"/>
  <c r="L696" i="2"/>
  <c r="K696" i="2"/>
  <c r="J696" i="2"/>
  <c r="I696" i="2"/>
  <c r="H696" i="2"/>
  <c r="G696" i="2"/>
  <c r="F696" i="2"/>
  <c r="E696" i="2"/>
  <c r="D696" i="2"/>
  <c r="C696" i="2"/>
  <c r="B696" i="2"/>
  <c r="A696" i="2"/>
  <c r="S695" i="2"/>
  <c r="R695" i="2"/>
  <c r="Q695" i="2"/>
  <c r="P695" i="2"/>
  <c r="O695" i="2"/>
  <c r="N695" i="2"/>
  <c r="M695" i="2"/>
  <c r="L695" i="2"/>
  <c r="K695" i="2"/>
  <c r="J695" i="2"/>
  <c r="I695" i="2"/>
  <c r="H695" i="2"/>
  <c r="G695" i="2"/>
  <c r="F695" i="2"/>
  <c r="E695" i="2"/>
  <c r="D695" i="2"/>
  <c r="C695" i="2"/>
  <c r="B695" i="2"/>
  <c r="A695" i="2"/>
  <c r="S694" i="2"/>
  <c r="R694" i="2"/>
  <c r="Q694" i="2"/>
  <c r="P694" i="2"/>
  <c r="O694" i="2"/>
  <c r="N694" i="2"/>
  <c r="M694" i="2"/>
  <c r="L694" i="2"/>
  <c r="K694" i="2"/>
  <c r="J694" i="2"/>
  <c r="I694" i="2"/>
  <c r="H694" i="2"/>
  <c r="G694" i="2"/>
  <c r="F694" i="2"/>
  <c r="E694" i="2"/>
  <c r="D694" i="2"/>
  <c r="C694" i="2"/>
  <c r="B694" i="2"/>
  <c r="A694" i="2"/>
  <c r="S693" i="2"/>
  <c r="R693" i="2"/>
  <c r="Q693" i="2"/>
  <c r="P693" i="2"/>
  <c r="O693" i="2"/>
  <c r="N693" i="2"/>
  <c r="M693" i="2"/>
  <c r="L693" i="2"/>
  <c r="K693" i="2"/>
  <c r="J693" i="2"/>
  <c r="I693" i="2"/>
  <c r="H693" i="2"/>
  <c r="G693" i="2"/>
  <c r="F693" i="2"/>
  <c r="E693" i="2"/>
  <c r="D693" i="2"/>
  <c r="C693" i="2"/>
  <c r="B693" i="2"/>
  <c r="A693" i="2"/>
  <c r="S692" i="2"/>
  <c r="R692" i="2"/>
  <c r="Q692" i="2"/>
  <c r="P692" i="2"/>
  <c r="O692" i="2"/>
  <c r="N692" i="2"/>
  <c r="M692" i="2"/>
  <c r="L692" i="2"/>
  <c r="K692" i="2"/>
  <c r="J692" i="2"/>
  <c r="I692" i="2"/>
  <c r="H692" i="2"/>
  <c r="G692" i="2"/>
  <c r="F692" i="2"/>
  <c r="E692" i="2"/>
  <c r="D692" i="2"/>
  <c r="C692" i="2"/>
  <c r="B692" i="2"/>
  <c r="A692" i="2"/>
  <c r="S691" i="2"/>
  <c r="R691" i="2"/>
  <c r="Q691" i="2"/>
  <c r="P691" i="2"/>
  <c r="O691" i="2"/>
  <c r="N691" i="2"/>
  <c r="M691" i="2"/>
  <c r="L691" i="2"/>
  <c r="K691" i="2"/>
  <c r="J691" i="2"/>
  <c r="I691" i="2"/>
  <c r="H691" i="2"/>
  <c r="G691" i="2"/>
  <c r="F691" i="2"/>
  <c r="E691" i="2"/>
  <c r="D691" i="2"/>
  <c r="C691" i="2"/>
  <c r="B691" i="2"/>
  <c r="A691" i="2"/>
  <c r="S690" i="2"/>
  <c r="R690" i="2"/>
  <c r="Q690" i="2"/>
  <c r="P690" i="2"/>
  <c r="O690" i="2"/>
  <c r="N690" i="2"/>
  <c r="M690" i="2"/>
  <c r="L690" i="2"/>
  <c r="K690" i="2"/>
  <c r="J690" i="2"/>
  <c r="I690" i="2"/>
  <c r="H690" i="2"/>
  <c r="G690" i="2"/>
  <c r="F690" i="2"/>
  <c r="E690" i="2"/>
  <c r="D690" i="2"/>
  <c r="C690" i="2"/>
  <c r="B690" i="2"/>
  <c r="A690" i="2"/>
  <c r="S689" i="2"/>
  <c r="R689" i="2"/>
  <c r="Q689" i="2"/>
  <c r="P689" i="2"/>
  <c r="O689" i="2"/>
  <c r="N689" i="2"/>
  <c r="M689" i="2"/>
  <c r="L689" i="2"/>
  <c r="K689" i="2"/>
  <c r="J689" i="2"/>
  <c r="I689" i="2"/>
  <c r="H689" i="2"/>
  <c r="G689" i="2"/>
  <c r="F689" i="2"/>
  <c r="E689" i="2"/>
  <c r="D689" i="2"/>
  <c r="C689" i="2"/>
  <c r="B689" i="2"/>
  <c r="A689" i="2"/>
  <c r="S688" i="2"/>
  <c r="R688" i="2"/>
  <c r="Q688" i="2"/>
  <c r="P688" i="2"/>
  <c r="O688" i="2"/>
  <c r="N688" i="2"/>
  <c r="M688" i="2"/>
  <c r="L688" i="2"/>
  <c r="K688" i="2"/>
  <c r="J688" i="2"/>
  <c r="I688" i="2"/>
  <c r="H688" i="2"/>
  <c r="G688" i="2"/>
  <c r="F688" i="2"/>
  <c r="E688" i="2"/>
  <c r="D688" i="2"/>
  <c r="C688" i="2"/>
  <c r="B688" i="2"/>
  <c r="A688" i="2"/>
  <c r="S687" i="2"/>
  <c r="R687" i="2"/>
  <c r="Q687" i="2"/>
  <c r="P687" i="2"/>
  <c r="O687" i="2"/>
  <c r="N687" i="2"/>
  <c r="M687" i="2"/>
  <c r="L687" i="2"/>
  <c r="K687" i="2"/>
  <c r="J687" i="2"/>
  <c r="I687" i="2"/>
  <c r="H687" i="2"/>
  <c r="G687" i="2"/>
  <c r="F687" i="2"/>
  <c r="E687" i="2"/>
  <c r="D687" i="2"/>
  <c r="C687" i="2"/>
  <c r="B687" i="2"/>
  <c r="A687" i="2"/>
  <c r="S686" i="2"/>
  <c r="R686" i="2"/>
  <c r="Q686" i="2"/>
  <c r="P686" i="2"/>
  <c r="O686" i="2"/>
  <c r="N686" i="2"/>
  <c r="M686" i="2"/>
  <c r="L686" i="2"/>
  <c r="K686" i="2"/>
  <c r="J686" i="2"/>
  <c r="I686" i="2"/>
  <c r="H686" i="2"/>
  <c r="G686" i="2"/>
  <c r="F686" i="2"/>
  <c r="E686" i="2"/>
  <c r="D686" i="2"/>
  <c r="C686" i="2"/>
  <c r="B686" i="2"/>
  <c r="A686" i="2"/>
  <c r="S685" i="2"/>
  <c r="R685" i="2"/>
  <c r="Q685" i="2"/>
  <c r="P685" i="2"/>
  <c r="O685" i="2"/>
  <c r="N685" i="2"/>
  <c r="M685" i="2"/>
  <c r="L685" i="2"/>
  <c r="K685" i="2"/>
  <c r="J685" i="2"/>
  <c r="I685" i="2"/>
  <c r="H685" i="2"/>
  <c r="G685" i="2"/>
  <c r="F685" i="2"/>
  <c r="E685" i="2"/>
  <c r="D685" i="2"/>
  <c r="C685" i="2"/>
  <c r="B685" i="2"/>
  <c r="A685" i="2"/>
  <c r="S684" i="2"/>
  <c r="R684" i="2"/>
  <c r="Q684" i="2"/>
  <c r="P684" i="2"/>
  <c r="O684" i="2"/>
  <c r="N684" i="2"/>
  <c r="M684" i="2"/>
  <c r="L684" i="2"/>
  <c r="K684" i="2"/>
  <c r="J684" i="2"/>
  <c r="I684" i="2"/>
  <c r="H684" i="2"/>
  <c r="G684" i="2"/>
  <c r="F684" i="2"/>
  <c r="E684" i="2"/>
  <c r="D684" i="2"/>
  <c r="C684" i="2"/>
  <c r="B684" i="2"/>
  <c r="A684" i="2"/>
  <c r="S683" i="2"/>
  <c r="R683" i="2"/>
  <c r="Q683" i="2"/>
  <c r="P683" i="2"/>
  <c r="O683" i="2"/>
  <c r="N683" i="2"/>
  <c r="M683" i="2"/>
  <c r="L683" i="2"/>
  <c r="K683" i="2"/>
  <c r="J683" i="2"/>
  <c r="I683" i="2"/>
  <c r="H683" i="2"/>
  <c r="G683" i="2"/>
  <c r="F683" i="2"/>
  <c r="E683" i="2"/>
  <c r="D683" i="2"/>
  <c r="C683" i="2"/>
  <c r="B683" i="2"/>
  <c r="A683" i="2"/>
  <c r="S682" i="2"/>
  <c r="R682" i="2"/>
  <c r="Q682" i="2"/>
  <c r="P682" i="2"/>
  <c r="O682" i="2"/>
  <c r="N682" i="2"/>
  <c r="M682" i="2"/>
  <c r="L682" i="2"/>
  <c r="K682" i="2"/>
  <c r="J682" i="2"/>
  <c r="I682" i="2"/>
  <c r="H682" i="2"/>
  <c r="G682" i="2"/>
  <c r="F682" i="2"/>
  <c r="E682" i="2"/>
  <c r="D682" i="2"/>
  <c r="C682" i="2"/>
  <c r="B682" i="2"/>
  <c r="A682" i="2"/>
  <c r="S681" i="2"/>
  <c r="R681" i="2"/>
  <c r="Q681" i="2"/>
  <c r="P681" i="2"/>
  <c r="O681" i="2"/>
  <c r="N681" i="2"/>
  <c r="M681" i="2"/>
  <c r="L681" i="2"/>
  <c r="K681" i="2"/>
  <c r="J681" i="2"/>
  <c r="I681" i="2"/>
  <c r="H681" i="2"/>
  <c r="G681" i="2"/>
  <c r="F681" i="2"/>
  <c r="E681" i="2"/>
  <c r="D681" i="2"/>
  <c r="C681" i="2"/>
  <c r="B681" i="2"/>
  <c r="A681" i="2"/>
  <c r="S680" i="2"/>
  <c r="R680" i="2"/>
  <c r="Q680" i="2"/>
  <c r="P680" i="2"/>
  <c r="O680" i="2"/>
  <c r="N680" i="2"/>
  <c r="M680" i="2"/>
  <c r="L680" i="2"/>
  <c r="K680" i="2"/>
  <c r="J680" i="2"/>
  <c r="I680" i="2"/>
  <c r="H680" i="2"/>
  <c r="G680" i="2"/>
  <c r="F680" i="2"/>
  <c r="E680" i="2"/>
  <c r="D680" i="2"/>
  <c r="C680" i="2"/>
  <c r="B680" i="2"/>
  <c r="A680" i="2"/>
  <c r="S679" i="2"/>
  <c r="R679" i="2"/>
  <c r="Q679" i="2"/>
  <c r="P679" i="2"/>
  <c r="O679" i="2"/>
  <c r="N679" i="2"/>
  <c r="M679" i="2"/>
  <c r="L679" i="2"/>
  <c r="K679" i="2"/>
  <c r="J679" i="2"/>
  <c r="I679" i="2"/>
  <c r="H679" i="2"/>
  <c r="G679" i="2"/>
  <c r="F679" i="2"/>
  <c r="E679" i="2"/>
  <c r="D679" i="2"/>
  <c r="C679" i="2"/>
  <c r="B679" i="2"/>
  <c r="A679" i="2"/>
  <c r="S678" i="2"/>
  <c r="R678" i="2"/>
  <c r="Q678" i="2"/>
  <c r="P678" i="2"/>
  <c r="O678" i="2"/>
  <c r="N678" i="2"/>
  <c r="M678" i="2"/>
  <c r="L678" i="2"/>
  <c r="K678" i="2"/>
  <c r="J678" i="2"/>
  <c r="I678" i="2"/>
  <c r="H678" i="2"/>
  <c r="G678" i="2"/>
  <c r="F678" i="2"/>
  <c r="E678" i="2"/>
  <c r="D678" i="2"/>
  <c r="C678" i="2"/>
  <c r="B678" i="2"/>
  <c r="A678" i="2"/>
  <c r="S677" i="2"/>
  <c r="R677" i="2"/>
  <c r="Q677" i="2"/>
  <c r="P677" i="2"/>
  <c r="O677" i="2"/>
  <c r="N677" i="2"/>
  <c r="M677" i="2"/>
  <c r="L677" i="2"/>
  <c r="K677" i="2"/>
  <c r="J677" i="2"/>
  <c r="I677" i="2"/>
  <c r="H677" i="2"/>
  <c r="G677" i="2"/>
  <c r="F677" i="2"/>
  <c r="E677" i="2"/>
  <c r="D677" i="2"/>
  <c r="C677" i="2"/>
  <c r="B677" i="2"/>
  <c r="A677" i="2"/>
  <c r="S676" i="2"/>
  <c r="R676" i="2"/>
  <c r="Q676" i="2"/>
  <c r="P676" i="2"/>
  <c r="O676" i="2"/>
  <c r="N676" i="2"/>
  <c r="M676" i="2"/>
  <c r="L676" i="2"/>
  <c r="K676" i="2"/>
  <c r="J676" i="2"/>
  <c r="I676" i="2"/>
  <c r="H676" i="2"/>
  <c r="G676" i="2"/>
  <c r="F676" i="2"/>
  <c r="E676" i="2"/>
  <c r="D676" i="2"/>
  <c r="C676" i="2"/>
  <c r="B676" i="2"/>
  <c r="A676" i="2"/>
  <c r="S675" i="2"/>
  <c r="R675" i="2"/>
  <c r="Q675" i="2"/>
  <c r="P675" i="2"/>
  <c r="O675" i="2"/>
  <c r="N675" i="2"/>
  <c r="M675" i="2"/>
  <c r="L675" i="2"/>
  <c r="K675" i="2"/>
  <c r="J675" i="2"/>
  <c r="I675" i="2"/>
  <c r="H675" i="2"/>
  <c r="G675" i="2"/>
  <c r="F675" i="2"/>
  <c r="E675" i="2"/>
  <c r="D675" i="2"/>
  <c r="C675" i="2"/>
  <c r="B675" i="2"/>
  <c r="A675" i="2"/>
  <c r="S674" i="2"/>
  <c r="R674" i="2"/>
  <c r="Q674" i="2"/>
  <c r="P674" i="2"/>
  <c r="O674" i="2"/>
  <c r="N674" i="2"/>
  <c r="M674" i="2"/>
  <c r="L674" i="2"/>
  <c r="K674" i="2"/>
  <c r="J674" i="2"/>
  <c r="I674" i="2"/>
  <c r="H674" i="2"/>
  <c r="G674" i="2"/>
  <c r="F674" i="2"/>
  <c r="E674" i="2"/>
  <c r="D674" i="2"/>
  <c r="C674" i="2"/>
  <c r="B674" i="2"/>
  <c r="A674" i="2"/>
  <c r="S673" i="2"/>
  <c r="R673" i="2"/>
  <c r="Q673" i="2"/>
  <c r="P673" i="2"/>
  <c r="O673" i="2"/>
  <c r="N673" i="2"/>
  <c r="M673" i="2"/>
  <c r="L673" i="2"/>
  <c r="K673" i="2"/>
  <c r="J673" i="2"/>
  <c r="I673" i="2"/>
  <c r="H673" i="2"/>
  <c r="G673" i="2"/>
  <c r="F673" i="2"/>
  <c r="E673" i="2"/>
  <c r="D673" i="2"/>
  <c r="C673" i="2"/>
  <c r="B673" i="2"/>
  <c r="A673" i="2"/>
  <c r="S672" i="2"/>
  <c r="R672" i="2"/>
  <c r="Q672" i="2"/>
  <c r="P672" i="2"/>
  <c r="O672" i="2"/>
  <c r="N672" i="2"/>
  <c r="M672" i="2"/>
  <c r="L672" i="2"/>
  <c r="K672" i="2"/>
  <c r="J672" i="2"/>
  <c r="I672" i="2"/>
  <c r="H672" i="2"/>
  <c r="G672" i="2"/>
  <c r="F672" i="2"/>
  <c r="E672" i="2"/>
  <c r="D672" i="2"/>
  <c r="C672" i="2"/>
  <c r="B672" i="2"/>
  <c r="A672" i="2"/>
  <c r="S671" i="2"/>
  <c r="R671" i="2"/>
  <c r="Q671" i="2"/>
  <c r="P671" i="2"/>
  <c r="O671" i="2"/>
  <c r="N671" i="2"/>
  <c r="M671" i="2"/>
  <c r="L671" i="2"/>
  <c r="K671" i="2"/>
  <c r="J671" i="2"/>
  <c r="I671" i="2"/>
  <c r="H671" i="2"/>
  <c r="G671" i="2"/>
  <c r="F671" i="2"/>
  <c r="E671" i="2"/>
  <c r="D671" i="2"/>
  <c r="C671" i="2"/>
  <c r="B671" i="2"/>
  <c r="A671" i="2"/>
  <c r="S670" i="2"/>
  <c r="R670" i="2"/>
  <c r="Q670" i="2"/>
  <c r="P670" i="2"/>
  <c r="O670" i="2"/>
  <c r="N670" i="2"/>
  <c r="M670" i="2"/>
  <c r="L670" i="2"/>
  <c r="K670" i="2"/>
  <c r="J670" i="2"/>
  <c r="I670" i="2"/>
  <c r="H670" i="2"/>
  <c r="G670" i="2"/>
  <c r="F670" i="2"/>
  <c r="E670" i="2"/>
  <c r="D670" i="2"/>
  <c r="C670" i="2"/>
  <c r="B670" i="2"/>
  <c r="A670" i="2"/>
  <c r="S669" i="2"/>
  <c r="R669" i="2"/>
  <c r="Q669" i="2"/>
  <c r="P669" i="2"/>
  <c r="O669" i="2"/>
  <c r="N669" i="2"/>
  <c r="M669" i="2"/>
  <c r="L669" i="2"/>
  <c r="K669" i="2"/>
  <c r="J669" i="2"/>
  <c r="I669" i="2"/>
  <c r="H669" i="2"/>
  <c r="G669" i="2"/>
  <c r="F669" i="2"/>
  <c r="E669" i="2"/>
  <c r="D669" i="2"/>
  <c r="C669" i="2"/>
  <c r="B669" i="2"/>
  <c r="A669" i="2"/>
  <c r="S668" i="2"/>
  <c r="R668" i="2"/>
  <c r="Q668" i="2"/>
  <c r="P668" i="2"/>
  <c r="O668" i="2"/>
  <c r="N668" i="2"/>
  <c r="M668" i="2"/>
  <c r="L668" i="2"/>
  <c r="K668" i="2"/>
  <c r="J668" i="2"/>
  <c r="I668" i="2"/>
  <c r="H668" i="2"/>
  <c r="G668" i="2"/>
  <c r="F668" i="2"/>
  <c r="E668" i="2"/>
  <c r="D668" i="2"/>
  <c r="C668" i="2"/>
  <c r="B668" i="2"/>
  <c r="A668" i="2"/>
  <c r="S667" i="2"/>
  <c r="R667" i="2"/>
  <c r="Q667" i="2"/>
  <c r="P667" i="2"/>
  <c r="O667" i="2"/>
  <c r="N667" i="2"/>
  <c r="M667" i="2"/>
  <c r="L667" i="2"/>
  <c r="K667" i="2"/>
  <c r="J667" i="2"/>
  <c r="I667" i="2"/>
  <c r="H667" i="2"/>
  <c r="G667" i="2"/>
  <c r="F667" i="2"/>
  <c r="E667" i="2"/>
  <c r="D667" i="2"/>
  <c r="C667" i="2"/>
  <c r="B667" i="2"/>
  <c r="A667" i="2"/>
  <c r="S666" i="2"/>
  <c r="R666" i="2"/>
  <c r="Q666" i="2"/>
  <c r="P666" i="2"/>
  <c r="O666" i="2"/>
  <c r="N666" i="2"/>
  <c r="M666" i="2"/>
  <c r="L666" i="2"/>
  <c r="K666" i="2"/>
  <c r="J666" i="2"/>
  <c r="I666" i="2"/>
  <c r="H666" i="2"/>
  <c r="G666" i="2"/>
  <c r="F666" i="2"/>
  <c r="E666" i="2"/>
  <c r="D666" i="2"/>
  <c r="C666" i="2"/>
  <c r="B666" i="2"/>
  <c r="A666" i="2"/>
  <c r="S665" i="2"/>
  <c r="R665" i="2"/>
  <c r="Q665" i="2"/>
  <c r="P665" i="2"/>
  <c r="O665" i="2"/>
  <c r="N665" i="2"/>
  <c r="M665" i="2"/>
  <c r="L665" i="2"/>
  <c r="K665" i="2"/>
  <c r="J665" i="2"/>
  <c r="I665" i="2"/>
  <c r="H665" i="2"/>
  <c r="G665" i="2"/>
  <c r="F665" i="2"/>
  <c r="E665" i="2"/>
  <c r="D665" i="2"/>
  <c r="C665" i="2"/>
  <c r="B665" i="2"/>
  <c r="A665" i="2"/>
  <c r="S664" i="2"/>
  <c r="R664" i="2"/>
  <c r="Q664" i="2"/>
  <c r="P664" i="2"/>
  <c r="O664" i="2"/>
  <c r="N664" i="2"/>
  <c r="M664" i="2"/>
  <c r="L664" i="2"/>
  <c r="K664" i="2"/>
  <c r="J664" i="2"/>
  <c r="I664" i="2"/>
  <c r="H664" i="2"/>
  <c r="G664" i="2"/>
  <c r="F664" i="2"/>
  <c r="E664" i="2"/>
  <c r="D664" i="2"/>
  <c r="C664" i="2"/>
  <c r="B664" i="2"/>
  <c r="A664" i="2"/>
  <c r="S663" i="2"/>
  <c r="R663" i="2"/>
  <c r="Q663" i="2"/>
  <c r="P663" i="2"/>
  <c r="O663" i="2"/>
  <c r="N663" i="2"/>
  <c r="M663" i="2"/>
  <c r="L663" i="2"/>
  <c r="K663" i="2"/>
  <c r="J663" i="2"/>
  <c r="I663" i="2"/>
  <c r="H663" i="2"/>
  <c r="G663" i="2"/>
  <c r="F663" i="2"/>
  <c r="E663" i="2"/>
  <c r="D663" i="2"/>
  <c r="C663" i="2"/>
  <c r="B663" i="2"/>
  <c r="A663" i="2"/>
  <c r="S662" i="2"/>
  <c r="R662" i="2"/>
  <c r="Q662" i="2"/>
  <c r="P662" i="2"/>
  <c r="O662" i="2"/>
  <c r="N662" i="2"/>
  <c r="M662" i="2"/>
  <c r="L662" i="2"/>
  <c r="K662" i="2"/>
  <c r="J662" i="2"/>
  <c r="I662" i="2"/>
  <c r="H662" i="2"/>
  <c r="G662" i="2"/>
  <c r="F662" i="2"/>
  <c r="E662" i="2"/>
  <c r="D662" i="2"/>
  <c r="C662" i="2"/>
  <c r="B662" i="2"/>
  <c r="A662" i="2"/>
  <c r="S661" i="2"/>
  <c r="R661" i="2"/>
  <c r="Q661" i="2"/>
  <c r="P661" i="2"/>
  <c r="O661" i="2"/>
  <c r="N661" i="2"/>
  <c r="M661" i="2"/>
  <c r="L661" i="2"/>
  <c r="K661" i="2"/>
  <c r="J661" i="2"/>
  <c r="I661" i="2"/>
  <c r="H661" i="2"/>
  <c r="G661" i="2"/>
  <c r="F661" i="2"/>
  <c r="E661" i="2"/>
  <c r="D661" i="2"/>
  <c r="C661" i="2"/>
  <c r="B661" i="2"/>
  <c r="A661" i="2"/>
  <c r="S660" i="2"/>
  <c r="R660" i="2"/>
  <c r="Q660" i="2"/>
  <c r="P660" i="2"/>
  <c r="O660" i="2"/>
  <c r="N660" i="2"/>
  <c r="M660" i="2"/>
  <c r="L660" i="2"/>
  <c r="K660" i="2"/>
  <c r="J660" i="2"/>
  <c r="I660" i="2"/>
  <c r="H660" i="2"/>
  <c r="G660" i="2"/>
  <c r="F660" i="2"/>
  <c r="E660" i="2"/>
  <c r="D660" i="2"/>
  <c r="C660" i="2"/>
  <c r="B660" i="2"/>
  <c r="A660" i="2"/>
  <c r="S659" i="2"/>
  <c r="R659" i="2"/>
  <c r="Q659" i="2"/>
  <c r="P659" i="2"/>
  <c r="O659" i="2"/>
  <c r="N659" i="2"/>
  <c r="M659" i="2"/>
  <c r="L659" i="2"/>
  <c r="K659" i="2"/>
  <c r="J659" i="2"/>
  <c r="I659" i="2"/>
  <c r="H659" i="2"/>
  <c r="G659" i="2"/>
  <c r="F659" i="2"/>
  <c r="E659" i="2"/>
  <c r="D659" i="2"/>
  <c r="C659" i="2"/>
  <c r="B659" i="2"/>
  <c r="A659" i="2"/>
  <c r="S658" i="2"/>
  <c r="R658" i="2"/>
  <c r="Q658" i="2"/>
  <c r="P658" i="2"/>
  <c r="O658" i="2"/>
  <c r="N658" i="2"/>
  <c r="M658" i="2"/>
  <c r="L658" i="2"/>
  <c r="K658" i="2"/>
  <c r="J658" i="2"/>
  <c r="I658" i="2"/>
  <c r="H658" i="2"/>
  <c r="G658" i="2"/>
  <c r="F658" i="2"/>
  <c r="E658" i="2"/>
  <c r="D658" i="2"/>
  <c r="C658" i="2"/>
  <c r="B658" i="2"/>
  <c r="A658" i="2"/>
  <c r="S657" i="2"/>
  <c r="R657" i="2"/>
  <c r="Q657" i="2"/>
  <c r="P657" i="2"/>
  <c r="O657" i="2"/>
  <c r="N657" i="2"/>
  <c r="M657" i="2"/>
  <c r="L657" i="2"/>
  <c r="K657" i="2"/>
  <c r="J657" i="2"/>
  <c r="I657" i="2"/>
  <c r="H657" i="2"/>
  <c r="G657" i="2"/>
  <c r="F657" i="2"/>
  <c r="E657" i="2"/>
  <c r="D657" i="2"/>
  <c r="C657" i="2"/>
  <c r="B657" i="2"/>
  <c r="A657" i="2"/>
  <c r="S656" i="2"/>
  <c r="R656" i="2"/>
  <c r="Q656" i="2"/>
  <c r="P656" i="2"/>
  <c r="O656" i="2"/>
  <c r="N656" i="2"/>
  <c r="M656" i="2"/>
  <c r="L656" i="2"/>
  <c r="K656" i="2"/>
  <c r="J656" i="2"/>
  <c r="I656" i="2"/>
  <c r="H656" i="2"/>
  <c r="G656" i="2"/>
  <c r="F656" i="2"/>
  <c r="E656" i="2"/>
  <c r="D656" i="2"/>
  <c r="C656" i="2"/>
  <c r="B656" i="2"/>
  <c r="A656" i="2"/>
  <c r="S655" i="2"/>
  <c r="R655" i="2"/>
  <c r="Q655" i="2"/>
  <c r="P655" i="2"/>
  <c r="O655" i="2"/>
  <c r="N655" i="2"/>
  <c r="M655" i="2"/>
  <c r="L655" i="2"/>
  <c r="K655" i="2"/>
  <c r="J655" i="2"/>
  <c r="I655" i="2"/>
  <c r="H655" i="2"/>
  <c r="G655" i="2"/>
  <c r="F655" i="2"/>
  <c r="E655" i="2"/>
  <c r="D655" i="2"/>
  <c r="C655" i="2"/>
  <c r="B655" i="2"/>
  <c r="A655" i="2"/>
  <c r="S654" i="2"/>
  <c r="R654" i="2"/>
  <c r="Q654" i="2"/>
  <c r="P654" i="2"/>
  <c r="O654" i="2"/>
  <c r="N654" i="2"/>
  <c r="M654" i="2"/>
  <c r="L654" i="2"/>
  <c r="K654" i="2"/>
  <c r="J654" i="2"/>
  <c r="I654" i="2"/>
  <c r="H654" i="2"/>
  <c r="G654" i="2"/>
  <c r="F654" i="2"/>
  <c r="E654" i="2"/>
  <c r="D654" i="2"/>
  <c r="C654" i="2"/>
  <c r="B654" i="2"/>
  <c r="A654" i="2"/>
  <c r="S653" i="2"/>
  <c r="R653" i="2"/>
  <c r="Q653" i="2"/>
  <c r="P653" i="2"/>
  <c r="O653" i="2"/>
  <c r="N653" i="2"/>
  <c r="M653" i="2"/>
  <c r="L653" i="2"/>
  <c r="K653" i="2"/>
  <c r="J653" i="2"/>
  <c r="I653" i="2"/>
  <c r="H653" i="2"/>
  <c r="G653" i="2"/>
  <c r="F653" i="2"/>
  <c r="E653" i="2"/>
  <c r="D653" i="2"/>
  <c r="C653" i="2"/>
  <c r="B653" i="2"/>
  <c r="A653" i="2"/>
  <c r="S652" i="2"/>
  <c r="R652" i="2"/>
  <c r="Q652" i="2"/>
  <c r="P652" i="2"/>
  <c r="O652" i="2"/>
  <c r="N652" i="2"/>
  <c r="M652" i="2"/>
  <c r="L652" i="2"/>
  <c r="K652" i="2"/>
  <c r="J652" i="2"/>
  <c r="I652" i="2"/>
  <c r="H652" i="2"/>
  <c r="G652" i="2"/>
  <c r="F652" i="2"/>
  <c r="E652" i="2"/>
  <c r="D652" i="2"/>
  <c r="C652" i="2"/>
  <c r="B652" i="2"/>
  <c r="A652" i="2"/>
  <c r="S651" i="2"/>
  <c r="R651" i="2"/>
  <c r="Q651" i="2"/>
  <c r="P651" i="2"/>
  <c r="O651" i="2"/>
  <c r="N651" i="2"/>
  <c r="M651" i="2"/>
  <c r="L651" i="2"/>
  <c r="K651" i="2"/>
  <c r="J651" i="2"/>
  <c r="I651" i="2"/>
  <c r="H651" i="2"/>
  <c r="G651" i="2"/>
  <c r="F651" i="2"/>
  <c r="E651" i="2"/>
  <c r="D651" i="2"/>
  <c r="C651" i="2"/>
  <c r="B651" i="2"/>
  <c r="A651" i="2"/>
  <c r="S650" i="2"/>
  <c r="R650" i="2"/>
  <c r="Q650" i="2"/>
  <c r="P650" i="2"/>
  <c r="O650" i="2"/>
  <c r="N650" i="2"/>
  <c r="M650" i="2"/>
  <c r="L650" i="2"/>
  <c r="K650" i="2"/>
  <c r="J650" i="2"/>
  <c r="I650" i="2"/>
  <c r="H650" i="2"/>
  <c r="G650" i="2"/>
  <c r="F650" i="2"/>
  <c r="E650" i="2"/>
  <c r="D650" i="2"/>
  <c r="C650" i="2"/>
  <c r="B650" i="2"/>
  <c r="A650" i="2"/>
  <c r="S649" i="2"/>
  <c r="R649" i="2"/>
  <c r="Q649" i="2"/>
  <c r="P649" i="2"/>
  <c r="O649" i="2"/>
  <c r="N649" i="2"/>
  <c r="M649" i="2"/>
  <c r="L649" i="2"/>
  <c r="K649" i="2"/>
  <c r="J649" i="2"/>
  <c r="I649" i="2"/>
  <c r="H649" i="2"/>
  <c r="G649" i="2"/>
  <c r="F649" i="2"/>
  <c r="E649" i="2"/>
  <c r="D649" i="2"/>
  <c r="C649" i="2"/>
  <c r="B649" i="2"/>
  <c r="A649" i="2"/>
  <c r="S648" i="2"/>
  <c r="R648" i="2"/>
  <c r="Q648" i="2"/>
  <c r="P648" i="2"/>
  <c r="O648" i="2"/>
  <c r="N648" i="2"/>
  <c r="M648" i="2"/>
  <c r="L648" i="2"/>
  <c r="K648" i="2"/>
  <c r="J648" i="2"/>
  <c r="I648" i="2"/>
  <c r="H648" i="2"/>
  <c r="G648" i="2"/>
  <c r="F648" i="2"/>
  <c r="E648" i="2"/>
  <c r="D648" i="2"/>
  <c r="C648" i="2"/>
  <c r="B648" i="2"/>
  <c r="A648" i="2"/>
  <c r="S647" i="2"/>
  <c r="R647" i="2"/>
  <c r="Q647" i="2"/>
  <c r="P647" i="2"/>
  <c r="O647" i="2"/>
  <c r="N647" i="2"/>
  <c r="M647" i="2"/>
  <c r="L647" i="2"/>
  <c r="K647" i="2"/>
  <c r="J647" i="2"/>
  <c r="I647" i="2"/>
  <c r="H647" i="2"/>
  <c r="G647" i="2"/>
  <c r="F647" i="2"/>
  <c r="E647" i="2"/>
  <c r="D647" i="2"/>
  <c r="C647" i="2"/>
  <c r="B647" i="2"/>
  <c r="A647" i="2"/>
  <c r="S646" i="2"/>
  <c r="R646" i="2"/>
  <c r="Q646" i="2"/>
  <c r="P646" i="2"/>
  <c r="O646" i="2"/>
  <c r="N646" i="2"/>
  <c r="M646" i="2"/>
  <c r="L646" i="2"/>
  <c r="K646" i="2"/>
  <c r="J646" i="2"/>
  <c r="I646" i="2"/>
  <c r="H646" i="2"/>
  <c r="G646" i="2"/>
  <c r="F646" i="2"/>
  <c r="E646" i="2"/>
  <c r="D646" i="2"/>
  <c r="C646" i="2"/>
  <c r="B646" i="2"/>
  <c r="A646" i="2"/>
  <c r="S645" i="2"/>
  <c r="R645" i="2"/>
  <c r="Q645" i="2"/>
  <c r="P645" i="2"/>
  <c r="O645" i="2"/>
  <c r="N645" i="2"/>
  <c r="M645" i="2"/>
  <c r="L645" i="2"/>
  <c r="K645" i="2"/>
  <c r="J645" i="2"/>
  <c r="I645" i="2"/>
  <c r="H645" i="2"/>
  <c r="G645" i="2"/>
  <c r="F645" i="2"/>
  <c r="E645" i="2"/>
  <c r="D645" i="2"/>
  <c r="C645" i="2"/>
  <c r="B645" i="2"/>
  <c r="A645" i="2"/>
  <c r="S644" i="2"/>
  <c r="R644" i="2"/>
  <c r="Q644" i="2"/>
  <c r="P644" i="2"/>
  <c r="O644" i="2"/>
  <c r="N644" i="2"/>
  <c r="M644" i="2"/>
  <c r="L644" i="2"/>
  <c r="K644" i="2"/>
  <c r="J644" i="2"/>
  <c r="I644" i="2"/>
  <c r="H644" i="2"/>
  <c r="G644" i="2"/>
  <c r="F644" i="2"/>
  <c r="E644" i="2"/>
  <c r="D644" i="2"/>
  <c r="C644" i="2"/>
  <c r="B644" i="2"/>
  <c r="A644" i="2"/>
  <c r="S643" i="2"/>
  <c r="R643" i="2"/>
  <c r="Q643" i="2"/>
  <c r="P643" i="2"/>
  <c r="O643" i="2"/>
  <c r="N643" i="2"/>
  <c r="M643" i="2"/>
  <c r="L643" i="2"/>
  <c r="K643" i="2"/>
  <c r="J643" i="2"/>
  <c r="I643" i="2"/>
  <c r="H643" i="2"/>
  <c r="G643" i="2"/>
  <c r="F643" i="2"/>
  <c r="E643" i="2"/>
  <c r="D643" i="2"/>
  <c r="C643" i="2"/>
  <c r="B643" i="2"/>
  <c r="A643" i="2"/>
  <c r="S642" i="2"/>
  <c r="R642" i="2"/>
  <c r="Q642" i="2"/>
  <c r="P642" i="2"/>
  <c r="O642" i="2"/>
  <c r="N642" i="2"/>
  <c r="M642" i="2"/>
  <c r="L642" i="2"/>
  <c r="K642" i="2"/>
  <c r="J642" i="2"/>
  <c r="I642" i="2"/>
  <c r="H642" i="2"/>
  <c r="G642" i="2"/>
  <c r="F642" i="2"/>
  <c r="E642" i="2"/>
  <c r="D642" i="2"/>
  <c r="C642" i="2"/>
  <c r="B642" i="2"/>
  <c r="A642" i="2"/>
  <c r="S641" i="2"/>
  <c r="R641" i="2"/>
  <c r="Q641" i="2"/>
  <c r="P641" i="2"/>
  <c r="O641" i="2"/>
  <c r="N641" i="2"/>
  <c r="M641" i="2"/>
  <c r="L641" i="2"/>
  <c r="K641" i="2"/>
  <c r="J641" i="2"/>
  <c r="I641" i="2"/>
  <c r="H641" i="2"/>
  <c r="G641" i="2"/>
  <c r="F641" i="2"/>
  <c r="E641" i="2"/>
  <c r="D641" i="2"/>
  <c r="C641" i="2"/>
  <c r="B641" i="2"/>
  <c r="A641" i="2"/>
  <c r="S640" i="2"/>
  <c r="R640" i="2"/>
  <c r="Q640" i="2"/>
  <c r="P640" i="2"/>
  <c r="O640" i="2"/>
  <c r="N640" i="2"/>
  <c r="M640" i="2"/>
  <c r="L640" i="2"/>
  <c r="K640" i="2"/>
  <c r="J640" i="2"/>
  <c r="I640" i="2"/>
  <c r="H640" i="2"/>
  <c r="G640" i="2"/>
  <c r="F640" i="2"/>
  <c r="E640" i="2"/>
  <c r="D640" i="2"/>
  <c r="C640" i="2"/>
  <c r="B640" i="2"/>
  <c r="A640" i="2"/>
  <c r="S639" i="2"/>
  <c r="R639" i="2"/>
  <c r="Q639" i="2"/>
  <c r="P639" i="2"/>
  <c r="O639" i="2"/>
  <c r="N639" i="2"/>
  <c r="M639" i="2"/>
  <c r="L639" i="2"/>
  <c r="K639" i="2"/>
  <c r="J639" i="2"/>
  <c r="I639" i="2"/>
  <c r="H639" i="2"/>
  <c r="G639" i="2"/>
  <c r="F639" i="2"/>
  <c r="E639" i="2"/>
  <c r="D639" i="2"/>
  <c r="C639" i="2"/>
  <c r="B639" i="2"/>
  <c r="A639" i="2"/>
  <c r="S638" i="2"/>
  <c r="R638" i="2"/>
  <c r="Q638" i="2"/>
  <c r="P638" i="2"/>
  <c r="O638" i="2"/>
  <c r="N638" i="2"/>
  <c r="M638" i="2"/>
  <c r="L638" i="2"/>
  <c r="K638" i="2"/>
  <c r="J638" i="2"/>
  <c r="I638" i="2"/>
  <c r="H638" i="2"/>
  <c r="G638" i="2"/>
  <c r="F638" i="2"/>
  <c r="E638" i="2"/>
  <c r="D638" i="2"/>
  <c r="C638" i="2"/>
  <c r="B638" i="2"/>
  <c r="A638" i="2"/>
  <c r="S637" i="2"/>
  <c r="R637" i="2"/>
  <c r="Q637" i="2"/>
  <c r="P637" i="2"/>
  <c r="O637" i="2"/>
  <c r="N637" i="2"/>
  <c r="M637" i="2"/>
  <c r="L637" i="2"/>
  <c r="K637" i="2"/>
  <c r="J637" i="2"/>
  <c r="I637" i="2"/>
  <c r="H637" i="2"/>
  <c r="G637" i="2"/>
  <c r="F637" i="2"/>
  <c r="E637" i="2"/>
  <c r="D637" i="2"/>
  <c r="C637" i="2"/>
  <c r="B637" i="2"/>
  <c r="A637" i="2"/>
  <c r="S636" i="2"/>
  <c r="R636" i="2"/>
  <c r="Q636" i="2"/>
  <c r="P636" i="2"/>
  <c r="O636" i="2"/>
  <c r="N636" i="2"/>
  <c r="M636" i="2"/>
  <c r="L636" i="2"/>
  <c r="K636" i="2"/>
  <c r="J636" i="2"/>
  <c r="I636" i="2"/>
  <c r="H636" i="2"/>
  <c r="G636" i="2"/>
  <c r="F636" i="2"/>
  <c r="E636" i="2"/>
  <c r="D636" i="2"/>
  <c r="C636" i="2"/>
  <c r="B636" i="2"/>
  <c r="A636" i="2"/>
  <c r="S635" i="2"/>
  <c r="R635" i="2"/>
  <c r="Q635" i="2"/>
  <c r="P635" i="2"/>
  <c r="O635" i="2"/>
  <c r="N635" i="2"/>
  <c r="M635" i="2"/>
  <c r="L635" i="2"/>
  <c r="K635" i="2"/>
  <c r="J635" i="2"/>
  <c r="I635" i="2"/>
  <c r="H635" i="2"/>
  <c r="G635" i="2"/>
  <c r="F635" i="2"/>
  <c r="E635" i="2"/>
  <c r="D635" i="2"/>
  <c r="C635" i="2"/>
  <c r="B635" i="2"/>
  <c r="A635" i="2"/>
  <c r="S634" i="2"/>
  <c r="R634" i="2"/>
  <c r="Q634" i="2"/>
  <c r="P634" i="2"/>
  <c r="O634" i="2"/>
  <c r="N634" i="2"/>
  <c r="M634" i="2"/>
  <c r="L634" i="2"/>
  <c r="K634" i="2"/>
  <c r="J634" i="2"/>
  <c r="I634" i="2"/>
  <c r="H634" i="2"/>
  <c r="G634" i="2"/>
  <c r="F634" i="2"/>
  <c r="E634" i="2"/>
  <c r="D634" i="2"/>
  <c r="C634" i="2"/>
  <c r="B634" i="2"/>
  <c r="A634" i="2"/>
  <c r="S633" i="2"/>
  <c r="R633" i="2"/>
  <c r="Q633" i="2"/>
  <c r="P633" i="2"/>
  <c r="O633" i="2"/>
  <c r="N633" i="2"/>
  <c r="M633" i="2"/>
  <c r="L633" i="2"/>
  <c r="K633" i="2"/>
  <c r="J633" i="2"/>
  <c r="I633" i="2"/>
  <c r="H633" i="2"/>
  <c r="G633" i="2"/>
  <c r="F633" i="2"/>
  <c r="E633" i="2"/>
  <c r="D633" i="2"/>
  <c r="C633" i="2"/>
  <c r="B633" i="2"/>
  <c r="A633" i="2"/>
  <c r="S632" i="2"/>
  <c r="R632" i="2"/>
  <c r="Q632" i="2"/>
  <c r="P632" i="2"/>
  <c r="O632" i="2"/>
  <c r="N632" i="2"/>
  <c r="M632" i="2"/>
  <c r="L632" i="2"/>
  <c r="K632" i="2"/>
  <c r="J632" i="2"/>
  <c r="I632" i="2"/>
  <c r="H632" i="2"/>
  <c r="G632" i="2"/>
  <c r="F632" i="2"/>
  <c r="E632" i="2"/>
  <c r="D632" i="2"/>
  <c r="C632" i="2"/>
  <c r="B632" i="2"/>
  <c r="A632" i="2"/>
  <c r="S631" i="2"/>
  <c r="R631" i="2"/>
  <c r="Q631" i="2"/>
  <c r="P631" i="2"/>
  <c r="O631" i="2"/>
  <c r="N631" i="2"/>
  <c r="M631" i="2"/>
  <c r="L631" i="2"/>
  <c r="K631" i="2"/>
  <c r="J631" i="2"/>
  <c r="I631" i="2"/>
  <c r="H631" i="2"/>
  <c r="G631" i="2"/>
  <c r="F631" i="2"/>
  <c r="E631" i="2"/>
  <c r="D631" i="2"/>
  <c r="C631" i="2"/>
  <c r="B631" i="2"/>
  <c r="A631" i="2"/>
  <c r="S630" i="2"/>
  <c r="R630" i="2"/>
  <c r="Q630" i="2"/>
  <c r="P630" i="2"/>
  <c r="O630" i="2"/>
  <c r="N630" i="2"/>
  <c r="M630" i="2"/>
  <c r="L630" i="2"/>
  <c r="K630" i="2"/>
  <c r="J630" i="2"/>
  <c r="I630" i="2"/>
  <c r="H630" i="2"/>
  <c r="G630" i="2"/>
  <c r="F630" i="2"/>
  <c r="E630" i="2"/>
  <c r="D630" i="2"/>
  <c r="C630" i="2"/>
  <c r="B630" i="2"/>
  <c r="A630" i="2"/>
  <c r="S629" i="2"/>
  <c r="R629" i="2"/>
  <c r="Q629" i="2"/>
  <c r="P629" i="2"/>
  <c r="O629" i="2"/>
  <c r="N629" i="2"/>
  <c r="M629" i="2"/>
  <c r="L629" i="2"/>
  <c r="K629" i="2"/>
  <c r="J629" i="2"/>
  <c r="I629" i="2"/>
  <c r="H629" i="2"/>
  <c r="G629" i="2"/>
  <c r="F629" i="2"/>
  <c r="E629" i="2"/>
  <c r="D629" i="2"/>
  <c r="C629" i="2"/>
  <c r="B629" i="2"/>
  <c r="A629" i="2"/>
  <c r="S628" i="2"/>
  <c r="R628" i="2"/>
  <c r="Q628" i="2"/>
  <c r="P628" i="2"/>
  <c r="O628" i="2"/>
  <c r="N628" i="2"/>
  <c r="M628" i="2"/>
  <c r="L628" i="2"/>
  <c r="K628" i="2"/>
  <c r="J628" i="2"/>
  <c r="I628" i="2"/>
  <c r="H628" i="2"/>
  <c r="G628" i="2"/>
  <c r="F628" i="2"/>
  <c r="E628" i="2"/>
  <c r="D628" i="2"/>
  <c r="C628" i="2"/>
  <c r="B628" i="2"/>
  <c r="A628" i="2"/>
  <c r="S627" i="2"/>
  <c r="R627" i="2"/>
  <c r="Q627" i="2"/>
  <c r="P627" i="2"/>
  <c r="O627" i="2"/>
  <c r="N627" i="2"/>
  <c r="M627" i="2"/>
  <c r="L627" i="2"/>
  <c r="K627" i="2"/>
  <c r="J627" i="2"/>
  <c r="I627" i="2"/>
  <c r="H627" i="2"/>
  <c r="G627" i="2"/>
  <c r="F627" i="2"/>
  <c r="E627" i="2"/>
  <c r="D627" i="2"/>
  <c r="C627" i="2"/>
  <c r="B627" i="2"/>
  <c r="A627" i="2"/>
  <c r="S626" i="2"/>
  <c r="R626" i="2"/>
  <c r="Q626" i="2"/>
  <c r="P626" i="2"/>
  <c r="O626" i="2"/>
  <c r="N626" i="2"/>
  <c r="M626" i="2"/>
  <c r="L626" i="2"/>
  <c r="K626" i="2"/>
  <c r="J626" i="2"/>
  <c r="I626" i="2"/>
  <c r="H626" i="2"/>
  <c r="G626" i="2"/>
  <c r="F626" i="2"/>
  <c r="E626" i="2"/>
  <c r="D626" i="2"/>
  <c r="C626" i="2"/>
  <c r="B626" i="2"/>
  <c r="A626" i="2"/>
  <c r="S625" i="2"/>
  <c r="R625" i="2"/>
  <c r="Q625" i="2"/>
  <c r="P625" i="2"/>
  <c r="O625" i="2"/>
  <c r="N625" i="2"/>
  <c r="M625" i="2"/>
  <c r="L625" i="2"/>
  <c r="K625" i="2"/>
  <c r="J625" i="2"/>
  <c r="I625" i="2"/>
  <c r="H625" i="2"/>
  <c r="G625" i="2"/>
  <c r="F625" i="2"/>
  <c r="E625" i="2"/>
  <c r="D625" i="2"/>
  <c r="C625" i="2"/>
  <c r="B625" i="2"/>
  <c r="A625" i="2"/>
  <c r="S624" i="2"/>
  <c r="R624" i="2"/>
  <c r="Q624" i="2"/>
  <c r="P624" i="2"/>
  <c r="O624" i="2"/>
  <c r="N624" i="2"/>
  <c r="M624" i="2"/>
  <c r="L624" i="2"/>
  <c r="K624" i="2"/>
  <c r="J624" i="2"/>
  <c r="I624" i="2"/>
  <c r="H624" i="2"/>
  <c r="G624" i="2"/>
  <c r="F624" i="2"/>
  <c r="E624" i="2"/>
  <c r="D624" i="2"/>
  <c r="C624" i="2"/>
  <c r="B624" i="2"/>
  <c r="A624" i="2"/>
  <c r="S623" i="2"/>
  <c r="R623" i="2"/>
  <c r="Q623" i="2"/>
  <c r="P623" i="2"/>
  <c r="O623" i="2"/>
  <c r="N623" i="2"/>
  <c r="M623" i="2"/>
  <c r="L623" i="2"/>
  <c r="K623" i="2"/>
  <c r="J623" i="2"/>
  <c r="I623" i="2"/>
  <c r="H623" i="2"/>
  <c r="G623" i="2"/>
  <c r="F623" i="2"/>
  <c r="E623" i="2"/>
  <c r="D623" i="2"/>
  <c r="C623" i="2"/>
  <c r="B623" i="2"/>
  <c r="A623" i="2"/>
  <c r="S622" i="2"/>
  <c r="R622" i="2"/>
  <c r="Q622" i="2"/>
  <c r="P622" i="2"/>
  <c r="O622" i="2"/>
  <c r="N622" i="2"/>
  <c r="M622" i="2"/>
  <c r="L622" i="2"/>
  <c r="K622" i="2"/>
  <c r="J622" i="2"/>
  <c r="I622" i="2"/>
  <c r="H622" i="2"/>
  <c r="G622" i="2"/>
  <c r="F622" i="2"/>
  <c r="E622" i="2"/>
  <c r="D622" i="2"/>
  <c r="C622" i="2"/>
  <c r="B622" i="2"/>
  <c r="A622" i="2"/>
  <c r="S621" i="2"/>
  <c r="R621" i="2"/>
  <c r="Q621" i="2"/>
  <c r="P621" i="2"/>
  <c r="O621" i="2"/>
  <c r="N621" i="2"/>
  <c r="M621" i="2"/>
  <c r="L621" i="2"/>
  <c r="K621" i="2"/>
  <c r="J621" i="2"/>
  <c r="I621" i="2"/>
  <c r="H621" i="2"/>
  <c r="G621" i="2"/>
  <c r="F621" i="2"/>
  <c r="E621" i="2"/>
  <c r="D621" i="2"/>
  <c r="C621" i="2"/>
  <c r="B621" i="2"/>
  <c r="A621" i="2"/>
  <c r="S620" i="2"/>
  <c r="R620" i="2"/>
  <c r="Q620" i="2"/>
  <c r="P620" i="2"/>
  <c r="O620" i="2"/>
  <c r="N620" i="2"/>
  <c r="M620" i="2"/>
  <c r="L620" i="2"/>
  <c r="K620" i="2"/>
  <c r="J620" i="2"/>
  <c r="I620" i="2"/>
  <c r="H620" i="2"/>
  <c r="G620" i="2"/>
  <c r="F620" i="2"/>
  <c r="E620" i="2"/>
  <c r="D620" i="2"/>
  <c r="C620" i="2"/>
  <c r="B620" i="2"/>
  <c r="A620" i="2"/>
  <c r="S619" i="2"/>
  <c r="R619" i="2"/>
  <c r="Q619" i="2"/>
  <c r="P619" i="2"/>
  <c r="O619" i="2"/>
  <c r="N619" i="2"/>
  <c r="M619" i="2"/>
  <c r="L619" i="2"/>
  <c r="K619" i="2"/>
  <c r="J619" i="2"/>
  <c r="I619" i="2"/>
  <c r="H619" i="2"/>
  <c r="G619" i="2"/>
  <c r="F619" i="2"/>
  <c r="E619" i="2"/>
  <c r="D619" i="2"/>
  <c r="C619" i="2"/>
  <c r="B619" i="2"/>
  <c r="A619" i="2"/>
  <c r="S618" i="2"/>
  <c r="R618" i="2"/>
  <c r="Q618" i="2"/>
  <c r="P618" i="2"/>
  <c r="O618" i="2"/>
  <c r="N618" i="2"/>
  <c r="M618" i="2"/>
  <c r="L618" i="2"/>
  <c r="K618" i="2"/>
  <c r="J618" i="2"/>
  <c r="I618" i="2"/>
  <c r="H618" i="2"/>
  <c r="G618" i="2"/>
  <c r="F618" i="2"/>
  <c r="E618" i="2"/>
  <c r="D618" i="2"/>
  <c r="C618" i="2"/>
  <c r="B618" i="2"/>
  <c r="A618" i="2"/>
  <c r="S617" i="2"/>
  <c r="R617" i="2"/>
  <c r="Q617" i="2"/>
  <c r="P617" i="2"/>
  <c r="O617" i="2"/>
  <c r="N617" i="2"/>
  <c r="M617" i="2"/>
  <c r="L617" i="2"/>
  <c r="K617" i="2"/>
  <c r="J617" i="2"/>
  <c r="I617" i="2"/>
  <c r="H617" i="2"/>
  <c r="G617" i="2"/>
  <c r="F617" i="2"/>
  <c r="E617" i="2"/>
  <c r="D617" i="2"/>
  <c r="C617" i="2"/>
  <c r="B617" i="2"/>
  <c r="A617" i="2"/>
  <c r="S616" i="2"/>
  <c r="R616" i="2"/>
  <c r="Q616" i="2"/>
  <c r="P616" i="2"/>
  <c r="O616" i="2"/>
  <c r="N616" i="2"/>
  <c r="M616" i="2"/>
  <c r="L616" i="2"/>
  <c r="K616" i="2"/>
  <c r="J616" i="2"/>
  <c r="I616" i="2"/>
  <c r="H616" i="2"/>
  <c r="G616" i="2"/>
  <c r="F616" i="2"/>
  <c r="E616" i="2"/>
  <c r="D616" i="2"/>
  <c r="C616" i="2"/>
  <c r="B616" i="2"/>
  <c r="A616" i="2"/>
  <c r="S615" i="2"/>
  <c r="R615" i="2"/>
  <c r="Q615" i="2"/>
  <c r="P615" i="2"/>
  <c r="O615" i="2"/>
  <c r="N615" i="2"/>
  <c r="M615" i="2"/>
  <c r="L615" i="2"/>
  <c r="K615" i="2"/>
  <c r="J615" i="2"/>
  <c r="I615" i="2"/>
  <c r="H615" i="2"/>
  <c r="G615" i="2"/>
  <c r="F615" i="2"/>
  <c r="E615" i="2"/>
  <c r="D615" i="2"/>
  <c r="C615" i="2"/>
  <c r="B615" i="2"/>
  <c r="A615" i="2"/>
  <c r="S614" i="2"/>
  <c r="R614" i="2"/>
  <c r="Q614" i="2"/>
  <c r="P614" i="2"/>
  <c r="O614" i="2"/>
  <c r="N614" i="2"/>
  <c r="M614" i="2"/>
  <c r="L614" i="2"/>
  <c r="K614" i="2"/>
  <c r="J614" i="2"/>
  <c r="I614" i="2"/>
  <c r="H614" i="2"/>
  <c r="G614" i="2"/>
  <c r="F614" i="2"/>
  <c r="E614" i="2"/>
  <c r="D614" i="2"/>
  <c r="C614" i="2"/>
  <c r="B614" i="2"/>
  <c r="A614" i="2"/>
  <c r="S613" i="2"/>
  <c r="R613" i="2"/>
  <c r="Q613" i="2"/>
  <c r="P613" i="2"/>
  <c r="O613" i="2"/>
  <c r="N613" i="2"/>
  <c r="M613" i="2"/>
  <c r="L613" i="2"/>
  <c r="K613" i="2"/>
  <c r="J613" i="2"/>
  <c r="I613" i="2"/>
  <c r="H613" i="2"/>
  <c r="G613" i="2"/>
  <c r="F613" i="2"/>
  <c r="E613" i="2"/>
  <c r="D613" i="2"/>
  <c r="C613" i="2"/>
  <c r="B613" i="2"/>
  <c r="A613" i="2"/>
  <c r="S612" i="2"/>
  <c r="R612" i="2"/>
  <c r="Q612" i="2"/>
  <c r="P612" i="2"/>
  <c r="O612" i="2"/>
  <c r="N612" i="2"/>
  <c r="M612" i="2"/>
  <c r="L612" i="2"/>
  <c r="K612" i="2"/>
  <c r="J612" i="2"/>
  <c r="I612" i="2"/>
  <c r="H612" i="2"/>
  <c r="G612" i="2"/>
  <c r="F612" i="2"/>
  <c r="E612" i="2"/>
  <c r="D612" i="2"/>
  <c r="C612" i="2"/>
  <c r="B612" i="2"/>
  <c r="A612" i="2"/>
  <c r="S611" i="2"/>
  <c r="R611" i="2"/>
  <c r="Q611" i="2"/>
  <c r="P611" i="2"/>
  <c r="O611" i="2"/>
  <c r="N611" i="2"/>
  <c r="M611" i="2"/>
  <c r="L611" i="2"/>
  <c r="K611" i="2"/>
  <c r="J611" i="2"/>
  <c r="I611" i="2"/>
  <c r="H611" i="2"/>
  <c r="G611" i="2"/>
  <c r="F611" i="2"/>
  <c r="E611" i="2"/>
  <c r="D611" i="2"/>
  <c r="C611" i="2"/>
  <c r="B611" i="2"/>
  <c r="A611" i="2"/>
  <c r="S610" i="2"/>
  <c r="R610" i="2"/>
  <c r="Q610" i="2"/>
  <c r="P610" i="2"/>
  <c r="O610" i="2"/>
  <c r="N610" i="2"/>
  <c r="M610" i="2"/>
  <c r="L610" i="2"/>
  <c r="K610" i="2"/>
  <c r="J610" i="2"/>
  <c r="I610" i="2"/>
  <c r="H610" i="2"/>
  <c r="G610" i="2"/>
  <c r="F610" i="2"/>
  <c r="E610" i="2"/>
  <c r="D610" i="2"/>
  <c r="C610" i="2"/>
  <c r="B610" i="2"/>
  <c r="A610" i="2"/>
  <c r="S609" i="2"/>
  <c r="R609" i="2"/>
  <c r="Q609" i="2"/>
  <c r="P609" i="2"/>
  <c r="O609" i="2"/>
  <c r="N609" i="2"/>
  <c r="M609" i="2"/>
  <c r="L609" i="2"/>
  <c r="K609" i="2"/>
  <c r="J609" i="2"/>
  <c r="I609" i="2"/>
  <c r="H609" i="2"/>
  <c r="G609" i="2"/>
  <c r="F609" i="2"/>
  <c r="E609" i="2"/>
  <c r="D609" i="2"/>
  <c r="C609" i="2"/>
  <c r="B609" i="2"/>
  <c r="A609" i="2"/>
  <c r="S608" i="2"/>
  <c r="R608" i="2"/>
  <c r="Q608" i="2"/>
  <c r="P608" i="2"/>
  <c r="O608" i="2"/>
  <c r="N608" i="2"/>
  <c r="M608" i="2"/>
  <c r="L608" i="2"/>
  <c r="K608" i="2"/>
  <c r="J608" i="2"/>
  <c r="I608" i="2"/>
  <c r="H608" i="2"/>
  <c r="G608" i="2"/>
  <c r="F608" i="2"/>
  <c r="E608" i="2"/>
  <c r="D608" i="2"/>
  <c r="C608" i="2"/>
  <c r="B608" i="2"/>
  <c r="A608" i="2"/>
  <c r="S607" i="2"/>
  <c r="R607" i="2"/>
  <c r="Q607" i="2"/>
  <c r="P607" i="2"/>
  <c r="O607" i="2"/>
  <c r="N607" i="2"/>
  <c r="M607" i="2"/>
  <c r="L607" i="2"/>
  <c r="K607" i="2"/>
  <c r="J607" i="2"/>
  <c r="I607" i="2"/>
  <c r="H607" i="2"/>
  <c r="G607" i="2"/>
  <c r="F607" i="2"/>
  <c r="E607" i="2"/>
  <c r="D607" i="2"/>
  <c r="C607" i="2"/>
  <c r="B607" i="2"/>
  <c r="A607" i="2"/>
  <c r="S606" i="2"/>
  <c r="R606" i="2"/>
  <c r="Q606" i="2"/>
  <c r="P606" i="2"/>
  <c r="O606" i="2"/>
  <c r="N606" i="2"/>
  <c r="M606" i="2"/>
  <c r="L606" i="2"/>
  <c r="K606" i="2"/>
  <c r="J606" i="2"/>
  <c r="I606" i="2"/>
  <c r="H606" i="2"/>
  <c r="G606" i="2"/>
  <c r="F606" i="2"/>
  <c r="E606" i="2"/>
  <c r="D606" i="2"/>
  <c r="C606" i="2"/>
  <c r="B606" i="2"/>
  <c r="A606" i="2"/>
  <c r="S605" i="2"/>
  <c r="R605" i="2"/>
  <c r="Q605" i="2"/>
  <c r="P605" i="2"/>
  <c r="O605" i="2"/>
  <c r="N605" i="2"/>
  <c r="M605" i="2"/>
  <c r="L605" i="2"/>
  <c r="K605" i="2"/>
  <c r="J605" i="2"/>
  <c r="I605" i="2"/>
  <c r="H605" i="2"/>
  <c r="G605" i="2"/>
  <c r="F605" i="2"/>
  <c r="E605" i="2"/>
  <c r="D605" i="2"/>
  <c r="C605" i="2"/>
  <c r="B605" i="2"/>
  <c r="A605" i="2"/>
  <c r="S604" i="2"/>
  <c r="R604" i="2"/>
  <c r="Q604" i="2"/>
  <c r="P604" i="2"/>
  <c r="O604" i="2"/>
  <c r="N604" i="2"/>
  <c r="M604" i="2"/>
  <c r="L604" i="2"/>
  <c r="K604" i="2"/>
  <c r="J604" i="2"/>
  <c r="I604" i="2"/>
  <c r="H604" i="2"/>
  <c r="G604" i="2"/>
  <c r="F604" i="2"/>
  <c r="E604" i="2"/>
  <c r="D604" i="2"/>
  <c r="C604" i="2"/>
  <c r="B604" i="2"/>
  <c r="A604" i="2"/>
  <c r="S603" i="2"/>
  <c r="R603" i="2"/>
  <c r="Q603" i="2"/>
  <c r="P603" i="2"/>
  <c r="O603" i="2"/>
  <c r="N603" i="2"/>
  <c r="M603" i="2"/>
  <c r="L603" i="2"/>
  <c r="K603" i="2"/>
  <c r="J603" i="2"/>
  <c r="I603" i="2"/>
  <c r="H603" i="2"/>
  <c r="G603" i="2"/>
  <c r="F603" i="2"/>
  <c r="E603" i="2"/>
  <c r="D603" i="2"/>
  <c r="C603" i="2"/>
  <c r="B603" i="2"/>
  <c r="A603" i="2"/>
  <c r="S602" i="2"/>
  <c r="R602" i="2"/>
  <c r="Q602" i="2"/>
  <c r="P602" i="2"/>
  <c r="O602" i="2"/>
  <c r="N602" i="2"/>
  <c r="M602" i="2"/>
  <c r="L602" i="2"/>
  <c r="K602" i="2"/>
  <c r="J602" i="2"/>
  <c r="I602" i="2"/>
  <c r="H602" i="2"/>
  <c r="G602" i="2"/>
  <c r="F602" i="2"/>
  <c r="E602" i="2"/>
  <c r="D602" i="2"/>
  <c r="C602" i="2"/>
  <c r="B602" i="2"/>
  <c r="A602" i="2"/>
  <c r="S601" i="2"/>
  <c r="R601" i="2"/>
  <c r="Q601" i="2"/>
  <c r="P601" i="2"/>
  <c r="O601" i="2"/>
  <c r="N601" i="2"/>
  <c r="M601" i="2"/>
  <c r="L601" i="2"/>
  <c r="K601" i="2"/>
  <c r="J601" i="2"/>
  <c r="I601" i="2"/>
  <c r="H601" i="2"/>
  <c r="G601" i="2"/>
  <c r="F601" i="2"/>
  <c r="E601" i="2"/>
  <c r="D601" i="2"/>
  <c r="C601" i="2"/>
  <c r="B601" i="2"/>
  <c r="A601" i="2"/>
  <c r="S600" i="2"/>
  <c r="R600" i="2"/>
  <c r="Q600" i="2"/>
  <c r="P600" i="2"/>
  <c r="O600" i="2"/>
  <c r="N600" i="2"/>
  <c r="M600" i="2"/>
  <c r="L600" i="2"/>
  <c r="K600" i="2"/>
  <c r="J600" i="2"/>
  <c r="I600" i="2"/>
  <c r="H600" i="2"/>
  <c r="G600" i="2"/>
  <c r="F600" i="2"/>
  <c r="E600" i="2"/>
  <c r="D600" i="2"/>
  <c r="C600" i="2"/>
  <c r="B600" i="2"/>
  <c r="A600" i="2"/>
  <c r="S599" i="2"/>
  <c r="R599" i="2"/>
  <c r="Q599" i="2"/>
  <c r="P599" i="2"/>
  <c r="O599" i="2"/>
  <c r="N599" i="2"/>
  <c r="M599" i="2"/>
  <c r="L599" i="2"/>
  <c r="K599" i="2"/>
  <c r="J599" i="2"/>
  <c r="I599" i="2"/>
  <c r="H599" i="2"/>
  <c r="G599" i="2"/>
  <c r="F599" i="2"/>
  <c r="E599" i="2"/>
  <c r="D599" i="2"/>
  <c r="C599" i="2"/>
  <c r="B599" i="2"/>
  <c r="A599" i="2"/>
  <c r="S598" i="2"/>
  <c r="R598" i="2"/>
  <c r="Q598" i="2"/>
  <c r="P598" i="2"/>
  <c r="O598" i="2"/>
  <c r="N598" i="2"/>
  <c r="M598" i="2"/>
  <c r="L598" i="2"/>
  <c r="K598" i="2"/>
  <c r="J598" i="2"/>
  <c r="I598" i="2"/>
  <c r="H598" i="2"/>
  <c r="G598" i="2"/>
  <c r="F598" i="2"/>
  <c r="E598" i="2"/>
  <c r="D598" i="2"/>
  <c r="C598" i="2"/>
  <c r="B598" i="2"/>
  <c r="A598" i="2"/>
  <c r="S597" i="2"/>
  <c r="R597" i="2"/>
  <c r="Q597" i="2"/>
  <c r="P597" i="2"/>
  <c r="O597" i="2"/>
  <c r="N597" i="2"/>
  <c r="M597" i="2"/>
  <c r="L597" i="2"/>
  <c r="K597" i="2"/>
  <c r="J597" i="2"/>
  <c r="I597" i="2"/>
  <c r="H597" i="2"/>
  <c r="G597" i="2"/>
  <c r="F597" i="2"/>
  <c r="E597" i="2"/>
  <c r="D597" i="2"/>
  <c r="C597" i="2"/>
  <c r="B597" i="2"/>
  <c r="A597" i="2"/>
  <c r="S596" i="2"/>
  <c r="R596" i="2"/>
  <c r="Q596" i="2"/>
  <c r="P596" i="2"/>
  <c r="O596" i="2"/>
  <c r="N596" i="2"/>
  <c r="M596" i="2"/>
  <c r="L596" i="2"/>
  <c r="K596" i="2"/>
  <c r="J596" i="2"/>
  <c r="I596" i="2"/>
  <c r="H596" i="2"/>
  <c r="G596" i="2"/>
  <c r="F596" i="2"/>
  <c r="E596" i="2"/>
  <c r="D596" i="2"/>
  <c r="C596" i="2"/>
  <c r="B596" i="2"/>
  <c r="A596" i="2"/>
  <c r="S595" i="2"/>
  <c r="R595" i="2"/>
  <c r="Q595" i="2"/>
  <c r="P595" i="2"/>
  <c r="O595" i="2"/>
  <c r="N595" i="2"/>
  <c r="M595" i="2"/>
  <c r="L595" i="2"/>
  <c r="K595" i="2"/>
  <c r="J595" i="2"/>
  <c r="I595" i="2"/>
  <c r="H595" i="2"/>
  <c r="G595" i="2"/>
  <c r="F595" i="2"/>
  <c r="E595" i="2"/>
  <c r="D595" i="2"/>
  <c r="C595" i="2"/>
  <c r="B595" i="2"/>
  <c r="A595" i="2"/>
  <c r="S594" i="2"/>
  <c r="R594" i="2"/>
  <c r="Q594" i="2"/>
  <c r="P594" i="2"/>
  <c r="O594" i="2"/>
  <c r="N594" i="2"/>
  <c r="M594" i="2"/>
  <c r="L594" i="2"/>
  <c r="K594" i="2"/>
  <c r="J594" i="2"/>
  <c r="I594" i="2"/>
  <c r="H594" i="2"/>
  <c r="G594" i="2"/>
  <c r="F594" i="2"/>
  <c r="E594" i="2"/>
  <c r="D594" i="2"/>
  <c r="C594" i="2"/>
  <c r="B594" i="2"/>
  <c r="A594" i="2"/>
  <c r="S593" i="2"/>
  <c r="R593" i="2"/>
  <c r="Q593" i="2"/>
  <c r="P593" i="2"/>
  <c r="O593" i="2"/>
  <c r="N593" i="2"/>
  <c r="M593" i="2"/>
  <c r="L593" i="2"/>
  <c r="K593" i="2"/>
  <c r="J593" i="2"/>
  <c r="I593" i="2"/>
  <c r="H593" i="2"/>
  <c r="G593" i="2"/>
  <c r="F593" i="2"/>
  <c r="E593" i="2"/>
  <c r="D593" i="2"/>
  <c r="C593" i="2"/>
  <c r="B593" i="2"/>
  <c r="A593" i="2"/>
  <c r="S592" i="2"/>
  <c r="R592" i="2"/>
  <c r="Q592" i="2"/>
  <c r="P592" i="2"/>
  <c r="O592" i="2"/>
  <c r="N592" i="2"/>
  <c r="M592" i="2"/>
  <c r="L592" i="2"/>
  <c r="K592" i="2"/>
  <c r="J592" i="2"/>
  <c r="I592" i="2"/>
  <c r="H592" i="2"/>
  <c r="G592" i="2"/>
  <c r="F592" i="2"/>
  <c r="E592" i="2"/>
  <c r="D592" i="2"/>
  <c r="C592" i="2"/>
  <c r="B592" i="2"/>
  <c r="A592" i="2"/>
  <c r="S591" i="2"/>
  <c r="R591" i="2"/>
  <c r="Q591" i="2"/>
  <c r="P591" i="2"/>
  <c r="O591" i="2"/>
  <c r="N591" i="2"/>
  <c r="M591" i="2"/>
  <c r="L591" i="2"/>
  <c r="K591" i="2"/>
  <c r="J591" i="2"/>
  <c r="I591" i="2"/>
  <c r="H591" i="2"/>
  <c r="G591" i="2"/>
  <c r="F591" i="2"/>
  <c r="E591" i="2"/>
  <c r="D591" i="2"/>
  <c r="C591" i="2"/>
  <c r="B591" i="2"/>
  <c r="A591" i="2"/>
  <c r="S590" i="2"/>
  <c r="R590" i="2"/>
  <c r="Q590" i="2"/>
  <c r="P590" i="2"/>
  <c r="O590" i="2"/>
  <c r="N590" i="2"/>
  <c r="M590" i="2"/>
  <c r="L590" i="2"/>
  <c r="K590" i="2"/>
  <c r="J590" i="2"/>
  <c r="I590" i="2"/>
  <c r="H590" i="2"/>
  <c r="G590" i="2"/>
  <c r="F590" i="2"/>
  <c r="E590" i="2"/>
  <c r="D590" i="2"/>
  <c r="C590" i="2"/>
  <c r="B590" i="2"/>
  <c r="A590" i="2"/>
  <c r="S589" i="2"/>
  <c r="R589" i="2"/>
  <c r="Q589" i="2"/>
  <c r="P589" i="2"/>
  <c r="O589" i="2"/>
  <c r="N589" i="2"/>
  <c r="M589" i="2"/>
  <c r="L589" i="2"/>
  <c r="K589" i="2"/>
  <c r="J589" i="2"/>
  <c r="I589" i="2"/>
  <c r="H589" i="2"/>
  <c r="G589" i="2"/>
  <c r="F589" i="2"/>
  <c r="E589" i="2"/>
  <c r="D589" i="2"/>
  <c r="C589" i="2"/>
  <c r="B589" i="2"/>
  <c r="A589" i="2"/>
  <c r="S588" i="2"/>
  <c r="R588" i="2"/>
  <c r="Q588" i="2"/>
  <c r="P588" i="2"/>
  <c r="O588" i="2"/>
  <c r="N588" i="2"/>
  <c r="M588" i="2"/>
  <c r="L588" i="2"/>
  <c r="K588" i="2"/>
  <c r="J588" i="2"/>
  <c r="I588" i="2"/>
  <c r="H588" i="2"/>
  <c r="G588" i="2"/>
  <c r="F588" i="2"/>
  <c r="E588" i="2"/>
  <c r="D588" i="2"/>
  <c r="C588" i="2"/>
  <c r="B588" i="2"/>
  <c r="A588" i="2"/>
  <c r="S587" i="2"/>
  <c r="R587" i="2"/>
  <c r="Q587" i="2"/>
  <c r="P587" i="2"/>
  <c r="O587" i="2"/>
  <c r="N587" i="2"/>
  <c r="M587" i="2"/>
  <c r="L587" i="2"/>
  <c r="K587" i="2"/>
  <c r="J587" i="2"/>
  <c r="I587" i="2"/>
  <c r="H587" i="2"/>
  <c r="G587" i="2"/>
  <c r="F587" i="2"/>
  <c r="E587" i="2"/>
  <c r="D587" i="2"/>
  <c r="C587" i="2"/>
  <c r="B587" i="2"/>
  <c r="A587" i="2"/>
  <c r="S586" i="2"/>
  <c r="R586" i="2"/>
  <c r="Q586" i="2"/>
  <c r="P586" i="2"/>
  <c r="O586" i="2"/>
  <c r="N586" i="2"/>
  <c r="M586" i="2"/>
  <c r="L586" i="2"/>
  <c r="K586" i="2"/>
  <c r="J586" i="2"/>
  <c r="I586" i="2"/>
  <c r="H586" i="2"/>
  <c r="G586" i="2"/>
  <c r="F586" i="2"/>
  <c r="E586" i="2"/>
  <c r="D586" i="2"/>
  <c r="C586" i="2"/>
  <c r="B586" i="2"/>
  <c r="A586" i="2"/>
  <c r="S585" i="2"/>
  <c r="R585" i="2"/>
  <c r="Q585" i="2"/>
  <c r="P585" i="2"/>
  <c r="O585" i="2"/>
  <c r="N585" i="2"/>
  <c r="M585" i="2"/>
  <c r="L585" i="2"/>
  <c r="K585" i="2"/>
  <c r="J585" i="2"/>
  <c r="I585" i="2"/>
  <c r="H585" i="2"/>
  <c r="G585" i="2"/>
  <c r="F585" i="2"/>
  <c r="E585" i="2"/>
  <c r="D585" i="2"/>
  <c r="C585" i="2"/>
  <c r="B585" i="2"/>
  <c r="A585" i="2"/>
  <c r="S584" i="2"/>
  <c r="R584" i="2"/>
  <c r="Q584" i="2"/>
  <c r="P584" i="2"/>
  <c r="O584" i="2"/>
  <c r="N584" i="2"/>
  <c r="M584" i="2"/>
  <c r="L584" i="2"/>
  <c r="K584" i="2"/>
  <c r="J584" i="2"/>
  <c r="I584" i="2"/>
  <c r="H584" i="2"/>
  <c r="G584" i="2"/>
  <c r="F584" i="2"/>
  <c r="E584" i="2"/>
  <c r="D584" i="2"/>
  <c r="C584" i="2"/>
  <c r="B584" i="2"/>
  <c r="A584" i="2"/>
  <c r="S583" i="2"/>
  <c r="R583" i="2"/>
  <c r="Q583" i="2"/>
  <c r="P583" i="2"/>
  <c r="O583" i="2"/>
  <c r="N583" i="2"/>
  <c r="M583" i="2"/>
  <c r="L583" i="2"/>
  <c r="K583" i="2"/>
  <c r="J583" i="2"/>
  <c r="I583" i="2"/>
  <c r="H583" i="2"/>
  <c r="G583" i="2"/>
  <c r="F583" i="2"/>
  <c r="E583" i="2"/>
  <c r="D583" i="2"/>
  <c r="C583" i="2"/>
  <c r="B583" i="2"/>
  <c r="A583" i="2"/>
  <c r="S582" i="2"/>
  <c r="R582" i="2"/>
  <c r="Q582" i="2"/>
  <c r="P582" i="2"/>
  <c r="O582" i="2"/>
  <c r="N582" i="2"/>
  <c r="M582" i="2"/>
  <c r="L582" i="2"/>
  <c r="K582" i="2"/>
  <c r="J582" i="2"/>
  <c r="I582" i="2"/>
  <c r="H582" i="2"/>
  <c r="G582" i="2"/>
  <c r="F582" i="2"/>
  <c r="E582" i="2"/>
  <c r="D582" i="2"/>
  <c r="C582" i="2"/>
  <c r="B582" i="2"/>
  <c r="A582" i="2"/>
  <c r="S581" i="2"/>
  <c r="R581" i="2"/>
  <c r="Q581" i="2"/>
  <c r="P581" i="2"/>
  <c r="O581" i="2"/>
  <c r="N581" i="2"/>
  <c r="M581" i="2"/>
  <c r="L581" i="2"/>
  <c r="K581" i="2"/>
  <c r="J581" i="2"/>
  <c r="I581" i="2"/>
  <c r="H581" i="2"/>
  <c r="G581" i="2"/>
  <c r="F581" i="2"/>
  <c r="E581" i="2"/>
  <c r="D581" i="2"/>
  <c r="C581" i="2"/>
  <c r="B581" i="2"/>
  <c r="A581" i="2"/>
  <c r="S580" i="2"/>
  <c r="R580" i="2"/>
  <c r="Q580" i="2"/>
  <c r="P580" i="2"/>
  <c r="O580" i="2"/>
  <c r="N580" i="2"/>
  <c r="M580" i="2"/>
  <c r="L580" i="2"/>
  <c r="K580" i="2"/>
  <c r="J580" i="2"/>
  <c r="I580" i="2"/>
  <c r="H580" i="2"/>
  <c r="G580" i="2"/>
  <c r="F580" i="2"/>
  <c r="E580" i="2"/>
  <c r="D580" i="2"/>
  <c r="C580" i="2"/>
  <c r="B580" i="2"/>
  <c r="A580" i="2"/>
  <c r="S579" i="2"/>
  <c r="R579" i="2"/>
  <c r="Q579" i="2"/>
  <c r="P579" i="2"/>
  <c r="O579" i="2"/>
  <c r="N579" i="2"/>
  <c r="M579" i="2"/>
  <c r="L579" i="2"/>
  <c r="K579" i="2"/>
  <c r="J579" i="2"/>
  <c r="I579" i="2"/>
  <c r="H579" i="2"/>
  <c r="G579" i="2"/>
  <c r="F579" i="2"/>
  <c r="E579" i="2"/>
  <c r="D579" i="2"/>
  <c r="C579" i="2"/>
  <c r="B579" i="2"/>
  <c r="A579" i="2"/>
  <c r="S578" i="2"/>
  <c r="R578" i="2"/>
  <c r="Q578" i="2"/>
  <c r="P578" i="2"/>
  <c r="O578" i="2"/>
  <c r="N578" i="2"/>
  <c r="M578" i="2"/>
  <c r="L578" i="2"/>
  <c r="K578" i="2"/>
  <c r="J578" i="2"/>
  <c r="I578" i="2"/>
  <c r="H578" i="2"/>
  <c r="G578" i="2"/>
  <c r="F578" i="2"/>
  <c r="E578" i="2"/>
  <c r="D578" i="2"/>
  <c r="C578" i="2"/>
  <c r="B578" i="2"/>
  <c r="A578" i="2"/>
  <c r="S577" i="2"/>
  <c r="R577" i="2"/>
  <c r="Q577" i="2"/>
  <c r="P577" i="2"/>
  <c r="O577" i="2"/>
  <c r="N577" i="2"/>
  <c r="M577" i="2"/>
  <c r="L577" i="2"/>
  <c r="K577" i="2"/>
  <c r="J577" i="2"/>
  <c r="I577" i="2"/>
  <c r="H577" i="2"/>
  <c r="G577" i="2"/>
  <c r="F577" i="2"/>
  <c r="E577" i="2"/>
  <c r="D577" i="2"/>
  <c r="C577" i="2"/>
  <c r="B577" i="2"/>
  <c r="A577" i="2"/>
  <c r="S576" i="2"/>
  <c r="R576" i="2"/>
  <c r="Q576" i="2"/>
  <c r="P576" i="2"/>
  <c r="O576" i="2"/>
  <c r="N576" i="2"/>
  <c r="M576" i="2"/>
  <c r="L576" i="2"/>
  <c r="K576" i="2"/>
  <c r="J576" i="2"/>
  <c r="I576" i="2"/>
  <c r="H576" i="2"/>
  <c r="G576" i="2"/>
  <c r="F576" i="2"/>
  <c r="E576" i="2"/>
  <c r="D576" i="2"/>
  <c r="C576" i="2"/>
  <c r="B576" i="2"/>
  <c r="A576" i="2"/>
  <c r="S575" i="2"/>
  <c r="R575" i="2"/>
  <c r="Q575" i="2"/>
  <c r="P575" i="2"/>
  <c r="O575" i="2"/>
  <c r="N575" i="2"/>
  <c r="M575" i="2"/>
  <c r="L575" i="2"/>
  <c r="K575" i="2"/>
  <c r="J575" i="2"/>
  <c r="I575" i="2"/>
  <c r="H575" i="2"/>
  <c r="G575" i="2"/>
  <c r="F575" i="2"/>
  <c r="E575" i="2"/>
  <c r="D575" i="2"/>
  <c r="C575" i="2"/>
  <c r="B575" i="2"/>
  <c r="A575" i="2"/>
  <c r="S574" i="2"/>
  <c r="R574" i="2"/>
  <c r="Q574" i="2"/>
  <c r="P574" i="2"/>
  <c r="O574" i="2"/>
  <c r="N574" i="2"/>
  <c r="M574" i="2"/>
  <c r="L574" i="2"/>
  <c r="K574" i="2"/>
  <c r="J574" i="2"/>
  <c r="I574" i="2"/>
  <c r="H574" i="2"/>
  <c r="G574" i="2"/>
  <c r="F574" i="2"/>
  <c r="E574" i="2"/>
  <c r="D574" i="2"/>
  <c r="C574" i="2"/>
  <c r="B574" i="2"/>
  <c r="A574" i="2"/>
  <c r="S573" i="2"/>
  <c r="R573" i="2"/>
  <c r="Q573" i="2"/>
  <c r="P573" i="2"/>
  <c r="O573" i="2"/>
  <c r="N573" i="2"/>
  <c r="M573" i="2"/>
  <c r="L573" i="2"/>
  <c r="K573" i="2"/>
  <c r="J573" i="2"/>
  <c r="I573" i="2"/>
  <c r="H573" i="2"/>
  <c r="G573" i="2"/>
  <c r="F573" i="2"/>
  <c r="E573" i="2"/>
  <c r="D573" i="2"/>
  <c r="C573" i="2"/>
  <c r="B573" i="2"/>
  <c r="A573" i="2"/>
  <c r="S572" i="2"/>
  <c r="R572" i="2"/>
  <c r="Q572" i="2"/>
  <c r="P572" i="2"/>
  <c r="O572" i="2"/>
  <c r="N572" i="2"/>
  <c r="M572" i="2"/>
  <c r="L572" i="2"/>
  <c r="K572" i="2"/>
  <c r="J572" i="2"/>
  <c r="I572" i="2"/>
  <c r="H572" i="2"/>
  <c r="G572" i="2"/>
  <c r="F572" i="2"/>
  <c r="E572" i="2"/>
  <c r="D572" i="2"/>
  <c r="C572" i="2"/>
  <c r="B572" i="2"/>
  <c r="A572" i="2"/>
  <c r="S571" i="2"/>
  <c r="R571" i="2"/>
  <c r="Q571" i="2"/>
  <c r="P571" i="2"/>
  <c r="O571" i="2"/>
  <c r="N571" i="2"/>
  <c r="M571" i="2"/>
  <c r="L571" i="2"/>
  <c r="K571" i="2"/>
  <c r="J571" i="2"/>
  <c r="I571" i="2"/>
  <c r="H571" i="2"/>
  <c r="G571" i="2"/>
  <c r="F571" i="2"/>
  <c r="E571" i="2"/>
  <c r="D571" i="2"/>
  <c r="C571" i="2"/>
  <c r="B571" i="2"/>
  <c r="A571" i="2"/>
  <c r="S570" i="2"/>
  <c r="R570" i="2"/>
  <c r="Q570" i="2"/>
  <c r="P570" i="2"/>
  <c r="O570" i="2"/>
  <c r="N570" i="2"/>
  <c r="M570" i="2"/>
  <c r="L570" i="2"/>
  <c r="K570" i="2"/>
  <c r="J570" i="2"/>
  <c r="I570" i="2"/>
  <c r="H570" i="2"/>
  <c r="G570" i="2"/>
  <c r="F570" i="2"/>
  <c r="E570" i="2"/>
  <c r="D570" i="2"/>
  <c r="C570" i="2"/>
  <c r="B570" i="2"/>
  <c r="A570" i="2"/>
  <c r="S569" i="2"/>
  <c r="R569" i="2"/>
  <c r="Q569" i="2"/>
  <c r="P569" i="2"/>
  <c r="O569" i="2"/>
  <c r="N569" i="2"/>
  <c r="M569" i="2"/>
  <c r="L569" i="2"/>
  <c r="K569" i="2"/>
  <c r="J569" i="2"/>
  <c r="I569" i="2"/>
  <c r="H569" i="2"/>
  <c r="G569" i="2"/>
  <c r="F569" i="2"/>
  <c r="E569" i="2"/>
  <c r="D569" i="2"/>
  <c r="C569" i="2"/>
  <c r="B569" i="2"/>
  <c r="A569" i="2"/>
  <c r="S568" i="2"/>
  <c r="R568" i="2"/>
  <c r="Q568" i="2"/>
  <c r="P568" i="2"/>
  <c r="O568" i="2"/>
  <c r="N568" i="2"/>
  <c r="M568" i="2"/>
  <c r="L568" i="2"/>
  <c r="K568" i="2"/>
  <c r="J568" i="2"/>
  <c r="I568" i="2"/>
  <c r="H568" i="2"/>
  <c r="G568" i="2"/>
  <c r="F568" i="2"/>
  <c r="E568" i="2"/>
  <c r="D568" i="2"/>
  <c r="C568" i="2"/>
  <c r="B568" i="2"/>
  <c r="A568" i="2"/>
  <c r="S567" i="2"/>
  <c r="R567" i="2"/>
  <c r="Q567" i="2"/>
  <c r="P567" i="2"/>
  <c r="O567" i="2"/>
  <c r="N567" i="2"/>
  <c r="M567" i="2"/>
  <c r="L567" i="2"/>
  <c r="K567" i="2"/>
  <c r="J567" i="2"/>
  <c r="I567" i="2"/>
  <c r="H567" i="2"/>
  <c r="G567" i="2"/>
  <c r="F567" i="2"/>
  <c r="E567" i="2"/>
  <c r="D567" i="2"/>
  <c r="C567" i="2"/>
  <c r="B567" i="2"/>
  <c r="A567" i="2"/>
  <c r="S566" i="2"/>
  <c r="R566" i="2"/>
  <c r="Q566" i="2"/>
  <c r="P566" i="2"/>
  <c r="O566" i="2"/>
  <c r="N566" i="2"/>
  <c r="M566" i="2"/>
  <c r="L566" i="2"/>
  <c r="K566" i="2"/>
  <c r="J566" i="2"/>
  <c r="I566" i="2"/>
  <c r="H566" i="2"/>
  <c r="G566" i="2"/>
  <c r="F566" i="2"/>
  <c r="E566" i="2"/>
  <c r="D566" i="2"/>
  <c r="C566" i="2"/>
  <c r="B566" i="2"/>
  <c r="A566" i="2"/>
  <c r="S565" i="2"/>
  <c r="R565" i="2"/>
  <c r="Q565" i="2"/>
  <c r="P565" i="2"/>
  <c r="O565" i="2"/>
  <c r="N565" i="2"/>
  <c r="M565" i="2"/>
  <c r="L565" i="2"/>
  <c r="K565" i="2"/>
  <c r="J565" i="2"/>
  <c r="I565" i="2"/>
  <c r="H565" i="2"/>
  <c r="G565" i="2"/>
  <c r="F565" i="2"/>
  <c r="E565" i="2"/>
  <c r="D565" i="2"/>
  <c r="C565" i="2"/>
  <c r="B565" i="2"/>
  <c r="A565" i="2"/>
  <c r="S564" i="2"/>
  <c r="R564" i="2"/>
  <c r="Q564" i="2"/>
  <c r="P564" i="2"/>
  <c r="O564" i="2"/>
  <c r="N564" i="2"/>
  <c r="M564" i="2"/>
  <c r="L564" i="2"/>
  <c r="K564" i="2"/>
  <c r="J564" i="2"/>
  <c r="I564" i="2"/>
  <c r="H564" i="2"/>
  <c r="G564" i="2"/>
  <c r="F564" i="2"/>
  <c r="E564" i="2"/>
  <c r="D564" i="2"/>
  <c r="C564" i="2"/>
  <c r="B564" i="2"/>
  <c r="A564" i="2"/>
  <c r="S563" i="2"/>
  <c r="R563" i="2"/>
  <c r="Q563" i="2"/>
  <c r="P563" i="2"/>
  <c r="O563" i="2"/>
  <c r="N563" i="2"/>
  <c r="M563" i="2"/>
  <c r="L563" i="2"/>
  <c r="K563" i="2"/>
  <c r="J563" i="2"/>
  <c r="I563" i="2"/>
  <c r="H563" i="2"/>
  <c r="G563" i="2"/>
  <c r="F563" i="2"/>
  <c r="E563" i="2"/>
  <c r="D563" i="2"/>
  <c r="C563" i="2"/>
  <c r="B563" i="2"/>
  <c r="A563" i="2"/>
  <c r="S562" i="2"/>
  <c r="R562" i="2"/>
  <c r="Q562" i="2"/>
  <c r="P562" i="2"/>
  <c r="O562" i="2"/>
  <c r="N562" i="2"/>
  <c r="M562" i="2"/>
  <c r="L562" i="2"/>
  <c r="K562" i="2"/>
  <c r="J562" i="2"/>
  <c r="I562" i="2"/>
  <c r="H562" i="2"/>
  <c r="G562" i="2"/>
  <c r="F562" i="2"/>
  <c r="E562" i="2"/>
  <c r="D562" i="2"/>
  <c r="C562" i="2"/>
  <c r="B562" i="2"/>
  <c r="A562" i="2"/>
  <c r="S561" i="2"/>
  <c r="R561" i="2"/>
  <c r="Q561" i="2"/>
  <c r="P561" i="2"/>
  <c r="O561" i="2"/>
  <c r="N561" i="2"/>
  <c r="M561" i="2"/>
  <c r="L561" i="2"/>
  <c r="K561" i="2"/>
  <c r="J561" i="2"/>
  <c r="I561" i="2"/>
  <c r="H561" i="2"/>
  <c r="G561" i="2"/>
  <c r="F561" i="2"/>
  <c r="E561" i="2"/>
  <c r="D561" i="2"/>
  <c r="C561" i="2"/>
  <c r="B561" i="2"/>
  <c r="A561" i="2"/>
  <c r="S560" i="2"/>
  <c r="R560" i="2"/>
  <c r="Q560" i="2"/>
  <c r="P560" i="2"/>
  <c r="O560" i="2"/>
  <c r="N560" i="2"/>
  <c r="M560" i="2"/>
  <c r="L560" i="2"/>
  <c r="K560" i="2"/>
  <c r="J560" i="2"/>
  <c r="I560" i="2"/>
  <c r="H560" i="2"/>
  <c r="G560" i="2"/>
  <c r="F560" i="2"/>
  <c r="E560" i="2"/>
  <c r="D560" i="2"/>
  <c r="C560" i="2"/>
  <c r="B560" i="2"/>
  <c r="A560" i="2"/>
  <c r="S559" i="2"/>
  <c r="R559" i="2"/>
  <c r="Q559" i="2"/>
  <c r="P559" i="2"/>
  <c r="O559" i="2"/>
  <c r="N559" i="2"/>
  <c r="M559" i="2"/>
  <c r="L559" i="2"/>
  <c r="K559" i="2"/>
  <c r="J559" i="2"/>
  <c r="I559" i="2"/>
  <c r="H559" i="2"/>
  <c r="G559" i="2"/>
  <c r="F559" i="2"/>
  <c r="E559" i="2"/>
  <c r="D559" i="2"/>
  <c r="C559" i="2"/>
  <c r="B559" i="2"/>
  <c r="A559" i="2"/>
  <c r="S558" i="2"/>
  <c r="R558" i="2"/>
  <c r="Q558" i="2"/>
  <c r="P558" i="2"/>
  <c r="O558" i="2"/>
  <c r="N558" i="2"/>
  <c r="M558" i="2"/>
  <c r="L558" i="2"/>
  <c r="K558" i="2"/>
  <c r="J558" i="2"/>
  <c r="I558" i="2"/>
  <c r="H558" i="2"/>
  <c r="G558" i="2"/>
  <c r="F558" i="2"/>
  <c r="E558" i="2"/>
  <c r="D558" i="2"/>
  <c r="C558" i="2"/>
  <c r="B558" i="2"/>
  <c r="A558" i="2"/>
  <c r="S557" i="2"/>
  <c r="R557" i="2"/>
  <c r="Q557" i="2"/>
  <c r="P557" i="2"/>
  <c r="O557" i="2"/>
  <c r="N557" i="2"/>
  <c r="M557" i="2"/>
  <c r="L557" i="2"/>
  <c r="K557" i="2"/>
  <c r="J557" i="2"/>
  <c r="I557" i="2"/>
  <c r="H557" i="2"/>
  <c r="G557" i="2"/>
  <c r="F557" i="2"/>
  <c r="E557" i="2"/>
  <c r="D557" i="2"/>
  <c r="C557" i="2"/>
  <c r="B557" i="2"/>
  <c r="A557" i="2"/>
  <c r="S556" i="2"/>
  <c r="R556" i="2"/>
  <c r="Q556" i="2"/>
  <c r="P556" i="2"/>
  <c r="O556" i="2"/>
  <c r="N556" i="2"/>
  <c r="M556" i="2"/>
  <c r="L556" i="2"/>
  <c r="K556" i="2"/>
  <c r="J556" i="2"/>
  <c r="I556" i="2"/>
  <c r="H556" i="2"/>
  <c r="G556" i="2"/>
  <c r="F556" i="2"/>
  <c r="E556" i="2"/>
  <c r="D556" i="2"/>
  <c r="C556" i="2"/>
  <c r="B556" i="2"/>
  <c r="A556" i="2"/>
  <c r="S555" i="2"/>
  <c r="R555" i="2"/>
  <c r="Q555" i="2"/>
  <c r="P555" i="2"/>
  <c r="O555" i="2"/>
  <c r="N555" i="2"/>
  <c r="M555" i="2"/>
  <c r="L555" i="2"/>
  <c r="K555" i="2"/>
  <c r="J555" i="2"/>
  <c r="I555" i="2"/>
  <c r="H555" i="2"/>
  <c r="G555" i="2"/>
  <c r="F555" i="2"/>
  <c r="E555" i="2"/>
  <c r="D555" i="2"/>
  <c r="C555" i="2"/>
  <c r="B555" i="2"/>
  <c r="A555" i="2"/>
  <c r="S554" i="2"/>
  <c r="R554" i="2"/>
  <c r="Q554" i="2"/>
  <c r="P554" i="2"/>
  <c r="O554" i="2"/>
  <c r="N554" i="2"/>
  <c r="M554" i="2"/>
  <c r="L554" i="2"/>
  <c r="K554" i="2"/>
  <c r="J554" i="2"/>
  <c r="I554" i="2"/>
  <c r="H554" i="2"/>
  <c r="G554" i="2"/>
  <c r="F554" i="2"/>
  <c r="E554" i="2"/>
  <c r="D554" i="2"/>
  <c r="C554" i="2"/>
  <c r="B554" i="2"/>
  <c r="A554" i="2"/>
  <c r="S553" i="2"/>
  <c r="R553" i="2"/>
  <c r="Q553" i="2"/>
  <c r="P553" i="2"/>
  <c r="O553" i="2"/>
  <c r="N553" i="2"/>
  <c r="M553" i="2"/>
  <c r="L553" i="2"/>
  <c r="K553" i="2"/>
  <c r="J553" i="2"/>
  <c r="I553" i="2"/>
  <c r="H553" i="2"/>
  <c r="G553" i="2"/>
  <c r="F553" i="2"/>
  <c r="E553" i="2"/>
  <c r="D553" i="2"/>
  <c r="C553" i="2"/>
  <c r="B553" i="2"/>
  <c r="A553" i="2"/>
  <c r="S552" i="2"/>
  <c r="R552" i="2"/>
  <c r="Q552" i="2"/>
  <c r="P552" i="2"/>
  <c r="O552" i="2"/>
  <c r="N552" i="2"/>
  <c r="M552" i="2"/>
  <c r="L552" i="2"/>
  <c r="K552" i="2"/>
  <c r="J552" i="2"/>
  <c r="I552" i="2"/>
  <c r="H552" i="2"/>
  <c r="G552" i="2"/>
  <c r="F552" i="2"/>
  <c r="E552" i="2"/>
  <c r="D552" i="2"/>
  <c r="C552" i="2"/>
  <c r="B552" i="2"/>
  <c r="A552" i="2"/>
  <c r="S551" i="2"/>
  <c r="R551" i="2"/>
  <c r="Q551" i="2"/>
  <c r="P551" i="2"/>
  <c r="O551" i="2"/>
  <c r="N551" i="2"/>
  <c r="M551" i="2"/>
  <c r="L551" i="2"/>
  <c r="K551" i="2"/>
  <c r="J551" i="2"/>
  <c r="I551" i="2"/>
  <c r="H551" i="2"/>
  <c r="G551" i="2"/>
  <c r="F551" i="2"/>
  <c r="E551" i="2"/>
  <c r="D551" i="2"/>
  <c r="C551" i="2"/>
  <c r="B551" i="2"/>
  <c r="A551" i="2"/>
  <c r="S550" i="2"/>
  <c r="R550" i="2"/>
  <c r="Q550" i="2"/>
  <c r="P550" i="2"/>
  <c r="O550" i="2"/>
  <c r="N550" i="2"/>
  <c r="M550" i="2"/>
  <c r="L550" i="2"/>
  <c r="K550" i="2"/>
  <c r="J550" i="2"/>
  <c r="I550" i="2"/>
  <c r="H550" i="2"/>
  <c r="G550" i="2"/>
  <c r="F550" i="2"/>
  <c r="E550" i="2"/>
  <c r="D550" i="2"/>
  <c r="C550" i="2"/>
  <c r="B550" i="2"/>
  <c r="A550" i="2"/>
  <c r="S549" i="2"/>
  <c r="R549" i="2"/>
  <c r="Q549" i="2"/>
  <c r="P549" i="2"/>
  <c r="O549" i="2"/>
  <c r="N549" i="2"/>
  <c r="M549" i="2"/>
  <c r="L549" i="2"/>
  <c r="K549" i="2"/>
  <c r="J549" i="2"/>
  <c r="I549" i="2"/>
  <c r="H549" i="2"/>
  <c r="G549" i="2"/>
  <c r="F549" i="2"/>
  <c r="E549" i="2"/>
  <c r="D549" i="2"/>
  <c r="C549" i="2"/>
  <c r="B549" i="2"/>
  <c r="A549" i="2"/>
  <c r="S548" i="2"/>
  <c r="R548" i="2"/>
  <c r="Q548" i="2"/>
  <c r="P548" i="2"/>
  <c r="O548" i="2"/>
  <c r="N548" i="2"/>
  <c r="M548" i="2"/>
  <c r="L548" i="2"/>
  <c r="K548" i="2"/>
  <c r="J548" i="2"/>
  <c r="I548" i="2"/>
  <c r="H548" i="2"/>
  <c r="G548" i="2"/>
  <c r="F548" i="2"/>
  <c r="E548" i="2"/>
  <c r="D548" i="2"/>
  <c r="C548" i="2"/>
  <c r="B548" i="2"/>
  <c r="A548" i="2"/>
  <c r="S547" i="2"/>
  <c r="R547" i="2"/>
  <c r="Q547" i="2"/>
  <c r="P547" i="2"/>
  <c r="O547" i="2"/>
  <c r="N547" i="2"/>
  <c r="M547" i="2"/>
  <c r="L547" i="2"/>
  <c r="K547" i="2"/>
  <c r="J547" i="2"/>
  <c r="I547" i="2"/>
  <c r="H547" i="2"/>
  <c r="G547" i="2"/>
  <c r="F547" i="2"/>
  <c r="E547" i="2"/>
  <c r="D547" i="2"/>
  <c r="C547" i="2"/>
  <c r="B547" i="2"/>
  <c r="A547" i="2"/>
  <c r="S546" i="2"/>
  <c r="R546" i="2"/>
  <c r="Q546" i="2"/>
  <c r="P546" i="2"/>
  <c r="O546" i="2"/>
  <c r="N546" i="2"/>
  <c r="M546" i="2"/>
  <c r="L546" i="2"/>
  <c r="K546" i="2"/>
  <c r="J546" i="2"/>
  <c r="I546" i="2"/>
  <c r="H546" i="2"/>
  <c r="G546" i="2"/>
  <c r="F546" i="2"/>
  <c r="E546" i="2"/>
  <c r="D546" i="2"/>
  <c r="C546" i="2"/>
  <c r="B546" i="2"/>
  <c r="A546" i="2"/>
  <c r="S545" i="2"/>
  <c r="R545" i="2"/>
  <c r="Q545" i="2"/>
  <c r="P545" i="2"/>
  <c r="O545" i="2"/>
  <c r="N545" i="2"/>
  <c r="M545" i="2"/>
  <c r="L545" i="2"/>
  <c r="K545" i="2"/>
  <c r="J545" i="2"/>
  <c r="I545" i="2"/>
  <c r="H545" i="2"/>
  <c r="G545" i="2"/>
  <c r="F545" i="2"/>
  <c r="E545" i="2"/>
  <c r="D545" i="2"/>
  <c r="C545" i="2"/>
  <c r="B545" i="2"/>
  <c r="A545" i="2"/>
  <c r="S544" i="2"/>
  <c r="R544" i="2"/>
  <c r="Q544" i="2"/>
  <c r="P544" i="2"/>
  <c r="O544" i="2"/>
  <c r="N544" i="2"/>
  <c r="M544" i="2"/>
  <c r="L544" i="2"/>
  <c r="K544" i="2"/>
  <c r="J544" i="2"/>
  <c r="I544" i="2"/>
  <c r="H544" i="2"/>
  <c r="G544" i="2"/>
  <c r="F544" i="2"/>
  <c r="E544" i="2"/>
  <c r="D544" i="2"/>
  <c r="C544" i="2"/>
  <c r="B544" i="2"/>
  <c r="A544" i="2"/>
  <c r="S543" i="2"/>
  <c r="R543" i="2"/>
  <c r="Q543" i="2"/>
  <c r="P543" i="2"/>
  <c r="O543" i="2"/>
  <c r="N543" i="2"/>
  <c r="M543" i="2"/>
  <c r="L543" i="2"/>
  <c r="K543" i="2"/>
  <c r="J543" i="2"/>
  <c r="I543" i="2"/>
  <c r="H543" i="2"/>
  <c r="G543" i="2"/>
  <c r="F543" i="2"/>
  <c r="E543" i="2"/>
  <c r="D543" i="2"/>
  <c r="C543" i="2"/>
  <c r="B543" i="2"/>
  <c r="A543" i="2"/>
  <c r="S542" i="2"/>
  <c r="R542" i="2"/>
  <c r="Q542" i="2"/>
  <c r="P542" i="2"/>
  <c r="O542" i="2"/>
  <c r="N542" i="2"/>
  <c r="M542" i="2"/>
  <c r="L542" i="2"/>
  <c r="K542" i="2"/>
  <c r="J542" i="2"/>
  <c r="I542" i="2"/>
  <c r="H542" i="2"/>
  <c r="G542" i="2"/>
  <c r="F542" i="2"/>
  <c r="E542" i="2"/>
  <c r="D542" i="2"/>
  <c r="C542" i="2"/>
  <c r="B542" i="2"/>
  <c r="A542" i="2"/>
  <c r="S541" i="2"/>
  <c r="R541" i="2"/>
  <c r="Q541" i="2"/>
  <c r="P541" i="2"/>
  <c r="O541" i="2"/>
  <c r="N541" i="2"/>
  <c r="M541" i="2"/>
  <c r="L541" i="2"/>
  <c r="K541" i="2"/>
  <c r="J541" i="2"/>
  <c r="I541" i="2"/>
  <c r="H541" i="2"/>
  <c r="G541" i="2"/>
  <c r="F541" i="2"/>
  <c r="E541" i="2"/>
  <c r="D541" i="2"/>
  <c r="C541" i="2"/>
  <c r="B541" i="2"/>
  <c r="A541" i="2"/>
  <c r="S540" i="2"/>
  <c r="R540" i="2"/>
  <c r="Q540" i="2"/>
  <c r="P540" i="2"/>
  <c r="O540" i="2"/>
  <c r="N540" i="2"/>
  <c r="M540" i="2"/>
  <c r="L540" i="2"/>
  <c r="K540" i="2"/>
  <c r="J540" i="2"/>
  <c r="I540" i="2"/>
  <c r="H540" i="2"/>
  <c r="G540" i="2"/>
  <c r="F540" i="2"/>
  <c r="E540" i="2"/>
  <c r="D540" i="2"/>
  <c r="C540" i="2"/>
  <c r="B540" i="2"/>
  <c r="A540" i="2"/>
  <c r="S539" i="2"/>
  <c r="R539" i="2"/>
  <c r="Q539" i="2"/>
  <c r="P539" i="2"/>
  <c r="O539" i="2"/>
  <c r="N539" i="2"/>
  <c r="M539" i="2"/>
  <c r="L539" i="2"/>
  <c r="K539" i="2"/>
  <c r="J539" i="2"/>
  <c r="I539" i="2"/>
  <c r="H539" i="2"/>
  <c r="G539" i="2"/>
  <c r="F539" i="2"/>
  <c r="E539" i="2"/>
  <c r="D539" i="2"/>
  <c r="C539" i="2"/>
  <c r="B539" i="2"/>
  <c r="A539" i="2"/>
  <c r="S538" i="2"/>
  <c r="R538" i="2"/>
  <c r="Q538" i="2"/>
  <c r="P538" i="2"/>
  <c r="O538" i="2"/>
  <c r="N538" i="2"/>
  <c r="M538" i="2"/>
  <c r="L538" i="2"/>
  <c r="K538" i="2"/>
  <c r="J538" i="2"/>
  <c r="I538" i="2"/>
  <c r="H538" i="2"/>
  <c r="G538" i="2"/>
  <c r="F538" i="2"/>
  <c r="E538" i="2"/>
  <c r="D538" i="2"/>
  <c r="C538" i="2"/>
  <c r="B538" i="2"/>
  <c r="A538" i="2"/>
  <c r="S537" i="2"/>
  <c r="R537" i="2"/>
  <c r="Q537" i="2"/>
  <c r="P537" i="2"/>
  <c r="O537" i="2"/>
  <c r="N537" i="2"/>
  <c r="M537" i="2"/>
  <c r="L537" i="2"/>
  <c r="K537" i="2"/>
  <c r="J537" i="2"/>
  <c r="I537" i="2"/>
  <c r="H537" i="2"/>
  <c r="G537" i="2"/>
  <c r="F537" i="2"/>
  <c r="E537" i="2"/>
  <c r="D537" i="2"/>
  <c r="C537" i="2"/>
  <c r="B537" i="2"/>
  <c r="A537" i="2"/>
  <c r="S536" i="2"/>
  <c r="R536" i="2"/>
  <c r="Q536" i="2"/>
  <c r="P536" i="2"/>
  <c r="O536" i="2"/>
  <c r="N536" i="2"/>
  <c r="M536" i="2"/>
  <c r="L536" i="2"/>
  <c r="K536" i="2"/>
  <c r="J536" i="2"/>
  <c r="I536" i="2"/>
  <c r="H536" i="2"/>
  <c r="G536" i="2"/>
  <c r="F536" i="2"/>
  <c r="E536" i="2"/>
  <c r="D536" i="2"/>
  <c r="C536" i="2"/>
  <c r="B536" i="2"/>
  <c r="A536" i="2"/>
  <c r="S535" i="2"/>
  <c r="R535" i="2"/>
  <c r="Q535" i="2"/>
  <c r="P535" i="2"/>
  <c r="O535" i="2"/>
  <c r="N535" i="2"/>
  <c r="M535" i="2"/>
  <c r="L535" i="2"/>
  <c r="K535" i="2"/>
  <c r="J535" i="2"/>
  <c r="I535" i="2"/>
  <c r="H535" i="2"/>
  <c r="G535" i="2"/>
  <c r="F535" i="2"/>
  <c r="E535" i="2"/>
  <c r="D535" i="2"/>
  <c r="C535" i="2"/>
  <c r="B535" i="2"/>
  <c r="A535" i="2"/>
  <c r="S534" i="2"/>
  <c r="R534" i="2"/>
  <c r="Q534" i="2"/>
  <c r="P534" i="2"/>
  <c r="O534" i="2"/>
  <c r="N534" i="2"/>
  <c r="M534" i="2"/>
  <c r="L534" i="2"/>
  <c r="K534" i="2"/>
  <c r="J534" i="2"/>
  <c r="I534" i="2"/>
  <c r="H534" i="2"/>
  <c r="G534" i="2"/>
  <c r="F534" i="2"/>
  <c r="E534" i="2"/>
  <c r="D534" i="2"/>
  <c r="C534" i="2"/>
  <c r="B534" i="2"/>
  <c r="A534" i="2"/>
  <c r="S533" i="2"/>
  <c r="R533" i="2"/>
  <c r="Q533" i="2"/>
  <c r="P533" i="2"/>
  <c r="O533" i="2"/>
  <c r="N533" i="2"/>
  <c r="M533" i="2"/>
  <c r="L533" i="2"/>
  <c r="K533" i="2"/>
  <c r="J533" i="2"/>
  <c r="I533" i="2"/>
  <c r="H533" i="2"/>
  <c r="G533" i="2"/>
  <c r="F533" i="2"/>
  <c r="E533" i="2"/>
  <c r="D533" i="2"/>
  <c r="C533" i="2"/>
  <c r="B533" i="2"/>
  <c r="A533" i="2"/>
  <c r="S532" i="2"/>
  <c r="R532" i="2"/>
  <c r="Q532" i="2"/>
  <c r="P532" i="2"/>
  <c r="O532" i="2"/>
  <c r="N532" i="2"/>
  <c r="M532" i="2"/>
  <c r="L532" i="2"/>
  <c r="K532" i="2"/>
  <c r="J532" i="2"/>
  <c r="I532" i="2"/>
  <c r="H532" i="2"/>
  <c r="G532" i="2"/>
  <c r="F532" i="2"/>
  <c r="E532" i="2"/>
  <c r="D532" i="2"/>
  <c r="C532" i="2"/>
  <c r="B532" i="2"/>
  <c r="A532" i="2"/>
  <c r="S531" i="2"/>
  <c r="R531" i="2"/>
  <c r="Q531" i="2"/>
  <c r="P531" i="2"/>
  <c r="O531" i="2"/>
  <c r="N531" i="2"/>
  <c r="M531" i="2"/>
  <c r="L531" i="2"/>
  <c r="K531" i="2"/>
  <c r="J531" i="2"/>
  <c r="I531" i="2"/>
  <c r="H531" i="2"/>
  <c r="G531" i="2"/>
  <c r="F531" i="2"/>
  <c r="E531" i="2"/>
  <c r="D531" i="2"/>
  <c r="C531" i="2"/>
  <c r="B531" i="2"/>
  <c r="A531" i="2"/>
  <c r="S530" i="2"/>
  <c r="R530" i="2"/>
  <c r="Q530" i="2"/>
  <c r="P530" i="2"/>
  <c r="O530" i="2"/>
  <c r="N530" i="2"/>
  <c r="M530" i="2"/>
  <c r="L530" i="2"/>
  <c r="K530" i="2"/>
  <c r="J530" i="2"/>
  <c r="I530" i="2"/>
  <c r="H530" i="2"/>
  <c r="G530" i="2"/>
  <c r="F530" i="2"/>
  <c r="E530" i="2"/>
  <c r="D530" i="2"/>
  <c r="C530" i="2"/>
  <c r="B530" i="2"/>
  <c r="A530" i="2"/>
  <c r="S529" i="2"/>
  <c r="R529" i="2"/>
  <c r="Q529" i="2"/>
  <c r="P529" i="2"/>
  <c r="O529" i="2"/>
  <c r="N529" i="2"/>
  <c r="M529" i="2"/>
  <c r="L529" i="2"/>
  <c r="K529" i="2"/>
  <c r="J529" i="2"/>
  <c r="I529" i="2"/>
  <c r="H529" i="2"/>
  <c r="G529" i="2"/>
  <c r="F529" i="2"/>
  <c r="E529" i="2"/>
  <c r="D529" i="2"/>
  <c r="C529" i="2"/>
  <c r="B529" i="2"/>
  <c r="A529" i="2"/>
  <c r="S528" i="2"/>
  <c r="R528" i="2"/>
  <c r="Q528" i="2"/>
  <c r="P528" i="2"/>
  <c r="O528" i="2"/>
  <c r="N528" i="2"/>
  <c r="M528" i="2"/>
  <c r="L528" i="2"/>
  <c r="K528" i="2"/>
  <c r="J528" i="2"/>
  <c r="I528" i="2"/>
  <c r="H528" i="2"/>
  <c r="G528" i="2"/>
  <c r="F528" i="2"/>
  <c r="E528" i="2"/>
  <c r="D528" i="2"/>
  <c r="C528" i="2"/>
  <c r="B528" i="2"/>
  <c r="A528" i="2"/>
  <c r="S527" i="2"/>
  <c r="R527" i="2"/>
  <c r="Q527" i="2"/>
  <c r="P527" i="2"/>
  <c r="O527" i="2"/>
  <c r="N527" i="2"/>
  <c r="M527" i="2"/>
  <c r="L527" i="2"/>
  <c r="K527" i="2"/>
  <c r="J527" i="2"/>
  <c r="I527" i="2"/>
  <c r="H527" i="2"/>
  <c r="G527" i="2"/>
  <c r="F527" i="2"/>
  <c r="E527" i="2"/>
  <c r="D527" i="2"/>
  <c r="C527" i="2"/>
  <c r="B527" i="2"/>
  <c r="A527" i="2"/>
  <c r="S526" i="2"/>
  <c r="R526" i="2"/>
  <c r="Q526" i="2"/>
  <c r="P526" i="2"/>
  <c r="O526" i="2"/>
  <c r="N526" i="2"/>
  <c r="M526" i="2"/>
  <c r="L526" i="2"/>
  <c r="K526" i="2"/>
  <c r="J526" i="2"/>
  <c r="I526" i="2"/>
  <c r="H526" i="2"/>
  <c r="G526" i="2"/>
  <c r="F526" i="2"/>
  <c r="E526" i="2"/>
  <c r="D526" i="2"/>
  <c r="C526" i="2"/>
  <c r="B526" i="2"/>
  <c r="A526" i="2"/>
  <c r="S525" i="2"/>
  <c r="R525" i="2"/>
  <c r="Q525" i="2"/>
  <c r="P525" i="2"/>
  <c r="O525" i="2"/>
  <c r="N525" i="2"/>
  <c r="M525" i="2"/>
  <c r="L525" i="2"/>
  <c r="K525" i="2"/>
  <c r="J525" i="2"/>
  <c r="I525" i="2"/>
  <c r="H525" i="2"/>
  <c r="G525" i="2"/>
  <c r="F525" i="2"/>
  <c r="E525" i="2"/>
  <c r="D525" i="2"/>
  <c r="C525" i="2"/>
  <c r="B525" i="2"/>
  <c r="A525" i="2"/>
  <c r="S524" i="2"/>
  <c r="R524" i="2"/>
  <c r="Q524" i="2"/>
  <c r="P524" i="2"/>
  <c r="O524" i="2"/>
  <c r="N524" i="2"/>
  <c r="M524" i="2"/>
  <c r="L524" i="2"/>
  <c r="K524" i="2"/>
  <c r="J524" i="2"/>
  <c r="I524" i="2"/>
  <c r="H524" i="2"/>
  <c r="G524" i="2"/>
  <c r="F524" i="2"/>
  <c r="E524" i="2"/>
  <c r="D524" i="2"/>
  <c r="C524" i="2"/>
  <c r="B524" i="2"/>
  <c r="A524" i="2"/>
  <c r="S523" i="2"/>
  <c r="R523" i="2"/>
  <c r="Q523" i="2"/>
  <c r="P523" i="2"/>
  <c r="O523" i="2"/>
  <c r="N523" i="2"/>
  <c r="M523" i="2"/>
  <c r="L523" i="2"/>
  <c r="K523" i="2"/>
  <c r="J523" i="2"/>
  <c r="I523" i="2"/>
  <c r="H523" i="2"/>
  <c r="G523" i="2"/>
  <c r="F523" i="2"/>
  <c r="E523" i="2"/>
  <c r="D523" i="2"/>
  <c r="C523" i="2"/>
  <c r="B523" i="2"/>
  <c r="A523" i="2"/>
  <c r="S522" i="2"/>
  <c r="R522" i="2"/>
  <c r="Q522" i="2"/>
  <c r="P522" i="2"/>
  <c r="O522" i="2"/>
  <c r="N522" i="2"/>
  <c r="M522" i="2"/>
  <c r="L522" i="2"/>
  <c r="K522" i="2"/>
  <c r="J522" i="2"/>
  <c r="I522" i="2"/>
  <c r="H522" i="2"/>
  <c r="G522" i="2"/>
  <c r="F522" i="2"/>
  <c r="E522" i="2"/>
  <c r="D522" i="2"/>
  <c r="C522" i="2"/>
  <c r="B522" i="2"/>
  <c r="A522" i="2"/>
  <c r="S521" i="2"/>
  <c r="R521" i="2"/>
  <c r="Q521" i="2"/>
  <c r="P521" i="2"/>
  <c r="O521" i="2"/>
  <c r="N521" i="2"/>
  <c r="M521" i="2"/>
  <c r="L521" i="2"/>
  <c r="K521" i="2"/>
  <c r="J521" i="2"/>
  <c r="I521" i="2"/>
  <c r="H521" i="2"/>
  <c r="G521" i="2"/>
  <c r="F521" i="2"/>
  <c r="E521" i="2"/>
  <c r="D521" i="2"/>
  <c r="C521" i="2"/>
  <c r="B521" i="2"/>
  <c r="A521" i="2"/>
  <c r="S520" i="2"/>
  <c r="R520" i="2"/>
  <c r="Q520" i="2"/>
  <c r="P520" i="2"/>
  <c r="O520" i="2"/>
  <c r="N520" i="2"/>
  <c r="M520" i="2"/>
  <c r="L520" i="2"/>
  <c r="K520" i="2"/>
  <c r="J520" i="2"/>
  <c r="I520" i="2"/>
  <c r="H520" i="2"/>
  <c r="G520" i="2"/>
  <c r="F520" i="2"/>
  <c r="E520" i="2"/>
  <c r="D520" i="2"/>
  <c r="C520" i="2"/>
  <c r="B520" i="2"/>
  <c r="A520" i="2"/>
  <c r="S519" i="2"/>
  <c r="R519" i="2"/>
  <c r="Q519" i="2"/>
  <c r="P519" i="2"/>
  <c r="O519" i="2"/>
  <c r="N519" i="2"/>
  <c r="M519" i="2"/>
  <c r="L519" i="2"/>
  <c r="K519" i="2"/>
  <c r="J519" i="2"/>
  <c r="I519" i="2"/>
  <c r="H519" i="2"/>
  <c r="G519" i="2"/>
  <c r="F519" i="2"/>
  <c r="E519" i="2"/>
  <c r="D519" i="2"/>
  <c r="C519" i="2"/>
  <c r="B519" i="2"/>
  <c r="A519" i="2"/>
  <c r="S518" i="2"/>
  <c r="R518" i="2"/>
  <c r="Q518" i="2"/>
  <c r="P518" i="2"/>
  <c r="O518" i="2"/>
  <c r="N518" i="2"/>
  <c r="M518" i="2"/>
  <c r="L518" i="2"/>
  <c r="K518" i="2"/>
  <c r="J518" i="2"/>
  <c r="I518" i="2"/>
  <c r="H518" i="2"/>
  <c r="G518" i="2"/>
  <c r="F518" i="2"/>
  <c r="E518" i="2"/>
  <c r="D518" i="2"/>
  <c r="C518" i="2"/>
  <c r="B518" i="2"/>
  <c r="A518" i="2"/>
  <c r="S517" i="2"/>
  <c r="R517" i="2"/>
  <c r="Q517" i="2"/>
  <c r="P517" i="2"/>
  <c r="O517" i="2"/>
  <c r="N517" i="2"/>
  <c r="M517" i="2"/>
  <c r="L517" i="2"/>
  <c r="K517" i="2"/>
  <c r="J517" i="2"/>
  <c r="I517" i="2"/>
  <c r="H517" i="2"/>
  <c r="G517" i="2"/>
  <c r="F517" i="2"/>
  <c r="E517" i="2"/>
  <c r="D517" i="2"/>
  <c r="C517" i="2"/>
  <c r="B517" i="2"/>
  <c r="A517" i="2"/>
  <c r="S516" i="2"/>
  <c r="R516" i="2"/>
  <c r="Q516" i="2"/>
  <c r="P516" i="2"/>
  <c r="O516" i="2"/>
  <c r="N516" i="2"/>
  <c r="M516" i="2"/>
  <c r="L516" i="2"/>
  <c r="K516" i="2"/>
  <c r="J516" i="2"/>
  <c r="I516" i="2"/>
  <c r="H516" i="2"/>
  <c r="G516" i="2"/>
  <c r="F516" i="2"/>
  <c r="E516" i="2"/>
  <c r="D516" i="2"/>
  <c r="C516" i="2"/>
  <c r="B516" i="2"/>
  <c r="A516" i="2"/>
  <c r="S515" i="2"/>
  <c r="R515" i="2"/>
  <c r="Q515" i="2"/>
  <c r="P515" i="2"/>
  <c r="O515" i="2"/>
  <c r="N515" i="2"/>
  <c r="M515" i="2"/>
  <c r="L515" i="2"/>
  <c r="K515" i="2"/>
  <c r="J515" i="2"/>
  <c r="I515" i="2"/>
  <c r="H515" i="2"/>
  <c r="G515" i="2"/>
  <c r="F515" i="2"/>
  <c r="E515" i="2"/>
  <c r="D515" i="2"/>
  <c r="C515" i="2"/>
  <c r="B515" i="2"/>
  <c r="A515" i="2"/>
  <c r="S514" i="2"/>
  <c r="R514" i="2"/>
  <c r="Q514" i="2"/>
  <c r="P514" i="2"/>
  <c r="O514" i="2"/>
  <c r="N514" i="2"/>
  <c r="M514" i="2"/>
  <c r="L514" i="2"/>
  <c r="K514" i="2"/>
  <c r="J514" i="2"/>
  <c r="I514" i="2"/>
  <c r="H514" i="2"/>
  <c r="G514" i="2"/>
  <c r="F514" i="2"/>
  <c r="E514" i="2"/>
  <c r="D514" i="2"/>
  <c r="C514" i="2"/>
  <c r="B514" i="2"/>
  <c r="A514" i="2"/>
  <c r="S513" i="2"/>
  <c r="R513" i="2"/>
  <c r="Q513" i="2"/>
  <c r="P513" i="2"/>
  <c r="O513" i="2"/>
  <c r="N513" i="2"/>
  <c r="M513" i="2"/>
  <c r="L513" i="2"/>
  <c r="K513" i="2"/>
  <c r="J513" i="2"/>
  <c r="I513" i="2"/>
  <c r="H513" i="2"/>
  <c r="G513" i="2"/>
  <c r="F513" i="2"/>
  <c r="E513" i="2"/>
  <c r="D513" i="2"/>
  <c r="C513" i="2"/>
  <c r="B513" i="2"/>
  <c r="A513" i="2"/>
  <c r="S512" i="2"/>
  <c r="R512" i="2"/>
  <c r="Q512" i="2"/>
  <c r="P512" i="2"/>
  <c r="O512" i="2"/>
  <c r="N512" i="2"/>
  <c r="M512" i="2"/>
  <c r="L512" i="2"/>
  <c r="K512" i="2"/>
  <c r="J512" i="2"/>
  <c r="I512" i="2"/>
  <c r="H512" i="2"/>
  <c r="G512" i="2"/>
  <c r="F512" i="2"/>
  <c r="E512" i="2"/>
  <c r="D512" i="2"/>
  <c r="C512" i="2"/>
  <c r="B512" i="2"/>
  <c r="A512" i="2"/>
  <c r="S511" i="2"/>
  <c r="R511" i="2"/>
  <c r="Q511" i="2"/>
  <c r="P511" i="2"/>
  <c r="O511" i="2"/>
  <c r="N511" i="2"/>
  <c r="M511" i="2"/>
  <c r="L511" i="2"/>
  <c r="K511" i="2"/>
  <c r="J511" i="2"/>
  <c r="I511" i="2"/>
  <c r="H511" i="2"/>
  <c r="G511" i="2"/>
  <c r="F511" i="2"/>
  <c r="E511" i="2"/>
  <c r="D511" i="2"/>
  <c r="C511" i="2"/>
  <c r="B511" i="2"/>
  <c r="A511" i="2"/>
  <c r="S510" i="2"/>
  <c r="R510" i="2"/>
  <c r="Q510" i="2"/>
  <c r="P510" i="2"/>
  <c r="O510" i="2"/>
  <c r="N510" i="2"/>
  <c r="M510" i="2"/>
  <c r="L510" i="2"/>
  <c r="K510" i="2"/>
  <c r="J510" i="2"/>
  <c r="I510" i="2"/>
  <c r="H510" i="2"/>
  <c r="G510" i="2"/>
  <c r="F510" i="2"/>
  <c r="E510" i="2"/>
  <c r="D510" i="2"/>
  <c r="C510" i="2"/>
  <c r="B510" i="2"/>
  <c r="A510" i="2"/>
  <c r="S509" i="2"/>
  <c r="R509" i="2"/>
  <c r="Q509" i="2"/>
  <c r="P509" i="2"/>
  <c r="O509" i="2"/>
  <c r="N509" i="2"/>
  <c r="M509" i="2"/>
  <c r="L509" i="2"/>
  <c r="K509" i="2"/>
  <c r="J509" i="2"/>
  <c r="I509" i="2"/>
  <c r="H509" i="2"/>
  <c r="G509" i="2"/>
  <c r="F509" i="2"/>
  <c r="E509" i="2"/>
  <c r="D509" i="2"/>
  <c r="C509" i="2"/>
  <c r="B509" i="2"/>
  <c r="A509" i="2"/>
  <c r="S508" i="2"/>
  <c r="R508" i="2"/>
  <c r="Q508" i="2"/>
  <c r="P508" i="2"/>
  <c r="O508" i="2"/>
  <c r="N508" i="2"/>
  <c r="M508" i="2"/>
  <c r="L508" i="2"/>
  <c r="K508" i="2"/>
  <c r="J508" i="2"/>
  <c r="I508" i="2"/>
  <c r="H508" i="2"/>
  <c r="G508" i="2"/>
  <c r="F508" i="2"/>
  <c r="E508" i="2"/>
  <c r="D508" i="2"/>
  <c r="C508" i="2"/>
  <c r="B508" i="2"/>
  <c r="A508" i="2"/>
  <c r="S507" i="2"/>
  <c r="R507" i="2"/>
  <c r="Q507" i="2"/>
  <c r="P507" i="2"/>
  <c r="O507" i="2"/>
  <c r="N507" i="2"/>
  <c r="M507" i="2"/>
  <c r="L507" i="2"/>
  <c r="K507" i="2"/>
  <c r="J507" i="2"/>
  <c r="I507" i="2"/>
  <c r="H507" i="2"/>
  <c r="G507" i="2"/>
  <c r="F507" i="2"/>
  <c r="E507" i="2"/>
  <c r="D507" i="2"/>
  <c r="C507" i="2"/>
  <c r="B507" i="2"/>
  <c r="A507" i="2"/>
  <c r="S506" i="2"/>
  <c r="R506" i="2"/>
  <c r="Q506" i="2"/>
  <c r="P506" i="2"/>
  <c r="O506" i="2"/>
  <c r="N506" i="2"/>
  <c r="M506" i="2"/>
  <c r="L506" i="2"/>
  <c r="K506" i="2"/>
  <c r="J506" i="2"/>
  <c r="I506" i="2"/>
  <c r="H506" i="2"/>
  <c r="G506" i="2"/>
  <c r="F506" i="2"/>
  <c r="E506" i="2"/>
  <c r="D506" i="2"/>
  <c r="C506" i="2"/>
  <c r="B506" i="2"/>
  <c r="A506" i="2"/>
  <c r="S505" i="2"/>
  <c r="R505" i="2"/>
  <c r="Q505" i="2"/>
  <c r="P505" i="2"/>
  <c r="O505" i="2"/>
  <c r="N505" i="2"/>
  <c r="M505" i="2"/>
  <c r="L505" i="2"/>
  <c r="K505" i="2"/>
  <c r="J505" i="2"/>
  <c r="I505" i="2"/>
  <c r="H505" i="2"/>
  <c r="G505" i="2"/>
  <c r="F505" i="2"/>
  <c r="E505" i="2"/>
  <c r="D505" i="2"/>
  <c r="C505" i="2"/>
  <c r="B505" i="2"/>
  <c r="A505" i="2"/>
  <c r="S504" i="2"/>
  <c r="R504" i="2"/>
  <c r="Q504" i="2"/>
  <c r="P504" i="2"/>
  <c r="O504" i="2"/>
  <c r="N504" i="2"/>
  <c r="M504" i="2"/>
  <c r="L504" i="2"/>
  <c r="K504" i="2"/>
  <c r="J504" i="2"/>
  <c r="I504" i="2"/>
  <c r="H504" i="2"/>
  <c r="G504" i="2"/>
  <c r="F504" i="2"/>
  <c r="E504" i="2"/>
  <c r="D504" i="2"/>
  <c r="C504" i="2"/>
  <c r="B504" i="2"/>
  <c r="A504" i="2"/>
  <c r="S503" i="2"/>
  <c r="R503" i="2"/>
  <c r="Q503" i="2"/>
  <c r="P503" i="2"/>
  <c r="O503" i="2"/>
  <c r="N503" i="2"/>
  <c r="M503" i="2"/>
  <c r="L503" i="2"/>
  <c r="K503" i="2"/>
  <c r="J503" i="2"/>
  <c r="I503" i="2"/>
  <c r="H503" i="2"/>
  <c r="G503" i="2"/>
  <c r="F503" i="2"/>
  <c r="E503" i="2"/>
  <c r="D503" i="2"/>
  <c r="C503" i="2"/>
  <c r="B503" i="2"/>
  <c r="A503" i="2"/>
  <c r="S502" i="2"/>
  <c r="R502" i="2"/>
  <c r="Q502" i="2"/>
  <c r="P502" i="2"/>
  <c r="O502" i="2"/>
  <c r="N502" i="2"/>
  <c r="M502" i="2"/>
  <c r="L502" i="2"/>
  <c r="K502" i="2"/>
  <c r="J502" i="2"/>
  <c r="I502" i="2"/>
  <c r="H502" i="2"/>
  <c r="G502" i="2"/>
  <c r="F502" i="2"/>
  <c r="E502" i="2"/>
  <c r="D502" i="2"/>
  <c r="C502" i="2"/>
  <c r="B502" i="2"/>
  <c r="A502" i="2"/>
  <c r="S501" i="2"/>
  <c r="R501" i="2"/>
  <c r="Q501" i="2"/>
  <c r="P501" i="2"/>
  <c r="O501" i="2"/>
  <c r="N501" i="2"/>
  <c r="M501" i="2"/>
  <c r="L501" i="2"/>
  <c r="K501" i="2"/>
  <c r="J501" i="2"/>
  <c r="I501" i="2"/>
  <c r="H501" i="2"/>
  <c r="G501" i="2"/>
  <c r="F501" i="2"/>
  <c r="E501" i="2"/>
  <c r="D501" i="2"/>
  <c r="C501" i="2"/>
  <c r="B501" i="2"/>
  <c r="A501" i="2"/>
  <c r="S500" i="2"/>
  <c r="R500" i="2"/>
  <c r="Q500" i="2"/>
  <c r="P500" i="2"/>
  <c r="O500" i="2"/>
  <c r="N500" i="2"/>
  <c r="M500" i="2"/>
  <c r="L500" i="2"/>
  <c r="K500" i="2"/>
  <c r="J500" i="2"/>
  <c r="I500" i="2"/>
  <c r="H500" i="2"/>
  <c r="G500" i="2"/>
  <c r="F500" i="2"/>
  <c r="E500" i="2"/>
  <c r="D500" i="2"/>
  <c r="C500" i="2"/>
  <c r="B500" i="2"/>
  <c r="A500" i="2"/>
  <c r="S499" i="2"/>
  <c r="R499" i="2"/>
  <c r="Q499" i="2"/>
  <c r="P499" i="2"/>
  <c r="O499" i="2"/>
  <c r="N499" i="2"/>
  <c r="M499" i="2"/>
  <c r="L499" i="2"/>
  <c r="K499" i="2"/>
  <c r="J499" i="2"/>
  <c r="I499" i="2"/>
  <c r="H499" i="2"/>
  <c r="G499" i="2"/>
  <c r="F499" i="2"/>
  <c r="E499" i="2"/>
  <c r="D499" i="2"/>
  <c r="C499" i="2"/>
  <c r="B499" i="2"/>
  <c r="A499" i="2"/>
  <c r="S498" i="2"/>
  <c r="R498" i="2"/>
  <c r="Q498" i="2"/>
  <c r="P498" i="2"/>
  <c r="O498" i="2"/>
  <c r="N498" i="2"/>
  <c r="M498" i="2"/>
  <c r="L498" i="2"/>
  <c r="K498" i="2"/>
  <c r="J498" i="2"/>
  <c r="I498" i="2"/>
  <c r="H498" i="2"/>
  <c r="G498" i="2"/>
  <c r="F498" i="2"/>
  <c r="E498" i="2"/>
  <c r="D498" i="2"/>
  <c r="C498" i="2"/>
  <c r="B498" i="2"/>
  <c r="A498" i="2"/>
  <c r="S497" i="2"/>
  <c r="R497" i="2"/>
  <c r="Q497" i="2"/>
  <c r="P497" i="2"/>
  <c r="O497" i="2"/>
  <c r="N497" i="2"/>
  <c r="M497" i="2"/>
  <c r="L497" i="2"/>
  <c r="K497" i="2"/>
  <c r="J497" i="2"/>
  <c r="I497" i="2"/>
  <c r="H497" i="2"/>
  <c r="G497" i="2"/>
  <c r="F497" i="2"/>
  <c r="E497" i="2"/>
  <c r="D497" i="2"/>
  <c r="C497" i="2"/>
  <c r="B497" i="2"/>
  <c r="A497" i="2"/>
  <c r="S496" i="2"/>
  <c r="R496" i="2"/>
  <c r="Q496" i="2"/>
  <c r="P496" i="2"/>
  <c r="O496" i="2"/>
  <c r="N496" i="2"/>
  <c r="M496" i="2"/>
  <c r="L496" i="2"/>
  <c r="K496" i="2"/>
  <c r="J496" i="2"/>
  <c r="I496" i="2"/>
  <c r="H496" i="2"/>
  <c r="G496" i="2"/>
  <c r="F496" i="2"/>
  <c r="E496" i="2"/>
  <c r="D496" i="2"/>
  <c r="C496" i="2"/>
  <c r="B496" i="2"/>
  <c r="A496" i="2"/>
  <c r="S495" i="2"/>
  <c r="R495" i="2"/>
  <c r="Q495" i="2"/>
  <c r="P495" i="2"/>
  <c r="O495" i="2"/>
  <c r="N495" i="2"/>
  <c r="M495" i="2"/>
  <c r="L495" i="2"/>
  <c r="K495" i="2"/>
  <c r="J495" i="2"/>
  <c r="I495" i="2"/>
  <c r="H495" i="2"/>
  <c r="G495" i="2"/>
  <c r="F495" i="2"/>
  <c r="E495" i="2"/>
  <c r="D495" i="2"/>
  <c r="C495" i="2"/>
  <c r="B495" i="2"/>
  <c r="A495" i="2"/>
  <c r="S494" i="2"/>
  <c r="R494" i="2"/>
  <c r="Q494" i="2"/>
  <c r="P494" i="2"/>
  <c r="O494" i="2"/>
  <c r="N494" i="2"/>
  <c r="M494" i="2"/>
  <c r="L494" i="2"/>
  <c r="K494" i="2"/>
  <c r="J494" i="2"/>
  <c r="I494" i="2"/>
  <c r="H494" i="2"/>
  <c r="G494" i="2"/>
  <c r="F494" i="2"/>
  <c r="E494" i="2"/>
  <c r="D494" i="2"/>
  <c r="C494" i="2"/>
  <c r="B494" i="2"/>
  <c r="A494" i="2"/>
  <c r="S493" i="2"/>
  <c r="R493" i="2"/>
  <c r="Q493" i="2"/>
  <c r="P493" i="2"/>
  <c r="O493" i="2"/>
  <c r="N493" i="2"/>
  <c r="M493" i="2"/>
  <c r="L493" i="2"/>
  <c r="K493" i="2"/>
  <c r="J493" i="2"/>
  <c r="I493" i="2"/>
  <c r="H493" i="2"/>
  <c r="G493" i="2"/>
  <c r="F493" i="2"/>
  <c r="E493" i="2"/>
  <c r="D493" i="2"/>
  <c r="C493" i="2"/>
  <c r="B493" i="2"/>
  <c r="A493" i="2"/>
  <c r="S492" i="2"/>
  <c r="R492" i="2"/>
  <c r="Q492" i="2"/>
  <c r="P492" i="2"/>
  <c r="O492" i="2"/>
  <c r="N492" i="2"/>
  <c r="M492" i="2"/>
  <c r="L492" i="2"/>
  <c r="K492" i="2"/>
  <c r="J492" i="2"/>
  <c r="I492" i="2"/>
  <c r="H492" i="2"/>
  <c r="G492" i="2"/>
  <c r="F492" i="2"/>
  <c r="E492" i="2"/>
  <c r="D492" i="2"/>
  <c r="C492" i="2"/>
  <c r="B492" i="2"/>
  <c r="A492" i="2"/>
  <c r="S491" i="2"/>
  <c r="R491" i="2"/>
  <c r="Q491" i="2"/>
  <c r="P491" i="2"/>
  <c r="O491" i="2"/>
  <c r="N491" i="2"/>
  <c r="M491" i="2"/>
  <c r="L491" i="2"/>
  <c r="K491" i="2"/>
  <c r="J491" i="2"/>
  <c r="I491" i="2"/>
  <c r="H491" i="2"/>
  <c r="G491" i="2"/>
  <c r="F491" i="2"/>
  <c r="E491" i="2"/>
  <c r="D491" i="2"/>
  <c r="C491" i="2"/>
  <c r="B491" i="2"/>
  <c r="A491" i="2"/>
  <c r="S490" i="2"/>
  <c r="R490" i="2"/>
  <c r="Q490" i="2"/>
  <c r="P490" i="2"/>
  <c r="O490" i="2"/>
  <c r="N490" i="2"/>
  <c r="M490" i="2"/>
  <c r="L490" i="2"/>
  <c r="K490" i="2"/>
  <c r="J490" i="2"/>
  <c r="I490" i="2"/>
  <c r="H490" i="2"/>
  <c r="G490" i="2"/>
  <c r="F490" i="2"/>
  <c r="E490" i="2"/>
  <c r="D490" i="2"/>
  <c r="C490" i="2"/>
  <c r="B490" i="2"/>
  <c r="A490" i="2"/>
  <c r="S489" i="2"/>
  <c r="R489" i="2"/>
  <c r="Q489" i="2"/>
  <c r="P489" i="2"/>
  <c r="O489" i="2"/>
  <c r="N489" i="2"/>
  <c r="M489" i="2"/>
  <c r="L489" i="2"/>
  <c r="K489" i="2"/>
  <c r="J489" i="2"/>
  <c r="I489" i="2"/>
  <c r="H489" i="2"/>
  <c r="G489" i="2"/>
  <c r="F489" i="2"/>
  <c r="E489" i="2"/>
  <c r="D489" i="2"/>
  <c r="C489" i="2"/>
  <c r="B489" i="2"/>
  <c r="A489" i="2"/>
  <c r="S488" i="2"/>
  <c r="R488" i="2"/>
  <c r="Q488" i="2"/>
  <c r="P488" i="2"/>
  <c r="O488" i="2"/>
  <c r="N488" i="2"/>
  <c r="M488" i="2"/>
  <c r="L488" i="2"/>
  <c r="K488" i="2"/>
  <c r="J488" i="2"/>
  <c r="I488" i="2"/>
  <c r="H488" i="2"/>
  <c r="G488" i="2"/>
  <c r="F488" i="2"/>
  <c r="E488" i="2"/>
  <c r="D488" i="2"/>
  <c r="C488" i="2"/>
  <c r="B488" i="2"/>
  <c r="A488" i="2"/>
  <c r="S487" i="2"/>
  <c r="R487" i="2"/>
  <c r="Q487" i="2"/>
  <c r="P487" i="2"/>
  <c r="O487" i="2"/>
  <c r="N487" i="2"/>
  <c r="M487" i="2"/>
  <c r="L487" i="2"/>
  <c r="K487" i="2"/>
  <c r="J487" i="2"/>
  <c r="I487" i="2"/>
  <c r="H487" i="2"/>
  <c r="G487" i="2"/>
  <c r="F487" i="2"/>
  <c r="E487" i="2"/>
  <c r="D487" i="2"/>
  <c r="C487" i="2"/>
  <c r="B487" i="2"/>
  <c r="A487" i="2"/>
  <c r="S486" i="2"/>
  <c r="R486" i="2"/>
  <c r="Q486" i="2"/>
  <c r="P486" i="2"/>
  <c r="O486" i="2"/>
  <c r="N486" i="2"/>
  <c r="M486" i="2"/>
  <c r="L486" i="2"/>
  <c r="K486" i="2"/>
  <c r="J486" i="2"/>
  <c r="I486" i="2"/>
  <c r="H486" i="2"/>
  <c r="G486" i="2"/>
  <c r="F486" i="2"/>
  <c r="E486" i="2"/>
  <c r="D486" i="2"/>
  <c r="C486" i="2"/>
  <c r="B486" i="2"/>
  <c r="A486" i="2"/>
  <c r="S485" i="2"/>
  <c r="R485" i="2"/>
  <c r="Q485" i="2"/>
  <c r="P485" i="2"/>
  <c r="O485" i="2"/>
  <c r="N485" i="2"/>
  <c r="M485" i="2"/>
  <c r="L485" i="2"/>
  <c r="K485" i="2"/>
  <c r="J485" i="2"/>
  <c r="I485" i="2"/>
  <c r="H485" i="2"/>
  <c r="G485" i="2"/>
  <c r="F485" i="2"/>
  <c r="E485" i="2"/>
  <c r="D485" i="2"/>
  <c r="C485" i="2"/>
  <c r="B485" i="2"/>
  <c r="A485" i="2"/>
  <c r="S484" i="2"/>
  <c r="R484" i="2"/>
  <c r="Q484" i="2"/>
  <c r="P484" i="2"/>
  <c r="O484" i="2"/>
  <c r="N484" i="2"/>
  <c r="M484" i="2"/>
  <c r="L484" i="2"/>
  <c r="K484" i="2"/>
  <c r="J484" i="2"/>
  <c r="I484" i="2"/>
  <c r="H484" i="2"/>
  <c r="G484" i="2"/>
  <c r="F484" i="2"/>
  <c r="E484" i="2"/>
  <c r="D484" i="2"/>
  <c r="C484" i="2"/>
  <c r="B484" i="2"/>
  <c r="A484" i="2"/>
  <c r="S483" i="2"/>
  <c r="R483" i="2"/>
  <c r="Q483" i="2"/>
  <c r="P483" i="2"/>
  <c r="O483" i="2"/>
  <c r="N483" i="2"/>
  <c r="M483" i="2"/>
  <c r="L483" i="2"/>
  <c r="K483" i="2"/>
  <c r="J483" i="2"/>
  <c r="I483" i="2"/>
  <c r="H483" i="2"/>
  <c r="G483" i="2"/>
  <c r="F483" i="2"/>
  <c r="E483" i="2"/>
  <c r="D483" i="2"/>
  <c r="C483" i="2"/>
  <c r="B483" i="2"/>
  <c r="A483" i="2"/>
  <c r="S482" i="2"/>
  <c r="R482" i="2"/>
  <c r="Q482" i="2"/>
  <c r="P482" i="2"/>
  <c r="O482" i="2"/>
  <c r="N482" i="2"/>
  <c r="M482" i="2"/>
  <c r="L482" i="2"/>
  <c r="K482" i="2"/>
  <c r="J482" i="2"/>
  <c r="I482" i="2"/>
  <c r="H482" i="2"/>
  <c r="G482" i="2"/>
  <c r="F482" i="2"/>
  <c r="E482" i="2"/>
  <c r="D482" i="2"/>
  <c r="C482" i="2"/>
  <c r="B482" i="2"/>
  <c r="A482" i="2"/>
  <c r="S481" i="2"/>
  <c r="R481" i="2"/>
  <c r="Q481" i="2"/>
  <c r="P481" i="2"/>
  <c r="O481" i="2"/>
  <c r="N481" i="2"/>
  <c r="M481" i="2"/>
  <c r="L481" i="2"/>
  <c r="K481" i="2"/>
  <c r="J481" i="2"/>
  <c r="I481" i="2"/>
  <c r="H481" i="2"/>
  <c r="G481" i="2"/>
  <c r="F481" i="2"/>
  <c r="E481" i="2"/>
  <c r="D481" i="2"/>
  <c r="C481" i="2"/>
  <c r="B481" i="2"/>
  <c r="A481" i="2"/>
  <c r="S480" i="2"/>
  <c r="R480" i="2"/>
  <c r="Q480" i="2"/>
  <c r="P480" i="2"/>
  <c r="O480" i="2"/>
  <c r="N480" i="2"/>
  <c r="M480" i="2"/>
  <c r="L480" i="2"/>
  <c r="K480" i="2"/>
  <c r="J480" i="2"/>
  <c r="I480" i="2"/>
  <c r="H480" i="2"/>
  <c r="G480" i="2"/>
  <c r="F480" i="2"/>
  <c r="E480" i="2"/>
  <c r="D480" i="2"/>
  <c r="C480" i="2"/>
  <c r="B480" i="2"/>
  <c r="A480" i="2"/>
  <c r="S479" i="2"/>
  <c r="R479" i="2"/>
  <c r="Q479" i="2"/>
  <c r="P479" i="2"/>
  <c r="O479" i="2"/>
  <c r="N479" i="2"/>
  <c r="M479" i="2"/>
  <c r="L479" i="2"/>
  <c r="K479" i="2"/>
  <c r="J479" i="2"/>
  <c r="I479" i="2"/>
  <c r="H479" i="2"/>
  <c r="G479" i="2"/>
  <c r="F479" i="2"/>
  <c r="E479" i="2"/>
  <c r="D479" i="2"/>
  <c r="C479" i="2"/>
  <c r="B479" i="2"/>
  <c r="A479" i="2"/>
  <c r="S478" i="2"/>
  <c r="R478" i="2"/>
  <c r="Q478" i="2"/>
  <c r="P478" i="2"/>
  <c r="O478" i="2"/>
  <c r="N478" i="2"/>
  <c r="M478" i="2"/>
  <c r="L478" i="2"/>
  <c r="K478" i="2"/>
  <c r="J478" i="2"/>
  <c r="I478" i="2"/>
  <c r="H478" i="2"/>
  <c r="G478" i="2"/>
  <c r="F478" i="2"/>
  <c r="E478" i="2"/>
  <c r="D478" i="2"/>
  <c r="C478" i="2"/>
  <c r="B478" i="2"/>
  <c r="A478" i="2"/>
  <c r="S477" i="2"/>
  <c r="R477" i="2"/>
  <c r="Q477" i="2"/>
  <c r="P477" i="2"/>
  <c r="O477" i="2"/>
  <c r="N477" i="2"/>
  <c r="M477" i="2"/>
  <c r="L477" i="2"/>
  <c r="K477" i="2"/>
  <c r="J477" i="2"/>
  <c r="I477" i="2"/>
  <c r="H477" i="2"/>
  <c r="G477" i="2"/>
  <c r="F477" i="2"/>
  <c r="E477" i="2"/>
  <c r="D477" i="2"/>
  <c r="C477" i="2"/>
  <c r="B477" i="2"/>
  <c r="A477" i="2"/>
  <c r="S476" i="2"/>
  <c r="R476" i="2"/>
  <c r="Q476" i="2"/>
  <c r="P476" i="2"/>
  <c r="O476" i="2"/>
  <c r="N476" i="2"/>
  <c r="M476" i="2"/>
  <c r="L476" i="2"/>
  <c r="K476" i="2"/>
  <c r="J476" i="2"/>
  <c r="I476" i="2"/>
  <c r="H476" i="2"/>
  <c r="G476" i="2"/>
  <c r="F476" i="2"/>
  <c r="E476" i="2"/>
  <c r="D476" i="2"/>
  <c r="C476" i="2"/>
  <c r="B476" i="2"/>
  <c r="A476" i="2"/>
  <c r="S475" i="2"/>
  <c r="R475" i="2"/>
  <c r="Q475" i="2"/>
  <c r="P475" i="2"/>
  <c r="O475" i="2"/>
  <c r="N475" i="2"/>
  <c r="M475" i="2"/>
  <c r="L475" i="2"/>
  <c r="K475" i="2"/>
  <c r="J475" i="2"/>
  <c r="I475" i="2"/>
  <c r="H475" i="2"/>
  <c r="G475" i="2"/>
  <c r="F475" i="2"/>
  <c r="E475" i="2"/>
  <c r="D475" i="2"/>
  <c r="C475" i="2"/>
  <c r="B475" i="2"/>
  <c r="A475" i="2"/>
  <c r="S474" i="2"/>
  <c r="R474" i="2"/>
  <c r="Q474" i="2"/>
  <c r="P474" i="2"/>
  <c r="O474" i="2"/>
  <c r="N474" i="2"/>
  <c r="M474" i="2"/>
  <c r="L474" i="2"/>
  <c r="K474" i="2"/>
  <c r="J474" i="2"/>
  <c r="I474" i="2"/>
  <c r="H474" i="2"/>
  <c r="G474" i="2"/>
  <c r="F474" i="2"/>
  <c r="E474" i="2"/>
  <c r="D474" i="2"/>
  <c r="C474" i="2"/>
  <c r="B474" i="2"/>
  <c r="A474" i="2"/>
  <c r="S473" i="2"/>
  <c r="R473" i="2"/>
  <c r="Q473" i="2"/>
  <c r="P473" i="2"/>
  <c r="O473" i="2"/>
  <c r="N473" i="2"/>
  <c r="M473" i="2"/>
  <c r="L473" i="2"/>
  <c r="K473" i="2"/>
  <c r="J473" i="2"/>
  <c r="I473" i="2"/>
  <c r="H473" i="2"/>
  <c r="G473" i="2"/>
  <c r="F473" i="2"/>
  <c r="E473" i="2"/>
  <c r="D473" i="2"/>
  <c r="C473" i="2"/>
  <c r="B473" i="2"/>
  <c r="A473" i="2"/>
  <c r="S472" i="2"/>
  <c r="R472" i="2"/>
  <c r="Q472" i="2"/>
  <c r="P472" i="2"/>
  <c r="O472" i="2"/>
  <c r="N472" i="2"/>
  <c r="M472" i="2"/>
  <c r="L472" i="2"/>
  <c r="K472" i="2"/>
  <c r="J472" i="2"/>
  <c r="I472" i="2"/>
  <c r="H472" i="2"/>
  <c r="G472" i="2"/>
  <c r="F472" i="2"/>
  <c r="E472" i="2"/>
  <c r="D472" i="2"/>
  <c r="C472" i="2"/>
  <c r="B472" i="2"/>
  <c r="A472" i="2"/>
  <c r="S471" i="2"/>
  <c r="R471" i="2"/>
  <c r="Q471" i="2"/>
  <c r="P471" i="2"/>
  <c r="O471" i="2"/>
  <c r="N471" i="2"/>
  <c r="M471" i="2"/>
  <c r="L471" i="2"/>
  <c r="K471" i="2"/>
  <c r="J471" i="2"/>
  <c r="I471" i="2"/>
  <c r="H471" i="2"/>
  <c r="G471" i="2"/>
  <c r="F471" i="2"/>
  <c r="E471" i="2"/>
  <c r="D471" i="2"/>
  <c r="C471" i="2"/>
  <c r="B471" i="2"/>
  <c r="A471" i="2"/>
  <c r="S470" i="2"/>
  <c r="R470" i="2"/>
  <c r="Q470" i="2"/>
  <c r="P470" i="2"/>
  <c r="O470" i="2"/>
  <c r="N470" i="2"/>
  <c r="M470" i="2"/>
  <c r="L470" i="2"/>
  <c r="K470" i="2"/>
  <c r="J470" i="2"/>
  <c r="I470" i="2"/>
  <c r="H470" i="2"/>
  <c r="G470" i="2"/>
  <c r="F470" i="2"/>
  <c r="E470" i="2"/>
  <c r="D470" i="2"/>
  <c r="C470" i="2"/>
  <c r="B470" i="2"/>
  <c r="A470" i="2"/>
  <c r="S469" i="2"/>
  <c r="R469" i="2"/>
  <c r="Q469" i="2"/>
  <c r="P469" i="2"/>
  <c r="O469" i="2"/>
  <c r="N469" i="2"/>
  <c r="M469" i="2"/>
  <c r="L469" i="2"/>
  <c r="K469" i="2"/>
  <c r="J469" i="2"/>
  <c r="I469" i="2"/>
  <c r="H469" i="2"/>
  <c r="G469" i="2"/>
  <c r="F469" i="2"/>
  <c r="E469" i="2"/>
  <c r="D469" i="2"/>
  <c r="C469" i="2"/>
  <c r="B469" i="2"/>
  <c r="A469" i="2"/>
  <c r="S468" i="2"/>
  <c r="R468" i="2"/>
  <c r="Q468" i="2"/>
  <c r="P468" i="2"/>
  <c r="O468" i="2"/>
  <c r="N468" i="2"/>
  <c r="M468" i="2"/>
  <c r="L468" i="2"/>
  <c r="K468" i="2"/>
  <c r="J468" i="2"/>
  <c r="I468" i="2"/>
  <c r="H468" i="2"/>
  <c r="G468" i="2"/>
  <c r="F468" i="2"/>
  <c r="E468" i="2"/>
  <c r="D468" i="2"/>
  <c r="C468" i="2"/>
  <c r="B468" i="2"/>
  <c r="A468" i="2"/>
  <c r="S467" i="2"/>
  <c r="R467" i="2"/>
  <c r="Q467" i="2"/>
  <c r="P467" i="2"/>
  <c r="O467" i="2"/>
  <c r="N467" i="2"/>
  <c r="M467" i="2"/>
  <c r="L467" i="2"/>
  <c r="K467" i="2"/>
  <c r="J467" i="2"/>
  <c r="I467" i="2"/>
  <c r="H467" i="2"/>
  <c r="G467" i="2"/>
  <c r="F467" i="2"/>
  <c r="E467" i="2"/>
  <c r="D467" i="2"/>
  <c r="C467" i="2"/>
  <c r="B467" i="2"/>
  <c r="A467" i="2"/>
  <c r="S466" i="2"/>
  <c r="R466" i="2"/>
  <c r="Q466" i="2"/>
  <c r="P466" i="2"/>
  <c r="O466" i="2"/>
  <c r="N466" i="2"/>
  <c r="M466" i="2"/>
  <c r="L466" i="2"/>
  <c r="K466" i="2"/>
  <c r="J466" i="2"/>
  <c r="I466" i="2"/>
  <c r="H466" i="2"/>
  <c r="G466" i="2"/>
  <c r="F466" i="2"/>
  <c r="E466" i="2"/>
  <c r="D466" i="2"/>
  <c r="C466" i="2"/>
  <c r="B466" i="2"/>
  <c r="A466" i="2"/>
  <c r="S465" i="2"/>
  <c r="R465" i="2"/>
  <c r="Q465" i="2"/>
  <c r="P465" i="2"/>
  <c r="O465" i="2"/>
  <c r="N465" i="2"/>
  <c r="M465" i="2"/>
  <c r="L465" i="2"/>
  <c r="K465" i="2"/>
  <c r="J465" i="2"/>
  <c r="I465" i="2"/>
  <c r="H465" i="2"/>
  <c r="G465" i="2"/>
  <c r="F465" i="2"/>
  <c r="E465" i="2"/>
  <c r="D465" i="2"/>
  <c r="C465" i="2"/>
  <c r="B465" i="2"/>
  <c r="A465" i="2"/>
  <c r="S464" i="2"/>
  <c r="R464" i="2"/>
  <c r="Q464" i="2"/>
  <c r="P464" i="2"/>
  <c r="O464" i="2"/>
  <c r="N464" i="2"/>
  <c r="M464" i="2"/>
  <c r="L464" i="2"/>
  <c r="K464" i="2"/>
  <c r="J464" i="2"/>
  <c r="I464" i="2"/>
  <c r="H464" i="2"/>
  <c r="G464" i="2"/>
  <c r="F464" i="2"/>
  <c r="E464" i="2"/>
  <c r="D464" i="2"/>
  <c r="C464" i="2"/>
  <c r="B464" i="2"/>
  <c r="A464" i="2"/>
  <c r="S463" i="2"/>
  <c r="R463" i="2"/>
  <c r="Q463" i="2"/>
  <c r="P463" i="2"/>
  <c r="O463" i="2"/>
  <c r="N463" i="2"/>
  <c r="M463" i="2"/>
  <c r="L463" i="2"/>
  <c r="K463" i="2"/>
  <c r="J463" i="2"/>
  <c r="I463" i="2"/>
  <c r="H463" i="2"/>
  <c r="G463" i="2"/>
  <c r="F463" i="2"/>
  <c r="E463" i="2"/>
  <c r="D463" i="2"/>
  <c r="C463" i="2"/>
  <c r="B463" i="2"/>
  <c r="A463" i="2"/>
  <c r="S462" i="2"/>
  <c r="R462" i="2"/>
  <c r="Q462" i="2"/>
  <c r="P462" i="2"/>
  <c r="O462" i="2"/>
  <c r="N462" i="2"/>
  <c r="M462" i="2"/>
  <c r="L462" i="2"/>
  <c r="K462" i="2"/>
  <c r="J462" i="2"/>
  <c r="I462" i="2"/>
  <c r="H462" i="2"/>
  <c r="G462" i="2"/>
  <c r="F462" i="2"/>
  <c r="E462" i="2"/>
  <c r="D462" i="2"/>
  <c r="C462" i="2"/>
  <c r="B462" i="2"/>
  <c r="A462" i="2"/>
  <c r="S461" i="2"/>
  <c r="R461" i="2"/>
  <c r="Q461" i="2"/>
  <c r="P461" i="2"/>
  <c r="O461" i="2"/>
  <c r="N461" i="2"/>
  <c r="M461" i="2"/>
  <c r="L461" i="2"/>
  <c r="K461" i="2"/>
  <c r="J461" i="2"/>
  <c r="I461" i="2"/>
  <c r="H461" i="2"/>
  <c r="G461" i="2"/>
  <c r="F461" i="2"/>
  <c r="E461" i="2"/>
  <c r="D461" i="2"/>
  <c r="C461" i="2"/>
  <c r="B461" i="2"/>
  <c r="A461" i="2"/>
  <c r="S460" i="2"/>
  <c r="R460" i="2"/>
  <c r="Q460" i="2"/>
  <c r="P460" i="2"/>
  <c r="O460" i="2"/>
  <c r="N460" i="2"/>
  <c r="M460" i="2"/>
  <c r="L460" i="2"/>
  <c r="K460" i="2"/>
  <c r="J460" i="2"/>
  <c r="I460" i="2"/>
  <c r="H460" i="2"/>
  <c r="G460" i="2"/>
  <c r="F460" i="2"/>
  <c r="E460" i="2"/>
  <c r="D460" i="2"/>
  <c r="C460" i="2"/>
  <c r="B460" i="2"/>
  <c r="A460" i="2"/>
  <c r="S459" i="2"/>
  <c r="R459" i="2"/>
  <c r="Q459" i="2"/>
  <c r="P459" i="2"/>
  <c r="O459" i="2"/>
  <c r="N459" i="2"/>
  <c r="M459" i="2"/>
  <c r="L459" i="2"/>
  <c r="K459" i="2"/>
  <c r="J459" i="2"/>
  <c r="I459" i="2"/>
  <c r="H459" i="2"/>
  <c r="G459" i="2"/>
  <c r="F459" i="2"/>
  <c r="E459" i="2"/>
  <c r="D459" i="2"/>
  <c r="C459" i="2"/>
  <c r="B459" i="2"/>
  <c r="A459" i="2"/>
  <c r="S458" i="2"/>
  <c r="R458" i="2"/>
  <c r="Q458" i="2"/>
  <c r="P458" i="2"/>
  <c r="O458" i="2"/>
  <c r="N458" i="2"/>
  <c r="M458" i="2"/>
  <c r="L458" i="2"/>
  <c r="K458" i="2"/>
  <c r="J458" i="2"/>
  <c r="I458" i="2"/>
  <c r="H458" i="2"/>
  <c r="G458" i="2"/>
  <c r="F458" i="2"/>
  <c r="E458" i="2"/>
  <c r="D458" i="2"/>
  <c r="C458" i="2"/>
  <c r="B458" i="2"/>
  <c r="A458" i="2"/>
  <c r="S457" i="2"/>
  <c r="R457" i="2"/>
  <c r="Q457" i="2"/>
  <c r="P457" i="2"/>
  <c r="O457" i="2"/>
  <c r="N457" i="2"/>
  <c r="M457" i="2"/>
  <c r="L457" i="2"/>
  <c r="K457" i="2"/>
  <c r="J457" i="2"/>
  <c r="I457" i="2"/>
  <c r="H457" i="2"/>
  <c r="G457" i="2"/>
  <c r="F457" i="2"/>
  <c r="E457" i="2"/>
  <c r="D457" i="2"/>
  <c r="C457" i="2"/>
  <c r="B457" i="2"/>
  <c r="A457" i="2"/>
  <c r="S456" i="2"/>
  <c r="R456" i="2"/>
  <c r="Q456" i="2"/>
  <c r="P456" i="2"/>
  <c r="O456" i="2"/>
  <c r="N456" i="2"/>
  <c r="M456" i="2"/>
  <c r="L456" i="2"/>
  <c r="K456" i="2"/>
  <c r="J456" i="2"/>
  <c r="I456" i="2"/>
  <c r="H456" i="2"/>
  <c r="G456" i="2"/>
  <c r="F456" i="2"/>
  <c r="E456" i="2"/>
  <c r="D456" i="2"/>
  <c r="C456" i="2"/>
  <c r="B456" i="2"/>
  <c r="A456" i="2"/>
  <c r="S455" i="2"/>
  <c r="R455" i="2"/>
  <c r="Q455" i="2"/>
  <c r="P455" i="2"/>
  <c r="O455" i="2"/>
  <c r="N455" i="2"/>
  <c r="M455" i="2"/>
  <c r="L455" i="2"/>
  <c r="K455" i="2"/>
  <c r="J455" i="2"/>
  <c r="I455" i="2"/>
  <c r="H455" i="2"/>
  <c r="G455" i="2"/>
  <c r="F455" i="2"/>
  <c r="E455" i="2"/>
  <c r="D455" i="2"/>
  <c r="C455" i="2"/>
  <c r="B455" i="2"/>
  <c r="A455" i="2"/>
  <c r="S454" i="2"/>
  <c r="R454" i="2"/>
  <c r="Q454" i="2"/>
  <c r="P454" i="2"/>
  <c r="O454" i="2"/>
  <c r="N454" i="2"/>
  <c r="M454" i="2"/>
  <c r="L454" i="2"/>
  <c r="K454" i="2"/>
  <c r="J454" i="2"/>
  <c r="I454" i="2"/>
  <c r="H454" i="2"/>
  <c r="G454" i="2"/>
  <c r="F454" i="2"/>
  <c r="E454" i="2"/>
  <c r="D454" i="2"/>
  <c r="C454" i="2"/>
  <c r="B454" i="2"/>
  <c r="A454" i="2"/>
  <c r="S453" i="2"/>
  <c r="R453" i="2"/>
  <c r="Q453" i="2"/>
  <c r="P453" i="2"/>
  <c r="O453" i="2"/>
  <c r="N453" i="2"/>
  <c r="M453" i="2"/>
  <c r="L453" i="2"/>
  <c r="K453" i="2"/>
  <c r="J453" i="2"/>
  <c r="I453" i="2"/>
  <c r="H453" i="2"/>
  <c r="G453" i="2"/>
  <c r="F453" i="2"/>
  <c r="E453" i="2"/>
  <c r="D453" i="2"/>
  <c r="C453" i="2"/>
  <c r="B453" i="2"/>
  <c r="A453" i="2"/>
  <c r="S452" i="2"/>
  <c r="R452" i="2"/>
  <c r="Q452" i="2"/>
  <c r="P452" i="2"/>
  <c r="O452" i="2"/>
  <c r="N452" i="2"/>
  <c r="M452" i="2"/>
  <c r="L452" i="2"/>
  <c r="K452" i="2"/>
  <c r="J452" i="2"/>
  <c r="I452" i="2"/>
  <c r="H452" i="2"/>
  <c r="G452" i="2"/>
  <c r="F452" i="2"/>
  <c r="E452" i="2"/>
  <c r="D452" i="2"/>
  <c r="C452" i="2"/>
  <c r="B452" i="2"/>
  <c r="A452" i="2"/>
  <c r="S451" i="2"/>
  <c r="R451" i="2"/>
  <c r="Q451" i="2"/>
  <c r="P451" i="2"/>
  <c r="O451" i="2"/>
  <c r="N451" i="2"/>
  <c r="M451" i="2"/>
  <c r="L451" i="2"/>
  <c r="K451" i="2"/>
  <c r="J451" i="2"/>
  <c r="I451" i="2"/>
  <c r="H451" i="2"/>
  <c r="G451" i="2"/>
  <c r="F451" i="2"/>
  <c r="E451" i="2"/>
  <c r="D451" i="2"/>
  <c r="C451" i="2"/>
  <c r="B451" i="2"/>
  <c r="A451" i="2"/>
  <c r="S450" i="2"/>
  <c r="R450" i="2"/>
  <c r="Q450" i="2"/>
  <c r="P450" i="2"/>
  <c r="O450" i="2"/>
  <c r="N450" i="2"/>
  <c r="M450" i="2"/>
  <c r="L450" i="2"/>
  <c r="K450" i="2"/>
  <c r="J450" i="2"/>
  <c r="I450" i="2"/>
  <c r="H450" i="2"/>
  <c r="G450" i="2"/>
  <c r="F450" i="2"/>
  <c r="E450" i="2"/>
  <c r="D450" i="2"/>
  <c r="C450" i="2"/>
  <c r="B450" i="2"/>
  <c r="A450" i="2"/>
  <c r="S449" i="2"/>
  <c r="R449" i="2"/>
  <c r="Q449" i="2"/>
  <c r="P449" i="2"/>
  <c r="O449" i="2"/>
  <c r="N449" i="2"/>
  <c r="M449" i="2"/>
  <c r="L449" i="2"/>
  <c r="K449" i="2"/>
  <c r="J449" i="2"/>
  <c r="I449" i="2"/>
  <c r="H449" i="2"/>
  <c r="G449" i="2"/>
  <c r="F449" i="2"/>
  <c r="E449" i="2"/>
  <c r="D449" i="2"/>
  <c r="C449" i="2"/>
  <c r="B449" i="2"/>
  <c r="A449" i="2"/>
  <c r="S448" i="2"/>
  <c r="R448" i="2"/>
  <c r="Q448" i="2"/>
  <c r="P448" i="2"/>
  <c r="O448" i="2"/>
  <c r="N448" i="2"/>
  <c r="M448" i="2"/>
  <c r="L448" i="2"/>
  <c r="K448" i="2"/>
  <c r="J448" i="2"/>
  <c r="I448" i="2"/>
  <c r="H448" i="2"/>
  <c r="G448" i="2"/>
  <c r="F448" i="2"/>
  <c r="E448" i="2"/>
  <c r="D448" i="2"/>
  <c r="C448" i="2"/>
  <c r="B448" i="2"/>
  <c r="A448" i="2"/>
  <c r="S447" i="2"/>
  <c r="R447" i="2"/>
  <c r="Q447" i="2"/>
  <c r="P447" i="2"/>
  <c r="O447" i="2"/>
  <c r="N447" i="2"/>
  <c r="M447" i="2"/>
  <c r="L447" i="2"/>
  <c r="K447" i="2"/>
  <c r="J447" i="2"/>
  <c r="I447" i="2"/>
  <c r="H447" i="2"/>
  <c r="G447" i="2"/>
  <c r="F447" i="2"/>
  <c r="E447" i="2"/>
  <c r="D447" i="2"/>
  <c r="C447" i="2"/>
  <c r="B447" i="2"/>
  <c r="A447" i="2"/>
  <c r="S446" i="2"/>
  <c r="R446" i="2"/>
  <c r="Q446" i="2"/>
  <c r="P446" i="2"/>
  <c r="O446" i="2"/>
  <c r="N446" i="2"/>
  <c r="M446" i="2"/>
  <c r="L446" i="2"/>
  <c r="K446" i="2"/>
  <c r="J446" i="2"/>
  <c r="I446" i="2"/>
  <c r="H446" i="2"/>
  <c r="G446" i="2"/>
  <c r="F446" i="2"/>
  <c r="E446" i="2"/>
  <c r="D446" i="2"/>
  <c r="C446" i="2"/>
  <c r="B446" i="2"/>
  <c r="A446" i="2"/>
  <c r="S445" i="2"/>
  <c r="R445" i="2"/>
  <c r="Q445" i="2"/>
  <c r="P445" i="2"/>
  <c r="O445" i="2"/>
  <c r="N445" i="2"/>
  <c r="M445" i="2"/>
  <c r="L445" i="2"/>
  <c r="K445" i="2"/>
  <c r="J445" i="2"/>
  <c r="I445" i="2"/>
  <c r="H445" i="2"/>
  <c r="G445" i="2"/>
  <c r="F445" i="2"/>
  <c r="E445" i="2"/>
  <c r="D445" i="2"/>
  <c r="C445" i="2"/>
  <c r="B445" i="2"/>
  <c r="A445" i="2"/>
  <c r="S444" i="2"/>
  <c r="R444" i="2"/>
  <c r="Q444" i="2"/>
  <c r="P444" i="2"/>
  <c r="O444" i="2"/>
  <c r="N444" i="2"/>
  <c r="M444" i="2"/>
  <c r="L444" i="2"/>
  <c r="K444" i="2"/>
  <c r="J444" i="2"/>
  <c r="I444" i="2"/>
  <c r="H444" i="2"/>
  <c r="G444" i="2"/>
  <c r="F444" i="2"/>
  <c r="E444" i="2"/>
  <c r="D444" i="2"/>
  <c r="C444" i="2"/>
  <c r="B444" i="2"/>
  <c r="A444" i="2"/>
  <c r="S443" i="2"/>
  <c r="R443" i="2"/>
  <c r="Q443" i="2"/>
  <c r="P443" i="2"/>
  <c r="O443" i="2"/>
  <c r="N443" i="2"/>
  <c r="M443" i="2"/>
  <c r="L443" i="2"/>
  <c r="K443" i="2"/>
  <c r="J443" i="2"/>
  <c r="I443" i="2"/>
  <c r="H443" i="2"/>
  <c r="G443" i="2"/>
  <c r="F443" i="2"/>
  <c r="E443" i="2"/>
  <c r="D443" i="2"/>
  <c r="C443" i="2"/>
  <c r="B443" i="2"/>
  <c r="A443" i="2"/>
  <c r="S442" i="2"/>
  <c r="R442" i="2"/>
  <c r="Q442" i="2"/>
  <c r="P442" i="2"/>
  <c r="O442" i="2"/>
  <c r="N442" i="2"/>
  <c r="M442" i="2"/>
  <c r="L442" i="2"/>
  <c r="K442" i="2"/>
  <c r="J442" i="2"/>
  <c r="I442" i="2"/>
  <c r="H442" i="2"/>
  <c r="G442" i="2"/>
  <c r="F442" i="2"/>
  <c r="E442" i="2"/>
  <c r="D442" i="2"/>
  <c r="C442" i="2"/>
  <c r="B442" i="2"/>
  <c r="A442" i="2"/>
  <c r="S441" i="2"/>
  <c r="R441" i="2"/>
  <c r="Q441" i="2"/>
  <c r="P441" i="2"/>
  <c r="O441" i="2"/>
  <c r="N441" i="2"/>
  <c r="M441" i="2"/>
  <c r="L441" i="2"/>
  <c r="K441" i="2"/>
  <c r="J441" i="2"/>
  <c r="I441" i="2"/>
  <c r="H441" i="2"/>
  <c r="G441" i="2"/>
  <c r="F441" i="2"/>
  <c r="E441" i="2"/>
  <c r="D441" i="2"/>
  <c r="C441" i="2"/>
  <c r="B441" i="2"/>
  <c r="A441" i="2"/>
  <c r="S440" i="2"/>
  <c r="R440" i="2"/>
  <c r="Q440" i="2"/>
  <c r="P440" i="2"/>
  <c r="O440" i="2"/>
  <c r="N440" i="2"/>
  <c r="M440" i="2"/>
  <c r="L440" i="2"/>
  <c r="K440" i="2"/>
  <c r="J440" i="2"/>
  <c r="I440" i="2"/>
  <c r="H440" i="2"/>
  <c r="G440" i="2"/>
  <c r="F440" i="2"/>
  <c r="E440" i="2"/>
  <c r="D440" i="2"/>
  <c r="C440" i="2"/>
  <c r="B440" i="2"/>
  <c r="A440" i="2"/>
  <c r="S439" i="2"/>
  <c r="R439" i="2"/>
  <c r="Q439" i="2"/>
  <c r="P439" i="2"/>
  <c r="O439" i="2"/>
  <c r="N439" i="2"/>
  <c r="M439" i="2"/>
  <c r="L439" i="2"/>
  <c r="K439" i="2"/>
  <c r="J439" i="2"/>
  <c r="I439" i="2"/>
  <c r="H439" i="2"/>
  <c r="G439" i="2"/>
  <c r="F439" i="2"/>
  <c r="E439" i="2"/>
  <c r="D439" i="2"/>
  <c r="C439" i="2"/>
  <c r="B439" i="2"/>
  <c r="A439" i="2"/>
  <c r="S438" i="2"/>
  <c r="R438" i="2"/>
  <c r="Q438" i="2"/>
  <c r="P438" i="2"/>
  <c r="O438" i="2"/>
  <c r="N438" i="2"/>
  <c r="M438" i="2"/>
  <c r="L438" i="2"/>
  <c r="K438" i="2"/>
  <c r="J438" i="2"/>
  <c r="I438" i="2"/>
  <c r="H438" i="2"/>
  <c r="G438" i="2"/>
  <c r="F438" i="2"/>
  <c r="E438" i="2"/>
  <c r="D438" i="2"/>
  <c r="C438" i="2"/>
  <c r="B438" i="2"/>
  <c r="A438" i="2"/>
  <c r="S437" i="2"/>
  <c r="R437" i="2"/>
  <c r="Q437" i="2"/>
  <c r="P437" i="2"/>
  <c r="O437" i="2"/>
  <c r="N437" i="2"/>
  <c r="M437" i="2"/>
  <c r="L437" i="2"/>
  <c r="K437" i="2"/>
  <c r="J437" i="2"/>
  <c r="I437" i="2"/>
  <c r="H437" i="2"/>
  <c r="G437" i="2"/>
  <c r="F437" i="2"/>
  <c r="E437" i="2"/>
  <c r="D437" i="2"/>
  <c r="C437" i="2"/>
  <c r="B437" i="2"/>
  <c r="A437" i="2"/>
  <c r="S436" i="2"/>
  <c r="R436" i="2"/>
  <c r="Q436" i="2"/>
  <c r="P436" i="2"/>
  <c r="O436" i="2"/>
  <c r="N436" i="2"/>
  <c r="M436" i="2"/>
  <c r="L436" i="2"/>
  <c r="K436" i="2"/>
  <c r="J436" i="2"/>
  <c r="I436" i="2"/>
  <c r="H436" i="2"/>
  <c r="G436" i="2"/>
  <c r="F436" i="2"/>
  <c r="E436" i="2"/>
  <c r="D436" i="2"/>
  <c r="C436" i="2"/>
  <c r="B436" i="2"/>
  <c r="A436" i="2"/>
  <c r="S435" i="2"/>
  <c r="R435" i="2"/>
  <c r="Q435" i="2"/>
  <c r="P435" i="2"/>
  <c r="O435" i="2"/>
  <c r="N435" i="2"/>
  <c r="M435" i="2"/>
  <c r="L435" i="2"/>
  <c r="K435" i="2"/>
  <c r="J435" i="2"/>
  <c r="I435" i="2"/>
  <c r="H435" i="2"/>
  <c r="G435" i="2"/>
  <c r="F435" i="2"/>
  <c r="E435" i="2"/>
  <c r="D435" i="2"/>
  <c r="C435" i="2"/>
  <c r="B435" i="2"/>
  <c r="A435" i="2"/>
  <c r="S434" i="2"/>
  <c r="R434" i="2"/>
  <c r="Q434" i="2"/>
  <c r="P434" i="2"/>
  <c r="O434" i="2"/>
  <c r="N434" i="2"/>
  <c r="M434" i="2"/>
  <c r="L434" i="2"/>
  <c r="K434" i="2"/>
  <c r="J434" i="2"/>
  <c r="I434" i="2"/>
  <c r="H434" i="2"/>
  <c r="G434" i="2"/>
  <c r="F434" i="2"/>
  <c r="E434" i="2"/>
  <c r="D434" i="2"/>
  <c r="C434" i="2"/>
  <c r="B434" i="2"/>
  <c r="A434" i="2"/>
  <c r="S433" i="2"/>
  <c r="R433" i="2"/>
  <c r="Q433" i="2"/>
  <c r="P433" i="2"/>
  <c r="O433" i="2"/>
  <c r="N433" i="2"/>
  <c r="M433" i="2"/>
  <c r="L433" i="2"/>
  <c r="K433" i="2"/>
  <c r="J433" i="2"/>
  <c r="I433" i="2"/>
  <c r="H433" i="2"/>
  <c r="G433" i="2"/>
  <c r="F433" i="2"/>
  <c r="E433" i="2"/>
  <c r="D433" i="2"/>
  <c r="C433" i="2"/>
  <c r="B433" i="2"/>
  <c r="A433" i="2"/>
  <c r="S432" i="2"/>
  <c r="R432" i="2"/>
  <c r="Q432" i="2"/>
  <c r="P432" i="2"/>
  <c r="O432" i="2"/>
  <c r="N432" i="2"/>
  <c r="M432" i="2"/>
  <c r="L432" i="2"/>
  <c r="K432" i="2"/>
  <c r="J432" i="2"/>
  <c r="I432" i="2"/>
  <c r="H432" i="2"/>
  <c r="G432" i="2"/>
  <c r="F432" i="2"/>
  <c r="E432" i="2"/>
  <c r="D432" i="2"/>
  <c r="C432" i="2"/>
  <c r="B432" i="2"/>
  <c r="A432" i="2"/>
  <c r="S431" i="2"/>
  <c r="R431" i="2"/>
  <c r="Q431" i="2"/>
  <c r="P431" i="2"/>
  <c r="O431" i="2"/>
  <c r="N431" i="2"/>
  <c r="M431" i="2"/>
  <c r="L431" i="2"/>
  <c r="K431" i="2"/>
  <c r="J431" i="2"/>
  <c r="I431" i="2"/>
  <c r="H431" i="2"/>
  <c r="G431" i="2"/>
  <c r="F431" i="2"/>
  <c r="E431" i="2"/>
  <c r="D431" i="2"/>
  <c r="C431" i="2"/>
  <c r="B431" i="2"/>
  <c r="A431" i="2"/>
  <c r="S430" i="2"/>
  <c r="R430" i="2"/>
  <c r="Q430" i="2"/>
  <c r="P430" i="2"/>
  <c r="O430" i="2"/>
  <c r="N430" i="2"/>
  <c r="M430" i="2"/>
  <c r="L430" i="2"/>
  <c r="K430" i="2"/>
  <c r="J430" i="2"/>
  <c r="I430" i="2"/>
  <c r="H430" i="2"/>
  <c r="G430" i="2"/>
  <c r="F430" i="2"/>
  <c r="E430" i="2"/>
  <c r="D430" i="2"/>
  <c r="C430" i="2"/>
  <c r="B430" i="2"/>
  <c r="A430" i="2"/>
  <c r="S429" i="2"/>
  <c r="R429" i="2"/>
  <c r="Q429" i="2"/>
  <c r="P429" i="2"/>
  <c r="O429" i="2"/>
  <c r="N429" i="2"/>
  <c r="M429" i="2"/>
  <c r="L429" i="2"/>
  <c r="K429" i="2"/>
  <c r="J429" i="2"/>
  <c r="I429" i="2"/>
  <c r="H429" i="2"/>
  <c r="G429" i="2"/>
  <c r="F429" i="2"/>
  <c r="E429" i="2"/>
  <c r="D429" i="2"/>
  <c r="C429" i="2"/>
  <c r="B429" i="2"/>
  <c r="A429" i="2"/>
  <c r="S428" i="2"/>
  <c r="R428" i="2"/>
  <c r="Q428" i="2"/>
  <c r="P428" i="2"/>
  <c r="O428" i="2"/>
  <c r="N428" i="2"/>
  <c r="M428" i="2"/>
  <c r="L428" i="2"/>
  <c r="K428" i="2"/>
  <c r="J428" i="2"/>
  <c r="I428" i="2"/>
  <c r="H428" i="2"/>
  <c r="G428" i="2"/>
  <c r="F428" i="2"/>
  <c r="E428" i="2"/>
  <c r="D428" i="2"/>
  <c r="C428" i="2"/>
  <c r="B428" i="2"/>
  <c r="A428" i="2"/>
  <c r="S427" i="2"/>
  <c r="R427" i="2"/>
  <c r="Q427" i="2"/>
  <c r="P427" i="2"/>
  <c r="O427" i="2"/>
  <c r="N427" i="2"/>
  <c r="M427" i="2"/>
  <c r="L427" i="2"/>
  <c r="K427" i="2"/>
  <c r="J427" i="2"/>
  <c r="I427" i="2"/>
  <c r="H427" i="2"/>
  <c r="G427" i="2"/>
  <c r="F427" i="2"/>
  <c r="E427" i="2"/>
  <c r="D427" i="2"/>
  <c r="C427" i="2"/>
  <c r="B427" i="2"/>
  <c r="A427" i="2"/>
  <c r="S426" i="2"/>
  <c r="R426" i="2"/>
  <c r="Q426" i="2"/>
  <c r="P426" i="2"/>
  <c r="O426" i="2"/>
  <c r="N426" i="2"/>
  <c r="M426" i="2"/>
  <c r="L426" i="2"/>
  <c r="K426" i="2"/>
  <c r="J426" i="2"/>
  <c r="I426" i="2"/>
  <c r="H426" i="2"/>
  <c r="G426" i="2"/>
  <c r="F426" i="2"/>
  <c r="E426" i="2"/>
  <c r="D426" i="2"/>
  <c r="C426" i="2"/>
  <c r="B426" i="2"/>
  <c r="A426" i="2"/>
  <c r="S425" i="2"/>
  <c r="R425" i="2"/>
  <c r="Q425" i="2"/>
  <c r="P425" i="2"/>
  <c r="O425" i="2"/>
  <c r="N425" i="2"/>
  <c r="M425" i="2"/>
  <c r="L425" i="2"/>
  <c r="K425" i="2"/>
  <c r="J425" i="2"/>
  <c r="I425" i="2"/>
  <c r="H425" i="2"/>
  <c r="G425" i="2"/>
  <c r="F425" i="2"/>
  <c r="E425" i="2"/>
  <c r="D425" i="2"/>
  <c r="C425" i="2"/>
  <c r="B425" i="2"/>
  <c r="A425" i="2"/>
  <c r="S424" i="2"/>
  <c r="R424" i="2"/>
  <c r="Q424" i="2"/>
  <c r="P424" i="2"/>
  <c r="O424" i="2"/>
  <c r="N424" i="2"/>
  <c r="M424" i="2"/>
  <c r="L424" i="2"/>
  <c r="K424" i="2"/>
  <c r="J424" i="2"/>
  <c r="I424" i="2"/>
  <c r="H424" i="2"/>
  <c r="G424" i="2"/>
  <c r="F424" i="2"/>
  <c r="E424" i="2"/>
  <c r="D424" i="2"/>
  <c r="C424" i="2"/>
  <c r="B424" i="2"/>
  <c r="A424" i="2"/>
  <c r="S423" i="2"/>
  <c r="R423" i="2"/>
  <c r="Q423" i="2"/>
  <c r="P423" i="2"/>
  <c r="O423" i="2"/>
  <c r="N423" i="2"/>
  <c r="M423" i="2"/>
  <c r="L423" i="2"/>
  <c r="K423" i="2"/>
  <c r="J423" i="2"/>
  <c r="I423" i="2"/>
  <c r="H423" i="2"/>
  <c r="G423" i="2"/>
  <c r="F423" i="2"/>
  <c r="E423" i="2"/>
  <c r="D423" i="2"/>
  <c r="C423" i="2"/>
  <c r="B423" i="2"/>
  <c r="A423" i="2"/>
  <c r="S422" i="2"/>
  <c r="R422" i="2"/>
  <c r="Q422" i="2"/>
  <c r="P422" i="2"/>
  <c r="O422" i="2"/>
  <c r="N422" i="2"/>
  <c r="M422" i="2"/>
  <c r="L422" i="2"/>
  <c r="K422" i="2"/>
  <c r="J422" i="2"/>
  <c r="I422" i="2"/>
  <c r="H422" i="2"/>
  <c r="G422" i="2"/>
  <c r="F422" i="2"/>
  <c r="E422" i="2"/>
  <c r="D422" i="2"/>
  <c r="C422" i="2"/>
  <c r="B422" i="2"/>
  <c r="A422" i="2"/>
  <c r="S421" i="2"/>
  <c r="R421" i="2"/>
  <c r="Q421" i="2"/>
  <c r="P421" i="2"/>
  <c r="O421" i="2"/>
  <c r="N421" i="2"/>
  <c r="M421" i="2"/>
  <c r="L421" i="2"/>
  <c r="K421" i="2"/>
  <c r="J421" i="2"/>
  <c r="I421" i="2"/>
  <c r="H421" i="2"/>
  <c r="G421" i="2"/>
  <c r="F421" i="2"/>
  <c r="E421" i="2"/>
  <c r="D421" i="2"/>
  <c r="C421" i="2"/>
  <c r="B421" i="2"/>
  <c r="A421" i="2"/>
  <c r="S420" i="2"/>
  <c r="R420" i="2"/>
  <c r="Q420" i="2"/>
  <c r="P420" i="2"/>
  <c r="O420" i="2"/>
  <c r="N420" i="2"/>
  <c r="M420" i="2"/>
  <c r="L420" i="2"/>
  <c r="K420" i="2"/>
  <c r="J420" i="2"/>
  <c r="I420" i="2"/>
  <c r="H420" i="2"/>
  <c r="G420" i="2"/>
  <c r="F420" i="2"/>
  <c r="E420" i="2"/>
  <c r="D420" i="2"/>
  <c r="C420" i="2"/>
  <c r="B420" i="2"/>
  <c r="A420" i="2"/>
  <c r="S419" i="2"/>
  <c r="R419" i="2"/>
  <c r="Q419" i="2"/>
  <c r="P419" i="2"/>
  <c r="O419" i="2"/>
  <c r="N419" i="2"/>
  <c r="M419" i="2"/>
  <c r="L419" i="2"/>
  <c r="K419" i="2"/>
  <c r="J419" i="2"/>
  <c r="I419" i="2"/>
  <c r="H419" i="2"/>
  <c r="G419" i="2"/>
  <c r="F419" i="2"/>
  <c r="E419" i="2"/>
  <c r="D419" i="2"/>
  <c r="C419" i="2"/>
  <c r="B419" i="2"/>
  <c r="A419" i="2"/>
  <c r="S418" i="2"/>
  <c r="R418" i="2"/>
  <c r="Q418" i="2"/>
  <c r="P418" i="2"/>
  <c r="O418" i="2"/>
  <c r="N418" i="2"/>
  <c r="M418" i="2"/>
  <c r="L418" i="2"/>
  <c r="K418" i="2"/>
  <c r="J418" i="2"/>
  <c r="I418" i="2"/>
  <c r="H418" i="2"/>
  <c r="G418" i="2"/>
  <c r="F418" i="2"/>
  <c r="E418" i="2"/>
  <c r="D418" i="2"/>
  <c r="C418" i="2"/>
  <c r="B418" i="2"/>
  <c r="A418" i="2"/>
  <c r="S417" i="2"/>
  <c r="R417" i="2"/>
  <c r="Q417" i="2"/>
  <c r="P417" i="2"/>
  <c r="O417" i="2"/>
  <c r="N417" i="2"/>
  <c r="M417" i="2"/>
  <c r="L417" i="2"/>
  <c r="K417" i="2"/>
  <c r="J417" i="2"/>
  <c r="I417" i="2"/>
  <c r="H417" i="2"/>
  <c r="G417" i="2"/>
  <c r="F417" i="2"/>
  <c r="E417" i="2"/>
  <c r="D417" i="2"/>
  <c r="C417" i="2"/>
  <c r="B417" i="2"/>
  <c r="A417" i="2"/>
  <c r="S416" i="2"/>
  <c r="R416" i="2"/>
  <c r="Q416" i="2"/>
  <c r="P416" i="2"/>
  <c r="O416" i="2"/>
  <c r="N416" i="2"/>
  <c r="M416" i="2"/>
  <c r="L416" i="2"/>
  <c r="K416" i="2"/>
  <c r="J416" i="2"/>
  <c r="I416" i="2"/>
  <c r="H416" i="2"/>
  <c r="G416" i="2"/>
  <c r="F416" i="2"/>
  <c r="E416" i="2"/>
  <c r="D416" i="2"/>
  <c r="C416" i="2"/>
  <c r="B416" i="2"/>
  <c r="A416" i="2"/>
  <c r="S415" i="2"/>
  <c r="R415" i="2"/>
  <c r="Q415" i="2"/>
  <c r="P415" i="2"/>
  <c r="O415" i="2"/>
  <c r="N415" i="2"/>
  <c r="M415" i="2"/>
  <c r="L415" i="2"/>
  <c r="K415" i="2"/>
  <c r="J415" i="2"/>
  <c r="I415" i="2"/>
  <c r="H415" i="2"/>
  <c r="G415" i="2"/>
  <c r="F415" i="2"/>
  <c r="E415" i="2"/>
  <c r="D415" i="2"/>
  <c r="C415" i="2"/>
  <c r="B415" i="2"/>
  <c r="A415" i="2"/>
  <c r="S414" i="2"/>
  <c r="R414" i="2"/>
  <c r="Q414" i="2"/>
  <c r="P414" i="2"/>
  <c r="O414" i="2"/>
  <c r="N414" i="2"/>
  <c r="M414" i="2"/>
  <c r="L414" i="2"/>
  <c r="K414" i="2"/>
  <c r="J414" i="2"/>
  <c r="I414" i="2"/>
  <c r="H414" i="2"/>
  <c r="G414" i="2"/>
  <c r="F414" i="2"/>
  <c r="E414" i="2"/>
  <c r="D414" i="2"/>
  <c r="C414" i="2"/>
  <c r="B414" i="2"/>
  <c r="A414" i="2"/>
  <c r="S413" i="2"/>
  <c r="R413" i="2"/>
  <c r="Q413" i="2"/>
  <c r="P413" i="2"/>
  <c r="O413" i="2"/>
  <c r="N413" i="2"/>
  <c r="M413" i="2"/>
  <c r="L413" i="2"/>
  <c r="K413" i="2"/>
  <c r="J413" i="2"/>
  <c r="I413" i="2"/>
  <c r="H413" i="2"/>
  <c r="G413" i="2"/>
  <c r="F413" i="2"/>
  <c r="E413" i="2"/>
  <c r="D413" i="2"/>
  <c r="C413" i="2"/>
  <c r="B413" i="2"/>
  <c r="A413" i="2"/>
  <c r="S412" i="2"/>
  <c r="R412" i="2"/>
  <c r="Q412" i="2"/>
  <c r="P412" i="2"/>
  <c r="O412" i="2"/>
  <c r="N412" i="2"/>
  <c r="M412" i="2"/>
  <c r="L412" i="2"/>
  <c r="K412" i="2"/>
  <c r="J412" i="2"/>
  <c r="I412" i="2"/>
  <c r="H412" i="2"/>
  <c r="G412" i="2"/>
  <c r="F412" i="2"/>
  <c r="E412" i="2"/>
  <c r="D412" i="2"/>
  <c r="C412" i="2"/>
  <c r="B412" i="2"/>
  <c r="A412" i="2"/>
  <c r="S411" i="2"/>
  <c r="R411" i="2"/>
  <c r="Q411" i="2"/>
  <c r="P411" i="2"/>
  <c r="O411" i="2"/>
  <c r="N411" i="2"/>
  <c r="M411" i="2"/>
  <c r="L411" i="2"/>
  <c r="K411" i="2"/>
  <c r="J411" i="2"/>
  <c r="I411" i="2"/>
  <c r="H411" i="2"/>
  <c r="G411" i="2"/>
  <c r="F411" i="2"/>
  <c r="E411" i="2"/>
  <c r="D411" i="2"/>
  <c r="C411" i="2"/>
  <c r="B411" i="2"/>
  <c r="A411" i="2"/>
  <c r="S410" i="2"/>
  <c r="R410" i="2"/>
  <c r="Q410" i="2"/>
  <c r="P410" i="2"/>
  <c r="O410" i="2"/>
  <c r="N410" i="2"/>
  <c r="M410" i="2"/>
  <c r="L410" i="2"/>
  <c r="K410" i="2"/>
  <c r="J410" i="2"/>
  <c r="I410" i="2"/>
  <c r="H410" i="2"/>
  <c r="G410" i="2"/>
  <c r="F410" i="2"/>
  <c r="E410" i="2"/>
  <c r="D410" i="2"/>
  <c r="C410" i="2"/>
  <c r="B410" i="2"/>
  <c r="A410" i="2"/>
  <c r="S409" i="2"/>
  <c r="R409" i="2"/>
  <c r="Q409" i="2"/>
  <c r="P409" i="2"/>
  <c r="O409" i="2"/>
  <c r="N409" i="2"/>
  <c r="M409" i="2"/>
  <c r="L409" i="2"/>
  <c r="K409" i="2"/>
  <c r="J409" i="2"/>
  <c r="I409" i="2"/>
  <c r="H409" i="2"/>
  <c r="G409" i="2"/>
  <c r="F409" i="2"/>
  <c r="E409" i="2"/>
  <c r="D409" i="2"/>
  <c r="C409" i="2"/>
  <c r="B409" i="2"/>
  <c r="A409" i="2"/>
  <c r="S408" i="2"/>
  <c r="R408" i="2"/>
  <c r="Q408" i="2"/>
  <c r="P408" i="2"/>
  <c r="O408" i="2"/>
  <c r="N408" i="2"/>
  <c r="M408" i="2"/>
  <c r="L408" i="2"/>
  <c r="K408" i="2"/>
  <c r="J408" i="2"/>
  <c r="I408" i="2"/>
  <c r="H408" i="2"/>
  <c r="G408" i="2"/>
  <c r="F408" i="2"/>
  <c r="E408" i="2"/>
  <c r="D408" i="2"/>
  <c r="C408" i="2"/>
  <c r="B408" i="2"/>
  <c r="A408" i="2"/>
  <c r="S407" i="2"/>
  <c r="R407" i="2"/>
  <c r="Q407" i="2"/>
  <c r="P407" i="2"/>
  <c r="O407" i="2"/>
  <c r="N407" i="2"/>
  <c r="M407" i="2"/>
  <c r="L407" i="2"/>
  <c r="K407" i="2"/>
  <c r="J407" i="2"/>
  <c r="I407" i="2"/>
  <c r="H407" i="2"/>
  <c r="G407" i="2"/>
  <c r="F407" i="2"/>
  <c r="E407" i="2"/>
  <c r="D407" i="2"/>
  <c r="C407" i="2"/>
  <c r="B407" i="2"/>
  <c r="A407" i="2"/>
  <c r="S406" i="2"/>
  <c r="R406" i="2"/>
  <c r="Q406" i="2"/>
  <c r="P406" i="2"/>
  <c r="O406" i="2"/>
  <c r="N406" i="2"/>
  <c r="M406" i="2"/>
  <c r="L406" i="2"/>
  <c r="K406" i="2"/>
  <c r="J406" i="2"/>
  <c r="I406" i="2"/>
  <c r="H406" i="2"/>
  <c r="G406" i="2"/>
  <c r="F406" i="2"/>
  <c r="E406" i="2"/>
  <c r="D406" i="2"/>
  <c r="C406" i="2"/>
  <c r="B406" i="2"/>
  <c r="A406" i="2"/>
  <c r="S405" i="2"/>
  <c r="R405" i="2"/>
  <c r="Q405" i="2"/>
  <c r="P405" i="2"/>
  <c r="O405" i="2"/>
  <c r="N405" i="2"/>
  <c r="M405" i="2"/>
  <c r="L405" i="2"/>
  <c r="K405" i="2"/>
  <c r="J405" i="2"/>
  <c r="I405" i="2"/>
  <c r="H405" i="2"/>
  <c r="G405" i="2"/>
  <c r="F405" i="2"/>
  <c r="E405" i="2"/>
  <c r="D405" i="2"/>
  <c r="C405" i="2"/>
  <c r="B405" i="2"/>
  <c r="A405" i="2"/>
  <c r="S404" i="2"/>
  <c r="R404" i="2"/>
  <c r="Q404" i="2"/>
  <c r="P404" i="2"/>
  <c r="O404" i="2"/>
  <c r="N404" i="2"/>
  <c r="M404" i="2"/>
  <c r="L404" i="2"/>
  <c r="K404" i="2"/>
  <c r="J404" i="2"/>
  <c r="I404" i="2"/>
  <c r="H404" i="2"/>
  <c r="G404" i="2"/>
  <c r="F404" i="2"/>
  <c r="E404" i="2"/>
  <c r="D404" i="2"/>
  <c r="C404" i="2"/>
  <c r="B404" i="2"/>
  <c r="A404" i="2"/>
  <c r="S403" i="2"/>
  <c r="R403" i="2"/>
  <c r="Q403" i="2"/>
  <c r="P403" i="2"/>
  <c r="O403" i="2"/>
  <c r="N403" i="2"/>
  <c r="M403" i="2"/>
  <c r="L403" i="2"/>
  <c r="K403" i="2"/>
  <c r="J403" i="2"/>
  <c r="I403" i="2"/>
  <c r="H403" i="2"/>
  <c r="G403" i="2"/>
  <c r="F403" i="2"/>
  <c r="E403" i="2"/>
  <c r="D403" i="2"/>
  <c r="C403" i="2"/>
  <c r="B403" i="2"/>
  <c r="A403" i="2"/>
  <c r="S402" i="2"/>
  <c r="R402" i="2"/>
  <c r="Q402" i="2"/>
  <c r="P402" i="2"/>
  <c r="O402" i="2"/>
  <c r="N402" i="2"/>
  <c r="M402" i="2"/>
  <c r="L402" i="2"/>
  <c r="K402" i="2"/>
  <c r="J402" i="2"/>
  <c r="I402" i="2"/>
  <c r="H402" i="2"/>
  <c r="G402" i="2"/>
  <c r="F402" i="2"/>
  <c r="E402" i="2"/>
  <c r="D402" i="2"/>
  <c r="C402" i="2"/>
  <c r="B402" i="2"/>
  <c r="A402" i="2"/>
  <c r="S401" i="2"/>
  <c r="R401" i="2"/>
  <c r="Q401" i="2"/>
  <c r="P401" i="2"/>
  <c r="O401" i="2"/>
  <c r="N401" i="2"/>
  <c r="M401" i="2"/>
  <c r="L401" i="2"/>
  <c r="K401" i="2"/>
  <c r="J401" i="2"/>
  <c r="I401" i="2"/>
  <c r="H401" i="2"/>
  <c r="G401" i="2"/>
  <c r="F401" i="2"/>
  <c r="E401" i="2"/>
  <c r="D401" i="2"/>
  <c r="C401" i="2"/>
  <c r="B401" i="2"/>
  <c r="A401" i="2"/>
  <c r="S400" i="2"/>
  <c r="R400" i="2"/>
  <c r="Q400" i="2"/>
  <c r="P400" i="2"/>
  <c r="O400" i="2"/>
  <c r="N400" i="2"/>
  <c r="M400" i="2"/>
  <c r="L400" i="2"/>
  <c r="K400" i="2"/>
  <c r="J400" i="2"/>
  <c r="I400" i="2"/>
  <c r="H400" i="2"/>
  <c r="G400" i="2"/>
  <c r="F400" i="2"/>
  <c r="E400" i="2"/>
  <c r="D400" i="2"/>
  <c r="C400" i="2"/>
  <c r="B400" i="2"/>
  <c r="A400" i="2"/>
  <c r="S399" i="2"/>
  <c r="R399" i="2"/>
  <c r="Q399" i="2"/>
  <c r="P399" i="2"/>
  <c r="O399" i="2"/>
  <c r="N399" i="2"/>
  <c r="M399" i="2"/>
  <c r="L399" i="2"/>
  <c r="K399" i="2"/>
  <c r="J399" i="2"/>
  <c r="I399" i="2"/>
  <c r="H399" i="2"/>
  <c r="G399" i="2"/>
  <c r="F399" i="2"/>
  <c r="E399" i="2"/>
  <c r="D399" i="2"/>
  <c r="C399" i="2"/>
  <c r="B399" i="2"/>
  <c r="A399" i="2"/>
  <c r="S398" i="2"/>
  <c r="R398" i="2"/>
  <c r="Q398" i="2"/>
  <c r="P398" i="2"/>
  <c r="O398" i="2"/>
  <c r="N398" i="2"/>
  <c r="M398" i="2"/>
  <c r="L398" i="2"/>
  <c r="K398" i="2"/>
  <c r="J398" i="2"/>
  <c r="I398" i="2"/>
  <c r="H398" i="2"/>
  <c r="G398" i="2"/>
  <c r="F398" i="2"/>
  <c r="E398" i="2"/>
  <c r="D398" i="2"/>
  <c r="C398" i="2"/>
  <c r="B398" i="2"/>
  <c r="A398" i="2"/>
  <c r="S397" i="2"/>
  <c r="R397" i="2"/>
  <c r="Q397" i="2"/>
  <c r="P397" i="2"/>
  <c r="O397" i="2"/>
  <c r="N397" i="2"/>
  <c r="M397" i="2"/>
  <c r="L397" i="2"/>
  <c r="K397" i="2"/>
  <c r="J397" i="2"/>
  <c r="I397" i="2"/>
  <c r="H397" i="2"/>
  <c r="G397" i="2"/>
  <c r="F397" i="2"/>
  <c r="E397" i="2"/>
  <c r="D397" i="2"/>
  <c r="C397" i="2"/>
  <c r="B397" i="2"/>
  <c r="A397" i="2"/>
  <c r="S396" i="2"/>
  <c r="R396" i="2"/>
  <c r="Q396" i="2"/>
  <c r="P396" i="2"/>
  <c r="O396" i="2"/>
  <c r="N396" i="2"/>
  <c r="M396" i="2"/>
  <c r="L396" i="2"/>
  <c r="K396" i="2"/>
  <c r="J396" i="2"/>
  <c r="I396" i="2"/>
  <c r="H396" i="2"/>
  <c r="G396" i="2"/>
  <c r="F396" i="2"/>
  <c r="E396" i="2"/>
  <c r="D396" i="2"/>
  <c r="C396" i="2"/>
  <c r="B396" i="2"/>
  <c r="A396" i="2"/>
  <c r="S395" i="2"/>
  <c r="R395" i="2"/>
  <c r="Q395" i="2"/>
  <c r="P395" i="2"/>
  <c r="O395" i="2"/>
  <c r="N395" i="2"/>
  <c r="M395" i="2"/>
  <c r="L395" i="2"/>
  <c r="K395" i="2"/>
  <c r="J395" i="2"/>
  <c r="I395" i="2"/>
  <c r="H395" i="2"/>
  <c r="G395" i="2"/>
  <c r="F395" i="2"/>
  <c r="E395" i="2"/>
  <c r="D395" i="2"/>
  <c r="C395" i="2"/>
  <c r="B395" i="2"/>
  <c r="A395" i="2"/>
  <c r="S394" i="2"/>
  <c r="R394" i="2"/>
  <c r="Q394" i="2"/>
  <c r="P394" i="2"/>
  <c r="O394" i="2"/>
  <c r="N394" i="2"/>
  <c r="M394" i="2"/>
  <c r="L394" i="2"/>
  <c r="K394" i="2"/>
  <c r="J394" i="2"/>
  <c r="I394" i="2"/>
  <c r="H394" i="2"/>
  <c r="G394" i="2"/>
  <c r="F394" i="2"/>
  <c r="E394" i="2"/>
  <c r="D394" i="2"/>
  <c r="C394" i="2"/>
  <c r="B394" i="2"/>
  <c r="A394" i="2"/>
  <c r="S393" i="2"/>
  <c r="R393" i="2"/>
  <c r="Q393" i="2"/>
  <c r="P393" i="2"/>
  <c r="O393" i="2"/>
  <c r="N393" i="2"/>
  <c r="M393" i="2"/>
  <c r="L393" i="2"/>
  <c r="K393" i="2"/>
  <c r="J393" i="2"/>
  <c r="I393" i="2"/>
  <c r="H393" i="2"/>
  <c r="G393" i="2"/>
  <c r="F393" i="2"/>
  <c r="E393" i="2"/>
  <c r="D393" i="2"/>
  <c r="C393" i="2"/>
  <c r="B393" i="2"/>
  <c r="A393" i="2"/>
  <c r="S392" i="2"/>
  <c r="R392" i="2"/>
  <c r="Q392" i="2"/>
  <c r="P392" i="2"/>
  <c r="O392" i="2"/>
  <c r="N392" i="2"/>
  <c r="M392" i="2"/>
  <c r="L392" i="2"/>
  <c r="K392" i="2"/>
  <c r="J392" i="2"/>
  <c r="I392" i="2"/>
  <c r="H392" i="2"/>
  <c r="G392" i="2"/>
  <c r="F392" i="2"/>
  <c r="E392" i="2"/>
  <c r="D392" i="2"/>
  <c r="C392" i="2"/>
  <c r="B392" i="2"/>
  <c r="A392" i="2"/>
  <c r="S391" i="2"/>
  <c r="R391" i="2"/>
  <c r="Q391" i="2"/>
  <c r="P391" i="2"/>
  <c r="O391" i="2"/>
  <c r="N391" i="2"/>
  <c r="M391" i="2"/>
  <c r="L391" i="2"/>
  <c r="K391" i="2"/>
  <c r="J391" i="2"/>
  <c r="I391" i="2"/>
  <c r="H391" i="2"/>
  <c r="G391" i="2"/>
  <c r="F391" i="2"/>
  <c r="E391" i="2"/>
  <c r="D391" i="2"/>
  <c r="C391" i="2"/>
  <c r="B391" i="2"/>
  <c r="A391" i="2"/>
  <c r="S390" i="2"/>
  <c r="R390" i="2"/>
  <c r="Q390" i="2"/>
  <c r="P390" i="2"/>
  <c r="O390" i="2"/>
  <c r="N390" i="2"/>
  <c r="M390" i="2"/>
  <c r="L390" i="2"/>
  <c r="K390" i="2"/>
  <c r="J390" i="2"/>
  <c r="I390" i="2"/>
  <c r="H390" i="2"/>
  <c r="G390" i="2"/>
  <c r="F390" i="2"/>
  <c r="E390" i="2"/>
  <c r="D390" i="2"/>
  <c r="C390" i="2"/>
  <c r="B390" i="2"/>
  <c r="A390" i="2"/>
  <c r="S389" i="2"/>
  <c r="R389" i="2"/>
  <c r="Q389" i="2"/>
  <c r="P389" i="2"/>
  <c r="O389" i="2"/>
  <c r="N389" i="2"/>
  <c r="M389" i="2"/>
  <c r="L389" i="2"/>
  <c r="K389" i="2"/>
  <c r="J389" i="2"/>
  <c r="I389" i="2"/>
  <c r="H389" i="2"/>
  <c r="G389" i="2"/>
  <c r="F389" i="2"/>
  <c r="E389" i="2"/>
  <c r="D389" i="2"/>
  <c r="C389" i="2"/>
  <c r="B389" i="2"/>
  <c r="A389" i="2"/>
  <c r="S388" i="2"/>
  <c r="R388" i="2"/>
  <c r="Q388" i="2"/>
  <c r="P388" i="2"/>
  <c r="O388" i="2"/>
  <c r="N388" i="2"/>
  <c r="M388" i="2"/>
  <c r="L388" i="2"/>
  <c r="K388" i="2"/>
  <c r="J388" i="2"/>
  <c r="I388" i="2"/>
  <c r="H388" i="2"/>
  <c r="G388" i="2"/>
  <c r="F388" i="2"/>
  <c r="E388" i="2"/>
  <c r="D388" i="2"/>
  <c r="C388" i="2"/>
  <c r="B388" i="2"/>
  <c r="A388" i="2"/>
  <c r="S387" i="2"/>
  <c r="R387" i="2"/>
  <c r="Q387" i="2"/>
  <c r="P387" i="2"/>
  <c r="O387" i="2"/>
  <c r="N387" i="2"/>
  <c r="M387" i="2"/>
  <c r="L387" i="2"/>
  <c r="K387" i="2"/>
  <c r="J387" i="2"/>
  <c r="I387" i="2"/>
  <c r="H387" i="2"/>
  <c r="G387" i="2"/>
  <c r="F387" i="2"/>
  <c r="E387" i="2"/>
  <c r="D387" i="2"/>
  <c r="C387" i="2"/>
  <c r="B387" i="2"/>
  <c r="A387" i="2"/>
  <c r="S386" i="2"/>
  <c r="R386" i="2"/>
  <c r="Q386" i="2"/>
  <c r="P386" i="2"/>
  <c r="O386" i="2"/>
  <c r="N386" i="2"/>
  <c r="M386" i="2"/>
  <c r="L386" i="2"/>
  <c r="K386" i="2"/>
  <c r="J386" i="2"/>
  <c r="I386" i="2"/>
  <c r="H386" i="2"/>
  <c r="G386" i="2"/>
  <c r="F386" i="2"/>
  <c r="E386" i="2"/>
  <c r="D386" i="2"/>
  <c r="C386" i="2"/>
  <c r="B386" i="2"/>
  <c r="A386" i="2"/>
  <c r="S385" i="2"/>
  <c r="R385" i="2"/>
  <c r="Q385" i="2"/>
  <c r="P385" i="2"/>
  <c r="O385" i="2"/>
  <c r="N385" i="2"/>
  <c r="M385" i="2"/>
  <c r="L385" i="2"/>
  <c r="K385" i="2"/>
  <c r="J385" i="2"/>
  <c r="I385" i="2"/>
  <c r="H385" i="2"/>
  <c r="G385" i="2"/>
  <c r="F385" i="2"/>
  <c r="E385" i="2"/>
  <c r="D385" i="2"/>
  <c r="C385" i="2"/>
  <c r="B385" i="2"/>
  <c r="A385" i="2"/>
  <c r="S384" i="2"/>
  <c r="R384" i="2"/>
  <c r="Q384" i="2"/>
  <c r="P384" i="2"/>
  <c r="O384" i="2"/>
  <c r="N384" i="2"/>
  <c r="M384" i="2"/>
  <c r="L384" i="2"/>
  <c r="K384" i="2"/>
  <c r="J384" i="2"/>
  <c r="I384" i="2"/>
  <c r="H384" i="2"/>
  <c r="G384" i="2"/>
  <c r="F384" i="2"/>
  <c r="E384" i="2"/>
  <c r="D384" i="2"/>
  <c r="C384" i="2"/>
  <c r="B384" i="2"/>
  <c r="A384" i="2"/>
  <c r="S383" i="2"/>
  <c r="R383" i="2"/>
  <c r="Q383" i="2"/>
  <c r="P383" i="2"/>
  <c r="O383" i="2"/>
  <c r="N383" i="2"/>
  <c r="M383" i="2"/>
  <c r="L383" i="2"/>
  <c r="K383" i="2"/>
  <c r="J383" i="2"/>
  <c r="I383" i="2"/>
  <c r="H383" i="2"/>
  <c r="G383" i="2"/>
  <c r="F383" i="2"/>
  <c r="E383" i="2"/>
  <c r="D383" i="2"/>
  <c r="C383" i="2"/>
  <c r="B383" i="2"/>
  <c r="A383" i="2"/>
  <c r="S382" i="2"/>
  <c r="R382" i="2"/>
  <c r="Q382" i="2"/>
  <c r="P382" i="2"/>
  <c r="O382" i="2"/>
  <c r="N382" i="2"/>
  <c r="M382" i="2"/>
  <c r="L382" i="2"/>
  <c r="K382" i="2"/>
  <c r="J382" i="2"/>
  <c r="I382" i="2"/>
  <c r="H382" i="2"/>
  <c r="G382" i="2"/>
  <c r="F382" i="2"/>
  <c r="E382" i="2"/>
  <c r="D382" i="2"/>
  <c r="C382" i="2"/>
  <c r="B382" i="2"/>
  <c r="A382" i="2"/>
  <c r="S381" i="2"/>
  <c r="R381" i="2"/>
  <c r="Q381" i="2"/>
  <c r="P381" i="2"/>
  <c r="O381" i="2"/>
  <c r="N381" i="2"/>
  <c r="M381" i="2"/>
  <c r="L381" i="2"/>
  <c r="K381" i="2"/>
  <c r="J381" i="2"/>
  <c r="I381" i="2"/>
  <c r="H381" i="2"/>
  <c r="G381" i="2"/>
  <c r="F381" i="2"/>
  <c r="E381" i="2"/>
  <c r="D381" i="2"/>
  <c r="C381" i="2"/>
  <c r="B381" i="2"/>
  <c r="A381" i="2"/>
  <c r="S380" i="2"/>
  <c r="R380" i="2"/>
  <c r="Q380" i="2"/>
  <c r="P380" i="2"/>
  <c r="O380" i="2"/>
  <c r="N380" i="2"/>
  <c r="M380" i="2"/>
  <c r="L380" i="2"/>
  <c r="K380" i="2"/>
  <c r="J380" i="2"/>
  <c r="I380" i="2"/>
  <c r="H380" i="2"/>
  <c r="G380" i="2"/>
  <c r="F380" i="2"/>
  <c r="E380" i="2"/>
  <c r="D380" i="2"/>
  <c r="C380" i="2"/>
  <c r="B380" i="2"/>
  <c r="A380" i="2"/>
  <c r="S379" i="2"/>
  <c r="R379" i="2"/>
  <c r="Q379" i="2"/>
  <c r="P379" i="2"/>
  <c r="O379" i="2"/>
  <c r="N379" i="2"/>
  <c r="M379" i="2"/>
  <c r="L379" i="2"/>
  <c r="K379" i="2"/>
  <c r="J379" i="2"/>
  <c r="I379" i="2"/>
  <c r="H379" i="2"/>
  <c r="G379" i="2"/>
  <c r="F379" i="2"/>
  <c r="E379" i="2"/>
  <c r="D379" i="2"/>
  <c r="C379" i="2"/>
  <c r="B379" i="2"/>
  <c r="A379" i="2"/>
  <c r="S378" i="2"/>
  <c r="R378" i="2"/>
  <c r="Q378" i="2"/>
  <c r="P378" i="2"/>
  <c r="O378" i="2"/>
  <c r="N378" i="2"/>
  <c r="M378" i="2"/>
  <c r="L378" i="2"/>
  <c r="K378" i="2"/>
  <c r="J378" i="2"/>
  <c r="I378" i="2"/>
  <c r="H378" i="2"/>
  <c r="G378" i="2"/>
  <c r="F378" i="2"/>
  <c r="E378" i="2"/>
  <c r="D378" i="2"/>
  <c r="C378" i="2"/>
  <c r="B378" i="2"/>
  <c r="A378" i="2"/>
  <c r="S377" i="2"/>
  <c r="R377" i="2"/>
  <c r="Q377" i="2"/>
  <c r="P377" i="2"/>
  <c r="O377" i="2"/>
  <c r="N377" i="2"/>
  <c r="M377" i="2"/>
  <c r="L377" i="2"/>
  <c r="K377" i="2"/>
  <c r="J377" i="2"/>
  <c r="I377" i="2"/>
  <c r="H377" i="2"/>
  <c r="G377" i="2"/>
  <c r="F377" i="2"/>
  <c r="E377" i="2"/>
  <c r="D377" i="2"/>
  <c r="C377" i="2"/>
  <c r="B377" i="2"/>
  <c r="A377" i="2"/>
  <c r="S376" i="2"/>
  <c r="R376" i="2"/>
  <c r="Q376" i="2"/>
  <c r="P376" i="2"/>
  <c r="O376" i="2"/>
  <c r="N376" i="2"/>
  <c r="M376" i="2"/>
  <c r="L376" i="2"/>
  <c r="K376" i="2"/>
  <c r="J376" i="2"/>
  <c r="I376" i="2"/>
  <c r="H376" i="2"/>
  <c r="G376" i="2"/>
  <c r="F376" i="2"/>
  <c r="E376" i="2"/>
  <c r="D376" i="2"/>
  <c r="C376" i="2"/>
  <c r="B376" i="2"/>
  <c r="A376" i="2"/>
  <c r="S375" i="2"/>
  <c r="R375" i="2"/>
  <c r="Q375" i="2"/>
  <c r="P375" i="2"/>
  <c r="O375" i="2"/>
  <c r="N375" i="2"/>
  <c r="M375" i="2"/>
  <c r="L375" i="2"/>
  <c r="K375" i="2"/>
  <c r="J375" i="2"/>
  <c r="I375" i="2"/>
  <c r="H375" i="2"/>
  <c r="G375" i="2"/>
  <c r="F375" i="2"/>
  <c r="E375" i="2"/>
  <c r="D375" i="2"/>
  <c r="C375" i="2"/>
  <c r="B375" i="2"/>
  <c r="A375" i="2"/>
  <c r="S374" i="2"/>
  <c r="R374" i="2"/>
  <c r="Q374" i="2"/>
  <c r="P374" i="2"/>
  <c r="O374" i="2"/>
  <c r="N374" i="2"/>
  <c r="M374" i="2"/>
  <c r="L374" i="2"/>
  <c r="K374" i="2"/>
  <c r="J374" i="2"/>
  <c r="I374" i="2"/>
  <c r="H374" i="2"/>
  <c r="G374" i="2"/>
  <c r="F374" i="2"/>
  <c r="E374" i="2"/>
  <c r="D374" i="2"/>
  <c r="C374" i="2"/>
  <c r="B374" i="2"/>
  <c r="A374" i="2"/>
  <c r="S373" i="2"/>
  <c r="R373" i="2"/>
  <c r="Q373" i="2"/>
  <c r="P373" i="2"/>
  <c r="O373" i="2"/>
  <c r="N373" i="2"/>
  <c r="M373" i="2"/>
  <c r="L373" i="2"/>
  <c r="K373" i="2"/>
  <c r="J373" i="2"/>
  <c r="I373" i="2"/>
  <c r="H373" i="2"/>
  <c r="G373" i="2"/>
  <c r="F373" i="2"/>
  <c r="E373" i="2"/>
  <c r="D373" i="2"/>
  <c r="C373" i="2"/>
  <c r="B373" i="2"/>
  <c r="A373" i="2"/>
  <c r="S372" i="2"/>
  <c r="R372" i="2"/>
  <c r="Q372" i="2"/>
  <c r="P372" i="2"/>
  <c r="O372" i="2"/>
  <c r="N372" i="2"/>
  <c r="M372" i="2"/>
  <c r="L372" i="2"/>
  <c r="K372" i="2"/>
  <c r="J372" i="2"/>
  <c r="I372" i="2"/>
  <c r="H372" i="2"/>
  <c r="G372" i="2"/>
  <c r="F372" i="2"/>
  <c r="E372" i="2"/>
  <c r="D372" i="2"/>
  <c r="C372" i="2"/>
  <c r="B372" i="2"/>
  <c r="A372" i="2"/>
  <c r="S371" i="2"/>
  <c r="R371" i="2"/>
  <c r="Q371" i="2"/>
  <c r="P371" i="2"/>
  <c r="O371" i="2"/>
  <c r="N371" i="2"/>
  <c r="M371" i="2"/>
  <c r="L371" i="2"/>
  <c r="K371" i="2"/>
  <c r="J371" i="2"/>
  <c r="I371" i="2"/>
  <c r="H371" i="2"/>
  <c r="G371" i="2"/>
  <c r="F371" i="2"/>
  <c r="E371" i="2"/>
  <c r="D371" i="2"/>
  <c r="C371" i="2"/>
  <c r="B371" i="2"/>
  <c r="A371" i="2"/>
  <c r="S370" i="2"/>
  <c r="R370" i="2"/>
  <c r="Q370" i="2"/>
  <c r="P370" i="2"/>
  <c r="O370" i="2"/>
  <c r="N370" i="2"/>
  <c r="M370" i="2"/>
  <c r="L370" i="2"/>
  <c r="K370" i="2"/>
  <c r="J370" i="2"/>
  <c r="I370" i="2"/>
  <c r="H370" i="2"/>
  <c r="G370" i="2"/>
  <c r="F370" i="2"/>
  <c r="E370" i="2"/>
  <c r="D370" i="2"/>
  <c r="C370" i="2"/>
  <c r="B370" i="2"/>
  <c r="A370" i="2"/>
  <c r="S369" i="2"/>
  <c r="R369" i="2"/>
  <c r="Q369" i="2"/>
  <c r="P369" i="2"/>
  <c r="O369" i="2"/>
  <c r="N369" i="2"/>
  <c r="M369" i="2"/>
  <c r="L369" i="2"/>
  <c r="K369" i="2"/>
  <c r="J369" i="2"/>
  <c r="I369" i="2"/>
  <c r="H369" i="2"/>
  <c r="G369" i="2"/>
  <c r="F369" i="2"/>
  <c r="E369" i="2"/>
  <c r="D369" i="2"/>
  <c r="C369" i="2"/>
  <c r="B369" i="2"/>
  <c r="A369" i="2"/>
  <c r="S368" i="2"/>
  <c r="R368" i="2"/>
  <c r="Q368" i="2"/>
  <c r="P368" i="2"/>
  <c r="O368" i="2"/>
  <c r="N368" i="2"/>
  <c r="M368" i="2"/>
  <c r="L368" i="2"/>
  <c r="K368" i="2"/>
  <c r="J368" i="2"/>
  <c r="I368" i="2"/>
  <c r="H368" i="2"/>
  <c r="G368" i="2"/>
  <c r="F368" i="2"/>
  <c r="E368" i="2"/>
  <c r="D368" i="2"/>
  <c r="C368" i="2"/>
  <c r="B368" i="2"/>
  <c r="A368" i="2"/>
  <c r="S367" i="2"/>
  <c r="R367" i="2"/>
  <c r="Q367" i="2"/>
  <c r="P367" i="2"/>
  <c r="O367" i="2"/>
  <c r="N367" i="2"/>
  <c r="M367" i="2"/>
  <c r="L367" i="2"/>
  <c r="K367" i="2"/>
  <c r="J367" i="2"/>
  <c r="I367" i="2"/>
  <c r="H367" i="2"/>
  <c r="G367" i="2"/>
  <c r="F367" i="2"/>
  <c r="E367" i="2"/>
  <c r="D367" i="2"/>
  <c r="C367" i="2"/>
  <c r="B367" i="2"/>
  <c r="A367" i="2"/>
  <c r="S366" i="2"/>
  <c r="R366" i="2"/>
  <c r="Q366" i="2"/>
  <c r="P366" i="2"/>
  <c r="O366" i="2"/>
  <c r="N366" i="2"/>
  <c r="M366" i="2"/>
  <c r="L366" i="2"/>
  <c r="K366" i="2"/>
  <c r="J366" i="2"/>
  <c r="I366" i="2"/>
  <c r="H366" i="2"/>
  <c r="G366" i="2"/>
  <c r="F366" i="2"/>
  <c r="E366" i="2"/>
  <c r="D366" i="2"/>
  <c r="C366" i="2"/>
  <c r="B366" i="2"/>
  <c r="A366" i="2"/>
  <c r="S365" i="2"/>
  <c r="R365" i="2"/>
  <c r="Q365" i="2"/>
  <c r="P365" i="2"/>
  <c r="O365" i="2"/>
  <c r="N365" i="2"/>
  <c r="M365" i="2"/>
  <c r="L365" i="2"/>
  <c r="K365" i="2"/>
  <c r="J365" i="2"/>
  <c r="I365" i="2"/>
  <c r="H365" i="2"/>
  <c r="G365" i="2"/>
  <c r="F365" i="2"/>
  <c r="E365" i="2"/>
  <c r="D365" i="2"/>
  <c r="C365" i="2"/>
  <c r="B365" i="2"/>
  <c r="A365" i="2"/>
  <c r="S364" i="2"/>
  <c r="R364" i="2"/>
  <c r="Q364" i="2"/>
  <c r="P364" i="2"/>
  <c r="O364" i="2"/>
  <c r="N364" i="2"/>
  <c r="M364" i="2"/>
  <c r="L364" i="2"/>
  <c r="K364" i="2"/>
  <c r="J364" i="2"/>
  <c r="I364" i="2"/>
  <c r="H364" i="2"/>
  <c r="G364" i="2"/>
  <c r="F364" i="2"/>
  <c r="E364" i="2"/>
  <c r="D364" i="2"/>
  <c r="C364" i="2"/>
  <c r="B364" i="2"/>
  <c r="A364" i="2"/>
  <c r="S363" i="2"/>
  <c r="R363" i="2"/>
  <c r="Q363" i="2"/>
  <c r="P363" i="2"/>
  <c r="O363" i="2"/>
  <c r="N363" i="2"/>
  <c r="M363" i="2"/>
  <c r="L363" i="2"/>
  <c r="K363" i="2"/>
  <c r="J363" i="2"/>
  <c r="I363" i="2"/>
  <c r="H363" i="2"/>
  <c r="G363" i="2"/>
  <c r="F363" i="2"/>
  <c r="E363" i="2"/>
  <c r="D363" i="2"/>
  <c r="C363" i="2"/>
  <c r="B363" i="2"/>
  <c r="A363" i="2"/>
  <c r="S362" i="2"/>
  <c r="R362" i="2"/>
  <c r="Q362" i="2"/>
  <c r="P362" i="2"/>
  <c r="O362" i="2"/>
  <c r="N362" i="2"/>
  <c r="M362" i="2"/>
  <c r="L362" i="2"/>
  <c r="K362" i="2"/>
  <c r="J362" i="2"/>
  <c r="I362" i="2"/>
  <c r="H362" i="2"/>
  <c r="G362" i="2"/>
  <c r="F362" i="2"/>
  <c r="E362" i="2"/>
  <c r="D362" i="2"/>
  <c r="C362" i="2"/>
  <c r="B362" i="2"/>
  <c r="A362" i="2"/>
  <c r="S361" i="2"/>
  <c r="R361" i="2"/>
  <c r="Q361" i="2"/>
  <c r="P361" i="2"/>
  <c r="O361" i="2"/>
  <c r="N361" i="2"/>
  <c r="M361" i="2"/>
  <c r="L361" i="2"/>
  <c r="K361" i="2"/>
  <c r="J361" i="2"/>
  <c r="I361" i="2"/>
  <c r="H361" i="2"/>
  <c r="G361" i="2"/>
  <c r="F361" i="2"/>
  <c r="E361" i="2"/>
  <c r="D361" i="2"/>
  <c r="C361" i="2"/>
  <c r="B361" i="2"/>
  <c r="A361" i="2"/>
  <c r="S360" i="2"/>
  <c r="R360" i="2"/>
  <c r="Q360" i="2"/>
  <c r="P360" i="2"/>
  <c r="O360" i="2"/>
  <c r="N360" i="2"/>
  <c r="M360" i="2"/>
  <c r="L360" i="2"/>
  <c r="K360" i="2"/>
  <c r="J360" i="2"/>
  <c r="I360" i="2"/>
  <c r="H360" i="2"/>
  <c r="G360" i="2"/>
  <c r="F360" i="2"/>
  <c r="E360" i="2"/>
  <c r="D360" i="2"/>
  <c r="C360" i="2"/>
  <c r="B360" i="2"/>
  <c r="A360" i="2"/>
  <c r="S359" i="2"/>
  <c r="R359" i="2"/>
  <c r="Q359" i="2"/>
  <c r="P359" i="2"/>
  <c r="O359" i="2"/>
  <c r="N359" i="2"/>
  <c r="M359" i="2"/>
  <c r="L359" i="2"/>
  <c r="K359" i="2"/>
  <c r="J359" i="2"/>
  <c r="I359" i="2"/>
  <c r="H359" i="2"/>
  <c r="G359" i="2"/>
  <c r="F359" i="2"/>
  <c r="E359" i="2"/>
  <c r="D359" i="2"/>
  <c r="C359" i="2"/>
  <c r="B359" i="2"/>
  <c r="A359" i="2"/>
  <c r="S358" i="2"/>
  <c r="R358" i="2"/>
  <c r="Q358" i="2"/>
  <c r="P358" i="2"/>
  <c r="O358" i="2"/>
  <c r="N358" i="2"/>
  <c r="M358" i="2"/>
  <c r="L358" i="2"/>
  <c r="K358" i="2"/>
  <c r="J358" i="2"/>
  <c r="I358" i="2"/>
  <c r="H358" i="2"/>
  <c r="G358" i="2"/>
  <c r="F358" i="2"/>
  <c r="E358" i="2"/>
  <c r="D358" i="2"/>
  <c r="C358" i="2"/>
  <c r="B358" i="2"/>
  <c r="A358" i="2"/>
  <c r="S357" i="2"/>
  <c r="R357" i="2"/>
  <c r="Q357" i="2"/>
  <c r="P357" i="2"/>
  <c r="O357" i="2"/>
  <c r="N357" i="2"/>
  <c r="M357" i="2"/>
  <c r="L357" i="2"/>
  <c r="K357" i="2"/>
  <c r="J357" i="2"/>
  <c r="I357" i="2"/>
  <c r="H357" i="2"/>
  <c r="G357" i="2"/>
  <c r="F357" i="2"/>
  <c r="E357" i="2"/>
  <c r="D357" i="2"/>
  <c r="C357" i="2"/>
  <c r="B357" i="2"/>
  <c r="A357" i="2"/>
  <c r="S356" i="2"/>
  <c r="R356" i="2"/>
  <c r="Q356" i="2"/>
  <c r="P356" i="2"/>
  <c r="O356" i="2"/>
  <c r="N356" i="2"/>
  <c r="M356" i="2"/>
  <c r="L356" i="2"/>
  <c r="K356" i="2"/>
  <c r="J356" i="2"/>
  <c r="I356" i="2"/>
  <c r="H356" i="2"/>
  <c r="G356" i="2"/>
  <c r="F356" i="2"/>
  <c r="E356" i="2"/>
  <c r="D356" i="2"/>
  <c r="C356" i="2"/>
  <c r="B356" i="2"/>
  <c r="A356" i="2"/>
  <c r="S355" i="2"/>
  <c r="R355" i="2"/>
  <c r="Q355" i="2"/>
  <c r="P355" i="2"/>
  <c r="O355" i="2"/>
  <c r="N355" i="2"/>
  <c r="M355" i="2"/>
  <c r="L355" i="2"/>
  <c r="K355" i="2"/>
  <c r="J355" i="2"/>
  <c r="I355" i="2"/>
  <c r="H355" i="2"/>
  <c r="G355" i="2"/>
  <c r="F355" i="2"/>
  <c r="E355" i="2"/>
  <c r="D355" i="2"/>
  <c r="C355" i="2"/>
  <c r="B355" i="2"/>
  <c r="A355" i="2"/>
  <c r="S354" i="2"/>
  <c r="R354" i="2"/>
  <c r="Q354" i="2"/>
  <c r="P354" i="2"/>
  <c r="O354" i="2"/>
  <c r="N354" i="2"/>
  <c r="M354" i="2"/>
  <c r="L354" i="2"/>
  <c r="K354" i="2"/>
  <c r="J354" i="2"/>
  <c r="I354" i="2"/>
  <c r="H354" i="2"/>
  <c r="G354" i="2"/>
  <c r="F354" i="2"/>
  <c r="E354" i="2"/>
  <c r="D354" i="2"/>
  <c r="C354" i="2"/>
  <c r="B354" i="2"/>
  <c r="A354" i="2"/>
  <c r="S353" i="2"/>
  <c r="R353" i="2"/>
  <c r="Q353" i="2"/>
  <c r="P353" i="2"/>
  <c r="O353" i="2"/>
  <c r="N353" i="2"/>
  <c r="M353" i="2"/>
  <c r="L353" i="2"/>
  <c r="K353" i="2"/>
  <c r="J353" i="2"/>
  <c r="I353" i="2"/>
  <c r="H353" i="2"/>
  <c r="G353" i="2"/>
  <c r="F353" i="2"/>
  <c r="E353" i="2"/>
  <c r="D353" i="2"/>
  <c r="C353" i="2"/>
  <c r="B353" i="2"/>
  <c r="A353" i="2"/>
  <c r="S352" i="2"/>
  <c r="R352" i="2"/>
  <c r="Q352" i="2"/>
  <c r="P352" i="2"/>
  <c r="O352" i="2"/>
  <c r="N352" i="2"/>
  <c r="M352" i="2"/>
  <c r="L352" i="2"/>
  <c r="K352" i="2"/>
  <c r="J352" i="2"/>
  <c r="I352" i="2"/>
  <c r="H352" i="2"/>
  <c r="G352" i="2"/>
  <c r="F352" i="2"/>
  <c r="E352" i="2"/>
  <c r="D352" i="2"/>
  <c r="C352" i="2"/>
  <c r="B352" i="2"/>
  <c r="A352" i="2"/>
  <c r="S351" i="2"/>
  <c r="R351" i="2"/>
  <c r="Q351" i="2"/>
  <c r="P351" i="2"/>
  <c r="O351" i="2"/>
  <c r="N351" i="2"/>
  <c r="M351" i="2"/>
  <c r="L351" i="2"/>
  <c r="K351" i="2"/>
  <c r="J351" i="2"/>
  <c r="I351" i="2"/>
  <c r="H351" i="2"/>
  <c r="G351" i="2"/>
  <c r="F351" i="2"/>
  <c r="E351" i="2"/>
  <c r="D351" i="2"/>
  <c r="C351" i="2"/>
  <c r="B351" i="2"/>
  <c r="A351" i="2"/>
  <c r="S350" i="2"/>
  <c r="R350" i="2"/>
  <c r="Q350" i="2"/>
  <c r="P350" i="2"/>
  <c r="O350" i="2"/>
  <c r="N350" i="2"/>
  <c r="M350" i="2"/>
  <c r="L350" i="2"/>
  <c r="K350" i="2"/>
  <c r="J350" i="2"/>
  <c r="I350" i="2"/>
  <c r="H350" i="2"/>
  <c r="G350" i="2"/>
  <c r="F350" i="2"/>
  <c r="E350" i="2"/>
  <c r="D350" i="2"/>
  <c r="C350" i="2"/>
  <c r="B350" i="2"/>
  <c r="A350" i="2"/>
  <c r="S349" i="2"/>
  <c r="R349" i="2"/>
  <c r="Q349" i="2"/>
  <c r="P349" i="2"/>
  <c r="O349" i="2"/>
  <c r="N349" i="2"/>
  <c r="M349" i="2"/>
  <c r="L349" i="2"/>
  <c r="K349" i="2"/>
  <c r="J349" i="2"/>
  <c r="I349" i="2"/>
  <c r="H349" i="2"/>
  <c r="G349" i="2"/>
  <c r="F349" i="2"/>
  <c r="E349" i="2"/>
  <c r="D349" i="2"/>
  <c r="C349" i="2"/>
  <c r="B349" i="2"/>
  <c r="A349" i="2"/>
  <c r="S348" i="2"/>
  <c r="R348" i="2"/>
  <c r="Q348" i="2"/>
  <c r="P348" i="2"/>
  <c r="O348" i="2"/>
  <c r="N348" i="2"/>
  <c r="M348" i="2"/>
  <c r="L348" i="2"/>
  <c r="K348" i="2"/>
  <c r="J348" i="2"/>
  <c r="I348" i="2"/>
  <c r="H348" i="2"/>
  <c r="G348" i="2"/>
  <c r="F348" i="2"/>
  <c r="E348" i="2"/>
  <c r="D348" i="2"/>
  <c r="C348" i="2"/>
  <c r="B348" i="2"/>
  <c r="A348" i="2"/>
  <c r="S347" i="2"/>
  <c r="R347" i="2"/>
  <c r="Q347" i="2"/>
  <c r="P347" i="2"/>
  <c r="O347" i="2"/>
  <c r="N347" i="2"/>
  <c r="M347" i="2"/>
  <c r="L347" i="2"/>
  <c r="K347" i="2"/>
  <c r="J347" i="2"/>
  <c r="I347" i="2"/>
  <c r="H347" i="2"/>
  <c r="G347" i="2"/>
  <c r="F347" i="2"/>
  <c r="E347" i="2"/>
  <c r="D347" i="2"/>
  <c r="C347" i="2"/>
  <c r="B347" i="2"/>
  <c r="A347" i="2"/>
  <c r="S346" i="2"/>
  <c r="R346" i="2"/>
  <c r="Q346" i="2"/>
  <c r="P346" i="2"/>
  <c r="O346" i="2"/>
  <c r="N346" i="2"/>
  <c r="M346" i="2"/>
  <c r="L346" i="2"/>
  <c r="K346" i="2"/>
  <c r="J346" i="2"/>
  <c r="I346" i="2"/>
  <c r="H346" i="2"/>
  <c r="G346" i="2"/>
  <c r="F346" i="2"/>
  <c r="E346" i="2"/>
  <c r="D346" i="2"/>
  <c r="C346" i="2"/>
  <c r="B346" i="2"/>
  <c r="A346" i="2"/>
  <c r="S345" i="2"/>
  <c r="R345" i="2"/>
  <c r="Q345" i="2"/>
  <c r="P345" i="2"/>
  <c r="O345" i="2"/>
  <c r="N345" i="2"/>
  <c r="M345" i="2"/>
  <c r="L345" i="2"/>
  <c r="K345" i="2"/>
  <c r="J345" i="2"/>
  <c r="I345" i="2"/>
  <c r="H345" i="2"/>
  <c r="G345" i="2"/>
  <c r="F345" i="2"/>
  <c r="E345" i="2"/>
  <c r="D345" i="2"/>
  <c r="C345" i="2"/>
  <c r="B345" i="2"/>
  <c r="A345" i="2"/>
  <c r="S344" i="2"/>
  <c r="R344" i="2"/>
  <c r="Q344" i="2"/>
  <c r="P344" i="2"/>
  <c r="O344" i="2"/>
  <c r="N344" i="2"/>
  <c r="M344" i="2"/>
  <c r="L344" i="2"/>
  <c r="K344" i="2"/>
  <c r="J344" i="2"/>
  <c r="I344" i="2"/>
  <c r="H344" i="2"/>
  <c r="G344" i="2"/>
  <c r="F344" i="2"/>
  <c r="E344" i="2"/>
  <c r="D344" i="2"/>
  <c r="C344" i="2"/>
  <c r="B344" i="2"/>
  <c r="A344" i="2"/>
  <c r="S343" i="2"/>
  <c r="R343" i="2"/>
  <c r="Q343" i="2"/>
  <c r="P343" i="2"/>
  <c r="O343" i="2"/>
  <c r="N343" i="2"/>
  <c r="M343" i="2"/>
  <c r="L343" i="2"/>
  <c r="K343" i="2"/>
  <c r="J343" i="2"/>
  <c r="I343" i="2"/>
  <c r="H343" i="2"/>
  <c r="G343" i="2"/>
  <c r="F343" i="2"/>
  <c r="E343" i="2"/>
  <c r="D343" i="2"/>
  <c r="C343" i="2"/>
  <c r="B343" i="2"/>
  <c r="A343" i="2"/>
  <c r="S342" i="2"/>
  <c r="R342" i="2"/>
  <c r="Q342" i="2"/>
  <c r="P342" i="2"/>
  <c r="O342" i="2"/>
  <c r="N342" i="2"/>
  <c r="M342" i="2"/>
  <c r="L342" i="2"/>
  <c r="K342" i="2"/>
  <c r="J342" i="2"/>
  <c r="I342" i="2"/>
  <c r="H342" i="2"/>
  <c r="G342" i="2"/>
  <c r="F342" i="2"/>
  <c r="E342" i="2"/>
  <c r="D342" i="2"/>
  <c r="C342" i="2"/>
  <c r="B342" i="2"/>
  <c r="A342" i="2"/>
  <c r="S341" i="2"/>
  <c r="R341" i="2"/>
  <c r="Q341" i="2"/>
  <c r="P341" i="2"/>
  <c r="O341" i="2"/>
  <c r="N341" i="2"/>
  <c r="M341" i="2"/>
  <c r="L341" i="2"/>
  <c r="K341" i="2"/>
  <c r="J341" i="2"/>
  <c r="I341" i="2"/>
  <c r="H341" i="2"/>
  <c r="G341" i="2"/>
  <c r="F341" i="2"/>
  <c r="E341" i="2"/>
  <c r="D341" i="2"/>
  <c r="C341" i="2"/>
  <c r="B341" i="2"/>
  <c r="A341" i="2"/>
  <c r="S340" i="2"/>
  <c r="R340" i="2"/>
  <c r="Q340" i="2"/>
  <c r="P340" i="2"/>
  <c r="O340" i="2"/>
  <c r="N340" i="2"/>
  <c r="M340" i="2"/>
  <c r="L340" i="2"/>
  <c r="K340" i="2"/>
  <c r="J340" i="2"/>
  <c r="I340" i="2"/>
  <c r="H340" i="2"/>
  <c r="G340" i="2"/>
  <c r="F340" i="2"/>
  <c r="E340" i="2"/>
  <c r="D340" i="2"/>
  <c r="C340" i="2"/>
  <c r="B340" i="2"/>
  <c r="A340" i="2"/>
  <c r="S339" i="2"/>
  <c r="R339" i="2"/>
  <c r="Q339" i="2"/>
  <c r="P339" i="2"/>
  <c r="O339" i="2"/>
  <c r="N339" i="2"/>
  <c r="M339" i="2"/>
  <c r="L339" i="2"/>
  <c r="K339" i="2"/>
  <c r="J339" i="2"/>
  <c r="I339" i="2"/>
  <c r="H339" i="2"/>
  <c r="G339" i="2"/>
  <c r="F339" i="2"/>
  <c r="E339" i="2"/>
  <c r="D339" i="2"/>
  <c r="C339" i="2"/>
  <c r="B339" i="2"/>
  <c r="A339" i="2"/>
  <c r="S338" i="2"/>
  <c r="R338" i="2"/>
  <c r="Q338" i="2"/>
  <c r="P338" i="2"/>
  <c r="O338" i="2"/>
  <c r="N338" i="2"/>
  <c r="M338" i="2"/>
  <c r="L338" i="2"/>
  <c r="K338" i="2"/>
  <c r="J338" i="2"/>
  <c r="I338" i="2"/>
  <c r="H338" i="2"/>
  <c r="G338" i="2"/>
  <c r="F338" i="2"/>
  <c r="E338" i="2"/>
  <c r="D338" i="2"/>
  <c r="C338" i="2"/>
  <c r="B338" i="2"/>
  <c r="A338" i="2"/>
  <c r="S337" i="2"/>
  <c r="R337" i="2"/>
  <c r="Q337" i="2"/>
  <c r="P337" i="2"/>
  <c r="O337" i="2"/>
  <c r="N337" i="2"/>
  <c r="M337" i="2"/>
  <c r="L337" i="2"/>
  <c r="K337" i="2"/>
  <c r="J337" i="2"/>
  <c r="I337" i="2"/>
  <c r="H337" i="2"/>
  <c r="G337" i="2"/>
  <c r="F337" i="2"/>
  <c r="E337" i="2"/>
  <c r="D337" i="2"/>
  <c r="C337" i="2"/>
  <c r="B337" i="2"/>
  <c r="A337" i="2"/>
  <c r="S336" i="2"/>
  <c r="R336" i="2"/>
  <c r="Q336" i="2"/>
  <c r="P336" i="2"/>
  <c r="O336" i="2"/>
  <c r="N336" i="2"/>
  <c r="M336" i="2"/>
  <c r="L336" i="2"/>
  <c r="K336" i="2"/>
  <c r="J336" i="2"/>
  <c r="I336" i="2"/>
  <c r="H336" i="2"/>
  <c r="G336" i="2"/>
  <c r="F336" i="2"/>
  <c r="E336" i="2"/>
  <c r="D336" i="2"/>
  <c r="C336" i="2"/>
  <c r="B336" i="2"/>
  <c r="A336" i="2"/>
  <c r="S335" i="2"/>
  <c r="R335" i="2"/>
  <c r="Q335" i="2"/>
  <c r="P335" i="2"/>
  <c r="O335" i="2"/>
  <c r="N335" i="2"/>
  <c r="M335" i="2"/>
  <c r="L335" i="2"/>
  <c r="K335" i="2"/>
  <c r="J335" i="2"/>
  <c r="I335" i="2"/>
  <c r="H335" i="2"/>
  <c r="G335" i="2"/>
  <c r="F335" i="2"/>
  <c r="E335" i="2"/>
  <c r="D335" i="2"/>
  <c r="C335" i="2"/>
  <c r="B335" i="2"/>
  <c r="A335" i="2"/>
  <c r="S334" i="2"/>
  <c r="R334" i="2"/>
  <c r="Q334" i="2"/>
  <c r="P334" i="2"/>
  <c r="O334" i="2"/>
  <c r="N334" i="2"/>
  <c r="M334" i="2"/>
  <c r="L334" i="2"/>
  <c r="K334" i="2"/>
  <c r="J334" i="2"/>
  <c r="I334" i="2"/>
  <c r="H334" i="2"/>
  <c r="G334" i="2"/>
  <c r="F334" i="2"/>
  <c r="E334" i="2"/>
  <c r="D334" i="2"/>
  <c r="C334" i="2"/>
  <c r="B334" i="2"/>
  <c r="A334" i="2"/>
  <c r="S333" i="2"/>
  <c r="R333" i="2"/>
  <c r="Q333" i="2"/>
  <c r="P333" i="2"/>
  <c r="O333" i="2"/>
  <c r="N333" i="2"/>
  <c r="M333" i="2"/>
  <c r="L333" i="2"/>
  <c r="K333" i="2"/>
  <c r="J333" i="2"/>
  <c r="I333" i="2"/>
  <c r="H333" i="2"/>
  <c r="G333" i="2"/>
  <c r="F333" i="2"/>
  <c r="E333" i="2"/>
  <c r="D333" i="2"/>
  <c r="C333" i="2"/>
  <c r="B333" i="2"/>
  <c r="A333" i="2"/>
  <c r="S332" i="2"/>
  <c r="R332" i="2"/>
  <c r="Q332" i="2"/>
  <c r="P332" i="2"/>
  <c r="O332" i="2"/>
  <c r="N332" i="2"/>
  <c r="M332" i="2"/>
  <c r="L332" i="2"/>
  <c r="K332" i="2"/>
  <c r="J332" i="2"/>
  <c r="I332" i="2"/>
  <c r="H332" i="2"/>
  <c r="G332" i="2"/>
  <c r="F332" i="2"/>
  <c r="E332" i="2"/>
  <c r="D332" i="2"/>
  <c r="C332" i="2"/>
  <c r="B332" i="2"/>
  <c r="A332" i="2"/>
  <c r="S331" i="2"/>
  <c r="R331" i="2"/>
  <c r="Q331" i="2"/>
  <c r="P331" i="2"/>
  <c r="O331" i="2"/>
  <c r="N331" i="2"/>
  <c r="M331" i="2"/>
  <c r="L331" i="2"/>
  <c r="K331" i="2"/>
  <c r="J331" i="2"/>
  <c r="I331" i="2"/>
  <c r="H331" i="2"/>
  <c r="G331" i="2"/>
  <c r="F331" i="2"/>
  <c r="E331" i="2"/>
  <c r="D331" i="2"/>
  <c r="C331" i="2"/>
  <c r="B331" i="2"/>
  <c r="A331" i="2"/>
  <c r="S330" i="2"/>
  <c r="R330" i="2"/>
  <c r="Q330" i="2"/>
  <c r="P330" i="2"/>
  <c r="O330" i="2"/>
  <c r="N330" i="2"/>
  <c r="M330" i="2"/>
  <c r="L330" i="2"/>
  <c r="K330" i="2"/>
  <c r="J330" i="2"/>
  <c r="I330" i="2"/>
  <c r="H330" i="2"/>
  <c r="G330" i="2"/>
  <c r="F330" i="2"/>
  <c r="E330" i="2"/>
  <c r="D330" i="2"/>
  <c r="C330" i="2"/>
  <c r="B330" i="2"/>
  <c r="A330" i="2"/>
  <c r="S329" i="2"/>
  <c r="R329" i="2"/>
  <c r="Q329" i="2"/>
  <c r="P329" i="2"/>
  <c r="O329" i="2"/>
  <c r="N329" i="2"/>
  <c r="M329" i="2"/>
  <c r="L329" i="2"/>
  <c r="K329" i="2"/>
  <c r="J329" i="2"/>
  <c r="I329" i="2"/>
  <c r="H329" i="2"/>
  <c r="G329" i="2"/>
  <c r="F329" i="2"/>
  <c r="E329" i="2"/>
  <c r="D329" i="2"/>
  <c r="C329" i="2"/>
  <c r="B329" i="2"/>
  <c r="A329" i="2"/>
  <c r="S328" i="2"/>
  <c r="R328" i="2"/>
  <c r="Q328" i="2"/>
  <c r="P328" i="2"/>
  <c r="O328" i="2"/>
  <c r="N328" i="2"/>
  <c r="M328" i="2"/>
  <c r="L328" i="2"/>
  <c r="K328" i="2"/>
  <c r="J328" i="2"/>
  <c r="I328" i="2"/>
  <c r="H328" i="2"/>
  <c r="G328" i="2"/>
  <c r="F328" i="2"/>
  <c r="E328" i="2"/>
  <c r="D328" i="2"/>
  <c r="C328" i="2"/>
  <c r="B328" i="2"/>
  <c r="A328" i="2"/>
  <c r="S327" i="2"/>
  <c r="R327" i="2"/>
  <c r="Q327" i="2"/>
  <c r="P327" i="2"/>
  <c r="O327" i="2"/>
  <c r="N327" i="2"/>
  <c r="M327" i="2"/>
  <c r="L327" i="2"/>
  <c r="K327" i="2"/>
  <c r="J327" i="2"/>
  <c r="I327" i="2"/>
  <c r="H327" i="2"/>
  <c r="G327" i="2"/>
  <c r="F327" i="2"/>
  <c r="E327" i="2"/>
  <c r="D327" i="2"/>
  <c r="C327" i="2"/>
  <c r="B327" i="2"/>
  <c r="A327" i="2"/>
  <c r="S326" i="2"/>
  <c r="R326" i="2"/>
  <c r="Q326" i="2"/>
  <c r="P326" i="2"/>
  <c r="O326" i="2"/>
  <c r="N326" i="2"/>
  <c r="M326" i="2"/>
  <c r="L326" i="2"/>
  <c r="K326" i="2"/>
  <c r="J326" i="2"/>
  <c r="I326" i="2"/>
  <c r="H326" i="2"/>
  <c r="G326" i="2"/>
  <c r="F326" i="2"/>
  <c r="E326" i="2"/>
  <c r="D326" i="2"/>
  <c r="C326" i="2"/>
  <c r="B326" i="2"/>
  <c r="A326" i="2"/>
  <c r="S325" i="2"/>
  <c r="R325" i="2"/>
  <c r="Q325" i="2"/>
  <c r="P325" i="2"/>
  <c r="O325" i="2"/>
  <c r="N325" i="2"/>
  <c r="M325" i="2"/>
  <c r="L325" i="2"/>
  <c r="K325" i="2"/>
  <c r="J325" i="2"/>
  <c r="I325" i="2"/>
  <c r="H325" i="2"/>
  <c r="G325" i="2"/>
  <c r="F325" i="2"/>
  <c r="E325" i="2"/>
  <c r="D325" i="2"/>
  <c r="C325" i="2"/>
  <c r="B325" i="2"/>
  <c r="A325" i="2"/>
  <c r="S324" i="2"/>
  <c r="R324" i="2"/>
  <c r="Q324" i="2"/>
  <c r="P324" i="2"/>
  <c r="O324" i="2"/>
  <c r="N324" i="2"/>
  <c r="M324" i="2"/>
  <c r="L324" i="2"/>
  <c r="K324" i="2"/>
  <c r="J324" i="2"/>
  <c r="I324" i="2"/>
  <c r="H324" i="2"/>
  <c r="G324" i="2"/>
  <c r="F324" i="2"/>
  <c r="E324" i="2"/>
  <c r="D324" i="2"/>
  <c r="C324" i="2"/>
  <c r="B324" i="2"/>
  <c r="A324" i="2"/>
  <c r="S323" i="2"/>
  <c r="R323" i="2"/>
  <c r="Q323" i="2"/>
  <c r="P323" i="2"/>
  <c r="O323" i="2"/>
  <c r="N323" i="2"/>
  <c r="M323" i="2"/>
  <c r="L323" i="2"/>
  <c r="K323" i="2"/>
  <c r="J323" i="2"/>
  <c r="I323" i="2"/>
  <c r="H323" i="2"/>
  <c r="G323" i="2"/>
  <c r="F323" i="2"/>
  <c r="E323" i="2"/>
  <c r="D323" i="2"/>
  <c r="C323" i="2"/>
  <c r="B323" i="2"/>
  <c r="A323" i="2"/>
  <c r="S322" i="2"/>
  <c r="R322" i="2"/>
  <c r="Q322" i="2"/>
  <c r="P322" i="2"/>
  <c r="O322" i="2"/>
  <c r="N322" i="2"/>
  <c r="M322" i="2"/>
  <c r="L322" i="2"/>
  <c r="K322" i="2"/>
  <c r="J322" i="2"/>
  <c r="I322" i="2"/>
  <c r="H322" i="2"/>
  <c r="G322" i="2"/>
  <c r="F322" i="2"/>
  <c r="E322" i="2"/>
  <c r="D322" i="2"/>
  <c r="C322" i="2"/>
  <c r="B322" i="2"/>
  <c r="A322" i="2"/>
  <c r="S321" i="2"/>
  <c r="R321" i="2"/>
  <c r="Q321" i="2"/>
  <c r="P321" i="2"/>
  <c r="O321" i="2"/>
  <c r="N321" i="2"/>
  <c r="M321" i="2"/>
  <c r="L321" i="2"/>
  <c r="K321" i="2"/>
  <c r="J321" i="2"/>
  <c r="I321" i="2"/>
  <c r="H321" i="2"/>
  <c r="G321" i="2"/>
  <c r="F321" i="2"/>
  <c r="E321" i="2"/>
  <c r="D321" i="2"/>
  <c r="C321" i="2"/>
  <c r="B321" i="2"/>
  <c r="A321" i="2"/>
  <c r="S320" i="2"/>
  <c r="R320" i="2"/>
  <c r="Q320" i="2"/>
  <c r="P320" i="2"/>
  <c r="O320" i="2"/>
  <c r="N320" i="2"/>
  <c r="M320" i="2"/>
  <c r="L320" i="2"/>
  <c r="K320" i="2"/>
  <c r="J320" i="2"/>
  <c r="I320" i="2"/>
  <c r="H320" i="2"/>
  <c r="G320" i="2"/>
  <c r="F320" i="2"/>
  <c r="E320" i="2"/>
  <c r="D320" i="2"/>
  <c r="C320" i="2"/>
  <c r="B320" i="2"/>
  <c r="A320" i="2"/>
  <c r="S319" i="2"/>
  <c r="R319" i="2"/>
  <c r="Q319" i="2"/>
  <c r="P319" i="2"/>
  <c r="O319" i="2"/>
  <c r="N319" i="2"/>
  <c r="M319" i="2"/>
  <c r="L319" i="2"/>
  <c r="K319" i="2"/>
  <c r="J319" i="2"/>
  <c r="I319" i="2"/>
  <c r="H319" i="2"/>
  <c r="G319" i="2"/>
  <c r="F319" i="2"/>
  <c r="E319" i="2"/>
  <c r="D319" i="2"/>
  <c r="C319" i="2"/>
  <c r="B319" i="2"/>
  <c r="A319" i="2"/>
  <c r="S318" i="2"/>
  <c r="R318" i="2"/>
  <c r="Q318" i="2"/>
  <c r="P318" i="2"/>
  <c r="O318" i="2"/>
  <c r="N318" i="2"/>
  <c r="M318" i="2"/>
  <c r="L318" i="2"/>
  <c r="K318" i="2"/>
  <c r="J318" i="2"/>
  <c r="I318" i="2"/>
  <c r="H318" i="2"/>
  <c r="G318" i="2"/>
  <c r="F318" i="2"/>
  <c r="E318" i="2"/>
  <c r="D318" i="2"/>
  <c r="C318" i="2"/>
  <c r="B318" i="2"/>
  <c r="A318" i="2"/>
  <c r="S317" i="2"/>
  <c r="R317" i="2"/>
  <c r="Q317" i="2"/>
  <c r="P317" i="2"/>
  <c r="O317" i="2"/>
  <c r="N317" i="2"/>
  <c r="M317" i="2"/>
  <c r="L317" i="2"/>
  <c r="K317" i="2"/>
  <c r="J317" i="2"/>
  <c r="I317" i="2"/>
  <c r="H317" i="2"/>
  <c r="G317" i="2"/>
  <c r="F317" i="2"/>
  <c r="E317" i="2"/>
  <c r="D317" i="2"/>
  <c r="C317" i="2"/>
  <c r="B317" i="2"/>
  <c r="A317" i="2"/>
  <c r="S316" i="2"/>
  <c r="R316" i="2"/>
  <c r="Q316" i="2"/>
  <c r="P316" i="2"/>
  <c r="O316" i="2"/>
  <c r="N316" i="2"/>
  <c r="M316" i="2"/>
  <c r="L316" i="2"/>
  <c r="K316" i="2"/>
  <c r="J316" i="2"/>
  <c r="I316" i="2"/>
  <c r="H316" i="2"/>
  <c r="G316" i="2"/>
  <c r="F316" i="2"/>
  <c r="E316" i="2"/>
  <c r="D316" i="2"/>
  <c r="C316" i="2"/>
  <c r="B316" i="2"/>
  <c r="A316" i="2"/>
  <c r="S315" i="2"/>
  <c r="R315" i="2"/>
  <c r="Q315" i="2"/>
  <c r="P315" i="2"/>
  <c r="O315" i="2"/>
  <c r="N315" i="2"/>
  <c r="M315" i="2"/>
  <c r="L315" i="2"/>
  <c r="K315" i="2"/>
  <c r="J315" i="2"/>
  <c r="I315" i="2"/>
  <c r="H315" i="2"/>
  <c r="G315" i="2"/>
  <c r="F315" i="2"/>
  <c r="E315" i="2"/>
  <c r="D315" i="2"/>
  <c r="C315" i="2"/>
  <c r="B315" i="2"/>
  <c r="A315" i="2"/>
  <c r="S314" i="2"/>
  <c r="R314" i="2"/>
  <c r="Q314" i="2"/>
  <c r="P314" i="2"/>
  <c r="O314" i="2"/>
  <c r="N314" i="2"/>
  <c r="M314" i="2"/>
  <c r="L314" i="2"/>
  <c r="K314" i="2"/>
  <c r="J314" i="2"/>
  <c r="I314" i="2"/>
  <c r="H314" i="2"/>
  <c r="G314" i="2"/>
  <c r="F314" i="2"/>
  <c r="E314" i="2"/>
  <c r="D314" i="2"/>
  <c r="C314" i="2"/>
  <c r="B314" i="2"/>
  <c r="A314" i="2"/>
  <c r="S313" i="2"/>
  <c r="R313" i="2"/>
  <c r="Q313" i="2"/>
  <c r="P313" i="2"/>
  <c r="O313" i="2"/>
  <c r="N313" i="2"/>
  <c r="M313" i="2"/>
  <c r="L313" i="2"/>
  <c r="K313" i="2"/>
  <c r="J313" i="2"/>
  <c r="I313" i="2"/>
  <c r="H313" i="2"/>
  <c r="G313" i="2"/>
  <c r="F313" i="2"/>
  <c r="E313" i="2"/>
  <c r="D313" i="2"/>
  <c r="C313" i="2"/>
  <c r="B313" i="2"/>
  <c r="A313" i="2"/>
  <c r="S312" i="2"/>
  <c r="R312" i="2"/>
  <c r="Q312" i="2"/>
  <c r="P312" i="2"/>
  <c r="O312" i="2"/>
  <c r="N312" i="2"/>
  <c r="M312" i="2"/>
  <c r="L312" i="2"/>
  <c r="K312" i="2"/>
  <c r="J312" i="2"/>
  <c r="I312" i="2"/>
  <c r="H312" i="2"/>
  <c r="G312" i="2"/>
  <c r="F312" i="2"/>
  <c r="E312" i="2"/>
  <c r="D312" i="2"/>
  <c r="C312" i="2"/>
  <c r="B312" i="2"/>
  <c r="A312" i="2"/>
  <c r="S311" i="2"/>
  <c r="R311" i="2"/>
  <c r="Q311" i="2"/>
  <c r="P311" i="2"/>
  <c r="O311" i="2"/>
  <c r="N311" i="2"/>
  <c r="M311" i="2"/>
  <c r="L311" i="2"/>
  <c r="K311" i="2"/>
  <c r="J311" i="2"/>
  <c r="I311" i="2"/>
  <c r="H311" i="2"/>
  <c r="G311" i="2"/>
  <c r="F311" i="2"/>
  <c r="E311" i="2"/>
  <c r="D311" i="2"/>
  <c r="C311" i="2"/>
  <c r="B311" i="2"/>
  <c r="A311" i="2"/>
  <c r="S310" i="2"/>
  <c r="R310" i="2"/>
  <c r="Q310" i="2"/>
  <c r="P310" i="2"/>
  <c r="O310" i="2"/>
  <c r="N310" i="2"/>
  <c r="M310" i="2"/>
  <c r="L310" i="2"/>
  <c r="K310" i="2"/>
  <c r="J310" i="2"/>
  <c r="I310" i="2"/>
  <c r="H310" i="2"/>
  <c r="G310" i="2"/>
  <c r="F310" i="2"/>
  <c r="E310" i="2"/>
  <c r="D310" i="2"/>
  <c r="C310" i="2"/>
  <c r="B310" i="2"/>
  <c r="A310" i="2"/>
  <c r="S309" i="2"/>
  <c r="R309" i="2"/>
  <c r="Q309" i="2"/>
  <c r="P309" i="2"/>
  <c r="O309" i="2"/>
  <c r="N309" i="2"/>
  <c r="M309" i="2"/>
  <c r="L309" i="2"/>
  <c r="K309" i="2"/>
  <c r="J309" i="2"/>
  <c r="I309" i="2"/>
  <c r="H309" i="2"/>
  <c r="G309" i="2"/>
  <c r="F309" i="2"/>
  <c r="E309" i="2"/>
  <c r="D309" i="2"/>
  <c r="C309" i="2"/>
  <c r="B309" i="2"/>
  <c r="A309" i="2"/>
  <c r="S308" i="2"/>
  <c r="R308" i="2"/>
  <c r="Q308" i="2"/>
  <c r="P308" i="2"/>
  <c r="O308" i="2"/>
  <c r="N308" i="2"/>
  <c r="M308" i="2"/>
  <c r="L308" i="2"/>
  <c r="K308" i="2"/>
  <c r="J308" i="2"/>
  <c r="I308" i="2"/>
  <c r="H308" i="2"/>
  <c r="G308" i="2"/>
  <c r="F308" i="2"/>
  <c r="E308" i="2"/>
  <c r="D308" i="2"/>
  <c r="C308" i="2"/>
  <c r="B308" i="2"/>
  <c r="A308" i="2"/>
  <c r="S307" i="2"/>
  <c r="R307" i="2"/>
  <c r="Q307" i="2"/>
  <c r="P307" i="2"/>
  <c r="O307" i="2"/>
  <c r="N307" i="2"/>
  <c r="M307" i="2"/>
  <c r="L307" i="2"/>
  <c r="K307" i="2"/>
  <c r="J307" i="2"/>
  <c r="I307" i="2"/>
  <c r="H307" i="2"/>
  <c r="G307" i="2"/>
  <c r="F307" i="2"/>
  <c r="E307" i="2"/>
  <c r="D307" i="2"/>
  <c r="C307" i="2"/>
  <c r="B307" i="2"/>
  <c r="A307" i="2"/>
  <c r="S306" i="2"/>
  <c r="R306" i="2"/>
  <c r="Q306" i="2"/>
  <c r="P306" i="2"/>
  <c r="O306" i="2"/>
  <c r="N306" i="2"/>
  <c r="M306" i="2"/>
  <c r="L306" i="2"/>
  <c r="K306" i="2"/>
  <c r="J306" i="2"/>
  <c r="I306" i="2"/>
  <c r="H306" i="2"/>
  <c r="G306" i="2"/>
  <c r="F306" i="2"/>
  <c r="E306" i="2"/>
  <c r="D306" i="2"/>
  <c r="C306" i="2"/>
  <c r="B306" i="2"/>
  <c r="A306" i="2"/>
  <c r="S305" i="2"/>
  <c r="R305" i="2"/>
  <c r="Q305" i="2"/>
  <c r="P305" i="2"/>
  <c r="O305" i="2"/>
  <c r="N305" i="2"/>
  <c r="M305" i="2"/>
  <c r="L305" i="2"/>
  <c r="K305" i="2"/>
  <c r="J305" i="2"/>
  <c r="I305" i="2"/>
  <c r="H305" i="2"/>
  <c r="G305" i="2"/>
  <c r="F305" i="2"/>
  <c r="E305" i="2"/>
  <c r="D305" i="2"/>
  <c r="C305" i="2"/>
  <c r="B305" i="2"/>
  <c r="A305" i="2"/>
  <c r="S304" i="2"/>
  <c r="R304" i="2"/>
  <c r="Q304" i="2"/>
  <c r="P304" i="2"/>
  <c r="O304" i="2"/>
  <c r="N304" i="2"/>
  <c r="M304" i="2"/>
  <c r="L304" i="2"/>
  <c r="K304" i="2"/>
  <c r="J304" i="2"/>
  <c r="I304" i="2"/>
  <c r="H304" i="2"/>
  <c r="G304" i="2"/>
  <c r="F304" i="2"/>
  <c r="E304" i="2"/>
  <c r="D304" i="2"/>
  <c r="C304" i="2"/>
  <c r="B304" i="2"/>
  <c r="A304" i="2"/>
  <c r="S303" i="2"/>
  <c r="R303" i="2"/>
  <c r="Q303" i="2"/>
  <c r="P303" i="2"/>
  <c r="O303" i="2"/>
  <c r="N303" i="2"/>
  <c r="M303" i="2"/>
  <c r="L303" i="2"/>
  <c r="K303" i="2"/>
  <c r="J303" i="2"/>
  <c r="I303" i="2"/>
  <c r="H303" i="2"/>
  <c r="G303" i="2"/>
  <c r="F303" i="2"/>
  <c r="E303" i="2"/>
  <c r="D303" i="2"/>
  <c r="C303" i="2"/>
  <c r="B303" i="2"/>
  <c r="A303" i="2"/>
  <c r="S302" i="2"/>
  <c r="R302" i="2"/>
  <c r="Q302" i="2"/>
  <c r="P302" i="2"/>
  <c r="O302" i="2"/>
  <c r="N302" i="2"/>
  <c r="M302" i="2"/>
  <c r="L302" i="2"/>
  <c r="K302" i="2"/>
  <c r="J302" i="2"/>
  <c r="I302" i="2"/>
  <c r="H302" i="2"/>
  <c r="G302" i="2"/>
  <c r="F302" i="2"/>
  <c r="E302" i="2"/>
  <c r="D302" i="2"/>
  <c r="C302" i="2"/>
  <c r="B302" i="2"/>
  <c r="A302" i="2"/>
  <c r="S301" i="2"/>
  <c r="R301" i="2"/>
  <c r="Q301" i="2"/>
  <c r="P301" i="2"/>
  <c r="O301" i="2"/>
  <c r="N301" i="2"/>
  <c r="M301" i="2"/>
  <c r="L301" i="2"/>
  <c r="K301" i="2"/>
  <c r="J301" i="2"/>
  <c r="I301" i="2"/>
  <c r="H301" i="2"/>
  <c r="G301" i="2"/>
  <c r="F301" i="2"/>
  <c r="E301" i="2"/>
  <c r="D301" i="2"/>
  <c r="C301" i="2"/>
  <c r="B301" i="2"/>
  <c r="A301" i="2"/>
  <c r="S300" i="2"/>
  <c r="R300" i="2"/>
  <c r="Q300" i="2"/>
  <c r="P300" i="2"/>
  <c r="O300" i="2"/>
  <c r="N300" i="2"/>
  <c r="M300" i="2"/>
  <c r="L300" i="2"/>
  <c r="K300" i="2"/>
  <c r="J300" i="2"/>
  <c r="I300" i="2"/>
  <c r="H300" i="2"/>
  <c r="G300" i="2"/>
  <c r="F300" i="2"/>
  <c r="E300" i="2"/>
  <c r="D300" i="2"/>
  <c r="C300" i="2"/>
  <c r="B300" i="2"/>
  <c r="A300" i="2"/>
  <c r="S299" i="2"/>
  <c r="R299" i="2"/>
  <c r="Q299" i="2"/>
  <c r="P299" i="2"/>
  <c r="O299" i="2"/>
  <c r="N299" i="2"/>
  <c r="M299" i="2"/>
  <c r="L299" i="2"/>
  <c r="K299" i="2"/>
  <c r="J299" i="2"/>
  <c r="I299" i="2"/>
  <c r="H299" i="2"/>
  <c r="G299" i="2"/>
  <c r="F299" i="2"/>
  <c r="E299" i="2"/>
  <c r="D299" i="2"/>
  <c r="C299" i="2"/>
  <c r="B299" i="2"/>
  <c r="A299" i="2"/>
  <c r="S298" i="2"/>
  <c r="R298" i="2"/>
  <c r="Q298" i="2"/>
  <c r="P298" i="2"/>
  <c r="O298" i="2"/>
  <c r="N298" i="2"/>
  <c r="M298" i="2"/>
  <c r="L298" i="2"/>
  <c r="K298" i="2"/>
  <c r="J298" i="2"/>
  <c r="I298" i="2"/>
  <c r="H298" i="2"/>
  <c r="G298" i="2"/>
  <c r="F298" i="2"/>
  <c r="E298" i="2"/>
  <c r="D298" i="2"/>
  <c r="C298" i="2"/>
  <c r="B298" i="2"/>
  <c r="A298" i="2"/>
  <c r="S297" i="2"/>
  <c r="R297" i="2"/>
  <c r="Q297" i="2"/>
  <c r="P297" i="2"/>
  <c r="O297" i="2"/>
  <c r="N297" i="2"/>
  <c r="M297" i="2"/>
  <c r="L297" i="2"/>
  <c r="K297" i="2"/>
  <c r="J297" i="2"/>
  <c r="I297" i="2"/>
  <c r="H297" i="2"/>
  <c r="G297" i="2"/>
  <c r="F297" i="2"/>
  <c r="E297" i="2"/>
  <c r="D297" i="2"/>
  <c r="C297" i="2"/>
  <c r="B297" i="2"/>
  <c r="A297" i="2"/>
  <c r="S296" i="2"/>
  <c r="R296" i="2"/>
  <c r="Q296" i="2"/>
  <c r="P296" i="2"/>
  <c r="O296" i="2"/>
  <c r="N296" i="2"/>
  <c r="M296" i="2"/>
  <c r="L296" i="2"/>
  <c r="K296" i="2"/>
  <c r="J296" i="2"/>
  <c r="I296" i="2"/>
  <c r="H296" i="2"/>
  <c r="G296" i="2"/>
  <c r="F296" i="2"/>
  <c r="E296" i="2"/>
  <c r="D296" i="2"/>
  <c r="C296" i="2"/>
  <c r="B296" i="2"/>
  <c r="A296" i="2"/>
  <c r="S295" i="2"/>
  <c r="R295" i="2"/>
  <c r="Q295" i="2"/>
  <c r="P295" i="2"/>
  <c r="O295" i="2"/>
  <c r="N295" i="2"/>
  <c r="M295" i="2"/>
  <c r="L295" i="2"/>
  <c r="K295" i="2"/>
  <c r="J295" i="2"/>
  <c r="I295" i="2"/>
  <c r="H295" i="2"/>
  <c r="G295" i="2"/>
  <c r="F295" i="2"/>
  <c r="E295" i="2"/>
  <c r="D295" i="2"/>
  <c r="C295" i="2"/>
  <c r="B295" i="2"/>
  <c r="A295" i="2"/>
  <c r="S294" i="2"/>
  <c r="R294" i="2"/>
  <c r="Q294" i="2"/>
  <c r="P294" i="2"/>
  <c r="O294" i="2"/>
  <c r="N294" i="2"/>
  <c r="M294" i="2"/>
  <c r="L294" i="2"/>
  <c r="K294" i="2"/>
  <c r="J294" i="2"/>
  <c r="I294" i="2"/>
  <c r="H294" i="2"/>
  <c r="G294" i="2"/>
  <c r="F294" i="2"/>
  <c r="E294" i="2"/>
  <c r="D294" i="2"/>
  <c r="C294" i="2"/>
  <c r="B294" i="2"/>
  <c r="A294" i="2"/>
  <c r="S293" i="2"/>
  <c r="R293" i="2"/>
  <c r="Q293" i="2"/>
  <c r="P293" i="2"/>
  <c r="O293" i="2"/>
  <c r="N293" i="2"/>
  <c r="M293" i="2"/>
  <c r="L293" i="2"/>
  <c r="K293" i="2"/>
  <c r="J293" i="2"/>
  <c r="I293" i="2"/>
  <c r="H293" i="2"/>
  <c r="G293" i="2"/>
  <c r="F293" i="2"/>
  <c r="E293" i="2"/>
  <c r="D293" i="2"/>
  <c r="C293" i="2"/>
  <c r="B293" i="2"/>
  <c r="A293" i="2"/>
  <c r="S292" i="2"/>
  <c r="R292" i="2"/>
  <c r="Q292" i="2"/>
  <c r="P292" i="2"/>
  <c r="O292" i="2"/>
  <c r="N292" i="2"/>
  <c r="M292" i="2"/>
  <c r="L292" i="2"/>
  <c r="K292" i="2"/>
  <c r="J292" i="2"/>
  <c r="I292" i="2"/>
  <c r="H292" i="2"/>
  <c r="G292" i="2"/>
  <c r="F292" i="2"/>
  <c r="E292" i="2"/>
  <c r="D292" i="2"/>
  <c r="C292" i="2"/>
  <c r="B292" i="2"/>
  <c r="A292" i="2"/>
  <c r="S291" i="2"/>
  <c r="R291" i="2"/>
  <c r="Q291" i="2"/>
  <c r="P291" i="2"/>
  <c r="O291" i="2"/>
  <c r="N291" i="2"/>
  <c r="M291" i="2"/>
  <c r="L291" i="2"/>
  <c r="K291" i="2"/>
  <c r="J291" i="2"/>
  <c r="I291" i="2"/>
  <c r="H291" i="2"/>
  <c r="G291" i="2"/>
  <c r="F291" i="2"/>
  <c r="E291" i="2"/>
  <c r="D291" i="2"/>
  <c r="C291" i="2"/>
  <c r="B291" i="2"/>
  <c r="A291" i="2"/>
  <c r="S290" i="2"/>
  <c r="R290" i="2"/>
  <c r="Q290" i="2"/>
  <c r="P290" i="2"/>
  <c r="O290" i="2"/>
  <c r="N290" i="2"/>
  <c r="M290" i="2"/>
  <c r="L290" i="2"/>
  <c r="K290" i="2"/>
  <c r="J290" i="2"/>
  <c r="I290" i="2"/>
  <c r="H290" i="2"/>
  <c r="G290" i="2"/>
  <c r="F290" i="2"/>
  <c r="E290" i="2"/>
  <c r="D290" i="2"/>
  <c r="C290" i="2"/>
  <c r="B290" i="2"/>
  <c r="A290" i="2"/>
  <c r="S289" i="2"/>
  <c r="R289" i="2"/>
  <c r="Q289" i="2"/>
  <c r="P289" i="2"/>
  <c r="O289" i="2"/>
  <c r="N289" i="2"/>
  <c r="M289" i="2"/>
  <c r="L289" i="2"/>
  <c r="K289" i="2"/>
  <c r="J289" i="2"/>
  <c r="I289" i="2"/>
  <c r="H289" i="2"/>
  <c r="G289" i="2"/>
  <c r="F289" i="2"/>
  <c r="E289" i="2"/>
  <c r="D289" i="2"/>
  <c r="C289" i="2"/>
  <c r="B289" i="2"/>
  <c r="A289" i="2"/>
  <c r="S288" i="2"/>
  <c r="R288" i="2"/>
  <c r="Q288" i="2"/>
  <c r="P288" i="2"/>
  <c r="O288" i="2"/>
  <c r="N288" i="2"/>
  <c r="M288" i="2"/>
  <c r="L288" i="2"/>
  <c r="K288" i="2"/>
  <c r="J288" i="2"/>
  <c r="I288" i="2"/>
  <c r="H288" i="2"/>
  <c r="G288" i="2"/>
  <c r="F288" i="2"/>
  <c r="E288" i="2"/>
  <c r="D288" i="2"/>
  <c r="C288" i="2"/>
  <c r="B288" i="2"/>
  <c r="A288" i="2"/>
  <c r="S287" i="2"/>
  <c r="R287" i="2"/>
  <c r="Q287" i="2"/>
  <c r="P287" i="2"/>
  <c r="O287" i="2"/>
  <c r="N287" i="2"/>
  <c r="M287" i="2"/>
  <c r="L287" i="2"/>
  <c r="K287" i="2"/>
  <c r="J287" i="2"/>
  <c r="I287" i="2"/>
  <c r="H287" i="2"/>
  <c r="G287" i="2"/>
  <c r="F287" i="2"/>
  <c r="E287" i="2"/>
  <c r="D287" i="2"/>
  <c r="C287" i="2"/>
  <c r="B287" i="2"/>
  <c r="A287" i="2"/>
  <c r="S286" i="2"/>
  <c r="R286" i="2"/>
  <c r="Q286" i="2"/>
  <c r="P286" i="2"/>
  <c r="O286" i="2"/>
  <c r="N286" i="2"/>
  <c r="M286" i="2"/>
  <c r="L286" i="2"/>
  <c r="K286" i="2"/>
  <c r="J286" i="2"/>
  <c r="I286" i="2"/>
  <c r="H286" i="2"/>
  <c r="G286" i="2"/>
  <c r="F286" i="2"/>
  <c r="E286" i="2"/>
  <c r="D286" i="2"/>
  <c r="C286" i="2"/>
  <c r="B286" i="2"/>
  <c r="A286" i="2"/>
  <c r="S285" i="2"/>
  <c r="R285" i="2"/>
  <c r="Q285" i="2"/>
  <c r="P285" i="2"/>
  <c r="O285" i="2"/>
  <c r="N285" i="2"/>
  <c r="M285" i="2"/>
  <c r="L285" i="2"/>
  <c r="K285" i="2"/>
  <c r="J285" i="2"/>
  <c r="I285" i="2"/>
  <c r="H285" i="2"/>
  <c r="G285" i="2"/>
  <c r="F285" i="2"/>
  <c r="E285" i="2"/>
  <c r="D285" i="2"/>
  <c r="C285" i="2"/>
  <c r="B285" i="2"/>
  <c r="A285" i="2"/>
  <c r="S284" i="2"/>
  <c r="R284" i="2"/>
  <c r="Q284" i="2"/>
  <c r="P284" i="2"/>
  <c r="O284" i="2"/>
  <c r="N284" i="2"/>
  <c r="M284" i="2"/>
  <c r="L284" i="2"/>
  <c r="K284" i="2"/>
  <c r="J284" i="2"/>
  <c r="I284" i="2"/>
  <c r="H284" i="2"/>
  <c r="G284" i="2"/>
  <c r="F284" i="2"/>
  <c r="E284" i="2"/>
  <c r="D284" i="2"/>
  <c r="C284" i="2"/>
  <c r="B284" i="2"/>
  <c r="A284" i="2"/>
  <c r="S283" i="2"/>
  <c r="R283" i="2"/>
  <c r="Q283" i="2"/>
  <c r="P283" i="2"/>
  <c r="O283" i="2"/>
  <c r="N283" i="2"/>
  <c r="M283" i="2"/>
  <c r="L283" i="2"/>
  <c r="K283" i="2"/>
  <c r="J283" i="2"/>
  <c r="I283" i="2"/>
  <c r="H283" i="2"/>
  <c r="G283" i="2"/>
  <c r="F283" i="2"/>
  <c r="E283" i="2"/>
  <c r="D283" i="2"/>
  <c r="C283" i="2"/>
  <c r="B283" i="2"/>
  <c r="A283" i="2"/>
  <c r="S282" i="2"/>
  <c r="R282" i="2"/>
  <c r="Q282" i="2"/>
  <c r="P282" i="2"/>
  <c r="O282" i="2"/>
  <c r="N282" i="2"/>
  <c r="M282" i="2"/>
  <c r="L282" i="2"/>
  <c r="K282" i="2"/>
  <c r="J282" i="2"/>
  <c r="I282" i="2"/>
  <c r="H282" i="2"/>
  <c r="G282" i="2"/>
  <c r="F282" i="2"/>
  <c r="E282" i="2"/>
  <c r="D282" i="2"/>
  <c r="C282" i="2"/>
  <c r="B282" i="2"/>
  <c r="A282" i="2"/>
  <c r="S281" i="2"/>
  <c r="R281" i="2"/>
  <c r="Q281" i="2"/>
  <c r="P281" i="2"/>
  <c r="O281" i="2"/>
  <c r="N281" i="2"/>
  <c r="M281" i="2"/>
  <c r="L281" i="2"/>
  <c r="K281" i="2"/>
  <c r="J281" i="2"/>
  <c r="I281" i="2"/>
  <c r="H281" i="2"/>
  <c r="G281" i="2"/>
  <c r="F281" i="2"/>
  <c r="E281" i="2"/>
  <c r="D281" i="2"/>
  <c r="C281" i="2"/>
  <c r="B281" i="2"/>
  <c r="A281" i="2"/>
  <c r="S280" i="2"/>
  <c r="R280" i="2"/>
  <c r="Q280" i="2"/>
  <c r="P280" i="2"/>
  <c r="O280" i="2"/>
  <c r="N280" i="2"/>
  <c r="M280" i="2"/>
  <c r="L280" i="2"/>
  <c r="K280" i="2"/>
  <c r="J280" i="2"/>
  <c r="I280" i="2"/>
  <c r="H280" i="2"/>
  <c r="G280" i="2"/>
  <c r="F280" i="2"/>
  <c r="E280" i="2"/>
  <c r="D280" i="2"/>
  <c r="C280" i="2"/>
  <c r="B280" i="2"/>
  <c r="A280" i="2"/>
  <c r="S279" i="2"/>
  <c r="R279" i="2"/>
  <c r="Q279" i="2"/>
  <c r="P279" i="2"/>
  <c r="O279" i="2"/>
  <c r="N279" i="2"/>
  <c r="M279" i="2"/>
  <c r="L279" i="2"/>
  <c r="K279" i="2"/>
  <c r="J279" i="2"/>
  <c r="I279" i="2"/>
  <c r="H279" i="2"/>
  <c r="G279" i="2"/>
  <c r="F279" i="2"/>
  <c r="E279" i="2"/>
  <c r="D279" i="2"/>
  <c r="C279" i="2"/>
  <c r="B279" i="2"/>
  <c r="A279" i="2"/>
  <c r="S278" i="2"/>
  <c r="R278" i="2"/>
  <c r="Q278" i="2"/>
  <c r="P278" i="2"/>
  <c r="O278" i="2"/>
  <c r="N278" i="2"/>
  <c r="M278" i="2"/>
  <c r="L278" i="2"/>
  <c r="K278" i="2"/>
  <c r="J278" i="2"/>
  <c r="I278" i="2"/>
  <c r="H278" i="2"/>
  <c r="G278" i="2"/>
  <c r="F278" i="2"/>
  <c r="E278" i="2"/>
  <c r="D278" i="2"/>
  <c r="C278" i="2"/>
  <c r="B278" i="2"/>
  <c r="A278" i="2"/>
  <c r="S277" i="2"/>
  <c r="R277" i="2"/>
  <c r="Q277" i="2"/>
  <c r="P277" i="2"/>
  <c r="O277" i="2"/>
  <c r="N277" i="2"/>
  <c r="M277" i="2"/>
  <c r="L277" i="2"/>
  <c r="K277" i="2"/>
  <c r="J277" i="2"/>
  <c r="I277" i="2"/>
  <c r="H277" i="2"/>
  <c r="G277" i="2"/>
  <c r="F277" i="2"/>
  <c r="E277" i="2"/>
  <c r="D277" i="2"/>
  <c r="C277" i="2"/>
  <c r="B277" i="2"/>
  <c r="A277" i="2"/>
  <c r="S276" i="2"/>
  <c r="R276" i="2"/>
  <c r="Q276" i="2"/>
  <c r="P276" i="2"/>
  <c r="O276" i="2"/>
  <c r="N276" i="2"/>
  <c r="M276" i="2"/>
  <c r="L276" i="2"/>
  <c r="K276" i="2"/>
  <c r="J276" i="2"/>
  <c r="I276" i="2"/>
  <c r="H276" i="2"/>
  <c r="G276" i="2"/>
  <c r="F276" i="2"/>
  <c r="E276" i="2"/>
  <c r="D276" i="2"/>
  <c r="C276" i="2"/>
  <c r="B276" i="2"/>
  <c r="A276" i="2"/>
  <c r="S275" i="2"/>
  <c r="R275" i="2"/>
  <c r="Q275" i="2"/>
  <c r="P275" i="2"/>
  <c r="O275" i="2"/>
  <c r="N275" i="2"/>
  <c r="M275" i="2"/>
  <c r="L275" i="2"/>
  <c r="K275" i="2"/>
  <c r="J275" i="2"/>
  <c r="I275" i="2"/>
  <c r="H275" i="2"/>
  <c r="G275" i="2"/>
  <c r="F275" i="2"/>
  <c r="E275" i="2"/>
  <c r="D275" i="2"/>
  <c r="C275" i="2"/>
  <c r="B275" i="2"/>
  <c r="A275" i="2"/>
  <c r="S274" i="2"/>
  <c r="R274" i="2"/>
  <c r="Q274" i="2"/>
  <c r="P274" i="2"/>
  <c r="O274" i="2"/>
  <c r="N274" i="2"/>
  <c r="M274" i="2"/>
  <c r="L274" i="2"/>
  <c r="K274" i="2"/>
  <c r="J274" i="2"/>
  <c r="I274" i="2"/>
  <c r="H274" i="2"/>
  <c r="G274" i="2"/>
  <c r="F274" i="2"/>
  <c r="E274" i="2"/>
  <c r="D274" i="2"/>
  <c r="C274" i="2"/>
  <c r="B274" i="2"/>
  <c r="A274" i="2"/>
  <c r="S273" i="2"/>
  <c r="R273" i="2"/>
  <c r="Q273" i="2"/>
  <c r="P273" i="2"/>
  <c r="O273" i="2"/>
  <c r="N273" i="2"/>
  <c r="M273" i="2"/>
  <c r="L273" i="2"/>
  <c r="K273" i="2"/>
  <c r="J273" i="2"/>
  <c r="I273" i="2"/>
  <c r="H273" i="2"/>
  <c r="G273" i="2"/>
  <c r="F273" i="2"/>
  <c r="E273" i="2"/>
  <c r="D273" i="2"/>
  <c r="C273" i="2"/>
  <c r="B273" i="2"/>
  <c r="A273" i="2"/>
  <c r="S272" i="2"/>
  <c r="R272" i="2"/>
  <c r="Q272" i="2"/>
  <c r="P272" i="2"/>
  <c r="O272" i="2"/>
  <c r="N272" i="2"/>
  <c r="M272" i="2"/>
  <c r="L272" i="2"/>
  <c r="K272" i="2"/>
  <c r="J272" i="2"/>
  <c r="I272" i="2"/>
  <c r="H272" i="2"/>
  <c r="G272" i="2"/>
  <c r="F272" i="2"/>
  <c r="E272" i="2"/>
  <c r="D272" i="2"/>
  <c r="C272" i="2"/>
  <c r="B272" i="2"/>
  <c r="A272" i="2"/>
  <c r="S271" i="2"/>
  <c r="R271" i="2"/>
  <c r="Q271" i="2"/>
  <c r="P271" i="2"/>
  <c r="O271" i="2"/>
  <c r="N271" i="2"/>
  <c r="M271" i="2"/>
  <c r="L271" i="2"/>
  <c r="K271" i="2"/>
  <c r="J271" i="2"/>
  <c r="I271" i="2"/>
  <c r="H271" i="2"/>
  <c r="G271" i="2"/>
  <c r="F271" i="2"/>
  <c r="E271" i="2"/>
  <c r="D271" i="2"/>
  <c r="C271" i="2"/>
  <c r="B271" i="2"/>
  <c r="A271" i="2"/>
  <c r="S270" i="2"/>
  <c r="R270" i="2"/>
  <c r="Q270" i="2"/>
  <c r="P270" i="2"/>
  <c r="O270" i="2"/>
  <c r="N270" i="2"/>
  <c r="M270" i="2"/>
  <c r="L270" i="2"/>
  <c r="K270" i="2"/>
  <c r="J270" i="2"/>
  <c r="I270" i="2"/>
  <c r="H270" i="2"/>
  <c r="G270" i="2"/>
  <c r="F270" i="2"/>
  <c r="E270" i="2"/>
  <c r="D270" i="2"/>
  <c r="C270" i="2"/>
  <c r="B270" i="2"/>
  <c r="A270" i="2"/>
  <c r="S269" i="2"/>
  <c r="R269" i="2"/>
  <c r="Q269" i="2"/>
  <c r="P269" i="2"/>
  <c r="O269" i="2"/>
  <c r="N269" i="2"/>
  <c r="M269" i="2"/>
  <c r="L269" i="2"/>
  <c r="K269" i="2"/>
  <c r="J269" i="2"/>
  <c r="I269" i="2"/>
  <c r="H269" i="2"/>
  <c r="G269" i="2"/>
  <c r="F269" i="2"/>
  <c r="E269" i="2"/>
  <c r="D269" i="2"/>
  <c r="C269" i="2"/>
  <c r="B269" i="2"/>
  <c r="A269" i="2"/>
  <c r="S268" i="2"/>
  <c r="R268" i="2"/>
  <c r="Q268" i="2"/>
  <c r="P268" i="2"/>
  <c r="O268" i="2"/>
  <c r="N268" i="2"/>
  <c r="M268" i="2"/>
  <c r="L268" i="2"/>
  <c r="K268" i="2"/>
  <c r="J268" i="2"/>
  <c r="I268" i="2"/>
  <c r="H268" i="2"/>
  <c r="G268" i="2"/>
  <c r="F268" i="2"/>
  <c r="E268" i="2"/>
  <c r="D268" i="2"/>
  <c r="C268" i="2"/>
  <c r="B268" i="2"/>
  <c r="A268" i="2"/>
  <c r="S267" i="2"/>
  <c r="R267" i="2"/>
  <c r="Q267" i="2"/>
  <c r="P267" i="2"/>
  <c r="O267" i="2"/>
  <c r="N267" i="2"/>
  <c r="M267" i="2"/>
  <c r="L267" i="2"/>
  <c r="K267" i="2"/>
  <c r="J267" i="2"/>
  <c r="I267" i="2"/>
  <c r="H267" i="2"/>
  <c r="G267" i="2"/>
  <c r="F267" i="2"/>
  <c r="E267" i="2"/>
  <c r="D267" i="2"/>
  <c r="C267" i="2"/>
  <c r="B267" i="2"/>
  <c r="A267" i="2"/>
  <c r="S266" i="2"/>
  <c r="R266" i="2"/>
  <c r="Q266" i="2"/>
  <c r="P266" i="2"/>
  <c r="O266" i="2"/>
  <c r="N266" i="2"/>
  <c r="M266" i="2"/>
  <c r="L266" i="2"/>
  <c r="K266" i="2"/>
  <c r="J266" i="2"/>
  <c r="I266" i="2"/>
  <c r="H266" i="2"/>
  <c r="G266" i="2"/>
  <c r="F266" i="2"/>
  <c r="E266" i="2"/>
  <c r="D266" i="2"/>
  <c r="C266" i="2"/>
  <c r="B266" i="2"/>
  <c r="A266" i="2"/>
  <c r="S265" i="2"/>
  <c r="R265" i="2"/>
  <c r="Q265" i="2"/>
  <c r="P265" i="2"/>
  <c r="O265" i="2"/>
  <c r="N265" i="2"/>
  <c r="M265" i="2"/>
  <c r="L265" i="2"/>
  <c r="K265" i="2"/>
  <c r="J265" i="2"/>
  <c r="I265" i="2"/>
  <c r="H265" i="2"/>
  <c r="G265" i="2"/>
  <c r="F265" i="2"/>
  <c r="E265" i="2"/>
  <c r="D265" i="2"/>
  <c r="C265" i="2"/>
  <c r="B265" i="2"/>
  <c r="A265" i="2"/>
  <c r="S264" i="2"/>
  <c r="R264" i="2"/>
  <c r="Q264" i="2"/>
  <c r="P264" i="2"/>
  <c r="O264" i="2"/>
  <c r="N264" i="2"/>
  <c r="M264" i="2"/>
  <c r="L264" i="2"/>
  <c r="K264" i="2"/>
  <c r="J264" i="2"/>
  <c r="I264" i="2"/>
  <c r="H264" i="2"/>
  <c r="G264" i="2"/>
  <c r="F264" i="2"/>
  <c r="E264" i="2"/>
  <c r="D264" i="2"/>
  <c r="C264" i="2"/>
  <c r="B264" i="2"/>
  <c r="A264" i="2"/>
  <c r="S263" i="2"/>
  <c r="R263" i="2"/>
  <c r="Q263" i="2"/>
  <c r="P263" i="2"/>
  <c r="O263" i="2"/>
  <c r="N263" i="2"/>
  <c r="M263" i="2"/>
  <c r="L263" i="2"/>
  <c r="K263" i="2"/>
  <c r="J263" i="2"/>
  <c r="I263" i="2"/>
  <c r="H263" i="2"/>
  <c r="G263" i="2"/>
  <c r="F263" i="2"/>
  <c r="E263" i="2"/>
  <c r="D263" i="2"/>
  <c r="C263" i="2"/>
  <c r="B263" i="2"/>
  <c r="A263" i="2"/>
  <c r="S262" i="2"/>
  <c r="R262" i="2"/>
  <c r="Q262" i="2"/>
  <c r="P262" i="2"/>
  <c r="O262" i="2"/>
  <c r="N262" i="2"/>
  <c r="M262" i="2"/>
  <c r="L262" i="2"/>
  <c r="K262" i="2"/>
  <c r="J262" i="2"/>
  <c r="I262" i="2"/>
  <c r="H262" i="2"/>
  <c r="G262" i="2"/>
  <c r="F262" i="2"/>
  <c r="E262" i="2"/>
  <c r="D262" i="2"/>
  <c r="C262" i="2"/>
  <c r="B262" i="2"/>
  <c r="A262" i="2"/>
  <c r="S261" i="2"/>
  <c r="R261" i="2"/>
  <c r="Q261" i="2"/>
  <c r="P261" i="2"/>
  <c r="O261" i="2"/>
  <c r="N261" i="2"/>
  <c r="M261" i="2"/>
  <c r="L261" i="2"/>
  <c r="K261" i="2"/>
  <c r="J261" i="2"/>
  <c r="I261" i="2"/>
  <c r="H261" i="2"/>
  <c r="G261" i="2"/>
  <c r="F261" i="2"/>
  <c r="E261" i="2"/>
  <c r="D261" i="2"/>
  <c r="C261" i="2"/>
  <c r="B261" i="2"/>
  <c r="A261" i="2"/>
  <c r="S260" i="2"/>
  <c r="R260" i="2"/>
  <c r="Q260" i="2"/>
  <c r="P260" i="2"/>
  <c r="O260" i="2"/>
  <c r="N260" i="2"/>
  <c r="M260" i="2"/>
  <c r="L260" i="2"/>
  <c r="K260" i="2"/>
  <c r="J260" i="2"/>
  <c r="I260" i="2"/>
  <c r="H260" i="2"/>
  <c r="G260" i="2"/>
  <c r="F260" i="2"/>
  <c r="E260" i="2"/>
  <c r="D260" i="2"/>
  <c r="C260" i="2"/>
  <c r="B260" i="2"/>
  <c r="A260" i="2"/>
  <c r="S259" i="2"/>
  <c r="R259" i="2"/>
  <c r="Q259" i="2"/>
  <c r="P259" i="2"/>
  <c r="O259" i="2"/>
  <c r="N259" i="2"/>
  <c r="M259" i="2"/>
  <c r="L259" i="2"/>
  <c r="K259" i="2"/>
  <c r="J259" i="2"/>
  <c r="I259" i="2"/>
  <c r="H259" i="2"/>
  <c r="G259" i="2"/>
  <c r="F259" i="2"/>
  <c r="E259" i="2"/>
  <c r="D259" i="2"/>
  <c r="C259" i="2"/>
  <c r="B259" i="2"/>
  <c r="A259" i="2"/>
  <c r="S258" i="2"/>
  <c r="R258" i="2"/>
  <c r="Q258" i="2"/>
  <c r="P258" i="2"/>
  <c r="O258" i="2"/>
  <c r="N258" i="2"/>
  <c r="M258" i="2"/>
  <c r="L258" i="2"/>
  <c r="K258" i="2"/>
  <c r="J258" i="2"/>
  <c r="I258" i="2"/>
  <c r="H258" i="2"/>
  <c r="G258" i="2"/>
  <c r="F258" i="2"/>
  <c r="E258" i="2"/>
  <c r="D258" i="2"/>
  <c r="C258" i="2"/>
  <c r="B258" i="2"/>
  <c r="A258" i="2"/>
  <c r="S257" i="2"/>
  <c r="R257" i="2"/>
  <c r="Q257" i="2"/>
  <c r="P257" i="2"/>
  <c r="O257" i="2"/>
  <c r="N257" i="2"/>
  <c r="M257" i="2"/>
  <c r="L257" i="2"/>
  <c r="K257" i="2"/>
  <c r="J257" i="2"/>
  <c r="I257" i="2"/>
  <c r="H257" i="2"/>
  <c r="G257" i="2"/>
  <c r="F257" i="2"/>
  <c r="E257" i="2"/>
  <c r="D257" i="2"/>
  <c r="C257" i="2"/>
  <c r="B257" i="2"/>
  <c r="A257" i="2"/>
  <c r="S256" i="2"/>
  <c r="R256" i="2"/>
  <c r="Q256" i="2"/>
  <c r="P256" i="2"/>
  <c r="O256" i="2"/>
  <c r="N256" i="2"/>
  <c r="M256" i="2"/>
  <c r="L256" i="2"/>
  <c r="K256" i="2"/>
  <c r="J256" i="2"/>
  <c r="I256" i="2"/>
  <c r="H256" i="2"/>
  <c r="G256" i="2"/>
  <c r="F256" i="2"/>
  <c r="E256" i="2"/>
  <c r="D256" i="2"/>
  <c r="C256" i="2"/>
  <c r="B256" i="2"/>
  <c r="A256" i="2"/>
  <c r="S255" i="2"/>
  <c r="R255" i="2"/>
  <c r="Q255" i="2"/>
  <c r="P255" i="2"/>
  <c r="O255" i="2"/>
  <c r="N255" i="2"/>
  <c r="M255" i="2"/>
  <c r="L255" i="2"/>
  <c r="K255" i="2"/>
  <c r="J255" i="2"/>
  <c r="I255" i="2"/>
  <c r="H255" i="2"/>
  <c r="G255" i="2"/>
  <c r="F255" i="2"/>
  <c r="E255" i="2"/>
  <c r="D255" i="2"/>
  <c r="C255" i="2"/>
  <c r="B255" i="2"/>
  <c r="A255" i="2"/>
  <c r="S254" i="2"/>
  <c r="R254" i="2"/>
  <c r="Q254" i="2"/>
  <c r="P254" i="2"/>
  <c r="O254" i="2"/>
  <c r="N254" i="2"/>
  <c r="M254" i="2"/>
  <c r="L254" i="2"/>
  <c r="K254" i="2"/>
  <c r="J254" i="2"/>
  <c r="I254" i="2"/>
  <c r="H254" i="2"/>
  <c r="G254" i="2"/>
  <c r="F254" i="2"/>
  <c r="E254" i="2"/>
  <c r="D254" i="2"/>
  <c r="C254" i="2"/>
  <c r="B254" i="2"/>
  <c r="A254" i="2"/>
  <c r="S253" i="2"/>
  <c r="R253" i="2"/>
  <c r="Q253" i="2"/>
  <c r="P253" i="2"/>
  <c r="O253" i="2"/>
  <c r="N253" i="2"/>
  <c r="M253" i="2"/>
  <c r="L253" i="2"/>
  <c r="K253" i="2"/>
  <c r="J253" i="2"/>
  <c r="I253" i="2"/>
  <c r="H253" i="2"/>
  <c r="G253" i="2"/>
  <c r="F253" i="2"/>
  <c r="E253" i="2"/>
  <c r="D253" i="2"/>
  <c r="C253" i="2"/>
  <c r="B253" i="2"/>
  <c r="A253" i="2"/>
  <c r="S252" i="2"/>
  <c r="R252" i="2"/>
  <c r="Q252" i="2"/>
  <c r="P252" i="2"/>
  <c r="O252" i="2"/>
  <c r="N252" i="2"/>
  <c r="M252" i="2"/>
  <c r="L252" i="2"/>
  <c r="K252" i="2"/>
  <c r="J252" i="2"/>
  <c r="I252" i="2"/>
  <c r="H252" i="2"/>
  <c r="G252" i="2"/>
  <c r="F252" i="2"/>
  <c r="E252" i="2"/>
  <c r="D252" i="2"/>
  <c r="C252" i="2"/>
  <c r="B252" i="2"/>
  <c r="A252" i="2"/>
  <c r="S251" i="2"/>
  <c r="R251" i="2"/>
  <c r="Q251" i="2"/>
  <c r="P251" i="2"/>
  <c r="O251" i="2"/>
  <c r="N251" i="2"/>
  <c r="M251" i="2"/>
  <c r="L251" i="2"/>
  <c r="K251" i="2"/>
  <c r="J251" i="2"/>
  <c r="I251" i="2"/>
  <c r="H251" i="2"/>
  <c r="G251" i="2"/>
  <c r="F251" i="2"/>
  <c r="E251" i="2"/>
  <c r="D251" i="2"/>
  <c r="C251" i="2"/>
  <c r="B251" i="2"/>
  <c r="A251" i="2"/>
  <c r="S250" i="2"/>
  <c r="R250" i="2"/>
  <c r="Q250" i="2"/>
  <c r="P250" i="2"/>
  <c r="O250" i="2"/>
  <c r="N250" i="2"/>
  <c r="M250" i="2"/>
  <c r="L250" i="2"/>
  <c r="K250" i="2"/>
  <c r="J250" i="2"/>
  <c r="I250" i="2"/>
  <c r="H250" i="2"/>
  <c r="G250" i="2"/>
  <c r="F250" i="2"/>
  <c r="E250" i="2"/>
  <c r="D250" i="2"/>
  <c r="C250" i="2"/>
  <c r="B250" i="2"/>
  <c r="A250" i="2"/>
  <c r="S249" i="2"/>
  <c r="R249" i="2"/>
  <c r="Q249" i="2"/>
  <c r="P249" i="2"/>
  <c r="O249" i="2"/>
  <c r="N249" i="2"/>
  <c r="M249" i="2"/>
  <c r="L249" i="2"/>
  <c r="K249" i="2"/>
  <c r="J249" i="2"/>
  <c r="I249" i="2"/>
  <c r="H249" i="2"/>
  <c r="G249" i="2"/>
  <c r="F249" i="2"/>
  <c r="E249" i="2"/>
  <c r="D249" i="2"/>
  <c r="C249" i="2"/>
  <c r="B249" i="2"/>
  <c r="A249" i="2"/>
  <c r="S248" i="2"/>
  <c r="R248" i="2"/>
  <c r="Q248" i="2"/>
  <c r="P248" i="2"/>
  <c r="O248" i="2"/>
  <c r="N248" i="2"/>
  <c r="M248" i="2"/>
  <c r="L248" i="2"/>
  <c r="K248" i="2"/>
  <c r="J248" i="2"/>
  <c r="I248" i="2"/>
  <c r="H248" i="2"/>
  <c r="G248" i="2"/>
  <c r="F248" i="2"/>
  <c r="E248" i="2"/>
  <c r="D248" i="2"/>
  <c r="C248" i="2"/>
  <c r="B248" i="2"/>
  <c r="A248" i="2"/>
  <c r="S247" i="2"/>
  <c r="R247" i="2"/>
  <c r="Q247" i="2"/>
  <c r="P247" i="2"/>
  <c r="O247" i="2"/>
  <c r="N247" i="2"/>
  <c r="M247" i="2"/>
  <c r="L247" i="2"/>
  <c r="K247" i="2"/>
  <c r="J247" i="2"/>
  <c r="I247" i="2"/>
  <c r="H247" i="2"/>
  <c r="G247" i="2"/>
  <c r="F247" i="2"/>
  <c r="E247" i="2"/>
  <c r="D247" i="2"/>
  <c r="C247" i="2"/>
  <c r="B247" i="2"/>
  <c r="A247" i="2"/>
  <c r="S246" i="2"/>
  <c r="R246" i="2"/>
  <c r="Q246" i="2"/>
  <c r="P246" i="2"/>
  <c r="O246" i="2"/>
  <c r="N246" i="2"/>
  <c r="M246" i="2"/>
  <c r="L246" i="2"/>
  <c r="K246" i="2"/>
  <c r="J246" i="2"/>
  <c r="I246" i="2"/>
  <c r="H246" i="2"/>
  <c r="G246" i="2"/>
  <c r="F246" i="2"/>
  <c r="E246" i="2"/>
  <c r="D246" i="2"/>
  <c r="C246" i="2"/>
  <c r="B246" i="2"/>
  <c r="A246" i="2"/>
  <c r="S245" i="2"/>
  <c r="R245" i="2"/>
  <c r="Q245" i="2"/>
  <c r="P245" i="2"/>
  <c r="O245" i="2"/>
  <c r="N245" i="2"/>
  <c r="M245" i="2"/>
  <c r="L245" i="2"/>
  <c r="K245" i="2"/>
  <c r="J245" i="2"/>
  <c r="I245" i="2"/>
  <c r="H245" i="2"/>
  <c r="G245" i="2"/>
  <c r="F245" i="2"/>
  <c r="E245" i="2"/>
  <c r="D245" i="2"/>
  <c r="C245" i="2"/>
  <c r="B245" i="2"/>
  <c r="A245" i="2"/>
  <c r="S244" i="2"/>
  <c r="R244" i="2"/>
  <c r="Q244" i="2"/>
  <c r="P244" i="2"/>
  <c r="O244" i="2"/>
  <c r="N244" i="2"/>
  <c r="M244" i="2"/>
  <c r="L244" i="2"/>
  <c r="K244" i="2"/>
  <c r="J244" i="2"/>
  <c r="I244" i="2"/>
  <c r="H244" i="2"/>
  <c r="G244" i="2"/>
  <c r="F244" i="2"/>
  <c r="E244" i="2"/>
  <c r="D244" i="2"/>
  <c r="C244" i="2"/>
  <c r="B244" i="2"/>
  <c r="A244" i="2"/>
  <c r="S243" i="2"/>
  <c r="R243" i="2"/>
  <c r="Q243" i="2"/>
  <c r="P243" i="2"/>
  <c r="O243" i="2"/>
  <c r="N243" i="2"/>
  <c r="M243" i="2"/>
  <c r="L243" i="2"/>
  <c r="K243" i="2"/>
  <c r="J243" i="2"/>
  <c r="I243" i="2"/>
  <c r="H243" i="2"/>
  <c r="G243" i="2"/>
  <c r="F243" i="2"/>
  <c r="E243" i="2"/>
  <c r="D243" i="2"/>
  <c r="C243" i="2"/>
  <c r="B243" i="2"/>
  <c r="A243" i="2"/>
  <c r="S242" i="2"/>
  <c r="R242" i="2"/>
  <c r="Q242" i="2"/>
  <c r="P242" i="2"/>
  <c r="O242" i="2"/>
  <c r="N242" i="2"/>
  <c r="M242" i="2"/>
  <c r="L242" i="2"/>
  <c r="K242" i="2"/>
  <c r="J242" i="2"/>
  <c r="I242" i="2"/>
  <c r="H242" i="2"/>
  <c r="G242" i="2"/>
  <c r="F242" i="2"/>
  <c r="E242" i="2"/>
  <c r="D242" i="2"/>
  <c r="C242" i="2"/>
  <c r="B242" i="2"/>
  <c r="A242" i="2"/>
  <c r="S241" i="2"/>
  <c r="R241" i="2"/>
  <c r="Q241" i="2"/>
  <c r="P241" i="2"/>
  <c r="O241" i="2"/>
  <c r="N241" i="2"/>
  <c r="M241" i="2"/>
  <c r="L241" i="2"/>
  <c r="K241" i="2"/>
  <c r="J241" i="2"/>
  <c r="I241" i="2"/>
  <c r="H241" i="2"/>
  <c r="G241" i="2"/>
  <c r="F241" i="2"/>
  <c r="E241" i="2"/>
  <c r="D241" i="2"/>
  <c r="C241" i="2"/>
  <c r="B241" i="2"/>
  <c r="A241" i="2"/>
  <c r="S240" i="2"/>
  <c r="R240" i="2"/>
  <c r="Q240" i="2"/>
  <c r="P240" i="2"/>
  <c r="O240" i="2"/>
  <c r="N240" i="2"/>
  <c r="M240" i="2"/>
  <c r="L240" i="2"/>
  <c r="K240" i="2"/>
  <c r="J240" i="2"/>
  <c r="I240" i="2"/>
  <c r="H240" i="2"/>
  <c r="G240" i="2"/>
  <c r="F240" i="2"/>
  <c r="E240" i="2"/>
  <c r="D240" i="2"/>
  <c r="C240" i="2"/>
  <c r="B240" i="2"/>
  <c r="A240" i="2"/>
  <c r="S239" i="2"/>
  <c r="R239" i="2"/>
  <c r="Q239" i="2"/>
  <c r="P239" i="2"/>
  <c r="O239" i="2"/>
  <c r="N239" i="2"/>
  <c r="M239" i="2"/>
  <c r="L239" i="2"/>
  <c r="K239" i="2"/>
  <c r="J239" i="2"/>
  <c r="I239" i="2"/>
  <c r="H239" i="2"/>
  <c r="G239" i="2"/>
  <c r="F239" i="2"/>
  <c r="E239" i="2"/>
  <c r="D239" i="2"/>
  <c r="C239" i="2"/>
  <c r="B239" i="2"/>
  <c r="A239" i="2"/>
  <c r="S238" i="2"/>
  <c r="R238" i="2"/>
  <c r="Q238" i="2"/>
  <c r="P238" i="2"/>
  <c r="O238" i="2"/>
  <c r="N238" i="2"/>
  <c r="M238" i="2"/>
  <c r="L238" i="2"/>
  <c r="K238" i="2"/>
  <c r="J238" i="2"/>
  <c r="I238" i="2"/>
  <c r="H238" i="2"/>
  <c r="G238" i="2"/>
  <c r="F238" i="2"/>
  <c r="E238" i="2"/>
  <c r="D238" i="2"/>
  <c r="C238" i="2"/>
  <c r="B238" i="2"/>
  <c r="A238" i="2"/>
  <c r="S237" i="2"/>
  <c r="R237" i="2"/>
  <c r="Q237" i="2"/>
  <c r="P237" i="2"/>
  <c r="O237" i="2"/>
  <c r="N237" i="2"/>
  <c r="M237" i="2"/>
  <c r="L237" i="2"/>
  <c r="K237" i="2"/>
  <c r="J237" i="2"/>
  <c r="I237" i="2"/>
  <c r="H237" i="2"/>
  <c r="G237" i="2"/>
  <c r="F237" i="2"/>
  <c r="E237" i="2"/>
  <c r="D237" i="2"/>
  <c r="C237" i="2"/>
  <c r="B237" i="2"/>
  <c r="A237" i="2"/>
  <c r="S236" i="2"/>
  <c r="R236" i="2"/>
  <c r="Q236" i="2"/>
  <c r="P236" i="2"/>
  <c r="O236" i="2"/>
  <c r="N236" i="2"/>
  <c r="M236" i="2"/>
  <c r="L236" i="2"/>
  <c r="K236" i="2"/>
  <c r="J236" i="2"/>
  <c r="I236" i="2"/>
  <c r="H236" i="2"/>
  <c r="G236" i="2"/>
  <c r="F236" i="2"/>
  <c r="E236" i="2"/>
  <c r="D236" i="2"/>
  <c r="C236" i="2"/>
  <c r="B236" i="2"/>
  <c r="A236" i="2"/>
  <c r="S235" i="2"/>
  <c r="R235" i="2"/>
  <c r="Q235" i="2"/>
  <c r="P235" i="2"/>
  <c r="O235" i="2"/>
  <c r="N235" i="2"/>
  <c r="M235" i="2"/>
  <c r="L235" i="2"/>
  <c r="K235" i="2"/>
  <c r="J235" i="2"/>
  <c r="I235" i="2"/>
  <c r="H235" i="2"/>
  <c r="G235" i="2"/>
  <c r="F235" i="2"/>
  <c r="E235" i="2"/>
  <c r="D235" i="2"/>
  <c r="C235" i="2"/>
  <c r="B235" i="2"/>
  <c r="A235" i="2"/>
  <c r="S234" i="2"/>
  <c r="R234" i="2"/>
  <c r="Q234" i="2"/>
  <c r="P234" i="2"/>
  <c r="O234" i="2"/>
  <c r="N234" i="2"/>
  <c r="M234" i="2"/>
  <c r="L234" i="2"/>
  <c r="K234" i="2"/>
  <c r="J234" i="2"/>
  <c r="I234" i="2"/>
  <c r="H234" i="2"/>
  <c r="G234" i="2"/>
  <c r="F234" i="2"/>
  <c r="E234" i="2"/>
  <c r="D234" i="2"/>
  <c r="C234" i="2"/>
  <c r="B234" i="2"/>
  <c r="A234" i="2"/>
  <c r="S233" i="2"/>
  <c r="R233" i="2"/>
  <c r="Q233" i="2"/>
  <c r="P233" i="2"/>
  <c r="O233" i="2"/>
  <c r="N233" i="2"/>
  <c r="M233" i="2"/>
  <c r="L233" i="2"/>
  <c r="K233" i="2"/>
  <c r="J233" i="2"/>
  <c r="I233" i="2"/>
  <c r="H233" i="2"/>
  <c r="G233" i="2"/>
  <c r="F233" i="2"/>
  <c r="E233" i="2"/>
  <c r="D233" i="2"/>
  <c r="C233" i="2"/>
  <c r="B233" i="2"/>
  <c r="A233" i="2"/>
  <c r="S232" i="2"/>
  <c r="R232" i="2"/>
  <c r="Q232" i="2"/>
  <c r="P232" i="2"/>
  <c r="O232" i="2"/>
  <c r="N232" i="2"/>
  <c r="M232" i="2"/>
  <c r="L232" i="2"/>
  <c r="K232" i="2"/>
  <c r="J232" i="2"/>
  <c r="I232" i="2"/>
  <c r="H232" i="2"/>
  <c r="G232" i="2"/>
  <c r="F232" i="2"/>
  <c r="E232" i="2"/>
  <c r="D232" i="2"/>
  <c r="C232" i="2"/>
  <c r="B232" i="2"/>
  <c r="A232" i="2"/>
  <c r="S231" i="2"/>
  <c r="R231" i="2"/>
  <c r="Q231" i="2"/>
  <c r="P231" i="2"/>
  <c r="O231" i="2"/>
  <c r="N231" i="2"/>
  <c r="M231" i="2"/>
  <c r="L231" i="2"/>
  <c r="K231" i="2"/>
  <c r="J231" i="2"/>
  <c r="I231" i="2"/>
  <c r="H231" i="2"/>
  <c r="G231" i="2"/>
  <c r="F231" i="2"/>
  <c r="E231" i="2"/>
  <c r="D231" i="2"/>
  <c r="C231" i="2"/>
  <c r="B231" i="2"/>
  <c r="A231" i="2"/>
  <c r="S230" i="2"/>
  <c r="R230" i="2"/>
  <c r="Q230" i="2"/>
  <c r="P230" i="2"/>
  <c r="O230" i="2"/>
  <c r="N230" i="2"/>
  <c r="M230" i="2"/>
  <c r="L230" i="2"/>
  <c r="K230" i="2"/>
  <c r="J230" i="2"/>
  <c r="I230" i="2"/>
  <c r="H230" i="2"/>
  <c r="G230" i="2"/>
  <c r="F230" i="2"/>
  <c r="E230" i="2"/>
  <c r="D230" i="2"/>
  <c r="C230" i="2"/>
  <c r="B230" i="2"/>
  <c r="A230" i="2"/>
  <c r="S229" i="2"/>
  <c r="R229" i="2"/>
  <c r="Q229" i="2"/>
  <c r="P229" i="2"/>
  <c r="O229" i="2"/>
  <c r="N229" i="2"/>
  <c r="M229" i="2"/>
  <c r="L229" i="2"/>
  <c r="K229" i="2"/>
  <c r="J229" i="2"/>
  <c r="I229" i="2"/>
  <c r="H229" i="2"/>
  <c r="G229" i="2"/>
  <c r="F229" i="2"/>
  <c r="E229" i="2"/>
  <c r="D229" i="2"/>
  <c r="C229" i="2"/>
  <c r="B229" i="2"/>
  <c r="A229" i="2"/>
  <c r="S228" i="2"/>
  <c r="R228" i="2"/>
  <c r="Q228" i="2"/>
  <c r="P228" i="2"/>
  <c r="O228" i="2"/>
  <c r="N228" i="2"/>
  <c r="M228" i="2"/>
  <c r="L228" i="2"/>
  <c r="K228" i="2"/>
  <c r="J228" i="2"/>
  <c r="I228" i="2"/>
  <c r="H228" i="2"/>
  <c r="G228" i="2"/>
  <c r="F228" i="2"/>
  <c r="E228" i="2"/>
  <c r="D228" i="2"/>
  <c r="C228" i="2"/>
  <c r="B228" i="2"/>
  <c r="A228" i="2"/>
  <c r="S227" i="2"/>
  <c r="R227" i="2"/>
  <c r="Q227" i="2"/>
  <c r="P227" i="2"/>
  <c r="O227" i="2"/>
  <c r="N227" i="2"/>
  <c r="M227" i="2"/>
  <c r="L227" i="2"/>
  <c r="K227" i="2"/>
  <c r="J227" i="2"/>
  <c r="I227" i="2"/>
  <c r="H227" i="2"/>
  <c r="G227" i="2"/>
  <c r="F227" i="2"/>
  <c r="E227" i="2"/>
  <c r="D227" i="2"/>
  <c r="C227" i="2"/>
  <c r="B227" i="2"/>
  <c r="A227" i="2"/>
  <c r="S226" i="2"/>
  <c r="R226" i="2"/>
  <c r="Q226" i="2"/>
  <c r="P226" i="2"/>
  <c r="O226" i="2"/>
  <c r="N226" i="2"/>
  <c r="M226" i="2"/>
  <c r="L226" i="2"/>
  <c r="K226" i="2"/>
  <c r="J226" i="2"/>
  <c r="I226" i="2"/>
  <c r="H226" i="2"/>
  <c r="G226" i="2"/>
  <c r="F226" i="2"/>
  <c r="E226" i="2"/>
  <c r="D226" i="2"/>
  <c r="C226" i="2"/>
  <c r="B226" i="2"/>
  <c r="A226" i="2"/>
  <c r="S225" i="2"/>
  <c r="R225" i="2"/>
  <c r="Q225" i="2"/>
  <c r="P225" i="2"/>
  <c r="O225" i="2"/>
  <c r="N225" i="2"/>
  <c r="M225" i="2"/>
  <c r="L225" i="2"/>
  <c r="K225" i="2"/>
  <c r="J225" i="2"/>
  <c r="I225" i="2"/>
  <c r="H225" i="2"/>
  <c r="G225" i="2"/>
  <c r="F225" i="2"/>
  <c r="E225" i="2"/>
  <c r="D225" i="2"/>
  <c r="C225" i="2"/>
  <c r="B225" i="2"/>
  <c r="A225" i="2"/>
  <c r="S224" i="2"/>
  <c r="R224" i="2"/>
  <c r="Q224" i="2"/>
  <c r="P224" i="2"/>
  <c r="O224" i="2"/>
  <c r="N224" i="2"/>
  <c r="M224" i="2"/>
  <c r="L224" i="2"/>
  <c r="K224" i="2"/>
  <c r="J224" i="2"/>
  <c r="I224" i="2"/>
  <c r="H224" i="2"/>
  <c r="G224" i="2"/>
  <c r="F224" i="2"/>
  <c r="E224" i="2"/>
  <c r="D224" i="2"/>
  <c r="C224" i="2"/>
  <c r="B224" i="2"/>
  <c r="A224" i="2"/>
  <c r="S223" i="2"/>
  <c r="R223" i="2"/>
  <c r="Q223" i="2"/>
  <c r="P223" i="2"/>
  <c r="O223" i="2"/>
  <c r="N223" i="2"/>
  <c r="M223" i="2"/>
  <c r="L223" i="2"/>
  <c r="K223" i="2"/>
  <c r="J223" i="2"/>
  <c r="I223" i="2"/>
  <c r="H223" i="2"/>
  <c r="G223" i="2"/>
  <c r="F223" i="2"/>
  <c r="E223" i="2"/>
  <c r="D223" i="2"/>
  <c r="C223" i="2"/>
  <c r="B223" i="2"/>
  <c r="A223" i="2"/>
  <c r="S222" i="2"/>
  <c r="R222" i="2"/>
  <c r="Q222" i="2"/>
  <c r="P222" i="2"/>
  <c r="O222" i="2"/>
  <c r="N222" i="2"/>
  <c r="M222" i="2"/>
  <c r="L222" i="2"/>
  <c r="K222" i="2"/>
  <c r="J222" i="2"/>
  <c r="I222" i="2"/>
  <c r="H222" i="2"/>
  <c r="G222" i="2"/>
  <c r="F222" i="2"/>
  <c r="E222" i="2"/>
  <c r="D222" i="2"/>
  <c r="C222" i="2"/>
  <c r="B222" i="2"/>
  <c r="A222" i="2"/>
  <c r="S221" i="2"/>
  <c r="R221" i="2"/>
  <c r="Q221" i="2"/>
  <c r="P221" i="2"/>
  <c r="O221" i="2"/>
  <c r="N221" i="2"/>
  <c r="M221" i="2"/>
  <c r="L221" i="2"/>
  <c r="K221" i="2"/>
  <c r="J221" i="2"/>
  <c r="I221" i="2"/>
  <c r="H221" i="2"/>
  <c r="G221" i="2"/>
  <c r="F221" i="2"/>
  <c r="E221" i="2"/>
  <c r="D221" i="2"/>
  <c r="C221" i="2"/>
  <c r="B221" i="2"/>
  <c r="A221" i="2"/>
  <c r="S220" i="2"/>
  <c r="R220" i="2"/>
  <c r="Q220" i="2"/>
  <c r="P220" i="2"/>
  <c r="O220" i="2"/>
  <c r="N220" i="2"/>
  <c r="M220" i="2"/>
  <c r="L220" i="2"/>
  <c r="K220" i="2"/>
  <c r="J220" i="2"/>
  <c r="I220" i="2"/>
  <c r="H220" i="2"/>
  <c r="G220" i="2"/>
  <c r="F220" i="2"/>
  <c r="E220" i="2"/>
  <c r="D220" i="2"/>
  <c r="C220" i="2"/>
  <c r="B220" i="2"/>
  <c r="A220" i="2"/>
  <c r="S219" i="2"/>
  <c r="R219" i="2"/>
  <c r="Q219" i="2"/>
  <c r="P219" i="2"/>
  <c r="O219" i="2"/>
  <c r="N219" i="2"/>
  <c r="M219" i="2"/>
  <c r="L219" i="2"/>
  <c r="K219" i="2"/>
  <c r="J219" i="2"/>
  <c r="I219" i="2"/>
  <c r="H219" i="2"/>
  <c r="G219" i="2"/>
  <c r="F219" i="2"/>
  <c r="E219" i="2"/>
  <c r="D219" i="2"/>
  <c r="C219" i="2"/>
  <c r="B219" i="2"/>
  <c r="A219" i="2"/>
  <c r="S218" i="2"/>
  <c r="R218" i="2"/>
  <c r="Q218" i="2"/>
  <c r="P218" i="2"/>
  <c r="O218" i="2"/>
  <c r="N218" i="2"/>
  <c r="M218" i="2"/>
  <c r="L218" i="2"/>
  <c r="K218" i="2"/>
  <c r="J218" i="2"/>
  <c r="I218" i="2"/>
  <c r="H218" i="2"/>
  <c r="G218" i="2"/>
  <c r="F218" i="2"/>
  <c r="E218" i="2"/>
  <c r="D218" i="2"/>
  <c r="C218" i="2"/>
  <c r="B218" i="2"/>
  <c r="A218" i="2"/>
  <c r="S217" i="2"/>
  <c r="R217" i="2"/>
  <c r="Q217" i="2"/>
  <c r="P217" i="2"/>
  <c r="O217" i="2"/>
  <c r="N217" i="2"/>
  <c r="M217" i="2"/>
  <c r="L217" i="2"/>
  <c r="K217" i="2"/>
  <c r="J217" i="2"/>
  <c r="I217" i="2"/>
  <c r="H217" i="2"/>
  <c r="G217" i="2"/>
  <c r="F217" i="2"/>
  <c r="E217" i="2"/>
  <c r="D217" i="2"/>
  <c r="C217" i="2"/>
  <c r="B217" i="2"/>
  <c r="A217" i="2"/>
  <c r="S216" i="2"/>
  <c r="R216" i="2"/>
  <c r="Q216" i="2"/>
  <c r="P216" i="2"/>
  <c r="O216" i="2"/>
  <c r="N216" i="2"/>
  <c r="M216" i="2"/>
  <c r="L216" i="2"/>
  <c r="K216" i="2"/>
  <c r="J216" i="2"/>
  <c r="I216" i="2"/>
  <c r="H216" i="2"/>
  <c r="G216" i="2"/>
  <c r="F216" i="2"/>
  <c r="E216" i="2"/>
  <c r="D216" i="2"/>
  <c r="C216" i="2"/>
  <c r="B216" i="2"/>
  <c r="A216" i="2"/>
  <c r="S215" i="2"/>
  <c r="R215" i="2"/>
  <c r="Q215" i="2"/>
  <c r="P215" i="2"/>
  <c r="O215" i="2"/>
  <c r="N215" i="2"/>
  <c r="M215" i="2"/>
  <c r="L215" i="2"/>
  <c r="K215" i="2"/>
  <c r="J215" i="2"/>
  <c r="I215" i="2"/>
  <c r="H215" i="2"/>
  <c r="G215" i="2"/>
  <c r="F215" i="2"/>
  <c r="E215" i="2"/>
  <c r="D215" i="2"/>
  <c r="C215" i="2"/>
  <c r="B215" i="2"/>
  <c r="A215" i="2"/>
  <c r="S214" i="2"/>
  <c r="R214" i="2"/>
  <c r="Q214" i="2"/>
  <c r="P214" i="2"/>
  <c r="O214" i="2"/>
  <c r="N214" i="2"/>
  <c r="M214" i="2"/>
  <c r="L214" i="2"/>
  <c r="K214" i="2"/>
  <c r="J214" i="2"/>
  <c r="I214" i="2"/>
  <c r="H214" i="2"/>
  <c r="G214" i="2"/>
  <c r="F214" i="2"/>
  <c r="E214" i="2"/>
  <c r="D214" i="2"/>
  <c r="C214" i="2"/>
  <c r="B214" i="2"/>
  <c r="A214" i="2"/>
  <c r="S213" i="2"/>
  <c r="R213" i="2"/>
  <c r="Q213" i="2"/>
  <c r="P213" i="2"/>
  <c r="O213" i="2"/>
  <c r="N213" i="2"/>
  <c r="M213" i="2"/>
  <c r="L213" i="2"/>
  <c r="K213" i="2"/>
  <c r="J213" i="2"/>
  <c r="I213" i="2"/>
  <c r="H213" i="2"/>
  <c r="G213" i="2"/>
  <c r="F213" i="2"/>
  <c r="E213" i="2"/>
  <c r="D213" i="2"/>
  <c r="C213" i="2"/>
  <c r="B213" i="2"/>
  <c r="A213" i="2"/>
  <c r="S212" i="2"/>
  <c r="R212" i="2"/>
  <c r="Q212" i="2"/>
  <c r="P212" i="2"/>
  <c r="O212" i="2"/>
  <c r="N212" i="2"/>
  <c r="M212" i="2"/>
  <c r="L212" i="2"/>
  <c r="K212" i="2"/>
  <c r="J212" i="2"/>
  <c r="I212" i="2"/>
  <c r="H212" i="2"/>
  <c r="G212" i="2"/>
  <c r="F212" i="2"/>
  <c r="E212" i="2"/>
  <c r="D212" i="2"/>
  <c r="C212" i="2"/>
  <c r="B212" i="2"/>
  <c r="A212" i="2"/>
  <c r="S211" i="2"/>
  <c r="R211" i="2"/>
  <c r="Q211" i="2"/>
  <c r="P211" i="2"/>
  <c r="O211" i="2"/>
  <c r="N211" i="2"/>
  <c r="M211" i="2"/>
  <c r="L211" i="2"/>
  <c r="K211" i="2"/>
  <c r="J211" i="2"/>
  <c r="I211" i="2"/>
  <c r="H211" i="2"/>
  <c r="G211" i="2"/>
  <c r="F211" i="2"/>
  <c r="E211" i="2"/>
  <c r="D211" i="2"/>
  <c r="C211" i="2"/>
  <c r="B211" i="2"/>
  <c r="A211" i="2"/>
  <c r="S210" i="2"/>
  <c r="R210" i="2"/>
  <c r="Q210" i="2"/>
  <c r="P210" i="2"/>
  <c r="O210" i="2"/>
  <c r="N210" i="2"/>
  <c r="M210" i="2"/>
  <c r="L210" i="2"/>
  <c r="K210" i="2"/>
  <c r="J210" i="2"/>
  <c r="I210" i="2"/>
  <c r="H210" i="2"/>
  <c r="G210" i="2"/>
  <c r="F210" i="2"/>
  <c r="E210" i="2"/>
  <c r="D210" i="2"/>
  <c r="C210" i="2"/>
  <c r="B210" i="2"/>
  <c r="A210" i="2"/>
  <c r="S209" i="2"/>
  <c r="R209" i="2"/>
  <c r="Q209" i="2"/>
  <c r="P209" i="2"/>
  <c r="O209" i="2"/>
  <c r="N209" i="2"/>
  <c r="M209" i="2"/>
  <c r="L209" i="2"/>
  <c r="K209" i="2"/>
  <c r="J209" i="2"/>
  <c r="I209" i="2"/>
  <c r="H209" i="2"/>
  <c r="G209" i="2"/>
  <c r="F209" i="2"/>
  <c r="E209" i="2"/>
  <c r="D209" i="2"/>
  <c r="C209" i="2"/>
  <c r="B209" i="2"/>
  <c r="A209" i="2"/>
  <c r="S208" i="2"/>
  <c r="R208" i="2"/>
  <c r="Q208" i="2"/>
  <c r="P208" i="2"/>
  <c r="O208" i="2"/>
  <c r="N208" i="2"/>
  <c r="M208" i="2"/>
  <c r="L208" i="2"/>
  <c r="K208" i="2"/>
  <c r="J208" i="2"/>
  <c r="I208" i="2"/>
  <c r="H208" i="2"/>
  <c r="G208" i="2"/>
  <c r="F208" i="2"/>
  <c r="E208" i="2"/>
  <c r="D208" i="2"/>
  <c r="C208" i="2"/>
  <c r="B208" i="2"/>
  <c r="A208" i="2"/>
  <c r="S207" i="2"/>
  <c r="R207" i="2"/>
  <c r="Q207" i="2"/>
  <c r="P207" i="2"/>
  <c r="O207" i="2"/>
  <c r="N207" i="2"/>
  <c r="M207" i="2"/>
  <c r="L207" i="2"/>
  <c r="K207" i="2"/>
  <c r="J207" i="2"/>
  <c r="I207" i="2"/>
  <c r="H207" i="2"/>
  <c r="G207" i="2"/>
  <c r="F207" i="2"/>
  <c r="E207" i="2"/>
  <c r="D207" i="2"/>
  <c r="C207" i="2"/>
  <c r="B207" i="2"/>
  <c r="A207" i="2"/>
  <c r="S206" i="2"/>
  <c r="R206" i="2"/>
  <c r="Q206" i="2"/>
  <c r="P206" i="2"/>
  <c r="O206" i="2"/>
  <c r="N206" i="2"/>
  <c r="M206" i="2"/>
  <c r="L206" i="2"/>
  <c r="K206" i="2"/>
  <c r="J206" i="2"/>
  <c r="I206" i="2"/>
  <c r="H206" i="2"/>
  <c r="G206" i="2"/>
  <c r="F206" i="2"/>
  <c r="E206" i="2"/>
  <c r="D206" i="2"/>
  <c r="C206" i="2"/>
  <c r="B206" i="2"/>
  <c r="A206" i="2"/>
  <c r="S205" i="2"/>
  <c r="R205" i="2"/>
  <c r="Q205" i="2"/>
  <c r="P205" i="2"/>
  <c r="O205" i="2"/>
  <c r="N205" i="2"/>
  <c r="M205" i="2"/>
  <c r="L205" i="2"/>
  <c r="K205" i="2"/>
  <c r="J205" i="2"/>
  <c r="I205" i="2"/>
  <c r="H205" i="2"/>
  <c r="G205" i="2"/>
  <c r="F205" i="2"/>
  <c r="E205" i="2"/>
  <c r="D205" i="2"/>
  <c r="C205" i="2"/>
  <c r="B205" i="2"/>
  <c r="A205" i="2"/>
  <c r="S204" i="2"/>
  <c r="R204" i="2"/>
  <c r="Q204" i="2"/>
  <c r="P204" i="2"/>
  <c r="O204" i="2"/>
  <c r="N204" i="2"/>
  <c r="M204" i="2"/>
  <c r="L204" i="2"/>
  <c r="K204" i="2"/>
  <c r="J204" i="2"/>
  <c r="I204" i="2"/>
  <c r="H204" i="2"/>
  <c r="G204" i="2"/>
  <c r="F204" i="2"/>
  <c r="E204" i="2"/>
  <c r="D204" i="2"/>
  <c r="C204" i="2"/>
  <c r="B204" i="2"/>
  <c r="A204" i="2"/>
  <c r="S203" i="2"/>
  <c r="R203" i="2"/>
  <c r="Q203" i="2"/>
  <c r="P203" i="2"/>
  <c r="O203" i="2"/>
  <c r="N203" i="2"/>
  <c r="M203" i="2"/>
  <c r="L203" i="2"/>
  <c r="K203" i="2"/>
  <c r="J203" i="2"/>
  <c r="I203" i="2"/>
  <c r="H203" i="2"/>
  <c r="G203" i="2"/>
  <c r="F203" i="2"/>
  <c r="E203" i="2"/>
  <c r="D203" i="2"/>
  <c r="C203" i="2"/>
  <c r="B203" i="2"/>
  <c r="A203" i="2"/>
  <c r="S202" i="2"/>
  <c r="R202" i="2"/>
  <c r="Q202" i="2"/>
  <c r="P202" i="2"/>
  <c r="O202" i="2"/>
  <c r="N202" i="2"/>
  <c r="M202" i="2"/>
  <c r="L202" i="2"/>
  <c r="K202" i="2"/>
  <c r="J202" i="2"/>
  <c r="I202" i="2"/>
  <c r="H202" i="2"/>
  <c r="G202" i="2"/>
  <c r="F202" i="2"/>
  <c r="E202" i="2"/>
  <c r="D202" i="2"/>
  <c r="C202" i="2"/>
  <c r="B202" i="2"/>
  <c r="A202" i="2"/>
  <c r="S201" i="2"/>
  <c r="R201" i="2"/>
  <c r="Q201" i="2"/>
  <c r="P201" i="2"/>
  <c r="O201" i="2"/>
  <c r="N201" i="2"/>
  <c r="M201" i="2"/>
  <c r="L201" i="2"/>
  <c r="K201" i="2"/>
  <c r="J201" i="2"/>
  <c r="I201" i="2"/>
  <c r="H201" i="2"/>
  <c r="G201" i="2"/>
  <c r="F201" i="2"/>
  <c r="E201" i="2"/>
  <c r="D201" i="2"/>
  <c r="C201" i="2"/>
  <c r="B201" i="2"/>
  <c r="A201" i="2"/>
  <c r="S200" i="2"/>
  <c r="R200" i="2"/>
  <c r="Q200" i="2"/>
  <c r="P200" i="2"/>
  <c r="O200" i="2"/>
  <c r="N200" i="2"/>
  <c r="M200" i="2"/>
  <c r="L200" i="2"/>
  <c r="K200" i="2"/>
  <c r="J200" i="2"/>
  <c r="I200" i="2"/>
  <c r="H200" i="2"/>
  <c r="G200" i="2"/>
  <c r="F200" i="2"/>
  <c r="E200" i="2"/>
  <c r="D200" i="2"/>
  <c r="C200" i="2"/>
  <c r="B200" i="2"/>
  <c r="A200" i="2"/>
  <c r="S199" i="2"/>
  <c r="R199" i="2"/>
  <c r="Q199" i="2"/>
  <c r="P199" i="2"/>
  <c r="O199" i="2"/>
  <c r="N199" i="2"/>
  <c r="M199" i="2"/>
  <c r="L199" i="2"/>
  <c r="K199" i="2"/>
  <c r="J199" i="2"/>
  <c r="I199" i="2"/>
  <c r="H199" i="2"/>
  <c r="G199" i="2"/>
  <c r="F199" i="2"/>
  <c r="E199" i="2"/>
  <c r="D199" i="2"/>
  <c r="C199" i="2"/>
  <c r="B199" i="2"/>
  <c r="A199" i="2"/>
  <c r="S198" i="2"/>
  <c r="R198" i="2"/>
  <c r="Q198" i="2"/>
  <c r="P198" i="2"/>
  <c r="O198" i="2"/>
  <c r="N198" i="2"/>
  <c r="M198" i="2"/>
  <c r="L198" i="2"/>
  <c r="K198" i="2"/>
  <c r="J198" i="2"/>
  <c r="I198" i="2"/>
  <c r="H198" i="2"/>
  <c r="G198" i="2"/>
  <c r="F198" i="2"/>
  <c r="E198" i="2"/>
  <c r="D198" i="2"/>
  <c r="C198" i="2"/>
  <c r="B198" i="2"/>
  <c r="A198" i="2"/>
  <c r="S197" i="2"/>
  <c r="R197" i="2"/>
  <c r="Q197" i="2"/>
  <c r="P197" i="2"/>
  <c r="O197" i="2"/>
  <c r="N197" i="2"/>
  <c r="M197" i="2"/>
  <c r="L197" i="2"/>
  <c r="K197" i="2"/>
  <c r="J197" i="2"/>
  <c r="I197" i="2"/>
  <c r="H197" i="2"/>
  <c r="G197" i="2"/>
  <c r="F197" i="2"/>
  <c r="E197" i="2"/>
  <c r="D197" i="2"/>
  <c r="C197" i="2"/>
  <c r="B197" i="2"/>
  <c r="A197" i="2"/>
  <c r="S196" i="2"/>
  <c r="R196" i="2"/>
  <c r="Q196" i="2"/>
  <c r="P196" i="2"/>
  <c r="O196" i="2"/>
  <c r="N196" i="2"/>
  <c r="M196" i="2"/>
  <c r="L196" i="2"/>
  <c r="K196" i="2"/>
  <c r="J196" i="2"/>
  <c r="I196" i="2"/>
  <c r="H196" i="2"/>
  <c r="G196" i="2"/>
  <c r="F196" i="2"/>
  <c r="E196" i="2"/>
  <c r="D196" i="2"/>
  <c r="C196" i="2"/>
  <c r="B196" i="2"/>
  <c r="A196" i="2"/>
  <c r="S195" i="2"/>
  <c r="R195" i="2"/>
  <c r="Q195" i="2"/>
  <c r="P195" i="2"/>
  <c r="O195" i="2"/>
  <c r="N195" i="2"/>
  <c r="M195" i="2"/>
  <c r="L195" i="2"/>
  <c r="K195" i="2"/>
  <c r="J195" i="2"/>
  <c r="I195" i="2"/>
  <c r="H195" i="2"/>
  <c r="G195" i="2"/>
  <c r="F195" i="2"/>
  <c r="E195" i="2"/>
  <c r="D195" i="2"/>
  <c r="C195" i="2"/>
  <c r="B195" i="2"/>
  <c r="A195" i="2"/>
  <c r="S194" i="2"/>
  <c r="R194" i="2"/>
  <c r="Q194" i="2"/>
  <c r="P194" i="2"/>
  <c r="O194" i="2"/>
  <c r="N194" i="2"/>
  <c r="M194" i="2"/>
  <c r="L194" i="2"/>
  <c r="K194" i="2"/>
  <c r="J194" i="2"/>
  <c r="I194" i="2"/>
  <c r="H194" i="2"/>
  <c r="G194" i="2"/>
  <c r="F194" i="2"/>
  <c r="E194" i="2"/>
  <c r="D194" i="2"/>
  <c r="C194" i="2"/>
  <c r="B194" i="2"/>
  <c r="A194" i="2"/>
  <c r="S193" i="2"/>
  <c r="R193" i="2"/>
  <c r="Q193" i="2"/>
  <c r="P193" i="2"/>
  <c r="O193" i="2"/>
  <c r="N193" i="2"/>
  <c r="M193" i="2"/>
  <c r="L193" i="2"/>
  <c r="K193" i="2"/>
  <c r="J193" i="2"/>
  <c r="I193" i="2"/>
  <c r="H193" i="2"/>
  <c r="G193" i="2"/>
  <c r="F193" i="2"/>
  <c r="E193" i="2"/>
  <c r="D193" i="2"/>
  <c r="C193" i="2"/>
  <c r="B193" i="2"/>
  <c r="A193" i="2"/>
  <c r="S192" i="2"/>
  <c r="R192" i="2"/>
  <c r="Q192" i="2"/>
  <c r="P192" i="2"/>
  <c r="O192" i="2"/>
  <c r="N192" i="2"/>
  <c r="M192" i="2"/>
  <c r="L192" i="2"/>
  <c r="K192" i="2"/>
  <c r="J192" i="2"/>
  <c r="I192" i="2"/>
  <c r="H192" i="2"/>
  <c r="G192" i="2"/>
  <c r="F192" i="2"/>
  <c r="E192" i="2"/>
  <c r="D192" i="2"/>
  <c r="C192" i="2"/>
  <c r="B192" i="2"/>
  <c r="A192" i="2"/>
  <c r="S191" i="2"/>
  <c r="R191" i="2"/>
  <c r="Q191" i="2"/>
  <c r="P191" i="2"/>
  <c r="O191" i="2"/>
  <c r="N191" i="2"/>
  <c r="M191" i="2"/>
  <c r="L191" i="2"/>
  <c r="K191" i="2"/>
  <c r="J191" i="2"/>
  <c r="I191" i="2"/>
  <c r="H191" i="2"/>
  <c r="G191" i="2"/>
  <c r="F191" i="2"/>
  <c r="E191" i="2"/>
  <c r="D191" i="2"/>
  <c r="C191" i="2"/>
  <c r="B191" i="2"/>
  <c r="A191" i="2"/>
  <c r="S190" i="2"/>
  <c r="R190" i="2"/>
  <c r="Q190" i="2"/>
  <c r="P190" i="2"/>
  <c r="O190" i="2"/>
  <c r="N190" i="2"/>
  <c r="M190" i="2"/>
  <c r="L190" i="2"/>
  <c r="K190" i="2"/>
  <c r="J190" i="2"/>
  <c r="I190" i="2"/>
  <c r="H190" i="2"/>
  <c r="G190" i="2"/>
  <c r="F190" i="2"/>
  <c r="E190" i="2"/>
  <c r="D190" i="2"/>
  <c r="C190" i="2"/>
  <c r="B190" i="2"/>
  <c r="A190" i="2"/>
  <c r="S189" i="2"/>
  <c r="R189" i="2"/>
  <c r="Q189" i="2"/>
  <c r="P189" i="2"/>
  <c r="O189" i="2"/>
  <c r="N189" i="2"/>
  <c r="M189" i="2"/>
  <c r="L189" i="2"/>
  <c r="K189" i="2"/>
  <c r="J189" i="2"/>
  <c r="I189" i="2"/>
  <c r="H189" i="2"/>
  <c r="G189" i="2"/>
  <c r="F189" i="2"/>
  <c r="E189" i="2"/>
  <c r="D189" i="2"/>
  <c r="C189" i="2"/>
  <c r="B189" i="2"/>
  <c r="A189" i="2"/>
  <c r="S188" i="2"/>
  <c r="R188" i="2"/>
  <c r="Q188" i="2"/>
  <c r="P188" i="2"/>
  <c r="O188" i="2"/>
  <c r="N188" i="2"/>
  <c r="M188" i="2"/>
  <c r="L188" i="2"/>
  <c r="K188" i="2"/>
  <c r="J188" i="2"/>
  <c r="I188" i="2"/>
  <c r="H188" i="2"/>
  <c r="G188" i="2"/>
  <c r="F188" i="2"/>
  <c r="E188" i="2"/>
  <c r="D188" i="2"/>
  <c r="C188" i="2"/>
  <c r="B188" i="2"/>
  <c r="A188" i="2"/>
  <c r="S187" i="2"/>
  <c r="R187" i="2"/>
  <c r="Q187" i="2"/>
  <c r="P187" i="2"/>
  <c r="O187" i="2"/>
  <c r="N187" i="2"/>
  <c r="M187" i="2"/>
  <c r="L187" i="2"/>
  <c r="K187" i="2"/>
  <c r="J187" i="2"/>
  <c r="I187" i="2"/>
  <c r="H187" i="2"/>
  <c r="G187" i="2"/>
  <c r="F187" i="2"/>
  <c r="E187" i="2"/>
  <c r="D187" i="2"/>
  <c r="C187" i="2"/>
  <c r="B187" i="2"/>
  <c r="A187" i="2"/>
  <c r="S186" i="2"/>
  <c r="R186" i="2"/>
  <c r="Q186" i="2"/>
  <c r="P186" i="2"/>
  <c r="O186" i="2"/>
  <c r="N186" i="2"/>
  <c r="M186" i="2"/>
  <c r="L186" i="2"/>
  <c r="K186" i="2"/>
  <c r="J186" i="2"/>
  <c r="I186" i="2"/>
  <c r="H186" i="2"/>
  <c r="G186" i="2"/>
  <c r="F186" i="2"/>
  <c r="E186" i="2"/>
  <c r="D186" i="2"/>
  <c r="C186" i="2"/>
  <c r="B186" i="2"/>
  <c r="A186" i="2"/>
  <c r="S185" i="2"/>
  <c r="R185" i="2"/>
  <c r="Q185" i="2"/>
  <c r="P185" i="2"/>
  <c r="O185" i="2"/>
  <c r="N185" i="2"/>
  <c r="M185" i="2"/>
  <c r="L185" i="2"/>
  <c r="K185" i="2"/>
  <c r="J185" i="2"/>
  <c r="I185" i="2"/>
  <c r="H185" i="2"/>
  <c r="G185" i="2"/>
  <c r="F185" i="2"/>
  <c r="E185" i="2"/>
  <c r="D185" i="2"/>
  <c r="C185" i="2"/>
  <c r="B185" i="2"/>
  <c r="A185" i="2"/>
  <c r="S184" i="2"/>
  <c r="R184" i="2"/>
  <c r="Q184" i="2"/>
  <c r="P184" i="2"/>
  <c r="O184" i="2"/>
  <c r="N184" i="2"/>
  <c r="M184" i="2"/>
  <c r="L184" i="2"/>
  <c r="K184" i="2"/>
  <c r="J184" i="2"/>
  <c r="I184" i="2"/>
  <c r="H184" i="2"/>
  <c r="G184" i="2"/>
  <c r="F184" i="2"/>
  <c r="E184" i="2"/>
  <c r="D184" i="2"/>
  <c r="C184" i="2"/>
  <c r="B184" i="2"/>
  <c r="A184" i="2"/>
  <c r="S183" i="2"/>
  <c r="R183" i="2"/>
  <c r="Q183" i="2"/>
  <c r="P183" i="2"/>
  <c r="O183" i="2"/>
  <c r="N183" i="2"/>
  <c r="M183" i="2"/>
  <c r="L183" i="2"/>
  <c r="K183" i="2"/>
  <c r="J183" i="2"/>
  <c r="I183" i="2"/>
  <c r="H183" i="2"/>
  <c r="G183" i="2"/>
  <c r="F183" i="2"/>
  <c r="E183" i="2"/>
  <c r="D183" i="2"/>
  <c r="C183" i="2"/>
  <c r="B183" i="2"/>
  <c r="A183" i="2"/>
  <c r="S182" i="2"/>
  <c r="R182" i="2"/>
  <c r="Q182" i="2"/>
  <c r="P182" i="2"/>
  <c r="O182" i="2"/>
  <c r="N182" i="2"/>
  <c r="M182" i="2"/>
  <c r="L182" i="2"/>
  <c r="K182" i="2"/>
  <c r="J182" i="2"/>
  <c r="I182" i="2"/>
  <c r="H182" i="2"/>
  <c r="G182" i="2"/>
  <c r="F182" i="2"/>
  <c r="E182" i="2"/>
  <c r="D182" i="2"/>
  <c r="C182" i="2"/>
  <c r="B182" i="2"/>
  <c r="A182" i="2"/>
  <c r="S181" i="2"/>
  <c r="R181" i="2"/>
  <c r="Q181" i="2"/>
  <c r="P181" i="2"/>
  <c r="O181" i="2"/>
  <c r="N181" i="2"/>
  <c r="M181" i="2"/>
  <c r="L181" i="2"/>
  <c r="K181" i="2"/>
  <c r="J181" i="2"/>
  <c r="I181" i="2"/>
  <c r="H181" i="2"/>
  <c r="G181" i="2"/>
  <c r="F181" i="2"/>
  <c r="E181" i="2"/>
  <c r="D181" i="2"/>
  <c r="C181" i="2"/>
  <c r="B181" i="2"/>
  <c r="A181" i="2"/>
  <c r="S180" i="2"/>
  <c r="R180" i="2"/>
  <c r="Q180" i="2"/>
  <c r="P180" i="2"/>
  <c r="O180" i="2"/>
  <c r="N180" i="2"/>
  <c r="M180" i="2"/>
  <c r="L180" i="2"/>
  <c r="K180" i="2"/>
  <c r="J180" i="2"/>
  <c r="I180" i="2"/>
  <c r="H180" i="2"/>
  <c r="G180" i="2"/>
  <c r="F180" i="2"/>
  <c r="E180" i="2"/>
  <c r="D180" i="2"/>
  <c r="C180" i="2"/>
  <c r="B180" i="2"/>
  <c r="A180" i="2"/>
  <c r="S179" i="2"/>
  <c r="R179" i="2"/>
  <c r="Q179" i="2"/>
  <c r="P179" i="2"/>
  <c r="O179" i="2"/>
  <c r="N179" i="2"/>
  <c r="M179" i="2"/>
  <c r="L179" i="2"/>
  <c r="K179" i="2"/>
  <c r="J179" i="2"/>
  <c r="I179" i="2"/>
  <c r="H179" i="2"/>
  <c r="G179" i="2"/>
  <c r="F179" i="2"/>
  <c r="E179" i="2"/>
  <c r="D179" i="2"/>
  <c r="C179" i="2"/>
  <c r="B179" i="2"/>
  <c r="A179" i="2"/>
  <c r="S178" i="2"/>
  <c r="R178" i="2"/>
  <c r="Q178" i="2"/>
  <c r="P178" i="2"/>
  <c r="O178" i="2"/>
  <c r="N178" i="2"/>
  <c r="M178" i="2"/>
  <c r="L178" i="2"/>
  <c r="K178" i="2"/>
  <c r="J178" i="2"/>
  <c r="I178" i="2"/>
  <c r="H178" i="2"/>
  <c r="G178" i="2"/>
  <c r="F178" i="2"/>
  <c r="E178" i="2"/>
  <c r="D178" i="2"/>
  <c r="C178" i="2"/>
  <c r="B178" i="2"/>
  <c r="A178" i="2"/>
  <c r="S177" i="2"/>
  <c r="R177" i="2"/>
  <c r="Q177" i="2"/>
  <c r="P177" i="2"/>
  <c r="O177" i="2"/>
  <c r="N177" i="2"/>
  <c r="M177" i="2"/>
  <c r="L177" i="2"/>
  <c r="K177" i="2"/>
  <c r="J177" i="2"/>
  <c r="I177" i="2"/>
  <c r="H177" i="2"/>
  <c r="G177" i="2"/>
  <c r="F177" i="2"/>
  <c r="E177" i="2"/>
  <c r="D177" i="2"/>
  <c r="C177" i="2"/>
  <c r="B177" i="2"/>
  <c r="A177" i="2"/>
  <c r="S176" i="2"/>
  <c r="R176" i="2"/>
  <c r="Q176" i="2"/>
  <c r="P176" i="2"/>
  <c r="O176" i="2"/>
  <c r="N176" i="2"/>
  <c r="M176" i="2"/>
  <c r="L176" i="2"/>
  <c r="K176" i="2"/>
  <c r="J176" i="2"/>
  <c r="I176" i="2"/>
  <c r="H176" i="2"/>
  <c r="G176" i="2"/>
  <c r="F176" i="2"/>
  <c r="E176" i="2"/>
  <c r="D176" i="2"/>
  <c r="C176" i="2"/>
  <c r="B176" i="2"/>
  <c r="A176" i="2"/>
  <c r="S175" i="2"/>
  <c r="R175" i="2"/>
  <c r="Q175" i="2"/>
  <c r="P175" i="2"/>
  <c r="O175" i="2"/>
  <c r="N175" i="2"/>
  <c r="M175" i="2"/>
  <c r="L175" i="2"/>
  <c r="K175" i="2"/>
  <c r="J175" i="2"/>
  <c r="I175" i="2"/>
  <c r="H175" i="2"/>
  <c r="G175" i="2"/>
  <c r="F175" i="2"/>
  <c r="E175" i="2"/>
  <c r="D175" i="2"/>
  <c r="C175" i="2"/>
  <c r="B175" i="2"/>
  <c r="A175" i="2"/>
  <c r="S174" i="2"/>
  <c r="R174" i="2"/>
  <c r="Q174" i="2"/>
  <c r="P174" i="2"/>
  <c r="O174" i="2"/>
  <c r="N174" i="2"/>
  <c r="M174" i="2"/>
  <c r="L174" i="2"/>
  <c r="K174" i="2"/>
  <c r="J174" i="2"/>
  <c r="I174" i="2"/>
  <c r="H174" i="2"/>
  <c r="G174" i="2"/>
  <c r="F174" i="2"/>
  <c r="E174" i="2"/>
  <c r="D174" i="2"/>
  <c r="C174" i="2"/>
  <c r="B174" i="2"/>
  <c r="A174" i="2"/>
  <c r="S173" i="2"/>
  <c r="R173" i="2"/>
  <c r="Q173" i="2"/>
  <c r="P173" i="2"/>
  <c r="O173" i="2"/>
  <c r="N173" i="2"/>
  <c r="M173" i="2"/>
  <c r="L173" i="2"/>
  <c r="K173" i="2"/>
  <c r="J173" i="2"/>
  <c r="I173" i="2"/>
  <c r="H173" i="2"/>
  <c r="G173" i="2"/>
  <c r="F173" i="2"/>
  <c r="E173" i="2"/>
  <c r="D173" i="2"/>
  <c r="C173" i="2"/>
  <c r="B173" i="2"/>
  <c r="A173" i="2"/>
  <c r="S172" i="2"/>
  <c r="R172" i="2"/>
  <c r="Q172" i="2"/>
  <c r="P172" i="2"/>
  <c r="O172" i="2"/>
  <c r="N172" i="2"/>
  <c r="M172" i="2"/>
  <c r="L172" i="2"/>
  <c r="K172" i="2"/>
  <c r="J172" i="2"/>
  <c r="I172" i="2"/>
  <c r="H172" i="2"/>
  <c r="G172" i="2"/>
  <c r="F172" i="2"/>
  <c r="E172" i="2"/>
  <c r="D172" i="2"/>
  <c r="C172" i="2"/>
  <c r="B172" i="2"/>
  <c r="A172" i="2"/>
  <c r="S171" i="2"/>
  <c r="R171" i="2"/>
  <c r="Q171" i="2"/>
  <c r="P171" i="2"/>
  <c r="O171" i="2"/>
  <c r="N171" i="2"/>
  <c r="M171" i="2"/>
  <c r="L171" i="2"/>
  <c r="K171" i="2"/>
  <c r="J171" i="2"/>
  <c r="I171" i="2"/>
  <c r="H171" i="2"/>
  <c r="G171" i="2"/>
  <c r="F171" i="2"/>
  <c r="E171" i="2"/>
  <c r="D171" i="2"/>
  <c r="C171" i="2"/>
  <c r="B171" i="2"/>
  <c r="A171" i="2"/>
  <c r="S170" i="2"/>
  <c r="R170" i="2"/>
  <c r="Q170" i="2"/>
  <c r="P170" i="2"/>
  <c r="O170" i="2"/>
  <c r="N170" i="2"/>
  <c r="M170" i="2"/>
  <c r="L170" i="2"/>
  <c r="K170" i="2"/>
  <c r="J170" i="2"/>
  <c r="I170" i="2"/>
  <c r="H170" i="2"/>
  <c r="G170" i="2"/>
  <c r="F170" i="2"/>
  <c r="E170" i="2"/>
  <c r="D170" i="2"/>
  <c r="C170" i="2"/>
  <c r="B170" i="2"/>
  <c r="A170" i="2"/>
  <c r="S169" i="2"/>
  <c r="R169" i="2"/>
  <c r="Q169" i="2"/>
  <c r="P169" i="2"/>
  <c r="O169" i="2"/>
  <c r="N169" i="2"/>
  <c r="M169" i="2"/>
  <c r="L169" i="2"/>
  <c r="K169" i="2"/>
  <c r="J169" i="2"/>
  <c r="I169" i="2"/>
  <c r="H169" i="2"/>
  <c r="G169" i="2"/>
  <c r="F169" i="2"/>
  <c r="E169" i="2"/>
  <c r="D169" i="2"/>
  <c r="C169" i="2"/>
  <c r="B169" i="2"/>
  <c r="A169" i="2"/>
  <c r="S168" i="2"/>
  <c r="R168" i="2"/>
  <c r="Q168" i="2"/>
  <c r="P168" i="2"/>
  <c r="O168" i="2"/>
  <c r="N168" i="2"/>
  <c r="M168" i="2"/>
  <c r="L168" i="2"/>
  <c r="K168" i="2"/>
  <c r="J168" i="2"/>
  <c r="I168" i="2"/>
  <c r="H168" i="2"/>
  <c r="G168" i="2"/>
  <c r="F168" i="2"/>
  <c r="E168" i="2"/>
  <c r="D168" i="2"/>
  <c r="C168" i="2"/>
  <c r="B168" i="2"/>
  <c r="A168" i="2"/>
  <c r="S167" i="2"/>
  <c r="R167" i="2"/>
  <c r="Q167" i="2"/>
  <c r="P167" i="2"/>
  <c r="O167" i="2"/>
  <c r="N167" i="2"/>
  <c r="M167" i="2"/>
  <c r="L167" i="2"/>
  <c r="K167" i="2"/>
  <c r="J167" i="2"/>
  <c r="I167" i="2"/>
  <c r="H167" i="2"/>
  <c r="G167" i="2"/>
  <c r="F167" i="2"/>
  <c r="E167" i="2"/>
  <c r="D167" i="2"/>
  <c r="C167" i="2"/>
  <c r="B167" i="2"/>
  <c r="A167" i="2"/>
  <c r="S166" i="2"/>
  <c r="R166" i="2"/>
  <c r="Q166" i="2"/>
  <c r="P166" i="2"/>
  <c r="O166" i="2"/>
  <c r="N166" i="2"/>
  <c r="M166" i="2"/>
  <c r="L166" i="2"/>
  <c r="K166" i="2"/>
  <c r="J166" i="2"/>
  <c r="I166" i="2"/>
  <c r="H166" i="2"/>
  <c r="G166" i="2"/>
  <c r="F166" i="2"/>
  <c r="E166" i="2"/>
  <c r="D166" i="2"/>
  <c r="C166" i="2"/>
  <c r="B166" i="2"/>
  <c r="A166" i="2"/>
  <c r="S165" i="2"/>
  <c r="R165" i="2"/>
  <c r="Q165" i="2"/>
  <c r="P165" i="2"/>
  <c r="O165" i="2"/>
  <c r="N165" i="2"/>
  <c r="M165" i="2"/>
  <c r="L165" i="2"/>
  <c r="K165" i="2"/>
  <c r="J165" i="2"/>
  <c r="I165" i="2"/>
  <c r="H165" i="2"/>
  <c r="G165" i="2"/>
  <c r="F165" i="2"/>
  <c r="E165" i="2"/>
  <c r="D165" i="2"/>
  <c r="C165" i="2"/>
  <c r="B165" i="2"/>
  <c r="A165" i="2"/>
  <c r="S164" i="2"/>
  <c r="R164" i="2"/>
  <c r="Q164" i="2"/>
  <c r="P164" i="2"/>
  <c r="O164" i="2"/>
  <c r="N164" i="2"/>
  <c r="M164" i="2"/>
  <c r="L164" i="2"/>
  <c r="K164" i="2"/>
  <c r="J164" i="2"/>
  <c r="I164" i="2"/>
  <c r="H164" i="2"/>
  <c r="G164" i="2"/>
  <c r="F164" i="2"/>
  <c r="E164" i="2"/>
  <c r="D164" i="2"/>
  <c r="C164" i="2"/>
  <c r="B164" i="2"/>
  <c r="A164" i="2"/>
  <c r="S163" i="2"/>
  <c r="R163" i="2"/>
  <c r="Q163" i="2"/>
  <c r="P163" i="2"/>
  <c r="O163" i="2"/>
  <c r="N163" i="2"/>
  <c r="M163" i="2"/>
  <c r="L163" i="2"/>
  <c r="K163" i="2"/>
  <c r="J163" i="2"/>
  <c r="I163" i="2"/>
  <c r="H163" i="2"/>
  <c r="G163" i="2"/>
  <c r="F163" i="2"/>
  <c r="E163" i="2"/>
  <c r="D163" i="2"/>
  <c r="C163" i="2"/>
  <c r="B163" i="2"/>
  <c r="A163" i="2"/>
  <c r="S162" i="2"/>
  <c r="R162" i="2"/>
  <c r="Q162" i="2"/>
  <c r="P162" i="2"/>
  <c r="O162" i="2"/>
  <c r="N162" i="2"/>
  <c r="M162" i="2"/>
  <c r="L162" i="2"/>
  <c r="K162" i="2"/>
  <c r="J162" i="2"/>
  <c r="I162" i="2"/>
  <c r="H162" i="2"/>
  <c r="G162" i="2"/>
  <c r="F162" i="2"/>
  <c r="E162" i="2"/>
  <c r="D162" i="2"/>
  <c r="C162" i="2"/>
  <c r="B162" i="2"/>
  <c r="A162" i="2"/>
  <c r="S161" i="2"/>
  <c r="R161" i="2"/>
  <c r="Q161" i="2"/>
  <c r="P161" i="2"/>
  <c r="O161" i="2"/>
  <c r="N161" i="2"/>
  <c r="M161" i="2"/>
  <c r="L161" i="2"/>
  <c r="K161" i="2"/>
  <c r="J161" i="2"/>
  <c r="I161" i="2"/>
  <c r="H161" i="2"/>
  <c r="G161" i="2"/>
  <c r="F161" i="2"/>
  <c r="E161" i="2"/>
  <c r="D161" i="2"/>
  <c r="C161" i="2"/>
  <c r="B161" i="2"/>
  <c r="A161" i="2"/>
  <c r="S160" i="2"/>
  <c r="R160" i="2"/>
  <c r="Q160" i="2"/>
  <c r="P160" i="2"/>
  <c r="O160" i="2"/>
  <c r="N160" i="2"/>
  <c r="M160" i="2"/>
  <c r="L160" i="2"/>
  <c r="K160" i="2"/>
  <c r="J160" i="2"/>
  <c r="I160" i="2"/>
  <c r="H160" i="2"/>
  <c r="G160" i="2"/>
  <c r="F160" i="2"/>
  <c r="E160" i="2"/>
  <c r="D160" i="2"/>
  <c r="C160" i="2"/>
  <c r="B160" i="2"/>
  <c r="A160" i="2"/>
  <c r="S159" i="2"/>
  <c r="R159" i="2"/>
  <c r="Q159" i="2"/>
  <c r="P159" i="2"/>
  <c r="O159" i="2"/>
  <c r="N159" i="2"/>
  <c r="M159" i="2"/>
  <c r="L159" i="2"/>
  <c r="K159" i="2"/>
  <c r="J159" i="2"/>
  <c r="I159" i="2"/>
  <c r="H159" i="2"/>
  <c r="G159" i="2"/>
  <c r="F159" i="2"/>
  <c r="E159" i="2"/>
  <c r="D159" i="2"/>
  <c r="C159" i="2"/>
  <c r="B159" i="2"/>
  <c r="A159" i="2"/>
  <c r="S158" i="2"/>
  <c r="R158" i="2"/>
  <c r="Q158" i="2"/>
  <c r="P158" i="2"/>
  <c r="O158" i="2"/>
  <c r="N158" i="2"/>
  <c r="M158" i="2"/>
  <c r="L158" i="2"/>
  <c r="K158" i="2"/>
  <c r="J158" i="2"/>
  <c r="I158" i="2"/>
  <c r="H158" i="2"/>
  <c r="G158" i="2"/>
  <c r="F158" i="2"/>
  <c r="E158" i="2"/>
  <c r="D158" i="2"/>
  <c r="C158" i="2"/>
  <c r="B158" i="2"/>
  <c r="A158" i="2"/>
  <c r="S157" i="2"/>
  <c r="R157" i="2"/>
  <c r="Q157" i="2"/>
  <c r="P157" i="2"/>
  <c r="O157" i="2"/>
  <c r="N157" i="2"/>
  <c r="M157" i="2"/>
  <c r="L157" i="2"/>
  <c r="K157" i="2"/>
  <c r="J157" i="2"/>
  <c r="I157" i="2"/>
  <c r="H157" i="2"/>
  <c r="G157" i="2"/>
  <c r="F157" i="2"/>
  <c r="E157" i="2"/>
  <c r="D157" i="2"/>
  <c r="C157" i="2"/>
  <c r="B157" i="2"/>
  <c r="A157" i="2"/>
  <c r="S156" i="2"/>
  <c r="R156" i="2"/>
  <c r="Q156" i="2"/>
  <c r="P156" i="2"/>
  <c r="O156" i="2"/>
  <c r="N156" i="2"/>
  <c r="M156" i="2"/>
  <c r="L156" i="2"/>
  <c r="K156" i="2"/>
  <c r="J156" i="2"/>
  <c r="I156" i="2"/>
  <c r="H156" i="2"/>
  <c r="G156" i="2"/>
  <c r="F156" i="2"/>
  <c r="E156" i="2"/>
  <c r="D156" i="2"/>
  <c r="C156" i="2"/>
  <c r="B156" i="2"/>
  <c r="A156" i="2"/>
  <c r="S155" i="2"/>
  <c r="R155" i="2"/>
  <c r="Q155" i="2"/>
  <c r="P155" i="2"/>
  <c r="O155" i="2"/>
  <c r="N155" i="2"/>
  <c r="M155" i="2"/>
  <c r="L155" i="2"/>
  <c r="K155" i="2"/>
  <c r="J155" i="2"/>
  <c r="I155" i="2"/>
  <c r="H155" i="2"/>
  <c r="G155" i="2"/>
  <c r="F155" i="2"/>
  <c r="E155" i="2"/>
  <c r="D155" i="2"/>
  <c r="C155" i="2"/>
  <c r="B155" i="2"/>
  <c r="A155" i="2"/>
  <c r="S154" i="2"/>
  <c r="R154" i="2"/>
  <c r="Q154" i="2"/>
  <c r="P154" i="2"/>
  <c r="O154" i="2"/>
  <c r="N154" i="2"/>
  <c r="M154" i="2"/>
  <c r="L154" i="2"/>
  <c r="K154" i="2"/>
  <c r="J154" i="2"/>
  <c r="I154" i="2"/>
  <c r="H154" i="2"/>
  <c r="G154" i="2"/>
  <c r="F154" i="2"/>
  <c r="E154" i="2"/>
  <c r="D154" i="2"/>
  <c r="C154" i="2"/>
  <c r="B154" i="2"/>
  <c r="A154" i="2"/>
  <c r="S153" i="2"/>
  <c r="R153" i="2"/>
  <c r="Q153" i="2"/>
  <c r="P153" i="2"/>
  <c r="O153" i="2"/>
  <c r="N153" i="2"/>
  <c r="M153" i="2"/>
  <c r="L153" i="2"/>
  <c r="K153" i="2"/>
  <c r="J153" i="2"/>
  <c r="I153" i="2"/>
  <c r="H153" i="2"/>
  <c r="G153" i="2"/>
  <c r="F153" i="2"/>
  <c r="E153" i="2"/>
  <c r="D153" i="2"/>
  <c r="C153" i="2"/>
  <c r="B153" i="2"/>
  <c r="A153" i="2"/>
  <c r="S152" i="2"/>
  <c r="R152" i="2"/>
  <c r="Q152" i="2"/>
  <c r="P152" i="2"/>
  <c r="O152" i="2"/>
  <c r="N152" i="2"/>
  <c r="M152" i="2"/>
  <c r="L152" i="2"/>
  <c r="K152" i="2"/>
  <c r="J152" i="2"/>
  <c r="I152" i="2"/>
  <c r="H152" i="2"/>
  <c r="G152" i="2"/>
  <c r="F152" i="2"/>
  <c r="E152" i="2"/>
  <c r="D152" i="2"/>
  <c r="C152" i="2"/>
  <c r="B152" i="2"/>
  <c r="A152" i="2"/>
  <c r="S151" i="2"/>
  <c r="R151" i="2"/>
  <c r="Q151" i="2"/>
  <c r="P151" i="2"/>
  <c r="O151" i="2"/>
  <c r="N151" i="2"/>
  <c r="M151" i="2"/>
  <c r="L151" i="2"/>
  <c r="K151" i="2"/>
  <c r="J151" i="2"/>
  <c r="I151" i="2"/>
  <c r="H151" i="2"/>
  <c r="G151" i="2"/>
  <c r="F151" i="2"/>
  <c r="E151" i="2"/>
  <c r="D151" i="2"/>
  <c r="C151" i="2"/>
  <c r="B151" i="2"/>
  <c r="A151" i="2"/>
  <c r="S150" i="2"/>
  <c r="R150" i="2"/>
  <c r="Q150" i="2"/>
  <c r="P150" i="2"/>
  <c r="O150" i="2"/>
  <c r="N150" i="2"/>
  <c r="M150" i="2"/>
  <c r="L150" i="2"/>
  <c r="K150" i="2"/>
  <c r="J150" i="2"/>
  <c r="I150" i="2"/>
  <c r="H150" i="2"/>
  <c r="G150" i="2"/>
  <c r="F150" i="2"/>
  <c r="E150" i="2"/>
  <c r="D150" i="2"/>
  <c r="C150" i="2"/>
  <c r="B150" i="2"/>
  <c r="A150" i="2"/>
  <c r="S149" i="2"/>
  <c r="R149" i="2"/>
  <c r="Q149" i="2"/>
  <c r="P149" i="2"/>
  <c r="O149" i="2"/>
  <c r="N149" i="2"/>
  <c r="M149" i="2"/>
  <c r="L149" i="2"/>
  <c r="K149" i="2"/>
  <c r="J149" i="2"/>
  <c r="I149" i="2"/>
  <c r="H149" i="2"/>
  <c r="G149" i="2"/>
  <c r="F149" i="2"/>
  <c r="E149" i="2"/>
  <c r="D149" i="2"/>
  <c r="C149" i="2"/>
  <c r="B149" i="2"/>
  <c r="A149" i="2"/>
  <c r="S148" i="2"/>
  <c r="R148" i="2"/>
  <c r="Q148" i="2"/>
  <c r="P148" i="2"/>
  <c r="O148" i="2"/>
  <c r="N148" i="2"/>
  <c r="M148" i="2"/>
  <c r="L148" i="2"/>
  <c r="K148" i="2"/>
  <c r="J148" i="2"/>
  <c r="I148" i="2"/>
  <c r="H148" i="2"/>
  <c r="G148" i="2"/>
  <c r="F148" i="2"/>
  <c r="E148" i="2"/>
  <c r="D148" i="2"/>
  <c r="C148" i="2"/>
  <c r="B148" i="2"/>
  <c r="A148" i="2"/>
  <c r="S147" i="2"/>
  <c r="R147" i="2"/>
  <c r="Q147" i="2"/>
  <c r="P147" i="2"/>
  <c r="O147" i="2"/>
  <c r="N147" i="2"/>
  <c r="M147" i="2"/>
  <c r="L147" i="2"/>
  <c r="K147" i="2"/>
  <c r="J147" i="2"/>
  <c r="I147" i="2"/>
  <c r="H147" i="2"/>
  <c r="G147" i="2"/>
  <c r="F147" i="2"/>
  <c r="E147" i="2"/>
  <c r="D147" i="2"/>
  <c r="C147" i="2"/>
  <c r="B147" i="2"/>
  <c r="A147" i="2"/>
  <c r="S146" i="2"/>
  <c r="R146" i="2"/>
  <c r="Q146" i="2"/>
  <c r="P146" i="2"/>
  <c r="O146" i="2"/>
  <c r="N146" i="2"/>
  <c r="M146" i="2"/>
  <c r="L146" i="2"/>
  <c r="K146" i="2"/>
  <c r="J146" i="2"/>
  <c r="I146" i="2"/>
  <c r="H146" i="2"/>
  <c r="G146" i="2"/>
  <c r="F146" i="2"/>
  <c r="E146" i="2"/>
  <c r="D146" i="2"/>
  <c r="C146" i="2"/>
  <c r="B146" i="2"/>
  <c r="A146" i="2"/>
  <c r="S145" i="2"/>
  <c r="R145" i="2"/>
  <c r="Q145" i="2"/>
  <c r="P145" i="2"/>
  <c r="O145" i="2"/>
  <c r="N145" i="2"/>
  <c r="M145" i="2"/>
  <c r="L145" i="2"/>
  <c r="K145" i="2"/>
  <c r="J145" i="2"/>
  <c r="I145" i="2"/>
  <c r="H145" i="2"/>
  <c r="G145" i="2"/>
  <c r="F145" i="2"/>
  <c r="E145" i="2"/>
  <c r="D145" i="2"/>
  <c r="C145" i="2"/>
  <c r="B145" i="2"/>
  <c r="A145" i="2"/>
  <c r="S144" i="2"/>
  <c r="R144" i="2"/>
  <c r="Q144" i="2"/>
  <c r="P144" i="2"/>
  <c r="O144" i="2"/>
  <c r="N144" i="2"/>
  <c r="M144" i="2"/>
  <c r="L144" i="2"/>
  <c r="K144" i="2"/>
  <c r="J144" i="2"/>
  <c r="I144" i="2"/>
  <c r="H144" i="2"/>
  <c r="G144" i="2"/>
  <c r="F144" i="2"/>
  <c r="E144" i="2"/>
  <c r="D144" i="2"/>
  <c r="C144" i="2"/>
  <c r="B144" i="2"/>
  <c r="A144" i="2"/>
  <c r="S143" i="2"/>
  <c r="R143" i="2"/>
  <c r="Q143" i="2"/>
  <c r="P143" i="2"/>
  <c r="O143" i="2"/>
  <c r="N143" i="2"/>
  <c r="M143" i="2"/>
  <c r="L143" i="2"/>
  <c r="K143" i="2"/>
  <c r="J143" i="2"/>
  <c r="I143" i="2"/>
  <c r="H143" i="2"/>
  <c r="G143" i="2"/>
  <c r="F143" i="2"/>
  <c r="E143" i="2"/>
  <c r="D143" i="2"/>
  <c r="C143" i="2"/>
  <c r="B143" i="2"/>
  <c r="A143" i="2"/>
  <c r="S142" i="2"/>
  <c r="R142" i="2"/>
  <c r="Q142" i="2"/>
  <c r="P142" i="2"/>
  <c r="O142" i="2"/>
  <c r="N142" i="2"/>
  <c r="M142" i="2"/>
  <c r="L142" i="2"/>
  <c r="K142" i="2"/>
  <c r="J142" i="2"/>
  <c r="I142" i="2"/>
  <c r="H142" i="2"/>
  <c r="G142" i="2"/>
  <c r="F142" i="2"/>
  <c r="E142" i="2"/>
  <c r="D142" i="2"/>
  <c r="C142" i="2"/>
  <c r="B142" i="2"/>
  <c r="A142" i="2"/>
  <c r="S141" i="2"/>
  <c r="R141" i="2"/>
  <c r="Q141" i="2"/>
  <c r="P141" i="2"/>
  <c r="O141" i="2"/>
  <c r="N141" i="2"/>
  <c r="M141" i="2"/>
  <c r="L141" i="2"/>
  <c r="K141" i="2"/>
  <c r="J141" i="2"/>
  <c r="I141" i="2"/>
  <c r="H141" i="2"/>
  <c r="G141" i="2"/>
  <c r="F141" i="2"/>
  <c r="E141" i="2"/>
  <c r="D141" i="2"/>
  <c r="C141" i="2"/>
  <c r="B141" i="2"/>
  <c r="A141" i="2"/>
  <c r="S140" i="2"/>
  <c r="R140" i="2"/>
  <c r="Q140" i="2"/>
  <c r="P140" i="2"/>
  <c r="O140" i="2"/>
  <c r="N140" i="2"/>
  <c r="M140" i="2"/>
  <c r="L140" i="2"/>
  <c r="K140" i="2"/>
  <c r="J140" i="2"/>
  <c r="I140" i="2"/>
  <c r="H140" i="2"/>
  <c r="G140" i="2"/>
  <c r="F140" i="2"/>
  <c r="E140" i="2"/>
  <c r="D140" i="2"/>
  <c r="C140" i="2"/>
  <c r="B140" i="2"/>
  <c r="A140" i="2"/>
  <c r="S139" i="2"/>
  <c r="R139" i="2"/>
  <c r="Q139" i="2"/>
  <c r="P139" i="2"/>
  <c r="O139" i="2"/>
  <c r="N139" i="2"/>
  <c r="M139" i="2"/>
  <c r="L139" i="2"/>
  <c r="K139" i="2"/>
  <c r="J139" i="2"/>
  <c r="I139" i="2"/>
  <c r="H139" i="2"/>
  <c r="G139" i="2"/>
  <c r="F139" i="2"/>
  <c r="E139" i="2"/>
  <c r="D139" i="2"/>
  <c r="C139" i="2"/>
  <c r="B139" i="2"/>
  <c r="A139" i="2"/>
  <c r="S138" i="2"/>
  <c r="R138" i="2"/>
  <c r="Q138" i="2"/>
  <c r="P138" i="2"/>
  <c r="O138" i="2"/>
  <c r="N138" i="2"/>
  <c r="M138" i="2"/>
  <c r="L138" i="2"/>
  <c r="K138" i="2"/>
  <c r="J138" i="2"/>
  <c r="I138" i="2"/>
  <c r="H138" i="2"/>
  <c r="G138" i="2"/>
  <c r="F138" i="2"/>
  <c r="E138" i="2"/>
  <c r="D138" i="2"/>
  <c r="C138" i="2"/>
  <c r="B138" i="2"/>
  <c r="A138" i="2"/>
  <c r="S137" i="2"/>
  <c r="R137" i="2"/>
  <c r="Q137" i="2"/>
  <c r="P137" i="2"/>
  <c r="O137" i="2"/>
  <c r="N137" i="2"/>
  <c r="M137" i="2"/>
  <c r="L137" i="2"/>
  <c r="K137" i="2"/>
  <c r="J137" i="2"/>
  <c r="I137" i="2"/>
  <c r="H137" i="2"/>
  <c r="G137" i="2"/>
  <c r="F137" i="2"/>
  <c r="E137" i="2"/>
  <c r="D137" i="2"/>
  <c r="C137" i="2"/>
  <c r="B137" i="2"/>
  <c r="A137" i="2"/>
  <c r="S136" i="2"/>
  <c r="R136" i="2"/>
  <c r="Q136" i="2"/>
  <c r="P136" i="2"/>
  <c r="O136" i="2"/>
  <c r="N136" i="2"/>
  <c r="M136" i="2"/>
  <c r="L136" i="2"/>
  <c r="K136" i="2"/>
  <c r="J136" i="2"/>
  <c r="I136" i="2"/>
  <c r="H136" i="2"/>
  <c r="G136" i="2"/>
  <c r="F136" i="2"/>
  <c r="E136" i="2"/>
  <c r="D136" i="2"/>
  <c r="C136" i="2"/>
  <c r="B136" i="2"/>
  <c r="A136" i="2"/>
  <c r="S135" i="2"/>
  <c r="R135" i="2"/>
  <c r="Q135" i="2"/>
  <c r="P135" i="2"/>
  <c r="O135" i="2"/>
  <c r="N135" i="2"/>
  <c r="M135" i="2"/>
  <c r="L135" i="2"/>
  <c r="K135" i="2"/>
  <c r="J135" i="2"/>
  <c r="I135" i="2"/>
  <c r="H135" i="2"/>
  <c r="G135" i="2"/>
  <c r="F135" i="2"/>
  <c r="E135" i="2"/>
  <c r="D135" i="2"/>
  <c r="C135" i="2"/>
  <c r="B135" i="2"/>
  <c r="A135" i="2"/>
  <c r="S134" i="2"/>
  <c r="R134" i="2"/>
  <c r="Q134" i="2"/>
  <c r="P134" i="2"/>
  <c r="O134" i="2"/>
  <c r="N134" i="2"/>
  <c r="M134" i="2"/>
  <c r="L134" i="2"/>
  <c r="K134" i="2"/>
  <c r="J134" i="2"/>
  <c r="I134" i="2"/>
  <c r="H134" i="2"/>
  <c r="G134" i="2"/>
  <c r="F134" i="2"/>
  <c r="E134" i="2"/>
  <c r="D134" i="2"/>
  <c r="C134" i="2"/>
  <c r="B134" i="2"/>
  <c r="A134" i="2"/>
  <c r="S133" i="2"/>
  <c r="R133" i="2"/>
  <c r="Q133" i="2"/>
  <c r="P133" i="2"/>
  <c r="O133" i="2"/>
  <c r="N133" i="2"/>
  <c r="M133" i="2"/>
  <c r="L133" i="2"/>
  <c r="K133" i="2"/>
  <c r="J133" i="2"/>
  <c r="I133" i="2"/>
  <c r="H133" i="2"/>
  <c r="G133" i="2"/>
  <c r="F133" i="2"/>
  <c r="E133" i="2"/>
  <c r="D133" i="2"/>
  <c r="C133" i="2"/>
  <c r="B133" i="2"/>
  <c r="A133" i="2"/>
  <c r="S132" i="2"/>
  <c r="R132" i="2"/>
  <c r="Q132" i="2"/>
  <c r="P132" i="2"/>
  <c r="O132" i="2"/>
  <c r="N132" i="2"/>
  <c r="M132" i="2"/>
  <c r="L132" i="2"/>
  <c r="K132" i="2"/>
  <c r="J132" i="2"/>
  <c r="I132" i="2"/>
  <c r="H132" i="2"/>
  <c r="G132" i="2"/>
  <c r="F132" i="2"/>
  <c r="E132" i="2"/>
  <c r="D132" i="2"/>
  <c r="C132" i="2"/>
  <c r="B132" i="2"/>
  <c r="A132" i="2"/>
  <c r="S131" i="2"/>
  <c r="R131" i="2"/>
  <c r="Q131" i="2"/>
  <c r="P131" i="2"/>
  <c r="O131" i="2"/>
  <c r="N131" i="2"/>
  <c r="M131" i="2"/>
  <c r="L131" i="2"/>
  <c r="K131" i="2"/>
  <c r="J131" i="2"/>
  <c r="I131" i="2"/>
  <c r="H131" i="2"/>
  <c r="G131" i="2"/>
  <c r="F131" i="2"/>
  <c r="E131" i="2"/>
  <c r="D131" i="2"/>
  <c r="C131" i="2"/>
  <c r="B131" i="2"/>
  <c r="A131" i="2"/>
  <c r="S130" i="2"/>
  <c r="R130" i="2"/>
  <c r="Q130" i="2"/>
  <c r="P130" i="2"/>
  <c r="O130" i="2"/>
  <c r="N130" i="2"/>
  <c r="M130" i="2"/>
  <c r="L130" i="2"/>
  <c r="K130" i="2"/>
  <c r="J130" i="2"/>
  <c r="I130" i="2"/>
  <c r="H130" i="2"/>
  <c r="G130" i="2"/>
  <c r="F130" i="2"/>
  <c r="E130" i="2"/>
  <c r="D130" i="2"/>
  <c r="C130" i="2"/>
  <c r="B130" i="2"/>
  <c r="A130" i="2"/>
  <c r="S129" i="2"/>
  <c r="R129" i="2"/>
  <c r="Q129" i="2"/>
  <c r="P129" i="2"/>
  <c r="O129" i="2"/>
  <c r="N129" i="2"/>
  <c r="M129" i="2"/>
  <c r="L129" i="2"/>
  <c r="K129" i="2"/>
  <c r="J129" i="2"/>
  <c r="I129" i="2"/>
  <c r="H129" i="2"/>
  <c r="G129" i="2"/>
  <c r="F129" i="2"/>
  <c r="E129" i="2"/>
  <c r="D129" i="2"/>
  <c r="C129" i="2"/>
  <c r="B129" i="2"/>
  <c r="A129" i="2"/>
  <c r="S128" i="2"/>
  <c r="R128" i="2"/>
  <c r="Q128" i="2"/>
  <c r="P128" i="2"/>
  <c r="O128" i="2"/>
  <c r="N128" i="2"/>
  <c r="M128" i="2"/>
  <c r="L128" i="2"/>
  <c r="K128" i="2"/>
  <c r="J128" i="2"/>
  <c r="I128" i="2"/>
  <c r="H128" i="2"/>
  <c r="G128" i="2"/>
  <c r="F128" i="2"/>
  <c r="E128" i="2"/>
  <c r="D128" i="2"/>
  <c r="C128" i="2"/>
  <c r="B128" i="2"/>
  <c r="A128" i="2"/>
  <c r="S127" i="2"/>
  <c r="R127" i="2"/>
  <c r="Q127" i="2"/>
  <c r="P127" i="2"/>
  <c r="O127" i="2"/>
  <c r="N127" i="2"/>
  <c r="M127" i="2"/>
  <c r="L127" i="2"/>
  <c r="K127" i="2"/>
  <c r="J127" i="2"/>
  <c r="I127" i="2"/>
  <c r="H127" i="2"/>
  <c r="G127" i="2"/>
  <c r="F127" i="2"/>
  <c r="E127" i="2"/>
  <c r="D127" i="2"/>
  <c r="C127" i="2"/>
  <c r="B127" i="2"/>
  <c r="A127" i="2"/>
  <c r="S126" i="2"/>
  <c r="R126" i="2"/>
  <c r="Q126" i="2"/>
  <c r="P126" i="2"/>
  <c r="O126" i="2"/>
  <c r="N126" i="2"/>
  <c r="M126" i="2"/>
  <c r="L126" i="2"/>
  <c r="K126" i="2"/>
  <c r="J126" i="2"/>
  <c r="I126" i="2"/>
  <c r="H126" i="2"/>
  <c r="G126" i="2"/>
  <c r="F126" i="2"/>
  <c r="E126" i="2"/>
  <c r="D126" i="2"/>
  <c r="C126" i="2"/>
  <c r="B126" i="2"/>
  <c r="A126" i="2"/>
  <c r="S125" i="2"/>
  <c r="R125" i="2"/>
  <c r="Q125" i="2"/>
  <c r="P125" i="2"/>
  <c r="O125" i="2"/>
  <c r="N125" i="2"/>
  <c r="M125" i="2"/>
  <c r="L125" i="2"/>
  <c r="K125" i="2"/>
  <c r="J125" i="2"/>
  <c r="I125" i="2"/>
  <c r="H125" i="2"/>
  <c r="G125" i="2"/>
  <c r="F125" i="2"/>
  <c r="E125" i="2"/>
  <c r="D125" i="2"/>
  <c r="C125" i="2"/>
  <c r="B125" i="2"/>
  <c r="A125" i="2"/>
  <c r="S124" i="2"/>
  <c r="R124" i="2"/>
  <c r="Q124" i="2"/>
  <c r="P124" i="2"/>
  <c r="O124" i="2"/>
  <c r="N124" i="2"/>
  <c r="M124" i="2"/>
  <c r="L124" i="2"/>
  <c r="K124" i="2"/>
  <c r="J124" i="2"/>
  <c r="I124" i="2"/>
  <c r="H124" i="2"/>
  <c r="G124" i="2"/>
  <c r="F124" i="2"/>
  <c r="E124" i="2"/>
  <c r="D124" i="2"/>
  <c r="C124" i="2"/>
  <c r="B124" i="2"/>
  <c r="A124" i="2"/>
  <c r="S123" i="2"/>
  <c r="R123" i="2"/>
  <c r="Q123" i="2"/>
  <c r="P123" i="2"/>
  <c r="O123" i="2"/>
  <c r="N123" i="2"/>
  <c r="M123" i="2"/>
  <c r="L123" i="2"/>
  <c r="K123" i="2"/>
  <c r="J123" i="2"/>
  <c r="I123" i="2"/>
  <c r="H123" i="2"/>
  <c r="G123" i="2"/>
  <c r="F123" i="2"/>
  <c r="E123" i="2"/>
  <c r="D123" i="2"/>
  <c r="C123" i="2"/>
  <c r="B123" i="2"/>
  <c r="A123" i="2"/>
  <c r="S122" i="2"/>
  <c r="R122" i="2"/>
  <c r="Q122" i="2"/>
  <c r="P122" i="2"/>
  <c r="O122" i="2"/>
  <c r="N122" i="2"/>
  <c r="M122" i="2"/>
  <c r="L122" i="2"/>
  <c r="K122" i="2"/>
  <c r="J122" i="2"/>
  <c r="I122" i="2"/>
  <c r="H122" i="2"/>
  <c r="G122" i="2"/>
  <c r="F122" i="2"/>
  <c r="E122" i="2"/>
  <c r="D122" i="2"/>
  <c r="C122" i="2"/>
  <c r="B122" i="2"/>
  <c r="A122" i="2"/>
  <c r="S121" i="2"/>
  <c r="R121" i="2"/>
  <c r="Q121" i="2"/>
  <c r="P121" i="2"/>
  <c r="O121" i="2"/>
  <c r="N121" i="2"/>
  <c r="M121" i="2"/>
  <c r="L121" i="2"/>
  <c r="K121" i="2"/>
  <c r="J121" i="2"/>
  <c r="I121" i="2"/>
  <c r="H121" i="2"/>
  <c r="G121" i="2"/>
  <c r="F121" i="2"/>
  <c r="E121" i="2"/>
  <c r="D121" i="2"/>
  <c r="C121" i="2"/>
  <c r="B121" i="2"/>
  <c r="A121" i="2"/>
  <c r="S120" i="2"/>
  <c r="R120" i="2"/>
  <c r="Q120" i="2"/>
  <c r="P120" i="2"/>
  <c r="O120" i="2"/>
  <c r="N120" i="2"/>
  <c r="M120" i="2"/>
  <c r="L120" i="2"/>
  <c r="K120" i="2"/>
  <c r="J120" i="2"/>
  <c r="I120" i="2"/>
  <c r="H120" i="2"/>
  <c r="G120" i="2"/>
  <c r="F120" i="2"/>
  <c r="E120" i="2"/>
  <c r="D120" i="2"/>
  <c r="C120" i="2"/>
  <c r="B120" i="2"/>
  <c r="A120" i="2"/>
  <c r="S119" i="2"/>
  <c r="R119" i="2"/>
  <c r="Q119" i="2"/>
  <c r="P119" i="2"/>
  <c r="O119" i="2"/>
  <c r="N119" i="2"/>
  <c r="M119" i="2"/>
  <c r="L119" i="2"/>
  <c r="K119" i="2"/>
  <c r="J119" i="2"/>
  <c r="I119" i="2"/>
  <c r="H119" i="2"/>
  <c r="G119" i="2"/>
  <c r="F119" i="2"/>
  <c r="E119" i="2"/>
  <c r="D119" i="2"/>
  <c r="C119" i="2"/>
  <c r="B119" i="2"/>
  <c r="A119" i="2"/>
  <c r="S118" i="2"/>
  <c r="R118" i="2"/>
  <c r="Q118" i="2"/>
  <c r="P118" i="2"/>
  <c r="O118" i="2"/>
  <c r="N118" i="2"/>
  <c r="M118" i="2"/>
  <c r="L118" i="2"/>
  <c r="K118" i="2"/>
  <c r="J118" i="2"/>
  <c r="I118" i="2"/>
  <c r="H118" i="2"/>
  <c r="G118" i="2"/>
  <c r="F118" i="2"/>
  <c r="E118" i="2"/>
  <c r="D118" i="2"/>
  <c r="C118" i="2"/>
  <c r="B118" i="2"/>
  <c r="A118" i="2"/>
  <c r="S117" i="2"/>
  <c r="R117" i="2"/>
  <c r="Q117" i="2"/>
  <c r="P117" i="2"/>
  <c r="O117" i="2"/>
  <c r="N117" i="2"/>
  <c r="M117" i="2"/>
  <c r="L117" i="2"/>
  <c r="K117" i="2"/>
  <c r="J117" i="2"/>
  <c r="I117" i="2"/>
  <c r="H117" i="2"/>
  <c r="G117" i="2"/>
  <c r="F117" i="2"/>
  <c r="E117" i="2"/>
  <c r="D117" i="2"/>
  <c r="C117" i="2"/>
  <c r="B117" i="2"/>
  <c r="A117" i="2"/>
  <c r="S116" i="2"/>
  <c r="R116" i="2"/>
  <c r="Q116" i="2"/>
  <c r="P116" i="2"/>
  <c r="O116" i="2"/>
  <c r="N116" i="2"/>
  <c r="M116" i="2"/>
  <c r="L116" i="2"/>
  <c r="K116" i="2"/>
  <c r="J116" i="2"/>
  <c r="I116" i="2"/>
  <c r="H116" i="2"/>
  <c r="G116" i="2"/>
  <c r="F116" i="2"/>
  <c r="E116" i="2"/>
  <c r="D116" i="2"/>
  <c r="C116" i="2"/>
  <c r="B116" i="2"/>
  <c r="A116" i="2"/>
  <c r="S115" i="2"/>
  <c r="R115" i="2"/>
  <c r="Q115" i="2"/>
  <c r="P115" i="2"/>
  <c r="O115" i="2"/>
  <c r="N115" i="2"/>
  <c r="M115" i="2"/>
  <c r="L115" i="2"/>
  <c r="K115" i="2"/>
  <c r="J115" i="2"/>
  <c r="I115" i="2"/>
  <c r="H115" i="2"/>
  <c r="G115" i="2"/>
  <c r="F115" i="2"/>
  <c r="E115" i="2"/>
  <c r="D115" i="2"/>
  <c r="C115" i="2"/>
  <c r="B115" i="2"/>
  <c r="A115" i="2"/>
  <c r="S114" i="2"/>
  <c r="R114" i="2"/>
  <c r="Q114" i="2"/>
  <c r="P114" i="2"/>
  <c r="O114" i="2"/>
  <c r="N114" i="2"/>
  <c r="M114" i="2"/>
  <c r="L114" i="2"/>
  <c r="K114" i="2"/>
  <c r="J114" i="2"/>
  <c r="I114" i="2"/>
  <c r="H114" i="2"/>
  <c r="G114" i="2"/>
  <c r="F114" i="2"/>
  <c r="E114" i="2"/>
  <c r="D114" i="2"/>
  <c r="C114" i="2"/>
  <c r="B114" i="2"/>
  <c r="A114" i="2"/>
  <c r="S113" i="2"/>
  <c r="R113" i="2"/>
  <c r="Q113" i="2"/>
  <c r="P113" i="2"/>
  <c r="O113" i="2"/>
  <c r="N113" i="2"/>
  <c r="M113" i="2"/>
  <c r="L113" i="2"/>
  <c r="K113" i="2"/>
  <c r="J113" i="2"/>
  <c r="I113" i="2"/>
  <c r="H113" i="2"/>
  <c r="G113" i="2"/>
  <c r="F113" i="2"/>
  <c r="E113" i="2"/>
  <c r="D113" i="2"/>
  <c r="C113" i="2"/>
  <c r="B113" i="2"/>
  <c r="A113" i="2"/>
  <c r="S112" i="2"/>
  <c r="R112" i="2"/>
  <c r="Q112" i="2"/>
  <c r="P112" i="2"/>
  <c r="O112" i="2"/>
  <c r="N112" i="2"/>
  <c r="M112" i="2"/>
  <c r="L112" i="2"/>
  <c r="K112" i="2"/>
  <c r="J112" i="2"/>
  <c r="I112" i="2"/>
  <c r="H112" i="2"/>
  <c r="G112" i="2"/>
  <c r="F112" i="2"/>
  <c r="E112" i="2"/>
  <c r="D112" i="2"/>
  <c r="C112" i="2"/>
  <c r="B112" i="2"/>
  <c r="A112" i="2"/>
  <c r="S111" i="2"/>
  <c r="R111" i="2"/>
  <c r="Q111" i="2"/>
  <c r="P111" i="2"/>
  <c r="O111" i="2"/>
  <c r="N111" i="2"/>
  <c r="M111" i="2"/>
  <c r="L111" i="2"/>
  <c r="K111" i="2"/>
  <c r="J111" i="2"/>
  <c r="I111" i="2"/>
  <c r="H111" i="2"/>
  <c r="G111" i="2"/>
  <c r="F111" i="2"/>
  <c r="E111" i="2"/>
  <c r="D111" i="2"/>
  <c r="C111" i="2"/>
  <c r="B111" i="2"/>
  <c r="A111" i="2"/>
  <c r="S110" i="2"/>
  <c r="R110" i="2"/>
  <c r="Q110" i="2"/>
  <c r="P110" i="2"/>
  <c r="O110" i="2"/>
  <c r="N110" i="2"/>
  <c r="M110" i="2"/>
  <c r="L110" i="2"/>
  <c r="K110" i="2"/>
  <c r="J110" i="2"/>
  <c r="I110" i="2"/>
  <c r="H110" i="2"/>
  <c r="G110" i="2"/>
  <c r="F110" i="2"/>
  <c r="E110" i="2"/>
  <c r="D110" i="2"/>
  <c r="C110" i="2"/>
  <c r="B110" i="2"/>
  <c r="A110" i="2"/>
  <c r="S109" i="2"/>
  <c r="R109" i="2"/>
  <c r="Q109" i="2"/>
  <c r="P109" i="2"/>
  <c r="O109" i="2"/>
  <c r="N109" i="2"/>
  <c r="M109" i="2"/>
  <c r="L109" i="2"/>
  <c r="K109" i="2"/>
  <c r="J109" i="2"/>
  <c r="I109" i="2"/>
  <c r="H109" i="2"/>
  <c r="G109" i="2"/>
  <c r="F109" i="2"/>
  <c r="E109" i="2"/>
  <c r="D109" i="2"/>
  <c r="C109" i="2"/>
  <c r="B109" i="2"/>
  <c r="A109" i="2"/>
  <c r="S108" i="2"/>
  <c r="R108" i="2"/>
  <c r="Q108" i="2"/>
  <c r="P108" i="2"/>
  <c r="O108" i="2"/>
  <c r="N108" i="2"/>
  <c r="M108" i="2"/>
  <c r="L108" i="2"/>
  <c r="K108" i="2"/>
  <c r="J108" i="2"/>
  <c r="I108" i="2"/>
  <c r="H108" i="2"/>
  <c r="G108" i="2"/>
  <c r="F108" i="2"/>
  <c r="E108" i="2"/>
  <c r="D108" i="2"/>
  <c r="C108" i="2"/>
  <c r="B108" i="2"/>
  <c r="A108" i="2"/>
  <c r="S107" i="2"/>
  <c r="R107" i="2"/>
  <c r="Q107" i="2"/>
  <c r="P107" i="2"/>
  <c r="O107" i="2"/>
  <c r="N107" i="2"/>
  <c r="M107" i="2"/>
  <c r="L107" i="2"/>
  <c r="K107" i="2"/>
  <c r="J107" i="2"/>
  <c r="I107" i="2"/>
  <c r="H107" i="2"/>
  <c r="G107" i="2"/>
  <c r="F107" i="2"/>
  <c r="E107" i="2"/>
  <c r="D107" i="2"/>
  <c r="C107" i="2"/>
  <c r="B107" i="2"/>
  <c r="A107" i="2"/>
  <c r="S106" i="2"/>
  <c r="R106" i="2"/>
  <c r="Q106" i="2"/>
  <c r="P106" i="2"/>
  <c r="O106" i="2"/>
  <c r="N106" i="2"/>
  <c r="M106" i="2"/>
  <c r="L106" i="2"/>
  <c r="K106" i="2"/>
  <c r="J106" i="2"/>
  <c r="I106" i="2"/>
  <c r="H106" i="2"/>
  <c r="G106" i="2"/>
  <c r="F106" i="2"/>
  <c r="E106" i="2"/>
  <c r="D106" i="2"/>
  <c r="C106" i="2"/>
  <c r="B106" i="2"/>
  <c r="A106" i="2"/>
  <c r="S105" i="2"/>
  <c r="R105" i="2"/>
  <c r="Q105" i="2"/>
  <c r="P105" i="2"/>
  <c r="O105" i="2"/>
  <c r="N105" i="2"/>
  <c r="M105" i="2"/>
  <c r="L105" i="2"/>
  <c r="K105" i="2"/>
  <c r="J105" i="2"/>
  <c r="I105" i="2"/>
  <c r="H105" i="2"/>
  <c r="G105" i="2"/>
  <c r="F105" i="2"/>
  <c r="E105" i="2"/>
  <c r="D105" i="2"/>
  <c r="C105" i="2"/>
  <c r="B105" i="2"/>
  <c r="A105" i="2"/>
  <c r="S104" i="2"/>
  <c r="R104" i="2"/>
  <c r="Q104" i="2"/>
  <c r="P104" i="2"/>
  <c r="O104" i="2"/>
  <c r="N104" i="2"/>
  <c r="M104" i="2"/>
  <c r="L104" i="2"/>
  <c r="K104" i="2"/>
  <c r="J104" i="2"/>
  <c r="I104" i="2"/>
  <c r="H104" i="2"/>
  <c r="G104" i="2"/>
  <c r="F104" i="2"/>
  <c r="E104" i="2"/>
  <c r="D104" i="2"/>
  <c r="C104" i="2"/>
  <c r="B104" i="2"/>
  <c r="A104" i="2"/>
  <c r="S103" i="2"/>
  <c r="R103" i="2"/>
  <c r="Q103" i="2"/>
  <c r="P103" i="2"/>
  <c r="O103" i="2"/>
  <c r="N103" i="2"/>
  <c r="M103" i="2"/>
  <c r="L103" i="2"/>
  <c r="K103" i="2"/>
  <c r="J103" i="2"/>
  <c r="I103" i="2"/>
  <c r="H103" i="2"/>
  <c r="G103" i="2"/>
  <c r="F103" i="2"/>
  <c r="E103" i="2"/>
  <c r="D103" i="2"/>
  <c r="C103" i="2"/>
  <c r="B103" i="2"/>
  <c r="A103" i="2"/>
  <c r="S102" i="2"/>
  <c r="R102" i="2"/>
  <c r="Q102" i="2"/>
  <c r="P102" i="2"/>
  <c r="O102" i="2"/>
  <c r="N102" i="2"/>
  <c r="M102" i="2"/>
  <c r="L102" i="2"/>
  <c r="K102" i="2"/>
  <c r="J102" i="2"/>
  <c r="I102" i="2"/>
  <c r="H102" i="2"/>
  <c r="G102" i="2"/>
  <c r="F102" i="2"/>
  <c r="E102" i="2"/>
  <c r="D102" i="2"/>
  <c r="C102" i="2"/>
  <c r="B102" i="2"/>
  <c r="A102" i="2"/>
  <c r="S101" i="2"/>
  <c r="R101" i="2"/>
  <c r="Q101" i="2"/>
  <c r="P101" i="2"/>
  <c r="O101" i="2"/>
  <c r="N101" i="2"/>
  <c r="M101" i="2"/>
  <c r="L101" i="2"/>
  <c r="K101" i="2"/>
  <c r="J101" i="2"/>
  <c r="I101" i="2"/>
  <c r="H101" i="2"/>
  <c r="G101" i="2"/>
  <c r="F101" i="2"/>
  <c r="E101" i="2"/>
  <c r="D101" i="2"/>
  <c r="C101" i="2"/>
  <c r="B101" i="2"/>
  <c r="A101" i="2"/>
  <c r="S100" i="2"/>
  <c r="R100" i="2"/>
  <c r="Q100" i="2"/>
  <c r="P100" i="2"/>
  <c r="O100" i="2"/>
  <c r="N100" i="2"/>
  <c r="M100" i="2"/>
  <c r="L100" i="2"/>
  <c r="K100" i="2"/>
  <c r="J100" i="2"/>
  <c r="I100" i="2"/>
  <c r="H100" i="2"/>
  <c r="G100" i="2"/>
  <c r="F100" i="2"/>
  <c r="E100" i="2"/>
  <c r="D100" i="2"/>
  <c r="C100" i="2"/>
  <c r="B100" i="2"/>
  <c r="A100" i="2"/>
  <c r="S99" i="2"/>
  <c r="R99" i="2"/>
  <c r="Q99" i="2"/>
  <c r="P99" i="2"/>
  <c r="O99" i="2"/>
  <c r="N99" i="2"/>
  <c r="M99" i="2"/>
  <c r="L99" i="2"/>
  <c r="K99" i="2"/>
  <c r="J99" i="2"/>
  <c r="I99" i="2"/>
  <c r="H99" i="2"/>
  <c r="G99" i="2"/>
  <c r="F99" i="2"/>
  <c r="E99" i="2"/>
  <c r="D99" i="2"/>
  <c r="C99" i="2"/>
  <c r="B99" i="2"/>
  <c r="A99" i="2"/>
  <c r="S98" i="2"/>
  <c r="R98" i="2"/>
  <c r="Q98" i="2"/>
  <c r="P98" i="2"/>
  <c r="O98" i="2"/>
  <c r="N98" i="2"/>
  <c r="M98" i="2"/>
  <c r="L98" i="2"/>
  <c r="K98" i="2"/>
  <c r="J98" i="2"/>
  <c r="I98" i="2"/>
  <c r="H98" i="2"/>
  <c r="G98" i="2"/>
  <c r="F98" i="2"/>
  <c r="E98" i="2"/>
  <c r="D98" i="2"/>
  <c r="C98" i="2"/>
  <c r="B98" i="2"/>
  <c r="A98" i="2"/>
  <c r="S97" i="2"/>
  <c r="R97" i="2"/>
  <c r="Q97" i="2"/>
  <c r="P97" i="2"/>
  <c r="O97" i="2"/>
  <c r="N97" i="2"/>
  <c r="M97" i="2"/>
  <c r="L97" i="2"/>
  <c r="K97" i="2"/>
  <c r="J97" i="2"/>
  <c r="I97" i="2"/>
  <c r="H97" i="2"/>
  <c r="G97" i="2"/>
  <c r="F97" i="2"/>
  <c r="E97" i="2"/>
  <c r="D97" i="2"/>
  <c r="C97" i="2"/>
  <c r="B97" i="2"/>
  <c r="A97" i="2"/>
  <c r="S96" i="2"/>
  <c r="R96" i="2"/>
  <c r="Q96" i="2"/>
  <c r="P96" i="2"/>
  <c r="O96" i="2"/>
  <c r="N96" i="2"/>
  <c r="M96" i="2"/>
  <c r="L96" i="2"/>
  <c r="K96" i="2"/>
  <c r="J96" i="2"/>
  <c r="I96" i="2"/>
  <c r="H96" i="2"/>
  <c r="G96" i="2"/>
  <c r="F96" i="2"/>
  <c r="E96" i="2"/>
  <c r="D96" i="2"/>
  <c r="C96" i="2"/>
  <c r="B96" i="2"/>
  <c r="A96" i="2"/>
  <c r="S95" i="2"/>
  <c r="R95" i="2"/>
  <c r="Q95" i="2"/>
  <c r="P95" i="2"/>
  <c r="O95" i="2"/>
  <c r="N95" i="2"/>
  <c r="M95" i="2"/>
  <c r="L95" i="2"/>
  <c r="K95" i="2"/>
  <c r="J95" i="2"/>
  <c r="I95" i="2"/>
  <c r="H95" i="2"/>
  <c r="G95" i="2"/>
  <c r="F95" i="2"/>
  <c r="E95" i="2"/>
  <c r="D95" i="2"/>
  <c r="C95" i="2"/>
  <c r="B95" i="2"/>
  <c r="A95" i="2"/>
  <c r="S94" i="2"/>
  <c r="R94" i="2"/>
  <c r="Q94" i="2"/>
  <c r="P94" i="2"/>
  <c r="O94" i="2"/>
  <c r="N94" i="2"/>
  <c r="M94" i="2"/>
  <c r="L94" i="2"/>
  <c r="K94" i="2"/>
  <c r="J94" i="2"/>
  <c r="I94" i="2"/>
  <c r="H94" i="2"/>
  <c r="G94" i="2"/>
  <c r="F94" i="2"/>
  <c r="E94" i="2"/>
  <c r="D94" i="2"/>
  <c r="C94" i="2"/>
  <c r="B94" i="2"/>
  <c r="A94" i="2"/>
  <c r="S93" i="2"/>
  <c r="R93" i="2"/>
  <c r="Q93" i="2"/>
  <c r="P93" i="2"/>
  <c r="O93" i="2"/>
  <c r="N93" i="2"/>
  <c r="M93" i="2"/>
  <c r="L93" i="2"/>
  <c r="K93" i="2"/>
  <c r="J93" i="2"/>
  <c r="I93" i="2"/>
  <c r="H93" i="2"/>
  <c r="G93" i="2"/>
  <c r="F93" i="2"/>
  <c r="E93" i="2"/>
  <c r="D93" i="2"/>
  <c r="C93" i="2"/>
  <c r="B93" i="2"/>
  <c r="A93" i="2"/>
  <c r="S92" i="2"/>
  <c r="R92" i="2"/>
  <c r="Q92" i="2"/>
  <c r="P92" i="2"/>
  <c r="O92" i="2"/>
  <c r="N92" i="2"/>
  <c r="M92" i="2"/>
  <c r="L92" i="2"/>
  <c r="K92" i="2"/>
  <c r="J92" i="2"/>
  <c r="I92" i="2"/>
  <c r="H92" i="2"/>
  <c r="G92" i="2"/>
  <c r="F92" i="2"/>
  <c r="E92" i="2"/>
  <c r="D92" i="2"/>
  <c r="C92" i="2"/>
  <c r="B92" i="2"/>
  <c r="A92" i="2"/>
  <c r="S91" i="2"/>
  <c r="R91" i="2"/>
  <c r="Q91" i="2"/>
  <c r="P91" i="2"/>
  <c r="O91" i="2"/>
  <c r="N91" i="2"/>
  <c r="M91" i="2"/>
  <c r="L91" i="2"/>
  <c r="K91" i="2"/>
  <c r="J91" i="2"/>
  <c r="I91" i="2"/>
  <c r="H91" i="2"/>
  <c r="G91" i="2"/>
  <c r="F91" i="2"/>
  <c r="E91" i="2"/>
  <c r="D91" i="2"/>
  <c r="C91" i="2"/>
  <c r="B91" i="2"/>
  <c r="A91" i="2"/>
  <c r="S90" i="2"/>
  <c r="R90" i="2"/>
  <c r="Q90" i="2"/>
  <c r="P90" i="2"/>
  <c r="O90" i="2"/>
  <c r="N90" i="2"/>
  <c r="M90" i="2"/>
  <c r="L90" i="2"/>
  <c r="K90" i="2"/>
  <c r="J90" i="2"/>
  <c r="I90" i="2"/>
  <c r="H90" i="2"/>
  <c r="G90" i="2"/>
  <c r="F90" i="2"/>
  <c r="E90" i="2"/>
  <c r="D90" i="2"/>
  <c r="C90" i="2"/>
  <c r="B90" i="2"/>
  <c r="A90" i="2"/>
  <c r="S89" i="2"/>
  <c r="R89" i="2"/>
  <c r="Q89" i="2"/>
  <c r="P89" i="2"/>
  <c r="O89" i="2"/>
  <c r="N89" i="2"/>
  <c r="M89" i="2"/>
  <c r="L89" i="2"/>
  <c r="K89" i="2"/>
  <c r="J89" i="2"/>
  <c r="I89" i="2"/>
  <c r="H89" i="2"/>
  <c r="G89" i="2"/>
  <c r="F89" i="2"/>
  <c r="E89" i="2"/>
  <c r="D89" i="2"/>
  <c r="C89" i="2"/>
  <c r="B89" i="2"/>
  <c r="A89" i="2"/>
  <c r="S88" i="2"/>
  <c r="R88" i="2"/>
  <c r="Q88" i="2"/>
  <c r="P88" i="2"/>
  <c r="O88" i="2"/>
  <c r="N88" i="2"/>
  <c r="M88" i="2"/>
  <c r="L88" i="2"/>
  <c r="K88" i="2"/>
  <c r="J88" i="2"/>
  <c r="I88" i="2"/>
  <c r="H88" i="2"/>
  <c r="G88" i="2"/>
  <c r="F88" i="2"/>
  <c r="E88" i="2"/>
  <c r="D88" i="2"/>
  <c r="C88" i="2"/>
  <c r="B88" i="2"/>
  <c r="A88" i="2"/>
  <c r="S87" i="2"/>
  <c r="R87" i="2"/>
  <c r="Q87" i="2"/>
  <c r="P87" i="2"/>
  <c r="O87" i="2"/>
  <c r="N87" i="2"/>
  <c r="M87" i="2"/>
  <c r="L87" i="2"/>
  <c r="K87" i="2"/>
  <c r="J87" i="2"/>
  <c r="I87" i="2"/>
  <c r="H87" i="2"/>
  <c r="G87" i="2"/>
  <c r="F87" i="2"/>
  <c r="E87" i="2"/>
  <c r="D87" i="2"/>
  <c r="C87" i="2"/>
  <c r="B87" i="2"/>
  <c r="A87" i="2"/>
  <c r="S86" i="2"/>
  <c r="R86" i="2"/>
  <c r="Q86" i="2"/>
  <c r="P86" i="2"/>
  <c r="O86" i="2"/>
  <c r="N86" i="2"/>
  <c r="M86" i="2"/>
  <c r="L86" i="2"/>
  <c r="K86" i="2"/>
  <c r="J86" i="2"/>
  <c r="I86" i="2"/>
  <c r="H86" i="2"/>
  <c r="G86" i="2"/>
  <c r="F86" i="2"/>
  <c r="E86" i="2"/>
  <c r="D86" i="2"/>
  <c r="C86" i="2"/>
  <c r="B86" i="2"/>
  <c r="A86" i="2"/>
  <c r="S85" i="2"/>
  <c r="R85" i="2"/>
  <c r="Q85" i="2"/>
  <c r="P85" i="2"/>
  <c r="O85" i="2"/>
  <c r="N85" i="2"/>
  <c r="M85" i="2"/>
  <c r="L85" i="2"/>
  <c r="K85" i="2"/>
  <c r="J85" i="2"/>
  <c r="I85" i="2"/>
  <c r="H85" i="2"/>
  <c r="G85" i="2"/>
  <c r="F85" i="2"/>
  <c r="E85" i="2"/>
  <c r="D85" i="2"/>
  <c r="C85" i="2"/>
  <c r="B85" i="2"/>
  <c r="A85" i="2"/>
  <c r="S84" i="2"/>
  <c r="R84" i="2"/>
  <c r="Q84" i="2"/>
  <c r="P84" i="2"/>
  <c r="O84" i="2"/>
  <c r="N84" i="2"/>
  <c r="M84" i="2"/>
  <c r="L84" i="2"/>
  <c r="K84" i="2"/>
  <c r="J84" i="2"/>
  <c r="I84" i="2"/>
  <c r="H84" i="2"/>
  <c r="G84" i="2"/>
  <c r="F84" i="2"/>
  <c r="E84" i="2"/>
  <c r="D84" i="2"/>
  <c r="C84" i="2"/>
  <c r="B84" i="2"/>
  <c r="A84" i="2"/>
  <c r="S83" i="2"/>
  <c r="R83" i="2"/>
  <c r="Q83" i="2"/>
  <c r="P83" i="2"/>
  <c r="O83" i="2"/>
  <c r="N83" i="2"/>
  <c r="M83" i="2"/>
  <c r="L83" i="2"/>
  <c r="K83" i="2"/>
  <c r="J83" i="2"/>
  <c r="I83" i="2"/>
  <c r="H83" i="2"/>
  <c r="G83" i="2"/>
  <c r="F83" i="2"/>
  <c r="E83" i="2"/>
  <c r="D83" i="2"/>
  <c r="C83" i="2"/>
  <c r="B83" i="2"/>
  <c r="A83" i="2"/>
  <c r="S82" i="2"/>
  <c r="R82" i="2"/>
  <c r="Q82" i="2"/>
  <c r="P82" i="2"/>
  <c r="O82" i="2"/>
  <c r="N82" i="2"/>
  <c r="M82" i="2"/>
  <c r="L82" i="2"/>
  <c r="K82" i="2"/>
  <c r="J82" i="2"/>
  <c r="I82" i="2"/>
  <c r="H82" i="2"/>
  <c r="G82" i="2"/>
  <c r="F82" i="2"/>
  <c r="E82" i="2"/>
  <c r="D82" i="2"/>
  <c r="C82" i="2"/>
  <c r="B82" i="2"/>
  <c r="A82" i="2"/>
  <c r="S81" i="2"/>
  <c r="R81" i="2"/>
  <c r="Q81" i="2"/>
  <c r="P81" i="2"/>
  <c r="O81" i="2"/>
  <c r="N81" i="2"/>
  <c r="M81" i="2"/>
  <c r="L81" i="2"/>
  <c r="K81" i="2"/>
  <c r="J81" i="2"/>
  <c r="I81" i="2"/>
  <c r="H81" i="2"/>
  <c r="G81" i="2"/>
  <c r="F81" i="2"/>
  <c r="E81" i="2"/>
  <c r="D81" i="2"/>
  <c r="C81" i="2"/>
  <c r="B81" i="2"/>
  <c r="A81" i="2"/>
  <c r="S80" i="2"/>
  <c r="R80" i="2"/>
  <c r="Q80" i="2"/>
  <c r="P80" i="2"/>
  <c r="O80" i="2"/>
  <c r="N80" i="2"/>
  <c r="M80" i="2"/>
  <c r="L80" i="2"/>
  <c r="K80" i="2"/>
  <c r="J80" i="2"/>
  <c r="I80" i="2"/>
  <c r="H80" i="2"/>
  <c r="G80" i="2"/>
  <c r="F80" i="2"/>
  <c r="E80" i="2"/>
  <c r="D80" i="2"/>
  <c r="C80" i="2"/>
  <c r="B80" i="2"/>
  <c r="A80" i="2"/>
  <c r="S79" i="2"/>
  <c r="R79" i="2"/>
  <c r="Q79" i="2"/>
  <c r="P79" i="2"/>
  <c r="O79" i="2"/>
  <c r="N79" i="2"/>
  <c r="M79" i="2"/>
  <c r="L79" i="2"/>
  <c r="K79" i="2"/>
  <c r="J79" i="2"/>
  <c r="I79" i="2"/>
  <c r="H79" i="2"/>
  <c r="G79" i="2"/>
  <c r="F79" i="2"/>
  <c r="E79" i="2"/>
  <c r="D79" i="2"/>
  <c r="C79" i="2"/>
  <c r="B79" i="2"/>
  <c r="A79" i="2"/>
  <c r="S78" i="2"/>
  <c r="R78" i="2"/>
  <c r="Q78" i="2"/>
  <c r="P78" i="2"/>
  <c r="O78" i="2"/>
  <c r="N78" i="2"/>
  <c r="M78" i="2"/>
  <c r="L78" i="2"/>
  <c r="K78" i="2"/>
  <c r="J78" i="2"/>
  <c r="I78" i="2"/>
  <c r="H78" i="2"/>
  <c r="G78" i="2"/>
  <c r="F78" i="2"/>
  <c r="E78" i="2"/>
  <c r="D78" i="2"/>
  <c r="C78" i="2"/>
  <c r="B78" i="2"/>
  <c r="A78" i="2"/>
  <c r="S77" i="2"/>
  <c r="R77" i="2"/>
  <c r="Q77" i="2"/>
  <c r="P77" i="2"/>
  <c r="O77" i="2"/>
  <c r="N77" i="2"/>
  <c r="M77" i="2"/>
  <c r="L77" i="2"/>
  <c r="K77" i="2"/>
  <c r="J77" i="2"/>
  <c r="I77" i="2"/>
  <c r="H77" i="2"/>
  <c r="G77" i="2"/>
  <c r="F77" i="2"/>
  <c r="E77" i="2"/>
  <c r="D77" i="2"/>
  <c r="C77" i="2"/>
  <c r="B77" i="2"/>
  <c r="A77" i="2"/>
  <c r="S76" i="2"/>
  <c r="R76" i="2"/>
  <c r="Q76" i="2"/>
  <c r="P76" i="2"/>
  <c r="O76" i="2"/>
  <c r="N76" i="2"/>
  <c r="M76" i="2"/>
  <c r="L76" i="2"/>
  <c r="K76" i="2"/>
  <c r="J76" i="2"/>
  <c r="I76" i="2"/>
  <c r="H76" i="2"/>
  <c r="G76" i="2"/>
  <c r="F76" i="2"/>
  <c r="E76" i="2"/>
  <c r="D76" i="2"/>
  <c r="C76" i="2"/>
  <c r="B76" i="2"/>
  <c r="A76" i="2"/>
  <c r="S75" i="2"/>
  <c r="R75" i="2"/>
  <c r="Q75" i="2"/>
  <c r="P75" i="2"/>
  <c r="O75" i="2"/>
  <c r="N75" i="2"/>
  <c r="M75" i="2"/>
  <c r="L75" i="2"/>
  <c r="K75" i="2"/>
  <c r="J75" i="2"/>
  <c r="I75" i="2"/>
  <c r="H75" i="2"/>
  <c r="G75" i="2"/>
  <c r="F75" i="2"/>
  <c r="E75" i="2"/>
  <c r="D75" i="2"/>
  <c r="C75" i="2"/>
  <c r="B75" i="2"/>
  <c r="A75" i="2"/>
  <c r="S74" i="2"/>
  <c r="R74" i="2"/>
  <c r="Q74" i="2"/>
  <c r="P74" i="2"/>
  <c r="O74" i="2"/>
  <c r="N74" i="2"/>
  <c r="M74" i="2"/>
  <c r="L74" i="2"/>
  <c r="K74" i="2"/>
  <c r="J74" i="2"/>
  <c r="I74" i="2"/>
  <c r="H74" i="2"/>
  <c r="G74" i="2"/>
  <c r="F74" i="2"/>
  <c r="E74" i="2"/>
  <c r="D74" i="2"/>
  <c r="C74" i="2"/>
  <c r="B74" i="2"/>
  <c r="A74" i="2"/>
  <c r="S73" i="2"/>
  <c r="R73" i="2"/>
  <c r="Q73" i="2"/>
  <c r="P73" i="2"/>
  <c r="O73" i="2"/>
  <c r="N73" i="2"/>
  <c r="M73" i="2"/>
  <c r="L73" i="2"/>
  <c r="K73" i="2"/>
  <c r="J73" i="2"/>
  <c r="I73" i="2"/>
  <c r="H73" i="2"/>
  <c r="G73" i="2"/>
  <c r="F73" i="2"/>
  <c r="E73" i="2"/>
  <c r="D73" i="2"/>
  <c r="C73" i="2"/>
  <c r="B73" i="2"/>
  <c r="A73" i="2"/>
  <c r="S72" i="2"/>
  <c r="R72" i="2"/>
  <c r="Q72" i="2"/>
  <c r="P72" i="2"/>
  <c r="O72" i="2"/>
  <c r="N72" i="2"/>
  <c r="M72" i="2"/>
  <c r="L72" i="2"/>
  <c r="K72" i="2"/>
  <c r="J72" i="2"/>
  <c r="I72" i="2"/>
  <c r="H72" i="2"/>
  <c r="G72" i="2"/>
  <c r="F72" i="2"/>
  <c r="E72" i="2"/>
  <c r="D72" i="2"/>
  <c r="C72" i="2"/>
  <c r="B72" i="2"/>
  <c r="A72" i="2"/>
  <c r="S71" i="2"/>
  <c r="R71" i="2"/>
  <c r="Q71" i="2"/>
  <c r="P71" i="2"/>
  <c r="O71" i="2"/>
  <c r="N71" i="2"/>
  <c r="M71" i="2"/>
  <c r="L71" i="2"/>
  <c r="K71" i="2"/>
  <c r="J71" i="2"/>
  <c r="I71" i="2"/>
  <c r="H71" i="2"/>
  <c r="G71" i="2"/>
  <c r="F71" i="2"/>
  <c r="E71" i="2"/>
  <c r="D71" i="2"/>
  <c r="C71" i="2"/>
  <c r="B71" i="2"/>
  <c r="A71" i="2"/>
  <c r="S70" i="2"/>
  <c r="R70" i="2"/>
  <c r="Q70" i="2"/>
  <c r="P70" i="2"/>
  <c r="O70" i="2"/>
  <c r="N70" i="2"/>
  <c r="M70" i="2"/>
  <c r="L70" i="2"/>
  <c r="K70" i="2"/>
  <c r="J70" i="2"/>
  <c r="I70" i="2"/>
  <c r="H70" i="2"/>
  <c r="G70" i="2"/>
  <c r="F70" i="2"/>
  <c r="E70" i="2"/>
  <c r="D70" i="2"/>
  <c r="C70" i="2"/>
  <c r="B70" i="2"/>
  <c r="A70" i="2"/>
  <c r="S69" i="2"/>
  <c r="R69" i="2"/>
  <c r="Q69" i="2"/>
  <c r="P69" i="2"/>
  <c r="O69" i="2"/>
  <c r="N69" i="2"/>
  <c r="M69" i="2"/>
  <c r="L69" i="2"/>
  <c r="K69" i="2"/>
  <c r="J69" i="2"/>
  <c r="I69" i="2"/>
  <c r="H69" i="2"/>
  <c r="G69" i="2"/>
  <c r="F69" i="2"/>
  <c r="E69" i="2"/>
  <c r="D69" i="2"/>
  <c r="C69" i="2"/>
  <c r="B69" i="2"/>
  <c r="A69" i="2"/>
  <c r="S68" i="2"/>
  <c r="R68" i="2"/>
  <c r="Q68" i="2"/>
  <c r="P68" i="2"/>
  <c r="O68" i="2"/>
  <c r="N68" i="2"/>
  <c r="M68" i="2"/>
  <c r="L68" i="2"/>
  <c r="K68" i="2"/>
  <c r="J68" i="2"/>
  <c r="I68" i="2"/>
  <c r="H68" i="2"/>
  <c r="G68" i="2"/>
  <c r="F68" i="2"/>
  <c r="E68" i="2"/>
  <c r="D68" i="2"/>
  <c r="C68" i="2"/>
  <c r="B68" i="2"/>
  <c r="A68" i="2"/>
  <c r="S67" i="2"/>
  <c r="R67" i="2"/>
  <c r="Q67" i="2"/>
  <c r="P67" i="2"/>
  <c r="O67" i="2"/>
  <c r="N67" i="2"/>
  <c r="M67" i="2"/>
  <c r="L67" i="2"/>
  <c r="K67" i="2"/>
  <c r="J67" i="2"/>
  <c r="I67" i="2"/>
  <c r="H67" i="2"/>
  <c r="G67" i="2"/>
  <c r="F67" i="2"/>
  <c r="E67" i="2"/>
  <c r="D67" i="2"/>
  <c r="C67" i="2"/>
  <c r="B67" i="2"/>
  <c r="A67" i="2"/>
  <c r="S66" i="2"/>
  <c r="R66" i="2"/>
  <c r="Q66" i="2"/>
  <c r="P66" i="2"/>
  <c r="O66" i="2"/>
  <c r="N66" i="2"/>
  <c r="M66" i="2"/>
  <c r="L66" i="2"/>
  <c r="K66" i="2"/>
  <c r="J66" i="2"/>
  <c r="I66" i="2"/>
  <c r="H66" i="2"/>
  <c r="G66" i="2"/>
  <c r="F66" i="2"/>
  <c r="E66" i="2"/>
  <c r="D66" i="2"/>
  <c r="C66" i="2"/>
  <c r="B66" i="2"/>
  <c r="A66" i="2"/>
  <c r="S65" i="2"/>
  <c r="R65" i="2"/>
  <c r="Q65" i="2"/>
  <c r="P65" i="2"/>
  <c r="O65" i="2"/>
  <c r="N65" i="2"/>
  <c r="M65" i="2"/>
  <c r="L65" i="2"/>
  <c r="K65" i="2"/>
  <c r="J65" i="2"/>
  <c r="I65" i="2"/>
  <c r="H65" i="2"/>
  <c r="G65" i="2"/>
  <c r="F65" i="2"/>
  <c r="E65" i="2"/>
  <c r="D65" i="2"/>
  <c r="C65" i="2"/>
  <c r="B65" i="2"/>
  <c r="A65" i="2"/>
  <c r="S64" i="2"/>
  <c r="R64" i="2"/>
  <c r="Q64" i="2"/>
  <c r="P64" i="2"/>
  <c r="O64" i="2"/>
  <c r="N64" i="2"/>
  <c r="M64" i="2"/>
  <c r="L64" i="2"/>
  <c r="K64" i="2"/>
  <c r="J64" i="2"/>
  <c r="I64" i="2"/>
  <c r="H64" i="2"/>
  <c r="G64" i="2"/>
  <c r="F64" i="2"/>
  <c r="E64" i="2"/>
  <c r="D64" i="2"/>
  <c r="C64" i="2"/>
  <c r="B64" i="2"/>
  <c r="A64" i="2"/>
  <c r="S63" i="2"/>
  <c r="R63" i="2"/>
  <c r="Q63" i="2"/>
  <c r="P63" i="2"/>
  <c r="O63" i="2"/>
  <c r="N63" i="2"/>
  <c r="M63" i="2"/>
  <c r="L63" i="2"/>
  <c r="K63" i="2"/>
  <c r="J63" i="2"/>
  <c r="I63" i="2"/>
  <c r="H63" i="2"/>
  <c r="G63" i="2"/>
  <c r="F63" i="2"/>
  <c r="E63" i="2"/>
  <c r="D63" i="2"/>
  <c r="C63" i="2"/>
  <c r="B63" i="2"/>
  <c r="A63" i="2"/>
  <c r="S62" i="2"/>
  <c r="R62" i="2"/>
  <c r="Q62" i="2"/>
  <c r="P62" i="2"/>
  <c r="O62" i="2"/>
  <c r="N62" i="2"/>
  <c r="M62" i="2"/>
  <c r="L62" i="2"/>
  <c r="K62" i="2"/>
  <c r="J62" i="2"/>
  <c r="I62" i="2"/>
  <c r="H62" i="2"/>
  <c r="G62" i="2"/>
  <c r="F62" i="2"/>
  <c r="E62" i="2"/>
  <c r="D62" i="2"/>
  <c r="C62" i="2"/>
  <c r="B62" i="2"/>
  <c r="A62" i="2"/>
  <c r="S61" i="2"/>
  <c r="R61" i="2"/>
  <c r="Q61" i="2"/>
  <c r="P61" i="2"/>
  <c r="O61" i="2"/>
  <c r="N61" i="2"/>
  <c r="M61" i="2"/>
  <c r="L61" i="2"/>
  <c r="K61" i="2"/>
  <c r="J61" i="2"/>
  <c r="I61" i="2"/>
  <c r="H61" i="2"/>
  <c r="G61" i="2"/>
  <c r="F61" i="2"/>
  <c r="E61" i="2"/>
  <c r="D61" i="2"/>
  <c r="C61" i="2"/>
  <c r="B61" i="2"/>
  <c r="A61" i="2"/>
  <c r="S60" i="2"/>
  <c r="R60" i="2"/>
  <c r="Q60" i="2"/>
  <c r="P60" i="2"/>
  <c r="O60" i="2"/>
  <c r="N60" i="2"/>
  <c r="M60" i="2"/>
  <c r="L60" i="2"/>
  <c r="K60" i="2"/>
  <c r="J60" i="2"/>
  <c r="I60" i="2"/>
  <c r="H60" i="2"/>
  <c r="G60" i="2"/>
  <c r="F60" i="2"/>
  <c r="E60" i="2"/>
  <c r="D60" i="2"/>
  <c r="C60" i="2"/>
  <c r="B60" i="2"/>
  <c r="A60" i="2"/>
  <c r="S59" i="2"/>
  <c r="R59" i="2"/>
  <c r="Q59" i="2"/>
  <c r="P59" i="2"/>
  <c r="O59" i="2"/>
  <c r="N59" i="2"/>
  <c r="M59" i="2"/>
  <c r="L59" i="2"/>
  <c r="K59" i="2"/>
  <c r="J59" i="2"/>
  <c r="I59" i="2"/>
  <c r="H59" i="2"/>
  <c r="G59" i="2"/>
  <c r="F59" i="2"/>
  <c r="E59" i="2"/>
  <c r="D59" i="2"/>
  <c r="C59" i="2"/>
  <c r="B59" i="2"/>
  <c r="A59" i="2"/>
  <c r="S58" i="2"/>
  <c r="R58" i="2"/>
  <c r="Q58" i="2"/>
  <c r="P58" i="2"/>
  <c r="O58" i="2"/>
  <c r="N58" i="2"/>
  <c r="M58" i="2"/>
  <c r="L58" i="2"/>
  <c r="K58" i="2"/>
  <c r="J58" i="2"/>
  <c r="I58" i="2"/>
  <c r="H58" i="2"/>
  <c r="G58" i="2"/>
  <c r="F58" i="2"/>
  <c r="E58" i="2"/>
  <c r="D58" i="2"/>
  <c r="C58" i="2"/>
  <c r="B58" i="2"/>
  <c r="A58" i="2"/>
  <c r="S57" i="2"/>
  <c r="R57" i="2"/>
  <c r="Q57" i="2"/>
  <c r="P57" i="2"/>
  <c r="O57" i="2"/>
  <c r="N57" i="2"/>
  <c r="M57" i="2"/>
  <c r="L57" i="2"/>
  <c r="K57" i="2"/>
  <c r="J57" i="2"/>
  <c r="I57" i="2"/>
  <c r="H57" i="2"/>
  <c r="G57" i="2"/>
  <c r="F57" i="2"/>
  <c r="E57" i="2"/>
  <c r="D57" i="2"/>
  <c r="C57" i="2"/>
  <c r="B57" i="2"/>
  <c r="A57" i="2"/>
  <c r="S56" i="2"/>
  <c r="R56" i="2"/>
  <c r="Q56" i="2"/>
  <c r="P56" i="2"/>
  <c r="O56" i="2"/>
  <c r="N56" i="2"/>
  <c r="M56" i="2"/>
  <c r="L56" i="2"/>
  <c r="K56" i="2"/>
  <c r="J56" i="2"/>
  <c r="I56" i="2"/>
  <c r="H56" i="2"/>
  <c r="G56" i="2"/>
  <c r="F56" i="2"/>
  <c r="E56" i="2"/>
  <c r="D56" i="2"/>
  <c r="C56" i="2"/>
  <c r="B56" i="2"/>
  <c r="A56" i="2"/>
  <c r="S55" i="2"/>
  <c r="R55" i="2"/>
  <c r="Q55" i="2"/>
  <c r="P55" i="2"/>
  <c r="O55" i="2"/>
  <c r="N55" i="2"/>
  <c r="M55" i="2"/>
  <c r="L55" i="2"/>
  <c r="K55" i="2"/>
  <c r="J55" i="2"/>
  <c r="I55" i="2"/>
  <c r="H55" i="2"/>
  <c r="G55" i="2"/>
  <c r="F55" i="2"/>
  <c r="E55" i="2"/>
  <c r="D55" i="2"/>
  <c r="C55" i="2"/>
  <c r="B55" i="2"/>
  <c r="A55" i="2"/>
  <c r="S54" i="2"/>
  <c r="R54" i="2"/>
  <c r="Q54" i="2"/>
  <c r="P54" i="2"/>
  <c r="O54" i="2"/>
  <c r="N54" i="2"/>
  <c r="M54" i="2"/>
  <c r="L54" i="2"/>
  <c r="K54" i="2"/>
  <c r="J54" i="2"/>
  <c r="I54" i="2"/>
  <c r="H54" i="2"/>
  <c r="G54" i="2"/>
  <c r="F54" i="2"/>
  <c r="E54" i="2"/>
  <c r="D54" i="2"/>
  <c r="C54" i="2"/>
  <c r="B54" i="2"/>
  <c r="A54" i="2"/>
  <c r="S53" i="2"/>
  <c r="R53" i="2"/>
  <c r="Q53" i="2"/>
  <c r="P53" i="2"/>
  <c r="O53" i="2"/>
  <c r="N53" i="2"/>
  <c r="M53" i="2"/>
  <c r="L53" i="2"/>
  <c r="K53" i="2"/>
  <c r="J53" i="2"/>
  <c r="I53" i="2"/>
  <c r="H53" i="2"/>
  <c r="G53" i="2"/>
  <c r="F53" i="2"/>
  <c r="E53" i="2"/>
  <c r="D53" i="2"/>
  <c r="C53" i="2"/>
  <c r="B53" i="2"/>
  <c r="A53" i="2"/>
  <c r="S52" i="2"/>
  <c r="R52" i="2"/>
  <c r="Q52" i="2"/>
  <c r="P52" i="2"/>
  <c r="O52" i="2"/>
  <c r="N52" i="2"/>
  <c r="M52" i="2"/>
  <c r="L52" i="2"/>
  <c r="K52" i="2"/>
  <c r="J52" i="2"/>
  <c r="I52" i="2"/>
  <c r="H52" i="2"/>
  <c r="G52" i="2"/>
  <c r="F52" i="2"/>
  <c r="E52" i="2"/>
  <c r="D52" i="2"/>
  <c r="C52" i="2"/>
  <c r="B52" i="2"/>
  <c r="A52" i="2"/>
  <c r="S51" i="2"/>
  <c r="R51" i="2"/>
  <c r="Q51" i="2"/>
  <c r="P51" i="2"/>
  <c r="O51" i="2"/>
  <c r="N51" i="2"/>
  <c r="M51" i="2"/>
  <c r="L51" i="2"/>
  <c r="K51" i="2"/>
  <c r="J51" i="2"/>
  <c r="I51" i="2"/>
  <c r="H51" i="2"/>
  <c r="G51" i="2"/>
  <c r="F51" i="2"/>
  <c r="E51" i="2"/>
  <c r="D51" i="2"/>
  <c r="C51" i="2"/>
  <c r="B51" i="2"/>
  <c r="A51" i="2"/>
  <c r="S50" i="2"/>
  <c r="R50" i="2"/>
  <c r="Q50" i="2"/>
  <c r="P50" i="2"/>
  <c r="O50" i="2"/>
  <c r="N50" i="2"/>
  <c r="M50" i="2"/>
  <c r="L50" i="2"/>
  <c r="K50" i="2"/>
  <c r="J50" i="2"/>
  <c r="I50" i="2"/>
  <c r="H50" i="2"/>
  <c r="G50" i="2"/>
  <c r="F50" i="2"/>
  <c r="E50" i="2"/>
  <c r="D50" i="2"/>
  <c r="C50" i="2"/>
  <c r="B50" i="2"/>
  <c r="A50" i="2"/>
  <c r="S49" i="2"/>
  <c r="R49" i="2"/>
  <c r="Q49" i="2"/>
  <c r="P49" i="2"/>
  <c r="O49" i="2"/>
  <c r="N49" i="2"/>
  <c r="M49" i="2"/>
  <c r="L49" i="2"/>
  <c r="K49" i="2"/>
  <c r="J49" i="2"/>
  <c r="I49" i="2"/>
  <c r="H49" i="2"/>
  <c r="G49" i="2"/>
  <c r="F49" i="2"/>
  <c r="E49" i="2"/>
  <c r="D49" i="2"/>
  <c r="C49" i="2"/>
  <c r="B49" i="2"/>
  <c r="A49" i="2"/>
  <c r="S48" i="2"/>
  <c r="R48" i="2"/>
  <c r="Q48" i="2"/>
  <c r="P48" i="2"/>
  <c r="O48" i="2"/>
  <c r="N48" i="2"/>
  <c r="M48" i="2"/>
  <c r="L48" i="2"/>
  <c r="K48" i="2"/>
  <c r="J48" i="2"/>
  <c r="I48" i="2"/>
  <c r="H48" i="2"/>
  <c r="G48" i="2"/>
  <c r="F48" i="2"/>
  <c r="E48" i="2"/>
  <c r="D48" i="2"/>
  <c r="C48" i="2"/>
  <c r="B48" i="2"/>
  <c r="A48" i="2"/>
  <c r="S47" i="2"/>
  <c r="R47" i="2"/>
  <c r="Q47" i="2"/>
  <c r="P47" i="2"/>
  <c r="O47" i="2"/>
  <c r="N47" i="2"/>
  <c r="M47" i="2"/>
  <c r="L47" i="2"/>
  <c r="K47" i="2"/>
  <c r="J47" i="2"/>
  <c r="I47" i="2"/>
  <c r="H47" i="2"/>
  <c r="G47" i="2"/>
  <c r="F47" i="2"/>
  <c r="E47" i="2"/>
  <c r="D47" i="2"/>
  <c r="C47" i="2"/>
  <c r="B47" i="2"/>
  <c r="A47" i="2"/>
  <c r="S46" i="2"/>
  <c r="R46" i="2"/>
  <c r="Q46" i="2"/>
  <c r="P46" i="2"/>
  <c r="O46" i="2"/>
  <c r="N46" i="2"/>
  <c r="M46" i="2"/>
  <c r="L46" i="2"/>
  <c r="K46" i="2"/>
  <c r="J46" i="2"/>
  <c r="I46" i="2"/>
  <c r="H46" i="2"/>
  <c r="G46" i="2"/>
  <c r="F46" i="2"/>
  <c r="E46" i="2"/>
  <c r="D46" i="2"/>
  <c r="C46" i="2"/>
  <c r="B46" i="2"/>
  <c r="A46" i="2"/>
  <c r="S45" i="2"/>
  <c r="R45" i="2"/>
  <c r="Q45" i="2"/>
  <c r="P45" i="2"/>
  <c r="O45" i="2"/>
  <c r="N45" i="2"/>
  <c r="M45" i="2"/>
  <c r="L45" i="2"/>
  <c r="K45" i="2"/>
  <c r="J45" i="2"/>
  <c r="I45" i="2"/>
  <c r="H45" i="2"/>
  <c r="G45" i="2"/>
  <c r="F45" i="2"/>
  <c r="E45" i="2"/>
  <c r="D45" i="2"/>
  <c r="C45" i="2"/>
  <c r="B45" i="2"/>
  <c r="A45" i="2"/>
  <c r="S44" i="2"/>
  <c r="R44" i="2"/>
  <c r="Q44" i="2"/>
  <c r="P44" i="2"/>
  <c r="O44" i="2"/>
  <c r="N44" i="2"/>
  <c r="M44" i="2"/>
  <c r="L44" i="2"/>
  <c r="K44" i="2"/>
  <c r="J44" i="2"/>
  <c r="I44" i="2"/>
  <c r="H44" i="2"/>
  <c r="G44" i="2"/>
  <c r="F44" i="2"/>
  <c r="E44" i="2"/>
  <c r="D44" i="2"/>
  <c r="C44" i="2"/>
  <c r="B44" i="2"/>
  <c r="A44" i="2"/>
  <c r="S43" i="2"/>
  <c r="R43" i="2"/>
  <c r="Q43" i="2"/>
  <c r="P43" i="2"/>
  <c r="O43" i="2"/>
  <c r="N43" i="2"/>
  <c r="M43" i="2"/>
  <c r="L43" i="2"/>
  <c r="K43" i="2"/>
  <c r="J43" i="2"/>
  <c r="I43" i="2"/>
  <c r="H43" i="2"/>
  <c r="G43" i="2"/>
  <c r="F43" i="2"/>
  <c r="E43" i="2"/>
  <c r="D43" i="2"/>
  <c r="C43" i="2"/>
  <c r="B43" i="2"/>
  <c r="A43" i="2"/>
  <c r="S42" i="2"/>
  <c r="R42" i="2"/>
  <c r="Q42" i="2"/>
  <c r="P42" i="2"/>
  <c r="O42" i="2"/>
  <c r="N42" i="2"/>
  <c r="M42" i="2"/>
  <c r="L42" i="2"/>
  <c r="K42" i="2"/>
  <c r="J42" i="2"/>
  <c r="I42" i="2"/>
  <c r="H42" i="2"/>
  <c r="G42" i="2"/>
  <c r="F42" i="2"/>
  <c r="E42" i="2"/>
  <c r="D42" i="2"/>
  <c r="C42" i="2"/>
  <c r="B42" i="2"/>
  <c r="A42" i="2"/>
  <c r="S41" i="2"/>
  <c r="R41" i="2"/>
  <c r="Q41" i="2"/>
  <c r="P41" i="2"/>
  <c r="O41" i="2"/>
  <c r="N41" i="2"/>
  <c r="M41" i="2"/>
  <c r="L41" i="2"/>
  <c r="K41" i="2"/>
  <c r="J41" i="2"/>
  <c r="I41" i="2"/>
  <c r="H41" i="2"/>
  <c r="G41" i="2"/>
  <c r="F41" i="2"/>
  <c r="E41" i="2"/>
  <c r="D41" i="2"/>
  <c r="C41" i="2"/>
  <c r="B41" i="2"/>
  <c r="A41" i="2"/>
  <c r="S40" i="2"/>
  <c r="R40" i="2"/>
  <c r="Q40" i="2"/>
  <c r="P40" i="2"/>
  <c r="O40" i="2"/>
  <c r="N40" i="2"/>
  <c r="M40" i="2"/>
  <c r="L40" i="2"/>
  <c r="K40" i="2"/>
  <c r="J40" i="2"/>
  <c r="I40" i="2"/>
  <c r="H40" i="2"/>
  <c r="G40" i="2"/>
  <c r="F40" i="2"/>
  <c r="E40" i="2"/>
  <c r="D40" i="2"/>
  <c r="C40" i="2"/>
  <c r="B40" i="2"/>
  <c r="A40" i="2"/>
  <c r="S39" i="2"/>
  <c r="R39" i="2"/>
  <c r="Q39" i="2"/>
  <c r="P39" i="2"/>
  <c r="O39" i="2"/>
  <c r="N39" i="2"/>
  <c r="M39" i="2"/>
  <c r="L39" i="2"/>
  <c r="K39" i="2"/>
  <c r="J39" i="2"/>
  <c r="I39" i="2"/>
  <c r="H39" i="2"/>
  <c r="G39" i="2"/>
  <c r="F39" i="2"/>
  <c r="E39" i="2"/>
  <c r="D39" i="2"/>
  <c r="C39" i="2"/>
  <c r="B39" i="2"/>
  <c r="A39" i="2"/>
  <c r="S38" i="2"/>
  <c r="R38" i="2"/>
  <c r="Q38" i="2"/>
  <c r="P38" i="2"/>
  <c r="O38" i="2"/>
  <c r="N38" i="2"/>
  <c r="M38" i="2"/>
  <c r="L38" i="2"/>
  <c r="K38" i="2"/>
  <c r="J38" i="2"/>
  <c r="I38" i="2"/>
  <c r="H38" i="2"/>
  <c r="G38" i="2"/>
  <c r="F38" i="2"/>
  <c r="E38" i="2"/>
  <c r="D38" i="2"/>
  <c r="C38" i="2"/>
  <c r="B38" i="2"/>
  <c r="A38" i="2"/>
  <c r="S37" i="2"/>
  <c r="R37" i="2"/>
  <c r="Q37" i="2"/>
  <c r="P37" i="2"/>
  <c r="O37" i="2"/>
  <c r="N37" i="2"/>
  <c r="M37" i="2"/>
  <c r="L37" i="2"/>
  <c r="K37" i="2"/>
  <c r="J37" i="2"/>
  <c r="I37" i="2"/>
  <c r="H37" i="2"/>
  <c r="G37" i="2"/>
  <c r="F37" i="2"/>
  <c r="E37" i="2"/>
  <c r="D37" i="2"/>
  <c r="C37" i="2"/>
  <c r="B37" i="2"/>
  <c r="A37" i="2"/>
  <c r="S36" i="2"/>
  <c r="R36" i="2"/>
  <c r="Q36" i="2"/>
  <c r="P36" i="2"/>
  <c r="O36" i="2"/>
  <c r="N36" i="2"/>
  <c r="M36" i="2"/>
  <c r="L36" i="2"/>
  <c r="K36" i="2"/>
  <c r="J36" i="2"/>
  <c r="I36" i="2"/>
  <c r="H36" i="2"/>
  <c r="G36" i="2"/>
  <c r="F36" i="2"/>
  <c r="E36" i="2"/>
  <c r="D36" i="2"/>
  <c r="C36" i="2"/>
  <c r="B36" i="2"/>
  <c r="A36" i="2"/>
  <c r="S35" i="2"/>
  <c r="R35" i="2"/>
  <c r="Q35" i="2"/>
  <c r="P35" i="2"/>
  <c r="O35" i="2"/>
  <c r="N35" i="2"/>
  <c r="M35" i="2"/>
  <c r="L35" i="2"/>
  <c r="K35" i="2"/>
  <c r="J35" i="2"/>
  <c r="I35" i="2"/>
  <c r="H35" i="2"/>
  <c r="G35" i="2"/>
  <c r="F35" i="2"/>
  <c r="E35" i="2"/>
  <c r="D35" i="2"/>
  <c r="C35" i="2"/>
  <c r="B35" i="2"/>
  <c r="A35" i="2"/>
  <c r="S34" i="2"/>
  <c r="R34" i="2"/>
  <c r="Q34" i="2"/>
  <c r="P34" i="2"/>
  <c r="O34" i="2"/>
  <c r="N34" i="2"/>
  <c r="M34" i="2"/>
  <c r="L34" i="2"/>
  <c r="K34" i="2"/>
  <c r="J34" i="2"/>
  <c r="I34" i="2"/>
  <c r="H34" i="2"/>
  <c r="G34" i="2"/>
  <c r="F34" i="2"/>
  <c r="E34" i="2"/>
  <c r="D34" i="2"/>
  <c r="C34" i="2"/>
  <c r="B34" i="2"/>
  <c r="A34" i="2"/>
  <c r="S33" i="2"/>
  <c r="R33" i="2"/>
  <c r="Q33" i="2"/>
  <c r="P33" i="2"/>
  <c r="O33" i="2"/>
  <c r="N33" i="2"/>
  <c r="M33" i="2"/>
  <c r="L33" i="2"/>
  <c r="K33" i="2"/>
  <c r="J33" i="2"/>
  <c r="I33" i="2"/>
  <c r="H33" i="2"/>
  <c r="G33" i="2"/>
  <c r="F33" i="2"/>
  <c r="E33" i="2"/>
  <c r="D33" i="2"/>
  <c r="C33" i="2"/>
  <c r="B33" i="2"/>
  <c r="A33" i="2"/>
  <c r="S32" i="2"/>
  <c r="R32" i="2"/>
  <c r="Q32" i="2"/>
  <c r="P32" i="2"/>
  <c r="O32" i="2"/>
  <c r="N32" i="2"/>
  <c r="M32" i="2"/>
  <c r="L32" i="2"/>
  <c r="K32" i="2"/>
  <c r="J32" i="2"/>
  <c r="I32" i="2"/>
  <c r="H32" i="2"/>
  <c r="G32" i="2"/>
  <c r="F32" i="2"/>
  <c r="E32" i="2"/>
  <c r="D32" i="2"/>
  <c r="C32" i="2"/>
  <c r="B32" i="2"/>
  <c r="A32" i="2"/>
  <c r="S31" i="2"/>
  <c r="R31" i="2"/>
  <c r="Q31" i="2"/>
  <c r="P31" i="2"/>
  <c r="O31" i="2"/>
  <c r="N31" i="2"/>
  <c r="M31" i="2"/>
  <c r="L31" i="2"/>
  <c r="K31" i="2"/>
  <c r="J31" i="2"/>
  <c r="I31" i="2"/>
  <c r="H31" i="2"/>
  <c r="G31" i="2"/>
  <c r="F31" i="2"/>
  <c r="E31" i="2"/>
  <c r="D31" i="2"/>
  <c r="C31" i="2"/>
  <c r="B31" i="2"/>
  <c r="A31" i="2"/>
  <c r="S30" i="2"/>
  <c r="R30" i="2"/>
  <c r="Q30" i="2"/>
  <c r="P30" i="2"/>
  <c r="O30" i="2"/>
  <c r="N30" i="2"/>
  <c r="M30" i="2"/>
  <c r="L30" i="2"/>
  <c r="K30" i="2"/>
  <c r="J30" i="2"/>
  <c r="I30" i="2"/>
  <c r="H30" i="2"/>
  <c r="G30" i="2"/>
  <c r="F30" i="2"/>
  <c r="E30" i="2"/>
  <c r="D30" i="2"/>
  <c r="C30" i="2"/>
  <c r="B30" i="2"/>
  <c r="A30" i="2"/>
  <c r="S29" i="2"/>
  <c r="R29" i="2"/>
  <c r="Q29" i="2"/>
  <c r="P29" i="2"/>
  <c r="O29" i="2"/>
  <c r="N29" i="2"/>
  <c r="M29" i="2"/>
  <c r="L29" i="2"/>
  <c r="K29" i="2"/>
  <c r="J29" i="2"/>
  <c r="I29" i="2"/>
  <c r="H29" i="2"/>
  <c r="G29" i="2"/>
  <c r="F29" i="2"/>
  <c r="E29" i="2"/>
  <c r="D29" i="2"/>
  <c r="C29" i="2"/>
  <c r="B29" i="2"/>
  <c r="A29" i="2"/>
  <c r="S28" i="2"/>
  <c r="R28" i="2"/>
  <c r="Q28" i="2"/>
  <c r="P28" i="2"/>
  <c r="O28" i="2"/>
  <c r="N28" i="2"/>
  <c r="M28" i="2"/>
  <c r="L28" i="2"/>
  <c r="K28" i="2"/>
  <c r="J28" i="2"/>
  <c r="I28" i="2"/>
  <c r="H28" i="2"/>
  <c r="G28" i="2"/>
  <c r="F28" i="2"/>
  <c r="E28" i="2"/>
  <c r="D28" i="2"/>
  <c r="C28" i="2"/>
  <c r="B28" i="2"/>
  <c r="A28" i="2"/>
  <c r="S27" i="2"/>
  <c r="R27" i="2"/>
  <c r="Q27" i="2"/>
  <c r="P27" i="2"/>
  <c r="O27" i="2"/>
  <c r="N27" i="2"/>
  <c r="M27" i="2"/>
  <c r="L27" i="2"/>
  <c r="K27" i="2"/>
  <c r="J27" i="2"/>
  <c r="I27" i="2"/>
  <c r="H27" i="2"/>
  <c r="G27" i="2"/>
  <c r="F27" i="2"/>
  <c r="E27" i="2"/>
  <c r="D27" i="2"/>
  <c r="C27" i="2"/>
  <c r="B27" i="2"/>
  <c r="A27" i="2"/>
  <c r="S26" i="2"/>
  <c r="R26" i="2"/>
  <c r="Q26" i="2"/>
  <c r="P26" i="2"/>
  <c r="O26" i="2"/>
  <c r="N26" i="2"/>
  <c r="M26" i="2"/>
  <c r="L26" i="2"/>
  <c r="K26" i="2"/>
  <c r="J26" i="2"/>
  <c r="I26" i="2"/>
  <c r="H26" i="2"/>
  <c r="G26" i="2"/>
  <c r="F26" i="2"/>
  <c r="E26" i="2"/>
  <c r="D26" i="2"/>
  <c r="C26" i="2"/>
  <c r="B26" i="2"/>
  <c r="A26" i="2"/>
  <c r="S25" i="2"/>
  <c r="R25" i="2"/>
  <c r="Q25" i="2"/>
  <c r="P25" i="2"/>
  <c r="O25" i="2"/>
  <c r="N25" i="2"/>
  <c r="M25" i="2"/>
  <c r="L25" i="2"/>
  <c r="K25" i="2"/>
  <c r="J25" i="2"/>
  <c r="I25" i="2"/>
  <c r="H25" i="2"/>
  <c r="G25" i="2"/>
  <c r="F25" i="2"/>
  <c r="E25" i="2"/>
  <c r="D25" i="2"/>
  <c r="C25" i="2"/>
  <c r="B25" i="2"/>
  <c r="A25" i="2"/>
  <c r="S24" i="2"/>
  <c r="R24" i="2"/>
  <c r="Q24" i="2"/>
  <c r="P24" i="2"/>
  <c r="O24" i="2"/>
  <c r="N24" i="2"/>
  <c r="M24" i="2"/>
  <c r="L24" i="2"/>
  <c r="K24" i="2"/>
  <c r="J24" i="2"/>
  <c r="I24" i="2"/>
  <c r="H24" i="2"/>
  <c r="G24" i="2"/>
  <c r="F24" i="2"/>
  <c r="E24" i="2"/>
  <c r="D24" i="2"/>
  <c r="C24" i="2"/>
  <c r="B24" i="2"/>
  <c r="A24" i="2"/>
  <c r="S23" i="2"/>
  <c r="R23" i="2"/>
  <c r="Q23" i="2"/>
  <c r="P23" i="2"/>
  <c r="O23" i="2"/>
  <c r="N23" i="2"/>
  <c r="M23" i="2"/>
  <c r="L23" i="2"/>
  <c r="K23" i="2"/>
  <c r="J23" i="2"/>
  <c r="I23" i="2"/>
  <c r="H23" i="2"/>
  <c r="G23" i="2"/>
  <c r="F23" i="2"/>
  <c r="E23" i="2"/>
  <c r="D23" i="2"/>
  <c r="C23" i="2"/>
  <c r="B23" i="2"/>
  <c r="A23" i="2"/>
  <c r="S22" i="2"/>
  <c r="R22" i="2"/>
  <c r="Q22" i="2"/>
  <c r="P22" i="2"/>
  <c r="O22" i="2"/>
  <c r="N22" i="2"/>
  <c r="M22" i="2"/>
  <c r="L22" i="2"/>
  <c r="K22" i="2"/>
  <c r="J22" i="2"/>
  <c r="I22" i="2"/>
  <c r="H22" i="2"/>
  <c r="G22" i="2"/>
  <c r="F22" i="2"/>
  <c r="E22" i="2"/>
  <c r="D22" i="2"/>
  <c r="C22" i="2"/>
  <c r="B22" i="2"/>
  <c r="A22" i="2"/>
  <c r="S21" i="2"/>
  <c r="R21" i="2"/>
  <c r="Q21" i="2"/>
  <c r="P21" i="2"/>
  <c r="O21" i="2"/>
  <c r="N21" i="2"/>
  <c r="M21" i="2"/>
  <c r="L21" i="2"/>
  <c r="K21" i="2"/>
  <c r="J21" i="2"/>
  <c r="I21" i="2"/>
  <c r="H21" i="2"/>
  <c r="G21" i="2"/>
  <c r="F21" i="2"/>
  <c r="E21" i="2"/>
  <c r="D21" i="2"/>
  <c r="C21" i="2"/>
  <c r="B21" i="2"/>
  <c r="A21" i="2"/>
  <c r="S20" i="2"/>
  <c r="R20" i="2"/>
  <c r="Q20" i="2"/>
  <c r="P20" i="2"/>
  <c r="O20" i="2"/>
  <c r="N20" i="2"/>
  <c r="M20" i="2"/>
  <c r="L20" i="2"/>
  <c r="K20" i="2"/>
  <c r="J20" i="2"/>
  <c r="I20" i="2"/>
  <c r="H20" i="2"/>
  <c r="G20" i="2"/>
  <c r="F20" i="2"/>
  <c r="E20" i="2"/>
  <c r="D20" i="2"/>
  <c r="C20" i="2"/>
  <c r="B20" i="2"/>
  <c r="A20" i="2"/>
  <c r="S19" i="2"/>
  <c r="R19" i="2"/>
  <c r="Q19" i="2"/>
  <c r="P19" i="2"/>
  <c r="O19" i="2"/>
  <c r="N19" i="2"/>
  <c r="M19" i="2"/>
  <c r="L19" i="2"/>
  <c r="K19" i="2"/>
  <c r="J19" i="2"/>
  <c r="I19" i="2"/>
  <c r="H19" i="2"/>
  <c r="G19" i="2"/>
  <c r="F19" i="2"/>
  <c r="E19" i="2"/>
  <c r="D19" i="2"/>
  <c r="C19" i="2"/>
  <c r="B19" i="2"/>
  <c r="A19" i="2"/>
  <c r="S18" i="2"/>
  <c r="R18" i="2"/>
  <c r="Q18" i="2"/>
  <c r="P18" i="2"/>
  <c r="O18" i="2"/>
  <c r="N18" i="2"/>
  <c r="M18" i="2"/>
  <c r="L18" i="2"/>
  <c r="K18" i="2"/>
  <c r="J18" i="2"/>
  <c r="I18" i="2"/>
  <c r="H18" i="2"/>
  <c r="G18" i="2"/>
  <c r="F18" i="2"/>
  <c r="E18" i="2"/>
  <c r="D18" i="2"/>
  <c r="C18" i="2"/>
  <c r="B18" i="2"/>
  <c r="A18" i="2"/>
  <c r="S17" i="2"/>
  <c r="R17" i="2"/>
  <c r="Q17" i="2"/>
  <c r="P17" i="2"/>
  <c r="O17" i="2"/>
  <c r="N17" i="2"/>
  <c r="M17" i="2"/>
  <c r="L17" i="2"/>
  <c r="K17" i="2"/>
  <c r="J17" i="2"/>
  <c r="I17" i="2"/>
  <c r="H17" i="2"/>
  <c r="G17" i="2"/>
  <c r="F17" i="2"/>
  <c r="E17" i="2"/>
  <c r="D17" i="2"/>
  <c r="C17" i="2"/>
  <c r="B17" i="2"/>
  <c r="A17" i="2"/>
  <c r="S16" i="2"/>
  <c r="R16" i="2"/>
  <c r="Q16" i="2"/>
  <c r="P16" i="2"/>
  <c r="O16" i="2"/>
  <c r="N16" i="2"/>
  <c r="M16" i="2"/>
  <c r="L16" i="2"/>
  <c r="K16" i="2"/>
  <c r="J16" i="2"/>
  <c r="I16" i="2"/>
  <c r="H16" i="2"/>
  <c r="G16" i="2"/>
  <c r="F16" i="2"/>
  <c r="E16" i="2"/>
  <c r="D16" i="2"/>
  <c r="C16" i="2"/>
  <c r="B16" i="2"/>
  <c r="A16" i="2"/>
  <c r="S15" i="2"/>
  <c r="R15" i="2"/>
  <c r="Q15" i="2"/>
  <c r="P15" i="2"/>
  <c r="O15" i="2"/>
  <c r="N15" i="2"/>
  <c r="M15" i="2"/>
  <c r="L15" i="2"/>
  <c r="K15" i="2"/>
  <c r="J15" i="2"/>
  <c r="I15" i="2"/>
  <c r="H15" i="2"/>
  <c r="G15" i="2"/>
  <c r="F15" i="2"/>
  <c r="E15" i="2"/>
  <c r="D15" i="2"/>
  <c r="C15" i="2"/>
  <c r="B15" i="2"/>
  <c r="A15" i="2"/>
  <c r="S14" i="2"/>
  <c r="R14" i="2"/>
  <c r="Q14" i="2"/>
  <c r="P14" i="2"/>
  <c r="O14" i="2"/>
  <c r="N14" i="2"/>
  <c r="M14" i="2"/>
  <c r="L14" i="2"/>
  <c r="K14" i="2"/>
  <c r="J14" i="2"/>
  <c r="I14" i="2"/>
  <c r="H14" i="2"/>
  <c r="G14" i="2"/>
  <c r="F14" i="2"/>
  <c r="E14" i="2"/>
  <c r="D14" i="2"/>
  <c r="C14" i="2"/>
  <c r="B14" i="2"/>
  <c r="A14" i="2"/>
  <c r="S13" i="2"/>
  <c r="R13" i="2"/>
  <c r="Q13" i="2"/>
  <c r="P13" i="2"/>
  <c r="O13" i="2"/>
  <c r="N13" i="2"/>
  <c r="M13" i="2"/>
  <c r="L13" i="2"/>
  <c r="K13" i="2"/>
  <c r="J13" i="2"/>
  <c r="I13" i="2"/>
  <c r="H13" i="2"/>
  <c r="G13" i="2"/>
  <c r="F13" i="2"/>
  <c r="E13" i="2"/>
  <c r="D13" i="2"/>
  <c r="C13" i="2"/>
  <c r="B13" i="2"/>
  <c r="A13" i="2"/>
  <c r="S12" i="2"/>
  <c r="R12" i="2"/>
  <c r="Q12" i="2"/>
  <c r="P12" i="2"/>
  <c r="O12" i="2"/>
  <c r="N12" i="2"/>
  <c r="M12" i="2"/>
  <c r="L12" i="2"/>
  <c r="K12" i="2"/>
  <c r="J12" i="2"/>
  <c r="I12" i="2"/>
  <c r="H12" i="2"/>
  <c r="G12" i="2"/>
  <c r="F12" i="2"/>
  <c r="E12" i="2"/>
  <c r="D12" i="2"/>
  <c r="C12" i="2"/>
  <c r="B12" i="2"/>
  <c r="A12" i="2"/>
  <c r="S11" i="2"/>
  <c r="R11" i="2"/>
  <c r="Q11" i="2"/>
  <c r="P11" i="2"/>
  <c r="O11" i="2"/>
  <c r="N11" i="2"/>
  <c r="M11" i="2"/>
  <c r="L11" i="2"/>
  <c r="K11" i="2"/>
  <c r="J11" i="2"/>
  <c r="I11" i="2"/>
  <c r="H11" i="2"/>
  <c r="G11" i="2"/>
  <c r="F11" i="2"/>
  <c r="E11" i="2"/>
  <c r="D11" i="2"/>
  <c r="C11" i="2"/>
  <c r="B11" i="2"/>
  <c r="A11" i="2"/>
  <c r="S10" i="2"/>
  <c r="R10" i="2"/>
  <c r="Q10" i="2"/>
  <c r="P10" i="2"/>
  <c r="O10" i="2"/>
  <c r="N10" i="2"/>
  <c r="M10" i="2"/>
  <c r="L10" i="2"/>
  <c r="K10" i="2"/>
  <c r="J10" i="2"/>
  <c r="I10" i="2"/>
  <c r="H10" i="2"/>
  <c r="G10" i="2"/>
  <c r="F10" i="2"/>
  <c r="E10" i="2"/>
  <c r="D10" i="2"/>
  <c r="C10" i="2"/>
  <c r="B10" i="2"/>
  <c r="A10" i="2"/>
  <c r="S9" i="2"/>
  <c r="R9" i="2"/>
  <c r="Q9" i="2"/>
  <c r="P9" i="2"/>
  <c r="O9" i="2"/>
  <c r="N9" i="2"/>
  <c r="M9" i="2"/>
  <c r="L9" i="2"/>
  <c r="K9" i="2"/>
  <c r="J9" i="2"/>
  <c r="I9" i="2"/>
  <c r="H9" i="2"/>
  <c r="G9" i="2"/>
  <c r="F9" i="2"/>
  <c r="E9" i="2"/>
  <c r="D9" i="2"/>
  <c r="C9" i="2"/>
  <c r="B9" i="2"/>
  <c r="A9" i="2"/>
  <c r="S8" i="2"/>
  <c r="R8" i="2"/>
  <c r="Q8" i="2"/>
  <c r="P8" i="2"/>
  <c r="O8" i="2"/>
  <c r="N8" i="2"/>
  <c r="M8" i="2"/>
  <c r="L8" i="2"/>
  <c r="K8" i="2"/>
  <c r="J8" i="2"/>
  <c r="I8" i="2"/>
  <c r="H8" i="2"/>
  <c r="G8" i="2"/>
  <c r="F8" i="2"/>
  <c r="E8" i="2"/>
  <c r="D8" i="2"/>
  <c r="C8" i="2"/>
  <c r="B8" i="2"/>
  <c r="A8" i="2"/>
  <c r="S7" i="2"/>
  <c r="R7" i="2"/>
  <c r="Q7" i="2"/>
  <c r="P7" i="2"/>
  <c r="O7" i="2"/>
  <c r="N7" i="2"/>
  <c r="M7" i="2"/>
  <c r="L7" i="2"/>
  <c r="K7" i="2"/>
  <c r="J7" i="2"/>
  <c r="I7" i="2"/>
  <c r="H7" i="2"/>
  <c r="G7" i="2"/>
  <c r="F7" i="2"/>
  <c r="E7" i="2"/>
  <c r="D7" i="2"/>
  <c r="C7" i="2"/>
  <c r="B7" i="2"/>
  <c r="A7" i="2"/>
  <c r="S6" i="2"/>
  <c r="R6" i="2"/>
  <c r="Q6" i="2"/>
  <c r="P6" i="2"/>
  <c r="O6" i="2"/>
  <c r="N6" i="2"/>
  <c r="M6" i="2"/>
  <c r="L6" i="2"/>
  <c r="K6" i="2"/>
  <c r="J6" i="2"/>
  <c r="I6" i="2"/>
  <c r="H6" i="2"/>
  <c r="G6" i="2"/>
  <c r="F6" i="2"/>
  <c r="E6" i="2"/>
  <c r="D6" i="2"/>
  <c r="C6" i="2"/>
  <c r="B6" i="2"/>
  <c r="A6" i="2"/>
  <c r="S5" i="2"/>
  <c r="R5" i="2"/>
  <c r="Q5" i="2"/>
  <c r="P5" i="2"/>
  <c r="O5" i="2"/>
  <c r="N5" i="2"/>
  <c r="M5" i="2"/>
  <c r="L5" i="2"/>
  <c r="K5" i="2"/>
  <c r="J5" i="2"/>
  <c r="I5" i="2"/>
  <c r="H5" i="2"/>
  <c r="G5" i="2"/>
  <c r="F5" i="2"/>
  <c r="E5" i="2"/>
  <c r="D5" i="2"/>
  <c r="C5" i="2"/>
  <c r="B5" i="2"/>
  <c r="A5" i="2"/>
  <c r="S4" i="2"/>
  <c r="R4" i="2"/>
  <c r="Q4" i="2"/>
  <c r="P4" i="2"/>
  <c r="O4" i="2"/>
  <c r="N4" i="2"/>
  <c r="M4" i="2"/>
  <c r="L4" i="2"/>
  <c r="K4" i="2"/>
  <c r="J4" i="2"/>
  <c r="I4" i="2"/>
  <c r="H4" i="2"/>
  <c r="G4" i="2"/>
  <c r="F4" i="2"/>
  <c r="E4" i="2"/>
  <c r="D4" i="2"/>
  <c r="C4" i="2"/>
  <c r="B4" i="2"/>
  <c r="A4" i="2"/>
  <c r="S3" i="2"/>
  <c r="R3" i="2"/>
  <c r="Q3" i="2"/>
  <c r="P3" i="2"/>
  <c r="O3" i="2"/>
  <c r="N3" i="2"/>
  <c r="M3" i="2"/>
  <c r="L3" i="2"/>
  <c r="K3" i="2"/>
  <c r="J3" i="2"/>
  <c r="I3" i="2"/>
  <c r="H3" i="2"/>
  <c r="G3" i="2"/>
  <c r="F3" i="2"/>
  <c r="E3" i="2"/>
  <c r="D3" i="2"/>
  <c r="C3" i="2"/>
  <c r="B3" i="2"/>
  <c r="A3" i="2"/>
  <c r="B2" i="2"/>
  <c r="A2" i="2"/>
  <c r="S2" i="2"/>
  <c r="S1" i="2"/>
  <c r="R2" i="2"/>
  <c r="R1" i="2"/>
  <c r="Q2" i="2"/>
  <c r="Q1" i="2"/>
  <c r="P2" i="2"/>
  <c r="P1" i="2"/>
  <c r="O2" i="2"/>
  <c r="O1" i="2"/>
  <c r="N2" i="2"/>
  <c r="N1" i="2"/>
  <c r="M2" i="2"/>
  <c r="M1" i="2"/>
  <c r="L2" i="2"/>
  <c r="L1" i="2"/>
  <c r="K2" i="2"/>
  <c r="K1" i="2"/>
  <c r="J2" i="2"/>
  <c r="J1" i="2"/>
  <c r="I2" i="2"/>
  <c r="I1" i="2"/>
  <c r="H2" i="2"/>
  <c r="H1" i="2"/>
  <c r="G2" i="2"/>
  <c r="G1" i="2"/>
  <c r="F2" i="2"/>
  <c r="F1" i="2"/>
  <c r="E2" i="2"/>
  <c r="E1" i="2"/>
  <c r="D2" i="2"/>
  <c r="D1" i="2"/>
  <c r="C2" i="2"/>
  <c r="C1" i="2"/>
  <c r="B1" i="2"/>
</calcChain>
</file>

<file path=xl/sharedStrings.xml><?xml version="1.0" encoding="utf-8"?>
<sst xmlns="http://schemas.openxmlformats.org/spreadsheetml/2006/main" count="91" uniqueCount="50">
  <si>
    <t>sample_id</t>
  </si>
  <si>
    <t>sample_name</t>
  </si>
  <si>
    <t>No more than 1000 samples can be entered in this worksheet.  If you need to submit metadata for &gt;1000 samples, please contact CMI directly.</t>
  </si>
  <si>
    <t>age</t>
  </si>
  <si>
    <t>age_units</t>
  </si>
  <si>
    <t>empo_1</t>
  </si>
  <si>
    <t>empo_2</t>
  </si>
  <si>
    <t>empo_3</t>
  </si>
  <si>
    <t>env_feature</t>
  </si>
  <si>
    <t>env_package</t>
  </si>
  <si>
    <t>height</t>
  </si>
  <si>
    <t>height_units</t>
  </si>
  <si>
    <t>host_common_name</t>
  </si>
  <si>
    <t>host_scientific_name</t>
  </si>
  <si>
    <t>host_taxid</t>
  </si>
  <si>
    <t>host_taxid_units</t>
  </si>
  <si>
    <t>time_point</t>
  </si>
  <si>
    <t>time_point_units</t>
  </si>
  <si>
    <t>weight</t>
  </si>
  <si>
    <t>weight_units</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</si>
  <si>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</si>
  <si>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</si>
  <si>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</si>
  <si>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</si>
  <si>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</si>
  <si>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</si>
  <si>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</si>
  <si>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</si>
  <si>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</si>
  <si>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</si>
  <si>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</si>
  <si>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</si>
  <si>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Host age in appropriate units. The value must be a string and must equal "not applicable" or must equal "missing: not collected" or must equal "missing: not provided" or must equal "missing: restricted access" or the value must be a number and &gt;0. The default value is missing: not provided.</t>
  </si>
  <si>
    <t>The value must be a string and must equal "missing: not provided". The default value is  missing: not provided.</t>
  </si>
  <si>
    <t>The value must be a string and must equal "Host-associated". The default value is Host-associated.</t>
  </si>
  <si>
    <t>The value must be a string and must equal "Animal" or must equal "Fungus" or must equal "Plant".</t>
  </si>
  <si>
    <t>The value must be a string and must equal "Plant secretion" or must equal "Plant rhizosphere" or must equal "Plant surface" or must equal "Plant corpus" or must equal "Fungus surface" or must equal "Fungus corpus" or must equal "Animal surface" or must equal "Animal proximal gut" or must equal "Animal corpus" or must equal "Animal distal gut" or must equal "Animal secretion".</t>
  </si>
  <si>
    <t>The value must be a string and must equal "missing: not collected" or must equal "missing: not provided" or must equal "missing: restricted access" or the value must be a string and must equal "organism-associated habitat" or must equal "plant-associated habitat" or must equal "animal-associated habitat" or must equal "insecta-associated habitat" or must equal "mammalia-associated habitat" or must equal "human-associated habitat" or must equal "livestock-associated habitat".</t>
  </si>
  <si>
    <t>The value must be a string and must equal "host-associated". The default value is host-associated.</t>
  </si>
  <si>
    <t>Height (or length) of host in cm preferred. The value must be a string and must equal "not applicable" or must equal "missing: not collected" or must equal "missing: not provided" or must equal "missing: restricted access" or the value must be a number and &gt;0. The default value is missing: not provided.</t>
  </si>
  <si>
    <t>Common usage term for host e.g. human. The value must be a string.</t>
  </si>
  <si>
    <t>Host scientific name e.g. Homo sapiens. The value must be a string.</t>
  </si>
  <si>
    <t>Taxonomy id of host e.g. human is 9606. The value must be a string and must equal "not applicable" or must equal "missing: not collected" or must equal "missing: not provided" or the value must be a integer and &gt;0.</t>
  </si>
  <si>
    <t>The value must be a string and must equal "Not applicable". The default value is Not applicable.</t>
  </si>
  <si>
    <t>A numeric ID to indicate order of linked samples. The value must be a string and must equal "not applicable" or must equal "missing: not collected" or must equal "missing: not provided" or must equal "missing: restricted access" or the value must be a integer. The default value is missing: not provided.</t>
  </si>
  <si>
    <t>In kilograms preferred. The value must be a string and must equal "not applicable" or must equal "missing: not collected" or must equal "missing: not provided" or must equal "missing: restricted access" or the value must be a number and &gt;0. The default value is missing: not provided.</t>
  </si>
  <si>
    <t xml:space="preserve">0:
  allowed_missing_default_select: ebi_not_provided
  allowed_missing_vals[]:
  - ebi_not_applicable
  - ebi_not_collected
  - ebi_not_provided
  - ebi_restricted
  data_type: number
  default_value: allowed_missing_default
  field_desc: Host age in appropriate units
  field_name: age
  field_type: continuous
  maximum_comparison: no_comparison
  minimum_comparison: min_exclusive
  minimum_value: '0'
  units: ' missing: not provided'
1:
  allowed_missing_default_select: ebi_not_provided
  allowed_missing_vals[]:
  - ebi_not_applicable
  - ebi_not_collected
  - ebi_not_provided
  - ebi_restricted
  data_type: number
  default_value: allowed_missing_default
  field_desc: Height (or length) of host in cm preferred
  field_name: height
  field_type: continuous
  maximum_comparison: no_comparison
  minimum_comparison: min_exclusive
  minimum_value: '0'
  units: ' missing: not provided'
2:
  default_value: no_default
  field_desc: common usage term for host e.g. human
  field_name: host_common_name
  field_type: string
3:
  default_value: no_default
  field_desc: host scientific name e.g. Homo sapiens
  field_name: host_scientific_name
  field_type: string
4:
  allowed_missing_vals[]:
  - ebi_not_applicable
  - ebi_not_collected
  - ebi_not_provided
  data_type: integer
  default_value: no_default
  field_desc: taxonomy id of host e.g. human is 9606
  field_name: host_taxid
  field_type: continuous
  maximum_comparison: no_comparison
  minimum_comparison: min_exclusive
  minimum_value: '0'
  units: Not applicable
5:
  allowed_missing_default_select: ebi_not_provided
  allowed_missing_vals[]:
  - ebi_not_applicable
  - ebi_not_collected
  - ebi_not_provided
  - ebi_restricted
  data_type: integer
  default_value: allowed_missing_default
  field_desc: A numeric ID to indicate order of linked samples
  field_name: time_point
  field_type: continuous
  maximum_comparison: no_comparison
  minimum_comparison: no_comparison
  units: Not applicable
6:
  allowed_missing_default_select: ebi_not_provided
  allowed_missing_vals[]:
  - ebi_not_applicable
  - ebi_not_collected
  - ebi_not_provided
  - ebi_restricted
  data_type: number
  default_value: allowed_missing_default
  field_desc: in kilograms preferred
  field_name: weight
  field_type: continuous
  maximum_comparison: no_comparison
  minimum_comparison: min_exclusive
  minimum_value: '0'
  units: ' missing: not provided'
7:
  categorical_default_select: Host-associated
  categorical_values: Host-associated
  default_value: categorical_default
  field_name: empo_1
  field_type: categorical
8:
  categorical_values: "Animal\r\nFungus\r\nPlant"
  default_value: no_default
  field_name: empo_2
  field_type: categorical
9:
  categorical_values: "Plant secretion\r\nPlant rhizosphere\r\nPlant surface\r\nPlant\
    \ corpus\r\nFungus surface\r\nFungus corpus\r\nAnimal surface\r\nAnimal proximal\
    \ gut\r\nAnimal corpus\r\nAnimal distal gut\r\nAnimal secretion"
  default_value: no_default
  field_name: empo_3
  field_type: categorical
10:
  allowed_missing_vals[]:
  - ebi_not_collected
  - ebi_not_provided
  - ebi_restricted
  categorical_values: "organism-associated habitat\r\nplant-associated habitat\r\n\
    animal-associated habitat\r\ninsecta-associated habitat\r\nmammalia-associated\
    \ habitat\r\nhuman-associated habitat\r\nlivestock-associated habitat"
  default_value: no_default
  field_name: env_feature
  field_type: categorical
11:
  categorical_default_select: host-associated
  categorical_values: host-associated
  default_value: categorical_default
  field_name: env_package
  field_type: categorical
</t>
  </si>
  <si>
    <t>This file was created by the Metadata Wizard v0.3 at 2018-01-04 05:35:00.</t>
  </si>
  <si>
    <t xml:space="preserve">age:
  anyof:
  - allowed:
    - not applicable
    - 'missing: not collected'
    - 'missing: not provided'
    - 'missing: restricted access'
    type: string
  - min_exclusive: '0'
    type: number
  default: 'missing: not provided'
  empty: false
  field_desc: Host age in appropriate units
  is_phi: false
  required: true
  units: age_units
age_units:
  default: ' missing: not provided'
  empty: false
  is_phi: false
  required: true
  type: string
empo_1:
  allowed:
  - Host-associated
  default: Host-associated
  empty: false
  is_phi: false
  required: true
  type: string
empo_2:
  allowed:
  - Animal
  - Fungus
  - Plant
  empty: false
  is_phi: false
  required: true
  type: string
empo_3:
  allowed:
  - Plant secretion
  - Plant rhizosphere
  - Plant surface
  - Plant corpus
  - Fungus surface
  - Fungus corpus
  - Animal surface
  - Animal proximal gut
  - Animal corpus
  - Animal distal gut
  - Animal secretion
  empty: false
  is_phi: false
  required: true
  type: string
env_feature:
  anyof:
  - allowed:
    - 'missing: not collected'
    - 'missing: not provided'
    - 'missing: restricted access'
    type: string
  - allowed:
    - organism-associated habitat
    - plant-associated habitat
    - animal-associated habitat
    - insecta-associated habitat
    - mammalia-associated habitat
    - human-associated habitat
    - livestock-associated habitat
    type: string
  empty: false
  is_phi: false
  required: true
env_package:
  allowed:
  - host-associated
  default: host-associated
  empty: false
  is_phi: false
  required: true
  type: string
height:
  anyof:
  - allowed:
    - not applicable
    - 'missing: not collected'
    - 'missing: not provided'
    - 'missing: restricted access'
    type: string
  - min_exclusive: '0'
    type: number
  default: 'missing: not provided'
  empty: false
  field_desc: Height (or length) of host in cm preferred
  is_phi: false
  required: true
  units: height_units
height_units:
  default: ' missing: not provided'
  empty: false
  is_phi: false
  required: true
  type: string
host_common_name:
  empty: false
  field_desc: common usage term for host e.g. human
  is_phi: false
  required: true
  type: string
host_scientific_name:
  empty: false
  field_desc: host scientific name e.g. Homo sapiens
  is_phi: false
  required: true
  type: string
host_taxid:
  anyof:
  - allowed:
    - not applicable
    - 'missing: not collected'
    - 'missing: not provided'
    type: string
  - min_exclusive: '0'
    type: integer
  empty: false
  field_desc: taxonomy id of host e.g. human is 9606
  is_phi: false
  required: true
sample_name:
  empty: false
  is_phi: false
  regex: ^[a-zA-Z0-9\.]+$
  required: true
  type: string
  unique: true
time_point:
  anyof:
  - allowed:
    - not applicable
    - 'missing: not collected'
    - 'missing: not provided'
    - 'missing: restricted access'
    type: string
  - type: integer
  default: 'missing: not provided'
  empty: false
  field_desc: A numeric ID to indicate order of linked samples
  is_phi: false
  required: true
weight:
  anyof:
  - allowed:
    - not applicable
    - 'missing: not collected'
    - 'missing: not provided'
    - 'missing: restricted access'
    type: string
  - min_exclusive: '0'
    type: number
  default: 'missing: not provided'
  empty: false
  field_desc: in kilograms preferred
  is_phi: false
  required: true
  units: weight_units
weight_units:
  default: ' missing: not provided'
  empty: false
  is_phi: false
  required: true
  type: string
</t>
  </si>
  <si>
    <t>Manually edited to remove allowed values from age, height, and weight units, and to remove auto-generated host_taxon_id and time_point units fields.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</si>
</sst>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1" fillId="0" borderId="0" xfId="0" applyNumberFormat="1" applyFont="1" applyProtection="1">
      <protection locked="0"/>
    </xf>
    <xf numFmtId="0" fontId="1" fillId="0" borderId="0" xfId="0"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wrapText="1"/>
    </xf>
  </cellXfs>
  <cellStyles count="1">
    <cellStyle name="Normal" xfId="0" builtinId="0"/>
  </cellStyles>
  <dxfs count="2">
    <dxf>
      <font>
        <u/>
        <color rgb="FF9C0006"/>
      </font>
      <fill>
        <patternFill>
          <bgColor rgb="FFFFC7CE"/>
        </patternFill>
      </fill>
    </dxf>
    <dxf>
      <font>
        <color rgb="FFC6EFCE"/>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2"/>
  <sheetViews>
    <sheetView workbookViewId="0">
      <pane xSplit="2" ySplit="1" topLeftCell="C2" activePane="bottomRight" state="frozen"/>
      <selection pane="topRight" activeCell="C1" sqref="C1"/>
      <selection pane="bottomLeft" activeCell="A2" sqref="A2"/>
      <selection pane="bottomRight"/>
    </sheetView>
  </sheetViews>
  <sheetFormatPr baseColWidth="10" defaultColWidth="8.83203125" defaultRowHeight="15" zeroHeight="1" x14ac:dyDescent="0.2"/>
  <cols>
    <col min="1" max="1" width="0" hidden="1" customWidth="1"/>
    <col min="2" max="2" width="8.83203125" style="1"/>
    <col min="3" max="3" width="8.83203125" style="2"/>
    <col min="4" max="9" width="8.83203125" style="1"/>
    <col min="10" max="10" width="8.83203125" style="2"/>
    <col min="11" max="13" width="8.83203125" style="1"/>
    <col min="14" max="14" width="8.83203125" style="2"/>
    <col min="15" max="15" width="8.83203125" style="1"/>
    <col min="16" max="16" width="8.83203125" style="2"/>
    <col min="17" max="17" width="8.83203125" style="1"/>
    <col min="18" max="18" width="8.83203125" style="2"/>
    <col min="19" max="19" width="8.83203125" style="1"/>
  </cols>
  <sheetData>
    <row r="1" spans="1:19" x14ac:dyDescent="0.2">
      <c r="A1" s="3" t="s">
        <v>0</v>
      </c>
      <c r="B1" s="3" t="s">
        <v>1</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row>
    <row r="2" spans="1:19" x14ac:dyDescent="0.2">
      <c r="A2" t="str">
        <f>IF(COUNTBLANK(B2:S2)&lt;&gt;COLUMNS(B2:S2),1,"")</f>
        <v/>
      </c>
      <c r="C2" s="2" t="str">
        <f t="shared" ref="C2:C65" si="0">IF(B2="", "", "missing: not provided")</f>
        <v/>
      </c>
      <c r="D2" s="1" t="str">
        <f t="shared" ref="D2:D65" si="1">IF(B2="", "", " missing: not provided")</f>
        <v/>
      </c>
      <c r="E2" s="1" t="str">
        <f t="shared" ref="E2:E65" si="2">IF(B2="", "", "Host-associated")</f>
        <v/>
      </c>
      <c r="I2" s="1" t="str">
        <f t="shared" ref="I2:I65" si="3">IF(B2="", "", "host-associated")</f>
        <v/>
      </c>
      <c r="J2" s="2" t="str">
        <f t="shared" ref="J2:J65" si="4">IF(B2="", "", "missing: not provided")</f>
        <v/>
      </c>
      <c r="K2" s="1" t="str">
        <f t="shared" ref="K2:K65" si="5">IF(B2="", "", " missing: not provided")</f>
        <v/>
      </c>
      <c r="O2" s="1" t="str">
        <f t="shared" ref="O2:O65" si="6">IF(B2="", "", "Not applicable")</f>
        <v/>
      </c>
      <c r="P2" s="2" t="str">
        <f t="shared" ref="P2:P65" si="7">IF(B2="", "", "missing: not provided")</f>
        <v/>
      </c>
      <c r="Q2" s="1" t="str">
        <f t="shared" ref="Q2:Q65" si="8">IF(B2="", "", "Not applicable")</f>
        <v/>
      </c>
      <c r="R2" s="2" t="str">
        <f t="shared" ref="R2:R65" si="9">IF(B2="", "", "missing: not provided")</f>
        <v/>
      </c>
      <c r="S2" s="1" t="str">
        <f t="shared" ref="S2:S65" si="10">IF(B2="", "", " missing: not provided")</f>
        <v/>
      </c>
    </row>
    <row r="3" spans="1:19" x14ac:dyDescent="0.2">
      <c r="A3" t="str">
        <f>IF(COUNTBLANK(B3:S3)&lt;&gt;COLUMNS(B3:S3),2,"")</f>
        <v/>
      </c>
      <c r="C3" s="2" t="str">
        <f t="shared" si="0"/>
        <v/>
      </c>
      <c r="D3" s="1" t="str">
        <f t="shared" si="1"/>
        <v/>
      </c>
      <c r="E3" s="1" t="str">
        <f t="shared" si="2"/>
        <v/>
      </c>
      <c r="I3" s="1" t="str">
        <f t="shared" si="3"/>
        <v/>
      </c>
      <c r="J3" s="2" t="str">
        <f t="shared" si="4"/>
        <v/>
      </c>
      <c r="K3" s="1" t="str">
        <f t="shared" si="5"/>
        <v/>
      </c>
      <c r="O3" s="1" t="str">
        <f t="shared" si="6"/>
        <v/>
      </c>
      <c r="P3" s="2" t="str">
        <f t="shared" si="7"/>
        <v/>
      </c>
      <c r="Q3" s="1" t="str">
        <f t="shared" si="8"/>
        <v/>
      </c>
      <c r="R3" s="2" t="str">
        <f t="shared" si="9"/>
        <v/>
      </c>
      <c r="S3" s="1" t="str">
        <f t="shared" si="10"/>
        <v/>
      </c>
    </row>
    <row r="4" spans="1:19" x14ac:dyDescent="0.2">
      <c r="A4" t="str">
        <f>IF(COUNTBLANK(B4:S4)&lt;&gt;COLUMNS(B4:S4),3,"")</f>
        <v/>
      </c>
      <c r="C4" s="2" t="str">
        <f t="shared" si="0"/>
        <v/>
      </c>
      <c r="D4" s="1" t="str">
        <f t="shared" si="1"/>
        <v/>
      </c>
      <c r="E4" s="1" t="str">
        <f t="shared" si="2"/>
        <v/>
      </c>
      <c r="I4" s="1" t="str">
        <f t="shared" si="3"/>
        <v/>
      </c>
      <c r="J4" s="2" t="str">
        <f t="shared" si="4"/>
        <v/>
      </c>
      <c r="K4" s="1" t="str">
        <f t="shared" si="5"/>
        <v/>
      </c>
      <c r="O4" s="1" t="str">
        <f t="shared" si="6"/>
        <v/>
      </c>
      <c r="P4" s="2" t="str">
        <f t="shared" si="7"/>
        <v/>
      </c>
      <c r="Q4" s="1" t="str">
        <f t="shared" si="8"/>
        <v/>
      </c>
      <c r="R4" s="2" t="str">
        <f t="shared" si="9"/>
        <v/>
      </c>
      <c r="S4" s="1" t="str">
        <f t="shared" si="10"/>
        <v/>
      </c>
    </row>
    <row r="5" spans="1:19" x14ac:dyDescent="0.2">
      <c r="A5" t="str">
        <f>IF(COUNTBLANK(B5:S5)&lt;&gt;COLUMNS(B5:S5),4,"")</f>
        <v/>
      </c>
      <c r="C5" s="2" t="str">
        <f t="shared" si="0"/>
        <v/>
      </c>
      <c r="D5" s="1" t="str">
        <f t="shared" si="1"/>
        <v/>
      </c>
      <c r="E5" s="1" t="str">
        <f t="shared" si="2"/>
        <v/>
      </c>
      <c r="I5" s="1" t="str">
        <f t="shared" si="3"/>
        <v/>
      </c>
      <c r="J5" s="2" t="str">
        <f t="shared" si="4"/>
        <v/>
      </c>
      <c r="K5" s="1" t="str">
        <f t="shared" si="5"/>
        <v/>
      </c>
      <c r="O5" s="1" t="str">
        <f t="shared" si="6"/>
        <v/>
      </c>
      <c r="P5" s="2" t="str">
        <f t="shared" si="7"/>
        <v/>
      </c>
      <c r="Q5" s="1" t="str">
        <f t="shared" si="8"/>
        <v/>
      </c>
      <c r="R5" s="2" t="str">
        <f t="shared" si="9"/>
        <v/>
      </c>
      <c r="S5" s="1" t="str">
        <f t="shared" si="10"/>
        <v/>
      </c>
    </row>
    <row r="6" spans="1:19" x14ac:dyDescent="0.2">
      <c r="A6" t="str">
        <f>IF(COUNTBLANK(B6:S6)&lt;&gt;COLUMNS(B6:S6),5,"")</f>
        <v/>
      </c>
      <c r="C6" s="2" t="str">
        <f t="shared" si="0"/>
        <v/>
      </c>
      <c r="D6" s="1" t="str">
        <f t="shared" si="1"/>
        <v/>
      </c>
      <c r="E6" s="1" t="str">
        <f t="shared" si="2"/>
        <v/>
      </c>
      <c r="I6" s="1" t="str">
        <f t="shared" si="3"/>
        <v/>
      </c>
      <c r="J6" s="2" t="str">
        <f t="shared" si="4"/>
        <v/>
      </c>
      <c r="K6" s="1" t="str">
        <f t="shared" si="5"/>
        <v/>
      </c>
      <c r="O6" s="1" t="str">
        <f t="shared" si="6"/>
        <v/>
      </c>
      <c r="P6" s="2" t="str">
        <f t="shared" si="7"/>
        <v/>
      </c>
      <c r="Q6" s="1" t="str">
        <f t="shared" si="8"/>
        <v/>
      </c>
      <c r="R6" s="2" t="str">
        <f t="shared" si="9"/>
        <v/>
      </c>
      <c r="S6" s="1" t="str">
        <f t="shared" si="10"/>
        <v/>
      </c>
    </row>
    <row r="7" spans="1:19" x14ac:dyDescent="0.2">
      <c r="A7" t="str">
        <f>IF(COUNTBLANK(B7:S7)&lt;&gt;COLUMNS(B7:S7),6,"")</f>
        <v/>
      </c>
      <c r="C7" s="2" t="str">
        <f t="shared" si="0"/>
        <v/>
      </c>
      <c r="D7" s="1" t="str">
        <f t="shared" si="1"/>
        <v/>
      </c>
      <c r="E7" s="1" t="str">
        <f t="shared" si="2"/>
        <v/>
      </c>
      <c r="I7" s="1" t="str">
        <f t="shared" si="3"/>
        <v/>
      </c>
      <c r="J7" s="2" t="str">
        <f t="shared" si="4"/>
        <v/>
      </c>
      <c r="K7" s="1" t="str">
        <f t="shared" si="5"/>
        <v/>
      </c>
      <c r="O7" s="1" t="str">
        <f t="shared" si="6"/>
        <v/>
      </c>
      <c r="P7" s="2" t="str">
        <f t="shared" si="7"/>
        <v/>
      </c>
      <c r="Q7" s="1" t="str">
        <f t="shared" si="8"/>
        <v/>
      </c>
      <c r="R7" s="2" t="str">
        <f t="shared" si="9"/>
        <v/>
      </c>
      <c r="S7" s="1" t="str">
        <f t="shared" si="10"/>
        <v/>
      </c>
    </row>
    <row r="8" spans="1:19" x14ac:dyDescent="0.2">
      <c r="A8" t="str">
        <f>IF(COUNTBLANK(B8:S8)&lt;&gt;COLUMNS(B8:S8),7,"")</f>
        <v/>
      </c>
      <c r="C8" s="2" t="str">
        <f t="shared" si="0"/>
        <v/>
      </c>
      <c r="D8" s="1" t="str">
        <f t="shared" si="1"/>
        <v/>
      </c>
      <c r="E8" s="1" t="str">
        <f t="shared" si="2"/>
        <v/>
      </c>
      <c r="I8" s="1" t="str">
        <f t="shared" si="3"/>
        <v/>
      </c>
      <c r="J8" s="2" t="str">
        <f t="shared" si="4"/>
        <v/>
      </c>
      <c r="K8" s="1" t="str">
        <f t="shared" si="5"/>
        <v/>
      </c>
      <c r="O8" s="1" t="str">
        <f t="shared" si="6"/>
        <v/>
      </c>
      <c r="P8" s="2" t="str">
        <f t="shared" si="7"/>
        <v/>
      </c>
      <c r="Q8" s="1" t="str">
        <f t="shared" si="8"/>
        <v/>
      </c>
      <c r="R8" s="2" t="str">
        <f t="shared" si="9"/>
        <v/>
      </c>
      <c r="S8" s="1" t="str">
        <f t="shared" si="10"/>
        <v/>
      </c>
    </row>
    <row r="9" spans="1:19" x14ac:dyDescent="0.2">
      <c r="A9" t="str">
        <f>IF(COUNTBLANK(B9:S9)&lt;&gt;COLUMNS(B9:S9),8,"")</f>
        <v/>
      </c>
      <c r="C9" s="2" t="str">
        <f t="shared" si="0"/>
        <v/>
      </c>
      <c r="D9" s="1" t="str">
        <f t="shared" si="1"/>
        <v/>
      </c>
      <c r="E9" s="1" t="str">
        <f t="shared" si="2"/>
        <v/>
      </c>
      <c r="I9" s="1" t="str">
        <f t="shared" si="3"/>
        <v/>
      </c>
      <c r="J9" s="2" t="str">
        <f t="shared" si="4"/>
        <v/>
      </c>
      <c r="K9" s="1" t="str">
        <f t="shared" si="5"/>
        <v/>
      </c>
      <c r="O9" s="1" t="str">
        <f t="shared" si="6"/>
        <v/>
      </c>
      <c r="P9" s="2" t="str">
        <f t="shared" si="7"/>
        <v/>
      </c>
      <c r="Q9" s="1" t="str">
        <f t="shared" si="8"/>
        <v/>
      </c>
      <c r="R9" s="2" t="str">
        <f t="shared" si="9"/>
        <v/>
      </c>
      <c r="S9" s="1" t="str">
        <f t="shared" si="10"/>
        <v/>
      </c>
    </row>
    <row r="10" spans="1:19" x14ac:dyDescent="0.2">
      <c r="A10" t="str">
        <f>IF(COUNTBLANK(B10:S10)&lt;&gt;COLUMNS(B10:S10),9,"")</f>
        <v/>
      </c>
      <c r="C10" s="2" t="str">
        <f t="shared" si="0"/>
        <v/>
      </c>
      <c r="D10" s="1" t="str">
        <f t="shared" si="1"/>
        <v/>
      </c>
      <c r="E10" s="1" t="str">
        <f t="shared" si="2"/>
        <v/>
      </c>
      <c r="I10" s="1" t="str">
        <f t="shared" si="3"/>
        <v/>
      </c>
      <c r="J10" s="2" t="str">
        <f t="shared" si="4"/>
        <v/>
      </c>
      <c r="K10" s="1" t="str">
        <f t="shared" si="5"/>
        <v/>
      </c>
      <c r="O10" s="1" t="str">
        <f t="shared" si="6"/>
        <v/>
      </c>
      <c r="P10" s="2" t="str">
        <f t="shared" si="7"/>
        <v/>
      </c>
      <c r="Q10" s="1" t="str">
        <f t="shared" si="8"/>
        <v/>
      </c>
      <c r="R10" s="2" t="str">
        <f t="shared" si="9"/>
        <v/>
      </c>
      <c r="S10" s="1" t="str">
        <f t="shared" si="10"/>
        <v/>
      </c>
    </row>
    <row r="11" spans="1:19" x14ac:dyDescent="0.2">
      <c r="A11" t="str">
        <f>IF(COUNTBLANK(B11:S11)&lt;&gt;COLUMNS(B11:S11),10,"")</f>
        <v/>
      </c>
      <c r="C11" s="2" t="str">
        <f t="shared" si="0"/>
        <v/>
      </c>
      <c r="D11" s="1" t="str">
        <f t="shared" si="1"/>
        <v/>
      </c>
      <c r="E11" s="1" t="str">
        <f t="shared" si="2"/>
        <v/>
      </c>
      <c r="I11" s="1" t="str">
        <f t="shared" si="3"/>
        <v/>
      </c>
      <c r="J11" s="2" t="str">
        <f t="shared" si="4"/>
        <v/>
      </c>
      <c r="K11" s="1" t="str">
        <f t="shared" si="5"/>
        <v/>
      </c>
      <c r="O11" s="1" t="str">
        <f t="shared" si="6"/>
        <v/>
      </c>
      <c r="P11" s="2" t="str">
        <f t="shared" si="7"/>
        <v/>
      </c>
      <c r="Q11" s="1" t="str">
        <f t="shared" si="8"/>
        <v/>
      </c>
      <c r="R11" s="2" t="str">
        <f t="shared" si="9"/>
        <v/>
      </c>
      <c r="S11" s="1" t="str">
        <f t="shared" si="10"/>
        <v/>
      </c>
    </row>
    <row r="12" spans="1:19" x14ac:dyDescent="0.2">
      <c r="A12" t="str">
        <f>IF(COUNTBLANK(B12:S12)&lt;&gt;COLUMNS(B12:S12),11,"")</f>
        <v/>
      </c>
      <c r="C12" s="2" t="str">
        <f t="shared" si="0"/>
        <v/>
      </c>
      <c r="D12" s="1" t="str">
        <f t="shared" si="1"/>
        <v/>
      </c>
      <c r="E12" s="1" t="str">
        <f t="shared" si="2"/>
        <v/>
      </c>
      <c r="I12" s="1" t="str">
        <f t="shared" si="3"/>
        <v/>
      </c>
      <c r="J12" s="2" t="str">
        <f t="shared" si="4"/>
        <v/>
      </c>
      <c r="K12" s="1" t="str">
        <f t="shared" si="5"/>
        <v/>
      </c>
      <c r="O12" s="1" t="str">
        <f t="shared" si="6"/>
        <v/>
      </c>
      <c r="P12" s="2" t="str">
        <f t="shared" si="7"/>
        <v/>
      </c>
      <c r="Q12" s="1" t="str">
        <f t="shared" si="8"/>
        <v/>
      </c>
      <c r="R12" s="2" t="str">
        <f t="shared" si="9"/>
        <v/>
      </c>
      <c r="S12" s="1" t="str">
        <f t="shared" si="10"/>
        <v/>
      </c>
    </row>
    <row r="13" spans="1:19" x14ac:dyDescent="0.2">
      <c r="A13" t="str">
        <f>IF(COUNTBLANK(B13:S13)&lt;&gt;COLUMNS(B13:S13),12,"")</f>
        <v/>
      </c>
      <c r="C13" s="2" t="str">
        <f t="shared" si="0"/>
        <v/>
      </c>
      <c r="D13" s="1" t="str">
        <f t="shared" si="1"/>
        <v/>
      </c>
      <c r="E13" s="1" t="str">
        <f t="shared" si="2"/>
        <v/>
      </c>
      <c r="I13" s="1" t="str">
        <f t="shared" si="3"/>
        <v/>
      </c>
      <c r="J13" s="2" t="str">
        <f t="shared" si="4"/>
        <v/>
      </c>
      <c r="K13" s="1" t="str">
        <f t="shared" si="5"/>
        <v/>
      </c>
      <c r="O13" s="1" t="str">
        <f t="shared" si="6"/>
        <v/>
      </c>
      <c r="P13" s="2" t="str">
        <f t="shared" si="7"/>
        <v/>
      </c>
      <c r="Q13" s="1" t="str">
        <f t="shared" si="8"/>
        <v/>
      </c>
      <c r="R13" s="2" t="str">
        <f t="shared" si="9"/>
        <v/>
      </c>
      <c r="S13" s="1" t="str">
        <f t="shared" si="10"/>
        <v/>
      </c>
    </row>
    <row r="14" spans="1:19" x14ac:dyDescent="0.2">
      <c r="A14" t="str">
        <f>IF(COUNTBLANK(B14:S14)&lt;&gt;COLUMNS(B14:S14),13,"")</f>
        <v/>
      </c>
      <c r="C14" s="2" t="str">
        <f t="shared" si="0"/>
        <v/>
      </c>
      <c r="D14" s="1" t="str">
        <f t="shared" si="1"/>
        <v/>
      </c>
      <c r="E14" s="1" t="str">
        <f t="shared" si="2"/>
        <v/>
      </c>
      <c r="I14" s="1" t="str">
        <f t="shared" si="3"/>
        <v/>
      </c>
      <c r="J14" s="2" t="str">
        <f t="shared" si="4"/>
        <v/>
      </c>
      <c r="K14" s="1" t="str">
        <f t="shared" si="5"/>
        <v/>
      </c>
      <c r="O14" s="1" t="str">
        <f t="shared" si="6"/>
        <v/>
      </c>
      <c r="P14" s="2" t="str">
        <f t="shared" si="7"/>
        <v/>
      </c>
      <c r="Q14" s="1" t="str">
        <f t="shared" si="8"/>
        <v/>
      </c>
      <c r="R14" s="2" t="str">
        <f t="shared" si="9"/>
        <v/>
      </c>
      <c r="S14" s="1" t="str">
        <f t="shared" si="10"/>
        <v/>
      </c>
    </row>
    <row r="15" spans="1:19" x14ac:dyDescent="0.2">
      <c r="A15" t="str">
        <f>IF(COUNTBLANK(B15:S15)&lt;&gt;COLUMNS(B15:S15),14,"")</f>
        <v/>
      </c>
      <c r="C15" s="2" t="str">
        <f t="shared" si="0"/>
        <v/>
      </c>
      <c r="D15" s="1" t="str">
        <f t="shared" si="1"/>
        <v/>
      </c>
      <c r="E15" s="1" t="str">
        <f t="shared" si="2"/>
        <v/>
      </c>
      <c r="I15" s="1" t="str">
        <f t="shared" si="3"/>
        <v/>
      </c>
      <c r="J15" s="2" t="str">
        <f t="shared" si="4"/>
        <v/>
      </c>
      <c r="K15" s="1" t="str">
        <f t="shared" si="5"/>
        <v/>
      </c>
      <c r="O15" s="1" t="str">
        <f t="shared" si="6"/>
        <v/>
      </c>
      <c r="P15" s="2" t="str">
        <f t="shared" si="7"/>
        <v/>
      </c>
      <c r="Q15" s="1" t="str">
        <f t="shared" si="8"/>
        <v/>
      </c>
      <c r="R15" s="2" t="str">
        <f t="shared" si="9"/>
        <v/>
      </c>
      <c r="S15" s="1" t="str">
        <f t="shared" si="10"/>
        <v/>
      </c>
    </row>
    <row r="16" spans="1:19" x14ac:dyDescent="0.2">
      <c r="A16" t="str">
        <f>IF(COUNTBLANK(B16:S16)&lt;&gt;COLUMNS(B16:S16),15,"")</f>
        <v/>
      </c>
      <c r="C16" s="2" t="str">
        <f t="shared" si="0"/>
        <v/>
      </c>
      <c r="D16" s="1" t="str">
        <f t="shared" si="1"/>
        <v/>
      </c>
      <c r="E16" s="1" t="str">
        <f t="shared" si="2"/>
        <v/>
      </c>
      <c r="I16" s="1" t="str">
        <f t="shared" si="3"/>
        <v/>
      </c>
      <c r="J16" s="2" t="str">
        <f t="shared" si="4"/>
        <v/>
      </c>
      <c r="K16" s="1" t="str">
        <f t="shared" si="5"/>
        <v/>
      </c>
      <c r="O16" s="1" t="str">
        <f t="shared" si="6"/>
        <v/>
      </c>
      <c r="P16" s="2" t="str">
        <f t="shared" si="7"/>
        <v/>
      </c>
      <c r="Q16" s="1" t="str">
        <f t="shared" si="8"/>
        <v/>
      </c>
      <c r="R16" s="2" t="str">
        <f t="shared" si="9"/>
        <v/>
      </c>
      <c r="S16" s="1" t="str">
        <f t="shared" si="10"/>
        <v/>
      </c>
    </row>
    <row r="17" spans="1:19" x14ac:dyDescent="0.2">
      <c r="A17" t="str">
        <f>IF(COUNTBLANK(B17:S17)&lt;&gt;COLUMNS(B17:S17),16,"")</f>
        <v/>
      </c>
      <c r="C17" s="2" t="str">
        <f t="shared" si="0"/>
        <v/>
      </c>
      <c r="D17" s="1" t="str">
        <f t="shared" si="1"/>
        <v/>
      </c>
      <c r="E17" s="1" t="str">
        <f t="shared" si="2"/>
        <v/>
      </c>
      <c r="I17" s="1" t="str">
        <f t="shared" si="3"/>
        <v/>
      </c>
      <c r="J17" s="2" t="str">
        <f t="shared" si="4"/>
        <v/>
      </c>
      <c r="K17" s="1" t="str">
        <f t="shared" si="5"/>
        <v/>
      </c>
      <c r="O17" s="1" t="str">
        <f t="shared" si="6"/>
        <v/>
      </c>
      <c r="P17" s="2" t="str">
        <f t="shared" si="7"/>
        <v/>
      </c>
      <c r="Q17" s="1" t="str">
        <f t="shared" si="8"/>
        <v/>
      </c>
      <c r="R17" s="2" t="str">
        <f t="shared" si="9"/>
        <v/>
      </c>
      <c r="S17" s="1" t="str">
        <f t="shared" si="10"/>
        <v/>
      </c>
    </row>
    <row r="18" spans="1:19" x14ac:dyDescent="0.2">
      <c r="A18" t="str">
        <f>IF(COUNTBLANK(B18:S18)&lt;&gt;COLUMNS(B18:S18),17,"")</f>
        <v/>
      </c>
      <c r="C18" s="2" t="str">
        <f t="shared" si="0"/>
        <v/>
      </c>
      <c r="D18" s="1" t="str">
        <f t="shared" si="1"/>
        <v/>
      </c>
      <c r="E18" s="1" t="str">
        <f t="shared" si="2"/>
        <v/>
      </c>
      <c r="I18" s="1" t="str">
        <f t="shared" si="3"/>
        <v/>
      </c>
      <c r="J18" s="2" t="str">
        <f t="shared" si="4"/>
        <v/>
      </c>
      <c r="K18" s="1" t="str">
        <f t="shared" si="5"/>
        <v/>
      </c>
      <c r="O18" s="1" t="str">
        <f t="shared" si="6"/>
        <v/>
      </c>
      <c r="P18" s="2" t="str">
        <f t="shared" si="7"/>
        <v/>
      </c>
      <c r="Q18" s="1" t="str">
        <f t="shared" si="8"/>
        <v/>
      </c>
      <c r="R18" s="2" t="str">
        <f t="shared" si="9"/>
        <v/>
      </c>
      <c r="S18" s="1" t="str">
        <f t="shared" si="10"/>
        <v/>
      </c>
    </row>
    <row r="19" spans="1:19" x14ac:dyDescent="0.2">
      <c r="A19" t="str">
        <f>IF(COUNTBLANK(B19:S19)&lt;&gt;COLUMNS(B19:S19),18,"")</f>
        <v/>
      </c>
      <c r="C19" s="2" t="str">
        <f t="shared" si="0"/>
        <v/>
      </c>
      <c r="D19" s="1" t="str">
        <f t="shared" si="1"/>
        <v/>
      </c>
      <c r="E19" s="1" t="str">
        <f t="shared" si="2"/>
        <v/>
      </c>
      <c r="I19" s="1" t="str">
        <f t="shared" si="3"/>
        <v/>
      </c>
      <c r="J19" s="2" t="str">
        <f t="shared" si="4"/>
        <v/>
      </c>
      <c r="K19" s="1" t="str">
        <f t="shared" si="5"/>
        <v/>
      </c>
      <c r="O19" s="1" t="str">
        <f t="shared" si="6"/>
        <v/>
      </c>
      <c r="P19" s="2" t="str">
        <f t="shared" si="7"/>
        <v/>
      </c>
      <c r="Q19" s="1" t="str">
        <f t="shared" si="8"/>
        <v/>
      </c>
      <c r="R19" s="2" t="str">
        <f t="shared" si="9"/>
        <v/>
      </c>
      <c r="S19" s="1" t="str">
        <f t="shared" si="10"/>
        <v/>
      </c>
    </row>
    <row r="20" spans="1:19" x14ac:dyDescent="0.2">
      <c r="A20" t="str">
        <f>IF(COUNTBLANK(B20:S20)&lt;&gt;COLUMNS(B20:S20),19,"")</f>
        <v/>
      </c>
      <c r="C20" s="2" t="str">
        <f t="shared" si="0"/>
        <v/>
      </c>
      <c r="D20" s="1" t="str">
        <f t="shared" si="1"/>
        <v/>
      </c>
      <c r="E20" s="1" t="str">
        <f t="shared" si="2"/>
        <v/>
      </c>
      <c r="I20" s="1" t="str">
        <f t="shared" si="3"/>
        <v/>
      </c>
      <c r="J20" s="2" t="str">
        <f t="shared" si="4"/>
        <v/>
      </c>
      <c r="K20" s="1" t="str">
        <f t="shared" si="5"/>
        <v/>
      </c>
      <c r="O20" s="1" t="str">
        <f t="shared" si="6"/>
        <v/>
      </c>
      <c r="P20" s="2" t="str">
        <f t="shared" si="7"/>
        <v/>
      </c>
      <c r="Q20" s="1" t="str">
        <f t="shared" si="8"/>
        <v/>
      </c>
      <c r="R20" s="2" t="str">
        <f t="shared" si="9"/>
        <v/>
      </c>
      <c r="S20" s="1" t="str">
        <f t="shared" si="10"/>
        <v/>
      </c>
    </row>
    <row r="21" spans="1:19" x14ac:dyDescent="0.2">
      <c r="A21" t="str">
        <f>IF(COUNTBLANK(B21:S21)&lt;&gt;COLUMNS(B21:S21),20,"")</f>
        <v/>
      </c>
      <c r="C21" s="2" t="str">
        <f t="shared" si="0"/>
        <v/>
      </c>
      <c r="D21" s="1" t="str">
        <f t="shared" si="1"/>
        <v/>
      </c>
      <c r="E21" s="1" t="str">
        <f t="shared" si="2"/>
        <v/>
      </c>
      <c r="I21" s="1" t="str">
        <f t="shared" si="3"/>
        <v/>
      </c>
      <c r="J21" s="2" t="str">
        <f t="shared" si="4"/>
        <v/>
      </c>
      <c r="K21" s="1" t="str">
        <f t="shared" si="5"/>
        <v/>
      </c>
      <c r="O21" s="1" t="str">
        <f t="shared" si="6"/>
        <v/>
      </c>
      <c r="P21" s="2" t="str">
        <f t="shared" si="7"/>
        <v/>
      </c>
      <c r="Q21" s="1" t="str">
        <f t="shared" si="8"/>
        <v/>
      </c>
      <c r="R21" s="2" t="str">
        <f t="shared" si="9"/>
        <v/>
      </c>
      <c r="S21" s="1" t="str">
        <f t="shared" si="10"/>
        <v/>
      </c>
    </row>
    <row r="22" spans="1:19" x14ac:dyDescent="0.2">
      <c r="A22" t="str">
        <f>IF(COUNTBLANK(B22:S22)&lt;&gt;COLUMNS(B22:S22),21,"")</f>
        <v/>
      </c>
      <c r="C22" s="2" t="str">
        <f t="shared" si="0"/>
        <v/>
      </c>
      <c r="D22" s="1" t="str">
        <f t="shared" si="1"/>
        <v/>
      </c>
      <c r="E22" s="1" t="str">
        <f t="shared" si="2"/>
        <v/>
      </c>
      <c r="I22" s="1" t="str">
        <f t="shared" si="3"/>
        <v/>
      </c>
      <c r="J22" s="2" t="str">
        <f t="shared" si="4"/>
        <v/>
      </c>
      <c r="K22" s="1" t="str">
        <f t="shared" si="5"/>
        <v/>
      </c>
      <c r="O22" s="1" t="str">
        <f t="shared" si="6"/>
        <v/>
      </c>
      <c r="P22" s="2" t="str">
        <f t="shared" si="7"/>
        <v/>
      </c>
      <c r="Q22" s="1" t="str">
        <f t="shared" si="8"/>
        <v/>
      </c>
      <c r="R22" s="2" t="str">
        <f t="shared" si="9"/>
        <v/>
      </c>
      <c r="S22" s="1" t="str">
        <f t="shared" si="10"/>
        <v/>
      </c>
    </row>
    <row r="23" spans="1:19" x14ac:dyDescent="0.2">
      <c r="A23" t="str">
        <f>IF(COUNTBLANK(B23:S23)&lt;&gt;COLUMNS(B23:S23),22,"")</f>
        <v/>
      </c>
      <c r="C23" s="2" t="str">
        <f t="shared" si="0"/>
        <v/>
      </c>
      <c r="D23" s="1" t="str">
        <f t="shared" si="1"/>
        <v/>
      </c>
      <c r="E23" s="1" t="str">
        <f t="shared" si="2"/>
        <v/>
      </c>
      <c r="I23" s="1" t="str">
        <f t="shared" si="3"/>
        <v/>
      </c>
      <c r="J23" s="2" t="str">
        <f t="shared" si="4"/>
        <v/>
      </c>
      <c r="K23" s="1" t="str">
        <f t="shared" si="5"/>
        <v/>
      </c>
      <c r="O23" s="1" t="str">
        <f t="shared" si="6"/>
        <v/>
      </c>
      <c r="P23" s="2" t="str">
        <f t="shared" si="7"/>
        <v/>
      </c>
      <c r="Q23" s="1" t="str">
        <f t="shared" si="8"/>
        <v/>
      </c>
      <c r="R23" s="2" t="str">
        <f t="shared" si="9"/>
        <v/>
      </c>
      <c r="S23" s="1" t="str">
        <f t="shared" si="10"/>
        <v/>
      </c>
    </row>
    <row r="24" spans="1:19" x14ac:dyDescent="0.2">
      <c r="A24" t="str">
        <f>IF(COUNTBLANK(B24:S24)&lt;&gt;COLUMNS(B24:S24),23,"")</f>
        <v/>
      </c>
      <c r="C24" s="2" t="str">
        <f t="shared" si="0"/>
        <v/>
      </c>
      <c r="D24" s="1" t="str">
        <f t="shared" si="1"/>
        <v/>
      </c>
      <c r="E24" s="1" t="str">
        <f t="shared" si="2"/>
        <v/>
      </c>
      <c r="I24" s="1" t="str">
        <f t="shared" si="3"/>
        <v/>
      </c>
      <c r="J24" s="2" t="str">
        <f t="shared" si="4"/>
        <v/>
      </c>
      <c r="K24" s="1" t="str">
        <f t="shared" si="5"/>
        <v/>
      </c>
      <c r="O24" s="1" t="str">
        <f t="shared" si="6"/>
        <v/>
      </c>
      <c r="P24" s="2" t="str">
        <f t="shared" si="7"/>
        <v/>
      </c>
      <c r="Q24" s="1" t="str">
        <f t="shared" si="8"/>
        <v/>
      </c>
      <c r="R24" s="2" t="str">
        <f t="shared" si="9"/>
        <v/>
      </c>
      <c r="S24" s="1" t="str">
        <f t="shared" si="10"/>
        <v/>
      </c>
    </row>
    <row r="25" spans="1:19" x14ac:dyDescent="0.2">
      <c r="A25" t="str">
        <f>IF(COUNTBLANK(B25:S25)&lt;&gt;COLUMNS(B25:S25),24,"")</f>
        <v/>
      </c>
      <c r="C25" s="2" t="str">
        <f t="shared" si="0"/>
        <v/>
      </c>
      <c r="D25" s="1" t="str">
        <f t="shared" si="1"/>
        <v/>
      </c>
      <c r="E25" s="1" t="str">
        <f t="shared" si="2"/>
        <v/>
      </c>
      <c r="I25" s="1" t="str">
        <f t="shared" si="3"/>
        <v/>
      </c>
      <c r="J25" s="2" t="str">
        <f t="shared" si="4"/>
        <v/>
      </c>
      <c r="K25" s="1" t="str">
        <f t="shared" si="5"/>
        <v/>
      </c>
      <c r="O25" s="1" t="str">
        <f t="shared" si="6"/>
        <v/>
      </c>
      <c r="P25" s="2" t="str">
        <f t="shared" si="7"/>
        <v/>
      </c>
      <c r="Q25" s="1" t="str">
        <f t="shared" si="8"/>
        <v/>
      </c>
      <c r="R25" s="2" t="str">
        <f t="shared" si="9"/>
        <v/>
      </c>
      <c r="S25" s="1" t="str">
        <f t="shared" si="10"/>
        <v/>
      </c>
    </row>
    <row r="26" spans="1:19" x14ac:dyDescent="0.2">
      <c r="A26" t="str">
        <f>IF(COUNTBLANK(B26:S26)&lt;&gt;COLUMNS(B26:S26),25,"")</f>
        <v/>
      </c>
      <c r="C26" s="2" t="str">
        <f t="shared" si="0"/>
        <v/>
      </c>
      <c r="D26" s="1" t="str">
        <f t="shared" si="1"/>
        <v/>
      </c>
      <c r="E26" s="1" t="str">
        <f t="shared" si="2"/>
        <v/>
      </c>
      <c r="I26" s="1" t="str">
        <f t="shared" si="3"/>
        <v/>
      </c>
      <c r="J26" s="2" t="str">
        <f t="shared" si="4"/>
        <v/>
      </c>
      <c r="K26" s="1" t="str">
        <f t="shared" si="5"/>
        <v/>
      </c>
      <c r="O26" s="1" t="str">
        <f t="shared" si="6"/>
        <v/>
      </c>
      <c r="P26" s="2" t="str">
        <f t="shared" si="7"/>
        <v/>
      </c>
      <c r="Q26" s="1" t="str">
        <f t="shared" si="8"/>
        <v/>
      </c>
      <c r="R26" s="2" t="str">
        <f t="shared" si="9"/>
        <v/>
      </c>
      <c r="S26" s="1" t="str">
        <f t="shared" si="10"/>
        <v/>
      </c>
    </row>
    <row r="27" spans="1:19" x14ac:dyDescent="0.2">
      <c r="A27" t="str">
        <f>IF(COUNTBLANK(B27:S27)&lt;&gt;COLUMNS(B27:S27),26,"")</f>
        <v/>
      </c>
      <c r="C27" s="2" t="str">
        <f t="shared" si="0"/>
        <v/>
      </c>
      <c r="D27" s="1" t="str">
        <f t="shared" si="1"/>
        <v/>
      </c>
      <c r="E27" s="1" t="str">
        <f t="shared" si="2"/>
        <v/>
      </c>
      <c r="I27" s="1" t="str">
        <f t="shared" si="3"/>
        <v/>
      </c>
      <c r="J27" s="2" t="str">
        <f t="shared" si="4"/>
        <v/>
      </c>
      <c r="K27" s="1" t="str">
        <f t="shared" si="5"/>
        <v/>
      </c>
      <c r="O27" s="1" t="str">
        <f t="shared" si="6"/>
        <v/>
      </c>
      <c r="P27" s="2" t="str">
        <f t="shared" si="7"/>
        <v/>
      </c>
      <c r="Q27" s="1" t="str">
        <f t="shared" si="8"/>
        <v/>
      </c>
      <c r="R27" s="2" t="str">
        <f t="shared" si="9"/>
        <v/>
      </c>
      <c r="S27" s="1" t="str">
        <f t="shared" si="10"/>
        <v/>
      </c>
    </row>
    <row r="28" spans="1:19" x14ac:dyDescent="0.2">
      <c r="A28" t="str">
        <f>IF(COUNTBLANK(B28:S28)&lt;&gt;COLUMNS(B28:S28),27,"")</f>
        <v/>
      </c>
      <c r="C28" s="2" t="str">
        <f t="shared" si="0"/>
        <v/>
      </c>
      <c r="D28" s="1" t="str">
        <f t="shared" si="1"/>
        <v/>
      </c>
      <c r="E28" s="1" t="str">
        <f t="shared" si="2"/>
        <v/>
      </c>
      <c r="I28" s="1" t="str">
        <f t="shared" si="3"/>
        <v/>
      </c>
      <c r="J28" s="2" t="str">
        <f t="shared" si="4"/>
        <v/>
      </c>
      <c r="K28" s="1" t="str">
        <f t="shared" si="5"/>
        <v/>
      </c>
      <c r="O28" s="1" t="str">
        <f t="shared" si="6"/>
        <v/>
      </c>
      <c r="P28" s="2" t="str">
        <f t="shared" si="7"/>
        <v/>
      </c>
      <c r="Q28" s="1" t="str">
        <f t="shared" si="8"/>
        <v/>
      </c>
      <c r="R28" s="2" t="str">
        <f t="shared" si="9"/>
        <v/>
      </c>
      <c r="S28" s="1" t="str">
        <f t="shared" si="10"/>
        <v/>
      </c>
    </row>
    <row r="29" spans="1:19" x14ac:dyDescent="0.2">
      <c r="A29" t="str">
        <f>IF(COUNTBLANK(B29:S29)&lt;&gt;COLUMNS(B29:S29),28,"")</f>
        <v/>
      </c>
      <c r="C29" s="2" t="str">
        <f t="shared" si="0"/>
        <v/>
      </c>
      <c r="D29" s="1" t="str">
        <f t="shared" si="1"/>
        <v/>
      </c>
      <c r="E29" s="1" t="str">
        <f t="shared" si="2"/>
        <v/>
      </c>
      <c r="I29" s="1" t="str">
        <f t="shared" si="3"/>
        <v/>
      </c>
      <c r="J29" s="2" t="str">
        <f t="shared" si="4"/>
        <v/>
      </c>
      <c r="K29" s="1" t="str">
        <f t="shared" si="5"/>
        <v/>
      </c>
      <c r="O29" s="1" t="str">
        <f t="shared" si="6"/>
        <v/>
      </c>
      <c r="P29" s="2" t="str">
        <f t="shared" si="7"/>
        <v/>
      </c>
      <c r="Q29" s="1" t="str">
        <f t="shared" si="8"/>
        <v/>
      </c>
      <c r="R29" s="2" t="str">
        <f t="shared" si="9"/>
        <v/>
      </c>
      <c r="S29" s="1" t="str">
        <f t="shared" si="10"/>
        <v/>
      </c>
    </row>
    <row r="30" spans="1:19" x14ac:dyDescent="0.2">
      <c r="A30" t="str">
        <f>IF(COUNTBLANK(B30:S30)&lt;&gt;COLUMNS(B30:S30),29,"")</f>
        <v/>
      </c>
      <c r="C30" s="2" t="str">
        <f t="shared" si="0"/>
        <v/>
      </c>
      <c r="D30" s="1" t="str">
        <f t="shared" si="1"/>
        <v/>
      </c>
      <c r="E30" s="1" t="str">
        <f t="shared" si="2"/>
        <v/>
      </c>
      <c r="I30" s="1" t="str">
        <f t="shared" si="3"/>
        <v/>
      </c>
      <c r="J30" s="2" t="str">
        <f t="shared" si="4"/>
        <v/>
      </c>
      <c r="K30" s="1" t="str">
        <f t="shared" si="5"/>
        <v/>
      </c>
      <c r="O30" s="1" t="str">
        <f t="shared" si="6"/>
        <v/>
      </c>
      <c r="P30" s="2" t="str">
        <f t="shared" si="7"/>
        <v/>
      </c>
      <c r="Q30" s="1" t="str">
        <f t="shared" si="8"/>
        <v/>
      </c>
      <c r="R30" s="2" t="str">
        <f t="shared" si="9"/>
        <v/>
      </c>
      <c r="S30" s="1" t="str">
        <f t="shared" si="10"/>
        <v/>
      </c>
    </row>
    <row r="31" spans="1:19" x14ac:dyDescent="0.2">
      <c r="A31" t="str">
        <f>IF(COUNTBLANK(B31:S31)&lt;&gt;COLUMNS(B31:S31),30,"")</f>
        <v/>
      </c>
      <c r="C31" s="2" t="str">
        <f t="shared" si="0"/>
        <v/>
      </c>
      <c r="D31" s="1" t="str">
        <f t="shared" si="1"/>
        <v/>
      </c>
      <c r="E31" s="1" t="str">
        <f t="shared" si="2"/>
        <v/>
      </c>
      <c r="I31" s="1" t="str">
        <f t="shared" si="3"/>
        <v/>
      </c>
      <c r="J31" s="2" t="str">
        <f t="shared" si="4"/>
        <v/>
      </c>
      <c r="K31" s="1" t="str">
        <f t="shared" si="5"/>
        <v/>
      </c>
      <c r="O31" s="1" t="str">
        <f t="shared" si="6"/>
        <v/>
      </c>
      <c r="P31" s="2" t="str">
        <f t="shared" si="7"/>
        <v/>
      </c>
      <c r="Q31" s="1" t="str">
        <f t="shared" si="8"/>
        <v/>
      </c>
      <c r="R31" s="2" t="str">
        <f t="shared" si="9"/>
        <v/>
      </c>
      <c r="S31" s="1" t="str">
        <f t="shared" si="10"/>
        <v/>
      </c>
    </row>
    <row r="32" spans="1:19" x14ac:dyDescent="0.2">
      <c r="A32" t="str">
        <f>IF(COUNTBLANK(B32:S32)&lt;&gt;COLUMNS(B32:S32),31,"")</f>
        <v/>
      </c>
      <c r="C32" s="2" t="str">
        <f t="shared" si="0"/>
        <v/>
      </c>
      <c r="D32" s="1" t="str">
        <f t="shared" si="1"/>
        <v/>
      </c>
      <c r="E32" s="1" t="str">
        <f t="shared" si="2"/>
        <v/>
      </c>
      <c r="I32" s="1" t="str">
        <f t="shared" si="3"/>
        <v/>
      </c>
      <c r="J32" s="2" t="str">
        <f t="shared" si="4"/>
        <v/>
      </c>
      <c r="K32" s="1" t="str">
        <f t="shared" si="5"/>
        <v/>
      </c>
      <c r="O32" s="1" t="str">
        <f t="shared" si="6"/>
        <v/>
      </c>
      <c r="P32" s="2" t="str">
        <f t="shared" si="7"/>
        <v/>
      </c>
      <c r="Q32" s="1" t="str">
        <f t="shared" si="8"/>
        <v/>
      </c>
      <c r="R32" s="2" t="str">
        <f t="shared" si="9"/>
        <v/>
      </c>
      <c r="S32" s="1" t="str">
        <f t="shared" si="10"/>
        <v/>
      </c>
    </row>
    <row r="33" spans="1:19" x14ac:dyDescent="0.2">
      <c r="A33" t="str">
        <f>IF(COUNTBLANK(B33:S33)&lt;&gt;COLUMNS(B33:S33),32,"")</f>
        <v/>
      </c>
      <c r="C33" s="2" t="str">
        <f t="shared" si="0"/>
        <v/>
      </c>
      <c r="D33" s="1" t="str">
        <f t="shared" si="1"/>
        <v/>
      </c>
      <c r="E33" s="1" t="str">
        <f t="shared" si="2"/>
        <v/>
      </c>
      <c r="I33" s="1" t="str">
        <f t="shared" si="3"/>
        <v/>
      </c>
      <c r="J33" s="2" t="str">
        <f t="shared" si="4"/>
        <v/>
      </c>
      <c r="K33" s="1" t="str">
        <f t="shared" si="5"/>
        <v/>
      </c>
      <c r="O33" s="1" t="str">
        <f t="shared" si="6"/>
        <v/>
      </c>
      <c r="P33" s="2" t="str">
        <f t="shared" si="7"/>
        <v/>
      </c>
      <c r="Q33" s="1" t="str">
        <f t="shared" si="8"/>
        <v/>
      </c>
      <c r="R33" s="2" t="str">
        <f t="shared" si="9"/>
        <v/>
      </c>
      <c r="S33" s="1" t="str">
        <f t="shared" si="10"/>
        <v/>
      </c>
    </row>
    <row r="34" spans="1:19" x14ac:dyDescent="0.2">
      <c r="A34" t="str">
        <f>IF(COUNTBLANK(B34:S34)&lt;&gt;COLUMNS(B34:S34),33,"")</f>
        <v/>
      </c>
      <c r="C34" s="2" t="str">
        <f t="shared" si="0"/>
        <v/>
      </c>
      <c r="D34" s="1" t="str">
        <f t="shared" si="1"/>
        <v/>
      </c>
      <c r="E34" s="1" t="str">
        <f t="shared" si="2"/>
        <v/>
      </c>
      <c r="I34" s="1" t="str">
        <f t="shared" si="3"/>
        <v/>
      </c>
      <c r="J34" s="2" t="str">
        <f t="shared" si="4"/>
        <v/>
      </c>
      <c r="K34" s="1" t="str">
        <f t="shared" si="5"/>
        <v/>
      </c>
      <c r="O34" s="1" t="str">
        <f t="shared" si="6"/>
        <v/>
      </c>
      <c r="P34" s="2" t="str">
        <f t="shared" si="7"/>
        <v/>
      </c>
      <c r="Q34" s="1" t="str">
        <f t="shared" si="8"/>
        <v/>
      </c>
      <c r="R34" s="2" t="str">
        <f t="shared" si="9"/>
        <v/>
      </c>
      <c r="S34" s="1" t="str">
        <f t="shared" si="10"/>
        <v/>
      </c>
    </row>
    <row r="35" spans="1:19" x14ac:dyDescent="0.2">
      <c r="A35" t="str">
        <f>IF(COUNTBLANK(B35:S35)&lt;&gt;COLUMNS(B35:S35),34,"")</f>
        <v/>
      </c>
      <c r="C35" s="2" t="str">
        <f t="shared" si="0"/>
        <v/>
      </c>
      <c r="D35" s="1" t="str">
        <f t="shared" si="1"/>
        <v/>
      </c>
      <c r="E35" s="1" t="str">
        <f t="shared" si="2"/>
        <v/>
      </c>
      <c r="I35" s="1" t="str">
        <f t="shared" si="3"/>
        <v/>
      </c>
      <c r="J35" s="2" t="str">
        <f t="shared" si="4"/>
        <v/>
      </c>
      <c r="K35" s="1" t="str">
        <f t="shared" si="5"/>
        <v/>
      </c>
      <c r="O35" s="1" t="str">
        <f t="shared" si="6"/>
        <v/>
      </c>
      <c r="P35" s="2" t="str">
        <f t="shared" si="7"/>
        <v/>
      </c>
      <c r="Q35" s="1" t="str">
        <f t="shared" si="8"/>
        <v/>
      </c>
      <c r="R35" s="2" t="str">
        <f t="shared" si="9"/>
        <v/>
      </c>
      <c r="S35" s="1" t="str">
        <f t="shared" si="10"/>
        <v/>
      </c>
    </row>
    <row r="36" spans="1:19" x14ac:dyDescent="0.2">
      <c r="A36" t="str">
        <f>IF(COUNTBLANK(B36:S36)&lt;&gt;COLUMNS(B36:S36),35,"")</f>
        <v/>
      </c>
      <c r="C36" s="2" t="str">
        <f t="shared" si="0"/>
        <v/>
      </c>
      <c r="D36" s="1" t="str">
        <f t="shared" si="1"/>
        <v/>
      </c>
      <c r="E36" s="1" t="str">
        <f t="shared" si="2"/>
        <v/>
      </c>
      <c r="I36" s="1" t="str">
        <f t="shared" si="3"/>
        <v/>
      </c>
      <c r="J36" s="2" t="str">
        <f t="shared" si="4"/>
        <v/>
      </c>
      <c r="K36" s="1" t="str">
        <f t="shared" si="5"/>
        <v/>
      </c>
      <c r="O36" s="1" t="str">
        <f t="shared" si="6"/>
        <v/>
      </c>
      <c r="P36" s="2" t="str">
        <f t="shared" si="7"/>
        <v/>
      </c>
      <c r="Q36" s="1" t="str">
        <f t="shared" si="8"/>
        <v/>
      </c>
      <c r="R36" s="2" t="str">
        <f t="shared" si="9"/>
        <v/>
      </c>
      <c r="S36" s="1" t="str">
        <f t="shared" si="10"/>
        <v/>
      </c>
    </row>
    <row r="37" spans="1:19" x14ac:dyDescent="0.2">
      <c r="A37" t="str">
        <f>IF(COUNTBLANK(B37:S37)&lt;&gt;COLUMNS(B37:S37),36,"")</f>
        <v/>
      </c>
      <c r="C37" s="2" t="str">
        <f t="shared" si="0"/>
        <v/>
      </c>
      <c r="D37" s="1" t="str">
        <f t="shared" si="1"/>
        <v/>
      </c>
      <c r="E37" s="1" t="str">
        <f t="shared" si="2"/>
        <v/>
      </c>
      <c r="I37" s="1" t="str">
        <f t="shared" si="3"/>
        <v/>
      </c>
      <c r="J37" s="2" t="str">
        <f t="shared" si="4"/>
        <v/>
      </c>
      <c r="K37" s="1" t="str">
        <f t="shared" si="5"/>
        <v/>
      </c>
      <c r="O37" s="1" t="str">
        <f t="shared" si="6"/>
        <v/>
      </c>
      <c r="P37" s="2" t="str">
        <f t="shared" si="7"/>
        <v/>
      </c>
      <c r="Q37" s="1" t="str">
        <f t="shared" si="8"/>
        <v/>
      </c>
      <c r="R37" s="2" t="str">
        <f t="shared" si="9"/>
        <v/>
      </c>
      <c r="S37" s="1" t="str">
        <f t="shared" si="10"/>
        <v/>
      </c>
    </row>
    <row r="38" spans="1:19" x14ac:dyDescent="0.2">
      <c r="A38" t="str">
        <f>IF(COUNTBLANK(B38:S38)&lt;&gt;COLUMNS(B38:S38),37,"")</f>
        <v/>
      </c>
      <c r="C38" s="2" t="str">
        <f t="shared" si="0"/>
        <v/>
      </c>
      <c r="D38" s="1" t="str">
        <f t="shared" si="1"/>
        <v/>
      </c>
      <c r="E38" s="1" t="str">
        <f t="shared" si="2"/>
        <v/>
      </c>
      <c r="I38" s="1" t="str">
        <f t="shared" si="3"/>
        <v/>
      </c>
      <c r="J38" s="2" t="str">
        <f t="shared" si="4"/>
        <v/>
      </c>
      <c r="K38" s="1" t="str">
        <f t="shared" si="5"/>
        <v/>
      </c>
      <c r="O38" s="1" t="str">
        <f t="shared" si="6"/>
        <v/>
      </c>
      <c r="P38" s="2" t="str">
        <f t="shared" si="7"/>
        <v/>
      </c>
      <c r="Q38" s="1" t="str">
        <f t="shared" si="8"/>
        <v/>
      </c>
      <c r="R38" s="2" t="str">
        <f t="shared" si="9"/>
        <v/>
      </c>
      <c r="S38" s="1" t="str">
        <f t="shared" si="10"/>
        <v/>
      </c>
    </row>
    <row r="39" spans="1:19" x14ac:dyDescent="0.2">
      <c r="A39" t="str">
        <f>IF(COUNTBLANK(B39:S39)&lt;&gt;COLUMNS(B39:S39),38,"")</f>
        <v/>
      </c>
      <c r="C39" s="2" t="str">
        <f t="shared" si="0"/>
        <v/>
      </c>
      <c r="D39" s="1" t="str">
        <f t="shared" si="1"/>
        <v/>
      </c>
      <c r="E39" s="1" t="str">
        <f t="shared" si="2"/>
        <v/>
      </c>
      <c r="I39" s="1" t="str">
        <f t="shared" si="3"/>
        <v/>
      </c>
      <c r="J39" s="2" t="str">
        <f t="shared" si="4"/>
        <v/>
      </c>
      <c r="K39" s="1" t="str">
        <f t="shared" si="5"/>
        <v/>
      </c>
      <c r="O39" s="1" t="str">
        <f t="shared" si="6"/>
        <v/>
      </c>
      <c r="P39" s="2" t="str">
        <f t="shared" si="7"/>
        <v/>
      </c>
      <c r="Q39" s="1" t="str">
        <f t="shared" si="8"/>
        <v/>
      </c>
      <c r="R39" s="2" t="str">
        <f t="shared" si="9"/>
        <v/>
      </c>
      <c r="S39" s="1" t="str">
        <f t="shared" si="10"/>
        <v/>
      </c>
    </row>
    <row r="40" spans="1:19" x14ac:dyDescent="0.2">
      <c r="A40" t="str">
        <f>IF(COUNTBLANK(B40:S40)&lt;&gt;COLUMNS(B40:S40),39,"")</f>
        <v/>
      </c>
      <c r="C40" s="2" t="str">
        <f t="shared" si="0"/>
        <v/>
      </c>
      <c r="D40" s="1" t="str">
        <f t="shared" si="1"/>
        <v/>
      </c>
      <c r="E40" s="1" t="str">
        <f t="shared" si="2"/>
        <v/>
      </c>
      <c r="I40" s="1" t="str">
        <f t="shared" si="3"/>
        <v/>
      </c>
      <c r="J40" s="2" t="str">
        <f t="shared" si="4"/>
        <v/>
      </c>
      <c r="K40" s="1" t="str">
        <f t="shared" si="5"/>
        <v/>
      </c>
      <c r="O40" s="1" t="str">
        <f t="shared" si="6"/>
        <v/>
      </c>
      <c r="P40" s="2" t="str">
        <f t="shared" si="7"/>
        <v/>
      </c>
      <c r="Q40" s="1" t="str">
        <f t="shared" si="8"/>
        <v/>
      </c>
      <c r="R40" s="2" t="str">
        <f t="shared" si="9"/>
        <v/>
      </c>
      <c r="S40" s="1" t="str">
        <f t="shared" si="10"/>
        <v/>
      </c>
    </row>
    <row r="41" spans="1:19" x14ac:dyDescent="0.2">
      <c r="A41" t="str">
        <f>IF(COUNTBLANK(B41:S41)&lt;&gt;COLUMNS(B41:S41),40,"")</f>
        <v/>
      </c>
      <c r="C41" s="2" t="str">
        <f t="shared" si="0"/>
        <v/>
      </c>
      <c r="D41" s="1" t="str">
        <f t="shared" si="1"/>
        <v/>
      </c>
      <c r="E41" s="1" t="str">
        <f t="shared" si="2"/>
        <v/>
      </c>
      <c r="I41" s="1" t="str">
        <f t="shared" si="3"/>
        <v/>
      </c>
      <c r="J41" s="2" t="str">
        <f t="shared" si="4"/>
        <v/>
      </c>
      <c r="K41" s="1" t="str">
        <f t="shared" si="5"/>
        <v/>
      </c>
      <c r="O41" s="1" t="str">
        <f t="shared" si="6"/>
        <v/>
      </c>
      <c r="P41" s="2" t="str">
        <f t="shared" si="7"/>
        <v/>
      </c>
      <c r="Q41" s="1" t="str">
        <f t="shared" si="8"/>
        <v/>
      </c>
      <c r="R41" s="2" t="str">
        <f t="shared" si="9"/>
        <v/>
      </c>
      <c r="S41" s="1" t="str">
        <f t="shared" si="10"/>
        <v/>
      </c>
    </row>
    <row r="42" spans="1:19" x14ac:dyDescent="0.2">
      <c r="A42" t="str">
        <f>IF(COUNTBLANK(B42:S42)&lt;&gt;COLUMNS(B42:S42),41,"")</f>
        <v/>
      </c>
      <c r="C42" s="2" t="str">
        <f t="shared" si="0"/>
        <v/>
      </c>
      <c r="D42" s="1" t="str">
        <f t="shared" si="1"/>
        <v/>
      </c>
      <c r="E42" s="1" t="str">
        <f t="shared" si="2"/>
        <v/>
      </c>
      <c r="I42" s="1" t="str">
        <f t="shared" si="3"/>
        <v/>
      </c>
      <c r="J42" s="2" t="str">
        <f t="shared" si="4"/>
        <v/>
      </c>
      <c r="K42" s="1" t="str">
        <f t="shared" si="5"/>
        <v/>
      </c>
      <c r="O42" s="1" t="str">
        <f t="shared" si="6"/>
        <v/>
      </c>
      <c r="P42" s="2" t="str">
        <f t="shared" si="7"/>
        <v/>
      </c>
      <c r="Q42" s="1" t="str">
        <f t="shared" si="8"/>
        <v/>
      </c>
      <c r="R42" s="2" t="str">
        <f t="shared" si="9"/>
        <v/>
      </c>
      <c r="S42" s="1" t="str">
        <f t="shared" si="10"/>
        <v/>
      </c>
    </row>
    <row r="43" spans="1:19" x14ac:dyDescent="0.2">
      <c r="A43" t="str">
        <f>IF(COUNTBLANK(B43:S43)&lt;&gt;COLUMNS(B43:S43),42,"")</f>
        <v/>
      </c>
      <c r="C43" s="2" t="str">
        <f t="shared" si="0"/>
        <v/>
      </c>
      <c r="D43" s="1" t="str">
        <f t="shared" si="1"/>
        <v/>
      </c>
      <c r="E43" s="1" t="str">
        <f t="shared" si="2"/>
        <v/>
      </c>
      <c r="I43" s="1" t="str">
        <f t="shared" si="3"/>
        <v/>
      </c>
      <c r="J43" s="2" t="str">
        <f t="shared" si="4"/>
        <v/>
      </c>
      <c r="K43" s="1" t="str">
        <f t="shared" si="5"/>
        <v/>
      </c>
      <c r="O43" s="1" t="str">
        <f t="shared" si="6"/>
        <v/>
      </c>
      <c r="P43" s="2" t="str">
        <f t="shared" si="7"/>
        <v/>
      </c>
      <c r="Q43" s="1" t="str">
        <f t="shared" si="8"/>
        <v/>
      </c>
      <c r="R43" s="2" t="str">
        <f t="shared" si="9"/>
        <v/>
      </c>
      <c r="S43" s="1" t="str">
        <f t="shared" si="10"/>
        <v/>
      </c>
    </row>
    <row r="44" spans="1:19" x14ac:dyDescent="0.2">
      <c r="A44" t="str">
        <f>IF(COUNTBLANK(B44:S44)&lt;&gt;COLUMNS(B44:S44),43,"")</f>
        <v/>
      </c>
      <c r="C44" s="2" t="str">
        <f t="shared" si="0"/>
        <v/>
      </c>
      <c r="D44" s="1" t="str">
        <f t="shared" si="1"/>
        <v/>
      </c>
      <c r="E44" s="1" t="str">
        <f t="shared" si="2"/>
        <v/>
      </c>
      <c r="I44" s="1" t="str">
        <f t="shared" si="3"/>
        <v/>
      </c>
      <c r="J44" s="2" t="str">
        <f t="shared" si="4"/>
        <v/>
      </c>
      <c r="K44" s="1" t="str">
        <f t="shared" si="5"/>
        <v/>
      </c>
      <c r="O44" s="1" t="str">
        <f t="shared" si="6"/>
        <v/>
      </c>
      <c r="P44" s="2" t="str">
        <f t="shared" si="7"/>
        <v/>
      </c>
      <c r="Q44" s="1" t="str">
        <f t="shared" si="8"/>
        <v/>
      </c>
      <c r="R44" s="2" t="str">
        <f t="shared" si="9"/>
        <v/>
      </c>
      <c r="S44" s="1" t="str">
        <f t="shared" si="10"/>
        <v/>
      </c>
    </row>
    <row r="45" spans="1:19" x14ac:dyDescent="0.2">
      <c r="A45" t="str">
        <f>IF(COUNTBLANK(B45:S45)&lt;&gt;COLUMNS(B45:S45),44,"")</f>
        <v/>
      </c>
      <c r="C45" s="2" t="str">
        <f t="shared" si="0"/>
        <v/>
      </c>
      <c r="D45" s="1" t="str">
        <f t="shared" si="1"/>
        <v/>
      </c>
      <c r="E45" s="1" t="str">
        <f t="shared" si="2"/>
        <v/>
      </c>
      <c r="I45" s="1" t="str">
        <f t="shared" si="3"/>
        <v/>
      </c>
      <c r="J45" s="2" t="str">
        <f t="shared" si="4"/>
        <v/>
      </c>
      <c r="K45" s="1" t="str">
        <f t="shared" si="5"/>
        <v/>
      </c>
      <c r="O45" s="1" t="str">
        <f t="shared" si="6"/>
        <v/>
      </c>
      <c r="P45" s="2" t="str">
        <f t="shared" si="7"/>
        <v/>
      </c>
      <c r="Q45" s="1" t="str">
        <f t="shared" si="8"/>
        <v/>
      </c>
      <c r="R45" s="2" t="str">
        <f t="shared" si="9"/>
        <v/>
      </c>
      <c r="S45" s="1" t="str">
        <f t="shared" si="10"/>
        <v/>
      </c>
    </row>
    <row r="46" spans="1:19" x14ac:dyDescent="0.2">
      <c r="A46" t="str">
        <f>IF(COUNTBLANK(B46:S46)&lt;&gt;COLUMNS(B46:S46),45,"")</f>
        <v/>
      </c>
      <c r="C46" s="2" t="str">
        <f t="shared" si="0"/>
        <v/>
      </c>
      <c r="D46" s="1" t="str">
        <f t="shared" si="1"/>
        <v/>
      </c>
      <c r="E46" s="1" t="str">
        <f t="shared" si="2"/>
        <v/>
      </c>
      <c r="I46" s="1" t="str">
        <f t="shared" si="3"/>
        <v/>
      </c>
      <c r="J46" s="2" t="str">
        <f t="shared" si="4"/>
        <v/>
      </c>
      <c r="K46" s="1" t="str">
        <f t="shared" si="5"/>
        <v/>
      </c>
      <c r="O46" s="1" t="str">
        <f t="shared" si="6"/>
        <v/>
      </c>
      <c r="P46" s="2" t="str">
        <f t="shared" si="7"/>
        <v/>
      </c>
      <c r="Q46" s="1" t="str">
        <f t="shared" si="8"/>
        <v/>
      </c>
      <c r="R46" s="2" t="str">
        <f t="shared" si="9"/>
        <v/>
      </c>
      <c r="S46" s="1" t="str">
        <f t="shared" si="10"/>
        <v/>
      </c>
    </row>
    <row r="47" spans="1:19" x14ac:dyDescent="0.2">
      <c r="A47" t="str">
        <f>IF(COUNTBLANK(B47:S47)&lt;&gt;COLUMNS(B47:S47),46,"")</f>
        <v/>
      </c>
      <c r="C47" s="2" t="str">
        <f t="shared" si="0"/>
        <v/>
      </c>
      <c r="D47" s="1" t="str">
        <f t="shared" si="1"/>
        <v/>
      </c>
      <c r="E47" s="1" t="str">
        <f t="shared" si="2"/>
        <v/>
      </c>
      <c r="I47" s="1" t="str">
        <f t="shared" si="3"/>
        <v/>
      </c>
      <c r="J47" s="2" t="str">
        <f t="shared" si="4"/>
        <v/>
      </c>
      <c r="K47" s="1" t="str">
        <f t="shared" si="5"/>
        <v/>
      </c>
      <c r="O47" s="1" t="str">
        <f t="shared" si="6"/>
        <v/>
      </c>
      <c r="P47" s="2" t="str">
        <f t="shared" si="7"/>
        <v/>
      </c>
      <c r="Q47" s="1" t="str">
        <f t="shared" si="8"/>
        <v/>
      </c>
      <c r="R47" s="2" t="str">
        <f t="shared" si="9"/>
        <v/>
      </c>
      <c r="S47" s="1" t="str">
        <f t="shared" si="10"/>
        <v/>
      </c>
    </row>
    <row r="48" spans="1:19" x14ac:dyDescent="0.2">
      <c r="A48" t="str">
        <f>IF(COUNTBLANK(B48:S48)&lt;&gt;COLUMNS(B48:S48),47,"")</f>
        <v/>
      </c>
      <c r="C48" s="2" t="str">
        <f t="shared" si="0"/>
        <v/>
      </c>
      <c r="D48" s="1" t="str">
        <f t="shared" si="1"/>
        <v/>
      </c>
      <c r="E48" s="1" t="str">
        <f t="shared" si="2"/>
        <v/>
      </c>
      <c r="I48" s="1" t="str">
        <f t="shared" si="3"/>
        <v/>
      </c>
      <c r="J48" s="2" t="str">
        <f t="shared" si="4"/>
        <v/>
      </c>
      <c r="K48" s="1" t="str">
        <f t="shared" si="5"/>
        <v/>
      </c>
      <c r="O48" s="1" t="str">
        <f t="shared" si="6"/>
        <v/>
      </c>
      <c r="P48" s="2" t="str">
        <f t="shared" si="7"/>
        <v/>
      </c>
      <c r="Q48" s="1" t="str">
        <f t="shared" si="8"/>
        <v/>
      </c>
      <c r="R48" s="2" t="str">
        <f t="shared" si="9"/>
        <v/>
      </c>
      <c r="S48" s="1" t="str">
        <f t="shared" si="10"/>
        <v/>
      </c>
    </row>
    <row r="49" spans="1:19" x14ac:dyDescent="0.2">
      <c r="A49" t="str">
        <f>IF(COUNTBLANK(B49:S49)&lt;&gt;COLUMNS(B49:S49),48,"")</f>
        <v/>
      </c>
      <c r="C49" s="2" t="str">
        <f t="shared" si="0"/>
        <v/>
      </c>
      <c r="D49" s="1" t="str">
        <f t="shared" si="1"/>
        <v/>
      </c>
      <c r="E49" s="1" t="str">
        <f t="shared" si="2"/>
        <v/>
      </c>
      <c r="I49" s="1" t="str">
        <f t="shared" si="3"/>
        <v/>
      </c>
      <c r="J49" s="2" t="str">
        <f t="shared" si="4"/>
        <v/>
      </c>
      <c r="K49" s="1" t="str">
        <f t="shared" si="5"/>
        <v/>
      </c>
      <c r="O49" s="1" t="str">
        <f t="shared" si="6"/>
        <v/>
      </c>
      <c r="P49" s="2" t="str">
        <f t="shared" si="7"/>
        <v/>
      </c>
      <c r="Q49" s="1" t="str">
        <f t="shared" si="8"/>
        <v/>
      </c>
      <c r="R49" s="2" t="str">
        <f t="shared" si="9"/>
        <v/>
      </c>
      <c r="S49" s="1" t="str">
        <f t="shared" si="10"/>
        <v/>
      </c>
    </row>
    <row r="50" spans="1:19" x14ac:dyDescent="0.2">
      <c r="A50" t="str">
        <f>IF(COUNTBLANK(B50:S50)&lt;&gt;COLUMNS(B50:S50),49,"")</f>
        <v/>
      </c>
      <c r="C50" s="2" t="str">
        <f t="shared" si="0"/>
        <v/>
      </c>
      <c r="D50" s="1" t="str">
        <f t="shared" si="1"/>
        <v/>
      </c>
      <c r="E50" s="1" t="str">
        <f t="shared" si="2"/>
        <v/>
      </c>
      <c r="I50" s="1" t="str">
        <f t="shared" si="3"/>
        <v/>
      </c>
      <c r="J50" s="2" t="str">
        <f t="shared" si="4"/>
        <v/>
      </c>
      <c r="K50" s="1" t="str">
        <f t="shared" si="5"/>
        <v/>
      </c>
      <c r="O50" s="1" t="str">
        <f t="shared" si="6"/>
        <v/>
      </c>
      <c r="P50" s="2" t="str">
        <f t="shared" si="7"/>
        <v/>
      </c>
      <c r="Q50" s="1" t="str">
        <f t="shared" si="8"/>
        <v/>
      </c>
      <c r="R50" s="2" t="str">
        <f t="shared" si="9"/>
        <v/>
      </c>
      <c r="S50" s="1" t="str">
        <f t="shared" si="10"/>
        <v/>
      </c>
    </row>
    <row r="51" spans="1:19" x14ac:dyDescent="0.2">
      <c r="A51" t="str">
        <f>IF(COUNTBLANK(B51:S51)&lt;&gt;COLUMNS(B51:S51),50,"")</f>
        <v/>
      </c>
      <c r="C51" s="2" t="str">
        <f t="shared" si="0"/>
        <v/>
      </c>
      <c r="D51" s="1" t="str">
        <f t="shared" si="1"/>
        <v/>
      </c>
      <c r="E51" s="1" t="str">
        <f t="shared" si="2"/>
        <v/>
      </c>
      <c r="I51" s="1" t="str">
        <f t="shared" si="3"/>
        <v/>
      </c>
      <c r="J51" s="2" t="str">
        <f t="shared" si="4"/>
        <v/>
      </c>
      <c r="K51" s="1" t="str">
        <f t="shared" si="5"/>
        <v/>
      </c>
      <c r="O51" s="1" t="str">
        <f t="shared" si="6"/>
        <v/>
      </c>
      <c r="P51" s="2" t="str">
        <f t="shared" si="7"/>
        <v/>
      </c>
      <c r="Q51" s="1" t="str">
        <f t="shared" si="8"/>
        <v/>
      </c>
      <c r="R51" s="2" t="str">
        <f t="shared" si="9"/>
        <v/>
      </c>
      <c r="S51" s="1" t="str">
        <f t="shared" si="10"/>
        <v/>
      </c>
    </row>
    <row r="52" spans="1:19" x14ac:dyDescent="0.2">
      <c r="A52" t="str">
        <f>IF(COUNTBLANK(B52:S52)&lt;&gt;COLUMNS(B52:S52),51,"")</f>
        <v/>
      </c>
      <c r="C52" s="2" t="str">
        <f t="shared" si="0"/>
        <v/>
      </c>
      <c r="D52" s="1" t="str">
        <f t="shared" si="1"/>
        <v/>
      </c>
      <c r="E52" s="1" t="str">
        <f t="shared" si="2"/>
        <v/>
      </c>
      <c r="I52" s="1" t="str">
        <f t="shared" si="3"/>
        <v/>
      </c>
      <c r="J52" s="2" t="str">
        <f t="shared" si="4"/>
        <v/>
      </c>
      <c r="K52" s="1" t="str">
        <f t="shared" si="5"/>
        <v/>
      </c>
      <c r="O52" s="1" t="str">
        <f t="shared" si="6"/>
        <v/>
      </c>
      <c r="P52" s="2" t="str">
        <f t="shared" si="7"/>
        <v/>
      </c>
      <c r="Q52" s="1" t="str">
        <f t="shared" si="8"/>
        <v/>
      </c>
      <c r="R52" s="2" t="str">
        <f t="shared" si="9"/>
        <v/>
      </c>
      <c r="S52" s="1" t="str">
        <f t="shared" si="10"/>
        <v/>
      </c>
    </row>
    <row r="53" spans="1:19" x14ac:dyDescent="0.2">
      <c r="A53" t="str">
        <f>IF(COUNTBLANK(B53:S53)&lt;&gt;COLUMNS(B53:S53),52,"")</f>
        <v/>
      </c>
      <c r="C53" s="2" t="str">
        <f t="shared" si="0"/>
        <v/>
      </c>
      <c r="D53" s="1" t="str">
        <f t="shared" si="1"/>
        <v/>
      </c>
      <c r="E53" s="1" t="str">
        <f t="shared" si="2"/>
        <v/>
      </c>
      <c r="I53" s="1" t="str">
        <f t="shared" si="3"/>
        <v/>
      </c>
      <c r="J53" s="2" t="str">
        <f t="shared" si="4"/>
        <v/>
      </c>
      <c r="K53" s="1" t="str">
        <f t="shared" si="5"/>
        <v/>
      </c>
      <c r="O53" s="1" t="str">
        <f t="shared" si="6"/>
        <v/>
      </c>
      <c r="P53" s="2" t="str">
        <f t="shared" si="7"/>
        <v/>
      </c>
      <c r="Q53" s="1" t="str">
        <f t="shared" si="8"/>
        <v/>
      </c>
      <c r="R53" s="2" t="str">
        <f t="shared" si="9"/>
        <v/>
      </c>
      <c r="S53" s="1" t="str">
        <f t="shared" si="10"/>
        <v/>
      </c>
    </row>
    <row r="54" spans="1:19" x14ac:dyDescent="0.2">
      <c r="A54" t="str">
        <f>IF(COUNTBLANK(B54:S54)&lt;&gt;COLUMNS(B54:S54),53,"")</f>
        <v/>
      </c>
      <c r="C54" s="2" t="str">
        <f t="shared" si="0"/>
        <v/>
      </c>
      <c r="D54" s="1" t="str">
        <f t="shared" si="1"/>
        <v/>
      </c>
      <c r="E54" s="1" t="str">
        <f t="shared" si="2"/>
        <v/>
      </c>
      <c r="I54" s="1" t="str">
        <f t="shared" si="3"/>
        <v/>
      </c>
      <c r="J54" s="2" t="str">
        <f t="shared" si="4"/>
        <v/>
      </c>
      <c r="K54" s="1" t="str">
        <f t="shared" si="5"/>
        <v/>
      </c>
      <c r="O54" s="1" t="str">
        <f t="shared" si="6"/>
        <v/>
      </c>
      <c r="P54" s="2" t="str">
        <f t="shared" si="7"/>
        <v/>
      </c>
      <c r="Q54" s="1" t="str">
        <f t="shared" si="8"/>
        <v/>
      </c>
      <c r="R54" s="2" t="str">
        <f t="shared" si="9"/>
        <v/>
      </c>
      <c r="S54" s="1" t="str">
        <f t="shared" si="10"/>
        <v/>
      </c>
    </row>
    <row r="55" spans="1:19" x14ac:dyDescent="0.2">
      <c r="A55" t="str">
        <f>IF(COUNTBLANK(B55:S55)&lt;&gt;COLUMNS(B55:S55),54,"")</f>
        <v/>
      </c>
      <c r="C55" s="2" t="str">
        <f t="shared" si="0"/>
        <v/>
      </c>
      <c r="D55" s="1" t="str">
        <f t="shared" si="1"/>
        <v/>
      </c>
      <c r="E55" s="1" t="str">
        <f t="shared" si="2"/>
        <v/>
      </c>
      <c r="I55" s="1" t="str">
        <f t="shared" si="3"/>
        <v/>
      </c>
      <c r="J55" s="2" t="str">
        <f t="shared" si="4"/>
        <v/>
      </c>
      <c r="K55" s="1" t="str">
        <f t="shared" si="5"/>
        <v/>
      </c>
      <c r="O55" s="1" t="str">
        <f t="shared" si="6"/>
        <v/>
      </c>
      <c r="P55" s="2" t="str">
        <f t="shared" si="7"/>
        <v/>
      </c>
      <c r="Q55" s="1" t="str">
        <f t="shared" si="8"/>
        <v/>
      </c>
      <c r="R55" s="2" t="str">
        <f t="shared" si="9"/>
        <v/>
      </c>
      <c r="S55" s="1" t="str">
        <f t="shared" si="10"/>
        <v/>
      </c>
    </row>
    <row r="56" spans="1:19" x14ac:dyDescent="0.2">
      <c r="A56" t="str">
        <f>IF(COUNTBLANK(B56:S56)&lt;&gt;COLUMNS(B56:S56),55,"")</f>
        <v/>
      </c>
      <c r="C56" s="2" t="str">
        <f t="shared" si="0"/>
        <v/>
      </c>
      <c r="D56" s="1" t="str">
        <f t="shared" si="1"/>
        <v/>
      </c>
      <c r="E56" s="1" t="str">
        <f t="shared" si="2"/>
        <v/>
      </c>
      <c r="I56" s="1" t="str">
        <f t="shared" si="3"/>
        <v/>
      </c>
      <c r="J56" s="2" t="str">
        <f t="shared" si="4"/>
        <v/>
      </c>
      <c r="K56" s="1" t="str">
        <f t="shared" si="5"/>
        <v/>
      </c>
      <c r="O56" s="1" t="str">
        <f t="shared" si="6"/>
        <v/>
      </c>
      <c r="P56" s="2" t="str">
        <f t="shared" si="7"/>
        <v/>
      </c>
      <c r="Q56" s="1" t="str">
        <f t="shared" si="8"/>
        <v/>
      </c>
      <c r="R56" s="2" t="str">
        <f t="shared" si="9"/>
        <v/>
      </c>
      <c r="S56" s="1" t="str">
        <f t="shared" si="10"/>
        <v/>
      </c>
    </row>
    <row r="57" spans="1:19" x14ac:dyDescent="0.2">
      <c r="A57" t="str">
        <f>IF(COUNTBLANK(B57:S57)&lt;&gt;COLUMNS(B57:S57),56,"")</f>
        <v/>
      </c>
      <c r="C57" s="2" t="str">
        <f t="shared" si="0"/>
        <v/>
      </c>
      <c r="D57" s="1" t="str">
        <f t="shared" si="1"/>
        <v/>
      </c>
      <c r="E57" s="1" t="str">
        <f t="shared" si="2"/>
        <v/>
      </c>
      <c r="I57" s="1" t="str">
        <f t="shared" si="3"/>
        <v/>
      </c>
      <c r="J57" s="2" t="str">
        <f t="shared" si="4"/>
        <v/>
      </c>
      <c r="K57" s="1" t="str">
        <f t="shared" si="5"/>
        <v/>
      </c>
      <c r="O57" s="1" t="str">
        <f t="shared" si="6"/>
        <v/>
      </c>
      <c r="P57" s="2" t="str">
        <f t="shared" si="7"/>
        <v/>
      </c>
      <c r="Q57" s="1" t="str">
        <f t="shared" si="8"/>
        <v/>
      </c>
      <c r="R57" s="2" t="str">
        <f t="shared" si="9"/>
        <v/>
      </c>
      <c r="S57" s="1" t="str">
        <f t="shared" si="10"/>
        <v/>
      </c>
    </row>
    <row r="58" spans="1:19" x14ac:dyDescent="0.2">
      <c r="A58" t="str">
        <f>IF(COUNTBLANK(B58:S58)&lt;&gt;COLUMNS(B58:S58),57,"")</f>
        <v/>
      </c>
      <c r="C58" s="2" t="str">
        <f t="shared" si="0"/>
        <v/>
      </c>
      <c r="D58" s="1" t="str">
        <f t="shared" si="1"/>
        <v/>
      </c>
      <c r="E58" s="1" t="str">
        <f t="shared" si="2"/>
        <v/>
      </c>
      <c r="I58" s="1" t="str">
        <f t="shared" si="3"/>
        <v/>
      </c>
      <c r="J58" s="2" t="str">
        <f t="shared" si="4"/>
        <v/>
      </c>
      <c r="K58" s="1" t="str">
        <f t="shared" si="5"/>
        <v/>
      </c>
      <c r="O58" s="1" t="str">
        <f t="shared" si="6"/>
        <v/>
      </c>
      <c r="P58" s="2" t="str">
        <f t="shared" si="7"/>
        <v/>
      </c>
      <c r="Q58" s="1" t="str">
        <f t="shared" si="8"/>
        <v/>
      </c>
      <c r="R58" s="2" t="str">
        <f t="shared" si="9"/>
        <v/>
      </c>
      <c r="S58" s="1" t="str">
        <f t="shared" si="10"/>
        <v/>
      </c>
    </row>
    <row r="59" spans="1:19" x14ac:dyDescent="0.2">
      <c r="A59" t="str">
        <f>IF(COUNTBLANK(B59:S59)&lt;&gt;COLUMNS(B59:S59),58,"")</f>
        <v/>
      </c>
      <c r="C59" s="2" t="str">
        <f t="shared" si="0"/>
        <v/>
      </c>
      <c r="D59" s="1" t="str">
        <f t="shared" si="1"/>
        <v/>
      </c>
      <c r="E59" s="1" t="str">
        <f t="shared" si="2"/>
        <v/>
      </c>
      <c r="I59" s="1" t="str">
        <f t="shared" si="3"/>
        <v/>
      </c>
      <c r="J59" s="2" t="str">
        <f t="shared" si="4"/>
        <v/>
      </c>
      <c r="K59" s="1" t="str">
        <f t="shared" si="5"/>
        <v/>
      </c>
      <c r="O59" s="1" t="str">
        <f t="shared" si="6"/>
        <v/>
      </c>
      <c r="P59" s="2" t="str">
        <f t="shared" si="7"/>
        <v/>
      </c>
      <c r="Q59" s="1" t="str">
        <f t="shared" si="8"/>
        <v/>
      </c>
      <c r="R59" s="2" t="str">
        <f t="shared" si="9"/>
        <v/>
      </c>
      <c r="S59" s="1" t="str">
        <f t="shared" si="10"/>
        <v/>
      </c>
    </row>
    <row r="60" spans="1:19" x14ac:dyDescent="0.2">
      <c r="A60" t="str">
        <f>IF(COUNTBLANK(B60:S60)&lt;&gt;COLUMNS(B60:S60),59,"")</f>
        <v/>
      </c>
      <c r="C60" s="2" t="str">
        <f t="shared" si="0"/>
        <v/>
      </c>
      <c r="D60" s="1" t="str">
        <f t="shared" si="1"/>
        <v/>
      </c>
      <c r="E60" s="1" t="str">
        <f t="shared" si="2"/>
        <v/>
      </c>
      <c r="I60" s="1" t="str">
        <f t="shared" si="3"/>
        <v/>
      </c>
      <c r="J60" s="2" t="str">
        <f t="shared" si="4"/>
        <v/>
      </c>
      <c r="K60" s="1" t="str">
        <f t="shared" si="5"/>
        <v/>
      </c>
      <c r="O60" s="1" t="str">
        <f t="shared" si="6"/>
        <v/>
      </c>
      <c r="P60" s="2" t="str">
        <f t="shared" si="7"/>
        <v/>
      </c>
      <c r="Q60" s="1" t="str">
        <f t="shared" si="8"/>
        <v/>
      </c>
      <c r="R60" s="2" t="str">
        <f t="shared" si="9"/>
        <v/>
      </c>
      <c r="S60" s="1" t="str">
        <f t="shared" si="10"/>
        <v/>
      </c>
    </row>
    <row r="61" spans="1:19" x14ac:dyDescent="0.2">
      <c r="A61" t="str">
        <f>IF(COUNTBLANK(B61:S61)&lt;&gt;COLUMNS(B61:S61),60,"")</f>
        <v/>
      </c>
      <c r="C61" s="2" t="str">
        <f t="shared" si="0"/>
        <v/>
      </c>
      <c r="D61" s="1" t="str">
        <f t="shared" si="1"/>
        <v/>
      </c>
      <c r="E61" s="1" t="str">
        <f t="shared" si="2"/>
        <v/>
      </c>
      <c r="I61" s="1" t="str">
        <f t="shared" si="3"/>
        <v/>
      </c>
      <c r="J61" s="2" t="str">
        <f t="shared" si="4"/>
        <v/>
      </c>
      <c r="K61" s="1" t="str">
        <f t="shared" si="5"/>
        <v/>
      </c>
      <c r="O61" s="1" t="str">
        <f t="shared" si="6"/>
        <v/>
      </c>
      <c r="P61" s="2" t="str">
        <f t="shared" si="7"/>
        <v/>
      </c>
      <c r="Q61" s="1" t="str">
        <f t="shared" si="8"/>
        <v/>
      </c>
      <c r="R61" s="2" t="str">
        <f t="shared" si="9"/>
        <v/>
      </c>
      <c r="S61" s="1" t="str">
        <f t="shared" si="10"/>
        <v/>
      </c>
    </row>
    <row r="62" spans="1:19" x14ac:dyDescent="0.2">
      <c r="A62" t="str">
        <f>IF(COUNTBLANK(B62:S62)&lt;&gt;COLUMNS(B62:S62),61,"")</f>
        <v/>
      </c>
      <c r="C62" s="2" t="str">
        <f t="shared" si="0"/>
        <v/>
      </c>
      <c r="D62" s="1" t="str">
        <f t="shared" si="1"/>
        <v/>
      </c>
      <c r="E62" s="1" t="str">
        <f t="shared" si="2"/>
        <v/>
      </c>
      <c r="I62" s="1" t="str">
        <f t="shared" si="3"/>
        <v/>
      </c>
      <c r="J62" s="2" t="str">
        <f t="shared" si="4"/>
        <v/>
      </c>
      <c r="K62" s="1" t="str">
        <f t="shared" si="5"/>
        <v/>
      </c>
      <c r="O62" s="1" t="str">
        <f t="shared" si="6"/>
        <v/>
      </c>
      <c r="P62" s="2" t="str">
        <f t="shared" si="7"/>
        <v/>
      </c>
      <c r="Q62" s="1" t="str">
        <f t="shared" si="8"/>
        <v/>
      </c>
      <c r="R62" s="2" t="str">
        <f t="shared" si="9"/>
        <v/>
      </c>
      <c r="S62" s="1" t="str">
        <f t="shared" si="10"/>
        <v/>
      </c>
    </row>
    <row r="63" spans="1:19" x14ac:dyDescent="0.2">
      <c r="A63" t="str">
        <f>IF(COUNTBLANK(B63:S63)&lt;&gt;COLUMNS(B63:S63),62,"")</f>
        <v/>
      </c>
      <c r="C63" s="2" t="str">
        <f t="shared" si="0"/>
        <v/>
      </c>
      <c r="D63" s="1" t="str">
        <f t="shared" si="1"/>
        <v/>
      </c>
      <c r="E63" s="1" t="str">
        <f t="shared" si="2"/>
        <v/>
      </c>
      <c r="I63" s="1" t="str">
        <f t="shared" si="3"/>
        <v/>
      </c>
      <c r="J63" s="2" t="str">
        <f t="shared" si="4"/>
        <v/>
      </c>
      <c r="K63" s="1" t="str">
        <f t="shared" si="5"/>
        <v/>
      </c>
      <c r="O63" s="1" t="str">
        <f t="shared" si="6"/>
        <v/>
      </c>
      <c r="P63" s="2" t="str">
        <f t="shared" si="7"/>
        <v/>
      </c>
      <c r="Q63" s="1" t="str">
        <f t="shared" si="8"/>
        <v/>
      </c>
      <c r="R63" s="2" t="str">
        <f t="shared" si="9"/>
        <v/>
      </c>
      <c r="S63" s="1" t="str">
        <f t="shared" si="10"/>
        <v/>
      </c>
    </row>
    <row r="64" spans="1:19" x14ac:dyDescent="0.2">
      <c r="A64" t="str">
        <f>IF(COUNTBLANK(B64:S64)&lt;&gt;COLUMNS(B64:S64),63,"")</f>
        <v/>
      </c>
      <c r="C64" s="2" t="str">
        <f t="shared" si="0"/>
        <v/>
      </c>
      <c r="D64" s="1" t="str">
        <f t="shared" si="1"/>
        <v/>
      </c>
      <c r="E64" s="1" t="str">
        <f t="shared" si="2"/>
        <v/>
      </c>
      <c r="I64" s="1" t="str">
        <f t="shared" si="3"/>
        <v/>
      </c>
      <c r="J64" s="2" t="str">
        <f t="shared" si="4"/>
        <v/>
      </c>
      <c r="K64" s="1" t="str">
        <f t="shared" si="5"/>
        <v/>
      </c>
      <c r="O64" s="1" t="str">
        <f t="shared" si="6"/>
        <v/>
      </c>
      <c r="P64" s="2" t="str">
        <f t="shared" si="7"/>
        <v/>
      </c>
      <c r="Q64" s="1" t="str">
        <f t="shared" si="8"/>
        <v/>
      </c>
      <c r="R64" s="2" t="str">
        <f t="shared" si="9"/>
        <v/>
      </c>
      <c r="S64" s="1" t="str">
        <f t="shared" si="10"/>
        <v/>
      </c>
    </row>
    <row r="65" spans="1:19" x14ac:dyDescent="0.2">
      <c r="A65" t="str">
        <f>IF(COUNTBLANK(B65:S65)&lt;&gt;COLUMNS(B65:S65),64,"")</f>
        <v/>
      </c>
      <c r="C65" s="2" t="str">
        <f t="shared" si="0"/>
        <v/>
      </c>
      <c r="D65" s="1" t="str">
        <f t="shared" si="1"/>
        <v/>
      </c>
      <c r="E65" s="1" t="str">
        <f t="shared" si="2"/>
        <v/>
      </c>
      <c r="I65" s="1" t="str">
        <f t="shared" si="3"/>
        <v/>
      </c>
      <c r="J65" s="2" t="str">
        <f t="shared" si="4"/>
        <v/>
      </c>
      <c r="K65" s="1" t="str">
        <f t="shared" si="5"/>
        <v/>
      </c>
      <c r="O65" s="1" t="str">
        <f t="shared" si="6"/>
        <v/>
      </c>
      <c r="P65" s="2" t="str">
        <f t="shared" si="7"/>
        <v/>
      </c>
      <c r="Q65" s="1" t="str">
        <f t="shared" si="8"/>
        <v/>
      </c>
      <c r="R65" s="2" t="str">
        <f t="shared" si="9"/>
        <v/>
      </c>
      <c r="S65" s="1" t="str">
        <f t="shared" si="10"/>
        <v/>
      </c>
    </row>
    <row r="66" spans="1:19" x14ac:dyDescent="0.2">
      <c r="A66" t="str">
        <f>IF(COUNTBLANK(B66:S66)&lt;&gt;COLUMNS(B66:S66),65,"")</f>
        <v/>
      </c>
      <c r="C66" s="2" t="str">
        <f t="shared" ref="C66:C129" si="11">IF(B66="", "", "missing: not provided")</f>
        <v/>
      </c>
      <c r="D66" s="1" t="str">
        <f t="shared" ref="D66:D129" si="12">IF(B66="", "", " missing: not provided")</f>
        <v/>
      </c>
      <c r="E66" s="1" t="str">
        <f t="shared" ref="E66:E129" si="13">IF(B66="", "", "Host-associated")</f>
        <v/>
      </c>
      <c r="I66" s="1" t="str">
        <f t="shared" ref="I66:I129" si="14">IF(B66="", "", "host-associated")</f>
        <v/>
      </c>
      <c r="J66" s="2" t="str">
        <f t="shared" ref="J66:J129" si="15">IF(B66="", "", "missing: not provided")</f>
        <v/>
      </c>
      <c r="K66" s="1" t="str">
        <f t="shared" ref="K66:K129" si="16">IF(B66="", "", " missing: not provided")</f>
        <v/>
      </c>
      <c r="O66" s="1" t="str">
        <f t="shared" ref="O66:O129" si="17">IF(B66="", "", "Not applicable")</f>
        <v/>
      </c>
      <c r="P66" s="2" t="str">
        <f t="shared" ref="P66:P129" si="18">IF(B66="", "", "missing: not provided")</f>
        <v/>
      </c>
      <c r="Q66" s="1" t="str">
        <f t="shared" ref="Q66:Q129" si="19">IF(B66="", "", "Not applicable")</f>
        <v/>
      </c>
      <c r="R66" s="2" t="str">
        <f t="shared" ref="R66:R129" si="20">IF(B66="", "", "missing: not provided")</f>
        <v/>
      </c>
      <c r="S66" s="1" t="str">
        <f t="shared" ref="S66:S129" si="21">IF(B66="", "", " missing: not provided")</f>
        <v/>
      </c>
    </row>
    <row r="67" spans="1:19" x14ac:dyDescent="0.2">
      <c r="A67" t="str">
        <f>IF(COUNTBLANK(B67:S67)&lt;&gt;COLUMNS(B67:S67),66,"")</f>
        <v/>
      </c>
      <c r="C67" s="2" t="str">
        <f t="shared" si="11"/>
        <v/>
      </c>
      <c r="D67" s="1" t="str">
        <f t="shared" si="12"/>
        <v/>
      </c>
      <c r="E67" s="1" t="str">
        <f t="shared" si="13"/>
        <v/>
      </c>
      <c r="I67" s="1" t="str">
        <f t="shared" si="14"/>
        <v/>
      </c>
      <c r="J67" s="2" t="str">
        <f t="shared" si="15"/>
        <v/>
      </c>
      <c r="K67" s="1" t="str">
        <f t="shared" si="16"/>
        <v/>
      </c>
      <c r="O67" s="1" t="str">
        <f t="shared" si="17"/>
        <v/>
      </c>
      <c r="P67" s="2" t="str">
        <f t="shared" si="18"/>
        <v/>
      </c>
      <c r="Q67" s="1" t="str">
        <f t="shared" si="19"/>
        <v/>
      </c>
      <c r="R67" s="2" t="str">
        <f t="shared" si="20"/>
        <v/>
      </c>
      <c r="S67" s="1" t="str">
        <f t="shared" si="21"/>
        <v/>
      </c>
    </row>
    <row r="68" spans="1:19" x14ac:dyDescent="0.2">
      <c r="A68" t="str">
        <f>IF(COUNTBLANK(B68:S68)&lt;&gt;COLUMNS(B68:S68),67,"")</f>
        <v/>
      </c>
      <c r="C68" s="2" t="str">
        <f t="shared" si="11"/>
        <v/>
      </c>
      <c r="D68" s="1" t="str">
        <f t="shared" si="12"/>
        <v/>
      </c>
      <c r="E68" s="1" t="str">
        <f t="shared" si="13"/>
        <v/>
      </c>
      <c r="I68" s="1" t="str">
        <f t="shared" si="14"/>
        <v/>
      </c>
      <c r="J68" s="2" t="str">
        <f t="shared" si="15"/>
        <v/>
      </c>
      <c r="K68" s="1" t="str">
        <f t="shared" si="16"/>
        <v/>
      </c>
      <c r="O68" s="1" t="str">
        <f t="shared" si="17"/>
        <v/>
      </c>
      <c r="P68" s="2" t="str">
        <f t="shared" si="18"/>
        <v/>
      </c>
      <c r="Q68" s="1" t="str">
        <f t="shared" si="19"/>
        <v/>
      </c>
      <c r="R68" s="2" t="str">
        <f t="shared" si="20"/>
        <v/>
      </c>
      <c r="S68" s="1" t="str">
        <f t="shared" si="21"/>
        <v/>
      </c>
    </row>
    <row r="69" spans="1:19" x14ac:dyDescent="0.2">
      <c r="A69" t="str">
        <f>IF(COUNTBLANK(B69:S69)&lt;&gt;COLUMNS(B69:S69),68,"")</f>
        <v/>
      </c>
      <c r="C69" s="2" t="str">
        <f t="shared" si="11"/>
        <v/>
      </c>
      <c r="D69" s="1" t="str">
        <f t="shared" si="12"/>
        <v/>
      </c>
      <c r="E69" s="1" t="str">
        <f t="shared" si="13"/>
        <v/>
      </c>
      <c r="I69" s="1" t="str">
        <f t="shared" si="14"/>
        <v/>
      </c>
      <c r="J69" s="2" t="str">
        <f t="shared" si="15"/>
        <v/>
      </c>
      <c r="K69" s="1" t="str">
        <f t="shared" si="16"/>
        <v/>
      </c>
      <c r="O69" s="1" t="str">
        <f t="shared" si="17"/>
        <v/>
      </c>
      <c r="P69" s="2" t="str">
        <f t="shared" si="18"/>
        <v/>
      </c>
      <c r="Q69" s="1" t="str">
        <f t="shared" si="19"/>
        <v/>
      </c>
      <c r="R69" s="2" t="str">
        <f t="shared" si="20"/>
        <v/>
      </c>
      <c r="S69" s="1" t="str">
        <f t="shared" si="21"/>
        <v/>
      </c>
    </row>
    <row r="70" spans="1:19" x14ac:dyDescent="0.2">
      <c r="A70" t="str">
        <f>IF(COUNTBLANK(B70:S70)&lt;&gt;COLUMNS(B70:S70),69,"")</f>
        <v/>
      </c>
      <c r="C70" s="2" t="str">
        <f t="shared" si="11"/>
        <v/>
      </c>
      <c r="D70" s="1" t="str">
        <f t="shared" si="12"/>
        <v/>
      </c>
      <c r="E70" s="1" t="str">
        <f t="shared" si="13"/>
        <v/>
      </c>
      <c r="I70" s="1" t="str">
        <f t="shared" si="14"/>
        <v/>
      </c>
      <c r="J70" s="2" t="str">
        <f t="shared" si="15"/>
        <v/>
      </c>
      <c r="K70" s="1" t="str">
        <f t="shared" si="16"/>
        <v/>
      </c>
      <c r="O70" s="1" t="str">
        <f t="shared" si="17"/>
        <v/>
      </c>
      <c r="P70" s="2" t="str">
        <f t="shared" si="18"/>
        <v/>
      </c>
      <c r="Q70" s="1" t="str">
        <f t="shared" si="19"/>
        <v/>
      </c>
      <c r="R70" s="2" t="str">
        <f t="shared" si="20"/>
        <v/>
      </c>
      <c r="S70" s="1" t="str">
        <f t="shared" si="21"/>
        <v/>
      </c>
    </row>
    <row r="71" spans="1:19" x14ac:dyDescent="0.2">
      <c r="A71" t="str">
        <f>IF(COUNTBLANK(B71:S71)&lt;&gt;COLUMNS(B71:S71),70,"")</f>
        <v/>
      </c>
      <c r="C71" s="2" t="str">
        <f t="shared" si="11"/>
        <v/>
      </c>
      <c r="D71" s="1" t="str">
        <f t="shared" si="12"/>
        <v/>
      </c>
      <c r="E71" s="1" t="str">
        <f t="shared" si="13"/>
        <v/>
      </c>
      <c r="I71" s="1" t="str">
        <f t="shared" si="14"/>
        <v/>
      </c>
      <c r="J71" s="2" t="str">
        <f t="shared" si="15"/>
        <v/>
      </c>
      <c r="K71" s="1" t="str">
        <f t="shared" si="16"/>
        <v/>
      </c>
      <c r="O71" s="1" t="str">
        <f t="shared" si="17"/>
        <v/>
      </c>
      <c r="P71" s="2" t="str">
        <f t="shared" si="18"/>
        <v/>
      </c>
      <c r="Q71" s="1" t="str">
        <f t="shared" si="19"/>
        <v/>
      </c>
      <c r="R71" s="2" t="str">
        <f t="shared" si="20"/>
        <v/>
      </c>
      <c r="S71" s="1" t="str">
        <f t="shared" si="21"/>
        <v/>
      </c>
    </row>
    <row r="72" spans="1:19" x14ac:dyDescent="0.2">
      <c r="A72" t="str">
        <f>IF(COUNTBLANK(B72:S72)&lt;&gt;COLUMNS(B72:S72),71,"")</f>
        <v/>
      </c>
      <c r="C72" s="2" t="str">
        <f t="shared" si="11"/>
        <v/>
      </c>
      <c r="D72" s="1" t="str">
        <f t="shared" si="12"/>
        <v/>
      </c>
      <c r="E72" s="1" t="str">
        <f t="shared" si="13"/>
        <v/>
      </c>
      <c r="I72" s="1" t="str">
        <f t="shared" si="14"/>
        <v/>
      </c>
      <c r="J72" s="2" t="str">
        <f t="shared" si="15"/>
        <v/>
      </c>
      <c r="K72" s="1" t="str">
        <f t="shared" si="16"/>
        <v/>
      </c>
      <c r="O72" s="1" t="str">
        <f t="shared" si="17"/>
        <v/>
      </c>
      <c r="P72" s="2" t="str">
        <f t="shared" si="18"/>
        <v/>
      </c>
      <c r="Q72" s="1" t="str">
        <f t="shared" si="19"/>
        <v/>
      </c>
      <c r="R72" s="2" t="str">
        <f t="shared" si="20"/>
        <v/>
      </c>
      <c r="S72" s="1" t="str">
        <f t="shared" si="21"/>
        <v/>
      </c>
    </row>
    <row r="73" spans="1:19" x14ac:dyDescent="0.2">
      <c r="A73" t="str">
        <f>IF(COUNTBLANK(B73:S73)&lt;&gt;COLUMNS(B73:S73),72,"")</f>
        <v/>
      </c>
      <c r="C73" s="2" t="str">
        <f t="shared" si="11"/>
        <v/>
      </c>
      <c r="D73" s="1" t="str">
        <f t="shared" si="12"/>
        <v/>
      </c>
      <c r="E73" s="1" t="str">
        <f t="shared" si="13"/>
        <v/>
      </c>
      <c r="I73" s="1" t="str">
        <f t="shared" si="14"/>
        <v/>
      </c>
      <c r="J73" s="2" t="str">
        <f t="shared" si="15"/>
        <v/>
      </c>
      <c r="K73" s="1" t="str">
        <f t="shared" si="16"/>
        <v/>
      </c>
      <c r="O73" s="1" t="str">
        <f t="shared" si="17"/>
        <v/>
      </c>
      <c r="P73" s="2" t="str">
        <f t="shared" si="18"/>
        <v/>
      </c>
      <c r="Q73" s="1" t="str">
        <f t="shared" si="19"/>
        <v/>
      </c>
      <c r="R73" s="2" t="str">
        <f t="shared" si="20"/>
        <v/>
      </c>
      <c r="S73" s="1" t="str">
        <f t="shared" si="21"/>
        <v/>
      </c>
    </row>
    <row r="74" spans="1:19" x14ac:dyDescent="0.2">
      <c r="A74" t="str">
        <f>IF(COUNTBLANK(B74:S74)&lt;&gt;COLUMNS(B74:S74),73,"")</f>
        <v/>
      </c>
      <c r="C74" s="2" t="str">
        <f t="shared" si="11"/>
        <v/>
      </c>
      <c r="D74" s="1" t="str">
        <f t="shared" si="12"/>
        <v/>
      </c>
      <c r="E74" s="1" t="str">
        <f t="shared" si="13"/>
        <v/>
      </c>
      <c r="I74" s="1" t="str">
        <f t="shared" si="14"/>
        <v/>
      </c>
      <c r="J74" s="2" t="str">
        <f t="shared" si="15"/>
        <v/>
      </c>
      <c r="K74" s="1" t="str">
        <f t="shared" si="16"/>
        <v/>
      </c>
      <c r="O74" s="1" t="str">
        <f t="shared" si="17"/>
        <v/>
      </c>
      <c r="P74" s="2" t="str">
        <f t="shared" si="18"/>
        <v/>
      </c>
      <c r="Q74" s="1" t="str">
        <f t="shared" si="19"/>
        <v/>
      </c>
      <c r="R74" s="2" t="str">
        <f t="shared" si="20"/>
        <v/>
      </c>
      <c r="S74" s="1" t="str">
        <f t="shared" si="21"/>
        <v/>
      </c>
    </row>
    <row r="75" spans="1:19" x14ac:dyDescent="0.2">
      <c r="A75" t="str">
        <f>IF(COUNTBLANK(B75:S75)&lt;&gt;COLUMNS(B75:S75),74,"")</f>
        <v/>
      </c>
      <c r="C75" s="2" t="str">
        <f t="shared" si="11"/>
        <v/>
      </c>
      <c r="D75" s="1" t="str">
        <f t="shared" si="12"/>
        <v/>
      </c>
      <c r="E75" s="1" t="str">
        <f t="shared" si="13"/>
        <v/>
      </c>
      <c r="I75" s="1" t="str">
        <f t="shared" si="14"/>
        <v/>
      </c>
      <c r="J75" s="2" t="str">
        <f t="shared" si="15"/>
        <v/>
      </c>
      <c r="K75" s="1" t="str">
        <f t="shared" si="16"/>
        <v/>
      </c>
      <c r="O75" s="1" t="str">
        <f t="shared" si="17"/>
        <v/>
      </c>
      <c r="P75" s="2" t="str">
        <f t="shared" si="18"/>
        <v/>
      </c>
      <c r="Q75" s="1" t="str">
        <f t="shared" si="19"/>
        <v/>
      </c>
      <c r="R75" s="2" t="str">
        <f t="shared" si="20"/>
        <v/>
      </c>
      <c r="S75" s="1" t="str">
        <f t="shared" si="21"/>
        <v/>
      </c>
    </row>
    <row r="76" spans="1:19" x14ac:dyDescent="0.2">
      <c r="A76" t="str">
        <f>IF(COUNTBLANK(B76:S76)&lt;&gt;COLUMNS(B76:S76),75,"")</f>
        <v/>
      </c>
      <c r="C76" s="2" t="str">
        <f t="shared" si="11"/>
        <v/>
      </c>
      <c r="D76" s="1" t="str">
        <f t="shared" si="12"/>
        <v/>
      </c>
      <c r="E76" s="1" t="str">
        <f t="shared" si="13"/>
        <v/>
      </c>
      <c r="I76" s="1" t="str">
        <f t="shared" si="14"/>
        <v/>
      </c>
      <c r="J76" s="2" t="str">
        <f t="shared" si="15"/>
        <v/>
      </c>
      <c r="K76" s="1" t="str">
        <f t="shared" si="16"/>
        <v/>
      </c>
      <c r="O76" s="1" t="str">
        <f t="shared" si="17"/>
        <v/>
      </c>
      <c r="P76" s="2" t="str">
        <f t="shared" si="18"/>
        <v/>
      </c>
      <c r="Q76" s="1" t="str">
        <f t="shared" si="19"/>
        <v/>
      </c>
      <c r="R76" s="2" t="str">
        <f t="shared" si="20"/>
        <v/>
      </c>
      <c r="S76" s="1" t="str">
        <f t="shared" si="21"/>
        <v/>
      </c>
    </row>
    <row r="77" spans="1:19" x14ac:dyDescent="0.2">
      <c r="A77" t="str">
        <f>IF(COUNTBLANK(B77:S77)&lt;&gt;COLUMNS(B77:S77),76,"")</f>
        <v/>
      </c>
      <c r="C77" s="2" t="str">
        <f t="shared" si="11"/>
        <v/>
      </c>
      <c r="D77" s="1" t="str">
        <f t="shared" si="12"/>
        <v/>
      </c>
      <c r="E77" s="1" t="str">
        <f t="shared" si="13"/>
        <v/>
      </c>
      <c r="I77" s="1" t="str">
        <f t="shared" si="14"/>
        <v/>
      </c>
      <c r="J77" s="2" t="str">
        <f t="shared" si="15"/>
        <v/>
      </c>
      <c r="K77" s="1" t="str">
        <f t="shared" si="16"/>
        <v/>
      </c>
      <c r="O77" s="1" t="str">
        <f t="shared" si="17"/>
        <v/>
      </c>
      <c r="P77" s="2" t="str">
        <f t="shared" si="18"/>
        <v/>
      </c>
      <c r="Q77" s="1" t="str">
        <f t="shared" si="19"/>
        <v/>
      </c>
      <c r="R77" s="2" t="str">
        <f t="shared" si="20"/>
        <v/>
      </c>
      <c r="S77" s="1" t="str">
        <f t="shared" si="21"/>
        <v/>
      </c>
    </row>
    <row r="78" spans="1:19" x14ac:dyDescent="0.2">
      <c r="A78" t="str">
        <f>IF(COUNTBLANK(B78:S78)&lt;&gt;COLUMNS(B78:S78),77,"")</f>
        <v/>
      </c>
      <c r="C78" s="2" t="str">
        <f t="shared" si="11"/>
        <v/>
      </c>
      <c r="D78" s="1" t="str">
        <f t="shared" si="12"/>
        <v/>
      </c>
      <c r="E78" s="1" t="str">
        <f t="shared" si="13"/>
        <v/>
      </c>
      <c r="I78" s="1" t="str">
        <f t="shared" si="14"/>
        <v/>
      </c>
      <c r="J78" s="2" t="str">
        <f t="shared" si="15"/>
        <v/>
      </c>
      <c r="K78" s="1" t="str">
        <f t="shared" si="16"/>
        <v/>
      </c>
      <c r="O78" s="1" t="str">
        <f t="shared" si="17"/>
        <v/>
      </c>
      <c r="P78" s="2" t="str">
        <f t="shared" si="18"/>
        <v/>
      </c>
      <c r="Q78" s="1" t="str">
        <f t="shared" si="19"/>
        <v/>
      </c>
      <c r="R78" s="2" t="str">
        <f t="shared" si="20"/>
        <v/>
      </c>
      <c r="S78" s="1" t="str">
        <f t="shared" si="21"/>
        <v/>
      </c>
    </row>
    <row r="79" spans="1:19" x14ac:dyDescent="0.2">
      <c r="A79" t="str">
        <f>IF(COUNTBLANK(B79:S79)&lt;&gt;COLUMNS(B79:S79),78,"")</f>
        <v/>
      </c>
      <c r="C79" s="2" t="str">
        <f t="shared" si="11"/>
        <v/>
      </c>
      <c r="D79" s="1" t="str">
        <f t="shared" si="12"/>
        <v/>
      </c>
      <c r="E79" s="1" t="str">
        <f t="shared" si="13"/>
        <v/>
      </c>
      <c r="I79" s="1" t="str">
        <f t="shared" si="14"/>
        <v/>
      </c>
      <c r="J79" s="2" t="str">
        <f t="shared" si="15"/>
        <v/>
      </c>
      <c r="K79" s="1" t="str">
        <f t="shared" si="16"/>
        <v/>
      </c>
      <c r="O79" s="1" t="str">
        <f t="shared" si="17"/>
        <v/>
      </c>
      <c r="P79" s="2" t="str">
        <f t="shared" si="18"/>
        <v/>
      </c>
      <c r="Q79" s="1" t="str">
        <f t="shared" si="19"/>
        <v/>
      </c>
      <c r="R79" s="2" t="str">
        <f t="shared" si="20"/>
        <v/>
      </c>
      <c r="S79" s="1" t="str">
        <f t="shared" si="21"/>
        <v/>
      </c>
    </row>
    <row r="80" spans="1:19" x14ac:dyDescent="0.2">
      <c r="A80" t="str">
        <f>IF(COUNTBLANK(B80:S80)&lt;&gt;COLUMNS(B80:S80),79,"")</f>
        <v/>
      </c>
      <c r="C80" s="2" t="str">
        <f t="shared" si="11"/>
        <v/>
      </c>
      <c r="D80" s="1" t="str">
        <f t="shared" si="12"/>
        <v/>
      </c>
      <c r="E80" s="1" t="str">
        <f t="shared" si="13"/>
        <v/>
      </c>
      <c r="I80" s="1" t="str">
        <f t="shared" si="14"/>
        <v/>
      </c>
      <c r="J80" s="2" t="str">
        <f t="shared" si="15"/>
        <v/>
      </c>
      <c r="K80" s="1" t="str">
        <f t="shared" si="16"/>
        <v/>
      </c>
      <c r="O80" s="1" t="str">
        <f t="shared" si="17"/>
        <v/>
      </c>
      <c r="P80" s="2" t="str">
        <f t="shared" si="18"/>
        <v/>
      </c>
      <c r="Q80" s="1" t="str">
        <f t="shared" si="19"/>
        <v/>
      </c>
      <c r="R80" s="2" t="str">
        <f t="shared" si="20"/>
        <v/>
      </c>
      <c r="S80" s="1" t="str">
        <f t="shared" si="21"/>
        <v/>
      </c>
    </row>
    <row r="81" spans="1:19" x14ac:dyDescent="0.2">
      <c r="A81" t="str">
        <f>IF(COUNTBLANK(B81:S81)&lt;&gt;COLUMNS(B81:S81),80,"")</f>
        <v/>
      </c>
      <c r="C81" s="2" t="str">
        <f t="shared" si="11"/>
        <v/>
      </c>
      <c r="D81" s="1" t="str">
        <f t="shared" si="12"/>
        <v/>
      </c>
      <c r="E81" s="1" t="str">
        <f t="shared" si="13"/>
        <v/>
      </c>
      <c r="I81" s="1" t="str">
        <f t="shared" si="14"/>
        <v/>
      </c>
      <c r="J81" s="2" t="str">
        <f t="shared" si="15"/>
        <v/>
      </c>
      <c r="K81" s="1" t="str">
        <f t="shared" si="16"/>
        <v/>
      </c>
      <c r="O81" s="1" t="str">
        <f t="shared" si="17"/>
        <v/>
      </c>
      <c r="P81" s="2" t="str">
        <f t="shared" si="18"/>
        <v/>
      </c>
      <c r="Q81" s="1" t="str">
        <f t="shared" si="19"/>
        <v/>
      </c>
      <c r="R81" s="2" t="str">
        <f t="shared" si="20"/>
        <v/>
      </c>
      <c r="S81" s="1" t="str">
        <f t="shared" si="21"/>
        <v/>
      </c>
    </row>
    <row r="82" spans="1:19" x14ac:dyDescent="0.2">
      <c r="A82" t="str">
        <f>IF(COUNTBLANK(B82:S82)&lt;&gt;COLUMNS(B82:S82),81,"")</f>
        <v/>
      </c>
      <c r="C82" s="2" t="str">
        <f t="shared" si="11"/>
        <v/>
      </c>
      <c r="D82" s="1" t="str">
        <f t="shared" si="12"/>
        <v/>
      </c>
      <c r="E82" s="1" t="str">
        <f t="shared" si="13"/>
        <v/>
      </c>
      <c r="I82" s="1" t="str">
        <f t="shared" si="14"/>
        <v/>
      </c>
      <c r="J82" s="2" t="str">
        <f t="shared" si="15"/>
        <v/>
      </c>
      <c r="K82" s="1" t="str">
        <f t="shared" si="16"/>
        <v/>
      </c>
      <c r="O82" s="1" t="str">
        <f t="shared" si="17"/>
        <v/>
      </c>
      <c r="P82" s="2" t="str">
        <f t="shared" si="18"/>
        <v/>
      </c>
      <c r="Q82" s="1" t="str">
        <f t="shared" si="19"/>
        <v/>
      </c>
      <c r="R82" s="2" t="str">
        <f t="shared" si="20"/>
        <v/>
      </c>
      <c r="S82" s="1" t="str">
        <f t="shared" si="21"/>
        <v/>
      </c>
    </row>
    <row r="83" spans="1:19" x14ac:dyDescent="0.2">
      <c r="A83" t="str">
        <f>IF(COUNTBLANK(B83:S83)&lt;&gt;COLUMNS(B83:S83),82,"")</f>
        <v/>
      </c>
      <c r="C83" s="2" t="str">
        <f t="shared" si="11"/>
        <v/>
      </c>
      <c r="D83" s="1" t="str">
        <f t="shared" si="12"/>
        <v/>
      </c>
      <c r="E83" s="1" t="str">
        <f t="shared" si="13"/>
        <v/>
      </c>
      <c r="I83" s="1" t="str">
        <f t="shared" si="14"/>
        <v/>
      </c>
      <c r="J83" s="2" t="str">
        <f t="shared" si="15"/>
        <v/>
      </c>
      <c r="K83" s="1" t="str">
        <f t="shared" si="16"/>
        <v/>
      </c>
      <c r="O83" s="1" t="str">
        <f t="shared" si="17"/>
        <v/>
      </c>
      <c r="P83" s="2" t="str">
        <f t="shared" si="18"/>
        <v/>
      </c>
      <c r="Q83" s="1" t="str">
        <f t="shared" si="19"/>
        <v/>
      </c>
      <c r="R83" s="2" t="str">
        <f t="shared" si="20"/>
        <v/>
      </c>
      <c r="S83" s="1" t="str">
        <f t="shared" si="21"/>
        <v/>
      </c>
    </row>
    <row r="84" spans="1:19" x14ac:dyDescent="0.2">
      <c r="A84" t="str">
        <f>IF(COUNTBLANK(B84:S84)&lt;&gt;COLUMNS(B84:S84),83,"")</f>
        <v/>
      </c>
      <c r="C84" s="2" t="str">
        <f t="shared" si="11"/>
        <v/>
      </c>
      <c r="D84" s="1" t="str">
        <f t="shared" si="12"/>
        <v/>
      </c>
      <c r="E84" s="1" t="str">
        <f t="shared" si="13"/>
        <v/>
      </c>
      <c r="I84" s="1" t="str">
        <f t="shared" si="14"/>
        <v/>
      </c>
      <c r="J84" s="2" t="str">
        <f t="shared" si="15"/>
        <v/>
      </c>
      <c r="K84" s="1" t="str">
        <f t="shared" si="16"/>
        <v/>
      </c>
      <c r="O84" s="1" t="str">
        <f t="shared" si="17"/>
        <v/>
      </c>
      <c r="P84" s="2" t="str">
        <f t="shared" si="18"/>
        <v/>
      </c>
      <c r="Q84" s="1" t="str">
        <f t="shared" si="19"/>
        <v/>
      </c>
      <c r="R84" s="2" t="str">
        <f t="shared" si="20"/>
        <v/>
      </c>
      <c r="S84" s="1" t="str">
        <f t="shared" si="21"/>
        <v/>
      </c>
    </row>
    <row r="85" spans="1:19" x14ac:dyDescent="0.2">
      <c r="A85" t="str">
        <f>IF(COUNTBLANK(B85:S85)&lt;&gt;COLUMNS(B85:S85),84,"")</f>
        <v/>
      </c>
      <c r="C85" s="2" t="str">
        <f t="shared" si="11"/>
        <v/>
      </c>
      <c r="D85" s="1" t="str">
        <f t="shared" si="12"/>
        <v/>
      </c>
      <c r="E85" s="1" t="str">
        <f t="shared" si="13"/>
        <v/>
      </c>
      <c r="I85" s="1" t="str">
        <f t="shared" si="14"/>
        <v/>
      </c>
      <c r="J85" s="2" t="str">
        <f t="shared" si="15"/>
        <v/>
      </c>
      <c r="K85" s="1" t="str">
        <f t="shared" si="16"/>
        <v/>
      </c>
      <c r="O85" s="1" t="str">
        <f t="shared" si="17"/>
        <v/>
      </c>
      <c r="P85" s="2" t="str">
        <f t="shared" si="18"/>
        <v/>
      </c>
      <c r="Q85" s="1" t="str">
        <f t="shared" si="19"/>
        <v/>
      </c>
      <c r="R85" s="2" t="str">
        <f t="shared" si="20"/>
        <v/>
      </c>
      <c r="S85" s="1" t="str">
        <f t="shared" si="21"/>
        <v/>
      </c>
    </row>
    <row r="86" spans="1:19" x14ac:dyDescent="0.2">
      <c r="A86" t="str">
        <f>IF(COUNTBLANK(B86:S86)&lt;&gt;COLUMNS(B86:S86),85,"")</f>
        <v/>
      </c>
      <c r="C86" s="2" t="str">
        <f t="shared" si="11"/>
        <v/>
      </c>
      <c r="D86" s="1" t="str">
        <f t="shared" si="12"/>
        <v/>
      </c>
      <c r="E86" s="1" t="str">
        <f t="shared" si="13"/>
        <v/>
      </c>
      <c r="I86" s="1" t="str">
        <f t="shared" si="14"/>
        <v/>
      </c>
      <c r="J86" s="2" t="str">
        <f t="shared" si="15"/>
        <v/>
      </c>
      <c r="K86" s="1" t="str">
        <f t="shared" si="16"/>
        <v/>
      </c>
      <c r="O86" s="1" t="str">
        <f t="shared" si="17"/>
        <v/>
      </c>
      <c r="P86" s="2" t="str">
        <f t="shared" si="18"/>
        <v/>
      </c>
      <c r="Q86" s="1" t="str">
        <f t="shared" si="19"/>
        <v/>
      </c>
      <c r="R86" s="2" t="str">
        <f t="shared" si="20"/>
        <v/>
      </c>
      <c r="S86" s="1" t="str">
        <f t="shared" si="21"/>
        <v/>
      </c>
    </row>
    <row r="87" spans="1:19" x14ac:dyDescent="0.2">
      <c r="A87" t="str">
        <f>IF(COUNTBLANK(B87:S87)&lt;&gt;COLUMNS(B87:S87),86,"")</f>
        <v/>
      </c>
      <c r="C87" s="2" t="str">
        <f t="shared" si="11"/>
        <v/>
      </c>
      <c r="D87" s="1" t="str">
        <f t="shared" si="12"/>
        <v/>
      </c>
      <c r="E87" s="1" t="str">
        <f t="shared" si="13"/>
        <v/>
      </c>
      <c r="I87" s="1" t="str">
        <f t="shared" si="14"/>
        <v/>
      </c>
      <c r="J87" s="2" t="str">
        <f t="shared" si="15"/>
        <v/>
      </c>
      <c r="K87" s="1" t="str">
        <f t="shared" si="16"/>
        <v/>
      </c>
      <c r="O87" s="1" t="str">
        <f t="shared" si="17"/>
        <v/>
      </c>
      <c r="P87" s="2" t="str">
        <f t="shared" si="18"/>
        <v/>
      </c>
      <c r="Q87" s="1" t="str">
        <f t="shared" si="19"/>
        <v/>
      </c>
      <c r="R87" s="2" t="str">
        <f t="shared" si="20"/>
        <v/>
      </c>
      <c r="S87" s="1" t="str">
        <f t="shared" si="21"/>
        <v/>
      </c>
    </row>
    <row r="88" spans="1:19" x14ac:dyDescent="0.2">
      <c r="A88" t="str">
        <f>IF(COUNTBLANK(B88:S88)&lt;&gt;COLUMNS(B88:S88),87,"")</f>
        <v/>
      </c>
      <c r="C88" s="2" t="str">
        <f t="shared" si="11"/>
        <v/>
      </c>
      <c r="D88" s="1" t="str">
        <f t="shared" si="12"/>
        <v/>
      </c>
      <c r="E88" s="1" t="str">
        <f t="shared" si="13"/>
        <v/>
      </c>
      <c r="I88" s="1" t="str">
        <f t="shared" si="14"/>
        <v/>
      </c>
      <c r="J88" s="2" t="str">
        <f t="shared" si="15"/>
        <v/>
      </c>
      <c r="K88" s="1" t="str">
        <f t="shared" si="16"/>
        <v/>
      </c>
      <c r="O88" s="1" t="str">
        <f t="shared" si="17"/>
        <v/>
      </c>
      <c r="P88" s="2" t="str">
        <f t="shared" si="18"/>
        <v/>
      </c>
      <c r="Q88" s="1" t="str">
        <f t="shared" si="19"/>
        <v/>
      </c>
      <c r="R88" s="2" t="str">
        <f t="shared" si="20"/>
        <v/>
      </c>
      <c r="S88" s="1" t="str">
        <f t="shared" si="21"/>
        <v/>
      </c>
    </row>
    <row r="89" spans="1:19" x14ac:dyDescent="0.2">
      <c r="A89" t="str">
        <f>IF(COUNTBLANK(B89:S89)&lt;&gt;COLUMNS(B89:S89),88,"")</f>
        <v/>
      </c>
      <c r="C89" s="2" t="str">
        <f t="shared" si="11"/>
        <v/>
      </c>
      <c r="D89" s="1" t="str">
        <f t="shared" si="12"/>
        <v/>
      </c>
      <c r="E89" s="1" t="str">
        <f t="shared" si="13"/>
        <v/>
      </c>
      <c r="I89" s="1" t="str">
        <f t="shared" si="14"/>
        <v/>
      </c>
      <c r="J89" s="2" t="str">
        <f t="shared" si="15"/>
        <v/>
      </c>
      <c r="K89" s="1" t="str">
        <f t="shared" si="16"/>
        <v/>
      </c>
      <c r="O89" s="1" t="str">
        <f t="shared" si="17"/>
        <v/>
      </c>
      <c r="P89" s="2" t="str">
        <f t="shared" si="18"/>
        <v/>
      </c>
      <c r="Q89" s="1" t="str">
        <f t="shared" si="19"/>
        <v/>
      </c>
      <c r="R89" s="2" t="str">
        <f t="shared" si="20"/>
        <v/>
      </c>
      <c r="S89" s="1" t="str">
        <f t="shared" si="21"/>
        <v/>
      </c>
    </row>
    <row r="90" spans="1:19" x14ac:dyDescent="0.2">
      <c r="A90" t="str">
        <f>IF(COUNTBLANK(B90:S90)&lt;&gt;COLUMNS(B90:S90),89,"")</f>
        <v/>
      </c>
      <c r="C90" s="2" t="str">
        <f t="shared" si="11"/>
        <v/>
      </c>
      <c r="D90" s="1" t="str">
        <f t="shared" si="12"/>
        <v/>
      </c>
      <c r="E90" s="1" t="str">
        <f t="shared" si="13"/>
        <v/>
      </c>
      <c r="I90" s="1" t="str">
        <f t="shared" si="14"/>
        <v/>
      </c>
      <c r="J90" s="2" t="str">
        <f t="shared" si="15"/>
        <v/>
      </c>
      <c r="K90" s="1" t="str">
        <f t="shared" si="16"/>
        <v/>
      </c>
      <c r="O90" s="1" t="str">
        <f t="shared" si="17"/>
        <v/>
      </c>
      <c r="P90" s="2" t="str">
        <f t="shared" si="18"/>
        <v/>
      </c>
      <c r="Q90" s="1" t="str">
        <f t="shared" si="19"/>
        <v/>
      </c>
      <c r="R90" s="2" t="str">
        <f t="shared" si="20"/>
        <v/>
      </c>
      <c r="S90" s="1" t="str">
        <f t="shared" si="21"/>
        <v/>
      </c>
    </row>
    <row r="91" spans="1:19" x14ac:dyDescent="0.2">
      <c r="A91" t="str">
        <f>IF(COUNTBLANK(B91:S91)&lt;&gt;COLUMNS(B91:S91),90,"")</f>
        <v/>
      </c>
      <c r="C91" s="2" t="str">
        <f t="shared" si="11"/>
        <v/>
      </c>
      <c r="D91" s="1" t="str">
        <f t="shared" si="12"/>
        <v/>
      </c>
      <c r="E91" s="1" t="str">
        <f t="shared" si="13"/>
        <v/>
      </c>
      <c r="I91" s="1" t="str">
        <f t="shared" si="14"/>
        <v/>
      </c>
      <c r="J91" s="2" t="str">
        <f t="shared" si="15"/>
        <v/>
      </c>
      <c r="K91" s="1" t="str">
        <f t="shared" si="16"/>
        <v/>
      </c>
      <c r="O91" s="1" t="str">
        <f t="shared" si="17"/>
        <v/>
      </c>
      <c r="P91" s="2" t="str">
        <f t="shared" si="18"/>
        <v/>
      </c>
      <c r="Q91" s="1" t="str">
        <f t="shared" si="19"/>
        <v/>
      </c>
      <c r="R91" s="2" t="str">
        <f t="shared" si="20"/>
        <v/>
      </c>
      <c r="S91" s="1" t="str">
        <f t="shared" si="21"/>
        <v/>
      </c>
    </row>
    <row r="92" spans="1:19" x14ac:dyDescent="0.2">
      <c r="A92" t="str">
        <f>IF(COUNTBLANK(B92:S92)&lt;&gt;COLUMNS(B92:S92),91,"")</f>
        <v/>
      </c>
      <c r="C92" s="2" t="str">
        <f t="shared" si="11"/>
        <v/>
      </c>
      <c r="D92" s="1" t="str">
        <f t="shared" si="12"/>
        <v/>
      </c>
      <c r="E92" s="1" t="str">
        <f t="shared" si="13"/>
        <v/>
      </c>
      <c r="I92" s="1" t="str">
        <f t="shared" si="14"/>
        <v/>
      </c>
      <c r="J92" s="2" t="str">
        <f t="shared" si="15"/>
        <v/>
      </c>
      <c r="K92" s="1" t="str">
        <f t="shared" si="16"/>
        <v/>
      </c>
      <c r="O92" s="1" t="str">
        <f t="shared" si="17"/>
        <v/>
      </c>
      <c r="P92" s="2" t="str">
        <f t="shared" si="18"/>
        <v/>
      </c>
      <c r="Q92" s="1" t="str">
        <f t="shared" si="19"/>
        <v/>
      </c>
      <c r="R92" s="2" t="str">
        <f t="shared" si="20"/>
        <v/>
      </c>
      <c r="S92" s="1" t="str">
        <f t="shared" si="21"/>
        <v/>
      </c>
    </row>
    <row r="93" spans="1:19" x14ac:dyDescent="0.2">
      <c r="A93" t="str">
        <f>IF(COUNTBLANK(B93:S93)&lt;&gt;COLUMNS(B93:S93),92,"")</f>
        <v/>
      </c>
      <c r="C93" s="2" t="str">
        <f t="shared" si="11"/>
        <v/>
      </c>
      <c r="D93" s="1" t="str">
        <f t="shared" si="12"/>
        <v/>
      </c>
      <c r="E93" s="1" t="str">
        <f t="shared" si="13"/>
        <v/>
      </c>
      <c r="I93" s="1" t="str">
        <f t="shared" si="14"/>
        <v/>
      </c>
      <c r="J93" s="2" t="str">
        <f t="shared" si="15"/>
        <v/>
      </c>
      <c r="K93" s="1" t="str">
        <f t="shared" si="16"/>
        <v/>
      </c>
      <c r="O93" s="1" t="str">
        <f t="shared" si="17"/>
        <v/>
      </c>
      <c r="P93" s="2" t="str">
        <f t="shared" si="18"/>
        <v/>
      </c>
      <c r="Q93" s="1" t="str">
        <f t="shared" si="19"/>
        <v/>
      </c>
      <c r="R93" s="2" t="str">
        <f t="shared" si="20"/>
        <v/>
      </c>
      <c r="S93" s="1" t="str">
        <f t="shared" si="21"/>
        <v/>
      </c>
    </row>
    <row r="94" spans="1:19" x14ac:dyDescent="0.2">
      <c r="A94" t="str">
        <f>IF(COUNTBLANK(B94:S94)&lt;&gt;COLUMNS(B94:S94),93,"")</f>
        <v/>
      </c>
      <c r="C94" s="2" t="str">
        <f t="shared" si="11"/>
        <v/>
      </c>
      <c r="D94" s="1" t="str">
        <f t="shared" si="12"/>
        <v/>
      </c>
      <c r="E94" s="1" t="str">
        <f t="shared" si="13"/>
        <v/>
      </c>
      <c r="I94" s="1" t="str">
        <f t="shared" si="14"/>
        <v/>
      </c>
      <c r="J94" s="2" t="str">
        <f t="shared" si="15"/>
        <v/>
      </c>
      <c r="K94" s="1" t="str">
        <f t="shared" si="16"/>
        <v/>
      </c>
      <c r="O94" s="1" t="str">
        <f t="shared" si="17"/>
        <v/>
      </c>
      <c r="P94" s="2" t="str">
        <f t="shared" si="18"/>
        <v/>
      </c>
      <c r="Q94" s="1" t="str">
        <f t="shared" si="19"/>
        <v/>
      </c>
      <c r="R94" s="2" t="str">
        <f t="shared" si="20"/>
        <v/>
      </c>
      <c r="S94" s="1" t="str">
        <f t="shared" si="21"/>
        <v/>
      </c>
    </row>
    <row r="95" spans="1:19" x14ac:dyDescent="0.2">
      <c r="A95" t="str">
        <f>IF(COUNTBLANK(B95:S95)&lt;&gt;COLUMNS(B95:S95),94,"")</f>
        <v/>
      </c>
      <c r="C95" s="2" t="str">
        <f t="shared" si="11"/>
        <v/>
      </c>
      <c r="D95" s="1" t="str">
        <f t="shared" si="12"/>
        <v/>
      </c>
      <c r="E95" s="1" t="str">
        <f t="shared" si="13"/>
        <v/>
      </c>
      <c r="I95" s="1" t="str">
        <f t="shared" si="14"/>
        <v/>
      </c>
      <c r="J95" s="2" t="str">
        <f t="shared" si="15"/>
        <v/>
      </c>
      <c r="K95" s="1" t="str">
        <f t="shared" si="16"/>
        <v/>
      </c>
      <c r="O95" s="1" t="str">
        <f t="shared" si="17"/>
        <v/>
      </c>
      <c r="P95" s="2" t="str">
        <f t="shared" si="18"/>
        <v/>
      </c>
      <c r="Q95" s="1" t="str">
        <f t="shared" si="19"/>
        <v/>
      </c>
      <c r="R95" s="2" t="str">
        <f t="shared" si="20"/>
        <v/>
      </c>
      <c r="S95" s="1" t="str">
        <f t="shared" si="21"/>
        <v/>
      </c>
    </row>
    <row r="96" spans="1:19" x14ac:dyDescent="0.2">
      <c r="A96" t="str">
        <f>IF(COUNTBLANK(B96:S96)&lt;&gt;COLUMNS(B96:S96),95,"")</f>
        <v/>
      </c>
      <c r="C96" s="2" t="str">
        <f t="shared" si="11"/>
        <v/>
      </c>
      <c r="D96" s="1" t="str">
        <f t="shared" si="12"/>
        <v/>
      </c>
      <c r="E96" s="1" t="str">
        <f t="shared" si="13"/>
        <v/>
      </c>
      <c r="I96" s="1" t="str">
        <f t="shared" si="14"/>
        <v/>
      </c>
      <c r="J96" s="2" t="str">
        <f t="shared" si="15"/>
        <v/>
      </c>
      <c r="K96" s="1" t="str">
        <f t="shared" si="16"/>
        <v/>
      </c>
      <c r="O96" s="1" t="str">
        <f t="shared" si="17"/>
        <v/>
      </c>
      <c r="P96" s="2" t="str">
        <f t="shared" si="18"/>
        <v/>
      </c>
      <c r="Q96" s="1" t="str">
        <f t="shared" si="19"/>
        <v/>
      </c>
      <c r="R96" s="2" t="str">
        <f t="shared" si="20"/>
        <v/>
      </c>
      <c r="S96" s="1" t="str">
        <f t="shared" si="21"/>
        <v/>
      </c>
    </row>
    <row r="97" spans="1:19" x14ac:dyDescent="0.2">
      <c r="A97" t="str">
        <f>IF(COUNTBLANK(B97:S97)&lt;&gt;COLUMNS(B97:S97),96,"")</f>
        <v/>
      </c>
      <c r="C97" s="2" t="str">
        <f t="shared" si="11"/>
        <v/>
      </c>
      <c r="D97" s="1" t="str">
        <f t="shared" si="12"/>
        <v/>
      </c>
      <c r="E97" s="1" t="str">
        <f t="shared" si="13"/>
        <v/>
      </c>
      <c r="I97" s="1" t="str">
        <f t="shared" si="14"/>
        <v/>
      </c>
      <c r="J97" s="2" t="str">
        <f t="shared" si="15"/>
        <v/>
      </c>
      <c r="K97" s="1" t="str">
        <f t="shared" si="16"/>
        <v/>
      </c>
      <c r="O97" s="1" t="str">
        <f t="shared" si="17"/>
        <v/>
      </c>
      <c r="P97" s="2" t="str">
        <f t="shared" si="18"/>
        <v/>
      </c>
      <c r="Q97" s="1" t="str">
        <f t="shared" si="19"/>
        <v/>
      </c>
      <c r="R97" s="2" t="str">
        <f t="shared" si="20"/>
        <v/>
      </c>
      <c r="S97" s="1" t="str">
        <f t="shared" si="21"/>
        <v/>
      </c>
    </row>
    <row r="98" spans="1:19" x14ac:dyDescent="0.2">
      <c r="A98" t="str">
        <f>IF(COUNTBLANK(B98:S98)&lt;&gt;COLUMNS(B98:S98),97,"")</f>
        <v/>
      </c>
      <c r="C98" s="2" t="str">
        <f t="shared" si="11"/>
        <v/>
      </c>
      <c r="D98" s="1" t="str">
        <f t="shared" si="12"/>
        <v/>
      </c>
      <c r="E98" s="1" t="str">
        <f t="shared" si="13"/>
        <v/>
      </c>
      <c r="I98" s="1" t="str">
        <f t="shared" si="14"/>
        <v/>
      </c>
      <c r="J98" s="2" t="str">
        <f t="shared" si="15"/>
        <v/>
      </c>
      <c r="K98" s="1" t="str">
        <f t="shared" si="16"/>
        <v/>
      </c>
      <c r="O98" s="1" t="str">
        <f t="shared" si="17"/>
        <v/>
      </c>
      <c r="P98" s="2" t="str">
        <f t="shared" si="18"/>
        <v/>
      </c>
      <c r="Q98" s="1" t="str">
        <f t="shared" si="19"/>
        <v/>
      </c>
      <c r="R98" s="2" t="str">
        <f t="shared" si="20"/>
        <v/>
      </c>
      <c r="S98" s="1" t="str">
        <f t="shared" si="21"/>
        <v/>
      </c>
    </row>
    <row r="99" spans="1:19" x14ac:dyDescent="0.2">
      <c r="A99" t="str">
        <f>IF(COUNTBLANK(B99:S99)&lt;&gt;COLUMNS(B99:S99),98,"")</f>
        <v/>
      </c>
      <c r="C99" s="2" t="str">
        <f t="shared" si="11"/>
        <v/>
      </c>
      <c r="D99" s="1" t="str">
        <f t="shared" si="12"/>
        <v/>
      </c>
      <c r="E99" s="1" t="str">
        <f t="shared" si="13"/>
        <v/>
      </c>
      <c r="I99" s="1" t="str">
        <f t="shared" si="14"/>
        <v/>
      </c>
      <c r="J99" s="2" t="str">
        <f t="shared" si="15"/>
        <v/>
      </c>
      <c r="K99" s="1" t="str">
        <f t="shared" si="16"/>
        <v/>
      </c>
      <c r="O99" s="1" t="str">
        <f t="shared" si="17"/>
        <v/>
      </c>
      <c r="P99" s="2" t="str">
        <f t="shared" si="18"/>
        <v/>
      </c>
      <c r="Q99" s="1" t="str">
        <f t="shared" si="19"/>
        <v/>
      </c>
      <c r="R99" s="2" t="str">
        <f t="shared" si="20"/>
        <v/>
      </c>
      <c r="S99" s="1" t="str">
        <f t="shared" si="21"/>
        <v/>
      </c>
    </row>
    <row r="100" spans="1:19" x14ac:dyDescent="0.2">
      <c r="A100" t="str">
        <f>IF(COUNTBLANK(B100:S100)&lt;&gt;COLUMNS(B100:S100),99,"")</f>
        <v/>
      </c>
      <c r="C100" s="2" t="str">
        <f t="shared" si="11"/>
        <v/>
      </c>
      <c r="D100" s="1" t="str">
        <f t="shared" si="12"/>
        <v/>
      </c>
      <c r="E100" s="1" t="str">
        <f t="shared" si="13"/>
        <v/>
      </c>
      <c r="I100" s="1" t="str">
        <f t="shared" si="14"/>
        <v/>
      </c>
      <c r="J100" s="2" t="str">
        <f t="shared" si="15"/>
        <v/>
      </c>
      <c r="K100" s="1" t="str">
        <f t="shared" si="16"/>
        <v/>
      </c>
      <c r="O100" s="1" t="str">
        <f t="shared" si="17"/>
        <v/>
      </c>
      <c r="P100" s="2" t="str">
        <f t="shared" si="18"/>
        <v/>
      </c>
      <c r="Q100" s="1" t="str">
        <f t="shared" si="19"/>
        <v/>
      </c>
      <c r="R100" s="2" t="str">
        <f t="shared" si="20"/>
        <v/>
      </c>
      <c r="S100" s="1" t="str">
        <f t="shared" si="21"/>
        <v/>
      </c>
    </row>
    <row r="101" spans="1:19" x14ac:dyDescent="0.2">
      <c r="A101" t="str">
        <f>IF(COUNTBLANK(B101:S101)&lt;&gt;COLUMNS(B101:S101),100,"")</f>
        <v/>
      </c>
      <c r="C101" s="2" t="str">
        <f t="shared" si="11"/>
        <v/>
      </c>
      <c r="D101" s="1" t="str">
        <f t="shared" si="12"/>
        <v/>
      </c>
      <c r="E101" s="1" t="str">
        <f t="shared" si="13"/>
        <v/>
      </c>
      <c r="I101" s="1" t="str">
        <f t="shared" si="14"/>
        <v/>
      </c>
      <c r="J101" s="2" t="str">
        <f t="shared" si="15"/>
        <v/>
      </c>
      <c r="K101" s="1" t="str">
        <f t="shared" si="16"/>
        <v/>
      </c>
      <c r="O101" s="1" t="str">
        <f t="shared" si="17"/>
        <v/>
      </c>
      <c r="P101" s="2" t="str">
        <f t="shared" si="18"/>
        <v/>
      </c>
      <c r="Q101" s="1" t="str">
        <f t="shared" si="19"/>
        <v/>
      </c>
      <c r="R101" s="2" t="str">
        <f t="shared" si="20"/>
        <v/>
      </c>
      <c r="S101" s="1" t="str">
        <f t="shared" si="21"/>
        <v/>
      </c>
    </row>
    <row r="102" spans="1:19" x14ac:dyDescent="0.2">
      <c r="A102" t="str">
        <f>IF(COUNTBLANK(B102:S102)&lt;&gt;COLUMNS(B102:S102),101,"")</f>
        <v/>
      </c>
      <c r="C102" s="2" t="str">
        <f t="shared" si="11"/>
        <v/>
      </c>
      <c r="D102" s="1" t="str">
        <f t="shared" si="12"/>
        <v/>
      </c>
      <c r="E102" s="1" t="str">
        <f t="shared" si="13"/>
        <v/>
      </c>
      <c r="I102" s="1" t="str">
        <f t="shared" si="14"/>
        <v/>
      </c>
      <c r="J102" s="2" t="str">
        <f t="shared" si="15"/>
        <v/>
      </c>
      <c r="K102" s="1" t="str">
        <f t="shared" si="16"/>
        <v/>
      </c>
      <c r="O102" s="1" t="str">
        <f t="shared" si="17"/>
        <v/>
      </c>
      <c r="P102" s="2" t="str">
        <f t="shared" si="18"/>
        <v/>
      </c>
      <c r="Q102" s="1" t="str">
        <f t="shared" si="19"/>
        <v/>
      </c>
      <c r="R102" s="2" t="str">
        <f t="shared" si="20"/>
        <v/>
      </c>
      <c r="S102" s="1" t="str">
        <f t="shared" si="21"/>
        <v/>
      </c>
    </row>
    <row r="103" spans="1:19" x14ac:dyDescent="0.2">
      <c r="A103" t="str">
        <f>IF(COUNTBLANK(B103:S103)&lt;&gt;COLUMNS(B103:S103),102,"")</f>
        <v/>
      </c>
      <c r="C103" s="2" t="str">
        <f t="shared" si="11"/>
        <v/>
      </c>
      <c r="D103" s="1" t="str">
        <f t="shared" si="12"/>
        <v/>
      </c>
      <c r="E103" s="1" t="str">
        <f t="shared" si="13"/>
        <v/>
      </c>
      <c r="I103" s="1" t="str">
        <f t="shared" si="14"/>
        <v/>
      </c>
      <c r="J103" s="2" t="str">
        <f t="shared" si="15"/>
        <v/>
      </c>
      <c r="K103" s="1" t="str">
        <f t="shared" si="16"/>
        <v/>
      </c>
      <c r="O103" s="1" t="str">
        <f t="shared" si="17"/>
        <v/>
      </c>
      <c r="P103" s="2" t="str">
        <f t="shared" si="18"/>
        <v/>
      </c>
      <c r="Q103" s="1" t="str">
        <f t="shared" si="19"/>
        <v/>
      </c>
      <c r="R103" s="2" t="str">
        <f t="shared" si="20"/>
        <v/>
      </c>
      <c r="S103" s="1" t="str">
        <f t="shared" si="21"/>
        <v/>
      </c>
    </row>
    <row r="104" spans="1:19" x14ac:dyDescent="0.2">
      <c r="A104" t="str">
        <f>IF(COUNTBLANK(B104:S104)&lt;&gt;COLUMNS(B104:S104),103,"")</f>
        <v/>
      </c>
      <c r="C104" s="2" t="str">
        <f t="shared" si="11"/>
        <v/>
      </c>
      <c r="D104" s="1" t="str">
        <f t="shared" si="12"/>
        <v/>
      </c>
      <c r="E104" s="1" t="str">
        <f t="shared" si="13"/>
        <v/>
      </c>
      <c r="I104" s="1" t="str">
        <f t="shared" si="14"/>
        <v/>
      </c>
      <c r="J104" s="2" t="str">
        <f t="shared" si="15"/>
        <v/>
      </c>
      <c r="K104" s="1" t="str">
        <f t="shared" si="16"/>
        <v/>
      </c>
      <c r="O104" s="1" t="str">
        <f t="shared" si="17"/>
        <v/>
      </c>
      <c r="P104" s="2" t="str">
        <f t="shared" si="18"/>
        <v/>
      </c>
      <c r="Q104" s="1" t="str">
        <f t="shared" si="19"/>
        <v/>
      </c>
      <c r="R104" s="2" t="str">
        <f t="shared" si="20"/>
        <v/>
      </c>
      <c r="S104" s="1" t="str">
        <f t="shared" si="21"/>
        <v/>
      </c>
    </row>
    <row r="105" spans="1:19" x14ac:dyDescent="0.2">
      <c r="A105" t="str">
        <f>IF(COUNTBLANK(B105:S105)&lt;&gt;COLUMNS(B105:S105),104,"")</f>
        <v/>
      </c>
      <c r="C105" s="2" t="str">
        <f t="shared" si="11"/>
        <v/>
      </c>
      <c r="D105" s="1" t="str">
        <f t="shared" si="12"/>
        <v/>
      </c>
      <c r="E105" s="1" t="str">
        <f t="shared" si="13"/>
        <v/>
      </c>
      <c r="I105" s="1" t="str">
        <f t="shared" si="14"/>
        <v/>
      </c>
      <c r="J105" s="2" t="str">
        <f t="shared" si="15"/>
        <v/>
      </c>
      <c r="K105" s="1" t="str">
        <f t="shared" si="16"/>
        <v/>
      </c>
      <c r="O105" s="1" t="str">
        <f t="shared" si="17"/>
        <v/>
      </c>
      <c r="P105" s="2" t="str">
        <f t="shared" si="18"/>
        <v/>
      </c>
      <c r="Q105" s="1" t="str">
        <f t="shared" si="19"/>
        <v/>
      </c>
      <c r="R105" s="2" t="str">
        <f t="shared" si="20"/>
        <v/>
      </c>
      <c r="S105" s="1" t="str">
        <f t="shared" si="21"/>
        <v/>
      </c>
    </row>
    <row r="106" spans="1:19" x14ac:dyDescent="0.2">
      <c r="A106" t="str">
        <f>IF(COUNTBLANK(B106:S106)&lt;&gt;COLUMNS(B106:S106),105,"")</f>
        <v/>
      </c>
      <c r="C106" s="2" t="str">
        <f t="shared" si="11"/>
        <v/>
      </c>
      <c r="D106" s="1" t="str">
        <f t="shared" si="12"/>
        <v/>
      </c>
      <c r="E106" s="1" t="str">
        <f t="shared" si="13"/>
        <v/>
      </c>
      <c r="I106" s="1" t="str">
        <f t="shared" si="14"/>
        <v/>
      </c>
      <c r="J106" s="2" t="str">
        <f t="shared" si="15"/>
        <v/>
      </c>
      <c r="K106" s="1" t="str">
        <f t="shared" si="16"/>
        <v/>
      </c>
      <c r="O106" s="1" t="str">
        <f t="shared" si="17"/>
        <v/>
      </c>
      <c r="P106" s="2" t="str">
        <f t="shared" si="18"/>
        <v/>
      </c>
      <c r="Q106" s="1" t="str">
        <f t="shared" si="19"/>
        <v/>
      </c>
      <c r="R106" s="2" t="str">
        <f t="shared" si="20"/>
        <v/>
      </c>
      <c r="S106" s="1" t="str">
        <f t="shared" si="21"/>
        <v/>
      </c>
    </row>
    <row r="107" spans="1:19" x14ac:dyDescent="0.2">
      <c r="A107" t="str">
        <f>IF(COUNTBLANK(B107:S107)&lt;&gt;COLUMNS(B107:S107),106,"")</f>
        <v/>
      </c>
      <c r="C107" s="2" t="str">
        <f t="shared" si="11"/>
        <v/>
      </c>
      <c r="D107" s="1" t="str">
        <f t="shared" si="12"/>
        <v/>
      </c>
      <c r="E107" s="1" t="str">
        <f t="shared" si="13"/>
        <v/>
      </c>
      <c r="I107" s="1" t="str">
        <f t="shared" si="14"/>
        <v/>
      </c>
      <c r="J107" s="2" t="str">
        <f t="shared" si="15"/>
        <v/>
      </c>
      <c r="K107" s="1" t="str">
        <f t="shared" si="16"/>
        <v/>
      </c>
      <c r="O107" s="1" t="str">
        <f t="shared" si="17"/>
        <v/>
      </c>
      <c r="P107" s="2" t="str">
        <f t="shared" si="18"/>
        <v/>
      </c>
      <c r="Q107" s="1" t="str">
        <f t="shared" si="19"/>
        <v/>
      </c>
      <c r="R107" s="2" t="str">
        <f t="shared" si="20"/>
        <v/>
      </c>
      <c r="S107" s="1" t="str">
        <f t="shared" si="21"/>
        <v/>
      </c>
    </row>
    <row r="108" spans="1:19" x14ac:dyDescent="0.2">
      <c r="A108" t="str">
        <f>IF(COUNTBLANK(B108:S108)&lt;&gt;COLUMNS(B108:S108),107,"")</f>
        <v/>
      </c>
      <c r="C108" s="2" t="str">
        <f t="shared" si="11"/>
        <v/>
      </c>
      <c r="D108" s="1" t="str">
        <f t="shared" si="12"/>
        <v/>
      </c>
      <c r="E108" s="1" t="str">
        <f t="shared" si="13"/>
        <v/>
      </c>
      <c r="I108" s="1" t="str">
        <f t="shared" si="14"/>
        <v/>
      </c>
      <c r="J108" s="2" t="str">
        <f t="shared" si="15"/>
        <v/>
      </c>
      <c r="K108" s="1" t="str">
        <f t="shared" si="16"/>
        <v/>
      </c>
      <c r="O108" s="1" t="str">
        <f t="shared" si="17"/>
        <v/>
      </c>
      <c r="P108" s="2" t="str">
        <f t="shared" si="18"/>
        <v/>
      </c>
      <c r="Q108" s="1" t="str">
        <f t="shared" si="19"/>
        <v/>
      </c>
      <c r="R108" s="2" t="str">
        <f t="shared" si="20"/>
        <v/>
      </c>
      <c r="S108" s="1" t="str">
        <f t="shared" si="21"/>
        <v/>
      </c>
    </row>
    <row r="109" spans="1:19" x14ac:dyDescent="0.2">
      <c r="A109" t="str">
        <f>IF(COUNTBLANK(B109:S109)&lt;&gt;COLUMNS(B109:S109),108,"")</f>
        <v/>
      </c>
      <c r="C109" s="2" t="str">
        <f t="shared" si="11"/>
        <v/>
      </c>
      <c r="D109" s="1" t="str">
        <f t="shared" si="12"/>
        <v/>
      </c>
      <c r="E109" s="1" t="str">
        <f t="shared" si="13"/>
        <v/>
      </c>
      <c r="I109" s="1" t="str">
        <f t="shared" si="14"/>
        <v/>
      </c>
      <c r="J109" s="2" t="str">
        <f t="shared" si="15"/>
        <v/>
      </c>
      <c r="K109" s="1" t="str">
        <f t="shared" si="16"/>
        <v/>
      </c>
      <c r="O109" s="1" t="str">
        <f t="shared" si="17"/>
        <v/>
      </c>
      <c r="P109" s="2" t="str">
        <f t="shared" si="18"/>
        <v/>
      </c>
      <c r="Q109" s="1" t="str">
        <f t="shared" si="19"/>
        <v/>
      </c>
      <c r="R109" s="2" t="str">
        <f t="shared" si="20"/>
        <v/>
      </c>
      <c r="S109" s="1" t="str">
        <f t="shared" si="21"/>
        <v/>
      </c>
    </row>
    <row r="110" spans="1:19" x14ac:dyDescent="0.2">
      <c r="A110" t="str">
        <f>IF(COUNTBLANK(B110:S110)&lt;&gt;COLUMNS(B110:S110),109,"")</f>
        <v/>
      </c>
      <c r="C110" s="2" t="str">
        <f t="shared" si="11"/>
        <v/>
      </c>
      <c r="D110" s="1" t="str">
        <f t="shared" si="12"/>
        <v/>
      </c>
      <c r="E110" s="1" t="str">
        <f t="shared" si="13"/>
        <v/>
      </c>
      <c r="I110" s="1" t="str">
        <f t="shared" si="14"/>
        <v/>
      </c>
      <c r="J110" s="2" t="str">
        <f t="shared" si="15"/>
        <v/>
      </c>
      <c r="K110" s="1" t="str">
        <f t="shared" si="16"/>
        <v/>
      </c>
      <c r="O110" s="1" t="str">
        <f t="shared" si="17"/>
        <v/>
      </c>
      <c r="P110" s="2" t="str">
        <f t="shared" si="18"/>
        <v/>
      </c>
      <c r="Q110" s="1" t="str">
        <f t="shared" si="19"/>
        <v/>
      </c>
      <c r="R110" s="2" t="str">
        <f t="shared" si="20"/>
        <v/>
      </c>
      <c r="S110" s="1" t="str">
        <f t="shared" si="21"/>
        <v/>
      </c>
    </row>
    <row r="111" spans="1:19" x14ac:dyDescent="0.2">
      <c r="A111" t="str">
        <f>IF(COUNTBLANK(B111:S111)&lt;&gt;COLUMNS(B111:S111),110,"")</f>
        <v/>
      </c>
      <c r="C111" s="2" t="str">
        <f t="shared" si="11"/>
        <v/>
      </c>
      <c r="D111" s="1" t="str">
        <f t="shared" si="12"/>
        <v/>
      </c>
      <c r="E111" s="1" t="str">
        <f t="shared" si="13"/>
        <v/>
      </c>
      <c r="I111" s="1" t="str">
        <f t="shared" si="14"/>
        <v/>
      </c>
      <c r="J111" s="2" t="str">
        <f t="shared" si="15"/>
        <v/>
      </c>
      <c r="K111" s="1" t="str">
        <f t="shared" si="16"/>
        <v/>
      </c>
      <c r="O111" s="1" t="str">
        <f t="shared" si="17"/>
        <v/>
      </c>
      <c r="P111" s="2" t="str">
        <f t="shared" si="18"/>
        <v/>
      </c>
      <c r="Q111" s="1" t="str">
        <f t="shared" si="19"/>
        <v/>
      </c>
      <c r="R111" s="2" t="str">
        <f t="shared" si="20"/>
        <v/>
      </c>
      <c r="S111" s="1" t="str">
        <f t="shared" si="21"/>
        <v/>
      </c>
    </row>
    <row r="112" spans="1:19" x14ac:dyDescent="0.2">
      <c r="A112" t="str">
        <f>IF(COUNTBLANK(B112:S112)&lt;&gt;COLUMNS(B112:S112),111,"")</f>
        <v/>
      </c>
      <c r="C112" s="2" t="str">
        <f t="shared" si="11"/>
        <v/>
      </c>
      <c r="D112" s="1" t="str">
        <f t="shared" si="12"/>
        <v/>
      </c>
      <c r="E112" s="1" t="str">
        <f t="shared" si="13"/>
        <v/>
      </c>
      <c r="I112" s="1" t="str">
        <f t="shared" si="14"/>
        <v/>
      </c>
      <c r="J112" s="2" t="str">
        <f t="shared" si="15"/>
        <v/>
      </c>
      <c r="K112" s="1" t="str">
        <f t="shared" si="16"/>
        <v/>
      </c>
      <c r="O112" s="1" t="str">
        <f t="shared" si="17"/>
        <v/>
      </c>
      <c r="P112" s="2" t="str">
        <f t="shared" si="18"/>
        <v/>
      </c>
      <c r="Q112" s="1" t="str">
        <f t="shared" si="19"/>
        <v/>
      </c>
      <c r="R112" s="2" t="str">
        <f t="shared" si="20"/>
        <v/>
      </c>
      <c r="S112" s="1" t="str">
        <f t="shared" si="21"/>
        <v/>
      </c>
    </row>
    <row r="113" spans="1:19" x14ac:dyDescent="0.2">
      <c r="A113" t="str">
        <f>IF(COUNTBLANK(B113:S113)&lt;&gt;COLUMNS(B113:S113),112,"")</f>
        <v/>
      </c>
      <c r="C113" s="2" t="str">
        <f t="shared" si="11"/>
        <v/>
      </c>
      <c r="D113" s="1" t="str">
        <f t="shared" si="12"/>
        <v/>
      </c>
      <c r="E113" s="1" t="str">
        <f t="shared" si="13"/>
        <v/>
      </c>
      <c r="I113" s="1" t="str">
        <f t="shared" si="14"/>
        <v/>
      </c>
      <c r="J113" s="2" t="str">
        <f t="shared" si="15"/>
        <v/>
      </c>
      <c r="K113" s="1" t="str">
        <f t="shared" si="16"/>
        <v/>
      </c>
      <c r="O113" s="1" t="str">
        <f t="shared" si="17"/>
        <v/>
      </c>
      <c r="P113" s="2" t="str">
        <f t="shared" si="18"/>
        <v/>
      </c>
      <c r="Q113" s="1" t="str">
        <f t="shared" si="19"/>
        <v/>
      </c>
      <c r="R113" s="2" t="str">
        <f t="shared" si="20"/>
        <v/>
      </c>
      <c r="S113" s="1" t="str">
        <f t="shared" si="21"/>
        <v/>
      </c>
    </row>
    <row r="114" spans="1:19" x14ac:dyDescent="0.2">
      <c r="A114" t="str">
        <f>IF(COUNTBLANK(B114:S114)&lt;&gt;COLUMNS(B114:S114),113,"")</f>
        <v/>
      </c>
      <c r="C114" s="2" t="str">
        <f t="shared" si="11"/>
        <v/>
      </c>
      <c r="D114" s="1" t="str">
        <f t="shared" si="12"/>
        <v/>
      </c>
      <c r="E114" s="1" t="str">
        <f t="shared" si="13"/>
        <v/>
      </c>
      <c r="I114" s="1" t="str">
        <f t="shared" si="14"/>
        <v/>
      </c>
      <c r="J114" s="2" t="str">
        <f t="shared" si="15"/>
        <v/>
      </c>
      <c r="K114" s="1" t="str">
        <f t="shared" si="16"/>
        <v/>
      </c>
      <c r="O114" s="1" t="str">
        <f t="shared" si="17"/>
        <v/>
      </c>
      <c r="P114" s="2" t="str">
        <f t="shared" si="18"/>
        <v/>
      </c>
      <c r="Q114" s="1" t="str">
        <f t="shared" si="19"/>
        <v/>
      </c>
      <c r="R114" s="2" t="str">
        <f t="shared" si="20"/>
        <v/>
      </c>
      <c r="S114" s="1" t="str">
        <f t="shared" si="21"/>
        <v/>
      </c>
    </row>
    <row r="115" spans="1:19" x14ac:dyDescent="0.2">
      <c r="A115" t="str">
        <f>IF(COUNTBLANK(B115:S115)&lt;&gt;COLUMNS(B115:S115),114,"")</f>
        <v/>
      </c>
      <c r="C115" s="2" t="str">
        <f t="shared" si="11"/>
        <v/>
      </c>
      <c r="D115" s="1" t="str">
        <f t="shared" si="12"/>
        <v/>
      </c>
      <c r="E115" s="1" t="str">
        <f t="shared" si="13"/>
        <v/>
      </c>
      <c r="I115" s="1" t="str">
        <f t="shared" si="14"/>
        <v/>
      </c>
      <c r="J115" s="2" t="str">
        <f t="shared" si="15"/>
        <v/>
      </c>
      <c r="K115" s="1" t="str">
        <f t="shared" si="16"/>
        <v/>
      </c>
      <c r="O115" s="1" t="str">
        <f t="shared" si="17"/>
        <v/>
      </c>
      <c r="P115" s="2" t="str">
        <f t="shared" si="18"/>
        <v/>
      </c>
      <c r="Q115" s="1" t="str">
        <f t="shared" si="19"/>
        <v/>
      </c>
      <c r="R115" s="2" t="str">
        <f t="shared" si="20"/>
        <v/>
      </c>
      <c r="S115" s="1" t="str">
        <f t="shared" si="21"/>
        <v/>
      </c>
    </row>
    <row r="116" spans="1:19" x14ac:dyDescent="0.2">
      <c r="A116" t="str">
        <f>IF(COUNTBLANK(B116:S116)&lt;&gt;COLUMNS(B116:S116),115,"")</f>
        <v/>
      </c>
      <c r="C116" s="2" t="str">
        <f t="shared" si="11"/>
        <v/>
      </c>
      <c r="D116" s="1" t="str">
        <f t="shared" si="12"/>
        <v/>
      </c>
      <c r="E116" s="1" t="str">
        <f t="shared" si="13"/>
        <v/>
      </c>
      <c r="I116" s="1" t="str">
        <f t="shared" si="14"/>
        <v/>
      </c>
      <c r="J116" s="2" t="str">
        <f t="shared" si="15"/>
        <v/>
      </c>
      <c r="K116" s="1" t="str">
        <f t="shared" si="16"/>
        <v/>
      </c>
      <c r="O116" s="1" t="str">
        <f t="shared" si="17"/>
        <v/>
      </c>
      <c r="P116" s="2" t="str">
        <f t="shared" si="18"/>
        <v/>
      </c>
      <c r="Q116" s="1" t="str">
        <f t="shared" si="19"/>
        <v/>
      </c>
      <c r="R116" s="2" t="str">
        <f t="shared" si="20"/>
        <v/>
      </c>
      <c r="S116" s="1" t="str">
        <f t="shared" si="21"/>
        <v/>
      </c>
    </row>
    <row r="117" spans="1:19" x14ac:dyDescent="0.2">
      <c r="A117" t="str">
        <f>IF(COUNTBLANK(B117:S117)&lt;&gt;COLUMNS(B117:S117),116,"")</f>
        <v/>
      </c>
      <c r="C117" s="2" t="str">
        <f t="shared" si="11"/>
        <v/>
      </c>
      <c r="D117" s="1" t="str">
        <f t="shared" si="12"/>
        <v/>
      </c>
      <c r="E117" s="1" t="str">
        <f t="shared" si="13"/>
        <v/>
      </c>
      <c r="I117" s="1" t="str">
        <f t="shared" si="14"/>
        <v/>
      </c>
      <c r="J117" s="2" t="str">
        <f t="shared" si="15"/>
        <v/>
      </c>
      <c r="K117" s="1" t="str">
        <f t="shared" si="16"/>
        <v/>
      </c>
      <c r="O117" s="1" t="str">
        <f t="shared" si="17"/>
        <v/>
      </c>
      <c r="P117" s="2" t="str">
        <f t="shared" si="18"/>
        <v/>
      </c>
      <c r="Q117" s="1" t="str">
        <f t="shared" si="19"/>
        <v/>
      </c>
      <c r="R117" s="2" t="str">
        <f t="shared" si="20"/>
        <v/>
      </c>
      <c r="S117" s="1" t="str">
        <f t="shared" si="21"/>
        <v/>
      </c>
    </row>
    <row r="118" spans="1:19" x14ac:dyDescent="0.2">
      <c r="A118" t="str">
        <f>IF(COUNTBLANK(B118:S118)&lt;&gt;COLUMNS(B118:S118),117,"")</f>
        <v/>
      </c>
      <c r="C118" s="2" t="str">
        <f t="shared" si="11"/>
        <v/>
      </c>
      <c r="D118" s="1" t="str">
        <f t="shared" si="12"/>
        <v/>
      </c>
      <c r="E118" s="1" t="str">
        <f t="shared" si="13"/>
        <v/>
      </c>
      <c r="I118" s="1" t="str">
        <f t="shared" si="14"/>
        <v/>
      </c>
      <c r="J118" s="2" t="str">
        <f t="shared" si="15"/>
        <v/>
      </c>
      <c r="K118" s="1" t="str">
        <f t="shared" si="16"/>
        <v/>
      </c>
      <c r="O118" s="1" t="str">
        <f t="shared" si="17"/>
        <v/>
      </c>
      <c r="P118" s="2" t="str">
        <f t="shared" si="18"/>
        <v/>
      </c>
      <c r="Q118" s="1" t="str">
        <f t="shared" si="19"/>
        <v/>
      </c>
      <c r="R118" s="2" t="str">
        <f t="shared" si="20"/>
        <v/>
      </c>
      <c r="S118" s="1" t="str">
        <f t="shared" si="21"/>
        <v/>
      </c>
    </row>
    <row r="119" spans="1:19" x14ac:dyDescent="0.2">
      <c r="A119" t="str">
        <f>IF(COUNTBLANK(B119:S119)&lt;&gt;COLUMNS(B119:S119),118,"")</f>
        <v/>
      </c>
      <c r="C119" s="2" t="str">
        <f t="shared" si="11"/>
        <v/>
      </c>
      <c r="D119" s="1" t="str">
        <f t="shared" si="12"/>
        <v/>
      </c>
      <c r="E119" s="1" t="str">
        <f t="shared" si="13"/>
        <v/>
      </c>
      <c r="I119" s="1" t="str">
        <f t="shared" si="14"/>
        <v/>
      </c>
      <c r="J119" s="2" t="str">
        <f t="shared" si="15"/>
        <v/>
      </c>
      <c r="K119" s="1" t="str">
        <f t="shared" si="16"/>
        <v/>
      </c>
      <c r="O119" s="1" t="str">
        <f t="shared" si="17"/>
        <v/>
      </c>
      <c r="P119" s="2" t="str">
        <f t="shared" si="18"/>
        <v/>
      </c>
      <c r="Q119" s="1" t="str">
        <f t="shared" si="19"/>
        <v/>
      </c>
      <c r="R119" s="2" t="str">
        <f t="shared" si="20"/>
        <v/>
      </c>
      <c r="S119" s="1" t="str">
        <f t="shared" si="21"/>
        <v/>
      </c>
    </row>
    <row r="120" spans="1:19" x14ac:dyDescent="0.2">
      <c r="A120" t="str">
        <f>IF(COUNTBLANK(B120:S120)&lt;&gt;COLUMNS(B120:S120),119,"")</f>
        <v/>
      </c>
      <c r="C120" s="2" t="str">
        <f t="shared" si="11"/>
        <v/>
      </c>
      <c r="D120" s="1" t="str">
        <f t="shared" si="12"/>
        <v/>
      </c>
      <c r="E120" s="1" t="str">
        <f t="shared" si="13"/>
        <v/>
      </c>
      <c r="I120" s="1" t="str">
        <f t="shared" si="14"/>
        <v/>
      </c>
      <c r="J120" s="2" t="str">
        <f t="shared" si="15"/>
        <v/>
      </c>
      <c r="K120" s="1" t="str">
        <f t="shared" si="16"/>
        <v/>
      </c>
      <c r="O120" s="1" t="str">
        <f t="shared" si="17"/>
        <v/>
      </c>
      <c r="P120" s="2" t="str">
        <f t="shared" si="18"/>
        <v/>
      </c>
      <c r="Q120" s="1" t="str">
        <f t="shared" si="19"/>
        <v/>
      </c>
      <c r="R120" s="2" t="str">
        <f t="shared" si="20"/>
        <v/>
      </c>
      <c r="S120" s="1" t="str">
        <f t="shared" si="21"/>
        <v/>
      </c>
    </row>
    <row r="121" spans="1:19" x14ac:dyDescent="0.2">
      <c r="A121" t="str">
        <f>IF(COUNTBLANK(B121:S121)&lt;&gt;COLUMNS(B121:S121),120,"")</f>
        <v/>
      </c>
      <c r="C121" s="2" t="str">
        <f t="shared" si="11"/>
        <v/>
      </c>
      <c r="D121" s="1" t="str">
        <f t="shared" si="12"/>
        <v/>
      </c>
      <c r="E121" s="1" t="str">
        <f t="shared" si="13"/>
        <v/>
      </c>
      <c r="I121" s="1" t="str">
        <f t="shared" si="14"/>
        <v/>
      </c>
      <c r="J121" s="2" t="str">
        <f t="shared" si="15"/>
        <v/>
      </c>
      <c r="K121" s="1" t="str">
        <f t="shared" si="16"/>
        <v/>
      </c>
      <c r="O121" s="1" t="str">
        <f t="shared" si="17"/>
        <v/>
      </c>
      <c r="P121" s="2" t="str">
        <f t="shared" si="18"/>
        <v/>
      </c>
      <c r="Q121" s="1" t="str">
        <f t="shared" si="19"/>
        <v/>
      </c>
      <c r="R121" s="2" t="str">
        <f t="shared" si="20"/>
        <v/>
      </c>
      <c r="S121" s="1" t="str">
        <f t="shared" si="21"/>
        <v/>
      </c>
    </row>
    <row r="122" spans="1:19" x14ac:dyDescent="0.2">
      <c r="A122" t="str">
        <f>IF(COUNTBLANK(B122:S122)&lt;&gt;COLUMNS(B122:S122),121,"")</f>
        <v/>
      </c>
      <c r="C122" s="2" t="str">
        <f t="shared" si="11"/>
        <v/>
      </c>
      <c r="D122" s="1" t="str">
        <f t="shared" si="12"/>
        <v/>
      </c>
      <c r="E122" s="1" t="str">
        <f t="shared" si="13"/>
        <v/>
      </c>
      <c r="I122" s="1" t="str">
        <f t="shared" si="14"/>
        <v/>
      </c>
      <c r="J122" s="2" t="str">
        <f t="shared" si="15"/>
        <v/>
      </c>
      <c r="K122" s="1" t="str">
        <f t="shared" si="16"/>
        <v/>
      </c>
      <c r="O122" s="1" t="str">
        <f t="shared" si="17"/>
        <v/>
      </c>
      <c r="P122" s="2" t="str">
        <f t="shared" si="18"/>
        <v/>
      </c>
      <c r="Q122" s="1" t="str">
        <f t="shared" si="19"/>
        <v/>
      </c>
      <c r="R122" s="2" t="str">
        <f t="shared" si="20"/>
        <v/>
      </c>
      <c r="S122" s="1" t="str">
        <f t="shared" si="21"/>
        <v/>
      </c>
    </row>
    <row r="123" spans="1:19" x14ac:dyDescent="0.2">
      <c r="A123" t="str">
        <f>IF(COUNTBLANK(B123:S123)&lt;&gt;COLUMNS(B123:S123),122,"")</f>
        <v/>
      </c>
      <c r="C123" s="2" t="str">
        <f t="shared" si="11"/>
        <v/>
      </c>
      <c r="D123" s="1" t="str">
        <f t="shared" si="12"/>
        <v/>
      </c>
      <c r="E123" s="1" t="str">
        <f t="shared" si="13"/>
        <v/>
      </c>
      <c r="I123" s="1" t="str">
        <f t="shared" si="14"/>
        <v/>
      </c>
      <c r="J123" s="2" t="str">
        <f t="shared" si="15"/>
        <v/>
      </c>
      <c r="K123" s="1" t="str">
        <f t="shared" si="16"/>
        <v/>
      </c>
      <c r="O123" s="1" t="str">
        <f t="shared" si="17"/>
        <v/>
      </c>
      <c r="P123" s="2" t="str">
        <f t="shared" si="18"/>
        <v/>
      </c>
      <c r="Q123" s="1" t="str">
        <f t="shared" si="19"/>
        <v/>
      </c>
      <c r="R123" s="2" t="str">
        <f t="shared" si="20"/>
        <v/>
      </c>
      <c r="S123" s="1" t="str">
        <f t="shared" si="21"/>
        <v/>
      </c>
    </row>
    <row r="124" spans="1:19" x14ac:dyDescent="0.2">
      <c r="A124" t="str">
        <f>IF(COUNTBLANK(B124:S124)&lt;&gt;COLUMNS(B124:S124),123,"")</f>
        <v/>
      </c>
      <c r="C124" s="2" t="str">
        <f t="shared" si="11"/>
        <v/>
      </c>
      <c r="D124" s="1" t="str">
        <f t="shared" si="12"/>
        <v/>
      </c>
      <c r="E124" s="1" t="str">
        <f t="shared" si="13"/>
        <v/>
      </c>
      <c r="I124" s="1" t="str">
        <f t="shared" si="14"/>
        <v/>
      </c>
      <c r="J124" s="2" t="str">
        <f t="shared" si="15"/>
        <v/>
      </c>
      <c r="K124" s="1" t="str">
        <f t="shared" si="16"/>
        <v/>
      </c>
      <c r="O124" s="1" t="str">
        <f t="shared" si="17"/>
        <v/>
      </c>
      <c r="P124" s="2" t="str">
        <f t="shared" si="18"/>
        <v/>
      </c>
      <c r="Q124" s="1" t="str">
        <f t="shared" si="19"/>
        <v/>
      </c>
      <c r="R124" s="2" t="str">
        <f t="shared" si="20"/>
        <v/>
      </c>
      <c r="S124" s="1" t="str">
        <f t="shared" si="21"/>
        <v/>
      </c>
    </row>
    <row r="125" spans="1:19" x14ac:dyDescent="0.2">
      <c r="A125" t="str">
        <f>IF(COUNTBLANK(B125:S125)&lt;&gt;COLUMNS(B125:S125),124,"")</f>
        <v/>
      </c>
      <c r="C125" s="2" t="str">
        <f t="shared" si="11"/>
        <v/>
      </c>
      <c r="D125" s="1" t="str">
        <f t="shared" si="12"/>
        <v/>
      </c>
      <c r="E125" s="1" t="str">
        <f t="shared" si="13"/>
        <v/>
      </c>
      <c r="I125" s="1" t="str">
        <f t="shared" si="14"/>
        <v/>
      </c>
      <c r="J125" s="2" t="str">
        <f t="shared" si="15"/>
        <v/>
      </c>
      <c r="K125" s="1" t="str">
        <f t="shared" si="16"/>
        <v/>
      </c>
      <c r="O125" s="1" t="str">
        <f t="shared" si="17"/>
        <v/>
      </c>
      <c r="P125" s="2" t="str">
        <f t="shared" si="18"/>
        <v/>
      </c>
      <c r="Q125" s="1" t="str">
        <f t="shared" si="19"/>
        <v/>
      </c>
      <c r="R125" s="2" t="str">
        <f t="shared" si="20"/>
        <v/>
      </c>
      <c r="S125" s="1" t="str">
        <f t="shared" si="21"/>
        <v/>
      </c>
    </row>
    <row r="126" spans="1:19" x14ac:dyDescent="0.2">
      <c r="A126" t="str">
        <f>IF(COUNTBLANK(B126:S126)&lt;&gt;COLUMNS(B126:S126),125,"")</f>
        <v/>
      </c>
      <c r="C126" s="2" t="str">
        <f t="shared" si="11"/>
        <v/>
      </c>
      <c r="D126" s="1" t="str">
        <f t="shared" si="12"/>
        <v/>
      </c>
      <c r="E126" s="1" t="str">
        <f t="shared" si="13"/>
        <v/>
      </c>
      <c r="I126" s="1" t="str">
        <f t="shared" si="14"/>
        <v/>
      </c>
      <c r="J126" s="2" t="str">
        <f t="shared" si="15"/>
        <v/>
      </c>
      <c r="K126" s="1" t="str">
        <f t="shared" si="16"/>
        <v/>
      </c>
      <c r="O126" s="1" t="str">
        <f t="shared" si="17"/>
        <v/>
      </c>
      <c r="P126" s="2" t="str">
        <f t="shared" si="18"/>
        <v/>
      </c>
      <c r="Q126" s="1" t="str">
        <f t="shared" si="19"/>
        <v/>
      </c>
      <c r="R126" s="2" t="str">
        <f t="shared" si="20"/>
        <v/>
      </c>
      <c r="S126" s="1" t="str">
        <f t="shared" si="21"/>
        <v/>
      </c>
    </row>
    <row r="127" spans="1:19" x14ac:dyDescent="0.2">
      <c r="A127" t="str">
        <f>IF(COUNTBLANK(B127:S127)&lt;&gt;COLUMNS(B127:S127),126,"")</f>
        <v/>
      </c>
      <c r="C127" s="2" t="str">
        <f t="shared" si="11"/>
        <v/>
      </c>
      <c r="D127" s="1" t="str">
        <f t="shared" si="12"/>
        <v/>
      </c>
      <c r="E127" s="1" t="str">
        <f t="shared" si="13"/>
        <v/>
      </c>
      <c r="I127" s="1" t="str">
        <f t="shared" si="14"/>
        <v/>
      </c>
      <c r="J127" s="2" t="str">
        <f t="shared" si="15"/>
        <v/>
      </c>
      <c r="K127" s="1" t="str">
        <f t="shared" si="16"/>
        <v/>
      </c>
      <c r="O127" s="1" t="str">
        <f t="shared" si="17"/>
        <v/>
      </c>
      <c r="P127" s="2" t="str">
        <f t="shared" si="18"/>
        <v/>
      </c>
      <c r="Q127" s="1" t="str">
        <f t="shared" si="19"/>
        <v/>
      </c>
      <c r="R127" s="2" t="str">
        <f t="shared" si="20"/>
        <v/>
      </c>
      <c r="S127" s="1" t="str">
        <f t="shared" si="21"/>
        <v/>
      </c>
    </row>
    <row r="128" spans="1:19" x14ac:dyDescent="0.2">
      <c r="A128" t="str">
        <f>IF(COUNTBLANK(B128:S128)&lt;&gt;COLUMNS(B128:S128),127,"")</f>
        <v/>
      </c>
      <c r="C128" s="2" t="str">
        <f t="shared" si="11"/>
        <v/>
      </c>
      <c r="D128" s="1" t="str">
        <f t="shared" si="12"/>
        <v/>
      </c>
      <c r="E128" s="1" t="str">
        <f t="shared" si="13"/>
        <v/>
      </c>
      <c r="I128" s="1" t="str">
        <f t="shared" si="14"/>
        <v/>
      </c>
      <c r="J128" s="2" t="str">
        <f t="shared" si="15"/>
        <v/>
      </c>
      <c r="K128" s="1" t="str">
        <f t="shared" si="16"/>
        <v/>
      </c>
      <c r="O128" s="1" t="str">
        <f t="shared" si="17"/>
        <v/>
      </c>
      <c r="P128" s="2" t="str">
        <f t="shared" si="18"/>
        <v/>
      </c>
      <c r="Q128" s="1" t="str">
        <f t="shared" si="19"/>
        <v/>
      </c>
      <c r="R128" s="2" t="str">
        <f t="shared" si="20"/>
        <v/>
      </c>
      <c r="S128" s="1" t="str">
        <f t="shared" si="21"/>
        <v/>
      </c>
    </row>
    <row r="129" spans="1:19" x14ac:dyDescent="0.2">
      <c r="A129" t="str">
        <f>IF(COUNTBLANK(B129:S129)&lt;&gt;COLUMNS(B129:S129),128,"")</f>
        <v/>
      </c>
      <c r="C129" s="2" t="str">
        <f t="shared" si="11"/>
        <v/>
      </c>
      <c r="D129" s="1" t="str">
        <f t="shared" si="12"/>
        <v/>
      </c>
      <c r="E129" s="1" t="str">
        <f t="shared" si="13"/>
        <v/>
      </c>
      <c r="I129" s="1" t="str">
        <f t="shared" si="14"/>
        <v/>
      </c>
      <c r="J129" s="2" t="str">
        <f t="shared" si="15"/>
        <v/>
      </c>
      <c r="K129" s="1" t="str">
        <f t="shared" si="16"/>
        <v/>
      </c>
      <c r="O129" s="1" t="str">
        <f t="shared" si="17"/>
        <v/>
      </c>
      <c r="P129" s="2" t="str">
        <f t="shared" si="18"/>
        <v/>
      </c>
      <c r="Q129" s="1" t="str">
        <f t="shared" si="19"/>
        <v/>
      </c>
      <c r="R129" s="2" t="str">
        <f t="shared" si="20"/>
        <v/>
      </c>
      <c r="S129" s="1" t="str">
        <f t="shared" si="21"/>
        <v/>
      </c>
    </row>
    <row r="130" spans="1:19" x14ac:dyDescent="0.2">
      <c r="A130" t="str">
        <f>IF(COUNTBLANK(B130:S130)&lt;&gt;COLUMNS(B130:S130),129,"")</f>
        <v/>
      </c>
      <c r="C130" s="2" t="str">
        <f t="shared" ref="C130:C193" si="22">IF(B130="", "", "missing: not provided")</f>
        <v/>
      </c>
      <c r="D130" s="1" t="str">
        <f t="shared" ref="D130:D193" si="23">IF(B130="", "", " missing: not provided")</f>
        <v/>
      </c>
      <c r="E130" s="1" t="str">
        <f t="shared" ref="E130:E193" si="24">IF(B130="", "", "Host-associated")</f>
        <v/>
      </c>
      <c r="I130" s="1" t="str">
        <f t="shared" ref="I130:I193" si="25">IF(B130="", "", "host-associated")</f>
        <v/>
      </c>
      <c r="J130" s="2" t="str">
        <f t="shared" ref="J130:J193" si="26">IF(B130="", "", "missing: not provided")</f>
        <v/>
      </c>
      <c r="K130" s="1" t="str">
        <f t="shared" ref="K130:K193" si="27">IF(B130="", "", " missing: not provided")</f>
        <v/>
      </c>
      <c r="O130" s="1" t="str">
        <f t="shared" ref="O130:O193" si="28">IF(B130="", "", "Not applicable")</f>
        <v/>
      </c>
      <c r="P130" s="2" t="str">
        <f t="shared" ref="P130:P193" si="29">IF(B130="", "", "missing: not provided")</f>
        <v/>
      </c>
      <c r="Q130" s="1" t="str">
        <f t="shared" ref="Q130:Q193" si="30">IF(B130="", "", "Not applicable")</f>
        <v/>
      </c>
      <c r="R130" s="2" t="str">
        <f t="shared" ref="R130:R193" si="31">IF(B130="", "", "missing: not provided")</f>
        <v/>
      </c>
      <c r="S130" s="1" t="str">
        <f t="shared" ref="S130:S193" si="32">IF(B130="", "", " missing: not provided")</f>
        <v/>
      </c>
    </row>
    <row r="131" spans="1:19" x14ac:dyDescent="0.2">
      <c r="A131" t="str">
        <f>IF(COUNTBLANK(B131:S131)&lt;&gt;COLUMNS(B131:S131),130,"")</f>
        <v/>
      </c>
      <c r="C131" s="2" t="str">
        <f t="shared" si="22"/>
        <v/>
      </c>
      <c r="D131" s="1" t="str">
        <f t="shared" si="23"/>
        <v/>
      </c>
      <c r="E131" s="1" t="str">
        <f t="shared" si="24"/>
        <v/>
      </c>
      <c r="I131" s="1" t="str">
        <f t="shared" si="25"/>
        <v/>
      </c>
      <c r="J131" s="2" t="str">
        <f t="shared" si="26"/>
        <v/>
      </c>
      <c r="K131" s="1" t="str">
        <f t="shared" si="27"/>
        <v/>
      </c>
      <c r="O131" s="1" t="str">
        <f t="shared" si="28"/>
        <v/>
      </c>
      <c r="P131" s="2" t="str">
        <f t="shared" si="29"/>
        <v/>
      </c>
      <c r="Q131" s="1" t="str">
        <f t="shared" si="30"/>
        <v/>
      </c>
      <c r="R131" s="2" t="str">
        <f t="shared" si="31"/>
        <v/>
      </c>
      <c r="S131" s="1" t="str">
        <f t="shared" si="32"/>
        <v/>
      </c>
    </row>
    <row r="132" spans="1:19" x14ac:dyDescent="0.2">
      <c r="A132" t="str">
        <f>IF(COUNTBLANK(B132:S132)&lt;&gt;COLUMNS(B132:S132),131,"")</f>
        <v/>
      </c>
      <c r="C132" s="2" t="str">
        <f t="shared" si="22"/>
        <v/>
      </c>
      <c r="D132" s="1" t="str">
        <f t="shared" si="23"/>
        <v/>
      </c>
      <c r="E132" s="1" t="str">
        <f t="shared" si="24"/>
        <v/>
      </c>
      <c r="I132" s="1" t="str">
        <f t="shared" si="25"/>
        <v/>
      </c>
      <c r="J132" s="2" t="str">
        <f t="shared" si="26"/>
        <v/>
      </c>
      <c r="K132" s="1" t="str">
        <f t="shared" si="27"/>
        <v/>
      </c>
      <c r="O132" s="1" t="str">
        <f t="shared" si="28"/>
        <v/>
      </c>
      <c r="P132" s="2" t="str">
        <f t="shared" si="29"/>
        <v/>
      </c>
      <c r="Q132" s="1" t="str">
        <f t="shared" si="30"/>
        <v/>
      </c>
      <c r="R132" s="2" t="str">
        <f t="shared" si="31"/>
        <v/>
      </c>
      <c r="S132" s="1" t="str">
        <f t="shared" si="32"/>
        <v/>
      </c>
    </row>
    <row r="133" spans="1:19" x14ac:dyDescent="0.2">
      <c r="A133" t="str">
        <f>IF(COUNTBLANK(B133:S133)&lt;&gt;COLUMNS(B133:S133),132,"")</f>
        <v/>
      </c>
      <c r="C133" s="2" t="str">
        <f t="shared" si="22"/>
        <v/>
      </c>
      <c r="D133" s="1" t="str">
        <f t="shared" si="23"/>
        <v/>
      </c>
      <c r="E133" s="1" t="str">
        <f t="shared" si="24"/>
        <v/>
      </c>
      <c r="I133" s="1" t="str">
        <f t="shared" si="25"/>
        <v/>
      </c>
      <c r="J133" s="2" t="str">
        <f t="shared" si="26"/>
        <v/>
      </c>
      <c r="K133" s="1" t="str">
        <f t="shared" si="27"/>
        <v/>
      </c>
      <c r="O133" s="1" t="str">
        <f t="shared" si="28"/>
        <v/>
      </c>
      <c r="P133" s="2" t="str">
        <f t="shared" si="29"/>
        <v/>
      </c>
      <c r="Q133" s="1" t="str">
        <f t="shared" si="30"/>
        <v/>
      </c>
      <c r="R133" s="2" t="str">
        <f t="shared" si="31"/>
        <v/>
      </c>
      <c r="S133" s="1" t="str">
        <f t="shared" si="32"/>
        <v/>
      </c>
    </row>
    <row r="134" spans="1:19" x14ac:dyDescent="0.2">
      <c r="A134" t="str">
        <f>IF(COUNTBLANK(B134:S134)&lt;&gt;COLUMNS(B134:S134),133,"")</f>
        <v/>
      </c>
      <c r="C134" s="2" t="str">
        <f t="shared" si="22"/>
        <v/>
      </c>
      <c r="D134" s="1" t="str">
        <f t="shared" si="23"/>
        <v/>
      </c>
      <c r="E134" s="1" t="str">
        <f t="shared" si="24"/>
        <v/>
      </c>
      <c r="I134" s="1" t="str">
        <f t="shared" si="25"/>
        <v/>
      </c>
      <c r="J134" s="2" t="str">
        <f t="shared" si="26"/>
        <v/>
      </c>
      <c r="K134" s="1" t="str">
        <f t="shared" si="27"/>
        <v/>
      </c>
      <c r="O134" s="1" t="str">
        <f t="shared" si="28"/>
        <v/>
      </c>
      <c r="P134" s="2" t="str">
        <f t="shared" si="29"/>
        <v/>
      </c>
      <c r="Q134" s="1" t="str">
        <f t="shared" si="30"/>
        <v/>
      </c>
      <c r="R134" s="2" t="str">
        <f t="shared" si="31"/>
        <v/>
      </c>
      <c r="S134" s="1" t="str">
        <f t="shared" si="32"/>
        <v/>
      </c>
    </row>
    <row r="135" spans="1:19" x14ac:dyDescent="0.2">
      <c r="A135" t="str">
        <f>IF(COUNTBLANK(B135:S135)&lt;&gt;COLUMNS(B135:S135),134,"")</f>
        <v/>
      </c>
      <c r="C135" s="2" t="str">
        <f t="shared" si="22"/>
        <v/>
      </c>
      <c r="D135" s="1" t="str">
        <f t="shared" si="23"/>
        <v/>
      </c>
      <c r="E135" s="1" t="str">
        <f t="shared" si="24"/>
        <v/>
      </c>
      <c r="I135" s="1" t="str">
        <f t="shared" si="25"/>
        <v/>
      </c>
      <c r="J135" s="2" t="str">
        <f t="shared" si="26"/>
        <v/>
      </c>
      <c r="K135" s="1" t="str">
        <f t="shared" si="27"/>
        <v/>
      </c>
      <c r="O135" s="1" t="str">
        <f t="shared" si="28"/>
        <v/>
      </c>
      <c r="P135" s="2" t="str">
        <f t="shared" si="29"/>
        <v/>
      </c>
      <c r="Q135" s="1" t="str">
        <f t="shared" si="30"/>
        <v/>
      </c>
      <c r="R135" s="2" t="str">
        <f t="shared" si="31"/>
        <v/>
      </c>
      <c r="S135" s="1" t="str">
        <f t="shared" si="32"/>
        <v/>
      </c>
    </row>
    <row r="136" spans="1:19" x14ac:dyDescent="0.2">
      <c r="A136" t="str">
        <f>IF(COUNTBLANK(B136:S136)&lt;&gt;COLUMNS(B136:S136),135,"")</f>
        <v/>
      </c>
      <c r="C136" s="2" t="str">
        <f t="shared" si="22"/>
        <v/>
      </c>
      <c r="D136" s="1" t="str">
        <f t="shared" si="23"/>
        <v/>
      </c>
      <c r="E136" s="1" t="str">
        <f t="shared" si="24"/>
        <v/>
      </c>
      <c r="I136" s="1" t="str">
        <f t="shared" si="25"/>
        <v/>
      </c>
      <c r="J136" s="2" t="str">
        <f t="shared" si="26"/>
        <v/>
      </c>
      <c r="K136" s="1" t="str">
        <f t="shared" si="27"/>
        <v/>
      </c>
      <c r="O136" s="1" t="str">
        <f t="shared" si="28"/>
        <v/>
      </c>
      <c r="P136" s="2" t="str">
        <f t="shared" si="29"/>
        <v/>
      </c>
      <c r="Q136" s="1" t="str">
        <f t="shared" si="30"/>
        <v/>
      </c>
      <c r="R136" s="2" t="str">
        <f t="shared" si="31"/>
        <v/>
      </c>
      <c r="S136" s="1" t="str">
        <f t="shared" si="32"/>
        <v/>
      </c>
    </row>
    <row r="137" spans="1:19" x14ac:dyDescent="0.2">
      <c r="A137" t="str">
        <f>IF(COUNTBLANK(B137:S137)&lt;&gt;COLUMNS(B137:S137),136,"")</f>
        <v/>
      </c>
      <c r="C137" s="2" t="str">
        <f t="shared" si="22"/>
        <v/>
      </c>
      <c r="D137" s="1" t="str">
        <f t="shared" si="23"/>
        <v/>
      </c>
      <c r="E137" s="1" t="str">
        <f t="shared" si="24"/>
        <v/>
      </c>
      <c r="I137" s="1" t="str">
        <f t="shared" si="25"/>
        <v/>
      </c>
      <c r="J137" s="2" t="str">
        <f t="shared" si="26"/>
        <v/>
      </c>
      <c r="K137" s="1" t="str">
        <f t="shared" si="27"/>
        <v/>
      </c>
      <c r="O137" s="1" t="str">
        <f t="shared" si="28"/>
        <v/>
      </c>
      <c r="P137" s="2" t="str">
        <f t="shared" si="29"/>
        <v/>
      </c>
      <c r="Q137" s="1" t="str">
        <f t="shared" si="30"/>
        <v/>
      </c>
      <c r="R137" s="2" t="str">
        <f t="shared" si="31"/>
        <v/>
      </c>
      <c r="S137" s="1" t="str">
        <f t="shared" si="32"/>
        <v/>
      </c>
    </row>
    <row r="138" spans="1:19" x14ac:dyDescent="0.2">
      <c r="A138" t="str">
        <f>IF(COUNTBLANK(B138:S138)&lt;&gt;COLUMNS(B138:S138),137,"")</f>
        <v/>
      </c>
      <c r="C138" s="2" t="str">
        <f t="shared" si="22"/>
        <v/>
      </c>
      <c r="D138" s="1" t="str">
        <f t="shared" si="23"/>
        <v/>
      </c>
      <c r="E138" s="1" t="str">
        <f t="shared" si="24"/>
        <v/>
      </c>
      <c r="I138" s="1" t="str">
        <f t="shared" si="25"/>
        <v/>
      </c>
      <c r="J138" s="2" t="str">
        <f t="shared" si="26"/>
        <v/>
      </c>
      <c r="K138" s="1" t="str">
        <f t="shared" si="27"/>
        <v/>
      </c>
      <c r="O138" s="1" t="str">
        <f t="shared" si="28"/>
        <v/>
      </c>
      <c r="P138" s="2" t="str">
        <f t="shared" si="29"/>
        <v/>
      </c>
      <c r="Q138" s="1" t="str">
        <f t="shared" si="30"/>
        <v/>
      </c>
      <c r="R138" s="2" t="str">
        <f t="shared" si="31"/>
        <v/>
      </c>
      <c r="S138" s="1" t="str">
        <f t="shared" si="32"/>
        <v/>
      </c>
    </row>
    <row r="139" spans="1:19" x14ac:dyDescent="0.2">
      <c r="A139" t="str">
        <f>IF(COUNTBLANK(B139:S139)&lt;&gt;COLUMNS(B139:S139),138,"")</f>
        <v/>
      </c>
      <c r="C139" s="2" t="str">
        <f t="shared" si="22"/>
        <v/>
      </c>
      <c r="D139" s="1" t="str">
        <f t="shared" si="23"/>
        <v/>
      </c>
      <c r="E139" s="1" t="str">
        <f t="shared" si="24"/>
        <v/>
      </c>
      <c r="I139" s="1" t="str">
        <f t="shared" si="25"/>
        <v/>
      </c>
      <c r="J139" s="2" t="str">
        <f t="shared" si="26"/>
        <v/>
      </c>
      <c r="K139" s="1" t="str">
        <f t="shared" si="27"/>
        <v/>
      </c>
      <c r="O139" s="1" t="str">
        <f t="shared" si="28"/>
        <v/>
      </c>
      <c r="P139" s="2" t="str">
        <f t="shared" si="29"/>
        <v/>
      </c>
      <c r="Q139" s="1" t="str">
        <f t="shared" si="30"/>
        <v/>
      </c>
      <c r="R139" s="2" t="str">
        <f t="shared" si="31"/>
        <v/>
      </c>
      <c r="S139" s="1" t="str">
        <f t="shared" si="32"/>
        <v/>
      </c>
    </row>
    <row r="140" spans="1:19" x14ac:dyDescent="0.2">
      <c r="A140" t="str">
        <f>IF(COUNTBLANK(B140:S140)&lt;&gt;COLUMNS(B140:S140),139,"")</f>
        <v/>
      </c>
      <c r="C140" s="2" t="str">
        <f t="shared" si="22"/>
        <v/>
      </c>
      <c r="D140" s="1" t="str">
        <f t="shared" si="23"/>
        <v/>
      </c>
      <c r="E140" s="1" t="str">
        <f t="shared" si="24"/>
        <v/>
      </c>
      <c r="I140" s="1" t="str">
        <f t="shared" si="25"/>
        <v/>
      </c>
      <c r="J140" s="2" t="str">
        <f t="shared" si="26"/>
        <v/>
      </c>
      <c r="K140" s="1" t="str">
        <f t="shared" si="27"/>
        <v/>
      </c>
      <c r="O140" s="1" t="str">
        <f t="shared" si="28"/>
        <v/>
      </c>
      <c r="P140" s="2" t="str">
        <f t="shared" si="29"/>
        <v/>
      </c>
      <c r="Q140" s="1" t="str">
        <f t="shared" si="30"/>
        <v/>
      </c>
      <c r="R140" s="2" t="str">
        <f t="shared" si="31"/>
        <v/>
      </c>
      <c r="S140" s="1" t="str">
        <f t="shared" si="32"/>
        <v/>
      </c>
    </row>
    <row r="141" spans="1:19" x14ac:dyDescent="0.2">
      <c r="A141" t="str">
        <f>IF(COUNTBLANK(B141:S141)&lt;&gt;COLUMNS(B141:S141),140,"")</f>
        <v/>
      </c>
      <c r="C141" s="2" t="str">
        <f t="shared" si="22"/>
        <v/>
      </c>
      <c r="D141" s="1" t="str">
        <f t="shared" si="23"/>
        <v/>
      </c>
      <c r="E141" s="1" t="str">
        <f t="shared" si="24"/>
        <v/>
      </c>
      <c r="I141" s="1" t="str">
        <f t="shared" si="25"/>
        <v/>
      </c>
      <c r="J141" s="2" t="str">
        <f t="shared" si="26"/>
        <v/>
      </c>
      <c r="K141" s="1" t="str">
        <f t="shared" si="27"/>
        <v/>
      </c>
      <c r="O141" s="1" t="str">
        <f t="shared" si="28"/>
        <v/>
      </c>
      <c r="P141" s="2" t="str">
        <f t="shared" si="29"/>
        <v/>
      </c>
      <c r="Q141" s="1" t="str">
        <f t="shared" si="30"/>
        <v/>
      </c>
      <c r="R141" s="2" t="str">
        <f t="shared" si="31"/>
        <v/>
      </c>
      <c r="S141" s="1" t="str">
        <f t="shared" si="32"/>
        <v/>
      </c>
    </row>
    <row r="142" spans="1:19" x14ac:dyDescent="0.2">
      <c r="A142" t="str">
        <f>IF(COUNTBLANK(B142:S142)&lt;&gt;COLUMNS(B142:S142),141,"")</f>
        <v/>
      </c>
      <c r="C142" s="2" t="str">
        <f t="shared" si="22"/>
        <v/>
      </c>
      <c r="D142" s="1" t="str">
        <f t="shared" si="23"/>
        <v/>
      </c>
      <c r="E142" s="1" t="str">
        <f t="shared" si="24"/>
        <v/>
      </c>
      <c r="I142" s="1" t="str">
        <f t="shared" si="25"/>
        <v/>
      </c>
      <c r="J142" s="2" t="str">
        <f t="shared" si="26"/>
        <v/>
      </c>
      <c r="K142" s="1" t="str">
        <f t="shared" si="27"/>
        <v/>
      </c>
      <c r="O142" s="1" t="str">
        <f t="shared" si="28"/>
        <v/>
      </c>
      <c r="P142" s="2" t="str">
        <f t="shared" si="29"/>
        <v/>
      </c>
      <c r="Q142" s="1" t="str">
        <f t="shared" si="30"/>
        <v/>
      </c>
      <c r="R142" s="2" t="str">
        <f t="shared" si="31"/>
        <v/>
      </c>
      <c r="S142" s="1" t="str">
        <f t="shared" si="32"/>
        <v/>
      </c>
    </row>
    <row r="143" spans="1:19" x14ac:dyDescent="0.2">
      <c r="A143" t="str">
        <f>IF(COUNTBLANK(B143:S143)&lt;&gt;COLUMNS(B143:S143),142,"")</f>
        <v/>
      </c>
      <c r="C143" s="2" t="str">
        <f t="shared" si="22"/>
        <v/>
      </c>
      <c r="D143" s="1" t="str">
        <f t="shared" si="23"/>
        <v/>
      </c>
      <c r="E143" s="1" t="str">
        <f t="shared" si="24"/>
        <v/>
      </c>
      <c r="I143" s="1" t="str">
        <f t="shared" si="25"/>
        <v/>
      </c>
      <c r="J143" s="2" t="str">
        <f t="shared" si="26"/>
        <v/>
      </c>
      <c r="K143" s="1" t="str">
        <f t="shared" si="27"/>
        <v/>
      </c>
      <c r="O143" s="1" t="str">
        <f t="shared" si="28"/>
        <v/>
      </c>
      <c r="P143" s="2" t="str">
        <f t="shared" si="29"/>
        <v/>
      </c>
      <c r="Q143" s="1" t="str">
        <f t="shared" si="30"/>
        <v/>
      </c>
      <c r="R143" s="2" t="str">
        <f t="shared" si="31"/>
        <v/>
      </c>
      <c r="S143" s="1" t="str">
        <f t="shared" si="32"/>
        <v/>
      </c>
    </row>
    <row r="144" spans="1:19" x14ac:dyDescent="0.2">
      <c r="A144" t="str">
        <f>IF(COUNTBLANK(B144:S144)&lt;&gt;COLUMNS(B144:S144),143,"")</f>
        <v/>
      </c>
      <c r="C144" s="2" t="str">
        <f t="shared" si="22"/>
        <v/>
      </c>
      <c r="D144" s="1" t="str">
        <f t="shared" si="23"/>
        <v/>
      </c>
      <c r="E144" s="1" t="str">
        <f t="shared" si="24"/>
        <v/>
      </c>
      <c r="I144" s="1" t="str">
        <f t="shared" si="25"/>
        <v/>
      </c>
      <c r="J144" s="2" t="str">
        <f t="shared" si="26"/>
        <v/>
      </c>
      <c r="K144" s="1" t="str">
        <f t="shared" si="27"/>
        <v/>
      </c>
      <c r="O144" s="1" t="str">
        <f t="shared" si="28"/>
        <v/>
      </c>
      <c r="P144" s="2" t="str">
        <f t="shared" si="29"/>
        <v/>
      </c>
      <c r="Q144" s="1" t="str">
        <f t="shared" si="30"/>
        <v/>
      </c>
      <c r="R144" s="2" t="str">
        <f t="shared" si="31"/>
        <v/>
      </c>
      <c r="S144" s="1" t="str">
        <f t="shared" si="32"/>
        <v/>
      </c>
    </row>
    <row r="145" spans="1:19" x14ac:dyDescent="0.2">
      <c r="A145" t="str">
        <f>IF(COUNTBLANK(B145:S145)&lt;&gt;COLUMNS(B145:S145),144,"")</f>
        <v/>
      </c>
      <c r="C145" s="2" t="str">
        <f t="shared" si="22"/>
        <v/>
      </c>
      <c r="D145" s="1" t="str">
        <f t="shared" si="23"/>
        <v/>
      </c>
      <c r="E145" s="1" t="str">
        <f t="shared" si="24"/>
        <v/>
      </c>
      <c r="I145" s="1" t="str">
        <f t="shared" si="25"/>
        <v/>
      </c>
      <c r="J145" s="2" t="str">
        <f t="shared" si="26"/>
        <v/>
      </c>
      <c r="K145" s="1" t="str">
        <f t="shared" si="27"/>
        <v/>
      </c>
      <c r="O145" s="1" t="str">
        <f t="shared" si="28"/>
        <v/>
      </c>
      <c r="P145" s="2" t="str">
        <f t="shared" si="29"/>
        <v/>
      </c>
      <c r="Q145" s="1" t="str">
        <f t="shared" si="30"/>
        <v/>
      </c>
      <c r="R145" s="2" t="str">
        <f t="shared" si="31"/>
        <v/>
      </c>
      <c r="S145" s="1" t="str">
        <f t="shared" si="32"/>
        <v/>
      </c>
    </row>
    <row r="146" spans="1:19" x14ac:dyDescent="0.2">
      <c r="A146" t="str">
        <f>IF(COUNTBLANK(B146:S146)&lt;&gt;COLUMNS(B146:S146),145,"")</f>
        <v/>
      </c>
      <c r="C146" s="2" t="str">
        <f t="shared" si="22"/>
        <v/>
      </c>
      <c r="D146" s="1" t="str">
        <f t="shared" si="23"/>
        <v/>
      </c>
      <c r="E146" s="1" t="str">
        <f t="shared" si="24"/>
        <v/>
      </c>
      <c r="I146" s="1" t="str">
        <f t="shared" si="25"/>
        <v/>
      </c>
      <c r="J146" s="2" t="str">
        <f t="shared" si="26"/>
        <v/>
      </c>
      <c r="K146" s="1" t="str">
        <f t="shared" si="27"/>
        <v/>
      </c>
      <c r="O146" s="1" t="str">
        <f t="shared" si="28"/>
        <v/>
      </c>
      <c r="P146" s="2" t="str">
        <f t="shared" si="29"/>
        <v/>
      </c>
      <c r="Q146" s="1" t="str">
        <f t="shared" si="30"/>
        <v/>
      </c>
      <c r="R146" s="2" t="str">
        <f t="shared" si="31"/>
        <v/>
      </c>
      <c r="S146" s="1" t="str">
        <f t="shared" si="32"/>
        <v/>
      </c>
    </row>
    <row r="147" spans="1:19" x14ac:dyDescent="0.2">
      <c r="A147" t="str">
        <f>IF(COUNTBLANK(B147:S147)&lt;&gt;COLUMNS(B147:S147),146,"")</f>
        <v/>
      </c>
      <c r="C147" s="2" t="str">
        <f t="shared" si="22"/>
        <v/>
      </c>
      <c r="D147" s="1" t="str">
        <f t="shared" si="23"/>
        <v/>
      </c>
      <c r="E147" s="1" t="str">
        <f t="shared" si="24"/>
        <v/>
      </c>
      <c r="I147" s="1" t="str">
        <f t="shared" si="25"/>
        <v/>
      </c>
      <c r="J147" s="2" t="str">
        <f t="shared" si="26"/>
        <v/>
      </c>
      <c r="K147" s="1" t="str">
        <f t="shared" si="27"/>
        <v/>
      </c>
      <c r="O147" s="1" t="str">
        <f t="shared" si="28"/>
        <v/>
      </c>
      <c r="P147" s="2" t="str">
        <f t="shared" si="29"/>
        <v/>
      </c>
      <c r="Q147" s="1" t="str">
        <f t="shared" si="30"/>
        <v/>
      </c>
      <c r="R147" s="2" t="str">
        <f t="shared" si="31"/>
        <v/>
      </c>
      <c r="S147" s="1" t="str">
        <f t="shared" si="32"/>
        <v/>
      </c>
    </row>
    <row r="148" spans="1:19" x14ac:dyDescent="0.2">
      <c r="A148" t="str">
        <f>IF(COUNTBLANK(B148:S148)&lt;&gt;COLUMNS(B148:S148),147,"")</f>
        <v/>
      </c>
      <c r="C148" s="2" t="str">
        <f t="shared" si="22"/>
        <v/>
      </c>
      <c r="D148" s="1" t="str">
        <f t="shared" si="23"/>
        <v/>
      </c>
      <c r="E148" s="1" t="str">
        <f t="shared" si="24"/>
        <v/>
      </c>
      <c r="I148" s="1" t="str">
        <f t="shared" si="25"/>
        <v/>
      </c>
      <c r="J148" s="2" t="str">
        <f t="shared" si="26"/>
        <v/>
      </c>
      <c r="K148" s="1" t="str">
        <f t="shared" si="27"/>
        <v/>
      </c>
      <c r="O148" s="1" t="str">
        <f t="shared" si="28"/>
        <v/>
      </c>
      <c r="P148" s="2" t="str">
        <f t="shared" si="29"/>
        <v/>
      </c>
      <c r="Q148" s="1" t="str">
        <f t="shared" si="30"/>
        <v/>
      </c>
      <c r="R148" s="2" t="str">
        <f t="shared" si="31"/>
        <v/>
      </c>
      <c r="S148" s="1" t="str">
        <f t="shared" si="32"/>
        <v/>
      </c>
    </row>
    <row r="149" spans="1:19" x14ac:dyDescent="0.2">
      <c r="A149" t="str">
        <f>IF(COUNTBLANK(B149:S149)&lt;&gt;COLUMNS(B149:S149),148,"")</f>
        <v/>
      </c>
      <c r="C149" s="2" t="str">
        <f t="shared" si="22"/>
        <v/>
      </c>
      <c r="D149" s="1" t="str">
        <f t="shared" si="23"/>
        <v/>
      </c>
      <c r="E149" s="1" t="str">
        <f t="shared" si="24"/>
        <v/>
      </c>
      <c r="I149" s="1" t="str">
        <f t="shared" si="25"/>
        <v/>
      </c>
      <c r="J149" s="2" t="str">
        <f t="shared" si="26"/>
        <v/>
      </c>
      <c r="K149" s="1" t="str">
        <f t="shared" si="27"/>
        <v/>
      </c>
      <c r="O149" s="1" t="str">
        <f t="shared" si="28"/>
        <v/>
      </c>
      <c r="P149" s="2" t="str">
        <f t="shared" si="29"/>
        <v/>
      </c>
      <c r="Q149" s="1" t="str">
        <f t="shared" si="30"/>
        <v/>
      </c>
      <c r="R149" s="2" t="str">
        <f t="shared" si="31"/>
        <v/>
      </c>
      <c r="S149" s="1" t="str">
        <f t="shared" si="32"/>
        <v/>
      </c>
    </row>
    <row r="150" spans="1:19" x14ac:dyDescent="0.2">
      <c r="A150" t="str">
        <f>IF(COUNTBLANK(B150:S150)&lt;&gt;COLUMNS(B150:S150),149,"")</f>
        <v/>
      </c>
      <c r="C150" s="2" t="str">
        <f t="shared" si="22"/>
        <v/>
      </c>
      <c r="D150" s="1" t="str">
        <f t="shared" si="23"/>
        <v/>
      </c>
      <c r="E150" s="1" t="str">
        <f t="shared" si="24"/>
        <v/>
      </c>
      <c r="I150" s="1" t="str">
        <f t="shared" si="25"/>
        <v/>
      </c>
      <c r="J150" s="2" t="str">
        <f t="shared" si="26"/>
        <v/>
      </c>
      <c r="K150" s="1" t="str">
        <f t="shared" si="27"/>
        <v/>
      </c>
      <c r="O150" s="1" t="str">
        <f t="shared" si="28"/>
        <v/>
      </c>
      <c r="P150" s="2" t="str">
        <f t="shared" si="29"/>
        <v/>
      </c>
      <c r="Q150" s="1" t="str">
        <f t="shared" si="30"/>
        <v/>
      </c>
      <c r="R150" s="2" t="str">
        <f t="shared" si="31"/>
        <v/>
      </c>
      <c r="S150" s="1" t="str">
        <f t="shared" si="32"/>
        <v/>
      </c>
    </row>
    <row r="151" spans="1:19" x14ac:dyDescent="0.2">
      <c r="A151" t="str">
        <f>IF(COUNTBLANK(B151:S151)&lt;&gt;COLUMNS(B151:S151),150,"")</f>
        <v/>
      </c>
      <c r="C151" s="2" t="str">
        <f t="shared" si="22"/>
        <v/>
      </c>
      <c r="D151" s="1" t="str">
        <f t="shared" si="23"/>
        <v/>
      </c>
      <c r="E151" s="1" t="str">
        <f t="shared" si="24"/>
        <v/>
      </c>
      <c r="I151" s="1" t="str">
        <f t="shared" si="25"/>
        <v/>
      </c>
      <c r="J151" s="2" t="str">
        <f t="shared" si="26"/>
        <v/>
      </c>
      <c r="K151" s="1" t="str">
        <f t="shared" si="27"/>
        <v/>
      </c>
      <c r="O151" s="1" t="str">
        <f t="shared" si="28"/>
        <v/>
      </c>
      <c r="P151" s="2" t="str">
        <f t="shared" si="29"/>
        <v/>
      </c>
      <c r="Q151" s="1" t="str">
        <f t="shared" si="30"/>
        <v/>
      </c>
      <c r="R151" s="2" t="str">
        <f t="shared" si="31"/>
        <v/>
      </c>
      <c r="S151" s="1" t="str">
        <f t="shared" si="32"/>
        <v/>
      </c>
    </row>
    <row r="152" spans="1:19" x14ac:dyDescent="0.2">
      <c r="A152" t="str">
        <f>IF(COUNTBLANK(B152:S152)&lt;&gt;COLUMNS(B152:S152),151,"")</f>
        <v/>
      </c>
      <c r="C152" s="2" t="str">
        <f t="shared" si="22"/>
        <v/>
      </c>
      <c r="D152" s="1" t="str">
        <f t="shared" si="23"/>
        <v/>
      </c>
      <c r="E152" s="1" t="str">
        <f t="shared" si="24"/>
        <v/>
      </c>
      <c r="I152" s="1" t="str">
        <f t="shared" si="25"/>
        <v/>
      </c>
      <c r="J152" s="2" t="str">
        <f t="shared" si="26"/>
        <v/>
      </c>
      <c r="K152" s="1" t="str">
        <f t="shared" si="27"/>
        <v/>
      </c>
      <c r="O152" s="1" t="str">
        <f t="shared" si="28"/>
        <v/>
      </c>
      <c r="P152" s="2" t="str">
        <f t="shared" si="29"/>
        <v/>
      </c>
      <c r="Q152" s="1" t="str">
        <f t="shared" si="30"/>
        <v/>
      </c>
      <c r="R152" s="2" t="str">
        <f t="shared" si="31"/>
        <v/>
      </c>
      <c r="S152" s="1" t="str">
        <f t="shared" si="32"/>
        <v/>
      </c>
    </row>
    <row r="153" spans="1:19" x14ac:dyDescent="0.2">
      <c r="A153" t="str">
        <f>IF(COUNTBLANK(B153:S153)&lt;&gt;COLUMNS(B153:S153),152,"")</f>
        <v/>
      </c>
      <c r="C153" s="2" t="str">
        <f t="shared" si="22"/>
        <v/>
      </c>
      <c r="D153" s="1" t="str">
        <f t="shared" si="23"/>
        <v/>
      </c>
      <c r="E153" s="1" t="str">
        <f t="shared" si="24"/>
        <v/>
      </c>
      <c r="I153" s="1" t="str">
        <f t="shared" si="25"/>
        <v/>
      </c>
      <c r="J153" s="2" t="str">
        <f t="shared" si="26"/>
        <v/>
      </c>
      <c r="K153" s="1" t="str">
        <f t="shared" si="27"/>
        <v/>
      </c>
      <c r="O153" s="1" t="str">
        <f t="shared" si="28"/>
        <v/>
      </c>
      <c r="P153" s="2" t="str">
        <f t="shared" si="29"/>
        <v/>
      </c>
      <c r="Q153" s="1" t="str">
        <f t="shared" si="30"/>
        <v/>
      </c>
      <c r="R153" s="2" t="str">
        <f t="shared" si="31"/>
        <v/>
      </c>
      <c r="S153" s="1" t="str">
        <f t="shared" si="32"/>
        <v/>
      </c>
    </row>
    <row r="154" spans="1:19" x14ac:dyDescent="0.2">
      <c r="A154" t="str">
        <f>IF(COUNTBLANK(B154:S154)&lt;&gt;COLUMNS(B154:S154),153,"")</f>
        <v/>
      </c>
      <c r="C154" s="2" t="str">
        <f t="shared" si="22"/>
        <v/>
      </c>
      <c r="D154" s="1" t="str">
        <f t="shared" si="23"/>
        <v/>
      </c>
      <c r="E154" s="1" t="str">
        <f t="shared" si="24"/>
        <v/>
      </c>
      <c r="I154" s="1" t="str">
        <f t="shared" si="25"/>
        <v/>
      </c>
      <c r="J154" s="2" t="str">
        <f t="shared" si="26"/>
        <v/>
      </c>
      <c r="K154" s="1" t="str">
        <f t="shared" si="27"/>
        <v/>
      </c>
      <c r="O154" s="1" t="str">
        <f t="shared" si="28"/>
        <v/>
      </c>
      <c r="P154" s="2" t="str">
        <f t="shared" si="29"/>
        <v/>
      </c>
      <c r="Q154" s="1" t="str">
        <f t="shared" si="30"/>
        <v/>
      </c>
      <c r="R154" s="2" t="str">
        <f t="shared" si="31"/>
        <v/>
      </c>
      <c r="S154" s="1" t="str">
        <f t="shared" si="32"/>
        <v/>
      </c>
    </row>
    <row r="155" spans="1:19" x14ac:dyDescent="0.2">
      <c r="A155" t="str">
        <f>IF(COUNTBLANK(B155:S155)&lt;&gt;COLUMNS(B155:S155),154,"")</f>
        <v/>
      </c>
      <c r="C155" s="2" t="str">
        <f t="shared" si="22"/>
        <v/>
      </c>
      <c r="D155" s="1" t="str">
        <f t="shared" si="23"/>
        <v/>
      </c>
      <c r="E155" s="1" t="str">
        <f t="shared" si="24"/>
        <v/>
      </c>
      <c r="I155" s="1" t="str">
        <f t="shared" si="25"/>
        <v/>
      </c>
      <c r="J155" s="2" t="str">
        <f t="shared" si="26"/>
        <v/>
      </c>
      <c r="K155" s="1" t="str">
        <f t="shared" si="27"/>
        <v/>
      </c>
      <c r="O155" s="1" t="str">
        <f t="shared" si="28"/>
        <v/>
      </c>
      <c r="P155" s="2" t="str">
        <f t="shared" si="29"/>
        <v/>
      </c>
      <c r="Q155" s="1" t="str">
        <f t="shared" si="30"/>
        <v/>
      </c>
      <c r="R155" s="2" t="str">
        <f t="shared" si="31"/>
        <v/>
      </c>
      <c r="S155" s="1" t="str">
        <f t="shared" si="32"/>
        <v/>
      </c>
    </row>
    <row r="156" spans="1:19" x14ac:dyDescent="0.2">
      <c r="A156" t="str">
        <f>IF(COUNTBLANK(B156:S156)&lt;&gt;COLUMNS(B156:S156),155,"")</f>
        <v/>
      </c>
      <c r="C156" s="2" t="str">
        <f t="shared" si="22"/>
        <v/>
      </c>
      <c r="D156" s="1" t="str">
        <f t="shared" si="23"/>
        <v/>
      </c>
      <c r="E156" s="1" t="str">
        <f t="shared" si="24"/>
        <v/>
      </c>
      <c r="I156" s="1" t="str">
        <f t="shared" si="25"/>
        <v/>
      </c>
      <c r="J156" s="2" t="str">
        <f t="shared" si="26"/>
        <v/>
      </c>
      <c r="K156" s="1" t="str">
        <f t="shared" si="27"/>
        <v/>
      </c>
      <c r="O156" s="1" t="str">
        <f t="shared" si="28"/>
        <v/>
      </c>
      <c r="P156" s="2" t="str">
        <f t="shared" si="29"/>
        <v/>
      </c>
      <c r="Q156" s="1" t="str">
        <f t="shared" si="30"/>
        <v/>
      </c>
      <c r="R156" s="2" t="str">
        <f t="shared" si="31"/>
        <v/>
      </c>
      <c r="S156" s="1" t="str">
        <f t="shared" si="32"/>
        <v/>
      </c>
    </row>
    <row r="157" spans="1:19" x14ac:dyDescent="0.2">
      <c r="A157" t="str">
        <f>IF(COUNTBLANK(B157:S157)&lt;&gt;COLUMNS(B157:S157),156,"")</f>
        <v/>
      </c>
      <c r="C157" s="2" t="str">
        <f t="shared" si="22"/>
        <v/>
      </c>
      <c r="D157" s="1" t="str">
        <f t="shared" si="23"/>
        <v/>
      </c>
      <c r="E157" s="1" t="str">
        <f t="shared" si="24"/>
        <v/>
      </c>
      <c r="I157" s="1" t="str">
        <f t="shared" si="25"/>
        <v/>
      </c>
      <c r="J157" s="2" t="str">
        <f t="shared" si="26"/>
        <v/>
      </c>
      <c r="K157" s="1" t="str">
        <f t="shared" si="27"/>
        <v/>
      </c>
      <c r="O157" s="1" t="str">
        <f t="shared" si="28"/>
        <v/>
      </c>
      <c r="P157" s="2" t="str">
        <f t="shared" si="29"/>
        <v/>
      </c>
      <c r="Q157" s="1" t="str">
        <f t="shared" si="30"/>
        <v/>
      </c>
      <c r="R157" s="2" t="str">
        <f t="shared" si="31"/>
        <v/>
      </c>
      <c r="S157" s="1" t="str">
        <f t="shared" si="32"/>
        <v/>
      </c>
    </row>
    <row r="158" spans="1:19" x14ac:dyDescent="0.2">
      <c r="A158" t="str">
        <f>IF(COUNTBLANK(B158:S158)&lt;&gt;COLUMNS(B158:S158),157,"")</f>
        <v/>
      </c>
      <c r="C158" s="2" t="str">
        <f t="shared" si="22"/>
        <v/>
      </c>
      <c r="D158" s="1" t="str">
        <f t="shared" si="23"/>
        <v/>
      </c>
      <c r="E158" s="1" t="str">
        <f t="shared" si="24"/>
        <v/>
      </c>
      <c r="I158" s="1" t="str">
        <f t="shared" si="25"/>
        <v/>
      </c>
      <c r="J158" s="2" t="str">
        <f t="shared" si="26"/>
        <v/>
      </c>
      <c r="K158" s="1" t="str">
        <f t="shared" si="27"/>
        <v/>
      </c>
      <c r="O158" s="1" t="str">
        <f t="shared" si="28"/>
        <v/>
      </c>
      <c r="P158" s="2" t="str">
        <f t="shared" si="29"/>
        <v/>
      </c>
      <c r="Q158" s="1" t="str">
        <f t="shared" si="30"/>
        <v/>
      </c>
      <c r="R158" s="2" t="str">
        <f t="shared" si="31"/>
        <v/>
      </c>
      <c r="S158" s="1" t="str">
        <f t="shared" si="32"/>
        <v/>
      </c>
    </row>
    <row r="159" spans="1:19" x14ac:dyDescent="0.2">
      <c r="A159" t="str">
        <f>IF(COUNTBLANK(B159:S159)&lt;&gt;COLUMNS(B159:S159),158,"")</f>
        <v/>
      </c>
      <c r="C159" s="2" t="str">
        <f t="shared" si="22"/>
        <v/>
      </c>
      <c r="D159" s="1" t="str">
        <f t="shared" si="23"/>
        <v/>
      </c>
      <c r="E159" s="1" t="str">
        <f t="shared" si="24"/>
        <v/>
      </c>
      <c r="I159" s="1" t="str">
        <f t="shared" si="25"/>
        <v/>
      </c>
      <c r="J159" s="2" t="str">
        <f t="shared" si="26"/>
        <v/>
      </c>
      <c r="K159" s="1" t="str">
        <f t="shared" si="27"/>
        <v/>
      </c>
      <c r="O159" s="1" t="str">
        <f t="shared" si="28"/>
        <v/>
      </c>
      <c r="P159" s="2" t="str">
        <f t="shared" si="29"/>
        <v/>
      </c>
      <c r="Q159" s="1" t="str">
        <f t="shared" si="30"/>
        <v/>
      </c>
      <c r="R159" s="2" t="str">
        <f t="shared" si="31"/>
        <v/>
      </c>
      <c r="S159" s="1" t="str">
        <f t="shared" si="32"/>
        <v/>
      </c>
    </row>
    <row r="160" spans="1:19" x14ac:dyDescent="0.2">
      <c r="A160" t="str">
        <f>IF(COUNTBLANK(B160:S160)&lt;&gt;COLUMNS(B160:S160),159,"")</f>
        <v/>
      </c>
      <c r="C160" s="2" t="str">
        <f t="shared" si="22"/>
        <v/>
      </c>
      <c r="D160" s="1" t="str">
        <f t="shared" si="23"/>
        <v/>
      </c>
      <c r="E160" s="1" t="str">
        <f t="shared" si="24"/>
        <v/>
      </c>
      <c r="I160" s="1" t="str">
        <f t="shared" si="25"/>
        <v/>
      </c>
      <c r="J160" s="2" t="str">
        <f t="shared" si="26"/>
        <v/>
      </c>
      <c r="K160" s="1" t="str">
        <f t="shared" si="27"/>
        <v/>
      </c>
      <c r="O160" s="1" t="str">
        <f t="shared" si="28"/>
        <v/>
      </c>
      <c r="P160" s="2" t="str">
        <f t="shared" si="29"/>
        <v/>
      </c>
      <c r="Q160" s="1" t="str">
        <f t="shared" si="30"/>
        <v/>
      </c>
      <c r="R160" s="2" t="str">
        <f t="shared" si="31"/>
        <v/>
      </c>
      <c r="S160" s="1" t="str">
        <f t="shared" si="32"/>
        <v/>
      </c>
    </row>
    <row r="161" spans="1:19" x14ac:dyDescent="0.2">
      <c r="A161" t="str">
        <f>IF(COUNTBLANK(B161:S161)&lt;&gt;COLUMNS(B161:S161),160,"")</f>
        <v/>
      </c>
      <c r="C161" s="2" t="str">
        <f t="shared" si="22"/>
        <v/>
      </c>
      <c r="D161" s="1" t="str">
        <f t="shared" si="23"/>
        <v/>
      </c>
      <c r="E161" s="1" t="str">
        <f t="shared" si="24"/>
        <v/>
      </c>
      <c r="I161" s="1" t="str">
        <f t="shared" si="25"/>
        <v/>
      </c>
      <c r="J161" s="2" t="str">
        <f t="shared" si="26"/>
        <v/>
      </c>
      <c r="K161" s="1" t="str">
        <f t="shared" si="27"/>
        <v/>
      </c>
      <c r="O161" s="1" t="str">
        <f t="shared" si="28"/>
        <v/>
      </c>
      <c r="P161" s="2" t="str">
        <f t="shared" si="29"/>
        <v/>
      </c>
      <c r="Q161" s="1" t="str">
        <f t="shared" si="30"/>
        <v/>
      </c>
      <c r="R161" s="2" t="str">
        <f t="shared" si="31"/>
        <v/>
      </c>
      <c r="S161" s="1" t="str">
        <f t="shared" si="32"/>
        <v/>
      </c>
    </row>
    <row r="162" spans="1:19" x14ac:dyDescent="0.2">
      <c r="A162" t="str">
        <f>IF(COUNTBLANK(B162:S162)&lt;&gt;COLUMNS(B162:S162),161,"")</f>
        <v/>
      </c>
      <c r="C162" s="2" t="str">
        <f t="shared" si="22"/>
        <v/>
      </c>
      <c r="D162" s="1" t="str">
        <f t="shared" si="23"/>
        <v/>
      </c>
      <c r="E162" s="1" t="str">
        <f t="shared" si="24"/>
        <v/>
      </c>
      <c r="I162" s="1" t="str">
        <f t="shared" si="25"/>
        <v/>
      </c>
      <c r="J162" s="2" t="str">
        <f t="shared" si="26"/>
        <v/>
      </c>
      <c r="K162" s="1" t="str">
        <f t="shared" si="27"/>
        <v/>
      </c>
      <c r="O162" s="1" t="str">
        <f t="shared" si="28"/>
        <v/>
      </c>
      <c r="P162" s="2" t="str">
        <f t="shared" si="29"/>
        <v/>
      </c>
      <c r="Q162" s="1" t="str">
        <f t="shared" si="30"/>
        <v/>
      </c>
      <c r="R162" s="2" t="str">
        <f t="shared" si="31"/>
        <v/>
      </c>
      <c r="S162" s="1" t="str">
        <f t="shared" si="32"/>
        <v/>
      </c>
    </row>
    <row r="163" spans="1:19" x14ac:dyDescent="0.2">
      <c r="A163" t="str">
        <f>IF(COUNTBLANK(B163:S163)&lt;&gt;COLUMNS(B163:S163),162,"")</f>
        <v/>
      </c>
      <c r="C163" s="2" t="str">
        <f t="shared" si="22"/>
        <v/>
      </c>
      <c r="D163" s="1" t="str">
        <f t="shared" si="23"/>
        <v/>
      </c>
      <c r="E163" s="1" t="str">
        <f t="shared" si="24"/>
        <v/>
      </c>
      <c r="I163" s="1" t="str">
        <f t="shared" si="25"/>
        <v/>
      </c>
      <c r="J163" s="2" t="str">
        <f t="shared" si="26"/>
        <v/>
      </c>
      <c r="K163" s="1" t="str">
        <f t="shared" si="27"/>
        <v/>
      </c>
      <c r="O163" s="1" t="str">
        <f t="shared" si="28"/>
        <v/>
      </c>
      <c r="P163" s="2" t="str">
        <f t="shared" si="29"/>
        <v/>
      </c>
      <c r="Q163" s="1" t="str">
        <f t="shared" si="30"/>
        <v/>
      </c>
      <c r="R163" s="2" t="str">
        <f t="shared" si="31"/>
        <v/>
      </c>
      <c r="S163" s="1" t="str">
        <f t="shared" si="32"/>
        <v/>
      </c>
    </row>
    <row r="164" spans="1:19" x14ac:dyDescent="0.2">
      <c r="A164" t="str">
        <f>IF(COUNTBLANK(B164:S164)&lt;&gt;COLUMNS(B164:S164),163,"")</f>
        <v/>
      </c>
      <c r="C164" s="2" t="str">
        <f t="shared" si="22"/>
        <v/>
      </c>
      <c r="D164" s="1" t="str">
        <f t="shared" si="23"/>
        <v/>
      </c>
      <c r="E164" s="1" t="str">
        <f t="shared" si="24"/>
        <v/>
      </c>
      <c r="I164" s="1" t="str">
        <f t="shared" si="25"/>
        <v/>
      </c>
      <c r="J164" s="2" t="str">
        <f t="shared" si="26"/>
        <v/>
      </c>
      <c r="K164" s="1" t="str">
        <f t="shared" si="27"/>
        <v/>
      </c>
      <c r="O164" s="1" t="str">
        <f t="shared" si="28"/>
        <v/>
      </c>
      <c r="P164" s="2" t="str">
        <f t="shared" si="29"/>
        <v/>
      </c>
      <c r="Q164" s="1" t="str">
        <f t="shared" si="30"/>
        <v/>
      </c>
      <c r="R164" s="2" t="str">
        <f t="shared" si="31"/>
        <v/>
      </c>
      <c r="S164" s="1" t="str">
        <f t="shared" si="32"/>
        <v/>
      </c>
    </row>
    <row r="165" spans="1:19" x14ac:dyDescent="0.2">
      <c r="A165" t="str">
        <f>IF(COUNTBLANK(B165:S165)&lt;&gt;COLUMNS(B165:S165),164,"")</f>
        <v/>
      </c>
      <c r="C165" s="2" t="str">
        <f t="shared" si="22"/>
        <v/>
      </c>
      <c r="D165" s="1" t="str">
        <f t="shared" si="23"/>
        <v/>
      </c>
      <c r="E165" s="1" t="str">
        <f t="shared" si="24"/>
        <v/>
      </c>
      <c r="I165" s="1" t="str">
        <f t="shared" si="25"/>
        <v/>
      </c>
      <c r="J165" s="2" t="str">
        <f t="shared" si="26"/>
        <v/>
      </c>
      <c r="K165" s="1" t="str">
        <f t="shared" si="27"/>
        <v/>
      </c>
      <c r="O165" s="1" t="str">
        <f t="shared" si="28"/>
        <v/>
      </c>
      <c r="P165" s="2" t="str">
        <f t="shared" si="29"/>
        <v/>
      </c>
      <c r="Q165" s="1" t="str">
        <f t="shared" si="30"/>
        <v/>
      </c>
      <c r="R165" s="2" t="str">
        <f t="shared" si="31"/>
        <v/>
      </c>
      <c r="S165" s="1" t="str">
        <f t="shared" si="32"/>
        <v/>
      </c>
    </row>
    <row r="166" spans="1:19" x14ac:dyDescent="0.2">
      <c r="A166" t="str">
        <f>IF(COUNTBLANK(B166:S166)&lt;&gt;COLUMNS(B166:S166),165,"")</f>
        <v/>
      </c>
      <c r="C166" s="2" t="str">
        <f t="shared" si="22"/>
        <v/>
      </c>
      <c r="D166" s="1" t="str">
        <f t="shared" si="23"/>
        <v/>
      </c>
      <c r="E166" s="1" t="str">
        <f t="shared" si="24"/>
        <v/>
      </c>
      <c r="I166" s="1" t="str">
        <f t="shared" si="25"/>
        <v/>
      </c>
      <c r="J166" s="2" t="str">
        <f t="shared" si="26"/>
        <v/>
      </c>
      <c r="K166" s="1" t="str">
        <f t="shared" si="27"/>
        <v/>
      </c>
      <c r="O166" s="1" t="str">
        <f t="shared" si="28"/>
        <v/>
      </c>
      <c r="P166" s="2" t="str">
        <f t="shared" si="29"/>
        <v/>
      </c>
      <c r="Q166" s="1" t="str">
        <f t="shared" si="30"/>
        <v/>
      </c>
      <c r="R166" s="2" t="str">
        <f t="shared" si="31"/>
        <v/>
      </c>
      <c r="S166" s="1" t="str">
        <f t="shared" si="32"/>
        <v/>
      </c>
    </row>
    <row r="167" spans="1:19" x14ac:dyDescent="0.2">
      <c r="A167" t="str">
        <f>IF(COUNTBLANK(B167:S167)&lt;&gt;COLUMNS(B167:S167),166,"")</f>
        <v/>
      </c>
      <c r="C167" s="2" t="str">
        <f t="shared" si="22"/>
        <v/>
      </c>
      <c r="D167" s="1" t="str">
        <f t="shared" si="23"/>
        <v/>
      </c>
      <c r="E167" s="1" t="str">
        <f t="shared" si="24"/>
        <v/>
      </c>
      <c r="I167" s="1" t="str">
        <f t="shared" si="25"/>
        <v/>
      </c>
      <c r="J167" s="2" t="str">
        <f t="shared" si="26"/>
        <v/>
      </c>
      <c r="K167" s="1" t="str">
        <f t="shared" si="27"/>
        <v/>
      </c>
      <c r="O167" s="1" t="str">
        <f t="shared" si="28"/>
        <v/>
      </c>
      <c r="P167" s="2" t="str">
        <f t="shared" si="29"/>
        <v/>
      </c>
      <c r="Q167" s="1" t="str">
        <f t="shared" si="30"/>
        <v/>
      </c>
      <c r="R167" s="2" t="str">
        <f t="shared" si="31"/>
        <v/>
      </c>
      <c r="S167" s="1" t="str">
        <f t="shared" si="32"/>
        <v/>
      </c>
    </row>
    <row r="168" spans="1:19" x14ac:dyDescent="0.2">
      <c r="A168" t="str">
        <f>IF(COUNTBLANK(B168:S168)&lt;&gt;COLUMNS(B168:S168),167,"")</f>
        <v/>
      </c>
      <c r="C168" s="2" t="str">
        <f t="shared" si="22"/>
        <v/>
      </c>
      <c r="D168" s="1" t="str">
        <f t="shared" si="23"/>
        <v/>
      </c>
      <c r="E168" s="1" t="str">
        <f t="shared" si="24"/>
        <v/>
      </c>
      <c r="I168" s="1" t="str">
        <f t="shared" si="25"/>
        <v/>
      </c>
      <c r="J168" s="2" t="str">
        <f t="shared" si="26"/>
        <v/>
      </c>
      <c r="K168" s="1" t="str">
        <f t="shared" si="27"/>
        <v/>
      </c>
      <c r="O168" s="1" t="str">
        <f t="shared" si="28"/>
        <v/>
      </c>
      <c r="P168" s="2" t="str">
        <f t="shared" si="29"/>
        <v/>
      </c>
      <c r="Q168" s="1" t="str">
        <f t="shared" si="30"/>
        <v/>
      </c>
      <c r="R168" s="2" t="str">
        <f t="shared" si="31"/>
        <v/>
      </c>
      <c r="S168" s="1" t="str">
        <f t="shared" si="32"/>
        <v/>
      </c>
    </row>
    <row r="169" spans="1:19" x14ac:dyDescent="0.2">
      <c r="A169" t="str">
        <f>IF(COUNTBLANK(B169:S169)&lt;&gt;COLUMNS(B169:S169),168,"")</f>
        <v/>
      </c>
      <c r="C169" s="2" t="str">
        <f t="shared" si="22"/>
        <v/>
      </c>
      <c r="D169" s="1" t="str">
        <f t="shared" si="23"/>
        <v/>
      </c>
      <c r="E169" s="1" t="str">
        <f t="shared" si="24"/>
        <v/>
      </c>
      <c r="I169" s="1" t="str">
        <f t="shared" si="25"/>
        <v/>
      </c>
      <c r="J169" s="2" t="str">
        <f t="shared" si="26"/>
        <v/>
      </c>
      <c r="K169" s="1" t="str">
        <f t="shared" si="27"/>
        <v/>
      </c>
      <c r="O169" s="1" t="str">
        <f t="shared" si="28"/>
        <v/>
      </c>
      <c r="P169" s="2" t="str">
        <f t="shared" si="29"/>
        <v/>
      </c>
      <c r="Q169" s="1" t="str">
        <f t="shared" si="30"/>
        <v/>
      </c>
      <c r="R169" s="2" t="str">
        <f t="shared" si="31"/>
        <v/>
      </c>
      <c r="S169" s="1" t="str">
        <f t="shared" si="32"/>
        <v/>
      </c>
    </row>
    <row r="170" spans="1:19" x14ac:dyDescent="0.2">
      <c r="A170" t="str">
        <f>IF(COUNTBLANK(B170:S170)&lt;&gt;COLUMNS(B170:S170),169,"")</f>
        <v/>
      </c>
      <c r="C170" s="2" t="str">
        <f t="shared" si="22"/>
        <v/>
      </c>
      <c r="D170" s="1" t="str">
        <f t="shared" si="23"/>
        <v/>
      </c>
      <c r="E170" s="1" t="str">
        <f t="shared" si="24"/>
        <v/>
      </c>
      <c r="I170" s="1" t="str">
        <f t="shared" si="25"/>
        <v/>
      </c>
      <c r="J170" s="2" t="str">
        <f t="shared" si="26"/>
        <v/>
      </c>
      <c r="K170" s="1" t="str">
        <f t="shared" si="27"/>
        <v/>
      </c>
      <c r="O170" s="1" t="str">
        <f t="shared" si="28"/>
        <v/>
      </c>
      <c r="P170" s="2" t="str">
        <f t="shared" si="29"/>
        <v/>
      </c>
      <c r="Q170" s="1" t="str">
        <f t="shared" si="30"/>
        <v/>
      </c>
      <c r="R170" s="2" t="str">
        <f t="shared" si="31"/>
        <v/>
      </c>
      <c r="S170" s="1" t="str">
        <f t="shared" si="32"/>
        <v/>
      </c>
    </row>
    <row r="171" spans="1:19" x14ac:dyDescent="0.2">
      <c r="A171" t="str">
        <f>IF(COUNTBLANK(B171:S171)&lt;&gt;COLUMNS(B171:S171),170,"")</f>
        <v/>
      </c>
      <c r="C171" s="2" t="str">
        <f t="shared" si="22"/>
        <v/>
      </c>
      <c r="D171" s="1" t="str">
        <f t="shared" si="23"/>
        <v/>
      </c>
      <c r="E171" s="1" t="str">
        <f t="shared" si="24"/>
        <v/>
      </c>
      <c r="I171" s="1" t="str">
        <f t="shared" si="25"/>
        <v/>
      </c>
      <c r="J171" s="2" t="str">
        <f t="shared" si="26"/>
        <v/>
      </c>
      <c r="K171" s="1" t="str">
        <f t="shared" si="27"/>
        <v/>
      </c>
      <c r="O171" s="1" t="str">
        <f t="shared" si="28"/>
        <v/>
      </c>
      <c r="P171" s="2" t="str">
        <f t="shared" si="29"/>
        <v/>
      </c>
      <c r="Q171" s="1" t="str">
        <f t="shared" si="30"/>
        <v/>
      </c>
      <c r="R171" s="2" t="str">
        <f t="shared" si="31"/>
        <v/>
      </c>
      <c r="S171" s="1" t="str">
        <f t="shared" si="32"/>
        <v/>
      </c>
    </row>
    <row r="172" spans="1:19" x14ac:dyDescent="0.2">
      <c r="A172" t="str">
        <f>IF(COUNTBLANK(B172:S172)&lt;&gt;COLUMNS(B172:S172),171,"")</f>
        <v/>
      </c>
      <c r="C172" s="2" t="str">
        <f t="shared" si="22"/>
        <v/>
      </c>
      <c r="D172" s="1" t="str">
        <f t="shared" si="23"/>
        <v/>
      </c>
      <c r="E172" s="1" t="str">
        <f t="shared" si="24"/>
        <v/>
      </c>
      <c r="I172" s="1" t="str">
        <f t="shared" si="25"/>
        <v/>
      </c>
      <c r="J172" s="2" t="str">
        <f t="shared" si="26"/>
        <v/>
      </c>
      <c r="K172" s="1" t="str">
        <f t="shared" si="27"/>
        <v/>
      </c>
      <c r="O172" s="1" t="str">
        <f t="shared" si="28"/>
        <v/>
      </c>
      <c r="P172" s="2" t="str">
        <f t="shared" si="29"/>
        <v/>
      </c>
      <c r="Q172" s="1" t="str">
        <f t="shared" si="30"/>
        <v/>
      </c>
      <c r="R172" s="2" t="str">
        <f t="shared" si="31"/>
        <v/>
      </c>
      <c r="S172" s="1" t="str">
        <f t="shared" si="32"/>
        <v/>
      </c>
    </row>
    <row r="173" spans="1:19" x14ac:dyDescent="0.2">
      <c r="A173" t="str">
        <f>IF(COUNTBLANK(B173:S173)&lt;&gt;COLUMNS(B173:S173),172,"")</f>
        <v/>
      </c>
      <c r="C173" s="2" t="str">
        <f t="shared" si="22"/>
        <v/>
      </c>
      <c r="D173" s="1" t="str">
        <f t="shared" si="23"/>
        <v/>
      </c>
      <c r="E173" s="1" t="str">
        <f t="shared" si="24"/>
        <v/>
      </c>
      <c r="I173" s="1" t="str">
        <f t="shared" si="25"/>
        <v/>
      </c>
      <c r="J173" s="2" t="str">
        <f t="shared" si="26"/>
        <v/>
      </c>
      <c r="K173" s="1" t="str">
        <f t="shared" si="27"/>
        <v/>
      </c>
      <c r="O173" s="1" t="str">
        <f t="shared" si="28"/>
        <v/>
      </c>
      <c r="P173" s="2" t="str">
        <f t="shared" si="29"/>
        <v/>
      </c>
      <c r="Q173" s="1" t="str">
        <f t="shared" si="30"/>
        <v/>
      </c>
      <c r="R173" s="2" t="str">
        <f t="shared" si="31"/>
        <v/>
      </c>
      <c r="S173" s="1" t="str">
        <f t="shared" si="32"/>
        <v/>
      </c>
    </row>
    <row r="174" spans="1:19" x14ac:dyDescent="0.2">
      <c r="A174" t="str">
        <f>IF(COUNTBLANK(B174:S174)&lt;&gt;COLUMNS(B174:S174),173,"")</f>
        <v/>
      </c>
      <c r="C174" s="2" t="str">
        <f t="shared" si="22"/>
        <v/>
      </c>
      <c r="D174" s="1" t="str">
        <f t="shared" si="23"/>
        <v/>
      </c>
      <c r="E174" s="1" t="str">
        <f t="shared" si="24"/>
        <v/>
      </c>
      <c r="I174" s="1" t="str">
        <f t="shared" si="25"/>
        <v/>
      </c>
      <c r="J174" s="2" t="str">
        <f t="shared" si="26"/>
        <v/>
      </c>
      <c r="K174" s="1" t="str">
        <f t="shared" si="27"/>
        <v/>
      </c>
      <c r="O174" s="1" t="str">
        <f t="shared" si="28"/>
        <v/>
      </c>
      <c r="P174" s="2" t="str">
        <f t="shared" si="29"/>
        <v/>
      </c>
      <c r="Q174" s="1" t="str">
        <f t="shared" si="30"/>
        <v/>
      </c>
      <c r="R174" s="2" t="str">
        <f t="shared" si="31"/>
        <v/>
      </c>
      <c r="S174" s="1" t="str">
        <f t="shared" si="32"/>
        <v/>
      </c>
    </row>
    <row r="175" spans="1:19" x14ac:dyDescent="0.2">
      <c r="A175" t="str">
        <f>IF(COUNTBLANK(B175:S175)&lt;&gt;COLUMNS(B175:S175),174,"")</f>
        <v/>
      </c>
      <c r="C175" s="2" t="str">
        <f t="shared" si="22"/>
        <v/>
      </c>
      <c r="D175" s="1" t="str">
        <f t="shared" si="23"/>
        <v/>
      </c>
      <c r="E175" s="1" t="str">
        <f t="shared" si="24"/>
        <v/>
      </c>
      <c r="I175" s="1" t="str">
        <f t="shared" si="25"/>
        <v/>
      </c>
      <c r="J175" s="2" t="str">
        <f t="shared" si="26"/>
        <v/>
      </c>
      <c r="K175" s="1" t="str">
        <f t="shared" si="27"/>
        <v/>
      </c>
      <c r="O175" s="1" t="str">
        <f t="shared" si="28"/>
        <v/>
      </c>
      <c r="P175" s="2" t="str">
        <f t="shared" si="29"/>
        <v/>
      </c>
      <c r="Q175" s="1" t="str">
        <f t="shared" si="30"/>
        <v/>
      </c>
      <c r="R175" s="2" t="str">
        <f t="shared" si="31"/>
        <v/>
      </c>
      <c r="S175" s="1" t="str">
        <f t="shared" si="32"/>
        <v/>
      </c>
    </row>
    <row r="176" spans="1:19" x14ac:dyDescent="0.2">
      <c r="A176" t="str">
        <f>IF(COUNTBLANK(B176:S176)&lt;&gt;COLUMNS(B176:S176),175,"")</f>
        <v/>
      </c>
      <c r="C176" s="2" t="str">
        <f t="shared" si="22"/>
        <v/>
      </c>
      <c r="D176" s="1" t="str">
        <f t="shared" si="23"/>
        <v/>
      </c>
      <c r="E176" s="1" t="str">
        <f t="shared" si="24"/>
        <v/>
      </c>
      <c r="I176" s="1" t="str">
        <f t="shared" si="25"/>
        <v/>
      </c>
      <c r="J176" s="2" t="str">
        <f t="shared" si="26"/>
        <v/>
      </c>
      <c r="K176" s="1" t="str">
        <f t="shared" si="27"/>
        <v/>
      </c>
      <c r="O176" s="1" t="str">
        <f t="shared" si="28"/>
        <v/>
      </c>
      <c r="P176" s="2" t="str">
        <f t="shared" si="29"/>
        <v/>
      </c>
      <c r="Q176" s="1" t="str">
        <f t="shared" si="30"/>
        <v/>
      </c>
      <c r="R176" s="2" t="str">
        <f t="shared" si="31"/>
        <v/>
      </c>
      <c r="S176" s="1" t="str">
        <f t="shared" si="32"/>
        <v/>
      </c>
    </row>
    <row r="177" spans="1:19" x14ac:dyDescent="0.2">
      <c r="A177" t="str">
        <f>IF(COUNTBLANK(B177:S177)&lt;&gt;COLUMNS(B177:S177),176,"")</f>
        <v/>
      </c>
      <c r="C177" s="2" t="str">
        <f t="shared" si="22"/>
        <v/>
      </c>
      <c r="D177" s="1" t="str">
        <f t="shared" si="23"/>
        <v/>
      </c>
      <c r="E177" s="1" t="str">
        <f t="shared" si="24"/>
        <v/>
      </c>
      <c r="I177" s="1" t="str">
        <f t="shared" si="25"/>
        <v/>
      </c>
      <c r="J177" s="2" t="str">
        <f t="shared" si="26"/>
        <v/>
      </c>
      <c r="K177" s="1" t="str">
        <f t="shared" si="27"/>
        <v/>
      </c>
      <c r="O177" s="1" t="str">
        <f t="shared" si="28"/>
        <v/>
      </c>
      <c r="P177" s="2" t="str">
        <f t="shared" si="29"/>
        <v/>
      </c>
      <c r="Q177" s="1" t="str">
        <f t="shared" si="30"/>
        <v/>
      </c>
      <c r="R177" s="2" t="str">
        <f t="shared" si="31"/>
        <v/>
      </c>
      <c r="S177" s="1" t="str">
        <f t="shared" si="32"/>
        <v/>
      </c>
    </row>
    <row r="178" spans="1:19" x14ac:dyDescent="0.2">
      <c r="A178" t="str">
        <f>IF(COUNTBLANK(B178:S178)&lt;&gt;COLUMNS(B178:S178),177,"")</f>
        <v/>
      </c>
      <c r="C178" s="2" t="str">
        <f t="shared" si="22"/>
        <v/>
      </c>
      <c r="D178" s="1" t="str">
        <f t="shared" si="23"/>
        <v/>
      </c>
      <c r="E178" s="1" t="str">
        <f t="shared" si="24"/>
        <v/>
      </c>
      <c r="I178" s="1" t="str">
        <f t="shared" si="25"/>
        <v/>
      </c>
      <c r="J178" s="2" t="str">
        <f t="shared" si="26"/>
        <v/>
      </c>
      <c r="K178" s="1" t="str">
        <f t="shared" si="27"/>
        <v/>
      </c>
      <c r="O178" s="1" t="str">
        <f t="shared" si="28"/>
        <v/>
      </c>
      <c r="P178" s="2" t="str">
        <f t="shared" si="29"/>
        <v/>
      </c>
      <c r="Q178" s="1" t="str">
        <f t="shared" si="30"/>
        <v/>
      </c>
      <c r="R178" s="2" t="str">
        <f t="shared" si="31"/>
        <v/>
      </c>
      <c r="S178" s="1" t="str">
        <f t="shared" si="32"/>
        <v/>
      </c>
    </row>
    <row r="179" spans="1:19" x14ac:dyDescent="0.2">
      <c r="A179" t="str">
        <f>IF(COUNTBLANK(B179:S179)&lt;&gt;COLUMNS(B179:S179),178,"")</f>
        <v/>
      </c>
      <c r="C179" s="2" t="str">
        <f t="shared" si="22"/>
        <v/>
      </c>
      <c r="D179" s="1" t="str">
        <f t="shared" si="23"/>
        <v/>
      </c>
      <c r="E179" s="1" t="str">
        <f t="shared" si="24"/>
        <v/>
      </c>
      <c r="I179" s="1" t="str">
        <f t="shared" si="25"/>
        <v/>
      </c>
      <c r="J179" s="2" t="str">
        <f t="shared" si="26"/>
        <v/>
      </c>
      <c r="K179" s="1" t="str">
        <f t="shared" si="27"/>
        <v/>
      </c>
      <c r="O179" s="1" t="str">
        <f t="shared" si="28"/>
        <v/>
      </c>
      <c r="P179" s="2" t="str">
        <f t="shared" si="29"/>
        <v/>
      </c>
      <c r="Q179" s="1" t="str">
        <f t="shared" si="30"/>
        <v/>
      </c>
      <c r="R179" s="2" t="str">
        <f t="shared" si="31"/>
        <v/>
      </c>
      <c r="S179" s="1" t="str">
        <f t="shared" si="32"/>
        <v/>
      </c>
    </row>
    <row r="180" spans="1:19" x14ac:dyDescent="0.2">
      <c r="A180" t="str">
        <f>IF(COUNTBLANK(B180:S180)&lt;&gt;COLUMNS(B180:S180),179,"")</f>
        <v/>
      </c>
      <c r="C180" s="2" t="str">
        <f t="shared" si="22"/>
        <v/>
      </c>
      <c r="D180" s="1" t="str">
        <f t="shared" si="23"/>
        <v/>
      </c>
      <c r="E180" s="1" t="str">
        <f t="shared" si="24"/>
        <v/>
      </c>
      <c r="I180" s="1" t="str">
        <f t="shared" si="25"/>
        <v/>
      </c>
      <c r="J180" s="2" t="str">
        <f t="shared" si="26"/>
        <v/>
      </c>
      <c r="K180" s="1" t="str">
        <f t="shared" si="27"/>
        <v/>
      </c>
      <c r="O180" s="1" t="str">
        <f t="shared" si="28"/>
        <v/>
      </c>
      <c r="P180" s="2" t="str">
        <f t="shared" si="29"/>
        <v/>
      </c>
      <c r="Q180" s="1" t="str">
        <f t="shared" si="30"/>
        <v/>
      </c>
      <c r="R180" s="2" t="str">
        <f t="shared" si="31"/>
        <v/>
      </c>
      <c r="S180" s="1" t="str">
        <f t="shared" si="32"/>
        <v/>
      </c>
    </row>
    <row r="181" spans="1:19" x14ac:dyDescent="0.2">
      <c r="A181" t="str">
        <f>IF(COUNTBLANK(B181:S181)&lt;&gt;COLUMNS(B181:S181),180,"")</f>
        <v/>
      </c>
      <c r="C181" s="2" t="str">
        <f t="shared" si="22"/>
        <v/>
      </c>
      <c r="D181" s="1" t="str">
        <f t="shared" si="23"/>
        <v/>
      </c>
      <c r="E181" s="1" t="str">
        <f t="shared" si="24"/>
        <v/>
      </c>
      <c r="I181" s="1" t="str">
        <f t="shared" si="25"/>
        <v/>
      </c>
      <c r="J181" s="2" t="str">
        <f t="shared" si="26"/>
        <v/>
      </c>
      <c r="K181" s="1" t="str">
        <f t="shared" si="27"/>
        <v/>
      </c>
      <c r="O181" s="1" t="str">
        <f t="shared" si="28"/>
        <v/>
      </c>
      <c r="P181" s="2" t="str">
        <f t="shared" si="29"/>
        <v/>
      </c>
      <c r="Q181" s="1" t="str">
        <f t="shared" si="30"/>
        <v/>
      </c>
      <c r="R181" s="2" t="str">
        <f t="shared" si="31"/>
        <v/>
      </c>
      <c r="S181" s="1" t="str">
        <f t="shared" si="32"/>
        <v/>
      </c>
    </row>
    <row r="182" spans="1:19" x14ac:dyDescent="0.2">
      <c r="A182" t="str">
        <f>IF(COUNTBLANK(B182:S182)&lt;&gt;COLUMNS(B182:S182),181,"")</f>
        <v/>
      </c>
      <c r="C182" s="2" t="str">
        <f t="shared" si="22"/>
        <v/>
      </c>
      <c r="D182" s="1" t="str">
        <f t="shared" si="23"/>
        <v/>
      </c>
      <c r="E182" s="1" t="str">
        <f t="shared" si="24"/>
        <v/>
      </c>
      <c r="I182" s="1" t="str">
        <f t="shared" si="25"/>
        <v/>
      </c>
      <c r="J182" s="2" t="str">
        <f t="shared" si="26"/>
        <v/>
      </c>
      <c r="K182" s="1" t="str">
        <f t="shared" si="27"/>
        <v/>
      </c>
      <c r="O182" s="1" t="str">
        <f t="shared" si="28"/>
        <v/>
      </c>
      <c r="P182" s="2" t="str">
        <f t="shared" si="29"/>
        <v/>
      </c>
      <c r="Q182" s="1" t="str">
        <f t="shared" si="30"/>
        <v/>
      </c>
      <c r="R182" s="2" t="str">
        <f t="shared" si="31"/>
        <v/>
      </c>
      <c r="S182" s="1" t="str">
        <f t="shared" si="32"/>
        <v/>
      </c>
    </row>
    <row r="183" spans="1:19" x14ac:dyDescent="0.2">
      <c r="A183" t="str">
        <f>IF(COUNTBLANK(B183:S183)&lt;&gt;COLUMNS(B183:S183),182,"")</f>
        <v/>
      </c>
      <c r="C183" s="2" t="str">
        <f t="shared" si="22"/>
        <v/>
      </c>
      <c r="D183" s="1" t="str">
        <f t="shared" si="23"/>
        <v/>
      </c>
      <c r="E183" s="1" t="str">
        <f t="shared" si="24"/>
        <v/>
      </c>
      <c r="I183" s="1" t="str">
        <f t="shared" si="25"/>
        <v/>
      </c>
      <c r="J183" s="2" t="str">
        <f t="shared" si="26"/>
        <v/>
      </c>
      <c r="K183" s="1" t="str">
        <f t="shared" si="27"/>
        <v/>
      </c>
      <c r="O183" s="1" t="str">
        <f t="shared" si="28"/>
        <v/>
      </c>
      <c r="P183" s="2" t="str">
        <f t="shared" si="29"/>
        <v/>
      </c>
      <c r="Q183" s="1" t="str">
        <f t="shared" si="30"/>
        <v/>
      </c>
      <c r="R183" s="2" t="str">
        <f t="shared" si="31"/>
        <v/>
      </c>
      <c r="S183" s="1" t="str">
        <f t="shared" si="32"/>
        <v/>
      </c>
    </row>
    <row r="184" spans="1:19" x14ac:dyDescent="0.2">
      <c r="A184" t="str">
        <f>IF(COUNTBLANK(B184:S184)&lt;&gt;COLUMNS(B184:S184),183,"")</f>
        <v/>
      </c>
      <c r="C184" s="2" t="str">
        <f t="shared" si="22"/>
        <v/>
      </c>
      <c r="D184" s="1" t="str">
        <f t="shared" si="23"/>
        <v/>
      </c>
      <c r="E184" s="1" t="str">
        <f t="shared" si="24"/>
        <v/>
      </c>
      <c r="I184" s="1" t="str">
        <f t="shared" si="25"/>
        <v/>
      </c>
      <c r="J184" s="2" t="str">
        <f t="shared" si="26"/>
        <v/>
      </c>
      <c r="K184" s="1" t="str">
        <f t="shared" si="27"/>
        <v/>
      </c>
      <c r="O184" s="1" t="str">
        <f t="shared" si="28"/>
        <v/>
      </c>
      <c r="P184" s="2" t="str">
        <f t="shared" si="29"/>
        <v/>
      </c>
      <c r="Q184" s="1" t="str">
        <f t="shared" si="30"/>
        <v/>
      </c>
      <c r="R184" s="2" t="str">
        <f t="shared" si="31"/>
        <v/>
      </c>
      <c r="S184" s="1" t="str">
        <f t="shared" si="32"/>
        <v/>
      </c>
    </row>
    <row r="185" spans="1:19" x14ac:dyDescent="0.2">
      <c r="A185" t="str">
        <f>IF(COUNTBLANK(B185:S185)&lt;&gt;COLUMNS(B185:S185),184,"")</f>
        <v/>
      </c>
      <c r="C185" s="2" t="str">
        <f t="shared" si="22"/>
        <v/>
      </c>
      <c r="D185" s="1" t="str">
        <f t="shared" si="23"/>
        <v/>
      </c>
      <c r="E185" s="1" t="str">
        <f t="shared" si="24"/>
        <v/>
      </c>
      <c r="I185" s="1" t="str">
        <f t="shared" si="25"/>
        <v/>
      </c>
      <c r="J185" s="2" t="str">
        <f t="shared" si="26"/>
        <v/>
      </c>
      <c r="K185" s="1" t="str">
        <f t="shared" si="27"/>
        <v/>
      </c>
      <c r="O185" s="1" t="str">
        <f t="shared" si="28"/>
        <v/>
      </c>
      <c r="P185" s="2" t="str">
        <f t="shared" si="29"/>
        <v/>
      </c>
      <c r="Q185" s="1" t="str">
        <f t="shared" si="30"/>
        <v/>
      </c>
      <c r="R185" s="2" t="str">
        <f t="shared" si="31"/>
        <v/>
      </c>
      <c r="S185" s="1" t="str">
        <f t="shared" si="32"/>
        <v/>
      </c>
    </row>
    <row r="186" spans="1:19" x14ac:dyDescent="0.2">
      <c r="A186" t="str">
        <f>IF(COUNTBLANK(B186:S186)&lt;&gt;COLUMNS(B186:S186),185,"")</f>
        <v/>
      </c>
      <c r="C186" s="2" t="str">
        <f t="shared" si="22"/>
        <v/>
      </c>
      <c r="D186" s="1" t="str">
        <f t="shared" si="23"/>
        <v/>
      </c>
      <c r="E186" s="1" t="str">
        <f t="shared" si="24"/>
        <v/>
      </c>
      <c r="I186" s="1" t="str">
        <f t="shared" si="25"/>
        <v/>
      </c>
      <c r="J186" s="2" t="str">
        <f t="shared" si="26"/>
        <v/>
      </c>
      <c r="K186" s="1" t="str">
        <f t="shared" si="27"/>
        <v/>
      </c>
      <c r="O186" s="1" t="str">
        <f t="shared" si="28"/>
        <v/>
      </c>
      <c r="P186" s="2" t="str">
        <f t="shared" si="29"/>
        <v/>
      </c>
      <c r="Q186" s="1" t="str">
        <f t="shared" si="30"/>
        <v/>
      </c>
      <c r="R186" s="2" t="str">
        <f t="shared" si="31"/>
        <v/>
      </c>
      <c r="S186" s="1" t="str">
        <f t="shared" si="32"/>
        <v/>
      </c>
    </row>
    <row r="187" spans="1:19" x14ac:dyDescent="0.2">
      <c r="A187" t="str">
        <f>IF(COUNTBLANK(B187:S187)&lt;&gt;COLUMNS(B187:S187),186,"")</f>
        <v/>
      </c>
      <c r="C187" s="2" t="str">
        <f t="shared" si="22"/>
        <v/>
      </c>
      <c r="D187" s="1" t="str">
        <f t="shared" si="23"/>
        <v/>
      </c>
      <c r="E187" s="1" t="str">
        <f t="shared" si="24"/>
        <v/>
      </c>
      <c r="I187" s="1" t="str">
        <f t="shared" si="25"/>
        <v/>
      </c>
      <c r="J187" s="2" t="str">
        <f t="shared" si="26"/>
        <v/>
      </c>
      <c r="K187" s="1" t="str">
        <f t="shared" si="27"/>
        <v/>
      </c>
      <c r="O187" s="1" t="str">
        <f t="shared" si="28"/>
        <v/>
      </c>
      <c r="P187" s="2" t="str">
        <f t="shared" si="29"/>
        <v/>
      </c>
      <c r="Q187" s="1" t="str">
        <f t="shared" si="30"/>
        <v/>
      </c>
      <c r="R187" s="2" t="str">
        <f t="shared" si="31"/>
        <v/>
      </c>
      <c r="S187" s="1" t="str">
        <f t="shared" si="32"/>
        <v/>
      </c>
    </row>
    <row r="188" spans="1:19" x14ac:dyDescent="0.2">
      <c r="A188" t="str">
        <f>IF(COUNTBLANK(B188:S188)&lt;&gt;COLUMNS(B188:S188),187,"")</f>
        <v/>
      </c>
      <c r="C188" s="2" t="str">
        <f t="shared" si="22"/>
        <v/>
      </c>
      <c r="D188" s="1" t="str">
        <f t="shared" si="23"/>
        <v/>
      </c>
      <c r="E188" s="1" t="str">
        <f t="shared" si="24"/>
        <v/>
      </c>
      <c r="I188" s="1" t="str">
        <f t="shared" si="25"/>
        <v/>
      </c>
      <c r="J188" s="2" t="str">
        <f t="shared" si="26"/>
        <v/>
      </c>
      <c r="K188" s="1" t="str">
        <f t="shared" si="27"/>
        <v/>
      </c>
      <c r="O188" s="1" t="str">
        <f t="shared" si="28"/>
        <v/>
      </c>
      <c r="P188" s="2" t="str">
        <f t="shared" si="29"/>
        <v/>
      </c>
      <c r="Q188" s="1" t="str">
        <f t="shared" si="30"/>
        <v/>
      </c>
      <c r="R188" s="2" t="str">
        <f t="shared" si="31"/>
        <v/>
      </c>
      <c r="S188" s="1" t="str">
        <f t="shared" si="32"/>
        <v/>
      </c>
    </row>
    <row r="189" spans="1:19" x14ac:dyDescent="0.2">
      <c r="A189" t="str">
        <f>IF(COUNTBLANK(B189:S189)&lt;&gt;COLUMNS(B189:S189),188,"")</f>
        <v/>
      </c>
      <c r="C189" s="2" t="str">
        <f t="shared" si="22"/>
        <v/>
      </c>
      <c r="D189" s="1" t="str">
        <f t="shared" si="23"/>
        <v/>
      </c>
      <c r="E189" s="1" t="str">
        <f t="shared" si="24"/>
        <v/>
      </c>
      <c r="I189" s="1" t="str">
        <f t="shared" si="25"/>
        <v/>
      </c>
      <c r="J189" s="2" t="str">
        <f t="shared" si="26"/>
        <v/>
      </c>
      <c r="K189" s="1" t="str">
        <f t="shared" si="27"/>
        <v/>
      </c>
      <c r="O189" s="1" t="str">
        <f t="shared" si="28"/>
        <v/>
      </c>
      <c r="P189" s="2" t="str">
        <f t="shared" si="29"/>
        <v/>
      </c>
      <c r="Q189" s="1" t="str">
        <f t="shared" si="30"/>
        <v/>
      </c>
      <c r="R189" s="2" t="str">
        <f t="shared" si="31"/>
        <v/>
      </c>
      <c r="S189" s="1" t="str">
        <f t="shared" si="32"/>
        <v/>
      </c>
    </row>
    <row r="190" spans="1:19" x14ac:dyDescent="0.2">
      <c r="A190" t="str">
        <f>IF(COUNTBLANK(B190:S190)&lt;&gt;COLUMNS(B190:S190),189,"")</f>
        <v/>
      </c>
      <c r="C190" s="2" t="str">
        <f t="shared" si="22"/>
        <v/>
      </c>
      <c r="D190" s="1" t="str">
        <f t="shared" si="23"/>
        <v/>
      </c>
      <c r="E190" s="1" t="str">
        <f t="shared" si="24"/>
        <v/>
      </c>
      <c r="I190" s="1" t="str">
        <f t="shared" si="25"/>
        <v/>
      </c>
      <c r="J190" s="2" t="str">
        <f t="shared" si="26"/>
        <v/>
      </c>
      <c r="K190" s="1" t="str">
        <f t="shared" si="27"/>
        <v/>
      </c>
      <c r="O190" s="1" t="str">
        <f t="shared" si="28"/>
        <v/>
      </c>
      <c r="P190" s="2" t="str">
        <f t="shared" si="29"/>
        <v/>
      </c>
      <c r="Q190" s="1" t="str">
        <f t="shared" si="30"/>
        <v/>
      </c>
      <c r="R190" s="2" t="str">
        <f t="shared" si="31"/>
        <v/>
      </c>
      <c r="S190" s="1" t="str">
        <f t="shared" si="32"/>
        <v/>
      </c>
    </row>
    <row r="191" spans="1:19" x14ac:dyDescent="0.2">
      <c r="A191" t="str">
        <f>IF(COUNTBLANK(B191:S191)&lt;&gt;COLUMNS(B191:S191),190,"")</f>
        <v/>
      </c>
      <c r="C191" s="2" t="str">
        <f t="shared" si="22"/>
        <v/>
      </c>
      <c r="D191" s="1" t="str">
        <f t="shared" si="23"/>
        <v/>
      </c>
      <c r="E191" s="1" t="str">
        <f t="shared" si="24"/>
        <v/>
      </c>
      <c r="I191" s="1" t="str">
        <f t="shared" si="25"/>
        <v/>
      </c>
      <c r="J191" s="2" t="str">
        <f t="shared" si="26"/>
        <v/>
      </c>
      <c r="K191" s="1" t="str">
        <f t="shared" si="27"/>
        <v/>
      </c>
      <c r="O191" s="1" t="str">
        <f t="shared" si="28"/>
        <v/>
      </c>
      <c r="P191" s="2" t="str">
        <f t="shared" si="29"/>
        <v/>
      </c>
      <c r="Q191" s="1" t="str">
        <f t="shared" si="30"/>
        <v/>
      </c>
      <c r="R191" s="2" t="str">
        <f t="shared" si="31"/>
        <v/>
      </c>
      <c r="S191" s="1" t="str">
        <f t="shared" si="32"/>
        <v/>
      </c>
    </row>
    <row r="192" spans="1:19" x14ac:dyDescent="0.2">
      <c r="A192" t="str">
        <f>IF(COUNTBLANK(B192:S192)&lt;&gt;COLUMNS(B192:S192),191,"")</f>
        <v/>
      </c>
      <c r="C192" s="2" t="str">
        <f t="shared" si="22"/>
        <v/>
      </c>
      <c r="D192" s="1" t="str">
        <f t="shared" si="23"/>
        <v/>
      </c>
      <c r="E192" s="1" t="str">
        <f t="shared" si="24"/>
        <v/>
      </c>
      <c r="I192" s="1" t="str">
        <f t="shared" si="25"/>
        <v/>
      </c>
      <c r="J192" s="2" t="str">
        <f t="shared" si="26"/>
        <v/>
      </c>
      <c r="K192" s="1" t="str">
        <f t="shared" si="27"/>
        <v/>
      </c>
      <c r="O192" s="1" t="str">
        <f t="shared" si="28"/>
        <v/>
      </c>
      <c r="P192" s="2" t="str">
        <f t="shared" si="29"/>
        <v/>
      </c>
      <c r="Q192" s="1" t="str">
        <f t="shared" si="30"/>
        <v/>
      </c>
      <c r="R192" s="2" t="str">
        <f t="shared" si="31"/>
        <v/>
      </c>
      <c r="S192" s="1" t="str">
        <f t="shared" si="32"/>
        <v/>
      </c>
    </row>
    <row r="193" spans="1:19" x14ac:dyDescent="0.2">
      <c r="A193" t="str">
        <f>IF(COUNTBLANK(B193:S193)&lt;&gt;COLUMNS(B193:S193),192,"")</f>
        <v/>
      </c>
      <c r="C193" s="2" t="str">
        <f t="shared" si="22"/>
        <v/>
      </c>
      <c r="D193" s="1" t="str">
        <f t="shared" si="23"/>
        <v/>
      </c>
      <c r="E193" s="1" t="str">
        <f t="shared" si="24"/>
        <v/>
      </c>
      <c r="I193" s="1" t="str">
        <f t="shared" si="25"/>
        <v/>
      </c>
      <c r="J193" s="2" t="str">
        <f t="shared" si="26"/>
        <v/>
      </c>
      <c r="K193" s="1" t="str">
        <f t="shared" si="27"/>
        <v/>
      </c>
      <c r="O193" s="1" t="str">
        <f t="shared" si="28"/>
        <v/>
      </c>
      <c r="P193" s="2" t="str">
        <f t="shared" si="29"/>
        <v/>
      </c>
      <c r="Q193" s="1" t="str">
        <f t="shared" si="30"/>
        <v/>
      </c>
      <c r="R193" s="2" t="str">
        <f t="shared" si="31"/>
        <v/>
      </c>
      <c r="S193" s="1" t="str">
        <f t="shared" si="32"/>
        <v/>
      </c>
    </row>
    <row r="194" spans="1:19" x14ac:dyDescent="0.2">
      <c r="A194" t="str">
        <f>IF(COUNTBLANK(B194:S194)&lt;&gt;COLUMNS(B194:S194),193,"")</f>
        <v/>
      </c>
      <c r="C194" s="2" t="str">
        <f t="shared" ref="C194:C257" si="33">IF(B194="", "", "missing: not provided")</f>
        <v/>
      </c>
      <c r="D194" s="1" t="str">
        <f t="shared" ref="D194:D257" si="34">IF(B194="", "", " missing: not provided")</f>
        <v/>
      </c>
      <c r="E194" s="1" t="str">
        <f t="shared" ref="E194:E257" si="35">IF(B194="", "", "Host-associated")</f>
        <v/>
      </c>
      <c r="I194" s="1" t="str">
        <f t="shared" ref="I194:I257" si="36">IF(B194="", "", "host-associated")</f>
        <v/>
      </c>
      <c r="J194" s="2" t="str">
        <f t="shared" ref="J194:J257" si="37">IF(B194="", "", "missing: not provided")</f>
        <v/>
      </c>
      <c r="K194" s="1" t="str">
        <f t="shared" ref="K194:K257" si="38">IF(B194="", "", " missing: not provided")</f>
        <v/>
      </c>
      <c r="O194" s="1" t="str">
        <f t="shared" ref="O194:O257" si="39">IF(B194="", "", "Not applicable")</f>
        <v/>
      </c>
      <c r="P194" s="2" t="str">
        <f t="shared" ref="P194:P257" si="40">IF(B194="", "", "missing: not provided")</f>
        <v/>
      </c>
      <c r="Q194" s="1" t="str">
        <f t="shared" ref="Q194:Q257" si="41">IF(B194="", "", "Not applicable")</f>
        <v/>
      </c>
      <c r="R194" s="2" t="str">
        <f t="shared" ref="R194:R257" si="42">IF(B194="", "", "missing: not provided")</f>
        <v/>
      </c>
      <c r="S194" s="1" t="str">
        <f t="shared" ref="S194:S257" si="43">IF(B194="", "", " missing: not provided")</f>
        <v/>
      </c>
    </row>
    <row r="195" spans="1:19" x14ac:dyDescent="0.2">
      <c r="A195" t="str">
        <f>IF(COUNTBLANK(B195:S195)&lt;&gt;COLUMNS(B195:S195),194,"")</f>
        <v/>
      </c>
      <c r="C195" s="2" t="str">
        <f t="shared" si="33"/>
        <v/>
      </c>
      <c r="D195" s="1" t="str">
        <f t="shared" si="34"/>
        <v/>
      </c>
      <c r="E195" s="1" t="str">
        <f t="shared" si="35"/>
        <v/>
      </c>
      <c r="I195" s="1" t="str">
        <f t="shared" si="36"/>
        <v/>
      </c>
      <c r="J195" s="2" t="str">
        <f t="shared" si="37"/>
        <v/>
      </c>
      <c r="K195" s="1" t="str">
        <f t="shared" si="38"/>
        <v/>
      </c>
      <c r="O195" s="1" t="str">
        <f t="shared" si="39"/>
        <v/>
      </c>
      <c r="P195" s="2" t="str">
        <f t="shared" si="40"/>
        <v/>
      </c>
      <c r="Q195" s="1" t="str">
        <f t="shared" si="41"/>
        <v/>
      </c>
      <c r="R195" s="2" t="str">
        <f t="shared" si="42"/>
        <v/>
      </c>
      <c r="S195" s="1" t="str">
        <f t="shared" si="43"/>
        <v/>
      </c>
    </row>
    <row r="196" spans="1:19" x14ac:dyDescent="0.2">
      <c r="A196" t="str">
        <f>IF(COUNTBLANK(B196:S196)&lt;&gt;COLUMNS(B196:S196),195,"")</f>
        <v/>
      </c>
      <c r="C196" s="2" t="str">
        <f t="shared" si="33"/>
        <v/>
      </c>
      <c r="D196" s="1" t="str">
        <f t="shared" si="34"/>
        <v/>
      </c>
      <c r="E196" s="1" t="str">
        <f t="shared" si="35"/>
        <v/>
      </c>
      <c r="I196" s="1" t="str">
        <f t="shared" si="36"/>
        <v/>
      </c>
      <c r="J196" s="2" t="str">
        <f t="shared" si="37"/>
        <v/>
      </c>
      <c r="K196" s="1" t="str">
        <f t="shared" si="38"/>
        <v/>
      </c>
      <c r="O196" s="1" t="str">
        <f t="shared" si="39"/>
        <v/>
      </c>
      <c r="P196" s="2" t="str">
        <f t="shared" si="40"/>
        <v/>
      </c>
      <c r="Q196" s="1" t="str">
        <f t="shared" si="41"/>
        <v/>
      </c>
      <c r="R196" s="2" t="str">
        <f t="shared" si="42"/>
        <v/>
      </c>
      <c r="S196" s="1" t="str">
        <f t="shared" si="43"/>
        <v/>
      </c>
    </row>
    <row r="197" spans="1:19" x14ac:dyDescent="0.2">
      <c r="A197" t="str">
        <f>IF(COUNTBLANK(B197:S197)&lt;&gt;COLUMNS(B197:S197),196,"")</f>
        <v/>
      </c>
      <c r="C197" s="2" t="str">
        <f t="shared" si="33"/>
        <v/>
      </c>
      <c r="D197" s="1" t="str">
        <f t="shared" si="34"/>
        <v/>
      </c>
      <c r="E197" s="1" t="str">
        <f t="shared" si="35"/>
        <v/>
      </c>
      <c r="I197" s="1" t="str">
        <f t="shared" si="36"/>
        <v/>
      </c>
      <c r="J197" s="2" t="str">
        <f t="shared" si="37"/>
        <v/>
      </c>
      <c r="K197" s="1" t="str">
        <f t="shared" si="38"/>
        <v/>
      </c>
      <c r="O197" s="1" t="str">
        <f t="shared" si="39"/>
        <v/>
      </c>
      <c r="P197" s="2" t="str">
        <f t="shared" si="40"/>
        <v/>
      </c>
      <c r="Q197" s="1" t="str">
        <f t="shared" si="41"/>
        <v/>
      </c>
      <c r="R197" s="2" t="str">
        <f t="shared" si="42"/>
        <v/>
      </c>
      <c r="S197" s="1" t="str">
        <f t="shared" si="43"/>
        <v/>
      </c>
    </row>
    <row r="198" spans="1:19" x14ac:dyDescent="0.2">
      <c r="A198" t="str">
        <f>IF(COUNTBLANK(B198:S198)&lt;&gt;COLUMNS(B198:S198),197,"")</f>
        <v/>
      </c>
      <c r="C198" s="2" t="str">
        <f t="shared" si="33"/>
        <v/>
      </c>
      <c r="D198" s="1" t="str">
        <f t="shared" si="34"/>
        <v/>
      </c>
      <c r="E198" s="1" t="str">
        <f t="shared" si="35"/>
        <v/>
      </c>
      <c r="I198" s="1" t="str">
        <f t="shared" si="36"/>
        <v/>
      </c>
      <c r="J198" s="2" t="str">
        <f t="shared" si="37"/>
        <v/>
      </c>
      <c r="K198" s="1" t="str">
        <f t="shared" si="38"/>
        <v/>
      </c>
      <c r="O198" s="1" t="str">
        <f t="shared" si="39"/>
        <v/>
      </c>
      <c r="P198" s="2" t="str">
        <f t="shared" si="40"/>
        <v/>
      </c>
      <c r="Q198" s="1" t="str">
        <f t="shared" si="41"/>
        <v/>
      </c>
      <c r="R198" s="2" t="str">
        <f t="shared" si="42"/>
        <v/>
      </c>
      <c r="S198" s="1" t="str">
        <f t="shared" si="43"/>
        <v/>
      </c>
    </row>
    <row r="199" spans="1:19" x14ac:dyDescent="0.2">
      <c r="A199" t="str">
        <f>IF(COUNTBLANK(B199:S199)&lt;&gt;COLUMNS(B199:S199),198,"")</f>
        <v/>
      </c>
      <c r="C199" s="2" t="str">
        <f t="shared" si="33"/>
        <v/>
      </c>
      <c r="D199" s="1" t="str">
        <f t="shared" si="34"/>
        <v/>
      </c>
      <c r="E199" s="1" t="str">
        <f t="shared" si="35"/>
        <v/>
      </c>
      <c r="I199" s="1" t="str">
        <f t="shared" si="36"/>
        <v/>
      </c>
      <c r="J199" s="2" t="str">
        <f t="shared" si="37"/>
        <v/>
      </c>
      <c r="K199" s="1" t="str">
        <f t="shared" si="38"/>
        <v/>
      </c>
      <c r="O199" s="1" t="str">
        <f t="shared" si="39"/>
        <v/>
      </c>
      <c r="P199" s="2" t="str">
        <f t="shared" si="40"/>
        <v/>
      </c>
      <c r="Q199" s="1" t="str">
        <f t="shared" si="41"/>
        <v/>
      </c>
      <c r="R199" s="2" t="str">
        <f t="shared" si="42"/>
        <v/>
      </c>
      <c r="S199" s="1" t="str">
        <f t="shared" si="43"/>
        <v/>
      </c>
    </row>
    <row r="200" spans="1:19" x14ac:dyDescent="0.2">
      <c r="A200" t="str">
        <f>IF(COUNTBLANK(B200:S200)&lt;&gt;COLUMNS(B200:S200),199,"")</f>
        <v/>
      </c>
      <c r="C200" s="2" t="str">
        <f t="shared" si="33"/>
        <v/>
      </c>
      <c r="D200" s="1" t="str">
        <f t="shared" si="34"/>
        <v/>
      </c>
      <c r="E200" s="1" t="str">
        <f t="shared" si="35"/>
        <v/>
      </c>
      <c r="I200" s="1" t="str">
        <f t="shared" si="36"/>
        <v/>
      </c>
      <c r="J200" s="2" t="str">
        <f t="shared" si="37"/>
        <v/>
      </c>
      <c r="K200" s="1" t="str">
        <f t="shared" si="38"/>
        <v/>
      </c>
      <c r="O200" s="1" t="str">
        <f t="shared" si="39"/>
        <v/>
      </c>
      <c r="P200" s="2" t="str">
        <f t="shared" si="40"/>
        <v/>
      </c>
      <c r="Q200" s="1" t="str">
        <f t="shared" si="41"/>
        <v/>
      </c>
      <c r="R200" s="2" t="str">
        <f t="shared" si="42"/>
        <v/>
      </c>
      <c r="S200" s="1" t="str">
        <f t="shared" si="43"/>
        <v/>
      </c>
    </row>
    <row r="201" spans="1:19" x14ac:dyDescent="0.2">
      <c r="A201" t="str">
        <f>IF(COUNTBLANK(B201:S201)&lt;&gt;COLUMNS(B201:S201),200,"")</f>
        <v/>
      </c>
      <c r="C201" s="2" t="str">
        <f t="shared" si="33"/>
        <v/>
      </c>
      <c r="D201" s="1" t="str">
        <f t="shared" si="34"/>
        <v/>
      </c>
      <c r="E201" s="1" t="str">
        <f t="shared" si="35"/>
        <v/>
      </c>
      <c r="I201" s="1" t="str">
        <f t="shared" si="36"/>
        <v/>
      </c>
      <c r="J201" s="2" t="str">
        <f t="shared" si="37"/>
        <v/>
      </c>
      <c r="K201" s="1" t="str">
        <f t="shared" si="38"/>
        <v/>
      </c>
      <c r="O201" s="1" t="str">
        <f t="shared" si="39"/>
        <v/>
      </c>
      <c r="P201" s="2" t="str">
        <f t="shared" si="40"/>
        <v/>
      </c>
      <c r="Q201" s="1" t="str">
        <f t="shared" si="41"/>
        <v/>
      </c>
      <c r="R201" s="2" t="str">
        <f t="shared" si="42"/>
        <v/>
      </c>
      <c r="S201" s="1" t="str">
        <f t="shared" si="43"/>
        <v/>
      </c>
    </row>
    <row r="202" spans="1:19" x14ac:dyDescent="0.2">
      <c r="A202" t="str">
        <f>IF(COUNTBLANK(B202:S202)&lt;&gt;COLUMNS(B202:S202),201,"")</f>
        <v/>
      </c>
      <c r="C202" s="2" t="str">
        <f t="shared" si="33"/>
        <v/>
      </c>
      <c r="D202" s="1" t="str">
        <f t="shared" si="34"/>
        <v/>
      </c>
      <c r="E202" s="1" t="str">
        <f t="shared" si="35"/>
        <v/>
      </c>
      <c r="I202" s="1" t="str">
        <f t="shared" si="36"/>
        <v/>
      </c>
      <c r="J202" s="2" t="str">
        <f t="shared" si="37"/>
        <v/>
      </c>
      <c r="K202" s="1" t="str">
        <f t="shared" si="38"/>
        <v/>
      </c>
      <c r="O202" s="1" t="str">
        <f t="shared" si="39"/>
        <v/>
      </c>
      <c r="P202" s="2" t="str">
        <f t="shared" si="40"/>
        <v/>
      </c>
      <c r="Q202" s="1" t="str">
        <f t="shared" si="41"/>
        <v/>
      </c>
      <c r="R202" s="2" t="str">
        <f t="shared" si="42"/>
        <v/>
      </c>
      <c r="S202" s="1" t="str">
        <f t="shared" si="43"/>
        <v/>
      </c>
    </row>
    <row r="203" spans="1:19" x14ac:dyDescent="0.2">
      <c r="A203" t="str">
        <f>IF(COUNTBLANK(B203:S203)&lt;&gt;COLUMNS(B203:S203),202,"")</f>
        <v/>
      </c>
      <c r="C203" s="2" t="str">
        <f t="shared" si="33"/>
        <v/>
      </c>
      <c r="D203" s="1" t="str">
        <f t="shared" si="34"/>
        <v/>
      </c>
      <c r="E203" s="1" t="str">
        <f t="shared" si="35"/>
        <v/>
      </c>
      <c r="I203" s="1" t="str">
        <f t="shared" si="36"/>
        <v/>
      </c>
      <c r="J203" s="2" t="str">
        <f t="shared" si="37"/>
        <v/>
      </c>
      <c r="K203" s="1" t="str">
        <f t="shared" si="38"/>
        <v/>
      </c>
      <c r="O203" s="1" t="str">
        <f t="shared" si="39"/>
        <v/>
      </c>
      <c r="P203" s="2" t="str">
        <f t="shared" si="40"/>
        <v/>
      </c>
      <c r="Q203" s="1" t="str">
        <f t="shared" si="41"/>
        <v/>
      </c>
      <c r="R203" s="2" t="str">
        <f t="shared" si="42"/>
        <v/>
      </c>
      <c r="S203" s="1" t="str">
        <f t="shared" si="43"/>
        <v/>
      </c>
    </row>
    <row r="204" spans="1:19" x14ac:dyDescent="0.2">
      <c r="A204" t="str">
        <f>IF(COUNTBLANK(B204:S204)&lt;&gt;COLUMNS(B204:S204),203,"")</f>
        <v/>
      </c>
      <c r="C204" s="2" t="str">
        <f t="shared" si="33"/>
        <v/>
      </c>
      <c r="D204" s="1" t="str">
        <f t="shared" si="34"/>
        <v/>
      </c>
      <c r="E204" s="1" t="str">
        <f t="shared" si="35"/>
        <v/>
      </c>
      <c r="I204" s="1" t="str">
        <f t="shared" si="36"/>
        <v/>
      </c>
      <c r="J204" s="2" t="str">
        <f t="shared" si="37"/>
        <v/>
      </c>
      <c r="K204" s="1" t="str">
        <f t="shared" si="38"/>
        <v/>
      </c>
      <c r="O204" s="1" t="str">
        <f t="shared" si="39"/>
        <v/>
      </c>
      <c r="P204" s="2" t="str">
        <f t="shared" si="40"/>
        <v/>
      </c>
      <c r="Q204" s="1" t="str">
        <f t="shared" si="41"/>
        <v/>
      </c>
      <c r="R204" s="2" t="str">
        <f t="shared" si="42"/>
        <v/>
      </c>
      <c r="S204" s="1" t="str">
        <f t="shared" si="43"/>
        <v/>
      </c>
    </row>
    <row r="205" spans="1:19" x14ac:dyDescent="0.2">
      <c r="A205" t="str">
        <f>IF(COUNTBLANK(B205:S205)&lt;&gt;COLUMNS(B205:S205),204,"")</f>
        <v/>
      </c>
      <c r="C205" s="2" t="str">
        <f t="shared" si="33"/>
        <v/>
      </c>
      <c r="D205" s="1" t="str">
        <f t="shared" si="34"/>
        <v/>
      </c>
      <c r="E205" s="1" t="str">
        <f t="shared" si="35"/>
        <v/>
      </c>
      <c r="I205" s="1" t="str">
        <f t="shared" si="36"/>
        <v/>
      </c>
      <c r="J205" s="2" t="str">
        <f t="shared" si="37"/>
        <v/>
      </c>
      <c r="K205" s="1" t="str">
        <f t="shared" si="38"/>
        <v/>
      </c>
      <c r="O205" s="1" t="str">
        <f t="shared" si="39"/>
        <v/>
      </c>
      <c r="P205" s="2" t="str">
        <f t="shared" si="40"/>
        <v/>
      </c>
      <c r="Q205" s="1" t="str">
        <f t="shared" si="41"/>
        <v/>
      </c>
      <c r="R205" s="2" t="str">
        <f t="shared" si="42"/>
        <v/>
      </c>
      <c r="S205" s="1" t="str">
        <f t="shared" si="43"/>
        <v/>
      </c>
    </row>
    <row r="206" spans="1:19" x14ac:dyDescent="0.2">
      <c r="A206" t="str">
        <f>IF(COUNTBLANK(B206:S206)&lt;&gt;COLUMNS(B206:S206),205,"")</f>
        <v/>
      </c>
      <c r="C206" s="2" t="str">
        <f t="shared" si="33"/>
        <v/>
      </c>
      <c r="D206" s="1" t="str">
        <f t="shared" si="34"/>
        <v/>
      </c>
      <c r="E206" s="1" t="str">
        <f t="shared" si="35"/>
        <v/>
      </c>
      <c r="I206" s="1" t="str">
        <f t="shared" si="36"/>
        <v/>
      </c>
      <c r="J206" s="2" t="str">
        <f t="shared" si="37"/>
        <v/>
      </c>
      <c r="K206" s="1" t="str">
        <f t="shared" si="38"/>
        <v/>
      </c>
      <c r="O206" s="1" t="str">
        <f t="shared" si="39"/>
        <v/>
      </c>
      <c r="P206" s="2" t="str">
        <f t="shared" si="40"/>
        <v/>
      </c>
      <c r="Q206" s="1" t="str">
        <f t="shared" si="41"/>
        <v/>
      </c>
      <c r="R206" s="2" t="str">
        <f t="shared" si="42"/>
        <v/>
      </c>
      <c r="S206" s="1" t="str">
        <f t="shared" si="43"/>
        <v/>
      </c>
    </row>
    <row r="207" spans="1:19" x14ac:dyDescent="0.2">
      <c r="A207" t="str">
        <f>IF(COUNTBLANK(B207:S207)&lt;&gt;COLUMNS(B207:S207),206,"")</f>
        <v/>
      </c>
      <c r="C207" s="2" t="str">
        <f t="shared" si="33"/>
        <v/>
      </c>
      <c r="D207" s="1" t="str">
        <f t="shared" si="34"/>
        <v/>
      </c>
      <c r="E207" s="1" t="str">
        <f t="shared" si="35"/>
        <v/>
      </c>
      <c r="I207" s="1" t="str">
        <f t="shared" si="36"/>
        <v/>
      </c>
      <c r="J207" s="2" t="str">
        <f t="shared" si="37"/>
        <v/>
      </c>
      <c r="K207" s="1" t="str">
        <f t="shared" si="38"/>
        <v/>
      </c>
      <c r="O207" s="1" t="str">
        <f t="shared" si="39"/>
        <v/>
      </c>
      <c r="P207" s="2" t="str">
        <f t="shared" si="40"/>
        <v/>
      </c>
      <c r="Q207" s="1" t="str">
        <f t="shared" si="41"/>
        <v/>
      </c>
      <c r="R207" s="2" t="str">
        <f t="shared" si="42"/>
        <v/>
      </c>
      <c r="S207" s="1" t="str">
        <f t="shared" si="43"/>
        <v/>
      </c>
    </row>
    <row r="208" spans="1:19" x14ac:dyDescent="0.2">
      <c r="A208" t="str">
        <f>IF(COUNTBLANK(B208:S208)&lt;&gt;COLUMNS(B208:S208),207,"")</f>
        <v/>
      </c>
      <c r="C208" s="2" t="str">
        <f t="shared" si="33"/>
        <v/>
      </c>
      <c r="D208" s="1" t="str">
        <f t="shared" si="34"/>
        <v/>
      </c>
      <c r="E208" s="1" t="str">
        <f t="shared" si="35"/>
        <v/>
      </c>
      <c r="I208" s="1" t="str">
        <f t="shared" si="36"/>
        <v/>
      </c>
      <c r="J208" s="2" t="str">
        <f t="shared" si="37"/>
        <v/>
      </c>
      <c r="K208" s="1" t="str">
        <f t="shared" si="38"/>
        <v/>
      </c>
      <c r="O208" s="1" t="str">
        <f t="shared" si="39"/>
        <v/>
      </c>
      <c r="P208" s="2" t="str">
        <f t="shared" si="40"/>
        <v/>
      </c>
      <c r="Q208" s="1" t="str">
        <f t="shared" si="41"/>
        <v/>
      </c>
      <c r="R208" s="2" t="str">
        <f t="shared" si="42"/>
        <v/>
      </c>
      <c r="S208" s="1" t="str">
        <f t="shared" si="43"/>
        <v/>
      </c>
    </row>
    <row r="209" spans="1:19" x14ac:dyDescent="0.2">
      <c r="A209" t="str">
        <f>IF(COUNTBLANK(B209:S209)&lt;&gt;COLUMNS(B209:S209),208,"")</f>
        <v/>
      </c>
      <c r="C209" s="2" t="str">
        <f t="shared" si="33"/>
        <v/>
      </c>
      <c r="D209" s="1" t="str">
        <f t="shared" si="34"/>
        <v/>
      </c>
      <c r="E209" s="1" t="str">
        <f t="shared" si="35"/>
        <v/>
      </c>
      <c r="I209" s="1" t="str">
        <f t="shared" si="36"/>
        <v/>
      </c>
      <c r="J209" s="2" t="str">
        <f t="shared" si="37"/>
        <v/>
      </c>
      <c r="K209" s="1" t="str">
        <f t="shared" si="38"/>
        <v/>
      </c>
      <c r="O209" s="1" t="str">
        <f t="shared" si="39"/>
        <v/>
      </c>
      <c r="P209" s="2" t="str">
        <f t="shared" si="40"/>
        <v/>
      </c>
      <c r="Q209" s="1" t="str">
        <f t="shared" si="41"/>
        <v/>
      </c>
      <c r="R209" s="2" t="str">
        <f t="shared" si="42"/>
        <v/>
      </c>
      <c r="S209" s="1" t="str">
        <f t="shared" si="43"/>
        <v/>
      </c>
    </row>
    <row r="210" spans="1:19" x14ac:dyDescent="0.2">
      <c r="A210" t="str">
        <f>IF(COUNTBLANK(B210:S210)&lt;&gt;COLUMNS(B210:S210),209,"")</f>
        <v/>
      </c>
      <c r="C210" s="2" t="str">
        <f t="shared" si="33"/>
        <v/>
      </c>
      <c r="D210" s="1" t="str">
        <f t="shared" si="34"/>
        <v/>
      </c>
      <c r="E210" s="1" t="str">
        <f t="shared" si="35"/>
        <v/>
      </c>
      <c r="I210" s="1" t="str">
        <f t="shared" si="36"/>
        <v/>
      </c>
      <c r="J210" s="2" t="str">
        <f t="shared" si="37"/>
        <v/>
      </c>
      <c r="K210" s="1" t="str">
        <f t="shared" si="38"/>
        <v/>
      </c>
      <c r="O210" s="1" t="str">
        <f t="shared" si="39"/>
        <v/>
      </c>
      <c r="P210" s="2" t="str">
        <f t="shared" si="40"/>
        <v/>
      </c>
      <c r="Q210" s="1" t="str">
        <f t="shared" si="41"/>
        <v/>
      </c>
      <c r="R210" s="2" t="str">
        <f t="shared" si="42"/>
        <v/>
      </c>
      <c r="S210" s="1" t="str">
        <f t="shared" si="43"/>
        <v/>
      </c>
    </row>
    <row r="211" spans="1:19" x14ac:dyDescent="0.2">
      <c r="A211" t="str">
        <f>IF(COUNTBLANK(B211:S211)&lt;&gt;COLUMNS(B211:S211),210,"")</f>
        <v/>
      </c>
      <c r="C211" s="2" t="str">
        <f t="shared" si="33"/>
        <v/>
      </c>
      <c r="D211" s="1" t="str">
        <f t="shared" si="34"/>
        <v/>
      </c>
      <c r="E211" s="1" t="str">
        <f t="shared" si="35"/>
        <v/>
      </c>
      <c r="I211" s="1" t="str">
        <f t="shared" si="36"/>
        <v/>
      </c>
      <c r="J211" s="2" t="str">
        <f t="shared" si="37"/>
        <v/>
      </c>
      <c r="K211" s="1" t="str">
        <f t="shared" si="38"/>
        <v/>
      </c>
      <c r="O211" s="1" t="str">
        <f t="shared" si="39"/>
        <v/>
      </c>
      <c r="P211" s="2" t="str">
        <f t="shared" si="40"/>
        <v/>
      </c>
      <c r="Q211" s="1" t="str">
        <f t="shared" si="41"/>
        <v/>
      </c>
      <c r="R211" s="2" t="str">
        <f t="shared" si="42"/>
        <v/>
      </c>
      <c r="S211" s="1" t="str">
        <f t="shared" si="43"/>
        <v/>
      </c>
    </row>
    <row r="212" spans="1:19" x14ac:dyDescent="0.2">
      <c r="A212" t="str">
        <f>IF(COUNTBLANK(B212:S212)&lt;&gt;COLUMNS(B212:S212),211,"")</f>
        <v/>
      </c>
      <c r="C212" s="2" t="str">
        <f t="shared" si="33"/>
        <v/>
      </c>
      <c r="D212" s="1" t="str">
        <f t="shared" si="34"/>
        <v/>
      </c>
      <c r="E212" s="1" t="str">
        <f t="shared" si="35"/>
        <v/>
      </c>
      <c r="I212" s="1" t="str">
        <f t="shared" si="36"/>
        <v/>
      </c>
      <c r="J212" s="2" t="str">
        <f t="shared" si="37"/>
        <v/>
      </c>
      <c r="K212" s="1" t="str">
        <f t="shared" si="38"/>
        <v/>
      </c>
      <c r="O212" s="1" t="str">
        <f t="shared" si="39"/>
        <v/>
      </c>
      <c r="P212" s="2" t="str">
        <f t="shared" si="40"/>
        <v/>
      </c>
      <c r="Q212" s="1" t="str">
        <f t="shared" si="41"/>
        <v/>
      </c>
      <c r="R212" s="2" t="str">
        <f t="shared" si="42"/>
        <v/>
      </c>
      <c r="S212" s="1" t="str">
        <f t="shared" si="43"/>
        <v/>
      </c>
    </row>
    <row r="213" spans="1:19" x14ac:dyDescent="0.2">
      <c r="A213" t="str">
        <f>IF(COUNTBLANK(B213:S213)&lt;&gt;COLUMNS(B213:S213),212,"")</f>
        <v/>
      </c>
      <c r="C213" s="2" t="str">
        <f t="shared" si="33"/>
        <v/>
      </c>
      <c r="D213" s="1" t="str">
        <f t="shared" si="34"/>
        <v/>
      </c>
      <c r="E213" s="1" t="str">
        <f t="shared" si="35"/>
        <v/>
      </c>
      <c r="I213" s="1" t="str">
        <f t="shared" si="36"/>
        <v/>
      </c>
      <c r="J213" s="2" t="str">
        <f t="shared" si="37"/>
        <v/>
      </c>
      <c r="K213" s="1" t="str">
        <f t="shared" si="38"/>
        <v/>
      </c>
      <c r="O213" s="1" t="str">
        <f t="shared" si="39"/>
        <v/>
      </c>
      <c r="P213" s="2" t="str">
        <f t="shared" si="40"/>
        <v/>
      </c>
      <c r="Q213" s="1" t="str">
        <f t="shared" si="41"/>
        <v/>
      </c>
      <c r="R213" s="2" t="str">
        <f t="shared" si="42"/>
        <v/>
      </c>
      <c r="S213" s="1" t="str">
        <f t="shared" si="43"/>
        <v/>
      </c>
    </row>
    <row r="214" spans="1:19" x14ac:dyDescent="0.2">
      <c r="A214" t="str">
        <f>IF(COUNTBLANK(B214:S214)&lt;&gt;COLUMNS(B214:S214),213,"")</f>
        <v/>
      </c>
      <c r="C214" s="2" t="str">
        <f t="shared" si="33"/>
        <v/>
      </c>
      <c r="D214" s="1" t="str">
        <f t="shared" si="34"/>
        <v/>
      </c>
      <c r="E214" s="1" t="str">
        <f t="shared" si="35"/>
        <v/>
      </c>
      <c r="I214" s="1" t="str">
        <f t="shared" si="36"/>
        <v/>
      </c>
      <c r="J214" s="2" t="str">
        <f t="shared" si="37"/>
        <v/>
      </c>
      <c r="K214" s="1" t="str">
        <f t="shared" si="38"/>
        <v/>
      </c>
      <c r="O214" s="1" t="str">
        <f t="shared" si="39"/>
        <v/>
      </c>
      <c r="P214" s="2" t="str">
        <f t="shared" si="40"/>
        <v/>
      </c>
      <c r="Q214" s="1" t="str">
        <f t="shared" si="41"/>
        <v/>
      </c>
      <c r="R214" s="2" t="str">
        <f t="shared" si="42"/>
        <v/>
      </c>
      <c r="S214" s="1" t="str">
        <f t="shared" si="43"/>
        <v/>
      </c>
    </row>
    <row r="215" spans="1:19" x14ac:dyDescent="0.2">
      <c r="A215" t="str">
        <f>IF(COUNTBLANK(B215:S215)&lt;&gt;COLUMNS(B215:S215),214,"")</f>
        <v/>
      </c>
      <c r="C215" s="2" t="str">
        <f t="shared" si="33"/>
        <v/>
      </c>
      <c r="D215" s="1" t="str">
        <f t="shared" si="34"/>
        <v/>
      </c>
      <c r="E215" s="1" t="str">
        <f t="shared" si="35"/>
        <v/>
      </c>
      <c r="I215" s="1" t="str">
        <f t="shared" si="36"/>
        <v/>
      </c>
      <c r="J215" s="2" t="str">
        <f t="shared" si="37"/>
        <v/>
      </c>
      <c r="K215" s="1" t="str">
        <f t="shared" si="38"/>
        <v/>
      </c>
      <c r="O215" s="1" t="str">
        <f t="shared" si="39"/>
        <v/>
      </c>
      <c r="P215" s="2" t="str">
        <f t="shared" si="40"/>
        <v/>
      </c>
      <c r="Q215" s="1" t="str">
        <f t="shared" si="41"/>
        <v/>
      </c>
      <c r="R215" s="2" t="str">
        <f t="shared" si="42"/>
        <v/>
      </c>
      <c r="S215" s="1" t="str">
        <f t="shared" si="43"/>
        <v/>
      </c>
    </row>
    <row r="216" spans="1:19" x14ac:dyDescent="0.2">
      <c r="A216" t="str">
        <f>IF(COUNTBLANK(B216:S216)&lt;&gt;COLUMNS(B216:S216),215,"")</f>
        <v/>
      </c>
      <c r="C216" s="2" t="str">
        <f t="shared" si="33"/>
        <v/>
      </c>
      <c r="D216" s="1" t="str">
        <f t="shared" si="34"/>
        <v/>
      </c>
      <c r="E216" s="1" t="str">
        <f t="shared" si="35"/>
        <v/>
      </c>
      <c r="I216" s="1" t="str">
        <f t="shared" si="36"/>
        <v/>
      </c>
      <c r="J216" s="2" t="str">
        <f t="shared" si="37"/>
        <v/>
      </c>
      <c r="K216" s="1" t="str">
        <f t="shared" si="38"/>
        <v/>
      </c>
      <c r="O216" s="1" t="str">
        <f t="shared" si="39"/>
        <v/>
      </c>
      <c r="P216" s="2" t="str">
        <f t="shared" si="40"/>
        <v/>
      </c>
      <c r="Q216" s="1" t="str">
        <f t="shared" si="41"/>
        <v/>
      </c>
      <c r="R216" s="2" t="str">
        <f t="shared" si="42"/>
        <v/>
      </c>
      <c r="S216" s="1" t="str">
        <f t="shared" si="43"/>
        <v/>
      </c>
    </row>
    <row r="217" spans="1:19" x14ac:dyDescent="0.2">
      <c r="A217" t="str">
        <f>IF(COUNTBLANK(B217:S217)&lt;&gt;COLUMNS(B217:S217),216,"")</f>
        <v/>
      </c>
      <c r="C217" s="2" t="str">
        <f t="shared" si="33"/>
        <v/>
      </c>
      <c r="D217" s="1" t="str">
        <f t="shared" si="34"/>
        <v/>
      </c>
      <c r="E217" s="1" t="str">
        <f t="shared" si="35"/>
        <v/>
      </c>
      <c r="I217" s="1" t="str">
        <f t="shared" si="36"/>
        <v/>
      </c>
      <c r="J217" s="2" t="str">
        <f t="shared" si="37"/>
        <v/>
      </c>
      <c r="K217" s="1" t="str">
        <f t="shared" si="38"/>
        <v/>
      </c>
      <c r="O217" s="1" t="str">
        <f t="shared" si="39"/>
        <v/>
      </c>
      <c r="P217" s="2" t="str">
        <f t="shared" si="40"/>
        <v/>
      </c>
      <c r="Q217" s="1" t="str">
        <f t="shared" si="41"/>
        <v/>
      </c>
      <c r="R217" s="2" t="str">
        <f t="shared" si="42"/>
        <v/>
      </c>
      <c r="S217" s="1" t="str">
        <f t="shared" si="43"/>
        <v/>
      </c>
    </row>
    <row r="218" spans="1:19" x14ac:dyDescent="0.2">
      <c r="A218" t="str">
        <f>IF(COUNTBLANK(B218:S218)&lt;&gt;COLUMNS(B218:S218),217,"")</f>
        <v/>
      </c>
      <c r="C218" s="2" t="str">
        <f t="shared" si="33"/>
        <v/>
      </c>
      <c r="D218" s="1" t="str">
        <f t="shared" si="34"/>
        <v/>
      </c>
      <c r="E218" s="1" t="str">
        <f t="shared" si="35"/>
        <v/>
      </c>
      <c r="I218" s="1" t="str">
        <f t="shared" si="36"/>
        <v/>
      </c>
      <c r="J218" s="2" t="str">
        <f t="shared" si="37"/>
        <v/>
      </c>
      <c r="K218" s="1" t="str">
        <f t="shared" si="38"/>
        <v/>
      </c>
      <c r="O218" s="1" t="str">
        <f t="shared" si="39"/>
        <v/>
      </c>
      <c r="P218" s="2" t="str">
        <f t="shared" si="40"/>
        <v/>
      </c>
      <c r="Q218" s="1" t="str">
        <f t="shared" si="41"/>
        <v/>
      </c>
      <c r="R218" s="2" t="str">
        <f t="shared" si="42"/>
        <v/>
      </c>
      <c r="S218" s="1" t="str">
        <f t="shared" si="43"/>
        <v/>
      </c>
    </row>
    <row r="219" spans="1:19" x14ac:dyDescent="0.2">
      <c r="A219" t="str">
        <f>IF(COUNTBLANK(B219:S219)&lt;&gt;COLUMNS(B219:S219),218,"")</f>
        <v/>
      </c>
      <c r="C219" s="2" t="str">
        <f t="shared" si="33"/>
        <v/>
      </c>
      <c r="D219" s="1" t="str">
        <f t="shared" si="34"/>
        <v/>
      </c>
      <c r="E219" s="1" t="str">
        <f t="shared" si="35"/>
        <v/>
      </c>
      <c r="I219" s="1" t="str">
        <f t="shared" si="36"/>
        <v/>
      </c>
      <c r="J219" s="2" t="str">
        <f t="shared" si="37"/>
        <v/>
      </c>
      <c r="K219" s="1" t="str">
        <f t="shared" si="38"/>
        <v/>
      </c>
      <c r="O219" s="1" t="str">
        <f t="shared" si="39"/>
        <v/>
      </c>
      <c r="P219" s="2" t="str">
        <f t="shared" si="40"/>
        <v/>
      </c>
      <c r="Q219" s="1" t="str">
        <f t="shared" si="41"/>
        <v/>
      </c>
      <c r="R219" s="2" t="str">
        <f t="shared" si="42"/>
        <v/>
      </c>
      <c r="S219" s="1" t="str">
        <f t="shared" si="43"/>
        <v/>
      </c>
    </row>
    <row r="220" spans="1:19" x14ac:dyDescent="0.2">
      <c r="A220" t="str">
        <f>IF(COUNTBLANK(B220:S220)&lt;&gt;COLUMNS(B220:S220),219,"")</f>
        <v/>
      </c>
      <c r="C220" s="2" t="str">
        <f t="shared" si="33"/>
        <v/>
      </c>
      <c r="D220" s="1" t="str">
        <f t="shared" si="34"/>
        <v/>
      </c>
      <c r="E220" s="1" t="str">
        <f t="shared" si="35"/>
        <v/>
      </c>
      <c r="I220" s="1" t="str">
        <f t="shared" si="36"/>
        <v/>
      </c>
      <c r="J220" s="2" t="str">
        <f t="shared" si="37"/>
        <v/>
      </c>
      <c r="K220" s="1" t="str">
        <f t="shared" si="38"/>
        <v/>
      </c>
      <c r="O220" s="1" t="str">
        <f t="shared" si="39"/>
        <v/>
      </c>
      <c r="P220" s="2" t="str">
        <f t="shared" si="40"/>
        <v/>
      </c>
      <c r="Q220" s="1" t="str">
        <f t="shared" si="41"/>
        <v/>
      </c>
      <c r="R220" s="2" t="str">
        <f t="shared" si="42"/>
        <v/>
      </c>
      <c r="S220" s="1" t="str">
        <f t="shared" si="43"/>
        <v/>
      </c>
    </row>
    <row r="221" spans="1:19" x14ac:dyDescent="0.2">
      <c r="A221" t="str">
        <f>IF(COUNTBLANK(B221:S221)&lt;&gt;COLUMNS(B221:S221),220,"")</f>
        <v/>
      </c>
      <c r="C221" s="2" t="str">
        <f t="shared" si="33"/>
        <v/>
      </c>
      <c r="D221" s="1" t="str">
        <f t="shared" si="34"/>
        <v/>
      </c>
      <c r="E221" s="1" t="str">
        <f t="shared" si="35"/>
        <v/>
      </c>
      <c r="I221" s="1" t="str">
        <f t="shared" si="36"/>
        <v/>
      </c>
      <c r="J221" s="2" t="str">
        <f t="shared" si="37"/>
        <v/>
      </c>
      <c r="K221" s="1" t="str">
        <f t="shared" si="38"/>
        <v/>
      </c>
      <c r="O221" s="1" t="str">
        <f t="shared" si="39"/>
        <v/>
      </c>
      <c r="P221" s="2" t="str">
        <f t="shared" si="40"/>
        <v/>
      </c>
      <c r="Q221" s="1" t="str">
        <f t="shared" si="41"/>
        <v/>
      </c>
      <c r="R221" s="2" t="str">
        <f t="shared" si="42"/>
        <v/>
      </c>
      <c r="S221" s="1" t="str">
        <f t="shared" si="43"/>
        <v/>
      </c>
    </row>
    <row r="222" spans="1:19" x14ac:dyDescent="0.2">
      <c r="A222" t="str">
        <f>IF(COUNTBLANK(B222:S222)&lt;&gt;COLUMNS(B222:S222),221,"")</f>
        <v/>
      </c>
      <c r="C222" s="2" t="str">
        <f t="shared" si="33"/>
        <v/>
      </c>
      <c r="D222" s="1" t="str">
        <f t="shared" si="34"/>
        <v/>
      </c>
      <c r="E222" s="1" t="str">
        <f t="shared" si="35"/>
        <v/>
      </c>
      <c r="I222" s="1" t="str">
        <f t="shared" si="36"/>
        <v/>
      </c>
      <c r="J222" s="2" t="str">
        <f t="shared" si="37"/>
        <v/>
      </c>
      <c r="K222" s="1" t="str">
        <f t="shared" si="38"/>
        <v/>
      </c>
      <c r="O222" s="1" t="str">
        <f t="shared" si="39"/>
        <v/>
      </c>
      <c r="P222" s="2" t="str">
        <f t="shared" si="40"/>
        <v/>
      </c>
      <c r="Q222" s="1" t="str">
        <f t="shared" si="41"/>
        <v/>
      </c>
      <c r="R222" s="2" t="str">
        <f t="shared" si="42"/>
        <v/>
      </c>
      <c r="S222" s="1" t="str">
        <f t="shared" si="43"/>
        <v/>
      </c>
    </row>
    <row r="223" spans="1:19" x14ac:dyDescent="0.2">
      <c r="A223" t="str">
        <f>IF(COUNTBLANK(B223:S223)&lt;&gt;COLUMNS(B223:S223),222,"")</f>
        <v/>
      </c>
      <c r="C223" s="2" t="str">
        <f t="shared" si="33"/>
        <v/>
      </c>
      <c r="D223" s="1" t="str">
        <f t="shared" si="34"/>
        <v/>
      </c>
      <c r="E223" s="1" t="str">
        <f t="shared" si="35"/>
        <v/>
      </c>
      <c r="I223" s="1" t="str">
        <f t="shared" si="36"/>
        <v/>
      </c>
      <c r="J223" s="2" t="str">
        <f t="shared" si="37"/>
        <v/>
      </c>
      <c r="K223" s="1" t="str">
        <f t="shared" si="38"/>
        <v/>
      </c>
      <c r="O223" s="1" t="str">
        <f t="shared" si="39"/>
        <v/>
      </c>
      <c r="P223" s="2" t="str">
        <f t="shared" si="40"/>
        <v/>
      </c>
      <c r="Q223" s="1" t="str">
        <f t="shared" si="41"/>
        <v/>
      </c>
      <c r="R223" s="2" t="str">
        <f t="shared" si="42"/>
        <v/>
      </c>
      <c r="S223" s="1" t="str">
        <f t="shared" si="43"/>
        <v/>
      </c>
    </row>
    <row r="224" spans="1:19" x14ac:dyDescent="0.2">
      <c r="A224" t="str">
        <f>IF(COUNTBLANK(B224:S224)&lt;&gt;COLUMNS(B224:S224),223,"")</f>
        <v/>
      </c>
      <c r="C224" s="2" t="str">
        <f t="shared" si="33"/>
        <v/>
      </c>
      <c r="D224" s="1" t="str">
        <f t="shared" si="34"/>
        <v/>
      </c>
      <c r="E224" s="1" t="str">
        <f t="shared" si="35"/>
        <v/>
      </c>
      <c r="I224" s="1" t="str">
        <f t="shared" si="36"/>
        <v/>
      </c>
      <c r="J224" s="2" t="str">
        <f t="shared" si="37"/>
        <v/>
      </c>
      <c r="K224" s="1" t="str">
        <f t="shared" si="38"/>
        <v/>
      </c>
      <c r="O224" s="1" t="str">
        <f t="shared" si="39"/>
        <v/>
      </c>
      <c r="P224" s="2" t="str">
        <f t="shared" si="40"/>
        <v/>
      </c>
      <c r="Q224" s="1" t="str">
        <f t="shared" si="41"/>
        <v/>
      </c>
      <c r="R224" s="2" t="str">
        <f t="shared" si="42"/>
        <v/>
      </c>
      <c r="S224" s="1" t="str">
        <f t="shared" si="43"/>
        <v/>
      </c>
    </row>
    <row r="225" spans="1:19" x14ac:dyDescent="0.2">
      <c r="A225" t="str">
        <f>IF(COUNTBLANK(B225:S225)&lt;&gt;COLUMNS(B225:S225),224,"")</f>
        <v/>
      </c>
      <c r="C225" s="2" t="str">
        <f t="shared" si="33"/>
        <v/>
      </c>
      <c r="D225" s="1" t="str">
        <f t="shared" si="34"/>
        <v/>
      </c>
      <c r="E225" s="1" t="str">
        <f t="shared" si="35"/>
        <v/>
      </c>
      <c r="I225" s="1" t="str">
        <f t="shared" si="36"/>
        <v/>
      </c>
      <c r="J225" s="2" t="str">
        <f t="shared" si="37"/>
        <v/>
      </c>
      <c r="K225" s="1" t="str">
        <f t="shared" si="38"/>
        <v/>
      </c>
      <c r="O225" s="1" t="str">
        <f t="shared" si="39"/>
        <v/>
      </c>
      <c r="P225" s="2" t="str">
        <f t="shared" si="40"/>
        <v/>
      </c>
      <c r="Q225" s="1" t="str">
        <f t="shared" si="41"/>
        <v/>
      </c>
      <c r="R225" s="2" t="str">
        <f t="shared" si="42"/>
        <v/>
      </c>
      <c r="S225" s="1" t="str">
        <f t="shared" si="43"/>
        <v/>
      </c>
    </row>
    <row r="226" spans="1:19" x14ac:dyDescent="0.2">
      <c r="A226" t="str">
        <f>IF(COUNTBLANK(B226:S226)&lt;&gt;COLUMNS(B226:S226),225,"")</f>
        <v/>
      </c>
      <c r="C226" s="2" t="str">
        <f t="shared" si="33"/>
        <v/>
      </c>
      <c r="D226" s="1" t="str">
        <f t="shared" si="34"/>
        <v/>
      </c>
      <c r="E226" s="1" t="str">
        <f t="shared" si="35"/>
        <v/>
      </c>
      <c r="I226" s="1" t="str">
        <f t="shared" si="36"/>
        <v/>
      </c>
      <c r="J226" s="2" t="str">
        <f t="shared" si="37"/>
        <v/>
      </c>
      <c r="K226" s="1" t="str">
        <f t="shared" si="38"/>
        <v/>
      </c>
      <c r="O226" s="1" t="str">
        <f t="shared" si="39"/>
        <v/>
      </c>
      <c r="P226" s="2" t="str">
        <f t="shared" si="40"/>
        <v/>
      </c>
      <c r="Q226" s="1" t="str">
        <f t="shared" si="41"/>
        <v/>
      </c>
      <c r="R226" s="2" t="str">
        <f t="shared" si="42"/>
        <v/>
      </c>
      <c r="S226" s="1" t="str">
        <f t="shared" si="43"/>
        <v/>
      </c>
    </row>
    <row r="227" spans="1:19" x14ac:dyDescent="0.2">
      <c r="A227" t="str">
        <f>IF(COUNTBLANK(B227:S227)&lt;&gt;COLUMNS(B227:S227),226,"")</f>
        <v/>
      </c>
      <c r="C227" s="2" t="str">
        <f t="shared" si="33"/>
        <v/>
      </c>
      <c r="D227" s="1" t="str">
        <f t="shared" si="34"/>
        <v/>
      </c>
      <c r="E227" s="1" t="str">
        <f t="shared" si="35"/>
        <v/>
      </c>
      <c r="I227" s="1" t="str">
        <f t="shared" si="36"/>
        <v/>
      </c>
      <c r="J227" s="2" t="str">
        <f t="shared" si="37"/>
        <v/>
      </c>
      <c r="K227" s="1" t="str">
        <f t="shared" si="38"/>
        <v/>
      </c>
      <c r="O227" s="1" t="str">
        <f t="shared" si="39"/>
        <v/>
      </c>
      <c r="P227" s="2" t="str">
        <f t="shared" si="40"/>
        <v/>
      </c>
      <c r="Q227" s="1" t="str">
        <f t="shared" si="41"/>
        <v/>
      </c>
      <c r="R227" s="2" t="str">
        <f t="shared" si="42"/>
        <v/>
      </c>
      <c r="S227" s="1" t="str">
        <f t="shared" si="43"/>
        <v/>
      </c>
    </row>
    <row r="228" spans="1:19" x14ac:dyDescent="0.2">
      <c r="A228" t="str">
        <f>IF(COUNTBLANK(B228:S228)&lt;&gt;COLUMNS(B228:S228),227,"")</f>
        <v/>
      </c>
      <c r="C228" s="2" t="str">
        <f t="shared" si="33"/>
        <v/>
      </c>
      <c r="D228" s="1" t="str">
        <f t="shared" si="34"/>
        <v/>
      </c>
      <c r="E228" s="1" t="str">
        <f t="shared" si="35"/>
        <v/>
      </c>
      <c r="I228" s="1" t="str">
        <f t="shared" si="36"/>
        <v/>
      </c>
      <c r="J228" s="2" t="str">
        <f t="shared" si="37"/>
        <v/>
      </c>
      <c r="K228" s="1" t="str">
        <f t="shared" si="38"/>
        <v/>
      </c>
      <c r="O228" s="1" t="str">
        <f t="shared" si="39"/>
        <v/>
      </c>
      <c r="P228" s="2" t="str">
        <f t="shared" si="40"/>
        <v/>
      </c>
      <c r="Q228" s="1" t="str">
        <f t="shared" si="41"/>
        <v/>
      </c>
      <c r="R228" s="2" t="str">
        <f t="shared" si="42"/>
        <v/>
      </c>
      <c r="S228" s="1" t="str">
        <f t="shared" si="43"/>
        <v/>
      </c>
    </row>
    <row r="229" spans="1:19" x14ac:dyDescent="0.2">
      <c r="A229" t="str">
        <f>IF(COUNTBLANK(B229:S229)&lt;&gt;COLUMNS(B229:S229),228,"")</f>
        <v/>
      </c>
      <c r="C229" s="2" t="str">
        <f t="shared" si="33"/>
        <v/>
      </c>
      <c r="D229" s="1" t="str">
        <f t="shared" si="34"/>
        <v/>
      </c>
      <c r="E229" s="1" t="str">
        <f t="shared" si="35"/>
        <v/>
      </c>
      <c r="I229" s="1" t="str">
        <f t="shared" si="36"/>
        <v/>
      </c>
      <c r="J229" s="2" t="str">
        <f t="shared" si="37"/>
        <v/>
      </c>
      <c r="K229" s="1" t="str">
        <f t="shared" si="38"/>
        <v/>
      </c>
      <c r="O229" s="1" t="str">
        <f t="shared" si="39"/>
        <v/>
      </c>
      <c r="P229" s="2" t="str">
        <f t="shared" si="40"/>
        <v/>
      </c>
      <c r="Q229" s="1" t="str">
        <f t="shared" si="41"/>
        <v/>
      </c>
      <c r="R229" s="2" t="str">
        <f t="shared" si="42"/>
        <v/>
      </c>
      <c r="S229" s="1" t="str">
        <f t="shared" si="43"/>
        <v/>
      </c>
    </row>
    <row r="230" spans="1:19" x14ac:dyDescent="0.2">
      <c r="A230" t="str">
        <f>IF(COUNTBLANK(B230:S230)&lt;&gt;COLUMNS(B230:S230),229,"")</f>
        <v/>
      </c>
      <c r="C230" s="2" t="str">
        <f t="shared" si="33"/>
        <v/>
      </c>
      <c r="D230" s="1" t="str">
        <f t="shared" si="34"/>
        <v/>
      </c>
      <c r="E230" s="1" t="str">
        <f t="shared" si="35"/>
        <v/>
      </c>
      <c r="I230" s="1" t="str">
        <f t="shared" si="36"/>
        <v/>
      </c>
      <c r="J230" s="2" t="str">
        <f t="shared" si="37"/>
        <v/>
      </c>
      <c r="K230" s="1" t="str">
        <f t="shared" si="38"/>
        <v/>
      </c>
      <c r="O230" s="1" t="str">
        <f t="shared" si="39"/>
        <v/>
      </c>
      <c r="P230" s="2" t="str">
        <f t="shared" si="40"/>
        <v/>
      </c>
      <c r="Q230" s="1" t="str">
        <f t="shared" si="41"/>
        <v/>
      </c>
      <c r="R230" s="2" t="str">
        <f t="shared" si="42"/>
        <v/>
      </c>
      <c r="S230" s="1" t="str">
        <f t="shared" si="43"/>
        <v/>
      </c>
    </row>
    <row r="231" spans="1:19" x14ac:dyDescent="0.2">
      <c r="A231" t="str">
        <f>IF(COUNTBLANK(B231:S231)&lt;&gt;COLUMNS(B231:S231),230,"")</f>
        <v/>
      </c>
      <c r="C231" s="2" t="str">
        <f t="shared" si="33"/>
        <v/>
      </c>
      <c r="D231" s="1" t="str">
        <f t="shared" si="34"/>
        <v/>
      </c>
      <c r="E231" s="1" t="str">
        <f t="shared" si="35"/>
        <v/>
      </c>
      <c r="I231" s="1" t="str">
        <f t="shared" si="36"/>
        <v/>
      </c>
      <c r="J231" s="2" t="str">
        <f t="shared" si="37"/>
        <v/>
      </c>
      <c r="K231" s="1" t="str">
        <f t="shared" si="38"/>
        <v/>
      </c>
      <c r="O231" s="1" t="str">
        <f t="shared" si="39"/>
        <v/>
      </c>
      <c r="P231" s="2" t="str">
        <f t="shared" si="40"/>
        <v/>
      </c>
      <c r="Q231" s="1" t="str">
        <f t="shared" si="41"/>
        <v/>
      </c>
      <c r="R231" s="2" t="str">
        <f t="shared" si="42"/>
        <v/>
      </c>
      <c r="S231" s="1" t="str">
        <f t="shared" si="43"/>
        <v/>
      </c>
    </row>
    <row r="232" spans="1:19" x14ac:dyDescent="0.2">
      <c r="A232" t="str">
        <f>IF(COUNTBLANK(B232:S232)&lt;&gt;COLUMNS(B232:S232),231,"")</f>
        <v/>
      </c>
      <c r="C232" s="2" t="str">
        <f t="shared" si="33"/>
        <v/>
      </c>
      <c r="D232" s="1" t="str">
        <f t="shared" si="34"/>
        <v/>
      </c>
      <c r="E232" s="1" t="str">
        <f t="shared" si="35"/>
        <v/>
      </c>
      <c r="I232" s="1" t="str">
        <f t="shared" si="36"/>
        <v/>
      </c>
      <c r="J232" s="2" t="str">
        <f t="shared" si="37"/>
        <v/>
      </c>
      <c r="K232" s="1" t="str">
        <f t="shared" si="38"/>
        <v/>
      </c>
      <c r="O232" s="1" t="str">
        <f t="shared" si="39"/>
        <v/>
      </c>
      <c r="P232" s="2" t="str">
        <f t="shared" si="40"/>
        <v/>
      </c>
      <c r="Q232" s="1" t="str">
        <f t="shared" si="41"/>
        <v/>
      </c>
      <c r="R232" s="2" t="str">
        <f t="shared" si="42"/>
        <v/>
      </c>
      <c r="S232" s="1" t="str">
        <f t="shared" si="43"/>
        <v/>
      </c>
    </row>
    <row r="233" spans="1:19" x14ac:dyDescent="0.2">
      <c r="A233" t="str">
        <f>IF(COUNTBLANK(B233:S233)&lt;&gt;COLUMNS(B233:S233),232,"")</f>
        <v/>
      </c>
      <c r="C233" s="2" t="str">
        <f t="shared" si="33"/>
        <v/>
      </c>
      <c r="D233" s="1" t="str">
        <f t="shared" si="34"/>
        <v/>
      </c>
      <c r="E233" s="1" t="str">
        <f t="shared" si="35"/>
        <v/>
      </c>
      <c r="I233" s="1" t="str">
        <f t="shared" si="36"/>
        <v/>
      </c>
      <c r="J233" s="2" t="str">
        <f t="shared" si="37"/>
        <v/>
      </c>
      <c r="K233" s="1" t="str">
        <f t="shared" si="38"/>
        <v/>
      </c>
      <c r="O233" s="1" t="str">
        <f t="shared" si="39"/>
        <v/>
      </c>
      <c r="P233" s="2" t="str">
        <f t="shared" si="40"/>
        <v/>
      </c>
      <c r="Q233" s="1" t="str">
        <f t="shared" si="41"/>
        <v/>
      </c>
      <c r="R233" s="2" t="str">
        <f t="shared" si="42"/>
        <v/>
      </c>
      <c r="S233" s="1" t="str">
        <f t="shared" si="43"/>
        <v/>
      </c>
    </row>
    <row r="234" spans="1:19" x14ac:dyDescent="0.2">
      <c r="A234" t="str">
        <f>IF(COUNTBLANK(B234:S234)&lt;&gt;COLUMNS(B234:S234),233,"")</f>
        <v/>
      </c>
      <c r="C234" s="2" t="str">
        <f t="shared" si="33"/>
        <v/>
      </c>
      <c r="D234" s="1" t="str">
        <f t="shared" si="34"/>
        <v/>
      </c>
      <c r="E234" s="1" t="str">
        <f t="shared" si="35"/>
        <v/>
      </c>
      <c r="I234" s="1" t="str">
        <f t="shared" si="36"/>
        <v/>
      </c>
      <c r="J234" s="2" t="str">
        <f t="shared" si="37"/>
        <v/>
      </c>
      <c r="K234" s="1" t="str">
        <f t="shared" si="38"/>
        <v/>
      </c>
      <c r="O234" s="1" t="str">
        <f t="shared" si="39"/>
        <v/>
      </c>
      <c r="P234" s="2" t="str">
        <f t="shared" si="40"/>
        <v/>
      </c>
      <c r="Q234" s="1" t="str">
        <f t="shared" si="41"/>
        <v/>
      </c>
      <c r="R234" s="2" t="str">
        <f t="shared" si="42"/>
        <v/>
      </c>
      <c r="S234" s="1" t="str">
        <f t="shared" si="43"/>
        <v/>
      </c>
    </row>
    <row r="235" spans="1:19" x14ac:dyDescent="0.2">
      <c r="A235" t="str">
        <f>IF(COUNTBLANK(B235:S235)&lt;&gt;COLUMNS(B235:S235),234,"")</f>
        <v/>
      </c>
      <c r="C235" s="2" t="str">
        <f t="shared" si="33"/>
        <v/>
      </c>
      <c r="D235" s="1" t="str">
        <f t="shared" si="34"/>
        <v/>
      </c>
      <c r="E235" s="1" t="str">
        <f t="shared" si="35"/>
        <v/>
      </c>
      <c r="I235" s="1" t="str">
        <f t="shared" si="36"/>
        <v/>
      </c>
      <c r="J235" s="2" t="str">
        <f t="shared" si="37"/>
        <v/>
      </c>
      <c r="K235" s="1" t="str">
        <f t="shared" si="38"/>
        <v/>
      </c>
      <c r="O235" s="1" t="str">
        <f t="shared" si="39"/>
        <v/>
      </c>
      <c r="P235" s="2" t="str">
        <f t="shared" si="40"/>
        <v/>
      </c>
      <c r="Q235" s="1" t="str">
        <f t="shared" si="41"/>
        <v/>
      </c>
      <c r="R235" s="2" t="str">
        <f t="shared" si="42"/>
        <v/>
      </c>
      <c r="S235" s="1" t="str">
        <f t="shared" si="43"/>
        <v/>
      </c>
    </row>
    <row r="236" spans="1:19" x14ac:dyDescent="0.2">
      <c r="A236" t="str">
        <f>IF(COUNTBLANK(B236:S236)&lt;&gt;COLUMNS(B236:S236),235,"")</f>
        <v/>
      </c>
      <c r="C236" s="2" t="str">
        <f t="shared" si="33"/>
        <v/>
      </c>
      <c r="D236" s="1" t="str">
        <f t="shared" si="34"/>
        <v/>
      </c>
      <c r="E236" s="1" t="str">
        <f t="shared" si="35"/>
        <v/>
      </c>
      <c r="I236" s="1" t="str">
        <f t="shared" si="36"/>
        <v/>
      </c>
      <c r="J236" s="2" t="str">
        <f t="shared" si="37"/>
        <v/>
      </c>
      <c r="K236" s="1" t="str">
        <f t="shared" si="38"/>
        <v/>
      </c>
      <c r="O236" s="1" t="str">
        <f t="shared" si="39"/>
        <v/>
      </c>
      <c r="P236" s="2" t="str">
        <f t="shared" si="40"/>
        <v/>
      </c>
      <c r="Q236" s="1" t="str">
        <f t="shared" si="41"/>
        <v/>
      </c>
      <c r="R236" s="2" t="str">
        <f t="shared" si="42"/>
        <v/>
      </c>
      <c r="S236" s="1" t="str">
        <f t="shared" si="43"/>
        <v/>
      </c>
    </row>
    <row r="237" spans="1:19" x14ac:dyDescent="0.2">
      <c r="A237" t="str">
        <f>IF(COUNTBLANK(B237:S237)&lt;&gt;COLUMNS(B237:S237),236,"")</f>
        <v/>
      </c>
      <c r="C237" s="2" t="str">
        <f t="shared" si="33"/>
        <v/>
      </c>
      <c r="D237" s="1" t="str">
        <f t="shared" si="34"/>
        <v/>
      </c>
      <c r="E237" s="1" t="str">
        <f t="shared" si="35"/>
        <v/>
      </c>
      <c r="I237" s="1" t="str">
        <f t="shared" si="36"/>
        <v/>
      </c>
      <c r="J237" s="2" t="str">
        <f t="shared" si="37"/>
        <v/>
      </c>
      <c r="K237" s="1" t="str">
        <f t="shared" si="38"/>
        <v/>
      </c>
      <c r="O237" s="1" t="str">
        <f t="shared" si="39"/>
        <v/>
      </c>
      <c r="P237" s="2" t="str">
        <f t="shared" si="40"/>
        <v/>
      </c>
      <c r="Q237" s="1" t="str">
        <f t="shared" si="41"/>
        <v/>
      </c>
      <c r="R237" s="2" t="str">
        <f t="shared" si="42"/>
        <v/>
      </c>
      <c r="S237" s="1" t="str">
        <f t="shared" si="43"/>
        <v/>
      </c>
    </row>
    <row r="238" spans="1:19" x14ac:dyDescent="0.2">
      <c r="A238" t="str">
        <f>IF(COUNTBLANK(B238:S238)&lt;&gt;COLUMNS(B238:S238),237,"")</f>
        <v/>
      </c>
      <c r="C238" s="2" t="str">
        <f t="shared" si="33"/>
        <v/>
      </c>
      <c r="D238" s="1" t="str">
        <f t="shared" si="34"/>
        <v/>
      </c>
      <c r="E238" s="1" t="str">
        <f t="shared" si="35"/>
        <v/>
      </c>
      <c r="I238" s="1" t="str">
        <f t="shared" si="36"/>
        <v/>
      </c>
      <c r="J238" s="2" t="str">
        <f t="shared" si="37"/>
        <v/>
      </c>
      <c r="K238" s="1" t="str">
        <f t="shared" si="38"/>
        <v/>
      </c>
      <c r="O238" s="1" t="str">
        <f t="shared" si="39"/>
        <v/>
      </c>
      <c r="P238" s="2" t="str">
        <f t="shared" si="40"/>
        <v/>
      </c>
      <c r="Q238" s="1" t="str">
        <f t="shared" si="41"/>
        <v/>
      </c>
      <c r="R238" s="2" t="str">
        <f t="shared" si="42"/>
        <v/>
      </c>
      <c r="S238" s="1" t="str">
        <f t="shared" si="43"/>
        <v/>
      </c>
    </row>
    <row r="239" spans="1:19" x14ac:dyDescent="0.2">
      <c r="A239" t="str">
        <f>IF(COUNTBLANK(B239:S239)&lt;&gt;COLUMNS(B239:S239),238,"")</f>
        <v/>
      </c>
      <c r="C239" s="2" t="str">
        <f t="shared" si="33"/>
        <v/>
      </c>
      <c r="D239" s="1" t="str">
        <f t="shared" si="34"/>
        <v/>
      </c>
      <c r="E239" s="1" t="str">
        <f t="shared" si="35"/>
        <v/>
      </c>
      <c r="I239" s="1" t="str">
        <f t="shared" si="36"/>
        <v/>
      </c>
      <c r="J239" s="2" t="str">
        <f t="shared" si="37"/>
        <v/>
      </c>
      <c r="K239" s="1" t="str">
        <f t="shared" si="38"/>
        <v/>
      </c>
      <c r="O239" s="1" t="str">
        <f t="shared" si="39"/>
        <v/>
      </c>
      <c r="P239" s="2" t="str">
        <f t="shared" si="40"/>
        <v/>
      </c>
      <c r="Q239" s="1" t="str">
        <f t="shared" si="41"/>
        <v/>
      </c>
      <c r="R239" s="2" t="str">
        <f t="shared" si="42"/>
        <v/>
      </c>
      <c r="S239" s="1" t="str">
        <f t="shared" si="43"/>
        <v/>
      </c>
    </row>
    <row r="240" spans="1:19" x14ac:dyDescent="0.2">
      <c r="A240" t="str">
        <f>IF(COUNTBLANK(B240:S240)&lt;&gt;COLUMNS(B240:S240),239,"")</f>
        <v/>
      </c>
      <c r="C240" s="2" t="str">
        <f t="shared" si="33"/>
        <v/>
      </c>
      <c r="D240" s="1" t="str">
        <f t="shared" si="34"/>
        <v/>
      </c>
      <c r="E240" s="1" t="str">
        <f t="shared" si="35"/>
        <v/>
      </c>
      <c r="I240" s="1" t="str">
        <f t="shared" si="36"/>
        <v/>
      </c>
      <c r="J240" s="2" t="str">
        <f t="shared" si="37"/>
        <v/>
      </c>
      <c r="K240" s="1" t="str">
        <f t="shared" si="38"/>
        <v/>
      </c>
      <c r="O240" s="1" t="str">
        <f t="shared" si="39"/>
        <v/>
      </c>
      <c r="P240" s="2" t="str">
        <f t="shared" si="40"/>
        <v/>
      </c>
      <c r="Q240" s="1" t="str">
        <f t="shared" si="41"/>
        <v/>
      </c>
      <c r="R240" s="2" t="str">
        <f t="shared" si="42"/>
        <v/>
      </c>
      <c r="S240" s="1" t="str">
        <f t="shared" si="43"/>
        <v/>
      </c>
    </row>
    <row r="241" spans="1:19" x14ac:dyDescent="0.2">
      <c r="A241" t="str">
        <f>IF(COUNTBLANK(B241:S241)&lt;&gt;COLUMNS(B241:S241),240,"")</f>
        <v/>
      </c>
      <c r="C241" s="2" t="str">
        <f t="shared" si="33"/>
        <v/>
      </c>
      <c r="D241" s="1" t="str">
        <f t="shared" si="34"/>
        <v/>
      </c>
      <c r="E241" s="1" t="str">
        <f t="shared" si="35"/>
        <v/>
      </c>
      <c r="I241" s="1" t="str">
        <f t="shared" si="36"/>
        <v/>
      </c>
      <c r="J241" s="2" t="str">
        <f t="shared" si="37"/>
        <v/>
      </c>
      <c r="K241" s="1" t="str">
        <f t="shared" si="38"/>
        <v/>
      </c>
      <c r="O241" s="1" t="str">
        <f t="shared" si="39"/>
        <v/>
      </c>
      <c r="P241" s="2" t="str">
        <f t="shared" si="40"/>
        <v/>
      </c>
      <c r="Q241" s="1" t="str">
        <f t="shared" si="41"/>
        <v/>
      </c>
      <c r="R241" s="2" t="str">
        <f t="shared" si="42"/>
        <v/>
      </c>
      <c r="S241" s="1" t="str">
        <f t="shared" si="43"/>
        <v/>
      </c>
    </row>
    <row r="242" spans="1:19" x14ac:dyDescent="0.2">
      <c r="A242" t="str">
        <f>IF(COUNTBLANK(B242:S242)&lt;&gt;COLUMNS(B242:S242),241,"")</f>
        <v/>
      </c>
      <c r="C242" s="2" t="str">
        <f t="shared" si="33"/>
        <v/>
      </c>
      <c r="D242" s="1" t="str">
        <f t="shared" si="34"/>
        <v/>
      </c>
      <c r="E242" s="1" t="str">
        <f t="shared" si="35"/>
        <v/>
      </c>
      <c r="I242" s="1" t="str">
        <f t="shared" si="36"/>
        <v/>
      </c>
      <c r="J242" s="2" t="str">
        <f t="shared" si="37"/>
        <v/>
      </c>
      <c r="K242" s="1" t="str">
        <f t="shared" si="38"/>
        <v/>
      </c>
      <c r="O242" s="1" t="str">
        <f t="shared" si="39"/>
        <v/>
      </c>
      <c r="P242" s="2" t="str">
        <f t="shared" si="40"/>
        <v/>
      </c>
      <c r="Q242" s="1" t="str">
        <f t="shared" si="41"/>
        <v/>
      </c>
      <c r="R242" s="2" t="str">
        <f t="shared" si="42"/>
        <v/>
      </c>
      <c r="S242" s="1" t="str">
        <f t="shared" si="43"/>
        <v/>
      </c>
    </row>
    <row r="243" spans="1:19" x14ac:dyDescent="0.2">
      <c r="A243" t="str">
        <f>IF(COUNTBLANK(B243:S243)&lt;&gt;COLUMNS(B243:S243),242,"")</f>
        <v/>
      </c>
      <c r="C243" s="2" t="str">
        <f t="shared" si="33"/>
        <v/>
      </c>
      <c r="D243" s="1" t="str">
        <f t="shared" si="34"/>
        <v/>
      </c>
      <c r="E243" s="1" t="str">
        <f t="shared" si="35"/>
        <v/>
      </c>
      <c r="I243" s="1" t="str">
        <f t="shared" si="36"/>
        <v/>
      </c>
      <c r="J243" s="2" t="str">
        <f t="shared" si="37"/>
        <v/>
      </c>
      <c r="K243" s="1" t="str">
        <f t="shared" si="38"/>
        <v/>
      </c>
      <c r="O243" s="1" t="str">
        <f t="shared" si="39"/>
        <v/>
      </c>
      <c r="P243" s="2" t="str">
        <f t="shared" si="40"/>
        <v/>
      </c>
      <c r="Q243" s="1" t="str">
        <f t="shared" si="41"/>
        <v/>
      </c>
      <c r="R243" s="2" t="str">
        <f t="shared" si="42"/>
        <v/>
      </c>
      <c r="S243" s="1" t="str">
        <f t="shared" si="43"/>
        <v/>
      </c>
    </row>
    <row r="244" spans="1:19" x14ac:dyDescent="0.2">
      <c r="A244" t="str">
        <f>IF(COUNTBLANK(B244:S244)&lt;&gt;COLUMNS(B244:S244),243,"")</f>
        <v/>
      </c>
      <c r="C244" s="2" t="str">
        <f t="shared" si="33"/>
        <v/>
      </c>
      <c r="D244" s="1" t="str">
        <f t="shared" si="34"/>
        <v/>
      </c>
      <c r="E244" s="1" t="str">
        <f t="shared" si="35"/>
        <v/>
      </c>
      <c r="I244" s="1" t="str">
        <f t="shared" si="36"/>
        <v/>
      </c>
      <c r="J244" s="2" t="str">
        <f t="shared" si="37"/>
        <v/>
      </c>
      <c r="K244" s="1" t="str">
        <f t="shared" si="38"/>
        <v/>
      </c>
      <c r="O244" s="1" t="str">
        <f t="shared" si="39"/>
        <v/>
      </c>
      <c r="P244" s="2" t="str">
        <f t="shared" si="40"/>
        <v/>
      </c>
      <c r="Q244" s="1" t="str">
        <f t="shared" si="41"/>
        <v/>
      </c>
      <c r="R244" s="2" t="str">
        <f t="shared" si="42"/>
        <v/>
      </c>
      <c r="S244" s="1" t="str">
        <f t="shared" si="43"/>
        <v/>
      </c>
    </row>
    <row r="245" spans="1:19" x14ac:dyDescent="0.2">
      <c r="A245" t="str">
        <f>IF(COUNTBLANK(B245:S245)&lt;&gt;COLUMNS(B245:S245),244,"")</f>
        <v/>
      </c>
      <c r="C245" s="2" t="str">
        <f t="shared" si="33"/>
        <v/>
      </c>
      <c r="D245" s="1" t="str">
        <f t="shared" si="34"/>
        <v/>
      </c>
      <c r="E245" s="1" t="str">
        <f t="shared" si="35"/>
        <v/>
      </c>
      <c r="I245" s="1" t="str">
        <f t="shared" si="36"/>
        <v/>
      </c>
      <c r="J245" s="2" t="str">
        <f t="shared" si="37"/>
        <v/>
      </c>
      <c r="K245" s="1" t="str">
        <f t="shared" si="38"/>
        <v/>
      </c>
      <c r="O245" s="1" t="str">
        <f t="shared" si="39"/>
        <v/>
      </c>
      <c r="P245" s="2" t="str">
        <f t="shared" si="40"/>
        <v/>
      </c>
      <c r="Q245" s="1" t="str">
        <f t="shared" si="41"/>
        <v/>
      </c>
      <c r="R245" s="2" t="str">
        <f t="shared" si="42"/>
        <v/>
      </c>
      <c r="S245" s="1" t="str">
        <f t="shared" si="43"/>
        <v/>
      </c>
    </row>
    <row r="246" spans="1:19" x14ac:dyDescent="0.2">
      <c r="A246" t="str">
        <f>IF(COUNTBLANK(B246:S246)&lt;&gt;COLUMNS(B246:S246),245,"")</f>
        <v/>
      </c>
      <c r="C246" s="2" t="str">
        <f t="shared" si="33"/>
        <v/>
      </c>
      <c r="D246" s="1" t="str">
        <f t="shared" si="34"/>
        <v/>
      </c>
      <c r="E246" s="1" t="str">
        <f t="shared" si="35"/>
        <v/>
      </c>
      <c r="I246" s="1" t="str">
        <f t="shared" si="36"/>
        <v/>
      </c>
      <c r="J246" s="2" t="str">
        <f t="shared" si="37"/>
        <v/>
      </c>
      <c r="K246" s="1" t="str">
        <f t="shared" si="38"/>
        <v/>
      </c>
      <c r="O246" s="1" t="str">
        <f t="shared" si="39"/>
        <v/>
      </c>
      <c r="P246" s="2" t="str">
        <f t="shared" si="40"/>
        <v/>
      </c>
      <c r="Q246" s="1" t="str">
        <f t="shared" si="41"/>
        <v/>
      </c>
      <c r="R246" s="2" t="str">
        <f t="shared" si="42"/>
        <v/>
      </c>
      <c r="S246" s="1" t="str">
        <f t="shared" si="43"/>
        <v/>
      </c>
    </row>
    <row r="247" spans="1:19" x14ac:dyDescent="0.2">
      <c r="A247" t="str">
        <f>IF(COUNTBLANK(B247:S247)&lt;&gt;COLUMNS(B247:S247),246,"")</f>
        <v/>
      </c>
      <c r="C247" s="2" t="str">
        <f t="shared" si="33"/>
        <v/>
      </c>
      <c r="D247" s="1" t="str">
        <f t="shared" si="34"/>
        <v/>
      </c>
      <c r="E247" s="1" t="str">
        <f t="shared" si="35"/>
        <v/>
      </c>
      <c r="I247" s="1" t="str">
        <f t="shared" si="36"/>
        <v/>
      </c>
      <c r="J247" s="2" t="str">
        <f t="shared" si="37"/>
        <v/>
      </c>
      <c r="K247" s="1" t="str">
        <f t="shared" si="38"/>
        <v/>
      </c>
      <c r="O247" s="1" t="str">
        <f t="shared" si="39"/>
        <v/>
      </c>
      <c r="P247" s="2" t="str">
        <f t="shared" si="40"/>
        <v/>
      </c>
      <c r="Q247" s="1" t="str">
        <f t="shared" si="41"/>
        <v/>
      </c>
      <c r="R247" s="2" t="str">
        <f t="shared" si="42"/>
        <v/>
      </c>
      <c r="S247" s="1" t="str">
        <f t="shared" si="43"/>
        <v/>
      </c>
    </row>
    <row r="248" spans="1:19" x14ac:dyDescent="0.2">
      <c r="A248" t="str">
        <f>IF(COUNTBLANK(B248:S248)&lt;&gt;COLUMNS(B248:S248),247,"")</f>
        <v/>
      </c>
      <c r="C248" s="2" t="str">
        <f t="shared" si="33"/>
        <v/>
      </c>
      <c r="D248" s="1" t="str">
        <f t="shared" si="34"/>
        <v/>
      </c>
      <c r="E248" s="1" t="str">
        <f t="shared" si="35"/>
        <v/>
      </c>
      <c r="I248" s="1" t="str">
        <f t="shared" si="36"/>
        <v/>
      </c>
      <c r="J248" s="2" t="str">
        <f t="shared" si="37"/>
        <v/>
      </c>
      <c r="K248" s="1" t="str">
        <f t="shared" si="38"/>
        <v/>
      </c>
      <c r="O248" s="1" t="str">
        <f t="shared" si="39"/>
        <v/>
      </c>
      <c r="P248" s="2" t="str">
        <f t="shared" si="40"/>
        <v/>
      </c>
      <c r="Q248" s="1" t="str">
        <f t="shared" si="41"/>
        <v/>
      </c>
      <c r="R248" s="2" t="str">
        <f t="shared" si="42"/>
        <v/>
      </c>
      <c r="S248" s="1" t="str">
        <f t="shared" si="43"/>
        <v/>
      </c>
    </row>
    <row r="249" spans="1:19" x14ac:dyDescent="0.2">
      <c r="A249" t="str">
        <f>IF(COUNTBLANK(B249:S249)&lt;&gt;COLUMNS(B249:S249),248,"")</f>
        <v/>
      </c>
      <c r="C249" s="2" t="str">
        <f t="shared" si="33"/>
        <v/>
      </c>
      <c r="D249" s="1" t="str">
        <f t="shared" si="34"/>
        <v/>
      </c>
      <c r="E249" s="1" t="str">
        <f t="shared" si="35"/>
        <v/>
      </c>
      <c r="I249" s="1" t="str">
        <f t="shared" si="36"/>
        <v/>
      </c>
      <c r="J249" s="2" t="str">
        <f t="shared" si="37"/>
        <v/>
      </c>
      <c r="K249" s="1" t="str">
        <f t="shared" si="38"/>
        <v/>
      </c>
      <c r="O249" s="1" t="str">
        <f t="shared" si="39"/>
        <v/>
      </c>
      <c r="P249" s="2" t="str">
        <f t="shared" si="40"/>
        <v/>
      </c>
      <c r="Q249" s="1" t="str">
        <f t="shared" si="41"/>
        <v/>
      </c>
      <c r="R249" s="2" t="str">
        <f t="shared" si="42"/>
        <v/>
      </c>
      <c r="S249" s="1" t="str">
        <f t="shared" si="43"/>
        <v/>
      </c>
    </row>
    <row r="250" spans="1:19" x14ac:dyDescent="0.2">
      <c r="A250" t="str">
        <f>IF(COUNTBLANK(B250:S250)&lt;&gt;COLUMNS(B250:S250),249,"")</f>
        <v/>
      </c>
      <c r="C250" s="2" t="str">
        <f t="shared" si="33"/>
        <v/>
      </c>
      <c r="D250" s="1" t="str">
        <f t="shared" si="34"/>
        <v/>
      </c>
      <c r="E250" s="1" t="str">
        <f t="shared" si="35"/>
        <v/>
      </c>
      <c r="I250" s="1" t="str">
        <f t="shared" si="36"/>
        <v/>
      </c>
      <c r="J250" s="2" t="str">
        <f t="shared" si="37"/>
        <v/>
      </c>
      <c r="K250" s="1" t="str">
        <f t="shared" si="38"/>
        <v/>
      </c>
      <c r="O250" s="1" t="str">
        <f t="shared" si="39"/>
        <v/>
      </c>
      <c r="P250" s="2" t="str">
        <f t="shared" si="40"/>
        <v/>
      </c>
      <c r="Q250" s="1" t="str">
        <f t="shared" si="41"/>
        <v/>
      </c>
      <c r="R250" s="2" t="str">
        <f t="shared" si="42"/>
        <v/>
      </c>
      <c r="S250" s="1" t="str">
        <f t="shared" si="43"/>
        <v/>
      </c>
    </row>
    <row r="251" spans="1:19" x14ac:dyDescent="0.2">
      <c r="A251" t="str">
        <f>IF(COUNTBLANK(B251:S251)&lt;&gt;COLUMNS(B251:S251),250,"")</f>
        <v/>
      </c>
      <c r="C251" s="2" t="str">
        <f t="shared" si="33"/>
        <v/>
      </c>
      <c r="D251" s="1" t="str">
        <f t="shared" si="34"/>
        <v/>
      </c>
      <c r="E251" s="1" t="str">
        <f t="shared" si="35"/>
        <v/>
      </c>
      <c r="I251" s="1" t="str">
        <f t="shared" si="36"/>
        <v/>
      </c>
      <c r="J251" s="2" t="str">
        <f t="shared" si="37"/>
        <v/>
      </c>
      <c r="K251" s="1" t="str">
        <f t="shared" si="38"/>
        <v/>
      </c>
      <c r="O251" s="1" t="str">
        <f t="shared" si="39"/>
        <v/>
      </c>
      <c r="P251" s="2" t="str">
        <f t="shared" si="40"/>
        <v/>
      </c>
      <c r="Q251" s="1" t="str">
        <f t="shared" si="41"/>
        <v/>
      </c>
      <c r="R251" s="2" t="str">
        <f t="shared" si="42"/>
        <v/>
      </c>
      <c r="S251" s="1" t="str">
        <f t="shared" si="43"/>
        <v/>
      </c>
    </row>
    <row r="252" spans="1:19" x14ac:dyDescent="0.2">
      <c r="A252" t="str">
        <f>IF(COUNTBLANK(B252:S252)&lt;&gt;COLUMNS(B252:S252),251,"")</f>
        <v/>
      </c>
      <c r="C252" s="2" t="str">
        <f t="shared" si="33"/>
        <v/>
      </c>
      <c r="D252" s="1" t="str">
        <f t="shared" si="34"/>
        <v/>
      </c>
      <c r="E252" s="1" t="str">
        <f t="shared" si="35"/>
        <v/>
      </c>
      <c r="I252" s="1" t="str">
        <f t="shared" si="36"/>
        <v/>
      </c>
      <c r="J252" s="2" t="str">
        <f t="shared" si="37"/>
        <v/>
      </c>
      <c r="K252" s="1" t="str">
        <f t="shared" si="38"/>
        <v/>
      </c>
      <c r="O252" s="1" t="str">
        <f t="shared" si="39"/>
        <v/>
      </c>
      <c r="P252" s="2" t="str">
        <f t="shared" si="40"/>
        <v/>
      </c>
      <c r="Q252" s="1" t="str">
        <f t="shared" si="41"/>
        <v/>
      </c>
      <c r="R252" s="2" t="str">
        <f t="shared" si="42"/>
        <v/>
      </c>
      <c r="S252" s="1" t="str">
        <f t="shared" si="43"/>
        <v/>
      </c>
    </row>
    <row r="253" spans="1:19" x14ac:dyDescent="0.2">
      <c r="A253" t="str">
        <f>IF(COUNTBLANK(B253:S253)&lt;&gt;COLUMNS(B253:S253),252,"")</f>
        <v/>
      </c>
      <c r="C253" s="2" t="str">
        <f t="shared" si="33"/>
        <v/>
      </c>
      <c r="D253" s="1" t="str">
        <f t="shared" si="34"/>
        <v/>
      </c>
      <c r="E253" s="1" t="str">
        <f t="shared" si="35"/>
        <v/>
      </c>
      <c r="I253" s="1" t="str">
        <f t="shared" si="36"/>
        <v/>
      </c>
      <c r="J253" s="2" t="str">
        <f t="shared" si="37"/>
        <v/>
      </c>
      <c r="K253" s="1" t="str">
        <f t="shared" si="38"/>
        <v/>
      </c>
      <c r="O253" s="1" t="str">
        <f t="shared" si="39"/>
        <v/>
      </c>
      <c r="P253" s="2" t="str">
        <f t="shared" si="40"/>
        <v/>
      </c>
      <c r="Q253" s="1" t="str">
        <f t="shared" si="41"/>
        <v/>
      </c>
      <c r="R253" s="2" t="str">
        <f t="shared" si="42"/>
        <v/>
      </c>
      <c r="S253" s="1" t="str">
        <f t="shared" si="43"/>
        <v/>
      </c>
    </row>
    <row r="254" spans="1:19" x14ac:dyDescent="0.2">
      <c r="A254" t="str">
        <f>IF(COUNTBLANK(B254:S254)&lt;&gt;COLUMNS(B254:S254),253,"")</f>
        <v/>
      </c>
      <c r="C254" s="2" t="str">
        <f t="shared" si="33"/>
        <v/>
      </c>
      <c r="D254" s="1" t="str">
        <f t="shared" si="34"/>
        <v/>
      </c>
      <c r="E254" s="1" t="str">
        <f t="shared" si="35"/>
        <v/>
      </c>
      <c r="I254" s="1" t="str">
        <f t="shared" si="36"/>
        <v/>
      </c>
      <c r="J254" s="2" t="str">
        <f t="shared" si="37"/>
        <v/>
      </c>
      <c r="K254" s="1" t="str">
        <f t="shared" si="38"/>
        <v/>
      </c>
      <c r="O254" s="1" t="str">
        <f t="shared" si="39"/>
        <v/>
      </c>
      <c r="P254" s="2" t="str">
        <f t="shared" si="40"/>
        <v/>
      </c>
      <c r="Q254" s="1" t="str">
        <f t="shared" si="41"/>
        <v/>
      </c>
      <c r="R254" s="2" t="str">
        <f t="shared" si="42"/>
        <v/>
      </c>
      <c r="S254" s="1" t="str">
        <f t="shared" si="43"/>
        <v/>
      </c>
    </row>
    <row r="255" spans="1:19" x14ac:dyDescent="0.2">
      <c r="A255" t="str">
        <f>IF(COUNTBLANK(B255:S255)&lt;&gt;COLUMNS(B255:S255),254,"")</f>
        <v/>
      </c>
      <c r="C255" s="2" t="str">
        <f t="shared" si="33"/>
        <v/>
      </c>
      <c r="D255" s="1" t="str">
        <f t="shared" si="34"/>
        <v/>
      </c>
      <c r="E255" s="1" t="str">
        <f t="shared" si="35"/>
        <v/>
      </c>
      <c r="I255" s="1" t="str">
        <f t="shared" si="36"/>
        <v/>
      </c>
      <c r="J255" s="2" t="str">
        <f t="shared" si="37"/>
        <v/>
      </c>
      <c r="K255" s="1" t="str">
        <f t="shared" si="38"/>
        <v/>
      </c>
      <c r="O255" s="1" t="str">
        <f t="shared" si="39"/>
        <v/>
      </c>
      <c r="P255" s="2" t="str">
        <f t="shared" si="40"/>
        <v/>
      </c>
      <c r="Q255" s="1" t="str">
        <f t="shared" si="41"/>
        <v/>
      </c>
      <c r="R255" s="2" t="str">
        <f t="shared" si="42"/>
        <v/>
      </c>
      <c r="S255" s="1" t="str">
        <f t="shared" si="43"/>
        <v/>
      </c>
    </row>
    <row r="256" spans="1:19" x14ac:dyDescent="0.2">
      <c r="A256" t="str">
        <f>IF(COUNTBLANK(B256:S256)&lt;&gt;COLUMNS(B256:S256),255,"")</f>
        <v/>
      </c>
      <c r="C256" s="2" t="str">
        <f t="shared" si="33"/>
        <v/>
      </c>
      <c r="D256" s="1" t="str">
        <f t="shared" si="34"/>
        <v/>
      </c>
      <c r="E256" s="1" t="str">
        <f t="shared" si="35"/>
        <v/>
      </c>
      <c r="I256" s="1" t="str">
        <f t="shared" si="36"/>
        <v/>
      </c>
      <c r="J256" s="2" t="str">
        <f t="shared" si="37"/>
        <v/>
      </c>
      <c r="K256" s="1" t="str">
        <f t="shared" si="38"/>
        <v/>
      </c>
      <c r="O256" s="1" t="str">
        <f t="shared" si="39"/>
        <v/>
      </c>
      <c r="P256" s="2" t="str">
        <f t="shared" si="40"/>
        <v/>
      </c>
      <c r="Q256" s="1" t="str">
        <f t="shared" si="41"/>
        <v/>
      </c>
      <c r="R256" s="2" t="str">
        <f t="shared" si="42"/>
        <v/>
      </c>
      <c r="S256" s="1" t="str">
        <f t="shared" si="43"/>
        <v/>
      </c>
    </row>
    <row r="257" spans="1:19" x14ac:dyDescent="0.2">
      <c r="A257" t="str">
        <f>IF(COUNTBLANK(B257:S257)&lt;&gt;COLUMNS(B257:S257),256,"")</f>
        <v/>
      </c>
      <c r="C257" s="2" t="str">
        <f t="shared" si="33"/>
        <v/>
      </c>
      <c r="D257" s="1" t="str">
        <f t="shared" si="34"/>
        <v/>
      </c>
      <c r="E257" s="1" t="str">
        <f t="shared" si="35"/>
        <v/>
      </c>
      <c r="I257" s="1" t="str">
        <f t="shared" si="36"/>
        <v/>
      </c>
      <c r="J257" s="2" t="str">
        <f t="shared" si="37"/>
        <v/>
      </c>
      <c r="K257" s="1" t="str">
        <f t="shared" si="38"/>
        <v/>
      </c>
      <c r="O257" s="1" t="str">
        <f t="shared" si="39"/>
        <v/>
      </c>
      <c r="P257" s="2" t="str">
        <f t="shared" si="40"/>
        <v/>
      </c>
      <c r="Q257" s="1" t="str">
        <f t="shared" si="41"/>
        <v/>
      </c>
      <c r="R257" s="2" t="str">
        <f t="shared" si="42"/>
        <v/>
      </c>
      <c r="S257" s="1" t="str">
        <f t="shared" si="43"/>
        <v/>
      </c>
    </row>
    <row r="258" spans="1:19" x14ac:dyDescent="0.2">
      <c r="A258" t="str">
        <f>IF(COUNTBLANK(B258:S258)&lt;&gt;COLUMNS(B258:S258),257,"")</f>
        <v/>
      </c>
      <c r="C258" s="2" t="str">
        <f t="shared" ref="C258:C321" si="44">IF(B258="", "", "missing: not provided")</f>
        <v/>
      </c>
      <c r="D258" s="1" t="str">
        <f t="shared" ref="D258:D321" si="45">IF(B258="", "", " missing: not provided")</f>
        <v/>
      </c>
      <c r="E258" s="1" t="str">
        <f t="shared" ref="E258:E321" si="46">IF(B258="", "", "Host-associated")</f>
        <v/>
      </c>
      <c r="I258" s="1" t="str">
        <f t="shared" ref="I258:I321" si="47">IF(B258="", "", "host-associated")</f>
        <v/>
      </c>
      <c r="J258" s="2" t="str">
        <f t="shared" ref="J258:J321" si="48">IF(B258="", "", "missing: not provided")</f>
        <v/>
      </c>
      <c r="K258" s="1" t="str">
        <f t="shared" ref="K258:K321" si="49">IF(B258="", "", " missing: not provided")</f>
        <v/>
      </c>
      <c r="O258" s="1" t="str">
        <f t="shared" ref="O258:O321" si="50">IF(B258="", "", "Not applicable")</f>
        <v/>
      </c>
      <c r="P258" s="2" t="str">
        <f t="shared" ref="P258:P321" si="51">IF(B258="", "", "missing: not provided")</f>
        <v/>
      </c>
      <c r="Q258" s="1" t="str">
        <f t="shared" ref="Q258:Q321" si="52">IF(B258="", "", "Not applicable")</f>
        <v/>
      </c>
      <c r="R258" s="2" t="str">
        <f t="shared" ref="R258:R321" si="53">IF(B258="", "", "missing: not provided")</f>
        <v/>
      </c>
      <c r="S258" s="1" t="str">
        <f t="shared" ref="S258:S321" si="54">IF(B258="", "", " missing: not provided")</f>
        <v/>
      </c>
    </row>
    <row r="259" spans="1:19" x14ac:dyDescent="0.2">
      <c r="A259" t="str">
        <f>IF(COUNTBLANK(B259:S259)&lt;&gt;COLUMNS(B259:S259),258,"")</f>
        <v/>
      </c>
      <c r="C259" s="2" t="str">
        <f t="shared" si="44"/>
        <v/>
      </c>
      <c r="D259" s="1" t="str">
        <f t="shared" si="45"/>
        <v/>
      </c>
      <c r="E259" s="1" t="str">
        <f t="shared" si="46"/>
        <v/>
      </c>
      <c r="I259" s="1" t="str">
        <f t="shared" si="47"/>
        <v/>
      </c>
      <c r="J259" s="2" t="str">
        <f t="shared" si="48"/>
        <v/>
      </c>
      <c r="K259" s="1" t="str">
        <f t="shared" si="49"/>
        <v/>
      </c>
      <c r="O259" s="1" t="str">
        <f t="shared" si="50"/>
        <v/>
      </c>
      <c r="P259" s="2" t="str">
        <f t="shared" si="51"/>
        <v/>
      </c>
      <c r="Q259" s="1" t="str">
        <f t="shared" si="52"/>
        <v/>
      </c>
      <c r="R259" s="2" t="str">
        <f t="shared" si="53"/>
        <v/>
      </c>
      <c r="S259" s="1" t="str">
        <f t="shared" si="54"/>
        <v/>
      </c>
    </row>
    <row r="260" spans="1:19" x14ac:dyDescent="0.2">
      <c r="A260" t="str">
        <f>IF(COUNTBLANK(B260:S260)&lt;&gt;COLUMNS(B260:S260),259,"")</f>
        <v/>
      </c>
      <c r="C260" s="2" t="str">
        <f t="shared" si="44"/>
        <v/>
      </c>
      <c r="D260" s="1" t="str">
        <f t="shared" si="45"/>
        <v/>
      </c>
      <c r="E260" s="1" t="str">
        <f t="shared" si="46"/>
        <v/>
      </c>
      <c r="I260" s="1" t="str">
        <f t="shared" si="47"/>
        <v/>
      </c>
      <c r="J260" s="2" t="str">
        <f t="shared" si="48"/>
        <v/>
      </c>
      <c r="K260" s="1" t="str">
        <f t="shared" si="49"/>
        <v/>
      </c>
      <c r="O260" s="1" t="str">
        <f t="shared" si="50"/>
        <v/>
      </c>
      <c r="P260" s="2" t="str">
        <f t="shared" si="51"/>
        <v/>
      </c>
      <c r="Q260" s="1" t="str">
        <f t="shared" si="52"/>
        <v/>
      </c>
      <c r="R260" s="2" t="str">
        <f t="shared" si="53"/>
        <v/>
      </c>
      <c r="S260" s="1" t="str">
        <f t="shared" si="54"/>
        <v/>
      </c>
    </row>
    <row r="261" spans="1:19" x14ac:dyDescent="0.2">
      <c r="A261" t="str">
        <f>IF(COUNTBLANK(B261:S261)&lt;&gt;COLUMNS(B261:S261),260,"")</f>
        <v/>
      </c>
      <c r="C261" s="2" t="str">
        <f t="shared" si="44"/>
        <v/>
      </c>
      <c r="D261" s="1" t="str">
        <f t="shared" si="45"/>
        <v/>
      </c>
      <c r="E261" s="1" t="str">
        <f t="shared" si="46"/>
        <v/>
      </c>
      <c r="I261" s="1" t="str">
        <f t="shared" si="47"/>
        <v/>
      </c>
      <c r="J261" s="2" t="str">
        <f t="shared" si="48"/>
        <v/>
      </c>
      <c r="K261" s="1" t="str">
        <f t="shared" si="49"/>
        <v/>
      </c>
      <c r="O261" s="1" t="str">
        <f t="shared" si="50"/>
        <v/>
      </c>
      <c r="P261" s="2" t="str">
        <f t="shared" si="51"/>
        <v/>
      </c>
      <c r="Q261" s="1" t="str">
        <f t="shared" si="52"/>
        <v/>
      </c>
      <c r="R261" s="2" t="str">
        <f t="shared" si="53"/>
        <v/>
      </c>
      <c r="S261" s="1" t="str">
        <f t="shared" si="54"/>
        <v/>
      </c>
    </row>
    <row r="262" spans="1:19" x14ac:dyDescent="0.2">
      <c r="A262" t="str">
        <f>IF(COUNTBLANK(B262:S262)&lt;&gt;COLUMNS(B262:S262),261,"")</f>
        <v/>
      </c>
      <c r="C262" s="2" t="str">
        <f t="shared" si="44"/>
        <v/>
      </c>
      <c r="D262" s="1" t="str">
        <f t="shared" si="45"/>
        <v/>
      </c>
      <c r="E262" s="1" t="str">
        <f t="shared" si="46"/>
        <v/>
      </c>
      <c r="I262" s="1" t="str">
        <f t="shared" si="47"/>
        <v/>
      </c>
      <c r="J262" s="2" t="str">
        <f t="shared" si="48"/>
        <v/>
      </c>
      <c r="K262" s="1" t="str">
        <f t="shared" si="49"/>
        <v/>
      </c>
      <c r="O262" s="1" t="str">
        <f t="shared" si="50"/>
        <v/>
      </c>
      <c r="P262" s="2" t="str">
        <f t="shared" si="51"/>
        <v/>
      </c>
      <c r="Q262" s="1" t="str">
        <f t="shared" si="52"/>
        <v/>
      </c>
      <c r="R262" s="2" t="str">
        <f t="shared" si="53"/>
        <v/>
      </c>
      <c r="S262" s="1" t="str">
        <f t="shared" si="54"/>
        <v/>
      </c>
    </row>
    <row r="263" spans="1:19" x14ac:dyDescent="0.2">
      <c r="A263" t="str">
        <f>IF(COUNTBLANK(B263:S263)&lt;&gt;COLUMNS(B263:S263),262,"")</f>
        <v/>
      </c>
      <c r="C263" s="2" t="str">
        <f t="shared" si="44"/>
        <v/>
      </c>
      <c r="D263" s="1" t="str">
        <f t="shared" si="45"/>
        <v/>
      </c>
      <c r="E263" s="1" t="str">
        <f t="shared" si="46"/>
        <v/>
      </c>
      <c r="I263" s="1" t="str">
        <f t="shared" si="47"/>
        <v/>
      </c>
      <c r="J263" s="2" t="str">
        <f t="shared" si="48"/>
        <v/>
      </c>
      <c r="K263" s="1" t="str">
        <f t="shared" si="49"/>
        <v/>
      </c>
      <c r="O263" s="1" t="str">
        <f t="shared" si="50"/>
        <v/>
      </c>
      <c r="P263" s="2" t="str">
        <f t="shared" si="51"/>
        <v/>
      </c>
      <c r="Q263" s="1" t="str">
        <f t="shared" si="52"/>
        <v/>
      </c>
      <c r="R263" s="2" t="str">
        <f t="shared" si="53"/>
        <v/>
      </c>
      <c r="S263" s="1" t="str">
        <f t="shared" si="54"/>
        <v/>
      </c>
    </row>
    <row r="264" spans="1:19" x14ac:dyDescent="0.2">
      <c r="A264" t="str">
        <f>IF(COUNTBLANK(B264:S264)&lt;&gt;COLUMNS(B264:S264),263,"")</f>
        <v/>
      </c>
      <c r="C264" s="2" t="str">
        <f t="shared" si="44"/>
        <v/>
      </c>
      <c r="D264" s="1" t="str">
        <f t="shared" si="45"/>
        <v/>
      </c>
      <c r="E264" s="1" t="str">
        <f t="shared" si="46"/>
        <v/>
      </c>
      <c r="I264" s="1" t="str">
        <f t="shared" si="47"/>
        <v/>
      </c>
      <c r="J264" s="2" t="str">
        <f t="shared" si="48"/>
        <v/>
      </c>
      <c r="K264" s="1" t="str">
        <f t="shared" si="49"/>
        <v/>
      </c>
      <c r="O264" s="1" t="str">
        <f t="shared" si="50"/>
        <v/>
      </c>
      <c r="P264" s="2" t="str">
        <f t="shared" si="51"/>
        <v/>
      </c>
      <c r="Q264" s="1" t="str">
        <f t="shared" si="52"/>
        <v/>
      </c>
      <c r="R264" s="2" t="str">
        <f t="shared" si="53"/>
        <v/>
      </c>
      <c r="S264" s="1" t="str">
        <f t="shared" si="54"/>
        <v/>
      </c>
    </row>
    <row r="265" spans="1:19" x14ac:dyDescent="0.2">
      <c r="A265" t="str">
        <f>IF(COUNTBLANK(B265:S265)&lt;&gt;COLUMNS(B265:S265),264,"")</f>
        <v/>
      </c>
      <c r="C265" s="2" t="str">
        <f t="shared" si="44"/>
        <v/>
      </c>
      <c r="D265" s="1" t="str">
        <f t="shared" si="45"/>
        <v/>
      </c>
      <c r="E265" s="1" t="str">
        <f t="shared" si="46"/>
        <v/>
      </c>
      <c r="I265" s="1" t="str">
        <f t="shared" si="47"/>
        <v/>
      </c>
      <c r="J265" s="2" t="str">
        <f t="shared" si="48"/>
        <v/>
      </c>
      <c r="K265" s="1" t="str">
        <f t="shared" si="49"/>
        <v/>
      </c>
      <c r="O265" s="1" t="str">
        <f t="shared" si="50"/>
        <v/>
      </c>
      <c r="P265" s="2" t="str">
        <f t="shared" si="51"/>
        <v/>
      </c>
      <c r="Q265" s="1" t="str">
        <f t="shared" si="52"/>
        <v/>
      </c>
      <c r="R265" s="2" t="str">
        <f t="shared" si="53"/>
        <v/>
      </c>
      <c r="S265" s="1" t="str">
        <f t="shared" si="54"/>
        <v/>
      </c>
    </row>
    <row r="266" spans="1:19" x14ac:dyDescent="0.2">
      <c r="A266" t="str">
        <f>IF(COUNTBLANK(B266:S266)&lt;&gt;COLUMNS(B266:S266),265,"")</f>
        <v/>
      </c>
      <c r="C266" s="2" t="str">
        <f t="shared" si="44"/>
        <v/>
      </c>
      <c r="D266" s="1" t="str">
        <f t="shared" si="45"/>
        <v/>
      </c>
      <c r="E266" s="1" t="str">
        <f t="shared" si="46"/>
        <v/>
      </c>
      <c r="I266" s="1" t="str">
        <f t="shared" si="47"/>
        <v/>
      </c>
      <c r="J266" s="2" t="str">
        <f t="shared" si="48"/>
        <v/>
      </c>
      <c r="K266" s="1" t="str">
        <f t="shared" si="49"/>
        <v/>
      </c>
      <c r="O266" s="1" t="str">
        <f t="shared" si="50"/>
        <v/>
      </c>
      <c r="P266" s="2" t="str">
        <f t="shared" si="51"/>
        <v/>
      </c>
      <c r="Q266" s="1" t="str">
        <f t="shared" si="52"/>
        <v/>
      </c>
      <c r="R266" s="2" t="str">
        <f t="shared" si="53"/>
        <v/>
      </c>
      <c r="S266" s="1" t="str">
        <f t="shared" si="54"/>
        <v/>
      </c>
    </row>
    <row r="267" spans="1:19" x14ac:dyDescent="0.2">
      <c r="A267" t="str">
        <f>IF(COUNTBLANK(B267:S267)&lt;&gt;COLUMNS(B267:S267),266,"")</f>
        <v/>
      </c>
      <c r="C267" s="2" t="str">
        <f t="shared" si="44"/>
        <v/>
      </c>
      <c r="D267" s="1" t="str">
        <f t="shared" si="45"/>
        <v/>
      </c>
      <c r="E267" s="1" t="str">
        <f t="shared" si="46"/>
        <v/>
      </c>
      <c r="I267" s="1" t="str">
        <f t="shared" si="47"/>
        <v/>
      </c>
      <c r="J267" s="2" t="str">
        <f t="shared" si="48"/>
        <v/>
      </c>
      <c r="K267" s="1" t="str">
        <f t="shared" si="49"/>
        <v/>
      </c>
      <c r="O267" s="1" t="str">
        <f t="shared" si="50"/>
        <v/>
      </c>
      <c r="P267" s="2" t="str">
        <f t="shared" si="51"/>
        <v/>
      </c>
      <c r="Q267" s="1" t="str">
        <f t="shared" si="52"/>
        <v/>
      </c>
      <c r="R267" s="2" t="str">
        <f t="shared" si="53"/>
        <v/>
      </c>
      <c r="S267" s="1" t="str">
        <f t="shared" si="54"/>
        <v/>
      </c>
    </row>
    <row r="268" spans="1:19" x14ac:dyDescent="0.2">
      <c r="A268" t="str">
        <f>IF(COUNTBLANK(B268:S268)&lt;&gt;COLUMNS(B268:S268),267,"")</f>
        <v/>
      </c>
      <c r="C268" s="2" t="str">
        <f t="shared" si="44"/>
        <v/>
      </c>
      <c r="D268" s="1" t="str">
        <f t="shared" si="45"/>
        <v/>
      </c>
      <c r="E268" s="1" t="str">
        <f t="shared" si="46"/>
        <v/>
      </c>
      <c r="I268" s="1" t="str">
        <f t="shared" si="47"/>
        <v/>
      </c>
      <c r="J268" s="2" t="str">
        <f t="shared" si="48"/>
        <v/>
      </c>
      <c r="K268" s="1" t="str">
        <f t="shared" si="49"/>
        <v/>
      </c>
      <c r="O268" s="1" t="str">
        <f t="shared" si="50"/>
        <v/>
      </c>
      <c r="P268" s="2" t="str">
        <f t="shared" si="51"/>
        <v/>
      </c>
      <c r="Q268" s="1" t="str">
        <f t="shared" si="52"/>
        <v/>
      </c>
      <c r="R268" s="2" t="str">
        <f t="shared" si="53"/>
        <v/>
      </c>
      <c r="S268" s="1" t="str">
        <f t="shared" si="54"/>
        <v/>
      </c>
    </row>
    <row r="269" spans="1:19" x14ac:dyDescent="0.2">
      <c r="A269" t="str">
        <f>IF(COUNTBLANK(B269:S269)&lt;&gt;COLUMNS(B269:S269),268,"")</f>
        <v/>
      </c>
      <c r="C269" s="2" t="str">
        <f t="shared" si="44"/>
        <v/>
      </c>
      <c r="D269" s="1" t="str">
        <f t="shared" si="45"/>
        <v/>
      </c>
      <c r="E269" s="1" t="str">
        <f t="shared" si="46"/>
        <v/>
      </c>
      <c r="I269" s="1" t="str">
        <f t="shared" si="47"/>
        <v/>
      </c>
      <c r="J269" s="2" t="str">
        <f t="shared" si="48"/>
        <v/>
      </c>
      <c r="K269" s="1" t="str">
        <f t="shared" si="49"/>
        <v/>
      </c>
      <c r="O269" s="1" t="str">
        <f t="shared" si="50"/>
        <v/>
      </c>
      <c r="P269" s="2" t="str">
        <f t="shared" si="51"/>
        <v/>
      </c>
      <c r="Q269" s="1" t="str">
        <f t="shared" si="52"/>
        <v/>
      </c>
      <c r="R269" s="2" t="str">
        <f t="shared" si="53"/>
        <v/>
      </c>
      <c r="S269" s="1" t="str">
        <f t="shared" si="54"/>
        <v/>
      </c>
    </row>
    <row r="270" spans="1:19" x14ac:dyDescent="0.2">
      <c r="A270" t="str">
        <f>IF(COUNTBLANK(B270:S270)&lt;&gt;COLUMNS(B270:S270),269,"")</f>
        <v/>
      </c>
      <c r="C270" s="2" t="str">
        <f t="shared" si="44"/>
        <v/>
      </c>
      <c r="D270" s="1" t="str">
        <f t="shared" si="45"/>
        <v/>
      </c>
      <c r="E270" s="1" t="str">
        <f t="shared" si="46"/>
        <v/>
      </c>
      <c r="I270" s="1" t="str">
        <f t="shared" si="47"/>
        <v/>
      </c>
      <c r="J270" s="2" t="str">
        <f t="shared" si="48"/>
        <v/>
      </c>
      <c r="K270" s="1" t="str">
        <f t="shared" si="49"/>
        <v/>
      </c>
      <c r="O270" s="1" t="str">
        <f t="shared" si="50"/>
        <v/>
      </c>
      <c r="P270" s="2" t="str">
        <f t="shared" si="51"/>
        <v/>
      </c>
      <c r="Q270" s="1" t="str">
        <f t="shared" si="52"/>
        <v/>
      </c>
      <c r="R270" s="2" t="str">
        <f t="shared" si="53"/>
        <v/>
      </c>
      <c r="S270" s="1" t="str">
        <f t="shared" si="54"/>
        <v/>
      </c>
    </row>
    <row r="271" spans="1:19" x14ac:dyDescent="0.2">
      <c r="A271" t="str">
        <f>IF(COUNTBLANK(B271:S271)&lt;&gt;COLUMNS(B271:S271),270,"")</f>
        <v/>
      </c>
      <c r="C271" s="2" t="str">
        <f t="shared" si="44"/>
        <v/>
      </c>
      <c r="D271" s="1" t="str">
        <f t="shared" si="45"/>
        <v/>
      </c>
      <c r="E271" s="1" t="str">
        <f t="shared" si="46"/>
        <v/>
      </c>
      <c r="I271" s="1" t="str">
        <f t="shared" si="47"/>
        <v/>
      </c>
      <c r="J271" s="2" t="str">
        <f t="shared" si="48"/>
        <v/>
      </c>
      <c r="K271" s="1" t="str">
        <f t="shared" si="49"/>
        <v/>
      </c>
      <c r="O271" s="1" t="str">
        <f t="shared" si="50"/>
        <v/>
      </c>
      <c r="P271" s="2" t="str">
        <f t="shared" si="51"/>
        <v/>
      </c>
      <c r="Q271" s="1" t="str">
        <f t="shared" si="52"/>
        <v/>
      </c>
      <c r="R271" s="2" t="str">
        <f t="shared" si="53"/>
        <v/>
      </c>
      <c r="S271" s="1" t="str">
        <f t="shared" si="54"/>
        <v/>
      </c>
    </row>
    <row r="272" spans="1:19" x14ac:dyDescent="0.2">
      <c r="A272" t="str">
        <f>IF(COUNTBLANK(B272:S272)&lt;&gt;COLUMNS(B272:S272),271,"")</f>
        <v/>
      </c>
      <c r="C272" s="2" t="str">
        <f t="shared" si="44"/>
        <v/>
      </c>
      <c r="D272" s="1" t="str">
        <f t="shared" si="45"/>
        <v/>
      </c>
      <c r="E272" s="1" t="str">
        <f t="shared" si="46"/>
        <v/>
      </c>
      <c r="I272" s="1" t="str">
        <f t="shared" si="47"/>
        <v/>
      </c>
      <c r="J272" s="2" t="str">
        <f t="shared" si="48"/>
        <v/>
      </c>
      <c r="K272" s="1" t="str">
        <f t="shared" si="49"/>
        <v/>
      </c>
      <c r="O272" s="1" t="str">
        <f t="shared" si="50"/>
        <v/>
      </c>
      <c r="P272" s="2" t="str">
        <f t="shared" si="51"/>
        <v/>
      </c>
      <c r="Q272" s="1" t="str">
        <f t="shared" si="52"/>
        <v/>
      </c>
      <c r="R272" s="2" t="str">
        <f t="shared" si="53"/>
        <v/>
      </c>
      <c r="S272" s="1" t="str">
        <f t="shared" si="54"/>
        <v/>
      </c>
    </row>
    <row r="273" spans="1:19" x14ac:dyDescent="0.2">
      <c r="A273" t="str">
        <f>IF(COUNTBLANK(B273:S273)&lt;&gt;COLUMNS(B273:S273),272,"")</f>
        <v/>
      </c>
      <c r="C273" s="2" t="str">
        <f t="shared" si="44"/>
        <v/>
      </c>
      <c r="D273" s="1" t="str">
        <f t="shared" si="45"/>
        <v/>
      </c>
      <c r="E273" s="1" t="str">
        <f t="shared" si="46"/>
        <v/>
      </c>
      <c r="I273" s="1" t="str">
        <f t="shared" si="47"/>
        <v/>
      </c>
      <c r="J273" s="2" t="str">
        <f t="shared" si="48"/>
        <v/>
      </c>
      <c r="K273" s="1" t="str">
        <f t="shared" si="49"/>
        <v/>
      </c>
      <c r="O273" s="1" t="str">
        <f t="shared" si="50"/>
        <v/>
      </c>
      <c r="P273" s="2" t="str">
        <f t="shared" si="51"/>
        <v/>
      </c>
      <c r="Q273" s="1" t="str">
        <f t="shared" si="52"/>
        <v/>
      </c>
      <c r="R273" s="2" t="str">
        <f t="shared" si="53"/>
        <v/>
      </c>
      <c r="S273" s="1" t="str">
        <f t="shared" si="54"/>
        <v/>
      </c>
    </row>
    <row r="274" spans="1:19" x14ac:dyDescent="0.2">
      <c r="A274" t="str">
        <f>IF(COUNTBLANK(B274:S274)&lt;&gt;COLUMNS(B274:S274),273,"")</f>
        <v/>
      </c>
      <c r="C274" s="2" t="str">
        <f t="shared" si="44"/>
        <v/>
      </c>
      <c r="D274" s="1" t="str">
        <f t="shared" si="45"/>
        <v/>
      </c>
      <c r="E274" s="1" t="str">
        <f t="shared" si="46"/>
        <v/>
      </c>
      <c r="I274" s="1" t="str">
        <f t="shared" si="47"/>
        <v/>
      </c>
      <c r="J274" s="2" t="str">
        <f t="shared" si="48"/>
        <v/>
      </c>
      <c r="K274" s="1" t="str">
        <f t="shared" si="49"/>
        <v/>
      </c>
      <c r="O274" s="1" t="str">
        <f t="shared" si="50"/>
        <v/>
      </c>
      <c r="P274" s="2" t="str">
        <f t="shared" si="51"/>
        <v/>
      </c>
      <c r="Q274" s="1" t="str">
        <f t="shared" si="52"/>
        <v/>
      </c>
      <c r="R274" s="2" t="str">
        <f t="shared" si="53"/>
        <v/>
      </c>
      <c r="S274" s="1" t="str">
        <f t="shared" si="54"/>
        <v/>
      </c>
    </row>
    <row r="275" spans="1:19" x14ac:dyDescent="0.2">
      <c r="A275" t="str">
        <f>IF(COUNTBLANK(B275:S275)&lt;&gt;COLUMNS(B275:S275),274,"")</f>
        <v/>
      </c>
      <c r="C275" s="2" t="str">
        <f t="shared" si="44"/>
        <v/>
      </c>
      <c r="D275" s="1" t="str">
        <f t="shared" si="45"/>
        <v/>
      </c>
      <c r="E275" s="1" t="str">
        <f t="shared" si="46"/>
        <v/>
      </c>
      <c r="I275" s="1" t="str">
        <f t="shared" si="47"/>
        <v/>
      </c>
      <c r="J275" s="2" t="str">
        <f t="shared" si="48"/>
        <v/>
      </c>
      <c r="K275" s="1" t="str">
        <f t="shared" si="49"/>
        <v/>
      </c>
      <c r="O275" s="1" t="str">
        <f t="shared" si="50"/>
        <v/>
      </c>
      <c r="P275" s="2" t="str">
        <f t="shared" si="51"/>
        <v/>
      </c>
      <c r="Q275" s="1" t="str">
        <f t="shared" si="52"/>
        <v/>
      </c>
      <c r="R275" s="2" t="str">
        <f t="shared" si="53"/>
        <v/>
      </c>
      <c r="S275" s="1" t="str">
        <f t="shared" si="54"/>
        <v/>
      </c>
    </row>
    <row r="276" spans="1:19" x14ac:dyDescent="0.2">
      <c r="A276" t="str">
        <f>IF(COUNTBLANK(B276:S276)&lt;&gt;COLUMNS(B276:S276),275,"")</f>
        <v/>
      </c>
      <c r="C276" s="2" t="str">
        <f t="shared" si="44"/>
        <v/>
      </c>
      <c r="D276" s="1" t="str">
        <f t="shared" si="45"/>
        <v/>
      </c>
      <c r="E276" s="1" t="str">
        <f t="shared" si="46"/>
        <v/>
      </c>
      <c r="I276" s="1" t="str">
        <f t="shared" si="47"/>
        <v/>
      </c>
      <c r="J276" s="2" t="str">
        <f t="shared" si="48"/>
        <v/>
      </c>
      <c r="K276" s="1" t="str">
        <f t="shared" si="49"/>
        <v/>
      </c>
      <c r="O276" s="1" t="str">
        <f t="shared" si="50"/>
        <v/>
      </c>
      <c r="P276" s="2" t="str">
        <f t="shared" si="51"/>
        <v/>
      </c>
      <c r="Q276" s="1" t="str">
        <f t="shared" si="52"/>
        <v/>
      </c>
      <c r="R276" s="2" t="str">
        <f t="shared" si="53"/>
        <v/>
      </c>
      <c r="S276" s="1" t="str">
        <f t="shared" si="54"/>
        <v/>
      </c>
    </row>
    <row r="277" spans="1:19" x14ac:dyDescent="0.2">
      <c r="A277" t="str">
        <f>IF(COUNTBLANK(B277:S277)&lt;&gt;COLUMNS(B277:S277),276,"")</f>
        <v/>
      </c>
      <c r="C277" s="2" t="str">
        <f t="shared" si="44"/>
        <v/>
      </c>
      <c r="D277" s="1" t="str">
        <f t="shared" si="45"/>
        <v/>
      </c>
      <c r="E277" s="1" t="str">
        <f t="shared" si="46"/>
        <v/>
      </c>
      <c r="I277" s="1" t="str">
        <f t="shared" si="47"/>
        <v/>
      </c>
      <c r="J277" s="2" t="str">
        <f t="shared" si="48"/>
        <v/>
      </c>
      <c r="K277" s="1" t="str">
        <f t="shared" si="49"/>
        <v/>
      </c>
      <c r="O277" s="1" t="str">
        <f t="shared" si="50"/>
        <v/>
      </c>
      <c r="P277" s="2" t="str">
        <f t="shared" si="51"/>
        <v/>
      </c>
      <c r="Q277" s="1" t="str">
        <f t="shared" si="52"/>
        <v/>
      </c>
      <c r="R277" s="2" t="str">
        <f t="shared" si="53"/>
        <v/>
      </c>
      <c r="S277" s="1" t="str">
        <f t="shared" si="54"/>
        <v/>
      </c>
    </row>
    <row r="278" spans="1:19" x14ac:dyDescent="0.2">
      <c r="A278" t="str">
        <f>IF(COUNTBLANK(B278:S278)&lt;&gt;COLUMNS(B278:S278),277,"")</f>
        <v/>
      </c>
      <c r="C278" s="2" t="str">
        <f t="shared" si="44"/>
        <v/>
      </c>
      <c r="D278" s="1" t="str">
        <f t="shared" si="45"/>
        <v/>
      </c>
      <c r="E278" s="1" t="str">
        <f t="shared" si="46"/>
        <v/>
      </c>
      <c r="I278" s="1" t="str">
        <f t="shared" si="47"/>
        <v/>
      </c>
      <c r="J278" s="2" t="str">
        <f t="shared" si="48"/>
        <v/>
      </c>
      <c r="K278" s="1" t="str">
        <f t="shared" si="49"/>
        <v/>
      </c>
      <c r="O278" s="1" t="str">
        <f t="shared" si="50"/>
        <v/>
      </c>
      <c r="P278" s="2" t="str">
        <f t="shared" si="51"/>
        <v/>
      </c>
      <c r="Q278" s="1" t="str">
        <f t="shared" si="52"/>
        <v/>
      </c>
      <c r="R278" s="2" t="str">
        <f t="shared" si="53"/>
        <v/>
      </c>
      <c r="S278" s="1" t="str">
        <f t="shared" si="54"/>
        <v/>
      </c>
    </row>
    <row r="279" spans="1:19" x14ac:dyDescent="0.2">
      <c r="A279" t="str">
        <f>IF(COUNTBLANK(B279:S279)&lt;&gt;COLUMNS(B279:S279),278,"")</f>
        <v/>
      </c>
      <c r="C279" s="2" t="str">
        <f t="shared" si="44"/>
        <v/>
      </c>
      <c r="D279" s="1" t="str">
        <f t="shared" si="45"/>
        <v/>
      </c>
      <c r="E279" s="1" t="str">
        <f t="shared" si="46"/>
        <v/>
      </c>
      <c r="I279" s="1" t="str">
        <f t="shared" si="47"/>
        <v/>
      </c>
      <c r="J279" s="2" t="str">
        <f t="shared" si="48"/>
        <v/>
      </c>
      <c r="K279" s="1" t="str">
        <f t="shared" si="49"/>
        <v/>
      </c>
      <c r="O279" s="1" t="str">
        <f t="shared" si="50"/>
        <v/>
      </c>
      <c r="P279" s="2" t="str">
        <f t="shared" si="51"/>
        <v/>
      </c>
      <c r="Q279" s="1" t="str">
        <f t="shared" si="52"/>
        <v/>
      </c>
      <c r="R279" s="2" t="str">
        <f t="shared" si="53"/>
        <v/>
      </c>
      <c r="S279" s="1" t="str">
        <f t="shared" si="54"/>
        <v/>
      </c>
    </row>
    <row r="280" spans="1:19" x14ac:dyDescent="0.2">
      <c r="A280" t="str">
        <f>IF(COUNTBLANK(B280:S280)&lt;&gt;COLUMNS(B280:S280),279,"")</f>
        <v/>
      </c>
      <c r="C280" s="2" t="str">
        <f t="shared" si="44"/>
        <v/>
      </c>
      <c r="D280" s="1" t="str">
        <f t="shared" si="45"/>
        <v/>
      </c>
      <c r="E280" s="1" t="str">
        <f t="shared" si="46"/>
        <v/>
      </c>
      <c r="I280" s="1" t="str">
        <f t="shared" si="47"/>
        <v/>
      </c>
      <c r="J280" s="2" t="str">
        <f t="shared" si="48"/>
        <v/>
      </c>
      <c r="K280" s="1" t="str">
        <f t="shared" si="49"/>
        <v/>
      </c>
      <c r="O280" s="1" t="str">
        <f t="shared" si="50"/>
        <v/>
      </c>
      <c r="P280" s="2" t="str">
        <f t="shared" si="51"/>
        <v/>
      </c>
      <c r="Q280" s="1" t="str">
        <f t="shared" si="52"/>
        <v/>
      </c>
      <c r="R280" s="2" t="str">
        <f t="shared" si="53"/>
        <v/>
      </c>
      <c r="S280" s="1" t="str">
        <f t="shared" si="54"/>
        <v/>
      </c>
    </row>
    <row r="281" spans="1:19" x14ac:dyDescent="0.2">
      <c r="A281" t="str">
        <f>IF(COUNTBLANK(B281:S281)&lt;&gt;COLUMNS(B281:S281),280,"")</f>
        <v/>
      </c>
      <c r="C281" s="2" t="str">
        <f t="shared" si="44"/>
        <v/>
      </c>
      <c r="D281" s="1" t="str">
        <f t="shared" si="45"/>
        <v/>
      </c>
      <c r="E281" s="1" t="str">
        <f t="shared" si="46"/>
        <v/>
      </c>
      <c r="I281" s="1" t="str">
        <f t="shared" si="47"/>
        <v/>
      </c>
      <c r="J281" s="2" t="str">
        <f t="shared" si="48"/>
        <v/>
      </c>
      <c r="K281" s="1" t="str">
        <f t="shared" si="49"/>
        <v/>
      </c>
      <c r="O281" s="1" t="str">
        <f t="shared" si="50"/>
        <v/>
      </c>
      <c r="P281" s="2" t="str">
        <f t="shared" si="51"/>
        <v/>
      </c>
      <c r="Q281" s="1" t="str">
        <f t="shared" si="52"/>
        <v/>
      </c>
      <c r="R281" s="2" t="str">
        <f t="shared" si="53"/>
        <v/>
      </c>
      <c r="S281" s="1" t="str">
        <f t="shared" si="54"/>
        <v/>
      </c>
    </row>
    <row r="282" spans="1:19" x14ac:dyDescent="0.2">
      <c r="A282" t="str">
        <f>IF(COUNTBLANK(B282:S282)&lt;&gt;COLUMNS(B282:S282),281,"")</f>
        <v/>
      </c>
      <c r="C282" s="2" t="str">
        <f t="shared" si="44"/>
        <v/>
      </c>
      <c r="D282" s="1" t="str">
        <f t="shared" si="45"/>
        <v/>
      </c>
      <c r="E282" s="1" t="str">
        <f t="shared" si="46"/>
        <v/>
      </c>
      <c r="I282" s="1" t="str">
        <f t="shared" si="47"/>
        <v/>
      </c>
      <c r="J282" s="2" t="str">
        <f t="shared" si="48"/>
        <v/>
      </c>
      <c r="K282" s="1" t="str">
        <f t="shared" si="49"/>
        <v/>
      </c>
      <c r="O282" s="1" t="str">
        <f t="shared" si="50"/>
        <v/>
      </c>
      <c r="P282" s="2" t="str">
        <f t="shared" si="51"/>
        <v/>
      </c>
      <c r="Q282" s="1" t="str">
        <f t="shared" si="52"/>
        <v/>
      </c>
      <c r="R282" s="2" t="str">
        <f t="shared" si="53"/>
        <v/>
      </c>
      <c r="S282" s="1" t="str">
        <f t="shared" si="54"/>
        <v/>
      </c>
    </row>
    <row r="283" spans="1:19" x14ac:dyDescent="0.2">
      <c r="A283" t="str">
        <f>IF(COUNTBLANK(B283:S283)&lt;&gt;COLUMNS(B283:S283),282,"")</f>
        <v/>
      </c>
      <c r="C283" s="2" t="str">
        <f t="shared" si="44"/>
        <v/>
      </c>
      <c r="D283" s="1" t="str">
        <f t="shared" si="45"/>
        <v/>
      </c>
      <c r="E283" s="1" t="str">
        <f t="shared" si="46"/>
        <v/>
      </c>
      <c r="I283" s="1" t="str">
        <f t="shared" si="47"/>
        <v/>
      </c>
      <c r="J283" s="2" t="str">
        <f t="shared" si="48"/>
        <v/>
      </c>
      <c r="K283" s="1" t="str">
        <f t="shared" si="49"/>
        <v/>
      </c>
      <c r="O283" s="1" t="str">
        <f t="shared" si="50"/>
        <v/>
      </c>
      <c r="P283" s="2" t="str">
        <f t="shared" si="51"/>
        <v/>
      </c>
      <c r="Q283" s="1" t="str">
        <f t="shared" si="52"/>
        <v/>
      </c>
      <c r="R283" s="2" t="str">
        <f t="shared" si="53"/>
        <v/>
      </c>
      <c r="S283" s="1" t="str">
        <f t="shared" si="54"/>
        <v/>
      </c>
    </row>
    <row r="284" spans="1:19" x14ac:dyDescent="0.2">
      <c r="A284" t="str">
        <f>IF(COUNTBLANK(B284:S284)&lt;&gt;COLUMNS(B284:S284),283,"")</f>
        <v/>
      </c>
      <c r="C284" s="2" t="str">
        <f t="shared" si="44"/>
        <v/>
      </c>
      <c r="D284" s="1" t="str">
        <f t="shared" si="45"/>
        <v/>
      </c>
      <c r="E284" s="1" t="str">
        <f t="shared" si="46"/>
        <v/>
      </c>
      <c r="I284" s="1" t="str">
        <f t="shared" si="47"/>
        <v/>
      </c>
      <c r="J284" s="2" t="str">
        <f t="shared" si="48"/>
        <v/>
      </c>
      <c r="K284" s="1" t="str">
        <f t="shared" si="49"/>
        <v/>
      </c>
      <c r="O284" s="1" t="str">
        <f t="shared" si="50"/>
        <v/>
      </c>
      <c r="P284" s="2" t="str">
        <f t="shared" si="51"/>
        <v/>
      </c>
      <c r="Q284" s="1" t="str">
        <f t="shared" si="52"/>
        <v/>
      </c>
      <c r="R284" s="2" t="str">
        <f t="shared" si="53"/>
        <v/>
      </c>
      <c r="S284" s="1" t="str">
        <f t="shared" si="54"/>
        <v/>
      </c>
    </row>
    <row r="285" spans="1:19" x14ac:dyDescent="0.2">
      <c r="A285" t="str">
        <f>IF(COUNTBLANK(B285:S285)&lt;&gt;COLUMNS(B285:S285),284,"")</f>
        <v/>
      </c>
      <c r="C285" s="2" t="str">
        <f t="shared" si="44"/>
        <v/>
      </c>
      <c r="D285" s="1" t="str">
        <f t="shared" si="45"/>
        <v/>
      </c>
      <c r="E285" s="1" t="str">
        <f t="shared" si="46"/>
        <v/>
      </c>
      <c r="I285" s="1" t="str">
        <f t="shared" si="47"/>
        <v/>
      </c>
      <c r="J285" s="2" t="str">
        <f t="shared" si="48"/>
        <v/>
      </c>
      <c r="K285" s="1" t="str">
        <f t="shared" si="49"/>
        <v/>
      </c>
      <c r="O285" s="1" t="str">
        <f t="shared" si="50"/>
        <v/>
      </c>
      <c r="P285" s="2" t="str">
        <f t="shared" si="51"/>
        <v/>
      </c>
      <c r="Q285" s="1" t="str">
        <f t="shared" si="52"/>
        <v/>
      </c>
      <c r="R285" s="2" t="str">
        <f t="shared" si="53"/>
        <v/>
      </c>
      <c r="S285" s="1" t="str">
        <f t="shared" si="54"/>
        <v/>
      </c>
    </row>
    <row r="286" spans="1:19" x14ac:dyDescent="0.2">
      <c r="A286" t="str">
        <f>IF(COUNTBLANK(B286:S286)&lt;&gt;COLUMNS(B286:S286),285,"")</f>
        <v/>
      </c>
      <c r="C286" s="2" t="str">
        <f t="shared" si="44"/>
        <v/>
      </c>
      <c r="D286" s="1" t="str">
        <f t="shared" si="45"/>
        <v/>
      </c>
      <c r="E286" s="1" t="str">
        <f t="shared" si="46"/>
        <v/>
      </c>
      <c r="I286" s="1" t="str">
        <f t="shared" si="47"/>
        <v/>
      </c>
      <c r="J286" s="2" t="str">
        <f t="shared" si="48"/>
        <v/>
      </c>
      <c r="K286" s="1" t="str">
        <f t="shared" si="49"/>
        <v/>
      </c>
      <c r="O286" s="1" t="str">
        <f t="shared" si="50"/>
        <v/>
      </c>
      <c r="P286" s="2" t="str">
        <f t="shared" si="51"/>
        <v/>
      </c>
      <c r="Q286" s="1" t="str">
        <f t="shared" si="52"/>
        <v/>
      </c>
      <c r="R286" s="2" t="str">
        <f t="shared" si="53"/>
        <v/>
      </c>
      <c r="S286" s="1" t="str">
        <f t="shared" si="54"/>
        <v/>
      </c>
    </row>
    <row r="287" spans="1:19" x14ac:dyDescent="0.2">
      <c r="A287" t="str">
        <f>IF(COUNTBLANK(B287:S287)&lt;&gt;COLUMNS(B287:S287),286,"")</f>
        <v/>
      </c>
      <c r="C287" s="2" t="str">
        <f t="shared" si="44"/>
        <v/>
      </c>
      <c r="D287" s="1" t="str">
        <f t="shared" si="45"/>
        <v/>
      </c>
      <c r="E287" s="1" t="str">
        <f t="shared" si="46"/>
        <v/>
      </c>
      <c r="I287" s="1" t="str">
        <f t="shared" si="47"/>
        <v/>
      </c>
      <c r="J287" s="2" t="str">
        <f t="shared" si="48"/>
        <v/>
      </c>
      <c r="K287" s="1" t="str">
        <f t="shared" si="49"/>
        <v/>
      </c>
      <c r="O287" s="1" t="str">
        <f t="shared" si="50"/>
        <v/>
      </c>
      <c r="P287" s="2" t="str">
        <f t="shared" si="51"/>
        <v/>
      </c>
      <c r="Q287" s="1" t="str">
        <f t="shared" si="52"/>
        <v/>
      </c>
      <c r="R287" s="2" t="str">
        <f t="shared" si="53"/>
        <v/>
      </c>
      <c r="S287" s="1" t="str">
        <f t="shared" si="54"/>
        <v/>
      </c>
    </row>
    <row r="288" spans="1:19" x14ac:dyDescent="0.2">
      <c r="A288" t="str">
        <f>IF(COUNTBLANK(B288:S288)&lt;&gt;COLUMNS(B288:S288),287,"")</f>
        <v/>
      </c>
      <c r="C288" s="2" t="str">
        <f t="shared" si="44"/>
        <v/>
      </c>
      <c r="D288" s="1" t="str">
        <f t="shared" si="45"/>
        <v/>
      </c>
      <c r="E288" s="1" t="str">
        <f t="shared" si="46"/>
        <v/>
      </c>
      <c r="I288" s="1" t="str">
        <f t="shared" si="47"/>
        <v/>
      </c>
      <c r="J288" s="2" t="str">
        <f t="shared" si="48"/>
        <v/>
      </c>
      <c r="K288" s="1" t="str">
        <f t="shared" si="49"/>
        <v/>
      </c>
      <c r="O288" s="1" t="str">
        <f t="shared" si="50"/>
        <v/>
      </c>
      <c r="P288" s="2" t="str">
        <f t="shared" si="51"/>
        <v/>
      </c>
      <c r="Q288" s="1" t="str">
        <f t="shared" si="52"/>
        <v/>
      </c>
      <c r="R288" s="2" t="str">
        <f t="shared" si="53"/>
        <v/>
      </c>
      <c r="S288" s="1" t="str">
        <f t="shared" si="54"/>
        <v/>
      </c>
    </row>
    <row r="289" spans="1:19" x14ac:dyDescent="0.2">
      <c r="A289" t="str">
        <f>IF(COUNTBLANK(B289:S289)&lt;&gt;COLUMNS(B289:S289),288,"")</f>
        <v/>
      </c>
      <c r="C289" s="2" t="str">
        <f t="shared" si="44"/>
        <v/>
      </c>
      <c r="D289" s="1" t="str">
        <f t="shared" si="45"/>
        <v/>
      </c>
      <c r="E289" s="1" t="str">
        <f t="shared" si="46"/>
        <v/>
      </c>
      <c r="I289" s="1" t="str">
        <f t="shared" si="47"/>
        <v/>
      </c>
      <c r="J289" s="2" t="str">
        <f t="shared" si="48"/>
        <v/>
      </c>
      <c r="K289" s="1" t="str">
        <f t="shared" si="49"/>
        <v/>
      </c>
      <c r="O289" s="1" t="str">
        <f t="shared" si="50"/>
        <v/>
      </c>
      <c r="P289" s="2" t="str">
        <f t="shared" si="51"/>
        <v/>
      </c>
      <c r="Q289" s="1" t="str">
        <f t="shared" si="52"/>
        <v/>
      </c>
      <c r="R289" s="2" t="str">
        <f t="shared" si="53"/>
        <v/>
      </c>
      <c r="S289" s="1" t="str">
        <f t="shared" si="54"/>
        <v/>
      </c>
    </row>
    <row r="290" spans="1:19" x14ac:dyDescent="0.2">
      <c r="A290" t="str">
        <f>IF(COUNTBLANK(B290:S290)&lt;&gt;COLUMNS(B290:S290),289,"")</f>
        <v/>
      </c>
      <c r="C290" s="2" t="str">
        <f t="shared" si="44"/>
        <v/>
      </c>
      <c r="D290" s="1" t="str">
        <f t="shared" si="45"/>
        <v/>
      </c>
      <c r="E290" s="1" t="str">
        <f t="shared" si="46"/>
        <v/>
      </c>
      <c r="I290" s="1" t="str">
        <f t="shared" si="47"/>
        <v/>
      </c>
      <c r="J290" s="2" t="str">
        <f t="shared" si="48"/>
        <v/>
      </c>
      <c r="K290" s="1" t="str">
        <f t="shared" si="49"/>
        <v/>
      </c>
      <c r="O290" s="1" t="str">
        <f t="shared" si="50"/>
        <v/>
      </c>
      <c r="P290" s="2" t="str">
        <f t="shared" si="51"/>
        <v/>
      </c>
      <c r="Q290" s="1" t="str">
        <f t="shared" si="52"/>
        <v/>
      </c>
      <c r="R290" s="2" t="str">
        <f t="shared" si="53"/>
        <v/>
      </c>
      <c r="S290" s="1" t="str">
        <f t="shared" si="54"/>
        <v/>
      </c>
    </row>
    <row r="291" spans="1:19" x14ac:dyDescent="0.2">
      <c r="A291" t="str">
        <f>IF(COUNTBLANK(B291:S291)&lt;&gt;COLUMNS(B291:S291),290,"")</f>
        <v/>
      </c>
      <c r="C291" s="2" t="str">
        <f t="shared" si="44"/>
        <v/>
      </c>
      <c r="D291" s="1" t="str">
        <f t="shared" si="45"/>
        <v/>
      </c>
      <c r="E291" s="1" t="str">
        <f t="shared" si="46"/>
        <v/>
      </c>
      <c r="I291" s="1" t="str">
        <f t="shared" si="47"/>
        <v/>
      </c>
      <c r="J291" s="2" t="str">
        <f t="shared" si="48"/>
        <v/>
      </c>
      <c r="K291" s="1" t="str">
        <f t="shared" si="49"/>
        <v/>
      </c>
      <c r="O291" s="1" t="str">
        <f t="shared" si="50"/>
        <v/>
      </c>
      <c r="P291" s="2" t="str">
        <f t="shared" si="51"/>
        <v/>
      </c>
      <c r="Q291" s="1" t="str">
        <f t="shared" si="52"/>
        <v/>
      </c>
      <c r="R291" s="2" t="str">
        <f t="shared" si="53"/>
        <v/>
      </c>
      <c r="S291" s="1" t="str">
        <f t="shared" si="54"/>
        <v/>
      </c>
    </row>
    <row r="292" spans="1:19" x14ac:dyDescent="0.2">
      <c r="A292" t="str">
        <f>IF(COUNTBLANK(B292:S292)&lt;&gt;COLUMNS(B292:S292),291,"")</f>
        <v/>
      </c>
      <c r="C292" s="2" t="str">
        <f t="shared" si="44"/>
        <v/>
      </c>
      <c r="D292" s="1" t="str">
        <f t="shared" si="45"/>
        <v/>
      </c>
      <c r="E292" s="1" t="str">
        <f t="shared" si="46"/>
        <v/>
      </c>
      <c r="I292" s="1" t="str">
        <f t="shared" si="47"/>
        <v/>
      </c>
      <c r="J292" s="2" t="str">
        <f t="shared" si="48"/>
        <v/>
      </c>
      <c r="K292" s="1" t="str">
        <f t="shared" si="49"/>
        <v/>
      </c>
      <c r="O292" s="1" t="str">
        <f t="shared" si="50"/>
        <v/>
      </c>
      <c r="P292" s="2" t="str">
        <f t="shared" si="51"/>
        <v/>
      </c>
      <c r="Q292" s="1" t="str">
        <f t="shared" si="52"/>
        <v/>
      </c>
      <c r="R292" s="2" t="str">
        <f t="shared" si="53"/>
        <v/>
      </c>
      <c r="S292" s="1" t="str">
        <f t="shared" si="54"/>
        <v/>
      </c>
    </row>
    <row r="293" spans="1:19" x14ac:dyDescent="0.2">
      <c r="A293" t="str">
        <f>IF(COUNTBLANK(B293:S293)&lt;&gt;COLUMNS(B293:S293),292,"")</f>
        <v/>
      </c>
      <c r="C293" s="2" t="str">
        <f t="shared" si="44"/>
        <v/>
      </c>
      <c r="D293" s="1" t="str">
        <f t="shared" si="45"/>
        <v/>
      </c>
      <c r="E293" s="1" t="str">
        <f t="shared" si="46"/>
        <v/>
      </c>
      <c r="I293" s="1" t="str">
        <f t="shared" si="47"/>
        <v/>
      </c>
      <c r="J293" s="2" t="str">
        <f t="shared" si="48"/>
        <v/>
      </c>
      <c r="K293" s="1" t="str">
        <f t="shared" si="49"/>
        <v/>
      </c>
      <c r="O293" s="1" t="str">
        <f t="shared" si="50"/>
        <v/>
      </c>
      <c r="P293" s="2" t="str">
        <f t="shared" si="51"/>
        <v/>
      </c>
      <c r="Q293" s="1" t="str">
        <f t="shared" si="52"/>
        <v/>
      </c>
      <c r="R293" s="2" t="str">
        <f t="shared" si="53"/>
        <v/>
      </c>
      <c r="S293" s="1" t="str">
        <f t="shared" si="54"/>
        <v/>
      </c>
    </row>
    <row r="294" spans="1:19" x14ac:dyDescent="0.2">
      <c r="A294" t="str">
        <f>IF(COUNTBLANK(B294:S294)&lt;&gt;COLUMNS(B294:S294),293,"")</f>
        <v/>
      </c>
      <c r="C294" s="2" t="str">
        <f t="shared" si="44"/>
        <v/>
      </c>
      <c r="D294" s="1" t="str">
        <f t="shared" si="45"/>
        <v/>
      </c>
      <c r="E294" s="1" t="str">
        <f t="shared" si="46"/>
        <v/>
      </c>
      <c r="I294" s="1" t="str">
        <f t="shared" si="47"/>
        <v/>
      </c>
      <c r="J294" s="2" t="str">
        <f t="shared" si="48"/>
        <v/>
      </c>
      <c r="K294" s="1" t="str">
        <f t="shared" si="49"/>
        <v/>
      </c>
      <c r="O294" s="1" t="str">
        <f t="shared" si="50"/>
        <v/>
      </c>
      <c r="P294" s="2" t="str">
        <f t="shared" si="51"/>
        <v/>
      </c>
      <c r="Q294" s="1" t="str">
        <f t="shared" si="52"/>
        <v/>
      </c>
      <c r="R294" s="2" t="str">
        <f t="shared" si="53"/>
        <v/>
      </c>
      <c r="S294" s="1" t="str">
        <f t="shared" si="54"/>
        <v/>
      </c>
    </row>
    <row r="295" spans="1:19" x14ac:dyDescent="0.2">
      <c r="A295" t="str">
        <f>IF(COUNTBLANK(B295:S295)&lt;&gt;COLUMNS(B295:S295),294,"")</f>
        <v/>
      </c>
      <c r="C295" s="2" t="str">
        <f t="shared" si="44"/>
        <v/>
      </c>
      <c r="D295" s="1" t="str">
        <f t="shared" si="45"/>
        <v/>
      </c>
      <c r="E295" s="1" t="str">
        <f t="shared" si="46"/>
        <v/>
      </c>
      <c r="I295" s="1" t="str">
        <f t="shared" si="47"/>
        <v/>
      </c>
      <c r="J295" s="2" t="str">
        <f t="shared" si="48"/>
        <v/>
      </c>
      <c r="K295" s="1" t="str">
        <f t="shared" si="49"/>
        <v/>
      </c>
      <c r="O295" s="1" t="str">
        <f t="shared" si="50"/>
        <v/>
      </c>
      <c r="P295" s="2" t="str">
        <f t="shared" si="51"/>
        <v/>
      </c>
      <c r="Q295" s="1" t="str">
        <f t="shared" si="52"/>
        <v/>
      </c>
      <c r="R295" s="2" t="str">
        <f t="shared" si="53"/>
        <v/>
      </c>
      <c r="S295" s="1" t="str">
        <f t="shared" si="54"/>
        <v/>
      </c>
    </row>
    <row r="296" spans="1:19" x14ac:dyDescent="0.2">
      <c r="A296" t="str">
        <f>IF(COUNTBLANK(B296:S296)&lt;&gt;COLUMNS(B296:S296),295,"")</f>
        <v/>
      </c>
      <c r="C296" s="2" t="str">
        <f t="shared" si="44"/>
        <v/>
      </c>
      <c r="D296" s="1" t="str">
        <f t="shared" si="45"/>
        <v/>
      </c>
      <c r="E296" s="1" t="str">
        <f t="shared" si="46"/>
        <v/>
      </c>
      <c r="I296" s="1" t="str">
        <f t="shared" si="47"/>
        <v/>
      </c>
      <c r="J296" s="2" t="str">
        <f t="shared" si="48"/>
        <v/>
      </c>
      <c r="K296" s="1" t="str">
        <f t="shared" si="49"/>
        <v/>
      </c>
      <c r="O296" s="1" t="str">
        <f t="shared" si="50"/>
        <v/>
      </c>
      <c r="P296" s="2" t="str">
        <f t="shared" si="51"/>
        <v/>
      </c>
      <c r="Q296" s="1" t="str">
        <f t="shared" si="52"/>
        <v/>
      </c>
      <c r="R296" s="2" t="str">
        <f t="shared" si="53"/>
        <v/>
      </c>
      <c r="S296" s="1" t="str">
        <f t="shared" si="54"/>
        <v/>
      </c>
    </row>
    <row r="297" spans="1:19" x14ac:dyDescent="0.2">
      <c r="A297" t="str">
        <f>IF(COUNTBLANK(B297:S297)&lt;&gt;COLUMNS(B297:S297),296,"")</f>
        <v/>
      </c>
      <c r="C297" s="2" t="str">
        <f t="shared" si="44"/>
        <v/>
      </c>
      <c r="D297" s="1" t="str">
        <f t="shared" si="45"/>
        <v/>
      </c>
      <c r="E297" s="1" t="str">
        <f t="shared" si="46"/>
        <v/>
      </c>
      <c r="I297" s="1" t="str">
        <f t="shared" si="47"/>
        <v/>
      </c>
      <c r="J297" s="2" t="str">
        <f t="shared" si="48"/>
        <v/>
      </c>
      <c r="K297" s="1" t="str">
        <f t="shared" si="49"/>
        <v/>
      </c>
      <c r="O297" s="1" t="str">
        <f t="shared" si="50"/>
        <v/>
      </c>
      <c r="P297" s="2" t="str">
        <f t="shared" si="51"/>
        <v/>
      </c>
      <c r="Q297" s="1" t="str">
        <f t="shared" si="52"/>
        <v/>
      </c>
      <c r="R297" s="2" t="str">
        <f t="shared" si="53"/>
        <v/>
      </c>
      <c r="S297" s="1" t="str">
        <f t="shared" si="54"/>
        <v/>
      </c>
    </row>
    <row r="298" spans="1:19" x14ac:dyDescent="0.2">
      <c r="A298" t="str">
        <f>IF(COUNTBLANK(B298:S298)&lt;&gt;COLUMNS(B298:S298),297,"")</f>
        <v/>
      </c>
      <c r="C298" s="2" t="str">
        <f t="shared" si="44"/>
        <v/>
      </c>
      <c r="D298" s="1" t="str">
        <f t="shared" si="45"/>
        <v/>
      </c>
      <c r="E298" s="1" t="str">
        <f t="shared" si="46"/>
        <v/>
      </c>
      <c r="I298" s="1" t="str">
        <f t="shared" si="47"/>
        <v/>
      </c>
      <c r="J298" s="2" t="str">
        <f t="shared" si="48"/>
        <v/>
      </c>
      <c r="K298" s="1" t="str">
        <f t="shared" si="49"/>
        <v/>
      </c>
      <c r="O298" s="1" t="str">
        <f t="shared" si="50"/>
        <v/>
      </c>
      <c r="P298" s="2" t="str">
        <f t="shared" si="51"/>
        <v/>
      </c>
      <c r="Q298" s="1" t="str">
        <f t="shared" si="52"/>
        <v/>
      </c>
      <c r="R298" s="2" t="str">
        <f t="shared" si="53"/>
        <v/>
      </c>
      <c r="S298" s="1" t="str">
        <f t="shared" si="54"/>
        <v/>
      </c>
    </row>
    <row r="299" spans="1:19" x14ac:dyDescent="0.2">
      <c r="A299" t="str">
        <f>IF(COUNTBLANK(B299:S299)&lt;&gt;COLUMNS(B299:S299),298,"")</f>
        <v/>
      </c>
      <c r="C299" s="2" t="str">
        <f t="shared" si="44"/>
        <v/>
      </c>
      <c r="D299" s="1" t="str">
        <f t="shared" si="45"/>
        <v/>
      </c>
      <c r="E299" s="1" t="str">
        <f t="shared" si="46"/>
        <v/>
      </c>
      <c r="I299" s="1" t="str">
        <f t="shared" si="47"/>
        <v/>
      </c>
      <c r="J299" s="2" t="str">
        <f t="shared" si="48"/>
        <v/>
      </c>
      <c r="K299" s="1" t="str">
        <f t="shared" si="49"/>
        <v/>
      </c>
      <c r="O299" s="1" t="str">
        <f t="shared" si="50"/>
        <v/>
      </c>
      <c r="P299" s="2" t="str">
        <f t="shared" si="51"/>
        <v/>
      </c>
      <c r="Q299" s="1" t="str">
        <f t="shared" si="52"/>
        <v/>
      </c>
      <c r="R299" s="2" t="str">
        <f t="shared" si="53"/>
        <v/>
      </c>
      <c r="S299" s="1" t="str">
        <f t="shared" si="54"/>
        <v/>
      </c>
    </row>
    <row r="300" spans="1:19" x14ac:dyDescent="0.2">
      <c r="A300" t="str">
        <f>IF(COUNTBLANK(B300:S300)&lt;&gt;COLUMNS(B300:S300),299,"")</f>
        <v/>
      </c>
      <c r="C300" s="2" t="str">
        <f t="shared" si="44"/>
        <v/>
      </c>
      <c r="D300" s="1" t="str">
        <f t="shared" si="45"/>
        <v/>
      </c>
      <c r="E300" s="1" t="str">
        <f t="shared" si="46"/>
        <v/>
      </c>
      <c r="I300" s="1" t="str">
        <f t="shared" si="47"/>
        <v/>
      </c>
      <c r="J300" s="2" t="str">
        <f t="shared" si="48"/>
        <v/>
      </c>
      <c r="K300" s="1" t="str">
        <f t="shared" si="49"/>
        <v/>
      </c>
      <c r="O300" s="1" t="str">
        <f t="shared" si="50"/>
        <v/>
      </c>
      <c r="P300" s="2" t="str">
        <f t="shared" si="51"/>
        <v/>
      </c>
      <c r="Q300" s="1" t="str">
        <f t="shared" si="52"/>
        <v/>
      </c>
      <c r="R300" s="2" t="str">
        <f t="shared" si="53"/>
        <v/>
      </c>
      <c r="S300" s="1" t="str">
        <f t="shared" si="54"/>
        <v/>
      </c>
    </row>
    <row r="301" spans="1:19" x14ac:dyDescent="0.2">
      <c r="A301" t="str">
        <f>IF(COUNTBLANK(B301:S301)&lt;&gt;COLUMNS(B301:S301),300,"")</f>
        <v/>
      </c>
      <c r="C301" s="2" t="str">
        <f t="shared" si="44"/>
        <v/>
      </c>
      <c r="D301" s="1" t="str">
        <f t="shared" si="45"/>
        <v/>
      </c>
      <c r="E301" s="1" t="str">
        <f t="shared" si="46"/>
        <v/>
      </c>
      <c r="I301" s="1" t="str">
        <f t="shared" si="47"/>
        <v/>
      </c>
      <c r="J301" s="2" t="str">
        <f t="shared" si="48"/>
        <v/>
      </c>
      <c r="K301" s="1" t="str">
        <f t="shared" si="49"/>
        <v/>
      </c>
      <c r="O301" s="1" t="str">
        <f t="shared" si="50"/>
        <v/>
      </c>
      <c r="P301" s="2" t="str">
        <f t="shared" si="51"/>
        <v/>
      </c>
      <c r="Q301" s="1" t="str">
        <f t="shared" si="52"/>
        <v/>
      </c>
      <c r="R301" s="2" t="str">
        <f t="shared" si="53"/>
        <v/>
      </c>
      <c r="S301" s="1" t="str">
        <f t="shared" si="54"/>
        <v/>
      </c>
    </row>
    <row r="302" spans="1:19" x14ac:dyDescent="0.2">
      <c r="A302" t="str">
        <f>IF(COUNTBLANK(B302:S302)&lt;&gt;COLUMNS(B302:S302),301,"")</f>
        <v/>
      </c>
      <c r="C302" s="2" t="str">
        <f t="shared" si="44"/>
        <v/>
      </c>
      <c r="D302" s="1" t="str">
        <f t="shared" si="45"/>
        <v/>
      </c>
      <c r="E302" s="1" t="str">
        <f t="shared" si="46"/>
        <v/>
      </c>
      <c r="I302" s="1" t="str">
        <f t="shared" si="47"/>
        <v/>
      </c>
      <c r="J302" s="2" t="str">
        <f t="shared" si="48"/>
        <v/>
      </c>
      <c r="K302" s="1" t="str">
        <f t="shared" si="49"/>
        <v/>
      </c>
      <c r="O302" s="1" t="str">
        <f t="shared" si="50"/>
        <v/>
      </c>
      <c r="P302" s="2" t="str">
        <f t="shared" si="51"/>
        <v/>
      </c>
      <c r="Q302" s="1" t="str">
        <f t="shared" si="52"/>
        <v/>
      </c>
      <c r="R302" s="2" t="str">
        <f t="shared" si="53"/>
        <v/>
      </c>
      <c r="S302" s="1" t="str">
        <f t="shared" si="54"/>
        <v/>
      </c>
    </row>
    <row r="303" spans="1:19" x14ac:dyDescent="0.2">
      <c r="A303" t="str">
        <f>IF(COUNTBLANK(B303:S303)&lt;&gt;COLUMNS(B303:S303),302,"")</f>
        <v/>
      </c>
      <c r="C303" s="2" t="str">
        <f t="shared" si="44"/>
        <v/>
      </c>
      <c r="D303" s="1" t="str">
        <f t="shared" si="45"/>
        <v/>
      </c>
      <c r="E303" s="1" t="str">
        <f t="shared" si="46"/>
        <v/>
      </c>
      <c r="I303" s="1" t="str">
        <f t="shared" si="47"/>
        <v/>
      </c>
      <c r="J303" s="2" t="str">
        <f t="shared" si="48"/>
        <v/>
      </c>
      <c r="K303" s="1" t="str">
        <f t="shared" si="49"/>
        <v/>
      </c>
      <c r="O303" s="1" t="str">
        <f t="shared" si="50"/>
        <v/>
      </c>
      <c r="P303" s="2" t="str">
        <f t="shared" si="51"/>
        <v/>
      </c>
      <c r="Q303" s="1" t="str">
        <f t="shared" si="52"/>
        <v/>
      </c>
      <c r="R303" s="2" t="str">
        <f t="shared" si="53"/>
        <v/>
      </c>
      <c r="S303" s="1" t="str">
        <f t="shared" si="54"/>
        <v/>
      </c>
    </row>
    <row r="304" spans="1:19" x14ac:dyDescent="0.2">
      <c r="A304" t="str">
        <f>IF(COUNTBLANK(B304:S304)&lt;&gt;COLUMNS(B304:S304),303,"")</f>
        <v/>
      </c>
      <c r="C304" s="2" t="str">
        <f t="shared" si="44"/>
        <v/>
      </c>
      <c r="D304" s="1" t="str">
        <f t="shared" si="45"/>
        <v/>
      </c>
      <c r="E304" s="1" t="str">
        <f t="shared" si="46"/>
        <v/>
      </c>
      <c r="I304" s="1" t="str">
        <f t="shared" si="47"/>
        <v/>
      </c>
      <c r="J304" s="2" t="str">
        <f t="shared" si="48"/>
        <v/>
      </c>
      <c r="K304" s="1" t="str">
        <f t="shared" si="49"/>
        <v/>
      </c>
      <c r="O304" s="1" t="str">
        <f t="shared" si="50"/>
        <v/>
      </c>
      <c r="P304" s="2" t="str">
        <f t="shared" si="51"/>
        <v/>
      </c>
      <c r="Q304" s="1" t="str">
        <f t="shared" si="52"/>
        <v/>
      </c>
      <c r="R304" s="2" t="str">
        <f t="shared" si="53"/>
        <v/>
      </c>
      <c r="S304" s="1" t="str">
        <f t="shared" si="54"/>
        <v/>
      </c>
    </row>
    <row r="305" spans="1:19" x14ac:dyDescent="0.2">
      <c r="A305" t="str">
        <f>IF(COUNTBLANK(B305:S305)&lt;&gt;COLUMNS(B305:S305),304,"")</f>
        <v/>
      </c>
      <c r="C305" s="2" t="str">
        <f t="shared" si="44"/>
        <v/>
      </c>
      <c r="D305" s="1" t="str">
        <f t="shared" si="45"/>
        <v/>
      </c>
      <c r="E305" s="1" t="str">
        <f t="shared" si="46"/>
        <v/>
      </c>
      <c r="I305" s="1" t="str">
        <f t="shared" si="47"/>
        <v/>
      </c>
      <c r="J305" s="2" t="str">
        <f t="shared" si="48"/>
        <v/>
      </c>
      <c r="K305" s="1" t="str">
        <f t="shared" si="49"/>
        <v/>
      </c>
      <c r="O305" s="1" t="str">
        <f t="shared" si="50"/>
        <v/>
      </c>
      <c r="P305" s="2" t="str">
        <f t="shared" si="51"/>
        <v/>
      </c>
      <c r="Q305" s="1" t="str">
        <f t="shared" si="52"/>
        <v/>
      </c>
      <c r="R305" s="2" t="str">
        <f t="shared" si="53"/>
        <v/>
      </c>
      <c r="S305" s="1" t="str">
        <f t="shared" si="54"/>
        <v/>
      </c>
    </row>
    <row r="306" spans="1:19" x14ac:dyDescent="0.2">
      <c r="A306" t="str">
        <f>IF(COUNTBLANK(B306:S306)&lt;&gt;COLUMNS(B306:S306),305,"")</f>
        <v/>
      </c>
      <c r="C306" s="2" t="str">
        <f t="shared" si="44"/>
        <v/>
      </c>
      <c r="D306" s="1" t="str">
        <f t="shared" si="45"/>
        <v/>
      </c>
      <c r="E306" s="1" t="str">
        <f t="shared" si="46"/>
        <v/>
      </c>
      <c r="I306" s="1" t="str">
        <f t="shared" si="47"/>
        <v/>
      </c>
      <c r="J306" s="2" t="str">
        <f t="shared" si="48"/>
        <v/>
      </c>
      <c r="K306" s="1" t="str">
        <f t="shared" si="49"/>
        <v/>
      </c>
      <c r="O306" s="1" t="str">
        <f t="shared" si="50"/>
        <v/>
      </c>
      <c r="P306" s="2" t="str">
        <f t="shared" si="51"/>
        <v/>
      </c>
      <c r="Q306" s="1" t="str">
        <f t="shared" si="52"/>
        <v/>
      </c>
      <c r="R306" s="2" t="str">
        <f t="shared" si="53"/>
        <v/>
      </c>
      <c r="S306" s="1" t="str">
        <f t="shared" si="54"/>
        <v/>
      </c>
    </row>
    <row r="307" spans="1:19" x14ac:dyDescent="0.2">
      <c r="A307" t="str">
        <f>IF(COUNTBLANK(B307:S307)&lt;&gt;COLUMNS(B307:S307),306,"")</f>
        <v/>
      </c>
      <c r="C307" s="2" t="str">
        <f t="shared" si="44"/>
        <v/>
      </c>
      <c r="D307" s="1" t="str">
        <f t="shared" si="45"/>
        <v/>
      </c>
      <c r="E307" s="1" t="str">
        <f t="shared" si="46"/>
        <v/>
      </c>
      <c r="I307" s="1" t="str">
        <f t="shared" si="47"/>
        <v/>
      </c>
      <c r="J307" s="2" t="str">
        <f t="shared" si="48"/>
        <v/>
      </c>
      <c r="K307" s="1" t="str">
        <f t="shared" si="49"/>
        <v/>
      </c>
      <c r="O307" s="1" t="str">
        <f t="shared" si="50"/>
        <v/>
      </c>
      <c r="P307" s="2" t="str">
        <f t="shared" si="51"/>
        <v/>
      </c>
      <c r="Q307" s="1" t="str">
        <f t="shared" si="52"/>
        <v/>
      </c>
      <c r="R307" s="2" t="str">
        <f t="shared" si="53"/>
        <v/>
      </c>
      <c r="S307" s="1" t="str">
        <f t="shared" si="54"/>
        <v/>
      </c>
    </row>
    <row r="308" spans="1:19" x14ac:dyDescent="0.2">
      <c r="A308" t="str">
        <f>IF(COUNTBLANK(B308:S308)&lt;&gt;COLUMNS(B308:S308),307,"")</f>
        <v/>
      </c>
      <c r="C308" s="2" t="str">
        <f t="shared" si="44"/>
        <v/>
      </c>
      <c r="D308" s="1" t="str">
        <f t="shared" si="45"/>
        <v/>
      </c>
      <c r="E308" s="1" t="str">
        <f t="shared" si="46"/>
        <v/>
      </c>
      <c r="I308" s="1" t="str">
        <f t="shared" si="47"/>
        <v/>
      </c>
      <c r="J308" s="2" t="str">
        <f t="shared" si="48"/>
        <v/>
      </c>
      <c r="K308" s="1" t="str">
        <f t="shared" si="49"/>
        <v/>
      </c>
      <c r="O308" s="1" t="str">
        <f t="shared" si="50"/>
        <v/>
      </c>
      <c r="P308" s="2" t="str">
        <f t="shared" si="51"/>
        <v/>
      </c>
      <c r="Q308" s="1" t="str">
        <f t="shared" si="52"/>
        <v/>
      </c>
      <c r="R308" s="2" t="str">
        <f t="shared" si="53"/>
        <v/>
      </c>
      <c r="S308" s="1" t="str">
        <f t="shared" si="54"/>
        <v/>
      </c>
    </row>
    <row r="309" spans="1:19" x14ac:dyDescent="0.2">
      <c r="A309" t="str">
        <f>IF(COUNTBLANK(B309:S309)&lt;&gt;COLUMNS(B309:S309),308,"")</f>
        <v/>
      </c>
      <c r="C309" s="2" t="str">
        <f t="shared" si="44"/>
        <v/>
      </c>
      <c r="D309" s="1" t="str">
        <f t="shared" si="45"/>
        <v/>
      </c>
      <c r="E309" s="1" t="str">
        <f t="shared" si="46"/>
        <v/>
      </c>
      <c r="I309" s="1" t="str">
        <f t="shared" si="47"/>
        <v/>
      </c>
      <c r="J309" s="2" t="str">
        <f t="shared" si="48"/>
        <v/>
      </c>
      <c r="K309" s="1" t="str">
        <f t="shared" si="49"/>
        <v/>
      </c>
      <c r="O309" s="1" t="str">
        <f t="shared" si="50"/>
        <v/>
      </c>
      <c r="P309" s="2" t="str">
        <f t="shared" si="51"/>
        <v/>
      </c>
      <c r="Q309" s="1" t="str">
        <f t="shared" si="52"/>
        <v/>
      </c>
      <c r="R309" s="2" t="str">
        <f t="shared" si="53"/>
        <v/>
      </c>
      <c r="S309" s="1" t="str">
        <f t="shared" si="54"/>
        <v/>
      </c>
    </row>
    <row r="310" spans="1:19" x14ac:dyDescent="0.2">
      <c r="A310" t="str">
        <f>IF(COUNTBLANK(B310:S310)&lt;&gt;COLUMNS(B310:S310),309,"")</f>
        <v/>
      </c>
      <c r="C310" s="2" t="str">
        <f t="shared" si="44"/>
        <v/>
      </c>
      <c r="D310" s="1" t="str">
        <f t="shared" si="45"/>
        <v/>
      </c>
      <c r="E310" s="1" t="str">
        <f t="shared" si="46"/>
        <v/>
      </c>
      <c r="I310" s="1" t="str">
        <f t="shared" si="47"/>
        <v/>
      </c>
      <c r="J310" s="2" t="str">
        <f t="shared" si="48"/>
        <v/>
      </c>
      <c r="K310" s="1" t="str">
        <f t="shared" si="49"/>
        <v/>
      </c>
      <c r="O310" s="1" t="str">
        <f t="shared" si="50"/>
        <v/>
      </c>
      <c r="P310" s="2" t="str">
        <f t="shared" si="51"/>
        <v/>
      </c>
      <c r="Q310" s="1" t="str">
        <f t="shared" si="52"/>
        <v/>
      </c>
      <c r="R310" s="2" t="str">
        <f t="shared" si="53"/>
        <v/>
      </c>
      <c r="S310" s="1" t="str">
        <f t="shared" si="54"/>
        <v/>
      </c>
    </row>
    <row r="311" spans="1:19" x14ac:dyDescent="0.2">
      <c r="A311" t="str">
        <f>IF(COUNTBLANK(B311:S311)&lt;&gt;COLUMNS(B311:S311),310,"")</f>
        <v/>
      </c>
      <c r="C311" s="2" t="str">
        <f t="shared" si="44"/>
        <v/>
      </c>
      <c r="D311" s="1" t="str">
        <f t="shared" si="45"/>
        <v/>
      </c>
      <c r="E311" s="1" t="str">
        <f t="shared" si="46"/>
        <v/>
      </c>
      <c r="I311" s="1" t="str">
        <f t="shared" si="47"/>
        <v/>
      </c>
      <c r="J311" s="2" t="str">
        <f t="shared" si="48"/>
        <v/>
      </c>
      <c r="K311" s="1" t="str">
        <f t="shared" si="49"/>
        <v/>
      </c>
      <c r="O311" s="1" t="str">
        <f t="shared" si="50"/>
        <v/>
      </c>
      <c r="P311" s="2" t="str">
        <f t="shared" si="51"/>
        <v/>
      </c>
      <c r="Q311" s="1" t="str">
        <f t="shared" si="52"/>
        <v/>
      </c>
      <c r="R311" s="2" t="str">
        <f t="shared" si="53"/>
        <v/>
      </c>
      <c r="S311" s="1" t="str">
        <f t="shared" si="54"/>
        <v/>
      </c>
    </row>
    <row r="312" spans="1:19" x14ac:dyDescent="0.2">
      <c r="A312" t="str">
        <f>IF(COUNTBLANK(B312:S312)&lt;&gt;COLUMNS(B312:S312),311,"")</f>
        <v/>
      </c>
      <c r="C312" s="2" t="str">
        <f t="shared" si="44"/>
        <v/>
      </c>
      <c r="D312" s="1" t="str">
        <f t="shared" si="45"/>
        <v/>
      </c>
      <c r="E312" s="1" t="str">
        <f t="shared" si="46"/>
        <v/>
      </c>
      <c r="I312" s="1" t="str">
        <f t="shared" si="47"/>
        <v/>
      </c>
      <c r="J312" s="2" t="str">
        <f t="shared" si="48"/>
        <v/>
      </c>
      <c r="K312" s="1" t="str">
        <f t="shared" si="49"/>
        <v/>
      </c>
      <c r="O312" s="1" t="str">
        <f t="shared" si="50"/>
        <v/>
      </c>
      <c r="P312" s="2" t="str">
        <f t="shared" si="51"/>
        <v/>
      </c>
      <c r="Q312" s="1" t="str">
        <f t="shared" si="52"/>
        <v/>
      </c>
      <c r="R312" s="2" t="str">
        <f t="shared" si="53"/>
        <v/>
      </c>
      <c r="S312" s="1" t="str">
        <f t="shared" si="54"/>
        <v/>
      </c>
    </row>
    <row r="313" spans="1:19" x14ac:dyDescent="0.2">
      <c r="A313" t="str">
        <f>IF(COUNTBLANK(B313:S313)&lt;&gt;COLUMNS(B313:S313),312,"")</f>
        <v/>
      </c>
      <c r="C313" s="2" t="str">
        <f t="shared" si="44"/>
        <v/>
      </c>
      <c r="D313" s="1" t="str">
        <f t="shared" si="45"/>
        <v/>
      </c>
      <c r="E313" s="1" t="str">
        <f t="shared" si="46"/>
        <v/>
      </c>
      <c r="I313" s="1" t="str">
        <f t="shared" si="47"/>
        <v/>
      </c>
      <c r="J313" s="2" t="str">
        <f t="shared" si="48"/>
        <v/>
      </c>
      <c r="K313" s="1" t="str">
        <f t="shared" si="49"/>
        <v/>
      </c>
      <c r="O313" s="1" t="str">
        <f t="shared" si="50"/>
        <v/>
      </c>
      <c r="P313" s="2" t="str">
        <f t="shared" si="51"/>
        <v/>
      </c>
      <c r="Q313" s="1" t="str">
        <f t="shared" si="52"/>
        <v/>
      </c>
      <c r="R313" s="2" t="str">
        <f t="shared" si="53"/>
        <v/>
      </c>
      <c r="S313" s="1" t="str">
        <f t="shared" si="54"/>
        <v/>
      </c>
    </row>
    <row r="314" spans="1:19" x14ac:dyDescent="0.2">
      <c r="A314" t="str">
        <f>IF(COUNTBLANK(B314:S314)&lt;&gt;COLUMNS(B314:S314),313,"")</f>
        <v/>
      </c>
      <c r="C314" s="2" t="str">
        <f t="shared" si="44"/>
        <v/>
      </c>
      <c r="D314" s="1" t="str">
        <f t="shared" si="45"/>
        <v/>
      </c>
      <c r="E314" s="1" t="str">
        <f t="shared" si="46"/>
        <v/>
      </c>
      <c r="I314" s="1" t="str">
        <f t="shared" si="47"/>
        <v/>
      </c>
      <c r="J314" s="2" t="str">
        <f t="shared" si="48"/>
        <v/>
      </c>
      <c r="K314" s="1" t="str">
        <f t="shared" si="49"/>
        <v/>
      </c>
      <c r="O314" s="1" t="str">
        <f t="shared" si="50"/>
        <v/>
      </c>
      <c r="P314" s="2" t="str">
        <f t="shared" si="51"/>
        <v/>
      </c>
      <c r="Q314" s="1" t="str">
        <f t="shared" si="52"/>
        <v/>
      </c>
      <c r="R314" s="2" t="str">
        <f t="shared" si="53"/>
        <v/>
      </c>
      <c r="S314" s="1" t="str">
        <f t="shared" si="54"/>
        <v/>
      </c>
    </row>
    <row r="315" spans="1:19" x14ac:dyDescent="0.2">
      <c r="A315" t="str">
        <f>IF(COUNTBLANK(B315:S315)&lt;&gt;COLUMNS(B315:S315),314,"")</f>
        <v/>
      </c>
      <c r="C315" s="2" t="str">
        <f t="shared" si="44"/>
        <v/>
      </c>
      <c r="D315" s="1" t="str">
        <f t="shared" si="45"/>
        <v/>
      </c>
      <c r="E315" s="1" t="str">
        <f t="shared" si="46"/>
        <v/>
      </c>
      <c r="I315" s="1" t="str">
        <f t="shared" si="47"/>
        <v/>
      </c>
      <c r="J315" s="2" t="str">
        <f t="shared" si="48"/>
        <v/>
      </c>
      <c r="K315" s="1" t="str">
        <f t="shared" si="49"/>
        <v/>
      </c>
      <c r="O315" s="1" t="str">
        <f t="shared" si="50"/>
        <v/>
      </c>
      <c r="P315" s="2" t="str">
        <f t="shared" si="51"/>
        <v/>
      </c>
      <c r="Q315" s="1" t="str">
        <f t="shared" si="52"/>
        <v/>
      </c>
      <c r="R315" s="2" t="str">
        <f t="shared" si="53"/>
        <v/>
      </c>
      <c r="S315" s="1" t="str">
        <f t="shared" si="54"/>
        <v/>
      </c>
    </row>
    <row r="316" spans="1:19" x14ac:dyDescent="0.2">
      <c r="A316" t="str">
        <f>IF(COUNTBLANK(B316:S316)&lt;&gt;COLUMNS(B316:S316),315,"")</f>
        <v/>
      </c>
      <c r="C316" s="2" t="str">
        <f t="shared" si="44"/>
        <v/>
      </c>
      <c r="D316" s="1" t="str">
        <f t="shared" si="45"/>
        <v/>
      </c>
      <c r="E316" s="1" t="str">
        <f t="shared" si="46"/>
        <v/>
      </c>
      <c r="I316" s="1" t="str">
        <f t="shared" si="47"/>
        <v/>
      </c>
      <c r="J316" s="2" t="str">
        <f t="shared" si="48"/>
        <v/>
      </c>
      <c r="K316" s="1" t="str">
        <f t="shared" si="49"/>
        <v/>
      </c>
      <c r="O316" s="1" t="str">
        <f t="shared" si="50"/>
        <v/>
      </c>
      <c r="P316" s="2" t="str">
        <f t="shared" si="51"/>
        <v/>
      </c>
      <c r="Q316" s="1" t="str">
        <f t="shared" si="52"/>
        <v/>
      </c>
      <c r="R316" s="2" t="str">
        <f t="shared" si="53"/>
        <v/>
      </c>
      <c r="S316" s="1" t="str">
        <f t="shared" si="54"/>
        <v/>
      </c>
    </row>
    <row r="317" spans="1:19" x14ac:dyDescent="0.2">
      <c r="A317" t="str">
        <f>IF(COUNTBLANK(B317:S317)&lt;&gt;COLUMNS(B317:S317),316,"")</f>
        <v/>
      </c>
      <c r="C317" s="2" t="str">
        <f t="shared" si="44"/>
        <v/>
      </c>
      <c r="D317" s="1" t="str">
        <f t="shared" si="45"/>
        <v/>
      </c>
      <c r="E317" s="1" t="str">
        <f t="shared" si="46"/>
        <v/>
      </c>
      <c r="I317" s="1" t="str">
        <f t="shared" si="47"/>
        <v/>
      </c>
      <c r="J317" s="2" t="str">
        <f t="shared" si="48"/>
        <v/>
      </c>
      <c r="K317" s="1" t="str">
        <f t="shared" si="49"/>
        <v/>
      </c>
      <c r="O317" s="1" t="str">
        <f t="shared" si="50"/>
        <v/>
      </c>
      <c r="P317" s="2" t="str">
        <f t="shared" si="51"/>
        <v/>
      </c>
      <c r="Q317" s="1" t="str">
        <f t="shared" si="52"/>
        <v/>
      </c>
      <c r="R317" s="2" t="str">
        <f t="shared" si="53"/>
        <v/>
      </c>
      <c r="S317" s="1" t="str">
        <f t="shared" si="54"/>
        <v/>
      </c>
    </row>
    <row r="318" spans="1:19" x14ac:dyDescent="0.2">
      <c r="A318" t="str">
        <f>IF(COUNTBLANK(B318:S318)&lt;&gt;COLUMNS(B318:S318),317,"")</f>
        <v/>
      </c>
      <c r="C318" s="2" t="str">
        <f t="shared" si="44"/>
        <v/>
      </c>
      <c r="D318" s="1" t="str">
        <f t="shared" si="45"/>
        <v/>
      </c>
      <c r="E318" s="1" t="str">
        <f t="shared" si="46"/>
        <v/>
      </c>
      <c r="I318" s="1" t="str">
        <f t="shared" si="47"/>
        <v/>
      </c>
      <c r="J318" s="2" t="str">
        <f t="shared" si="48"/>
        <v/>
      </c>
      <c r="K318" s="1" t="str">
        <f t="shared" si="49"/>
        <v/>
      </c>
      <c r="O318" s="1" t="str">
        <f t="shared" si="50"/>
        <v/>
      </c>
      <c r="P318" s="2" t="str">
        <f t="shared" si="51"/>
        <v/>
      </c>
      <c r="Q318" s="1" t="str">
        <f t="shared" si="52"/>
        <v/>
      </c>
      <c r="R318" s="2" t="str">
        <f t="shared" si="53"/>
        <v/>
      </c>
      <c r="S318" s="1" t="str">
        <f t="shared" si="54"/>
        <v/>
      </c>
    </row>
    <row r="319" spans="1:19" x14ac:dyDescent="0.2">
      <c r="A319" t="str">
        <f>IF(COUNTBLANK(B319:S319)&lt;&gt;COLUMNS(B319:S319),318,"")</f>
        <v/>
      </c>
      <c r="C319" s="2" t="str">
        <f t="shared" si="44"/>
        <v/>
      </c>
      <c r="D319" s="1" t="str">
        <f t="shared" si="45"/>
        <v/>
      </c>
      <c r="E319" s="1" t="str">
        <f t="shared" si="46"/>
        <v/>
      </c>
      <c r="I319" s="1" t="str">
        <f t="shared" si="47"/>
        <v/>
      </c>
      <c r="J319" s="2" t="str">
        <f t="shared" si="48"/>
        <v/>
      </c>
      <c r="K319" s="1" t="str">
        <f t="shared" si="49"/>
        <v/>
      </c>
      <c r="O319" s="1" t="str">
        <f t="shared" si="50"/>
        <v/>
      </c>
      <c r="P319" s="2" t="str">
        <f t="shared" si="51"/>
        <v/>
      </c>
      <c r="Q319" s="1" t="str">
        <f t="shared" si="52"/>
        <v/>
      </c>
      <c r="R319" s="2" t="str">
        <f t="shared" si="53"/>
        <v/>
      </c>
      <c r="S319" s="1" t="str">
        <f t="shared" si="54"/>
        <v/>
      </c>
    </row>
    <row r="320" spans="1:19" x14ac:dyDescent="0.2">
      <c r="A320" t="str">
        <f>IF(COUNTBLANK(B320:S320)&lt;&gt;COLUMNS(B320:S320),319,"")</f>
        <v/>
      </c>
      <c r="C320" s="2" t="str">
        <f t="shared" si="44"/>
        <v/>
      </c>
      <c r="D320" s="1" t="str">
        <f t="shared" si="45"/>
        <v/>
      </c>
      <c r="E320" s="1" t="str">
        <f t="shared" si="46"/>
        <v/>
      </c>
      <c r="I320" s="1" t="str">
        <f t="shared" si="47"/>
        <v/>
      </c>
      <c r="J320" s="2" t="str">
        <f t="shared" si="48"/>
        <v/>
      </c>
      <c r="K320" s="1" t="str">
        <f t="shared" si="49"/>
        <v/>
      </c>
      <c r="O320" s="1" t="str">
        <f t="shared" si="50"/>
        <v/>
      </c>
      <c r="P320" s="2" t="str">
        <f t="shared" si="51"/>
        <v/>
      </c>
      <c r="Q320" s="1" t="str">
        <f t="shared" si="52"/>
        <v/>
      </c>
      <c r="R320" s="2" t="str">
        <f t="shared" si="53"/>
        <v/>
      </c>
      <c r="S320" s="1" t="str">
        <f t="shared" si="54"/>
        <v/>
      </c>
    </row>
    <row r="321" spans="1:19" x14ac:dyDescent="0.2">
      <c r="A321" t="str">
        <f>IF(COUNTBLANK(B321:S321)&lt;&gt;COLUMNS(B321:S321),320,"")</f>
        <v/>
      </c>
      <c r="C321" s="2" t="str">
        <f t="shared" si="44"/>
        <v/>
      </c>
      <c r="D321" s="1" t="str">
        <f t="shared" si="45"/>
        <v/>
      </c>
      <c r="E321" s="1" t="str">
        <f t="shared" si="46"/>
        <v/>
      </c>
      <c r="I321" s="1" t="str">
        <f t="shared" si="47"/>
        <v/>
      </c>
      <c r="J321" s="2" t="str">
        <f t="shared" si="48"/>
        <v/>
      </c>
      <c r="K321" s="1" t="str">
        <f t="shared" si="49"/>
        <v/>
      </c>
      <c r="O321" s="1" t="str">
        <f t="shared" si="50"/>
        <v/>
      </c>
      <c r="P321" s="2" t="str">
        <f t="shared" si="51"/>
        <v/>
      </c>
      <c r="Q321" s="1" t="str">
        <f t="shared" si="52"/>
        <v/>
      </c>
      <c r="R321" s="2" t="str">
        <f t="shared" si="53"/>
        <v/>
      </c>
      <c r="S321" s="1" t="str">
        <f t="shared" si="54"/>
        <v/>
      </c>
    </row>
    <row r="322" spans="1:19" x14ac:dyDescent="0.2">
      <c r="A322" t="str">
        <f>IF(COUNTBLANK(B322:S322)&lt;&gt;COLUMNS(B322:S322),321,"")</f>
        <v/>
      </c>
      <c r="C322" s="2" t="str">
        <f t="shared" ref="C322:C385" si="55">IF(B322="", "", "missing: not provided")</f>
        <v/>
      </c>
      <c r="D322" s="1" t="str">
        <f t="shared" ref="D322:D385" si="56">IF(B322="", "", " missing: not provided")</f>
        <v/>
      </c>
      <c r="E322" s="1" t="str">
        <f t="shared" ref="E322:E385" si="57">IF(B322="", "", "Host-associated")</f>
        <v/>
      </c>
      <c r="I322" s="1" t="str">
        <f t="shared" ref="I322:I385" si="58">IF(B322="", "", "host-associated")</f>
        <v/>
      </c>
      <c r="J322" s="2" t="str">
        <f t="shared" ref="J322:J385" si="59">IF(B322="", "", "missing: not provided")</f>
        <v/>
      </c>
      <c r="K322" s="1" t="str">
        <f t="shared" ref="K322:K385" si="60">IF(B322="", "", " missing: not provided")</f>
        <v/>
      </c>
      <c r="O322" s="1" t="str">
        <f t="shared" ref="O322:O385" si="61">IF(B322="", "", "Not applicable")</f>
        <v/>
      </c>
      <c r="P322" s="2" t="str">
        <f t="shared" ref="P322:P385" si="62">IF(B322="", "", "missing: not provided")</f>
        <v/>
      </c>
      <c r="Q322" s="1" t="str">
        <f t="shared" ref="Q322:Q385" si="63">IF(B322="", "", "Not applicable")</f>
        <v/>
      </c>
      <c r="R322" s="2" t="str">
        <f t="shared" ref="R322:R385" si="64">IF(B322="", "", "missing: not provided")</f>
        <v/>
      </c>
      <c r="S322" s="1" t="str">
        <f t="shared" ref="S322:S385" si="65">IF(B322="", "", " missing: not provided")</f>
        <v/>
      </c>
    </row>
    <row r="323" spans="1:19" x14ac:dyDescent="0.2">
      <c r="A323" t="str">
        <f>IF(COUNTBLANK(B323:S323)&lt;&gt;COLUMNS(B323:S323),322,"")</f>
        <v/>
      </c>
      <c r="C323" s="2" t="str">
        <f t="shared" si="55"/>
        <v/>
      </c>
      <c r="D323" s="1" t="str">
        <f t="shared" si="56"/>
        <v/>
      </c>
      <c r="E323" s="1" t="str">
        <f t="shared" si="57"/>
        <v/>
      </c>
      <c r="I323" s="1" t="str">
        <f t="shared" si="58"/>
        <v/>
      </c>
      <c r="J323" s="2" t="str">
        <f t="shared" si="59"/>
        <v/>
      </c>
      <c r="K323" s="1" t="str">
        <f t="shared" si="60"/>
        <v/>
      </c>
      <c r="O323" s="1" t="str">
        <f t="shared" si="61"/>
        <v/>
      </c>
      <c r="P323" s="2" t="str">
        <f t="shared" si="62"/>
        <v/>
      </c>
      <c r="Q323" s="1" t="str">
        <f t="shared" si="63"/>
        <v/>
      </c>
      <c r="R323" s="2" t="str">
        <f t="shared" si="64"/>
        <v/>
      </c>
      <c r="S323" s="1" t="str">
        <f t="shared" si="65"/>
        <v/>
      </c>
    </row>
    <row r="324" spans="1:19" x14ac:dyDescent="0.2">
      <c r="A324" t="str">
        <f>IF(COUNTBLANK(B324:S324)&lt;&gt;COLUMNS(B324:S324),323,"")</f>
        <v/>
      </c>
      <c r="C324" s="2" t="str">
        <f t="shared" si="55"/>
        <v/>
      </c>
      <c r="D324" s="1" t="str">
        <f t="shared" si="56"/>
        <v/>
      </c>
      <c r="E324" s="1" t="str">
        <f t="shared" si="57"/>
        <v/>
      </c>
      <c r="I324" s="1" t="str">
        <f t="shared" si="58"/>
        <v/>
      </c>
      <c r="J324" s="2" t="str">
        <f t="shared" si="59"/>
        <v/>
      </c>
      <c r="K324" s="1" t="str">
        <f t="shared" si="60"/>
        <v/>
      </c>
      <c r="O324" s="1" t="str">
        <f t="shared" si="61"/>
        <v/>
      </c>
      <c r="P324" s="2" t="str">
        <f t="shared" si="62"/>
        <v/>
      </c>
      <c r="Q324" s="1" t="str">
        <f t="shared" si="63"/>
        <v/>
      </c>
      <c r="R324" s="2" t="str">
        <f t="shared" si="64"/>
        <v/>
      </c>
      <c r="S324" s="1" t="str">
        <f t="shared" si="65"/>
        <v/>
      </c>
    </row>
    <row r="325" spans="1:19" x14ac:dyDescent="0.2">
      <c r="A325" t="str">
        <f>IF(COUNTBLANK(B325:S325)&lt;&gt;COLUMNS(B325:S325),324,"")</f>
        <v/>
      </c>
      <c r="C325" s="2" t="str">
        <f t="shared" si="55"/>
        <v/>
      </c>
      <c r="D325" s="1" t="str">
        <f t="shared" si="56"/>
        <v/>
      </c>
      <c r="E325" s="1" t="str">
        <f t="shared" si="57"/>
        <v/>
      </c>
      <c r="I325" s="1" t="str">
        <f t="shared" si="58"/>
        <v/>
      </c>
      <c r="J325" s="2" t="str">
        <f t="shared" si="59"/>
        <v/>
      </c>
      <c r="K325" s="1" t="str">
        <f t="shared" si="60"/>
        <v/>
      </c>
      <c r="O325" s="1" t="str">
        <f t="shared" si="61"/>
        <v/>
      </c>
      <c r="P325" s="2" t="str">
        <f t="shared" si="62"/>
        <v/>
      </c>
      <c r="Q325" s="1" t="str">
        <f t="shared" si="63"/>
        <v/>
      </c>
      <c r="R325" s="2" t="str">
        <f t="shared" si="64"/>
        <v/>
      </c>
      <c r="S325" s="1" t="str">
        <f t="shared" si="65"/>
        <v/>
      </c>
    </row>
    <row r="326" spans="1:19" x14ac:dyDescent="0.2">
      <c r="A326" t="str">
        <f>IF(COUNTBLANK(B326:S326)&lt;&gt;COLUMNS(B326:S326),325,"")</f>
        <v/>
      </c>
      <c r="C326" s="2" t="str">
        <f t="shared" si="55"/>
        <v/>
      </c>
      <c r="D326" s="1" t="str">
        <f t="shared" si="56"/>
        <v/>
      </c>
      <c r="E326" s="1" t="str">
        <f t="shared" si="57"/>
        <v/>
      </c>
      <c r="I326" s="1" t="str">
        <f t="shared" si="58"/>
        <v/>
      </c>
      <c r="J326" s="2" t="str">
        <f t="shared" si="59"/>
        <v/>
      </c>
      <c r="K326" s="1" t="str">
        <f t="shared" si="60"/>
        <v/>
      </c>
      <c r="O326" s="1" t="str">
        <f t="shared" si="61"/>
        <v/>
      </c>
      <c r="P326" s="2" t="str">
        <f t="shared" si="62"/>
        <v/>
      </c>
      <c r="Q326" s="1" t="str">
        <f t="shared" si="63"/>
        <v/>
      </c>
      <c r="R326" s="2" t="str">
        <f t="shared" si="64"/>
        <v/>
      </c>
      <c r="S326" s="1" t="str">
        <f t="shared" si="65"/>
        <v/>
      </c>
    </row>
    <row r="327" spans="1:19" x14ac:dyDescent="0.2">
      <c r="A327" t="str">
        <f>IF(COUNTBLANK(B327:S327)&lt;&gt;COLUMNS(B327:S327),326,"")</f>
        <v/>
      </c>
      <c r="C327" s="2" t="str">
        <f t="shared" si="55"/>
        <v/>
      </c>
      <c r="D327" s="1" t="str">
        <f t="shared" si="56"/>
        <v/>
      </c>
      <c r="E327" s="1" t="str">
        <f t="shared" si="57"/>
        <v/>
      </c>
      <c r="I327" s="1" t="str">
        <f t="shared" si="58"/>
        <v/>
      </c>
      <c r="J327" s="2" t="str">
        <f t="shared" si="59"/>
        <v/>
      </c>
      <c r="K327" s="1" t="str">
        <f t="shared" si="60"/>
        <v/>
      </c>
      <c r="O327" s="1" t="str">
        <f t="shared" si="61"/>
        <v/>
      </c>
      <c r="P327" s="2" t="str">
        <f t="shared" si="62"/>
        <v/>
      </c>
      <c r="Q327" s="1" t="str">
        <f t="shared" si="63"/>
        <v/>
      </c>
      <c r="R327" s="2" t="str">
        <f t="shared" si="64"/>
        <v/>
      </c>
      <c r="S327" s="1" t="str">
        <f t="shared" si="65"/>
        <v/>
      </c>
    </row>
    <row r="328" spans="1:19" x14ac:dyDescent="0.2">
      <c r="A328" t="str">
        <f>IF(COUNTBLANK(B328:S328)&lt;&gt;COLUMNS(B328:S328),327,"")</f>
        <v/>
      </c>
      <c r="C328" s="2" t="str">
        <f t="shared" si="55"/>
        <v/>
      </c>
      <c r="D328" s="1" t="str">
        <f t="shared" si="56"/>
        <v/>
      </c>
      <c r="E328" s="1" t="str">
        <f t="shared" si="57"/>
        <v/>
      </c>
      <c r="I328" s="1" t="str">
        <f t="shared" si="58"/>
        <v/>
      </c>
      <c r="J328" s="2" t="str">
        <f t="shared" si="59"/>
        <v/>
      </c>
      <c r="K328" s="1" t="str">
        <f t="shared" si="60"/>
        <v/>
      </c>
      <c r="O328" s="1" t="str">
        <f t="shared" si="61"/>
        <v/>
      </c>
      <c r="P328" s="2" t="str">
        <f t="shared" si="62"/>
        <v/>
      </c>
      <c r="Q328" s="1" t="str">
        <f t="shared" si="63"/>
        <v/>
      </c>
      <c r="R328" s="2" t="str">
        <f t="shared" si="64"/>
        <v/>
      </c>
      <c r="S328" s="1" t="str">
        <f t="shared" si="65"/>
        <v/>
      </c>
    </row>
    <row r="329" spans="1:19" x14ac:dyDescent="0.2">
      <c r="A329" t="str">
        <f>IF(COUNTBLANK(B329:S329)&lt;&gt;COLUMNS(B329:S329),328,"")</f>
        <v/>
      </c>
      <c r="C329" s="2" t="str">
        <f t="shared" si="55"/>
        <v/>
      </c>
      <c r="D329" s="1" t="str">
        <f t="shared" si="56"/>
        <v/>
      </c>
      <c r="E329" s="1" t="str">
        <f t="shared" si="57"/>
        <v/>
      </c>
      <c r="I329" s="1" t="str">
        <f t="shared" si="58"/>
        <v/>
      </c>
      <c r="J329" s="2" t="str">
        <f t="shared" si="59"/>
        <v/>
      </c>
      <c r="K329" s="1" t="str">
        <f t="shared" si="60"/>
        <v/>
      </c>
      <c r="O329" s="1" t="str">
        <f t="shared" si="61"/>
        <v/>
      </c>
      <c r="P329" s="2" t="str">
        <f t="shared" si="62"/>
        <v/>
      </c>
      <c r="Q329" s="1" t="str">
        <f t="shared" si="63"/>
        <v/>
      </c>
      <c r="R329" s="2" t="str">
        <f t="shared" si="64"/>
        <v/>
      </c>
      <c r="S329" s="1" t="str">
        <f t="shared" si="65"/>
        <v/>
      </c>
    </row>
    <row r="330" spans="1:19" x14ac:dyDescent="0.2">
      <c r="A330" t="str">
        <f>IF(COUNTBLANK(B330:S330)&lt;&gt;COLUMNS(B330:S330),329,"")</f>
        <v/>
      </c>
      <c r="C330" s="2" t="str">
        <f t="shared" si="55"/>
        <v/>
      </c>
      <c r="D330" s="1" t="str">
        <f t="shared" si="56"/>
        <v/>
      </c>
      <c r="E330" s="1" t="str">
        <f t="shared" si="57"/>
        <v/>
      </c>
      <c r="I330" s="1" t="str">
        <f t="shared" si="58"/>
        <v/>
      </c>
      <c r="J330" s="2" t="str">
        <f t="shared" si="59"/>
        <v/>
      </c>
      <c r="K330" s="1" t="str">
        <f t="shared" si="60"/>
        <v/>
      </c>
      <c r="O330" s="1" t="str">
        <f t="shared" si="61"/>
        <v/>
      </c>
      <c r="P330" s="2" t="str">
        <f t="shared" si="62"/>
        <v/>
      </c>
      <c r="Q330" s="1" t="str">
        <f t="shared" si="63"/>
        <v/>
      </c>
      <c r="R330" s="2" t="str">
        <f t="shared" si="64"/>
        <v/>
      </c>
      <c r="S330" s="1" t="str">
        <f t="shared" si="65"/>
        <v/>
      </c>
    </row>
    <row r="331" spans="1:19" x14ac:dyDescent="0.2">
      <c r="A331" t="str">
        <f>IF(COUNTBLANK(B331:S331)&lt;&gt;COLUMNS(B331:S331),330,"")</f>
        <v/>
      </c>
      <c r="C331" s="2" t="str">
        <f t="shared" si="55"/>
        <v/>
      </c>
      <c r="D331" s="1" t="str">
        <f t="shared" si="56"/>
        <v/>
      </c>
      <c r="E331" s="1" t="str">
        <f t="shared" si="57"/>
        <v/>
      </c>
      <c r="I331" s="1" t="str">
        <f t="shared" si="58"/>
        <v/>
      </c>
      <c r="J331" s="2" t="str">
        <f t="shared" si="59"/>
        <v/>
      </c>
      <c r="K331" s="1" t="str">
        <f t="shared" si="60"/>
        <v/>
      </c>
      <c r="O331" s="1" t="str">
        <f t="shared" si="61"/>
        <v/>
      </c>
      <c r="P331" s="2" t="str">
        <f t="shared" si="62"/>
        <v/>
      </c>
      <c r="Q331" s="1" t="str">
        <f t="shared" si="63"/>
        <v/>
      </c>
      <c r="R331" s="2" t="str">
        <f t="shared" si="64"/>
        <v/>
      </c>
      <c r="S331" s="1" t="str">
        <f t="shared" si="65"/>
        <v/>
      </c>
    </row>
    <row r="332" spans="1:19" x14ac:dyDescent="0.2">
      <c r="A332" t="str">
        <f>IF(COUNTBLANK(B332:S332)&lt;&gt;COLUMNS(B332:S332),331,"")</f>
        <v/>
      </c>
      <c r="C332" s="2" t="str">
        <f t="shared" si="55"/>
        <v/>
      </c>
      <c r="D332" s="1" t="str">
        <f t="shared" si="56"/>
        <v/>
      </c>
      <c r="E332" s="1" t="str">
        <f t="shared" si="57"/>
        <v/>
      </c>
      <c r="I332" s="1" t="str">
        <f t="shared" si="58"/>
        <v/>
      </c>
      <c r="J332" s="2" t="str">
        <f t="shared" si="59"/>
        <v/>
      </c>
      <c r="K332" s="1" t="str">
        <f t="shared" si="60"/>
        <v/>
      </c>
      <c r="O332" s="1" t="str">
        <f t="shared" si="61"/>
        <v/>
      </c>
      <c r="P332" s="2" t="str">
        <f t="shared" si="62"/>
        <v/>
      </c>
      <c r="Q332" s="1" t="str">
        <f t="shared" si="63"/>
        <v/>
      </c>
      <c r="R332" s="2" t="str">
        <f t="shared" si="64"/>
        <v/>
      </c>
      <c r="S332" s="1" t="str">
        <f t="shared" si="65"/>
        <v/>
      </c>
    </row>
    <row r="333" spans="1:19" x14ac:dyDescent="0.2">
      <c r="A333" t="str">
        <f>IF(COUNTBLANK(B333:S333)&lt;&gt;COLUMNS(B333:S333),332,"")</f>
        <v/>
      </c>
      <c r="C333" s="2" t="str">
        <f t="shared" si="55"/>
        <v/>
      </c>
      <c r="D333" s="1" t="str">
        <f t="shared" si="56"/>
        <v/>
      </c>
      <c r="E333" s="1" t="str">
        <f t="shared" si="57"/>
        <v/>
      </c>
      <c r="I333" s="1" t="str">
        <f t="shared" si="58"/>
        <v/>
      </c>
      <c r="J333" s="2" t="str">
        <f t="shared" si="59"/>
        <v/>
      </c>
      <c r="K333" s="1" t="str">
        <f t="shared" si="60"/>
        <v/>
      </c>
      <c r="O333" s="1" t="str">
        <f t="shared" si="61"/>
        <v/>
      </c>
      <c r="P333" s="2" t="str">
        <f t="shared" si="62"/>
        <v/>
      </c>
      <c r="Q333" s="1" t="str">
        <f t="shared" si="63"/>
        <v/>
      </c>
      <c r="R333" s="2" t="str">
        <f t="shared" si="64"/>
        <v/>
      </c>
      <c r="S333" s="1" t="str">
        <f t="shared" si="65"/>
        <v/>
      </c>
    </row>
    <row r="334" spans="1:19" x14ac:dyDescent="0.2">
      <c r="A334" t="str">
        <f>IF(COUNTBLANK(B334:S334)&lt;&gt;COLUMNS(B334:S334),333,"")</f>
        <v/>
      </c>
      <c r="C334" s="2" t="str">
        <f t="shared" si="55"/>
        <v/>
      </c>
      <c r="D334" s="1" t="str">
        <f t="shared" si="56"/>
        <v/>
      </c>
      <c r="E334" s="1" t="str">
        <f t="shared" si="57"/>
        <v/>
      </c>
      <c r="I334" s="1" t="str">
        <f t="shared" si="58"/>
        <v/>
      </c>
      <c r="J334" s="2" t="str">
        <f t="shared" si="59"/>
        <v/>
      </c>
      <c r="K334" s="1" t="str">
        <f t="shared" si="60"/>
        <v/>
      </c>
      <c r="O334" s="1" t="str">
        <f t="shared" si="61"/>
        <v/>
      </c>
      <c r="P334" s="2" t="str">
        <f t="shared" si="62"/>
        <v/>
      </c>
      <c r="Q334" s="1" t="str">
        <f t="shared" si="63"/>
        <v/>
      </c>
      <c r="R334" s="2" t="str">
        <f t="shared" si="64"/>
        <v/>
      </c>
      <c r="S334" s="1" t="str">
        <f t="shared" si="65"/>
        <v/>
      </c>
    </row>
    <row r="335" spans="1:19" x14ac:dyDescent="0.2">
      <c r="A335" t="str">
        <f>IF(COUNTBLANK(B335:S335)&lt;&gt;COLUMNS(B335:S335),334,"")</f>
        <v/>
      </c>
      <c r="C335" s="2" t="str">
        <f t="shared" si="55"/>
        <v/>
      </c>
      <c r="D335" s="1" t="str">
        <f t="shared" si="56"/>
        <v/>
      </c>
      <c r="E335" s="1" t="str">
        <f t="shared" si="57"/>
        <v/>
      </c>
      <c r="I335" s="1" t="str">
        <f t="shared" si="58"/>
        <v/>
      </c>
      <c r="J335" s="2" t="str">
        <f t="shared" si="59"/>
        <v/>
      </c>
      <c r="K335" s="1" t="str">
        <f t="shared" si="60"/>
        <v/>
      </c>
      <c r="O335" s="1" t="str">
        <f t="shared" si="61"/>
        <v/>
      </c>
      <c r="P335" s="2" t="str">
        <f t="shared" si="62"/>
        <v/>
      </c>
      <c r="Q335" s="1" t="str">
        <f t="shared" si="63"/>
        <v/>
      </c>
      <c r="R335" s="2" t="str">
        <f t="shared" si="64"/>
        <v/>
      </c>
      <c r="S335" s="1" t="str">
        <f t="shared" si="65"/>
        <v/>
      </c>
    </row>
    <row r="336" spans="1:19" x14ac:dyDescent="0.2">
      <c r="A336" t="str">
        <f>IF(COUNTBLANK(B336:S336)&lt;&gt;COLUMNS(B336:S336),335,"")</f>
        <v/>
      </c>
      <c r="C336" s="2" t="str">
        <f t="shared" si="55"/>
        <v/>
      </c>
      <c r="D336" s="1" t="str">
        <f t="shared" si="56"/>
        <v/>
      </c>
      <c r="E336" s="1" t="str">
        <f t="shared" si="57"/>
        <v/>
      </c>
      <c r="I336" s="1" t="str">
        <f t="shared" si="58"/>
        <v/>
      </c>
      <c r="J336" s="2" t="str">
        <f t="shared" si="59"/>
        <v/>
      </c>
      <c r="K336" s="1" t="str">
        <f t="shared" si="60"/>
        <v/>
      </c>
      <c r="O336" s="1" t="str">
        <f t="shared" si="61"/>
        <v/>
      </c>
      <c r="P336" s="2" t="str">
        <f t="shared" si="62"/>
        <v/>
      </c>
      <c r="Q336" s="1" t="str">
        <f t="shared" si="63"/>
        <v/>
      </c>
      <c r="R336" s="2" t="str">
        <f t="shared" si="64"/>
        <v/>
      </c>
      <c r="S336" s="1" t="str">
        <f t="shared" si="65"/>
        <v/>
      </c>
    </row>
    <row r="337" spans="1:19" x14ac:dyDescent="0.2">
      <c r="A337" t="str">
        <f>IF(COUNTBLANK(B337:S337)&lt;&gt;COLUMNS(B337:S337),336,"")</f>
        <v/>
      </c>
      <c r="C337" s="2" t="str">
        <f t="shared" si="55"/>
        <v/>
      </c>
      <c r="D337" s="1" t="str">
        <f t="shared" si="56"/>
        <v/>
      </c>
      <c r="E337" s="1" t="str">
        <f t="shared" si="57"/>
        <v/>
      </c>
      <c r="I337" s="1" t="str">
        <f t="shared" si="58"/>
        <v/>
      </c>
      <c r="J337" s="2" t="str">
        <f t="shared" si="59"/>
        <v/>
      </c>
      <c r="K337" s="1" t="str">
        <f t="shared" si="60"/>
        <v/>
      </c>
      <c r="O337" s="1" t="str">
        <f t="shared" si="61"/>
        <v/>
      </c>
      <c r="P337" s="2" t="str">
        <f t="shared" si="62"/>
        <v/>
      </c>
      <c r="Q337" s="1" t="str">
        <f t="shared" si="63"/>
        <v/>
      </c>
      <c r="R337" s="2" t="str">
        <f t="shared" si="64"/>
        <v/>
      </c>
      <c r="S337" s="1" t="str">
        <f t="shared" si="65"/>
        <v/>
      </c>
    </row>
    <row r="338" spans="1:19" x14ac:dyDescent="0.2">
      <c r="A338" t="str">
        <f>IF(COUNTBLANK(B338:S338)&lt;&gt;COLUMNS(B338:S338),337,"")</f>
        <v/>
      </c>
      <c r="C338" s="2" t="str">
        <f t="shared" si="55"/>
        <v/>
      </c>
      <c r="D338" s="1" t="str">
        <f t="shared" si="56"/>
        <v/>
      </c>
      <c r="E338" s="1" t="str">
        <f t="shared" si="57"/>
        <v/>
      </c>
      <c r="I338" s="1" t="str">
        <f t="shared" si="58"/>
        <v/>
      </c>
      <c r="J338" s="2" t="str">
        <f t="shared" si="59"/>
        <v/>
      </c>
      <c r="K338" s="1" t="str">
        <f t="shared" si="60"/>
        <v/>
      </c>
      <c r="O338" s="1" t="str">
        <f t="shared" si="61"/>
        <v/>
      </c>
      <c r="P338" s="2" t="str">
        <f t="shared" si="62"/>
        <v/>
      </c>
      <c r="Q338" s="1" t="str">
        <f t="shared" si="63"/>
        <v/>
      </c>
      <c r="R338" s="2" t="str">
        <f t="shared" si="64"/>
        <v/>
      </c>
      <c r="S338" s="1" t="str">
        <f t="shared" si="65"/>
        <v/>
      </c>
    </row>
    <row r="339" spans="1:19" x14ac:dyDescent="0.2">
      <c r="A339" t="str">
        <f>IF(COUNTBLANK(B339:S339)&lt;&gt;COLUMNS(B339:S339),338,"")</f>
        <v/>
      </c>
      <c r="C339" s="2" t="str">
        <f t="shared" si="55"/>
        <v/>
      </c>
      <c r="D339" s="1" t="str">
        <f t="shared" si="56"/>
        <v/>
      </c>
      <c r="E339" s="1" t="str">
        <f t="shared" si="57"/>
        <v/>
      </c>
      <c r="I339" s="1" t="str">
        <f t="shared" si="58"/>
        <v/>
      </c>
      <c r="J339" s="2" t="str">
        <f t="shared" si="59"/>
        <v/>
      </c>
      <c r="K339" s="1" t="str">
        <f t="shared" si="60"/>
        <v/>
      </c>
      <c r="O339" s="1" t="str">
        <f t="shared" si="61"/>
        <v/>
      </c>
      <c r="P339" s="2" t="str">
        <f t="shared" si="62"/>
        <v/>
      </c>
      <c r="Q339" s="1" t="str">
        <f t="shared" si="63"/>
        <v/>
      </c>
      <c r="R339" s="2" t="str">
        <f t="shared" si="64"/>
        <v/>
      </c>
      <c r="S339" s="1" t="str">
        <f t="shared" si="65"/>
        <v/>
      </c>
    </row>
    <row r="340" spans="1:19" x14ac:dyDescent="0.2">
      <c r="A340" t="str">
        <f>IF(COUNTBLANK(B340:S340)&lt;&gt;COLUMNS(B340:S340),339,"")</f>
        <v/>
      </c>
      <c r="C340" s="2" t="str">
        <f t="shared" si="55"/>
        <v/>
      </c>
      <c r="D340" s="1" t="str">
        <f t="shared" si="56"/>
        <v/>
      </c>
      <c r="E340" s="1" t="str">
        <f t="shared" si="57"/>
        <v/>
      </c>
      <c r="I340" s="1" t="str">
        <f t="shared" si="58"/>
        <v/>
      </c>
      <c r="J340" s="2" t="str">
        <f t="shared" si="59"/>
        <v/>
      </c>
      <c r="K340" s="1" t="str">
        <f t="shared" si="60"/>
        <v/>
      </c>
      <c r="O340" s="1" t="str">
        <f t="shared" si="61"/>
        <v/>
      </c>
      <c r="P340" s="2" t="str">
        <f t="shared" si="62"/>
        <v/>
      </c>
      <c r="Q340" s="1" t="str">
        <f t="shared" si="63"/>
        <v/>
      </c>
      <c r="R340" s="2" t="str">
        <f t="shared" si="64"/>
        <v/>
      </c>
      <c r="S340" s="1" t="str">
        <f t="shared" si="65"/>
        <v/>
      </c>
    </row>
    <row r="341" spans="1:19" x14ac:dyDescent="0.2">
      <c r="A341" t="str">
        <f>IF(COUNTBLANK(B341:S341)&lt;&gt;COLUMNS(B341:S341),340,"")</f>
        <v/>
      </c>
      <c r="C341" s="2" t="str">
        <f t="shared" si="55"/>
        <v/>
      </c>
      <c r="D341" s="1" t="str">
        <f t="shared" si="56"/>
        <v/>
      </c>
      <c r="E341" s="1" t="str">
        <f t="shared" si="57"/>
        <v/>
      </c>
      <c r="I341" s="1" t="str">
        <f t="shared" si="58"/>
        <v/>
      </c>
      <c r="J341" s="2" t="str">
        <f t="shared" si="59"/>
        <v/>
      </c>
      <c r="K341" s="1" t="str">
        <f t="shared" si="60"/>
        <v/>
      </c>
      <c r="O341" s="1" t="str">
        <f t="shared" si="61"/>
        <v/>
      </c>
      <c r="P341" s="2" t="str">
        <f t="shared" si="62"/>
        <v/>
      </c>
      <c r="Q341" s="1" t="str">
        <f t="shared" si="63"/>
        <v/>
      </c>
      <c r="R341" s="2" t="str">
        <f t="shared" si="64"/>
        <v/>
      </c>
      <c r="S341" s="1" t="str">
        <f t="shared" si="65"/>
        <v/>
      </c>
    </row>
    <row r="342" spans="1:19" x14ac:dyDescent="0.2">
      <c r="A342" t="str">
        <f>IF(COUNTBLANK(B342:S342)&lt;&gt;COLUMNS(B342:S342),341,"")</f>
        <v/>
      </c>
      <c r="C342" s="2" t="str">
        <f t="shared" si="55"/>
        <v/>
      </c>
      <c r="D342" s="1" t="str">
        <f t="shared" si="56"/>
        <v/>
      </c>
      <c r="E342" s="1" t="str">
        <f t="shared" si="57"/>
        <v/>
      </c>
      <c r="I342" s="1" t="str">
        <f t="shared" si="58"/>
        <v/>
      </c>
      <c r="J342" s="2" t="str">
        <f t="shared" si="59"/>
        <v/>
      </c>
      <c r="K342" s="1" t="str">
        <f t="shared" si="60"/>
        <v/>
      </c>
      <c r="O342" s="1" t="str">
        <f t="shared" si="61"/>
        <v/>
      </c>
      <c r="P342" s="2" t="str">
        <f t="shared" si="62"/>
        <v/>
      </c>
      <c r="Q342" s="1" t="str">
        <f t="shared" si="63"/>
        <v/>
      </c>
      <c r="R342" s="2" t="str">
        <f t="shared" si="64"/>
        <v/>
      </c>
      <c r="S342" s="1" t="str">
        <f t="shared" si="65"/>
        <v/>
      </c>
    </row>
    <row r="343" spans="1:19" x14ac:dyDescent="0.2">
      <c r="A343" t="str">
        <f>IF(COUNTBLANK(B343:S343)&lt;&gt;COLUMNS(B343:S343),342,"")</f>
        <v/>
      </c>
      <c r="C343" s="2" t="str">
        <f t="shared" si="55"/>
        <v/>
      </c>
      <c r="D343" s="1" t="str">
        <f t="shared" si="56"/>
        <v/>
      </c>
      <c r="E343" s="1" t="str">
        <f t="shared" si="57"/>
        <v/>
      </c>
      <c r="I343" s="1" t="str">
        <f t="shared" si="58"/>
        <v/>
      </c>
      <c r="J343" s="2" t="str">
        <f t="shared" si="59"/>
        <v/>
      </c>
      <c r="K343" s="1" t="str">
        <f t="shared" si="60"/>
        <v/>
      </c>
      <c r="O343" s="1" t="str">
        <f t="shared" si="61"/>
        <v/>
      </c>
      <c r="P343" s="2" t="str">
        <f t="shared" si="62"/>
        <v/>
      </c>
      <c r="Q343" s="1" t="str">
        <f t="shared" si="63"/>
        <v/>
      </c>
      <c r="R343" s="2" t="str">
        <f t="shared" si="64"/>
        <v/>
      </c>
      <c r="S343" s="1" t="str">
        <f t="shared" si="65"/>
        <v/>
      </c>
    </row>
    <row r="344" spans="1:19" x14ac:dyDescent="0.2">
      <c r="A344" t="str">
        <f>IF(COUNTBLANK(B344:S344)&lt;&gt;COLUMNS(B344:S344),343,"")</f>
        <v/>
      </c>
      <c r="C344" s="2" t="str">
        <f t="shared" si="55"/>
        <v/>
      </c>
      <c r="D344" s="1" t="str">
        <f t="shared" si="56"/>
        <v/>
      </c>
      <c r="E344" s="1" t="str">
        <f t="shared" si="57"/>
        <v/>
      </c>
      <c r="I344" s="1" t="str">
        <f t="shared" si="58"/>
        <v/>
      </c>
      <c r="J344" s="2" t="str">
        <f t="shared" si="59"/>
        <v/>
      </c>
      <c r="K344" s="1" t="str">
        <f t="shared" si="60"/>
        <v/>
      </c>
      <c r="O344" s="1" t="str">
        <f t="shared" si="61"/>
        <v/>
      </c>
      <c r="P344" s="2" t="str">
        <f t="shared" si="62"/>
        <v/>
      </c>
      <c r="Q344" s="1" t="str">
        <f t="shared" si="63"/>
        <v/>
      </c>
      <c r="R344" s="2" t="str">
        <f t="shared" si="64"/>
        <v/>
      </c>
      <c r="S344" s="1" t="str">
        <f t="shared" si="65"/>
        <v/>
      </c>
    </row>
    <row r="345" spans="1:19" x14ac:dyDescent="0.2">
      <c r="A345" t="str">
        <f>IF(COUNTBLANK(B345:S345)&lt;&gt;COLUMNS(B345:S345),344,"")</f>
        <v/>
      </c>
      <c r="C345" s="2" t="str">
        <f t="shared" si="55"/>
        <v/>
      </c>
      <c r="D345" s="1" t="str">
        <f t="shared" si="56"/>
        <v/>
      </c>
      <c r="E345" s="1" t="str">
        <f t="shared" si="57"/>
        <v/>
      </c>
      <c r="I345" s="1" t="str">
        <f t="shared" si="58"/>
        <v/>
      </c>
      <c r="J345" s="2" t="str">
        <f t="shared" si="59"/>
        <v/>
      </c>
      <c r="K345" s="1" t="str">
        <f t="shared" si="60"/>
        <v/>
      </c>
      <c r="O345" s="1" t="str">
        <f t="shared" si="61"/>
        <v/>
      </c>
      <c r="P345" s="2" t="str">
        <f t="shared" si="62"/>
        <v/>
      </c>
      <c r="Q345" s="1" t="str">
        <f t="shared" si="63"/>
        <v/>
      </c>
      <c r="R345" s="2" t="str">
        <f t="shared" si="64"/>
        <v/>
      </c>
      <c r="S345" s="1" t="str">
        <f t="shared" si="65"/>
        <v/>
      </c>
    </row>
    <row r="346" spans="1:19" x14ac:dyDescent="0.2">
      <c r="A346" t="str">
        <f>IF(COUNTBLANK(B346:S346)&lt;&gt;COLUMNS(B346:S346),345,"")</f>
        <v/>
      </c>
      <c r="C346" s="2" t="str">
        <f t="shared" si="55"/>
        <v/>
      </c>
      <c r="D346" s="1" t="str">
        <f t="shared" si="56"/>
        <v/>
      </c>
      <c r="E346" s="1" t="str">
        <f t="shared" si="57"/>
        <v/>
      </c>
      <c r="I346" s="1" t="str">
        <f t="shared" si="58"/>
        <v/>
      </c>
      <c r="J346" s="2" t="str">
        <f t="shared" si="59"/>
        <v/>
      </c>
      <c r="K346" s="1" t="str">
        <f t="shared" si="60"/>
        <v/>
      </c>
      <c r="O346" s="1" t="str">
        <f t="shared" si="61"/>
        <v/>
      </c>
      <c r="P346" s="2" t="str">
        <f t="shared" si="62"/>
        <v/>
      </c>
      <c r="Q346" s="1" t="str">
        <f t="shared" si="63"/>
        <v/>
      </c>
      <c r="R346" s="2" t="str">
        <f t="shared" si="64"/>
        <v/>
      </c>
      <c r="S346" s="1" t="str">
        <f t="shared" si="65"/>
        <v/>
      </c>
    </row>
    <row r="347" spans="1:19" x14ac:dyDescent="0.2">
      <c r="A347" t="str">
        <f>IF(COUNTBLANK(B347:S347)&lt;&gt;COLUMNS(B347:S347),346,"")</f>
        <v/>
      </c>
      <c r="C347" s="2" t="str">
        <f t="shared" si="55"/>
        <v/>
      </c>
      <c r="D347" s="1" t="str">
        <f t="shared" si="56"/>
        <v/>
      </c>
      <c r="E347" s="1" t="str">
        <f t="shared" si="57"/>
        <v/>
      </c>
      <c r="I347" s="1" t="str">
        <f t="shared" si="58"/>
        <v/>
      </c>
      <c r="J347" s="2" t="str">
        <f t="shared" si="59"/>
        <v/>
      </c>
      <c r="K347" s="1" t="str">
        <f t="shared" si="60"/>
        <v/>
      </c>
      <c r="O347" s="1" t="str">
        <f t="shared" si="61"/>
        <v/>
      </c>
      <c r="P347" s="2" t="str">
        <f t="shared" si="62"/>
        <v/>
      </c>
      <c r="Q347" s="1" t="str">
        <f t="shared" si="63"/>
        <v/>
      </c>
      <c r="R347" s="2" t="str">
        <f t="shared" si="64"/>
        <v/>
      </c>
      <c r="S347" s="1" t="str">
        <f t="shared" si="65"/>
        <v/>
      </c>
    </row>
    <row r="348" spans="1:19" x14ac:dyDescent="0.2">
      <c r="A348" t="str">
        <f>IF(COUNTBLANK(B348:S348)&lt;&gt;COLUMNS(B348:S348),347,"")</f>
        <v/>
      </c>
      <c r="C348" s="2" t="str">
        <f t="shared" si="55"/>
        <v/>
      </c>
      <c r="D348" s="1" t="str">
        <f t="shared" si="56"/>
        <v/>
      </c>
      <c r="E348" s="1" t="str">
        <f t="shared" si="57"/>
        <v/>
      </c>
      <c r="I348" s="1" t="str">
        <f t="shared" si="58"/>
        <v/>
      </c>
      <c r="J348" s="2" t="str">
        <f t="shared" si="59"/>
        <v/>
      </c>
      <c r="K348" s="1" t="str">
        <f t="shared" si="60"/>
        <v/>
      </c>
      <c r="O348" s="1" t="str">
        <f t="shared" si="61"/>
        <v/>
      </c>
      <c r="P348" s="2" t="str">
        <f t="shared" si="62"/>
        <v/>
      </c>
      <c r="Q348" s="1" t="str">
        <f t="shared" si="63"/>
        <v/>
      </c>
      <c r="R348" s="2" t="str">
        <f t="shared" si="64"/>
        <v/>
      </c>
      <c r="S348" s="1" t="str">
        <f t="shared" si="65"/>
        <v/>
      </c>
    </row>
    <row r="349" spans="1:19" x14ac:dyDescent="0.2">
      <c r="A349" t="str">
        <f>IF(COUNTBLANK(B349:S349)&lt;&gt;COLUMNS(B349:S349),348,"")</f>
        <v/>
      </c>
      <c r="C349" s="2" t="str">
        <f t="shared" si="55"/>
        <v/>
      </c>
      <c r="D349" s="1" t="str">
        <f t="shared" si="56"/>
        <v/>
      </c>
      <c r="E349" s="1" t="str">
        <f t="shared" si="57"/>
        <v/>
      </c>
      <c r="I349" s="1" t="str">
        <f t="shared" si="58"/>
        <v/>
      </c>
      <c r="J349" s="2" t="str">
        <f t="shared" si="59"/>
        <v/>
      </c>
      <c r="K349" s="1" t="str">
        <f t="shared" si="60"/>
        <v/>
      </c>
      <c r="O349" s="1" t="str">
        <f t="shared" si="61"/>
        <v/>
      </c>
      <c r="P349" s="2" t="str">
        <f t="shared" si="62"/>
        <v/>
      </c>
      <c r="Q349" s="1" t="str">
        <f t="shared" si="63"/>
        <v/>
      </c>
      <c r="R349" s="2" t="str">
        <f t="shared" si="64"/>
        <v/>
      </c>
      <c r="S349" s="1" t="str">
        <f t="shared" si="65"/>
        <v/>
      </c>
    </row>
    <row r="350" spans="1:19" x14ac:dyDescent="0.2">
      <c r="A350" t="str">
        <f>IF(COUNTBLANK(B350:S350)&lt;&gt;COLUMNS(B350:S350),349,"")</f>
        <v/>
      </c>
      <c r="C350" s="2" t="str">
        <f t="shared" si="55"/>
        <v/>
      </c>
      <c r="D350" s="1" t="str">
        <f t="shared" si="56"/>
        <v/>
      </c>
      <c r="E350" s="1" t="str">
        <f t="shared" si="57"/>
        <v/>
      </c>
      <c r="I350" s="1" t="str">
        <f t="shared" si="58"/>
        <v/>
      </c>
      <c r="J350" s="2" t="str">
        <f t="shared" si="59"/>
        <v/>
      </c>
      <c r="K350" s="1" t="str">
        <f t="shared" si="60"/>
        <v/>
      </c>
      <c r="O350" s="1" t="str">
        <f t="shared" si="61"/>
        <v/>
      </c>
      <c r="P350" s="2" t="str">
        <f t="shared" si="62"/>
        <v/>
      </c>
      <c r="Q350" s="1" t="str">
        <f t="shared" si="63"/>
        <v/>
      </c>
      <c r="R350" s="2" t="str">
        <f t="shared" si="64"/>
        <v/>
      </c>
      <c r="S350" s="1" t="str">
        <f t="shared" si="65"/>
        <v/>
      </c>
    </row>
    <row r="351" spans="1:19" x14ac:dyDescent="0.2">
      <c r="A351" t="str">
        <f>IF(COUNTBLANK(B351:S351)&lt;&gt;COLUMNS(B351:S351),350,"")</f>
        <v/>
      </c>
      <c r="C351" s="2" t="str">
        <f t="shared" si="55"/>
        <v/>
      </c>
      <c r="D351" s="1" t="str">
        <f t="shared" si="56"/>
        <v/>
      </c>
      <c r="E351" s="1" t="str">
        <f t="shared" si="57"/>
        <v/>
      </c>
      <c r="I351" s="1" t="str">
        <f t="shared" si="58"/>
        <v/>
      </c>
      <c r="J351" s="2" t="str">
        <f t="shared" si="59"/>
        <v/>
      </c>
      <c r="K351" s="1" t="str">
        <f t="shared" si="60"/>
        <v/>
      </c>
      <c r="O351" s="1" t="str">
        <f t="shared" si="61"/>
        <v/>
      </c>
      <c r="P351" s="2" t="str">
        <f t="shared" si="62"/>
        <v/>
      </c>
      <c r="Q351" s="1" t="str">
        <f t="shared" si="63"/>
        <v/>
      </c>
      <c r="R351" s="2" t="str">
        <f t="shared" si="64"/>
        <v/>
      </c>
      <c r="S351" s="1" t="str">
        <f t="shared" si="65"/>
        <v/>
      </c>
    </row>
    <row r="352" spans="1:19" x14ac:dyDescent="0.2">
      <c r="A352" t="str">
        <f>IF(COUNTBLANK(B352:S352)&lt;&gt;COLUMNS(B352:S352),351,"")</f>
        <v/>
      </c>
      <c r="C352" s="2" t="str">
        <f t="shared" si="55"/>
        <v/>
      </c>
      <c r="D352" s="1" t="str">
        <f t="shared" si="56"/>
        <v/>
      </c>
      <c r="E352" s="1" t="str">
        <f t="shared" si="57"/>
        <v/>
      </c>
      <c r="I352" s="1" t="str">
        <f t="shared" si="58"/>
        <v/>
      </c>
      <c r="J352" s="2" t="str">
        <f t="shared" si="59"/>
        <v/>
      </c>
      <c r="K352" s="1" t="str">
        <f t="shared" si="60"/>
        <v/>
      </c>
      <c r="O352" s="1" t="str">
        <f t="shared" si="61"/>
        <v/>
      </c>
      <c r="P352" s="2" t="str">
        <f t="shared" si="62"/>
        <v/>
      </c>
      <c r="Q352" s="1" t="str">
        <f t="shared" si="63"/>
        <v/>
      </c>
      <c r="R352" s="2" t="str">
        <f t="shared" si="64"/>
        <v/>
      </c>
      <c r="S352" s="1" t="str">
        <f t="shared" si="65"/>
        <v/>
      </c>
    </row>
    <row r="353" spans="1:19" x14ac:dyDescent="0.2">
      <c r="A353" t="str">
        <f>IF(COUNTBLANK(B353:S353)&lt;&gt;COLUMNS(B353:S353),352,"")</f>
        <v/>
      </c>
      <c r="C353" s="2" t="str">
        <f t="shared" si="55"/>
        <v/>
      </c>
      <c r="D353" s="1" t="str">
        <f t="shared" si="56"/>
        <v/>
      </c>
      <c r="E353" s="1" t="str">
        <f t="shared" si="57"/>
        <v/>
      </c>
      <c r="I353" s="1" t="str">
        <f t="shared" si="58"/>
        <v/>
      </c>
      <c r="J353" s="2" t="str">
        <f t="shared" si="59"/>
        <v/>
      </c>
      <c r="K353" s="1" t="str">
        <f t="shared" si="60"/>
        <v/>
      </c>
      <c r="O353" s="1" t="str">
        <f t="shared" si="61"/>
        <v/>
      </c>
      <c r="P353" s="2" t="str">
        <f t="shared" si="62"/>
        <v/>
      </c>
      <c r="Q353" s="1" t="str">
        <f t="shared" si="63"/>
        <v/>
      </c>
      <c r="R353" s="2" t="str">
        <f t="shared" si="64"/>
        <v/>
      </c>
      <c r="S353" s="1" t="str">
        <f t="shared" si="65"/>
        <v/>
      </c>
    </row>
    <row r="354" spans="1:19" x14ac:dyDescent="0.2">
      <c r="A354" t="str">
        <f>IF(COUNTBLANK(B354:S354)&lt;&gt;COLUMNS(B354:S354),353,"")</f>
        <v/>
      </c>
      <c r="C354" s="2" t="str">
        <f t="shared" si="55"/>
        <v/>
      </c>
      <c r="D354" s="1" t="str">
        <f t="shared" si="56"/>
        <v/>
      </c>
      <c r="E354" s="1" t="str">
        <f t="shared" si="57"/>
        <v/>
      </c>
      <c r="I354" s="1" t="str">
        <f t="shared" si="58"/>
        <v/>
      </c>
      <c r="J354" s="2" t="str">
        <f t="shared" si="59"/>
        <v/>
      </c>
      <c r="K354" s="1" t="str">
        <f t="shared" si="60"/>
        <v/>
      </c>
      <c r="O354" s="1" t="str">
        <f t="shared" si="61"/>
        <v/>
      </c>
      <c r="P354" s="2" t="str">
        <f t="shared" si="62"/>
        <v/>
      </c>
      <c r="Q354" s="1" t="str">
        <f t="shared" si="63"/>
        <v/>
      </c>
      <c r="R354" s="2" t="str">
        <f t="shared" si="64"/>
        <v/>
      </c>
      <c r="S354" s="1" t="str">
        <f t="shared" si="65"/>
        <v/>
      </c>
    </row>
    <row r="355" spans="1:19" x14ac:dyDescent="0.2">
      <c r="A355" t="str">
        <f>IF(COUNTBLANK(B355:S355)&lt;&gt;COLUMNS(B355:S355),354,"")</f>
        <v/>
      </c>
      <c r="C355" s="2" t="str">
        <f t="shared" si="55"/>
        <v/>
      </c>
      <c r="D355" s="1" t="str">
        <f t="shared" si="56"/>
        <v/>
      </c>
      <c r="E355" s="1" t="str">
        <f t="shared" si="57"/>
        <v/>
      </c>
      <c r="I355" s="1" t="str">
        <f t="shared" si="58"/>
        <v/>
      </c>
      <c r="J355" s="2" t="str">
        <f t="shared" si="59"/>
        <v/>
      </c>
      <c r="K355" s="1" t="str">
        <f t="shared" si="60"/>
        <v/>
      </c>
      <c r="O355" s="1" t="str">
        <f t="shared" si="61"/>
        <v/>
      </c>
      <c r="P355" s="2" t="str">
        <f t="shared" si="62"/>
        <v/>
      </c>
      <c r="Q355" s="1" t="str">
        <f t="shared" si="63"/>
        <v/>
      </c>
      <c r="R355" s="2" t="str">
        <f t="shared" si="64"/>
        <v/>
      </c>
      <c r="S355" s="1" t="str">
        <f t="shared" si="65"/>
        <v/>
      </c>
    </row>
    <row r="356" spans="1:19" x14ac:dyDescent="0.2">
      <c r="A356" t="str">
        <f>IF(COUNTBLANK(B356:S356)&lt;&gt;COLUMNS(B356:S356),355,"")</f>
        <v/>
      </c>
      <c r="C356" s="2" t="str">
        <f t="shared" si="55"/>
        <v/>
      </c>
      <c r="D356" s="1" t="str">
        <f t="shared" si="56"/>
        <v/>
      </c>
      <c r="E356" s="1" t="str">
        <f t="shared" si="57"/>
        <v/>
      </c>
      <c r="I356" s="1" t="str">
        <f t="shared" si="58"/>
        <v/>
      </c>
      <c r="J356" s="2" t="str">
        <f t="shared" si="59"/>
        <v/>
      </c>
      <c r="K356" s="1" t="str">
        <f t="shared" si="60"/>
        <v/>
      </c>
      <c r="O356" s="1" t="str">
        <f t="shared" si="61"/>
        <v/>
      </c>
      <c r="P356" s="2" t="str">
        <f t="shared" si="62"/>
        <v/>
      </c>
      <c r="Q356" s="1" t="str">
        <f t="shared" si="63"/>
        <v/>
      </c>
      <c r="R356" s="2" t="str">
        <f t="shared" si="64"/>
        <v/>
      </c>
      <c r="S356" s="1" t="str">
        <f t="shared" si="65"/>
        <v/>
      </c>
    </row>
    <row r="357" spans="1:19" x14ac:dyDescent="0.2">
      <c r="A357" t="str">
        <f>IF(COUNTBLANK(B357:S357)&lt;&gt;COLUMNS(B357:S357),356,"")</f>
        <v/>
      </c>
      <c r="C357" s="2" t="str">
        <f t="shared" si="55"/>
        <v/>
      </c>
      <c r="D357" s="1" t="str">
        <f t="shared" si="56"/>
        <v/>
      </c>
      <c r="E357" s="1" t="str">
        <f t="shared" si="57"/>
        <v/>
      </c>
      <c r="I357" s="1" t="str">
        <f t="shared" si="58"/>
        <v/>
      </c>
      <c r="J357" s="2" t="str">
        <f t="shared" si="59"/>
        <v/>
      </c>
      <c r="K357" s="1" t="str">
        <f t="shared" si="60"/>
        <v/>
      </c>
      <c r="O357" s="1" t="str">
        <f t="shared" si="61"/>
        <v/>
      </c>
      <c r="P357" s="2" t="str">
        <f t="shared" si="62"/>
        <v/>
      </c>
      <c r="Q357" s="1" t="str">
        <f t="shared" si="63"/>
        <v/>
      </c>
      <c r="R357" s="2" t="str">
        <f t="shared" si="64"/>
        <v/>
      </c>
      <c r="S357" s="1" t="str">
        <f t="shared" si="65"/>
        <v/>
      </c>
    </row>
    <row r="358" spans="1:19" x14ac:dyDescent="0.2">
      <c r="A358" t="str">
        <f>IF(COUNTBLANK(B358:S358)&lt;&gt;COLUMNS(B358:S358),357,"")</f>
        <v/>
      </c>
      <c r="C358" s="2" t="str">
        <f t="shared" si="55"/>
        <v/>
      </c>
      <c r="D358" s="1" t="str">
        <f t="shared" si="56"/>
        <v/>
      </c>
      <c r="E358" s="1" t="str">
        <f t="shared" si="57"/>
        <v/>
      </c>
      <c r="I358" s="1" t="str">
        <f t="shared" si="58"/>
        <v/>
      </c>
      <c r="J358" s="2" t="str">
        <f t="shared" si="59"/>
        <v/>
      </c>
      <c r="K358" s="1" t="str">
        <f t="shared" si="60"/>
        <v/>
      </c>
      <c r="O358" s="1" t="str">
        <f t="shared" si="61"/>
        <v/>
      </c>
      <c r="P358" s="2" t="str">
        <f t="shared" si="62"/>
        <v/>
      </c>
      <c r="Q358" s="1" t="str">
        <f t="shared" si="63"/>
        <v/>
      </c>
      <c r="R358" s="2" t="str">
        <f t="shared" si="64"/>
        <v/>
      </c>
      <c r="S358" s="1" t="str">
        <f t="shared" si="65"/>
        <v/>
      </c>
    </row>
    <row r="359" spans="1:19" x14ac:dyDescent="0.2">
      <c r="A359" t="str">
        <f>IF(COUNTBLANK(B359:S359)&lt;&gt;COLUMNS(B359:S359),358,"")</f>
        <v/>
      </c>
      <c r="C359" s="2" t="str">
        <f t="shared" si="55"/>
        <v/>
      </c>
      <c r="D359" s="1" t="str">
        <f t="shared" si="56"/>
        <v/>
      </c>
      <c r="E359" s="1" t="str">
        <f t="shared" si="57"/>
        <v/>
      </c>
      <c r="I359" s="1" t="str">
        <f t="shared" si="58"/>
        <v/>
      </c>
      <c r="J359" s="2" t="str">
        <f t="shared" si="59"/>
        <v/>
      </c>
      <c r="K359" s="1" t="str">
        <f t="shared" si="60"/>
        <v/>
      </c>
      <c r="O359" s="1" t="str">
        <f t="shared" si="61"/>
        <v/>
      </c>
      <c r="P359" s="2" t="str">
        <f t="shared" si="62"/>
        <v/>
      </c>
      <c r="Q359" s="1" t="str">
        <f t="shared" si="63"/>
        <v/>
      </c>
      <c r="R359" s="2" t="str">
        <f t="shared" si="64"/>
        <v/>
      </c>
      <c r="S359" s="1" t="str">
        <f t="shared" si="65"/>
        <v/>
      </c>
    </row>
    <row r="360" spans="1:19" x14ac:dyDescent="0.2">
      <c r="A360" t="str">
        <f>IF(COUNTBLANK(B360:S360)&lt;&gt;COLUMNS(B360:S360),359,"")</f>
        <v/>
      </c>
      <c r="C360" s="2" t="str">
        <f t="shared" si="55"/>
        <v/>
      </c>
      <c r="D360" s="1" t="str">
        <f t="shared" si="56"/>
        <v/>
      </c>
      <c r="E360" s="1" t="str">
        <f t="shared" si="57"/>
        <v/>
      </c>
      <c r="I360" s="1" t="str">
        <f t="shared" si="58"/>
        <v/>
      </c>
      <c r="J360" s="2" t="str">
        <f t="shared" si="59"/>
        <v/>
      </c>
      <c r="K360" s="1" t="str">
        <f t="shared" si="60"/>
        <v/>
      </c>
      <c r="O360" s="1" t="str">
        <f t="shared" si="61"/>
        <v/>
      </c>
      <c r="P360" s="2" t="str">
        <f t="shared" si="62"/>
        <v/>
      </c>
      <c r="Q360" s="1" t="str">
        <f t="shared" si="63"/>
        <v/>
      </c>
      <c r="R360" s="2" t="str">
        <f t="shared" si="64"/>
        <v/>
      </c>
      <c r="S360" s="1" t="str">
        <f t="shared" si="65"/>
        <v/>
      </c>
    </row>
    <row r="361" spans="1:19" x14ac:dyDescent="0.2">
      <c r="A361" t="str">
        <f>IF(COUNTBLANK(B361:S361)&lt;&gt;COLUMNS(B361:S361),360,"")</f>
        <v/>
      </c>
      <c r="C361" s="2" t="str">
        <f t="shared" si="55"/>
        <v/>
      </c>
      <c r="D361" s="1" t="str">
        <f t="shared" si="56"/>
        <v/>
      </c>
      <c r="E361" s="1" t="str">
        <f t="shared" si="57"/>
        <v/>
      </c>
      <c r="I361" s="1" t="str">
        <f t="shared" si="58"/>
        <v/>
      </c>
      <c r="J361" s="2" t="str">
        <f t="shared" si="59"/>
        <v/>
      </c>
      <c r="K361" s="1" t="str">
        <f t="shared" si="60"/>
        <v/>
      </c>
      <c r="O361" s="1" t="str">
        <f t="shared" si="61"/>
        <v/>
      </c>
      <c r="P361" s="2" t="str">
        <f t="shared" si="62"/>
        <v/>
      </c>
      <c r="Q361" s="1" t="str">
        <f t="shared" si="63"/>
        <v/>
      </c>
      <c r="R361" s="2" t="str">
        <f t="shared" si="64"/>
        <v/>
      </c>
      <c r="S361" s="1" t="str">
        <f t="shared" si="65"/>
        <v/>
      </c>
    </row>
    <row r="362" spans="1:19" x14ac:dyDescent="0.2">
      <c r="A362" t="str">
        <f>IF(COUNTBLANK(B362:S362)&lt;&gt;COLUMNS(B362:S362),361,"")</f>
        <v/>
      </c>
      <c r="C362" s="2" t="str">
        <f t="shared" si="55"/>
        <v/>
      </c>
      <c r="D362" s="1" t="str">
        <f t="shared" si="56"/>
        <v/>
      </c>
      <c r="E362" s="1" t="str">
        <f t="shared" si="57"/>
        <v/>
      </c>
      <c r="I362" s="1" t="str">
        <f t="shared" si="58"/>
        <v/>
      </c>
      <c r="J362" s="2" t="str">
        <f t="shared" si="59"/>
        <v/>
      </c>
      <c r="K362" s="1" t="str">
        <f t="shared" si="60"/>
        <v/>
      </c>
      <c r="O362" s="1" t="str">
        <f t="shared" si="61"/>
        <v/>
      </c>
      <c r="P362" s="2" t="str">
        <f t="shared" si="62"/>
        <v/>
      </c>
      <c r="Q362" s="1" t="str">
        <f t="shared" si="63"/>
        <v/>
      </c>
      <c r="R362" s="2" t="str">
        <f t="shared" si="64"/>
        <v/>
      </c>
      <c r="S362" s="1" t="str">
        <f t="shared" si="65"/>
        <v/>
      </c>
    </row>
    <row r="363" spans="1:19" x14ac:dyDescent="0.2">
      <c r="A363" t="str">
        <f>IF(COUNTBLANK(B363:S363)&lt;&gt;COLUMNS(B363:S363),362,"")</f>
        <v/>
      </c>
      <c r="C363" s="2" t="str">
        <f t="shared" si="55"/>
        <v/>
      </c>
      <c r="D363" s="1" t="str">
        <f t="shared" si="56"/>
        <v/>
      </c>
      <c r="E363" s="1" t="str">
        <f t="shared" si="57"/>
        <v/>
      </c>
      <c r="I363" s="1" t="str">
        <f t="shared" si="58"/>
        <v/>
      </c>
      <c r="J363" s="2" t="str">
        <f t="shared" si="59"/>
        <v/>
      </c>
      <c r="K363" s="1" t="str">
        <f t="shared" si="60"/>
        <v/>
      </c>
      <c r="O363" s="1" t="str">
        <f t="shared" si="61"/>
        <v/>
      </c>
      <c r="P363" s="2" t="str">
        <f t="shared" si="62"/>
        <v/>
      </c>
      <c r="Q363" s="1" t="str">
        <f t="shared" si="63"/>
        <v/>
      </c>
      <c r="R363" s="2" t="str">
        <f t="shared" si="64"/>
        <v/>
      </c>
      <c r="S363" s="1" t="str">
        <f t="shared" si="65"/>
        <v/>
      </c>
    </row>
    <row r="364" spans="1:19" x14ac:dyDescent="0.2">
      <c r="A364" t="str">
        <f>IF(COUNTBLANK(B364:S364)&lt;&gt;COLUMNS(B364:S364),363,"")</f>
        <v/>
      </c>
      <c r="C364" s="2" t="str">
        <f t="shared" si="55"/>
        <v/>
      </c>
      <c r="D364" s="1" t="str">
        <f t="shared" si="56"/>
        <v/>
      </c>
      <c r="E364" s="1" t="str">
        <f t="shared" si="57"/>
        <v/>
      </c>
      <c r="I364" s="1" t="str">
        <f t="shared" si="58"/>
        <v/>
      </c>
      <c r="J364" s="2" t="str">
        <f t="shared" si="59"/>
        <v/>
      </c>
      <c r="K364" s="1" t="str">
        <f t="shared" si="60"/>
        <v/>
      </c>
      <c r="O364" s="1" t="str">
        <f t="shared" si="61"/>
        <v/>
      </c>
      <c r="P364" s="2" t="str">
        <f t="shared" si="62"/>
        <v/>
      </c>
      <c r="Q364" s="1" t="str">
        <f t="shared" si="63"/>
        <v/>
      </c>
      <c r="R364" s="2" t="str">
        <f t="shared" si="64"/>
        <v/>
      </c>
      <c r="S364" s="1" t="str">
        <f t="shared" si="65"/>
        <v/>
      </c>
    </row>
    <row r="365" spans="1:19" x14ac:dyDescent="0.2">
      <c r="A365" t="str">
        <f>IF(COUNTBLANK(B365:S365)&lt;&gt;COLUMNS(B365:S365),364,"")</f>
        <v/>
      </c>
      <c r="C365" s="2" t="str">
        <f t="shared" si="55"/>
        <v/>
      </c>
      <c r="D365" s="1" t="str">
        <f t="shared" si="56"/>
        <v/>
      </c>
      <c r="E365" s="1" t="str">
        <f t="shared" si="57"/>
        <v/>
      </c>
      <c r="I365" s="1" t="str">
        <f t="shared" si="58"/>
        <v/>
      </c>
      <c r="J365" s="2" t="str">
        <f t="shared" si="59"/>
        <v/>
      </c>
      <c r="K365" s="1" t="str">
        <f t="shared" si="60"/>
        <v/>
      </c>
      <c r="O365" s="1" t="str">
        <f t="shared" si="61"/>
        <v/>
      </c>
      <c r="P365" s="2" t="str">
        <f t="shared" si="62"/>
        <v/>
      </c>
      <c r="Q365" s="1" t="str">
        <f t="shared" si="63"/>
        <v/>
      </c>
      <c r="R365" s="2" t="str">
        <f t="shared" si="64"/>
        <v/>
      </c>
      <c r="S365" s="1" t="str">
        <f t="shared" si="65"/>
        <v/>
      </c>
    </row>
    <row r="366" spans="1:19" x14ac:dyDescent="0.2">
      <c r="A366" t="str">
        <f>IF(COUNTBLANK(B366:S366)&lt;&gt;COLUMNS(B366:S366),365,"")</f>
        <v/>
      </c>
      <c r="C366" s="2" t="str">
        <f t="shared" si="55"/>
        <v/>
      </c>
      <c r="D366" s="1" t="str">
        <f t="shared" si="56"/>
        <v/>
      </c>
      <c r="E366" s="1" t="str">
        <f t="shared" si="57"/>
        <v/>
      </c>
      <c r="I366" s="1" t="str">
        <f t="shared" si="58"/>
        <v/>
      </c>
      <c r="J366" s="2" t="str">
        <f t="shared" si="59"/>
        <v/>
      </c>
      <c r="K366" s="1" t="str">
        <f t="shared" si="60"/>
        <v/>
      </c>
      <c r="O366" s="1" t="str">
        <f t="shared" si="61"/>
        <v/>
      </c>
      <c r="P366" s="2" t="str">
        <f t="shared" si="62"/>
        <v/>
      </c>
      <c r="Q366" s="1" t="str">
        <f t="shared" si="63"/>
        <v/>
      </c>
      <c r="R366" s="2" t="str">
        <f t="shared" si="64"/>
        <v/>
      </c>
      <c r="S366" s="1" t="str">
        <f t="shared" si="65"/>
        <v/>
      </c>
    </row>
    <row r="367" spans="1:19" x14ac:dyDescent="0.2">
      <c r="A367" t="str">
        <f>IF(COUNTBLANK(B367:S367)&lt;&gt;COLUMNS(B367:S367),366,"")</f>
        <v/>
      </c>
      <c r="C367" s="2" t="str">
        <f t="shared" si="55"/>
        <v/>
      </c>
      <c r="D367" s="1" t="str">
        <f t="shared" si="56"/>
        <v/>
      </c>
      <c r="E367" s="1" t="str">
        <f t="shared" si="57"/>
        <v/>
      </c>
      <c r="I367" s="1" t="str">
        <f t="shared" si="58"/>
        <v/>
      </c>
      <c r="J367" s="2" t="str">
        <f t="shared" si="59"/>
        <v/>
      </c>
      <c r="K367" s="1" t="str">
        <f t="shared" si="60"/>
        <v/>
      </c>
      <c r="O367" s="1" t="str">
        <f t="shared" si="61"/>
        <v/>
      </c>
      <c r="P367" s="2" t="str">
        <f t="shared" si="62"/>
        <v/>
      </c>
      <c r="Q367" s="1" t="str">
        <f t="shared" si="63"/>
        <v/>
      </c>
      <c r="R367" s="2" t="str">
        <f t="shared" si="64"/>
        <v/>
      </c>
      <c r="S367" s="1" t="str">
        <f t="shared" si="65"/>
        <v/>
      </c>
    </row>
    <row r="368" spans="1:19" x14ac:dyDescent="0.2">
      <c r="A368" t="str">
        <f>IF(COUNTBLANK(B368:S368)&lt;&gt;COLUMNS(B368:S368),367,"")</f>
        <v/>
      </c>
      <c r="C368" s="2" t="str">
        <f t="shared" si="55"/>
        <v/>
      </c>
      <c r="D368" s="1" t="str">
        <f t="shared" si="56"/>
        <v/>
      </c>
      <c r="E368" s="1" t="str">
        <f t="shared" si="57"/>
        <v/>
      </c>
      <c r="I368" s="1" t="str">
        <f t="shared" si="58"/>
        <v/>
      </c>
      <c r="J368" s="2" t="str">
        <f t="shared" si="59"/>
        <v/>
      </c>
      <c r="K368" s="1" t="str">
        <f t="shared" si="60"/>
        <v/>
      </c>
      <c r="O368" s="1" t="str">
        <f t="shared" si="61"/>
        <v/>
      </c>
      <c r="P368" s="2" t="str">
        <f t="shared" si="62"/>
        <v/>
      </c>
      <c r="Q368" s="1" t="str">
        <f t="shared" si="63"/>
        <v/>
      </c>
      <c r="R368" s="2" t="str">
        <f t="shared" si="64"/>
        <v/>
      </c>
      <c r="S368" s="1" t="str">
        <f t="shared" si="65"/>
        <v/>
      </c>
    </row>
    <row r="369" spans="1:19" x14ac:dyDescent="0.2">
      <c r="A369" t="str">
        <f>IF(COUNTBLANK(B369:S369)&lt;&gt;COLUMNS(B369:S369),368,"")</f>
        <v/>
      </c>
      <c r="C369" s="2" t="str">
        <f t="shared" si="55"/>
        <v/>
      </c>
      <c r="D369" s="1" t="str">
        <f t="shared" si="56"/>
        <v/>
      </c>
      <c r="E369" s="1" t="str">
        <f t="shared" si="57"/>
        <v/>
      </c>
      <c r="I369" s="1" t="str">
        <f t="shared" si="58"/>
        <v/>
      </c>
      <c r="J369" s="2" t="str">
        <f t="shared" si="59"/>
        <v/>
      </c>
      <c r="K369" s="1" t="str">
        <f t="shared" si="60"/>
        <v/>
      </c>
      <c r="O369" s="1" t="str">
        <f t="shared" si="61"/>
        <v/>
      </c>
      <c r="P369" s="2" t="str">
        <f t="shared" si="62"/>
        <v/>
      </c>
      <c r="Q369" s="1" t="str">
        <f t="shared" si="63"/>
        <v/>
      </c>
      <c r="R369" s="2" t="str">
        <f t="shared" si="64"/>
        <v/>
      </c>
      <c r="S369" s="1" t="str">
        <f t="shared" si="65"/>
        <v/>
      </c>
    </row>
    <row r="370" spans="1:19" x14ac:dyDescent="0.2">
      <c r="A370" t="str">
        <f>IF(COUNTBLANK(B370:S370)&lt;&gt;COLUMNS(B370:S370),369,"")</f>
        <v/>
      </c>
      <c r="C370" s="2" t="str">
        <f t="shared" si="55"/>
        <v/>
      </c>
      <c r="D370" s="1" t="str">
        <f t="shared" si="56"/>
        <v/>
      </c>
      <c r="E370" s="1" t="str">
        <f t="shared" si="57"/>
        <v/>
      </c>
      <c r="I370" s="1" t="str">
        <f t="shared" si="58"/>
        <v/>
      </c>
      <c r="J370" s="2" t="str">
        <f t="shared" si="59"/>
        <v/>
      </c>
      <c r="K370" s="1" t="str">
        <f t="shared" si="60"/>
        <v/>
      </c>
      <c r="O370" s="1" t="str">
        <f t="shared" si="61"/>
        <v/>
      </c>
      <c r="P370" s="2" t="str">
        <f t="shared" si="62"/>
        <v/>
      </c>
      <c r="Q370" s="1" t="str">
        <f t="shared" si="63"/>
        <v/>
      </c>
      <c r="R370" s="2" t="str">
        <f t="shared" si="64"/>
        <v/>
      </c>
      <c r="S370" s="1" t="str">
        <f t="shared" si="65"/>
        <v/>
      </c>
    </row>
    <row r="371" spans="1:19" x14ac:dyDescent="0.2">
      <c r="A371" t="str">
        <f>IF(COUNTBLANK(B371:S371)&lt;&gt;COLUMNS(B371:S371),370,"")</f>
        <v/>
      </c>
      <c r="C371" s="2" t="str">
        <f t="shared" si="55"/>
        <v/>
      </c>
      <c r="D371" s="1" t="str">
        <f t="shared" si="56"/>
        <v/>
      </c>
      <c r="E371" s="1" t="str">
        <f t="shared" si="57"/>
        <v/>
      </c>
      <c r="I371" s="1" t="str">
        <f t="shared" si="58"/>
        <v/>
      </c>
      <c r="J371" s="2" t="str">
        <f t="shared" si="59"/>
        <v/>
      </c>
      <c r="K371" s="1" t="str">
        <f t="shared" si="60"/>
        <v/>
      </c>
      <c r="O371" s="1" t="str">
        <f t="shared" si="61"/>
        <v/>
      </c>
      <c r="P371" s="2" t="str">
        <f t="shared" si="62"/>
        <v/>
      </c>
      <c r="Q371" s="1" t="str">
        <f t="shared" si="63"/>
        <v/>
      </c>
      <c r="R371" s="2" t="str">
        <f t="shared" si="64"/>
        <v/>
      </c>
      <c r="S371" s="1" t="str">
        <f t="shared" si="65"/>
        <v/>
      </c>
    </row>
    <row r="372" spans="1:19" x14ac:dyDescent="0.2">
      <c r="A372" t="str">
        <f>IF(COUNTBLANK(B372:S372)&lt;&gt;COLUMNS(B372:S372),371,"")</f>
        <v/>
      </c>
      <c r="C372" s="2" t="str">
        <f t="shared" si="55"/>
        <v/>
      </c>
      <c r="D372" s="1" t="str">
        <f t="shared" si="56"/>
        <v/>
      </c>
      <c r="E372" s="1" t="str">
        <f t="shared" si="57"/>
        <v/>
      </c>
      <c r="I372" s="1" t="str">
        <f t="shared" si="58"/>
        <v/>
      </c>
      <c r="J372" s="2" t="str">
        <f t="shared" si="59"/>
        <v/>
      </c>
      <c r="K372" s="1" t="str">
        <f t="shared" si="60"/>
        <v/>
      </c>
      <c r="O372" s="1" t="str">
        <f t="shared" si="61"/>
        <v/>
      </c>
      <c r="P372" s="2" t="str">
        <f t="shared" si="62"/>
        <v/>
      </c>
      <c r="Q372" s="1" t="str">
        <f t="shared" si="63"/>
        <v/>
      </c>
      <c r="R372" s="2" t="str">
        <f t="shared" si="64"/>
        <v/>
      </c>
      <c r="S372" s="1" t="str">
        <f t="shared" si="65"/>
        <v/>
      </c>
    </row>
    <row r="373" spans="1:19" x14ac:dyDescent="0.2">
      <c r="A373" t="str">
        <f>IF(COUNTBLANK(B373:S373)&lt;&gt;COLUMNS(B373:S373),372,"")</f>
        <v/>
      </c>
      <c r="C373" s="2" t="str">
        <f t="shared" si="55"/>
        <v/>
      </c>
      <c r="D373" s="1" t="str">
        <f t="shared" si="56"/>
        <v/>
      </c>
      <c r="E373" s="1" t="str">
        <f t="shared" si="57"/>
        <v/>
      </c>
      <c r="I373" s="1" t="str">
        <f t="shared" si="58"/>
        <v/>
      </c>
      <c r="J373" s="2" t="str">
        <f t="shared" si="59"/>
        <v/>
      </c>
      <c r="K373" s="1" t="str">
        <f t="shared" si="60"/>
        <v/>
      </c>
      <c r="O373" s="1" t="str">
        <f t="shared" si="61"/>
        <v/>
      </c>
      <c r="P373" s="2" t="str">
        <f t="shared" si="62"/>
        <v/>
      </c>
      <c r="Q373" s="1" t="str">
        <f t="shared" si="63"/>
        <v/>
      </c>
      <c r="R373" s="2" t="str">
        <f t="shared" si="64"/>
        <v/>
      </c>
      <c r="S373" s="1" t="str">
        <f t="shared" si="65"/>
        <v/>
      </c>
    </row>
    <row r="374" spans="1:19" x14ac:dyDescent="0.2">
      <c r="A374" t="str">
        <f>IF(COUNTBLANK(B374:S374)&lt;&gt;COLUMNS(B374:S374),373,"")</f>
        <v/>
      </c>
      <c r="C374" s="2" t="str">
        <f t="shared" si="55"/>
        <v/>
      </c>
      <c r="D374" s="1" t="str">
        <f t="shared" si="56"/>
        <v/>
      </c>
      <c r="E374" s="1" t="str">
        <f t="shared" si="57"/>
        <v/>
      </c>
      <c r="I374" s="1" t="str">
        <f t="shared" si="58"/>
        <v/>
      </c>
      <c r="J374" s="2" t="str">
        <f t="shared" si="59"/>
        <v/>
      </c>
      <c r="K374" s="1" t="str">
        <f t="shared" si="60"/>
        <v/>
      </c>
      <c r="O374" s="1" t="str">
        <f t="shared" si="61"/>
        <v/>
      </c>
      <c r="P374" s="2" t="str">
        <f t="shared" si="62"/>
        <v/>
      </c>
      <c r="Q374" s="1" t="str">
        <f t="shared" si="63"/>
        <v/>
      </c>
      <c r="R374" s="2" t="str">
        <f t="shared" si="64"/>
        <v/>
      </c>
      <c r="S374" s="1" t="str">
        <f t="shared" si="65"/>
        <v/>
      </c>
    </row>
    <row r="375" spans="1:19" x14ac:dyDescent="0.2">
      <c r="A375" t="str">
        <f>IF(COUNTBLANK(B375:S375)&lt;&gt;COLUMNS(B375:S375),374,"")</f>
        <v/>
      </c>
      <c r="C375" s="2" t="str">
        <f t="shared" si="55"/>
        <v/>
      </c>
      <c r="D375" s="1" t="str">
        <f t="shared" si="56"/>
        <v/>
      </c>
      <c r="E375" s="1" t="str">
        <f t="shared" si="57"/>
        <v/>
      </c>
      <c r="I375" s="1" t="str">
        <f t="shared" si="58"/>
        <v/>
      </c>
      <c r="J375" s="2" t="str">
        <f t="shared" si="59"/>
        <v/>
      </c>
      <c r="K375" s="1" t="str">
        <f t="shared" si="60"/>
        <v/>
      </c>
      <c r="O375" s="1" t="str">
        <f t="shared" si="61"/>
        <v/>
      </c>
      <c r="P375" s="2" t="str">
        <f t="shared" si="62"/>
        <v/>
      </c>
      <c r="Q375" s="1" t="str">
        <f t="shared" si="63"/>
        <v/>
      </c>
      <c r="R375" s="2" t="str">
        <f t="shared" si="64"/>
        <v/>
      </c>
      <c r="S375" s="1" t="str">
        <f t="shared" si="65"/>
        <v/>
      </c>
    </row>
    <row r="376" spans="1:19" x14ac:dyDescent="0.2">
      <c r="A376" t="str">
        <f>IF(COUNTBLANK(B376:S376)&lt;&gt;COLUMNS(B376:S376),375,"")</f>
        <v/>
      </c>
      <c r="C376" s="2" t="str">
        <f t="shared" si="55"/>
        <v/>
      </c>
      <c r="D376" s="1" t="str">
        <f t="shared" si="56"/>
        <v/>
      </c>
      <c r="E376" s="1" t="str">
        <f t="shared" si="57"/>
        <v/>
      </c>
      <c r="I376" s="1" t="str">
        <f t="shared" si="58"/>
        <v/>
      </c>
      <c r="J376" s="2" t="str">
        <f t="shared" si="59"/>
        <v/>
      </c>
      <c r="K376" s="1" t="str">
        <f t="shared" si="60"/>
        <v/>
      </c>
      <c r="O376" s="1" t="str">
        <f t="shared" si="61"/>
        <v/>
      </c>
      <c r="P376" s="2" t="str">
        <f t="shared" si="62"/>
        <v/>
      </c>
      <c r="Q376" s="1" t="str">
        <f t="shared" si="63"/>
        <v/>
      </c>
      <c r="R376" s="2" t="str">
        <f t="shared" si="64"/>
        <v/>
      </c>
      <c r="S376" s="1" t="str">
        <f t="shared" si="65"/>
        <v/>
      </c>
    </row>
    <row r="377" spans="1:19" x14ac:dyDescent="0.2">
      <c r="A377" t="str">
        <f>IF(COUNTBLANK(B377:S377)&lt;&gt;COLUMNS(B377:S377),376,"")</f>
        <v/>
      </c>
      <c r="C377" s="2" t="str">
        <f t="shared" si="55"/>
        <v/>
      </c>
      <c r="D377" s="1" t="str">
        <f t="shared" si="56"/>
        <v/>
      </c>
      <c r="E377" s="1" t="str">
        <f t="shared" si="57"/>
        <v/>
      </c>
      <c r="I377" s="1" t="str">
        <f t="shared" si="58"/>
        <v/>
      </c>
      <c r="J377" s="2" t="str">
        <f t="shared" si="59"/>
        <v/>
      </c>
      <c r="K377" s="1" t="str">
        <f t="shared" si="60"/>
        <v/>
      </c>
      <c r="O377" s="1" t="str">
        <f t="shared" si="61"/>
        <v/>
      </c>
      <c r="P377" s="2" t="str">
        <f t="shared" si="62"/>
        <v/>
      </c>
      <c r="Q377" s="1" t="str">
        <f t="shared" si="63"/>
        <v/>
      </c>
      <c r="R377" s="2" t="str">
        <f t="shared" si="64"/>
        <v/>
      </c>
      <c r="S377" s="1" t="str">
        <f t="shared" si="65"/>
        <v/>
      </c>
    </row>
    <row r="378" spans="1:19" x14ac:dyDescent="0.2">
      <c r="A378" t="str">
        <f>IF(COUNTBLANK(B378:S378)&lt;&gt;COLUMNS(B378:S378),377,"")</f>
        <v/>
      </c>
      <c r="C378" s="2" t="str">
        <f t="shared" si="55"/>
        <v/>
      </c>
      <c r="D378" s="1" t="str">
        <f t="shared" si="56"/>
        <v/>
      </c>
      <c r="E378" s="1" t="str">
        <f t="shared" si="57"/>
        <v/>
      </c>
      <c r="I378" s="1" t="str">
        <f t="shared" si="58"/>
        <v/>
      </c>
      <c r="J378" s="2" t="str">
        <f t="shared" si="59"/>
        <v/>
      </c>
      <c r="K378" s="1" t="str">
        <f t="shared" si="60"/>
        <v/>
      </c>
      <c r="O378" s="1" t="str">
        <f t="shared" si="61"/>
        <v/>
      </c>
      <c r="P378" s="2" t="str">
        <f t="shared" si="62"/>
        <v/>
      </c>
      <c r="Q378" s="1" t="str">
        <f t="shared" si="63"/>
        <v/>
      </c>
      <c r="R378" s="2" t="str">
        <f t="shared" si="64"/>
        <v/>
      </c>
      <c r="S378" s="1" t="str">
        <f t="shared" si="65"/>
        <v/>
      </c>
    </row>
    <row r="379" spans="1:19" x14ac:dyDescent="0.2">
      <c r="A379" t="str">
        <f>IF(COUNTBLANK(B379:S379)&lt;&gt;COLUMNS(B379:S379),378,"")</f>
        <v/>
      </c>
      <c r="C379" s="2" t="str">
        <f t="shared" si="55"/>
        <v/>
      </c>
      <c r="D379" s="1" t="str">
        <f t="shared" si="56"/>
        <v/>
      </c>
      <c r="E379" s="1" t="str">
        <f t="shared" si="57"/>
        <v/>
      </c>
      <c r="I379" s="1" t="str">
        <f t="shared" si="58"/>
        <v/>
      </c>
      <c r="J379" s="2" t="str">
        <f t="shared" si="59"/>
        <v/>
      </c>
      <c r="K379" s="1" t="str">
        <f t="shared" si="60"/>
        <v/>
      </c>
      <c r="O379" s="1" t="str">
        <f t="shared" si="61"/>
        <v/>
      </c>
      <c r="P379" s="2" t="str">
        <f t="shared" si="62"/>
        <v/>
      </c>
      <c r="Q379" s="1" t="str">
        <f t="shared" si="63"/>
        <v/>
      </c>
      <c r="R379" s="2" t="str">
        <f t="shared" si="64"/>
        <v/>
      </c>
      <c r="S379" s="1" t="str">
        <f t="shared" si="65"/>
        <v/>
      </c>
    </row>
    <row r="380" spans="1:19" x14ac:dyDescent="0.2">
      <c r="A380" t="str">
        <f>IF(COUNTBLANK(B380:S380)&lt;&gt;COLUMNS(B380:S380),379,"")</f>
        <v/>
      </c>
      <c r="C380" s="2" t="str">
        <f t="shared" si="55"/>
        <v/>
      </c>
      <c r="D380" s="1" t="str">
        <f t="shared" si="56"/>
        <v/>
      </c>
      <c r="E380" s="1" t="str">
        <f t="shared" si="57"/>
        <v/>
      </c>
      <c r="I380" s="1" t="str">
        <f t="shared" si="58"/>
        <v/>
      </c>
      <c r="J380" s="2" t="str">
        <f t="shared" si="59"/>
        <v/>
      </c>
      <c r="K380" s="1" t="str">
        <f t="shared" si="60"/>
        <v/>
      </c>
      <c r="O380" s="1" t="str">
        <f t="shared" si="61"/>
        <v/>
      </c>
      <c r="P380" s="2" t="str">
        <f t="shared" si="62"/>
        <v/>
      </c>
      <c r="Q380" s="1" t="str">
        <f t="shared" si="63"/>
        <v/>
      </c>
      <c r="R380" s="2" t="str">
        <f t="shared" si="64"/>
        <v/>
      </c>
      <c r="S380" s="1" t="str">
        <f t="shared" si="65"/>
        <v/>
      </c>
    </row>
    <row r="381" spans="1:19" x14ac:dyDescent="0.2">
      <c r="A381" t="str">
        <f>IF(COUNTBLANK(B381:S381)&lt;&gt;COLUMNS(B381:S381),380,"")</f>
        <v/>
      </c>
      <c r="C381" s="2" t="str">
        <f t="shared" si="55"/>
        <v/>
      </c>
      <c r="D381" s="1" t="str">
        <f t="shared" si="56"/>
        <v/>
      </c>
      <c r="E381" s="1" t="str">
        <f t="shared" si="57"/>
        <v/>
      </c>
      <c r="I381" s="1" t="str">
        <f t="shared" si="58"/>
        <v/>
      </c>
      <c r="J381" s="2" t="str">
        <f t="shared" si="59"/>
        <v/>
      </c>
      <c r="K381" s="1" t="str">
        <f t="shared" si="60"/>
        <v/>
      </c>
      <c r="O381" s="1" t="str">
        <f t="shared" si="61"/>
        <v/>
      </c>
      <c r="P381" s="2" t="str">
        <f t="shared" si="62"/>
        <v/>
      </c>
      <c r="Q381" s="1" t="str">
        <f t="shared" si="63"/>
        <v/>
      </c>
      <c r="R381" s="2" t="str">
        <f t="shared" si="64"/>
        <v/>
      </c>
      <c r="S381" s="1" t="str">
        <f t="shared" si="65"/>
        <v/>
      </c>
    </row>
    <row r="382" spans="1:19" x14ac:dyDescent="0.2">
      <c r="A382" t="str">
        <f>IF(COUNTBLANK(B382:S382)&lt;&gt;COLUMNS(B382:S382),381,"")</f>
        <v/>
      </c>
      <c r="C382" s="2" t="str">
        <f t="shared" si="55"/>
        <v/>
      </c>
      <c r="D382" s="1" t="str">
        <f t="shared" si="56"/>
        <v/>
      </c>
      <c r="E382" s="1" t="str">
        <f t="shared" si="57"/>
        <v/>
      </c>
      <c r="I382" s="1" t="str">
        <f t="shared" si="58"/>
        <v/>
      </c>
      <c r="J382" s="2" t="str">
        <f t="shared" si="59"/>
        <v/>
      </c>
      <c r="K382" s="1" t="str">
        <f t="shared" si="60"/>
        <v/>
      </c>
      <c r="O382" s="1" t="str">
        <f t="shared" si="61"/>
        <v/>
      </c>
      <c r="P382" s="2" t="str">
        <f t="shared" si="62"/>
        <v/>
      </c>
      <c r="Q382" s="1" t="str">
        <f t="shared" si="63"/>
        <v/>
      </c>
      <c r="R382" s="2" t="str">
        <f t="shared" si="64"/>
        <v/>
      </c>
      <c r="S382" s="1" t="str">
        <f t="shared" si="65"/>
        <v/>
      </c>
    </row>
    <row r="383" spans="1:19" x14ac:dyDescent="0.2">
      <c r="A383" t="str">
        <f>IF(COUNTBLANK(B383:S383)&lt;&gt;COLUMNS(B383:S383),382,"")</f>
        <v/>
      </c>
      <c r="C383" s="2" t="str">
        <f t="shared" si="55"/>
        <v/>
      </c>
      <c r="D383" s="1" t="str">
        <f t="shared" si="56"/>
        <v/>
      </c>
      <c r="E383" s="1" t="str">
        <f t="shared" si="57"/>
        <v/>
      </c>
      <c r="I383" s="1" t="str">
        <f t="shared" si="58"/>
        <v/>
      </c>
      <c r="J383" s="2" t="str">
        <f t="shared" si="59"/>
        <v/>
      </c>
      <c r="K383" s="1" t="str">
        <f t="shared" si="60"/>
        <v/>
      </c>
      <c r="O383" s="1" t="str">
        <f t="shared" si="61"/>
        <v/>
      </c>
      <c r="P383" s="2" t="str">
        <f t="shared" si="62"/>
        <v/>
      </c>
      <c r="Q383" s="1" t="str">
        <f t="shared" si="63"/>
        <v/>
      </c>
      <c r="R383" s="2" t="str">
        <f t="shared" si="64"/>
        <v/>
      </c>
      <c r="S383" s="1" t="str">
        <f t="shared" si="65"/>
        <v/>
      </c>
    </row>
    <row r="384" spans="1:19" x14ac:dyDescent="0.2">
      <c r="A384" t="str">
        <f>IF(COUNTBLANK(B384:S384)&lt;&gt;COLUMNS(B384:S384),383,"")</f>
        <v/>
      </c>
      <c r="C384" s="2" t="str">
        <f t="shared" si="55"/>
        <v/>
      </c>
      <c r="D384" s="1" t="str">
        <f t="shared" si="56"/>
        <v/>
      </c>
      <c r="E384" s="1" t="str">
        <f t="shared" si="57"/>
        <v/>
      </c>
      <c r="I384" s="1" t="str">
        <f t="shared" si="58"/>
        <v/>
      </c>
      <c r="J384" s="2" t="str">
        <f t="shared" si="59"/>
        <v/>
      </c>
      <c r="K384" s="1" t="str">
        <f t="shared" si="60"/>
        <v/>
      </c>
      <c r="O384" s="1" t="str">
        <f t="shared" si="61"/>
        <v/>
      </c>
      <c r="P384" s="2" t="str">
        <f t="shared" si="62"/>
        <v/>
      </c>
      <c r="Q384" s="1" t="str">
        <f t="shared" si="63"/>
        <v/>
      </c>
      <c r="R384" s="2" t="str">
        <f t="shared" si="64"/>
        <v/>
      </c>
      <c r="S384" s="1" t="str">
        <f t="shared" si="65"/>
        <v/>
      </c>
    </row>
    <row r="385" spans="1:19" x14ac:dyDescent="0.2">
      <c r="A385" t="str">
        <f>IF(COUNTBLANK(B385:S385)&lt;&gt;COLUMNS(B385:S385),384,"")</f>
        <v/>
      </c>
      <c r="C385" s="2" t="str">
        <f t="shared" si="55"/>
        <v/>
      </c>
      <c r="D385" s="1" t="str">
        <f t="shared" si="56"/>
        <v/>
      </c>
      <c r="E385" s="1" t="str">
        <f t="shared" si="57"/>
        <v/>
      </c>
      <c r="I385" s="1" t="str">
        <f t="shared" si="58"/>
        <v/>
      </c>
      <c r="J385" s="2" t="str">
        <f t="shared" si="59"/>
        <v/>
      </c>
      <c r="K385" s="1" t="str">
        <f t="shared" si="60"/>
        <v/>
      </c>
      <c r="O385" s="1" t="str">
        <f t="shared" si="61"/>
        <v/>
      </c>
      <c r="P385" s="2" t="str">
        <f t="shared" si="62"/>
        <v/>
      </c>
      <c r="Q385" s="1" t="str">
        <f t="shared" si="63"/>
        <v/>
      </c>
      <c r="R385" s="2" t="str">
        <f t="shared" si="64"/>
        <v/>
      </c>
      <c r="S385" s="1" t="str">
        <f t="shared" si="65"/>
        <v/>
      </c>
    </row>
    <row r="386" spans="1:19" x14ac:dyDescent="0.2">
      <c r="A386" t="str">
        <f>IF(COUNTBLANK(B386:S386)&lt;&gt;COLUMNS(B386:S386),385,"")</f>
        <v/>
      </c>
      <c r="C386" s="2" t="str">
        <f t="shared" ref="C386:C449" si="66">IF(B386="", "", "missing: not provided")</f>
        <v/>
      </c>
      <c r="D386" s="1" t="str">
        <f t="shared" ref="D386:D449" si="67">IF(B386="", "", " missing: not provided")</f>
        <v/>
      </c>
      <c r="E386" s="1" t="str">
        <f t="shared" ref="E386:E449" si="68">IF(B386="", "", "Host-associated")</f>
        <v/>
      </c>
      <c r="I386" s="1" t="str">
        <f t="shared" ref="I386:I449" si="69">IF(B386="", "", "host-associated")</f>
        <v/>
      </c>
      <c r="J386" s="2" t="str">
        <f t="shared" ref="J386:J449" si="70">IF(B386="", "", "missing: not provided")</f>
        <v/>
      </c>
      <c r="K386" s="1" t="str">
        <f t="shared" ref="K386:K449" si="71">IF(B386="", "", " missing: not provided")</f>
        <v/>
      </c>
      <c r="O386" s="1" t="str">
        <f t="shared" ref="O386:O449" si="72">IF(B386="", "", "Not applicable")</f>
        <v/>
      </c>
      <c r="P386" s="2" t="str">
        <f t="shared" ref="P386:P449" si="73">IF(B386="", "", "missing: not provided")</f>
        <v/>
      </c>
      <c r="Q386" s="1" t="str">
        <f t="shared" ref="Q386:Q449" si="74">IF(B386="", "", "Not applicable")</f>
        <v/>
      </c>
      <c r="R386" s="2" t="str">
        <f t="shared" ref="R386:R449" si="75">IF(B386="", "", "missing: not provided")</f>
        <v/>
      </c>
      <c r="S386" s="1" t="str">
        <f t="shared" ref="S386:S449" si="76">IF(B386="", "", " missing: not provided")</f>
        <v/>
      </c>
    </row>
    <row r="387" spans="1:19" x14ac:dyDescent="0.2">
      <c r="A387" t="str">
        <f>IF(COUNTBLANK(B387:S387)&lt;&gt;COLUMNS(B387:S387),386,"")</f>
        <v/>
      </c>
      <c r="C387" s="2" t="str">
        <f t="shared" si="66"/>
        <v/>
      </c>
      <c r="D387" s="1" t="str">
        <f t="shared" si="67"/>
        <v/>
      </c>
      <c r="E387" s="1" t="str">
        <f t="shared" si="68"/>
        <v/>
      </c>
      <c r="I387" s="1" t="str">
        <f t="shared" si="69"/>
        <v/>
      </c>
      <c r="J387" s="2" t="str">
        <f t="shared" si="70"/>
        <v/>
      </c>
      <c r="K387" s="1" t="str">
        <f t="shared" si="71"/>
        <v/>
      </c>
      <c r="O387" s="1" t="str">
        <f t="shared" si="72"/>
        <v/>
      </c>
      <c r="P387" s="2" t="str">
        <f t="shared" si="73"/>
        <v/>
      </c>
      <c r="Q387" s="1" t="str">
        <f t="shared" si="74"/>
        <v/>
      </c>
      <c r="R387" s="2" t="str">
        <f t="shared" si="75"/>
        <v/>
      </c>
      <c r="S387" s="1" t="str">
        <f t="shared" si="76"/>
        <v/>
      </c>
    </row>
    <row r="388" spans="1:19" x14ac:dyDescent="0.2">
      <c r="A388" t="str">
        <f>IF(COUNTBLANK(B388:S388)&lt;&gt;COLUMNS(B388:S388),387,"")</f>
        <v/>
      </c>
      <c r="C388" s="2" t="str">
        <f t="shared" si="66"/>
        <v/>
      </c>
      <c r="D388" s="1" t="str">
        <f t="shared" si="67"/>
        <v/>
      </c>
      <c r="E388" s="1" t="str">
        <f t="shared" si="68"/>
        <v/>
      </c>
      <c r="I388" s="1" t="str">
        <f t="shared" si="69"/>
        <v/>
      </c>
      <c r="J388" s="2" t="str">
        <f t="shared" si="70"/>
        <v/>
      </c>
      <c r="K388" s="1" t="str">
        <f t="shared" si="71"/>
        <v/>
      </c>
      <c r="O388" s="1" t="str">
        <f t="shared" si="72"/>
        <v/>
      </c>
      <c r="P388" s="2" t="str">
        <f t="shared" si="73"/>
        <v/>
      </c>
      <c r="Q388" s="1" t="str">
        <f t="shared" si="74"/>
        <v/>
      </c>
      <c r="R388" s="2" t="str">
        <f t="shared" si="75"/>
        <v/>
      </c>
      <c r="S388" s="1" t="str">
        <f t="shared" si="76"/>
        <v/>
      </c>
    </row>
    <row r="389" spans="1:19" x14ac:dyDescent="0.2">
      <c r="A389" t="str">
        <f>IF(COUNTBLANK(B389:S389)&lt;&gt;COLUMNS(B389:S389),388,"")</f>
        <v/>
      </c>
      <c r="C389" s="2" t="str">
        <f t="shared" si="66"/>
        <v/>
      </c>
      <c r="D389" s="1" t="str">
        <f t="shared" si="67"/>
        <v/>
      </c>
      <c r="E389" s="1" t="str">
        <f t="shared" si="68"/>
        <v/>
      </c>
      <c r="I389" s="1" t="str">
        <f t="shared" si="69"/>
        <v/>
      </c>
      <c r="J389" s="2" t="str">
        <f t="shared" si="70"/>
        <v/>
      </c>
      <c r="K389" s="1" t="str">
        <f t="shared" si="71"/>
        <v/>
      </c>
      <c r="O389" s="1" t="str">
        <f t="shared" si="72"/>
        <v/>
      </c>
      <c r="P389" s="2" t="str">
        <f t="shared" si="73"/>
        <v/>
      </c>
      <c r="Q389" s="1" t="str">
        <f t="shared" si="74"/>
        <v/>
      </c>
      <c r="R389" s="2" t="str">
        <f t="shared" si="75"/>
        <v/>
      </c>
      <c r="S389" s="1" t="str">
        <f t="shared" si="76"/>
        <v/>
      </c>
    </row>
    <row r="390" spans="1:19" x14ac:dyDescent="0.2">
      <c r="A390" t="str">
        <f>IF(COUNTBLANK(B390:S390)&lt;&gt;COLUMNS(B390:S390),389,"")</f>
        <v/>
      </c>
      <c r="C390" s="2" t="str">
        <f t="shared" si="66"/>
        <v/>
      </c>
      <c r="D390" s="1" t="str">
        <f t="shared" si="67"/>
        <v/>
      </c>
      <c r="E390" s="1" t="str">
        <f t="shared" si="68"/>
        <v/>
      </c>
      <c r="I390" s="1" t="str">
        <f t="shared" si="69"/>
        <v/>
      </c>
      <c r="J390" s="2" t="str">
        <f t="shared" si="70"/>
        <v/>
      </c>
      <c r="K390" s="1" t="str">
        <f t="shared" si="71"/>
        <v/>
      </c>
      <c r="O390" s="1" t="str">
        <f t="shared" si="72"/>
        <v/>
      </c>
      <c r="P390" s="2" t="str">
        <f t="shared" si="73"/>
        <v/>
      </c>
      <c r="Q390" s="1" t="str">
        <f t="shared" si="74"/>
        <v/>
      </c>
      <c r="R390" s="2" t="str">
        <f t="shared" si="75"/>
        <v/>
      </c>
      <c r="S390" s="1" t="str">
        <f t="shared" si="76"/>
        <v/>
      </c>
    </row>
    <row r="391" spans="1:19" x14ac:dyDescent="0.2">
      <c r="A391" t="str">
        <f>IF(COUNTBLANK(B391:S391)&lt;&gt;COLUMNS(B391:S391),390,"")</f>
        <v/>
      </c>
      <c r="C391" s="2" t="str">
        <f t="shared" si="66"/>
        <v/>
      </c>
      <c r="D391" s="1" t="str">
        <f t="shared" si="67"/>
        <v/>
      </c>
      <c r="E391" s="1" t="str">
        <f t="shared" si="68"/>
        <v/>
      </c>
      <c r="I391" s="1" t="str">
        <f t="shared" si="69"/>
        <v/>
      </c>
      <c r="J391" s="2" t="str">
        <f t="shared" si="70"/>
        <v/>
      </c>
      <c r="K391" s="1" t="str">
        <f t="shared" si="71"/>
        <v/>
      </c>
      <c r="O391" s="1" t="str">
        <f t="shared" si="72"/>
        <v/>
      </c>
      <c r="P391" s="2" t="str">
        <f t="shared" si="73"/>
        <v/>
      </c>
      <c r="Q391" s="1" t="str">
        <f t="shared" si="74"/>
        <v/>
      </c>
      <c r="R391" s="2" t="str">
        <f t="shared" si="75"/>
        <v/>
      </c>
      <c r="S391" s="1" t="str">
        <f t="shared" si="76"/>
        <v/>
      </c>
    </row>
    <row r="392" spans="1:19" x14ac:dyDescent="0.2">
      <c r="A392" t="str">
        <f>IF(COUNTBLANK(B392:S392)&lt;&gt;COLUMNS(B392:S392),391,"")</f>
        <v/>
      </c>
      <c r="C392" s="2" t="str">
        <f t="shared" si="66"/>
        <v/>
      </c>
      <c r="D392" s="1" t="str">
        <f t="shared" si="67"/>
        <v/>
      </c>
      <c r="E392" s="1" t="str">
        <f t="shared" si="68"/>
        <v/>
      </c>
      <c r="I392" s="1" t="str">
        <f t="shared" si="69"/>
        <v/>
      </c>
      <c r="J392" s="2" t="str">
        <f t="shared" si="70"/>
        <v/>
      </c>
      <c r="K392" s="1" t="str">
        <f t="shared" si="71"/>
        <v/>
      </c>
      <c r="O392" s="1" t="str">
        <f t="shared" si="72"/>
        <v/>
      </c>
      <c r="P392" s="2" t="str">
        <f t="shared" si="73"/>
        <v/>
      </c>
      <c r="Q392" s="1" t="str">
        <f t="shared" si="74"/>
        <v/>
      </c>
      <c r="R392" s="2" t="str">
        <f t="shared" si="75"/>
        <v/>
      </c>
      <c r="S392" s="1" t="str">
        <f t="shared" si="76"/>
        <v/>
      </c>
    </row>
    <row r="393" spans="1:19" x14ac:dyDescent="0.2">
      <c r="A393" t="str">
        <f>IF(COUNTBLANK(B393:S393)&lt;&gt;COLUMNS(B393:S393),392,"")</f>
        <v/>
      </c>
      <c r="C393" s="2" t="str">
        <f t="shared" si="66"/>
        <v/>
      </c>
      <c r="D393" s="1" t="str">
        <f t="shared" si="67"/>
        <v/>
      </c>
      <c r="E393" s="1" t="str">
        <f t="shared" si="68"/>
        <v/>
      </c>
      <c r="I393" s="1" t="str">
        <f t="shared" si="69"/>
        <v/>
      </c>
      <c r="J393" s="2" t="str">
        <f t="shared" si="70"/>
        <v/>
      </c>
      <c r="K393" s="1" t="str">
        <f t="shared" si="71"/>
        <v/>
      </c>
      <c r="O393" s="1" t="str">
        <f t="shared" si="72"/>
        <v/>
      </c>
      <c r="P393" s="2" t="str">
        <f t="shared" si="73"/>
        <v/>
      </c>
      <c r="Q393" s="1" t="str">
        <f t="shared" si="74"/>
        <v/>
      </c>
      <c r="R393" s="2" t="str">
        <f t="shared" si="75"/>
        <v/>
      </c>
      <c r="S393" s="1" t="str">
        <f t="shared" si="76"/>
        <v/>
      </c>
    </row>
    <row r="394" spans="1:19" x14ac:dyDescent="0.2">
      <c r="A394" t="str">
        <f>IF(COUNTBLANK(B394:S394)&lt;&gt;COLUMNS(B394:S394),393,"")</f>
        <v/>
      </c>
      <c r="C394" s="2" t="str">
        <f t="shared" si="66"/>
        <v/>
      </c>
      <c r="D394" s="1" t="str">
        <f t="shared" si="67"/>
        <v/>
      </c>
      <c r="E394" s="1" t="str">
        <f t="shared" si="68"/>
        <v/>
      </c>
      <c r="I394" s="1" t="str">
        <f t="shared" si="69"/>
        <v/>
      </c>
      <c r="J394" s="2" t="str">
        <f t="shared" si="70"/>
        <v/>
      </c>
      <c r="K394" s="1" t="str">
        <f t="shared" si="71"/>
        <v/>
      </c>
      <c r="O394" s="1" t="str">
        <f t="shared" si="72"/>
        <v/>
      </c>
      <c r="P394" s="2" t="str">
        <f t="shared" si="73"/>
        <v/>
      </c>
      <c r="Q394" s="1" t="str">
        <f t="shared" si="74"/>
        <v/>
      </c>
      <c r="R394" s="2" t="str">
        <f t="shared" si="75"/>
        <v/>
      </c>
      <c r="S394" s="1" t="str">
        <f t="shared" si="76"/>
        <v/>
      </c>
    </row>
    <row r="395" spans="1:19" x14ac:dyDescent="0.2">
      <c r="A395" t="str">
        <f>IF(COUNTBLANK(B395:S395)&lt;&gt;COLUMNS(B395:S395),394,"")</f>
        <v/>
      </c>
      <c r="C395" s="2" t="str">
        <f t="shared" si="66"/>
        <v/>
      </c>
      <c r="D395" s="1" t="str">
        <f t="shared" si="67"/>
        <v/>
      </c>
      <c r="E395" s="1" t="str">
        <f t="shared" si="68"/>
        <v/>
      </c>
      <c r="I395" s="1" t="str">
        <f t="shared" si="69"/>
        <v/>
      </c>
      <c r="J395" s="2" t="str">
        <f t="shared" si="70"/>
        <v/>
      </c>
      <c r="K395" s="1" t="str">
        <f t="shared" si="71"/>
        <v/>
      </c>
      <c r="O395" s="1" t="str">
        <f t="shared" si="72"/>
        <v/>
      </c>
      <c r="P395" s="2" t="str">
        <f t="shared" si="73"/>
        <v/>
      </c>
      <c r="Q395" s="1" t="str">
        <f t="shared" si="74"/>
        <v/>
      </c>
      <c r="R395" s="2" t="str">
        <f t="shared" si="75"/>
        <v/>
      </c>
      <c r="S395" s="1" t="str">
        <f t="shared" si="76"/>
        <v/>
      </c>
    </row>
    <row r="396" spans="1:19" x14ac:dyDescent="0.2">
      <c r="A396" t="str">
        <f>IF(COUNTBLANK(B396:S396)&lt;&gt;COLUMNS(B396:S396),395,"")</f>
        <v/>
      </c>
      <c r="C396" s="2" t="str">
        <f t="shared" si="66"/>
        <v/>
      </c>
      <c r="D396" s="1" t="str">
        <f t="shared" si="67"/>
        <v/>
      </c>
      <c r="E396" s="1" t="str">
        <f t="shared" si="68"/>
        <v/>
      </c>
      <c r="I396" s="1" t="str">
        <f t="shared" si="69"/>
        <v/>
      </c>
      <c r="J396" s="2" t="str">
        <f t="shared" si="70"/>
        <v/>
      </c>
      <c r="K396" s="1" t="str">
        <f t="shared" si="71"/>
        <v/>
      </c>
      <c r="O396" s="1" t="str">
        <f t="shared" si="72"/>
        <v/>
      </c>
      <c r="P396" s="2" t="str">
        <f t="shared" si="73"/>
        <v/>
      </c>
      <c r="Q396" s="1" t="str">
        <f t="shared" si="74"/>
        <v/>
      </c>
      <c r="R396" s="2" t="str">
        <f t="shared" si="75"/>
        <v/>
      </c>
      <c r="S396" s="1" t="str">
        <f t="shared" si="76"/>
        <v/>
      </c>
    </row>
    <row r="397" spans="1:19" x14ac:dyDescent="0.2">
      <c r="A397" t="str">
        <f>IF(COUNTBLANK(B397:S397)&lt;&gt;COLUMNS(B397:S397),396,"")</f>
        <v/>
      </c>
      <c r="C397" s="2" t="str">
        <f t="shared" si="66"/>
        <v/>
      </c>
      <c r="D397" s="1" t="str">
        <f t="shared" si="67"/>
        <v/>
      </c>
      <c r="E397" s="1" t="str">
        <f t="shared" si="68"/>
        <v/>
      </c>
      <c r="I397" s="1" t="str">
        <f t="shared" si="69"/>
        <v/>
      </c>
      <c r="J397" s="2" t="str">
        <f t="shared" si="70"/>
        <v/>
      </c>
      <c r="K397" s="1" t="str">
        <f t="shared" si="71"/>
        <v/>
      </c>
      <c r="O397" s="1" t="str">
        <f t="shared" si="72"/>
        <v/>
      </c>
      <c r="P397" s="2" t="str">
        <f t="shared" si="73"/>
        <v/>
      </c>
      <c r="Q397" s="1" t="str">
        <f t="shared" si="74"/>
        <v/>
      </c>
      <c r="R397" s="2" t="str">
        <f t="shared" si="75"/>
        <v/>
      </c>
      <c r="S397" s="1" t="str">
        <f t="shared" si="76"/>
        <v/>
      </c>
    </row>
    <row r="398" spans="1:19" x14ac:dyDescent="0.2">
      <c r="A398" t="str">
        <f>IF(COUNTBLANK(B398:S398)&lt;&gt;COLUMNS(B398:S398),397,"")</f>
        <v/>
      </c>
      <c r="C398" s="2" t="str">
        <f t="shared" si="66"/>
        <v/>
      </c>
      <c r="D398" s="1" t="str">
        <f t="shared" si="67"/>
        <v/>
      </c>
      <c r="E398" s="1" t="str">
        <f t="shared" si="68"/>
        <v/>
      </c>
      <c r="I398" s="1" t="str">
        <f t="shared" si="69"/>
        <v/>
      </c>
      <c r="J398" s="2" t="str">
        <f t="shared" si="70"/>
        <v/>
      </c>
      <c r="K398" s="1" t="str">
        <f t="shared" si="71"/>
        <v/>
      </c>
      <c r="O398" s="1" t="str">
        <f t="shared" si="72"/>
        <v/>
      </c>
      <c r="P398" s="2" t="str">
        <f t="shared" si="73"/>
        <v/>
      </c>
      <c r="Q398" s="1" t="str">
        <f t="shared" si="74"/>
        <v/>
      </c>
      <c r="R398" s="2" t="str">
        <f t="shared" si="75"/>
        <v/>
      </c>
      <c r="S398" s="1" t="str">
        <f t="shared" si="76"/>
        <v/>
      </c>
    </row>
    <row r="399" spans="1:19" x14ac:dyDescent="0.2">
      <c r="A399" t="str">
        <f>IF(COUNTBLANK(B399:S399)&lt;&gt;COLUMNS(B399:S399),398,"")</f>
        <v/>
      </c>
      <c r="C399" s="2" t="str">
        <f t="shared" si="66"/>
        <v/>
      </c>
      <c r="D399" s="1" t="str">
        <f t="shared" si="67"/>
        <v/>
      </c>
      <c r="E399" s="1" t="str">
        <f t="shared" si="68"/>
        <v/>
      </c>
      <c r="I399" s="1" t="str">
        <f t="shared" si="69"/>
        <v/>
      </c>
      <c r="J399" s="2" t="str">
        <f t="shared" si="70"/>
        <v/>
      </c>
      <c r="K399" s="1" t="str">
        <f t="shared" si="71"/>
        <v/>
      </c>
      <c r="O399" s="1" t="str">
        <f t="shared" si="72"/>
        <v/>
      </c>
      <c r="P399" s="2" t="str">
        <f t="shared" si="73"/>
        <v/>
      </c>
      <c r="Q399" s="1" t="str">
        <f t="shared" si="74"/>
        <v/>
      </c>
      <c r="R399" s="2" t="str">
        <f t="shared" si="75"/>
        <v/>
      </c>
      <c r="S399" s="1" t="str">
        <f t="shared" si="76"/>
        <v/>
      </c>
    </row>
    <row r="400" spans="1:19" x14ac:dyDescent="0.2">
      <c r="A400" t="str">
        <f>IF(COUNTBLANK(B400:S400)&lt;&gt;COLUMNS(B400:S400),399,"")</f>
        <v/>
      </c>
      <c r="C400" s="2" t="str">
        <f t="shared" si="66"/>
        <v/>
      </c>
      <c r="D400" s="1" t="str">
        <f t="shared" si="67"/>
        <v/>
      </c>
      <c r="E400" s="1" t="str">
        <f t="shared" si="68"/>
        <v/>
      </c>
      <c r="I400" s="1" t="str">
        <f t="shared" si="69"/>
        <v/>
      </c>
      <c r="J400" s="2" t="str">
        <f t="shared" si="70"/>
        <v/>
      </c>
      <c r="K400" s="1" t="str">
        <f t="shared" si="71"/>
        <v/>
      </c>
      <c r="O400" s="1" t="str">
        <f t="shared" si="72"/>
        <v/>
      </c>
      <c r="P400" s="2" t="str">
        <f t="shared" si="73"/>
        <v/>
      </c>
      <c r="Q400" s="1" t="str">
        <f t="shared" si="74"/>
        <v/>
      </c>
      <c r="R400" s="2" t="str">
        <f t="shared" si="75"/>
        <v/>
      </c>
      <c r="S400" s="1" t="str">
        <f t="shared" si="76"/>
        <v/>
      </c>
    </row>
    <row r="401" spans="1:19" x14ac:dyDescent="0.2">
      <c r="A401" t="str">
        <f>IF(COUNTBLANK(B401:S401)&lt;&gt;COLUMNS(B401:S401),400,"")</f>
        <v/>
      </c>
      <c r="C401" s="2" t="str">
        <f t="shared" si="66"/>
        <v/>
      </c>
      <c r="D401" s="1" t="str">
        <f t="shared" si="67"/>
        <v/>
      </c>
      <c r="E401" s="1" t="str">
        <f t="shared" si="68"/>
        <v/>
      </c>
      <c r="I401" s="1" t="str">
        <f t="shared" si="69"/>
        <v/>
      </c>
      <c r="J401" s="2" t="str">
        <f t="shared" si="70"/>
        <v/>
      </c>
      <c r="K401" s="1" t="str">
        <f t="shared" si="71"/>
        <v/>
      </c>
      <c r="O401" s="1" t="str">
        <f t="shared" si="72"/>
        <v/>
      </c>
      <c r="P401" s="2" t="str">
        <f t="shared" si="73"/>
        <v/>
      </c>
      <c r="Q401" s="1" t="str">
        <f t="shared" si="74"/>
        <v/>
      </c>
      <c r="R401" s="2" t="str">
        <f t="shared" si="75"/>
        <v/>
      </c>
      <c r="S401" s="1" t="str">
        <f t="shared" si="76"/>
        <v/>
      </c>
    </row>
    <row r="402" spans="1:19" x14ac:dyDescent="0.2">
      <c r="A402" t="str">
        <f>IF(COUNTBLANK(B402:S402)&lt;&gt;COLUMNS(B402:S402),401,"")</f>
        <v/>
      </c>
      <c r="C402" s="2" t="str">
        <f t="shared" si="66"/>
        <v/>
      </c>
      <c r="D402" s="1" t="str">
        <f t="shared" si="67"/>
        <v/>
      </c>
      <c r="E402" s="1" t="str">
        <f t="shared" si="68"/>
        <v/>
      </c>
      <c r="I402" s="1" t="str">
        <f t="shared" si="69"/>
        <v/>
      </c>
      <c r="J402" s="2" t="str">
        <f t="shared" si="70"/>
        <v/>
      </c>
      <c r="K402" s="1" t="str">
        <f t="shared" si="71"/>
        <v/>
      </c>
      <c r="O402" s="1" t="str">
        <f t="shared" si="72"/>
        <v/>
      </c>
      <c r="P402" s="2" t="str">
        <f t="shared" si="73"/>
        <v/>
      </c>
      <c r="Q402" s="1" t="str">
        <f t="shared" si="74"/>
        <v/>
      </c>
      <c r="R402" s="2" t="str">
        <f t="shared" si="75"/>
        <v/>
      </c>
      <c r="S402" s="1" t="str">
        <f t="shared" si="76"/>
        <v/>
      </c>
    </row>
    <row r="403" spans="1:19" x14ac:dyDescent="0.2">
      <c r="A403" t="str">
        <f>IF(COUNTBLANK(B403:S403)&lt;&gt;COLUMNS(B403:S403),402,"")</f>
        <v/>
      </c>
      <c r="C403" s="2" t="str">
        <f t="shared" si="66"/>
        <v/>
      </c>
      <c r="D403" s="1" t="str">
        <f t="shared" si="67"/>
        <v/>
      </c>
      <c r="E403" s="1" t="str">
        <f t="shared" si="68"/>
        <v/>
      </c>
      <c r="I403" s="1" t="str">
        <f t="shared" si="69"/>
        <v/>
      </c>
      <c r="J403" s="2" t="str">
        <f t="shared" si="70"/>
        <v/>
      </c>
      <c r="K403" s="1" t="str">
        <f t="shared" si="71"/>
        <v/>
      </c>
      <c r="O403" s="1" t="str">
        <f t="shared" si="72"/>
        <v/>
      </c>
      <c r="P403" s="2" t="str">
        <f t="shared" si="73"/>
        <v/>
      </c>
      <c r="Q403" s="1" t="str">
        <f t="shared" si="74"/>
        <v/>
      </c>
      <c r="R403" s="2" t="str">
        <f t="shared" si="75"/>
        <v/>
      </c>
      <c r="S403" s="1" t="str">
        <f t="shared" si="76"/>
        <v/>
      </c>
    </row>
    <row r="404" spans="1:19" x14ac:dyDescent="0.2">
      <c r="A404" t="str">
        <f>IF(COUNTBLANK(B404:S404)&lt;&gt;COLUMNS(B404:S404),403,"")</f>
        <v/>
      </c>
      <c r="C404" s="2" t="str">
        <f t="shared" si="66"/>
        <v/>
      </c>
      <c r="D404" s="1" t="str">
        <f t="shared" si="67"/>
        <v/>
      </c>
      <c r="E404" s="1" t="str">
        <f t="shared" si="68"/>
        <v/>
      </c>
      <c r="I404" s="1" t="str">
        <f t="shared" si="69"/>
        <v/>
      </c>
      <c r="J404" s="2" t="str">
        <f t="shared" si="70"/>
        <v/>
      </c>
      <c r="K404" s="1" t="str">
        <f t="shared" si="71"/>
        <v/>
      </c>
      <c r="O404" s="1" t="str">
        <f t="shared" si="72"/>
        <v/>
      </c>
      <c r="P404" s="2" t="str">
        <f t="shared" si="73"/>
        <v/>
      </c>
      <c r="Q404" s="1" t="str">
        <f t="shared" si="74"/>
        <v/>
      </c>
      <c r="R404" s="2" t="str">
        <f t="shared" si="75"/>
        <v/>
      </c>
      <c r="S404" s="1" t="str">
        <f t="shared" si="76"/>
        <v/>
      </c>
    </row>
    <row r="405" spans="1:19" x14ac:dyDescent="0.2">
      <c r="A405" t="str">
        <f>IF(COUNTBLANK(B405:S405)&lt;&gt;COLUMNS(B405:S405),404,"")</f>
        <v/>
      </c>
      <c r="C405" s="2" t="str">
        <f t="shared" si="66"/>
        <v/>
      </c>
      <c r="D405" s="1" t="str">
        <f t="shared" si="67"/>
        <v/>
      </c>
      <c r="E405" s="1" t="str">
        <f t="shared" si="68"/>
        <v/>
      </c>
      <c r="I405" s="1" t="str">
        <f t="shared" si="69"/>
        <v/>
      </c>
      <c r="J405" s="2" t="str">
        <f t="shared" si="70"/>
        <v/>
      </c>
      <c r="K405" s="1" t="str">
        <f t="shared" si="71"/>
        <v/>
      </c>
      <c r="O405" s="1" t="str">
        <f t="shared" si="72"/>
        <v/>
      </c>
      <c r="P405" s="2" t="str">
        <f t="shared" si="73"/>
        <v/>
      </c>
      <c r="Q405" s="1" t="str">
        <f t="shared" si="74"/>
        <v/>
      </c>
      <c r="R405" s="2" t="str">
        <f t="shared" si="75"/>
        <v/>
      </c>
      <c r="S405" s="1" t="str">
        <f t="shared" si="76"/>
        <v/>
      </c>
    </row>
    <row r="406" spans="1:19" x14ac:dyDescent="0.2">
      <c r="A406" t="str">
        <f>IF(COUNTBLANK(B406:S406)&lt;&gt;COLUMNS(B406:S406),405,"")</f>
        <v/>
      </c>
      <c r="C406" s="2" t="str">
        <f t="shared" si="66"/>
        <v/>
      </c>
      <c r="D406" s="1" t="str">
        <f t="shared" si="67"/>
        <v/>
      </c>
      <c r="E406" s="1" t="str">
        <f t="shared" si="68"/>
        <v/>
      </c>
      <c r="I406" s="1" t="str">
        <f t="shared" si="69"/>
        <v/>
      </c>
      <c r="J406" s="2" t="str">
        <f t="shared" si="70"/>
        <v/>
      </c>
      <c r="K406" s="1" t="str">
        <f t="shared" si="71"/>
        <v/>
      </c>
      <c r="O406" s="1" t="str">
        <f t="shared" si="72"/>
        <v/>
      </c>
      <c r="P406" s="2" t="str">
        <f t="shared" si="73"/>
        <v/>
      </c>
      <c r="Q406" s="1" t="str">
        <f t="shared" si="74"/>
        <v/>
      </c>
      <c r="R406" s="2" t="str">
        <f t="shared" si="75"/>
        <v/>
      </c>
      <c r="S406" s="1" t="str">
        <f t="shared" si="76"/>
        <v/>
      </c>
    </row>
    <row r="407" spans="1:19" x14ac:dyDescent="0.2">
      <c r="A407" t="str">
        <f>IF(COUNTBLANK(B407:S407)&lt;&gt;COLUMNS(B407:S407),406,"")</f>
        <v/>
      </c>
      <c r="C407" s="2" t="str">
        <f t="shared" si="66"/>
        <v/>
      </c>
      <c r="D407" s="1" t="str">
        <f t="shared" si="67"/>
        <v/>
      </c>
      <c r="E407" s="1" t="str">
        <f t="shared" si="68"/>
        <v/>
      </c>
      <c r="I407" s="1" t="str">
        <f t="shared" si="69"/>
        <v/>
      </c>
      <c r="J407" s="2" t="str">
        <f t="shared" si="70"/>
        <v/>
      </c>
      <c r="K407" s="1" t="str">
        <f t="shared" si="71"/>
        <v/>
      </c>
      <c r="O407" s="1" t="str">
        <f t="shared" si="72"/>
        <v/>
      </c>
      <c r="P407" s="2" t="str">
        <f t="shared" si="73"/>
        <v/>
      </c>
      <c r="Q407" s="1" t="str">
        <f t="shared" si="74"/>
        <v/>
      </c>
      <c r="R407" s="2" t="str">
        <f t="shared" si="75"/>
        <v/>
      </c>
      <c r="S407" s="1" t="str">
        <f t="shared" si="76"/>
        <v/>
      </c>
    </row>
    <row r="408" spans="1:19" x14ac:dyDescent="0.2">
      <c r="A408" t="str">
        <f>IF(COUNTBLANK(B408:S408)&lt;&gt;COLUMNS(B408:S408),407,"")</f>
        <v/>
      </c>
      <c r="C408" s="2" t="str">
        <f t="shared" si="66"/>
        <v/>
      </c>
      <c r="D408" s="1" t="str">
        <f t="shared" si="67"/>
        <v/>
      </c>
      <c r="E408" s="1" t="str">
        <f t="shared" si="68"/>
        <v/>
      </c>
      <c r="I408" s="1" t="str">
        <f t="shared" si="69"/>
        <v/>
      </c>
      <c r="J408" s="2" t="str">
        <f t="shared" si="70"/>
        <v/>
      </c>
      <c r="K408" s="1" t="str">
        <f t="shared" si="71"/>
        <v/>
      </c>
      <c r="O408" s="1" t="str">
        <f t="shared" si="72"/>
        <v/>
      </c>
      <c r="P408" s="2" t="str">
        <f t="shared" si="73"/>
        <v/>
      </c>
      <c r="Q408" s="1" t="str">
        <f t="shared" si="74"/>
        <v/>
      </c>
      <c r="R408" s="2" t="str">
        <f t="shared" si="75"/>
        <v/>
      </c>
      <c r="S408" s="1" t="str">
        <f t="shared" si="76"/>
        <v/>
      </c>
    </row>
    <row r="409" spans="1:19" x14ac:dyDescent="0.2">
      <c r="A409" t="str">
        <f>IF(COUNTBLANK(B409:S409)&lt;&gt;COLUMNS(B409:S409),408,"")</f>
        <v/>
      </c>
      <c r="C409" s="2" t="str">
        <f t="shared" si="66"/>
        <v/>
      </c>
      <c r="D409" s="1" t="str">
        <f t="shared" si="67"/>
        <v/>
      </c>
      <c r="E409" s="1" t="str">
        <f t="shared" si="68"/>
        <v/>
      </c>
      <c r="I409" s="1" t="str">
        <f t="shared" si="69"/>
        <v/>
      </c>
      <c r="J409" s="2" t="str">
        <f t="shared" si="70"/>
        <v/>
      </c>
      <c r="K409" s="1" t="str">
        <f t="shared" si="71"/>
        <v/>
      </c>
      <c r="O409" s="1" t="str">
        <f t="shared" si="72"/>
        <v/>
      </c>
      <c r="P409" s="2" t="str">
        <f t="shared" si="73"/>
        <v/>
      </c>
      <c r="Q409" s="1" t="str">
        <f t="shared" si="74"/>
        <v/>
      </c>
      <c r="R409" s="2" t="str">
        <f t="shared" si="75"/>
        <v/>
      </c>
      <c r="S409" s="1" t="str">
        <f t="shared" si="76"/>
        <v/>
      </c>
    </row>
    <row r="410" spans="1:19" x14ac:dyDescent="0.2">
      <c r="A410" t="str">
        <f>IF(COUNTBLANK(B410:S410)&lt;&gt;COLUMNS(B410:S410),409,"")</f>
        <v/>
      </c>
      <c r="C410" s="2" t="str">
        <f t="shared" si="66"/>
        <v/>
      </c>
      <c r="D410" s="1" t="str">
        <f t="shared" si="67"/>
        <v/>
      </c>
      <c r="E410" s="1" t="str">
        <f t="shared" si="68"/>
        <v/>
      </c>
      <c r="I410" s="1" t="str">
        <f t="shared" si="69"/>
        <v/>
      </c>
      <c r="J410" s="2" t="str">
        <f t="shared" si="70"/>
        <v/>
      </c>
      <c r="K410" s="1" t="str">
        <f t="shared" si="71"/>
        <v/>
      </c>
      <c r="O410" s="1" t="str">
        <f t="shared" si="72"/>
        <v/>
      </c>
      <c r="P410" s="2" t="str">
        <f t="shared" si="73"/>
        <v/>
      </c>
      <c r="Q410" s="1" t="str">
        <f t="shared" si="74"/>
        <v/>
      </c>
      <c r="R410" s="2" t="str">
        <f t="shared" si="75"/>
        <v/>
      </c>
      <c r="S410" s="1" t="str">
        <f t="shared" si="76"/>
        <v/>
      </c>
    </row>
    <row r="411" spans="1:19" x14ac:dyDescent="0.2">
      <c r="A411" t="str">
        <f>IF(COUNTBLANK(B411:S411)&lt;&gt;COLUMNS(B411:S411),410,"")</f>
        <v/>
      </c>
      <c r="C411" s="2" t="str">
        <f t="shared" si="66"/>
        <v/>
      </c>
      <c r="D411" s="1" t="str">
        <f t="shared" si="67"/>
        <v/>
      </c>
      <c r="E411" s="1" t="str">
        <f t="shared" si="68"/>
        <v/>
      </c>
      <c r="I411" s="1" t="str">
        <f t="shared" si="69"/>
        <v/>
      </c>
      <c r="J411" s="2" t="str">
        <f t="shared" si="70"/>
        <v/>
      </c>
      <c r="K411" s="1" t="str">
        <f t="shared" si="71"/>
        <v/>
      </c>
      <c r="O411" s="1" t="str">
        <f t="shared" si="72"/>
        <v/>
      </c>
      <c r="P411" s="2" t="str">
        <f t="shared" si="73"/>
        <v/>
      </c>
      <c r="Q411" s="1" t="str">
        <f t="shared" si="74"/>
        <v/>
      </c>
      <c r="R411" s="2" t="str">
        <f t="shared" si="75"/>
        <v/>
      </c>
      <c r="S411" s="1" t="str">
        <f t="shared" si="76"/>
        <v/>
      </c>
    </row>
    <row r="412" spans="1:19" x14ac:dyDescent="0.2">
      <c r="A412" t="str">
        <f>IF(COUNTBLANK(B412:S412)&lt;&gt;COLUMNS(B412:S412),411,"")</f>
        <v/>
      </c>
      <c r="C412" s="2" t="str">
        <f t="shared" si="66"/>
        <v/>
      </c>
      <c r="D412" s="1" t="str">
        <f t="shared" si="67"/>
        <v/>
      </c>
      <c r="E412" s="1" t="str">
        <f t="shared" si="68"/>
        <v/>
      </c>
      <c r="I412" s="1" t="str">
        <f t="shared" si="69"/>
        <v/>
      </c>
      <c r="J412" s="2" t="str">
        <f t="shared" si="70"/>
        <v/>
      </c>
      <c r="K412" s="1" t="str">
        <f t="shared" si="71"/>
        <v/>
      </c>
      <c r="O412" s="1" t="str">
        <f t="shared" si="72"/>
        <v/>
      </c>
      <c r="P412" s="2" t="str">
        <f t="shared" si="73"/>
        <v/>
      </c>
      <c r="Q412" s="1" t="str">
        <f t="shared" si="74"/>
        <v/>
      </c>
      <c r="R412" s="2" t="str">
        <f t="shared" si="75"/>
        <v/>
      </c>
      <c r="S412" s="1" t="str">
        <f t="shared" si="76"/>
        <v/>
      </c>
    </row>
    <row r="413" spans="1:19" x14ac:dyDescent="0.2">
      <c r="A413" t="str">
        <f>IF(COUNTBLANK(B413:S413)&lt;&gt;COLUMNS(B413:S413),412,"")</f>
        <v/>
      </c>
      <c r="C413" s="2" t="str">
        <f t="shared" si="66"/>
        <v/>
      </c>
      <c r="D413" s="1" t="str">
        <f t="shared" si="67"/>
        <v/>
      </c>
      <c r="E413" s="1" t="str">
        <f t="shared" si="68"/>
        <v/>
      </c>
      <c r="I413" s="1" t="str">
        <f t="shared" si="69"/>
        <v/>
      </c>
      <c r="J413" s="2" t="str">
        <f t="shared" si="70"/>
        <v/>
      </c>
      <c r="K413" s="1" t="str">
        <f t="shared" si="71"/>
        <v/>
      </c>
      <c r="O413" s="1" t="str">
        <f t="shared" si="72"/>
        <v/>
      </c>
      <c r="P413" s="2" t="str">
        <f t="shared" si="73"/>
        <v/>
      </c>
      <c r="Q413" s="1" t="str">
        <f t="shared" si="74"/>
        <v/>
      </c>
      <c r="R413" s="2" t="str">
        <f t="shared" si="75"/>
        <v/>
      </c>
      <c r="S413" s="1" t="str">
        <f t="shared" si="76"/>
        <v/>
      </c>
    </row>
    <row r="414" spans="1:19" x14ac:dyDescent="0.2">
      <c r="A414" t="str">
        <f>IF(COUNTBLANK(B414:S414)&lt;&gt;COLUMNS(B414:S414),413,"")</f>
        <v/>
      </c>
      <c r="C414" s="2" t="str">
        <f t="shared" si="66"/>
        <v/>
      </c>
      <c r="D414" s="1" t="str">
        <f t="shared" si="67"/>
        <v/>
      </c>
      <c r="E414" s="1" t="str">
        <f t="shared" si="68"/>
        <v/>
      </c>
      <c r="I414" s="1" t="str">
        <f t="shared" si="69"/>
        <v/>
      </c>
      <c r="J414" s="2" t="str">
        <f t="shared" si="70"/>
        <v/>
      </c>
      <c r="K414" s="1" t="str">
        <f t="shared" si="71"/>
        <v/>
      </c>
      <c r="O414" s="1" t="str">
        <f t="shared" si="72"/>
        <v/>
      </c>
      <c r="P414" s="2" t="str">
        <f t="shared" si="73"/>
        <v/>
      </c>
      <c r="Q414" s="1" t="str">
        <f t="shared" si="74"/>
        <v/>
      </c>
      <c r="R414" s="2" t="str">
        <f t="shared" si="75"/>
        <v/>
      </c>
      <c r="S414" s="1" t="str">
        <f t="shared" si="76"/>
        <v/>
      </c>
    </row>
    <row r="415" spans="1:19" x14ac:dyDescent="0.2">
      <c r="A415" t="str">
        <f>IF(COUNTBLANK(B415:S415)&lt;&gt;COLUMNS(B415:S415),414,"")</f>
        <v/>
      </c>
      <c r="C415" s="2" t="str">
        <f t="shared" si="66"/>
        <v/>
      </c>
      <c r="D415" s="1" t="str">
        <f t="shared" si="67"/>
        <v/>
      </c>
      <c r="E415" s="1" t="str">
        <f t="shared" si="68"/>
        <v/>
      </c>
      <c r="I415" s="1" t="str">
        <f t="shared" si="69"/>
        <v/>
      </c>
      <c r="J415" s="2" t="str">
        <f t="shared" si="70"/>
        <v/>
      </c>
      <c r="K415" s="1" t="str">
        <f t="shared" si="71"/>
        <v/>
      </c>
      <c r="O415" s="1" t="str">
        <f t="shared" si="72"/>
        <v/>
      </c>
      <c r="P415" s="2" t="str">
        <f t="shared" si="73"/>
        <v/>
      </c>
      <c r="Q415" s="1" t="str">
        <f t="shared" si="74"/>
        <v/>
      </c>
      <c r="R415" s="2" t="str">
        <f t="shared" si="75"/>
        <v/>
      </c>
      <c r="S415" s="1" t="str">
        <f t="shared" si="76"/>
        <v/>
      </c>
    </row>
    <row r="416" spans="1:19" x14ac:dyDescent="0.2">
      <c r="A416" t="str">
        <f>IF(COUNTBLANK(B416:S416)&lt;&gt;COLUMNS(B416:S416),415,"")</f>
        <v/>
      </c>
      <c r="C416" s="2" t="str">
        <f t="shared" si="66"/>
        <v/>
      </c>
      <c r="D416" s="1" t="str">
        <f t="shared" si="67"/>
        <v/>
      </c>
      <c r="E416" s="1" t="str">
        <f t="shared" si="68"/>
        <v/>
      </c>
      <c r="I416" s="1" t="str">
        <f t="shared" si="69"/>
        <v/>
      </c>
      <c r="J416" s="2" t="str">
        <f t="shared" si="70"/>
        <v/>
      </c>
      <c r="K416" s="1" t="str">
        <f t="shared" si="71"/>
        <v/>
      </c>
      <c r="O416" s="1" t="str">
        <f t="shared" si="72"/>
        <v/>
      </c>
      <c r="P416" s="2" t="str">
        <f t="shared" si="73"/>
        <v/>
      </c>
      <c r="Q416" s="1" t="str">
        <f t="shared" si="74"/>
        <v/>
      </c>
      <c r="R416" s="2" t="str">
        <f t="shared" si="75"/>
        <v/>
      </c>
      <c r="S416" s="1" t="str">
        <f t="shared" si="76"/>
        <v/>
      </c>
    </row>
    <row r="417" spans="1:19" x14ac:dyDescent="0.2">
      <c r="A417" t="str">
        <f>IF(COUNTBLANK(B417:S417)&lt;&gt;COLUMNS(B417:S417),416,"")</f>
        <v/>
      </c>
      <c r="C417" s="2" t="str">
        <f t="shared" si="66"/>
        <v/>
      </c>
      <c r="D417" s="1" t="str">
        <f t="shared" si="67"/>
        <v/>
      </c>
      <c r="E417" s="1" t="str">
        <f t="shared" si="68"/>
        <v/>
      </c>
      <c r="I417" s="1" t="str">
        <f t="shared" si="69"/>
        <v/>
      </c>
      <c r="J417" s="2" t="str">
        <f t="shared" si="70"/>
        <v/>
      </c>
      <c r="K417" s="1" t="str">
        <f t="shared" si="71"/>
        <v/>
      </c>
      <c r="O417" s="1" t="str">
        <f t="shared" si="72"/>
        <v/>
      </c>
      <c r="P417" s="2" t="str">
        <f t="shared" si="73"/>
        <v/>
      </c>
      <c r="Q417" s="1" t="str">
        <f t="shared" si="74"/>
        <v/>
      </c>
      <c r="R417" s="2" t="str">
        <f t="shared" si="75"/>
        <v/>
      </c>
      <c r="S417" s="1" t="str">
        <f t="shared" si="76"/>
        <v/>
      </c>
    </row>
    <row r="418" spans="1:19" x14ac:dyDescent="0.2">
      <c r="A418" t="str">
        <f>IF(COUNTBLANK(B418:S418)&lt;&gt;COLUMNS(B418:S418),417,"")</f>
        <v/>
      </c>
      <c r="C418" s="2" t="str">
        <f t="shared" si="66"/>
        <v/>
      </c>
      <c r="D418" s="1" t="str">
        <f t="shared" si="67"/>
        <v/>
      </c>
      <c r="E418" s="1" t="str">
        <f t="shared" si="68"/>
        <v/>
      </c>
      <c r="I418" s="1" t="str">
        <f t="shared" si="69"/>
        <v/>
      </c>
      <c r="J418" s="2" t="str">
        <f t="shared" si="70"/>
        <v/>
      </c>
      <c r="K418" s="1" t="str">
        <f t="shared" si="71"/>
        <v/>
      </c>
      <c r="O418" s="1" t="str">
        <f t="shared" si="72"/>
        <v/>
      </c>
      <c r="P418" s="2" t="str">
        <f t="shared" si="73"/>
        <v/>
      </c>
      <c r="Q418" s="1" t="str">
        <f t="shared" si="74"/>
        <v/>
      </c>
      <c r="R418" s="2" t="str">
        <f t="shared" si="75"/>
        <v/>
      </c>
      <c r="S418" s="1" t="str">
        <f t="shared" si="76"/>
        <v/>
      </c>
    </row>
    <row r="419" spans="1:19" x14ac:dyDescent="0.2">
      <c r="A419" t="str">
        <f>IF(COUNTBLANK(B419:S419)&lt;&gt;COLUMNS(B419:S419),418,"")</f>
        <v/>
      </c>
      <c r="C419" s="2" t="str">
        <f t="shared" si="66"/>
        <v/>
      </c>
      <c r="D419" s="1" t="str">
        <f t="shared" si="67"/>
        <v/>
      </c>
      <c r="E419" s="1" t="str">
        <f t="shared" si="68"/>
        <v/>
      </c>
      <c r="I419" s="1" t="str">
        <f t="shared" si="69"/>
        <v/>
      </c>
      <c r="J419" s="2" t="str">
        <f t="shared" si="70"/>
        <v/>
      </c>
      <c r="K419" s="1" t="str">
        <f t="shared" si="71"/>
        <v/>
      </c>
      <c r="O419" s="1" t="str">
        <f t="shared" si="72"/>
        <v/>
      </c>
      <c r="P419" s="2" t="str">
        <f t="shared" si="73"/>
        <v/>
      </c>
      <c r="Q419" s="1" t="str">
        <f t="shared" si="74"/>
        <v/>
      </c>
      <c r="R419" s="2" t="str">
        <f t="shared" si="75"/>
        <v/>
      </c>
      <c r="S419" s="1" t="str">
        <f t="shared" si="76"/>
        <v/>
      </c>
    </row>
    <row r="420" spans="1:19" x14ac:dyDescent="0.2">
      <c r="A420" t="str">
        <f>IF(COUNTBLANK(B420:S420)&lt;&gt;COLUMNS(B420:S420),419,"")</f>
        <v/>
      </c>
      <c r="C420" s="2" t="str">
        <f t="shared" si="66"/>
        <v/>
      </c>
      <c r="D420" s="1" t="str">
        <f t="shared" si="67"/>
        <v/>
      </c>
      <c r="E420" s="1" t="str">
        <f t="shared" si="68"/>
        <v/>
      </c>
      <c r="I420" s="1" t="str">
        <f t="shared" si="69"/>
        <v/>
      </c>
      <c r="J420" s="2" t="str">
        <f t="shared" si="70"/>
        <v/>
      </c>
      <c r="K420" s="1" t="str">
        <f t="shared" si="71"/>
        <v/>
      </c>
      <c r="O420" s="1" t="str">
        <f t="shared" si="72"/>
        <v/>
      </c>
      <c r="P420" s="2" t="str">
        <f t="shared" si="73"/>
        <v/>
      </c>
      <c r="Q420" s="1" t="str">
        <f t="shared" si="74"/>
        <v/>
      </c>
      <c r="R420" s="2" t="str">
        <f t="shared" si="75"/>
        <v/>
      </c>
      <c r="S420" s="1" t="str">
        <f t="shared" si="76"/>
        <v/>
      </c>
    </row>
    <row r="421" spans="1:19" x14ac:dyDescent="0.2">
      <c r="A421" t="str">
        <f>IF(COUNTBLANK(B421:S421)&lt;&gt;COLUMNS(B421:S421),420,"")</f>
        <v/>
      </c>
      <c r="C421" s="2" t="str">
        <f t="shared" si="66"/>
        <v/>
      </c>
      <c r="D421" s="1" t="str">
        <f t="shared" si="67"/>
        <v/>
      </c>
      <c r="E421" s="1" t="str">
        <f t="shared" si="68"/>
        <v/>
      </c>
      <c r="I421" s="1" t="str">
        <f t="shared" si="69"/>
        <v/>
      </c>
      <c r="J421" s="2" t="str">
        <f t="shared" si="70"/>
        <v/>
      </c>
      <c r="K421" s="1" t="str">
        <f t="shared" si="71"/>
        <v/>
      </c>
      <c r="O421" s="1" t="str">
        <f t="shared" si="72"/>
        <v/>
      </c>
      <c r="P421" s="2" t="str">
        <f t="shared" si="73"/>
        <v/>
      </c>
      <c r="Q421" s="1" t="str">
        <f t="shared" si="74"/>
        <v/>
      </c>
      <c r="R421" s="2" t="str">
        <f t="shared" si="75"/>
        <v/>
      </c>
      <c r="S421" s="1" t="str">
        <f t="shared" si="76"/>
        <v/>
      </c>
    </row>
    <row r="422" spans="1:19" x14ac:dyDescent="0.2">
      <c r="A422" t="str">
        <f>IF(COUNTBLANK(B422:S422)&lt;&gt;COLUMNS(B422:S422),421,"")</f>
        <v/>
      </c>
      <c r="C422" s="2" t="str">
        <f t="shared" si="66"/>
        <v/>
      </c>
      <c r="D422" s="1" t="str">
        <f t="shared" si="67"/>
        <v/>
      </c>
      <c r="E422" s="1" t="str">
        <f t="shared" si="68"/>
        <v/>
      </c>
      <c r="I422" s="1" t="str">
        <f t="shared" si="69"/>
        <v/>
      </c>
      <c r="J422" s="2" t="str">
        <f t="shared" si="70"/>
        <v/>
      </c>
      <c r="K422" s="1" t="str">
        <f t="shared" si="71"/>
        <v/>
      </c>
      <c r="O422" s="1" t="str">
        <f t="shared" si="72"/>
        <v/>
      </c>
      <c r="P422" s="2" t="str">
        <f t="shared" si="73"/>
        <v/>
      </c>
      <c r="Q422" s="1" t="str">
        <f t="shared" si="74"/>
        <v/>
      </c>
      <c r="R422" s="2" t="str">
        <f t="shared" si="75"/>
        <v/>
      </c>
      <c r="S422" s="1" t="str">
        <f t="shared" si="76"/>
        <v/>
      </c>
    </row>
    <row r="423" spans="1:19" x14ac:dyDescent="0.2">
      <c r="A423" t="str">
        <f>IF(COUNTBLANK(B423:S423)&lt;&gt;COLUMNS(B423:S423),422,"")</f>
        <v/>
      </c>
      <c r="C423" s="2" t="str">
        <f t="shared" si="66"/>
        <v/>
      </c>
      <c r="D423" s="1" t="str">
        <f t="shared" si="67"/>
        <v/>
      </c>
      <c r="E423" s="1" t="str">
        <f t="shared" si="68"/>
        <v/>
      </c>
      <c r="I423" s="1" t="str">
        <f t="shared" si="69"/>
        <v/>
      </c>
      <c r="J423" s="2" t="str">
        <f t="shared" si="70"/>
        <v/>
      </c>
      <c r="K423" s="1" t="str">
        <f t="shared" si="71"/>
        <v/>
      </c>
      <c r="O423" s="1" t="str">
        <f t="shared" si="72"/>
        <v/>
      </c>
      <c r="P423" s="2" t="str">
        <f t="shared" si="73"/>
        <v/>
      </c>
      <c r="Q423" s="1" t="str">
        <f t="shared" si="74"/>
        <v/>
      </c>
      <c r="R423" s="2" t="str">
        <f t="shared" si="75"/>
        <v/>
      </c>
      <c r="S423" s="1" t="str">
        <f t="shared" si="76"/>
        <v/>
      </c>
    </row>
    <row r="424" spans="1:19" x14ac:dyDescent="0.2">
      <c r="A424" t="str">
        <f>IF(COUNTBLANK(B424:S424)&lt;&gt;COLUMNS(B424:S424),423,"")</f>
        <v/>
      </c>
      <c r="C424" s="2" t="str">
        <f t="shared" si="66"/>
        <v/>
      </c>
      <c r="D424" s="1" t="str">
        <f t="shared" si="67"/>
        <v/>
      </c>
      <c r="E424" s="1" t="str">
        <f t="shared" si="68"/>
        <v/>
      </c>
      <c r="I424" s="1" t="str">
        <f t="shared" si="69"/>
        <v/>
      </c>
      <c r="J424" s="2" t="str">
        <f t="shared" si="70"/>
        <v/>
      </c>
      <c r="K424" s="1" t="str">
        <f t="shared" si="71"/>
        <v/>
      </c>
      <c r="O424" s="1" t="str">
        <f t="shared" si="72"/>
        <v/>
      </c>
      <c r="P424" s="2" t="str">
        <f t="shared" si="73"/>
        <v/>
      </c>
      <c r="Q424" s="1" t="str">
        <f t="shared" si="74"/>
        <v/>
      </c>
      <c r="R424" s="2" t="str">
        <f t="shared" si="75"/>
        <v/>
      </c>
      <c r="S424" s="1" t="str">
        <f t="shared" si="76"/>
        <v/>
      </c>
    </row>
    <row r="425" spans="1:19" x14ac:dyDescent="0.2">
      <c r="A425" t="str">
        <f>IF(COUNTBLANK(B425:S425)&lt;&gt;COLUMNS(B425:S425),424,"")</f>
        <v/>
      </c>
      <c r="C425" s="2" t="str">
        <f t="shared" si="66"/>
        <v/>
      </c>
      <c r="D425" s="1" t="str">
        <f t="shared" si="67"/>
        <v/>
      </c>
      <c r="E425" s="1" t="str">
        <f t="shared" si="68"/>
        <v/>
      </c>
      <c r="I425" s="1" t="str">
        <f t="shared" si="69"/>
        <v/>
      </c>
      <c r="J425" s="2" t="str">
        <f t="shared" si="70"/>
        <v/>
      </c>
      <c r="K425" s="1" t="str">
        <f t="shared" si="71"/>
        <v/>
      </c>
      <c r="O425" s="1" t="str">
        <f t="shared" si="72"/>
        <v/>
      </c>
      <c r="P425" s="2" t="str">
        <f t="shared" si="73"/>
        <v/>
      </c>
      <c r="Q425" s="1" t="str">
        <f t="shared" si="74"/>
        <v/>
      </c>
      <c r="R425" s="2" t="str">
        <f t="shared" si="75"/>
        <v/>
      </c>
      <c r="S425" s="1" t="str">
        <f t="shared" si="76"/>
        <v/>
      </c>
    </row>
    <row r="426" spans="1:19" x14ac:dyDescent="0.2">
      <c r="A426" t="str">
        <f>IF(COUNTBLANK(B426:S426)&lt;&gt;COLUMNS(B426:S426),425,"")</f>
        <v/>
      </c>
      <c r="C426" s="2" t="str">
        <f t="shared" si="66"/>
        <v/>
      </c>
      <c r="D426" s="1" t="str">
        <f t="shared" si="67"/>
        <v/>
      </c>
      <c r="E426" s="1" t="str">
        <f t="shared" si="68"/>
        <v/>
      </c>
      <c r="I426" s="1" t="str">
        <f t="shared" si="69"/>
        <v/>
      </c>
      <c r="J426" s="2" t="str">
        <f t="shared" si="70"/>
        <v/>
      </c>
      <c r="K426" s="1" t="str">
        <f t="shared" si="71"/>
        <v/>
      </c>
      <c r="O426" s="1" t="str">
        <f t="shared" si="72"/>
        <v/>
      </c>
      <c r="P426" s="2" t="str">
        <f t="shared" si="73"/>
        <v/>
      </c>
      <c r="Q426" s="1" t="str">
        <f t="shared" si="74"/>
        <v/>
      </c>
      <c r="R426" s="2" t="str">
        <f t="shared" si="75"/>
        <v/>
      </c>
      <c r="S426" s="1" t="str">
        <f t="shared" si="76"/>
        <v/>
      </c>
    </row>
    <row r="427" spans="1:19" x14ac:dyDescent="0.2">
      <c r="A427" t="str">
        <f>IF(COUNTBLANK(B427:S427)&lt;&gt;COLUMNS(B427:S427),426,"")</f>
        <v/>
      </c>
      <c r="C427" s="2" t="str">
        <f t="shared" si="66"/>
        <v/>
      </c>
      <c r="D427" s="1" t="str">
        <f t="shared" si="67"/>
        <v/>
      </c>
      <c r="E427" s="1" t="str">
        <f t="shared" si="68"/>
        <v/>
      </c>
      <c r="I427" s="1" t="str">
        <f t="shared" si="69"/>
        <v/>
      </c>
      <c r="J427" s="2" t="str">
        <f t="shared" si="70"/>
        <v/>
      </c>
      <c r="K427" s="1" t="str">
        <f t="shared" si="71"/>
        <v/>
      </c>
      <c r="O427" s="1" t="str">
        <f t="shared" si="72"/>
        <v/>
      </c>
      <c r="P427" s="2" t="str">
        <f t="shared" si="73"/>
        <v/>
      </c>
      <c r="Q427" s="1" t="str">
        <f t="shared" si="74"/>
        <v/>
      </c>
      <c r="R427" s="2" t="str">
        <f t="shared" si="75"/>
        <v/>
      </c>
      <c r="S427" s="1" t="str">
        <f t="shared" si="76"/>
        <v/>
      </c>
    </row>
    <row r="428" spans="1:19" x14ac:dyDescent="0.2">
      <c r="A428" t="str">
        <f>IF(COUNTBLANK(B428:S428)&lt;&gt;COLUMNS(B428:S428),427,"")</f>
        <v/>
      </c>
      <c r="C428" s="2" t="str">
        <f t="shared" si="66"/>
        <v/>
      </c>
      <c r="D428" s="1" t="str">
        <f t="shared" si="67"/>
        <v/>
      </c>
      <c r="E428" s="1" t="str">
        <f t="shared" si="68"/>
        <v/>
      </c>
      <c r="I428" s="1" t="str">
        <f t="shared" si="69"/>
        <v/>
      </c>
      <c r="J428" s="2" t="str">
        <f t="shared" si="70"/>
        <v/>
      </c>
      <c r="K428" s="1" t="str">
        <f t="shared" si="71"/>
        <v/>
      </c>
      <c r="O428" s="1" t="str">
        <f t="shared" si="72"/>
        <v/>
      </c>
      <c r="P428" s="2" t="str">
        <f t="shared" si="73"/>
        <v/>
      </c>
      <c r="Q428" s="1" t="str">
        <f t="shared" si="74"/>
        <v/>
      </c>
      <c r="R428" s="2" t="str">
        <f t="shared" si="75"/>
        <v/>
      </c>
      <c r="S428" s="1" t="str">
        <f t="shared" si="76"/>
        <v/>
      </c>
    </row>
    <row r="429" spans="1:19" x14ac:dyDescent="0.2">
      <c r="A429" t="str">
        <f>IF(COUNTBLANK(B429:S429)&lt;&gt;COLUMNS(B429:S429),428,"")</f>
        <v/>
      </c>
      <c r="C429" s="2" t="str">
        <f t="shared" si="66"/>
        <v/>
      </c>
      <c r="D429" s="1" t="str">
        <f t="shared" si="67"/>
        <v/>
      </c>
      <c r="E429" s="1" t="str">
        <f t="shared" si="68"/>
        <v/>
      </c>
      <c r="I429" s="1" t="str">
        <f t="shared" si="69"/>
        <v/>
      </c>
      <c r="J429" s="2" t="str">
        <f t="shared" si="70"/>
        <v/>
      </c>
      <c r="K429" s="1" t="str">
        <f t="shared" si="71"/>
        <v/>
      </c>
      <c r="O429" s="1" t="str">
        <f t="shared" si="72"/>
        <v/>
      </c>
      <c r="P429" s="2" t="str">
        <f t="shared" si="73"/>
        <v/>
      </c>
      <c r="Q429" s="1" t="str">
        <f t="shared" si="74"/>
        <v/>
      </c>
      <c r="R429" s="2" t="str">
        <f t="shared" si="75"/>
        <v/>
      </c>
      <c r="S429" s="1" t="str">
        <f t="shared" si="76"/>
        <v/>
      </c>
    </row>
    <row r="430" spans="1:19" x14ac:dyDescent="0.2">
      <c r="A430" t="str">
        <f>IF(COUNTBLANK(B430:S430)&lt;&gt;COLUMNS(B430:S430),429,"")</f>
        <v/>
      </c>
      <c r="C430" s="2" t="str">
        <f t="shared" si="66"/>
        <v/>
      </c>
      <c r="D430" s="1" t="str">
        <f t="shared" si="67"/>
        <v/>
      </c>
      <c r="E430" s="1" t="str">
        <f t="shared" si="68"/>
        <v/>
      </c>
      <c r="I430" s="1" t="str">
        <f t="shared" si="69"/>
        <v/>
      </c>
      <c r="J430" s="2" t="str">
        <f t="shared" si="70"/>
        <v/>
      </c>
      <c r="K430" s="1" t="str">
        <f t="shared" si="71"/>
        <v/>
      </c>
      <c r="O430" s="1" t="str">
        <f t="shared" si="72"/>
        <v/>
      </c>
      <c r="P430" s="2" t="str">
        <f t="shared" si="73"/>
        <v/>
      </c>
      <c r="Q430" s="1" t="str">
        <f t="shared" si="74"/>
        <v/>
      </c>
      <c r="R430" s="2" t="str">
        <f t="shared" si="75"/>
        <v/>
      </c>
      <c r="S430" s="1" t="str">
        <f t="shared" si="76"/>
        <v/>
      </c>
    </row>
    <row r="431" spans="1:19" x14ac:dyDescent="0.2">
      <c r="A431" t="str">
        <f>IF(COUNTBLANK(B431:S431)&lt;&gt;COLUMNS(B431:S431),430,"")</f>
        <v/>
      </c>
      <c r="C431" s="2" t="str">
        <f t="shared" si="66"/>
        <v/>
      </c>
      <c r="D431" s="1" t="str">
        <f t="shared" si="67"/>
        <v/>
      </c>
      <c r="E431" s="1" t="str">
        <f t="shared" si="68"/>
        <v/>
      </c>
      <c r="I431" s="1" t="str">
        <f t="shared" si="69"/>
        <v/>
      </c>
      <c r="J431" s="2" t="str">
        <f t="shared" si="70"/>
        <v/>
      </c>
      <c r="K431" s="1" t="str">
        <f t="shared" si="71"/>
        <v/>
      </c>
      <c r="O431" s="1" t="str">
        <f t="shared" si="72"/>
        <v/>
      </c>
      <c r="P431" s="2" t="str">
        <f t="shared" si="73"/>
        <v/>
      </c>
      <c r="Q431" s="1" t="str">
        <f t="shared" si="74"/>
        <v/>
      </c>
      <c r="R431" s="2" t="str">
        <f t="shared" si="75"/>
        <v/>
      </c>
      <c r="S431" s="1" t="str">
        <f t="shared" si="76"/>
        <v/>
      </c>
    </row>
    <row r="432" spans="1:19" x14ac:dyDescent="0.2">
      <c r="A432" t="str">
        <f>IF(COUNTBLANK(B432:S432)&lt;&gt;COLUMNS(B432:S432),431,"")</f>
        <v/>
      </c>
      <c r="C432" s="2" t="str">
        <f t="shared" si="66"/>
        <v/>
      </c>
      <c r="D432" s="1" t="str">
        <f t="shared" si="67"/>
        <v/>
      </c>
      <c r="E432" s="1" t="str">
        <f t="shared" si="68"/>
        <v/>
      </c>
      <c r="I432" s="1" t="str">
        <f t="shared" si="69"/>
        <v/>
      </c>
      <c r="J432" s="2" t="str">
        <f t="shared" si="70"/>
        <v/>
      </c>
      <c r="K432" s="1" t="str">
        <f t="shared" si="71"/>
        <v/>
      </c>
      <c r="O432" s="1" t="str">
        <f t="shared" si="72"/>
        <v/>
      </c>
      <c r="P432" s="2" t="str">
        <f t="shared" si="73"/>
        <v/>
      </c>
      <c r="Q432" s="1" t="str">
        <f t="shared" si="74"/>
        <v/>
      </c>
      <c r="R432" s="2" t="str">
        <f t="shared" si="75"/>
        <v/>
      </c>
      <c r="S432" s="1" t="str">
        <f t="shared" si="76"/>
        <v/>
      </c>
    </row>
    <row r="433" spans="1:19" x14ac:dyDescent="0.2">
      <c r="A433" t="str">
        <f>IF(COUNTBLANK(B433:S433)&lt;&gt;COLUMNS(B433:S433),432,"")</f>
        <v/>
      </c>
      <c r="C433" s="2" t="str">
        <f t="shared" si="66"/>
        <v/>
      </c>
      <c r="D433" s="1" t="str">
        <f t="shared" si="67"/>
        <v/>
      </c>
      <c r="E433" s="1" t="str">
        <f t="shared" si="68"/>
        <v/>
      </c>
      <c r="I433" s="1" t="str">
        <f t="shared" si="69"/>
        <v/>
      </c>
      <c r="J433" s="2" t="str">
        <f t="shared" si="70"/>
        <v/>
      </c>
      <c r="K433" s="1" t="str">
        <f t="shared" si="71"/>
        <v/>
      </c>
      <c r="O433" s="1" t="str">
        <f t="shared" si="72"/>
        <v/>
      </c>
      <c r="P433" s="2" t="str">
        <f t="shared" si="73"/>
        <v/>
      </c>
      <c r="Q433" s="1" t="str">
        <f t="shared" si="74"/>
        <v/>
      </c>
      <c r="R433" s="2" t="str">
        <f t="shared" si="75"/>
        <v/>
      </c>
      <c r="S433" s="1" t="str">
        <f t="shared" si="76"/>
        <v/>
      </c>
    </row>
    <row r="434" spans="1:19" x14ac:dyDescent="0.2">
      <c r="A434" t="str">
        <f>IF(COUNTBLANK(B434:S434)&lt;&gt;COLUMNS(B434:S434),433,"")</f>
        <v/>
      </c>
      <c r="C434" s="2" t="str">
        <f t="shared" si="66"/>
        <v/>
      </c>
      <c r="D434" s="1" t="str">
        <f t="shared" si="67"/>
        <v/>
      </c>
      <c r="E434" s="1" t="str">
        <f t="shared" si="68"/>
        <v/>
      </c>
      <c r="I434" s="1" t="str">
        <f t="shared" si="69"/>
        <v/>
      </c>
      <c r="J434" s="2" t="str">
        <f t="shared" si="70"/>
        <v/>
      </c>
      <c r="K434" s="1" t="str">
        <f t="shared" si="71"/>
        <v/>
      </c>
      <c r="O434" s="1" t="str">
        <f t="shared" si="72"/>
        <v/>
      </c>
      <c r="P434" s="2" t="str">
        <f t="shared" si="73"/>
        <v/>
      </c>
      <c r="Q434" s="1" t="str">
        <f t="shared" si="74"/>
        <v/>
      </c>
      <c r="R434" s="2" t="str">
        <f t="shared" si="75"/>
        <v/>
      </c>
      <c r="S434" s="1" t="str">
        <f t="shared" si="76"/>
        <v/>
      </c>
    </row>
    <row r="435" spans="1:19" x14ac:dyDescent="0.2">
      <c r="A435" t="str">
        <f>IF(COUNTBLANK(B435:S435)&lt;&gt;COLUMNS(B435:S435),434,"")</f>
        <v/>
      </c>
      <c r="C435" s="2" t="str">
        <f t="shared" si="66"/>
        <v/>
      </c>
      <c r="D435" s="1" t="str">
        <f t="shared" si="67"/>
        <v/>
      </c>
      <c r="E435" s="1" t="str">
        <f t="shared" si="68"/>
        <v/>
      </c>
      <c r="I435" s="1" t="str">
        <f t="shared" si="69"/>
        <v/>
      </c>
      <c r="J435" s="2" t="str">
        <f t="shared" si="70"/>
        <v/>
      </c>
      <c r="K435" s="1" t="str">
        <f t="shared" si="71"/>
        <v/>
      </c>
      <c r="O435" s="1" t="str">
        <f t="shared" si="72"/>
        <v/>
      </c>
      <c r="P435" s="2" t="str">
        <f t="shared" si="73"/>
        <v/>
      </c>
      <c r="Q435" s="1" t="str">
        <f t="shared" si="74"/>
        <v/>
      </c>
      <c r="R435" s="2" t="str">
        <f t="shared" si="75"/>
        <v/>
      </c>
      <c r="S435" s="1" t="str">
        <f t="shared" si="76"/>
        <v/>
      </c>
    </row>
    <row r="436" spans="1:19" x14ac:dyDescent="0.2">
      <c r="A436" t="str">
        <f>IF(COUNTBLANK(B436:S436)&lt;&gt;COLUMNS(B436:S436),435,"")</f>
        <v/>
      </c>
      <c r="C436" s="2" t="str">
        <f t="shared" si="66"/>
        <v/>
      </c>
      <c r="D436" s="1" t="str">
        <f t="shared" si="67"/>
        <v/>
      </c>
      <c r="E436" s="1" t="str">
        <f t="shared" si="68"/>
        <v/>
      </c>
      <c r="I436" s="1" t="str">
        <f t="shared" si="69"/>
        <v/>
      </c>
      <c r="J436" s="2" t="str">
        <f t="shared" si="70"/>
        <v/>
      </c>
      <c r="K436" s="1" t="str">
        <f t="shared" si="71"/>
        <v/>
      </c>
      <c r="O436" s="1" t="str">
        <f t="shared" si="72"/>
        <v/>
      </c>
      <c r="P436" s="2" t="str">
        <f t="shared" si="73"/>
        <v/>
      </c>
      <c r="Q436" s="1" t="str">
        <f t="shared" si="74"/>
        <v/>
      </c>
      <c r="R436" s="2" t="str">
        <f t="shared" si="75"/>
        <v/>
      </c>
      <c r="S436" s="1" t="str">
        <f t="shared" si="76"/>
        <v/>
      </c>
    </row>
    <row r="437" spans="1:19" x14ac:dyDescent="0.2">
      <c r="A437" t="str">
        <f>IF(COUNTBLANK(B437:S437)&lt;&gt;COLUMNS(B437:S437),436,"")</f>
        <v/>
      </c>
      <c r="C437" s="2" t="str">
        <f t="shared" si="66"/>
        <v/>
      </c>
      <c r="D437" s="1" t="str">
        <f t="shared" si="67"/>
        <v/>
      </c>
      <c r="E437" s="1" t="str">
        <f t="shared" si="68"/>
        <v/>
      </c>
      <c r="I437" s="1" t="str">
        <f t="shared" si="69"/>
        <v/>
      </c>
      <c r="J437" s="2" t="str">
        <f t="shared" si="70"/>
        <v/>
      </c>
      <c r="K437" s="1" t="str">
        <f t="shared" si="71"/>
        <v/>
      </c>
      <c r="O437" s="1" t="str">
        <f t="shared" si="72"/>
        <v/>
      </c>
      <c r="P437" s="2" t="str">
        <f t="shared" si="73"/>
        <v/>
      </c>
      <c r="Q437" s="1" t="str">
        <f t="shared" si="74"/>
        <v/>
      </c>
      <c r="R437" s="2" t="str">
        <f t="shared" si="75"/>
        <v/>
      </c>
      <c r="S437" s="1" t="str">
        <f t="shared" si="76"/>
        <v/>
      </c>
    </row>
    <row r="438" spans="1:19" x14ac:dyDescent="0.2">
      <c r="A438" t="str">
        <f>IF(COUNTBLANK(B438:S438)&lt;&gt;COLUMNS(B438:S438),437,"")</f>
        <v/>
      </c>
      <c r="C438" s="2" t="str">
        <f t="shared" si="66"/>
        <v/>
      </c>
      <c r="D438" s="1" t="str">
        <f t="shared" si="67"/>
        <v/>
      </c>
      <c r="E438" s="1" t="str">
        <f t="shared" si="68"/>
        <v/>
      </c>
      <c r="I438" s="1" t="str">
        <f t="shared" si="69"/>
        <v/>
      </c>
      <c r="J438" s="2" t="str">
        <f t="shared" si="70"/>
        <v/>
      </c>
      <c r="K438" s="1" t="str">
        <f t="shared" si="71"/>
        <v/>
      </c>
      <c r="O438" s="1" t="str">
        <f t="shared" si="72"/>
        <v/>
      </c>
      <c r="P438" s="2" t="str">
        <f t="shared" si="73"/>
        <v/>
      </c>
      <c r="Q438" s="1" t="str">
        <f t="shared" si="74"/>
        <v/>
      </c>
      <c r="R438" s="2" t="str">
        <f t="shared" si="75"/>
        <v/>
      </c>
      <c r="S438" s="1" t="str">
        <f t="shared" si="76"/>
        <v/>
      </c>
    </row>
    <row r="439" spans="1:19" x14ac:dyDescent="0.2">
      <c r="A439" t="str">
        <f>IF(COUNTBLANK(B439:S439)&lt;&gt;COLUMNS(B439:S439),438,"")</f>
        <v/>
      </c>
      <c r="C439" s="2" t="str">
        <f t="shared" si="66"/>
        <v/>
      </c>
      <c r="D439" s="1" t="str">
        <f t="shared" si="67"/>
        <v/>
      </c>
      <c r="E439" s="1" t="str">
        <f t="shared" si="68"/>
        <v/>
      </c>
      <c r="I439" s="1" t="str">
        <f t="shared" si="69"/>
        <v/>
      </c>
      <c r="J439" s="2" t="str">
        <f t="shared" si="70"/>
        <v/>
      </c>
      <c r="K439" s="1" t="str">
        <f t="shared" si="71"/>
        <v/>
      </c>
      <c r="O439" s="1" t="str">
        <f t="shared" si="72"/>
        <v/>
      </c>
      <c r="P439" s="2" t="str">
        <f t="shared" si="73"/>
        <v/>
      </c>
      <c r="Q439" s="1" t="str">
        <f t="shared" si="74"/>
        <v/>
      </c>
      <c r="R439" s="2" t="str">
        <f t="shared" si="75"/>
        <v/>
      </c>
      <c r="S439" s="1" t="str">
        <f t="shared" si="76"/>
        <v/>
      </c>
    </row>
    <row r="440" spans="1:19" x14ac:dyDescent="0.2">
      <c r="A440" t="str">
        <f>IF(COUNTBLANK(B440:S440)&lt;&gt;COLUMNS(B440:S440),439,"")</f>
        <v/>
      </c>
      <c r="C440" s="2" t="str">
        <f t="shared" si="66"/>
        <v/>
      </c>
      <c r="D440" s="1" t="str">
        <f t="shared" si="67"/>
        <v/>
      </c>
      <c r="E440" s="1" t="str">
        <f t="shared" si="68"/>
        <v/>
      </c>
      <c r="I440" s="1" t="str">
        <f t="shared" si="69"/>
        <v/>
      </c>
      <c r="J440" s="2" t="str">
        <f t="shared" si="70"/>
        <v/>
      </c>
      <c r="K440" s="1" t="str">
        <f t="shared" si="71"/>
        <v/>
      </c>
      <c r="O440" s="1" t="str">
        <f t="shared" si="72"/>
        <v/>
      </c>
      <c r="P440" s="2" t="str">
        <f t="shared" si="73"/>
        <v/>
      </c>
      <c r="Q440" s="1" t="str">
        <f t="shared" si="74"/>
        <v/>
      </c>
      <c r="R440" s="2" t="str">
        <f t="shared" si="75"/>
        <v/>
      </c>
      <c r="S440" s="1" t="str">
        <f t="shared" si="76"/>
        <v/>
      </c>
    </row>
    <row r="441" spans="1:19" x14ac:dyDescent="0.2">
      <c r="A441" t="str">
        <f>IF(COUNTBLANK(B441:S441)&lt;&gt;COLUMNS(B441:S441),440,"")</f>
        <v/>
      </c>
      <c r="C441" s="2" t="str">
        <f t="shared" si="66"/>
        <v/>
      </c>
      <c r="D441" s="1" t="str">
        <f t="shared" si="67"/>
        <v/>
      </c>
      <c r="E441" s="1" t="str">
        <f t="shared" si="68"/>
        <v/>
      </c>
      <c r="I441" s="1" t="str">
        <f t="shared" si="69"/>
        <v/>
      </c>
      <c r="J441" s="2" t="str">
        <f t="shared" si="70"/>
        <v/>
      </c>
      <c r="K441" s="1" t="str">
        <f t="shared" si="71"/>
        <v/>
      </c>
      <c r="O441" s="1" t="str">
        <f t="shared" si="72"/>
        <v/>
      </c>
      <c r="P441" s="2" t="str">
        <f t="shared" si="73"/>
        <v/>
      </c>
      <c r="Q441" s="1" t="str">
        <f t="shared" si="74"/>
        <v/>
      </c>
      <c r="R441" s="2" t="str">
        <f t="shared" si="75"/>
        <v/>
      </c>
      <c r="S441" s="1" t="str">
        <f t="shared" si="76"/>
        <v/>
      </c>
    </row>
    <row r="442" spans="1:19" x14ac:dyDescent="0.2">
      <c r="A442" t="str">
        <f>IF(COUNTBLANK(B442:S442)&lt;&gt;COLUMNS(B442:S442),441,"")</f>
        <v/>
      </c>
      <c r="C442" s="2" t="str">
        <f t="shared" si="66"/>
        <v/>
      </c>
      <c r="D442" s="1" t="str">
        <f t="shared" si="67"/>
        <v/>
      </c>
      <c r="E442" s="1" t="str">
        <f t="shared" si="68"/>
        <v/>
      </c>
      <c r="I442" s="1" t="str">
        <f t="shared" si="69"/>
        <v/>
      </c>
      <c r="J442" s="2" t="str">
        <f t="shared" si="70"/>
        <v/>
      </c>
      <c r="K442" s="1" t="str">
        <f t="shared" si="71"/>
        <v/>
      </c>
      <c r="O442" s="1" t="str">
        <f t="shared" si="72"/>
        <v/>
      </c>
      <c r="P442" s="2" t="str">
        <f t="shared" si="73"/>
        <v/>
      </c>
      <c r="Q442" s="1" t="str">
        <f t="shared" si="74"/>
        <v/>
      </c>
      <c r="R442" s="2" t="str">
        <f t="shared" si="75"/>
        <v/>
      </c>
      <c r="S442" s="1" t="str">
        <f t="shared" si="76"/>
        <v/>
      </c>
    </row>
    <row r="443" spans="1:19" x14ac:dyDescent="0.2">
      <c r="A443" t="str">
        <f>IF(COUNTBLANK(B443:S443)&lt;&gt;COLUMNS(B443:S443),442,"")</f>
        <v/>
      </c>
      <c r="C443" s="2" t="str">
        <f t="shared" si="66"/>
        <v/>
      </c>
      <c r="D443" s="1" t="str">
        <f t="shared" si="67"/>
        <v/>
      </c>
      <c r="E443" s="1" t="str">
        <f t="shared" si="68"/>
        <v/>
      </c>
      <c r="I443" s="1" t="str">
        <f t="shared" si="69"/>
        <v/>
      </c>
      <c r="J443" s="2" t="str">
        <f t="shared" si="70"/>
        <v/>
      </c>
      <c r="K443" s="1" t="str">
        <f t="shared" si="71"/>
        <v/>
      </c>
      <c r="O443" s="1" t="str">
        <f t="shared" si="72"/>
        <v/>
      </c>
      <c r="P443" s="2" t="str">
        <f t="shared" si="73"/>
        <v/>
      </c>
      <c r="Q443" s="1" t="str">
        <f t="shared" si="74"/>
        <v/>
      </c>
      <c r="R443" s="2" t="str">
        <f t="shared" si="75"/>
        <v/>
      </c>
      <c r="S443" s="1" t="str">
        <f t="shared" si="76"/>
        <v/>
      </c>
    </row>
    <row r="444" spans="1:19" x14ac:dyDescent="0.2">
      <c r="A444" t="str">
        <f>IF(COUNTBLANK(B444:S444)&lt;&gt;COLUMNS(B444:S444),443,"")</f>
        <v/>
      </c>
      <c r="C444" s="2" t="str">
        <f t="shared" si="66"/>
        <v/>
      </c>
      <c r="D444" s="1" t="str">
        <f t="shared" si="67"/>
        <v/>
      </c>
      <c r="E444" s="1" t="str">
        <f t="shared" si="68"/>
        <v/>
      </c>
      <c r="I444" s="1" t="str">
        <f t="shared" si="69"/>
        <v/>
      </c>
      <c r="J444" s="2" t="str">
        <f t="shared" si="70"/>
        <v/>
      </c>
      <c r="K444" s="1" t="str">
        <f t="shared" si="71"/>
        <v/>
      </c>
      <c r="O444" s="1" t="str">
        <f t="shared" si="72"/>
        <v/>
      </c>
      <c r="P444" s="2" t="str">
        <f t="shared" si="73"/>
        <v/>
      </c>
      <c r="Q444" s="1" t="str">
        <f t="shared" si="74"/>
        <v/>
      </c>
      <c r="R444" s="2" t="str">
        <f t="shared" si="75"/>
        <v/>
      </c>
      <c r="S444" s="1" t="str">
        <f t="shared" si="76"/>
        <v/>
      </c>
    </row>
    <row r="445" spans="1:19" x14ac:dyDescent="0.2">
      <c r="A445" t="str">
        <f>IF(COUNTBLANK(B445:S445)&lt;&gt;COLUMNS(B445:S445),444,"")</f>
        <v/>
      </c>
      <c r="C445" s="2" t="str">
        <f t="shared" si="66"/>
        <v/>
      </c>
      <c r="D445" s="1" t="str">
        <f t="shared" si="67"/>
        <v/>
      </c>
      <c r="E445" s="1" t="str">
        <f t="shared" si="68"/>
        <v/>
      </c>
      <c r="I445" s="1" t="str">
        <f t="shared" si="69"/>
        <v/>
      </c>
      <c r="J445" s="2" t="str">
        <f t="shared" si="70"/>
        <v/>
      </c>
      <c r="K445" s="1" t="str">
        <f t="shared" si="71"/>
        <v/>
      </c>
      <c r="O445" s="1" t="str">
        <f t="shared" si="72"/>
        <v/>
      </c>
      <c r="P445" s="2" t="str">
        <f t="shared" si="73"/>
        <v/>
      </c>
      <c r="Q445" s="1" t="str">
        <f t="shared" si="74"/>
        <v/>
      </c>
      <c r="R445" s="2" t="str">
        <f t="shared" si="75"/>
        <v/>
      </c>
      <c r="S445" s="1" t="str">
        <f t="shared" si="76"/>
        <v/>
      </c>
    </row>
    <row r="446" spans="1:19" x14ac:dyDescent="0.2">
      <c r="A446" t="str">
        <f>IF(COUNTBLANK(B446:S446)&lt;&gt;COLUMNS(B446:S446),445,"")</f>
        <v/>
      </c>
      <c r="C446" s="2" t="str">
        <f t="shared" si="66"/>
        <v/>
      </c>
      <c r="D446" s="1" t="str">
        <f t="shared" si="67"/>
        <v/>
      </c>
      <c r="E446" s="1" t="str">
        <f t="shared" si="68"/>
        <v/>
      </c>
      <c r="I446" s="1" t="str">
        <f t="shared" si="69"/>
        <v/>
      </c>
      <c r="J446" s="2" t="str">
        <f t="shared" si="70"/>
        <v/>
      </c>
      <c r="K446" s="1" t="str">
        <f t="shared" si="71"/>
        <v/>
      </c>
      <c r="O446" s="1" t="str">
        <f t="shared" si="72"/>
        <v/>
      </c>
      <c r="P446" s="2" t="str">
        <f t="shared" si="73"/>
        <v/>
      </c>
      <c r="Q446" s="1" t="str">
        <f t="shared" si="74"/>
        <v/>
      </c>
      <c r="R446" s="2" t="str">
        <f t="shared" si="75"/>
        <v/>
      </c>
      <c r="S446" s="1" t="str">
        <f t="shared" si="76"/>
        <v/>
      </c>
    </row>
    <row r="447" spans="1:19" x14ac:dyDescent="0.2">
      <c r="A447" t="str">
        <f>IF(COUNTBLANK(B447:S447)&lt;&gt;COLUMNS(B447:S447),446,"")</f>
        <v/>
      </c>
      <c r="C447" s="2" t="str">
        <f t="shared" si="66"/>
        <v/>
      </c>
      <c r="D447" s="1" t="str">
        <f t="shared" si="67"/>
        <v/>
      </c>
      <c r="E447" s="1" t="str">
        <f t="shared" si="68"/>
        <v/>
      </c>
      <c r="I447" s="1" t="str">
        <f t="shared" si="69"/>
        <v/>
      </c>
      <c r="J447" s="2" t="str">
        <f t="shared" si="70"/>
        <v/>
      </c>
      <c r="K447" s="1" t="str">
        <f t="shared" si="71"/>
        <v/>
      </c>
      <c r="O447" s="1" t="str">
        <f t="shared" si="72"/>
        <v/>
      </c>
      <c r="P447" s="2" t="str">
        <f t="shared" si="73"/>
        <v/>
      </c>
      <c r="Q447" s="1" t="str">
        <f t="shared" si="74"/>
        <v/>
      </c>
      <c r="R447" s="2" t="str">
        <f t="shared" si="75"/>
        <v/>
      </c>
      <c r="S447" s="1" t="str">
        <f t="shared" si="76"/>
        <v/>
      </c>
    </row>
    <row r="448" spans="1:19" x14ac:dyDescent="0.2">
      <c r="A448" t="str">
        <f>IF(COUNTBLANK(B448:S448)&lt;&gt;COLUMNS(B448:S448),447,"")</f>
        <v/>
      </c>
      <c r="C448" s="2" t="str">
        <f t="shared" si="66"/>
        <v/>
      </c>
      <c r="D448" s="1" t="str">
        <f t="shared" si="67"/>
        <v/>
      </c>
      <c r="E448" s="1" t="str">
        <f t="shared" si="68"/>
        <v/>
      </c>
      <c r="I448" s="1" t="str">
        <f t="shared" si="69"/>
        <v/>
      </c>
      <c r="J448" s="2" t="str">
        <f t="shared" si="70"/>
        <v/>
      </c>
      <c r="K448" s="1" t="str">
        <f t="shared" si="71"/>
        <v/>
      </c>
      <c r="O448" s="1" t="str">
        <f t="shared" si="72"/>
        <v/>
      </c>
      <c r="P448" s="2" t="str">
        <f t="shared" si="73"/>
        <v/>
      </c>
      <c r="Q448" s="1" t="str">
        <f t="shared" si="74"/>
        <v/>
      </c>
      <c r="R448" s="2" t="str">
        <f t="shared" si="75"/>
        <v/>
      </c>
      <c r="S448" s="1" t="str">
        <f t="shared" si="76"/>
        <v/>
      </c>
    </row>
    <row r="449" spans="1:19" x14ac:dyDescent="0.2">
      <c r="A449" t="str">
        <f>IF(COUNTBLANK(B449:S449)&lt;&gt;COLUMNS(B449:S449),448,"")</f>
        <v/>
      </c>
      <c r="C449" s="2" t="str">
        <f t="shared" si="66"/>
        <v/>
      </c>
      <c r="D449" s="1" t="str">
        <f t="shared" si="67"/>
        <v/>
      </c>
      <c r="E449" s="1" t="str">
        <f t="shared" si="68"/>
        <v/>
      </c>
      <c r="I449" s="1" t="str">
        <f t="shared" si="69"/>
        <v/>
      </c>
      <c r="J449" s="2" t="str">
        <f t="shared" si="70"/>
        <v/>
      </c>
      <c r="K449" s="1" t="str">
        <f t="shared" si="71"/>
        <v/>
      </c>
      <c r="O449" s="1" t="str">
        <f t="shared" si="72"/>
        <v/>
      </c>
      <c r="P449" s="2" t="str">
        <f t="shared" si="73"/>
        <v/>
      </c>
      <c r="Q449" s="1" t="str">
        <f t="shared" si="74"/>
        <v/>
      </c>
      <c r="R449" s="2" t="str">
        <f t="shared" si="75"/>
        <v/>
      </c>
      <c r="S449" s="1" t="str">
        <f t="shared" si="76"/>
        <v/>
      </c>
    </row>
    <row r="450" spans="1:19" x14ac:dyDescent="0.2">
      <c r="A450" t="str">
        <f>IF(COUNTBLANK(B450:S450)&lt;&gt;COLUMNS(B450:S450),449,"")</f>
        <v/>
      </c>
      <c r="C450" s="2" t="str">
        <f t="shared" ref="C450:C513" si="77">IF(B450="", "", "missing: not provided")</f>
        <v/>
      </c>
      <c r="D450" s="1" t="str">
        <f t="shared" ref="D450:D513" si="78">IF(B450="", "", " missing: not provided")</f>
        <v/>
      </c>
      <c r="E450" s="1" t="str">
        <f t="shared" ref="E450:E513" si="79">IF(B450="", "", "Host-associated")</f>
        <v/>
      </c>
      <c r="I450" s="1" t="str">
        <f t="shared" ref="I450:I513" si="80">IF(B450="", "", "host-associated")</f>
        <v/>
      </c>
      <c r="J450" s="2" t="str">
        <f t="shared" ref="J450:J513" si="81">IF(B450="", "", "missing: not provided")</f>
        <v/>
      </c>
      <c r="K450" s="1" t="str">
        <f t="shared" ref="K450:K513" si="82">IF(B450="", "", " missing: not provided")</f>
        <v/>
      </c>
      <c r="O450" s="1" t="str">
        <f t="shared" ref="O450:O513" si="83">IF(B450="", "", "Not applicable")</f>
        <v/>
      </c>
      <c r="P450" s="2" t="str">
        <f t="shared" ref="P450:P513" si="84">IF(B450="", "", "missing: not provided")</f>
        <v/>
      </c>
      <c r="Q450" s="1" t="str">
        <f t="shared" ref="Q450:Q513" si="85">IF(B450="", "", "Not applicable")</f>
        <v/>
      </c>
      <c r="R450" s="2" t="str">
        <f t="shared" ref="R450:R513" si="86">IF(B450="", "", "missing: not provided")</f>
        <v/>
      </c>
      <c r="S450" s="1" t="str">
        <f t="shared" ref="S450:S513" si="87">IF(B450="", "", " missing: not provided")</f>
        <v/>
      </c>
    </row>
    <row r="451" spans="1:19" x14ac:dyDescent="0.2">
      <c r="A451" t="str">
        <f>IF(COUNTBLANK(B451:S451)&lt;&gt;COLUMNS(B451:S451),450,"")</f>
        <v/>
      </c>
      <c r="C451" s="2" t="str">
        <f t="shared" si="77"/>
        <v/>
      </c>
      <c r="D451" s="1" t="str">
        <f t="shared" si="78"/>
        <v/>
      </c>
      <c r="E451" s="1" t="str">
        <f t="shared" si="79"/>
        <v/>
      </c>
      <c r="I451" s="1" t="str">
        <f t="shared" si="80"/>
        <v/>
      </c>
      <c r="J451" s="2" t="str">
        <f t="shared" si="81"/>
        <v/>
      </c>
      <c r="K451" s="1" t="str">
        <f t="shared" si="82"/>
        <v/>
      </c>
      <c r="O451" s="1" t="str">
        <f t="shared" si="83"/>
        <v/>
      </c>
      <c r="P451" s="2" t="str">
        <f t="shared" si="84"/>
        <v/>
      </c>
      <c r="Q451" s="1" t="str">
        <f t="shared" si="85"/>
        <v/>
      </c>
      <c r="R451" s="2" t="str">
        <f t="shared" si="86"/>
        <v/>
      </c>
      <c r="S451" s="1" t="str">
        <f t="shared" si="87"/>
        <v/>
      </c>
    </row>
    <row r="452" spans="1:19" x14ac:dyDescent="0.2">
      <c r="A452" t="str">
        <f>IF(COUNTBLANK(B452:S452)&lt;&gt;COLUMNS(B452:S452),451,"")</f>
        <v/>
      </c>
      <c r="C452" s="2" t="str">
        <f t="shared" si="77"/>
        <v/>
      </c>
      <c r="D452" s="1" t="str">
        <f t="shared" si="78"/>
        <v/>
      </c>
      <c r="E452" s="1" t="str">
        <f t="shared" si="79"/>
        <v/>
      </c>
      <c r="I452" s="1" t="str">
        <f t="shared" si="80"/>
        <v/>
      </c>
      <c r="J452" s="2" t="str">
        <f t="shared" si="81"/>
        <v/>
      </c>
      <c r="K452" s="1" t="str">
        <f t="shared" si="82"/>
        <v/>
      </c>
      <c r="O452" s="1" t="str">
        <f t="shared" si="83"/>
        <v/>
      </c>
      <c r="P452" s="2" t="str">
        <f t="shared" si="84"/>
        <v/>
      </c>
      <c r="Q452" s="1" t="str">
        <f t="shared" si="85"/>
        <v/>
      </c>
      <c r="R452" s="2" t="str">
        <f t="shared" si="86"/>
        <v/>
      </c>
      <c r="S452" s="1" t="str">
        <f t="shared" si="87"/>
        <v/>
      </c>
    </row>
    <row r="453" spans="1:19" x14ac:dyDescent="0.2">
      <c r="A453" t="str">
        <f>IF(COUNTBLANK(B453:S453)&lt;&gt;COLUMNS(B453:S453),452,"")</f>
        <v/>
      </c>
      <c r="C453" s="2" t="str">
        <f t="shared" si="77"/>
        <v/>
      </c>
      <c r="D453" s="1" t="str">
        <f t="shared" si="78"/>
        <v/>
      </c>
      <c r="E453" s="1" t="str">
        <f t="shared" si="79"/>
        <v/>
      </c>
      <c r="I453" s="1" t="str">
        <f t="shared" si="80"/>
        <v/>
      </c>
      <c r="J453" s="2" t="str">
        <f t="shared" si="81"/>
        <v/>
      </c>
      <c r="K453" s="1" t="str">
        <f t="shared" si="82"/>
        <v/>
      </c>
      <c r="O453" s="1" t="str">
        <f t="shared" si="83"/>
        <v/>
      </c>
      <c r="P453" s="2" t="str">
        <f t="shared" si="84"/>
        <v/>
      </c>
      <c r="Q453" s="1" t="str">
        <f t="shared" si="85"/>
        <v/>
      </c>
      <c r="R453" s="2" t="str">
        <f t="shared" si="86"/>
        <v/>
      </c>
      <c r="S453" s="1" t="str">
        <f t="shared" si="87"/>
        <v/>
      </c>
    </row>
    <row r="454" spans="1:19" x14ac:dyDescent="0.2">
      <c r="A454" t="str">
        <f>IF(COUNTBLANK(B454:S454)&lt;&gt;COLUMNS(B454:S454),453,"")</f>
        <v/>
      </c>
      <c r="C454" s="2" t="str">
        <f t="shared" si="77"/>
        <v/>
      </c>
      <c r="D454" s="1" t="str">
        <f t="shared" si="78"/>
        <v/>
      </c>
      <c r="E454" s="1" t="str">
        <f t="shared" si="79"/>
        <v/>
      </c>
      <c r="I454" s="1" t="str">
        <f t="shared" si="80"/>
        <v/>
      </c>
      <c r="J454" s="2" t="str">
        <f t="shared" si="81"/>
        <v/>
      </c>
      <c r="K454" s="1" t="str">
        <f t="shared" si="82"/>
        <v/>
      </c>
      <c r="O454" s="1" t="str">
        <f t="shared" si="83"/>
        <v/>
      </c>
      <c r="P454" s="2" t="str">
        <f t="shared" si="84"/>
        <v/>
      </c>
      <c r="Q454" s="1" t="str">
        <f t="shared" si="85"/>
        <v/>
      </c>
      <c r="R454" s="2" t="str">
        <f t="shared" si="86"/>
        <v/>
      </c>
      <c r="S454" s="1" t="str">
        <f t="shared" si="87"/>
        <v/>
      </c>
    </row>
    <row r="455" spans="1:19" x14ac:dyDescent="0.2">
      <c r="A455" t="str">
        <f>IF(COUNTBLANK(B455:S455)&lt;&gt;COLUMNS(B455:S455),454,"")</f>
        <v/>
      </c>
      <c r="C455" s="2" t="str">
        <f t="shared" si="77"/>
        <v/>
      </c>
      <c r="D455" s="1" t="str">
        <f t="shared" si="78"/>
        <v/>
      </c>
      <c r="E455" s="1" t="str">
        <f t="shared" si="79"/>
        <v/>
      </c>
      <c r="I455" s="1" t="str">
        <f t="shared" si="80"/>
        <v/>
      </c>
      <c r="J455" s="2" t="str">
        <f t="shared" si="81"/>
        <v/>
      </c>
      <c r="K455" s="1" t="str">
        <f t="shared" si="82"/>
        <v/>
      </c>
      <c r="O455" s="1" t="str">
        <f t="shared" si="83"/>
        <v/>
      </c>
      <c r="P455" s="2" t="str">
        <f t="shared" si="84"/>
        <v/>
      </c>
      <c r="Q455" s="1" t="str">
        <f t="shared" si="85"/>
        <v/>
      </c>
      <c r="R455" s="2" t="str">
        <f t="shared" si="86"/>
        <v/>
      </c>
      <c r="S455" s="1" t="str">
        <f t="shared" si="87"/>
        <v/>
      </c>
    </row>
    <row r="456" spans="1:19" x14ac:dyDescent="0.2">
      <c r="A456" t="str">
        <f>IF(COUNTBLANK(B456:S456)&lt;&gt;COLUMNS(B456:S456),455,"")</f>
        <v/>
      </c>
      <c r="C456" s="2" t="str">
        <f t="shared" si="77"/>
        <v/>
      </c>
      <c r="D456" s="1" t="str">
        <f t="shared" si="78"/>
        <v/>
      </c>
      <c r="E456" s="1" t="str">
        <f t="shared" si="79"/>
        <v/>
      </c>
      <c r="I456" s="1" t="str">
        <f t="shared" si="80"/>
        <v/>
      </c>
      <c r="J456" s="2" t="str">
        <f t="shared" si="81"/>
        <v/>
      </c>
      <c r="K456" s="1" t="str">
        <f t="shared" si="82"/>
        <v/>
      </c>
      <c r="O456" s="1" t="str">
        <f t="shared" si="83"/>
        <v/>
      </c>
      <c r="P456" s="2" t="str">
        <f t="shared" si="84"/>
        <v/>
      </c>
      <c r="Q456" s="1" t="str">
        <f t="shared" si="85"/>
        <v/>
      </c>
      <c r="R456" s="2" t="str">
        <f t="shared" si="86"/>
        <v/>
      </c>
      <c r="S456" s="1" t="str">
        <f t="shared" si="87"/>
        <v/>
      </c>
    </row>
    <row r="457" spans="1:19" x14ac:dyDescent="0.2">
      <c r="A457" t="str">
        <f>IF(COUNTBLANK(B457:S457)&lt;&gt;COLUMNS(B457:S457),456,"")</f>
        <v/>
      </c>
      <c r="C457" s="2" t="str">
        <f t="shared" si="77"/>
        <v/>
      </c>
      <c r="D457" s="1" t="str">
        <f t="shared" si="78"/>
        <v/>
      </c>
      <c r="E457" s="1" t="str">
        <f t="shared" si="79"/>
        <v/>
      </c>
      <c r="I457" s="1" t="str">
        <f t="shared" si="80"/>
        <v/>
      </c>
      <c r="J457" s="2" t="str">
        <f t="shared" si="81"/>
        <v/>
      </c>
      <c r="K457" s="1" t="str">
        <f t="shared" si="82"/>
        <v/>
      </c>
      <c r="O457" s="1" t="str">
        <f t="shared" si="83"/>
        <v/>
      </c>
      <c r="P457" s="2" t="str">
        <f t="shared" si="84"/>
        <v/>
      </c>
      <c r="Q457" s="1" t="str">
        <f t="shared" si="85"/>
        <v/>
      </c>
      <c r="R457" s="2" t="str">
        <f t="shared" si="86"/>
        <v/>
      </c>
      <c r="S457" s="1" t="str">
        <f t="shared" si="87"/>
        <v/>
      </c>
    </row>
    <row r="458" spans="1:19" x14ac:dyDescent="0.2">
      <c r="A458" t="str">
        <f>IF(COUNTBLANK(B458:S458)&lt;&gt;COLUMNS(B458:S458),457,"")</f>
        <v/>
      </c>
      <c r="C458" s="2" t="str">
        <f t="shared" si="77"/>
        <v/>
      </c>
      <c r="D458" s="1" t="str">
        <f t="shared" si="78"/>
        <v/>
      </c>
      <c r="E458" s="1" t="str">
        <f t="shared" si="79"/>
        <v/>
      </c>
      <c r="I458" s="1" t="str">
        <f t="shared" si="80"/>
        <v/>
      </c>
      <c r="J458" s="2" t="str">
        <f t="shared" si="81"/>
        <v/>
      </c>
      <c r="K458" s="1" t="str">
        <f t="shared" si="82"/>
        <v/>
      </c>
      <c r="O458" s="1" t="str">
        <f t="shared" si="83"/>
        <v/>
      </c>
      <c r="P458" s="2" t="str">
        <f t="shared" si="84"/>
        <v/>
      </c>
      <c r="Q458" s="1" t="str">
        <f t="shared" si="85"/>
        <v/>
      </c>
      <c r="R458" s="2" t="str">
        <f t="shared" si="86"/>
        <v/>
      </c>
      <c r="S458" s="1" t="str">
        <f t="shared" si="87"/>
        <v/>
      </c>
    </row>
    <row r="459" spans="1:19" x14ac:dyDescent="0.2">
      <c r="A459" t="str">
        <f>IF(COUNTBLANK(B459:S459)&lt;&gt;COLUMNS(B459:S459),458,"")</f>
        <v/>
      </c>
      <c r="C459" s="2" t="str">
        <f t="shared" si="77"/>
        <v/>
      </c>
      <c r="D459" s="1" t="str">
        <f t="shared" si="78"/>
        <v/>
      </c>
      <c r="E459" s="1" t="str">
        <f t="shared" si="79"/>
        <v/>
      </c>
      <c r="I459" s="1" t="str">
        <f t="shared" si="80"/>
        <v/>
      </c>
      <c r="J459" s="2" t="str">
        <f t="shared" si="81"/>
        <v/>
      </c>
      <c r="K459" s="1" t="str">
        <f t="shared" si="82"/>
        <v/>
      </c>
      <c r="O459" s="1" t="str">
        <f t="shared" si="83"/>
        <v/>
      </c>
      <c r="P459" s="2" t="str">
        <f t="shared" si="84"/>
        <v/>
      </c>
      <c r="Q459" s="1" t="str">
        <f t="shared" si="85"/>
        <v/>
      </c>
      <c r="R459" s="2" t="str">
        <f t="shared" si="86"/>
        <v/>
      </c>
      <c r="S459" s="1" t="str">
        <f t="shared" si="87"/>
        <v/>
      </c>
    </row>
    <row r="460" spans="1:19" x14ac:dyDescent="0.2">
      <c r="A460" t="str">
        <f>IF(COUNTBLANK(B460:S460)&lt;&gt;COLUMNS(B460:S460),459,"")</f>
        <v/>
      </c>
      <c r="C460" s="2" t="str">
        <f t="shared" si="77"/>
        <v/>
      </c>
      <c r="D460" s="1" t="str">
        <f t="shared" si="78"/>
        <v/>
      </c>
      <c r="E460" s="1" t="str">
        <f t="shared" si="79"/>
        <v/>
      </c>
      <c r="I460" s="1" t="str">
        <f t="shared" si="80"/>
        <v/>
      </c>
      <c r="J460" s="2" t="str">
        <f t="shared" si="81"/>
        <v/>
      </c>
      <c r="K460" s="1" t="str">
        <f t="shared" si="82"/>
        <v/>
      </c>
      <c r="O460" s="1" t="str">
        <f t="shared" si="83"/>
        <v/>
      </c>
      <c r="P460" s="2" t="str">
        <f t="shared" si="84"/>
        <v/>
      </c>
      <c r="Q460" s="1" t="str">
        <f t="shared" si="85"/>
        <v/>
      </c>
      <c r="R460" s="2" t="str">
        <f t="shared" si="86"/>
        <v/>
      </c>
      <c r="S460" s="1" t="str">
        <f t="shared" si="87"/>
        <v/>
      </c>
    </row>
    <row r="461" spans="1:19" x14ac:dyDescent="0.2">
      <c r="A461" t="str">
        <f>IF(COUNTBLANK(B461:S461)&lt;&gt;COLUMNS(B461:S461),460,"")</f>
        <v/>
      </c>
      <c r="C461" s="2" t="str">
        <f t="shared" si="77"/>
        <v/>
      </c>
      <c r="D461" s="1" t="str">
        <f t="shared" si="78"/>
        <v/>
      </c>
      <c r="E461" s="1" t="str">
        <f t="shared" si="79"/>
        <v/>
      </c>
      <c r="I461" s="1" t="str">
        <f t="shared" si="80"/>
        <v/>
      </c>
      <c r="J461" s="2" t="str">
        <f t="shared" si="81"/>
        <v/>
      </c>
      <c r="K461" s="1" t="str">
        <f t="shared" si="82"/>
        <v/>
      </c>
      <c r="O461" s="1" t="str">
        <f t="shared" si="83"/>
        <v/>
      </c>
      <c r="P461" s="2" t="str">
        <f t="shared" si="84"/>
        <v/>
      </c>
      <c r="Q461" s="1" t="str">
        <f t="shared" si="85"/>
        <v/>
      </c>
      <c r="R461" s="2" t="str">
        <f t="shared" si="86"/>
        <v/>
      </c>
      <c r="S461" s="1" t="str">
        <f t="shared" si="87"/>
        <v/>
      </c>
    </row>
    <row r="462" spans="1:19" x14ac:dyDescent="0.2">
      <c r="A462" t="str">
        <f>IF(COUNTBLANK(B462:S462)&lt;&gt;COLUMNS(B462:S462),461,"")</f>
        <v/>
      </c>
      <c r="C462" s="2" t="str">
        <f t="shared" si="77"/>
        <v/>
      </c>
      <c r="D462" s="1" t="str">
        <f t="shared" si="78"/>
        <v/>
      </c>
      <c r="E462" s="1" t="str">
        <f t="shared" si="79"/>
        <v/>
      </c>
      <c r="I462" s="1" t="str">
        <f t="shared" si="80"/>
        <v/>
      </c>
      <c r="J462" s="2" t="str">
        <f t="shared" si="81"/>
        <v/>
      </c>
      <c r="K462" s="1" t="str">
        <f t="shared" si="82"/>
        <v/>
      </c>
      <c r="O462" s="1" t="str">
        <f t="shared" si="83"/>
        <v/>
      </c>
      <c r="P462" s="2" t="str">
        <f t="shared" si="84"/>
        <v/>
      </c>
      <c r="Q462" s="1" t="str">
        <f t="shared" si="85"/>
        <v/>
      </c>
      <c r="R462" s="2" t="str">
        <f t="shared" si="86"/>
        <v/>
      </c>
      <c r="S462" s="1" t="str">
        <f t="shared" si="87"/>
        <v/>
      </c>
    </row>
    <row r="463" spans="1:19" x14ac:dyDescent="0.2">
      <c r="A463" t="str">
        <f>IF(COUNTBLANK(B463:S463)&lt;&gt;COLUMNS(B463:S463),462,"")</f>
        <v/>
      </c>
      <c r="C463" s="2" t="str">
        <f t="shared" si="77"/>
        <v/>
      </c>
      <c r="D463" s="1" t="str">
        <f t="shared" si="78"/>
        <v/>
      </c>
      <c r="E463" s="1" t="str">
        <f t="shared" si="79"/>
        <v/>
      </c>
      <c r="I463" s="1" t="str">
        <f t="shared" si="80"/>
        <v/>
      </c>
      <c r="J463" s="2" t="str">
        <f t="shared" si="81"/>
        <v/>
      </c>
      <c r="K463" s="1" t="str">
        <f t="shared" si="82"/>
        <v/>
      </c>
      <c r="O463" s="1" t="str">
        <f t="shared" si="83"/>
        <v/>
      </c>
      <c r="P463" s="2" t="str">
        <f t="shared" si="84"/>
        <v/>
      </c>
      <c r="Q463" s="1" t="str">
        <f t="shared" si="85"/>
        <v/>
      </c>
      <c r="R463" s="2" t="str">
        <f t="shared" si="86"/>
        <v/>
      </c>
      <c r="S463" s="1" t="str">
        <f t="shared" si="87"/>
        <v/>
      </c>
    </row>
    <row r="464" spans="1:19" x14ac:dyDescent="0.2">
      <c r="A464" t="str">
        <f>IF(COUNTBLANK(B464:S464)&lt;&gt;COLUMNS(B464:S464),463,"")</f>
        <v/>
      </c>
      <c r="C464" s="2" t="str">
        <f t="shared" si="77"/>
        <v/>
      </c>
      <c r="D464" s="1" t="str">
        <f t="shared" si="78"/>
        <v/>
      </c>
      <c r="E464" s="1" t="str">
        <f t="shared" si="79"/>
        <v/>
      </c>
      <c r="I464" s="1" t="str">
        <f t="shared" si="80"/>
        <v/>
      </c>
      <c r="J464" s="2" t="str">
        <f t="shared" si="81"/>
        <v/>
      </c>
      <c r="K464" s="1" t="str">
        <f t="shared" si="82"/>
        <v/>
      </c>
      <c r="O464" s="1" t="str">
        <f t="shared" si="83"/>
        <v/>
      </c>
      <c r="P464" s="2" t="str">
        <f t="shared" si="84"/>
        <v/>
      </c>
      <c r="Q464" s="1" t="str">
        <f t="shared" si="85"/>
        <v/>
      </c>
      <c r="R464" s="2" t="str">
        <f t="shared" si="86"/>
        <v/>
      </c>
      <c r="S464" s="1" t="str">
        <f t="shared" si="87"/>
        <v/>
      </c>
    </row>
    <row r="465" spans="1:19" x14ac:dyDescent="0.2">
      <c r="A465" t="str">
        <f>IF(COUNTBLANK(B465:S465)&lt;&gt;COLUMNS(B465:S465),464,"")</f>
        <v/>
      </c>
      <c r="C465" s="2" t="str">
        <f t="shared" si="77"/>
        <v/>
      </c>
      <c r="D465" s="1" t="str">
        <f t="shared" si="78"/>
        <v/>
      </c>
      <c r="E465" s="1" t="str">
        <f t="shared" si="79"/>
        <v/>
      </c>
      <c r="I465" s="1" t="str">
        <f t="shared" si="80"/>
        <v/>
      </c>
      <c r="J465" s="2" t="str">
        <f t="shared" si="81"/>
        <v/>
      </c>
      <c r="K465" s="1" t="str">
        <f t="shared" si="82"/>
        <v/>
      </c>
      <c r="O465" s="1" t="str">
        <f t="shared" si="83"/>
        <v/>
      </c>
      <c r="P465" s="2" t="str">
        <f t="shared" si="84"/>
        <v/>
      </c>
      <c r="Q465" s="1" t="str">
        <f t="shared" si="85"/>
        <v/>
      </c>
      <c r="R465" s="2" t="str">
        <f t="shared" si="86"/>
        <v/>
      </c>
      <c r="S465" s="1" t="str">
        <f t="shared" si="87"/>
        <v/>
      </c>
    </row>
    <row r="466" spans="1:19" x14ac:dyDescent="0.2">
      <c r="A466" t="str">
        <f>IF(COUNTBLANK(B466:S466)&lt;&gt;COLUMNS(B466:S466),465,"")</f>
        <v/>
      </c>
      <c r="C466" s="2" t="str">
        <f t="shared" si="77"/>
        <v/>
      </c>
      <c r="D466" s="1" t="str">
        <f t="shared" si="78"/>
        <v/>
      </c>
      <c r="E466" s="1" t="str">
        <f t="shared" si="79"/>
        <v/>
      </c>
      <c r="I466" s="1" t="str">
        <f t="shared" si="80"/>
        <v/>
      </c>
      <c r="J466" s="2" t="str">
        <f t="shared" si="81"/>
        <v/>
      </c>
      <c r="K466" s="1" t="str">
        <f t="shared" si="82"/>
        <v/>
      </c>
      <c r="O466" s="1" t="str">
        <f t="shared" si="83"/>
        <v/>
      </c>
      <c r="P466" s="2" t="str">
        <f t="shared" si="84"/>
        <v/>
      </c>
      <c r="Q466" s="1" t="str">
        <f t="shared" si="85"/>
        <v/>
      </c>
      <c r="R466" s="2" t="str">
        <f t="shared" si="86"/>
        <v/>
      </c>
      <c r="S466" s="1" t="str">
        <f t="shared" si="87"/>
        <v/>
      </c>
    </row>
    <row r="467" spans="1:19" x14ac:dyDescent="0.2">
      <c r="A467" t="str">
        <f>IF(COUNTBLANK(B467:S467)&lt;&gt;COLUMNS(B467:S467),466,"")</f>
        <v/>
      </c>
      <c r="C467" s="2" t="str">
        <f t="shared" si="77"/>
        <v/>
      </c>
      <c r="D467" s="1" t="str">
        <f t="shared" si="78"/>
        <v/>
      </c>
      <c r="E467" s="1" t="str">
        <f t="shared" si="79"/>
        <v/>
      </c>
      <c r="I467" s="1" t="str">
        <f t="shared" si="80"/>
        <v/>
      </c>
      <c r="J467" s="2" t="str">
        <f t="shared" si="81"/>
        <v/>
      </c>
      <c r="K467" s="1" t="str">
        <f t="shared" si="82"/>
        <v/>
      </c>
      <c r="O467" s="1" t="str">
        <f t="shared" si="83"/>
        <v/>
      </c>
      <c r="P467" s="2" t="str">
        <f t="shared" si="84"/>
        <v/>
      </c>
      <c r="Q467" s="1" t="str">
        <f t="shared" si="85"/>
        <v/>
      </c>
      <c r="R467" s="2" t="str">
        <f t="shared" si="86"/>
        <v/>
      </c>
      <c r="S467" s="1" t="str">
        <f t="shared" si="87"/>
        <v/>
      </c>
    </row>
    <row r="468" spans="1:19" x14ac:dyDescent="0.2">
      <c r="A468" t="str">
        <f>IF(COUNTBLANK(B468:S468)&lt;&gt;COLUMNS(B468:S468),467,"")</f>
        <v/>
      </c>
      <c r="C468" s="2" t="str">
        <f t="shared" si="77"/>
        <v/>
      </c>
      <c r="D468" s="1" t="str">
        <f t="shared" si="78"/>
        <v/>
      </c>
      <c r="E468" s="1" t="str">
        <f t="shared" si="79"/>
        <v/>
      </c>
      <c r="I468" s="1" t="str">
        <f t="shared" si="80"/>
        <v/>
      </c>
      <c r="J468" s="2" t="str">
        <f t="shared" si="81"/>
        <v/>
      </c>
      <c r="K468" s="1" t="str">
        <f t="shared" si="82"/>
        <v/>
      </c>
      <c r="O468" s="1" t="str">
        <f t="shared" si="83"/>
        <v/>
      </c>
      <c r="P468" s="2" t="str">
        <f t="shared" si="84"/>
        <v/>
      </c>
      <c r="Q468" s="1" t="str">
        <f t="shared" si="85"/>
        <v/>
      </c>
      <c r="R468" s="2" t="str">
        <f t="shared" si="86"/>
        <v/>
      </c>
      <c r="S468" s="1" t="str">
        <f t="shared" si="87"/>
        <v/>
      </c>
    </row>
    <row r="469" spans="1:19" x14ac:dyDescent="0.2">
      <c r="A469" t="str">
        <f>IF(COUNTBLANK(B469:S469)&lt;&gt;COLUMNS(B469:S469),468,"")</f>
        <v/>
      </c>
      <c r="C469" s="2" t="str">
        <f t="shared" si="77"/>
        <v/>
      </c>
      <c r="D469" s="1" t="str">
        <f t="shared" si="78"/>
        <v/>
      </c>
      <c r="E469" s="1" t="str">
        <f t="shared" si="79"/>
        <v/>
      </c>
      <c r="I469" s="1" t="str">
        <f t="shared" si="80"/>
        <v/>
      </c>
      <c r="J469" s="2" t="str">
        <f t="shared" si="81"/>
        <v/>
      </c>
      <c r="K469" s="1" t="str">
        <f t="shared" si="82"/>
        <v/>
      </c>
      <c r="O469" s="1" t="str">
        <f t="shared" si="83"/>
        <v/>
      </c>
      <c r="P469" s="2" t="str">
        <f t="shared" si="84"/>
        <v/>
      </c>
      <c r="Q469" s="1" t="str">
        <f t="shared" si="85"/>
        <v/>
      </c>
      <c r="R469" s="2" t="str">
        <f t="shared" si="86"/>
        <v/>
      </c>
      <c r="S469" s="1" t="str">
        <f t="shared" si="87"/>
        <v/>
      </c>
    </row>
    <row r="470" spans="1:19" x14ac:dyDescent="0.2">
      <c r="A470" t="str">
        <f>IF(COUNTBLANK(B470:S470)&lt;&gt;COLUMNS(B470:S470),469,"")</f>
        <v/>
      </c>
      <c r="C470" s="2" t="str">
        <f t="shared" si="77"/>
        <v/>
      </c>
      <c r="D470" s="1" t="str">
        <f t="shared" si="78"/>
        <v/>
      </c>
      <c r="E470" s="1" t="str">
        <f t="shared" si="79"/>
        <v/>
      </c>
      <c r="I470" s="1" t="str">
        <f t="shared" si="80"/>
        <v/>
      </c>
      <c r="J470" s="2" t="str">
        <f t="shared" si="81"/>
        <v/>
      </c>
      <c r="K470" s="1" t="str">
        <f t="shared" si="82"/>
        <v/>
      </c>
      <c r="O470" s="1" t="str">
        <f t="shared" si="83"/>
        <v/>
      </c>
      <c r="P470" s="2" t="str">
        <f t="shared" si="84"/>
        <v/>
      </c>
      <c r="Q470" s="1" t="str">
        <f t="shared" si="85"/>
        <v/>
      </c>
      <c r="R470" s="2" t="str">
        <f t="shared" si="86"/>
        <v/>
      </c>
      <c r="S470" s="1" t="str">
        <f t="shared" si="87"/>
        <v/>
      </c>
    </row>
    <row r="471" spans="1:19" x14ac:dyDescent="0.2">
      <c r="A471" t="str">
        <f>IF(COUNTBLANK(B471:S471)&lt;&gt;COLUMNS(B471:S471),470,"")</f>
        <v/>
      </c>
      <c r="C471" s="2" t="str">
        <f t="shared" si="77"/>
        <v/>
      </c>
      <c r="D471" s="1" t="str">
        <f t="shared" si="78"/>
        <v/>
      </c>
      <c r="E471" s="1" t="str">
        <f t="shared" si="79"/>
        <v/>
      </c>
      <c r="I471" s="1" t="str">
        <f t="shared" si="80"/>
        <v/>
      </c>
      <c r="J471" s="2" t="str">
        <f t="shared" si="81"/>
        <v/>
      </c>
      <c r="K471" s="1" t="str">
        <f t="shared" si="82"/>
        <v/>
      </c>
      <c r="O471" s="1" t="str">
        <f t="shared" si="83"/>
        <v/>
      </c>
      <c r="P471" s="2" t="str">
        <f t="shared" si="84"/>
        <v/>
      </c>
      <c r="Q471" s="1" t="str">
        <f t="shared" si="85"/>
        <v/>
      </c>
      <c r="R471" s="2" t="str">
        <f t="shared" si="86"/>
        <v/>
      </c>
      <c r="S471" s="1" t="str">
        <f t="shared" si="87"/>
        <v/>
      </c>
    </row>
    <row r="472" spans="1:19" x14ac:dyDescent="0.2">
      <c r="A472" t="str">
        <f>IF(COUNTBLANK(B472:S472)&lt;&gt;COLUMNS(B472:S472),471,"")</f>
        <v/>
      </c>
      <c r="C472" s="2" t="str">
        <f t="shared" si="77"/>
        <v/>
      </c>
      <c r="D472" s="1" t="str">
        <f t="shared" si="78"/>
        <v/>
      </c>
      <c r="E472" s="1" t="str">
        <f t="shared" si="79"/>
        <v/>
      </c>
      <c r="I472" s="1" t="str">
        <f t="shared" si="80"/>
        <v/>
      </c>
      <c r="J472" s="2" t="str">
        <f t="shared" si="81"/>
        <v/>
      </c>
      <c r="K472" s="1" t="str">
        <f t="shared" si="82"/>
        <v/>
      </c>
      <c r="O472" s="1" t="str">
        <f t="shared" si="83"/>
        <v/>
      </c>
      <c r="P472" s="2" t="str">
        <f t="shared" si="84"/>
        <v/>
      </c>
      <c r="Q472" s="1" t="str">
        <f t="shared" si="85"/>
        <v/>
      </c>
      <c r="R472" s="2" t="str">
        <f t="shared" si="86"/>
        <v/>
      </c>
      <c r="S472" s="1" t="str">
        <f t="shared" si="87"/>
        <v/>
      </c>
    </row>
    <row r="473" spans="1:19" x14ac:dyDescent="0.2">
      <c r="A473" t="str">
        <f>IF(COUNTBLANK(B473:S473)&lt;&gt;COLUMNS(B473:S473),472,"")</f>
        <v/>
      </c>
      <c r="C473" s="2" t="str">
        <f t="shared" si="77"/>
        <v/>
      </c>
      <c r="D473" s="1" t="str">
        <f t="shared" si="78"/>
        <v/>
      </c>
      <c r="E473" s="1" t="str">
        <f t="shared" si="79"/>
        <v/>
      </c>
      <c r="I473" s="1" t="str">
        <f t="shared" si="80"/>
        <v/>
      </c>
      <c r="J473" s="2" t="str">
        <f t="shared" si="81"/>
        <v/>
      </c>
      <c r="K473" s="1" t="str">
        <f t="shared" si="82"/>
        <v/>
      </c>
      <c r="O473" s="1" t="str">
        <f t="shared" si="83"/>
        <v/>
      </c>
      <c r="P473" s="2" t="str">
        <f t="shared" si="84"/>
        <v/>
      </c>
      <c r="Q473" s="1" t="str">
        <f t="shared" si="85"/>
        <v/>
      </c>
      <c r="R473" s="2" t="str">
        <f t="shared" si="86"/>
        <v/>
      </c>
      <c r="S473" s="1" t="str">
        <f t="shared" si="87"/>
        <v/>
      </c>
    </row>
    <row r="474" spans="1:19" x14ac:dyDescent="0.2">
      <c r="A474" t="str">
        <f>IF(COUNTBLANK(B474:S474)&lt;&gt;COLUMNS(B474:S474),473,"")</f>
        <v/>
      </c>
      <c r="C474" s="2" t="str">
        <f t="shared" si="77"/>
        <v/>
      </c>
      <c r="D474" s="1" t="str">
        <f t="shared" si="78"/>
        <v/>
      </c>
      <c r="E474" s="1" t="str">
        <f t="shared" si="79"/>
        <v/>
      </c>
      <c r="I474" s="1" t="str">
        <f t="shared" si="80"/>
        <v/>
      </c>
      <c r="J474" s="2" t="str">
        <f t="shared" si="81"/>
        <v/>
      </c>
      <c r="K474" s="1" t="str">
        <f t="shared" si="82"/>
        <v/>
      </c>
      <c r="O474" s="1" t="str">
        <f t="shared" si="83"/>
        <v/>
      </c>
      <c r="P474" s="2" t="str">
        <f t="shared" si="84"/>
        <v/>
      </c>
      <c r="Q474" s="1" t="str">
        <f t="shared" si="85"/>
        <v/>
      </c>
      <c r="R474" s="2" t="str">
        <f t="shared" si="86"/>
        <v/>
      </c>
      <c r="S474" s="1" t="str">
        <f t="shared" si="87"/>
        <v/>
      </c>
    </row>
    <row r="475" spans="1:19" x14ac:dyDescent="0.2">
      <c r="A475" t="str">
        <f>IF(COUNTBLANK(B475:S475)&lt;&gt;COLUMNS(B475:S475),474,"")</f>
        <v/>
      </c>
      <c r="C475" s="2" t="str">
        <f t="shared" si="77"/>
        <v/>
      </c>
      <c r="D475" s="1" t="str">
        <f t="shared" si="78"/>
        <v/>
      </c>
      <c r="E475" s="1" t="str">
        <f t="shared" si="79"/>
        <v/>
      </c>
      <c r="I475" s="1" t="str">
        <f t="shared" si="80"/>
        <v/>
      </c>
      <c r="J475" s="2" t="str">
        <f t="shared" si="81"/>
        <v/>
      </c>
      <c r="K475" s="1" t="str">
        <f t="shared" si="82"/>
        <v/>
      </c>
      <c r="O475" s="1" t="str">
        <f t="shared" si="83"/>
        <v/>
      </c>
      <c r="P475" s="2" t="str">
        <f t="shared" si="84"/>
        <v/>
      </c>
      <c r="Q475" s="1" t="str">
        <f t="shared" si="85"/>
        <v/>
      </c>
      <c r="R475" s="2" t="str">
        <f t="shared" si="86"/>
        <v/>
      </c>
      <c r="S475" s="1" t="str">
        <f t="shared" si="87"/>
        <v/>
      </c>
    </row>
    <row r="476" spans="1:19" x14ac:dyDescent="0.2">
      <c r="A476" t="str">
        <f>IF(COUNTBLANK(B476:S476)&lt;&gt;COLUMNS(B476:S476),475,"")</f>
        <v/>
      </c>
      <c r="C476" s="2" t="str">
        <f t="shared" si="77"/>
        <v/>
      </c>
      <c r="D476" s="1" t="str">
        <f t="shared" si="78"/>
        <v/>
      </c>
      <c r="E476" s="1" t="str">
        <f t="shared" si="79"/>
        <v/>
      </c>
      <c r="I476" s="1" t="str">
        <f t="shared" si="80"/>
        <v/>
      </c>
      <c r="J476" s="2" t="str">
        <f t="shared" si="81"/>
        <v/>
      </c>
      <c r="K476" s="1" t="str">
        <f t="shared" si="82"/>
        <v/>
      </c>
      <c r="O476" s="1" t="str">
        <f t="shared" si="83"/>
        <v/>
      </c>
      <c r="P476" s="2" t="str">
        <f t="shared" si="84"/>
        <v/>
      </c>
      <c r="Q476" s="1" t="str">
        <f t="shared" si="85"/>
        <v/>
      </c>
      <c r="R476" s="2" t="str">
        <f t="shared" si="86"/>
        <v/>
      </c>
      <c r="S476" s="1" t="str">
        <f t="shared" si="87"/>
        <v/>
      </c>
    </row>
    <row r="477" spans="1:19" x14ac:dyDescent="0.2">
      <c r="A477" t="str">
        <f>IF(COUNTBLANK(B477:S477)&lt;&gt;COLUMNS(B477:S477),476,"")</f>
        <v/>
      </c>
      <c r="C477" s="2" t="str">
        <f t="shared" si="77"/>
        <v/>
      </c>
      <c r="D477" s="1" t="str">
        <f t="shared" si="78"/>
        <v/>
      </c>
      <c r="E477" s="1" t="str">
        <f t="shared" si="79"/>
        <v/>
      </c>
      <c r="I477" s="1" t="str">
        <f t="shared" si="80"/>
        <v/>
      </c>
      <c r="J477" s="2" t="str">
        <f t="shared" si="81"/>
        <v/>
      </c>
      <c r="K477" s="1" t="str">
        <f t="shared" si="82"/>
        <v/>
      </c>
      <c r="O477" s="1" t="str">
        <f t="shared" si="83"/>
        <v/>
      </c>
      <c r="P477" s="2" t="str">
        <f t="shared" si="84"/>
        <v/>
      </c>
      <c r="Q477" s="1" t="str">
        <f t="shared" si="85"/>
        <v/>
      </c>
      <c r="R477" s="2" t="str">
        <f t="shared" si="86"/>
        <v/>
      </c>
      <c r="S477" s="1" t="str">
        <f t="shared" si="87"/>
        <v/>
      </c>
    </row>
    <row r="478" spans="1:19" x14ac:dyDescent="0.2">
      <c r="A478" t="str">
        <f>IF(COUNTBLANK(B478:S478)&lt;&gt;COLUMNS(B478:S478),477,"")</f>
        <v/>
      </c>
      <c r="C478" s="2" t="str">
        <f t="shared" si="77"/>
        <v/>
      </c>
      <c r="D478" s="1" t="str">
        <f t="shared" si="78"/>
        <v/>
      </c>
      <c r="E478" s="1" t="str">
        <f t="shared" si="79"/>
        <v/>
      </c>
      <c r="I478" s="1" t="str">
        <f t="shared" si="80"/>
        <v/>
      </c>
      <c r="J478" s="2" t="str">
        <f t="shared" si="81"/>
        <v/>
      </c>
      <c r="K478" s="1" t="str">
        <f t="shared" si="82"/>
        <v/>
      </c>
      <c r="O478" s="1" t="str">
        <f t="shared" si="83"/>
        <v/>
      </c>
      <c r="P478" s="2" t="str">
        <f t="shared" si="84"/>
        <v/>
      </c>
      <c r="Q478" s="1" t="str">
        <f t="shared" si="85"/>
        <v/>
      </c>
      <c r="R478" s="2" t="str">
        <f t="shared" si="86"/>
        <v/>
      </c>
      <c r="S478" s="1" t="str">
        <f t="shared" si="87"/>
        <v/>
      </c>
    </row>
    <row r="479" spans="1:19" x14ac:dyDescent="0.2">
      <c r="A479" t="str">
        <f>IF(COUNTBLANK(B479:S479)&lt;&gt;COLUMNS(B479:S479),478,"")</f>
        <v/>
      </c>
      <c r="C479" s="2" t="str">
        <f t="shared" si="77"/>
        <v/>
      </c>
      <c r="D479" s="1" t="str">
        <f t="shared" si="78"/>
        <v/>
      </c>
      <c r="E479" s="1" t="str">
        <f t="shared" si="79"/>
        <v/>
      </c>
      <c r="I479" s="1" t="str">
        <f t="shared" si="80"/>
        <v/>
      </c>
      <c r="J479" s="2" t="str">
        <f t="shared" si="81"/>
        <v/>
      </c>
      <c r="K479" s="1" t="str">
        <f t="shared" si="82"/>
        <v/>
      </c>
      <c r="O479" s="1" t="str">
        <f t="shared" si="83"/>
        <v/>
      </c>
      <c r="P479" s="2" t="str">
        <f t="shared" si="84"/>
        <v/>
      </c>
      <c r="Q479" s="1" t="str">
        <f t="shared" si="85"/>
        <v/>
      </c>
      <c r="R479" s="2" t="str">
        <f t="shared" si="86"/>
        <v/>
      </c>
      <c r="S479" s="1" t="str">
        <f t="shared" si="87"/>
        <v/>
      </c>
    </row>
    <row r="480" spans="1:19" x14ac:dyDescent="0.2">
      <c r="A480" t="str">
        <f>IF(COUNTBLANK(B480:S480)&lt;&gt;COLUMNS(B480:S480),479,"")</f>
        <v/>
      </c>
      <c r="C480" s="2" t="str">
        <f t="shared" si="77"/>
        <v/>
      </c>
      <c r="D480" s="1" t="str">
        <f t="shared" si="78"/>
        <v/>
      </c>
      <c r="E480" s="1" t="str">
        <f t="shared" si="79"/>
        <v/>
      </c>
      <c r="I480" s="1" t="str">
        <f t="shared" si="80"/>
        <v/>
      </c>
      <c r="J480" s="2" t="str">
        <f t="shared" si="81"/>
        <v/>
      </c>
      <c r="K480" s="1" t="str">
        <f t="shared" si="82"/>
        <v/>
      </c>
      <c r="O480" s="1" t="str">
        <f t="shared" si="83"/>
        <v/>
      </c>
      <c r="P480" s="2" t="str">
        <f t="shared" si="84"/>
        <v/>
      </c>
      <c r="Q480" s="1" t="str">
        <f t="shared" si="85"/>
        <v/>
      </c>
      <c r="R480" s="2" t="str">
        <f t="shared" si="86"/>
        <v/>
      </c>
      <c r="S480" s="1" t="str">
        <f t="shared" si="87"/>
        <v/>
      </c>
    </row>
    <row r="481" spans="1:19" x14ac:dyDescent="0.2">
      <c r="A481" t="str">
        <f>IF(COUNTBLANK(B481:S481)&lt;&gt;COLUMNS(B481:S481),480,"")</f>
        <v/>
      </c>
      <c r="C481" s="2" t="str">
        <f t="shared" si="77"/>
        <v/>
      </c>
      <c r="D481" s="1" t="str">
        <f t="shared" si="78"/>
        <v/>
      </c>
      <c r="E481" s="1" t="str">
        <f t="shared" si="79"/>
        <v/>
      </c>
      <c r="I481" s="1" t="str">
        <f t="shared" si="80"/>
        <v/>
      </c>
      <c r="J481" s="2" t="str">
        <f t="shared" si="81"/>
        <v/>
      </c>
      <c r="K481" s="1" t="str">
        <f t="shared" si="82"/>
        <v/>
      </c>
      <c r="O481" s="1" t="str">
        <f t="shared" si="83"/>
        <v/>
      </c>
      <c r="P481" s="2" t="str">
        <f t="shared" si="84"/>
        <v/>
      </c>
      <c r="Q481" s="1" t="str">
        <f t="shared" si="85"/>
        <v/>
      </c>
      <c r="R481" s="2" t="str">
        <f t="shared" si="86"/>
        <v/>
      </c>
      <c r="S481" s="1" t="str">
        <f t="shared" si="87"/>
        <v/>
      </c>
    </row>
    <row r="482" spans="1:19" x14ac:dyDescent="0.2">
      <c r="A482" t="str">
        <f>IF(COUNTBLANK(B482:S482)&lt;&gt;COLUMNS(B482:S482),481,"")</f>
        <v/>
      </c>
      <c r="C482" s="2" t="str">
        <f t="shared" si="77"/>
        <v/>
      </c>
      <c r="D482" s="1" t="str">
        <f t="shared" si="78"/>
        <v/>
      </c>
      <c r="E482" s="1" t="str">
        <f t="shared" si="79"/>
        <v/>
      </c>
      <c r="I482" s="1" t="str">
        <f t="shared" si="80"/>
        <v/>
      </c>
      <c r="J482" s="2" t="str">
        <f t="shared" si="81"/>
        <v/>
      </c>
      <c r="K482" s="1" t="str">
        <f t="shared" si="82"/>
        <v/>
      </c>
      <c r="O482" s="1" t="str">
        <f t="shared" si="83"/>
        <v/>
      </c>
      <c r="P482" s="2" t="str">
        <f t="shared" si="84"/>
        <v/>
      </c>
      <c r="Q482" s="1" t="str">
        <f t="shared" si="85"/>
        <v/>
      </c>
      <c r="R482" s="2" t="str">
        <f t="shared" si="86"/>
        <v/>
      </c>
      <c r="S482" s="1" t="str">
        <f t="shared" si="87"/>
        <v/>
      </c>
    </row>
    <row r="483" spans="1:19" x14ac:dyDescent="0.2">
      <c r="A483" t="str">
        <f>IF(COUNTBLANK(B483:S483)&lt;&gt;COLUMNS(B483:S483),482,"")</f>
        <v/>
      </c>
      <c r="C483" s="2" t="str">
        <f t="shared" si="77"/>
        <v/>
      </c>
      <c r="D483" s="1" t="str">
        <f t="shared" si="78"/>
        <v/>
      </c>
      <c r="E483" s="1" t="str">
        <f t="shared" si="79"/>
        <v/>
      </c>
      <c r="I483" s="1" t="str">
        <f t="shared" si="80"/>
        <v/>
      </c>
      <c r="J483" s="2" t="str">
        <f t="shared" si="81"/>
        <v/>
      </c>
      <c r="K483" s="1" t="str">
        <f t="shared" si="82"/>
        <v/>
      </c>
      <c r="O483" s="1" t="str">
        <f t="shared" si="83"/>
        <v/>
      </c>
      <c r="P483" s="2" t="str">
        <f t="shared" si="84"/>
        <v/>
      </c>
      <c r="Q483" s="1" t="str">
        <f t="shared" si="85"/>
        <v/>
      </c>
      <c r="R483" s="2" t="str">
        <f t="shared" si="86"/>
        <v/>
      </c>
      <c r="S483" s="1" t="str">
        <f t="shared" si="87"/>
        <v/>
      </c>
    </row>
    <row r="484" spans="1:19" x14ac:dyDescent="0.2">
      <c r="A484" t="str">
        <f>IF(COUNTBLANK(B484:S484)&lt;&gt;COLUMNS(B484:S484),483,"")</f>
        <v/>
      </c>
      <c r="C484" s="2" t="str">
        <f t="shared" si="77"/>
        <v/>
      </c>
      <c r="D484" s="1" t="str">
        <f t="shared" si="78"/>
        <v/>
      </c>
      <c r="E484" s="1" t="str">
        <f t="shared" si="79"/>
        <v/>
      </c>
      <c r="I484" s="1" t="str">
        <f t="shared" si="80"/>
        <v/>
      </c>
      <c r="J484" s="2" t="str">
        <f t="shared" si="81"/>
        <v/>
      </c>
      <c r="K484" s="1" t="str">
        <f t="shared" si="82"/>
        <v/>
      </c>
      <c r="O484" s="1" t="str">
        <f t="shared" si="83"/>
        <v/>
      </c>
      <c r="P484" s="2" t="str">
        <f t="shared" si="84"/>
        <v/>
      </c>
      <c r="Q484" s="1" t="str">
        <f t="shared" si="85"/>
        <v/>
      </c>
      <c r="R484" s="2" t="str">
        <f t="shared" si="86"/>
        <v/>
      </c>
      <c r="S484" s="1" t="str">
        <f t="shared" si="87"/>
        <v/>
      </c>
    </row>
    <row r="485" spans="1:19" x14ac:dyDescent="0.2">
      <c r="A485" t="str">
        <f>IF(COUNTBLANK(B485:S485)&lt;&gt;COLUMNS(B485:S485),484,"")</f>
        <v/>
      </c>
      <c r="C485" s="2" t="str">
        <f t="shared" si="77"/>
        <v/>
      </c>
      <c r="D485" s="1" t="str">
        <f t="shared" si="78"/>
        <v/>
      </c>
      <c r="E485" s="1" t="str">
        <f t="shared" si="79"/>
        <v/>
      </c>
      <c r="I485" s="1" t="str">
        <f t="shared" si="80"/>
        <v/>
      </c>
      <c r="J485" s="2" t="str">
        <f t="shared" si="81"/>
        <v/>
      </c>
      <c r="K485" s="1" t="str">
        <f t="shared" si="82"/>
        <v/>
      </c>
      <c r="O485" s="1" t="str">
        <f t="shared" si="83"/>
        <v/>
      </c>
      <c r="P485" s="2" t="str">
        <f t="shared" si="84"/>
        <v/>
      </c>
      <c r="Q485" s="1" t="str">
        <f t="shared" si="85"/>
        <v/>
      </c>
      <c r="R485" s="2" t="str">
        <f t="shared" si="86"/>
        <v/>
      </c>
      <c r="S485" s="1" t="str">
        <f t="shared" si="87"/>
        <v/>
      </c>
    </row>
    <row r="486" spans="1:19" x14ac:dyDescent="0.2">
      <c r="A486" t="str">
        <f>IF(COUNTBLANK(B486:S486)&lt;&gt;COLUMNS(B486:S486),485,"")</f>
        <v/>
      </c>
      <c r="C486" s="2" t="str">
        <f t="shared" si="77"/>
        <v/>
      </c>
      <c r="D486" s="1" t="str">
        <f t="shared" si="78"/>
        <v/>
      </c>
      <c r="E486" s="1" t="str">
        <f t="shared" si="79"/>
        <v/>
      </c>
      <c r="I486" s="1" t="str">
        <f t="shared" si="80"/>
        <v/>
      </c>
      <c r="J486" s="2" t="str">
        <f t="shared" si="81"/>
        <v/>
      </c>
      <c r="K486" s="1" t="str">
        <f t="shared" si="82"/>
        <v/>
      </c>
      <c r="O486" s="1" t="str">
        <f t="shared" si="83"/>
        <v/>
      </c>
      <c r="P486" s="2" t="str">
        <f t="shared" si="84"/>
        <v/>
      </c>
      <c r="Q486" s="1" t="str">
        <f t="shared" si="85"/>
        <v/>
      </c>
      <c r="R486" s="2" t="str">
        <f t="shared" si="86"/>
        <v/>
      </c>
      <c r="S486" s="1" t="str">
        <f t="shared" si="87"/>
        <v/>
      </c>
    </row>
    <row r="487" spans="1:19" x14ac:dyDescent="0.2">
      <c r="A487" t="str">
        <f>IF(COUNTBLANK(B487:S487)&lt;&gt;COLUMNS(B487:S487),486,"")</f>
        <v/>
      </c>
      <c r="C487" s="2" t="str">
        <f t="shared" si="77"/>
        <v/>
      </c>
      <c r="D487" s="1" t="str">
        <f t="shared" si="78"/>
        <v/>
      </c>
      <c r="E487" s="1" t="str">
        <f t="shared" si="79"/>
        <v/>
      </c>
      <c r="I487" s="1" t="str">
        <f t="shared" si="80"/>
        <v/>
      </c>
      <c r="J487" s="2" t="str">
        <f t="shared" si="81"/>
        <v/>
      </c>
      <c r="K487" s="1" t="str">
        <f t="shared" si="82"/>
        <v/>
      </c>
      <c r="O487" s="1" t="str">
        <f t="shared" si="83"/>
        <v/>
      </c>
      <c r="P487" s="2" t="str">
        <f t="shared" si="84"/>
        <v/>
      </c>
      <c r="Q487" s="1" t="str">
        <f t="shared" si="85"/>
        <v/>
      </c>
      <c r="R487" s="2" t="str">
        <f t="shared" si="86"/>
        <v/>
      </c>
      <c r="S487" s="1" t="str">
        <f t="shared" si="87"/>
        <v/>
      </c>
    </row>
    <row r="488" spans="1:19" x14ac:dyDescent="0.2">
      <c r="A488" t="str">
        <f>IF(COUNTBLANK(B488:S488)&lt;&gt;COLUMNS(B488:S488),487,"")</f>
        <v/>
      </c>
      <c r="C488" s="2" t="str">
        <f t="shared" si="77"/>
        <v/>
      </c>
      <c r="D488" s="1" t="str">
        <f t="shared" si="78"/>
        <v/>
      </c>
      <c r="E488" s="1" t="str">
        <f t="shared" si="79"/>
        <v/>
      </c>
      <c r="I488" s="1" t="str">
        <f t="shared" si="80"/>
        <v/>
      </c>
      <c r="J488" s="2" t="str">
        <f t="shared" si="81"/>
        <v/>
      </c>
      <c r="K488" s="1" t="str">
        <f t="shared" si="82"/>
        <v/>
      </c>
      <c r="O488" s="1" t="str">
        <f t="shared" si="83"/>
        <v/>
      </c>
      <c r="P488" s="2" t="str">
        <f t="shared" si="84"/>
        <v/>
      </c>
      <c r="Q488" s="1" t="str">
        <f t="shared" si="85"/>
        <v/>
      </c>
      <c r="R488" s="2" t="str">
        <f t="shared" si="86"/>
        <v/>
      </c>
      <c r="S488" s="1" t="str">
        <f t="shared" si="87"/>
        <v/>
      </c>
    </row>
    <row r="489" spans="1:19" x14ac:dyDescent="0.2">
      <c r="A489" t="str">
        <f>IF(COUNTBLANK(B489:S489)&lt;&gt;COLUMNS(B489:S489),488,"")</f>
        <v/>
      </c>
      <c r="C489" s="2" t="str">
        <f t="shared" si="77"/>
        <v/>
      </c>
      <c r="D489" s="1" t="str">
        <f t="shared" si="78"/>
        <v/>
      </c>
      <c r="E489" s="1" t="str">
        <f t="shared" si="79"/>
        <v/>
      </c>
      <c r="I489" s="1" t="str">
        <f t="shared" si="80"/>
        <v/>
      </c>
      <c r="J489" s="2" t="str">
        <f t="shared" si="81"/>
        <v/>
      </c>
      <c r="K489" s="1" t="str">
        <f t="shared" si="82"/>
        <v/>
      </c>
      <c r="O489" s="1" t="str">
        <f t="shared" si="83"/>
        <v/>
      </c>
      <c r="P489" s="2" t="str">
        <f t="shared" si="84"/>
        <v/>
      </c>
      <c r="Q489" s="1" t="str">
        <f t="shared" si="85"/>
        <v/>
      </c>
      <c r="R489" s="2" t="str">
        <f t="shared" si="86"/>
        <v/>
      </c>
      <c r="S489" s="1" t="str">
        <f t="shared" si="87"/>
        <v/>
      </c>
    </row>
    <row r="490" spans="1:19" x14ac:dyDescent="0.2">
      <c r="A490" t="str">
        <f>IF(COUNTBLANK(B490:S490)&lt;&gt;COLUMNS(B490:S490),489,"")</f>
        <v/>
      </c>
      <c r="C490" s="2" t="str">
        <f t="shared" si="77"/>
        <v/>
      </c>
      <c r="D490" s="1" t="str">
        <f t="shared" si="78"/>
        <v/>
      </c>
      <c r="E490" s="1" t="str">
        <f t="shared" si="79"/>
        <v/>
      </c>
      <c r="I490" s="1" t="str">
        <f t="shared" si="80"/>
        <v/>
      </c>
      <c r="J490" s="2" t="str">
        <f t="shared" si="81"/>
        <v/>
      </c>
      <c r="K490" s="1" t="str">
        <f t="shared" si="82"/>
        <v/>
      </c>
      <c r="O490" s="1" t="str">
        <f t="shared" si="83"/>
        <v/>
      </c>
      <c r="P490" s="2" t="str">
        <f t="shared" si="84"/>
        <v/>
      </c>
      <c r="Q490" s="1" t="str">
        <f t="shared" si="85"/>
        <v/>
      </c>
      <c r="R490" s="2" t="str">
        <f t="shared" si="86"/>
        <v/>
      </c>
      <c r="S490" s="1" t="str">
        <f t="shared" si="87"/>
        <v/>
      </c>
    </row>
    <row r="491" spans="1:19" x14ac:dyDescent="0.2">
      <c r="A491" t="str">
        <f>IF(COUNTBLANK(B491:S491)&lt;&gt;COLUMNS(B491:S491),490,"")</f>
        <v/>
      </c>
      <c r="C491" s="2" t="str">
        <f t="shared" si="77"/>
        <v/>
      </c>
      <c r="D491" s="1" t="str">
        <f t="shared" si="78"/>
        <v/>
      </c>
      <c r="E491" s="1" t="str">
        <f t="shared" si="79"/>
        <v/>
      </c>
      <c r="I491" s="1" t="str">
        <f t="shared" si="80"/>
        <v/>
      </c>
      <c r="J491" s="2" t="str">
        <f t="shared" si="81"/>
        <v/>
      </c>
      <c r="K491" s="1" t="str">
        <f t="shared" si="82"/>
        <v/>
      </c>
      <c r="O491" s="1" t="str">
        <f t="shared" si="83"/>
        <v/>
      </c>
      <c r="P491" s="2" t="str">
        <f t="shared" si="84"/>
        <v/>
      </c>
      <c r="Q491" s="1" t="str">
        <f t="shared" si="85"/>
        <v/>
      </c>
      <c r="R491" s="2" t="str">
        <f t="shared" si="86"/>
        <v/>
      </c>
      <c r="S491" s="1" t="str">
        <f t="shared" si="87"/>
        <v/>
      </c>
    </row>
    <row r="492" spans="1:19" x14ac:dyDescent="0.2">
      <c r="A492" t="str">
        <f>IF(COUNTBLANK(B492:S492)&lt;&gt;COLUMNS(B492:S492),491,"")</f>
        <v/>
      </c>
      <c r="C492" s="2" t="str">
        <f t="shared" si="77"/>
        <v/>
      </c>
      <c r="D492" s="1" t="str">
        <f t="shared" si="78"/>
        <v/>
      </c>
      <c r="E492" s="1" t="str">
        <f t="shared" si="79"/>
        <v/>
      </c>
      <c r="I492" s="1" t="str">
        <f t="shared" si="80"/>
        <v/>
      </c>
      <c r="J492" s="2" t="str">
        <f t="shared" si="81"/>
        <v/>
      </c>
      <c r="K492" s="1" t="str">
        <f t="shared" si="82"/>
        <v/>
      </c>
      <c r="O492" s="1" t="str">
        <f t="shared" si="83"/>
        <v/>
      </c>
      <c r="P492" s="2" t="str">
        <f t="shared" si="84"/>
        <v/>
      </c>
      <c r="Q492" s="1" t="str">
        <f t="shared" si="85"/>
        <v/>
      </c>
      <c r="R492" s="2" t="str">
        <f t="shared" si="86"/>
        <v/>
      </c>
      <c r="S492" s="1" t="str">
        <f t="shared" si="87"/>
        <v/>
      </c>
    </row>
    <row r="493" spans="1:19" x14ac:dyDescent="0.2">
      <c r="A493" t="str">
        <f>IF(COUNTBLANK(B493:S493)&lt;&gt;COLUMNS(B493:S493),492,"")</f>
        <v/>
      </c>
      <c r="C493" s="2" t="str">
        <f t="shared" si="77"/>
        <v/>
      </c>
      <c r="D493" s="1" t="str">
        <f t="shared" si="78"/>
        <v/>
      </c>
      <c r="E493" s="1" t="str">
        <f t="shared" si="79"/>
        <v/>
      </c>
      <c r="I493" s="1" t="str">
        <f t="shared" si="80"/>
        <v/>
      </c>
      <c r="J493" s="2" t="str">
        <f t="shared" si="81"/>
        <v/>
      </c>
      <c r="K493" s="1" t="str">
        <f t="shared" si="82"/>
        <v/>
      </c>
      <c r="O493" s="1" t="str">
        <f t="shared" si="83"/>
        <v/>
      </c>
      <c r="P493" s="2" t="str">
        <f t="shared" si="84"/>
        <v/>
      </c>
      <c r="Q493" s="1" t="str">
        <f t="shared" si="85"/>
        <v/>
      </c>
      <c r="R493" s="2" t="str">
        <f t="shared" si="86"/>
        <v/>
      </c>
      <c r="S493" s="1" t="str">
        <f t="shared" si="87"/>
        <v/>
      </c>
    </row>
    <row r="494" spans="1:19" x14ac:dyDescent="0.2">
      <c r="A494" t="str">
        <f>IF(COUNTBLANK(B494:S494)&lt;&gt;COLUMNS(B494:S494),493,"")</f>
        <v/>
      </c>
      <c r="C494" s="2" t="str">
        <f t="shared" si="77"/>
        <v/>
      </c>
      <c r="D494" s="1" t="str">
        <f t="shared" si="78"/>
        <v/>
      </c>
      <c r="E494" s="1" t="str">
        <f t="shared" si="79"/>
        <v/>
      </c>
      <c r="I494" s="1" t="str">
        <f t="shared" si="80"/>
        <v/>
      </c>
      <c r="J494" s="2" t="str">
        <f t="shared" si="81"/>
        <v/>
      </c>
      <c r="K494" s="1" t="str">
        <f t="shared" si="82"/>
        <v/>
      </c>
      <c r="O494" s="1" t="str">
        <f t="shared" si="83"/>
        <v/>
      </c>
      <c r="P494" s="2" t="str">
        <f t="shared" si="84"/>
        <v/>
      </c>
      <c r="Q494" s="1" t="str">
        <f t="shared" si="85"/>
        <v/>
      </c>
      <c r="R494" s="2" t="str">
        <f t="shared" si="86"/>
        <v/>
      </c>
      <c r="S494" s="1" t="str">
        <f t="shared" si="87"/>
        <v/>
      </c>
    </row>
    <row r="495" spans="1:19" x14ac:dyDescent="0.2">
      <c r="A495" t="str">
        <f>IF(COUNTBLANK(B495:S495)&lt;&gt;COLUMNS(B495:S495),494,"")</f>
        <v/>
      </c>
      <c r="C495" s="2" t="str">
        <f t="shared" si="77"/>
        <v/>
      </c>
      <c r="D495" s="1" t="str">
        <f t="shared" si="78"/>
        <v/>
      </c>
      <c r="E495" s="1" t="str">
        <f t="shared" si="79"/>
        <v/>
      </c>
      <c r="I495" s="1" t="str">
        <f t="shared" si="80"/>
        <v/>
      </c>
      <c r="J495" s="2" t="str">
        <f t="shared" si="81"/>
        <v/>
      </c>
      <c r="K495" s="1" t="str">
        <f t="shared" si="82"/>
        <v/>
      </c>
      <c r="O495" s="1" t="str">
        <f t="shared" si="83"/>
        <v/>
      </c>
      <c r="P495" s="2" t="str">
        <f t="shared" si="84"/>
        <v/>
      </c>
      <c r="Q495" s="1" t="str">
        <f t="shared" si="85"/>
        <v/>
      </c>
      <c r="R495" s="2" t="str">
        <f t="shared" si="86"/>
        <v/>
      </c>
      <c r="S495" s="1" t="str">
        <f t="shared" si="87"/>
        <v/>
      </c>
    </row>
    <row r="496" spans="1:19" x14ac:dyDescent="0.2">
      <c r="A496" t="str">
        <f>IF(COUNTBLANK(B496:S496)&lt;&gt;COLUMNS(B496:S496),495,"")</f>
        <v/>
      </c>
      <c r="C496" s="2" t="str">
        <f t="shared" si="77"/>
        <v/>
      </c>
      <c r="D496" s="1" t="str">
        <f t="shared" si="78"/>
        <v/>
      </c>
      <c r="E496" s="1" t="str">
        <f t="shared" si="79"/>
        <v/>
      </c>
      <c r="I496" s="1" t="str">
        <f t="shared" si="80"/>
        <v/>
      </c>
      <c r="J496" s="2" t="str">
        <f t="shared" si="81"/>
        <v/>
      </c>
      <c r="K496" s="1" t="str">
        <f t="shared" si="82"/>
        <v/>
      </c>
      <c r="O496" s="1" t="str">
        <f t="shared" si="83"/>
        <v/>
      </c>
      <c r="P496" s="2" t="str">
        <f t="shared" si="84"/>
        <v/>
      </c>
      <c r="Q496" s="1" t="str">
        <f t="shared" si="85"/>
        <v/>
      </c>
      <c r="R496" s="2" t="str">
        <f t="shared" si="86"/>
        <v/>
      </c>
      <c r="S496" s="1" t="str">
        <f t="shared" si="87"/>
        <v/>
      </c>
    </row>
    <row r="497" spans="1:19" x14ac:dyDescent="0.2">
      <c r="A497" t="str">
        <f>IF(COUNTBLANK(B497:S497)&lt;&gt;COLUMNS(B497:S497),496,"")</f>
        <v/>
      </c>
      <c r="C497" s="2" t="str">
        <f t="shared" si="77"/>
        <v/>
      </c>
      <c r="D497" s="1" t="str">
        <f t="shared" si="78"/>
        <v/>
      </c>
      <c r="E497" s="1" t="str">
        <f t="shared" si="79"/>
        <v/>
      </c>
      <c r="I497" s="1" t="str">
        <f t="shared" si="80"/>
        <v/>
      </c>
      <c r="J497" s="2" t="str">
        <f t="shared" si="81"/>
        <v/>
      </c>
      <c r="K497" s="1" t="str">
        <f t="shared" si="82"/>
        <v/>
      </c>
      <c r="O497" s="1" t="str">
        <f t="shared" si="83"/>
        <v/>
      </c>
      <c r="P497" s="2" t="str">
        <f t="shared" si="84"/>
        <v/>
      </c>
      <c r="Q497" s="1" t="str">
        <f t="shared" si="85"/>
        <v/>
      </c>
      <c r="R497" s="2" t="str">
        <f t="shared" si="86"/>
        <v/>
      </c>
      <c r="S497" s="1" t="str">
        <f t="shared" si="87"/>
        <v/>
      </c>
    </row>
    <row r="498" spans="1:19" x14ac:dyDescent="0.2">
      <c r="A498" t="str">
        <f>IF(COUNTBLANK(B498:S498)&lt;&gt;COLUMNS(B498:S498),497,"")</f>
        <v/>
      </c>
      <c r="C498" s="2" t="str">
        <f t="shared" si="77"/>
        <v/>
      </c>
      <c r="D498" s="1" t="str">
        <f t="shared" si="78"/>
        <v/>
      </c>
      <c r="E498" s="1" t="str">
        <f t="shared" si="79"/>
        <v/>
      </c>
      <c r="I498" s="1" t="str">
        <f t="shared" si="80"/>
        <v/>
      </c>
      <c r="J498" s="2" t="str">
        <f t="shared" si="81"/>
        <v/>
      </c>
      <c r="K498" s="1" t="str">
        <f t="shared" si="82"/>
        <v/>
      </c>
      <c r="O498" s="1" t="str">
        <f t="shared" si="83"/>
        <v/>
      </c>
      <c r="P498" s="2" t="str">
        <f t="shared" si="84"/>
        <v/>
      </c>
      <c r="Q498" s="1" t="str">
        <f t="shared" si="85"/>
        <v/>
      </c>
      <c r="R498" s="2" t="str">
        <f t="shared" si="86"/>
        <v/>
      </c>
      <c r="S498" s="1" t="str">
        <f t="shared" si="87"/>
        <v/>
      </c>
    </row>
    <row r="499" spans="1:19" x14ac:dyDescent="0.2">
      <c r="A499" t="str">
        <f>IF(COUNTBLANK(B499:S499)&lt;&gt;COLUMNS(B499:S499),498,"")</f>
        <v/>
      </c>
      <c r="C499" s="2" t="str">
        <f t="shared" si="77"/>
        <v/>
      </c>
      <c r="D499" s="1" t="str">
        <f t="shared" si="78"/>
        <v/>
      </c>
      <c r="E499" s="1" t="str">
        <f t="shared" si="79"/>
        <v/>
      </c>
      <c r="I499" s="1" t="str">
        <f t="shared" si="80"/>
        <v/>
      </c>
      <c r="J499" s="2" t="str">
        <f t="shared" si="81"/>
        <v/>
      </c>
      <c r="K499" s="1" t="str">
        <f t="shared" si="82"/>
        <v/>
      </c>
      <c r="O499" s="1" t="str">
        <f t="shared" si="83"/>
        <v/>
      </c>
      <c r="P499" s="2" t="str">
        <f t="shared" si="84"/>
        <v/>
      </c>
      <c r="Q499" s="1" t="str">
        <f t="shared" si="85"/>
        <v/>
      </c>
      <c r="R499" s="2" t="str">
        <f t="shared" si="86"/>
        <v/>
      </c>
      <c r="S499" s="1" t="str">
        <f t="shared" si="87"/>
        <v/>
      </c>
    </row>
    <row r="500" spans="1:19" x14ac:dyDescent="0.2">
      <c r="A500" t="str">
        <f>IF(COUNTBLANK(B500:S500)&lt;&gt;COLUMNS(B500:S500),499,"")</f>
        <v/>
      </c>
      <c r="C500" s="2" t="str">
        <f t="shared" si="77"/>
        <v/>
      </c>
      <c r="D500" s="1" t="str">
        <f t="shared" si="78"/>
        <v/>
      </c>
      <c r="E500" s="1" t="str">
        <f t="shared" si="79"/>
        <v/>
      </c>
      <c r="I500" s="1" t="str">
        <f t="shared" si="80"/>
        <v/>
      </c>
      <c r="J500" s="2" t="str">
        <f t="shared" si="81"/>
        <v/>
      </c>
      <c r="K500" s="1" t="str">
        <f t="shared" si="82"/>
        <v/>
      </c>
      <c r="O500" s="1" t="str">
        <f t="shared" si="83"/>
        <v/>
      </c>
      <c r="P500" s="2" t="str">
        <f t="shared" si="84"/>
        <v/>
      </c>
      <c r="Q500" s="1" t="str">
        <f t="shared" si="85"/>
        <v/>
      </c>
      <c r="R500" s="2" t="str">
        <f t="shared" si="86"/>
        <v/>
      </c>
      <c r="S500" s="1" t="str">
        <f t="shared" si="87"/>
        <v/>
      </c>
    </row>
    <row r="501" spans="1:19" x14ac:dyDescent="0.2">
      <c r="A501" t="str">
        <f>IF(COUNTBLANK(B501:S501)&lt;&gt;COLUMNS(B501:S501),500,"")</f>
        <v/>
      </c>
      <c r="C501" s="2" t="str">
        <f t="shared" si="77"/>
        <v/>
      </c>
      <c r="D501" s="1" t="str">
        <f t="shared" si="78"/>
        <v/>
      </c>
      <c r="E501" s="1" t="str">
        <f t="shared" si="79"/>
        <v/>
      </c>
      <c r="I501" s="1" t="str">
        <f t="shared" si="80"/>
        <v/>
      </c>
      <c r="J501" s="2" t="str">
        <f t="shared" si="81"/>
        <v/>
      </c>
      <c r="K501" s="1" t="str">
        <f t="shared" si="82"/>
        <v/>
      </c>
      <c r="O501" s="1" t="str">
        <f t="shared" si="83"/>
        <v/>
      </c>
      <c r="P501" s="2" t="str">
        <f t="shared" si="84"/>
        <v/>
      </c>
      <c r="Q501" s="1" t="str">
        <f t="shared" si="85"/>
        <v/>
      </c>
      <c r="R501" s="2" t="str">
        <f t="shared" si="86"/>
        <v/>
      </c>
      <c r="S501" s="1" t="str">
        <f t="shared" si="87"/>
        <v/>
      </c>
    </row>
    <row r="502" spans="1:19" x14ac:dyDescent="0.2">
      <c r="A502" t="str">
        <f>IF(COUNTBLANK(B502:S502)&lt;&gt;COLUMNS(B502:S502),501,"")</f>
        <v/>
      </c>
      <c r="C502" s="2" t="str">
        <f t="shared" si="77"/>
        <v/>
      </c>
      <c r="D502" s="1" t="str">
        <f t="shared" si="78"/>
        <v/>
      </c>
      <c r="E502" s="1" t="str">
        <f t="shared" si="79"/>
        <v/>
      </c>
      <c r="I502" s="1" t="str">
        <f t="shared" si="80"/>
        <v/>
      </c>
      <c r="J502" s="2" t="str">
        <f t="shared" si="81"/>
        <v/>
      </c>
      <c r="K502" s="1" t="str">
        <f t="shared" si="82"/>
        <v/>
      </c>
      <c r="O502" s="1" t="str">
        <f t="shared" si="83"/>
        <v/>
      </c>
      <c r="P502" s="2" t="str">
        <f t="shared" si="84"/>
        <v/>
      </c>
      <c r="Q502" s="1" t="str">
        <f t="shared" si="85"/>
        <v/>
      </c>
      <c r="R502" s="2" t="str">
        <f t="shared" si="86"/>
        <v/>
      </c>
      <c r="S502" s="1" t="str">
        <f t="shared" si="87"/>
        <v/>
      </c>
    </row>
    <row r="503" spans="1:19" x14ac:dyDescent="0.2">
      <c r="A503" t="str">
        <f>IF(COUNTBLANK(B503:S503)&lt;&gt;COLUMNS(B503:S503),502,"")</f>
        <v/>
      </c>
      <c r="C503" s="2" t="str">
        <f t="shared" si="77"/>
        <v/>
      </c>
      <c r="D503" s="1" t="str">
        <f t="shared" si="78"/>
        <v/>
      </c>
      <c r="E503" s="1" t="str">
        <f t="shared" si="79"/>
        <v/>
      </c>
      <c r="I503" s="1" t="str">
        <f t="shared" si="80"/>
        <v/>
      </c>
      <c r="J503" s="2" t="str">
        <f t="shared" si="81"/>
        <v/>
      </c>
      <c r="K503" s="1" t="str">
        <f t="shared" si="82"/>
        <v/>
      </c>
      <c r="O503" s="1" t="str">
        <f t="shared" si="83"/>
        <v/>
      </c>
      <c r="P503" s="2" t="str">
        <f t="shared" si="84"/>
        <v/>
      </c>
      <c r="Q503" s="1" t="str">
        <f t="shared" si="85"/>
        <v/>
      </c>
      <c r="R503" s="2" t="str">
        <f t="shared" si="86"/>
        <v/>
      </c>
      <c r="S503" s="1" t="str">
        <f t="shared" si="87"/>
        <v/>
      </c>
    </row>
    <row r="504" spans="1:19" x14ac:dyDescent="0.2">
      <c r="A504" t="str">
        <f>IF(COUNTBLANK(B504:S504)&lt;&gt;COLUMNS(B504:S504),503,"")</f>
        <v/>
      </c>
      <c r="C504" s="2" t="str">
        <f t="shared" si="77"/>
        <v/>
      </c>
      <c r="D504" s="1" t="str">
        <f t="shared" si="78"/>
        <v/>
      </c>
      <c r="E504" s="1" t="str">
        <f t="shared" si="79"/>
        <v/>
      </c>
      <c r="I504" s="1" t="str">
        <f t="shared" si="80"/>
        <v/>
      </c>
      <c r="J504" s="2" t="str">
        <f t="shared" si="81"/>
        <v/>
      </c>
      <c r="K504" s="1" t="str">
        <f t="shared" si="82"/>
        <v/>
      </c>
      <c r="O504" s="1" t="str">
        <f t="shared" si="83"/>
        <v/>
      </c>
      <c r="P504" s="2" t="str">
        <f t="shared" si="84"/>
        <v/>
      </c>
      <c r="Q504" s="1" t="str">
        <f t="shared" si="85"/>
        <v/>
      </c>
      <c r="R504" s="2" t="str">
        <f t="shared" si="86"/>
        <v/>
      </c>
      <c r="S504" s="1" t="str">
        <f t="shared" si="87"/>
        <v/>
      </c>
    </row>
    <row r="505" spans="1:19" x14ac:dyDescent="0.2">
      <c r="A505" t="str">
        <f>IF(COUNTBLANK(B505:S505)&lt;&gt;COLUMNS(B505:S505),504,"")</f>
        <v/>
      </c>
      <c r="C505" s="2" t="str">
        <f t="shared" si="77"/>
        <v/>
      </c>
      <c r="D505" s="1" t="str">
        <f t="shared" si="78"/>
        <v/>
      </c>
      <c r="E505" s="1" t="str">
        <f t="shared" si="79"/>
        <v/>
      </c>
      <c r="I505" s="1" t="str">
        <f t="shared" si="80"/>
        <v/>
      </c>
      <c r="J505" s="2" t="str">
        <f t="shared" si="81"/>
        <v/>
      </c>
      <c r="K505" s="1" t="str">
        <f t="shared" si="82"/>
        <v/>
      </c>
      <c r="O505" s="1" t="str">
        <f t="shared" si="83"/>
        <v/>
      </c>
      <c r="P505" s="2" t="str">
        <f t="shared" si="84"/>
        <v/>
      </c>
      <c r="Q505" s="1" t="str">
        <f t="shared" si="85"/>
        <v/>
      </c>
      <c r="R505" s="2" t="str">
        <f t="shared" si="86"/>
        <v/>
      </c>
      <c r="S505" s="1" t="str">
        <f t="shared" si="87"/>
        <v/>
      </c>
    </row>
    <row r="506" spans="1:19" x14ac:dyDescent="0.2">
      <c r="A506" t="str">
        <f>IF(COUNTBLANK(B506:S506)&lt;&gt;COLUMNS(B506:S506),505,"")</f>
        <v/>
      </c>
      <c r="C506" s="2" t="str">
        <f t="shared" si="77"/>
        <v/>
      </c>
      <c r="D506" s="1" t="str">
        <f t="shared" si="78"/>
        <v/>
      </c>
      <c r="E506" s="1" t="str">
        <f t="shared" si="79"/>
        <v/>
      </c>
      <c r="I506" s="1" t="str">
        <f t="shared" si="80"/>
        <v/>
      </c>
      <c r="J506" s="2" t="str">
        <f t="shared" si="81"/>
        <v/>
      </c>
      <c r="K506" s="1" t="str">
        <f t="shared" si="82"/>
        <v/>
      </c>
      <c r="O506" s="1" t="str">
        <f t="shared" si="83"/>
        <v/>
      </c>
      <c r="P506" s="2" t="str">
        <f t="shared" si="84"/>
        <v/>
      </c>
      <c r="Q506" s="1" t="str">
        <f t="shared" si="85"/>
        <v/>
      </c>
      <c r="R506" s="2" t="str">
        <f t="shared" si="86"/>
        <v/>
      </c>
      <c r="S506" s="1" t="str">
        <f t="shared" si="87"/>
        <v/>
      </c>
    </row>
    <row r="507" spans="1:19" x14ac:dyDescent="0.2">
      <c r="A507" t="str">
        <f>IF(COUNTBLANK(B507:S507)&lt;&gt;COLUMNS(B507:S507),506,"")</f>
        <v/>
      </c>
      <c r="C507" s="2" t="str">
        <f t="shared" si="77"/>
        <v/>
      </c>
      <c r="D507" s="1" t="str">
        <f t="shared" si="78"/>
        <v/>
      </c>
      <c r="E507" s="1" t="str">
        <f t="shared" si="79"/>
        <v/>
      </c>
      <c r="I507" s="1" t="str">
        <f t="shared" si="80"/>
        <v/>
      </c>
      <c r="J507" s="2" t="str">
        <f t="shared" si="81"/>
        <v/>
      </c>
      <c r="K507" s="1" t="str">
        <f t="shared" si="82"/>
        <v/>
      </c>
      <c r="O507" s="1" t="str">
        <f t="shared" si="83"/>
        <v/>
      </c>
      <c r="P507" s="2" t="str">
        <f t="shared" si="84"/>
        <v/>
      </c>
      <c r="Q507" s="1" t="str">
        <f t="shared" si="85"/>
        <v/>
      </c>
      <c r="R507" s="2" t="str">
        <f t="shared" si="86"/>
        <v/>
      </c>
      <c r="S507" s="1" t="str">
        <f t="shared" si="87"/>
        <v/>
      </c>
    </row>
    <row r="508" spans="1:19" x14ac:dyDescent="0.2">
      <c r="A508" t="str">
        <f>IF(COUNTBLANK(B508:S508)&lt;&gt;COLUMNS(B508:S508),507,"")</f>
        <v/>
      </c>
      <c r="C508" s="2" t="str">
        <f t="shared" si="77"/>
        <v/>
      </c>
      <c r="D508" s="1" t="str">
        <f t="shared" si="78"/>
        <v/>
      </c>
      <c r="E508" s="1" t="str">
        <f t="shared" si="79"/>
        <v/>
      </c>
      <c r="I508" s="1" t="str">
        <f t="shared" si="80"/>
        <v/>
      </c>
      <c r="J508" s="2" t="str">
        <f t="shared" si="81"/>
        <v/>
      </c>
      <c r="K508" s="1" t="str">
        <f t="shared" si="82"/>
        <v/>
      </c>
      <c r="O508" s="1" t="str">
        <f t="shared" si="83"/>
        <v/>
      </c>
      <c r="P508" s="2" t="str">
        <f t="shared" si="84"/>
        <v/>
      </c>
      <c r="Q508" s="1" t="str">
        <f t="shared" si="85"/>
        <v/>
      </c>
      <c r="R508" s="2" t="str">
        <f t="shared" si="86"/>
        <v/>
      </c>
      <c r="S508" s="1" t="str">
        <f t="shared" si="87"/>
        <v/>
      </c>
    </row>
    <row r="509" spans="1:19" x14ac:dyDescent="0.2">
      <c r="A509" t="str">
        <f>IF(COUNTBLANK(B509:S509)&lt;&gt;COLUMNS(B509:S509),508,"")</f>
        <v/>
      </c>
      <c r="C509" s="2" t="str">
        <f t="shared" si="77"/>
        <v/>
      </c>
      <c r="D509" s="1" t="str">
        <f t="shared" si="78"/>
        <v/>
      </c>
      <c r="E509" s="1" t="str">
        <f t="shared" si="79"/>
        <v/>
      </c>
      <c r="I509" s="1" t="str">
        <f t="shared" si="80"/>
        <v/>
      </c>
      <c r="J509" s="2" t="str">
        <f t="shared" si="81"/>
        <v/>
      </c>
      <c r="K509" s="1" t="str">
        <f t="shared" si="82"/>
        <v/>
      </c>
      <c r="O509" s="1" t="str">
        <f t="shared" si="83"/>
        <v/>
      </c>
      <c r="P509" s="2" t="str">
        <f t="shared" si="84"/>
        <v/>
      </c>
      <c r="Q509" s="1" t="str">
        <f t="shared" si="85"/>
        <v/>
      </c>
      <c r="R509" s="2" t="str">
        <f t="shared" si="86"/>
        <v/>
      </c>
      <c r="S509" s="1" t="str">
        <f t="shared" si="87"/>
        <v/>
      </c>
    </row>
    <row r="510" spans="1:19" x14ac:dyDescent="0.2">
      <c r="A510" t="str">
        <f>IF(COUNTBLANK(B510:S510)&lt;&gt;COLUMNS(B510:S510),509,"")</f>
        <v/>
      </c>
      <c r="C510" s="2" t="str">
        <f t="shared" si="77"/>
        <v/>
      </c>
      <c r="D510" s="1" t="str">
        <f t="shared" si="78"/>
        <v/>
      </c>
      <c r="E510" s="1" t="str">
        <f t="shared" si="79"/>
        <v/>
      </c>
      <c r="I510" s="1" t="str">
        <f t="shared" si="80"/>
        <v/>
      </c>
      <c r="J510" s="2" t="str">
        <f t="shared" si="81"/>
        <v/>
      </c>
      <c r="K510" s="1" t="str">
        <f t="shared" si="82"/>
        <v/>
      </c>
      <c r="O510" s="1" t="str">
        <f t="shared" si="83"/>
        <v/>
      </c>
      <c r="P510" s="2" t="str">
        <f t="shared" si="84"/>
        <v/>
      </c>
      <c r="Q510" s="1" t="str">
        <f t="shared" si="85"/>
        <v/>
      </c>
      <c r="R510" s="2" t="str">
        <f t="shared" si="86"/>
        <v/>
      </c>
      <c r="S510" s="1" t="str">
        <f t="shared" si="87"/>
        <v/>
      </c>
    </row>
    <row r="511" spans="1:19" x14ac:dyDescent="0.2">
      <c r="A511" t="str">
        <f>IF(COUNTBLANK(B511:S511)&lt;&gt;COLUMNS(B511:S511),510,"")</f>
        <v/>
      </c>
      <c r="C511" s="2" t="str">
        <f t="shared" si="77"/>
        <v/>
      </c>
      <c r="D511" s="1" t="str">
        <f t="shared" si="78"/>
        <v/>
      </c>
      <c r="E511" s="1" t="str">
        <f t="shared" si="79"/>
        <v/>
      </c>
      <c r="I511" s="1" t="str">
        <f t="shared" si="80"/>
        <v/>
      </c>
      <c r="J511" s="2" t="str">
        <f t="shared" si="81"/>
        <v/>
      </c>
      <c r="K511" s="1" t="str">
        <f t="shared" si="82"/>
        <v/>
      </c>
      <c r="O511" s="1" t="str">
        <f t="shared" si="83"/>
        <v/>
      </c>
      <c r="P511" s="2" t="str">
        <f t="shared" si="84"/>
        <v/>
      </c>
      <c r="Q511" s="1" t="str">
        <f t="shared" si="85"/>
        <v/>
      </c>
      <c r="R511" s="2" t="str">
        <f t="shared" si="86"/>
        <v/>
      </c>
      <c r="S511" s="1" t="str">
        <f t="shared" si="87"/>
        <v/>
      </c>
    </row>
    <row r="512" spans="1:19" x14ac:dyDescent="0.2">
      <c r="A512" t="str">
        <f>IF(COUNTBLANK(B512:S512)&lt;&gt;COLUMNS(B512:S512),511,"")</f>
        <v/>
      </c>
      <c r="C512" s="2" t="str">
        <f t="shared" si="77"/>
        <v/>
      </c>
      <c r="D512" s="1" t="str">
        <f t="shared" si="78"/>
        <v/>
      </c>
      <c r="E512" s="1" t="str">
        <f t="shared" si="79"/>
        <v/>
      </c>
      <c r="I512" s="1" t="str">
        <f t="shared" si="80"/>
        <v/>
      </c>
      <c r="J512" s="2" t="str">
        <f t="shared" si="81"/>
        <v/>
      </c>
      <c r="K512" s="1" t="str">
        <f t="shared" si="82"/>
        <v/>
      </c>
      <c r="O512" s="1" t="str">
        <f t="shared" si="83"/>
        <v/>
      </c>
      <c r="P512" s="2" t="str">
        <f t="shared" si="84"/>
        <v/>
      </c>
      <c r="Q512" s="1" t="str">
        <f t="shared" si="85"/>
        <v/>
      </c>
      <c r="R512" s="2" t="str">
        <f t="shared" si="86"/>
        <v/>
      </c>
      <c r="S512" s="1" t="str">
        <f t="shared" si="87"/>
        <v/>
      </c>
    </row>
    <row r="513" spans="1:19" x14ac:dyDescent="0.2">
      <c r="A513" t="str">
        <f>IF(COUNTBLANK(B513:S513)&lt;&gt;COLUMNS(B513:S513),512,"")</f>
        <v/>
      </c>
      <c r="C513" s="2" t="str">
        <f t="shared" si="77"/>
        <v/>
      </c>
      <c r="D513" s="1" t="str">
        <f t="shared" si="78"/>
        <v/>
      </c>
      <c r="E513" s="1" t="str">
        <f t="shared" si="79"/>
        <v/>
      </c>
      <c r="I513" s="1" t="str">
        <f t="shared" si="80"/>
        <v/>
      </c>
      <c r="J513" s="2" t="str">
        <f t="shared" si="81"/>
        <v/>
      </c>
      <c r="K513" s="1" t="str">
        <f t="shared" si="82"/>
        <v/>
      </c>
      <c r="O513" s="1" t="str">
        <f t="shared" si="83"/>
        <v/>
      </c>
      <c r="P513" s="2" t="str">
        <f t="shared" si="84"/>
        <v/>
      </c>
      <c r="Q513" s="1" t="str">
        <f t="shared" si="85"/>
        <v/>
      </c>
      <c r="R513" s="2" t="str">
        <f t="shared" si="86"/>
        <v/>
      </c>
      <c r="S513" s="1" t="str">
        <f t="shared" si="87"/>
        <v/>
      </c>
    </row>
    <row r="514" spans="1:19" x14ac:dyDescent="0.2">
      <c r="A514" t="str">
        <f>IF(COUNTBLANK(B514:S514)&lt;&gt;COLUMNS(B514:S514),513,"")</f>
        <v/>
      </c>
      <c r="C514" s="2" t="str">
        <f t="shared" ref="C514:C577" si="88">IF(B514="", "", "missing: not provided")</f>
        <v/>
      </c>
      <c r="D514" s="1" t="str">
        <f t="shared" ref="D514:D577" si="89">IF(B514="", "", " missing: not provided")</f>
        <v/>
      </c>
      <c r="E514" s="1" t="str">
        <f t="shared" ref="E514:E577" si="90">IF(B514="", "", "Host-associated")</f>
        <v/>
      </c>
      <c r="I514" s="1" t="str">
        <f t="shared" ref="I514:I577" si="91">IF(B514="", "", "host-associated")</f>
        <v/>
      </c>
      <c r="J514" s="2" t="str">
        <f t="shared" ref="J514:J577" si="92">IF(B514="", "", "missing: not provided")</f>
        <v/>
      </c>
      <c r="K514" s="1" t="str">
        <f t="shared" ref="K514:K577" si="93">IF(B514="", "", " missing: not provided")</f>
        <v/>
      </c>
      <c r="O514" s="1" t="str">
        <f t="shared" ref="O514:O577" si="94">IF(B514="", "", "Not applicable")</f>
        <v/>
      </c>
      <c r="P514" s="2" t="str">
        <f t="shared" ref="P514:P577" si="95">IF(B514="", "", "missing: not provided")</f>
        <v/>
      </c>
      <c r="Q514" s="1" t="str">
        <f t="shared" ref="Q514:Q577" si="96">IF(B514="", "", "Not applicable")</f>
        <v/>
      </c>
      <c r="R514" s="2" t="str">
        <f t="shared" ref="R514:R577" si="97">IF(B514="", "", "missing: not provided")</f>
        <v/>
      </c>
      <c r="S514" s="1" t="str">
        <f t="shared" ref="S514:S577" si="98">IF(B514="", "", " missing: not provided")</f>
        <v/>
      </c>
    </row>
    <row r="515" spans="1:19" x14ac:dyDescent="0.2">
      <c r="A515" t="str">
        <f>IF(COUNTBLANK(B515:S515)&lt;&gt;COLUMNS(B515:S515),514,"")</f>
        <v/>
      </c>
      <c r="C515" s="2" t="str">
        <f t="shared" si="88"/>
        <v/>
      </c>
      <c r="D515" s="1" t="str">
        <f t="shared" si="89"/>
        <v/>
      </c>
      <c r="E515" s="1" t="str">
        <f t="shared" si="90"/>
        <v/>
      </c>
      <c r="I515" s="1" t="str">
        <f t="shared" si="91"/>
        <v/>
      </c>
      <c r="J515" s="2" t="str">
        <f t="shared" si="92"/>
        <v/>
      </c>
      <c r="K515" s="1" t="str">
        <f t="shared" si="93"/>
        <v/>
      </c>
      <c r="O515" s="1" t="str">
        <f t="shared" si="94"/>
        <v/>
      </c>
      <c r="P515" s="2" t="str">
        <f t="shared" si="95"/>
        <v/>
      </c>
      <c r="Q515" s="1" t="str">
        <f t="shared" si="96"/>
        <v/>
      </c>
      <c r="R515" s="2" t="str">
        <f t="shared" si="97"/>
        <v/>
      </c>
      <c r="S515" s="1" t="str">
        <f t="shared" si="98"/>
        <v/>
      </c>
    </row>
    <row r="516" spans="1:19" x14ac:dyDescent="0.2">
      <c r="A516" t="str">
        <f>IF(COUNTBLANK(B516:S516)&lt;&gt;COLUMNS(B516:S516),515,"")</f>
        <v/>
      </c>
      <c r="C516" s="2" t="str">
        <f t="shared" si="88"/>
        <v/>
      </c>
      <c r="D516" s="1" t="str">
        <f t="shared" si="89"/>
        <v/>
      </c>
      <c r="E516" s="1" t="str">
        <f t="shared" si="90"/>
        <v/>
      </c>
      <c r="I516" s="1" t="str">
        <f t="shared" si="91"/>
        <v/>
      </c>
      <c r="J516" s="2" t="str">
        <f t="shared" si="92"/>
        <v/>
      </c>
      <c r="K516" s="1" t="str">
        <f t="shared" si="93"/>
        <v/>
      </c>
      <c r="O516" s="1" t="str">
        <f t="shared" si="94"/>
        <v/>
      </c>
      <c r="P516" s="2" t="str">
        <f t="shared" si="95"/>
        <v/>
      </c>
      <c r="Q516" s="1" t="str">
        <f t="shared" si="96"/>
        <v/>
      </c>
      <c r="R516" s="2" t="str">
        <f t="shared" si="97"/>
        <v/>
      </c>
      <c r="S516" s="1" t="str">
        <f t="shared" si="98"/>
        <v/>
      </c>
    </row>
    <row r="517" spans="1:19" x14ac:dyDescent="0.2">
      <c r="A517" t="str">
        <f>IF(COUNTBLANK(B517:S517)&lt;&gt;COLUMNS(B517:S517),516,"")</f>
        <v/>
      </c>
      <c r="C517" s="2" t="str">
        <f t="shared" si="88"/>
        <v/>
      </c>
      <c r="D517" s="1" t="str">
        <f t="shared" si="89"/>
        <v/>
      </c>
      <c r="E517" s="1" t="str">
        <f t="shared" si="90"/>
        <v/>
      </c>
      <c r="I517" s="1" t="str">
        <f t="shared" si="91"/>
        <v/>
      </c>
      <c r="J517" s="2" t="str">
        <f t="shared" si="92"/>
        <v/>
      </c>
      <c r="K517" s="1" t="str">
        <f t="shared" si="93"/>
        <v/>
      </c>
      <c r="O517" s="1" t="str">
        <f t="shared" si="94"/>
        <v/>
      </c>
      <c r="P517" s="2" t="str">
        <f t="shared" si="95"/>
        <v/>
      </c>
      <c r="Q517" s="1" t="str">
        <f t="shared" si="96"/>
        <v/>
      </c>
      <c r="R517" s="2" t="str">
        <f t="shared" si="97"/>
        <v/>
      </c>
      <c r="S517" s="1" t="str">
        <f t="shared" si="98"/>
        <v/>
      </c>
    </row>
    <row r="518" spans="1:19" x14ac:dyDescent="0.2">
      <c r="A518" t="str">
        <f>IF(COUNTBLANK(B518:S518)&lt;&gt;COLUMNS(B518:S518),517,"")</f>
        <v/>
      </c>
      <c r="C518" s="2" t="str">
        <f t="shared" si="88"/>
        <v/>
      </c>
      <c r="D518" s="1" t="str">
        <f t="shared" si="89"/>
        <v/>
      </c>
      <c r="E518" s="1" t="str">
        <f t="shared" si="90"/>
        <v/>
      </c>
      <c r="I518" s="1" t="str">
        <f t="shared" si="91"/>
        <v/>
      </c>
      <c r="J518" s="2" t="str">
        <f t="shared" si="92"/>
        <v/>
      </c>
      <c r="K518" s="1" t="str">
        <f t="shared" si="93"/>
        <v/>
      </c>
      <c r="O518" s="1" t="str">
        <f t="shared" si="94"/>
        <v/>
      </c>
      <c r="P518" s="2" t="str">
        <f t="shared" si="95"/>
        <v/>
      </c>
      <c r="Q518" s="1" t="str">
        <f t="shared" si="96"/>
        <v/>
      </c>
      <c r="R518" s="2" t="str">
        <f t="shared" si="97"/>
        <v/>
      </c>
      <c r="S518" s="1" t="str">
        <f t="shared" si="98"/>
        <v/>
      </c>
    </row>
    <row r="519" spans="1:19" x14ac:dyDescent="0.2">
      <c r="A519" t="str">
        <f>IF(COUNTBLANK(B519:S519)&lt;&gt;COLUMNS(B519:S519),518,"")</f>
        <v/>
      </c>
      <c r="C519" s="2" t="str">
        <f t="shared" si="88"/>
        <v/>
      </c>
      <c r="D519" s="1" t="str">
        <f t="shared" si="89"/>
        <v/>
      </c>
      <c r="E519" s="1" t="str">
        <f t="shared" si="90"/>
        <v/>
      </c>
      <c r="I519" s="1" t="str">
        <f t="shared" si="91"/>
        <v/>
      </c>
      <c r="J519" s="2" t="str">
        <f t="shared" si="92"/>
        <v/>
      </c>
      <c r="K519" s="1" t="str">
        <f t="shared" si="93"/>
        <v/>
      </c>
      <c r="O519" s="1" t="str">
        <f t="shared" si="94"/>
        <v/>
      </c>
      <c r="P519" s="2" t="str">
        <f t="shared" si="95"/>
        <v/>
      </c>
      <c r="Q519" s="1" t="str">
        <f t="shared" si="96"/>
        <v/>
      </c>
      <c r="R519" s="2" t="str">
        <f t="shared" si="97"/>
        <v/>
      </c>
      <c r="S519" s="1" t="str">
        <f t="shared" si="98"/>
        <v/>
      </c>
    </row>
    <row r="520" spans="1:19" x14ac:dyDescent="0.2">
      <c r="A520" t="str">
        <f>IF(COUNTBLANK(B520:S520)&lt;&gt;COLUMNS(B520:S520),519,"")</f>
        <v/>
      </c>
      <c r="C520" s="2" t="str">
        <f t="shared" si="88"/>
        <v/>
      </c>
      <c r="D520" s="1" t="str">
        <f t="shared" si="89"/>
        <v/>
      </c>
      <c r="E520" s="1" t="str">
        <f t="shared" si="90"/>
        <v/>
      </c>
      <c r="I520" s="1" t="str">
        <f t="shared" si="91"/>
        <v/>
      </c>
      <c r="J520" s="2" t="str">
        <f t="shared" si="92"/>
        <v/>
      </c>
      <c r="K520" s="1" t="str">
        <f t="shared" si="93"/>
        <v/>
      </c>
      <c r="O520" s="1" t="str">
        <f t="shared" si="94"/>
        <v/>
      </c>
      <c r="P520" s="2" t="str">
        <f t="shared" si="95"/>
        <v/>
      </c>
      <c r="Q520" s="1" t="str">
        <f t="shared" si="96"/>
        <v/>
      </c>
      <c r="R520" s="2" t="str">
        <f t="shared" si="97"/>
        <v/>
      </c>
      <c r="S520" s="1" t="str">
        <f t="shared" si="98"/>
        <v/>
      </c>
    </row>
    <row r="521" spans="1:19" x14ac:dyDescent="0.2">
      <c r="A521" t="str">
        <f>IF(COUNTBLANK(B521:S521)&lt;&gt;COLUMNS(B521:S521),520,"")</f>
        <v/>
      </c>
      <c r="C521" s="2" t="str">
        <f t="shared" si="88"/>
        <v/>
      </c>
      <c r="D521" s="1" t="str">
        <f t="shared" si="89"/>
        <v/>
      </c>
      <c r="E521" s="1" t="str">
        <f t="shared" si="90"/>
        <v/>
      </c>
      <c r="I521" s="1" t="str">
        <f t="shared" si="91"/>
        <v/>
      </c>
      <c r="J521" s="2" t="str">
        <f t="shared" si="92"/>
        <v/>
      </c>
      <c r="K521" s="1" t="str">
        <f t="shared" si="93"/>
        <v/>
      </c>
      <c r="O521" s="1" t="str">
        <f t="shared" si="94"/>
        <v/>
      </c>
      <c r="P521" s="2" t="str">
        <f t="shared" si="95"/>
        <v/>
      </c>
      <c r="Q521" s="1" t="str">
        <f t="shared" si="96"/>
        <v/>
      </c>
      <c r="R521" s="2" t="str">
        <f t="shared" si="97"/>
        <v/>
      </c>
      <c r="S521" s="1" t="str">
        <f t="shared" si="98"/>
        <v/>
      </c>
    </row>
    <row r="522" spans="1:19" x14ac:dyDescent="0.2">
      <c r="A522" t="str">
        <f>IF(COUNTBLANK(B522:S522)&lt;&gt;COLUMNS(B522:S522),521,"")</f>
        <v/>
      </c>
      <c r="C522" s="2" t="str">
        <f t="shared" si="88"/>
        <v/>
      </c>
      <c r="D522" s="1" t="str">
        <f t="shared" si="89"/>
        <v/>
      </c>
      <c r="E522" s="1" t="str">
        <f t="shared" si="90"/>
        <v/>
      </c>
      <c r="I522" s="1" t="str">
        <f t="shared" si="91"/>
        <v/>
      </c>
      <c r="J522" s="2" t="str">
        <f t="shared" si="92"/>
        <v/>
      </c>
      <c r="K522" s="1" t="str">
        <f t="shared" si="93"/>
        <v/>
      </c>
      <c r="O522" s="1" t="str">
        <f t="shared" si="94"/>
        <v/>
      </c>
      <c r="P522" s="2" t="str">
        <f t="shared" si="95"/>
        <v/>
      </c>
      <c r="Q522" s="1" t="str">
        <f t="shared" si="96"/>
        <v/>
      </c>
      <c r="R522" s="2" t="str">
        <f t="shared" si="97"/>
        <v/>
      </c>
      <c r="S522" s="1" t="str">
        <f t="shared" si="98"/>
        <v/>
      </c>
    </row>
    <row r="523" spans="1:19" x14ac:dyDescent="0.2">
      <c r="A523" t="str">
        <f>IF(COUNTBLANK(B523:S523)&lt;&gt;COLUMNS(B523:S523),522,"")</f>
        <v/>
      </c>
      <c r="C523" s="2" t="str">
        <f t="shared" si="88"/>
        <v/>
      </c>
      <c r="D523" s="1" t="str">
        <f t="shared" si="89"/>
        <v/>
      </c>
      <c r="E523" s="1" t="str">
        <f t="shared" si="90"/>
        <v/>
      </c>
      <c r="I523" s="1" t="str">
        <f t="shared" si="91"/>
        <v/>
      </c>
      <c r="J523" s="2" t="str">
        <f t="shared" si="92"/>
        <v/>
      </c>
      <c r="K523" s="1" t="str">
        <f t="shared" si="93"/>
        <v/>
      </c>
      <c r="O523" s="1" t="str">
        <f t="shared" si="94"/>
        <v/>
      </c>
      <c r="P523" s="2" t="str">
        <f t="shared" si="95"/>
        <v/>
      </c>
      <c r="Q523" s="1" t="str">
        <f t="shared" si="96"/>
        <v/>
      </c>
      <c r="R523" s="2" t="str">
        <f t="shared" si="97"/>
        <v/>
      </c>
      <c r="S523" s="1" t="str">
        <f t="shared" si="98"/>
        <v/>
      </c>
    </row>
    <row r="524" spans="1:19" x14ac:dyDescent="0.2">
      <c r="A524" t="str">
        <f>IF(COUNTBLANK(B524:S524)&lt;&gt;COLUMNS(B524:S524),523,"")</f>
        <v/>
      </c>
      <c r="C524" s="2" t="str">
        <f t="shared" si="88"/>
        <v/>
      </c>
      <c r="D524" s="1" t="str">
        <f t="shared" si="89"/>
        <v/>
      </c>
      <c r="E524" s="1" t="str">
        <f t="shared" si="90"/>
        <v/>
      </c>
      <c r="I524" s="1" t="str">
        <f t="shared" si="91"/>
        <v/>
      </c>
      <c r="J524" s="2" t="str">
        <f t="shared" si="92"/>
        <v/>
      </c>
      <c r="K524" s="1" t="str">
        <f t="shared" si="93"/>
        <v/>
      </c>
      <c r="O524" s="1" t="str">
        <f t="shared" si="94"/>
        <v/>
      </c>
      <c r="P524" s="2" t="str">
        <f t="shared" si="95"/>
        <v/>
      </c>
      <c r="Q524" s="1" t="str">
        <f t="shared" si="96"/>
        <v/>
      </c>
      <c r="R524" s="2" t="str">
        <f t="shared" si="97"/>
        <v/>
      </c>
      <c r="S524" s="1" t="str">
        <f t="shared" si="98"/>
        <v/>
      </c>
    </row>
    <row r="525" spans="1:19" x14ac:dyDescent="0.2">
      <c r="A525" t="str">
        <f>IF(COUNTBLANK(B525:S525)&lt;&gt;COLUMNS(B525:S525),524,"")</f>
        <v/>
      </c>
      <c r="C525" s="2" t="str">
        <f t="shared" si="88"/>
        <v/>
      </c>
      <c r="D525" s="1" t="str">
        <f t="shared" si="89"/>
        <v/>
      </c>
      <c r="E525" s="1" t="str">
        <f t="shared" si="90"/>
        <v/>
      </c>
      <c r="I525" s="1" t="str">
        <f t="shared" si="91"/>
        <v/>
      </c>
      <c r="J525" s="2" t="str">
        <f t="shared" si="92"/>
        <v/>
      </c>
      <c r="K525" s="1" t="str">
        <f t="shared" si="93"/>
        <v/>
      </c>
      <c r="O525" s="1" t="str">
        <f t="shared" si="94"/>
        <v/>
      </c>
      <c r="P525" s="2" t="str">
        <f t="shared" si="95"/>
        <v/>
      </c>
      <c r="Q525" s="1" t="str">
        <f t="shared" si="96"/>
        <v/>
      </c>
      <c r="R525" s="2" t="str">
        <f t="shared" si="97"/>
        <v/>
      </c>
      <c r="S525" s="1" t="str">
        <f t="shared" si="98"/>
        <v/>
      </c>
    </row>
    <row r="526" spans="1:19" x14ac:dyDescent="0.2">
      <c r="A526" t="str">
        <f>IF(COUNTBLANK(B526:S526)&lt;&gt;COLUMNS(B526:S526),525,"")</f>
        <v/>
      </c>
      <c r="C526" s="2" t="str">
        <f t="shared" si="88"/>
        <v/>
      </c>
      <c r="D526" s="1" t="str">
        <f t="shared" si="89"/>
        <v/>
      </c>
      <c r="E526" s="1" t="str">
        <f t="shared" si="90"/>
        <v/>
      </c>
      <c r="I526" s="1" t="str">
        <f t="shared" si="91"/>
        <v/>
      </c>
      <c r="J526" s="2" t="str">
        <f t="shared" si="92"/>
        <v/>
      </c>
      <c r="K526" s="1" t="str">
        <f t="shared" si="93"/>
        <v/>
      </c>
      <c r="O526" s="1" t="str">
        <f t="shared" si="94"/>
        <v/>
      </c>
      <c r="P526" s="2" t="str">
        <f t="shared" si="95"/>
        <v/>
      </c>
      <c r="Q526" s="1" t="str">
        <f t="shared" si="96"/>
        <v/>
      </c>
      <c r="R526" s="2" t="str">
        <f t="shared" si="97"/>
        <v/>
      </c>
      <c r="S526" s="1" t="str">
        <f t="shared" si="98"/>
        <v/>
      </c>
    </row>
    <row r="527" spans="1:19" x14ac:dyDescent="0.2">
      <c r="A527" t="str">
        <f>IF(COUNTBLANK(B527:S527)&lt;&gt;COLUMNS(B527:S527),526,"")</f>
        <v/>
      </c>
      <c r="C527" s="2" t="str">
        <f t="shared" si="88"/>
        <v/>
      </c>
      <c r="D527" s="1" t="str">
        <f t="shared" si="89"/>
        <v/>
      </c>
      <c r="E527" s="1" t="str">
        <f t="shared" si="90"/>
        <v/>
      </c>
      <c r="I527" s="1" t="str">
        <f t="shared" si="91"/>
        <v/>
      </c>
      <c r="J527" s="2" t="str">
        <f t="shared" si="92"/>
        <v/>
      </c>
      <c r="K527" s="1" t="str">
        <f t="shared" si="93"/>
        <v/>
      </c>
      <c r="O527" s="1" t="str">
        <f t="shared" si="94"/>
        <v/>
      </c>
      <c r="P527" s="2" t="str">
        <f t="shared" si="95"/>
        <v/>
      </c>
      <c r="Q527" s="1" t="str">
        <f t="shared" si="96"/>
        <v/>
      </c>
      <c r="R527" s="2" t="str">
        <f t="shared" si="97"/>
        <v/>
      </c>
      <c r="S527" s="1" t="str">
        <f t="shared" si="98"/>
        <v/>
      </c>
    </row>
    <row r="528" spans="1:19" x14ac:dyDescent="0.2">
      <c r="A528" t="str">
        <f>IF(COUNTBLANK(B528:S528)&lt;&gt;COLUMNS(B528:S528),527,"")</f>
        <v/>
      </c>
      <c r="C528" s="2" t="str">
        <f t="shared" si="88"/>
        <v/>
      </c>
      <c r="D528" s="1" t="str">
        <f t="shared" si="89"/>
        <v/>
      </c>
      <c r="E528" s="1" t="str">
        <f t="shared" si="90"/>
        <v/>
      </c>
      <c r="I528" s="1" t="str">
        <f t="shared" si="91"/>
        <v/>
      </c>
      <c r="J528" s="2" t="str">
        <f t="shared" si="92"/>
        <v/>
      </c>
      <c r="K528" s="1" t="str">
        <f t="shared" si="93"/>
        <v/>
      </c>
      <c r="O528" s="1" t="str">
        <f t="shared" si="94"/>
        <v/>
      </c>
      <c r="P528" s="2" t="str">
        <f t="shared" si="95"/>
        <v/>
      </c>
      <c r="Q528" s="1" t="str">
        <f t="shared" si="96"/>
        <v/>
      </c>
      <c r="R528" s="2" t="str">
        <f t="shared" si="97"/>
        <v/>
      </c>
      <c r="S528" s="1" t="str">
        <f t="shared" si="98"/>
        <v/>
      </c>
    </row>
    <row r="529" spans="1:19" x14ac:dyDescent="0.2">
      <c r="A529" t="str">
        <f>IF(COUNTBLANK(B529:S529)&lt;&gt;COLUMNS(B529:S529),528,"")</f>
        <v/>
      </c>
      <c r="C529" s="2" t="str">
        <f t="shared" si="88"/>
        <v/>
      </c>
      <c r="D529" s="1" t="str">
        <f t="shared" si="89"/>
        <v/>
      </c>
      <c r="E529" s="1" t="str">
        <f t="shared" si="90"/>
        <v/>
      </c>
      <c r="I529" s="1" t="str">
        <f t="shared" si="91"/>
        <v/>
      </c>
      <c r="J529" s="2" t="str">
        <f t="shared" si="92"/>
        <v/>
      </c>
      <c r="K529" s="1" t="str">
        <f t="shared" si="93"/>
        <v/>
      </c>
      <c r="O529" s="1" t="str">
        <f t="shared" si="94"/>
        <v/>
      </c>
      <c r="P529" s="2" t="str">
        <f t="shared" si="95"/>
        <v/>
      </c>
      <c r="Q529" s="1" t="str">
        <f t="shared" si="96"/>
        <v/>
      </c>
      <c r="R529" s="2" t="str">
        <f t="shared" si="97"/>
        <v/>
      </c>
      <c r="S529" s="1" t="str">
        <f t="shared" si="98"/>
        <v/>
      </c>
    </row>
    <row r="530" spans="1:19" x14ac:dyDescent="0.2">
      <c r="A530" t="str">
        <f>IF(COUNTBLANK(B530:S530)&lt;&gt;COLUMNS(B530:S530),529,"")</f>
        <v/>
      </c>
      <c r="C530" s="2" t="str">
        <f t="shared" si="88"/>
        <v/>
      </c>
      <c r="D530" s="1" t="str">
        <f t="shared" si="89"/>
        <v/>
      </c>
      <c r="E530" s="1" t="str">
        <f t="shared" si="90"/>
        <v/>
      </c>
      <c r="I530" s="1" t="str">
        <f t="shared" si="91"/>
        <v/>
      </c>
      <c r="J530" s="2" t="str">
        <f t="shared" si="92"/>
        <v/>
      </c>
      <c r="K530" s="1" t="str">
        <f t="shared" si="93"/>
        <v/>
      </c>
      <c r="O530" s="1" t="str">
        <f t="shared" si="94"/>
        <v/>
      </c>
      <c r="P530" s="2" t="str">
        <f t="shared" si="95"/>
        <v/>
      </c>
      <c r="Q530" s="1" t="str">
        <f t="shared" si="96"/>
        <v/>
      </c>
      <c r="R530" s="2" t="str">
        <f t="shared" si="97"/>
        <v/>
      </c>
      <c r="S530" s="1" t="str">
        <f t="shared" si="98"/>
        <v/>
      </c>
    </row>
    <row r="531" spans="1:19" x14ac:dyDescent="0.2">
      <c r="A531" t="str">
        <f>IF(COUNTBLANK(B531:S531)&lt;&gt;COLUMNS(B531:S531),530,"")</f>
        <v/>
      </c>
      <c r="C531" s="2" t="str">
        <f t="shared" si="88"/>
        <v/>
      </c>
      <c r="D531" s="1" t="str">
        <f t="shared" si="89"/>
        <v/>
      </c>
      <c r="E531" s="1" t="str">
        <f t="shared" si="90"/>
        <v/>
      </c>
      <c r="I531" s="1" t="str">
        <f t="shared" si="91"/>
        <v/>
      </c>
      <c r="J531" s="2" t="str">
        <f t="shared" si="92"/>
        <v/>
      </c>
      <c r="K531" s="1" t="str">
        <f t="shared" si="93"/>
        <v/>
      </c>
      <c r="O531" s="1" t="str">
        <f t="shared" si="94"/>
        <v/>
      </c>
      <c r="P531" s="2" t="str">
        <f t="shared" si="95"/>
        <v/>
      </c>
      <c r="Q531" s="1" t="str">
        <f t="shared" si="96"/>
        <v/>
      </c>
      <c r="R531" s="2" t="str">
        <f t="shared" si="97"/>
        <v/>
      </c>
      <c r="S531" s="1" t="str">
        <f t="shared" si="98"/>
        <v/>
      </c>
    </row>
    <row r="532" spans="1:19" x14ac:dyDescent="0.2">
      <c r="A532" t="str">
        <f>IF(COUNTBLANK(B532:S532)&lt;&gt;COLUMNS(B532:S532),531,"")</f>
        <v/>
      </c>
      <c r="C532" s="2" t="str">
        <f t="shared" si="88"/>
        <v/>
      </c>
      <c r="D532" s="1" t="str">
        <f t="shared" si="89"/>
        <v/>
      </c>
      <c r="E532" s="1" t="str">
        <f t="shared" si="90"/>
        <v/>
      </c>
      <c r="I532" s="1" t="str">
        <f t="shared" si="91"/>
        <v/>
      </c>
      <c r="J532" s="2" t="str">
        <f t="shared" si="92"/>
        <v/>
      </c>
      <c r="K532" s="1" t="str">
        <f t="shared" si="93"/>
        <v/>
      </c>
      <c r="O532" s="1" t="str">
        <f t="shared" si="94"/>
        <v/>
      </c>
      <c r="P532" s="2" t="str">
        <f t="shared" si="95"/>
        <v/>
      </c>
      <c r="Q532" s="1" t="str">
        <f t="shared" si="96"/>
        <v/>
      </c>
      <c r="R532" s="2" t="str">
        <f t="shared" si="97"/>
        <v/>
      </c>
      <c r="S532" s="1" t="str">
        <f t="shared" si="98"/>
        <v/>
      </c>
    </row>
    <row r="533" spans="1:19" x14ac:dyDescent="0.2">
      <c r="A533" t="str">
        <f>IF(COUNTBLANK(B533:S533)&lt;&gt;COLUMNS(B533:S533),532,"")</f>
        <v/>
      </c>
      <c r="C533" s="2" t="str">
        <f t="shared" si="88"/>
        <v/>
      </c>
      <c r="D533" s="1" t="str">
        <f t="shared" si="89"/>
        <v/>
      </c>
      <c r="E533" s="1" t="str">
        <f t="shared" si="90"/>
        <v/>
      </c>
      <c r="I533" s="1" t="str">
        <f t="shared" si="91"/>
        <v/>
      </c>
      <c r="J533" s="2" t="str">
        <f t="shared" si="92"/>
        <v/>
      </c>
      <c r="K533" s="1" t="str">
        <f t="shared" si="93"/>
        <v/>
      </c>
      <c r="O533" s="1" t="str">
        <f t="shared" si="94"/>
        <v/>
      </c>
      <c r="P533" s="2" t="str">
        <f t="shared" si="95"/>
        <v/>
      </c>
      <c r="Q533" s="1" t="str">
        <f t="shared" si="96"/>
        <v/>
      </c>
      <c r="R533" s="2" t="str">
        <f t="shared" si="97"/>
        <v/>
      </c>
      <c r="S533" s="1" t="str">
        <f t="shared" si="98"/>
        <v/>
      </c>
    </row>
    <row r="534" spans="1:19" x14ac:dyDescent="0.2">
      <c r="A534" t="str">
        <f>IF(COUNTBLANK(B534:S534)&lt;&gt;COLUMNS(B534:S534),533,"")</f>
        <v/>
      </c>
      <c r="C534" s="2" t="str">
        <f t="shared" si="88"/>
        <v/>
      </c>
      <c r="D534" s="1" t="str">
        <f t="shared" si="89"/>
        <v/>
      </c>
      <c r="E534" s="1" t="str">
        <f t="shared" si="90"/>
        <v/>
      </c>
      <c r="I534" s="1" t="str">
        <f t="shared" si="91"/>
        <v/>
      </c>
      <c r="J534" s="2" t="str">
        <f t="shared" si="92"/>
        <v/>
      </c>
      <c r="K534" s="1" t="str">
        <f t="shared" si="93"/>
        <v/>
      </c>
      <c r="O534" s="1" t="str">
        <f t="shared" si="94"/>
        <v/>
      </c>
      <c r="P534" s="2" t="str">
        <f t="shared" si="95"/>
        <v/>
      </c>
      <c r="Q534" s="1" t="str">
        <f t="shared" si="96"/>
        <v/>
      </c>
      <c r="R534" s="2" t="str">
        <f t="shared" si="97"/>
        <v/>
      </c>
      <c r="S534" s="1" t="str">
        <f t="shared" si="98"/>
        <v/>
      </c>
    </row>
    <row r="535" spans="1:19" x14ac:dyDescent="0.2">
      <c r="A535" t="str">
        <f>IF(COUNTBLANK(B535:S535)&lt;&gt;COLUMNS(B535:S535),534,"")</f>
        <v/>
      </c>
      <c r="C535" s="2" t="str">
        <f t="shared" si="88"/>
        <v/>
      </c>
      <c r="D535" s="1" t="str">
        <f t="shared" si="89"/>
        <v/>
      </c>
      <c r="E535" s="1" t="str">
        <f t="shared" si="90"/>
        <v/>
      </c>
      <c r="I535" s="1" t="str">
        <f t="shared" si="91"/>
        <v/>
      </c>
      <c r="J535" s="2" t="str">
        <f t="shared" si="92"/>
        <v/>
      </c>
      <c r="K535" s="1" t="str">
        <f t="shared" si="93"/>
        <v/>
      </c>
      <c r="O535" s="1" t="str">
        <f t="shared" si="94"/>
        <v/>
      </c>
      <c r="P535" s="2" t="str">
        <f t="shared" si="95"/>
        <v/>
      </c>
      <c r="Q535" s="1" t="str">
        <f t="shared" si="96"/>
        <v/>
      </c>
      <c r="R535" s="2" t="str">
        <f t="shared" si="97"/>
        <v/>
      </c>
      <c r="S535" s="1" t="str">
        <f t="shared" si="98"/>
        <v/>
      </c>
    </row>
    <row r="536" spans="1:19" x14ac:dyDescent="0.2">
      <c r="A536" t="str">
        <f>IF(COUNTBLANK(B536:S536)&lt;&gt;COLUMNS(B536:S536),535,"")</f>
        <v/>
      </c>
      <c r="C536" s="2" t="str">
        <f t="shared" si="88"/>
        <v/>
      </c>
      <c r="D536" s="1" t="str">
        <f t="shared" si="89"/>
        <v/>
      </c>
      <c r="E536" s="1" t="str">
        <f t="shared" si="90"/>
        <v/>
      </c>
      <c r="I536" s="1" t="str">
        <f t="shared" si="91"/>
        <v/>
      </c>
      <c r="J536" s="2" t="str">
        <f t="shared" si="92"/>
        <v/>
      </c>
      <c r="K536" s="1" t="str">
        <f t="shared" si="93"/>
        <v/>
      </c>
      <c r="O536" s="1" t="str">
        <f t="shared" si="94"/>
        <v/>
      </c>
      <c r="P536" s="2" t="str">
        <f t="shared" si="95"/>
        <v/>
      </c>
      <c r="Q536" s="1" t="str">
        <f t="shared" si="96"/>
        <v/>
      </c>
      <c r="R536" s="2" t="str">
        <f t="shared" si="97"/>
        <v/>
      </c>
      <c r="S536" s="1" t="str">
        <f t="shared" si="98"/>
        <v/>
      </c>
    </row>
    <row r="537" spans="1:19" x14ac:dyDescent="0.2">
      <c r="A537" t="str">
        <f>IF(COUNTBLANK(B537:S537)&lt;&gt;COLUMNS(B537:S537),536,"")</f>
        <v/>
      </c>
      <c r="C537" s="2" t="str">
        <f t="shared" si="88"/>
        <v/>
      </c>
      <c r="D537" s="1" t="str">
        <f t="shared" si="89"/>
        <v/>
      </c>
      <c r="E537" s="1" t="str">
        <f t="shared" si="90"/>
        <v/>
      </c>
      <c r="I537" s="1" t="str">
        <f t="shared" si="91"/>
        <v/>
      </c>
      <c r="J537" s="2" t="str">
        <f t="shared" si="92"/>
        <v/>
      </c>
      <c r="K537" s="1" t="str">
        <f t="shared" si="93"/>
        <v/>
      </c>
      <c r="O537" s="1" t="str">
        <f t="shared" si="94"/>
        <v/>
      </c>
      <c r="P537" s="2" t="str">
        <f t="shared" si="95"/>
        <v/>
      </c>
      <c r="Q537" s="1" t="str">
        <f t="shared" si="96"/>
        <v/>
      </c>
      <c r="R537" s="2" t="str">
        <f t="shared" si="97"/>
        <v/>
      </c>
      <c r="S537" s="1" t="str">
        <f t="shared" si="98"/>
        <v/>
      </c>
    </row>
    <row r="538" spans="1:19" x14ac:dyDescent="0.2">
      <c r="A538" t="str">
        <f>IF(COUNTBLANK(B538:S538)&lt;&gt;COLUMNS(B538:S538),537,"")</f>
        <v/>
      </c>
      <c r="C538" s="2" t="str">
        <f t="shared" si="88"/>
        <v/>
      </c>
      <c r="D538" s="1" t="str">
        <f t="shared" si="89"/>
        <v/>
      </c>
      <c r="E538" s="1" t="str">
        <f t="shared" si="90"/>
        <v/>
      </c>
      <c r="I538" s="1" t="str">
        <f t="shared" si="91"/>
        <v/>
      </c>
      <c r="J538" s="2" t="str">
        <f t="shared" si="92"/>
        <v/>
      </c>
      <c r="K538" s="1" t="str">
        <f t="shared" si="93"/>
        <v/>
      </c>
      <c r="O538" s="1" t="str">
        <f t="shared" si="94"/>
        <v/>
      </c>
      <c r="P538" s="2" t="str">
        <f t="shared" si="95"/>
        <v/>
      </c>
      <c r="Q538" s="1" t="str">
        <f t="shared" si="96"/>
        <v/>
      </c>
      <c r="R538" s="2" t="str">
        <f t="shared" si="97"/>
        <v/>
      </c>
      <c r="S538" s="1" t="str">
        <f t="shared" si="98"/>
        <v/>
      </c>
    </row>
    <row r="539" spans="1:19" x14ac:dyDescent="0.2">
      <c r="A539" t="str">
        <f>IF(COUNTBLANK(B539:S539)&lt;&gt;COLUMNS(B539:S539),538,"")</f>
        <v/>
      </c>
      <c r="C539" s="2" t="str">
        <f t="shared" si="88"/>
        <v/>
      </c>
      <c r="D539" s="1" t="str">
        <f t="shared" si="89"/>
        <v/>
      </c>
      <c r="E539" s="1" t="str">
        <f t="shared" si="90"/>
        <v/>
      </c>
      <c r="I539" s="1" t="str">
        <f t="shared" si="91"/>
        <v/>
      </c>
      <c r="J539" s="2" t="str">
        <f t="shared" si="92"/>
        <v/>
      </c>
      <c r="K539" s="1" t="str">
        <f t="shared" si="93"/>
        <v/>
      </c>
      <c r="O539" s="1" t="str">
        <f t="shared" si="94"/>
        <v/>
      </c>
      <c r="P539" s="2" t="str">
        <f t="shared" si="95"/>
        <v/>
      </c>
      <c r="Q539" s="1" t="str">
        <f t="shared" si="96"/>
        <v/>
      </c>
      <c r="R539" s="2" t="str">
        <f t="shared" si="97"/>
        <v/>
      </c>
      <c r="S539" s="1" t="str">
        <f t="shared" si="98"/>
        <v/>
      </c>
    </row>
    <row r="540" spans="1:19" x14ac:dyDescent="0.2">
      <c r="A540" t="str">
        <f>IF(COUNTBLANK(B540:S540)&lt;&gt;COLUMNS(B540:S540),539,"")</f>
        <v/>
      </c>
      <c r="C540" s="2" t="str">
        <f t="shared" si="88"/>
        <v/>
      </c>
      <c r="D540" s="1" t="str">
        <f t="shared" si="89"/>
        <v/>
      </c>
      <c r="E540" s="1" t="str">
        <f t="shared" si="90"/>
        <v/>
      </c>
      <c r="I540" s="1" t="str">
        <f t="shared" si="91"/>
        <v/>
      </c>
      <c r="J540" s="2" t="str">
        <f t="shared" si="92"/>
        <v/>
      </c>
      <c r="K540" s="1" t="str">
        <f t="shared" si="93"/>
        <v/>
      </c>
      <c r="O540" s="1" t="str">
        <f t="shared" si="94"/>
        <v/>
      </c>
      <c r="P540" s="2" t="str">
        <f t="shared" si="95"/>
        <v/>
      </c>
      <c r="Q540" s="1" t="str">
        <f t="shared" si="96"/>
        <v/>
      </c>
      <c r="R540" s="2" t="str">
        <f t="shared" si="97"/>
        <v/>
      </c>
      <c r="S540" s="1" t="str">
        <f t="shared" si="98"/>
        <v/>
      </c>
    </row>
    <row r="541" spans="1:19" x14ac:dyDescent="0.2">
      <c r="A541" t="str">
        <f>IF(COUNTBLANK(B541:S541)&lt;&gt;COLUMNS(B541:S541),540,"")</f>
        <v/>
      </c>
      <c r="C541" s="2" t="str">
        <f t="shared" si="88"/>
        <v/>
      </c>
      <c r="D541" s="1" t="str">
        <f t="shared" si="89"/>
        <v/>
      </c>
      <c r="E541" s="1" t="str">
        <f t="shared" si="90"/>
        <v/>
      </c>
      <c r="I541" s="1" t="str">
        <f t="shared" si="91"/>
        <v/>
      </c>
      <c r="J541" s="2" t="str">
        <f t="shared" si="92"/>
        <v/>
      </c>
      <c r="K541" s="1" t="str">
        <f t="shared" si="93"/>
        <v/>
      </c>
      <c r="O541" s="1" t="str">
        <f t="shared" si="94"/>
        <v/>
      </c>
      <c r="P541" s="2" t="str">
        <f t="shared" si="95"/>
        <v/>
      </c>
      <c r="Q541" s="1" t="str">
        <f t="shared" si="96"/>
        <v/>
      </c>
      <c r="R541" s="2" t="str">
        <f t="shared" si="97"/>
        <v/>
      </c>
      <c r="S541" s="1" t="str">
        <f t="shared" si="98"/>
        <v/>
      </c>
    </row>
    <row r="542" spans="1:19" x14ac:dyDescent="0.2">
      <c r="A542" t="str">
        <f>IF(COUNTBLANK(B542:S542)&lt;&gt;COLUMNS(B542:S542),541,"")</f>
        <v/>
      </c>
      <c r="C542" s="2" t="str">
        <f t="shared" si="88"/>
        <v/>
      </c>
      <c r="D542" s="1" t="str">
        <f t="shared" si="89"/>
        <v/>
      </c>
      <c r="E542" s="1" t="str">
        <f t="shared" si="90"/>
        <v/>
      </c>
      <c r="I542" s="1" t="str">
        <f t="shared" si="91"/>
        <v/>
      </c>
      <c r="J542" s="2" t="str">
        <f t="shared" si="92"/>
        <v/>
      </c>
      <c r="K542" s="1" t="str">
        <f t="shared" si="93"/>
        <v/>
      </c>
      <c r="O542" s="1" t="str">
        <f t="shared" si="94"/>
        <v/>
      </c>
      <c r="P542" s="2" t="str">
        <f t="shared" si="95"/>
        <v/>
      </c>
      <c r="Q542" s="1" t="str">
        <f t="shared" si="96"/>
        <v/>
      </c>
      <c r="R542" s="2" t="str">
        <f t="shared" si="97"/>
        <v/>
      </c>
      <c r="S542" s="1" t="str">
        <f t="shared" si="98"/>
        <v/>
      </c>
    </row>
    <row r="543" spans="1:19" x14ac:dyDescent="0.2">
      <c r="A543" t="str">
        <f>IF(COUNTBLANK(B543:S543)&lt;&gt;COLUMNS(B543:S543),542,"")</f>
        <v/>
      </c>
      <c r="C543" s="2" t="str">
        <f t="shared" si="88"/>
        <v/>
      </c>
      <c r="D543" s="1" t="str">
        <f t="shared" si="89"/>
        <v/>
      </c>
      <c r="E543" s="1" t="str">
        <f t="shared" si="90"/>
        <v/>
      </c>
      <c r="I543" s="1" t="str">
        <f t="shared" si="91"/>
        <v/>
      </c>
      <c r="J543" s="2" t="str">
        <f t="shared" si="92"/>
        <v/>
      </c>
      <c r="K543" s="1" t="str">
        <f t="shared" si="93"/>
        <v/>
      </c>
      <c r="O543" s="1" t="str">
        <f t="shared" si="94"/>
        <v/>
      </c>
      <c r="P543" s="2" t="str">
        <f t="shared" si="95"/>
        <v/>
      </c>
      <c r="Q543" s="1" t="str">
        <f t="shared" si="96"/>
        <v/>
      </c>
      <c r="R543" s="2" t="str">
        <f t="shared" si="97"/>
        <v/>
      </c>
      <c r="S543" s="1" t="str">
        <f t="shared" si="98"/>
        <v/>
      </c>
    </row>
    <row r="544" spans="1:19" x14ac:dyDescent="0.2">
      <c r="A544" t="str">
        <f>IF(COUNTBLANK(B544:S544)&lt;&gt;COLUMNS(B544:S544),543,"")</f>
        <v/>
      </c>
      <c r="C544" s="2" t="str">
        <f t="shared" si="88"/>
        <v/>
      </c>
      <c r="D544" s="1" t="str">
        <f t="shared" si="89"/>
        <v/>
      </c>
      <c r="E544" s="1" t="str">
        <f t="shared" si="90"/>
        <v/>
      </c>
      <c r="I544" s="1" t="str">
        <f t="shared" si="91"/>
        <v/>
      </c>
      <c r="J544" s="2" t="str">
        <f t="shared" si="92"/>
        <v/>
      </c>
      <c r="K544" s="1" t="str">
        <f t="shared" si="93"/>
        <v/>
      </c>
      <c r="O544" s="1" t="str">
        <f t="shared" si="94"/>
        <v/>
      </c>
      <c r="P544" s="2" t="str">
        <f t="shared" si="95"/>
        <v/>
      </c>
      <c r="Q544" s="1" t="str">
        <f t="shared" si="96"/>
        <v/>
      </c>
      <c r="R544" s="2" t="str">
        <f t="shared" si="97"/>
        <v/>
      </c>
      <c r="S544" s="1" t="str">
        <f t="shared" si="98"/>
        <v/>
      </c>
    </row>
    <row r="545" spans="1:19" x14ac:dyDescent="0.2">
      <c r="A545" t="str">
        <f>IF(COUNTBLANK(B545:S545)&lt;&gt;COLUMNS(B545:S545),544,"")</f>
        <v/>
      </c>
      <c r="C545" s="2" t="str">
        <f t="shared" si="88"/>
        <v/>
      </c>
      <c r="D545" s="1" t="str">
        <f t="shared" si="89"/>
        <v/>
      </c>
      <c r="E545" s="1" t="str">
        <f t="shared" si="90"/>
        <v/>
      </c>
      <c r="I545" s="1" t="str">
        <f t="shared" si="91"/>
        <v/>
      </c>
      <c r="J545" s="2" t="str">
        <f t="shared" si="92"/>
        <v/>
      </c>
      <c r="K545" s="1" t="str">
        <f t="shared" si="93"/>
        <v/>
      </c>
      <c r="O545" s="1" t="str">
        <f t="shared" si="94"/>
        <v/>
      </c>
      <c r="P545" s="2" t="str">
        <f t="shared" si="95"/>
        <v/>
      </c>
      <c r="Q545" s="1" t="str">
        <f t="shared" si="96"/>
        <v/>
      </c>
      <c r="R545" s="2" t="str">
        <f t="shared" si="97"/>
        <v/>
      </c>
      <c r="S545" s="1" t="str">
        <f t="shared" si="98"/>
        <v/>
      </c>
    </row>
    <row r="546" spans="1:19" x14ac:dyDescent="0.2">
      <c r="A546" t="str">
        <f>IF(COUNTBLANK(B546:S546)&lt;&gt;COLUMNS(B546:S546),545,"")</f>
        <v/>
      </c>
      <c r="C546" s="2" t="str">
        <f t="shared" si="88"/>
        <v/>
      </c>
      <c r="D546" s="1" t="str">
        <f t="shared" si="89"/>
        <v/>
      </c>
      <c r="E546" s="1" t="str">
        <f t="shared" si="90"/>
        <v/>
      </c>
      <c r="I546" s="1" t="str">
        <f t="shared" si="91"/>
        <v/>
      </c>
      <c r="J546" s="2" t="str">
        <f t="shared" si="92"/>
        <v/>
      </c>
      <c r="K546" s="1" t="str">
        <f t="shared" si="93"/>
        <v/>
      </c>
      <c r="O546" s="1" t="str">
        <f t="shared" si="94"/>
        <v/>
      </c>
      <c r="P546" s="2" t="str">
        <f t="shared" si="95"/>
        <v/>
      </c>
      <c r="Q546" s="1" t="str">
        <f t="shared" si="96"/>
        <v/>
      </c>
      <c r="R546" s="2" t="str">
        <f t="shared" si="97"/>
        <v/>
      </c>
      <c r="S546" s="1" t="str">
        <f t="shared" si="98"/>
        <v/>
      </c>
    </row>
    <row r="547" spans="1:19" x14ac:dyDescent="0.2">
      <c r="A547" t="str">
        <f>IF(COUNTBLANK(B547:S547)&lt;&gt;COLUMNS(B547:S547),546,"")</f>
        <v/>
      </c>
      <c r="C547" s="2" t="str">
        <f t="shared" si="88"/>
        <v/>
      </c>
      <c r="D547" s="1" t="str">
        <f t="shared" si="89"/>
        <v/>
      </c>
      <c r="E547" s="1" t="str">
        <f t="shared" si="90"/>
        <v/>
      </c>
      <c r="I547" s="1" t="str">
        <f t="shared" si="91"/>
        <v/>
      </c>
      <c r="J547" s="2" t="str">
        <f t="shared" si="92"/>
        <v/>
      </c>
      <c r="K547" s="1" t="str">
        <f t="shared" si="93"/>
        <v/>
      </c>
      <c r="O547" s="1" t="str">
        <f t="shared" si="94"/>
        <v/>
      </c>
      <c r="P547" s="2" t="str">
        <f t="shared" si="95"/>
        <v/>
      </c>
      <c r="Q547" s="1" t="str">
        <f t="shared" si="96"/>
        <v/>
      </c>
      <c r="R547" s="2" t="str">
        <f t="shared" si="97"/>
        <v/>
      </c>
      <c r="S547" s="1" t="str">
        <f t="shared" si="98"/>
        <v/>
      </c>
    </row>
    <row r="548" spans="1:19" x14ac:dyDescent="0.2">
      <c r="A548" t="str">
        <f>IF(COUNTBLANK(B548:S548)&lt;&gt;COLUMNS(B548:S548),547,"")</f>
        <v/>
      </c>
      <c r="C548" s="2" t="str">
        <f t="shared" si="88"/>
        <v/>
      </c>
      <c r="D548" s="1" t="str">
        <f t="shared" si="89"/>
        <v/>
      </c>
      <c r="E548" s="1" t="str">
        <f t="shared" si="90"/>
        <v/>
      </c>
      <c r="I548" s="1" t="str">
        <f t="shared" si="91"/>
        <v/>
      </c>
      <c r="J548" s="2" t="str">
        <f t="shared" si="92"/>
        <v/>
      </c>
      <c r="K548" s="1" t="str">
        <f t="shared" si="93"/>
        <v/>
      </c>
      <c r="O548" s="1" t="str">
        <f t="shared" si="94"/>
        <v/>
      </c>
      <c r="P548" s="2" t="str">
        <f t="shared" si="95"/>
        <v/>
      </c>
      <c r="Q548" s="1" t="str">
        <f t="shared" si="96"/>
        <v/>
      </c>
      <c r="R548" s="2" t="str">
        <f t="shared" si="97"/>
        <v/>
      </c>
      <c r="S548" s="1" t="str">
        <f t="shared" si="98"/>
        <v/>
      </c>
    </row>
    <row r="549" spans="1:19" x14ac:dyDescent="0.2">
      <c r="A549" t="str">
        <f>IF(COUNTBLANK(B549:S549)&lt;&gt;COLUMNS(B549:S549),548,"")</f>
        <v/>
      </c>
      <c r="C549" s="2" t="str">
        <f t="shared" si="88"/>
        <v/>
      </c>
      <c r="D549" s="1" t="str">
        <f t="shared" si="89"/>
        <v/>
      </c>
      <c r="E549" s="1" t="str">
        <f t="shared" si="90"/>
        <v/>
      </c>
      <c r="I549" s="1" t="str">
        <f t="shared" si="91"/>
        <v/>
      </c>
      <c r="J549" s="2" t="str">
        <f t="shared" si="92"/>
        <v/>
      </c>
      <c r="K549" s="1" t="str">
        <f t="shared" si="93"/>
        <v/>
      </c>
      <c r="O549" s="1" t="str">
        <f t="shared" si="94"/>
        <v/>
      </c>
      <c r="P549" s="2" t="str">
        <f t="shared" si="95"/>
        <v/>
      </c>
      <c r="Q549" s="1" t="str">
        <f t="shared" si="96"/>
        <v/>
      </c>
      <c r="R549" s="2" t="str">
        <f t="shared" si="97"/>
        <v/>
      </c>
      <c r="S549" s="1" t="str">
        <f t="shared" si="98"/>
        <v/>
      </c>
    </row>
    <row r="550" spans="1:19" x14ac:dyDescent="0.2">
      <c r="A550" t="str">
        <f>IF(COUNTBLANK(B550:S550)&lt;&gt;COLUMNS(B550:S550),549,"")</f>
        <v/>
      </c>
      <c r="C550" s="2" t="str">
        <f t="shared" si="88"/>
        <v/>
      </c>
      <c r="D550" s="1" t="str">
        <f t="shared" si="89"/>
        <v/>
      </c>
      <c r="E550" s="1" t="str">
        <f t="shared" si="90"/>
        <v/>
      </c>
      <c r="I550" s="1" t="str">
        <f t="shared" si="91"/>
        <v/>
      </c>
      <c r="J550" s="2" t="str">
        <f t="shared" si="92"/>
        <v/>
      </c>
      <c r="K550" s="1" t="str">
        <f t="shared" si="93"/>
        <v/>
      </c>
      <c r="O550" s="1" t="str">
        <f t="shared" si="94"/>
        <v/>
      </c>
      <c r="P550" s="2" t="str">
        <f t="shared" si="95"/>
        <v/>
      </c>
      <c r="Q550" s="1" t="str">
        <f t="shared" si="96"/>
        <v/>
      </c>
      <c r="R550" s="2" t="str">
        <f t="shared" si="97"/>
        <v/>
      </c>
      <c r="S550" s="1" t="str">
        <f t="shared" si="98"/>
        <v/>
      </c>
    </row>
    <row r="551" spans="1:19" x14ac:dyDescent="0.2">
      <c r="A551" t="str">
        <f>IF(COUNTBLANK(B551:S551)&lt;&gt;COLUMNS(B551:S551),550,"")</f>
        <v/>
      </c>
      <c r="C551" s="2" t="str">
        <f t="shared" si="88"/>
        <v/>
      </c>
      <c r="D551" s="1" t="str">
        <f t="shared" si="89"/>
        <v/>
      </c>
      <c r="E551" s="1" t="str">
        <f t="shared" si="90"/>
        <v/>
      </c>
      <c r="I551" s="1" t="str">
        <f t="shared" si="91"/>
        <v/>
      </c>
      <c r="J551" s="2" t="str">
        <f t="shared" si="92"/>
        <v/>
      </c>
      <c r="K551" s="1" t="str">
        <f t="shared" si="93"/>
        <v/>
      </c>
      <c r="O551" s="1" t="str">
        <f t="shared" si="94"/>
        <v/>
      </c>
      <c r="P551" s="2" t="str">
        <f t="shared" si="95"/>
        <v/>
      </c>
      <c r="Q551" s="1" t="str">
        <f t="shared" si="96"/>
        <v/>
      </c>
      <c r="R551" s="2" t="str">
        <f t="shared" si="97"/>
        <v/>
      </c>
      <c r="S551" s="1" t="str">
        <f t="shared" si="98"/>
        <v/>
      </c>
    </row>
    <row r="552" spans="1:19" x14ac:dyDescent="0.2">
      <c r="A552" t="str">
        <f>IF(COUNTBLANK(B552:S552)&lt;&gt;COLUMNS(B552:S552),551,"")</f>
        <v/>
      </c>
      <c r="C552" s="2" t="str">
        <f t="shared" si="88"/>
        <v/>
      </c>
      <c r="D552" s="1" t="str">
        <f t="shared" si="89"/>
        <v/>
      </c>
      <c r="E552" s="1" t="str">
        <f t="shared" si="90"/>
        <v/>
      </c>
      <c r="I552" s="1" t="str">
        <f t="shared" si="91"/>
        <v/>
      </c>
      <c r="J552" s="2" t="str">
        <f t="shared" si="92"/>
        <v/>
      </c>
      <c r="K552" s="1" t="str">
        <f t="shared" si="93"/>
        <v/>
      </c>
      <c r="O552" s="1" t="str">
        <f t="shared" si="94"/>
        <v/>
      </c>
      <c r="P552" s="2" t="str">
        <f t="shared" si="95"/>
        <v/>
      </c>
      <c r="Q552" s="1" t="str">
        <f t="shared" si="96"/>
        <v/>
      </c>
      <c r="R552" s="2" t="str">
        <f t="shared" si="97"/>
        <v/>
      </c>
      <c r="S552" s="1" t="str">
        <f t="shared" si="98"/>
        <v/>
      </c>
    </row>
    <row r="553" spans="1:19" x14ac:dyDescent="0.2">
      <c r="A553" t="str">
        <f>IF(COUNTBLANK(B553:S553)&lt;&gt;COLUMNS(B553:S553),552,"")</f>
        <v/>
      </c>
      <c r="C553" s="2" t="str">
        <f t="shared" si="88"/>
        <v/>
      </c>
      <c r="D553" s="1" t="str">
        <f t="shared" si="89"/>
        <v/>
      </c>
      <c r="E553" s="1" t="str">
        <f t="shared" si="90"/>
        <v/>
      </c>
      <c r="I553" s="1" t="str">
        <f t="shared" si="91"/>
        <v/>
      </c>
      <c r="J553" s="2" t="str">
        <f t="shared" si="92"/>
        <v/>
      </c>
      <c r="K553" s="1" t="str">
        <f t="shared" si="93"/>
        <v/>
      </c>
      <c r="O553" s="1" t="str">
        <f t="shared" si="94"/>
        <v/>
      </c>
      <c r="P553" s="2" t="str">
        <f t="shared" si="95"/>
        <v/>
      </c>
      <c r="Q553" s="1" t="str">
        <f t="shared" si="96"/>
        <v/>
      </c>
      <c r="R553" s="2" t="str">
        <f t="shared" si="97"/>
        <v/>
      </c>
      <c r="S553" s="1" t="str">
        <f t="shared" si="98"/>
        <v/>
      </c>
    </row>
    <row r="554" spans="1:19" x14ac:dyDescent="0.2">
      <c r="A554" t="str">
        <f>IF(COUNTBLANK(B554:S554)&lt;&gt;COLUMNS(B554:S554),553,"")</f>
        <v/>
      </c>
      <c r="C554" s="2" t="str">
        <f t="shared" si="88"/>
        <v/>
      </c>
      <c r="D554" s="1" t="str">
        <f t="shared" si="89"/>
        <v/>
      </c>
      <c r="E554" s="1" t="str">
        <f t="shared" si="90"/>
        <v/>
      </c>
      <c r="I554" s="1" t="str">
        <f t="shared" si="91"/>
        <v/>
      </c>
      <c r="J554" s="2" t="str">
        <f t="shared" si="92"/>
        <v/>
      </c>
      <c r="K554" s="1" t="str">
        <f t="shared" si="93"/>
        <v/>
      </c>
      <c r="O554" s="1" t="str">
        <f t="shared" si="94"/>
        <v/>
      </c>
      <c r="P554" s="2" t="str">
        <f t="shared" si="95"/>
        <v/>
      </c>
      <c r="Q554" s="1" t="str">
        <f t="shared" si="96"/>
        <v/>
      </c>
      <c r="R554" s="2" t="str">
        <f t="shared" si="97"/>
        <v/>
      </c>
      <c r="S554" s="1" t="str">
        <f t="shared" si="98"/>
        <v/>
      </c>
    </row>
    <row r="555" spans="1:19" x14ac:dyDescent="0.2">
      <c r="A555" t="str">
        <f>IF(COUNTBLANK(B555:S555)&lt;&gt;COLUMNS(B555:S555),554,"")</f>
        <v/>
      </c>
      <c r="C555" s="2" t="str">
        <f t="shared" si="88"/>
        <v/>
      </c>
      <c r="D555" s="1" t="str">
        <f t="shared" si="89"/>
        <v/>
      </c>
      <c r="E555" s="1" t="str">
        <f t="shared" si="90"/>
        <v/>
      </c>
      <c r="I555" s="1" t="str">
        <f t="shared" si="91"/>
        <v/>
      </c>
      <c r="J555" s="2" t="str">
        <f t="shared" si="92"/>
        <v/>
      </c>
      <c r="K555" s="1" t="str">
        <f t="shared" si="93"/>
        <v/>
      </c>
      <c r="O555" s="1" t="str">
        <f t="shared" si="94"/>
        <v/>
      </c>
      <c r="P555" s="2" t="str">
        <f t="shared" si="95"/>
        <v/>
      </c>
      <c r="Q555" s="1" t="str">
        <f t="shared" si="96"/>
        <v/>
      </c>
      <c r="R555" s="2" t="str">
        <f t="shared" si="97"/>
        <v/>
      </c>
      <c r="S555" s="1" t="str">
        <f t="shared" si="98"/>
        <v/>
      </c>
    </row>
    <row r="556" spans="1:19" x14ac:dyDescent="0.2">
      <c r="A556" t="str">
        <f>IF(COUNTBLANK(B556:S556)&lt;&gt;COLUMNS(B556:S556),555,"")</f>
        <v/>
      </c>
      <c r="C556" s="2" t="str">
        <f t="shared" si="88"/>
        <v/>
      </c>
      <c r="D556" s="1" t="str">
        <f t="shared" si="89"/>
        <v/>
      </c>
      <c r="E556" s="1" t="str">
        <f t="shared" si="90"/>
        <v/>
      </c>
      <c r="I556" s="1" t="str">
        <f t="shared" si="91"/>
        <v/>
      </c>
      <c r="J556" s="2" t="str">
        <f t="shared" si="92"/>
        <v/>
      </c>
      <c r="K556" s="1" t="str">
        <f t="shared" si="93"/>
        <v/>
      </c>
      <c r="O556" s="1" t="str">
        <f t="shared" si="94"/>
        <v/>
      </c>
      <c r="P556" s="2" t="str">
        <f t="shared" si="95"/>
        <v/>
      </c>
      <c r="Q556" s="1" t="str">
        <f t="shared" si="96"/>
        <v/>
      </c>
      <c r="R556" s="2" t="str">
        <f t="shared" si="97"/>
        <v/>
      </c>
      <c r="S556" s="1" t="str">
        <f t="shared" si="98"/>
        <v/>
      </c>
    </row>
    <row r="557" spans="1:19" x14ac:dyDescent="0.2">
      <c r="A557" t="str">
        <f>IF(COUNTBLANK(B557:S557)&lt;&gt;COLUMNS(B557:S557),556,"")</f>
        <v/>
      </c>
      <c r="C557" s="2" t="str">
        <f t="shared" si="88"/>
        <v/>
      </c>
      <c r="D557" s="1" t="str">
        <f t="shared" si="89"/>
        <v/>
      </c>
      <c r="E557" s="1" t="str">
        <f t="shared" si="90"/>
        <v/>
      </c>
      <c r="I557" s="1" t="str">
        <f t="shared" si="91"/>
        <v/>
      </c>
      <c r="J557" s="2" t="str">
        <f t="shared" si="92"/>
        <v/>
      </c>
      <c r="K557" s="1" t="str">
        <f t="shared" si="93"/>
        <v/>
      </c>
      <c r="O557" s="1" t="str">
        <f t="shared" si="94"/>
        <v/>
      </c>
      <c r="P557" s="2" t="str">
        <f t="shared" si="95"/>
        <v/>
      </c>
      <c r="Q557" s="1" t="str">
        <f t="shared" si="96"/>
        <v/>
      </c>
      <c r="R557" s="2" t="str">
        <f t="shared" si="97"/>
        <v/>
      </c>
      <c r="S557" s="1" t="str">
        <f t="shared" si="98"/>
        <v/>
      </c>
    </row>
    <row r="558" spans="1:19" x14ac:dyDescent="0.2">
      <c r="A558" t="str">
        <f>IF(COUNTBLANK(B558:S558)&lt;&gt;COLUMNS(B558:S558),557,"")</f>
        <v/>
      </c>
      <c r="C558" s="2" t="str">
        <f t="shared" si="88"/>
        <v/>
      </c>
      <c r="D558" s="1" t="str">
        <f t="shared" si="89"/>
        <v/>
      </c>
      <c r="E558" s="1" t="str">
        <f t="shared" si="90"/>
        <v/>
      </c>
      <c r="I558" s="1" t="str">
        <f t="shared" si="91"/>
        <v/>
      </c>
      <c r="J558" s="2" t="str">
        <f t="shared" si="92"/>
        <v/>
      </c>
      <c r="K558" s="1" t="str">
        <f t="shared" si="93"/>
        <v/>
      </c>
      <c r="O558" s="1" t="str">
        <f t="shared" si="94"/>
        <v/>
      </c>
      <c r="P558" s="2" t="str">
        <f t="shared" si="95"/>
        <v/>
      </c>
      <c r="Q558" s="1" t="str">
        <f t="shared" si="96"/>
        <v/>
      </c>
      <c r="R558" s="2" t="str">
        <f t="shared" si="97"/>
        <v/>
      </c>
      <c r="S558" s="1" t="str">
        <f t="shared" si="98"/>
        <v/>
      </c>
    </row>
    <row r="559" spans="1:19" x14ac:dyDescent="0.2">
      <c r="A559" t="str">
        <f>IF(COUNTBLANK(B559:S559)&lt;&gt;COLUMNS(B559:S559),558,"")</f>
        <v/>
      </c>
      <c r="C559" s="2" t="str">
        <f t="shared" si="88"/>
        <v/>
      </c>
      <c r="D559" s="1" t="str">
        <f t="shared" si="89"/>
        <v/>
      </c>
      <c r="E559" s="1" t="str">
        <f t="shared" si="90"/>
        <v/>
      </c>
      <c r="I559" s="1" t="str">
        <f t="shared" si="91"/>
        <v/>
      </c>
      <c r="J559" s="2" t="str">
        <f t="shared" si="92"/>
        <v/>
      </c>
      <c r="K559" s="1" t="str">
        <f t="shared" si="93"/>
        <v/>
      </c>
      <c r="O559" s="1" t="str">
        <f t="shared" si="94"/>
        <v/>
      </c>
      <c r="P559" s="2" t="str">
        <f t="shared" si="95"/>
        <v/>
      </c>
      <c r="Q559" s="1" t="str">
        <f t="shared" si="96"/>
        <v/>
      </c>
      <c r="R559" s="2" t="str">
        <f t="shared" si="97"/>
        <v/>
      </c>
      <c r="S559" s="1" t="str">
        <f t="shared" si="98"/>
        <v/>
      </c>
    </row>
    <row r="560" spans="1:19" x14ac:dyDescent="0.2">
      <c r="A560" t="str">
        <f>IF(COUNTBLANK(B560:S560)&lt;&gt;COLUMNS(B560:S560),559,"")</f>
        <v/>
      </c>
      <c r="C560" s="2" t="str">
        <f t="shared" si="88"/>
        <v/>
      </c>
      <c r="D560" s="1" t="str">
        <f t="shared" si="89"/>
        <v/>
      </c>
      <c r="E560" s="1" t="str">
        <f t="shared" si="90"/>
        <v/>
      </c>
      <c r="I560" s="1" t="str">
        <f t="shared" si="91"/>
        <v/>
      </c>
      <c r="J560" s="2" t="str">
        <f t="shared" si="92"/>
        <v/>
      </c>
      <c r="K560" s="1" t="str">
        <f t="shared" si="93"/>
        <v/>
      </c>
      <c r="O560" s="1" t="str">
        <f t="shared" si="94"/>
        <v/>
      </c>
      <c r="P560" s="2" t="str">
        <f t="shared" si="95"/>
        <v/>
      </c>
      <c r="Q560" s="1" t="str">
        <f t="shared" si="96"/>
        <v/>
      </c>
      <c r="R560" s="2" t="str">
        <f t="shared" si="97"/>
        <v/>
      </c>
      <c r="S560" s="1" t="str">
        <f t="shared" si="98"/>
        <v/>
      </c>
    </row>
    <row r="561" spans="1:19" x14ac:dyDescent="0.2">
      <c r="A561" t="str">
        <f>IF(COUNTBLANK(B561:S561)&lt;&gt;COLUMNS(B561:S561),560,"")</f>
        <v/>
      </c>
      <c r="C561" s="2" t="str">
        <f t="shared" si="88"/>
        <v/>
      </c>
      <c r="D561" s="1" t="str">
        <f t="shared" si="89"/>
        <v/>
      </c>
      <c r="E561" s="1" t="str">
        <f t="shared" si="90"/>
        <v/>
      </c>
      <c r="I561" s="1" t="str">
        <f t="shared" si="91"/>
        <v/>
      </c>
      <c r="J561" s="2" t="str">
        <f t="shared" si="92"/>
        <v/>
      </c>
      <c r="K561" s="1" t="str">
        <f t="shared" si="93"/>
        <v/>
      </c>
      <c r="O561" s="1" t="str">
        <f t="shared" si="94"/>
        <v/>
      </c>
      <c r="P561" s="2" t="str">
        <f t="shared" si="95"/>
        <v/>
      </c>
      <c r="Q561" s="1" t="str">
        <f t="shared" si="96"/>
        <v/>
      </c>
      <c r="R561" s="2" t="str">
        <f t="shared" si="97"/>
        <v/>
      </c>
      <c r="S561" s="1" t="str">
        <f t="shared" si="98"/>
        <v/>
      </c>
    </row>
    <row r="562" spans="1:19" x14ac:dyDescent="0.2">
      <c r="A562" t="str">
        <f>IF(COUNTBLANK(B562:S562)&lt;&gt;COLUMNS(B562:S562),561,"")</f>
        <v/>
      </c>
      <c r="C562" s="2" t="str">
        <f t="shared" si="88"/>
        <v/>
      </c>
      <c r="D562" s="1" t="str">
        <f t="shared" si="89"/>
        <v/>
      </c>
      <c r="E562" s="1" t="str">
        <f t="shared" si="90"/>
        <v/>
      </c>
      <c r="I562" s="1" t="str">
        <f t="shared" si="91"/>
        <v/>
      </c>
      <c r="J562" s="2" t="str">
        <f t="shared" si="92"/>
        <v/>
      </c>
      <c r="K562" s="1" t="str">
        <f t="shared" si="93"/>
        <v/>
      </c>
      <c r="O562" s="1" t="str">
        <f t="shared" si="94"/>
        <v/>
      </c>
      <c r="P562" s="2" t="str">
        <f t="shared" si="95"/>
        <v/>
      </c>
      <c r="Q562" s="1" t="str">
        <f t="shared" si="96"/>
        <v/>
      </c>
      <c r="R562" s="2" t="str">
        <f t="shared" si="97"/>
        <v/>
      </c>
      <c r="S562" s="1" t="str">
        <f t="shared" si="98"/>
        <v/>
      </c>
    </row>
    <row r="563" spans="1:19" x14ac:dyDescent="0.2">
      <c r="A563" t="str">
        <f>IF(COUNTBLANK(B563:S563)&lt;&gt;COLUMNS(B563:S563),562,"")</f>
        <v/>
      </c>
      <c r="C563" s="2" t="str">
        <f t="shared" si="88"/>
        <v/>
      </c>
      <c r="D563" s="1" t="str">
        <f t="shared" si="89"/>
        <v/>
      </c>
      <c r="E563" s="1" t="str">
        <f t="shared" si="90"/>
        <v/>
      </c>
      <c r="I563" s="1" t="str">
        <f t="shared" si="91"/>
        <v/>
      </c>
      <c r="J563" s="2" t="str">
        <f t="shared" si="92"/>
        <v/>
      </c>
      <c r="K563" s="1" t="str">
        <f t="shared" si="93"/>
        <v/>
      </c>
      <c r="O563" s="1" t="str">
        <f t="shared" si="94"/>
        <v/>
      </c>
      <c r="P563" s="2" t="str">
        <f t="shared" si="95"/>
        <v/>
      </c>
      <c r="Q563" s="1" t="str">
        <f t="shared" si="96"/>
        <v/>
      </c>
      <c r="R563" s="2" t="str">
        <f t="shared" si="97"/>
        <v/>
      </c>
      <c r="S563" s="1" t="str">
        <f t="shared" si="98"/>
        <v/>
      </c>
    </row>
    <row r="564" spans="1:19" x14ac:dyDescent="0.2">
      <c r="A564" t="str">
        <f>IF(COUNTBLANK(B564:S564)&lt;&gt;COLUMNS(B564:S564),563,"")</f>
        <v/>
      </c>
      <c r="C564" s="2" t="str">
        <f t="shared" si="88"/>
        <v/>
      </c>
      <c r="D564" s="1" t="str">
        <f t="shared" si="89"/>
        <v/>
      </c>
      <c r="E564" s="1" t="str">
        <f t="shared" si="90"/>
        <v/>
      </c>
      <c r="I564" s="1" t="str">
        <f t="shared" si="91"/>
        <v/>
      </c>
      <c r="J564" s="2" t="str">
        <f t="shared" si="92"/>
        <v/>
      </c>
      <c r="K564" s="1" t="str">
        <f t="shared" si="93"/>
        <v/>
      </c>
      <c r="O564" s="1" t="str">
        <f t="shared" si="94"/>
        <v/>
      </c>
      <c r="P564" s="2" t="str">
        <f t="shared" si="95"/>
        <v/>
      </c>
      <c r="Q564" s="1" t="str">
        <f t="shared" si="96"/>
        <v/>
      </c>
      <c r="R564" s="2" t="str">
        <f t="shared" si="97"/>
        <v/>
      </c>
      <c r="S564" s="1" t="str">
        <f t="shared" si="98"/>
        <v/>
      </c>
    </row>
    <row r="565" spans="1:19" x14ac:dyDescent="0.2">
      <c r="A565" t="str">
        <f>IF(COUNTBLANK(B565:S565)&lt;&gt;COLUMNS(B565:S565),564,"")</f>
        <v/>
      </c>
      <c r="C565" s="2" t="str">
        <f t="shared" si="88"/>
        <v/>
      </c>
      <c r="D565" s="1" t="str">
        <f t="shared" si="89"/>
        <v/>
      </c>
      <c r="E565" s="1" t="str">
        <f t="shared" si="90"/>
        <v/>
      </c>
      <c r="I565" s="1" t="str">
        <f t="shared" si="91"/>
        <v/>
      </c>
      <c r="J565" s="2" t="str">
        <f t="shared" si="92"/>
        <v/>
      </c>
      <c r="K565" s="1" t="str">
        <f t="shared" si="93"/>
        <v/>
      </c>
      <c r="O565" s="1" t="str">
        <f t="shared" si="94"/>
        <v/>
      </c>
      <c r="P565" s="2" t="str">
        <f t="shared" si="95"/>
        <v/>
      </c>
      <c r="Q565" s="1" t="str">
        <f t="shared" si="96"/>
        <v/>
      </c>
      <c r="R565" s="2" t="str">
        <f t="shared" si="97"/>
        <v/>
      </c>
      <c r="S565" s="1" t="str">
        <f t="shared" si="98"/>
        <v/>
      </c>
    </row>
    <row r="566" spans="1:19" x14ac:dyDescent="0.2">
      <c r="A566" t="str">
        <f>IF(COUNTBLANK(B566:S566)&lt;&gt;COLUMNS(B566:S566),565,"")</f>
        <v/>
      </c>
      <c r="C566" s="2" t="str">
        <f t="shared" si="88"/>
        <v/>
      </c>
      <c r="D566" s="1" t="str">
        <f t="shared" si="89"/>
        <v/>
      </c>
      <c r="E566" s="1" t="str">
        <f t="shared" si="90"/>
        <v/>
      </c>
      <c r="I566" s="1" t="str">
        <f t="shared" si="91"/>
        <v/>
      </c>
      <c r="J566" s="2" t="str">
        <f t="shared" si="92"/>
        <v/>
      </c>
      <c r="K566" s="1" t="str">
        <f t="shared" si="93"/>
        <v/>
      </c>
      <c r="O566" s="1" t="str">
        <f t="shared" si="94"/>
        <v/>
      </c>
      <c r="P566" s="2" t="str">
        <f t="shared" si="95"/>
        <v/>
      </c>
      <c r="Q566" s="1" t="str">
        <f t="shared" si="96"/>
        <v/>
      </c>
      <c r="R566" s="2" t="str">
        <f t="shared" si="97"/>
        <v/>
      </c>
      <c r="S566" s="1" t="str">
        <f t="shared" si="98"/>
        <v/>
      </c>
    </row>
    <row r="567" spans="1:19" x14ac:dyDescent="0.2">
      <c r="A567" t="str">
        <f>IF(COUNTBLANK(B567:S567)&lt;&gt;COLUMNS(B567:S567),566,"")</f>
        <v/>
      </c>
      <c r="C567" s="2" t="str">
        <f t="shared" si="88"/>
        <v/>
      </c>
      <c r="D567" s="1" t="str">
        <f t="shared" si="89"/>
        <v/>
      </c>
      <c r="E567" s="1" t="str">
        <f t="shared" si="90"/>
        <v/>
      </c>
      <c r="I567" s="1" t="str">
        <f t="shared" si="91"/>
        <v/>
      </c>
      <c r="J567" s="2" t="str">
        <f t="shared" si="92"/>
        <v/>
      </c>
      <c r="K567" s="1" t="str">
        <f t="shared" si="93"/>
        <v/>
      </c>
      <c r="O567" s="1" t="str">
        <f t="shared" si="94"/>
        <v/>
      </c>
      <c r="P567" s="2" t="str">
        <f t="shared" si="95"/>
        <v/>
      </c>
      <c r="Q567" s="1" t="str">
        <f t="shared" si="96"/>
        <v/>
      </c>
      <c r="R567" s="2" t="str">
        <f t="shared" si="97"/>
        <v/>
      </c>
      <c r="S567" s="1" t="str">
        <f t="shared" si="98"/>
        <v/>
      </c>
    </row>
    <row r="568" spans="1:19" x14ac:dyDescent="0.2">
      <c r="A568" t="str">
        <f>IF(COUNTBLANK(B568:S568)&lt;&gt;COLUMNS(B568:S568),567,"")</f>
        <v/>
      </c>
      <c r="C568" s="2" t="str">
        <f t="shared" si="88"/>
        <v/>
      </c>
      <c r="D568" s="1" t="str">
        <f t="shared" si="89"/>
        <v/>
      </c>
      <c r="E568" s="1" t="str">
        <f t="shared" si="90"/>
        <v/>
      </c>
      <c r="I568" s="1" t="str">
        <f t="shared" si="91"/>
        <v/>
      </c>
      <c r="J568" s="2" t="str">
        <f t="shared" si="92"/>
        <v/>
      </c>
      <c r="K568" s="1" t="str">
        <f t="shared" si="93"/>
        <v/>
      </c>
      <c r="O568" s="1" t="str">
        <f t="shared" si="94"/>
        <v/>
      </c>
      <c r="P568" s="2" t="str">
        <f t="shared" si="95"/>
        <v/>
      </c>
      <c r="Q568" s="1" t="str">
        <f t="shared" si="96"/>
        <v/>
      </c>
      <c r="R568" s="2" t="str">
        <f t="shared" si="97"/>
        <v/>
      </c>
      <c r="S568" s="1" t="str">
        <f t="shared" si="98"/>
        <v/>
      </c>
    </row>
    <row r="569" spans="1:19" x14ac:dyDescent="0.2">
      <c r="A569" t="str">
        <f>IF(COUNTBLANK(B569:S569)&lt;&gt;COLUMNS(B569:S569),568,"")</f>
        <v/>
      </c>
      <c r="C569" s="2" t="str">
        <f t="shared" si="88"/>
        <v/>
      </c>
      <c r="D569" s="1" t="str">
        <f t="shared" si="89"/>
        <v/>
      </c>
      <c r="E569" s="1" t="str">
        <f t="shared" si="90"/>
        <v/>
      </c>
      <c r="I569" s="1" t="str">
        <f t="shared" si="91"/>
        <v/>
      </c>
      <c r="J569" s="2" t="str">
        <f t="shared" si="92"/>
        <v/>
      </c>
      <c r="K569" s="1" t="str">
        <f t="shared" si="93"/>
        <v/>
      </c>
      <c r="O569" s="1" t="str">
        <f t="shared" si="94"/>
        <v/>
      </c>
      <c r="P569" s="2" t="str">
        <f t="shared" si="95"/>
        <v/>
      </c>
      <c r="Q569" s="1" t="str">
        <f t="shared" si="96"/>
        <v/>
      </c>
      <c r="R569" s="2" t="str">
        <f t="shared" si="97"/>
        <v/>
      </c>
      <c r="S569" s="1" t="str">
        <f t="shared" si="98"/>
        <v/>
      </c>
    </row>
    <row r="570" spans="1:19" x14ac:dyDescent="0.2">
      <c r="A570" t="str">
        <f>IF(COUNTBLANK(B570:S570)&lt;&gt;COLUMNS(B570:S570),569,"")</f>
        <v/>
      </c>
      <c r="C570" s="2" t="str">
        <f t="shared" si="88"/>
        <v/>
      </c>
      <c r="D570" s="1" t="str">
        <f t="shared" si="89"/>
        <v/>
      </c>
      <c r="E570" s="1" t="str">
        <f t="shared" si="90"/>
        <v/>
      </c>
      <c r="I570" s="1" t="str">
        <f t="shared" si="91"/>
        <v/>
      </c>
      <c r="J570" s="2" t="str">
        <f t="shared" si="92"/>
        <v/>
      </c>
      <c r="K570" s="1" t="str">
        <f t="shared" si="93"/>
        <v/>
      </c>
      <c r="O570" s="1" t="str">
        <f t="shared" si="94"/>
        <v/>
      </c>
      <c r="P570" s="2" t="str">
        <f t="shared" si="95"/>
        <v/>
      </c>
      <c r="Q570" s="1" t="str">
        <f t="shared" si="96"/>
        <v/>
      </c>
      <c r="R570" s="2" t="str">
        <f t="shared" si="97"/>
        <v/>
      </c>
      <c r="S570" s="1" t="str">
        <f t="shared" si="98"/>
        <v/>
      </c>
    </row>
    <row r="571" spans="1:19" x14ac:dyDescent="0.2">
      <c r="A571" t="str">
        <f>IF(COUNTBLANK(B571:S571)&lt;&gt;COLUMNS(B571:S571),570,"")</f>
        <v/>
      </c>
      <c r="C571" s="2" t="str">
        <f t="shared" si="88"/>
        <v/>
      </c>
      <c r="D571" s="1" t="str">
        <f t="shared" si="89"/>
        <v/>
      </c>
      <c r="E571" s="1" t="str">
        <f t="shared" si="90"/>
        <v/>
      </c>
      <c r="I571" s="1" t="str">
        <f t="shared" si="91"/>
        <v/>
      </c>
      <c r="J571" s="2" t="str">
        <f t="shared" si="92"/>
        <v/>
      </c>
      <c r="K571" s="1" t="str">
        <f t="shared" si="93"/>
        <v/>
      </c>
      <c r="O571" s="1" t="str">
        <f t="shared" si="94"/>
        <v/>
      </c>
      <c r="P571" s="2" t="str">
        <f t="shared" si="95"/>
        <v/>
      </c>
      <c r="Q571" s="1" t="str">
        <f t="shared" si="96"/>
        <v/>
      </c>
      <c r="R571" s="2" t="str">
        <f t="shared" si="97"/>
        <v/>
      </c>
      <c r="S571" s="1" t="str">
        <f t="shared" si="98"/>
        <v/>
      </c>
    </row>
    <row r="572" spans="1:19" x14ac:dyDescent="0.2">
      <c r="A572" t="str">
        <f>IF(COUNTBLANK(B572:S572)&lt;&gt;COLUMNS(B572:S572),571,"")</f>
        <v/>
      </c>
      <c r="C572" s="2" t="str">
        <f t="shared" si="88"/>
        <v/>
      </c>
      <c r="D572" s="1" t="str">
        <f t="shared" si="89"/>
        <v/>
      </c>
      <c r="E572" s="1" t="str">
        <f t="shared" si="90"/>
        <v/>
      </c>
      <c r="I572" s="1" t="str">
        <f t="shared" si="91"/>
        <v/>
      </c>
      <c r="J572" s="2" t="str">
        <f t="shared" si="92"/>
        <v/>
      </c>
      <c r="K572" s="1" t="str">
        <f t="shared" si="93"/>
        <v/>
      </c>
      <c r="O572" s="1" t="str">
        <f t="shared" si="94"/>
        <v/>
      </c>
      <c r="P572" s="2" t="str">
        <f t="shared" si="95"/>
        <v/>
      </c>
      <c r="Q572" s="1" t="str">
        <f t="shared" si="96"/>
        <v/>
      </c>
      <c r="R572" s="2" t="str">
        <f t="shared" si="97"/>
        <v/>
      </c>
      <c r="S572" s="1" t="str">
        <f t="shared" si="98"/>
        <v/>
      </c>
    </row>
    <row r="573" spans="1:19" x14ac:dyDescent="0.2">
      <c r="A573" t="str">
        <f>IF(COUNTBLANK(B573:S573)&lt;&gt;COLUMNS(B573:S573),572,"")</f>
        <v/>
      </c>
      <c r="C573" s="2" t="str">
        <f t="shared" si="88"/>
        <v/>
      </c>
      <c r="D573" s="1" t="str">
        <f t="shared" si="89"/>
        <v/>
      </c>
      <c r="E573" s="1" t="str">
        <f t="shared" si="90"/>
        <v/>
      </c>
      <c r="I573" s="1" t="str">
        <f t="shared" si="91"/>
        <v/>
      </c>
      <c r="J573" s="2" t="str">
        <f t="shared" si="92"/>
        <v/>
      </c>
      <c r="K573" s="1" t="str">
        <f t="shared" si="93"/>
        <v/>
      </c>
      <c r="O573" s="1" t="str">
        <f t="shared" si="94"/>
        <v/>
      </c>
      <c r="P573" s="2" t="str">
        <f t="shared" si="95"/>
        <v/>
      </c>
      <c r="Q573" s="1" t="str">
        <f t="shared" si="96"/>
        <v/>
      </c>
      <c r="R573" s="2" t="str">
        <f t="shared" si="97"/>
        <v/>
      </c>
      <c r="S573" s="1" t="str">
        <f t="shared" si="98"/>
        <v/>
      </c>
    </row>
    <row r="574" spans="1:19" x14ac:dyDescent="0.2">
      <c r="A574" t="str">
        <f>IF(COUNTBLANK(B574:S574)&lt;&gt;COLUMNS(B574:S574),573,"")</f>
        <v/>
      </c>
      <c r="C574" s="2" t="str">
        <f t="shared" si="88"/>
        <v/>
      </c>
      <c r="D574" s="1" t="str">
        <f t="shared" si="89"/>
        <v/>
      </c>
      <c r="E574" s="1" t="str">
        <f t="shared" si="90"/>
        <v/>
      </c>
      <c r="I574" s="1" t="str">
        <f t="shared" si="91"/>
        <v/>
      </c>
      <c r="J574" s="2" t="str">
        <f t="shared" si="92"/>
        <v/>
      </c>
      <c r="K574" s="1" t="str">
        <f t="shared" si="93"/>
        <v/>
      </c>
      <c r="O574" s="1" t="str">
        <f t="shared" si="94"/>
        <v/>
      </c>
      <c r="P574" s="2" t="str">
        <f t="shared" si="95"/>
        <v/>
      </c>
      <c r="Q574" s="1" t="str">
        <f t="shared" si="96"/>
        <v/>
      </c>
      <c r="R574" s="2" t="str">
        <f t="shared" si="97"/>
        <v/>
      </c>
      <c r="S574" s="1" t="str">
        <f t="shared" si="98"/>
        <v/>
      </c>
    </row>
    <row r="575" spans="1:19" x14ac:dyDescent="0.2">
      <c r="A575" t="str">
        <f>IF(COUNTBLANK(B575:S575)&lt;&gt;COLUMNS(B575:S575),574,"")</f>
        <v/>
      </c>
      <c r="C575" s="2" t="str">
        <f t="shared" si="88"/>
        <v/>
      </c>
      <c r="D575" s="1" t="str">
        <f t="shared" si="89"/>
        <v/>
      </c>
      <c r="E575" s="1" t="str">
        <f t="shared" si="90"/>
        <v/>
      </c>
      <c r="I575" s="1" t="str">
        <f t="shared" si="91"/>
        <v/>
      </c>
      <c r="J575" s="2" t="str">
        <f t="shared" si="92"/>
        <v/>
      </c>
      <c r="K575" s="1" t="str">
        <f t="shared" si="93"/>
        <v/>
      </c>
      <c r="O575" s="1" t="str">
        <f t="shared" si="94"/>
        <v/>
      </c>
      <c r="P575" s="2" t="str">
        <f t="shared" si="95"/>
        <v/>
      </c>
      <c r="Q575" s="1" t="str">
        <f t="shared" si="96"/>
        <v/>
      </c>
      <c r="R575" s="2" t="str">
        <f t="shared" si="97"/>
        <v/>
      </c>
      <c r="S575" s="1" t="str">
        <f t="shared" si="98"/>
        <v/>
      </c>
    </row>
    <row r="576" spans="1:19" x14ac:dyDescent="0.2">
      <c r="A576" t="str">
        <f>IF(COUNTBLANK(B576:S576)&lt;&gt;COLUMNS(B576:S576),575,"")</f>
        <v/>
      </c>
      <c r="C576" s="2" t="str">
        <f t="shared" si="88"/>
        <v/>
      </c>
      <c r="D576" s="1" t="str">
        <f t="shared" si="89"/>
        <v/>
      </c>
      <c r="E576" s="1" t="str">
        <f t="shared" si="90"/>
        <v/>
      </c>
      <c r="I576" s="1" t="str">
        <f t="shared" si="91"/>
        <v/>
      </c>
      <c r="J576" s="2" t="str">
        <f t="shared" si="92"/>
        <v/>
      </c>
      <c r="K576" s="1" t="str">
        <f t="shared" si="93"/>
        <v/>
      </c>
      <c r="O576" s="1" t="str">
        <f t="shared" si="94"/>
        <v/>
      </c>
      <c r="P576" s="2" t="str">
        <f t="shared" si="95"/>
        <v/>
      </c>
      <c r="Q576" s="1" t="str">
        <f t="shared" si="96"/>
        <v/>
      </c>
      <c r="R576" s="2" t="str">
        <f t="shared" si="97"/>
        <v/>
      </c>
      <c r="S576" s="1" t="str">
        <f t="shared" si="98"/>
        <v/>
      </c>
    </row>
    <row r="577" spans="1:19" x14ac:dyDescent="0.2">
      <c r="A577" t="str">
        <f>IF(COUNTBLANK(B577:S577)&lt;&gt;COLUMNS(B577:S577),576,"")</f>
        <v/>
      </c>
      <c r="C577" s="2" t="str">
        <f t="shared" si="88"/>
        <v/>
      </c>
      <c r="D577" s="1" t="str">
        <f t="shared" si="89"/>
        <v/>
      </c>
      <c r="E577" s="1" t="str">
        <f t="shared" si="90"/>
        <v/>
      </c>
      <c r="I577" s="1" t="str">
        <f t="shared" si="91"/>
        <v/>
      </c>
      <c r="J577" s="2" t="str">
        <f t="shared" si="92"/>
        <v/>
      </c>
      <c r="K577" s="1" t="str">
        <f t="shared" si="93"/>
        <v/>
      </c>
      <c r="O577" s="1" t="str">
        <f t="shared" si="94"/>
        <v/>
      </c>
      <c r="P577" s="2" t="str">
        <f t="shared" si="95"/>
        <v/>
      </c>
      <c r="Q577" s="1" t="str">
        <f t="shared" si="96"/>
        <v/>
      </c>
      <c r="R577" s="2" t="str">
        <f t="shared" si="97"/>
        <v/>
      </c>
      <c r="S577" s="1" t="str">
        <f t="shared" si="98"/>
        <v/>
      </c>
    </row>
    <row r="578" spans="1:19" x14ac:dyDescent="0.2">
      <c r="A578" t="str">
        <f>IF(COUNTBLANK(B578:S578)&lt;&gt;COLUMNS(B578:S578),577,"")</f>
        <v/>
      </c>
      <c r="C578" s="2" t="str">
        <f t="shared" ref="C578:C641" si="99">IF(B578="", "", "missing: not provided")</f>
        <v/>
      </c>
      <c r="D578" s="1" t="str">
        <f t="shared" ref="D578:D641" si="100">IF(B578="", "", " missing: not provided")</f>
        <v/>
      </c>
      <c r="E578" s="1" t="str">
        <f t="shared" ref="E578:E641" si="101">IF(B578="", "", "Host-associated")</f>
        <v/>
      </c>
      <c r="I578" s="1" t="str">
        <f t="shared" ref="I578:I641" si="102">IF(B578="", "", "host-associated")</f>
        <v/>
      </c>
      <c r="J578" s="2" t="str">
        <f t="shared" ref="J578:J641" si="103">IF(B578="", "", "missing: not provided")</f>
        <v/>
      </c>
      <c r="K578" s="1" t="str">
        <f t="shared" ref="K578:K641" si="104">IF(B578="", "", " missing: not provided")</f>
        <v/>
      </c>
      <c r="O578" s="1" t="str">
        <f t="shared" ref="O578:O641" si="105">IF(B578="", "", "Not applicable")</f>
        <v/>
      </c>
      <c r="P578" s="2" t="str">
        <f t="shared" ref="P578:P641" si="106">IF(B578="", "", "missing: not provided")</f>
        <v/>
      </c>
      <c r="Q578" s="1" t="str">
        <f t="shared" ref="Q578:Q641" si="107">IF(B578="", "", "Not applicable")</f>
        <v/>
      </c>
      <c r="R578" s="2" t="str">
        <f t="shared" ref="R578:R641" si="108">IF(B578="", "", "missing: not provided")</f>
        <v/>
      </c>
      <c r="S578" s="1" t="str">
        <f t="shared" ref="S578:S641" si="109">IF(B578="", "", " missing: not provided")</f>
        <v/>
      </c>
    </row>
    <row r="579" spans="1:19" x14ac:dyDescent="0.2">
      <c r="A579" t="str">
        <f>IF(COUNTBLANK(B579:S579)&lt;&gt;COLUMNS(B579:S579),578,"")</f>
        <v/>
      </c>
      <c r="C579" s="2" t="str">
        <f t="shared" si="99"/>
        <v/>
      </c>
      <c r="D579" s="1" t="str">
        <f t="shared" si="100"/>
        <v/>
      </c>
      <c r="E579" s="1" t="str">
        <f t="shared" si="101"/>
        <v/>
      </c>
      <c r="I579" s="1" t="str">
        <f t="shared" si="102"/>
        <v/>
      </c>
      <c r="J579" s="2" t="str">
        <f t="shared" si="103"/>
        <v/>
      </c>
      <c r="K579" s="1" t="str">
        <f t="shared" si="104"/>
        <v/>
      </c>
      <c r="O579" s="1" t="str">
        <f t="shared" si="105"/>
        <v/>
      </c>
      <c r="P579" s="2" t="str">
        <f t="shared" si="106"/>
        <v/>
      </c>
      <c r="Q579" s="1" t="str">
        <f t="shared" si="107"/>
        <v/>
      </c>
      <c r="R579" s="2" t="str">
        <f t="shared" si="108"/>
        <v/>
      </c>
      <c r="S579" s="1" t="str">
        <f t="shared" si="109"/>
        <v/>
      </c>
    </row>
    <row r="580" spans="1:19" x14ac:dyDescent="0.2">
      <c r="A580" t="str">
        <f>IF(COUNTBLANK(B580:S580)&lt;&gt;COLUMNS(B580:S580),579,"")</f>
        <v/>
      </c>
      <c r="C580" s="2" t="str">
        <f t="shared" si="99"/>
        <v/>
      </c>
      <c r="D580" s="1" t="str">
        <f t="shared" si="100"/>
        <v/>
      </c>
      <c r="E580" s="1" t="str">
        <f t="shared" si="101"/>
        <v/>
      </c>
      <c r="I580" s="1" t="str">
        <f t="shared" si="102"/>
        <v/>
      </c>
      <c r="J580" s="2" t="str">
        <f t="shared" si="103"/>
        <v/>
      </c>
      <c r="K580" s="1" t="str">
        <f t="shared" si="104"/>
        <v/>
      </c>
      <c r="O580" s="1" t="str">
        <f t="shared" si="105"/>
        <v/>
      </c>
      <c r="P580" s="2" t="str">
        <f t="shared" si="106"/>
        <v/>
      </c>
      <c r="Q580" s="1" t="str">
        <f t="shared" si="107"/>
        <v/>
      </c>
      <c r="R580" s="2" t="str">
        <f t="shared" si="108"/>
        <v/>
      </c>
      <c r="S580" s="1" t="str">
        <f t="shared" si="109"/>
        <v/>
      </c>
    </row>
    <row r="581" spans="1:19" x14ac:dyDescent="0.2">
      <c r="A581" t="str">
        <f>IF(COUNTBLANK(B581:S581)&lt;&gt;COLUMNS(B581:S581),580,"")</f>
        <v/>
      </c>
      <c r="C581" s="2" t="str">
        <f t="shared" si="99"/>
        <v/>
      </c>
      <c r="D581" s="1" t="str">
        <f t="shared" si="100"/>
        <v/>
      </c>
      <c r="E581" s="1" t="str">
        <f t="shared" si="101"/>
        <v/>
      </c>
      <c r="I581" s="1" t="str">
        <f t="shared" si="102"/>
        <v/>
      </c>
      <c r="J581" s="2" t="str">
        <f t="shared" si="103"/>
        <v/>
      </c>
      <c r="K581" s="1" t="str">
        <f t="shared" si="104"/>
        <v/>
      </c>
      <c r="O581" s="1" t="str">
        <f t="shared" si="105"/>
        <v/>
      </c>
      <c r="P581" s="2" t="str">
        <f t="shared" si="106"/>
        <v/>
      </c>
      <c r="Q581" s="1" t="str">
        <f t="shared" si="107"/>
        <v/>
      </c>
      <c r="R581" s="2" t="str">
        <f t="shared" si="108"/>
        <v/>
      </c>
      <c r="S581" s="1" t="str">
        <f t="shared" si="109"/>
        <v/>
      </c>
    </row>
    <row r="582" spans="1:19" x14ac:dyDescent="0.2">
      <c r="A582" t="str">
        <f>IF(COUNTBLANK(B582:S582)&lt;&gt;COLUMNS(B582:S582),581,"")</f>
        <v/>
      </c>
      <c r="C582" s="2" t="str">
        <f t="shared" si="99"/>
        <v/>
      </c>
      <c r="D582" s="1" t="str">
        <f t="shared" si="100"/>
        <v/>
      </c>
      <c r="E582" s="1" t="str">
        <f t="shared" si="101"/>
        <v/>
      </c>
      <c r="I582" s="1" t="str">
        <f t="shared" si="102"/>
        <v/>
      </c>
      <c r="J582" s="2" t="str">
        <f t="shared" si="103"/>
        <v/>
      </c>
      <c r="K582" s="1" t="str">
        <f t="shared" si="104"/>
        <v/>
      </c>
      <c r="O582" s="1" t="str">
        <f t="shared" si="105"/>
        <v/>
      </c>
      <c r="P582" s="2" t="str">
        <f t="shared" si="106"/>
        <v/>
      </c>
      <c r="Q582" s="1" t="str">
        <f t="shared" si="107"/>
        <v/>
      </c>
      <c r="R582" s="2" t="str">
        <f t="shared" si="108"/>
        <v/>
      </c>
      <c r="S582" s="1" t="str">
        <f t="shared" si="109"/>
        <v/>
      </c>
    </row>
    <row r="583" spans="1:19" x14ac:dyDescent="0.2">
      <c r="A583" t="str">
        <f>IF(COUNTBLANK(B583:S583)&lt;&gt;COLUMNS(B583:S583),582,"")</f>
        <v/>
      </c>
      <c r="C583" s="2" t="str">
        <f t="shared" si="99"/>
        <v/>
      </c>
      <c r="D583" s="1" t="str">
        <f t="shared" si="100"/>
        <v/>
      </c>
      <c r="E583" s="1" t="str">
        <f t="shared" si="101"/>
        <v/>
      </c>
      <c r="I583" s="1" t="str">
        <f t="shared" si="102"/>
        <v/>
      </c>
      <c r="J583" s="2" t="str">
        <f t="shared" si="103"/>
        <v/>
      </c>
      <c r="K583" s="1" t="str">
        <f t="shared" si="104"/>
        <v/>
      </c>
      <c r="O583" s="1" t="str">
        <f t="shared" si="105"/>
        <v/>
      </c>
      <c r="P583" s="2" t="str">
        <f t="shared" si="106"/>
        <v/>
      </c>
      <c r="Q583" s="1" t="str">
        <f t="shared" si="107"/>
        <v/>
      </c>
      <c r="R583" s="2" t="str">
        <f t="shared" si="108"/>
        <v/>
      </c>
      <c r="S583" s="1" t="str">
        <f t="shared" si="109"/>
        <v/>
      </c>
    </row>
    <row r="584" spans="1:19" x14ac:dyDescent="0.2">
      <c r="A584" t="str">
        <f>IF(COUNTBLANK(B584:S584)&lt;&gt;COLUMNS(B584:S584),583,"")</f>
        <v/>
      </c>
      <c r="C584" s="2" t="str">
        <f t="shared" si="99"/>
        <v/>
      </c>
      <c r="D584" s="1" t="str">
        <f t="shared" si="100"/>
        <v/>
      </c>
      <c r="E584" s="1" t="str">
        <f t="shared" si="101"/>
        <v/>
      </c>
      <c r="I584" s="1" t="str">
        <f t="shared" si="102"/>
        <v/>
      </c>
      <c r="J584" s="2" t="str">
        <f t="shared" si="103"/>
        <v/>
      </c>
      <c r="K584" s="1" t="str">
        <f t="shared" si="104"/>
        <v/>
      </c>
      <c r="O584" s="1" t="str">
        <f t="shared" si="105"/>
        <v/>
      </c>
      <c r="P584" s="2" t="str">
        <f t="shared" si="106"/>
        <v/>
      </c>
      <c r="Q584" s="1" t="str">
        <f t="shared" si="107"/>
        <v/>
      </c>
      <c r="R584" s="2" t="str">
        <f t="shared" si="108"/>
        <v/>
      </c>
      <c r="S584" s="1" t="str">
        <f t="shared" si="109"/>
        <v/>
      </c>
    </row>
    <row r="585" spans="1:19" x14ac:dyDescent="0.2">
      <c r="A585" t="str">
        <f>IF(COUNTBLANK(B585:S585)&lt;&gt;COLUMNS(B585:S585),584,"")</f>
        <v/>
      </c>
      <c r="C585" s="2" t="str">
        <f t="shared" si="99"/>
        <v/>
      </c>
      <c r="D585" s="1" t="str">
        <f t="shared" si="100"/>
        <v/>
      </c>
      <c r="E585" s="1" t="str">
        <f t="shared" si="101"/>
        <v/>
      </c>
      <c r="I585" s="1" t="str">
        <f t="shared" si="102"/>
        <v/>
      </c>
      <c r="J585" s="2" t="str">
        <f t="shared" si="103"/>
        <v/>
      </c>
      <c r="K585" s="1" t="str">
        <f t="shared" si="104"/>
        <v/>
      </c>
      <c r="O585" s="1" t="str">
        <f t="shared" si="105"/>
        <v/>
      </c>
      <c r="P585" s="2" t="str">
        <f t="shared" si="106"/>
        <v/>
      </c>
      <c r="Q585" s="1" t="str">
        <f t="shared" si="107"/>
        <v/>
      </c>
      <c r="R585" s="2" t="str">
        <f t="shared" si="108"/>
        <v/>
      </c>
      <c r="S585" s="1" t="str">
        <f t="shared" si="109"/>
        <v/>
      </c>
    </row>
    <row r="586" spans="1:19" x14ac:dyDescent="0.2">
      <c r="A586" t="str">
        <f>IF(COUNTBLANK(B586:S586)&lt;&gt;COLUMNS(B586:S586),585,"")</f>
        <v/>
      </c>
      <c r="C586" s="2" t="str">
        <f t="shared" si="99"/>
        <v/>
      </c>
      <c r="D586" s="1" t="str">
        <f t="shared" si="100"/>
        <v/>
      </c>
      <c r="E586" s="1" t="str">
        <f t="shared" si="101"/>
        <v/>
      </c>
      <c r="I586" s="1" t="str">
        <f t="shared" si="102"/>
        <v/>
      </c>
      <c r="J586" s="2" t="str">
        <f t="shared" si="103"/>
        <v/>
      </c>
      <c r="K586" s="1" t="str">
        <f t="shared" si="104"/>
        <v/>
      </c>
      <c r="O586" s="1" t="str">
        <f t="shared" si="105"/>
        <v/>
      </c>
      <c r="P586" s="2" t="str">
        <f t="shared" si="106"/>
        <v/>
      </c>
      <c r="Q586" s="1" t="str">
        <f t="shared" si="107"/>
        <v/>
      </c>
      <c r="R586" s="2" t="str">
        <f t="shared" si="108"/>
        <v/>
      </c>
      <c r="S586" s="1" t="str">
        <f t="shared" si="109"/>
        <v/>
      </c>
    </row>
    <row r="587" spans="1:19" x14ac:dyDescent="0.2">
      <c r="A587" t="str">
        <f>IF(COUNTBLANK(B587:S587)&lt;&gt;COLUMNS(B587:S587),586,"")</f>
        <v/>
      </c>
      <c r="C587" s="2" t="str">
        <f t="shared" si="99"/>
        <v/>
      </c>
      <c r="D587" s="1" t="str">
        <f t="shared" si="100"/>
        <v/>
      </c>
      <c r="E587" s="1" t="str">
        <f t="shared" si="101"/>
        <v/>
      </c>
      <c r="I587" s="1" t="str">
        <f t="shared" si="102"/>
        <v/>
      </c>
      <c r="J587" s="2" t="str">
        <f t="shared" si="103"/>
        <v/>
      </c>
      <c r="K587" s="1" t="str">
        <f t="shared" si="104"/>
        <v/>
      </c>
      <c r="O587" s="1" t="str">
        <f t="shared" si="105"/>
        <v/>
      </c>
      <c r="P587" s="2" t="str">
        <f t="shared" si="106"/>
        <v/>
      </c>
      <c r="Q587" s="1" t="str">
        <f t="shared" si="107"/>
        <v/>
      </c>
      <c r="R587" s="2" t="str">
        <f t="shared" si="108"/>
        <v/>
      </c>
      <c r="S587" s="1" t="str">
        <f t="shared" si="109"/>
        <v/>
      </c>
    </row>
    <row r="588" spans="1:19" x14ac:dyDescent="0.2">
      <c r="A588" t="str">
        <f>IF(COUNTBLANK(B588:S588)&lt;&gt;COLUMNS(B588:S588),587,"")</f>
        <v/>
      </c>
      <c r="C588" s="2" t="str">
        <f t="shared" si="99"/>
        <v/>
      </c>
      <c r="D588" s="1" t="str">
        <f t="shared" si="100"/>
        <v/>
      </c>
      <c r="E588" s="1" t="str">
        <f t="shared" si="101"/>
        <v/>
      </c>
      <c r="I588" s="1" t="str">
        <f t="shared" si="102"/>
        <v/>
      </c>
      <c r="J588" s="2" t="str">
        <f t="shared" si="103"/>
        <v/>
      </c>
      <c r="K588" s="1" t="str">
        <f t="shared" si="104"/>
        <v/>
      </c>
      <c r="O588" s="1" t="str">
        <f t="shared" si="105"/>
        <v/>
      </c>
      <c r="P588" s="2" t="str">
        <f t="shared" si="106"/>
        <v/>
      </c>
      <c r="Q588" s="1" t="str">
        <f t="shared" si="107"/>
        <v/>
      </c>
      <c r="R588" s="2" t="str">
        <f t="shared" si="108"/>
        <v/>
      </c>
      <c r="S588" s="1" t="str">
        <f t="shared" si="109"/>
        <v/>
      </c>
    </row>
    <row r="589" spans="1:19" x14ac:dyDescent="0.2">
      <c r="A589" t="str">
        <f>IF(COUNTBLANK(B589:S589)&lt;&gt;COLUMNS(B589:S589),588,"")</f>
        <v/>
      </c>
      <c r="C589" s="2" t="str">
        <f t="shared" si="99"/>
        <v/>
      </c>
      <c r="D589" s="1" t="str">
        <f t="shared" si="100"/>
        <v/>
      </c>
      <c r="E589" s="1" t="str">
        <f t="shared" si="101"/>
        <v/>
      </c>
      <c r="I589" s="1" t="str">
        <f t="shared" si="102"/>
        <v/>
      </c>
      <c r="J589" s="2" t="str">
        <f t="shared" si="103"/>
        <v/>
      </c>
      <c r="K589" s="1" t="str">
        <f t="shared" si="104"/>
        <v/>
      </c>
      <c r="O589" s="1" t="str">
        <f t="shared" si="105"/>
        <v/>
      </c>
      <c r="P589" s="2" t="str">
        <f t="shared" si="106"/>
        <v/>
      </c>
      <c r="Q589" s="1" t="str">
        <f t="shared" si="107"/>
        <v/>
      </c>
      <c r="R589" s="2" t="str">
        <f t="shared" si="108"/>
        <v/>
      </c>
      <c r="S589" s="1" t="str">
        <f t="shared" si="109"/>
        <v/>
      </c>
    </row>
    <row r="590" spans="1:19" x14ac:dyDescent="0.2">
      <c r="A590" t="str">
        <f>IF(COUNTBLANK(B590:S590)&lt;&gt;COLUMNS(B590:S590),589,"")</f>
        <v/>
      </c>
      <c r="C590" s="2" t="str">
        <f t="shared" si="99"/>
        <v/>
      </c>
      <c r="D590" s="1" t="str">
        <f t="shared" si="100"/>
        <v/>
      </c>
      <c r="E590" s="1" t="str">
        <f t="shared" si="101"/>
        <v/>
      </c>
      <c r="I590" s="1" t="str">
        <f t="shared" si="102"/>
        <v/>
      </c>
      <c r="J590" s="2" t="str">
        <f t="shared" si="103"/>
        <v/>
      </c>
      <c r="K590" s="1" t="str">
        <f t="shared" si="104"/>
        <v/>
      </c>
      <c r="O590" s="1" t="str">
        <f t="shared" si="105"/>
        <v/>
      </c>
      <c r="P590" s="2" t="str">
        <f t="shared" si="106"/>
        <v/>
      </c>
      <c r="Q590" s="1" t="str">
        <f t="shared" si="107"/>
        <v/>
      </c>
      <c r="R590" s="2" t="str">
        <f t="shared" si="108"/>
        <v/>
      </c>
      <c r="S590" s="1" t="str">
        <f t="shared" si="109"/>
        <v/>
      </c>
    </row>
    <row r="591" spans="1:19" x14ac:dyDescent="0.2">
      <c r="A591" t="str">
        <f>IF(COUNTBLANK(B591:S591)&lt;&gt;COLUMNS(B591:S591),590,"")</f>
        <v/>
      </c>
      <c r="C591" s="2" t="str">
        <f t="shared" si="99"/>
        <v/>
      </c>
      <c r="D591" s="1" t="str">
        <f t="shared" si="100"/>
        <v/>
      </c>
      <c r="E591" s="1" t="str">
        <f t="shared" si="101"/>
        <v/>
      </c>
      <c r="I591" s="1" t="str">
        <f t="shared" si="102"/>
        <v/>
      </c>
      <c r="J591" s="2" t="str">
        <f t="shared" si="103"/>
        <v/>
      </c>
      <c r="K591" s="1" t="str">
        <f t="shared" si="104"/>
        <v/>
      </c>
      <c r="O591" s="1" t="str">
        <f t="shared" si="105"/>
        <v/>
      </c>
      <c r="P591" s="2" t="str">
        <f t="shared" si="106"/>
        <v/>
      </c>
      <c r="Q591" s="1" t="str">
        <f t="shared" si="107"/>
        <v/>
      </c>
      <c r="R591" s="2" t="str">
        <f t="shared" si="108"/>
        <v/>
      </c>
      <c r="S591" s="1" t="str">
        <f t="shared" si="109"/>
        <v/>
      </c>
    </row>
    <row r="592" spans="1:19" x14ac:dyDescent="0.2">
      <c r="A592" t="str">
        <f>IF(COUNTBLANK(B592:S592)&lt;&gt;COLUMNS(B592:S592),591,"")</f>
        <v/>
      </c>
      <c r="C592" s="2" t="str">
        <f t="shared" si="99"/>
        <v/>
      </c>
      <c r="D592" s="1" t="str">
        <f t="shared" si="100"/>
        <v/>
      </c>
      <c r="E592" s="1" t="str">
        <f t="shared" si="101"/>
        <v/>
      </c>
      <c r="I592" s="1" t="str">
        <f t="shared" si="102"/>
        <v/>
      </c>
      <c r="J592" s="2" t="str">
        <f t="shared" si="103"/>
        <v/>
      </c>
      <c r="K592" s="1" t="str">
        <f t="shared" si="104"/>
        <v/>
      </c>
      <c r="O592" s="1" t="str">
        <f t="shared" si="105"/>
        <v/>
      </c>
      <c r="P592" s="2" t="str">
        <f t="shared" si="106"/>
        <v/>
      </c>
      <c r="Q592" s="1" t="str">
        <f t="shared" si="107"/>
        <v/>
      </c>
      <c r="R592" s="2" t="str">
        <f t="shared" si="108"/>
        <v/>
      </c>
      <c r="S592" s="1" t="str">
        <f t="shared" si="109"/>
        <v/>
      </c>
    </row>
    <row r="593" spans="1:19" x14ac:dyDescent="0.2">
      <c r="A593" t="str">
        <f>IF(COUNTBLANK(B593:S593)&lt;&gt;COLUMNS(B593:S593),592,"")</f>
        <v/>
      </c>
      <c r="C593" s="2" t="str">
        <f t="shared" si="99"/>
        <v/>
      </c>
      <c r="D593" s="1" t="str">
        <f t="shared" si="100"/>
        <v/>
      </c>
      <c r="E593" s="1" t="str">
        <f t="shared" si="101"/>
        <v/>
      </c>
      <c r="I593" s="1" t="str">
        <f t="shared" si="102"/>
        <v/>
      </c>
      <c r="J593" s="2" t="str">
        <f t="shared" si="103"/>
        <v/>
      </c>
      <c r="K593" s="1" t="str">
        <f t="shared" si="104"/>
        <v/>
      </c>
      <c r="O593" s="1" t="str">
        <f t="shared" si="105"/>
        <v/>
      </c>
      <c r="P593" s="2" t="str">
        <f t="shared" si="106"/>
        <v/>
      </c>
      <c r="Q593" s="1" t="str">
        <f t="shared" si="107"/>
        <v/>
      </c>
      <c r="R593" s="2" t="str">
        <f t="shared" si="108"/>
        <v/>
      </c>
      <c r="S593" s="1" t="str">
        <f t="shared" si="109"/>
        <v/>
      </c>
    </row>
    <row r="594" spans="1:19" x14ac:dyDescent="0.2">
      <c r="A594" t="str">
        <f>IF(COUNTBLANK(B594:S594)&lt;&gt;COLUMNS(B594:S594),593,"")</f>
        <v/>
      </c>
      <c r="C594" s="2" t="str">
        <f t="shared" si="99"/>
        <v/>
      </c>
      <c r="D594" s="1" t="str">
        <f t="shared" si="100"/>
        <v/>
      </c>
      <c r="E594" s="1" t="str">
        <f t="shared" si="101"/>
        <v/>
      </c>
      <c r="I594" s="1" t="str">
        <f t="shared" si="102"/>
        <v/>
      </c>
      <c r="J594" s="2" t="str">
        <f t="shared" si="103"/>
        <v/>
      </c>
      <c r="K594" s="1" t="str">
        <f t="shared" si="104"/>
        <v/>
      </c>
      <c r="O594" s="1" t="str">
        <f t="shared" si="105"/>
        <v/>
      </c>
      <c r="P594" s="2" t="str">
        <f t="shared" si="106"/>
        <v/>
      </c>
      <c r="Q594" s="1" t="str">
        <f t="shared" si="107"/>
        <v/>
      </c>
      <c r="R594" s="2" t="str">
        <f t="shared" si="108"/>
        <v/>
      </c>
      <c r="S594" s="1" t="str">
        <f t="shared" si="109"/>
        <v/>
      </c>
    </row>
    <row r="595" spans="1:19" x14ac:dyDescent="0.2">
      <c r="A595" t="str">
        <f>IF(COUNTBLANK(B595:S595)&lt;&gt;COLUMNS(B595:S595),594,"")</f>
        <v/>
      </c>
      <c r="C595" s="2" t="str">
        <f t="shared" si="99"/>
        <v/>
      </c>
      <c r="D595" s="1" t="str">
        <f t="shared" si="100"/>
        <v/>
      </c>
      <c r="E595" s="1" t="str">
        <f t="shared" si="101"/>
        <v/>
      </c>
      <c r="I595" s="1" t="str">
        <f t="shared" si="102"/>
        <v/>
      </c>
      <c r="J595" s="2" t="str">
        <f t="shared" si="103"/>
        <v/>
      </c>
      <c r="K595" s="1" t="str">
        <f t="shared" si="104"/>
        <v/>
      </c>
      <c r="O595" s="1" t="str">
        <f t="shared" si="105"/>
        <v/>
      </c>
      <c r="P595" s="2" t="str">
        <f t="shared" si="106"/>
        <v/>
      </c>
      <c r="Q595" s="1" t="str">
        <f t="shared" si="107"/>
        <v/>
      </c>
      <c r="R595" s="2" t="str">
        <f t="shared" si="108"/>
        <v/>
      </c>
      <c r="S595" s="1" t="str">
        <f t="shared" si="109"/>
        <v/>
      </c>
    </row>
    <row r="596" spans="1:19" x14ac:dyDescent="0.2">
      <c r="A596" t="str">
        <f>IF(COUNTBLANK(B596:S596)&lt;&gt;COLUMNS(B596:S596),595,"")</f>
        <v/>
      </c>
      <c r="C596" s="2" t="str">
        <f t="shared" si="99"/>
        <v/>
      </c>
      <c r="D596" s="1" t="str">
        <f t="shared" si="100"/>
        <v/>
      </c>
      <c r="E596" s="1" t="str">
        <f t="shared" si="101"/>
        <v/>
      </c>
      <c r="I596" s="1" t="str">
        <f t="shared" si="102"/>
        <v/>
      </c>
      <c r="J596" s="2" t="str">
        <f t="shared" si="103"/>
        <v/>
      </c>
      <c r="K596" s="1" t="str">
        <f t="shared" si="104"/>
        <v/>
      </c>
      <c r="O596" s="1" t="str">
        <f t="shared" si="105"/>
        <v/>
      </c>
      <c r="P596" s="2" t="str">
        <f t="shared" si="106"/>
        <v/>
      </c>
      <c r="Q596" s="1" t="str">
        <f t="shared" si="107"/>
        <v/>
      </c>
      <c r="R596" s="2" t="str">
        <f t="shared" si="108"/>
        <v/>
      </c>
      <c r="S596" s="1" t="str">
        <f t="shared" si="109"/>
        <v/>
      </c>
    </row>
    <row r="597" spans="1:19" x14ac:dyDescent="0.2">
      <c r="A597" t="str">
        <f>IF(COUNTBLANK(B597:S597)&lt;&gt;COLUMNS(B597:S597),596,"")</f>
        <v/>
      </c>
      <c r="C597" s="2" t="str">
        <f t="shared" si="99"/>
        <v/>
      </c>
      <c r="D597" s="1" t="str">
        <f t="shared" si="100"/>
        <v/>
      </c>
      <c r="E597" s="1" t="str">
        <f t="shared" si="101"/>
        <v/>
      </c>
      <c r="I597" s="1" t="str">
        <f t="shared" si="102"/>
        <v/>
      </c>
      <c r="J597" s="2" t="str">
        <f t="shared" si="103"/>
        <v/>
      </c>
      <c r="K597" s="1" t="str">
        <f t="shared" si="104"/>
        <v/>
      </c>
      <c r="O597" s="1" t="str">
        <f t="shared" si="105"/>
        <v/>
      </c>
      <c r="P597" s="2" t="str">
        <f t="shared" si="106"/>
        <v/>
      </c>
      <c r="Q597" s="1" t="str">
        <f t="shared" si="107"/>
        <v/>
      </c>
      <c r="R597" s="2" t="str">
        <f t="shared" si="108"/>
        <v/>
      </c>
      <c r="S597" s="1" t="str">
        <f t="shared" si="109"/>
        <v/>
      </c>
    </row>
    <row r="598" spans="1:19" x14ac:dyDescent="0.2">
      <c r="A598" t="str">
        <f>IF(COUNTBLANK(B598:S598)&lt;&gt;COLUMNS(B598:S598),597,"")</f>
        <v/>
      </c>
      <c r="C598" s="2" t="str">
        <f t="shared" si="99"/>
        <v/>
      </c>
      <c r="D598" s="1" t="str">
        <f t="shared" si="100"/>
        <v/>
      </c>
      <c r="E598" s="1" t="str">
        <f t="shared" si="101"/>
        <v/>
      </c>
      <c r="I598" s="1" t="str">
        <f t="shared" si="102"/>
        <v/>
      </c>
      <c r="J598" s="2" t="str">
        <f t="shared" si="103"/>
        <v/>
      </c>
      <c r="K598" s="1" t="str">
        <f t="shared" si="104"/>
        <v/>
      </c>
      <c r="O598" s="1" t="str">
        <f t="shared" si="105"/>
        <v/>
      </c>
      <c r="P598" s="2" t="str">
        <f t="shared" si="106"/>
        <v/>
      </c>
      <c r="Q598" s="1" t="str">
        <f t="shared" si="107"/>
        <v/>
      </c>
      <c r="R598" s="2" t="str">
        <f t="shared" si="108"/>
        <v/>
      </c>
      <c r="S598" s="1" t="str">
        <f t="shared" si="109"/>
        <v/>
      </c>
    </row>
    <row r="599" spans="1:19" x14ac:dyDescent="0.2">
      <c r="A599" t="str">
        <f>IF(COUNTBLANK(B599:S599)&lt;&gt;COLUMNS(B599:S599),598,"")</f>
        <v/>
      </c>
      <c r="C599" s="2" t="str">
        <f t="shared" si="99"/>
        <v/>
      </c>
      <c r="D599" s="1" t="str">
        <f t="shared" si="100"/>
        <v/>
      </c>
      <c r="E599" s="1" t="str">
        <f t="shared" si="101"/>
        <v/>
      </c>
      <c r="I599" s="1" t="str">
        <f t="shared" si="102"/>
        <v/>
      </c>
      <c r="J599" s="2" t="str">
        <f t="shared" si="103"/>
        <v/>
      </c>
      <c r="K599" s="1" t="str">
        <f t="shared" si="104"/>
        <v/>
      </c>
      <c r="O599" s="1" t="str">
        <f t="shared" si="105"/>
        <v/>
      </c>
      <c r="P599" s="2" t="str">
        <f t="shared" si="106"/>
        <v/>
      </c>
      <c r="Q599" s="1" t="str">
        <f t="shared" si="107"/>
        <v/>
      </c>
      <c r="R599" s="2" t="str">
        <f t="shared" si="108"/>
        <v/>
      </c>
      <c r="S599" s="1" t="str">
        <f t="shared" si="109"/>
        <v/>
      </c>
    </row>
    <row r="600" spans="1:19" x14ac:dyDescent="0.2">
      <c r="A600" t="str">
        <f>IF(COUNTBLANK(B600:S600)&lt;&gt;COLUMNS(B600:S600),599,"")</f>
        <v/>
      </c>
      <c r="C600" s="2" t="str">
        <f t="shared" si="99"/>
        <v/>
      </c>
      <c r="D600" s="1" t="str">
        <f t="shared" si="100"/>
        <v/>
      </c>
      <c r="E600" s="1" t="str">
        <f t="shared" si="101"/>
        <v/>
      </c>
      <c r="I600" s="1" t="str">
        <f t="shared" si="102"/>
        <v/>
      </c>
      <c r="J600" s="2" t="str">
        <f t="shared" si="103"/>
        <v/>
      </c>
      <c r="K600" s="1" t="str">
        <f t="shared" si="104"/>
        <v/>
      </c>
      <c r="O600" s="1" t="str">
        <f t="shared" si="105"/>
        <v/>
      </c>
      <c r="P600" s="2" t="str">
        <f t="shared" si="106"/>
        <v/>
      </c>
      <c r="Q600" s="1" t="str">
        <f t="shared" si="107"/>
        <v/>
      </c>
      <c r="R600" s="2" t="str">
        <f t="shared" si="108"/>
        <v/>
      </c>
      <c r="S600" s="1" t="str">
        <f t="shared" si="109"/>
        <v/>
      </c>
    </row>
    <row r="601" spans="1:19" x14ac:dyDescent="0.2">
      <c r="A601" t="str">
        <f>IF(COUNTBLANK(B601:S601)&lt;&gt;COLUMNS(B601:S601),600,"")</f>
        <v/>
      </c>
      <c r="C601" s="2" t="str">
        <f t="shared" si="99"/>
        <v/>
      </c>
      <c r="D601" s="1" t="str">
        <f t="shared" si="100"/>
        <v/>
      </c>
      <c r="E601" s="1" t="str">
        <f t="shared" si="101"/>
        <v/>
      </c>
      <c r="I601" s="1" t="str">
        <f t="shared" si="102"/>
        <v/>
      </c>
      <c r="J601" s="2" t="str">
        <f t="shared" si="103"/>
        <v/>
      </c>
      <c r="K601" s="1" t="str">
        <f t="shared" si="104"/>
        <v/>
      </c>
      <c r="O601" s="1" t="str">
        <f t="shared" si="105"/>
        <v/>
      </c>
      <c r="P601" s="2" t="str">
        <f t="shared" si="106"/>
        <v/>
      </c>
      <c r="Q601" s="1" t="str">
        <f t="shared" si="107"/>
        <v/>
      </c>
      <c r="R601" s="2" t="str">
        <f t="shared" si="108"/>
        <v/>
      </c>
      <c r="S601" s="1" t="str">
        <f t="shared" si="109"/>
        <v/>
      </c>
    </row>
    <row r="602" spans="1:19" x14ac:dyDescent="0.2">
      <c r="A602" t="str">
        <f>IF(COUNTBLANK(B602:S602)&lt;&gt;COLUMNS(B602:S602),601,"")</f>
        <v/>
      </c>
      <c r="C602" s="2" t="str">
        <f t="shared" si="99"/>
        <v/>
      </c>
      <c r="D602" s="1" t="str">
        <f t="shared" si="100"/>
        <v/>
      </c>
      <c r="E602" s="1" t="str">
        <f t="shared" si="101"/>
        <v/>
      </c>
      <c r="I602" s="1" t="str">
        <f t="shared" si="102"/>
        <v/>
      </c>
      <c r="J602" s="2" t="str">
        <f t="shared" si="103"/>
        <v/>
      </c>
      <c r="K602" s="1" t="str">
        <f t="shared" si="104"/>
        <v/>
      </c>
      <c r="O602" s="1" t="str">
        <f t="shared" si="105"/>
        <v/>
      </c>
      <c r="P602" s="2" t="str">
        <f t="shared" si="106"/>
        <v/>
      </c>
      <c r="Q602" s="1" t="str">
        <f t="shared" si="107"/>
        <v/>
      </c>
      <c r="R602" s="2" t="str">
        <f t="shared" si="108"/>
        <v/>
      </c>
      <c r="S602" s="1" t="str">
        <f t="shared" si="109"/>
        <v/>
      </c>
    </row>
    <row r="603" spans="1:19" x14ac:dyDescent="0.2">
      <c r="A603" t="str">
        <f>IF(COUNTBLANK(B603:S603)&lt;&gt;COLUMNS(B603:S603),602,"")</f>
        <v/>
      </c>
      <c r="C603" s="2" t="str">
        <f t="shared" si="99"/>
        <v/>
      </c>
      <c r="D603" s="1" t="str">
        <f t="shared" si="100"/>
        <v/>
      </c>
      <c r="E603" s="1" t="str">
        <f t="shared" si="101"/>
        <v/>
      </c>
      <c r="I603" s="1" t="str">
        <f t="shared" si="102"/>
        <v/>
      </c>
      <c r="J603" s="2" t="str">
        <f t="shared" si="103"/>
        <v/>
      </c>
      <c r="K603" s="1" t="str">
        <f t="shared" si="104"/>
        <v/>
      </c>
      <c r="O603" s="1" t="str">
        <f t="shared" si="105"/>
        <v/>
      </c>
      <c r="P603" s="2" t="str">
        <f t="shared" si="106"/>
        <v/>
      </c>
      <c r="Q603" s="1" t="str">
        <f t="shared" si="107"/>
        <v/>
      </c>
      <c r="R603" s="2" t="str">
        <f t="shared" si="108"/>
        <v/>
      </c>
      <c r="S603" s="1" t="str">
        <f t="shared" si="109"/>
        <v/>
      </c>
    </row>
    <row r="604" spans="1:19" x14ac:dyDescent="0.2">
      <c r="A604" t="str">
        <f>IF(COUNTBLANK(B604:S604)&lt;&gt;COLUMNS(B604:S604),603,"")</f>
        <v/>
      </c>
      <c r="C604" s="2" t="str">
        <f t="shared" si="99"/>
        <v/>
      </c>
      <c r="D604" s="1" t="str">
        <f t="shared" si="100"/>
        <v/>
      </c>
      <c r="E604" s="1" t="str">
        <f t="shared" si="101"/>
        <v/>
      </c>
      <c r="I604" s="1" t="str">
        <f t="shared" si="102"/>
        <v/>
      </c>
      <c r="J604" s="2" t="str">
        <f t="shared" si="103"/>
        <v/>
      </c>
      <c r="K604" s="1" t="str">
        <f t="shared" si="104"/>
        <v/>
      </c>
      <c r="O604" s="1" t="str">
        <f t="shared" si="105"/>
        <v/>
      </c>
      <c r="P604" s="2" t="str">
        <f t="shared" si="106"/>
        <v/>
      </c>
      <c r="Q604" s="1" t="str">
        <f t="shared" si="107"/>
        <v/>
      </c>
      <c r="R604" s="2" t="str">
        <f t="shared" si="108"/>
        <v/>
      </c>
      <c r="S604" s="1" t="str">
        <f t="shared" si="109"/>
        <v/>
      </c>
    </row>
    <row r="605" spans="1:19" x14ac:dyDescent="0.2">
      <c r="A605" t="str">
        <f>IF(COUNTBLANK(B605:S605)&lt;&gt;COLUMNS(B605:S605),604,"")</f>
        <v/>
      </c>
      <c r="C605" s="2" t="str">
        <f t="shared" si="99"/>
        <v/>
      </c>
      <c r="D605" s="1" t="str">
        <f t="shared" si="100"/>
        <v/>
      </c>
      <c r="E605" s="1" t="str">
        <f t="shared" si="101"/>
        <v/>
      </c>
      <c r="I605" s="1" t="str">
        <f t="shared" si="102"/>
        <v/>
      </c>
      <c r="J605" s="2" t="str">
        <f t="shared" si="103"/>
        <v/>
      </c>
      <c r="K605" s="1" t="str">
        <f t="shared" si="104"/>
        <v/>
      </c>
      <c r="O605" s="1" t="str">
        <f t="shared" si="105"/>
        <v/>
      </c>
      <c r="P605" s="2" t="str">
        <f t="shared" si="106"/>
        <v/>
      </c>
      <c r="Q605" s="1" t="str">
        <f t="shared" si="107"/>
        <v/>
      </c>
      <c r="R605" s="2" t="str">
        <f t="shared" si="108"/>
        <v/>
      </c>
      <c r="S605" s="1" t="str">
        <f t="shared" si="109"/>
        <v/>
      </c>
    </row>
    <row r="606" spans="1:19" x14ac:dyDescent="0.2">
      <c r="A606" t="str">
        <f>IF(COUNTBLANK(B606:S606)&lt;&gt;COLUMNS(B606:S606),605,"")</f>
        <v/>
      </c>
      <c r="C606" s="2" t="str">
        <f t="shared" si="99"/>
        <v/>
      </c>
      <c r="D606" s="1" t="str">
        <f t="shared" si="100"/>
        <v/>
      </c>
      <c r="E606" s="1" t="str">
        <f t="shared" si="101"/>
        <v/>
      </c>
      <c r="I606" s="1" t="str">
        <f t="shared" si="102"/>
        <v/>
      </c>
      <c r="J606" s="2" t="str">
        <f t="shared" si="103"/>
        <v/>
      </c>
      <c r="K606" s="1" t="str">
        <f t="shared" si="104"/>
        <v/>
      </c>
      <c r="O606" s="1" t="str">
        <f t="shared" si="105"/>
        <v/>
      </c>
      <c r="P606" s="2" t="str">
        <f t="shared" si="106"/>
        <v/>
      </c>
      <c r="Q606" s="1" t="str">
        <f t="shared" si="107"/>
        <v/>
      </c>
      <c r="R606" s="2" t="str">
        <f t="shared" si="108"/>
        <v/>
      </c>
      <c r="S606" s="1" t="str">
        <f t="shared" si="109"/>
        <v/>
      </c>
    </row>
    <row r="607" spans="1:19" x14ac:dyDescent="0.2">
      <c r="A607" t="str">
        <f>IF(COUNTBLANK(B607:S607)&lt;&gt;COLUMNS(B607:S607),606,"")</f>
        <v/>
      </c>
      <c r="C607" s="2" t="str">
        <f t="shared" si="99"/>
        <v/>
      </c>
      <c r="D607" s="1" t="str">
        <f t="shared" si="100"/>
        <v/>
      </c>
      <c r="E607" s="1" t="str">
        <f t="shared" si="101"/>
        <v/>
      </c>
      <c r="I607" s="1" t="str">
        <f t="shared" si="102"/>
        <v/>
      </c>
      <c r="J607" s="2" t="str">
        <f t="shared" si="103"/>
        <v/>
      </c>
      <c r="K607" s="1" t="str">
        <f t="shared" si="104"/>
        <v/>
      </c>
      <c r="O607" s="1" t="str">
        <f t="shared" si="105"/>
        <v/>
      </c>
      <c r="P607" s="2" t="str">
        <f t="shared" si="106"/>
        <v/>
      </c>
      <c r="Q607" s="1" t="str">
        <f t="shared" si="107"/>
        <v/>
      </c>
      <c r="R607" s="2" t="str">
        <f t="shared" si="108"/>
        <v/>
      </c>
      <c r="S607" s="1" t="str">
        <f t="shared" si="109"/>
        <v/>
      </c>
    </row>
    <row r="608" spans="1:19" x14ac:dyDescent="0.2">
      <c r="A608" t="str">
        <f>IF(COUNTBLANK(B608:S608)&lt;&gt;COLUMNS(B608:S608),607,"")</f>
        <v/>
      </c>
      <c r="C608" s="2" t="str">
        <f t="shared" si="99"/>
        <v/>
      </c>
      <c r="D608" s="1" t="str">
        <f t="shared" si="100"/>
        <v/>
      </c>
      <c r="E608" s="1" t="str">
        <f t="shared" si="101"/>
        <v/>
      </c>
      <c r="I608" s="1" t="str">
        <f t="shared" si="102"/>
        <v/>
      </c>
      <c r="J608" s="2" t="str">
        <f t="shared" si="103"/>
        <v/>
      </c>
      <c r="K608" s="1" t="str">
        <f t="shared" si="104"/>
        <v/>
      </c>
      <c r="O608" s="1" t="str">
        <f t="shared" si="105"/>
        <v/>
      </c>
      <c r="P608" s="2" t="str">
        <f t="shared" si="106"/>
        <v/>
      </c>
      <c r="Q608" s="1" t="str">
        <f t="shared" si="107"/>
        <v/>
      </c>
      <c r="R608" s="2" t="str">
        <f t="shared" si="108"/>
        <v/>
      </c>
      <c r="S608" s="1" t="str">
        <f t="shared" si="109"/>
        <v/>
      </c>
    </row>
    <row r="609" spans="1:19" x14ac:dyDescent="0.2">
      <c r="A609" t="str">
        <f>IF(COUNTBLANK(B609:S609)&lt;&gt;COLUMNS(B609:S609),608,"")</f>
        <v/>
      </c>
      <c r="C609" s="2" t="str">
        <f t="shared" si="99"/>
        <v/>
      </c>
      <c r="D609" s="1" t="str">
        <f t="shared" si="100"/>
        <v/>
      </c>
      <c r="E609" s="1" t="str">
        <f t="shared" si="101"/>
        <v/>
      </c>
      <c r="I609" s="1" t="str">
        <f t="shared" si="102"/>
        <v/>
      </c>
      <c r="J609" s="2" t="str">
        <f t="shared" si="103"/>
        <v/>
      </c>
      <c r="K609" s="1" t="str">
        <f t="shared" si="104"/>
        <v/>
      </c>
      <c r="O609" s="1" t="str">
        <f t="shared" si="105"/>
        <v/>
      </c>
      <c r="P609" s="2" t="str">
        <f t="shared" si="106"/>
        <v/>
      </c>
      <c r="Q609" s="1" t="str">
        <f t="shared" si="107"/>
        <v/>
      </c>
      <c r="R609" s="2" t="str">
        <f t="shared" si="108"/>
        <v/>
      </c>
      <c r="S609" s="1" t="str">
        <f t="shared" si="109"/>
        <v/>
      </c>
    </row>
    <row r="610" spans="1:19" x14ac:dyDescent="0.2">
      <c r="A610" t="str">
        <f>IF(COUNTBLANK(B610:S610)&lt;&gt;COLUMNS(B610:S610),609,"")</f>
        <v/>
      </c>
      <c r="C610" s="2" t="str">
        <f t="shared" si="99"/>
        <v/>
      </c>
      <c r="D610" s="1" t="str">
        <f t="shared" si="100"/>
        <v/>
      </c>
      <c r="E610" s="1" t="str">
        <f t="shared" si="101"/>
        <v/>
      </c>
      <c r="I610" s="1" t="str">
        <f t="shared" si="102"/>
        <v/>
      </c>
      <c r="J610" s="2" t="str">
        <f t="shared" si="103"/>
        <v/>
      </c>
      <c r="K610" s="1" t="str">
        <f t="shared" si="104"/>
        <v/>
      </c>
      <c r="O610" s="1" t="str">
        <f t="shared" si="105"/>
        <v/>
      </c>
      <c r="P610" s="2" t="str">
        <f t="shared" si="106"/>
        <v/>
      </c>
      <c r="Q610" s="1" t="str">
        <f t="shared" si="107"/>
        <v/>
      </c>
      <c r="R610" s="2" t="str">
        <f t="shared" si="108"/>
        <v/>
      </c>
      <c r="S610" s="1" t="str">
        <f t="shared" si="109"/>
        <v/>
      </c>
    </row>
    <row r="611" spans="1:19" x14ac:dyDescent="0.2">
      <c r="A611" t="str">
        <f>IF(COUNTBLANK(B611:S611)&lt;&gt;COLUMNS(B611:S611),610,"")</f>
        <v/>
      </c>
      <c r="C611" s="2" t="str">
        <f t="shared" si="99"/>
        <v/>
      </c>
      <c r="D611" s="1" t="str">
        <f t="shared" si="100"/>
        <v/>
      </c>
      <c r="E611" s="1" t="str">
        <f t="shared" si="101"/>
        <v/>
      </c>
      <c r="I611" s="1" t="str">
        <f t="shared" si="102"/>
        <v/>
      </c>
      <c r="J611" s="2" t="str">
        <f t="shared" si="103"/>
        <v/>
      </c>
      <c r="K611" s="1" t="str">
        <f t="shared" si="104"/>
        <v/>
      </c>
      <c r="O611" s="1" t="str">
        <f t="shared" si="105"/>
        <v/>
      </c>
      <c r="P611" s="2" t="str">
        <f t="shared" si="106"/>
        <v/>
      </c>
      <c r="Q611" s="1" t="str">
        <f t="shared" si="107"/>
        <v/>
      </c>
      <c r="R611" s="2" t="str">
        <f t="shared" si="108"/>
        <v/>
      </c>
      <c r="S611" s="1" t="str">
        <f t="shared" si="109"/>
        <v/>
      </c>
    </row>
    <row r="612" spans="1:19" x14ac:dyDescent="0.2">
      <c r="A612" t="str">
        <f>IF(COUNTBLANK(B612:S612)&lt;&gt;COLUMNS(B612:S612),611,"")</f>
        <v/>
      </c>
      <c r="C612" s="2" t="str">
        <f t="shared" si="99"/>
        <v/>
      </c>
      <c r="D612" s="1" t="str">
        <f t="shared" si="100"/>
        <v/>
      </c>
      <c r="E612" s="1" t="str">
        <f t="shared" si="101"/>
        <v/>
      </c>
      <c r="I612" s="1" t="str">
        <f t="shared" si="102"/>
        <v/>
      </c>
      <c r="J612" s="2" t="str">
        <f t="shared" si="103"/>
        <v/>
      </c>
      <c r="K612" s="1" t="str">
        <f t="shared" si="104"/>
        <v/>
      </c>
      <c r="O612" s="1" t="str">
        <f t="shared" si="105"/>
        <v/>
      </c>
      <c r="P612" s="2" t="str">
        <f t="shared" si="106"/>
        <v/>
      </c>
      <c r="Q612" s="1" t="str">
        <f t="shared" si="107"/>
        <v/>
      </c>
      <c r="R612" s="2" t="str">
        <f t="shared" si="108"/>
        <v/>
      </c>
      <c r="S612" s="1" t="str">
        <f t="shared" si="109"/>
        <v/>
      </c>
    </row>
    <row r="613" spans="1:19" x14ac:dyDescent="0.2">
      <c r="A613" t="str">
        <f>IF(COUNTBLANK(B613:S613)&lt;&gt;COLUMNS(B613:S613),612,"")</f>
        <v/>
      </c>
      <c r="C613" s="2" t="str">
        <f t="shared" si="99"/>
        <v/>
      </c>
      <c r="D613" s="1" t="str">
        <f t="shared" si="100"/>
        <v/>
      </c>
      <c r="E613" s="1" t="str">
        <f t="shared" si="101"/>
        <v/>
      </c>
      <c r="I613" s="1" t="str">
        <f t="shared" si="102"/>
        <v/>
      </c>
      <c r="J613" s="2" t="str">
        <f t="shared" si="103"/>
        <v/>
      </c>
      <c r="K613" s="1" t="str">
        <f t="shared" si="104"/>
        <v/>
      </c>
      <c r="O613" s="1" t="str">
        <f t="shared" si="105"/>
        <v/>
      </c>
      <c r="P613" s="2" t="str">
        <f t="shared" si="106"/>
        <v/>
      </c>
      <c r="Q613" s="1" t="str">
        <f t="shared" si="107"/>
        <v/>
      </c>
      <c r="R613" s="2" t="str">
        <f t="shared" si="108"/>
        <v/>
      </c>
      <c r="S613" s="1" t="str">
        <f t="shared" si="109"/>
        <v/>
      </c>
    </row>
    <row r="614" spans="1:19" x14ac:dyDescent="0.2">
      <c r="A614" t="str">
        <f>IF(COUNTBLANK(B614:S614)&lt;&gt;COLUMNS(B614:S614),613,"")</f>
        <v/>
      </c>
      <c r="C614" s="2" t="str">
        <f t="shared" si="99"/>
        <v/>
      </c>
      <c r="D614" s="1" t="str">
        <f t="shared" si="100"/>
        <v/>
      </c>
      <c r="E614" s="1" t="str">
        <f t="shared" si="101"/>
        <v/>
      </c>
      <c r="I614" s="1" t="str">
        <f t="shared" si="102"/>
        <v/>
      </c>
      <c r="J614" s="2" t="str">
        <f t="shared" si="103"/>
        <v/>
      </c>
      <c r="K614" s="1" t="str">
        <f t="shared" si="104"/>
        <v/>
      </c>
      <c r="O614" s="1" t="str">
        <f t="shared" si="105"/>
        <v/>
      </c>
      <c r="P614" s="2" t="str">
        <f t="shared" si="106"/>
        <v/>
      </c>
      <c r="Q614" s="1" t="str">
        <f t="shared" si="107"/>
        <v/>
      </c>
      <c r="R614" s="2" t="str">
        <f t="shared" si="108"/>
        <v/>
      </c>
      <c r="S614" s="1" t="str">
        <f t="shared" si="109"/>
        <v/>
      </c>
    </row>
    <row r="615" spans="1:19" x14ac:dyDescent="0.2">
      <c r="A615" t="str">
        <f>IF(COUNTBLANK(B615:S615)&lt;&gt;COLUMNS(B615:S615),614,"")</f>
        <v/>
      </c>
      <c r="C615" s="2" t="str">
        <f t="shared" si="99"/>
        <v/>
      </c>
      <c r="D615" s="1" t="str">
        <f t="shared" si="100"/>
        <v/>
      </c>
      <c r="E615" s="1" t="str">
        <f t="shared" si="101"/>
        <v/>
      </c>
      <c r="I615" s="1" t="str">
        <f t="shared" si="102"/>
        <v/>
      </c>
      <c r="J615" s="2" t="str">
        <f t="shared" si="103"/>
        <v/>
      </c>
      <c r="K615" s="1" t="str">
        <f t="shared" si="104"/>
        <v/>
      </c>
      <c r="O615" s="1" t="str">
        <f t="shared" si="105"/>
        <v/>
      </c>
      <c r="P615" s="2" t="str">
        <f t="shared" si="106"/>
        <v/>
      </c>
      <c r="Q615" s="1" t="str">
        <f t="shared" si="107"/>
        <v/>
      </c>
      <c r="R615" s="2" t="str">
        <f t="shared" si="108"/>
        <v/>
      </c>
      <c r="S615" s="1" t="str">
        <f t="shared" si="109"/>
        <v/>
      </c>
    </row>
    <row r="616" spans="1:19" x14ac:dyDescent="0.2">
      <c r="A616" t="str">
        <f>IF(COUNTBLANK(B616:S616)&lt;&gt;COLUMNS(B616:S616),615,"")</f>
        <v/>
      </c>
      <c r="C616" s="2" t="str">
        <f t="shared" si="99"/>
        <v/>
      </c>
      <c r="D616" s="1" t="str">
        <f t="shared" si="100"/>
        <v/>
      </c>
      <c r="E616" s="1" t="str">
        <f t="shared" si="101"/>
        <v/>
      </c>
      <c r="I616" s="1" t="str">
        <f t="shared" si="102"/>
        <v/>
      </c>
      <c r="J616" s="2" t="str">
        <f t="shared" si="103"/>
        <v/>
      </c>
      <c r="K616" s="1" t="str">
        <f t="shared" si="104"/>
        <v/>
      </c>
      <c r="O616" s="1" t="str">
        <f t="shared" si="105"/>
        <v/>
      </c>
      <c r="P616" s="2" t="str">
        <f t="shared" si="106"/>
        <v/>
      </c>
      <c r="Q616" s="1" t="str">
        <f t="shared" si="107"/>
        <v/>
      </c>
      <c r="R616" s="2" t="str">
        <f t="shared" si="108"/>
        <v/>
      </c>
      <c r="S616" s="1" t="str">
        <f t="shared" si="109"/>
        <v/>
      </c>
    </row>
    <row r="617" spans="1:19" x14ac:dyDescent="0.2">
      <c r="A617" t="str">
        <f>IF(COUNTBLANK(B617:S617)&lt;&gt;COLUMNS(B617:S617),616,"")</f>
        <v/>
      </c>
      <c r="C617" s="2" t="str">
        <f t="shared" si="99"/>
        <v/>
      </c>
      <c r="D617" s="1" t="str">
        <f t="shared" si="100"/>
        <v/>
      </c>
      <c r="E617" s="1" t="str">
        <f t="shared" si="101"/>
        <v/>
      </c>
      <c r="I617" s="1" t="str">
        <f t="shared" si="102"/>
        <v/>
      </c>
      <c r="J617" s="2" t="str">
        <f t="shared" si="103"/>
        <v/>
      </c>
      <c r="K617" s="1" t="str">
        <f t="shared" si="104"/>
        <v/>
      </c>
      <c r="O617" s="1" t="str">
        <f t="shared" si="105"/>
        <v/>
      </c>
      <c r="P617" s="2" t="str">
        <f t="shared" si="106"/>
        <v/>
      </c>
      <c r="Q617" s="1" t="str">
        <f t="shared" si="107"/>
        <v/>
      </c>
      <c r="R617" s="2" t="str">
        <f t="shared" si="108"/>
        <v/>
      </c>
      <c r="S617" s="1" t="str">
        <f t="shared" si="109"/>
        <v/>
      </c>
    </row>
    <row r="618" spans="1:19" x14ac:dyDescent="0.2">
      <c r="A618" t="str">
        <f>IF(COUNTBLANK(B618:S618)&lt;&gt;COLUMNS(B618:S618),617,"")</f>
        <v/>
      </c>
      <c r="C618" s="2" t="str">
        <f t="shared" si="99"/>
        <v/>
      </c>
      <c r="D618" s="1" t="str">
        <f t="shared" si="100"/>
        <v/>
      </c>
      <c r="E618" s="1" t="str">
        <f t="shared" si="101"/>
        <v/>
      </c>
      <c r="I618" s="1" t="str">
        <f t="shared" si="102"/>
        <v/>
      </c>
      <c r="J618" s="2" t="str">
        <f t="shared" si="103"/>
        <v/>
      </c>
      <c r="K618" s="1" t="str">
        <f t="shared" si="104"/>
        <v/>
      </c>
      <c r="O618" s="1" t="str">
        <f t="shared" si="105"/>
        <v/>
      </c>
      <c r="P618" s="2" t="str">
        <f t="shared" si="106"/>
        <v/>
      </c>
      <c r="Q618" s="1" t="str">
        <f t="shared" si="107"/>
        <v/>
      </c>
      <c r="R618" s="2" t="str">
        <f t="shared" si="108"/>
        <v/>
      </c>
      <c r="S618" s="1" t="str">
        <f t="shared" si="109"/>
        <v/>
      </c>
    </row>
    <row r="619" spans="1:19" x14ac:dyDescent="0.2">
      <c r="A619" t="str">
        <f>IF(COUNTBLANK(B619:S619)&lt;&gt;COLUMNS(B619:S619),618,"")</f>
        <v/>
      </c>
      <c r="C619" s="2" t="str">
        <f t="shared" si="99"/>
        <v/>
      </c>
      <c r="D619" s="1" t="str">
        <f t="shared" si="100"/>
        <v/>
      </c>
      <c r="E619" s="1" t="str">
        <f t="shared" si="101"/>
        <v/>
      </c>
      <c r="I619" s="1" t="str">
        <f t="shared" si="102"/>
        <v/>
      </c>
      <c r="J619" s="2" t="str">
        <f t="shared" si="103"/>
        <v/>
      </c>
      <c r="K619" s="1" t="str">
        <f t="shared" si="104"/>
        <v/>
      </c>
      <c r="O619" s="1" t="str">
        <f t="shared" si="105"/>
        <v/>
      </c>
      <c r="P619" s="2" t="str">
        <f t="shared" si="106"/>
        <v/>
      </c>
      <c r="Q619" s="1" t="str">
        <f t="shared" si="107"/>
        <v/>
      </c>
      <c r="R619" s="2" t="str">
        <f t="shared" si="108"/>
        <v/>
      </c>
      <c r="S619" s="1" t="str">
        <f t="shared" si="109"/>
        <v/>
      </c>
    </row>
    <row r="620" spans="1:19" x14ac:dyDescent="0.2">
      <c r="A620" t="str">
        <f>IF(COUNTBLANK(B620:S620)&lt;&gt;COLUMNS(B620:S620),619,"")</f>
        <v/>
      </c>
      <c r="C620" s="2" t="str">
        <f t="shared" si="99"/>
        <v/>
      </c>
      <c r="D620" s="1" t="str">
        <f t="shared" si="100"/>
        <v/>
      </c>
      <c r="E620" s="1" t="str">
        <f t="shared" si="101"/>
        <v/>
      </c>
      <c r="I620" s="1" t="str">
        <f t="shared" si="102"/>
        <v/>
      </c>
      <c r="J620" s="2" t="str">
        <f t="shared" si="103"/>
        <v/>
      </c>
      <c r="K620" s="1" t="str">
        <f t="shared" si="104"/>
        <v/>
      </c>
      <c r="O620" s="1" t="str">
        <f t="shared" si="105"/>
        <v/>
      </c>
      <c r="P620" s="2" t="str">
        <f t="shared" si="106"/>
        <v/>
      </c>
      <c r="Q620" s="1" t="str">
        <f t="shared" si="107"/>
        <v/>
      </c>
      <c r="R620" s="2" t="str">
        <f t="shared" si="108"/>
        <v/>
      </c>
      <c r="S620" s="1" t="str">
        <f t="shared" si="109"/>
        <v/>
      </c>
    </row>
    <row r="621" spans="1:19" x14ac:dyDescent="0.2">
      <c r="A621" t="str">
        <f>IF(COUNTBLANK(B621:S621)&lt;&gt;COLUMNS(B621:S621),620,"")</f>
        <v/>
      </c>
      <c r="C621" s="2" t="str">
        <f t="shared" si="99"/>
        <v/>
      </c>
      <c r="D621" s="1" t="str">
        <f t="shared" si="100"/>
        <v/>
      </c>
      <c r="E621" s="1" t="str">
        <f t="shared" si="101"/>
        <v/>
      </c>
      <c r="I621" s="1" t="str">
        <f t="shared" si="102"/>
        <v/>
      </c>
      <c r="J621" s="2" t="str">
        <f t="shared" si="103"/>
        <v/>
      </c>
      <c r="K621" s="1" t="str">
        <f t="shared" si="104"/>
        <v/>
      </c>
      <c r="O621" s="1" t="str">
        <f t="shared" si="105"/>
        <v/>
      </c>
      <c r="P621" s="2" t="str">
        <f t="shared" si="106"/>
        <v/>
      </c>
      <c r="Q621" s="1" t="str">
        <f t="shared" si="107"/>
        <v/>
      </c>
      <c r="R621" s="2" t="str">
        <f t="shared" si="108"/>
        <v/>
      </c>
      <c r="S621" s="1" t="str">
        <f t="shared" si="109"/>
        <v/>
      </c>
    </row>
    <row r="622" spans="1:19" x14ac:dyDescent="0.2">
      <c r="A622" t="str">
        <f>IF(COUNTBLANK(B622:S622)&lt;&gt;COLUMNS(B622:S622),621,"")</f>
        <v/>
      </c>
      <c r="C622" s="2" t="str">
        <f t="shared" si="99"/>
        <v/>
      </c>
      <c r="D622" s="1" t="str">
        <f t="shared" si="100"/>
        <v/>
      </c>
      <c r="E622" s="1" t="str">
        <f t="shared" si="101"/>
        <v/>
      </c>
      <c r="I622" s="1" t="str">
        <f t="shared" si="102"/>
        <v/>
      </c>
      <c r="J622" s="2" t="str">
        <f t="shared" si="103"/>
        <v/>
      </c>
      <c r="K622" s="1" t="str">
        <f t="shared" si="104"/>
        <v/>
      </c>
      <c r="O622" s="1" t="str">
        <f t="shared" si="105"/>
        <v/>
      </c>
      <c r="P622" s="2" t="str">
        <f t="shared" si="106"/>
        <v/>
      </c>
      <c r="Q622" s="1" t="str">
        <f t="shared" si="107"/>
        <v/>
      </c>
      <c r="R622" s="2" t="str">
        <f t="shared" si="108"/>
        <v/>
      </c>
      <c r="S622" s="1" t="str">
        <f t="shared" si="109"/>
        <v/>
      </c>
    </row>
    <row r="623" spans="1:19" x14ac:dyDescent="0.2">
      <c r="A623" t="str">
        <f>IF(COUNTBLANK(B623:S623)&lt;&gt;COLUMNS(B623:S623),622,"")</f>
        <v/>
      </c>
      <c r="C623" s="2" t="str">
        <f t="shared" si="99"/>
        <v/>
      </c>
      <c r="D623" s="1" t="str">
        <f t="shared" si="100"/>
        <v/>
      </c>
      <c r="E623" s="1" t="str">
        <f t="shared" si="101"/>
        <v/>
      </c>
      <c r="I623" s="1" t="str">
        <f t="shared" si="102"/>
        <v/>
      </c>
      <c r="J623" s="2" t="str">
        <f t="shared" si="103"/>
        <v/>
      </c>
      <c r="K623" s="1" t="str">
        <f t="shared" si="104"/>
        <v/>
      </c>
      <c r="O623" s="1" t="str">
        <f t="shared" si="105"/>
        <v/>
      </c>
      <c r="P623" s="2" t="str">
        <f t="shared" si="106"/>
        <v/>
      </c>
      <c r="Q623" s="1" t="str">
        <f t="shared" si="107"/>
        <v/>
      </c>
      <c r="R623" s="2" t="str">
        <f t="shared" si="108"/>
        <v/>
      </c>
      <c r="S623" s="1" t="str">
        <f t="shared" si="109"/>
        <v/>
      </c>
    </row>
    <row r="624" spans="1:19" x14ac:dyDescent="0.2">
      <c r="A624" t="str">
        <f>IF(COUNTBLANK(B624:S624)&lt;&gt;COLUMNS(B624:S624),623,"")</f>
        <v/>
      </c>
      <c r="C624" s="2" t="str">
        <f t="shared" si="99"/>
        <v/>
      </c>
      <c r="D624" s="1" t="str">
        <f t="shared" si="100"/>
        <v/>
      </c>
      <c r="E624" s="1" t="str">
        <f t="shared" si="101"/>
        <v/>
      </c>
      <c r="I624" s="1" t="str">
        <f t="shared" si="102"/>
        <v/>
      </c>
      <c r="J624" s="2" t="str">
        <f t="shared" si="103"/>
        <v/>
      </c>
      <c r="K624" s="1" t="str">
        <f t="shared" si="104"/>
        <v/>
      </c>
      <c r="O624" s="1" t="str">
        <f t="shared" si="105"/>
        <v/>
      </c>
      <c r="P624" s="2" t="str">
        <f t="shared" si="106"/>
        <v/>
      </c>
      <c r="Q624" s="1" t="str">
        <f t="shared" si="107"/>
        <v/>
      </c>
      <c r="R624" s="2" t="str">
        <f t="shared" si="108"/>
        <v/>
      </c>
      <c r="S624" s="1" t="str">
        <f t="shared" si="109"/>
        <v/>
      </c>
    </row>
    <row r="625" spans="1:19" x14ac:dyDescent="0.2">
      <c r="A625" t="str">
        <f>IF(COUNTBLANK(B625:S625)&lt;&gt;COLUMNS(B625:S625),624,"")</f>
        <v/>
      </c>
      <c r="C625" s="2" t="str">
        <f t="shared" si="99"/>
        <v/>
      </c>
      <c r="D625" s="1" t="str">
        <f t="shared" si="100"/>
        <v/>
      </c>
      <c r="E625" s="1" t="str">
        <f t="shared" si="101"/>
        <v/>
      </c>
      <c r="I625" s="1" t="str">
        <f t="shared" si="102"/>
        <v/>
      </c>
      <c r="J625" s="2" t="str">
        <f t="shared" si="103"/>
        <v/>
      </c>
      <c r="K625" s="1" t="str">
        <f t="shared" si="104"/>
        <v/>
      </c>
      <c r="O625" s="1" t="str">
        <f t="shared" si="105"/>
        <v/>
      </c>
      <c r="P625" s="2" t="str">
        <f t="shared" si="106"/>
        <v/>
      </c>
      <c r="Q625" s="1" t="str">
        <f t="shared" si="107"/>
        <v/>
      </c>
      <c r="R625" s="2" t="str">
        <f t="shared" si="108"/>
        <v/>
      </c>
      <c r="S625" s="1" t="str">
        <f t="shared" si="109"/>
        <v/>
      </c>
    </row>
    <row r="626" spans="1:19" x14ac:dyDescent="0.2">
      <c r="A626" t="str">
        <f>IF(COUNTBLANK(B626:S626)&lt;&gt;COLUMNS(B626:S626),625,"")</f>
        <v/>
      </c>
      <c r="C626" s="2" t="str">
        <f t="shared" si="99"/>
        <v/>
      </c>
      <c r="D626" s="1" t="str">
        <f t="shared" si="100"/>
        <v/>
      </c>
      <c r="E626" s="1" t="str">
        <f t="shared" si="101"/>
        <v/>
      </c>
      <c r="I626" s="1" t="str">
        <f t="shared" si="102"/>
        <v/>
      </c>
      <c r="J626" s="2" t="str">
        <f t="shared" si="103"/>
        <v/>
      </c>
      <c r="K626" s="1" t="str">
        <f t="shared" si="104"/>
        <v/>
      </c>
      <c r="O626" s="1" t="str">
        <f t="shared" si="105"/>
        <v/>
      </c>
      <c r="P626" s="2" t="str">
        <f t="shared" si="106"/>
        <v/>
      </c>
      <c r="Q626" s="1" t="str">
        <f t="shared" si="107"/>
        <v/>
      </c>
      <c r="R626" s="2" t="str">
        <f t="shared" si="108"/>
        <v/>
      </c>
      <c r="S626" s="1" t="str">
        <f t="shared" si="109"/>
        <v/>
      </c>
    </row>
    <row r="627" spans="1:19" x14ac:dyDescent="0.2">
      <c r="A627" t="str">
        <f>IF(COUNTBLANK(B627:S627)&lt;&gt;COLUMNS(B627:S627),626,"")</f>
        <v/>
      </c>
      <c r="C627" s="2" t="str">
        <f t="shared" si="99"/>
        <v/>
      </c>
      <c r="D627" s="1" t="str">
        <f t="shared" si="100"/>
        <v/>
      </c>
      <c r="E627" s="1" t="str">
        <f t="shared" si="101"/>
        <v/>
      </c>
      <c r="I627" s="1" t="str">
        <f t="shared" si="102"/>
        <v/>
      </c>
      <c r="J627" s="2" t="str">
        <f t="shared" si="103"/>
        <v/>
      </c>
      <c r="K627" s="1" t="str">
        <f t="shared" si="104"/>
        <v/>
      </c>
      <c r="O627" s="1" t="str">
        <f t="shared" si="105"/>
        <v/>
      </c>
      <c r="P627" s="2" t="str">
        <f t="shared" si="106"/>
        <v/>
      </c>
      <c r="Q627" s="1" t="str">
        <f t="shared" si="107"/>
        <v/>
      </c>
      <c r="R627" s="2" t="str">
        <f t="shared" si="108"/>
        <v/>
      </c>
      <c r="S627" s="1" t="str">
        <f t="shared" si="109"/>
        <v/>
      </c>
    </row>
    <row r="628" spans="1:19" x14ac:dyDescent="0.2">
      <c r="A628" t="str">
        <f>IF(COUNTBLANK(B628:S628)&lt;&gt;COLUMNS(B628:S628),627,"")</f>
        <v/>
      </c>
      <c r="C628" s="2" t="str">
        <f t="shared" si="99"/>
        <v/>
      </c>
      <c r="D628" s="1" t="str">
        <f t="shared" si="100"/>
        <v/>
      </c>
      <c r="E628" s="1" t="str">
        <f t="shared" si="101"/>
        <v/>
      </c>
      <c r="I628" s="1" t="str">
        <f t="shared" si="102"/>
        <v/>
      </c>
      <c r="J628" s="2" t="str">
        <f t="shared" si="103"/>
        <v/>
      </c>
      <c r="K628" s="1" t="str">
        <f t="shared" si="104"/>
        <v/>
      </c>
      <c r="O628" s="1" t="str">
        <f t="shared" si="105"/>
        <v/>
      </c>
      <c r="P628" s="2" t="str">
        <f t="shared" si="106"/>
        <v/>
      </c>
      <c r="Q628" s="1" t="str">
        <f t="shared" si="107"/>
        <v/>
      </c>
      <c r="R628" s="2" t="str">
        <f t="shared" si="108"/>
        <v/>
      </c>
      <c r="S628" s="1" t="str">
        <f t="shared" si="109"/>
        <v/>
      </c>
    </row>
    <row r="629" spans="1:19" x14ac:dyDescent="0.2">
      <c r="A629" t="str">
        <f>IF(COUNTBLANK(B629:S629)&lt;&gt;COLUMNS(B629:S629),628,"")</f>
        <v/>
      </c>
      <c r="C629" s="2" t="str">
        <f t="shared" si="99"/>
        <v/>
      </c>
      <c r="D629" s="1" t="str">
        <f t="shared" si="100"/>
        <v/>
      </c>
      <c r="E629" s="1" t="str">
        <f t="shared" si="101"/>
        <v/>
      </c>
      <c r="I629" s="1" t="str">
        <f t="shared" si="102"/>
        <v/>
      </c>
      <c r="J629" s="2" t="str">
        <f t="shared" si="103"/>
        <v/>
      </c>
      <c r="K629" s="1" t="str">
        <f t="shared" si="104"/>
        <v/>
      </c>
      <c r="O629" s="1" t="str">
        <f t="shared" si="105"/>
        <v/>
      </c>
      <c r="P629" s="2" t="str">
        <f t="shared" si="106"/>
        <v/>
      </c>
      <c r="Q629" s="1" t="str">
        <f t="shared" si="107"/>
        <v/>
      </c>
      <c r="R629" s="2" t="str">
        <f t="shared" si="108"/>
        <v/>
      </c>
      <c r="S629" s="1" t="str">
        <f t="shared" si="109"/>
        <v/>
      </c>
    </row>
    <row r="630" spans="1:19" x14ac:dyDescent="0.2">
      <c r="A630" t="str">
        <f>IF(COUNTBLANK(B630:S630)&lt;&gt;COLUMNS(B630:S630),629,"")</f>
        <v/>
      </c>
      <c r="C630" s="2" t="str">
        <f t="shared" si="99"/>
        <v/>
      </c>
      <c r="D630" s="1" t="str">
        <f t="shared" si="100"/>
        <v/>
      </c>
      <c r="E630" s="1" t="str">
        <f t="shared" si="101"/>
        <v/>
      </c>
      <c r="I630" s="1" t="str">
        <f t="shared" si="102"/>
        <v/>
      </c>
      <c r="J630" s="2" t="str">
        <f t="shared" si="103"/>
        <v/>
      </c>
      <c r="K630" s="1" t="str">
        <f t="shared" si="104"/>
        <v/>
      </c>
      <c r="O630" s="1" t="str">
        <f t="shared" si="105"/>
        <v/>
      </c>
      <c r="P630" s="2" t="str">
        <f t="shared" si="106"/>
        <v/>
      </c>
      <c r="Q630" s="1" t="str">
        <f t="shared" si="107"/>
        <v/>
      </c>
      <c r="R630" s="2" t="str">
        <f t="shared" si="108"/>
        <v/>
      </c>
      <c r="S630" s="1" t="str">
        <f t="shared" si="109"/>
        <v/>
      </c>
    </row>
    <row r="631" spans="1:19" x14ac:dyDescent="0.2">
      <c r="A631" t="str">
        <f>IF(COUNTBLANK(B631:S631)&lt;&gt;COLUMNS(B631:S631),630,"")</f>
        <v/>
      </c>
      <c r="C631" s="2" t="str">
        <f t="shared" si="99"/>
        <v/>
      </c>
      <c r="D631" s="1" t="str">
        <f t="shared" si="100"/>
        <v/>
      </c>
      <c r="E631" s="1" t="str">
        <f t="shared" si="101"/>
        <v/>
      </c>
      <c r="I631" s="1" t="str">
        <f t="shared" si="102"/>
        <v/>
      </c>
      <c r="J631" s="2" t="str">
        <f t="shared" si="103"/>
        <v/>
      </c>
      <c r="K631" s="1" t="str">
        <f t="shared" si="104"/>
        <v/>
      </c>
      <c r="O631" s="1" t="str">
        <f t="shared" si="105"/>
        <v/>
      </c>
      <c r="P631" s="2" t="str">
        <f t="shared" si="106"/>
        <v/>
      </c>
      <c r="Q631" s="1" t="str">
        <f t="shared" si="107"/>
        <v/>
      </c>
      <c r="R631" s="2" t="str">
        <f t="shared" si="108"/>
        <v/>
      </c>
      <c r="S631" s="1" t="str">
        <f t="shared" si="109"/>
        <v/>
      </c>
    </row>
    <row r="632" spans="1:19" x14ac:dyDescent="0.2">
      <c r="A632" t="str">
        <f>IF(COUNTBLANK(B632:S632)&lt;&gt;COLUMNS(B632:S632),631,"")</f>
        <v/>
      </c>
      <c r="C632" s="2" t="str">
        <f t="shared" si="99"/>
        <v/>
      </c>
      <c r="D632" s="1" t="str">
        <f t="shared" si="100"/>
        <v/>
      </c>
      <c r="E632" s="1" t="str">
        <f t="shared" si="101"/>
        <v/>
      </c>
      <c r="I632" s="1" t="str">
        <f t="shared" si="102"/>
        <v/>
      </c>
      <c r="J632" s="2" t="str">
        <f t="shared" si="103"/>
        <v/>
      </c>
      <c r="K632" s="1" t="str">
        <f t="shared" si="104"/>
        <v/>
      </c>
      <c r="O632" s="1" t="str">
        <f t="shared" si="105"/>
        <v/>
      </c>
      <c r="P632" s="2" t="str">
        <f t="shared" si="106"/>
        <v/>
      </c>
      <c r="Q632" s="1" t="str">
        <f t="shared" si="107"/>
        <v/>
      </c>
      <c r="R632" s="2" t="str">
        <f t="shared" si="108"/>
        <v/>
      </c>
      <c r="S632" s="1" t="str">
        <f t="shared" si="109"/>
        <v/>
      </c>
    </row>
    <row r="633" spans="1:19" x14ac:dyDescent="0.2">
      <c r="A633" t="str">
        <f>IF(COUNTBLANK(B633:S633)&lt;&gt;COLUMNS(B633:S633),632,"")</f>
        <v/>
      </c>
      <c r="C633" s="2" t="str">
        <f t="shared" si="99"/>
        <v/>
      </c>
      <c r="D633" s="1" t="str">
        <f t="shared" si="100"/>
        <v/>
      </c>
      <c r="E633" s="1" t="str">
        <f t="shared" si="101"/>
        <v/>
      </c>
      <c r="I633" s="1" t="str">
        <f t="shared" si="102"/>
        <v/>
      </c>
      <c r="J633" s="2" t="str">
        <f t="shared" si="103"/>
        <v/>
      </c>
      <c r="K633" s="1" t="str">
        <f t="shared" si="104"/>
        <v/>
      </c>
      <c r="O633" s="1" t="str">
        <f t="shared" si="105"/>
        <v/>
      </c>
      <c r="P633" s="2" t="str">
        <f t="shared" si="106"/>
        <v/>
      </c>
      <c r="Q633" s="1" t="str">
        <f t="shared" si="107"/>
        <v/>
      </c>
      <c r="R633" s="2" t="str">
        <f t="shared" si="108"/>
        <v/>
      </c>
      <c r="S633" s="1" t="str">
        <f t="shared" si="109"/>
        <v/>
      </c>
    </row>
    <row r="634" spans="1:19" x14ac:dyDescent="0.2">
      <c r="A634" t="str">
        <f>IF(COUNTBLANK(B634:S634)&lt;&gt;COLUMNS(B634:S634),633,"")</f>
        <v/>
      </c>
      <c r="C634" s="2" t="str">
        <f t="shared" si="99"/>
        <v/>
      </c>
      <c r="D634" s="1" t="str">
        <f t="shared" si="100"/>
        <v/>
      </c>
      <c r="E634" s="1" t="str">
        <f t="shared" si="101"/>
        <v/>
      </c>
      <c r="I634" s="1" t="str">
        <f t="shared" si="102"/>
        <v/>
      </c>
      <c r="J634" s="2" t="str">
        <f t="shared" si="103"/>
        <v/>
      </c>
      <c r="K634" s="1" t="str">
        <f t="shared" si="104"/>
        <v/>
      </c>
      <c r="O634" s="1" t="str">
        <f t="shared" si="105"/>
        <v/>
      </c>
      <c r="P634" s="2" t="str">
        <f t="shared" si="106"/>
        <v/>
      </c>
      <c r="Q634" s="1" t="str">
        <f t="shared" si="107"/>
        <v/>
      </c>
      <c r="R634" s="2" t="str">
        <f t="shared" si="108"/>
        <v/>
      </c>
      <c r="S634" s="1" t="str">
        <f t="shared" si="109"/>
        <v/>
      </c>
    </row>
    <row r="635" spans="1:19" x14ac:dyDescent="0.2">
      <c r="A635" t="str">
        <f>IF(COUNTBLANK(B635:S635)&lt;&gt;COLUMNS(B635:S635),634,"")</f>
        <v/>
      </c>
      <c r="C635" s="2" t="str">
        <f t="shared" si="99"/>
        <v/>
      </c>
      <c r="D635" s="1" t="str">
        <f t="shared" si="100"/>
        <v/>
      </c>
      <c r="E635" s="1" t="str">
        <f t="shared" si="101"/>
        <v/>
      </c>
      <c r="I635" s="1" t="str">
        <f t="shared" si="102"/>
        <v/>
      </c>
      <c r="J635" s="2" t="str">
        <f t="shared" si="103"/>
        <v/>
      </c>
      <c r="K635" s="1" t="str">
        <f t="shared" si="104"/>
        <v/>
      </c>
      <c r="O635" s="1" t="str">
        <f t="shared" si="105"/>
        <v/>
      </c>
      <c r="P635" s="2" t="str">
        <f t="shared" si="106"/>
        <v/>
      </c>
      <c r="Q635" s="1" t="str">
        <f t="shared" si="107"/>
        <v/>
      </c>
      <c r="R635" s="2" t="str">
        <f t="shared" si="108"/>
        <v/>
      </c>
      <c r="S635" s="1" t="str">
        <f t="shared" si="109"/>
        <v/>
      </c>
    </row>
    <row r="636" spans="1:19" x14ac:dyDescent="0.2">
      <c r="A636" t="str">
        <f>IF(COUNTBLANK(B636:S636)&lt;&gt;COLUMNS(B636:S636),635,"")</f>
        <v/>
      </c>
      <c r="C636" s="2" t="str">
        <f t="shared" si="99"/>
        <v/>
      </c>
      <c r="D636" s="1" t="str">
        <f t="shared" si="100"/>
        <v/>
      </c>
      <c r="E636" s="1" t="str">
        <f t="shared" si="101"/>
        <v/>
      </c>
      <c r="I636" s="1" t="str">
        <f t="shared" si="102"/>
        <v/>
      </c>
      <c r="J636" s="2" t="str">
        <f t="shared" si="103"/>
        <v/>
      </c>
      <c r="K636" s="1" t="str">
        <f t="shared" si="104"/>
        <v/>
      </c>
      <c r="O636" s="1" t="str">
        <f t="shared" si="105"/>
        <v/>
      </c>
      <c r="P636" s="2" t="str">
        <f t="shared" si="106"/>
        <v/>
      </c>
      <c r="Q636" s="1" t="str">
        <f t="shared" si="107"/>
        <v/>
      </c>
      <c r="R636" s="2" t="str">
        <f t="shared" si="108"/>
        <v/>
      </c>
      <c r="S636" s="1" t="str">
        <f t="shared" si="109"/>
        <v/>
      </c>
    </row>
    <row r="637" spans="1:19" x14ac:dyDescent="0.2">
      <c r="A637" t="str">
        <f>IF(COUNTBLANK(B637:S637)&lt;&gt;COLUMNS(B637:S637),636,"")</f>
        <v/>
      </c>
      <c r="C637" s="2" t="str">
        <f t="shared" si="99"/>
        <v/>
      </c>
      <c r="D637" s="1" t="str">
        <f t="shared" si="100"/>
        <v/>
      </c>
      <c r="E637" s="1" t="str">
        <f t="shared" si="101"/>
        <v/>
      </c>
      <c r="I637" s="1" t="str">
        <f t="shared" si="102"/>
        <v/>
      </c>
      <c r="J637" s="2" t="str">
        <f t="shared" si="103"/>
        <v/>
      </c>
      <c r="K637" s="1" t="str">
        <f t="shared" si="104"/>
        <v/>
      </c>
      <c r="O637" s="1" t="str">
        <f t="shared" si="105"/>
        <v/>
      </c>
      <c r="P637" s="2" t="str">
        <f t="shared" si="106"/>
        <v/>
      </c>
      <c r="Q637" s="1" t="str">
        <f t="shared" si="107"/>
        <v/>
      </c>
      <c r="R637" s="2" t="str">
        <f t="shared" si="108"/>
        <v/>
      </c>
      <c r="S637" s="1" t="str">
        <f t="shared" si="109"/>
        <v/>
      </c>
    </row>
    <row r="638" spans="1:19" x14ac:dyDescent="0.2">
      <c r="A638" t="str">
        <f>IF(COUNTBLANK(B638:S638)&lt;&gt;COLUMNS(B638:S638),637,"")</f>
        <v/>
      </c>
      <c r="C638" s="2" t="str">
        <f t="shared" si="99"/>
        <v/>
      </c>
      <c r="D638" s="1" t="str">
        <f t="shared" si="100"/>
        <v/>
      </c>
      <c r="E638" s="1" t="str">
        <f t="shared" si="101"/>
        <v/>
      </c>
      <c r="I638" s="1" t="str">
        <f t="shared" si="102"/>
        <v/>
      </c>
      <c r="J638" s="2" t="str">
        <f t="shared" si="103"/>
        <v/>
      </c>
      <c r="K638" s="1" t="str">
        <f t="shared" si="104"/>
        <v/>
      </c>
      <c r="O638" s="1" t="str">
        <f t="shared" si="105"/>
        <v/>
      </c>
      <c r="P638" s="2" t="str">
        <f t="shared" si="106"/>
        <v/>
      </c>
      <c r="Q638" s="1" t="str">
        <f t="shared" si="107"/>
        <v/>
      </c>
      <c r="R638" s="2" t="str">
        <f t="shared" si="108"/>
        <v/>
      </c>
      <c r="S638" s="1" t="str">
        <f t="shared" si="109"/>
        <v/>
      </c>
    </row>
    <row r="639" spans="1:19" x14ac:dyDescent="0.2">
      <c r="A639" t="str">
        <f>IF(COUNTBLANK(B639:S639)&lt;&gt;COLUMNS(B639:S639),638,"")</f>
        <v/>
      </c>
      <c r="C639" s="2" t="str">
        <f t="shared" si="99"/>
        <v/>
      </c>
      <c r="D639" s="1" t="str">
        <f t="shared" si="100"/>
        <v/>
      </c>
      <c r="E639" s="1" t="str">
        <f t="shared" si="101"/>
        <v/>
      </c>
      <c r="I639" s="1" t="str">
        <f t="shared" si="102"/>
        <v/>
      </c>
      <c r="J639" s="2" t="str">
        <f t="shared" si="103"/>
        <v/>
      </c>
      <c r="K639" s="1" t="str">
        <f t="shared" si="104"/>
        <v/>
      </c>
      <c r="O639" s="1" t="str">
        <f t="shared" si="105"/>
        <v/>
      </c>
      <c r="P639" s="2" t="str">
        <f t="shared" si="106"/>
        <v/>
      </c>
      <c r="Q639" s="1" t="str">
        <f t="shared" si="107"/>
        <v/>
      </c>
      <c r="R639" s="2" t="str">
        <f t="shared" si="108"/>
        <v/>
      </c>
      <c r="S639" s="1" t="str">
        <f t="shared" si="109"/>
        <v/>
      </c>
    </row>
    <row r="640" spans="1:19" x14ac:dyDescent="0.2">
      <c r="A640" t="str">
        <f>IF(COUNTBLANK(B640:S640)&lt;&gt;COLUMNS(B640:S640),639,"")</f>
        <v/>
      </c>
      <c r="C640" s="2" t="str">
        <f t="shared" si="99"/>
        <v/>
      </c>
      <c r="D640" s="1" t="str">
        <f t="shared" si="100"/>
        <v/>
      </c>
      <c r="E640" s="1" t="str">
        <f t="shared" si="101"/>
        <v/>
      </c>
      <c r="I640" s="1" t="str">
        <f t="shared" si="102"/>
        <v/>
      </c>
      <c r="J640" s="2" t="str">
        <f t="shared" si="103"/>
        <v/>
      </c>
      <c r="K640" s="1" t="str">
        <f t="shared" si="104"/>
        <v/>
      </c>
      <c r="O640" s="1" t="str">
        <f t="shared" si="105"/>
        <v/>
      </c>
      <c r="P640" s="2" t="str">
        <f t="shared" si="106"/>
        <v/>
      </c>
      <c r="Q640" s="1" t="str">
        <f t="shared" si="107"/>
        <v/>
      </c>
      <c r="R640" s="2" t="str">
        <f t="shared" si="108"/>
        <v/>
      </c>
      <c r="S640" s="1" t="str">
        <f t="shared" si="109"/>
        <v/>
      </c>
    </row>
    <row r="641" spans="1:19" x14ac:dyDescent="0.2">
      <c r="A641" t="str">
        <f>IF(COUNTBLANK(B641:S641)&lt;&gt;COLUMNS(B641:S641),640,"")</f>
        <v/>
      </c>
      <c r="C641" s="2" t="str">
        <f t="shared" si="99"/>
        <v/>
      </c>
      <c r="D641" s="1" t="str">
        <f t="shared" si="100"/>
        <v/>
      </c>
      <c r="E641" s="1" t="str">
        <f t="shared" si="101"/>
        <v/>
      </c>
      <c r="I641" s="1" t="str">
        <f t="shared" si="102"/>
        <v/>
      </c>
      <c r="J641" s="2" t="str">
        <f t="shared" si="103"/>
        <v/>
      </c>
      <c r="K641" s="1" t="str">
        <f t="shared" si="104"/>
        <v/>
      </c>
      <c r="O641" s="1" t="str">
        <f t="shared" si="105"/>
        <v/>
      </c>
      <c r="P641" s="2" t="str">
        <f t="shared" si="106"/>
        <v/>
      </c>
      <c r="Q641" s="1" t="str">
        <f t="shared" si="107"/>
        <v/>
      </c>
      <c r="R641" s="2" t="str">
        <f t="shared" si="108"/>
        <v/>
      </c>
      <c r="S641" s="1" t="str">
        <f t="shared" si="109"/>
        <v/>
      </c>
    </row>
    <row r="642" spans="1:19" x14ac:dyDescent="0.2">
      <c r="A642" t="str">
        <f>IF(COUNTBLANK(B642:S642)&lt;&gt;COLUMNS(B642:S642),641,"")</f>
        <v/>
      </c>
      <c r="C642" s="2" t="str">
        <f t="shared" ref="C642:C705" si="110">IF(B642="", "", "missing: not provided")</f>
        <v/>
      </c>
      <c r="D642" s="1" t="str">
        <f t="shared" ref="D642:D705" si="111">IF(B642="", "", " missing: not provided")</f>
        <v/>
      </c>
      <c r="E642" s="1" t="str">
        <f t="shared" ref="E642:E705" si="112">IF(B642="", "", "Host-associated")</f>
        <v/>
      </c>
      <c r="I642" s="1" t="str">
        <f t="shared" ref="I642:I705" si="113">IF(B642="", "", "host-associated")</f>
        <v/>
      </c>
      <c r="J642" s="2" t="str">
        <f t="shared" ref="J642:J705" si="114">IF(B642="", "", "missing: not provided")</f>
        <v/>
      </c>
      <c r="K642" s="1" t="str">
        <f t="shared" ref="K642:K705" si="115">IF(B642="", "", " missing: not provided")</f>
        <v/>
      </c>
      <c r="O642" s="1" t="str">
        <f t="shared" ref="O642:O705" si="116">IF(B642="", "", "Not applicable")</f>
        <v/>
      </c>
      <c r="P642" s="2" t="str">
        <f t="shared" ref="P642:P705" si="117">IF(B642="", "", "missing: not provided")</f>
        <v/>
      </c>
      <c r="Q642" s="1" t="str">
        <f t="shared" ref="Q642:Q705" si="118">IF(B642="", "", "Not applicable")</f>
        <v/>
      </c>
      <c r="R642" s="2" t="str">
        <f t="shared" ref="R642:R705" si="119">IF(B642="", "", "missing: not provided")</f>
        <v/>
      </c>
      <c r="S642" s="1" t="str">
        <f t="shared" ref="S642:S705" si="120">IF(B642="", "", " missing: not provided")</f>
        <v/>
      </c>
    </row>
    <row r="643" spans="1:19" x14ac:dyDescent="0.2">
      <c r="A643" t="str">
        <f>IF(COUNTBLANK(B643:S643)&lt;&gt;COLUMNS(B643:S643),642,"")</f>
        <v/>
      </c>
      <c r="C643" s="2" t="str">
        <f t="shared" si="110"/>
        <v/>
      </c>
      <c r="D643" s="1" t="str">
        <f t="shared" si="111"/>
        <v/>
      </c>
      <c r="E643" s="1" t="str">
        <f t="shared" si="112"/>
        <v/>
      </c>
      <c r="I643" s="1" t="str">
        <f t="shared" si="113"/>
        <v/>
      </c>
      <c r="J643" s="2" t="str">
        <f t="shared" si="114"/>
        <v/>
      </c>
      <c r="K643" s="1" t="str">
        <f t="shared" si="115"/>
        <v/>
      </c>
      <c r="O643" s="1" t="str">
        <f t="shared" si="116"/>
        <v/>
      </c>
      <c r="P643" s="2" t="str">
        <f t="shared" si="117"/>
        <v/>
      </c>
      <c r="Q643" s="1" t="str">
        <f t="shared" si="118"/>
        <v/>
      </c>
      <c r="R643" s="2" t="str">
        <f t="shared" si="119"/>
        <v/>
      </c>
      <c r="S643" s="1" t="str">
        <f t="shared" si="120"/>
        <v/>
      </c>
    </row>
    <row r="644" spans="1:19" x14ac:dyDescent="0.2">
      <c r="A644" t="str">
        <f>IF(COUNTBLANK(B644:S644)&lt;&gt;COLUMNS(B644:S644),643,"")</f>
        <v/>
      </c>
      <c r="C644" s="2" t="str">
        <f t="shared" si="110"/>
        <v/>
      </c>
      <c r="D644" s="1" t="str">
        <f t="shared" si="111"/>
        <v/>
      </c>
      <c r="E644" s="1" t="str">
        <f t="shared" si="112"/>
        <v/>
      </c>
      <c r="I644" s="1" t="str">
        <f t="shared" si="113"/>
        <v/>
      </c>
      <c r="J644" s="2" t="str">
        <f t="shared" si="114"/>
        <v/>
      </c>
      <c r="K644" s="1" t="str">
        <f t="shared" si="115"/>
        <v/>
      </c>
      <c r="O644" s="1" t="str">
        <f t="shared" si="116"/>
        <v/>
      </c>
      <c r="P644" s="2" t="str">
        <f t="shared" si="117"/>
        <v/>
      </c>
      <c r="Q644" s="1" t="str">
        <f t="shared" si="118"/>
        <v/>
      </c>
      <c r="R644" s="2" t="str">
        <f t="shared" si="119"/>
        <v/>
      </c>
      <c r="S644" s="1" t="str">
        <f t="shared" si="120"/>
        <v/>
      </c>
    </row>
    <row r="645" spans="1:19" x14ac:dyDescent="0.2">
      <c r="A645" t="str">
        <f>IF(COUNTBLANK(B645:S645)&lt;&gt;COLUMNS(B645:S645),644,"")</f>
        <v/>
      </c>
      <c r="C645" s="2" t="str">
        <f t="shared" si="110"/>
        <v/>
      </c>
      <c r="D645" s="1" t="str">
        <f t="shared" si="111"/>
        <v/>
      </c>
      <c r="E645" s="1" t="str">
        <f t="shared" si="112"/>
        <v/>
      </c>
      <c r="I645" s="1" t="str">
        <f t="shared" si="113"/>
        <v/>
      </c>
      <c r="J645" s="2" t="str">
        <f t="shared" si="114"/>
        <v/>
      </c>
      <c r="K645" s="1" t="str">
        <f t="shared" si="115"/>
        <v/>
      </c>
      <c r="O645" s="1" t="str">
        <f t="shared" si="116"/>
        <v/>
      </c>
      <c r="P645" s="2" t="str">
        <f t="shared" si="117"/>
        <v/>
      </c>
      <c r="Q645" s="1" t="str">
        <f t="shared" si="118"/>
        <v/>
      </c>
      <c r="R645" s="2" t="str">
        <f t="shared" si="119"/>
        <v/>
      </c>
      <c r="S645" s="1" t="str">
        <f t="shared" si="120"/>
        <v/>
      </c>
    </row>
    <row r="646" spans="1:19" x14ac:dyDescent="0.2">
      <c r="A646" t="str">
        <f>IF(COUNTBLANK(B646:S646)&lt;&gt;COLUMNS(B646:S646),645,"")</f>
        <v/>
      </c>
      <c r="C646" s="2" t="str">
        <f t="shared" si="110"/>
        <v/>
      </c>
      <c r="D646" s="1" t="str">
        <f t="shared" si="111"/>
        <v/>
      </c>
      <c r="E646" s="1" t="str">
        <f t="shared" si="112"/>
        <v/>
      </c>
      <c r="I646" s="1" t="str">
        <f t="shared" si="113"/>
        <v/>
      </c>
      <c r="J646" s="2" t="str">
        <f t="shared" si="114"/>
        <v/>
      </c>
      <c r="K646" s="1" t="str">
        <f t="shared" si="115"/>
        <v/>
      </c>
      <c r="O646" s="1" t="str">
        <f t="shared" si="116"/>
        <v/>
      </c>
      <c r="P646" s="2" t="str">
        <f t="shared" si="117"/>
        <v/>
      </c>
      <c r="Q646" s="1" t="str">
        <f t="shared" si="118"/>
        <v/>
      </c>
      <c r="R646" s="2" t="str">
        <f t="shared" si="119"/>
        <v/>
      </c>
      <c r="S646" s="1" t="str">
        <f t="shared" si="120"/>
        <v/>
      </c>
    </row>
    <row r="647" spans="1:19" x14ac:dyDescent="0.2">
      <c r="A647" t="str">
        <f>IF(COUNTBLANK(B647:S647)&lt;&gt;COLUMNS(B647:S647),646,"")</f>
        <v/>
      </c>
      <c r="C647" s="2" t="str">
        <f t="shared" si="110"/>
        <v/>
      </c>
      <c r="D647" s="1" t="str">
        <f t="shared" si="111"/>
        <v/>
      </c>
      <c r="E647" s="1" t="str">
        <f t="shared" si="112"/>
        <v/>
      </c>
      <c r="I647" s="1" t="str">
        <f t="shared" si="113"/>
        <v/>
      </c>
      <c r="J647" s="2" t="str">
        <f t="shared" si="114"/>
        <v/>
      </c>
      <c r="K647" s="1" t="str">
        <f t="shared" si="115"/>
        <v/>
      </c>
      <c r="O647" s="1" t="str">
        <f t="shared" si="116"/>
        <v/>
      </c>
      <c r="P647" s="2" t="str">
        <f t="shared" si="117"/>
        <v/>
      </c>
      <c r="Q647" s="1" t="str">
        <f t="shared" si="118"/>
        <v/>
      </c>
      <c r="R647" s="2" t="str">
        <f t="shared" si="119"/>
        <v/>
      </c>
      <c r="S647" s="1" t="str">
        <f t="shared" si="120"/>
        <v/>
      </c>
    </row>
    <row r="648" spans="1:19" x14ac:dyDescent="0.2">
      <c r="A648" t="str">
        <f>IF(COUNTBLANK(B648:S648)&lt;&gt;COLUMNS(B648:S648),647,"")</f>
        <v/>
      </c>
      <c r="C648" s="2" t="str">
        <f t="shared" si="110"/>
        <v/>
      </c>
      <c r="D648" s="1" t="str">
        <f t="shared" si="111"/>
        <v/>
      </c>
      <c r="E648" s="1" t="str">
        <f t="shared" si="112"/>
        <v/>
      </c>
      <c r="I648" s="1" t="str">
        <f t="shared" si="113"/>
        <v/>
      </c>
      <c r="J648" s="2" t="str">
        <f t="shared" si="114"/>
        <v/>
      </c>
      <c r="K648" s="1" t="str">
        <f t="shared" si="115"/>
        <v/>
      </c>
      <c r="O648" s="1" t="str">
        <f t="shared" si="116"/>
        <v/>
      </c>
      <c r="P648" s="2" t="str">
        <f t="shared" si="117"/>
        <v/>
      </c>
      <c r="Q648" s="1" t="str">
        <f t="shared" si="118"/>
        <v/>
      </c>
      <c r="R648" s="2" t="str">
        <f t="shared" si="119"/>
        <v/>
      </c>
      <c r="S648" s="1" t="str">
        <f t="shared" si="120"/>
        <v/>
      </c>
    </row>
    <row r="649" spans="1:19" x14ac:dyDescent="0.2">
      <c r="A649" t="str">
        <f>IF(COUNTBLANK(B649:S649)&lt;&gt;COLUMNS(B649:S649),648,"")</f>
        <v/>
      </c>
      <c r="C649" s="2" t="str">
        <f t="shared" si="110"/>
        <v/>
      </c>
      <c r="D649" s="1" t="str">
        <f t="shared" si="111"/>
        <v/>
      </c>
      <c r="E649" s="1" t="str">
        <f t="shared" si="112"/>
        <v/>
      </c>
      <c r="I649" s="1" t="str">
        <f t="shared" si="113"/>
        <v/>
      </c>
      <c r="J649" s="2" t="str">
        <f t="shared" si="114"/>
        <v/>
      </c>
      <c r="K649" s="1" t="str">
        <f t="shared" si="115"/>
        <v/>
      </c>
      <c r="O649" s="1" t="str">
        <f t="shared" si="116"/>
        <v/>
      </c>
      <c r="P649" s="2" t="str">
        <f t="shared" si="117"/>
        <v/>
      </c>
      <c r="Q649" s="1" t="str">
        <f t="shared" si="118"/>
        <v/>
      </c>
      <c r="R649" s="2" t="str">
        <f t="shared" si="119"/>
        <v/>
      </c>
      <c r="S649" s="1" t="str">
        <f t="shared" si="120"/>
        <v/>
      </c>
    </row>
    <row r="650" spans="1:19" x14ac:dyDescent="0.2">
      <c r="A650" t="str">
        <f>IF(COUNTBLANK(B650:S650)&lt;&gt;COLUMNS(B650:S650),649,"")</f>
        <v/>
      </c>
      <c r="C650" s="2" t="str">
        <f t="shared" si="110"/>
        <v/>
      </c>
      <c r="D650" s="1" t="str">
        <f t="shared" si="111"/>
        <v/>
      </c>
      <c r="E650" s="1" t="str">
        <f t="shared" si="112"/>
        <v/>
      </c>
      <c r="I650" s="1" t="str">
        <f t="shared" si="113"/>
        <v/>
      </c>
      <c r="J650" s="2" t="str">
        <f t="shared" si="114"/>
        <v/>
      </c>
      <c r="K650" s="1" t="str">
        <f t="shared" si="115"/>
        <v/>
      </c>
      <c r="O650" s="1" t="str">
        <f t="shared" si="116"/>
        <v/>
      </c>
      <c r="P650" s="2" t="str">
        <f t="shared" si="117"/>
        <v/>
      </c>
      <c r="Q650" s="1" t="str">
        <f t="shared" si="118"/>
        <v/>
      </c>
      <c r="R650" s="2" t="str">
        <f t="shared" si="119"/>
        <v/>
      </c>
      <c r="S650" s="1" t="str">
        <f t="shared" si="120"/>
        <v/>
      </c>
    </row>
    <row r="651" spans="1:19" x14ac:dyDescent="0.2">
      <c r="A651" t="str">
        <f>IF(COUNTBLANK(B651:S651)&lt;&gt;COLUMNS(B651:S651),650,"")</f>
        <v/>
      </c>
      <c r="C651" s="2" t="str">
        <f t="shared" si="110"/>
        <v/>
      </c>
      <c r="D651" s="1" t="str">
        <f t="shared" si="111"/>
        <v/>
      </c>
      <c r="E651" s="1" t="str">
        <f t="shared" si="112"/>
        <v/>
      </c>
      <c r="I651" s="1" t="str">
        <f t="shared" si="113"/>
        <v/>
      </c>
      <c r="J651" s="2" t="str">
        <f t="shared" si="114"/>
        <v/>
      </c>
      <c r="K651" s="1" t="str">
        <f t="shared" si="115"/>
        <v/>
      </c>
      <c r="O651" s="1" t="str">
        <f t="shared" si="116"/>
        <v/>
      </c>
      <c r="P651" s="2" t="str">
        <f t="shared" si="117"/>
        <v/>
      </c>
      <c r="Q651" s="1" t="str">
        <f t="shared" si="118"/>
        <v/>
      </c>
      <c r="R651" s="2" t="str">
        <f t="shared" si="119"/>
        <v/>
      </c>
      <c r="S651" s="1" t="str">
        <f t="shared" si="120"/>
        <v/>
      </c>
    </row>
    <row r="652" spans="1:19" x14ac:dyDescent="0.2">
      <c r="A652" t="str">
        <f>IF(COUNTBLANK(B652:S652)&lt;&gt;COLUMNS(B652:S652),651,"")</f>
        <v/>
      </c>
      <c r="C652" s="2" t="str">
        <f t="shared" si="110"/>
        <v/>
      </c>
      <c r="D652" s="1" t="str">
        <f t="shared" si="111"/>
        <v/>
      </c>
      <c r="E652" s="1" t="str">
        <f t="shared" si="112"/>
        <v/>
      </c>
      <c r="I652" s="1" t="str">
        <f t="shared" si="113"/>
        <v/>
      </c>
      <c r="J652" s="2" t="str">
        <f t="shared" si="114"/>
        <v/>
      </c>
      <c r="K652" s="1" t="str">
        <f t="shared" si="115"/>
        <v/>
      </c>
      <c r="O652" s="1" t="str">
        <f t="shared" si="116"/>
        <v/>
      </c>
      <c r="P652" s="2" t="str">
        <f t="shared" si="117"/>
        <v/>
      </c>
      <c r="Q652" s="1" t="str">
        <f t="shared" si="118"/>
        <v/>
      </c>
      <c r="R652" s="2" t="str">
        <f t="shared" si="119"/>
        <v/>
      </c>
      <c r="S652" s="1" t="str">
        <f t="shared" si="120"/>
        <v/>
      </c>
    </row>
    <row r="653" spans="1:19" x14ac:dyDescent="0.2">
      <c r="A653" t="str">
        <f>IF(COUNTBLANK(B653:S653)&lt;&gt;COLUMNS(B653:S653),652,"")</f>
        <v/>
      </c>
      <c r="C653" s="2" t="str">
        <f t="shared" si="110"/>
        <v/>
      </c>
      <c r="D653" s="1" t="str">
        <f t="shared" si="111"/>
        <v/>
      </c>
      <c r="E653" s="1" t="str">
        <f t="shared" si="112"/>
        <v/>
      </c>
      <c r="I653" s="1" t="str">
        <f t="shared" si="113"/>
        <v/>
      </c>
      <c r="J653" s="2" t="str">
        <f t="shared" si="114"/>
        <v/>
      </c>
      <c r="K653" s="1" t="str">
        <f t="shared" si="115"/>
        <v/>
      </c>
      <c r="O653" s="1" t="str">
        <f t="shared" si="116"/>
        <v/>
      </c>
      <c r="P653" s="2" t="str">
        <f t="shared" si="117"/>
        <v/>
      </c>
      <c r="Q653" s="1" t="str">
        <f t="shared" si="118"/>
        <v/>
      </c>
      <c r="R653" s="2" t="str">
        <f t="shared" si="119"/>
        <v/>
      </c>
      <c r="S653" s="1" t="str">
        <f t="shared" si="120"/>
        <v/>
      </c>
    </row>
    <row r="654" spans="1:19" x14ac:dyDescent="0.2">
      <c r="A654" t="str">
        <f>IF(COUNTBLANK(B654:S654)&lt;&gt;COLUMNS(B654:S654),653,"")</f>
        <v/>
      </c>
      <c r="C654" s="2" t="str">
        <f t="shared" si="110"/>
        <v/>
      </c>
      <c r="D654" s="1" t="str">
        <f t="shared" si="111"/>
        <v/>
      </c>
      <c r="E654" s="1" t="str">
        <f t="shared" si="112"/>
        <v/>
      </c>
      <c r="I654" s="1" t="str">
        <f t="shared" si="113"/>
        <v/>
      </c>
      <c r="J654" s="2" t="str">
        <f t="shared" si="114"/>
        <v/>
      </c>
      <c r="K654" s="1" t="str">
        <f t="shared" si="115"/>
        <v/>
      </c>
      <c r="O654" s="1" t="str">
        <f t="shared" si="116"/>
        <v/>
      </c>
      <c r="P654" s="2" t="str">
        <f t="shared" si="117"/>
        <v/>
      </c>
      <c r="Q654" s="1" t="str">
        <f t="shared" si="118"/>
        <v/>
      </c>
      <c r="R654" s="2" t="str">
        <f t="shared" si="119"/>
        <v/>
      </c>
      <c r="S654" s="1" t="str">
        <f t="shared" si="120"/>
        <v/>
      </c>
    </row>
    <row r="655" spans="1:19" x14ac:dyDescent="0.2">
      <c r="A655" t="str">
        <f>IF(COUNTBLANK(B655:S655)&lt;&gt;COLUMNS(B655:S655),654,"")</f>
        <v/>
      </c>
      <c r="C655" s="2" t="str">
        <f t="shared" si="110"/>
        <v/>
      </c>
      <c r="D655" s="1" t="str">
        <f t="shared" si="111"/>
        <v/>
      </c>
      <c r="E655" s="1" t="str">
        <f t="shared" si="112"/>
        <v/>
      </c>
      <c r="I655" s="1" t="str">
        <f t="shared" si="113"/>
        <v/>
      </c>
      <c r="J655" s="2" t="str">
        <f t="shared" si="114"/>
        <v/>
      </c>
      <c r="K655" s="1" t="str">
        <f t="shared" si="115"/>
        <v/>
      </c>
      <c r="O655" s="1" t="str">
        <f t="shared" si="116"/>
        <v/>
      </c>
      <c r="P655" s="2" t="str">
        <f t="shared" si="117"/>
        <v/>
      </c>
      <c r="Q655" s="1" t="str">
        <f t="shared" si="118"/>
        <v/>
      </c>
      <c r="R655" s="2" t="str">
        <f t="shared" si="119"/>
        <v/>
      </c>
      <c r="S655" s="1" t="str">
        <f t="shared" si="120"/>
        <v/>
      </c>
    </row>
    <row r="656" spans="1:19" x14ac:dyDescent="0.2">
      <c r="A656" t="str">
        <f>IF(COUNTBLANK(B656:S656)&lt;&gt;COLUMNS(B656:S656),655,"")</f>
        <v/>
      </c>
      <c r="C656" s="2" t="str">
        <f t="shared" si="110"/>
        <v/>
      </c>
      <c r="D656" s="1" t="str">
        <f t="shared" si="111"/>
        <v/>
      </c>
      <c r="E656" s="1" t="str">
        <f t="shared" si="112"/>
        <v/>
      </c>
      <c r="I656" s="1" t="str">
        <f t="shared" si="113"/>
        <v/>
      </c>
      <c r="J656" s="2" t="str">
        <f t="shared" si="114"/>
        <v/>
      </c>
      <c r="K656" s="1" t="str">
        <f t="shared" si="115"/>
        <v/>
      </c>
      <c r="O656" s="1" t="str">
        <f t="shared" si="116"/>
        <v/>
      </c>
      <c r="P656" s="2" t="str">
        <f t="shared" si="117"/>
        <v/>
      </c>
      <c r="Q656" s="1" t="str">
        <f t="shared" si="118"/>
        <v/>
      </c>
      <c r="R656" s="2" t="str">
        <f t="shared" si="119"/>
        <v/>
      </c>
      <c r="S656" s="1" t="str">
        <f t="shared" si="120"/>
        <v/>
      </c>
    </row>
    <row r="657" spans="1:19" x14ac:dyDescent="0.2">
      <c r="A657" t="str">
        <f>IF(COUNTBLANK(B657:S657)&lt;&gt;COLUMNS(B657:S657),656,"")</f>
        <v/>
      </c>
      <c r="C657" s="2" t="str">
        <f t="shared" si="110"/>
        <v/>
      </c>
      <c r="D657" s="1" t="str">
        <f t="shared" si="111"/>
        <v/>
      </c>
      <c r="E657" s="1" t="str">
        <f t="shared" si="112"/>
        <v/>
      </c>
      <c r="I657" s="1" t="str">
        <f t="shared" si="113"/>
        <v/>
      </c>
      <c r="J657" s="2" t="str">
        <f t="shared" si="114"/>
        <v/>
      </c>
      <c r="K657" s="1" t="str">
        <f t="shared" si="115"/>
        <v/>
      </c>
      <c r="O657" s="1" t="str">
        <f t="shared" si="116"/>
        <v/>
      </c>
      <c r="P657" s="2" t="str">
        <f t="shared" si="117"/>
        <v/>
      </c>
      <c r="Q657" s="1" t="str">
        <f t="shared" si="118"/>
        <v/>
      </c>
      <c r="R657" s="2" t="str">
        <f t="shared" si="119"/>
        <v/>
      </c>
      <c r="S657" s="1" t="str">
        <f t="shared" si="120"/>
        <v/>
      </c>
    </row>
    <row r="658" spans="1:19" x14ac:dyDescent="0.2">
      <c r="A658" t="str">
        <f>IF(COUNTBLANK(B658:S658)&lt;&gt;COLUMNS(B658:S658),657,"")</f>
        <v/>
      </c>
      <c r="C658" s="2" t="str">
        <f t="shared" si="110"/>
        <v/>
      </c>
      <c r="D658" s="1" t="str">
        <f t="shared" si="111"/>
        <v/>
      </c>
      <c r="E658" s="1" t="str">
        <f t="shared" si="112"/>
        <v/>
      </c>
      <c r="I658" s="1" t="str">
        <f t="shared" si="113"/>
        <v/>
      </c>
      <c r="J658" s="2" t="str">
        <f t="shared" si="114"/>
        <v/>
      </c>
      <c r="K658" s="1" t="str">
        <f t="shared" si="115"/>
        <v/>
      </c>
      <c r="O658" s="1" t="str">
        <f t="shared" si="116"/>
        <v/>
      </c>
      <c r="P658" s="2" t="str">
        <f t="shared" si="117"/>
        <v/>
      </c>
      <c r="Q658" s="1" t="str">
        <f t="shared" si="118"/>
        <v/>
      </c>
      <c r="R658" s="2" t="str">
        <f t="shared" si="119"/>
        <v/>
      </c>
      <c r="S658" s="1" t="str">
        <f t="shared" si="120"/>
        <v/>
      </c>
    </row>
    <row r="659" spans="1:19" x14ac:dyDescent="0.2">
      <c r="A659" t="str">
        <f>IF(COUNTBLANK(B659:S659)&lt;&gt;COLUMNS(B659:S659),658,"")</f>
        <v/>
      </c>
      <c r="C659" s="2" t="str">
        <f t="shared" si="110"/>
        <v/>
      </c>
      <c r="D659" s="1" t="str">
        <f t="shared" si="111"/>
        <v/>
      </c>
      <c r="E659" s="1" t="str">
        <f t="shared" si="112"/>
        <v/>
      </c>
      <c r="I659" s="1" t="str">
        <f t="shared" si="113"/>
        <v/>
      </c>
      <c r="J659" s="2" t="str">
        <f t="shared" si="114"/>
        <v/>
      </c>
      <c r="K659" s="1" t="str">
        <f t="shared" si="115"/>
        <v/>
      </c>
      <c r="O659" s="1" t="str">
        <f t="shared" si="116"/>
        <v/>
      </c>
      <c r="P659" s="2" t="str">
        <f t="shared" si="117"/>
        <v/>
      </c>
      <c r="Q659" s="1" t="str">
        <f t="shared" si="118"/>
        <v/>
      </c>
      <c r="R659" s="2" t="str">
        <f t="shared" si="119"/>
        <v/>
      </c>
      <c r="S659" s="1" t="str">
        <f t="shared" si="120"/>
        <v/>
      </c>
    </row>
    <row r="660" spans="1:19" x14ac:dyDescent="0.2">
      <c r="A660" t="str">
        <f>IF(COUNTBLANK(B660:S660)&lt;&gt;COLUMNS(B660:S660),659,"")</f>
        <v/>
      </c>
      <c r="C660" s="2" t="str">
        <f t="shared" si="110"/>
        <v/>
      </c>
      <c r="D660" s="1" t="str">
        <f t="shared" si="111"/>
        <v/>
      </c>
      <c r="E660" s="1" t="str">
        <f t="shared" si="112"/>
        <v/>
      </c>
      <c r="I660" s="1" t="str">
        <f t="shared" si="113"/>
        <v/>
      </c>
      <c r="J660" s="2" t="str">
        <f t="shared" si="114"/>
        <v/>
      </c>
      <c r="K660" s="1" t="str">
        <f t="shared" si="115"/>
        <v/>
      </c>
      <c r="O660" s="1" t="str">
        <f t="shared" si="116"/>
        <v/>
      </c>
      <c r="P660" s="2" t="str">
        <f t="shared" si="117"/>
        <v/>
      </c>
      <c r="Q660" s="1" t="str">
        <f t="shared" si="118"/>
        <v/>
      </c>
      <c r="R660" s="2" t="str">
        <f t="shared" si="119"/>
        <v/>
      </c>
      <c r="S660" s="1" t="str">
        <f t="shared" si="120"/>
        <v/>
      </c>
    </row>
    <row r="661" spans="1:19" x14ac:dyDescent="0.2">
      <c r="A661" t="str">
        <f>IF(COUNTBLANK(B661:S661)&lt;&gt;COLUMNS(B661:S661),660,"")</f>
        <v/>
      </c>
      <c r="C661" s="2" t="str">
        <f t="shared" si="110"/>
        <v/>
      </c>
      <c r="D661" s="1" t="str">
        <f t="shared" si="111"/>
        <v/>
      </c>
      <c r="E661" s="1" t="str">
        <f t="shared" si="112"/>
        <v/>
      </c>
      <c r="I661" s="1" t="str">
        <f t="shared" si="113"/>
        <v/>
      </c>
      <c r="J661" s="2" t="str">
        <f t="shared" si="114"/>
        <v/>
      </c>
      <c r="K661" s="1" t="str">
        <f t="shared" si="115"/>
        <v/>
      </c>
      <c r="O661" s="1" t="str">
        <f t="shared" si="116"/>
        <v/>
      </c>
      <c r="P661" s="2" t="str">
        <f t="shared" si="117"/>
        <v/>
      </c>
      <c r="Q661" s="1" t="str">
        <f t="shared" si="118"/>
        <v/>
      </c>
      <c r="R661" s="2" t="str">
        <f t="shared" si="119"/>
        <v/>
      </c>
      <c r="S661" s="1" t="str">
        <f t="shared" si="120"/>
        <v/>
      </c>
    </row>
    <row r="662" spans="1:19" x14ac:dyDescent="0.2">
      <c r="A662" t="str">
        <f>IF(COUNTBLANK(B662:S662)&lt;&gt;COLUMNS(B662:S662),661,"")</f>
        <v/>
      </c>
      <c r="C662" s="2" t="str">
        <f t="shared" si="110"/>
        <v/>
      </c>
      <c r="D662" s="1" t="str">
        <f t="shared" si="111"/>
        <v/>
      </c>
      <c r="E662" s="1" t="str">
        <f t="shared" si="112"/>
        <v/>
      </c>
      <c r="I662" s="1" t="str">
        <f t="shared" si="113"/>
        <v/>
      </c>
      <c r="J662" s="2" t="str">
        <f t="shared" si="114"/>
        <v/>
      </c>
      <c r="K662" s="1" t="str">
        <f t="shared" si="115"/>
        <v/>
      </c>
      <c r="O662" s="1" t="str">
        <f t="shared" si="116"/>
        <v/>
      </c>
      <c r="P662" s="2" t="str">
        <f t="shared" si="117"/>
        <v/>
      </c>
      <c r="Q662" s="1" t="str">
        <f t="shared" si="118"/>
        <v/>
      </c>
      <c r="R662" s="2" t="str">
        <f t="shared" si="119"/>
        <v/>
      </c>
      <c r="S662" s="1" t="str">
        <f t="shared" si="120"/>
        <v/>
      </c>
    </row>
    <row r="663" spans="1:19" x14ac:dyDescent="0.2">
      <c r="A663" t="str">
        <f>IF(COUNTBLANK(B663:S663)&lt;&gt;COLUMNS(B663:S663),662,"")</f>
        <v/>
      </c>
      <c r="C663" s="2" t="str">
        <f t="shared" si="110"/>
        <v/>
      </c>
      <c r="D663" s="1" t="str">
        <f t="shared" si="111"/>
        <v/>
      </c>
      <c r="E663" s="1" t="str">
        <f t="shared" si="112"/>
        <v/>
      </c>
      <c r="I663" s="1" t="str">
        <f t="shared" si="113"/>
        <v/>
      </c>
      <c r="J663" s="2" t="str">
        <f t="shared" si="114"/>
        <v/>
      </c>
      <c r="K663" s="1" t="str">
        <f t="shared" si="115"/>
        <v/>
      </c>
      <c r="O663" s="1" t="str">
        <f t="shared" si="116"/>
        <v/>
      </c>
      <c r="P663" s="2" t="str">
        <f t="shared" si="117"/>
        <v/>
      </c>
      <c r="Q663" s="1" t="str">
        <f t="shared" si="118"/>
        <v/>
      </c>
      <c r="R663" s="2" t="str">
        <f t="shared" si="119"/>
        <v/>
      </c>
      <c r="S663" s="1" t="str">
        <f t="shared" si="120"/>
        <v/>
      </c>
    </row>
    <row r="664" spans="1:19" x14ac:dyDescent="0.2">
      <c r="A664" t="str">
        <f>IF(COUNTBLANK(B664:S664)&lt;&gt;COLUMNS(B664:S664),663,"")</f>
        <v/>
      </c>
      <c r="C664" s="2" t="str">
        <f t="shared" si="110"/>
        <v/>
      </c>
      <c r="D664" s="1" t="str">
        <f t="shared" si="111"/>
        <v/>
      </c>
      <c r="E664" s="1" t="str">
        <f t="shared" si="112"/>
        <v/>
      </c>
      <c r="I664" s="1" t="str">
        <f t="shared" si="113"/>
        <v/>
      </c>
      <c r="J664" s="2" t="str">
        <f t="shared" si="114"/>
        <v/>
      </c>
      <c r="K664" s="1" t="str">
        <f t="shared" si="115"/>
        <v/>
      </c>
      <c r="O664" s="1" t="str">
        <f t="shared" si="116"/>
        <v/>
      </c>
      <c r="P664" s="2" t="str">
        <f t="shared" si="117"/>
        <v/>
      </c>
      <c r="Q664" s="1" t="str">
        <f t="shared" si="118"/>
        <v/>
      </c>
      <c r="R664" s="2" t="str">
        <f t="shared" si="119"/>
        <v/>
      </c>
      <c r="S664" s="1" t="str">
        <f t="shared" si="120"/>
        <v/>
      </c>
    </row>
    <row r="665" spans="1:19" x14ac:dyDescent="0.2">
      <c r="A665" t="str">
        <f>IF(COUNTBLANK(B665:S665)&lt;&gt;COLUMNS(B665:S665),664,"")</f>
        <v/>
      </c>
      <c r="C665" s="2" t="str">
        <f t="shared" si="110"/>
        <v/>
      </c>
      <c r="D665" s="1" t="str">
        <f t="shared" si="111"/>
        <v/>
      </c>
      <c r="E665" s="1" t="str">
        <f t="shared" si="112"/>
        <v/>
      </c>
      <c r="I665" s="1" t="str">
        <f t="shared" si="113"/>
        <v/>
      </c>
      <c r="J665" s="2" t="str">
        <f t="shared" si="114"/>
        <v/>
      </c>
      <c r="K665" s="1" t="str">
        <f t="shared" si="115"/>
        <v/>
      </c>
      <c r="O665" s="1" t="str">
        <f t="shared" si="116"/>
        <v/>
      </c>
      <c r="P665" s="2" t="str">
        <f t="shared" si="117"/>
        <v/>
      </c>
      <c r="Q665" s="1" t="str">
        <f t="shared" si="118"/>
        <v/>
      </c>
      <c r="R665" s="2" t="str">
        <f t="shared" si="119"/>
        <v/>
      </c>
      <c r="S665" s="1" t="str">
        <f t="shared" si="120"/>
        <v/>
      </c>
    </row>
    <row r="666" spans="1:19" x14ac:dyDescent="0.2">
      <c r="A666" t="str">
        <f>IF(COUNTBLANK(B666:S666)&lt;&gt;COLUMNS(B666:S666),665,"")</f>
        <v/>
      </c>
      <c r="C666" s="2" t="str">
        <f t="shared" si="110"/>
        <v/>
      </c>
      <c r="D666" s="1" t="str">
        <f t="shared" si="111"/>
        <v/>
      </c>
      <c r="E666" s="1" t="str">
        <f t="shared" si="112"/>
        <v/>
      </c>
      <c r="I666" s="1" t="str">
        <f t="shared" si="113"/>
        <v/>
      </c>
      <c r="J666" s="2" t="str">
        <f t="shared" si="114"/>
        <v/>
      </c>
      <c r="K666" s="1" t="str">
        <f t="shared" si="115"/>
        <v/>
      </c>
      <c r="O666" s="1" t="str">
        <f t="shared" si="116"/>
        <v/>
      </c>
      <c r="P666" s="2" t="str">
        <f t="shared" si="117"/>
        <v/>
      </c>
      <c r="Q666" s="1" t="str">
        <f t="shared" si="118"/>
        <v/>
      </c>
      <c r="R666" s="2" t="str">
        <f t="shared" si="119"/>
        <v/>
      </c>
      <c r="S666" s="1" t="str">
        <f t="shared" si="120"/>
        <v/>
      </c>
    </row>
    <row r="667" spans="1:19" x14ac:dyDescent="0.2">
      <c r="A667" t="str">
        <f>IF(COUNTBLANK(B667:S667)&lt;&gt;COLUMNS(B667:S667),666,"")</f>
        <v/>
      </c>
      <c r="C667" s="2" t="str">
        <f t="shared" si="110"/>
        <v/>
      </c>
      <c r="D667" s="1" t="str">
        <f t="shared" si="111"/>
        <v/>
      </c>
      <c r="E667" s="1" t="str">
        <f t="shared" si="112"/>
        <v/>
      </c>
      <c r="I667" s="1" t="str">
        <f t="shared" si="113"/>
        <v/>
      </c>
      <c r="J667" s="2" t="str">
        <f t="shared" si="114"/>
        <v/>
      </c>
      <c r="K667" s="1" t="str">
        <f t="shared" si="115"/>
        <v/>
      </c>
      <c r="O667" s="1" t="str">
        <f t="shared" si="116"/>
        <v/>
      </c>
      <c r="P667" s="2" t="str">
        <f t="shared" si="117"/>
        <v/>
      </c>
      <c r="Q667" s="1" t="str">
        <f t="shared" si="118"/>
        <v/>
      </c>
      <c r="R667" s="2" t="str">
        <f t="shared" si="119"/>
        <v/>
      </c>
      <c r="S667" s="1" t="str">
        <f t="shared" si="120"/>
        <v/>
      </c>
    </row>
    <row r="668" spans="1:19" x14ac:dyDescent="0.2">
      <c r="A668" t="str">
        <f>IF(COUNTBLANK(B668:S668)&lt;&gt;COLUMNS(B668:S668),667,"")</f>
        <v/>
      </c>
      <c r="C668" s="2" t="str">
        <f t="shared" si="110"/>
        <v/>
      </c>
      <c r="D668" s="1" t="str">
        <f t="shared" si="111"/>
        <v/>
      </c>
      <c r="E668" s="1" t="str">
        <f t="shared" si="112"/>
        <v/>
      </c>
      <c r="I668" s="1" t="str">
        <f t="shared" si="113"/>
        <v/>
      </c>
      <c r="J668" s="2" t="str">
        <f t="shared" si="114"/>
        <v/>
      </c>
      <c r="K668" s="1" t="str">
        <f t="shared" si="115"/>
        <v/>
      </c>
      <c r="O668" s="1" t="str">
        <f t="shared" si="116"/>
        <v/>
      </c>
      <c r="P668" s="2" t="str">
        <f t="shared" si="117"/>
        <v/>
      </c>
      <c r="Q668" s="1" t="str">
        <f t="shared" si="118"/>
        <v/>
      </c>
      <c r="R668" s="2" t="str">
        <f t="shared" si="119"/>
        <v/>
      </c>
      <c r="S668" s="1" t="str">
        <f t="shared" si="120"/>
        <v/>
      </c>
    </row>
    <row r="669" spans="1:19" x14ac:dyDescent="0.2">
      <c r="A669" t="str">
        <f>IF(COUNTBLANK(B669:S669)&lt;&gt;COLUMNS(B669:S669),668,"")</f>
        <v/>
      </c>
      <c r="C669" s="2" t="str">
        <f t="shared" si="110"/>
        <v/>
      </c>
      <c r="D669" s="1" t="str">
        <f t="shared" si="111"/>
        <v/>
      </c>
      <c r="E669" s="1" t="str">
        <f t="shared" si="112"/>
        <v/>
      </c>
      <c r="I669" s="1" t="str">
        <f t="shared" si="113"/>
        <v/>
      </c>
      <c r="J669" s="2" t="str">
        <f t="shared" si="114"/>
        <v/>
      </c>
      <c r="K669" s="1" t="str">
        <f t="shared" si="115"/>
        <v/>
      </c>
      <c r="O669" s="1" t="str">
        <f t="shared" si="116"/>
        <v/>
      </c>
      <c r="P669" s="2" t="str">
        <f t="shared" si="117"/>
        <v/>
      </c>
      <c r="Q669" s="1" t="str">
        <f t="shared" si="118"/>
        <v/>
      </c>
      <c r="R669" s="2" t="str">
        <f t="shared" si="119"/>
        <v/>
      </c>
      <c r="S669" s="1" t="str">
        <f t="shared" si="120"/>
        <v/>
      </c>
    </row>
    <row r="670" spans="1:19" x14ac:dyDescent="0.2">
      <c r="A670" t="str">
        <f>IF(COUNTBLANK(B670:S670)&lt;&gt;COLUMNS(B670:S670),669,"")</f>
        <v/>
      </c>
      <c r="C670" s="2" t="str">
        <f t="shared" si="110"/>
        <v/>
      </c>
      <c r="D670" s="1" t="str">
        <f t="shared" si="111"/>
        <v/>
      </c>
      <c r="E670" s="1" t="str">
        <f t="shared" si="112"/>
        <v/>
      </c>
      <c r="I670" s="1" t="str">
        <f t="shared" si="113"/>
        <v/>
      </c>
      <c r="J670" s="2" t="str">
        <f t="shared" si="114"/>
        <v/>
      </c>
      <c r="K670" s="1" t="str">
        <f t="shared" si="115"/>
        <v/>
      </c>
      <c r="O670" s="1" t="str">
        <f t="shared" si="116"/>
        <v/>
      </c>
      <c r="P670" s="2" t="str">
        <f t="shared" si="117"/>
        <v/>
      </c>
      <c r="Q670" s="1" t="str">
        <f t="shared" si="118"/>
        <v/>
      </c>
      <c r="R670" s="2" t="str">
        <f t="shared" si="119"/>
        <v/>
      </c>
      <c r="S670" s="1" t="str">
        <f t="shared" si="120"/>
        <v/>
      </c>
    </row>
    <row r="671" spans="1:19" x14ac:dyDescent="0.2">
      <c r="A671" t="str">
        <f>IF(COUNTBLANK(B671:S671)&lt;&gt;COLUMNS(B671:S671),670,"")</f>
        <v/>
      </c>
      <c r="C671" s="2" t="str">
        <f t="shared" si="110"/>
        <v/>
      </c>
      <c r="D671" s="1" t="str">
        <f t="shared" si="111"/>
        <v/>
      </c>
      <c r="E671" s="1" t="str">
        <f t="shared" si="112"/>
        <v/>
      </c>
      <c r="I671" s="1" t="str">
        <f t="shared" si="113"/>
        <v/>
      </c>
      <c r="J671" s="2" t="str">
        <f t="shared" si="114"/>
        <v/>
      </c>
      <c r="K671" s="1" t="str">
        <f t="shared" si="115"/>
        <v/>
      </c>
      <c r="O671" s="1" t="str">
        <f t="shared" si="116"/>
        <v/>
      </c>
      <c r="P671" s="2" t="str">
        <f t="shared" si="117"/>
        <v/>
      </c>
      <c r="Q671" s="1" t="str">
        <f t="shared" si="118"/>
        <v/>
      </c>
      <c r="R671" s="2" t="str">
        <f t="shared" si="119"/>
        <v/>
      </c>
      <c r="S671" s="1" t="str">
        <f t="shared" si="120"/>
        <v/>
      </c>
    </row>
    <row r="672" spans="1:19" x14ac:dyDescent="0.2">
      <c r="A672" t="str">
        <f>IF(COUNTBLANK(B672:S672)&lt;&gt;COLUMNS(B672:S672),671,"")</f>
        <v/>
      </c>
      <c r="C672" s="2" t="str">
        <f t="shared" si="110"/>
        <v/>
      </c>
      <c r="D672" s="1" t="str">
        <f t="shared" si="111"/>
        <v/>
      </c>
      <c r="E672" s="1" t="str">
        <f t="shared" si="112"/>
        <v/>
      </c>
      <c r="I672" s="1" t="str">
        <f t="shared" si="113"/>
        <v/>
      </c>
      <c r="J672" s="2" t="str">
        <f t="shared" si="114"/>
        <v/>
      </c>
      <c r="K672" s="1" t="str">
        <f t="shared" si="115"/>
        <v/>
      </c>
      <c r="O672" s="1" t="str">
        <f t="shared" si="116"/>
        <v/>
      </c>
      <c r="P672" s="2" t="str">
        <f t="shared" si="117"/>
        <v/>
      </c>
      <c r="Q672" s="1" t="str">
        <f t="shared" si="118"/>
        <v/>
      </c>
      <c r="R672" s="2" t="str">
        <f t="shared" si="119"/>
        <v/>
      </c>
      <c r="S672" s="1" t="str">
        <f t="shared" si="120"/>
        <v/>
      </c>
    </row>
    <row r="673" spans="1:19" x14ac:dyDescent="0.2">
      <c r="A673" t="str">
        <f>IF(COUNTBLANK(B673:S673)&lt;&gt;COLUMNS(B673:S673),672,"")</f>
        <v/>
      </c>
      <c r="C673" s="2" t="str">
        <f t="shared" si="110"/>
        <v/>
      </c>
      <c r="D673" s="1" t="str">
        <f t="shared" si="111"/>
        <v/>
      </c>
      <c r="E673" s="1" t="str">
        <f t="shared" si="112"/>
        <v/>
      </c>
      <c r="I673" s="1" t="str">
        <f t="shared" si="113"/>
        <v/>
      </c>
      <c r="J673" s="2" t="str">
        <f t="shared" si="114"/>
        <v/>
      </c>
      <c r="K673" s="1" t="str">
        <f t="shared" si="115"/>
        <v/>
      </c>
      <c r="O673" s="1" t="str">
        <f t="shared" si="116"/>
        <v/>
      </c>
      <c r="P673" s="2" t="str">
        <f t="shared" si="117"/>
        <v/>
      </c>
      <c r="Q673" s="1" t="str">
        <f t="shared" si="118"/>
        <v/>
      </c>
      <c r="R673" s="2" t="str">
        <f t="shared" si="119"/>
        <v/>
      </c>
      <c r="S673" s="1" t="str">
        <f t="shared" si="120"/>
        <v/>
      </c>
    </row>
    <row r="674" spans="1:19" x14ac:dyDescent="0.2">
      <c r="A674" t="str">
        <f>IF(COUNTBLANK(B674:S674)&lt;&gt;COLUMNS(B674:S674),673,"")</f>
        <v/>
      </c>
      <c r="C674" s="2" t="str">
        <f t="shared" si="110"/>
        <v/>
      </c>
      <c r="D674" s="1" t="str">
        <f t="shared" si="111"/>
        <v/>
      </c>
      <c r="E674" s="1" t="str">
        <f t="shared" si="112"/>
        <v/>
      </c>
      <c r="I674" s="1" t="str">
        <f t="shared" si="113"/>
        <v/>
      </c>
      <c r="J674" s="2" t="str">
        <f t="shared" si="114"/>
        <v/>
      </c>
      <c r="K674" s="1" t="str">
        <f t="shared" si="115"/>
        <v/>
      </c>
      <c r="O674" s="1" t="str">
        <f t="shared" si="116"/>
        <v/>
      </c>
      <c r="P674" s="2" t="str">
        <f t="shared" si="117"/>
        <v/>
      </c>
      <c r="Q674" s="1" t="str">
        <f t="shared" si="118"/>
        <v/>
      </c>
      <c r="R674" s="2" t="str">
        <f t="shared" si="119"/>
        <v/>
      </c>
      <c r="S674" s="1" t="str">
        <f t="shared" si="120"/>
        <v/>
      </c>
    </row>
    <row r="675" spans="1:19" x14ac:dyDescent="0.2">
      <c r="A675" t="str">
        <f>IF(COUNTBLANK(B675:S675)&lt;&gt;COLUMNS(B675:S675),674,"")</f>
        <v/>
      </c>
      <c r="C675" s="2" t="str">
        <f t="shared" si="110"/>
        <v/>
      </c>
      <c r="D675" s="1" t="str">
        <f t="shared" si="111"/>
        <v/>
      </c>
      <c r="E675" s="1" t="str">
        <f t="shared" si="112"/>
        <v/>
      </c>
      <c r="I675" s="1" t="str">
        <f t="shared" si="113"/>
        <v/>
      </c>
      <c r="J675" s="2" t="str">
        <f t="shared" si="114"/>
        <v/>
      </c>
      <c r="K675" s="1" t="str">
        <f t="shared" si="115"/>
        <v/>
      </c>
      <c r="O675" s="1" t="str">
        <f t="shared" si="116"/>
        <v/>
      </c>
      <c r="P675" s="2" t="str">
        <f t="shared" si="117"/>
        <v/>
      </c>
      <c r="Q675" s="1" t="str">
        <f t="shared" si="118"/>
        <v/>
      </c>
      <c r="R675" s="2" t="str">
        <f t="shared" si="119"/>
        <v/>
      </c>
      <c r="S675" s="1" t="str">
        <f t="shared" si="120"/>
        <v/>
      </c>
    </row>
    <row r="676" spans="1:19" x14ac:dyDescent="0.2">
      <c r="A676" t="str">
        <f>IF(COUNTBLANK(B676:S676)&lt;&gt;COLUMNS(B676:S676),675,"")</f>
        <v/>
      </c>
      <c r="C676" s="2" t="str">
        <f t="shared" si="110"/>
        <v/>
      </c>
      <c r="D676" s="1" t="str">
        <f t="shared" si="111"/>
        <v/>
      </c>
      <c r="E676" s="1" t="str">
        <f t="shared" si="112"/>
        <v/>
      </c>
      <c r="I676" s="1" t="str">
        <f t="shared" si="113"/>
        <v/>
      </c>
      <c r="J676" s="2" t="str">
        <f t="shared" si="114"/>
        <v/>
      </c>
      <c r="K676" s="1" t="str">
        <f t="shared" si="115"/>
        <v/>
      </c>
      <c r="O676" s="1" t="str">
        <f t="shared" si="116"/>
        <v/>
      </c>
      <c r="P676" s="2" t="str">
        <f t="shared" si="117"/>
        <v/>
      </c>
      <c r="Q676" s="1" t="str">
        <f t="shared" si="118"/>
        <v/>
      </c>
      <c r="R676" s="2" t="str">
        <f t="shared" si="119"/>
        <v/>
      </c>
      <c r="S676" s="1" t="str">
        <f t="shared" si="120"/>
        <v/>
      </c>
    </row>
    <row r="677" spans="1:19" x14ac:dyDescent="0.2">
      <c r="A677" t="str">
        <f>IF(COUNTBLANK(B677:S677)&lt;&gt;COLUMNS(B677:S677),676,"")</f>
        <v/>
      </c>
      <c r="C677" s="2" t="str">
        <f t="shared" si="110"/>
        <v/>
      </c>
      <c r="D677" s="1" t="str">
        <f t="shared" si="111"/>
        <v/>
      </c>
      <c r="E677" s="1" t="str">
        <f t="shared" si="112"/>
        <v/>
      </c>
      <c r="I677" s="1" t="str">
        <f t="shared" si="113"/>
        <v/>
      </c>
      <c r="J677" s="2" t="str">
        <f t="shared" si="114"/>
        <v/>
      </c>
      <c r="K677" s="1" t="str">
        <f t="shared" si="115"/>
        <v/>
      </c>
      <c r="O677" s="1" t="str">
        <f t="shared" si="116"/>
        <v/>
      </c>
      <c r="P677" s="2" t="str">
        <f t="shared" si="117"/>
        <v/>
      </c>
      <c r="Q677" s="1" t="str">
        <f t="shared" si="118"/>
        <v/>
      </c>
      <c r="R677" s="2" t="str">
        <f t="shared" si="119"/>
        <v/>
      </c>
      <c r="S677" s="1" t="str">
        <f t="shared" si="120"/>
        <v/>
      </c>
    </row>
    <row r="678" spans="1:19" x14ac:dyDescent="0.2">
      <c r="A678" t="str">
        <f>IF(COUNTBLANK(B678:S678)&lt;&gt;COLUMNS(B678:S678),677,"")</f>
        <v/>
      </c>
      <c r="C678" s="2" t="str">
        <f t="shared" si="110"/>
        <v/>
      </c>
      <c r="D678" s="1" t="str">
        <f t="shared" si="111"/>
        <v/>
      </c>
      <c r="E678" s="1" t="str">
        <f t="shared" si="112"/>
        <v/>
      </c>
      <c r="I678" s="1" t="str">
        <f t="shared" si="113"/>
        <v/>
      </c>
      <c r="J678" s="2" t="str">
        <f t="shared" si="114"/>
        <v/>
      </c>
      <c r="K678" s="1" t="str">
        <f t="shared" si="115"/>
        <v/>
      </c>
      <c r="O678" s="1" t="str">
        <f t="shared" si="116"/>
        <v/>
      </c>
      <c r="P678" s="2" t="str">
        <f t="shared" si="117"/>
        <v/>
      </c>
      <c r="Q678" s="1" t="str">
        <f t="shared" si="118"/>
        <v/>
      </c>
      <c r="R678" s="2" t="str">
        <f t="shared" si="119"/>
        <v/>
      </c>
      <c r="S678" s="1" t="str">
        <f t="shared" si="120"/>
        <v/>
      </c>
    </row>
    <row r="679" spans="1:19" x14ac:dyDescent="0.2">
      <c r="A679" t="str">
        <f>IF(COUNTBLANK(B679:S679)&lt;&gt;COLUMNS(B679:S679),678,"")</f>
        <v/>
      </c>
      <c r="C679" s="2" t="str">
        <f t="shared" si="110"/>
        <v/>
      </c>
      <c r="D679" s="1" t="str">
        <f t="shared" si="111"/>
        <v/>
      </c>
      <c r="E679" s="1" t="str">
        <f t="shared" si="112"/>
        <v/>
      </c>
      <c r="I679" s="1" t="str">
        <f t="shared" si="113"/>
        <v/>
      </c>
      <c r="J679" s="2" t="str">
        <f t="shared" si="114"/>
        <v/>
      </c>
      <c r="K679" s="1" t="str">
        <f t="shared" si="115"/>
        <v/>
      </c>
      <c r="O679" s="1" t="str">
        <f t="shared" si="116"/>
        <v/>
      </c>
      <c r="P679" s="2" t="str">
        <f t="shared" si="117"/>
        <v/>
      </c>
      <c r="Q679" s="1" t="str">
        <f t="shared" si="118"/>
        <v/>
      </c>
      <c r="R679" s="2" t="str">
        <f t="shared" si="119"/>
        <v/>
      </c>
      <c r="S679" s="1" t="str">
        <f t="shared" si="120"/>
        <v/>
      </c>
    </row>
    <row r="680" spans="1:19" x14ac:dyDescent="0.2">
      <c r="A680" t="str">
        <f>IF(COUNTBLANK(B680:S680)&lt;&gt;COLUMNS(B680:S680),679,"")</f>
        <v/>
      </c>
      <c r="C680" s="2" t="str">
        <f t="shared" si="110"/>
        <v/>
      </c>
      <c r="D680" s="1" t="str">
        <f t="shared" si="111"/>
        <v/>
      </c>
      <c r="E680" s="1" t="str">
        <f t="shared" si="112"/>
        <v/>
      </c>
      <c r="I680" s="1" t="str">
        <f t="shared" si="113"/>
        <v/>
      </c>
      <c r="J680" s="2" t="str">
        <f t="shared" si="114"/>
        <v/>
      </c>
      <c r="K680" s="1" t="str">
        <f t="shared" si="115"/>
        <v/>
      </c>
      <c r="O680" s="1" t="str">
        <f t="shared" si="116"/>
        <v/>
      </c>
      <c r="P680" s="2" t="str">
        <f t="shared" si="117"/>
        <v/>
      </c>
      <c r="Q680" s="1" t="str">
        <f t="shared" si="118"/>
        <v/>
      </c>
      <c r="R680" s="2" t="str">
        <f t="shared" si="119"/>
        <v/>
      </c>
      <c r="S680" s="1" t="str">
        <f t="shared" si="120"/>
        <v/>
      </c>
    </row>
    <row r="681" spans="1:19" x14ac:dyDescent="0.2">
      <c r="A681" t="str">
        <f>IF(COUNTBLANK(B681:S681)&lt;&gt;COLUMNS(B681:S681),680,"")</f>
        <v/>
      </c>
      <c r="C681" s="2" t="str">
        <f t="shared" si="110"/>
        <v/>
      </c>
      <c r="D681" s="1" t="str">
        <f t="shared" si="111"/>
        <v/>
      </c>
      <c r="E681" s="1" t="str">
        <f t="shared" si="112"/>
        <v/>
      </c>
      <c r="I681" s="1" t="str">
        <f t="shared" si="113"/>
        <v/>
      </c>
      <c r="J681" s="2" t="str">
        <f t="shared" si="114"/>
        <v/>
      </c>
      <c r="K681" s="1" t="str">
        <f t="shared" si="115"/>
        <v/>
      </c>
      <c r="O681" s="1" t="str">
        <f t="shared" si="116"/>
        <v/>
      </c>
      <c r="P681" s="2" t="str">
        <f t="shared" si="117"/>
        <v/>
      </c>
      <c r="Q681" s="1" t="str">
        <f t="shared" si="118"/>
        <v/>
      </c>
      <c r="R681" s="2" t="str">
        <f t="shared" si="119"/>
        <v/>
      </c>
      <c r="S681" s="1" t="str">
        <f t="shared" si="120"/>
        <v/>
      </c>
    </row>
    <row r="682" spans="1:19" x14ac:dyDescent="0.2">
      <c r="A682" t="str">
        <f>IF(COUNTBLANK(B682:S682)&lt;&gt;COLUMNS(B682:S682),681,"")</f>
        <v/>
      </c>
      <c r="C682" s="2" t="str">
        <f t="shared" si="110"/>
        <v/>
      </c>
      <c r="D682" s="1" t="str">
        <f t="shared" si="111"/>
        <v/>
      </c>
      <c r="E682" s="1" t="str">
        <f t="shared" si="112"/>
        <v/>
      </c>
      <c r="I682" s="1" t="str">
        <f t="shared" si="113"/>
        <v/>
      </c>
      <c r="J682" s="2" t="str">
        <f t="shared" si="114"/>
        <v/>
      </c>
      <c r="K682" s="1" t="str">
        <f t="shared" si="115"/>
        <v/>
      </c>
      <c r="O682" s="1" t="str">
        <f t="shared" si="116"/>
        <v/>
      </c>
      <c r="P682" s="2" t="str">
        <f t="shared" si="117"/>
        <v/>
      </c>
      <c r="Q682" s="1" t="str">
        <f t="shared" si="118"/>
        <v/>
      </c>
      <c r="R682" s="2" t="str">
        <f t="shared" si="119"/>
        <v/>
      </c>
      <c r="S682" s="1" t="str">
        <f t="shared" si="120"/>
        <v/>
      </c>
    </row>
    <row r="683" spans="1:19" x14ac:dyDescent="0.2">
      <c r="A683" t="str">
        <f>IF(COUNTBLANK(B683:S683)&lt;&gt;COLUMNS(B683:S683),682,"")</f>
        <v/>
      </c>
      <c r="C683" s="2" t="str">
        <f t="shared" si="110"/>
        <v/>
      </c>
      <c r="D683" s="1" t="str">
        <f t="shared" si="111"/>
        <v/>
      </c>
      <c r="E683" s="1" t="str">
        <f t="shared" si="112"/>
        <v/>
      </c>
      <c r="I683" s="1" t="str">
        <f t="shared" si="113"/>
        <v/>
      </c>
      <c r="J683" s="2" t="str">
        <f t="shared" si="114"/>
        <v/>
      </c>
      <c r="K683" s="1" t="str">
        <f t="shared" si="115"/>
        <v/>
      </c>
      <c r="O683" s="1" t="str">
        <f t="shared" si="116"/>
        <v/>
      </c>
      <c r="P683" s="2" t="str">
        <f t="shared" si="117"/>
        <v/>
      </c>
      <c r="Q683" s="1" t="str">
        <f t="shared" si="118"/>
        <v/>
      </c>
      <c r="R683" s="2" t="str">
        <f t="shared" si="119"/>
        <v/>
      </c>
      <c r="S683" s="1" t="str">
        <f t="shared" si="120"/>
        <v/>
      </c>
    </row>
    <row r="684" spans="1:19" x14ac:dyDescent="0.2">
      <c r="A684" t="str">
        <f>IF(COUNTBLANK(B684:S684)&lt;&gt;COLUMNS(B684:S684),683,"")</f>
        <v/>
      </c>
      <c r="C684" s="2" t="str">
        <f t="shared" si="110"/>
        <v/>
      </c>
      <c r="D684" s="1" t="str">
        <f t="shared" si="111"/>
        <v/>
      </c>
      <c r="E684" s="1" t="str">
        <f t="shared" si="112"/>
        <v/>
      </c>
      <c r="I684" s="1" t="str">
        <f t="shared" si="113"/>
        <v/>
      </c>
      <c r="J684" s="2" t="str">
        <f t="shared" si="114"/>
        <v/>
      </c>
      <c r="K684" s="1" t="str">
        <f t="shared" si="115"/>
        <v/>
      </c>
      <c r="O684" s="1" t="str">
        <f t="shared" si="116"/>
        <v/>
      </c>
      <c r="P684" s="2" t="str">
        <f t="shared" si="117"/>
        <v/>
      </c>
      <c r="Q684" s="1" t="str">
        <f t="shared" si="118"/>
        <v/>
      </c>
      <c r="R684" s="2" t="str">
        <f t="shared" si="119"/>
        <v/>
      </c>
      <c r="S684" s="1" t="str">
        <f t="shared" si="120"/>
        <v/>
      </c>
    </row>
    <row r="685" spans="1:19" x14ac:dyDescent="0.2">
      <c r="A685" t="str">
        <f>IF(COUNTBLANK(B685:S685)&lt;&gt;COLUMNS(B685:S685),684,"")</f>
        <v/>
      </c>
      <c r="C685" s="2" t="str">
        <f t="shared" si="110"/>
        <v/>
      </c>
      <c r="D685" s="1" t="str">
        <f t="shared" si="111"/>
        <v/>
      </c>
      <c r="E685" s="1" t="str">
        <f t="shared" si="112"/>
        <v/>
      </c>
      <c r="I685" s="1" t="str">
        <f t="shared" si="113"/>
        <v/>
      </c>
      <c r="J685" s="2" t="str">
        <f t="shared" si="114"/>
        <v/>
      </c>
      <c r="K685" s="1" t="str">
        <f t="shared" si="115"/>
        <v/>
      </c>
      <c r="O685" s="1" t="str">
        <f t="shared" si="116"/>
        <v/>
      </c>
      <c r="P685" s="2" t="str">
        <f t="shared" si="117"/>
        <v/>
      </c>
      <c r="Q685" s="1" t="str">
        <f t="shared" si="118"/>
        <v/>
      </c>
      <c r="R685" s="2" t="str">
        <f t="shared" si="119"/>
        <v/>
      </c>
      <c r="S685" s="1" t="str">
        <f t="shared" si="120"/>
        <v/>
      </c>
    </row>
    <row r="686" spans="1:19" x14ac:dyDescent="0.2">
      <c r="A686" t="str">
        <f>IF(COUNTBLANK(B686:S686)&lt;&gt;COLUMNS(B686:S686),685,"")</f>
        <v/>
      </c>
      <c r="C686" s="2" t="str">
        <f t="shared" si="110"/>
        <v/>
      </c>
      <c r="D686" s="1" t="str">
        <f t="shared" si="111"/>
        <v/>
      </c>
      <c r="E686" s="1" t="str">
        <f t="shared" si="112"/>
        <v/>
      </c>
      <c r="I686" s="1" t="str">
        <f t="shared" si="113"/>
        <v/>
      </c>
      <c r="J686" s="2" t="str">
        <f t="shared" si="114"/>
        <v/>
      </c>
      <c r="K686" s="1" t="str">
        <f t="shared" si="115"/>
        <v/>
      </c>
      <c r="O686" s="1" t="str">
        <f t="shared" si="116"/>
        <v/>
      </c>
      <c r="P686" s="2" t="str">
        <f t="shared" si="117"/>
        <v/>
      </c>
      <c r="Q686" s="1" t="str">
        <f t="shared" si="118"/>
        <v/>
      </c>
      <c r="R686" s="2" t="str">
        <f t="shared" si="119"/>
        <v/>
      </c>
      <c r="S686" s="1" t="str">
        <f t="shared" si="120"/>
        <v/>
      </c>
    </row>
    <row r="687" spans="1:19" x14ac:dyDescent="0.2">
      <c r="A687" t="str">
        <f>IF(COUNTBLANK(B687:S687)&lt;&gt;COLUMNS(B687:S687),686,"")</f>
        <v/>
      </c>
      <c r="C687" s="2" t="str">
        <f t="shared" si="110"/>
        <v/>
      </c>
      <c r="D687" s="1" t="str">
        <f t="shared" si="111"/>
        <v/>
      </c>
      <c r="E687" s="1" t="str">
        <f t="shared" si="112"/>
        <v/>
      </c>
      <c r="I687" s="1" t="str">
        <f t="shared" si="113"/>
        <v/>
      </c>
      <c r="J687" s="2" t="str">
        <f t="shared" si="114"/>
        <v/>
      </c>
      <c r="K687" s="1" t="str">
        <f t="shared" si="115"/>
        <v/>
      </c>
      <c r="O687" s="1" t="str">
        <f t="shared" si="116"/>
        <v/>
      </c>
      <c r="P687" s="2" t="str">
        <f t="shared" si="117"/>
        <v/>
      </c>
      <c r="Q687" s="1" t="str">
        <f t="shared" si="118"/>
        <v/>
      </c>
      <c r="R687" s="2" t="str">
        <f t="shared" si="119"/>
        <v/>
      </c>
      <c r="S687" s="1" t="str">
        <f t="shared" si="120"/>
        <v/>
      </c>
    </row>
    <row r="688" spans="1:19" x14ac:dyDescent="0.2">
      <c r="A688" t="str">
        <f>IF(COUNTBLANK(B688:S688)&lt;&gt;COLUMNS(B688:S688),687,"")</f>
        <v/>
      </c>
      <c r="C688" s="2" t="str">
        <f t="shared" si="110"/>
        <v/>
      </c>
      <c r="D688" s="1" t="str">
        <f t="shared" si="111"/>
        <v/>
      </c>
      <c r="E688" s="1" t="str">
        <f t="shared" si="112"/>
        <v/>
      </c>
      <c r="I688" s="1" t="str">
        <f t="shared" si="113"/>
        <v/>
      </c>
      <c r="J688" s="2" t="str">
        <f t="shared" si="114"/>
        <v/>
      </c>
      <c r="K688" s="1" t="str">
        <f t="shared" si="115"/>
        <v/>
      </c>
      <c r="O688" s="1" t="str">
        <f t="shared" si="116"/>
        <v/>
      </c>
      <c r="P688" s="2" t="str">
        <f t="shared" si="117"/>
        <v/>
      </c>
      <c r="Q688" s="1" t="str">
        <f t="shared" si="118"/>
        <v/>
      </c>
      <c r="R688" s="2" t="str">
        <f t="shared" si="119"/>
        <v/>
      </c>
      <c r="S688" s="1" t="str">
        <f t="shared" si="120"/>
        <v/>
      </c>
    </row>
    <row r="689" spans="1:19" x14ac:dyDescent="0.2">
      <c r="A689" t="str">
        <f>IF(COUNTBLANK(B689:S689)&lt;&gt;COLUMNS(B689:S689),688,"")</f>
        <v/>
      </c>
      <c r="C689" s="2" t="str">
        <f t="shared" si="110"/>
        <v/>
      </c>
      <c r="D689" s="1" t="str">
        <f t="shared" si="111"/>
        <v/>
      </c>
      <c r="E689" s="1" t="str">
        <f t="shared" si="112"/>
        <v/>
      </c>
      <c r="I689" s="1" t="str">
        <f t="shared" si="113"/>
        <v/>
      </c>
      <c r="J689" s="2" t="str">
        <f t="shared" si="114"/>
        <v/>
      </c>
      <c r="K689" s="1" t="str">
        <f t="shared" si="115"/>
        <v/>
      </c>
      <c r="O689" s="1" t="str">
        <f t="shared" si="116"/>
        <v/>
      </c>
      <c r="P689" s="2" t="str">
        <f t="shared" si="117"/>
        <v/>
      </c>
      <c r="Q689" s="1" t="str">
        <f t="shared" si="118"/>
        <v/>
      </c>
      <c r="R689" s="2" t="str">
        <f t="shared" si="119"/>
        <v/>
      </c>
      <c r="S689" s="1" t="str">
        <f t="shared" si="120"/>
        <v/>
      </c>
    </row>
    <row r="690" spans="1:19" x14ac:dyDescent="0.2">
      <c r="A690" t="str">
        <f>IF(COUNTBLANK(B690:S690)&lt;&gt;COLUMNS(B690:S690),689,"")</f>
        <v/>
      </c>
      <c r="C690" s="2" t="str">
        <f t="shared" si="110"/>
        <v/>
      </c>
      <c r="D690" s="1" t="str">
        <f t="shared" si="111"/>
        <v/>
      </c>
      <c r="E690" s="1" t="str">
        <f t="shared" si="112"/>
        <v/>
      </c>
      <c r="I690" s="1" t="str">
        <f t="shared" si="113"/>
        <v/>
      </c>
      <c r="J690" s="2" t="str">
        <f t="shared" si="114"/>
        <v/>
      </c>
      <c r="K690" s="1" t="str">
        <f t="shared" si="115"/>
        <v/>
      </c>
      <c r="O690" s="1" t="str">
        <f t="shared" si="116"/>
        <v/>
      </c>
      <c r="P690" s="2" t="str">
        <f t="shared" si="117"/>
        <v/>
      </c>
      <c r="Q690" s="1" t="str">
        <f t="shared" si="118"/>
        <v/>
      </c>
      <c r="R690" s="2" t="str">
        <f t="shared" si="119"/>
        <v/>
      </c>
      <c r="S690" s="1" t="str">
        <f t="shared" si="120"/>
        <v/>
      </c>
    </row>
    <row r="691" spans="1:19" x14ac:dyDescent="0.2">
      <c r="A691" t="str">
        <f>IF(COUNTBLANK(B691:S691)&lt;&gt;COLUMNS(B691:S691),690,"")</f>
        <v/>
      </c>
      <c r="C691" s="2" t="str">
        <f t="shared" si="110"/>
        <v/>
      </c>
      <c r="D691" s="1" t="str">
        <f t="shared" si="111"/>
        <v/>
      </c>
      <c r="E691" s="1" t="str">
        <f t="shared" si="112"/>
        <v/>
      </c>
      <c r="I691" s="1" t="str">
        <f t="shared" si="113"/>
        <v/>
      </c>
      <c r="J691" s="2" t="str">
        <f t="shared" si="114"/>
        <v/>
      </c>
      <c r="K691" s="1" t="str">
        <f t="shared" si="115"/>
        <v/>
      </c>
      <c r="O691" s="1" t="str">
        <f t="shared" si="116"/>
        <v/>
      </c>
      <c r="P691" s="2" t="str">
        <f t="shared" si="117"/>
        <v/>
      </c>
      <c r="Q691" s="1" t="str">
        <f t="shared" si="118"/>
        <v/>
      </c>
      <c r="R691" s="2" t="str">
        <f t="shared" si="119"/>
        <v/>
      </c>
      <c r="S691" s="1" t="str">
        <f t="shared" si="120"/>
        <v/>
      </c>
    </row>
    <row r="692" spans="1:19" x14ac:dyDescent="0.2">
      <c r="A692" t="str">
        <f>IF(COUNTBLANK(B692:S692)&lt;&gt;COLUMNS(B692:S692),691,"")</f>
        <v/>
      </c>
      <c r="C692" s="2" t="str">
        <f t="shared" si="110"/>
        <v/>
      </c>
      <c r="D692" s="1" t="str">
        <f t="shared" si="111"/>
        <v/>
      </c>
      <c r="E692" s="1" t="str">
        <f t="shared" si="112"/>
        <v/>
      </c>
      <c r="I692" s="1" t="str">
        <f t="shared" si="113"/>
        <v/>
      </c>
      <c r="J692" s="2" t="str">
        <f t="shared" si="114"/>
        <v/>
      </c>
      <c r="K692" s="1" t="str">
        <f t="shared" si="115"/>
        <v/>
      </c>
      <c r="O692" s="1" t="str">
        <f t="shared" si="116"/>
        <v/>
      </c>
      <c r="P692" s="2" t="str">
        <f t="shared" si="117"/>
        <v/>
      </c>
      <c r="Q692" s="1" t="str">
        <f t="shared" si="118"/>
        <v/>
      </c>
      <c r="R692" s="2" t="str">
        <f t="shared" si="119"/>
        <v/>
      </c>
      <c r="S692" s="1" t="str">
        <f t="shared" si="120"/>
        <v/>
      </c>
    </row>
    <row r="693" spans="1:19" x14ac:dyDescent="0.2">
      <c r="A693" t="str">
        <f>IF(COUNTBLANK(B693:S693)&lt;&gt;COLUMNS(B693:S693),692,"")</f>
        <v/>
      </c>
      <c r="C693" s="2" t="str">
        <f t="shared" si="110"/>
        <v/>
      </c>
      <c r="D693" s="1" t="str">
        <f t="shared" si="111"/>
        <v/>
      </c>
      <c r="E693" s="1" t="str">
        <f t="shared" si="112"/>
        <v/>
      </c>
      <c r="I693" s="1" t="str">
        <f t="shared" si="113"/>
        <v/>
      </c>
      <c r="J693" s="2" t="str">
        <f t="shared" si="114"/>
        <v/>
      </c>
      <c r="K693" s="1" t="str">
        <f t="shared" si="115"/>
        <v/>
      </c>
      <c r="O693" s="1" t="str">
        <f t="shared" si="116"/>
        <v/>
      </c>
      <c r="P693" s="2" t="str">
        <f t="shared" si="117"/>
        <v/>
      </c>
      <c r="Q693" s="1" t="str">
        <f t="shared" si="118"/>
        <v/>
      </c>
      <c r="R693" s="2" t="str">
        <f t="shared" si="119"/>
        <v/>
      </c>
      <c r="S693" s="1" t="str">
        <f t="shared" si="120"/>
        <v/>
      </c>
    </row>
    <row r="694" spans="1:19" x14ac:dyDescent="0.2">
      <c r="A694" t="str">
        <f>IF(COUNTBLANK(B694:S694)&lt;&gt;COLUMNS(B694:S694),693,"")</f>
        <v/>
      </c>
      <c r="C694" s="2" t="str">
        <f t="shared" si="110"/>
        <v/>
      </c>
      <c r="D694" s="1" t="str">
        <f t="shared" si="111"/>
        <v/>
      </c>
      <c r="E694" s="1" t="str">
        <f t="shared" si="112"/>
        <v/>
      </c>
      <c r="I694" s="1" t="str">
        <f t="shared" si="113"/>
        <v/>
      </c>
      <c r="J694" s="2" t="str">
        <f t="shared" si="114"/>
        <v/>
      </c>
      <c r="K694" s="1" t="str">
        <f t="shared" si="115"/>
        <v/>
      </c>
      <c r="O694" s="1" t="str">
        <f t="shared" si="116"/>
        <v/>
      </c>
      <c r="P694" s="2" t="str">
        <f t="shared" si="117"/>
        <v/>
      </c>
      <c r="Q694" s="1" t="str">
        <f t="shared" si="118"/>
        <v/>
      </c>
      <c r="R694" s="2" t="str">
        <f t="shared" si="119"/>
        <v/>
      </c>
      <c r="S694" s="1" t="str">
        <f t="shared" si="120"/>
        <v/>
      </c>
    </row>
    <row r="695" spans="1:19" x14ac:dyDescent="0.2">
      <c r="A695" t="str">
        <f>IF(COUNTBLANK(B695:S695)&lt;&gt;COLUMNS(B695:S695),694,"")</f>
        <v/>
      </c>
      <c r="C695" s="2" t="str">
        <f t="shared" si="110"/>
        <v/>
      </c>
      <c r="D695" s="1" t="str">
        <f t="shared" si="111"/>
        <v/>
      </c>
      <c r="E695" s="1" t="str">
        <f t="shared" si="112"/>
        <v/>
      </c>
      <c r="I695" s="1" t="str">
        <f t="shared" si="113"/>
        <v/>
      </c>
      <c r="J695" s="2" t="str">
        <f t="shared" si="114"/>
        <v/>
      </c>
      <c r="K695" s="1" t="str">
        <f t="shared" si="115"/>
        <v/>
      </c>
      <c r="O695" s="1" t="str">
        <f t="shared" si="116"/>
        <v/>
      </c>
      <c r="P695" s="2" t="str">
        <f t="shared" si="117"/>
        <v/>
      </c>
      <c r="Q695" s="1" t="str">
        <f t="shared" si="118"/>
        <v/>
      </c>
      <c r="R695" s="2" t="str">
        <f t="shared" si="119"/>
        <v/>
      </c>
      <c r="S695" s="1" t="str">
        <f t="shared" si="120"/>
        <v/>
      </c>
    </row>
    <row r="696" spans="1:19" x14ac:dyDescent="0.2">
      <c r="A696" t="str">
        <f>IF(COUNTBLANK(B696:S696)&lt;&gt;COLUMNS(B696:S696),695,"")</f>
        <v/>
      </c>
      <c r="C696" s="2" t="str">
        <f t="shared" si="110"/>
        <v/>
      </c>
      <c r="D696" s="1" t="str">
        <f t="shared" si="111"/>
        <v/>
      </c>
      <c r="E696" s="1" t="str">
        <f t="shared" si="112"/>
        <v/>
      </c>
      <c r="I696" s="1" t="str">
        <f t="shared" si="113"/>
        <v/>
      </c>
      <c r="J696" s="2" t="str">
        <f t="shared" si="114"/>
        <v/>
      </c>
      <c r="K696" s="1" t="str">
        <f t="shared" si="115"/>
        <v/>
      </c>
      <c r="O696" s="1" t="str">
        <f t="shared" si="116"/>
        <v/>
      </c>
      <c r="P696" s="2" t="str">
        <f t="shared" si="117"/>
        <v/>
      </c>
      <c r="Q696" s="1" t="str">
        <f t="shared" si="118"/>
        <v/>
      </c>
      <c r="R696" s="2" t="str">
        <f t="shared" si="119"/>
        <v/>
      </c>
      <c r="S696" s="1" t="str">
        <f t="shared" si="120"/>
        <v/>
      </c>
    </row>
    <row r="697" spans="1:19" x14ac:dyDescent="0.2">
      <c r="A697" t="str">
        <f>IF(COUNTBLANK(B697:S697)&lt;&gt;COLUMNS(B697:S697),696,"")</f>
        <v/>
      </c>
      <c r="C697" s="2" t="str">
        <f t="shared" si="110"/>
        <v/>
      </c>
      <c r="D697" s="1" t="str">
        <f t="shared" si="111"/>
        <v/>
      </c>
      <c r="E697" s="1" t="str">
        <f t="shared" si="112"/>
        <v/>
      </c>
      <c r="I697" s="1" t="str">
        <f t="shared" si="113"/>
        <v/>
      </c>
      <c r="J697" s="2" t="str">
        <f t="shared" si="114"/>
        <v/>
      </c>
      <c r="K697" s="1" t="str">
        <f t="shared" si="115"/>
        <v/>
      </c>
      <c r="O697" s="1" t="str">
        <f t="shared" si="116"/>
        <v/>
      </c>
      <c r="P697" s="2" t="str">
        <f t="shared" si="117"/>
        <v/>
      </c>
      <c r="Q697" s="1" t="str">
        <f t="shared" si="118"/>
        <v/>
      </c>
      <c r="R697" s="2" t="str">
        <f t="shared" si="119"/>
        <v/>
      </c>
      <c r="S697" s="1" t="str">
        <f t="shared" si="120"/>
        <v/>
      </c>
    </row>
    <row r="698" spans="1:19" x14ac:dyDescent="0.2">
      <c r="A698" t="str">
        <f>IF(COUNTBLANK(B698:S698)&lt;&gt;COLUMNS(B698:S698),697,"")</f>
        <v/>
      </c>
      <c r="C698" s="2" t="str">
        <f t="shared" si="110"/>
        <v/>
      </c>
      <c r="D698" s="1" t="str">
        <f t="shared" si="111"/>
        <v/>
      </c>
      <c r="E698" s="1" t="str">
        <f t="shared" si="112"/>
        <v/>
      </c>
      <c r="I698" s="1" t="str">
        <f t="shared" si="113"/>
        <v/>
      </c>
      <c r="J698" s="2" t="str">
        <f t="shared" si="114"/>
        <v/>
      </c>
      <c r="K698" s="1" t="str">
        <f t="shared" si="115"/>
        <v/>
      </c>
      <c r="O698" s="1" t="str">
        <f t="shared" si="116"/>
        <v/>
      </c>
      <c r="P698" s="2" t="str">
        <f t="shared" si="117"/>
        <v/>
      </c>
      <c r="Q698" s="1" t="str">
        <f t="shared" si="118"/>
        <v/>
      </c>
      <c r="R698" s="2" t="str">
        <f t="shared" si="119"/>
        <v/>
      </c>
      <c r="S698" s="1" t="str">
        <f t="shared" si="120"/>
        <v/>
      </c>
    </row>
    <row r="699" spans="1:19" x14ac:dyDescent="0.2">
      <c r="A699" t="str">
        <f>IF(COUNTBLANK(B699:S699)&lt;&gt;COLUMNS(B699:S699),698,"")</f>
        <v/>
      </c>
      <c r="C699" s="2" t="str">
        <f t="shared" si="110"/>
        <v/>
      </c>
      <c r="D699" s="1" t="str">
        <f t="shared" si="111"/>
        <v/>
      </c>
      <c r="E699" s="1" t="str">
        <f t="shared" si="112"/>
        <v/>
      </c>
      <c r="I699" s="1" t="str">
        <f t="shared" si="113"/>
        <v/>
      </c>
      <c r="J699" s="2" t="str">
        <f t="shared" si="114"/>
        <v/>
      </c>
      <c r="K699" s="1" t="str">
        <f t="shared" si="115"/>
        <v/>
      </c>
      <c r="O699" s="1" t="str">
        <f t="shared" si="116"/>
        <v/>
      </c>
      <c r="P699" s="2" t="str">
        <f t="shared" si="117"/>
        <v/>
      </c>
      <c r="Q699" s="1" t="str">
        <f t="shared" si="118"/>
        <v/>
      </c>
      <c r="R699" s="2" t="str">
        <f t="shared" si="119"/>
        <v/>
      </c>
      <c r="S699" s="1" t="str">
        <f t="shared" si="120"/>
        <v/>
      </c>
    </row>
    <row r="700" spans="1:19" x14ac:dyDescent="0.2">
      <c r="A700" t="str">
        <f>IF(COUNTBLANK(B700:S700)&lt;&gt;COLUMNS(B700:S700),699,"")</f>
        <v/>
      </c>
      <c r="C700" s="2" t="str">
        <f t="shared" si="110"/>
        <v/>
      </c>
      <c r="D700" s="1" t="str">
        <f t="shared" si="111"/>
        <v/>
      </c>
      <c r="E700" s="1" t="str">
        <f t="shared" si="112"/>
        <v/>
      </c>
      <c r="I700" s="1" t="str">
        <f t="shared" si="113"/>
        <v/>
      </c>
      <c r="J700" s="2" t="str">
        <f t="shared" si="114"/>
        <v/>
      </c>
      <c r="K700" s="1" t="str">
        <f t="shared" si="115"/>
        <v/>
      </c>
      <c r="O700" s="1" t="str">
        <f t="shared" si="116"/>
        <v/>
      </c>
      <c r="P700" s="2" t="str">
        <f t="shared" si="117"/>
        <v/>
      </c>
      <c r="Q700" s="1" t="str">
        <f t="shared" si="118"/>
        <v/>
      </c>
      <c r="R700" s="2" t="str">
        <f t="shared" si="119"/>
        <v/>
      </c>
      <c r="S700" s="1" t="str">
        <f t="shared" si="120"/>
        <v/>
      </c>
    </row>
    <row r="701" spans="1:19" x14ac:dyDescent="0.2">
      <c r="A701" t="str">
        <f>IF(COUNTBLANK(B701:S701)&lt;&gt;COLUMNS(B701:S701),700,"")</f>
        <v/>
      </c>
      <c r="C701" s="2" t="str">
        <f t="shared" si="110"/>
        <v/>
      </c>
      <c r="D701" s="1" t="str">
        <f t="shared" si="111"/>
        <v/>
      </c>
      <c r="E701" s="1" t="str">
        <f t="shared" si="112"/>
        <v/>
      </c>
      <c r="I701" s="1" t="str">
        <f t="shared" si="113"/>
        <v/>
      </c>
      <c r="J701" s="2" t="str">
        <f t="shared" si="114"/>
        <v/>
      </c>
      <c r="K701" s="1" t="str">
        <f t="shared" si="115"/>
        <v/>
      </c>
      <c r="O701" s="1" t="str">
        <f t="shared" si="116"/>
        <v/>
      </c>
      <c r="P701" s="2" t="str">
        <f t="shared" si="117"/>
        <v/>
      </c>
      <c r="Q701" s="1" t="str">
        <f t="shared" si="118"/>
        <v/>
      </c>
      <c r="R701" s="2" t="str">
        <f t="shared" si="119"/>
        <v/>
      </c>
      <c r="S701" s="1" t="str">
        <f t="shared" si="120"/>
        <v/>
      </c>
    </row>
    <row r="702" spans="1:19" x14ac:dyDescent="0.2">
      <c r="A702" t="str">
        <f>IF(COUNTBLANK(B702:S702)&lt;&gt;COLUMNS(B702:S702),701,"")</f>
        <v/>
      </c>
      <c r="C702" s="2" t="str">
        <f t="shared" si="110"/>
        <v/>
      </c>
      <c r="D702" s="1" t="str">
        <f t="shared" si="111"/>
        <v/>
      </c>
      <c r="E702" s="1" t="str">
        <f t="shared" si="112"/>
        <v/>
      </c>
      <c r="I702" s="1" t="str">
        <f t="shared" si="113"/>
        <v/>
      </c>
      <c r="J702" s="2" t="str">
        <f t="shared" si="114"/>
        <v/>
      </c>
      <c r="K702" s="1" t="str">
        <f t="shared" si="115"/>
        <v/>
      </c>
      <c r="O702" s="1" t="str">
        <f t="shared" si="116"/>
        <v/>
      </c>
      <c r="P702" s="2" t="str">
        <f t="shared" si="117"/>
        <v/>
      </c>
      <c r="Q702" s="1" t="str">
        <f t="shared" si="118"/>
        <v/>
      </c>
      <c r="R702" s="2" t="str">
        <f t="shared" si="119"/>
        <v/>
      </c>
      <c r="S702" s="1" t="str">
        <f t="shared" si="120"/>
        <v/>
      </c>
    </row>
    <row r="703" spans="1:19" x14ac:dyDescent="0.2">
      <c r="A703" t="str">
        <f>IF(COUNTBLANK(B703:S703)&lt;&gt;COLUMNS(B703:S703),702,"")</f>
        <v/>
      </c>
      <c r="C703" s="2" t="str">
        <f t="shared" si="110"/>
        <v/>
      </c>
      <c r="D703" s="1" t="str">
        <f t="shared" si="111"/>
        <v/>
      </c>
      <c r="E703" s="1" t="str">
        <f t="shared" si="112"/>
        <v/>
      </c>
      <c r="I703" s="1" t="str">
        <f t="shared" si="113"/>
        <v/>
      </c>
      <c r="J703" s="2" t="str">
        <f t="shared" si="114"/>
        <v/>
      </c>
      <c r="K703" s="1" t="str">
        <f t="shared" si="115"/>
        <v/>
      </c>
      <c r="O703" s="1" t="str">
        <f t="shared" si="116"/>
        <v/>
      </c>
      <c r="P703" s="2" t="str">
        <f t="shared" si="117"/>
        <v/>
      </c>
      <c r="Q703" s="1" t="str">
        <f t="shared" si="118"/>
        <v/>
      </c>
      <c r="R703" s="2" t="str">
        <f t="shared" si="119"/>
        <v/>
      </c>
      <c r="S703" s="1" t="str">
        <f t="shared" si="120"/>
        <v/>
      </c>
    </row>
    <row r="704" spans="1:19" x14ac:dyDescent="0.2">
      <c r="A704" t="str">
        <f>IF(COUNTBLANK(B704:S704)&lt;&gt;COLUMNS(B704:S704),703,"")</f>
        <v/>
      </c>
      <c r="C704" s="2" t="str">
        <f t="shared" si="110"/>
        <v/>
      </c>
      <c r="D704" s="1" t="str">
        <f t="shared" si="111"/>
        <v/>
      </c>
      <c r="E704" s="1" t="str">
        <f t="shared" si="112"/>
        <v/>
      </c>
      <c r="I704" s="1" t="str">
        <f t="shared" si="113"/>
        <v/>
      </c>
      <c r="J704" s="2" t="str">
        <f t="shared" si="114"/>
        <v/>
      </c>
      <c r="K704" s="1" t="str">
        <f t="shared" si="115"/>
        <v/>
      </c>
      <c r="O704" s="1" t="str">
        <f t="shared" si="116"/>
        <v/>
      </c>
      <c r="P704" s="2" t="str">
        <f t="shared" si="117"/>
        <v/>
      </c>
      <c r="Q704" s="1" t="str">
        <f t="shared" si="118"/>
        <v/>
      </c>
      <c r="R704" s="2" t="str">
        <f t="shared" si="119"/>
        <v/>
      </c>
      <c r="S704" s="1" t="str">
        <f t="shared" si="120"/>
        <v/>
      </c>
    </row>
    <row r="705" spans="1:19" x14ac:dyDescent="0.2">
      <c r="A705" t="str">
        <f>IF(COUNTBLANK(B705:S705)&lt;&gt;COLUMNS(B705:S705),704,"")</f>
        <v/>
      </c>
      <c r="C705" s="2" t="str">
        <f t="shared" si="110"/>
        <v/>
      </c>
      <c r="D705" s="1" t="str">
        <f t="shared" si="111"/>
        <v/>
      </c>
      <c r="E705" s="1" t="str">
        <f t="shared" si="112"/>
        <v/>
      </c>
      <c r="I705" s="1" t="str">
        <f t="shared" si="113"/>
        <v/>
      </c>
      <c r="J705" s="2" t="str">
        <f t="shared" si="114"/>
        <v/>
      </c>
      <c r="K705" s="1" t="str">
        <f t="shared" si="115"/>
        <v/>
      </c>
      <c r="O705" s="1" t="str">
        <f t="shared" si="116"/>
        <v/>
      </c>
      <c r="P705" s="2" t="str">
        <f t="shared" si="117"/>
        <v/>
      </c>
      <c r="Q705" s="1" t="str">
        <f t="shared" si="118"/>
        <v/>
      </c>
      <c r="R705" s="2" t="str">
        <f t="shared" si="119"/>
        <v/>
      </c>
      <c r="S705" s="1" t="str">
        <f t="shared" si="120"/>
        <v/>
      </c>
    </row>
    <row r="706" spans="1:19" x14ac:dyDescent="0.2">
      <c r="A706" t="str">
        <f>IF(COUNTBLANK(B706:S706)&lt;&gt;COLUMNS(B706:S706),705,"")</f>
        <v/>
      </c>
      <c r="C706" s="2" t="str">
        <f t="shared" ref="C706:C769" si="121">IF(B706="", "", "missing: not provided")</f>
        <v/>
      </c>
      <c r="D706" s="1" t="str">
        <f t="shared" ref="D706:D769" si="122">IF(B706="", "", " missing: not provided")</f>
        <v/>
      </c>
      <c r="E706" s="1" t="str">
        <f t="shared" ref="E706:E769" si="123">IF(B706="", "", "Host-associated")</f>
        <v/>
      </c>
      <c r="I706" s="1" t="str">
        <f t="shared" ref="I706:I769" si="124">IF(B706="", "", "host-associated")</f>
        <v/>
      </c>
      <c r="J706" s="2" t="str">
        <f t="shared" ref="J706:J769" si="125">IF(B706="", "", "missing: not provided")</f>
        <v/>
      </c>
      <c r="K706" s="1" t="str">
        <f t="shared" ref="K706:K769" si="126">IF(B706="", "", " missing: not provided")</f>
        <v/>
      </c>
      <c r="O706" s="1" t="str">
        <f t="shared" ref="O706:O769" si="127">IF(B706="", "", "Not applicable")</f>
        <v/>
      </c>
      <c r="P706" s="2" t="str">
        <f t="shared" ref="P706:P769" si="128">IF(B706="", "", "missing: not provided")</f>
        <v/>
      </c>
      <c r="Q706" s="1" t="str">
        <f t="shared" ref="Q706:Q769" si="129">IF(B706="", "", "Not applicable")</f>
        <v/>
      </c>
      <c r="R706" s="2" t="str">
        <f t="shared" ref="R706:R769" si="130">IF(B706="", "", "missing: not provided")</f>
        <v/>
      </c>
      <c r="S706" s="1" t="str">
        <f t="shared" ref="S706:S769" si="131">IF(B706="", "", " missing: not provided")</f>
        <v/>
      </c>
    </row>
    <row r="707" spans="1:19" x14ac:dyDescent="0.2">
      <c r="A707" t="str">
        <f>IF(COUNTBLANK(B707:S707)&lt;&gt;COLUMNS(B707:S707),706,"")</f>
        <v/>
      </c>
      <c r="C707" s="2" t="str">
        <f t="shared" si="121"/>
        <v/>
      </c>
      <c r="D707" s="1" t="str">
        <f t="shared" si="122"/>
        <v/>
      </c>
      <c r="E707" s="1" t="str">
        <f t="shared" si="123"/>
        <v/>
      </c>
      <c r="I707" s="1" t="str">
        <f t="shared" si="124"/>
        <v/>
      </c>
      <c r="J707" s="2" t="str">
        <f t="shared" si="125"/>
        <v/>
      </c>
      <c r="K707" s="1" t="str">
        <f t="shared" si="126"/>
        <v/>
      </c>
      <c r="O707" s="1" t="str">
        <f t="shared" si="127"/>
        <v/>
      </c>
      <c r="P707" s="2" t="str">
        <f t="shared" si="128"/>
        <v/>
      </c>
      <c r="Q707" s="1" t="str">
        <f t="shared" si="129"/>
        <v/>
      </c>
      <c r="R707" s="2" t="str">
        <f t="shared" si="130"/>
        <v/>
      </c>
      <c r="S707" s="1" t="str">
        <f t="shared" si="131"/>
        <v/>
      </c>
    </row>
    <row r="708" spans="1:19" x14ac:dyDescent="0.2">
      <c r="A708" t="str">
        <f>IF(COUNTBLANK(B708:S708)&lt;&gt;COLUMNS(B708:S708),707,"")</f>
        <v/>
      </c>
      <c r="C708" s="2" t="str">
        <f t="shared" si="121"/>
        <v/>
      </c>
      <c r="D708" s="1" t="str">
        <f t="shared" si="122"/>
        <v/>
      </c>
      <c r="E708" s="1" t="str">
        <f t="shared" si="123"/>
        <v/>
      </c>
      <c r="I708" s="1" t="str">
        <f t="shared" si="124"/>
        <v/>
      </c>
      <c r="J708" s="2" t="str">
        <f t="shared" si="125"/>
        <v/>
      </c>
      <c r="K708" s="1" t="str">
        <f t="shared" si="126"/>
        <v/>
      </c>
      <c r="O708" s="1" t="str">
        <f t="shared" si="127"/>
        <v/>
      </c>
      <c r="P708" s="2" t="str">
        <f t="shared" si="128"/>
        <v/>
      </c>
      <c r="Q708" s="1" t="str">
        <f t="shared" si="129"/>
        <v/>
      </c>
      <c r="R708" s="2" t="str">
        <f t="shared" si="130"/>
        <v/>
      </c>
      <c r="S708" s="1" t="str">
        <f t="shared" si="131"/>
        <v/>
      </c>
    </row>
    <row r="709" spans="1:19" x14ac:dyDescent="0.2">
      <c r="A709" t="str">
        <f>IF(COUNTBLANK(B709:S709)&lt;&gt;COLUMNS(B709:S709),708,"")</f>
        <v/>
      </c>
      <c r="C709" s="2" t="str">
        <f t="shared" si="121"/>
        <v/>
      </c>
      <c r="D709" s="1" t="str">
        <f t="shared" si="122"/>
        <v/>
      </c>
      <c r="E709" s="1" t="str">
        <f t="shared" si="123"/>
        <v/>
      </c>
      <c r="I709" s="1" t="str">
        <f t="shared" si="124"/>
        <v/>
      </c>
      <c r="J709" s="2" t="str">
        <f t="shared" si="125"/>
        <v/>
      </c>
      <c r="K709" s="1" t="str">
        <f t="shared" si="126"/>
        <v/>
      </c>
      <c r="O709" s="1" t="str">
        <f t="shared" si="127"/>
        <v/>
      </c>
      <c r="P709" s="2" t="str">
        <f t="shared" si="128"/>
        <v/>
      </c>
      <c r="Q709" s="1" t="str">
        <f t="shared" si="129"/>
        <v/>
      </c>
      <c r="R709" s="2" t="str">
        <f t="shared" si="130"/>
        <v/>
      </c>
      <c r="S709" s="1" t="str">
        <f t="shared" si="131"/>
        <v/>
      </c>
    </row>
    <row r="710" spans="1:19" x14ac:dyDescent="0.2">
      <c r="A710" t="str">
        <f>IF(COUNTBLANK(B710:S710)&lt;&gt;COLUMNS(B710:S710),709,"")</f>
        <v/>
      </c>
      <c r="C710" s="2" t="str">
        <f t="shared" si="121"/>
        <v/>
      </c>
      <c r="D710" s="1" t="str">
        <f t="shared" si="122"/>
        <v/>
      </c>
      <c r="E710" s="1" t="str">
        <f t="shared" si="123"/>
        <v/>
      </c>
      <c r="I710" s="1" t="str">
        <f t="shared" si="124"/>
        <v/>
      </c>
      <c r="J710" s="2" t="str">
        <f t="shared" si="125"/>
        <v/>
      </c>
      <c r="K710" s="1" t="str">
        <f t="shared" si="126"/>
        <v/>
      </c>
      <c r="O710" s="1" t="str">
        <f t="shared" si="127"/>
        <v/>
      </c>
      <c r="P710" s="2" t="str">
        <f t="shared" si="128"/>
        <v/>
      </c>
      <c r="Q710" s="1" t="str">
        <f t="shared" si="129"/>
        <v/>
      </c>
      <c r="R710" s="2" t="str">
        <f t="shared" si="130"/>
        <v/>
      </c>
      <c r="S710" s="1" t="str">
        <f t="shared" si="131"/>
        <v/>
      </c>
    </row>
    <row r="711" spans="1:19" x14ac:dyDescent="0.2">
      <c r="A711" t="str">
        <f>IF(COUNTBLANK(B711:S711)&lt;&gt;COLUMNS(B711:S711),710,"")</f>
        <v/>
      </c>
      <c r="C711" s="2" t="str">
        <f t="shared" si="121"/>
        <v/>
      </c>
      <c r="D711" s="1" t="str">
        <f t="shared" si="122"/>
        <v/>
      </c>
      <c r="E711" s="1" t="str">
        <f t="shared" si="123"/>
        <v/>
      </c>
      <c r="I711" s="1" t="str">
        <f t="shared" si="124"/>
        <v/>
      </c>
      <c r="J711" s="2" t="str">
        <f t="shared" si="125"/>
        <v/>
      </c>
      <c r="K711" s="1" t="str">
        <f t="shared" si="126"/>
        <v/>
      </c>
      <c r="O711" s="1" t="str">
        <f t="shared" si="127"/>
        <v/>
      </c>
      <c r="P711" s="2" t="str">
        <f t="shared" si="128"/>
        <v/>
      </c>
      <c r="Q711" s="1" t="str">
        <f t="shared" si="129"/>
        <v/>
      </c>
      <c r="R711" s="2" t="str">
        <f t="shared" si="130"/>
        <v/>
      </c>
      <c r="S711" s="1" t="str">
        <f t="shared" si="131"/>
        <v/>
      </c>
    </row>
    <row r="712" spans="1:19" x14ac:dyDescent="0.2">
      <c r="A712" t="str">
        <f>IF(COUNTBLANK(B712:S712)&lt;&gt;COLUMNS(B712:S712),711,"")</f>
        <v/>
      </c>
      <c r="C712" s="2" t="str">
        <f t="shared" si="121"/>
        <v/>
      </c>
      <c r="D712" s="1" t="str">
        <f t="shared" si="122"/>
        <v/>
      </c>
      <c r="E712" s="1" t="str">
        <f t="shared" si="123"/>
        <v/>
      </c>
      <c r="I712" s="1" t="str">
        <f t="shared" si="124"/>
        <v/>
      </c>
      <c r="J712" s="2" t="str">
        <f t="shared" si="125"/>
        <v/>
      </c>
      <c r="K712" s="1" t="str">
        <f t="shared" si="126"/>
        <v/>
      </c>
      <c r="O712" s="1" t="str">
        <f t="shared" si="127"/>
        <v/>
      </c>
      <c r="P712" s="2" t="str">
        <f t="shared" si="128"/>
        <v/>
      </c>
      <c r="Q712" s="1" t="str">
        <f t="shared" si="129"/>
        <v/>
      </c>
      <c r="R712" s="2" t="str">
        <f t="shared" si="130"/>
        <v/>
      </c>
      <c r="S712" s="1" t="str">
        <f t="shared" si="131"/>
        <v/>
      </c>
    </row>
    <row r="713" spans="1:19" x14ac:dyDescent="0.2">
      <c r="A713" t="str">
        <f>IF(COUNTBLANK(B713:S713)&lt;&gt;COLUMNS(B713:S713),712,"")</f>
        <v/>
      </c>
      <c r="C713" s="2" t="str">
        <f t="shared" si="121"/>
        <v/>
      </c>
      <c r="D713" s="1" t="str">
        <f t="shared" si="122"/>
        <v/>
      </c>
      <c r="E713" s="1" t="str">
        <f t="shared" si="123"/>
        <v/>
      </c>
      <c r="I713" s="1" t="str">
        <f t="shared" si="124"/>
        <v/>
      </c>
      <c r="J713" s="2" t="str">
        <f t="shared" si="125"/>
        <v/>
      </c>
      <c r="K713" s="1" t="str">
        <f t="shared" si="126"/>
        <v/>
      </c>
      <c r="O713" s="1" t="str">
        <f t="shared" si="127"/>
        <v/>
      </c>
      <c r="P713" s="2" t="str">
        <f t="shared" si="128"/>
        <v/>
      </c>
      <c r="Q713" s="1" t="str">
        <f t="shared" si="129"/>
        <v/>
      </c>
      <c r="R713" s="2" t="str">
        <f t="shared" si="130"/>
        <v/>
      </c>
      <c r="S713" s="1" t="str">
        <f t="shared" si="131"/>
        <v/>
      </c>
    </row>
    <row r="714" spans="1:19" x14ac:dyDescent="0.2">
      <c r="A714" t="str">
        <f>IF(COUNTBLANK(B714:S714)&lt;&gt;COLUMNS(B714:S714),713,"")</f>
        <v/>
      </c>
      <c r="C714" s="2" t="str">
        <f t="shared" si="121"/>
        <v/>
      </c>
      <c r="D714" s="1" t="str">
        <f t="shared" si="122"/>
        <v/>
      </c>
      <c r="E714" s="1" t="str">
        <f t="shared" si="123"/>
        <v/>
      </c>
      <c r="I714" s="1" t="str">
        <f t="shared" si="124"/>
        <v/>
      </c>
      <c r="J714" s="2" t="str">
        <f t="shared" si="125"/>
        <v/>
      </c>
      <c r="K714" s="1" t="str">
        <f t="shared" si="126"/>
        <v/>
      </c>
      <c r="O714" s="1" t="str">
        <f t="shared" si="127"/>
        <v/>
      </c>
      <c r="P714" s="2" t="str">
        <f t="shared" si="128"/>
        <v/>
      </c>
      <c r="Q714" s="1" t="str">
        <f t="shared" si="129"/>
        <v/>
      </c>
      <c r="R714" s="2" t="str">
        <f t="shared" si="130"/>
        <v/>
      </c>
      <c r="S714" s="1" t="str">
        <f t="shared" si="131"/>
        <v/>
      </c>
    </row>
    <row r="715" spans="1:19" x14ac:dyDescent="0.2">
      <c r="A715" t="str">
        <f>IF(COUNTBLANK(B715:S715)&lt;&gt;COLUMNS(B715:S715),714,"")</f>
        <v/>
      </c>
      <c r="C715" s="2" t="str">
        <f t="shared" si="121"/>
        <v/>
      </c>
      <c r="D715" s="1" t="str">
        <f t="shared" si="122"/>
        <v/>
      </c>
      <c r="E715" s="1" t="str">
        <f t="shared" si="123"/>
        <v/>
      </c>
      <c r="I715" s="1" t="str">
        <f t="shared" si="124"/>
        <v/>
      </c>
      <c r="J715" s="2" t="str">
        <f t="shared" si="125"/>
        <v/>
      </c>
      <c r="K715" s="1" t="str">
        <f t="shared" si="126"/>
        <v/>
      </c>
      <c r="O715" s="1" t="str">
        <f t="shared" si="127"/>
        <v/>
      </c>
      <c r="P715" s="2" t="str">
        <f t="shared" si="128"/>
        <v/>
      </c>
      <c r="Q715" s="1" t="str">
        <f t="shared" si="129"/>
        <v/>
      </c>
      <c r="R715" s="2" t="str">
        <f t="shared" si="130"/>
        <v/>
      </c>
      <c r="S715" s="1" t="str">
        <f t="shared" si="131"/>
        <v/>
      </c>
    </row>
    <row r="716" spans="1:19" x14ac:dyDescent="0.2">
      <c r="A716" t="str">
        <f>IF(COUNTBLANK(B716:S716)&lt;&gt;COLUMNS(B716:S716),715,"")</f>
        <v/>
      </c>
      <c r="C716" s="2" t="str">
        <f t="shared" si="121"/>
        <v/>
      </c>
      <c r="D716" s="1" t="str">
        <f t="shared" si="122"/>
        <v/>
      </c>
      <c r="E716" s="1" t="str">
        <f t="shared" si="123"/>
        <v/>
      </c>
      <c r="I716" s="1" t="str">
        <f t="shared" si="124"/>
        <v/>
      </c>
      <c r="J716" s="2" t="str">
        <f t="shared" si="125"/>
        <v/>
      </c>
      <c r="K716" s="1" t="str">
        <f t="shared" si="126"/>
        <v/>
      </c>
      <c r="O716" s="1" t="str">
        <f t="shared" si="127"/>
        <v/>
      </c>
      <c r="P716" s="2" t="str">
        <f t="shared" si="128"/>
        <v/>
      </c>
      <c r="Q716" s="1" t="str">
        <f t="shared" si="129"/>
        <v/>
      </c>
      <c r="R716" s="2" t="str">
        <f t="shared" si="130"/>
        <v/>
      </c>
      <c r="S716" s="1" t="str">
        <f t="shared" si="131"/>
        <v/>
      </c>
    </row>
    <row r="717" spans="1:19" x14ac:dyDescent="0.2">
      <c r="A717" t="str">
        <f>IF(COUNTBLANK(B717:S717)&lt;&gt;COLUMNS(B717:S717),716,"")</f>
        <v/>
      </c>
      <c r="C717" s="2" t="str">
        <f t="shared" si="121"/>
        <v/>
      </c>
      <c r="D717" s="1" t="str">
        <f t="shared" si="122"/>
        <v/>
      </c>
      <c r="E717" s="1" t="str">
        <f t="shared" si="123"/>
        <v/>
      </c>
      <c r="I717" s="1" t="str">
        <f t="shared" si="124"/>
        <v/>
      </c>
      <c r="J717" s="2" t="str">
        <f t="shared" si="125"/>
        <v/>
      </c>
      <c r="K717" s="1" t="str">
        <f t="shared" si="126"/>
        <v/>
      </c>
      <c r="O717" s="1" t="str">
        <f t="shared" si="127"/>
        <v/>
      </c>
      <c r="P717" s="2" t="str">
        <f t="shared" si="128"/>
        <v/>
      </c>
      <c r="Q717" s="1" t="str">
        <f t="shared" si="129"/>
        <v/>
      </c>
      <c r="R717" s="2" t="str">
        <f t="shared" si="130"/>
        <v/>
      </c>
      <c r="S717" s="1" t="str">
        <f t="shared" si="131"/>
        <v/>
      </c>
    </row>
    <row r="718" spans="1:19" x14ac:dyDescent="0.2">
      <c r="A718" t="str">
        <f>IF(COUNTBLANK(B718:S718)&lt;&gt;COLUMNS(B718:S718),717,"")</f>
        <v/>
      </c>
      <c r="C718" s="2" t="str">
        <f t="shared" si="121"/>
        <v/>
      </c>
      <c r="D718" s="1" t="str">
        <f t="shared" si="122"/>
        <v/>
      </c>
      <c r="E718" s="1" t="str">
        <f t="shared" si="123"/>
        <v/>
      </c>
      <c r="I718" s="1" t="str">
        <f t="shared" si="124"/>
        <v/>
      </c>
      <c r="J718" s="2" t="str">
        <f t="shared" si="125"/>
        <v/>
      </c>
      <c r="K718" s="1" t="str">
        <f t="shared" si="126"/>
        <v/>
      </c>
      <c r="O718" s="1" t="str">
        <f t="shared" si="127"/>
        <v/>
      </c>
      <c r="P718" s="2" t="str">
        <f t="shared" si="128"/>
        <v/>
      </c>
      <c r="Q718" s="1" t="str">
        <f t="shared" si="129"/>
        <v/>
      </c>
      <c r="R718" s="2" t="str">
        <f t="shared" si="130"/>
        <v/>
      </c>
      <c r="S718" s="1" t="str">
        <f t="shared" si="131"/>
        <v/>
      </c>
    </row>
    <row r="719" spans="1:19" x14ac:dyDescent="0.2">
      <c r="A719" t="str">
        <f>IF(COUNTBLANK(B719:S719)&lt;&gt;COLUMNS(B719:S719),718,"")</f>
        <v/>
      </c>
      <c r="C719" s="2" t="str">
        <f t="shared" si="121"/>
        <v/>
      </c>
      <c r="D719" s="1" t="str">
        <f t="shared" si="122"/>
        <v/>
      </c>
      <c r="E719" s="1" t="str">
        <f t="shared" si="123"/>
        <v/>
      </c>
      <c r="I719" s="1" t="str">
        <f t="shared" si="124"/>
        <v/>
      </c>
      <c r="J719" s="2" t="str">
        <f t="shared" si="125"/>
        <v/>
      </c>
      <c r="K719" s="1" t="str">
        <f t="shared" si="126"/>
        <v/>
      </c>
      <c r="O719" s="1" t="str">
        <f t="shared" si="127"/>
        <v/>
      </c>
      <c r="P719" s="2" t="str">
        <f t="shared" si="128"/>
        <v/>
      </c>
      <c r="Q719" s="1" t="str">
        <f t="shared" si="129"/>
        <v/>
      </c>
      <c r="R719" s="2" t="str">
        <f t="shared" si="130"/>
        <v/>
      </c>
      <c r="S719" s="1" t="str">
        <f t="shared" si="131"/>
        <v/>
      </c>
    </row>
    <row r="720" spans="1:19" x14ac:dyDescent="0.2">
      <c r="A720" t="str">
        <f>IF(COUNTBLANK(B720:S720)&lt;&gt;COLUMNS(B720:S720),719,"")</f>
        <v/>
      </c>
      <c r="C720" s="2" t="str">
        <f t="shared" si="121"/>
        <v/>
      </c>
      <c r="D720" s="1" t="str">
        <f t="shared" si="122"/>
        <v/>
      </c>
      <c r="E720" s="1" t="str">
        <f t="shared" si="123"/>
        <v/>
      </c>
      <c r="I720" s="1" t="str">
        <f t="shared" si="124"/>
        <v/>
      </c>
      <c r="J720" s="2" t="str">
        <f t="shared" si="125"/>
        <v/>
      </c>
      <c r="K720" s="1" t="str">
        <f t="shared" si="126"/>
        <v/>
      </c>
      <c r="O720" s="1" t="str">
        <f t="shared" si="127"/>
        <v/>
      </c>
      <c r="P720" s="2" t="str">
        <f t="shared" si="128"/>
        <v/>
      </c>
      <c r="Q720" s="1" t="str">
        <f t="shared" si="129"/>
        <v/>
      </c>
      <c r="R720" s="2" t="str">
        <f t="shared" si="130"/>
        <v/>
      </c>
      <c r="S720" s="1" t="str">
        <f t="shared" si="131"/>
        <v/>
      </c>
    </row>
    <row r="721" spans="1:19" x14ac:dyDescent="0.2">
      <c r="A721" t="str">
        <f>IF(COUNTBLANK(B721:S721)&lt;&gt;COLUMNS(B721:S721),720,"")</f>
        <v/>
      </c>
      <c r="C721" s="2" t="str">
        <f t="shared" si="121"/>
        <v/>
      </c>
      <c r="D721" s="1" t="str">
        <f t="shared" si="122"/>
        <v/>
      </c>
      <c r="E721" s="1" t="str">
        <f t="shared" si="123"/>
        <v/>
      </c>
      <c r="I721" s="1" t="str">
        <f t="shared" si="124"/>
        <v/>
      </c>
      <c r="J721" s="2" t="str">
        <f t="shared" si="125"/>
        <v/>
      </c>
      <c r="K721" s="1" t="str">
        <f t="shared" si="126"/>
        <v/>
      </c>
      <c r="O721" s="1" t="str">
        <f t="shared" si="127"/>
        <v/>
      </c>
      <c r="P721" s="2" t="str">
        <f t="shared" si="128"/>
        <v/>
      </c>
      <c r="Q721" s="1" t="str">
        <f t="shared" si="129"/>
        <v/>
      </c>
      <c r="R721" s="2" t="str">
        <f t="shared" si="130"/>
        <v/>
      </c>
      <c r="S721" s="1" t="str">
        <f t="shared" si="131"/>
        <v/>
      </c>
    </row>
    <row r="722" spans="1:19" x14ac:dyDescent="0.2">
      <c r="A722" t="str">
        <f>IF(COUNTBLANK(B722:S722)&lt;&gt;COLUMNS(B722:S722),721,"")</f>
        <v/>
      </c>
      <c r="C722" s="2" t="str">
        <f t="shared" si="121"/>
        <v/>
      </c>
      <c r="D722" s="1" t="str">
        <f t="shared" si="122"/>
        <v/>
      </c>
      <c r="E722" s="1" t="str">
        <f t="shared" si="123"/>
        <v/>
      </c>
      <c r="I722" s="1" t="str">
        <f t="shared" si="124"/>
        <v/>
      </c>
      <c r="J722" s="2" t="str">
        <f t="shared" si="125"/>
        <v/>
      </c>
      <c r="K722" s="1" t="str">
        <f t="shared" si="126"/>
        <v/>
      </c>
      <c r="O722" s="1" t="str">
        <f t="shared" si="127"/>
        <v/>
      </c>
      <c r="P722" s="2" t="str">
        <f t="shared" si="128"/>
        <v/>
      </c>
      <c r="Q722" s="1" t="str">
        <f t="shared" si="129"/>
        <v/>
      </c>
      <c r="R722" s="2" t="str">
        <f t="shared" si="130"/>
        <v/>
      </c>
      <c r="S722" s="1" t="str">
        <f t="shared" si="131"/>
        <v/>
      </c>
    </row>
    <row r="723" spans="1:19" x14ac:dyDescent="0.2">
      <c r="A723" t="str">
        <f>IF(COUNTBLANK(B723:S723)&lt;&gt;COLUMNS(B723:S723),722,"")</f>
        <v/>
      </c>
      <c r="C723" s="2" t="str">
        <f t="shared" si="121"/>
        <v/>
      </c>
      <c r="D723" s="1" t="str">
        <f t="shared" si="122"/>
        <v/>
      </c>
      <c r="E723" s="1" t="str">
        <f t="shared" si="123"/>
        <v/>
      </c>
      <c r="I723" s="1" t="str">
        <f t="shared" si="124"/>
        <v/>
      </c>
      <c r="J723" s="2" t="str">
        <f t="shared" si="125"/>
        <v/>
      </c>
      <c r="K723" s="1" t="str">
        <f t="shared" si="126"/>
        <v/>
      </c>
      <c r="O723" s="1" t="str">
        <f t="shared" si="127"/>
        <v/>
      </c>
      <c r="P723" s="2" t="str">
        <f t="shared" si="128"/>
        <v/>
      </c>
      <c r="Q723" s="1" t="str">
        <f t="shared" si="129"/>
        <v/>
      </c>
      <c r="R723" s="2" t="str">
        <f t="shared" si="130"/>
        <v/>
      </c>
      <c r="S723" s="1" t="str">
        <f t="shared" si="131"/>
        <v/>
      </c>
    </row>
    <row r="724" spans="1:19" x14ac:dyDescent="0.2">
      <c r="A724" t="str">
        <f>IF(COUNTBLANK(B724:S724)&lt;&gt;COLUMNS(B724:S724),723,"")</f>
        <v/>
      </c>
      <c r="C724" s="2" t="str">
        <f t="shared" si="121"/>
        <v/>
      </c>
      <c r="D724" s="1" t="str">
        <f t="shared" si="122"/>
        <v/>
      </c>
      <c r="E724" s="1" t="str">
        <f t="shared" si="123"/>
        <v/>
      </c>
      <c r="I724" s="1" t="str">
        <f t="shared" si="124"/>
        <v/>
      </c>
      <c r="J724" s="2" t="str">
        <f t="shared" si="125"/>
        <v/>
      </c>
      <c r="K724" s="1" t="str">
        <f t="shared" si="126"/>
        <v/>
      </c>
      <c r="O724" s="1" t="str">
        <f t="shared" si="127"/>
        <v/>
      </c>
      <c r="P724" s="2" t="str">
        <f t="shared" si="128"/>
        <v/>
      </c>
      <c r="Q724" s="1" t="str">
        <f t="shared" si="129"/>
        <v/>
      </c>
      <c r="R724" s="2" t="str">
        <f t="shared" si="130"/>
        <v/>
      </c>
      <c r="S724" s="1" t="str">
        <f t="shared" si="131"/>
        <v/>
      </c>
    </row>
    <row r="725" spans="1:19" x14ac:dyDescent="0.2">
      <c r="A725" t="str">
        <f>IF(COUNTBLANK(B725:S725)&lt;&gt;COLUMNS(B725:S725),724,"")</f>
        <v/>
      </c>
      <c r="C725" s="2" t="str">
        <f t="shared" si="121"/>
        <v/>
      </c>
      <c r="D725" s="1" t="str">
        <f t="shared" si="122"/>
        <v/>
      </c>
      <c r="E725" s="1" t="str">
        <f t="shared" si="123"/>
        <v/>
      </c>
      <c r="I725" s="1" t="str">
        <f t="shared" si="124"/>
        <v/>
      </c>
      <c r="J725" s="2" t="str">
        <f t="shared" si="125"/>
        <v/>
      </c>
      <c r="K725" s="1" t="str">
        <f t="shared" si="126"/>
        <v/>
      </c>
      <c r="O725" s="1" t="str">
        <f t="shared" si="127"/>
        <v/>
      </c>
      <c r="P725" s="2" t="str">
        <f t="shared" si="128"/>
        <v/>
      </c>
      <c r="Q725" s="1" t="str">
        <f t="shared" si="129"/>
        <v/>
      </c>
      <c r="R725" s="2" t="str">
        <f t="shared" si="130"/>
        <v/>
      </c>
      <c r="S725" s="1" t="str">
        <f t="shared" si="131"/>
        <v/>
      </c>
    </row>
    <row r="726" spans="1:19" x14ac:dyDescent="0.2">
      <c r="A726" t="str">
        <f>IF(COUNTBLANK(B726:S726)&lt;&gt;COLUMNS(B726:S726),725,"")</f>
        <v/>
      </c>
      <c r="C726" s="2" t="str">
        <f t="shared" si="121"/>
        <v/>
      </c>
      <c r="D726" s="1" t="str">
        <f t="shared" si="122"/>
        <v/>
      </c>
      <c r="E726" s="1" t="str">
        <f t="shared" si="123"/>
        <v/>
      </c>
      <c r="I726" s="1" t="str">
        <f t="shared" si="124"/>
        <v/>
      </c>
      <c r="J726" s="2" t="str">
        <f t="shared" si="125"/>
        <v/>
      </c>
      <c r="K726" s="1" t="str">
        <f t="shared" si="126"/>
        <v/>
      </c>
      <c r="O726" s="1" t="str">
        <f t="shared" si="127"/>
        <v/>
      </c>
      <c r="P726" s="2" t="str">
        <f t="shared" si="128"/>
        <v/>
      </c>
      <c r="Q726" s="1" t="str">
        <f t="shared" si="129"/>
        <v/>
      </c>
      <c r="R726" s="2" t="str">
        <f t="shared" si="130"/>
        <v/>
      </c>
      <c r="S726" s="1" t="str">
        <f t="shared" si="131"/>
        <v/>
      </c>
    </row>
    <row r="727" spans="1:19" x14ac:dyDescent="0.2">
      <c r="A727" t="str">
        <f>IF(COUNTBLANK(B727:S727)&lt;&gt;COLUMNS(B727:S727),726,"")</f>
        <v/>
      </c>
      <c r="C727" s="2" t="str">
        <f t="shared" si="121"/>
        <v/>
      </c>
      <c r="D727" s="1" t="str">
        <f t="shared" si="122"/>
        <v/>
      </c>
      <c r="E727" s="1" t="str">
        <f t="shared" si="123"/>
        <v/>
      </c>
      <c r="I727" s="1" t="str">
        <f t="shared" si="124"/>
        <v/>
      </c>
      <c r="J727" s="2" t="str">
        <f t="shared" si="125"/>
        <v/>
      </c>
      <c r="K727" s="1" t="str">
        <f t="shared" si="126"/>
        <v/>
      </c>
      <c r="O727" s="1" t="str">
        <f t="shared" si="127"/>
        <v/>
      </c>
      <c r="P727" s="2" t="str">
        <f t="shared" si="128"/>
        <v/>
      </c>
      <c r="Q727" s="1" t="str">
        <f t="shared" si="129"/>
        <v/>
      </c>
      <c r="R727" s="2" t="str">
        <f t="shared" si="130"/>
        <v/>
      </c>
      <c r="S727" s="1" t="str">
        <f t="shared" si="131"/>
        <v/>
      </c>
    </row>
    <row r="728" spans="1:19" x14ac:dyDescent="0.2">
      <c r="A728" t="str">
        <f>IF(COUNTBLANK(B728:S728)&lt;&gt;COLUMNS(B728:S728),727,"")</f>
        <v/>
      </c>
      <c r="C728" s="2" t="str">
        <f t="shared" si="121"/>
        <v/>
      </c>
      <c r="D728" s="1" t="str">
        <f t="shared" si="122"/>
        <v/>
      </c>
      <c r="E728" s="1" t="str">
        <f t="shared" si="123"/>
        <v/>
      </c>
      <c r="I728" s="1" t="str">
        <f t="shared" si="124"/>
        <v/>
      </c>
      <c r="J728" s="2" t="str">
        <f t="shared" si="125"/>
        <v/>
      </c>
      <c r="K728" s="1" t="str">
        <f t="shared" si="126"/>
        <v/>
      </c>
      <c r="O728" s="1" t="str">
        <f t="shared" si="127"/>
        <v/>
      </c>
      <c r="P728" s="2" t="str">
        <f t="shared" si="128"/>
        <v/>
      </c>
      <c r="Q728" s="1" t="str">
        <f t="shared" si="129"/>
        <v/>
      </c>
      <c r="R728" s="2" t="str">
        <f t="shared" si="130"/>
        <v/>
      </c>
      <c r="S728" s="1" t="str">
        <f t="shared" si="131"/>
        <v/>
      </c>
    </row>
    <row r="729" spans="1:19" x14ac:dyDescent="0.2">
      <c r="A729" t="str">
        <f>IF(COUNTBLANK(B729:S729)&lt;&gt;COLUMNS(B729:S729),728,"")</f>
        <v/>
      </c>
      <c r="C729" s="2" t="str">
        <f t="shared" si="121"/>
        <v/>
      </c>
      <c r="D729" s="1" t="str">
        <f t="shared" si="122"/>
        <v/>
      </c>
      <c r="E729" s="1" t="str">
        <f t="shared" si="123"/>
        <v/>
      </c>
      <c r="I729" s="1" t="str">
        <f t="shared" si="124"/>
        <v/>
      </c>
      <c r="J729" s="2" t="str">
        <f t="shared" si="125"/>
        <v/>
      </c>
      <c r="K729" s="1" t="str">
        <f t="shared" si="126"/>
        <v/>
      </c>
      <c r="O729" s="1" t="str">
        <f t="shared" si="127"/>
        <v/>
      </c>
      <c r="P729" s="2" t="str">
        <f t="shared" si="128"/>
        <v/>
      </c>
      <c r="Q729" s="1" t="str">
        <f t="shared" si="129"/>
        <v/>
      </c>
      <c r="R729" s="2" t="str">
        <f t="shared" si="130"/>
        <v/>
      </c>
      <c r="S729" s="1" t="str">
        <f t="shared" si="131"/>
        <v/>
      </c>
    </row>
    <row r="730" spans="1:19" x14ac:dyDescent="0.2">
      <c r="A730" t="str">
        <f>IF(COUNTBLANK(B730:S730)&lt;&gt;COLUMNS(B730:S730),729,"")</f>
        <v/>
      </c>
      <c r="C730" s="2" t="str">
        <f t="shared" si="121"/>
        <v/>
      </c>
      <c r="D730" s="1" t="str">
        <f t="shared" si="122"/>
        <v/>
      </c>
      <c r="E730" s="1" t="str">
        <f t="shared" si="123"/>
        <v/>
      </c>
      <c r="I730" s="1" t="str">
        <f t="shared" si="124"/>
        <v/>
      </c>
      <c r="J730" s="2" t="str">
        <f t="shared" si="125"/>
        <v/>
      </c>
      <c r="K730" s="1" t="str">
        <f t="shared" si="126"/>
        <v/>
      </c>
      <c r="O730" s="1" t="str">
        <f t="shared" si="127"/>
        <v/>
      </c>
      <c r="P730" s="2" t="str">
        <f t="shared" si="128"/>
        <v/>
      </c>
      <c r="Q730" s="1" t="str">
        <f t="shared" si="129"/>
        <v/>
      </c>
      <c r="R730" s="2" t="str">
        <f t="shared" si="130"/>
        <v/>
      </c>
      <c r="S730" s="1" t="str">
        <f t="shared" si="131"/>
        <v/>
      </c>
    </row>
    <row r="731" spans="1:19" x14ac:dyDescent="0.2">
      <c r="A731" t="str">
        <f>IF(COUNTBLANK(B731:S731)&lt;&gt;COLUMNS(B731:S731),730,"")</f>
        <v/>
      </c>
      <c r="C731" s="2" t="str">
        <f t="shared" si="121"/>
        <v/>
      </c>
      <c r="D731" s="1" t="str">
        <f t="shared" si="122"/>
        <v/>
      </c>
      <c r="E731" s="1" t="str">
        <f t="shared" si="123"/>
        <v/>
      </c>
      <c r="I731" s="1" t="str">
        <f t="shared" si="124"/>
        <v/>
      </c>
      <c r="J731" s="2" t="str">
        <f t="shared" si="125"/>
        <v/>
      </c>
      <c r="K731" s="1" t="str">
        <f t="shared" si="126"/>
        <v/>
      </c>
      <c r="O731" s="1" t="str">
        <f t="shared" si="127"/>
        <v/>
      </c>
      <c r="P731" s="2" t="str">
        <f t="shared" si="128"/>
        <v/>
      </c>
      <c r="Q731" s="1" t="str">
        <f t="shared" si="129"/>
        <v/>
      </c>
      <c r="R731" s="2" t="str">
        <f t="shared" si="130"/>
        <v/>
      </c>
      <c r="S731" s="1" t="str">
        <f t="shared" si="131"/>
        <v/>
      </c>
    </row>
    <row r="732" spans="1:19" x14ac:dyDescent="0.2">
      <c r="A732" t="str">
        <f>IF(COUNTBLANK(B732:S732)&lt;&gt;COLUMNS(B732:S732),731,"")</f>
        <v/>
      </c>
      <c r="C732" s="2" t="str">
        <f t="shared" si="121"/>
        <v/>
      </c>
      <c r="D732" s="1" t="str">
        <f t="shared" si="122"/>
        <v/>
      </c>
      <c r="E732" s="1" t="str">
        <f t="shared" si="123"/>
        <v/>
      </c>
      <c r="I732" s="1" t="str">
        <f t="shared" si="124"/>
        <v/>
      </c>
      <c r="J732" s="2" t="str">
        <f t="shared" si="125"/>
        <v/>
      </c>
      <c r="K732" s="1" t="str">
        <f t="shared" si="126"/>
        <v/>
      </c>
      <c r="O732" s="1" t="str">
        <f t="shared" si="127"/>
        <v/>
      </c>
      <c r="P732" s="2" t="str">
        <f t="shared" si="128"/>
        <v/>
      </c>
      <c r="Q732" s="1" t="str">
        <f t="shared" si="129"/>
        <v/>
      </c>
      <c r="R732" s="2" t="str">
        <f t="shared" si="130"/>
        <v/>
      </c>
      <c r="S732" s="1" t="str">
        <f t="shared" si="131"/>
        <v/>
      </c>
    </row>
    <row r="733" spans="1:19" x14ac:dyDescent="0.2">
      <c r="A733" t="str">
        <f>IF(COUNTBLANK(B733:S733)&lt;&gt;COLUMNS(B733:S733),732,"")</f>
        <v/>
      </c>
      <c r="C733" s="2" t="str">
        <f t="shared" si="121"/>
        <v/>
      </c>
      <c r="D733" s="1" t="str">
        <f t="shared" si="122"/>
        <v/>
      </c>
      <c r="E733" s="1" t="str">
        <f t="shared" si="123"/>
        <v/>
      </c>
      <c r="I733" s="1" t="str">
        <f t="shared" si="124"/>
        <v/>
      </c>
      <c r="J733" s="2" t="str">
        <f t="shared" si="125"/>
        <v/>
      </c>
      <c r="K733" s="1" t="str">
        <f t="shared" si="126"/>
        <v/>
      </c>
      <c r="O733" s="1" t="str">
        <f t="shared" si="127"/>
        <v/>
      </c>
      <c r="P733" s="2" t="str">
        <f t="shared" si="128"/>
        <v/>
      </c>
      <c r="Q733" s="1" t="str">
        <f t="shared" si="129"/>
        <v/>
      </c>
      <c r="R733" s="2" t="str">
        <f t="shared" si="130"/>
        <v/>
      </c>
      <c r="S733" s="1" t="str">
        <f t="shared" si="131"/>
        <v/>
      </c>
    </row>
    <row r="734" spans="1:19" x14ac:dyDescent="0.2">
      <c r="A734" t="str">
        <f>IF(COUNTBLANK(B734:S734)&lt;&gt;COLUMNS(B734:S734),733,"")</f>
        <v/>
      </c>
      <c r="C734" s="2" t="str">
        <f t="shared" si="121"/>
        <v/>
      </c>
      <c r="D734" s="1" t="str">
        <f t="shared" si="122"/>
        <v/>
      </c>
      <c r="E734" s="1" t="str">
        <f t="shared" si="123"/>
        <v/>
      </c>
      <c r="I734" s="1" t="str">
        <f t="shared" si="124"/>
        <v/>
      </c>
      <c r="J734" s="2" t="str">
        <f t="shared" si="125"/>
        <v/>
      </c>
      <c r="K734" s="1" t="str">
        <f t="shared" si="126"/>
        <v/>
      </c>
      <c r="O734" s="1" t="str">
        <f t="shared" si="127"/>
        <v/>
      </c>
      <c r="P734" s="2" t="str">
        <f t="shared" si="128"/>
        <v/>
      </c>
      <c r="Q734" s="1" t="str">
        <f t="shared" si="129"/>
        <v/>
      </c>
      <c r="R734" s="2" t="str">
        <f t="shared" si="130"/>
        <v/>
      </c>
      <c r="S734" s="1" t="str">
        <f t="shared" si="131"/>
        <v/>
      </c>
    </row>
    <row r="735" spans="1:19" x14ac:dyDescent="0.2">
      <c r="A735" t="str">
        <f>IF(COUNTBLANK(B735:S735)&lt;&gt;COLUMNS(B735:S735),734,"")</f>
        <v/>
      </c>
      <c r="C735" s="2" t="str">
        <f t="shared" si="121"/>
        <v/>
      </c>
      <c r="D735" s="1" t="str">
        <f t="shared" si="122"/>
        <v/>
      </c>
      <c r="E735" s="1" t="str">
        <f t="shared" si="123"/>
        <v/>
      </c>
      <c r="I735" s="1" t="str">
        <f t="shared" si="124"/>
        <v/>
      </c>
      <c r="J735" s="2" t="str">
        <f t="shared" si="125"/>
        <v/>
      </c>
      <c r="K735" s="1" t="str">
        <f t="shared" si="126"/>
        <v/>
      </c>
      <c r="O735" s="1" t="str">
        <f t="shared" si="127"/>
        <v/>
      </c>
      <c r="P735" s="2" t="str">
        <f t="shared" si="128"/>
        <v/>
      </c>
      <c r="Q735" s="1" t="str">
        <f t="shared" si="129"/>
        <v/>
      </c>
      <c r="R735" s="2" t="str">
        <f t="shared" si="130"/>
        <v/>
      </c>
      <c r="S735" s="1" t="str">
        <f t="shared" si="131"/>
        <v/>
      </c>
    </row>
    <row r="736" spans="1:19" x14ac:dyDescent="0.2">
      <c r="A736" t="str">
        <f>IF(COUNTBLANK(B736:S736)&lt;&gt;COLUMNS(B736:S736),735,"")</f>
        <v/>
      </c>
      <c r="C736" s="2" t="str">
        <f t="shared" si="121"/>
        <v/>
      </c>
      <c r="D736" s="1" t="str">
        <f t="shared" si="122"/>
        <v/>
      </c>
      <c r="E736" s="1" t="str">
        <f t="shared" si="123"/>
        <v/>
      </c>
      <c r="I736" s="1" t="str">
        <f t="shared" si="124"/>
        <v/>
      </c>
      <c r="J736" s="2" t="str">
        <f t="shared" si="125"/>
        <v/>
      </c>
      <c r="K736" s="1" t="str">
        <f t="shared" si="126"/>
        <v/>
      </c>
      <c r="O736" s="1" t="str">
        <f t="shared" si="127"/>
        <v/>
      </c>
      <c r="P736" s="2" t="str">
        <f t="shared" si="128"/>
        <v/>
      </c>
      <c r="Q736" s="1" t="str">
        <f t="shared" si="129"/>
        <v/>
      </c>
      <c r="R736" s="2" t="str">
        <f t="shared" si="130"/>
        <v/>
      </c>
      <c r="S736" s="1" t="str">
        <f t="shared" si="131"/>
        <v/>
      </c>
    </row>
    <row r="737" spans="1:19" x14ac:dyDescent="0.2">
      <c r="A737" t="str">
        <f>IF(COUNTBLANK(B737:S737)&lt;&gt;COLUMNS(B737:S737),736,"")</f>
        <v/>
      </c>
      <c r="C737" s="2" t="str">
        <f t="shared" si="121"/>
        <v/>
      </c>
      <c r="D737" s="1" t="str">
        <f t="shared" si="122"/>
        <v/>
      </c>
      <c r="E737" s="1" t="str">
        <f t="shared" si="123"/>
        <v/>
      </c>
      <c r="I737" s="1" t="str">
        <f t="shared" si="124"/>
        <v/>
      </c>
      <c r="J737" s="2" t="str">
        <f t="shared" si="125"/>
        <v/>
      </c>
      <c r="K737" s="1" t="str">
        <f t="shared" si="126"/>
        <v/>
      </c>
      <c r="O737" s="1" t="str">
        <f t="shared" si="127"/>
        <v/>
      </c>
      <c r="P737" s="2" t="str">
        <f t="shared" si="128"/>
        <v/>
      </c>
      <c r="Q737" s="1" t="str">
        <f t="shared" si="129"/>
        <v/>
      </c>
      <c r="R737" s="2" t="str">
        <f t="shared" si="130"/>
        <v/>
      </c>
      <c r="S737" s="1" t="str">
        <f t="shared" si="131"/>
        <v/>
      </c>
    </row>
    <row r="738" spans="1:19" x14ac:dyDescent="0.2">
      <c r="A738" t="str">
        <f>IF(COUNTBLANK(B738:S738)&lt;&gt;COLUMNS(B738:S738),737,"")</f>
        <v/>
      </c>
      <c r="C738" s="2" t="str">
        <f t="shared" si="121"/>
        <v/>
      </c>
      <c r="D738" s="1" t="str">
        <f t="shared" si="122"/>
        <v/>
      </c>
      <c r="E738" s="1" t="str">
        <f t="shared" si="123"/>
        <v/>
      </c>
      <c r="I738" s="1" t="str">
        <f t="shared" si="124"/>
        <v/>
      </c>
      <c r="J738" s="2" t="str">
        <f t="shared" si="125"/>
        <v/>
      </c>
      <c r="K738" s="1" t="str">
        <f t="shared" si="126"/>
        <v/>
      </c>
      <c r="O738" s="1" t="str">
        <f t="shared" si="127"/>
        <v/>
      </c>
      <c r="P738" s="2" t="str">
        <f t="shared" si="128"/>
        <v/>
      </c>
      <c r="Q738" s="1" t="str">
        <f t="shared" si="129"/>
        <v/>
      </c>
      <c r="R738" s="2" t="str">
        <f t="shared" si="130"/>
        <v/>
      </c>
      <c r="S738" s="1" t="str">
        <f t="shared" si="131"/>
        <v/>
      </c>
    </row>
    <row r="739" spans="1:19" x14ac:dyDescent="0.2">
      <c r="A739" t="str">
        <f>IF(COUNTBLANK(B739:S739)&lt;&gt;COLUMNS(B739:S739),738,"")</f>
        <v/>
      </c>
      <c r="C739" s="2" t="str">
        <f t="shared" si="121"/>
        <v/>
      </c>
      <c r="D739" s="1" t="str">
        <f t="shared" si="122"/>
        <v/>
      </c>
      <c r="E739" s="1" t="str">
        <f t="shared" si="123"/>
        <v/>
      </c>
      <c r="I739" s="1" t="str">
        <f t="shared" si="124"/>
        <v/>
      </c>
      <c r="J739" s="2" t="str">
        <f t="shared" si="125"/>
        <v/>
      </c>
      <c r="K739" s="1" t="str">
        <f t="shared" si="126"/>
        <v/>
      </c>
      <c r="O739" s="1" t="str">
        <f t="shared" si="127"/>
        <v/>
      </c>
      <c r="P739" s="2" t="str">
        <f t="shared" si="128"/>
        <v/>
      </c>
      <c r="Q739" s="1" t="str">
        <f t="shared" si="129"/>
        <v/>
      </c>
      <c r="R739" s="2" t="str">
        <f t="shared" si="130"/>
        <v/>
      </c>
      <c r="S739" s="1" t="str">
        <f t="shared" si="131"/>
        <v/>
      </c>
    </row>
    <row r="740" spans="1:19" x14ac:dyDescent="0.2">
      <c r="A740" t="str">
        <f>IF(COUNTBLANK(B740:S740)&lt;&gt;COLUMNS(B740:S740),739,"")</f>
        <v/>
      </c>
      <c r="C740" s="2" t="str">
        <f t="shared" si="121"/>
        <v/>
      </c>
      <c r="D740" s="1" t="str">
        <f t="shared" si="122"/>
        <v/>
      </c>
      <c r="E740" s="1" t="str">
        <f t="shared" si="123"/>
        <v/>
      </c>
      <c r="I740" s="1" t="str">
        <f t="shared" si="124"/>
        <v/>
      </c>
      <c r="J740" s="2" t="str">
        <f t="shared" si="125"/>
        <v/>
      </c>
      <c r="K740" s="1" t="str">
        <f t="shared" si="126"/>
        <v/>
      </c>
      <c r="O740" s="1" t="str">
        <f t="shared" si="127"/>
        <v/>
      </c>
      <c r="P740" s="2" t="str">
        <f t="shared" si="128"/>
        <v/>
      </c>
      <c r="Q740" s="1" t="str">
        <f t="shared" si="129"/>
        <v/>
      </c>
      <c r="R740" s="2" t="str">
        <f t="shared" si="130"/>
        <v/>
      </c>
      <c r="S740" s="1" t="str">
        <f t="shared" si="131"/>
        <v/>
      </c>
    </row>
    <row r="741" spans="1:19" x14ac:dyDescent="0.2">
      <c r="A741" t="str">
        <f>IF(COUNTBLANK(B741:S741)&lt;&gt;COLUMNS(B741:S741),740,"")</f>
        <v/>
      </c>
      <c r="C741" s="2" t="str">
        <f t="shared" si="121"/>
        <v/>
      </c>
      <c r="D741" s="1" t="str">
        <f t="shared" si="122"/>
        <v/>
      </c>
      <c r="E741" s="1" t="str">
        <f t="shared" si="123"/>
        <v/>
      </c>
      <c r="I741" s="1" t="str">
        <f t="shared" si="124"/>
        <v/>
      </c>
      <c r="J741" s="2" t="str">
        <f t="shared" si="125"/>
        <v/>
      </c>
      <c r="K741" s="1" t="str">
        <f t="shared" si="126"/>
        <v/>
      </c>
      <c r="O741" s="1" t="str">
        <f t="shared" si="127"/>
        <v/>
      </c>
      <c r="P741" s="2" t="str">
        <f t="shared" si="128"/>
        <v/>
      </c>
      <c r="Q741" s="1" t="str">
        <f t="shared" si="129"/>
        <v/>
      </c>
      <c r="R741" s="2" t="str">
        <f t="shared" si="130"/>
        <v/>
      </c>
      <c r="S741" s="1" t="str">
        <f t="shared" si="131"/>
        <v/>
      </c>
    </row>
    <row r="742" spans="1:19" x14ac:dyDescent="0.2">
      <c r="A742" t="str">
        <f>IF(COUNTBLANK(B742:S742)&lt;&gt;COLUMNS(B742:S742),741,"")</f>
        <v/>
      </c>
      <c r="C742" s="2" t="str">
        <f t="shared" si="121"/>
        <v/>
      </c>
      <c r="D742" s="1" t="str">
        <f t="shared" si="122"/>
        <v/>
      </c>
      <c r="E742" s="1" t="str">
        <f t="shared" si="123"/>
        <v/>
      </c>
      <c r="I742" s="1" t="str">
        <f t="shared" si="124"/>
        <v/>
      </c>
      <c r="J742" s="2" t="str">
        <f t="shared" si="125"/>
        <v/>
      </c>
      <c r="K742" s="1" t="str">
        <f t="shared" si="126"/>
        <v/>
      </c>
      <c r="O742" s="1" t="str">
        <f t="shared" si="127"/>
        <v/>
      </c>
      <c r="P742" s="2" t="str">
        <f t="shared" si="128"/>
        <v/>
      </c>
      <c r="Q742" s="1" t="str">
        <f t="shared" si="129"/>
        <v/>
      </c>
      <c r="R742" s="2" t="str">
        <f t="shared" si="130"/>
        <v/>
      </c>
      <c r="S742" s="1" t="str">
        <f t="shared" si="131"/>
        <v/>
      </c>
    </row>
    <row r="743" spans="1:19" x14ac:dyDescent="0.2">
      <c r="A743" t="str">
        <f>IF(COUNTBLANK(B743:S743)&lt;&gt;COLUMNS(B743:S743),742,"")</f>
        <v/>
      </c>
      <c r="C743" s="2" t="str">
        <f t="shared" si="121"/>
        <v/>
      </c>
      <c r="D743" s="1" t="str">
        <f t="shared" si="122"/>
        <v/>
      </c>
      <c r="E743" s="1" t="str">
        <f t="shared" si="123"/>
        <v/>
      </c>
      <c r="I743" s="1" t="str">
        <f t="shared" si="124"/>
        <v/>
      </c>
      <c r="J743" s="2" t="str">
        <f t="shared" si="125"/>
        <v/>
      </c>
      <c r="K743" s="1" t="str">
        <f t="shared" si="126"/>
        <v/>
      </c>
      <c r="O743" s="1" t="str">
        <f t="shared" si="127"/>
        <v/>
      </c>
      <c r="P743" s="2" t="str">
        <f t="shared" si="128"/>
        <v/>
      </c>
      <c r="Q743" s="1" t="str">
        <f t="shared" si="129"/>
        <v/>
      </c>
      <c r="R743" s="2" t="str">
        <f t="shared" si="130"/>
        <v/>
      </c>
      <c r="S743" s="1" t="str">
        <f t="shared" si="131"/>
        <v/>
      </c>
    </row>
    <row r="744" spans="1:19" x14ac:dyDescent="0.2">
      <c r="A744" t="str">
        <f>IF(COUNTBLANK(B744:S744)&lt;&gt;COLUMNS(B744:S744),743,"")</f>
        <v/>
      </c>
      <c r="C744" s="2" t="str">
        <f t="shared" si="121"/>
        <v/>
      </c>
      <c r="D744" s="1" t="str">
        <f t="shared" si="122"/>
        <v/>
      </c>
      <c r="E744" s="1" t="str">
        <f t="shared" si="123"/>
        <v/>
      </c>
      <c r="I744" s="1" t="str">
        <f t="shared" si="124"/>
        <v/>
      </c>
      <c r="J744" s="2" t="str">
        <f t="shared" si="125"/>
        <v/>
      </c>
      <c r="K744" s="1" t="str">
        <f t="shared" si="126"/>
        <v/>
      </c>
      <c r="O744" s="1" t="str">
        <f t="shared" si="127"/>
        <v/>
      </c>
      <c r="P744" s="2" t="str">
        <f t="shared" si="128"/>
        <v/>
      </c>
      <c r="Q744" s="1" t="str">
        <f t="shared" si="129"/>
        <v/>
      </c>
      <c r="R744" s="2" t="str">
        <f t="shared" si="130"/>
        <v/>
      </c>
      <c r="S744" s="1" t="str">
        <f t="shared" si="131"/>
        <v/>
      </c>
    </row>
    <row r="745" spans="1:19" x14ac:dyDescent="0.2">
      <c r="A745" t="str">
        <f>IF(COUNTBLANK(B745:S745)&lt;&gt;COLUMNS(B745:S745),744,"")</f>
        <v/>
      </c>
      <c r="C745" s="2" t="str">
        <f t="shared" si="121"/>
        <v/>
      </c>
      <c r="D745" s="1" t="str">
        <f t="shared" si="122"/>
        <v/>
      </c>
      <c r="E745" s="1" t="str">
        <f t="shared" si="123"/>
        <v/>
      </c>
      <c r="I745" s="1" t="str">
        <f t="shared" si="124"/>
        <v/>
      </c>
      <c r="J745" s="2" t="str">
        <f t="shared" si="125"/>
        <v/>
      </c>
      <c r="K745" s="1" t="str">
        <f t="shared" si="126"/>
        <v/>
      </c>
      <c r="O745" s="1" t="str">
        <f t="shared" si="127"/>
        <v/>
      </c>
      <c r="P745" s="2" t="str">
        <f t="shared" si="128"/>
        <v/>
      </c>
      <c r="Q745" s="1" t="str">
        <f t="shared" si="129"/>
        <v/>
      </c>
      <c r="R745" s="2" t="str">
        <f t="shared" si="130"/>
        <v/>
      </c>
      <c r="S745" s="1" t="str">
        <f t="shared" si="131"/>
        <v/>
      </c>
    </row>
    <row r="746" spans="1:19" x14ac:dyDescent="0.2">
      <c r="A746" t="str">
        <f>IF(COUNTBLANK(B746:S746)&lt;&gt;COLUMNS(B746:S746),745,"")</f>
        <v/>
      </c>
      <c r="C746" s="2" t="str">
        <f t="shared" si="121"/>
        <v/>
      </c>
      <c r="D746" s="1" t="str">
        <f t="shared" si="122"/>
        <v/>
      </c>
      <c r="E746" s="1" t="str">
        <f t="shared" si="123"/>
        <v/>
      </c>
      <c r="I746" s="1" t="str">
        <f t="shared" si="124"/>
        <v/>
      </c>
      <c r="J746" s="2" t="str">
        <f t="shared" si="125"/>
        <v/>
      </c>
      <c r="K746" s="1" t="str">
        <f t="shared" si="126"/>
        <v/>
      </c>
      <c r="O746" s="1" t="str">
        <f t="shared" si="127"/>
        <v/>
      </c>
      <c r="P746" s="2" t="str">
        <f t="shared" si="128"/>
        <v/>
      </c>
      <c r="Q746" s="1" t="str">
        <f t="shared" si="129"/>
        <v/>
      </c>
      <c r="R746" s="2" t="str">
        <f t="shared" si="130"/>
        <v/>
      </c>
      <c r="S746" s="1" t="str">
        <f t="shared" si="131"/>
        <v/>
      </c>
    </row>
    <row r="747" spans="1:19" x14ac:dyDescent="0.2">
      <c r="A747" t="str">
        <f>IF(COUNTBLANK(B747:S747)&lt;&gt;COLUMNS(B747:S747),746,"")</f>
        <v/>
      </c>
      <c r="C747" s="2" t="str">
        <f t="shared" si="121"/>
        <v/>
      </c>
      <c r="D747" s="1" t="str">
        <f t="shared" si="122"/>
        <v/>
      </c>
      <c r="E747" s="1" t="str">
        <f t="shared" si="123"/>
        <v/>
      </c>
      <c r="I747" s="1" t="str">
        <f t="shared" si="124"/>
        <v/>
      </c>
      <c r="J747" s="2" t="str">
        <f t="shared" si="125"/>
        <v/>
      </c>
      <c r="K747" s="1" t="str">
        <f t="shared" si="126"/>
        <v/>
      </c>
      <c r="O747" s="1" t="str">
        <f t="shared" si="127"/>
        <v/>
      </c>
      <c r="P747" s="2" t="str">
        <f t="shared" si="128"/>
        <v/>
      </c>
      <c r="Q747" s="1" t="str">
        <f t="shared" si="129"/>
        <v/>
      </c>
      <c r="R747" s="2" t="str">
        <f t="shared" si="130"/>
        <v/>
      </c>
      <c r="S747" s="1" t="str">
        <f t="shared" si="131"/>
        <v/>
      </c>
    </row>
    <row r="748" spans="1:19" x14ac:dyDescent="0.2">
      <c r="A748" t="str">
        <f>IF(COUNTBLANK(B748:S748)&lt;&gt;COLUMNS(B748:S748),747,"")</f>
        <v/>
      </c>
      <c r="C748" s="2" t="str">
        <f t="shared" si="121"/>
        <v/>
      </c>
      <c r="D748" s="1" t="str">
        <f t="shared" si="122"/>
        <v/>
      </c>
      <c r="E748" s="1" t="str">
        <f t="shared" si="123"/>
        <v/>
      </c>
      <c r="I748" s="1" t="str">
        <f t="shared" si="124"/>
        <v/>
      </c>
      <c r="J748" s="2" t="str">
        <f t="shared" si="125"/>
        <v/>
      </c>
      <c r="K748" s="1" t="str">
        <f t="shared" si="126"/>
        <v/>
      </c>
      <c r="O748" s="1" t="str">
        <f t="shared" si="127"/>
        <v/>
      </c>
      <c r="P748" s="2" t="str">
        <f t="shared" si="128"/>
        <v/>
      </c>
      <c r="Q748" s="1" t="str">
        <f t="shared" si="129"/>
        <v/>
      </c>
      <c r="R748" s="2" t="str">
        <f t="shared" si="130"/>
        <v/>
      </c>
      <c r="S748" s="1" t="str">
        <f t="shared" si="131"/>
        <v/>
      </c>
    </row>
    <row r="749" spans="1:19" x14ac:dyDescent="0.2">
      <c r="A749" t="str">
        <f>IF(COUNTBLANK(B749:S749)&lt;&gt;COLUMNS(B749:S749),748,"")</f>
        <v/>
      </c>
      <c r="C749" s="2" t="str">
        <f t="shared" si="121"/>
        <v/>
      </c>
      <c r="D749" s="1" t="str">
        <f t="shared" si="122"/>
        <v/>
      </c>
      <c r="E749" s="1" t="str">
        <f t="shared" si="123"/>
        <v/>
      </c>
      <c r="I749" s="1" t="str">
        <f t="shared" si="124"/>
        <v/>
      </c>
      <c r="J749" s="2" t="str">
        <f t="shared" si="125"/>
        <v/>
      </c>
      <c r="K749" s="1" t="str">
        <f t="shared" si="126"/>
        <v/>
      </c>
      <c r="O749" s="1" t="str">
        <f t="shared" si="127"/>
        <v/>
      </c>
      <c r="P749" s="2" t="str">
        <f t="shared" si="128"/>
        <v/>
      </c>
      <c r="Q749" s="1" t="str">
        <f t="shared" si="129"/>
        <v/>
      </c>
      <c r="R749" s="2" t="str">
        <f t="shared" si="130"/>
        <v/>
      </c>
      <c r="S749" s="1" t="str">
        <f t="shared" si="131"/>
        <v/>
      </c>
    </row>
    <row r="750" spans="1:19" x14ac:dyDescent="0.2">
      <c r="A750" t="str">
        <f>IF(COUNTBLANK(B750:S750)&lt;&gt;COLUMNS(B750:S750),749,"")</f>
        <v/>
      </c>
      <c r="C750" s="2" t="str">
        <f t="shared" si="121"/>
        <v/>
      </c>
      <c r="D750" s="1" t="str">
        <f t="shared" si="122"/>
        <v/>
      </c>
      <c r="E750" s="1" t="str">
        <f t="shared" si="123"/>
        <v/>
      </c>
      <c r="I750" s="1" t="str">
        <f t="shared" si="124"/>
        <v/>
      </c>
      <c r="J750" s="2" t="str">
        <f t="shared" si="125"/>
        <v/>
      </c>
      <c r="K750" s="1" t="str">
        <f t="shared" si="126"/>
        <v/>
      </c>
      <c r="O750" s="1" t="str">
        <f t="shared" si="127"/>
        <v/>
      </c>
      <c r="P750" s="2" t="str">
        <f t="shared" si="128"/>
        <v/>
      </c>
      <c r="Q750" s="1" t="str">
        <f t="shared" si="129"/>
        <v/>
      </c>
      <c r="R750" s="2" t="str">
        <f t="shared" si="130"/>
        <v/>
      </c>
      <c r="S750" s="1" t="str">
        <f t="shared" si="131"/>
        <v/>
      </c>
    </row>
    <row r="751" spans="1:19" x14ac:dyDescent="0.2">
      <c r="A751" t="str">
        <f>IF(COUNTBLANK(B751:S751)&lt;&gt;COLUMNS(B751:S751),750,"")</f>
        <v/>
      </c>
      <c r="C751" s="2" t="str">
        <f t="shared" si="121"/>
        <v/>
      </c>
      <c r="D751" s="1" t="str">
        <f t="shared" si="122"/>
        <v/>
      </c>
      <c r="E751" s="1" t="str">
        <f t="shared" si="123"/>
        <v/>
      </c>
      <c r="I751" s="1" t="str">
        <f t="shared" si="124"/>
        <v/>
      </c>
      <c r="J751" s="2" t="str">
        <f t="shared" si="125"/>
        <v/>
      </c>
      <c r="K751" s="1" t="str">
        <f t="shared" si="126"/>
        <v/>
      </c>
      <c r="O751" s="1" t="str">
        <f t="shared" si="127"/>
        <v/>
      </c>
      <c r="P751" s="2" t="str">
        <f t="shared" si="128"/>
        <v/>
      </c>
      <c r="Q751" s="1" t="str">
        <f t="shared" si="129"/>
        <v/>
      </c>
      <c r="R751" s="2" t="str">
        <f t="shared" si="130"/>
        <v/>
      </c>
      <c r="S751" s="1" t="str">
        <f t="shared" si="131"/>
        <v/>
      </c>
    </row>
    <row r="752" spans="1:19" x14ac:dyDescent="0.2">
      <c r="A752" t="str">
        <f>IF(COUNTBLANK(B752:S752)&lt;&gt;COLUMNS(B752:S752),751,"")</f>
        <v/>
      </c>
      <c r="C752" s="2" t="str">
        <f t="shared" si="121"/>
        <v/>
      </c>
      <c r="D752" s="1" t="str">
        <f t="shared" si="122"/>
        <v/>
      </c>
      <c r="E752" s="1" t="str">
        <f t="shared" si="123"/>
        <v/>
      </c>
      <c r="I752" s="1" t="str">
        <f t="shared" si="124"/>
        <v/>
      </c>
      <c r="J752" s="2" t="str">
        <f t="shared" si="125"/>
        <v/>
      </c>
      <c r="K752" s="1" t="str">
        <f t="shared" si="126"/>
        <v/>
      </c>
      <c r="O752" s="1" t="str">
        <f t="shared" si="127"/>
        <v/>
      </c>
      <c r="P752" s="2" t="str">
        <f t="shared" si="128"/>
        <v/>
      </c>
      <c r="Q752" s="1" t="str">
        <f t="shared" si="129"/>
        <v/>
      </c>
      <c r="R752" s="2" t="str">
        <f t="shared" si="130"/>
        <v/>
      </c>
      <c r="S752" s="1" t="str">
        <f t="shared" si="131"/>
        <v/>
      </c>
    </row>
    <row r="753" spans="1:19" x14ac:dyDescent="0.2">
      <c r="A753" t="str">
        <f>IF(COUNTBLANK(B753:S753)&lt;&gt;COLUMNS(B753:S753),752,"")</f>
        <v/>
      </c>
      <c r="C753" s="2" t="str">
        <f t="shared" si="121"/>
        <v/>
      </c>
      <c r="D753" s="1" t="str">
        <f t="shared" si="122"/>
        <v/>
      </c>
      <c r="E753" s="1" t="str">
        <f t="shared" si="123"/>
        <v/>
      </c>
      <c r="I753" s="1" t="str">
        <f t="shared" si="124"/>
        <v/>
      </c>
      <c r="J753" s="2" t="str">
        <f t="shared" si="125"/>
        <v/>
      </c>
      <c r="K753" s="1" t="str">
        <f t="shared" si="126"/>
        <v/>
      </c>
      <c r="O753" s="1" t="str">
        <f t="shared" si="127"/>
        <v/>
      </c>
      <c r="P753" s="2" t="str">
        <f t="shared" si="128"/>
        <v/>
      </c>
      <c r="Q753" s="1" t="str">
        <f t="shared" si="129"/>
        <v/>
      </c>
      <c r="R753" s="2" t="str">
        <f t="shared" si="130"/>
        <v/>
      </c>
      <c r="S753" s="1" t="str">
        <f t="shared" si="131"/>
        <v/>
      </c>
    </row>
    <row r="754" spans="1:19" x14ac:dyDescent="0.2">
      <c r="A754" t="str">
        <f>IF(COUNTBLANK(B754:S754)&lt;&gt;COLUMNS(B754:S754),753,"")</f>
        <v/>
      </c>
      <c r="C754" s="2" t="str">
        <f t="shared" si="121"/>
        <v/>
      </c>
      <c r="D754" s="1" t="str">
        <f t="shared" si="122"/>
        <v/>
      </c>
      <c r="E754" s="1" t="str">
        <f t="shared" si="123"/>
        <v/>
      </c>
      <c r="I754" s="1" t="str">
        <f t="shared" si="124"/>
        <v/>
      </c>
      <c r="J754" s="2" t="str">
        <f t="shared" si="125"/>
        <v/>
      </c>
      <c r="K754" s="1" t="str">
        <f t="shared" si="126"/>
        <v/>
      </c>
      <c r="O754" s="1" t="str">
        <f t="shared" si="127"/>
        <v/>
      </c>
      <c r="P754" s="2" t="str">
        <f t="shared" si="128"/>
        <v/>
      </c>
      <c r="Q754" s="1" t="str">
        <f t="shared" si="129"/>
        <v/>
      </c>
      <c r="R754" s="2" t="str">
        <f t="shared" si="130"/>
        <v/>
      </c>
      <c r="S754" s="1" t="str">
        <f t="shared" si="131"/>
        <v/>
      </c>
    </row>
    <row r="755" spans="1:19" x14ac:dyDescent="0.2">
      <c r="A755" t="str">
        <f>IF(COUNTBLANK(B755:S755)&lt;&gt;COLUMNS(B755:S755),754,"")</f>
        <v/>
      </c>
      <c r="C755" s="2" t="str">
        <f t="shared" si="121"/>
        <v/>
      </c>
      <c r="D755" s="1" t="str">
        <f t="shared" si="122"/>
        <v/>
      </c>
      <c r="E755" s="1" t="str">
        <f t="shared" si="123"/>
        <v/>
      </c>
      <c r="I755" s="1" t="str">
        <f t="shared" si="124"/>
        <v/>
      </c>
      <c r="J755" s="2" t="str">
        <f t="shared" si="125"/>
        <v/>
      </c>
      <c r="K755" s="1" t="str">
        <f t="shared" si="126"/>
        <v/>
      </c>
      <c r="O755" s="1" t="str">
        <f t="shared" si="127"/>
        <v/>
      </c>
      <c r="P755" s="2" t="str">
        <f t="shared" si="128"/>
        <v/>
      </c>
      <c r="Q755" s="1" t="str">
        <f t="shared" si="129"/>
        <v/>
      </c>
      <c r="R755" s="2" t="str">
        <f t="shared" si="130"/>
        <v/>
      </c>
      <c r="S755" s="1" t="str">
        <f t="shared" si="131"/>
        <v/>
      </c>
    </row>
    <row r="756" spans="1:19" x14ac:dyDescent="0.2">
      <c r="A756" t="str">
        <f>IF(COUNTBLANK(B756:S756)&lt;&gt;COLUMNS(B756:S756),755,"")</f>
        <v/>
      </c>
      <c r="C756" s="2" t="str">
        <f t="shared" si="121"/>
        <v/>
      </c>
      <c r="D756" s="1" t="str">
        <f t="shared" si="122"/>
        <v/>
      </c>
      <c r="E756" s="1" t="str">
        <f t="shared" si="123"/>
        <v/>
      </c>
      <c r="I756" s="1" t="str">
        <f t="shared" si="124"/>
        <v/>
      </c>
      <c r="J756" s="2" t="str">
        <f t="shared" si="125"/>
        <v/>
      </c>
      <c r="K756" s="1" t="str">
        <f t="shared" si="126"/>
        <v/>
      </c>
      <c r="O756" s="1" t="str">
        <f t="shared" si="127"/>
        <v/>
      </c>
      <c r="P756" s="2" t="str">
        <f t="shared" si="128"/>
        <v/>
      </c>
      <c r="Q756" s="1" t="str">
        <f t="shared" si="129"/>
        <v/>
      </c>
      <c r="R756" s="2" t="str">
        <f t="shared" si="130"/>
        <v/>
      </c>
      <c r="S756" s="1" t="str">
        <f t="shared" si="131"/>
        <v/>
      </c>
    </row>
    <row r="757" spans="1:19" x14ac:dyDescent="0.2">
      <c r="A757" t="str">
        <f>IF(COUNTBLANK(B757:S757)&lt;&gt;COLUMNS(B757:S757),756,"")</f>
        <v/>
      </c>
      <c r="C757" s="2" t="str">
        <f t="shared" si="121"/>
        <v/>
      </c>
      <c r="D757" s="1" t="str">
        <f t="shared" si="122"/>
        <v/>
      </c>
      <c r="E757" s="1" t="str">
        <f t="shared" si="123"/>
        <v/>
      </c>
      <c r="I757" s="1" t="str">
        <f t="shared" si="124"/>
        <v/>
      </c>
      <c r="J757" s="2" t="str">
        <f t="shared" si="125"/>
        <v/>
      </c>
      <c r="K757" s="1" t="str">
        <f t="shared" si="126"/>
        <v/>
      </c>
      <c r="O757" s="1" t="str">
        <f t="shared" si="127"/>
        <v/>
      </c>
      <c r="P757" s="2" t="str">
        <f t="shared" si="128"/>
        <v/>
      </c>
      <c r="Q757" s="1" t="str">
        <f t="shared" si="129"/>
        <v/>
      </c>
      <c r="R757" s="2" t="str">
        <f t="shared" si="130"/>
        <v/>
      </c>
      <c r="S757" s="1" t="str">
        <f t="shared" si="131"/>
        <v/>
      </c>
    </row>
    <row r="758" spans="1:19" x14ac:dyDescent="0.2">
      <c r="A758" t="str">
        <f>IF(COUNTBLANK(B758:S758)&lt;&gt;COLUMNS(B758:S758),757,"")</f>
        <v/>
      </c>
      <c r="C758" s="2" t="str">
        <f t="shared" si="121"/>
        <v/>
      </c>
      <c r="D758" s="1" t="str">
        <f t="shared" si="122"/>
        <v/>
      </c>
      <c r="E758" s="1" t="str">
        <f t="shared" si="123"/>
        <v/>
      </c>
      <c r="I758" s="1" t="str">
        <f t="shared" si="124"/>
        <v/>
      </c>
      <c r="J758" s="2" t="str">
        <f t="shared" si="125"/>
        <v/>
      </c>
      <c r="K758" s="1" t="str">
        <f t="shared" si="126"/>
        <v/>
      </c>
      <c r="O758" s="1" t="str">
        <f t="shared" si="127"/>
        <v/>
      </c>
      <c r="P758" s="2" t="str">
        <f t="shared" si="128"/>
        <v/>
      </c>
      <c r="Q758" s="1" t="str">
        <f t="shared" si="129"/>
        <v/>
      </c>
      <c r="R758" s="2" t="str">
        <f t="shared" si="130"/>
        <v/>
      </c>
      <c r="S758" s="1" t="str">
        <f t="shared" si="131"/>
        <v/>
      </c>
    </row>
    <row r="759" spans="1:19" x14ac:dyDescent="0.2">
      <c r="A759" t="str">
        <f>IF(COUNTBLANK(B759:S759)&lt;&gt;COLUMNS(B759:S759),758,"")</f>
        <v/>
      </c>
      <c r="C759" s="2" t="str">
        <f t="shared" si="121"/>
        <v/>
      </c>
      <c r="D759" s="1" t="str">
        <f t="shared" si="122"/>
        <v/>
      </c>
      <c r="E759" s="1" t="str">
        <f t="shared" si="123"/>
        <v/>
      </c>
      <c r="I759" s="1" t="str">
        <f t="shared" si="124"/>
        <v/>
      </c>
      <c r="J759" s="2" t="str">
        <f t="shared" si="125"/>
        <v/>
      </c>
      <c r="K759" s="1" t="str">
        <f t="shared" si="126"/>
        <v/>
      </c>
      <c r="O759" s="1" t="str">
        <f t="shared" si="127"/>
        <v/>
      </c>
      <c r="P759" s="2" t="str">
        <f t="shared" si="128"/>
        <v/>
      </c>
      <c r="Q759" s="1" t="str">
        <f t="shared" si="129"/>
        <v/>
      </c>
      <c r="R759" s="2" t="str">
        <f t="shared" si="130"/>
        <v/>
      </c>
      <c r="S759" s="1" t="str">
        <f t="shared" si="131"/>
        <v/>
      </c>
    </row>
    <row r="760" spans="1:19" x14ac:dyDescent="0.2">
      <c r="A760" t="str">
        <f>IF(COUNTBLANK(B760:S760)&lt;&gt;COLUMNS(B760:S760),759,"")</f>
        <v/>
      </c>
      <c r="C760" s="2" t="str">
        <f t="shared" si="121"/>
        <v/>
      </c>
      <c r="D760" s="1" t="str">
        <f t="shared" si="122"/>
        <v/>
      </c>
      <c r="E760" s="1" t="str">
        <f t="shared" si="123"/>
        <v/>
      </c>
      <c r="I760" s="1" t="str">
        <f t="shared" si="124"/>
        <v/>
      </c>
      <c r="J760" s="2" t="str">
        <f t="shared" si="125"/>
        <v/>
      </c>
      <c r="K760" s="1" t="str">
        <f t="shared" si="126"/>
        <v/>
      </c>
      <c r="O760" s="1" t="str">
        <f t="shared" si="127"/>
        <v/>
      </c>
      <c r="P760" s="2" t="str">
        <f t="shared" si="128"/>
        <v/>
      </c>
      <c r="Q760" s="1" t="str">
        <f t="shared" si="129"/>
        <v/>
      </c>
      <c r="R760" s="2" t="str">
        <f t="shared" si="130"/>
        <v/>
      </c>
      <c r="S760" s="1" t="str">
        <f t="shared" si="131"/>
        <v/>
      </c>
    </row>
    <row r="761" spans="1:19" x14ac:dyDescent="0.2">
      <c r="A761" t="str">
        <f>IF(COUNTBLANK(B761:S761)&lt;&gt;COLUMNS(B761:S761),760,"")</f>
        <v/>
      </c>
      <c r="C761" s="2" t="str">
        <f t="shared" si="121"/>
        <v/>
      </c>
      <c r="D761" s="1" t="str">
        <f t="shared" si="122"/>
        <v/>
      </c>
      <c r="E761" s="1" t="str">
        <f t="shared" si="123"/>
        <v/>
      </c>
      <c r="I761" s="1" t="str">
        <f t="shared" si="124"/>
        <v/>
      </c>
      <c r="J761" s="2" t="str">
        <f t="shared" si="125"/>
        <v/>
      </c>
      <c r="K761" s="1" t="str">
        <f t="shared" si="126"/>
        <v/>
      </c>
      <c r="O761" s="1" t="str">
        <f t="shared" si="127"/>
        <v/>
      </c>
      <c r="P761" s="2" t="str">
        <f t="shared" si="128"/>
        <v/>
      </c>
      <c r="Q761" s="1" t="str">
        <f t="shared" si="129"/>
        <v/>
      </c>
      <c r="R761" s="2" t="str">
        <f t="shared" si="130"/>
        <v/>
      </c>
      <c r="S761" s="1" t="str">
        <f t="shared" si="131"/>
        <v/>
      </c>
    </row>
    <row r="762" spans="1:19" x14ac:dyDescent="0.2">
      <c r="A762" t="str">
        <f>IF(COUNTBLANK(B762:S762)&lt;&gt;COLUMNS(B762:S762),761,"")</f>
        <v/>
      </c>
      <c r="C762" s="2" t="str">
        <f t="shared" si="121"/>
        <v/>
      </c>
      <c r="D762" s="1" t="str">
        <f t="shared" si="122"/>
        <v/>
      </c>
      <c r="E762" s="1" t="str">
        <f t="shared" si="123"/>
        <v/>
      </c>
      <c r="I762" s="1" t="str">
        <f t="shared" si="124"/>
        <v/>
      </c>
      <c r="J762" s="2" t="str">
        <f t="shared" si="125"/>
        <v/>
      </c>
      <c r="K762" s="1" t="str">
        <f t="shared" si="126"/>
        <v/>
      </c>
      <c r="O762" s="1" t="str">
        <f t="shared" si="127"/>
        <v/>
      </c>
      <c r="P762" s="2" t="str">
        <f t="shared" si="128"/>
        <v/>
      </c>
      <c r="Q762" s="1" t="str">
        <f t="shared" si="129"/>
        <v/>
      </c>
      <c r="R762" s="2" t="str">
        <f t="shared" si="130"/>
        <v/>
      </c>
      <c r="S762" s="1" t="str">
        <f t="shared" si="131"/>
        <v/>
      </c>
    </row>
    <row r="763" spans="1:19" x14ac:dyDescent="0.2">
      <c r="A763" t="str">
        <f>IF(COUNTBLANK(B763:S763)&lt;&gt;COLUMNS(B763:S763),762,"")</f>
        <v/>
      </c>
      <c r="C763" s="2" t="str">
        <f t="shared" si="121"/>
        <v/>
      </c>
      <c r="D763" s="1" t="str">
        <f t="shared" si="122"/>
        <v/>
      </c>
      <c r="E763" s="1" t="str">
        <f t="shared" si="123"/>
        <v/>
      </c>
      <c r="I763" s="1" t="str">
        <f t="shared" si="124"/>
        <v/>
      </c>
      <c r="J763" s="2" t="str">
        <f t="shared" si="125"/>
        <v/>
      </c>
      <c r="K763" s="1" t="str">
        <f t="shared" si="126"/>
        <v/>
      </c>
      <c r="O763" s="1" t="str">
        <f t="shared" si="127"/>
        <v/>
      </c>
      <c r="P763" s="2" t="str">
        <f t="shared" si="128"/>
        <v/>
      </c>
      <c r="Q763" s="1" t="str">
        <f t="shared" si="129"/>
        <v/>
      </c>
      <c r="R763" s="2" t="str">
        <f t="shared" si="130"/>
        <v/>
      </c>
      <c r="S763" s="1" t="str">
        <f t="shared" si="131"/>
        <v/>
      </c>
    </row>
    <row r="764" spans="1:19" x14ac:dyDescent="0.2">
      <c r="A764" t="str">
        <f>IF(COUNTBLANK(B764:S764)&lt;&gt;COLUMNS(B764:S764),763,"")</f>
        <v/>
      </c>
      <c r="C764" s="2" t="str">
        <f t="shared" si="121"/>
        <v/>
      </c>
      <c r="D764" s="1" t="str">
        <f t="shared" si="122"/>
        <v/>
      </c>
      <c r="E764" s="1" t="str">
        <f t="shared" si="123"/>
        <v/>
      </c>
      <c r="I764" s="1" t="str">
        <f t="shared" si="124"/>
        <v/>
      </c>
      <c r="J764" s="2" t="str">
        <f t="shared" si="125"/>
        <v/>
      </c>
      <c r="K764" s="1" t="str">
        <f t="shared" si="126"/>
        <v/>
      </c>
      <c r="O764" s="1" t="str">
        <f t="shared" si="127"/>
        <v/>
      </c>
      <c r="P764" s="2" t="str">
        <f t="shared" si="128"/>
        <v/>
      </c>
      <c r="Q764" s="1" t="str">
        <f t="shared" si="129"/>
        <v/>
      </c>
      <c r="R764" s="2" t="str">
        <f t="shared" si="130"/>
        <v/>
      </c>
      <c r="S764" s="1" t="str">
        <f t="shared" si="131"/>
        <v/>
      </c>
    </row>
    <row r="765" spans="1:19" x14ac:dyDescent="0.2">
      <c r="A765" t="str">
        <f>IF(COUNTBLANK(B765:S765)&lt;&gt;COLUMNS(B765:S765),764,"")</f>
        <v/>
      </c>
      <c r="C765" s="2" t="str">
        <f t="shared" si="121"/>
        <v/>
      </c>
      <c r="D765" s="1" t="str">
        <f t="shared" si="122"/>
        <v/>
      </c>
      <c r="E765" s="1" t="str">
        <f t="shared" si="123"/>
        <v/>
      </c>
      <c r="I765" s="1" t="str">
        <f t="shared" si="124"/>
        <v/>
      </c>
      <c r="J765" s="2" t="str">
        <f t="shared" si="125"/>
        <v/>
      </c>
      <c r="K765" s="1" t="str">
        <f t="shared" si="126"/>
        <v/>
      </c>
      <c r="O765" s="1" t="str">
        <f t="shared" si="127"/>
        <v/>
      </c>
      <c r="P765" s="2" t="str">
        <f t="shared" si="128"/>
        <v/>
      </c>
      <c r="Q765" s="1" t="str">
        <f t="shared" si="129"/>
        <v/>
      </c>
      <c r="R765" s="2" t="str">
        <f t="shared" si="130"/>
        <v/>
      </c>
      <c r="S765" s="1" t="str">
        <f t="shared" si="131"/>
        <v/>
      </c>
    </row>
    <row r="766" spans="1:19" x14ac:dyDescent="0.2">
      <c r="A766" t="str">
        <f>IF(COUNTBLANK(B766:S766)&lt;&gt;COLUMNS(B766:S766),765,"")</f>
        <v/>
      </c>
      <c r="C766" s="2" t="str">
        <f t="shared" si="121"/>
        <v/>
      </c>
      <c r="D766" s="1" t="str">
        <f t="shared" si="122"/>
        <v/>
      </c>
      <c r="E766" s="1" t="str">
        <f t="shared" si="123"/>
        <v/>
      </c>
      <c r="I766" s="1" t="str">
        <f t="shared" si="124"/>
        <v/>
      </c>
      <c r="J766" s="2" t="str">
        <f t="shared" si="125"/>
        <v/>
      </c>
      <c r="K766" s="1" t="str">
        <f t="shared" si="126"/>
        <v/>
      </c>
      <c r="O766" s="1" t="str">
        <f t="shared" si="127"/>
        <v/>
      </c>
      <c r="P766" s="2" t="str">
        <f t="shared" si="128"/>
        <v/>
      </c>
      <c r="Q766" s="1" t="str">
        <f t="shared" si="129"/>
        <v/>
      </c>
      <c r="R766" s="2" t="str">
        <f t="shared" si="130"/>
        <v/>
      </c>
      <c r="S766" s="1" t="str">
        <f t="shared" si="131"/>
        <v/>
      </c>
    </row>
    <row r="767" spans="1:19" x14ac:dyDescent="0.2">
      <c r="A767" t="str">
        <f>IF(COUNTBLANK(B767:S767)&lt;&gt;COLUMNS(B767:S767),766,"")</f>
        <v/>
      </c>
      <c r="C767" s="2" t="str">
        <f t="shared" si="121"/>
        <v/>
      </c>
      <c r="D767" s="1" t="str">
        <f t="shared" si="122"/>
        <v/>
      </c>
      <c r="E767" s="1" t="str">
        <f t="shared" si="123"/>
        <v/>
      </c>
      <c r="I767" s="1" t="str">
        <f t="shared" si="124"/>
        <v/>
      </c>
      <c r="J767" s="2" t="str">
        <f t="shared" si="125"/>
        <v/>
      </c>
      <c r="K767" s="1" t="str">
        <f t="shared" si="126"/>
        <v/>
      </c>
      <c r="O767" s="1" t="str">
        <f t="shared" si="127"/>
        <v/>
      </c>
      <c r="P767" s="2" t="str">
        <f t="shared" si="128"/>
        <v/>
      </c>
      <c r="Q767" s="1" t="str">
        <f t="shared" si="129"/>
        <v/>
      </c>
      <c r="R767" s="2" t="str">
        <f t="shared" si="130"/>
        <v/>
      </c>
      <c r="S767" s="1" t="str">
        <f t="shared" si="131"/>
        <v/>
      </c>
    </row>
    <row r="768" spans="1:19" x14ac:dyDescent="0.2">
      <c r="A768" t="str">
        <f>IF(COUNTBLANK(B768:S768)&lt;&gt;COLUMNS(B768:S768),767,"")</f>
        <v/>
      </c>
      <c r="C768" s="2" t="str">
        <f t="shared" si="121"/>
        <v/>
      </c>
      <c r="D768" s="1" t="str">
        <f t="shared" si="122"/>
        <v/>
      </c>
      <c r="E768" s="1" t="str">
        <f t="shared" si="123"/>
        <v/>
      </c>
      <c r="I768" s="1" t="str">
        <f t="shared" si="124"/>
        <v/>
      </c>
      <c r="J768" s="2" t="str">
        <f t="shared" si="125"/>
        <v/>
      </c>
      <c r="K768" s="1" t="str">
        <f t="shared" si="126"/>
        <v/>
      </c>
      <c r="O768" s="1" t="str">
        <f t="shared" si="127"/>
        <v/>
      </c>
      <c r="P768" s="2" t="str">
        <f t="shared" si="128"/>
        <v/>
      </c>
      <c r="Q768" s="1" t="str">
        <f t="shared" si="129"/>
        <v/>
      </c>
      <c r="R768" s="2" t="str">
        <f t="shared" si="130"/>
        <v/>
      </c>
      <c r="S768" s="1" t="str">
        <f t="shared" si="131"/>
        <v/>
      </c>
    </row>
    <row r="769" spans="1:19" x14ac:dyDescent="0.2">
      <c r="A769" t="str">
        <f>IF(COUNTBLANK(B769:S769)&lt;&gt;COLUMNS(B769:S769),768,"")</f>
        <v/>
      </c>
      <c r="C769" s="2" t="str">
        <f t="shared" si="121"/>
        <v/>
      </c>
      <c r="D769" s="1" t="str">
        <f t="shared" si="122"/>
        <v/>
      </c>
      <c r="E769" s="1" t="str">
        <f t="shared" si="123"/>
        <v/>
      </c>
      <c r="I769" s="1" t="str">
        <f t="shared" si="124"/>
        <v/>
      </c>
      <c r="J769" s="2" t="str">
        <f t="shared" si="125"/>
        <v/>
      </c>
      <c r="K769" s="1" t="str">
        <f t="shared" si="126"/>
        <v/>
      </c>
      <c r="O769" s="1" t="str">
        <f t="shared" si="127"/>
        <v/>
      </c>
      <c r="P769" s="2" t="str">
        <f t="shared" si="128"/>
        <v/>
      </c>
      <c r="Q769" s="1" t="str">
        <f t="shared" si="129"/>
        <v/>
      </c>
      <c r="R769" s="2" t="str">
        <f t="shared" si="130"/>
        <v/>
      </c>
      <c r="S769" s="1" t="str">
        <f t="shared" si="131"/>
        <v/>
      </c>
    </row>
    <row r="770" spans="1:19" x14ac:dyDescent="0.2">
      <c r="A770" t="str">
        <f>IF(COUNTBLANK(B770:S770)&lt;&gt;COLUMNS(B770:S770),769,"")</f>
        <v/>
      </c>
      <c r="C770" s="2" t="str">
        <f t="shared" ref="C770:C833" si="132">IF(B770="", "", "missing: not provided")</f>
        <v/>
      </c>
      <c r="D770" s="1" t="str">
        <f t="shared" ref="D770:D833" si="133">IF(B770="", "", " missing: not provided")</f>
        <v/>
      </c>
      <c r="E770" s="1" t="str">
        <f t="shared" ref="E770:E833" si="134">IF(B770="", "", "Host-associated")</f>
        <v/>
      </c>
      <c r="I770" s="1" t="str">
        <f t="shared" ref="I770:I833" si="135">IF(B770="", "", "host-associated")</f>
        <v/>
      </c>
      <c r="J770" s="2" t="str">
        <f t="shared" ref="J770:J833" si="136">IF(B770="", "", "missing: not provided")</f>
        <v/>
      </c>
      <c r="K770" s="1" t="str">
        <f t="shared" ref="K770:K833" si="137">IF(B770="", "", " missing: not provided")</f>
        <v/>
      </c>
      <c r="O770" s="1" t="str">
        <f t="shared" ref="O770:O833" si="138">IF(B770="", "", "Not applicable")</f>
        <v/>
      </c>
      <c r="P770" s="2" t="str">
        <f t="shared" ref="P770:P833" si="139">IF(B770="", "", "missing: not provided")</f>
        <v/>
      </c>
      <c r="Q770" s="1" t="str">
        <f t="shared" ref="Q770:Q833" si="140">IF(B770="", "", "Not applicable")</f>
        <v/>
      </c>
      <c r="R770" s="2" t="str">
        <f t="shared" ref="R770:R833" si="141">IF(B770="", "", "missing: not provided")</f>
        <v/>
      </c>
      <c r="S770" s="1" t="str">
        <f t="shared" ref="S770:S833" si="142">IF(B770="", "", " missing: not provided")</f>
        <v/>
      </c>
    </row>
    <row r="771" spans="1:19" x14ac:dyDescent="0.2">
      <c r="A771" t="str">
        <f>IF(COUNTBLANK(B771:S771)&lt;&gt;COLUMNS(B771:S771),770,"")</f>
        <v/>
      </c>
      <c r="C771" s="2" t="str">
        <f t="shared" si="132"/>
        <v/>
      </c>
      <c r="D771" s="1" t="str">
        <f t="shared" si="133"/>
        <v/>
      </c>
      <c r="E771" s="1" t="str">
        <f t="shared" si="134"/>
        <v/>
      </c>
      <c r="I771" s="1" t="str">
        <f t="shared" si="135"/>
        <v/>
      </c>
      <c r="J771" s="2" t="str">
        <f t="shared" si="136"/>
        <v/>
      </c>
      <c r="K771" s="1" t="str">
        <f t="shared" si="137"/>
        <v/>
      </c>
      <c r="O771" s="1" t="str">
        <f t="shared" si="138"/>
        <v/>
      </c>
      <c r="P771" s="2" t="str">
        <f t="shared" si="139"/>
        <v/>
      </c>
      <c r="Q771" s="1" t="str">
        <f t="shared" si="140"/>
        <v/>
      </c>
      <c r="R771" s="2" t="str">
        <f t="shared" si="141"/>
        <v/>
      </c>
      <c r="S771" s="1" t="str">
        <f t="shared" si="142"/>
        <v/>
      </c>
    </row>
    <row r="772" spans="1:19" x14ac:dyDescent="0.2">
      <c r="A772" t="str">
        <f>IF(COUNTBLANK(B772:S772)&lt;&gt;COLUMNS(B772:S772),771,"")</f>
        <v/>
      </c>
      <c r="C772" s="2" t="str">
        <f t="shared" si="132"/>
        <v/>
      </c>
      <c r="D772" s="1" t="str">
        <f t="shared" si="133"/>
        <v/>
      </c>
      <c r="E772" s="1" t="str">
        <f t="shared" si="134"/>
        <v/>
      </c>
      <c r="I772" s="1" t="str">
        <f t="shared" si="135"/>
        <v/>
      </c>
      <c r="J772" s="2" t="str">
        <f t="shared" si="136"/>
        <v/>
      </c>
      <c r="K772" s="1" t="str">
        <f t="shared" si="137"/>
        <v/>
      </c>
      <c r="O772" s="1" t="str">
        <f t="shared" si="138"/>
        <v/>
      </c>
      <c r="P772" s="2" t="str">
        <f t="shared" si="139"/>
        <v/>
      </c>
      <c r="Q772" s="1" t="str">
        <f t="shared" si="140"/>
        <v/>
      </c>
      <c r="R772" s="2" t="str">
        <f t="shared" si="141"/>
        <v/>
      </c>
      <c r="S772" s="1" t="str">
        <f t="shared" si="142"/>
        <v/>
      </c>
    </row>
    <row r="773" spans="1:19" x14ac:dyDescent="0.2">
      <c r="A773" t="str">
        <f>IF(COUNTBLANK(B773:S773)&lt;&gt;COLUMNS(B773:S773),772,"")</f>
        <v/>
      </c>
      <c r="C773" s="2" t="str">
        <f t="shared" si="132"/>
        <v/>
      </c>
      <c r="D773" s="1" t="str">
        <f t="shared" si="133"/>
        <v/>
      </c>
      <c r="E773" s="1" t="str">
        <f t="shared" si="134"/>
        <v/>
      </c>
      <c r="I773" s="1" t="str">
        <f t="shared" si="135"/>
        <v/>
      </c>
      <c r="J773" s="2" t="str">
        <f t="shared" si="136"/>
        <v/>
      </c>
      <c r="K773" s="1" t="str">
        <f t="shared" si="137"/>
        <v/>
      </c>
      <c r="O773" s="1" t="str">
        <f t="shared" si="138"/>
        <v/>
      </c>
      <c r="P773" s="2" t="str">
        <f t="shared" si="139"/>
        <v/>
      </c>
      <c r="Q773" s="1" t="str">
        <f t="shared" si="140"/>
        <v/>
      </c>
      <c r="R773" s="2" t="str">
        <f t="shared" si="141"/>
        <v/>
      </c>
      <c r="S773" s="1" t="str">
        <f t="shared" si="142"/>
        <v/>
      </c>
    </row>
    <row r="774" spans="1:19" x14ac:dyDescent="0.2">
      <c r="A774" t="str">
        <f>IF(COUNTBLANK(B774:S774)&lt;&gt;COLUMNS(B774:S774),773,"")</f>
        <v/>
      </c>
      <c r="C774" s="2" t="str">
        <f t="shared" si="132"/>
        <v/>
      </c>
      <c r="D774" s="1" t="str">
        <f t="shared" si="133"/>
        <v/>
      </c>
      <c r="E774" s="1" t="str">
        <f t="shared" si="134"/>
        <v/>
      </c>
      <c r="I774" s="1" t="str">
        <f t="shared" si="135"/>
        <v/>
      </c>
      <c r="J774" s="2" t="str">
        <f t="shared" si="136"/>
        <v/>
      </c>
      <c r="K774" s="1" t="str">
        <f t="shared" si="137"/>
        <v/>
      </c>
      <c r="O774" s="1" t="str">
        <f t="shared" si="138"/>
        <v/>
      </c>
      <c r="P774" s="2" t="str">
        <f t="shared" si="139"/>
        <v/>
      </c>
      <c r="Q774" s="1" t="str">
        <f t="shared" si="140"/>
        <v/>
      </c>
      <c r="R774" s="2" t="str">
        <f t="shared" si="141"/>
        <v/>
      </c>
      <c r="S774" s="1" t="str">
        <f t="shared" si="142"/>
        <v/>
      </c>
    </row>
    <row r="775" spans="1:19" x14ac:dyDescent="0.2">
      <c r="A775" t="str">
        <f>IF(COUNTBLANK(B775:S775)&lt;&gt;COLUMNS(B775:S775),774,"")</f>
        <v/>
      </c>
      <c r="C775" s="2" t="str">
        <f t="shared" si="132"/>
        <v/>
      </c>
      <c r="D775" s="1" t="str">
        <f t="shared" si="133"/>
        <v/>
      </c>
      <c r="E775" s="1" t="str">
        <f t="shared" si="134"/>
        <v/>
      </c>
      <c r="I775" s="1" t="str">
        <f t="shared" si="135"/>
        <v/>
      </c>
      <c r="J775" s="2" t="str">
        <f t="shared" si="136"/>
        <v/>
      </c>
      <c r="K775" s="1" t="str">
        <f t="shared" si="137"/>
        <v/>
      </c>
      <c r="O775" s="1" t="str">
        <f t="shared" si="138"/>
        <v/>
      </c>
      <c r="P775" s="2" t="str">
        <f t="shared" si="139"/>
        <v/>
      </c>
      <c r="Q775" s="1" t="str">
        <f t="shared" si="140"/>
        <v/>
      </c>
      <c r="R775" s="2" t="str">
        <f t="shared" si="141"/>
        <v/>
      </c>
      <c r="S775" s="1" t="str">
        <f t="shared" si="142"/>
        <v/>
      </c>
    </row>
    <row r="776" spans="1:19" x14ac:dyDescent="0.2">
      <c r="A776" t="str">
        <f>IF(COUNTBLANK(B776:S776)&lt;&gt;COLUMNS(B776:S776),775,"")</f>
        <v/>
      </c>
      <c r="C776" s="2" t="str">
        <f t="shared" si="132"/>
        <v/>
      </c>
      <c r="D776" s="1" t="str">
        <f t="shared" si="133"/>
        <v/>
      </c>
      <c r="E776" s="1" t="str">
        <f t="shared" si="134"/>
        <v/>
      </c>
      <c r="I776" s="1" t="str">
        <f t="shared" si="135"/>
        <v/>
      </c>
      <c r="J776" s="2" t="str">
        <f t="shared" si="136"/>
        <v/>
      </c>
      <c r="K776" s="1" t="str">
        <f t="shared" si="137"/>
        <v/>
      </c>
      <c r="O776" s="1" t="str">
        <f t="shared" si="138"/>
        <v/>
      </c>
      <c r="P776" s="2" t="str">
        <f t="shared" si="139"/>
        <v/>
      </c>
      <c r="Q776" s="1" t="str">
        <f t="shared" si="140"/>
        <v/>
      </c>
      <c r="R776" s="2" t="str">
        <f t="shared" si="141"/>
        <v/>
      </c>
      <c r="S776" s="1" t="str">
        <f t="shared" si="142"/>
        <v/>
      </c>
    </row>
    <row r="777" spans="1:19" x14ac:dyDescent="0.2">
      <c r="A777" t="str">
        <f>IF(COUNTBLANK(B777:S777)&lt;&gt;COLUMNS(B777:S777),776,"")</f>
        <v/>
      </c>
      <c r="C777" s="2" t="str">
        <f t="shared" si="132"/>
        <v/>
      </c>
      <c r="D777" s="1" t="str">
        <f t="shared" si="133"/>
        <v/>
      </c>
      <c r="E777" s="1" t="str">
        <f t="shared" si="134"/>
        <v/>
      </c>
      <c r="I777" s="1" t="str">
        <f t="shared" si="135"/>
        <v/>
      </c>
      <c r="J777" s="2" t="str">
        <f t="shared" si="136"/>
        <v/>
      </c>
      <c r="K777" s="1" t="str">
        <f t="shared" si="137"/>
        <v/>
      </c>
      <c r="O777" s="1" t="str">
        <f t="shared" si="138"/>
        <v/>
      </c>
      <c r="P777" s="2" t="str">
        <f t="shared" si="139"/>
        <v/>
      </c>
      <c r="Q777" s="1" t="str">
        <f t="shared" si="140"/>
        <v/>
      </c>
      <c r="R777" s="2" t="str">
        <f t="shared" si="141"/>
        <v/>
      </c>
      <c r="S777" s="1" t="str">
        <f t="shared" si="142"/>
        <v/>
      </c>
    </row>
    <row r="778" spans="1:19" x14ac:dyDescent="0.2">
      <c r="A778" t="str">
        <f>IF(COUNTBLANK(B778:S778)&lt;&gt;COLUMNS(B778:S778),777,"")</f>
        <v/>
      </c>
      <c r="C778" s="2" t="str">
        <f t="shared" si="132"/>
        <v/>
      </c>
      <c r="D778" s="1" t="str">
        <f t="shared" si="133"/>
        <v/>
      </c>
      <c r="E778" s="1" t="str">
        <f t="shared" si="134"/>
        <v/>
      </c>
      <c r="I778" s="1" t="str">
        <f t="shared" si="135"/>
        <v/>
      </c>
      <c r="J778" s="2" t="str">
        <f t="shared" si="136"/>
        <v/>
      </c>
      <c r="K778" s="1" t="str">
        <f t="shared" si="137"/>
        <v/>
      </c>
      <c r="O778" s="1" t="str">
        <f t="shared" si="138"/>
        <v/>
      </c>
      <c r="P778" s="2" t="str">
        <f t="shared" si="139"/>
        <v/>
      </c>
      <c r="Q778" s="1" t="str">
        <f t="shared" si="140"/>
        <v/>
      </c>
      <c r="R778" s="2" t="str">
        <f t="shared" si="141"/>
        <v/>
      </c>
      <c r="S778" s="1" t="str">
        <f t="shared" si="142"/>
        <v/>
      </c>
    </row>
    <row r="779" spans="1:19" x14ac:dyDescent="0.2">
      <c r="A779" t="str">
        <f>IF(COUNTBLANK(B779:S779)&lt;&gt;COLUMNS(B779:S779),778,"")</f>
        <v/>
      </c>
      <c r="C779" s="2" t="str">
        <f t="shared" si="132"/>
        <v/>
      </c>
      <c r="D779" s="1" t="str">
        <f t="shared" si="133"/>
        <v/>
      </c>
      <c r="E779" s="1" t="str">
        <f t="shared" si="134"/>
        <v/>
      </c>
      <c r="I779" s="1" t="str">
        <f t="shared" si="135"/>
        <v/>
      </c>
      <c r="J779" s="2" t="str">
        <f t="shared" si="136"/>
        <v/>
      </c>
      <c r="K779" s="1" t="str">
        <f t="shared" si="137"/>
        <v/>
      </c>
      <c r="O779" s="1" t="str">
        <f t="shared" si="138"/>
        <v/>
      </c>
      <c r="P779" s="2" t="str">
        <f t="shared" si="139"/>
        <v/>
      </c>
      <c r="Q779" s="1" t="str">
        <f t="shared" si="140"/>
        <v/>
      </c>
      <c r="R779" s="2" t="str">
        <f t="shared" si="141"/>
        <v/>
      </c>
      <c r="S779" s="1" t="str">
        <f t="shared" si="142"/>
        <v/>
      </c>
    </row>
    <row r="780" spans="1:19" x14ac:dyDescent="0.2">
      <c r="A780" t="str">
        <f>IF(COUNTBLANK(B780:S780)&lt;&gt;COLUMNS(B780:S780),779,"")</f>
        <v/>
      </c>
      <c r="C780" s="2" t="str">
        <f t="shared" si="132"/>
        <v/>
      </c>
      <c r="D780" s="1" t="str">
        <f t="shared" si="133"/>
        <v/>
      </c>
      <c r="E780" s="1" t="str">
        <f t="shared" si="134"/>
        <v/>
      </c>
      <c r="I780" s="1" t="str">
        <f t="shared" si="135"/>
        <v/>
      </c>
      <c r="J780" s="2" t="str">
        <f t="shared" si="136"/>
        <v/>
      </c>
      <c r="K780" s="1" t="str">
        <f t="shared" si="137"/>
        <v/>
      </c>
      <c r="O780" s="1" t="str">
        <f t="shared" si="138"/>
        <v/>
      </c>
      <c r="P780" s="2" t="str">
        <f t="shared" si="139"/>
        <v/>
      </c>
      <c r="Q780" s="1" t="str">
        <f t="shared" si="140"/>
        <v/>
      </c>
      <c r="R780" s="2" t="str">
        <f t="shared" si="141"/>
        <v/>
      </c>
      <c r="S780" s="1" t="str">
        <f t="shared" si="142"/>
        <v/>
      </c>
    </row>
    <row r="781" spans="1:19" x14ac:dyDescent="0.2">
      <c r="A781" t="str">
        <f>IF(COUNTBLANK(B781:S781)&lt;&gt;COLUMNS(B781:S781),780,"")</f>
        <v/>
      </c>
      <c r="C781" s="2" t="str">
        <f t="shared" si="132"/>
        <v/>
      </c>
      <c r="D781" s="1" t="str">
        <f t="shared" si="133"/>
        <v/>
      </c>
      <c r="E781" s="1" t="str">
        <f t="shared" si="134"/>
        <v/>
      </c>
      <c r="I781" s="1" t="str">
        <f t="shared" si="135"/>
        <v/>
      </c>
      <c r="J781" s="2" t="str">
        <f t="shared" si="136"/>
        <v/>
      </c>
      <c r="K781" s="1" t="str">
        <f t="shared" si="137"/>
        <v/>
      </c>
      <c r="O781" s="1" t="str">
        <f t="shared" si="138"/>
        <v/>
      </c>
      <c r="P781" s="2" t="str">
        <f t="shared" si="139"/>
        <v/>
      </c>
      <c r="Q781" s="1" t="str">
        <f t="shared" si="140"/>
        <v/>
      </c>
      <c r="R781" s="2" t="str">
        <f t="shared" si="141"/>
        <v/>
      </c>
      <c r="S781" s="1" t="str">
        <f t="shared" si="142"/>
        <v/>
      </c>
    </row>
    <row r="782" spans="1:19" x14ac:dyDescent="0.2">
      <c r="A782" t="str">
        <f>IF(COUNTBLANK(B782:S782)&lt;&gt;COLUMNS(B782:S782),781,"")</f>
        <v/>
      </c>
      <c r="C782" s="2" t="str">
        <f t="shared" si="132"/>
        <v/>
      </c>
      <c r="D782" s="1" t="str">
        <f t="shared" si="133"/>
        <v/>
      </c>
      <c r="E782" s="1" t="str">
        <f t="shared" si="134"/>
        <v/>
      </c>
      <c r="I782" s="1" t="str">
        <f t="shared" si="135"/>
        <v/>
      </c>
      <c r="J782" s="2" t="str">
        <f t="shared" si="136"/>
        <v/>
      </c>
      <c r="K782" s="1" t="str">
        <f t="shared" si="137"/>
        <v/>
      </c>
      <c r="O782" s="1" t="str">
        <f t="shared" si="138"/>
        <v/>
      </c>
      <c r="P782" s="2" t="str">
        <f t="shared" si="139"/>
        <v/>
      </c>
      <c r="Q782" s="1" t="str">
        <f t="shared" si="140"/>
        <v/>
      </c>
      <c r="R782" s="2" t="str">
        <f t="shared" si="141"/>
        <v/>
      </c>
      <c r="S782" s="1" t="str">
        <f t="shared" si="142"/>
        <v/>
      </c>
    </row>
    <row r="783" spans="1:19" x14ac:dyDescent="0.2">
      <c r="A783" t="str">
        <f>IF(COUNTBLANK(B783:S783)&lt;&gt;COLUMNS(B783:S783),782,"")</f>
        <v/>
      </c>
      <c r="C783" s="2" t="str">
        <f t="shared" si="132"/>
        <v/>
      </c>
      <c r="D783" s="1" t="str">
        <f t="shared" si="133"/>
        <v/>
      </c>
      <c r="E783" s="1" t="str">
        <f t="shared" si="134"/>
        <v/>
      </c>
      <c r="I783" s="1" t="str">
        <f t="shared" si="135"/>
        <v/>
      </c>
      <c r="J783" s="2" t="str">
        <f t="shared" si="136"/>
        <v/>
      </c>
      <c r="K783" s="1" t="str">
        <f t="shared" si="137"/>
        <v/>
      </c>
      <c r="O783" s="1" t="str">
        <f t="shared" si="138"/>
        <v/>
      </c>
      <c r="P783" s="2" t="str">
        <f t="shared" si="139"/>
        <v/>
      </c>
      <c r="Q783" s="1" t="str">
        <f t="shared" si="140"/>
        <v/>
      </c>
      <c r="R783" s="2" t="str">
        <f t="shared" si="141"/>
        <v/>
      </c>
      <c r="S783" s="1" t="str">
        <f t="shared" si="142"/>
        <v/>
      </c>
    </row>
    <row r="784" spans="1:19" x14ac:dyDescent="0.2">
      <c r="A784" t="str">
        <f>IF(COUNTBLANK(B784:S784)&lt;&gt;COLUMNS(B784:S784),783,"")</f>
        <v/>
      </c>
      <c r="C784" s="2" t="str">
        <f t="shared" si="132"/>
        <v/>
      </c>
      <c r="D784" s="1" t="str">
        <f t="shared" si="133"/>
        <v/>
      </c>
      <c r="E784" s="1" t="str">
        <f t="shared" si="134"/>
        <v/>
      </c>
      <c r="I784" s="1" t="str">
        <f t="shared" si="135"/>
        <v/>
      </c>
      <c r="J784" s="2" t="str">
        <f t="shared" si="136"/>
        <v/>
      </c>
      <c r="K784" s="1" t="str">
        <f t="shared" si="137"/>
        <v/>
      </c>
      <c r="O784" s="1" t="str">
        <f t="shared" si="138"/>
        <v/>
      </c>
      <c r="P784" s="2" t="str">
        <f t="shared" si="139"/>
        <v/>
      </c>
      <c r="Q784" s="1" t="str">
        <f t="shared" si="140"/>
        <v/>
      </c>
      <c r="R784" s="2" t="str">
        <f t="shared" si="141"/>
        <v/>
      </c>
      <c r="S784" s="1" t="str">
        <f t="shared" si="142"/>
        <v/>
      </c>
    </row>
    <row r="785" spans="1:19" x14ac:dyDescent="0.2">
      <c r="A785" t="str">
        <f>IF(COUNTBLANK(B785:S785)&lt;&gt;COLUMNS(B785:S785),784,"")</f>
        <v/>
      </c>
      <c r="C785" s="2" t="str">
        <f t="shared" si="132"/>
        <v/>
      </c>
      <c r="D785" s="1" t="str">
        <f t="shared" si="133"/>
        <v/>
      </c>
      <c r="E785" s="1" t="str">
        <f t="shared" si="134"/>
        <v/>
      </c>
      <c r="I785" s="1" t="str">
        <f t="shared" si="135"/>
        <v/>
      </c>
      <c r="J785" s="2" t="str">
        <f t="shared" si="136"/>
        <v/>
      </c>
      <c r="K785" s="1" t="str">
        <f t="shared" si="137"/>
        <v/>
      </c>
      <c r="O785" s="1" t="str">
        <f t="shared" si="138"/>
        <v/>
      </c>
      <c r="P785" s="2" t="str">
        <f t="shared" si="139"/>
        <v/>
      </c>
      <c r="Q785" s="1" t="str">
        <f t="shared" si="140"/>
        <v/>
      </c>
      <c r="R785" s="2" t="str">
        <f t="shared" si="141"/>
        <v/>
      </c>
      <c r="S785" s="1" t="str">
        <f t="shared" si="142"/>
        <v/>
      </c>
    </row>
    <row r="786" spans="1:19" x14ac:dyDescent="0.2">
      <c r="A786" t="str">
        <f>IF(COUNTBLANK(B786:S786)&lt;&gt;COLUMNS(B786:S786),785,"")</f>
        <v/>
      </c>
      <c r="C786" s="2" t="str">
        <f t="shared" si="132"/>
        <v/>
      </c>
      <c r="D786" s="1" t="str">
        <f t="shared" si="133"/>
        <v/>
      </c>
      <c r="E786" s="1" t="str">
        <f t="shared" si="134"/>
        <v/>
      </c>
      <c r="I786" s="1" t="str">
        <f t="shared" si="135"/>
        <v/>
      </c>
      <c r="J786" s="2" t="str">
        <f t="shared" si="136"/>
        <v/>
      </c>
      <c r="K786" s="1" t="str">
        <f t="shared" si="137"/>
        <v/>
      </c>
      <c r="O786" s="1" t="str">
        <f t="shared" si="138"/>
        <v/>
      </c>
      <c r="P786" s="2" t="str">
        <f t="shared" si="139"/>
        <v/>
      </c>
      <c r="Q786" s="1" t="str">
        <f t="shared" si="140"/>
        <v/>
      </c>
      <c r="R786" s="2" t="str">
        <f t="shared" si="141"/>
        <v/>
      </c>
      <c r="S786" s="1" t="str">
        <f t="shared" si="142"/>
        <v/>
      </c>
    </row>
    <row r="787" spans="1:19" x14ac:dyDescent="0.2">
      <c r="A787" t="str">
        <f>IF(COUNTBLANK(B787:S787)&lt;&gt;COLUMNS(B787:S787),786,"")</f>
        <v/>
      </c>
      <c r="C787" s="2" t="str">
        <f t="shared" si="132"/>
        <v/>
      </c>
      <c r="D787" s="1" t="str">
        <f t="shared" si="133"/>
        <v/>
      </c>
      <c r="E787" s="1" t="str">
        <f t="shared" si="134"/>
        <v/>
      </c>
      <c r="I787" s="1" t="str">
        <f t="shared" si="135"/>
        <v/>
      </c>
      <c r="J787" s="2" t="str">
        <f t="shared" si="136"/>
        <v/>
      </c>
      <c r="K787" s="1" t="str">
        <f t="shared" si="137"/>
        <v/>
      </c>
      <c r="O787" s="1" t="str">
        <f t="shared" si="138"/>
        <v/>
      </c>
      <c r="P787" s="2" t="str">
        <f t="shared" si="139"/>
        <v/>
      </c>
      <c r="Q787" s="1" t="str">
        <f t="shared" si="140"/>
        <v/>
      </c>
      <c r="R787" s="2" t="str">
        <f t="shared" si="141"/>
        <v/>
      </c>
      <c r="S787" s="1" t="str">
        <f t="shared" si="142"/>
        <v/>
      </c>
    </row>
    <row r="788" spans="1:19" x14ac:dyDescent="0.2">
      <c r="A788" t="str">
        <f>IF(COUNTBLANK(B788:S788)&lt;&gt;COLUMNS(B788:S788),787,"")</f>
        <v/>
      </c>
      <c r="C788" s="2" t="str">
        <f t="shared" si="132"/>
        <v/>
      </c>
      <c r="D788" s="1" t="str">
        <f t="shared" si="133"/>
        <v/>
      </c>
      <c r="E788" s="1" t="str">
        <f t="shared" si="134"/>
        <v/>
      </c>
      <c r="I788" s="1" t="str">
        <f t="shared" si="135"/>
        <v/>
      </c>
      <c r="J788" s="2" t="str">
        <f t="shared" si="136"/>
        <v/>
      </c>
      <c r="K788" s="1" t="str">
        <f t="shared" si="137"/>
        <v/>
      </c>
      <c r="O788" s="1" t="str">
        <f t="shared" si="138"/>
        <v/>
      </c>
      <c r="P788" s="2" t="str">
        <f t="shared" si="139"/>
        <v/>
      </c>
      <c r="Q788" s="1" t="str">
        <f t="shared" si="140"/>
        <v/>
      </c>
      <c r="R788" s="2" t="str">
        <f t="shared" si="141"/>
        <v/>
      </c>
      <c r="S788" s="1" t="str">
        <f t="shared" si="142"/>
        <v/>
      </c>
    </row>
    <row r="789" spans="1:19" x14ac:dyDescent="0.2">
      <c r="A789" t="str">
        <f>IF(COUNTBLANK(B789:S789)&lt;&gt;COLUMNS(B789:S789),788,"")</f>
        <v/>
      </c>
      <c r="C789" s="2" t="str">
        <f t="shared" si="132"/>
        <v/>
      </c>
      <c r="D789" s="1" t="str">
        <f t="shared" si="133"/>
        <v/>
      </c>
      <c r="E789" s="1" t="str">
        <f t="shared" si="134"/>
        <v/>
      </c>
      <c r="I789" s="1" t="str">
        <f t="shared" si="135"/>
        <v/>
      </c>
      <c r="J789" s="2" t="str">
        <f t="shared" si="136"/>
        <v/>
      </c>
      <c r="K789" s="1" t="str">
        <f t="shared" si="137"/>
        <v/>
      </c>
      <c r="O789" s="1" t="str">
        <f t="shared" si="138"/>
        <v/>
      </c>
      <c r="P789" s="2" t="str">
        <f t="shared" si="139"/>
        <v/>
      </c>
      <c r="Q789" s="1" t="str">
        <f t="shared" si="140"/>
        <v/>
      </c>
      <c r="R789" s="2" t="str">
        <f t="shared" si="141"/>
        <v/>
      </c>
      <c r="S789" s="1" t="str">
        <f t="shared" si="142"/>
        <v/>
      </c>
    </row>
    <row r="790" spans="1:19" x14ac:dyDescent="0.2">
      <c r="A790" t="str">
        <f>IF(COUNTBLANK(B790:S790)&lt;&gt;COLUMNS(B790:S790),789,"")</f>
        <v/>
      </c>
      <c r="C790" s="2" t="str">
        <f t="shared" si="132"/>
        <v/>
      </c>
      <c r="D790" s="1" t="str">
        <f t="shared" si="133"/>
        <v/>
      </c>
      <c r="E790" s="1" t="str">
        <f t="shared" si="134"/>
        <v/>
      </c>
      <c r="I790" s="1" t="str">
        <f t="shared" si="135"/>
        <v/>
      </c>
      <c r="J790" s="2" t="str">
        <f t="shared" si="136"/>
        <v/>
      </c>
      <c r="K790" s="1" t="str">
        <f t="shared" si="137"/>
        <v/>
      </c>
      <c r="O790" s="1" t="str">
        <f t="shared" si="138"/>
        <v/>
      </c>
      <c r="P790" s="2" t="str">
        <f t="shared" si="139"/>
        <v/>
      </c>
      <c r="Q790" s="1" t="str">
        <f t="shared" si="140"/>
        <v/>
      </c>
      <c r="R790" s="2" t="str">
        <f t="shared" si="141"/>
        <v/>
      </c>
      <c r="S790" s="1" t="str">
        <f t="shared" si="142"/>
        <v/>
      </c>
    </row>
    <row r="791" spans="1:19" x14ac:dyDescent="0.2">
      <c r="A791" t="str">
        <f>IF(COUNTBLANK(B791:S791)&lt;&gt;COLUMNS(B791:S791),790,"")</f>
        <v/>
      </c>
      <c r="C791" s="2" t="str">
        <f t="shared" si="132"/>
        <v/>
      </c>
      <c r="D791" s="1" t="str">
        <f t="shared" si="133"/>
        <v/>
      </c>
      <c r="E791" s="1" t="str">
        <f t="shared" si="134"/>
        <v/>
      </c>
      <c r="I791" s="1" t="str">
        <f t="shared" si="135"/>
        <v/>
      </c>
      <c r="J791" s="2" t="str">
        <f t="shared" si="136"/>
        <v/>
      </c>
      <c r="K791" s="1" t="str">
        <f t="shared" si="137"/>
        <v/>
      </c>
      <c r="O791" s="1" t="str">
        <f t="shared" si="138"/>
        <v/>
      </c>
      <c r="P791" s="2" t="str">
        <f t="shared" si="139"/>
        <v/>
      </c>
      <c r="Q791" s="1" t="str">
        <f t="shared" si="140"/>
        <v/>
      </c>
      <c r="R791" s="2" t="str">
        <f t="shared" si="141"/>
        <v/>
      </c>
      <c r="S791" s="1" t="str">
        <f t="shared" si="142"/>
        <v/>
      </c>
    </row>
    <row r="792" spans="1:19" x14ac:dyDescent="0.2">
      <c r="A792" t="str">
        <f>IF(COUNTBLANK(B792:S792)&lt;&gt;COLUMNS(B792:S792),791,"")</f>
        <v/>
      </c>
      <c r="C792" s="2" t="str">
        <f t="shared" si="132"/>
        <v/>
      </c>
      <c r="D792" s="1" t="str">
        <f t="shared" si="133"/>
        <v/>
      </c>
      <c r="E792" s="1" t="str">
        <f t="shared" si="134"/>
        <v/>
      </c>
      <c r="I792" s="1" t="str">
        <f t="shared" si="135"/>
        <v/>
      </c>
      <c r="J792" s="2" t="str">
        <f t="shared" si="136"/>
        <v/>
      </c>
      <c r="K792" s="1" t="str">
        <f t="shared" si="137"/>
        <v/>
      </c>
      <c r="O792" s="1" t="str">
        <f t="shared" si="138"/>
        <v/>
      </c>
      <c r="P792" s="2" t="str">
        <f t="shared" si="139"/>
        <v/>
      </c>
      <c r="Q792" s="1" t="str">
        <f t="shared" si="140"/>
        <v/>
      </c>
      <c r="R792" s="2" t="str">
        <f t="shared" si="141"/>
        <v/>
      </c>
      <c r="S792" s="1" t="str">
        <f t="shared" si="142"/>
        <v/>
      </c>
    </row>
    <row r="793" spans="1:19" x14ac:dyDescent="0.2">
      <c r="A793" t="str">
        <f>IF(COUNTBLANK(B793:S793)&lt;&gt;COLUMNS(B793:S793),792,"")</f>
        <v/>
      </c>
      <c r="C793" s="2" t="str">
        <f t="shared" si="132"/>
        <v/>
      </c>
      <c r="D793" s="1" t="str">
        <f t="shared" si="133"/>
        <v/>
      </c>
      <c r="E793" s="1" t="str">
        <f t="shared" si="134"/>
        <v/>
      </c>
      <c r="I793" s="1" t="str">
        <f t="shared" si="135"/>
        <v/>
      </c>
      <c r="J793" s="2" t="str">
        <f t="shared" si="136"/>
        <v/>
      </c>
      <c r="K793" s="1" t="str">
        <f t="shared" si="137"/>
        <v/>
      </c>
      <c r="O793" s="1" t="str">
        <f t="shared" si="138"/>
        <v/>
      </c>
      <c r="P793" s="2" t="str">
        <f t="shared" si="139"/>
        <v/>
      </c>
      <c r="Q793" s="1" t="str">
        <f t="shared" si="140"/>
        <v/>
      </c>
      <c r="R793" s="2" t="str">
        <f t="shared" si="141"/>
        <v/>
      </c>
      <c r="S793" s="1" t="str">
        <f t="shared" si="142"/>
        <v/>
      </c>
    </row>
    <row r="794" spans="1:19" x14ac:dyDescent="0.2">
      <c r="A794" t="str">
        <f>IF(COUNTBLANK(B794:S794)&lt;&gt;COLUMNS(B794:S794),793,"")</f>
        <v/>
      </c>
      <c r="C794" s="2" t="str">
        <f t="shared" si="132"/>
        <v/>
      </c>
      <c r="D794" s="1" t="str">
        <f t="shared" si="133"/>
        <v/>
      </c>
      <c r="E794" s="1" t="str">
        <f t="shared" si="134"/>
        <v/>
      </c>
      <c r="I794" s="1" t="str">
        <f t="shared" si="135"/>
        <v/>
      </c>
      <c r="J794" s="2" t="str">
        <f t="shared" si="136"/>
        <v/>
      </c>
      <c r="K794" s="1" t="str">
        <f t="shared" si="137"/>
        <v/>
      </c>
      <c r="O794" s="1" t="str">
        <f t="shared" si="138"/>
        <v/>
      </c>
      <c r="P794" s="2" t="str">
        <f t="shared" si="139"/>
        <v/>
      </c>
      <c r="Q794" s="1" t="str">
        <f t="shared" si="140"/>
        <v/>
      </c>
      <c r="R794" s="2" t="str">
        <f t="shared" si="141"/>
        <v/>
      </c>
      <c r="S794" s="1" t="str">
        <f t="shared" si="142"/>
        <v/>
      </c>
    </row>
    <row r="795" spans="1:19" x14ac:dyDescent="0.2">
      <c r="A795" t="str">
        <f>IF(COUNTBLANK(B795:S795)&lt;&gt;COLUMNS(B795:S795),794,"")</f>
        <v/>
      </c>
      <c r="C795" s="2" t="str">
        <f t="shared" si="132"/>
        <v/>
      </c>
      <c r="D795" s="1" t="str">
        <f t="shared" si="133"/>
        <v/>
      </c>
      <c r="E795" s="1" t="str">
        <f t="shared" si="134"/>
        <v/>
      </c>
      <c r="I795" s="1" t="str">
        <f t="shared" si="135"/>
        <v/>
      </c>
      <c r="J795" s="2" t="str">
        <f t="shared" si="136"/>
        <v/>
      </c>
      <c r="K795" s="1" t="str">
        <f t="shared" si="137"/>
        <v/>
      </c>
      <c r="O795" s="1" t="str">
        <f t="shared" si="138"/>
        <v/>
      </c>
      <c r="P795" s="2" t="str">
        <f t="shared" si="139"/>
        <v/>
      </c>
      <c r="Q795" s="1" t="str">
        <f t="shared" si="140"/>
        <v/>
      </c>
      <c r="R795" s="2" t="str">
        <f t="shared" si="141"/>
        <v/>
      </c>
      <c r="S795" s="1" t="str">
        <f t="shared" si="142"/>
        <v/>
      </c>
    </row>
    <row r="796" spans="1:19" x14ac:dyDescent="0.2">
      <c r="A796" t="str">
        <f>IF(COUNTBLANK(B796:S796)&lt;&gt;COLUMNS(B796:S796),795,"")</f>
        <v/>
      </c>
      <c r="C796" s="2" t="str">
        <f t="shared" si="132"/>
        <v/>
      </c>
      <c r="D796" s="1" t="str">
        <f t="shared" si="133"/>
        <v/>
      </c>
      <c r="E796" s="1" t="str">
        <f t="shared" si="134"/>
        <v/>
      </c>
      <c r="I796" s="1" t="str">
        <f t="shared" si="135"/>
        <v/>
      </c>
      <c r="J796" s="2" t="str">
        <f t="shared" si="136"/>
        <v/>
      </c>
      <c r="K796" s="1" t="str">
        <f t="shared" si="137"/>
        <v/>
      </c>
      <c r="O796" s="1" t="str">
        <f t="shared" si="138"/>
        <v/>
      </c>
      <c r="P796" s="2" t="str">
        <f t="shared" si="139"/>
        <v/>
      </c>
      <c r="Q796" s="1" t="str">
        <f t="shared" si="140"/>
        <v/>
      </c>
      <c r="R796" s="2" t="str">
        <f t="shared" si="141"/>
        <v/>
      </c>
      <c r="S796" s="1" t="str">
        <f t="shared" si="142"/>
        <v/>
      </c>
    </row>
    <row r="797" spans="1:19" x14ac:dyDescent="0.2">
      <c r="A797" t="str">
        <f>IF(COUNTBLANK(B797:S797)&lt;&gt;COLUMNS(B797:S797),796,"")</f>
        <v/>
      </c>
      <c r="C797" s="2" t="str">
        <f t="shared" si="132"/>
        <v/>
      </c>
      <c r="D797" s="1" t="str">
        <f t="shared" si="133"/>
        <v/>
      </c>
      <c r="E797" s="1" t="str">
        <f t="shared" si="134"/>
        <v/>
      </c>
      <c r="I797" s="1" t="str">
        <f t="shared" si="135"/>
        <v/>
      </c>
      <c r="J797" s="2" t="str">
        <f t="shared" si="136"/>
        <v/>
      </c>
      <c r="K797" s="1" t="str">
        <f t="shared" si="137"/>
        <v/>
      </c>
      <c r="O797" s="1" t="str">
        <f t="shared" si="138"/>
        <v/>
      </c>
      <c r="P797" s="2" t="str">
        <f t="shared" si="139"/>
        <v/>
      </c>
      <c r="Q797" s="1" t="str">
        <f t="shared" si="140"/>
        <v/>
      </c>
      <c r="R797" s="2" t="str">
        <f t="shared" si="141"/>
        <v/>
      </c>
      <c r="S797" s="1" t="str">
        <f t="shared" si="142"/>
        <v/>
      </c>
    </row>
    <row r="798" spans="1:19" x14ac:dyDescent="0.2">
      <c r="A798" t="str">
        <f>IF(COUNTBLANK(B798:S798)&lt;&gt;COLUMNS(B798:S798),797,"")</f>
        <v/>
      </c>
      <c r="C798" s="2" t="str">
        <f t="shared" si="132"/>
        <v/>
      </c>
      <c r="D798" s="1" t="str">
        <f t="shared" si="133"/>
        <v/>
      </c>
      <c r="E798" s="1" t="str">
        <f t="shared" si="134"/>
        <v/>
      </c>
      <c r="I798" s="1" t="str">
        <f t="shared" si="135"/>
        <v/>
      </c>
      <c r="J798" s="2" t="str">
        <f t="shared" si="136"/>
        <v/>
      </c>
      <c r="K798" s="1" t="str">
        <f t="shared" si="137"/>
        <v/>
      </c>
      <c r="O798" s="1" t="str">
        <f t="shared" si="138"/>
        <v/>
      </c>
      <c r="P798" s="2" t="str">
        <f t="shared" si="139"/>
        <v/>
      </c>
      <c r="Q798" s="1" t="str">
        <f t="shared" si="140"/>
        <v/>
      </c>
      <c r="R798" s="2" t="str">
        <f t="shared" si="141"/>
        <v/>
      </c>
      <c r="S798" s="1" t="str">
        <f t="shared" si="142"/>
        <v/>
      </c>
    </row>
    <row r="799" spans="1:19" x14ac:dyDescent="0.2">
      <c r="A799" t="str">
        <f>IF(COUNTBLANK(B799:S799)&lt;&gt;COLUMNS(B799:S799),798,"")</f>
        <v/>
      </c>
      <c r="C799" s="2" t="str">
        <f t="shared" si="132"/>
        <v/>
      </c>
      <c r="D799" s="1" t="str">
        <f t="shared" si="133"/>
        <v/>
      </c>
      <c r="E799" s="1" t="str">
        <f t="shared" si="134"/>
        <v/>
      </c>
      <c r="I799" s="1" t="str">
        <f t="shared" si="135"/>
        <v/>
      </c>
      <c r="J799" s="2" t="str">
        <f t="shared" si="136"/>
        <v/>
      </c>
      <c r="K799" s="1" t="str">
        <f t="shared" si="137"/>
        <v/>
      </c>
      <c r="O799" s="1" t="str">
        <f t="shared" si="138"/>
        <v/>
      </c>
      <c r="P799" s="2" t="str">
        <f t="shared" si="139"/>
        <v/>
      </c>
      <c r="Q799" s="1" t="str">
        <f t="shared" si="140"/>
        <v/>
      </c>
      <c r="R799" s="2" t="str">
        <f t="shared" si="141"/>
        <v/>
      </c>
      <c r="S799" s="1" t="str">
        <f t="shared" si="142"/>
        <v/>
      </c>
    </row>
    <row r="800" spans="1:19" x14ac:dyDescent="0.2">
      <c r="A800" t="str">
        <f>IF(COUNTBLANK(B800:S800)&lt;&gt;COLUMNS(B800:S800),799,"")</f>
        <v/>
      </c>
      <c r="C800" s="2" t="str">
        <f t="shared" si="132"/>
        <v/>
      </c>
      <c r="D800" s="1" t="str">
        <f t="shared" si="133"/>
        <v/>
      </c>
      <c r="E800" s="1" t="str">
        <f t="shared" si="134"/>
        <v/>
      </c>
      <c r="I800" s="1" t="str">
        <f t="shared" si="135"/>
        <v/>
      </c>
      <c r="J800" s="2" t="str">
        <f t="shared" si="136"/>
        <v/>
      </c>
      <c r="K800" s="1" t="str">
        <f t="shared" si="137"/>
        <v/>
      </c>
      <c r="O800" s="1" t="str">
        <f t="shared" si="138"/>
        <v/>
      </c>
      <c r="P800" s="2" t="str">
        <f t="shared" si="139"/>
        <v/>
      </c>
      <c r="Q800" s="1" t="str">
        <f t="shared" si="140"/>
        <v/>
      </c>
      <c r="R800" s="2" t="str">
        <f t="shared" si="141"/>
        <v/>
      </c>
      <c r="S800" s="1" t="str">
        <f t="shared" si="142"/>
        <v/>
      </c>
    </row>
    <row r="801" spans="1:19" x14ac:dyDescent="0.2">
      <c r="A801" t="str">
        <f>IF(COUNTBLANK(B801:S801)&lt;&gt;COLUMNS(B801:S801),800,"")</f>
        <v/>
      </c>
      <c r="C801" s="2" t="str">
        <f t="shared" si="132"/>
        <v/>
      </c>
      <c r="D801" s="1" t="str">
        <f t="shared" si="133"/>
        <v/>
      </c>
      <c r="E801" s="1" t="str">
        <f t="shared" si="134"/>
        <v/>
      </c>
      <c r="I801" s="1" t="str">
        <f t="shared" si="135"/>
        <v/>
      </c>
      <c r="J801" s="2" t="str">
        <f t="shared" si="136"/>
        <v/>
      </c>
      <c r="K801" s="1" t="str">
        <f t="shared" si="137"/>
        <v/>
      </c>
      <c r="O801" s="1" t="str">
        <f t="shared" si="138"/>
        <v/>
      </c>
      <c r="P801" s="2" t="str">
        <f t="shared" si="139"/>
        <v/>
      </c>
      <c r="Q801" s="1" t="str">
        <f t="shared" si="140"/>
        <v/>
      </c>
      <c r="R801" s="2" t="str">
        <f t="shared" si="141"/>
        <v/>
      </c>
      <c r="S801" s="1" t="str">
        <f t="shared" si="142"/>
        <v/>
      </c>
    </row>
    <row r="802" spans="1:19" x14ac:dyDescent="0.2">
      <c r="A802" t="str">
        <f>IF(COUNTBLANK(B802:S802)&lt;&gt;COLUMNS(B802:S802),801,"")</f>
        <v/>
      </c>
      <c r="C802" s="2" t="str">
        <f t="shared" si="132"/>
        <v/>
      </c>
      <c r="D802" s="1" t="str">
        <f t="shared" si="133"/>
        <v/>
      </c>
      <c r="E802" s="1" t="str">
        <f t="shared" si="134"/>
        <v/>
      </c>
      <c r="I802" s="1" t="str">
        <f t="shared" si="135"/>
        <v/>
      </c>
      <c r="J802" s="2" t="str">
        <f t="shared" si="136"/>
        <v/>
      </c>
      <c r="K802" s="1" t="str">
        <f t="shared" si="137"/>
        <v/>
      </c>
      <c r="O802" s="1" t="str">
        <f t="shared" si="138"/>
        <v/>
      </c>
      <c r="P802" s="2" t="str">
        <f t="shared" si="139"/>
        <v/>
      </c>
      <c r="Q802" s="1" t="str">
        <f t="shared" si="140"/>
        <v/>
      </c>
      <c r="R802" s="2" t="str">
        <f t="shared" si="141"/>
        <v/>
      </c>
      <c r="S802" s="1" t="str">
        <f t="shared" si="142"/>
        <v/>
      </c>
    </row>
    <row r="803" spans="1:19" x14ac:dyDescent="0.2">
      <c r="A803" t="str">
        <f>IF(COUNTBLANK(B803:S803)&lt;&gt;COLUMNS(B803:S803),802,"")</f>
        <v/>
      </c>
      <c r="C803" s="2" t="str">
        <f t="shared" si="132"/>
        <v/>
      </c>
      <c r="D803" s="1" t="str">
        <f t="shared" si="133"/>
        <v/>
      </c>
      <c r="E803" s="1" t="str">
        <f t="shared" si="134"/>
        <v/>
      </c>
      <c r="I803" s="1" t="str">
        <f t="shared" si="135"/>
        <v/>
      </c>
      <c r="J803" s="2" t="str">
        <f t="shared" si="136"/>
        <v/>
      </c>
      <c r="K803" s="1" t="str">
        <f t="shared" si="137"/>
        <v/>
      </c>
      <c r="O803" s="1" t="str">
        <f t="shared" si="138"/>
        <v/>
      </c>
      <c r="P803" s="2" t="str">
        <f t="shared" si="139"/>
        <v/>
      </c>
      <c r="Q803" s="1" t="str">
        <f t="shared" si="140"/>
        <v/>
      </c>
      <c r="R803" s="2" t="str">
        <f t="shared" si="141"/>
        <v/>
      </c>
      <c r="S803" s="1" t="str">
        <f t="shared" si="142"/>
        <v/>
      </c>
    </row>
    <row r="804" spans="1:19" x14ac:dyDescent="0.2">
      <c r="A804" t="str">
        <f>IF(COUNTBLANK(B804:S804)&lt;&gt;COLUMNS(B804:S804),803,"")</f>
        <v/>
      </c>
      <c r="C804" s="2" t="str">
        <f t="shared" si="132"/>
        <v/>
      </c>
      <c r="D804" s="1" t="str">
        <f t="shared" si="133"/>
        <v/>
      </c>
      <c r="E804" s="1" t="str">
        <f t="shared" si="134"/>
        <v/>
      </c>
      <c r="I804" s="1" t="str">
        <f t="shared" si="135"/>
        <v/>
      </c>
      <c r="J804" s="2" t="str">
        <f t="shared" si="136"/>
        <v/>
      </c>
      <c r="K804" s="1" t="str">
        <f t="shared" si="137"/>
        <v/>
      </c>
      <c r="O804" s="1" t="str">
        <f t="shared" si="138"/>
        <v/>
      </c>
      <c r="P804" s="2" t="str">
        <f t="shared" si="139"/>
        <v/>
      </c>
      <c r="Q804" s="1" t="str">
        <f t="shared" si="140"/>
        <v/>
      </c>
      <c r="R804" s="2" t="str">
        <f t="shared" si="141"/>
        <v/>
      </c>
      <c r="S804" s="1" t="str">
        <f t="shared" si="142"/>
        <v/>
      </c>
    </row>
    <row r="805" spans="1:19" x14ac:dyDescent="0.2">
      <c r="A805" t="str">
        <f>IF(COUNTBLANK(B805:S805)&lt;&gt;COLUMNS(B805:S805),804,"")</f>
        <v/>
      </c>
      <c r="C805" s="2" t="str">
        <f t="shared" si="132"/>
        <v/>
      </c>
      <c r="D805" s="1" t="str">
        <f t="shared" si="133"/>
        <v/>
      </c>
      <c r="E805" s="1" t="str">
        <f t="shared" si="134"/>
        <v/>
      </c>
      <c r="I805" s="1" t="str">
        <f t="shared" si="135"/>
        <v/>
      </c>
      <c r="J805" s="2" t="str">
        <f t="shared" si="136"/>
        <v/>
      </c>
      <c r="K805" s="1" t="str">
        <f t="shared" si="137"/>
        <v/>
      </c>
      <c r="O805" s="1" t="str">
        <f t="shared" si="138"/>
        <v/>
      </c>
      <c r="P805" s="2" t="str">
        <f t="shared" si="139"/>
        <v/>
      </c>
      <c r="Q805" s="1" t="str">
        <f t="shared" si="140"/>
        <v/>
      </c>
      <c r="R805" s="2" t="str">
        <f t="shared" si="141"/>
        <v/>
      </c>
      <c r="S805" s="1" t="str">
        <f t="shared" si="142"/>
        <v/>
      </c>
    </row>
    <row r="806" spans="1:19" x14ac:dyDescent="0.2">
      <c r="A806" t="str">
        <f>IF(COUNTBLANK(B806:S806)&lt;&gt;COLUMNS(B806:S806),805,"")</f>
        <v/>
      </c>
      <c r="C806" s="2" t="str">
        <f t="shared" si="132"/>
        <v/>
      </c>
      <c r="D806" s="1" t="str">
        <f t="shared" si="133"/>
        <v/>
      </c>
      <c r="E806" s="1" t="str">
        <f t="shared" si="134"/>
        <v/>
      </c>
      <c r="I806" s="1" t="str">
        <f t="shared" si="135"/>
        <v/>
      </c>
      <c r="J806" s="2" t="str">
        <f t="shared" si="136"/>
        <v/>
      </c>
      <c r="K806" s="1" t="str">
        <f t="shared" si="137"/>
        <v/>
      </c>
      <c r="O806" s="1" t="str">
        <f t="shared" si="138"/>
        <v/>
      </c>
      <c r="P806" s="2" t="str">
        <f t="shared" si="139"/>
        <v/>
      </c>
      <c r="Q806" s="1" t="str">
        <f t="shared" si="140"/>
        <v/>
      </c>
      <c r="R806" s="2" t="str">
        <f t="shared" si="141"/>
        <v/>
      </c>
      <c r="S806" s="1" t="str">
        <f t="shared" si="142"/>
        <v/>
      </c>
    </row>
    <row r="807" spans="1:19" x14ac:dyDescent="0.2">
      <c r="A807" t="str">
        <f>IF(COUNTBLANK(B807:S807)&lt;&gt;COLUMNS(B807:S807),806,"")</f>
        <v/>
      </c>
      <c r="C807" s="2" t="str">
        <f t="shared" si="132"/>
        <v/>
      </c>
      <c r="D807" s="1" t="str">
        <f t="shared" si="133"/>
        <v/>
      </c>
      <c r="E807" s="1" t="str">
        <f t="shared" si="134"/>
        <v/>
      </c>
      <c r="I807" s="1" t="str">
        <f t="shared" si="135"/>
        <v/>
      </c>
      <c r="J807" s="2" t="str">
        <f t="shared" si="136"/>
        <v/>
      </c>
      <c r="K807" s="1" t="str">
        <f t="shared" si="137"/>
        <v/>
      </c>
      <c r="O807" s="1" t="str">
        <f t="shared" si="138"/>
        <v/>
      </c>
      <c r="P807" s="2" t="str">
        <f t="shared" si="139"/>
        <v/>
      </c>
      <c r="Q807" s="1" t="str">
        <f t="shared" si="140"/>
        <v/>
      </c>
      <c r="R807" s="2" t="str">
        <f t="shared" si="141"/>
        <v/>
      </c>
      <c r="S807" s="1" t="str">
        <f t="shared" si="142"/>
        <v/>
      </c>
    </row>
    <row r="808" spans="1:19" x14ac:dyDescent="0.2">
      <c r="A808" t="str">
        <f>IF(COUNTBLANK(B808:S808)&lt;&gt;COLUMNS(B808:S808),807,"")</f>
        <v/>
      </c>
      <c r="C808" s="2" t="str">
        <f t="shared" si="132"/>
        <v/>
      </c>
      <c r="D808" s="1" t="str">
        <f t="shared" si="133"/>
        <v/>
      </c>
      <c r="E808" s="1" t="str">
        <f t="shared" si="134"/>
        <v/>
      </c>
      <c r="I808" s="1" t="str">
        <f t="shared" si="135"/>
        <v/>
      </c>
      <c r="J808" s="2" t="str">
        <f t="shared" si="136"/>
        <v/>
      </c>
      <c r="K808" s="1" t="str">
        <f t="shared" si="137"/>
        <v/>
      </c>
      <c r="O808" s="1" t="str">
        <f t="shared" si="138"/>
        <v/>
      </c>
      <c r="P808" s="2" t="str">
        <f t="shared" si="139"/>
        <v/>
      </c>
      <c r="Q808" s="1" t="str">
        <f t="shared" si="140"/>
        <v/>
      </c>
      <c r="R808" s="2" t="str">
        <f t="shared" si="141"/>
        <v/>
      </c>
      <c r="S808" s="1" t="str">
        <f t="shared" si="142"/>
        <v/>
      </c>
    </row>
    <row r="809" spans="1:19" x14ac:dyDescent="0.2">
      <c r="A809" t="str">
        <f>IF(COUNTBLANK(B809:S809)&lt;&gt;COLUMNS(B809:S809),808,"")</f>
        <v/>
      </c>
      <c r="C809" s="2" t="str">
        <f t="shared" si="132"/>
        <v/>
      </c>
      <c r="D809" s="1" t="str">
        <f t="shared" si="133"/>
        <v/>
      </c>
      <c r="E809" s="1" t="str">
        <f t="shared" si="134"/>
        <v/>
      </c>
      <c r="I809" s="1" t="str">
        <f t="shared" si="135"/>
        <v/>
      </c>
      <c r="J809" s="2" t="str">
        <f t="shared" si="136"/>
        <v/>
      </c>
      <c r="K809" s="1" t="str">
        <f t="shared" si="137"/>
        <v/>
      </c>
      <c r="O809" s="1" t="str">
        <f t="shared" si="138"/>
        <v/>
      </c>
      <c r="P809" s="2" t="str">
        <f t="shared" si="139"/>
        <v/>
      </c>
      <c r="Q809" s="1" t="str">
        <f t="shared" si="140"/>
        <v/>
      </c>
      <c r="R809" s="2" t="str">
        <f t="shared" si="141"/>
        <v/>
      </c>
      <c r="S809" s="1" t="str">
        <f t="shared" si="142"/>
        <v/>
      </c>
    </row>
    <row r="810" spans="1:19" x14ac:dyDescent="0.2">
      <c r="A810" t="str">
        <f>IF(COUNTBLANK(B810:S810)&lt;&gt;COLUMNS(B810:S810),809,"")</f>
        <v/>
      </c>
      <c r="C810" s="2" t="str">
        <f t="shared" si="132"/>
        <v/>
      </c>
      <c r="D810" s="1" t="str">
        <f t="shared" si="133"/>
        <v/>
      </c>
      <c r="E810" s="1" t="str">
        <f t="shared" si="134"/>
        <v/>
      </c>
      <c r="I810" s="1" t="str">
        <f t="shared" si="135"/>
        <v/>
      </c>
      <c r="J810" s="2" t="str">
        <f t="shared" si="136"/>
        <v/>
      </c>
      <c r="K810" s="1" t="str">
        <f t="shared" si="137"/>
        <v/>
      </c>
      <c r="O810" s="1" t="str">
        <f t="shared" si="138"/>
        <v/>
      </c>
      <c r="P810" s="2" t="str">
        <f t="shared" si="139"/>
        <v/>
      </c>
      <c r="Q810" s="1" t="str">
        <f t="shared" si="140"/>
        <v/>
      </c>
      <c r="R810" s="2" t="str">
        <f t="shared" si="141"/>
        <v/>
      </c>
      <c r="S810" s="1" t="str">
        <f t="shared" si="142"/>
        <v/>
      </c>
    </row>
    <row r="811" spans="1:19" x14ac:dyDescent="0.2">
      <c r="A811" t="str">
        <f>IF(COUNTBLANK(B811:S811)&lt;&gt;COLUMNS(B811:S811),810,"")</f>
        <v/>
      </c>
      <c r="C811" s="2" t="str">
        <f t="shared" si="132"/>
        <v/>
      </c>
      <c r="D811" s="1" t="str">
        <f t="shared" si="133"/>
        <v/>
      </c>
      <c r="E811" s="1" t="str">
        <f t="shared" si="134"/>
        <v/>
      </c>
      <c r="I811" s="1" t="str">
        <f t="shared" si="135"/>
        <v/>
      </c>
      <c r="J811" s="2" t="str">
        <f t="shared" si="136"/>
        <v/>
      </c>
      <c r="K811" s="1" t="str">
        <f t="shared" si="137"/>
        <v/>
      </c>
      <c r="O811" s="1" t="str">
        <f t="shared" si="138"/>
        <v/>
      </c>
      <c r="P811" s="2" t="str">
        <f t="shared" si="139"/>
        <v/>
      </c>
      <c r="Q811" s="1" t="str">
        <f t="shared" si="140"/>
        <v/>
      </c>
      <c r="R811" s="2" t="str">
        <f t="shared" si="141"/>
        <v/>
      </c>
      <c r="S811" s="1" t="str">
        <f t="shared" si="142"/>
        <v/>
      </c>
    </row>
    <row r="812" spans="1:19" x14ac:dyDescent="0.2">
      <c r="A812" t="str">
        <f>IF(COUNTBLANK(B812:S812)&lt;&gt;COLUMNS(B812:S812),811,"")</f>
        <v/>
      </c>
      <c r="C812" s="2" t="str">
        <f t="shared" si="132"/>
        <v/>
      </c>
      <c r="D812" s="1" t="str">
        <f t="shared" si="133"/>
        <v/>
      </c>
      <c r="E812" s="1" t="str">
        <f t="shared" si="134"/>
        <v/>
      </c>
      <c r="I812" s="1" t="str">
        <f t="shared" si="135"/>
        <v/>
      </c>
      <c r="J812" s="2" t="str">
        <f t="shared" si="136"/>
        <v/>
      </c>
      <c r="K812" s="1" t="str">
        <f t="shared" si="137"/>
        <v/>
      </c>
      <c r="O812" s="1" t="str">
        <f t="shared" si="138"/>
        <v/>
      </c>
      <c r="P812" s="2" t="str">
        <f t="shared" si="139"/>
        <v/>
      </c>
      <c r="Q812" s="1" t="str">
        <f t="shared" si="140"/>
        <v/>
      </c>
      <c r="R812" s="2" t="str">
        <f t="shared" si="141"/>
        <v/>
      </c>
      <c r="S812" s="1" t="str">
        <f t="shared" si="142"/>
        <v/>
      </c>
    </row>
    <row r="813" spans="1:19" x14ac:dyDescent="0.2">
      <c r="A813" t="str">
        <f>IF(COUNTBLANK(B813:S813)&lt;&gt;COLUMNS(B813:S813),812,"")</f>
        <v/>
      </c>
      <c r="C813" s="2" t="str">
        <f t="shared" si="132"/>
        <v/>
      </c>
      <c r="D813" s="1" t="str">
        <f t="shared" si="133"/>
        <v/>
      </c>
      <c r="E813" s="1" t="str">
        <f t="shared" si="134"/>
        <v/>
      </c>
      <c r="I813" s="1" t="str">
        <f t="shared" si="135"/>
        <v/>
      </c>
      <c r="J813" s="2" t="str">
        <f t="shared" si="136"/>
        <v/>
      </c>
      <c r="K813" s="1" t="str">
        <f t="shared" si="137"/>
        <v/>
      </c>
      <c r="O813" s="1" t="str">
        <f t="shared" si="138"/>
        <v/>
      </c>
      <c r="P813" s="2" t="str">
        <f t="shared" si="139"/>
        <v/>
      </c>
      <c r="Q813" s="1" t="str">
        <f t="shared" si="140"/>
        <v/>
      </c>
      <c r="R813" s="2" t="str">
        <f t="shared" si="141"/>
        <v/>
      </c>
      <c r="S813" s="1" t="str">
        <f t="shared" si="142"/>
        <v/>
      </c>
    </row>
    <row r="814" spans="1:19" x14ac:dyDescent="0.2">
      <c r="A814" t="str">
        <f>IF(COUNTBLANK(B814:S814)&lt;&gt;COLUMNS(B814:S814),813,"")</f>
        <v/>
      </c>
      <c r="C814" s="2" t="str">
        <f t="shared" si="132"/>
        <v/>
      </c>
      <c r="D814" s="1" t="str">
        <f t="shared" si="133"/>
        <v/>
      </c>
      <c r="E814" s="1" t="str">
        <f t="shared" si="134"/>
        <v/>
      </c>
      <c r="I814" s="1" t="str">
        <f t="shared" si="135"/>
        <v/>
      </c>
      <c r="J814" s="2" t="str">
        <f t="shared" si="136"/>
        <v/>
      </c>
      <c r="K814" s="1" t="str">
        <f t="shared" si="137"/>
        <v/>
      </c>
      <c r="O814" s="1" t="str">
        <f t="shared" si="138"/>
        <v/>
      </c>
      <c r="P814" s="2" t="str">
        <f t="shared" si="139"/>
        <v/>
      </c>
      <c r="Q814" s="1" t="str">
        <f t="shared" si="140"/>
        <v/>
      </c>
      <c r="R814" s="2" t="str">
        <f t="shared" si="141"/>
        <v/>
      </c>
      <c r="S814" s="1" t="str">
        <f t="shared" si="142"/>
        <v/>
      </c>
    </row>
    <row r="815" spans="1:19" x14ac:dyDescent="0.2">
      <c r="A815" t="str">
        <f>IF(COUNTBLANK(B815:S815)&lt;&gt;COLUMNS(B815:S815),814,"")</f>
        <v/>
      </c>
      <c r="C815" s="2" t="str">
        <f t="shared" si="132"/>
        <v/>
      </c>
      <c r="D815" s="1" t="str">
        <f t="shared" si="133"/>
        <v/>
      </c>
      <c r="E815" s="1" t="str">
        <f t="shared" si="134"/>
        <v/>
      </c>
      <c r="I815" s="1" t="str">
        <f t="shared" si="135"/>
        <v/>
      </c>
      <c r="J815" s="2" t="str">
        <f t="shared" si="136"/>
        <v/>
      </c>
      <c r="K815" s="1" t="str">
        <f t="shared" si="137"/>
        <v/>
      </c>
      <c r="O815" s="1" t="str">
        <f t="shared" si="138"/>
        <v/>
      </c>
      <c r="P815" s="2" t="str">
        <f t="shared" si="139"/>
        <v/>
      </c>
      <c r="Q815" s="1" t="str">
        <f t="shared" si="140"/>
        <v/>
      </c>
      <c r="R815" s="2" t="str">
        <f t="shared" si="141"/>
        <v/>
      </c>
      <c r="S815" s="1" t="str">
        <f t="shared" si="142"/>
        <v/>
      </c>
    </row>
    <row r="816" spans="1:19" x14ac:dyDescent="0.2">
      <c r="A816" t="str">
        <f>IF(COUNTBLANK(B816:S816)&lt;&gt;COLUMNS(B816:S816),815,"")</f>
        <v/>
      </c>
      <c r="C816" s="2" t="str">
        <f t="shared" si="132"/>
        <v/>
      </c>
      <c r="D816" s="1" t="str">
        <f t="shared" si="133"/>
        <v/>
      </c>
      <c r="E816" s="1" t="str">
        <f t="shared" si="134"/>
        <v/>
      </c>
      <c r="I816" s="1" t="str">
        <f t="shared" si="135"/>
        <v/>
      </c>
      <c r="J816" s="2" t="str">
        <f t="shared" si="136"/>
        <v/>
      </c>
      <c r="K816" s="1" t="str">
        <f t="shared" si="137"/>
        <v/>
      </c>
      <c r="O816" s="1" t="str">
        <f t="shared" si="138"/>
        <v/>
      </c>
      <c r="P816" s="2" t="str">
        <f t="shared" si="139"/>
        <v/>
      </c>
      <c r="Q816" s="1" t="str">
        <f t="shared" si="140"/>
        <v/>
      </c>
      <c r="R816" s="2" t="str">
        <f t="shared" si="141"/>
        <v/>
      </c>
      <c r="S816" s="1" t="str">
        <f t="shared" si="142"/>
        <v/>
      </c>
    </row>
    <row r="817" spans="1:19" x14ac:dyDescent="0.2">
      <c r="A817" t="str">
        <f>IF(COUNTBLANK(B817:S817)&lt;&gt;COLUMNS(B817:S817),816,"")</f>
        <v/>
      </c>
      <c r="C817" s="2" t="str">
        <f t="shared" si="132"/>
        <v/>
      </c>
      <c r="D817" s="1" t="str">
        <f t="shared" si="133"/>
        <v/>
      </c>
      <c r="E817" s="1" t="str">
        <f t="shared" si="134"/>
        <v/>
      </c>
      <c r="I817" s="1" t="str">
        <f t="shared" si="135"/>
        <v/>
      </c>
      <c r="J817" s="2" t="str">
        <f t="shared" si="136"/>
        <v/>
      </c>
      <c r="K817" s="1" t="str">
        <f t="shared" si="137"/>
        <v/>
      </c>
      <c r="O817" s="1" t="str">
        <f t="shared" si="138"/>
        <v/>
      </c>
      <c r="P817" s="2" t="str">
        <f t="shared" si="139"/>
        <v/>
      </c>
      <c r="Q817" s="1" t="str">
        <f t="shared" si="140"/>
        <v/>
      </c>
      <c r="R817" s="2" t="str">
        <f t="shared" si="141"/>
        <v/>
      </c>
      <c r="S817" s="1" t="str">
        <f t="shared" si="142"/>
        <v/>
      </c>
    </row>
    <row r="818" spans="1:19" x14ac:dyDescent="0.2">
      <c r="A818" t="str">
        <f>IF(COUNTBLANK(B818:S818)&lt;&gt;COLUMNS(B818:S818),817,"")</f>
        <v/>
      </c>
      <c r="C818" s="2" t="str">
        <f t="shared" si="132"/>
        <v/>
      </c>
      <c r="D818" s="1" t="str">
        <f t="shared" si="133"/>
        <v/>
      </c>
      <c r="E818" s="1" t="str">
        <f t="shared" si="134"/>
        <v/>
      </c>
      <c r="I818" s="1" t="str">
        <f t="shared" si="135"/>
        <v/>
      </c>
      <c r="J818" s="2" t="str">
        <f t="shared" si="136"/>
        <v/>
      </c>
      <c r="K818" s="1" t="str">
        <f t="shared" si="137"/>
        <v/>
      </c>
      <c r="O818" s="1" t="str">
        <f t="shared" si="138"/>
        <v/>
      </c>
      <c r="P818" s="2" t="str">
        <f t="shared" si="139"/>
        <v/>
      </c>
      <c r="Q818" s="1" t="str">
        <f t="shared" si="140"/>
        <v/>
      </c>
      <c r="R818" s="2" t="str">
        <f t="shared" si="141"/>
        <v/>
      </c>
      <c r="S818" s="1" t="str">
        <f t="shared" si="142"/>
        <v/>
      </c>
    </row>
    <row r="819" spans="1:19" x14ac:dyDescent="0.2">
      <c r="A819" t="str">
        <f>IF(COUNTBLANK(B819:S819)&lt;&gt;COLUMNS(B819:S819),818,"")</f>
        <v/>
      </c>
      <c r="C819" s="2" t="str">
        <f t="shared" si="132"/>
        <v/>
      </c>
      <c r="D819" s="1" t="str">
        <f t="shared" si="133"/>
        <v/>
      </c>
      <c r="E819" s="1" t="str">
        <f t="shared" si="134"/>
        <v/>
      </c>
      <c r="I819" s="1" t="str">
        <f t="shared" si="135"/>
        <v/>
      </c>
      <c r="J819" s="2" t="str">
        <f t="shared" si="136"/>
        <v/>
      </c>
      <c r="K819" s="1" t="str">
        <f t="shared" si="137"/>
        <v/>
      </c>
      <c r="O819" s="1" t="str">
        <f t="shared" si="138"/>
        <v/>
      </c>
      <c r="P819" s="2" t="str">
        <f t="shared" si="139"/>
        <v/>
      </c>
      <c r="Q819" s="1" t="str">
        <f t="shared" si="140"/>
        <v/>
      </c>
      <c r="R819" s="2" t="str">
        <f t="shared" si="141"/>
        <v/>
      </c>
      <c r="S819" s="1" t="str">
        <f t="shared" si="142"/>
        <v/>
      </c>
    </row>
    <row r="820" spans="1:19" x14ac:dyDescent="0.2">
      <c r="A820" t="str">
        <f>IF(COUNTBLANK(B820:S820)&lt;&gt;COLUMNS(B820:S820),819,"")</f>
        <v/>
      </c>
      <c r="C820" s="2" t="str">
        <f t="shared" si="132"/>
        <v/>
      </c>
      <c r="D820" s="1" t="str">
        <f t="shared" si="133"/>
        <v/>
      </c>
      <c r="E820" s="1" t="str">
        <f t="shared" si="134"/>
        <v/>
      </c>
      <c r="I820" s="1" t="str">
        <f t="shared" si="135"/>
        <v/>
      </c>
      <c r="J820" s="2" t="str">
        <f t="shared" si="136"/>
        <v/>
      </c>
      <c r="K820" s="1" t="str">
        <f t="shared" si="137"/>
        <v/>
      </c>
      <c r="O820" s="1" t="str">
        <f t="shared" si="138"/>
        <v/>
      </c>
      <c r="P820" s="2" t="str">
        <f t="shared" si="139"/>
        <v/>
      </c>
      <c r="Q820" s="1" t="str">
        <f t="shared" si="140"/>
        <v/>
      </c>
      <c r="R820" s="2" t="str">
        <f t="shared" si="141"/>
        <v/>
      </c>
      <c r="S820" s="1" t="str">
        <f t="shared" si="142"/>
        <v/>
      </c>
    </row>
    <row r="821" spans="1:19" x14ac:dyDescent="0.2">
      <c r="A821" t="str">
        <f>IF(COUNTBLANK(B821:S821)&lt;&gt;COLUMNS(B821:S821),820,"")</f>
        <v/>
      </c>
      <c r="C821" s="2" t="str">
        <f t="shared" si="132"/>
        <v/>
      </c>
      <c r="D821" s="1" t="str">
        <f t="shared" si="133"/>
        <v/>
      </c>
      <c r="E821" s="1" t="str">
        <f t="shared" si="134"/>
        <v/>
      </c>
      <c r="I821" s="1" t="str">
        <f t="shared" si="135"/>
        <v/>
      </c>
      <c r="J821" s="2" t="str">
        <f t="shared" si="136"/>
        <v/>
      </c>
      <c r="K821" s="1" t="str">
        <f t="shared" si="137"/>
        <v/>
      </c>
      <c r="O821" s="1" t="str">
        <f t="shared" si="138"/>
        <v/>
      </c>
      <c r="P821" s="2" t="str">
        <f t="shared" si="139"/>
        <v/>
      </c>
      <c r="Q821" s="1" t="str">
        <f t="shared" si="140"/>
        <v/>
      </c>
      <c r="R821" s="2" t="str">
        <f t="shared" si="141"/>
        <v/>
      </c>
      <c r="S821" s="1" t="str">
        <f t="shared" si="142"/>
        <v/>
      </c>
    </row>
    <row r="822" spans="1:19" x14ac:dyDescent="0.2">
      <c r="A822" t="str">
        <f>IF(COUNTBLANK(B822:S822)&lt;&gt;COLUMNS(B822:S822),821,"")</f>
        <v/>
      </c>
      <c r="C822" s="2" t="str">
        <f t="shared" si="132"/>
        <v/>
      </c>
      <c r="D822" s="1" t="str">
        <f t="shared" si="133"/>
        <v/>
      </c>
      <c r="E822" s="1" t="str">
        <f t="shared" si="134"/>
        <v/>
      </c>
      <c r="I822" s="1" t="str">
        <f t="shared" si="135"/>
        <v/>
      </c>
      <c r="J822" s="2" t="str">
        <f t="shared" si="136"/>
        <v/>
      </c>
      <c r="K822" s="1" t="str">
        <f t="shared" si="137"/>
        <v/>
      </c>
      <c r="O822" s="1" t="str">
        <f t="shared" si="138"/>
        <v/>
      </c>
      <c r="P822" s="2" t="str">
        <f t="shared" si="139"/>
        <v/>
      </c>
      <c r="Q822" s="1" t="str">
        <f t="shared" si="140"/>
        <v/>
      </c>
      <c r="R822" s="2" t="str">
        <f t="shared" si="141"/>
        <v/>
      </c>
      <c r="S822" s="1" t="str">
        <f t="shared" si="142"/>
        <v/>
      </c>
    </row>
    <row r="823" spans="1:19" x14ac:dyDescent="0.2">
      <c r="A823" t="str">
        <f>IF(COUNTBLANK(B823:S823)&lt;&gt;COLUMNS(B823:S823),822,"")</f>
        <v/>
      </c>
      <c r="C823" s="2" t="str">
        <f t="shared" si="132"/>
        <v/>
      </c>
      <c r="D823" s="1" t="str">
        <f t="shared" si="133"/>
        <v/>
      </c>
      <c r="E823" s="1" t="str">
        <f t="shared" si="134"/>
        <v/>
      </c>
      <c r="I823" s="1" t="str">
        <f t="shared" si="135"/>
        <v/>
      </c>
      <c r="J823" s="2" t="str">
        <f t="shared" si="136"/>
        <v/>
      </c>
      <c r="K823" s="1" t="str">
        <f t="shared" si="137"/>
        <v/>
      </c>
      <c r="O823" s="1" t="str">
        <f t="shared" si="138"/>
        <v/>
      </c>
      <c r="P823" s="2" t="str">
        <f t="shared" si="139"/>
        <v/>
      </c>
      <c r="Q823" s="1" t="str">
        <f t="shared" si="140"/>
        <v/>
      </c>
      <c r="R823" s="2" t="str">
        <f t="shared" si="141"/>
        <v/>
      </c>
      <c r="S823" s="1" t="str">
        <f t="shared" si="142"/>
        <v/>
      </c>
    </row>
    <row r="824" spans="1:19" x14ac:dyDescent="0.2">
      <c r="A824" t="str">
        <f>IF(COUNTBLANK(B824:S824)&lt;&gt;COLUMNS(B824:S824),823,"")</f>
        <v/>
      </c>
      <c r="C824" s="2" t="str">
        <f t="shared" si="132"/>
        <v/>
      </c>
      <c r="D824" s="1" t="str">
        <f t="shared" si="133"/>
        <v/>
      </c>
      <c r="E824" s="1" t="str">
        <f t="shared" si="134"/>
        <v/>
      </c>
      <c r="I824" s="1" t="str">
        <f t="shared" si="135"/>
        <v/>
      </c>
      <c r="J824" s="2" t="str">
        <f t="shared" si="136"/>
        <v/>
      </c>
      <c r="K824" s="1" t="str">
        <f t="shared" si="137"/>
        <v/>
      </c>
      <c r="O824" s="1" t="str">
        <f t="shared" si="138"/>
        <v/>
      </c>
      <c r="P824" s="2" t="str">
        <f t="shared" si="139"/>
        <v/>
      </c>
      <c r="Q824" s="1" t="str">
        <f t="shared" si="140"/>
        <v/>
      </c>
      <c r="R824" s="2" t="str">
        <f t="shared" si="141"/>
        <v/>
      </c>
      <c r="S824" s="1" t="str">
        <f t="shared" si="142"/>
        <v/>
      </c>
    </row>
    <row r="825" spans="1:19" x14ac:dyDescent="0.2">
      <c r="A825" t="str">
        <f>IF(COUNTBLANK(B825:S825)&lt;&gt;COLUMNS(B825:S825),824,"")</f>
        <v/>
      </c>
      <c r="C825" s="2" t="str">
        <f t="shared" si="132"/>
        <v/>
      </c>
      <c r="D825" s="1" t="str">
        <f t="shared" si="133"/>
        <v/>
      </c>
      <c r="E825" s="1" t="str">
        <f t="shared" si="134"/>
        <v/>
      </c>
      <c r="I825" s="1" t="str">
        <f t="shared" si="135"/>
        <v/>
      </c>
      <c r="J825" s="2" t="str">
        <f t="shared" si="136"/>
        <v/>
      </c>
      <c r="K825" s="1" t="str">
        <f t="shared" si="137"/>
        <v/>
      </c>
      <c r="O825" s="1" t="str">
        <f t="shared" si="138"/>
        <v/>
      </c>
      <c r="P825" s="2" t="str">
        <f t="shared" si="139"/>
        <v/>
      </c>
      <c r="Q825" s="1" t="str">
        <f t="shared" si="140"/>
        <v/>
      </c>
      <c r="R825" s="2" t="str">
        <f t="shared" si="141"/>
        <v/>
      </c>
      <c r="S825" s="1" t="str">
        <f t="shared" si="142"/>
        <v/>
      </c>
    </row>
    <row r="826" spans="1:19" x14ac:dyDescent="0.2">
      <c r="A826" t="str">
        <f>IF(COUNTBLANK(B826:S826)&lt;&gt;COLUMNS(B826:S826),825,"")</f>
        <v/>
      </c>
      <c r="C826" s="2" t="str">
        <f t="shared" si="132"/>
        <v/>
      </c>
      <c r="D826" s="1" t="str">
        <f t="shared" si="133"/>
        <v/>
      </c>
      <c r="E826" s="1" t="str">
        <f t="shared" si="134"/>
        <v/>
      </c>
      <c r="I826" s="1" t="str">
        <f t="shared" si="135"/>
        <v/>
      </c>
      <c r="J826" s="2" t="str">
        <f t="shared" si="136"/>
        <v/>
      </c>
      <c r="K826" s="1" t="str">
        <f t="shared" si="137"/>
        <v/>
      </c>
      <c r="O826" s="1" t="str">
        <f t="shared" si="138"/>
        <v/>
      </c>
      <c r="P826" s="2" t="str">
        <f t="shared" si="139"/>
        <v/>
      </c>
      <c r="Q826" s="1" t="str">
        <f t="shared" si="140"/>
        <v/>
      </c>
      <c r="R826" s="2" t="str">
        <f t="shared" si="141"/>
        <v/>
      </c>
      <c r="S826" s="1" t="str">
        <f t="shared" si="142"/>
        <v/>
      </c>
    </row>
    <row r="827" spans="1:19" x14ac:dyDescent="0.2">
      <c r="A827" t="str">
        <f>IF(COUNTBLANK(B827:S827)&lt;&gt;COLUMNS(B827:S827),826,"")</f>
        <v/>
      </c>
      <c r="C827" s="2" t="str">
        <f t="shared" si="132"/>
        <v/>
      </c>
      <c r="D827" s="1" t="str">
        <f t="shared" si="133"/>
        <v/>
      </c>
      <c r="E827" s="1" t="str">
        <f t="shared" si="134"/>
        <v/>
      </c>
      <c r="I827" s="1" t="str">
        <f t="shared" si="135"/>
        <v/>
      </c>
      <c r="J827" s="2" t="str">
        <f t="shared" si="136"/>
        <v/>
      </c>
      <c r="K827" s="1" t="str">
        <f t="shared" si="137"/>
        <v/>
      </c>
      <c r="O827" s="1" t="str">
        <f t="shared" si="138"/>
        <v/>
      </c>
      <c r="P827" s="2" t="str">
        <f t="shared" si="139"/>
        <v/>
      </c>
      <c r="Q827" s="1" t="str">
        <f t="shared" si="140"/>
        <v/>
      </c>
      <c r="R827" s="2" t="str">
        <f t="shared" si="141"/>
        <v/>
      </c>
      <c r="S827" s="1" t="str">
        <f t="shared" si="142"/>
        <v/>
      </c>
    </row>
    <row r="828" spans="1:19" x14ac:dyDescent="0.2">
      <c r="A828" t="str">
        <f>IF(COUNTBLANK(B828:S828)&lt;&gt;COLUMNS(B828:S828),827,"")</f>
        <v/>
      </c>
      <c r="C828" s="2" t="str">
        <f t="shared" si="132"/>
        <v/>
      </c>
      <c r="D828" s="1" t="str">
        <f t="shared" si="133"/>
        <v/>
      </c>
      <c r="E828" s="1" t="str">
        <f t="shared" si="134"/>
        <v/>
      </c>
      <c r="I828" s="1" t="str">
        <f t="shared" si="135"/>
        <v/>
      </c>
      <c r="J828" s="2" t="str">
        <f t="shared" si="136"/>
        <v/>
      </c>
      <c r="K828" s="1" t="str">
        <f t="shared" si="137"/>
        <v/>
      </c>
      <c r="O828" s="1" t="str">
        <f t="shared" si="138"/>
        <v/>
      </c>
      <c r="P828" s="2" t="str">
        <f t="shared" si="139"/>
        <v/>
      </c>
      <c r="Q828" s="1" t="str">
        <f t="shared" si="140"/>
        <v/>
      </c>
      <c r="R828" s="2" t="str">
        <f t="shared" si="141"/>
        <v/>
      </c>
      <c r="S828" s="1" t="str">
        <f t="shared" si="142"/>
        <v/>
      </c>
    </row>
    <row r="829" spans="1:19" x14ac:dyDescent="0.2">
      <c r="A829" t="str">
        <f>IF(COUNTBLANK(B829:S829)&lt;&gt;COLUMNS(B829:S829),828,"")</f>
        <v/>
      </c>
      <c r="C829" s="2" t="str">
        <f t="shared" si="132"/>
        <v/>
      </c>
      <c r="D829" s="1" t="str">
        <f t="shared" si="133"/>
        <v/>
      </c>
      <c r="E829" s="1" t="str">
        <f t="shared" si="134"/>
        <v/>
      </c>
      <c r="I829" s="1" t="str">
        <f t="shared" si="135"/>
        <v/>
      </c>
      <c r="J829" s="2" t="str">
        <f t="shared" si="136"/>
        <v/>
      </c>
      <c r="K829" s="1" t="str">
        <f t="shared" si="137"/>
        <v/>
      </c>
      <c r="O829" s="1" t="str">
        <f t="shared" si="138"/>
        <v/>
      </c>
      <c r="P829" s="2" t="str">
        <f t="shared" si="139"/>
        <v/>
      </c>
      <c r="Q829" s="1" t="str">
        <f t="shared" si="140"/>
        <v/>
      </c>
      <c r="R829" s="2" t="str">
        <f t="shared" si="141"/>
        <v/>
      </c>
      <c r="S829" s="1" t="str">
        <f t="shared" si="142"/>
        <v/>
      </c>
    </row>
    <row r="830" spans="1:19" x14ac:dyDescent="0.2">
      <c r="A830" t="str">
        <f>IF(COUNTBLANK(B830:S830)&lt;&gt;COLUMNS(B830:S830),829,"")</f>
        <v/>
      </c>
      <c r="C830" s="2" t="str">
        <f t="shared" si="132"/>
        <v/>
      </c>
      <c r="D830" s="1" t="str">
        <f t="shared" si="133"/>
        <v/>
      </c>
      <c r="E830" s="1" t="str">
        <f t="shared" si="134"/>
        <v/>
      </c>
      <c r="I830" s="1" t="str">
        <f t="shared" si="135"/>
        <v/>
      </c>
      <c r="J830" s="2" t="str">
        <f t="shared" si="136"/>
        <v/>
      </c>
      <c r="K830" s="1" t="str">
        <f t="shared" si="137"/>
        <v/>
      </c>
      <c r="O830" s="1" t="str">
        <f t="shared" si="138"/>
        <v/>
      </c>
      <c r="P830" s="2" t="str">
        <f t="shared" si="139"/>
        <v/>
      </c>
      <c r="Q830" s="1" t="str">
        <f t="shared" si="140"/>
        <v/>
      </c>
      <c r="R830" s="2" t="str">
        <f t="shared" si="141"/>
        <v/>
      </c>
      <c r="S830" s="1" t="str">
        <f t="shared" si="142"/>
        <v/>
      </c>
    </row>
    <row r="831" spans="1:19" x14ac:dyDescent="0.2">
      <c r="A831" t="str">
        <f>IF(COUNTBLANK(B831:S831)&lt;&gt;COLUMNS(B831:S831),830,"")</f>
        <v/>
      </c>
      <c r="C831" s="2" t="str">
        <f t="shared" si="132"/>
        <v/>
      </c>
      <c r="D831" s="1" t="str">
        <f t="shared" si="133"/>
        <v/>
      </c>
      <c r="E831" s="1" t="str">
        <f t="shared" si="134"/>
        <v/>
      </c>
      <c r="I831" s="1" t="str">
        <f t="shared" si="135"/>
        <v/>
      </c>
      <c r="J831" s="2" t="str">
        <f t="shared" si="136"/>
        <v/>
      </c>
      <c r="K831" s="1" t="str">
        <f t="shared" si="137"/>
        <v/>
      </c>
      <c r="O831" s="1" t="str">
        <f t="shared" si="138"/>
        <v/>
      </c>
      <c r="P831" s="2" t="str">
        <f t="shared" si="139"/>
        <v/>
      </c>
      <c r="Q831" s="1" t="str">
        <f t="shared" si="140"/>
        <v/>
      </c>
      <c r="R831" s="2" t="str">
        <f t="shared" si="141"/>
        <v/>
      </c>
      <c r="S831" s="1" t="str">
        <f t="shared" si="142"/>
        <v/>
      </c>
    </row>
    <row r="832" spans="1:19" x14ac:dyDescent="0.2">
      <c r="A832" t="str">
        <f>IF(COUNTBLANK(B832:S832)&lt;&gt;COLUMNS(B832:S832),831,"")</f>
        <v/>
      </c>
      <c r="C832" s="2" t="str">
        <f t="shared" si="132"/>
        <v/>
      </c>
      <c r="D832" s="1" t="str">
        <f t="shared" si="133"/>
        <v/>
      </c>
      <c r="E832" s="1" t="str">
        <f t="shared" si="134"/>
        <v/>
      </c>
      <c r="I832" s="1" t="str">
        <f t="shared" si="135"/>
        <v/>
      </c>
      <c r="J832" s="2" t="str">
        <f t="shared" si="136"/>
        <v/>
      </c>
      <c r="K832" s="1" t="str">
        <f t="shared" si="137"/>
        <v/>
      </c>
      <c r="O832" s="1" t="str">
        <f t="shared" si="138"/>
        <v/>
      </c>
      <c r="P832" s="2" t="str">
        <f t="shared" si="139"/>
        <v/>
      </c>
      <c r="Q832" s="1" t="str">
        <f t="shared" si="140"/>
        <v/>
      </c>
      <c r="R832" s="2" t="str">
        <f t="shared" si="141"/>
        <v/>
      </c>
      <c r="S832" s="1" t="str">
        <f t="shared" si="142"/>
        <v/>
      </c>
    </row>
    <row r="833" spans="1:19" x14ac:dyDescent="0.2">
      <c r="A833" t="str">
        <f>IF(COUNTBLANK(B833:S833)&lt;&gt;COLUMNS(B833:S833),832,"")</f>
        <v/>
      </c>
      <c r="C833" s="2" t="str">
        <f t="shared" si="132"/>
        <v/>
      </c>
      <c r="D833" s="1" t="str">
        <f t="shared" si="133"/>
        <v/>
      </c>
      <c r="E833" s="1" t="str">
        <f t="shared" si="134"/>
        <v/>
      </c>
      <c r="I833" s="1" t="str">
        <f t="shared" si="135"/>
        <v/>
      </c>
      <c r="J833" s="2" t="str">
        <f t="shared" si="136"/>
        <v/>
      </c>
      <c r="K833" s="1" t="str">
        <f t="shared" si="137"/>
        <v/>
      </c>
      <c r="O833" s="1" t="str">
        <f t="shared" si="138"/>
        <v/>
      </c>
      <c r="P833" s="2" t="str">
        <f t="shared" si="139"/>
        <v/>
      </c>
      <c r="Q833" s="1" t="str">
        <f t="shared" si="140"/>
        <v/>
      </c>
      <c r="R833" s="2" t="str">
        <f t="shared" si="141"/>
        <v/>
      </c>
      <c r="S833" s="1" t="str">
        <f t="shared" si="142"/>
        <v/>
      </c>
    </row>
    <row r="834" spans="1:19" x14ac:dyDescent="0.2">
      <c r="A834" t="str">
        <f>IF(COUNTBLANK(B834:S834)&lt;&gt;COLUMNS(B834:S834),833,"")</f>
        <v/>
      </c>
      <c r="C834" s="2" t="str">
        <f t="shared" ref="C834:C897" si="143">IF(B834="", "", "missing: not provided")</f>
        <v/>
      </c>
      <c r="D834" s="1" t="str">
        <f t="shared" ref="D834:D897" si="144">IF(B834="", "", " missing: not provided")</f>
        <v/>
      </c>
      <c r="E834" s="1" t="str">
        <f t="shared" ref="E834:E897" si="145">IF(B834="", "", "Host-associated")</f>
        <v/>
      </c>
      <c r="I834" s="1" t="str">
        <f t="shared" ref="I834:I897" si="146">IF(B834="", "", "host-associated")</f>
        <v/>
      </c>
      <c r="J834" s="2" t="str">
        <f t="shared" ref="J834:J897" si="147">IF(B834="", "", "missing: not provided")</f>
        <v/>
      </c>
      <c r="K834" s="1" t="str">
        <f t="shared" ref="K834:K897" si="148">IF(B834="", "", " missing: not provided")</f>
        <v/>
      </c>
      <c r="O834" s="1" t="str">
        <f t="shared" ref="O834:O897" si="149">IF(B834="", "", "Not applicable")</f>
        <v/>
      </c>
      <c r="P834" s="2" t="str">
        <f t="shared" ref="P834:P897" si="150">IF(B834="", "", "missing: not provided")</f>
        <v/>
      </c>
      <c r="Q834" s="1" t="str">
        <f t="shared" ref="Q834:Q897" si="151">IF(B834="", "", "Not applicable")</f>
        <v/>
      </c>
      <c r="R834" s="2" t="str">
        <f t="shared" ref="R834:R897" si="152">IF(B834="", "", "missing: not provided")</f>
        <v/>
      </c>
      <c r="S834" s="1" t="str">
        <f t="shared" ref="S834:S897" si="153">IF(B834="", "", " missing: not provided")</f>
        <v/>
      </c>
    </row>
    <row r="835" spans="1:19" x14ac:dyDescent="0.2">
      <c r="A835" t="str">
        <f>IF(COUNTBLANK(B835:S835)&lt;&gt;COLUMNS(B835:S835),834,"")</f>
        <v/>
      </c>
      <c r="C835" s="2" t="str">
        <f t="shared" si="143"/>
        <v/>
      </c>
      <c r="D835" s="1" t="str">
        <f t="shared" si="144"/>
        <v/>
      </c>
      <c r="E835" s="1" t="str">
        <f t="shared" si="145"/>
        <v/>
      </c>
      <c r="I835" s="1" t="str">
        <f t="shared" si="146"/>
        <v/>
      </c>
      <c r="J835" s="2" t="str">
        <f t="shared" si="147"/>
        <v/>
      </c>
      <c r="K835" s="1" t="str">
        <f t="shared" si="148"/>
        <v/>
      </c>
      <c r="O835" s="1" t="str">
        <f t="shared" si="149"/>
        <v/>
      </c>
      <c r="P835" s="2" t="str">
        <f t="shared" si="150"/>
        <v/>
      </c>
      <c r="Q835" s="1" t="str">
        <f t="shared" si="151"/>
        <v/>
      </c>
      <c r="R835" s="2" t="str">
        <f t="shared" si="152"/>
        <v/>
      </c>
      <c r="S835" s="1" t="str">
        <f t="shared" si="153"/>
        <v/>
      </c>
    </row>
    <row r="836" spans="1:19" x14ac:dyDescent="0.2">
      <c r="A836" t="str">
        <f>IF(COUNTBLANK(B836:S836)&lt;&gt;COLUMNS(B836:S836),835,"")</f>
        <v/>
      </c>
      <c r="C836" s="2" t="str">
        <f t="shared" si="143"/>
        <v/>
      </c>
      <c r="D836" s="1" t="str">
        <f t="shared" si="144"/>
        <v/>
      </c>
      <c r="E836" s="1" t="str">
        <f t="shared" si="145"/>
        <v/>
      </c>
      <c r="I836" s="1" t="str">
        <f t="shared" si="146"/>
        <v/>
      </c>
      <c r="J836" s="2" t="str">
        <f t="shared" si="147"/>
        <v/>
      </c>
      <c r="K836" s="1" t="str">
        <f t="shared" si="148"/>
        <v/>
      </c>
      <c r="O836" s="1" t="str">
        <f t="shared" si="149"/>
        <v/>
      </c>
      <c r="P836" s="2" t="str">
        <f t="shared" si="150"/>
        <v/>
      </c>
      <c r="Q836" s="1" t="str">
        <f t="shared" si="151"/>
        <v/>
      </c>
      <c r="R836" s="2" t="str">
        <f t="shared" si="152"/>
        <v/>
      </c>
      <c r="S836" s="1" t="str">
        <f t="shared" si="153"/>
        <v/>
      </c>
    </row>
    <row r="837" spans="1:19" x14ac:dyDescent="0.2">
      <c r="A837" t="str">
        <f>IF(COUNTBLANK(B837:S837)&lt;&gt;COLUMNS(B837:S837),836,"")</f>
        <v/>
      </c>
      <c r="C837" s="2" t="str">
        <f t="shared" si="143"/>
        <v/>
      </c>
      <c r="D837" s="1" t="str">
        <f t="shared" si="144"/>
        <v/>
      </c>
      <c r="E837" s="1" t="str">
        <f t="shared" si="145"/>
        <v/>
      </c>
      <c r="I837" s="1" t="str">
        <f t="shared" si="146"/>
        <v/>
      </c>
      <c r="J837" s="2" t="str">
        <f t="shared" si="147"/>
        <v/>
      </c>
      <c r="K837" s="1" t="str">
        <f t="shared" si="148"/>
        <v/>
      </c>
      <c r="O837" s="1" t="str">
        <f t="shared" si="149"/>
        <v/>
      </c>
      <c r="P837" s="2" t="str">
        <f t="shared" si="150"/>
        <v/>
      </c>
      <c r="Q837" s="1" t="str">
        <f t="shared" si="151"/>
        <v/>
      </c>
      <c r="R837" s="2" t="str">
        <f t="shared" si="152"/>
        <v/>
      </c>
      <c r="S837" s="1" t="str">
        <f t="shared" si="153"/>
        <v/>
      </c>
    </row>
    <row r="838" spans="1:19" x14ac:dyDescent="0.2">
      <c r="A838" t="str">
        <f>IF(COUNTBLANK(B838:S838)&lt;&gt;COLUMNS(B838:S838),837,"")</f>
        <v/>
      </c>
      <c r="C838" s="2" t="str">
        <f t="shared" si="143"/>
        <v/>
      </c>
      <c r="D838" s="1" t="str">
        <f t="shared" si="144"/>
        <v/>
      </c>
      <c r="E838" s="1" t="str">
        <f t="shared" si="145"/>
        <v/>
      </c>
      <c r="I838" s="1" t="str">
        <f t="shared" si="146"/>
        <v/>
      </c>
      <c r="J838" s="2" t="str">
        <f t="shared" si="147"/>
        <v/>
      </c>
      <c r="K838" s="1" t="str">
        <f t="shared" si="148"/>
        <v/>
      </c>
      <c r="O838" s="1" t="str">
        <f t="shared" si="149"/>
        <v/>
      </c>
      <c r="P838" s="2" t="str">
        <f t="shared" si="150"/>
        <v/>
      </c>
      <c r="Q838" s="1" t="str">
        <f t="shared" si="151"/>
        <v/>
      </c>
      <c r="R838" s="2" t="str">
        <f t="shared" si="152"/>
        <v/>
      </c>
      <c r="S838" s="1" t="str">
        <f t="shared" si="153"/>
        <v/>
      </c>
    </row>
    <row r="839" spans="1:19" x14ac:dyDescent="0.2">
      <c r="A839" t="str">
        <f>IF(COUNTBLANK(B839:S839)&lt;&gt;COLUMNS(B839:S839),838,"")</f>
        <v/>
      </c>
      <c r="C839" s="2" t="str">
        <f t="shared" si="143"/>
        <v/>
      </c>
      <c r="D839" s="1" t="str">
        <f t="shared" si="144"/>
        <v/>
      </c>
      <c r="E839" s="1" t="str">
        <f t="shared" si="145"/>
        <v/>
      </c>
      <c r="I839" s="1" t="str">
        <f t="shared" si="146"/>
        <v/>
      </c>
      <c r="J839" s="2" t="str">
        <f t="shared" si="147"/>
        <v/>
      </c>
      <c r="K839" s="1" t="str">
        <f t="shared" si="148"/>
        <v/>
      </c>
      <c r="O839" s="1" t="str">
        <f t="shared" si="149"/>
        <v/>
      </c>
      <c r="P839" s="2" t="str">
        <f t="shared" si="150"/>
        <v/>
      </c>
      <c r="Q839" s="1" t="str">
        <f t="shared" si="151"/>
        <v/>
      </c>
      <c r="R839" s="2" t="str">
        <f t="shared" si="152"/>
        <v/>
      </c>
      <c r="S839" s="1" t="str">
        <f t="shared" si="153"/>
        <v/>
      </c>
    </row>
    <row r="840" spans="1:19" x14ac:dyDescent="0.2">
      <c r="A840" t="str">
        <f>IF(COUNTBLANK(B840:S840)&lt;&gt;COLUMNS(B840:S840),839,"")</f>
        <v/>
      </c>
      <c r="C840" s="2" t="str">
        <f t="shared" si="143"/>
        <v/>
      </c>
      <c r="D840" s="1" t="str">
        <f t="shared" si="144"/>
        <v/>
      </c>
      <c r="E840" s="1" t="str">
        <f t="shared" si="145"/>
        <v/>
      </c>
      <c r="I840" s="1" t="str">
        <f t="shared" si="146"/>
        <v/>
      </c>
      <c r="J840" s="2" t="str">
        <f t="shared" si="147"/>
        <v/>
      </c>
      <c r="K840" s="1" t="str">
        <f t="shared" si="148"/>
        <v/>
      </c>
      <c r="O840" s="1" t="str">
        <f t="shared" si="149"/>
        <v/>
      </c>
      <c r="P840" s="2" t="str">
        <f t="shared" si="150"/>
        <v/>
      </c>
      <c r="Q840" s="1" t="str">
        <f t="shared" si="151"/>
        <v/>
      </c>
      <c r="R840" s="2" t="str">
        <f t="shared" si="152"/>
        <v/>
      </c>
      <c r="S840" s="1" t="str">
        <f t="shared" si="153"/>
        <v/>
      </c>
    </row>
    <row r="841" spans="1:19" x14ac:dyDescent="0.2">
      <c r="A841" t="str">
        <f>IF(COUNTBLANK(B841:S841)&lt;&gt;COLUMNS(B841:S841),840,"")</f>
        <v/>
      </c>
      <c r="C841" s="2" t="str">
        <f t="shared" si="143"/>
        <v/>
      </c>
      <c r="D841" s="1" t="str">
        <f t="shared" si="144"/>
        <v/>
      </c>
      <c r="E841" s="1" t="str">
        <f t="shared" si="145"/>
        <v/>
      </c>
      <c r="I841" s="1" t="str">
        <f t="shared" si="146"/>
        <v/>
      </c>
      <c r="J841" s="2" t="str">
        <f t="shared" si="147"/>
        <v/>
      </c>
      <c r="K841" s="1" t="str">
        <f t="shared" si="148"/>
        <v/>
      </c>
      <c r="O841" s="1" t="str">
        <f t="shared" si="149"/>
        <v/>
      </c>
      <c r="P841" s="2" t="str">
        <f t="shared" si="150"/>
        <v/>
      </c>
      <c r="Q841" s="1" t="str">
        <f t="shared" si="151"/>
        <v/>
      </c>
      <c r="R841" s="2" t="str">
        <f t="shared" si="152"/>
        <v/>
      </c>
      <c r="S841" s="1" t="str">
        <f t="shared" si="153"/>
        <v/>
      </c>
    </row>
    <row r="842" spans="1:19" x14ac:dyDescent="0.2">
      <c r="A842" t="str">
        <f>IF(COUNTBLANK(B842:S842)&lt;&gt;COLUMNS(B842:S842),841,"")</f>
        <v/>
      </c>
      <c r="C842" s="2" t="str">
        <f t="shared" si="143"/>
        <v/>
      </c>
      <c r="D842" s="1" t="str">
        <f t="shared" si="144"/>
        <v/>
      </c>
      <c r="E842" s="1" t="str">
        <f t="shared" si="145"/>
        <v/>
      </c>
      <c r="I842" s="1" t="str">
        <f t="shared" si="146"/>
        <v/>
      </c>
      <c r="J842" s="2" t="str">
        <f t="shared" si="147"/>
        <v/>
      </c>
      <c r="K842" s="1" t="str">
        <f t="shared" si="148"/>
        <v/>
      </c>
      <c r="O842" s="1" t="str">
        <f t="shared" si="149"/>
        <v/>
      </c>
      <c r="P842" s="2" t="str">
        <f t="shared" si="150"/>
        <v/>
      </c>
      <c r="Q842" s="1" t="str">
        <f t="shared" si="151"/>
        <v/>
      </c>
      <c r="R842" s="2" t="str">
        <f t="shared" si="152"/>
        <v/>
      </c>
      <c r="S842" s="1" t="str">
        <f t="shared" si="153"/>
        <v/>
      </c>
    </row>
    <row r="843" spans="1:19" x14ac:dyDescent="0.2">
      <c r="A843" t="str">
        <f>IF(COUNTBLANK(B843:S843)&lt;&gt;COLUMNS(B843:S843),842,"")</f>
        <v/>
      </c>
      <c r="C843" s="2" t="str">
        <f t="shared" si="143"/>
        <v/>
      </c>
      <c r="D843" s="1" t="str">
        <f t="shared" si="144"/>
        <v/>
      </c>
      <c r="E843" s="1" t="str">
        <f t="shared" si="145"/>
        <v/>
      </c>
      <c r="I843" s="1" t="str">
        <f t="shared" si="146"/>
        <v/>
      </c>
      <c r="J843" s="2" t="str">
        <f t="shared" si="147"/>
        <v/>
      </c>
      <c r="K843" s="1" t="str">
        <f t="shared" si="148"/>
        <v/>
      </c>
      <c r="O843" s="1" t="str">
        <f t="shared" si="149"/>
        <v/>
      </c>
      <c r="P843" s="2" t="str">
        <f t="shared" si="150"/>
        <v/>
      </c>
      <c r="Q843" s="1" t="str">
        <f t="shared" si="151"/>
        <v/>
      </c>
      <c r="R843" s="2" t="str">
        <f t="shared" si="152"/>
        <v/>
      </c>
      <c r="S843" s="1" t="str">
        <f t="shared" si="153"/>
        <v/>
      </c>
    </row>
    <row r="844" spans="1:19" x14ac:dyDescent="0.2">
      <c r="A844" t="str">
        <f>IF(COUNTBLANK(B844:S844)&lt;&gt;COLUMNS(B844:S844),843,"")</f>
        <v/>
      </c>
      <c r="C844" s="2" t="str">
        <f t="shared" si="143"/>
        <v/>
      </c>
      <c r="D844" s="1" t="str">
        <f t="shared" si="144"/>
        <v/>
      </c>
      <c r="E844" s="1" t="str">
        <f t="shared" si="145"/>
        <v/>
      </c>
      <c r="I844" s="1" t="str">
        <f t="shared" si="146"/>
        <v/>
      </c>
      <c r="J844" s="2" t="str">
        <f t="shared" si="147"/>
        <v/>
      </c>
      <c r="K844" s="1" t="str">
        <f t="shared" si="148"/>
        <v/>
      </c>
      <c r="O844" s="1" t="str">
        <f t="shared" si="149"/>
        <v/>
      </c>
      <c r="P844" s="2" t="str">
        <f t="shared" si="150"/>
        <v/>
      </c>
      <c r="Q844" s="1" t="str">
        <f t="shared" si="151"/>
        <v/>
      </c>
      <c r="R844" s="2" t="str">
        <f t="shared" si="152"/>
        <v/>
      </c>
      <c r="S844" s="1" t="str">
        <f t="shared" si="153"/>
        <v/>
      </c>
    </row>
    <row r="845" spans="1:19" x14ac:dyDescent="0.2">
      <c r="A845" t="str">
        <f>IF(COUNTBLANK(B845:S845)&lt;&gt;COLUMNS(B845:S845),844,"")</f>
        <v/>
      </c>
      <c r="C845" s="2" t="str">
        <f t="shared" si="143"/>
        <v/>
      </c>
      <c r="D845" s="1" t="str">
        <f t="shared" si="144"/>
        <v/>
      </c>
      <c r="E845" s="1" t="str">
        <f t="shared" si="145"/>
        <v/>
      </c>
      <c r="I845" s="1" t="str">
        <f t="shared" si="146"/>
        <v/>
      </c>
      <c r="J845" s="2" t="str">
        <f t="shared" si="147"/>
        <v/>
      </c>
      <c r="K845" s="1" t="str">
        <f t="shared" si="148"/>
        <v/>
      </c>
      <c r="O845" s="1" t="str">
        <f t="shared" si="149"/>
        <v/>
      </c>
      <c r="P845" s="2" t="str">
        <f t="shared" si="150"/>
        <v/>
      </c>
      <c r="Q845" s="1" t="str">
        <f t="shared" si="151"/>
        <v/>
      </c>
      <c r="R845" s="2" t="str">
        <f t="shared" si="152"/>
        <v/>
      </c>
      <c r="S845" s="1" t="str">
        <f t="shared" si="153"/>
        <v/>
      </c>
    </row>
    <row r="846" spans="1:19" x14ac:dyDescent="0.2">
      <c r="A846" t="str">
        <f>IF(COUNTBLANK(B846:S846)&lt;&gt;COLUMNS(B846:S846),845,"")</f>
        <v/>
      </c>
      <c r="C846" s="2" t="str">
        <f t="shared" si="143"/>
        <v/>
      </c>
      <c r="D846" s="1" t="str">
        <f t="shared" si="144"/>
        <v/>
      </c>
      <c r="E846" s="1" t="str">
        <f t="shared" si="145"/>
        <v/>
      </c>
      <c r="I846" s="1" t="str">
        <f t="shared" si="146"/>
        <v/>
      </c>
      <c r="J846" s="2" t="str">
        <f t="shared" si="147"/>
        <v/>
      </c>
      <c r="K846" s="1" t="str">
        <f t="shared" si="148"/>
        <v/>
      </c>
      <c r="O846" s="1" t="str">
        <f t="shared" si="149"/>
        <v/>
      </c>
      <c r="P846" s="2" t="str">
        <f t="shared" si="150"/>
        <v/>
      </c>
      <c r="Q846" s="1" t="str">
        <f t="shared" si="151"/>
        <v/>
      </c>
      <c r="R846" s="2" t="str">
        <f t="shared" si="152"/>
        <v/>
      </c>
      <c r="S846" s="1" t="str">
        <f t="shared" si="153"/>
        <v/>
      </c>
    </row>
    <row r="847" spans="1:19" x14ac:dyDescent="0.2">
      <c r="A847" t="str">
        <f>IF(COUNTBLANK(B847:S847)&lt;&gt;COLUMNS(B847:S847),846,"")</f>
        <v/>
      </c>
      <c r="C847" s="2" t="str">
        <f t="shared" si="143"/>
        <v/>
      </c>
      <c r="D847" s="1" t="str">
        <f t="shared" si="144"/>
        <v/>
      </c>
      <c r="E847" s="1" t="str">
        <f t="shared" si="145"/>
        <v/>
      </c>
      <c r="I847" s="1" t="str">
        <f t="shared" si="146"/>
        <v/>
      </c>
      <c r="J847" s="2" t="str">
        <f t="shared" si="147"/>
        <v/>
      </c>
      <c r="K847" s="1" t="str">
        <f t="shared" si="148"/>
        <v/>
      </c>
      <c r="O847" s="1" t="str">
        <f t="shared" si="149"/>
        <v/>
      </c>
      <c r="P847" s="2" t="str">
        <f t="shared" si="150"/>
        <v/>
      </c>
      <c r="Q847" s="1" t="str">
        <f t="shared" si="151"/>
        <v/>
      </c>
      <c r="R847" s="2" t="str">
        <f t="shared" si="152"/>
        <v/>
      </c>
      <c r="S847" s="1" t="str">
        <f t="shared" si="153"/>
        <v/>
      </c>
    </row>
    <row r="848" spans="1:19" x14ac:dyDescent="0.2">
      <c r="A848" t="str">
        <f>IF(COUNTBLANK(B848:S848)&lt;&gt;COLUMNS(B848:S848),847,"")</f>
        <v/>
      </c>
      <c r="C848" s="2" t="str">
        <f t="shared" si="143"/>
        <v/>
      </c>
      <c r="D848" s="1" t="str">
        <f t="shared" si="144"/>
        <v/>
      </c>
      <c r="E848" s="1" t="str">
        <f t="shared" si="145"/>
        <v/>
      </c>
      <c r="I848" s="1" t="str">
        <f t="shared" si="146"/>
        <v/>
      </c>
      <c r="J848" s="2" t="str">
        <f t="shared" si="147"/>
        <v/>
      </c>
      <c r="K848" s="1" t="str">
        <f t="shared" si="148"/>
        <v/>
      </c>
      <c r="O848" s="1" t="str">
        <f t="shared" si="149"/>
        <v/>
      </c>
      <c r="P848" s="2" t="str">
        <f t="shared" si="150"/>
        <v/>
      </c>
      <c r="Q848" s="1" t="str">
        <f t="shared" si="151"/>
        <v/>
      </c>
      <c r="R848" s="2" t="str">
        <f t="shared" si="152"/>
        <v/>
      </c>
      <c r="S848" s="1" t="str">
        <f t="shared" si="153"/>
        <v/>
      </c>
    </row>
    <row r="849" spans="1:19" x14ac:dyDescent="0.2">
      <c r="A849" t="str">
        <f>IF(COUNTBLANK(B849:S849)&lt;&gt;COLUMNS(B849:S849),848,"")</f>
        <v/>
      </c>
      <c r="C849" s="2" t="str">
        <f t="shared" si="143"/>
        <v/>
      </c>
      <c r="D849" s="1" t="str">
        <f t="shared" si="144"/>
        <v/>
      </c>
      <c r="E849" s="1" t="str">
        <f t="shared" si="145"/>
        <v/>
      </c>
      <c r="I849" s="1" t="str">
        <f t="shared" si="146"/>
        <v/>
      </c>
      <c r="J849" s="2" t="str">
        <f t="shared" si="147"/>
        <v/>
      </c>
      <c r="K849" s="1" t="str">
        <f t="shared" si="148"/>
        <v/>
      </c>
      <c r="O849" s="1" t="str">
        <f t="shared" si="149"/>
        <v/>
      </c>
      <c r="P849" s="2" t="str">
        <f t="shared" si="150"/>
        <v/>
      </c>
      <c r="Q849" s="1" t="str">
        <f t="shared" si="151"/>
        <v/>
      </c>
      <c r="R849" s="2" t="str">
        <f t="shared" si="152"/>
        <v/>
      </c>
      <c r="S849" s="1" t="str">
        <f t="shared" si="153"/>
        <v/>
      </c>
    </row>
    <row r="850" spans="1:19" x14ac:dyDescent="0.2">
      <c r="A850" t="str">
        <f>IF(COUNTBLANK(B850:S850)&lt;&gt;COLUMNS(B850:S850),849,"")</f>
        <v/>
      </c>
      <c r="C850" s="2" t="str">
        <f t="shared" si="143"/>
        <v/>
      </c>
      <c r="D850" s="1" t="str">
        <f t="shared" si="144"/>
        <v/>
      </c>
      <c r="E850" s="1" t="str">
        <f t="shared" si="145"/>
        <v/>
      </c>
      <c r="I850" s="1" t="str">
        <f t="shared" si="146"/>
        <v/>
      </c>
      <c r="J850" s="2" t="str">
        <f t="shared" si="147"/>
        <v/>
      </c>
      <c r="K850" s="1" t="str">
        <f t="shared" si="148"/>
        <v/>
      </c>
      <c r="O850" s="1" t="str">
        <f t="shared" si="149"/>
        <v/>
      </c>
      <c r="P850" s="2" t="str">
        <f t="shared" si="150"/>
        <v/>
      </c>
      <c r="Q850" s="1" t="str">
        <f t="shared" si="151"/>
        <v/>
      </c>
      <c r="R850" s="2" t="str">
        <f t="shared" si="152"/>
        <v/>
      </c>
      <c r="S850" s="1" t="str">
        <f t="shared" si="153"/>
        <v/>
      </c>
    </row>
    <row r="851" spans="1:19" x14ac:dyDescent="0.2">
      <c r="A851" t="str">
        <f>IF(COUNTBLANK(B851:S851)&lt;&gt;COLUMNS(B851:S851),850,"")</f>
        <v/>
      </c>
      <c r="C851" s="2" t="str">
        <f t="shared" si="143"/>
        <v/>
      </c>
      <c r="D851" s="1" t="str">
        <f t="shared" si="144"/>
        <v/>
      </c>
      <c r="E851" s="1" t="str">
        <f t="shared" si="145"/>
        <v/>
      </c>
      <c r="I851" s="1" t="str">
        <f t="shared" si="146"/>
        <v/>
      </c>
      <c r="J851" s="2" t="str">
        <f t="shared" si="147"/>
        <v/>
      </c>
      <c r="K851" s="1" t="str">
        <f t="shared" si="148"/>
        <v/>
      </c>
      <c r="O851" s="1" t="str">
        <f t="shared" si="149"/>
        <v/>
      </c>
      <c r="P851" s="2" t="str">
        <f t="shared" si="150"/>
        <v/>
      </c>
      <c r="Q851" s="1" t="str">
        <f t="shared" si="151"/>
        <v/>
      </c>
      <c r="R851" s="2" t="str">
        <f t="shared" si="152"/>
        <v/>
      </c>
      <c r="S851" s="1" t="str">
        <f t="shared" si="153"/>
        <v/>
      </c>
    </row>
    <row r="852" spans="1:19" x14ac:dyDescent="0.2">
      <c r="A852" t="str">
        <f>IF(COUNTBLANK(B852:S852)&lt;&gt;COLUMNS(B852:S852),851,"")</f>
        <v/>
      </c>
      <c r="C852" s="2" t="str">
        <f t="shared" si="143"/>
        <v/>
      </c>
      <c r="D852" s="1" t="str">
        <f t="shared" si="144"/>
        <v/>
      </c>
      <c r="E852" s="1" t="str">
        <f t="shared" si="145"/>
        <v/>
      </c>
      <c r="I852" s="1" t="str">
        <f t="shared" si="146"/>
        <v/>
      </c>
      <c r="J852" s="2" t="str">
        <f t="shared" si="147"/>
        <v/>
      </c>
      <c r="K852" s="1" t="str">
        <f t="shared" si="148"/>
        <v/>
      </c>
      <c r="O852" s="1" t="str">
        <f t="shared" si="149"/>
        <v/>
      </c>
      <c r="P852" s="2" t="str">
        <f t="shared" si="150"/>
        <v/>
      </c>
      <c r="Q852" s="1" t="str">
        <f t="shared" si="151"/>
        <v/>
      </c>
      <c r="R852" s="2" t="str">
        <f t="shared" si="152"/>
        <v/>
      </c>
      <c r="S852" s="1" t="str">
        <f t="shared" si="153"/>
        <v/>
      </c>
    </row>
    <row r="853" spans="1:19" x14ac:dyDescent="0.2">
      <c r="A853" t="str">
        <f>IF(COUNTBLANK(B853:S853)&lt;&gt;COLUMNS(B853:S853),852,"")</f>
        <v/>
      </c>
      <c r="C853" s="2" t="str">
        <f t="shared" si="143"/>
        <v/>
      </c>
      <c r="D853" s="1" t="str">
        <f t="shared" si="144"/>
        <v/>
      </c>
      <c r="E853" s="1" t="str">
        <f t="shared" si="145"/>
        <v/>
      </c>
      <c r="I853" s="1" t="str">
        <f t="shared" si="146"/>
        <v/>
      </c>
      <c r="J853" s="2" t="str">
        <f t="shared" si="147"/>
        <v/>
      </c>
      <c r="K853" s="1" t="str">
        <f t="shared" si="148"/>
        <v/>
      </c>
      <c r="O853" s="1" t="str">
        <f t="shared" si="149"/>
        <v/>
      </c>
      <c r="P853" s="2" t="str">
        <f t="shared" si="150"/>
        <v/>
      </c>
      <c r="Q853" s="1" t="str">
        <f t="shared" si="151"/>
        <v/>
      </c>
      <c r="R853" s="2" t="str">
        <f t="shared" si="152"/>
        <v/>
      </c>
      <c r="S853" s="1" t="str">
        <f t="shared" si="153"/>
        <v/>
      </c>
    </row>
    <row r="854" spans="1:19" x14ac:dyDescent="0.2">
      <c r="A854" t="str">
        <f>IF(COUNTBLANK(B854:S854)&lt;&gt;COLUMNS(B854:S854),853,"")</f>
        <v/>
      </c>
      <c r="C854" s="2" t="str">
        <f t="shared" si="143"/>
        <v/>
      </c>
      <c r="D854" s="1" t="str">
        <f t="shared" si="144"/>
        <v/>
      </c>
      <c r="E854" s="1" t="str">
        <f t="shared" si="145"/>
        <v/>
      </c>
      <c r="I854" s="1" t="str">
        <f t="shared" si="146"/>
        <v/>
      </c>
      <c r="J854" s="2" t="str">
        <f t="shared" si="147"/>
        <v/>
      </c>
      <c r="K854" s="1" t="str">
        <f t="shared" si="148"/>
        <v/>
      </c>
      <c r="O854" s="1" t="str">
        <f t="shared" si="149"/>
        <v/>
      </c>
      <c r="P854" s="2" t="str">
        <f t="shared" si="150"/>
        <v/>
      </c>
      <c r="Q854" s="1" t="str">
        <f t="shared" si="151"/>
        <v/>
      </c>
      <c r="R854" s="2" t="str">
        <f t="shared" si="152"/>
        <v/>
      </c>
      <c r="S854" s="1" t="str">
        <f t="shared" si="153"/>
        <v/>
      </c>
    </row>
    <row r="855" spans="1:19" x14ac:dyDescent="0.2">
      <c r="A855" t="str">
        <f>IF(COUNTBLANK(B855:S855)&lt;&gt;COLUMNS(B855:S855),854,"")</f>
        <v/>
      </c>
      <c r="C855" s="2" t="str">
        <f t="shared" si="143"/>
        <v/>
      </c>
      <c r="D855" s="1" t="str">
        <f t="shared" si="144"/>
        <v/>
      </c>
      <c r="E855" s="1" t="str">
        <f t="shared" si="145"/>
        <v/>
      </c>
      <c r="I855" s="1" t="str">
        <f t="shared" si="146"/>
        <v/>
      </c>
      <c r="J855" s="2" t="str">
        <f t="shared" si="147"/>
        <v/>
      </c>
      <c r="K855" s="1" t="str">
        <f t="shared" si="148"/>
        <v/>
      </c>
      <c r="O855" s="1" t="str">
        <f t="shared" si="149"/>
        <v/>
      </c>
      <c r="P855" s="2" t="str">
        <f t="shared" si="150"/>
        <v/>
      </c>
      <c r="Q855" s="1" t="str">
        <f t="shared" si="151"/>
        <v/>
      </c>
      <c r="R855" s="2" t="str">
        <f t="shared" si="152"/>
        <v/>
      </c>
      <c r="S855" s="1" t="str">
        <f t="shared" si="153"/>
        <v/>
      </c>
    </row>
    <row r="856" spans="1:19" x14ac:dyDescent="0.2">
      <c r="A856" t="str">
        <f>IF(COUNTBLANK(B856:S856)&lt;&gt;COLUMNS(B856:S856),855,"")</f>
        <v/>
      </c>
      <c r="C856" s="2" t="str">
        <f t="shared" si="143"/>
        <v/>
      </c>
      <c r="D856" s="1" t="str">
        <f t="shared" si="144"/>
        <v/>
      </c>
      <c r="E856" s="1" t="str">
        <f t="shared" si="145"/>
        <v/>
      </c>
      <c r="I856" s="1" t="str">
        <f t="shared" si="146"/>
        <v/>
      </c>
      <c r="J856" s="2" t="str">
        <f t="shared" si="147"/>
        <v/>
      </c>
      <c r="K856" s="1" t="str">
        <f t="shared" si="148"/>
        <v/>
      </c>
      <c r="O856" s="1" t="str">
        <f t="shared" si="149"/>
        <v/>
      </c>
      <c r="P856" s="2" t="str">
        <f t="shared" si="150"/>
        <v/>
      </c>
      <c r="Q856" s="1" t="str">
        <f t="shared" si="151"/>
        <v/>
      </c>
      <c r="R856" s="2" t="str">
        <f t="shared" si="152"/>
        <v/>
      </c>
      <c r="S856" s="1" t="str">
        <f t="shared" si="153"/>
        <v/>
      </c>
    </row>
    <row r="857" spans="1:19" x14ac:dyDescent="0.2">
      <c r="A857" t="str">
        <f>IF(COUNTBLANK(B857:S857)&lt;&gt;COLUMNS(B857:S857),856,"")</f>
        <v/>
      </c>
      <c r="C857" s="2" t="str">
        <f t="shared" si="143"/>
        <v/>
      </c>
      <c r="D857" s="1" t="str">
        <f t="shared" si="144"/>
        <v/>
      </c>
      <c r="E857" s="1" t="str">
        <f t="shared" si="145"/>
        <v/>
      </c>
      <c r="I857" s="1" t="str">
        <f t="shared" si="146"/>
        <v/>
      </c>
      <c r="J857" s="2" t="str">
        <f t="shared" si="147"/>
        <v/>
      </c>
      <c r="K857" s="1" t="str">
        <f t="shared" si="148"/>
        <v/>
      </c>
      <c r="O857" s="1" t="str">
        <f t="shared" si="149"/>
        <v/>
      </c>
      <c r="P857" s="2" t="str">
        <f t="shared" si="150"/>
        <v/>
      </c>
      <c r="Q857" s="1" t="str">
        <f t="shared" si="151"/>
        <v/>
      </c>
      <c r="R857" s="2" t="str">
        <f t="shared" si="152"/>
        <v/>
      </c>
      <c r="S857" s="1" t="str">
        <f t="shared" si="153"/>
        <v/>
      </c>
    </row>
    <row r="858" spans="1:19" x14ac:dyDescent="0.2">
      <c r="A858" t="str">
        <f>IF(COUNTBLANK(B858:S858)&lt;&gt;COLUMNS(B858:S858),857,"")</f>
        <v/>
      </c>
      <c r="C858" s="2" t="str">
        <f t="shared" si="143"/>
        <v/>
      </c>
      <c r="D858" s="1" t="str">
        <f t="shared" si="144"/>
        <v/>
      </c>
      <c r="E858" s="1" t="str">
        <f t="shared" si="145"/>
        <v/>
      </c>
      <c r="I858" s="1" t="str">
        <f t="shared" si="146"/>
        <v/>
      </c>
      <c r="J858" s="2" t="str">
        <f t="shared" si="147"/>
        <v/>
      </c>
      <c r="K858" s="1" t="str">
        <f t="shared" si="148"/>
        <v/>
      </c>
      <c r="O858" s="1" t="str">
        <f t="shared" si="149"/>
        <v/>
      </c>
      <c r="P858" s="2" t="str">
        <f t="shared" si="150"/>
        <v/>
      </c>
      <c r="Q858" s="1" t="str">
        <f t="shared" si="151"/>
        <v/>
      </c>
      <c r="R858" s="2" t="str">
        <f t="shared" si="152"/>
        <v/>
      </c>
      <c r="S858" s="1" t="str">
        <f t="shared" si="153"/>
        <v/>
      </c>
    </row>
    <row r="859" spans="1:19" x14ac:dyDescent="0.2">
      <c r="A859" t="str">
        <f>IF(COUNTBLANK(B859:S859)&lt;&gt;COLUMNS(B859:S859),858,"")</f>
        <v/>
      </c>
      <c r="C859" s="2" t="str">
        <f t="shared" si="143"/>
        <v/>
      </c>
      <c r="D859" s="1" t="str">
        <f t="shared" si="144"/>
        <v/>
      </c>
      <c r="E859" s="1" t="str">
        <f t="shared" si="145"/>
        <v/>
      </c>
      <c r="I859" s="1" t="str">
        <f t="shared" si="146"/>
        <v/>
      </c>
      <c r="J859" s="2" t="str">
        <f t="shared" si="147"/>
        <v/>
      </c>
      <c r="K859" s="1" t="str">
        <f t="shared" si="148"/>
        <v/>
      </c>
      <c r="O859" s="1" t="str">
        <f t="shared" si="149"/>
        <v/>
      </c>
      <c r="P859" s="2" t="str">
        <f t="shared" si="150"/>
        <v/>
      </c>
      <c r="Q859" s="1" t="str">
        <f t="shared" si="151"/>
        <v/>
      </c>
      <c r="R859" s="2" t="str">
        <f t="shared" si="152"/>
        <v/>
      </c>
      <c r="S859" s="1" t="str">
        <f t="shared" si="153"/>
        <v/>
      </c>
    </row>
    <row r="860" spans="1:19" x14ac:dyDescent="0.2">
      <c r="A860" t="str">
        <f>IF(COUNTBLANK(B860:S860)&lt;&gt;COLUMNS(B860:S860),859,"")</f>
        <v/>
      </c>
      <c r="C860" s="2" t="str">
        <f t="shared" si="143"/>
        <v/>
      </c>
      <c r="D860" s="1" t="str">
        <f t="shared" si="144"/>
        <v/>
      </c>
      <c r="E860" s="1" t="str">
        <f t="shared" si="145"/>
        <v/>
      </c>
      <c r="I860" s="1" t="str">
        <f t="shared" si="146"/>
        <v/>
      </c>
      <c r="J860" s="2" t="str">
        <f t="shared" si="147"/>
        <v/>
      </c>
      <c r="K860" s="1" t="str">
        <f t="shared" si="148"/>
        <v/>
      </c>
      <c r="O860" s="1" t="str">
        <f t="shared" si="149"/>
        <v/>
      </c>
      <c r="P860" s="2" t="str">
        <f t="shared" si="150"/>
        <v/>
      </c>
      <c r="Q860" s="1" t="str">
        <f t="shared" si="151"/>
        <v/>
      </c>
      <c r="R860" s="2" t="str">
        <f t="shared" si="152"/>
        <v/>
      </c>
      <c r="S860" s="1" t="str">
        <f t="shared" si="153"/>
        <v/>
      </c>
    </row>
    <row r="861" spans="1:19" x14ac:dyDescent="0.2">
      <c r="A861" t="str">
        <f>IF(COUNTBLANK(B861:S861)&lt;&gt;COLUMNS(B861:S861),860,"")</f>
        <v/>
      </c>
      <c r="C861" s="2" t="str">
        <f t="shared" si="143"/>
        <v/>
      </c>
      <c r="D861" s="1" t="str">
        <f t="shared" si="144"/>
        <v/>
      </c>
      <c r="E861" s="1" t="str">
        <f t="shared" si="145"/>
        <v/>
      </c>
      <c r="I861" s="1" t="str">
        <f t="shared" si="146"/>
        <v/>
      </c>
      <c r="J861" s="2" t="str">
        <f t="shared" si="147"/>
        <v/>
      </c>
      <c r="K861" s="1" t="str">
        <f t="shared" si="148"/>
        <v/>
      </c>
      <c r="O861" s="1" t="str">
        <f t="shared" si="149"/>
        <v/>
      </c>
      <c r="P861" s="2" t="str">
        <f t="shared" si="150"/>
        <v/>
      </c>
      <c r="Q861" s="1" t="str">
        <f t="shared" si="151"/>
        <v/>
      </c>
      <c r="R861" s="2" t="str">
        <f t="shared" si="152"/>
        <v/>
      </c>
      <c r="S861" s="1" t="str">
        <f t="shared" si="153"/>
        <v/>
      </c>
    </row>
    <row r="862" spans="1:19" x14ac:dyDescent="0.2">
      <c r="A862" t="str">
        <f>IF(COUNTBLANK(B862:S862)&lt;&gt;COLUMNS(B862:S862),861,"")</f>
        <v/>
      </c>
      <c r="C862" s="2" t="str">
        <f t="shared" si="143"/>
        <v/>
      </c>
      <c r="D862" s="1" t="str">
        <f t="shared" si="144"/>
        <v/>
      </c>
      <c r="E862" s="1" t="str">
        <f t="shared" si="145"/>
        <v/>
      </c>
      <c r="I862" s="1" t="str">
        <f t="shared" si="146"/>
        <v/>
      </c>
      <c r="J862" s="2" t="str">
        <f t="shared" si="147"/>
        <v/>
      </c>
      <c r="K862" s="1" t="str">
        <f t="shared" si="148"/>
        <v/>
      </c>
      <c r="O862" s="1" t="str">
        <f t="shared" si="149"/>
        <v/>
      </c>
      <c r="P862" s="2" t="str">
        <f t="shared" si="150"/>
        <v/>
      </c>
      <c r="Q862" s="1" t="str">
        <f t="shared" si="151"/>
        <v/>
      </c>
      <c r="R862" s="2" t="str">
        <f t="shared" si="152"/>
        <v/>
      </c>
      <c r="S862" s="1" t="str">
        <f t="shared" si="153"/>
        <v/>
      </c>
    </row>
    <row r="863" spans="1:19" x14ac:dyDescent="0.2">
      <c r="A863" t="str">
        <f>IF(COUNTBLANK(B863:S863)&lt;&gt;COLUMNS(B863:S863),862,"")</f>
        <v/>
      </c>
      <c r="C863" s="2" t="str">
        <f t="shared" si="143"/>
        <v/>
      </c>
      <c r="D863" s="1" t="str">
        <f t="shared" si="144"/>
        <v/>
      </c>
      <c r="E863" s="1" t="str">
        <f t="shared" si="145"/>
        <v/>
      </c>
      <c r="I863" s="1" t="str">
        <f t="shared" si="146"/>
        <v/>
      </c>
      <c r="J863" s="2" t="str">
        <f t="shared" si="147"/>
        <v/>
      </c>
      <c r="K863" s="1" t="str">
        <f t="shared" si="148"/>
        <v/>
      </c>
      <c r="O863" s="1" t="str">
        <f t="shared" si="149"/>
        <v/>
      </c>
      <c r="P863" s="2" t="str">
        <f t="shared" si="150"/>
        <v/>
      </c>
      <c r="Q863" s="1" t="str">
        <f t="shared" si="151"/>
        <v/>
      </c>
      <c r="R863" s="2" t="str">
        <f t="shared" si="152"/>
        <v/>
      </c>
      <c r="S863" s="1" t="str">
        <f t="shared" si="153"/>
        <v/>
      </c>
    </row>
    <row r="864" spans="1:19" x14ac:dyDescent="0.2">
      <c r="A864" t="str">
        <f>IF(COUNTBLANK(B864:S864)&lt;&gt;COLUMNS(B864:S864),863,"")</f>
        <v/>
      </c>
      <c r="C864" s="2" t="str">
        <f t="shared" si="143"/>
        <v/>
      </c>
      <c r="D864" s="1" t="str">
        <f t="shared" si="144"/>
        <v/>
      </c>
      <c r="E864" s="1" t="str">
        <f t="shared" si="145"/>
        <v/>
      </c>
      <c r="I864" s="1" t="str">
        <f t="shared" si="146"/>
        <v/>
      </c>
      <c r="J864" s="2" t="str">
        <f t="shared" si="147"/>
        <v/>
      </c>
      <c r="K864" s="1" t="str">
        <f t="shared" si="148"/>
        <v/>
      </c>
      <c r="O864" s="1" t="str">
        <f t="shared" si="149"/>
        <v/>
      </c>
      <c r="P864" s="2" t="str">
        <f t="shared" si="150"/>
        <v/>
      </c>
      <c r="Q864" s="1" t="str">
        <f t="shared" si="151"/>
        <v/>
      </c>
      <c r="R864" s="2" t="str">
        <f t="shared" si="152"/>
        <v/>
      </c>
      <c r="S864" s="1" t="str">
        <f t="shared" si="153"/>
        <v/>
      </c>
    </row>
    <row r="865" spans="1:19" x14ac:dyDescent="0.2">
      <c r="A865" t="str">
        <f>IF(COUNTBLANK(B865:S865)&lt;&gt;COLUMNS(B865:S865),864,"")</f>
        <v/>
      </c>
      <c r="C865" s="2" t="str">
        <f t="shared" si="143"/>
        <v/>
      </c>
      <c r="D865" s="1" t="str">
        <f t="shared" si="144"/>
        <v/>
      </c>
      <c r="E865" s="1" t="str">
        <f t="shared" si="145"/>
        <v/>
      </c>
      <c r="I865" s="1" t="str">
        <f t="shared" si="146"/>
        <v/>
      </c>
      <c r="J865" s="2" t="str">
        <f t="shared" si="147"/>
        <v/>
      </c>
      <c r="K865" s="1" t="str">
        <f t="shared" si="148"/>
        <v/>
      </c>
      <c r="O865" s="1" t="str">
        <f t="shared" si="149"/>
        <v/>
      </c>
      <c r="P865" s="2" t="str">
        <f t="shared" si="150"/>
        <v/>
      </c>
      <c r="Q865" s="1" t="str">
        <f t="shared" si="151"/>
        <v/>
      </c>
      <c r="R865" s="2" t="str">
        <f t="shared" si="152"/>
        <v/>
      </c>
      <c r="S865" s="1" t="str">
        <f t="shared" si="153"/>
        <v/>
      </c>
    </row>
    <row r="866" spans="1:19" x14ac:dyDescent="0.2">
      <c r="A866" t="str">
        <f>IF(COUNTBLANK(B866:S866)&lt;&gt;COLUMNS(B866:S866),865,"")</f>
        <v/>
      </c>
      <c r="C866" s="2" t="str">
        <f t="shared" si="143"/>
        <v/>
      </c>
      <c r="D866" s="1" t="str">
        <f t="shared" si="144"/>
        <v/>
      </c>
      <c r="E866" s="1" t="str">
        <f t="shared" si="145"/>
        <v/>
      </c>
      <c r="I866" s="1" t="str">
        <f t="shared" si="146"/>
        <v/>
      </c>
      <c r="J866" s="2" t="str">
        <f t="shared" si="147"/>
        <v/>
      </c>
      <c r="K866" s="1" t="str">
        <f t="shared" si="148"/>
        <v/>
      </c>
      <c r="O866" s="1" t="str">
        <f t="shared" si="149"/>
        <v/>
      </c>
      <c r="P866" s="2" t="str">
        <f t="shared" si="150"/>
        <v/>
      </c>
      <c r="Q866" s="1" t="str">
        <f t="shared" si="151"/>
        <v/>
      </c>
      <c r="R866" s="2" t="str">
        <f t="shared" si="152"/>
        <v/>
      </c>
      <c r="S866" s="1" t="str">
        <f t="shared" si="153"/>
        <v/>
      </c>
    </row>
    <row r="867" spans="1:19" x14ac:dyDescent="0.2">
      <c r="A867" t="str">
        <f>IF(COUNTBLANK(B867:S867)&lt;&gt;COLUMNS(B867:S867),866,"")</f>
        <v/>
      </c>
      <c r="C867" s="2" t="str">
        <f t="shared" si="143"/>
        <v/>
      </c>
      <c r="D867" s="1" t="str">
        <f t="shared" si="144"/>
        <v/>
      </c>
      <c r="E867" s="1" t="str">
        <f t="shared" si="145"/>
        <v/>
      </c>
      <c r="I867" s="1" t="str">
        <f t="shared" si="146"/>
        <v/>
      </c>
      <c r="J867" s="2" t="str">
        <f t="shared" si="147"/>
        <v/>
      </c>
      <c r="K867" s="1" t="str">
        <f t="shared" si="148"/>
        <v/>
      </c>
      <c r="O867" s="1" t="str">
        <f t="shared" si="149"/>
        <v/>
      </c>
      <c r="P867" s="2" t="str">
        <f t="shared" si="150"/>
        <v/>
      </c>
      <c r="Q867" s="1" t="str">
        <f t="shared" si="151"/>
        <v/>
      </c>
      <c r="R867" s="2" t="str">
        <f t="shared" si="152"/>
        <v/>
      </c>
      <c r="S867" s="1" t="str">
        <f t="shared" si="153"/>
        <v/>
      </c>
    </row>
    <row r="868" spans="1:19" x14ac:dyDescent="0.2">
      <c r="A868" t="str">
        <f>IF(COUNTBLANK(B868:S868)&lt;&gt;COLUMNS(B868:S868),867,"")</f>
        <v/>
      </c>
      <c r="C868" s="2" t="str">
        <f t="shared" si="143"/>
        <v/>
      </c>
      <c r="D868" s="1" t="str">
        <f t="shared" si="144"/>
        <v/>
      </c>
      <c r="E868" s="1" t="str">
        <f t="shared" si="145"/>
        <v/>
      </c>
      <c r="I868" s="1" t="str">
        <f t="shared" si="146"/>
        <v/>
      </c>
      <c r="J868" s="2" t="str">
        <f t="shared" si="147"/>
        <v/>
      </c>
      <c r="K868" s="1" t="str">
        <f t="shared" si="148"/>
        <v/>
      </c>
      <c r="O868" s="1" t="str">
        <f t="shared" si="149"/>
        <v/>
      </c>
      <c r="P868" s="2" t="str">
        <f t="shared" si="150"/>
        <v/>
      </c>
      <c r="Q868" s="1" t="str">
        <f t="shared" si="151"/>
        <v/>
      </c>
      <c r="R868" s="2" t="str">
        <f t="shared" si="152"/>
        <v/>
      </c>
      <c r="S868" s="1" t="str">
        <f t="shared" si="153"/>
        <v/>
      </c>
    </row>
    <row r="869" spans="1:19" x14ac:dyDescent="0.2">
      <c r="A869" t="str">
        <f>IF(COUNTBLANK(B869:S869)&lt;&gt;COLUMNS(B869:S869),868,"")</f>
        <v/>
      </c>
      <c r="C869" s="2" t="str">
        <f t="shared" si="143"/>
        <v/>
      </c>
      <c r="D869" s="1" t="str">
        <f t="shared" si="144"/>
        <v/>
      </c>
      <c r="E869" s="1" t="str">
        <f t="shared" si="145"/>
        <v/>
      </c>
      <c r="I869" s="1" t="str">
        <f t="shared" si="146"/>
        <v/>
      </c>
      <c r="J869" s="2" t="str">
        <f t="shared" si="147"/>
        <v/>
      </c>
      <c r="K869" s="1" t="str">
        <f t="shared" si="148"/>
        <v/>
      </c>
      <c r="O869" s="1" t="str">
        <f t="shared" si="149"/>
        <v/>
      </c>
      <c r="P869" s="2" t="str">
        <f t="shared" si="150"/>
        <v/>
      </c>
      <c r="Q869" s="1" t="str">
        <f t="shared" si="151"/>
        <v/>
      </c>
      <c r="R869" s="2" t="str">
        <f t="shared" si="152"/>
        <v/>
      </c>
      <c r="S869" s="1" t="str">
        <f t="shared" si="153"/>
        <v/>
      </c>
    </row>
    <row r="870" spans="1:19" x14ac:dyDescent="0.2">
      <c r="A870" t="str">
        <f>IF(COUNTBLANK(B870:S870)&lt;&gt;COLUMNS(B870:S870),869,"")</f>
        <v/>
      </c>
      <c r="C870" s="2" t="str">
        <f t="shared" si="143"/>
        <v/>
      </c>
      <c r="D870" s="1" t="str">
        <f t="shared" si="144"/>
        <v/>
      </c>
      <c r="E870" s="1" t="str">
        <f t="shared" si="145"/>
        <v/>
      </c>
      <c r="I870" s="1" t="str">
        <f t="shared" si="146"/>
        <v/>
      </c>
      <c r="J870" s="2" t="str">
        <f t="shared" si="147"/>
        <v/>
      </c>
      <c r="K870" s="1" t="str">
        <f t="shared" si="148"/>
        <v/>
      </c>
      <c r="O870" s="1" t="str">
        <f t="shared" si="149"/>
        <v/>
      </c>
      <c r="P870" s="2" t="str">
        <f t="shared" si="150"/>
        <v/>
      </c>
      <c r="Q870" s="1" t="str">
        <f t="shared" si="151"/>
        <v/>
      </c>
      <c r="R870" s="2" t="str">
        <f t="shared" si="152"/>
        <v/>
      </c>
      <c r="S870" s="1" t="str">
        <f t="shared" si="153"/>
        <v/>
      </c>
    </row>
    <row r="871" spans="1:19" x14ac:dyDescent="0.2">
      <c r="A871" t="str">
        <f>IF(COUNTBLANK(B871:S871)&lt;&gt;COLUMNS(B871:S871),870,"")</f>
        <v/>
      </c>
      <c r="C871" s="2" t="str">
        <f t="shared" si="143"/>
        <v/>
      </c>
      <c r="D871" s="1" t="str">
        <f t="shared" si="144"/>
        <v/>
      </c>
      <c r="E871" s="1" t="str">
        <f t="shared" si="145"/>
        <v/>
      </c>
      <c r="I871" s="1" t="str">
        <f t="shared" si="146"/>
        <v/>
      </c>
      <c r="J871" s="2" t="str">
        <f t="shared" si="147"/>
        <v/>
      </c>
      <c r="K871" s="1" t="str">
        <f t="shared" si="148"/>
        <v/>
      </c>
      <c r="O871" s="1" t="str">
        <f t="shared" si="149"/>
        <v/>
      </c>
      <c r="P871" s="2" t="str">
        <f t="shared" si="150"/>
        <v/>
      </c>
      <c r="Q871" s="1" t="str">
        <f t="shared" si="151"/>
        <v/>
      </c>
      <c r="R871" s="2" t="str">
        <f t="shared" si="152"/>
        <v/>
      </c>
      <c r="S871" s="1" t="str">
        <f t="shared" si="153"/>
        <v/>
      </c>
    </row>
    <row r="872" spans="1:19" x14ac:dyDescent="0.2">
      <c r="A872" t="str">
        <f>IF(COUNTBLANK(B872:S872)&lt;&gt;COLUMNS(B872:S872),871,"")</f>
        <v/>
      </c>
      <c r="C872" s="2" t="str">
        <f t="shared" si="143"/>
        <v/>
      </c>
      <c r="D872" s="1" t="str">
        <f t="shared" si="144"/>
        <v/>
      </c>
      <c r="E872" s="1" t="str">
        <f t="shared" si="145"/>
        <v/>
      </c>
      <c r="I872" s="1" t="str">
        <f t="shared" si="146"/>
        <v/>
      </c>
      <c r="J872" s="2" t="str">
        <f t="shared" si="147"/>
        <v/>
      </c>
      <c r="K872" s="1" t="str">
        <f t="shared" si="148"/>
        <v/>
      </c>
      <c r="O872" s="1" t="str">
        <f t="shared" si="149"/>
        <v/>
      </c>
      <c r="P872" s="2" t="str">
        <f t="shared" si="150"/>
        <v/>
      </c>
      <c r="Q872" s="1" t="str">
        <f t="shared" si="151"/>
        <v/>
      </c>
      <c r="R872" s="2" t="str">
        <f t="shared" si="152"/>
        <v/>
      </c>
      <c r="S872" s="1" t="str">
        <f t="shared" si="153"/>
        <v/>
      </c>
    </row>
    <row r="873" spans="1:19" x14ac:dyDescent="0.2">
      <c r="A873" t="str">
        <f>IF(COUNTBLANK(B873:S873)&lt;&gt;COLUMNS(B873:S873),872,"")</f>
        <v/>
      </c>
      <c r="C873" s="2" t="str">
        <f t="shared" si="143"/>
        <v/>
      </c>
      <c r="D873" s="1" t="str">
        <f t="shared" si="144"/>
        <v/>
      </c>
      <c r="E873" s="1" t="str">
        <f t="shared" si="145"/>
        <v/>
      </c>
      <c r="I873" s="1" t="str">
        <f t="shared" si="146"/>
        <v/>
      </c>
      <c r="J873" s="2" t="str">
        <f t="shared" si="147"/>
        <v/>
      </c>
      <c r="K873" s="1" t="str">
        <f t="shared" si="148"/>
        <v/>
      </c>
      <c r="O873" s="1" t="str">
        <f t="shared" si="149"/>
        <v/>
      </c>
      <c r="P873" s="2" t="str">
        <f t="shared" si="150"/>
        <v/>
      </c>
      <c r="Q873" s="1" t="str">
        <f t="shared" si="151"/>
        <v/>
      </c>
      <c r="R873" s="2" t="str">
        <f t="shared" si="152"/>
        <v/>
      </c>
      <c r="S873" s="1" t="str">
        <f t="shared" si="153"/>
        <v/>
      </c>
    </row>
    <row r="874" spans="1:19" x14ac:dyDescent="0.2">
      <c r="A874" t="str">
        <f>IF(COUNTBLANK(B874:S874)&lt;&gt;COLUMNS(B874:S874),873,"")</f>
        <v/>
      </c>
      <c r="C874" s="2" t="str">
        <f t="shared" si="143"/>
        <v/>
      </c>
      <c r="D874" s="1" t="str">
        <f t="shared" si="144"/>
        <v/>
      </c>
      <c r="E874" s="1" t="str">
        <f t="shared" si="145"/>
        <v/>
      </c>
      <c r="I874" s="1" t="str">
        <f t="shared" si="146"/>
        <v/>
      </c>
      <c r="J874" s="2" t="str">
        <f t="shared" si="147"/>
        <v/>
      </c>
      <c r="K874" s="1" t="str">
        <f t="shared" si="148"/>
        <v/>
      </c>
      <c r="O874" s="1" t="str">
        <f t="shared" si="149"/>
        <v/>
      </c>
      <c r="P874" s="2" t="str">
        <f t="shared" si="150"/>
        <v/>
      </c>
      <c r="Q874" s="1" t="str">
        <f t="shared" si="151"/>
        <v/>
      </c>
      <c r="R874" s="2" t="str">
        <f t="shared" si="152"/>
        <v/>
      </c>
      <c r="S874" s="1" t="str">
        <f t="shared" si="153"/>
        <v/>
      </c>
    </row>
    <row r="875" spans="1:19" x14ac:dyDescent="0.2">
      <c r="A875" t="str">
        <f>IF(COUNTBLANK(B875:S875)&lt;&gt;COLUMNS(B875:S875),874,"")</f>
        <v/>
      </c>
      <c r="C875" s="2" t="str">
        <f t="shared" si="143"/>
        <v/>
      </c>
      <c r="D875" s="1" t="str">
        <f t="shared" si="144"/>
        <v/>
      </c>
      <c r="E875" s="1" t="str">
        <f t="shared" si="145"/>
        <v/>
      </c>
      <c r="I875" s="1" t="str">
        <f t="shared" si="146"/>
        <v/>
      </c>
      <c r="J875" s="2" t="str">
        <f t="shared" si="147"/>
        <v/>
      </c>
      <c r="K875" s="1" t="str">
        <f t="shared" si="148"/>
        <v/>
      </c>
      <c r="O875" s="1" t="str">
        <f t="shared" si="149"/>
        <v/>
      </c>
      <c r="P875" s="2" t="str">
        <f t="shared" si="150"/>
        <v/>
      </c>
      <c r="Q875" s="1" t="str">
        <f t="shared" si="151"/>
        <v/>
      </c>
      <c r="R875" s="2" t="str">
        <f t="shared" si="152"/>
        <v/>
      </c>
      <c r="S875" s="1" t="str">
        <f t="shared" si="153"/>
        <v/>
      </c>
    </row>
    <row r="876" spans="1:19" x14ac:dyDescent="0.2">
      <c r="A876" t="str">
        <f>IF(COUNTBLANK(B876:S876)&lt;&gt;COLUMNS(B876:S876),875,"")</f>
        <v/>
      </c>
      <c r="C876" s="2" t="str">
        <f t="shared" si="143"/>
        <v/>
      </c>
      <c r="D876" s="1" t="str">
        <f t="shared" si="144"/>
        <v/>
      </c>
      <c r="E876" s="1" t="str">
        <f t="shared" si="145"/>
        <v/>
      </c>
      <c r="I876" s="1" t="str">
        <f t="shared" si="146"/>
        <v/>
      </c>
      <c r="J876" s="2" t="str">
        <f t="shared" si="147"/>
        <v/>
      </c>
      <c r="K876" s="1" t="str">
        <f t="shared" si="148"/>
        <v/>
      </c>
      <c r="O876" s="1" t="str">
        <f t="shared" si="149"/>
        <v/>
      </c>
      <c r="P876" s="2" t="str">
        <f t="shared" si="150"/>
        <v/>
      </c>
      <c r="Q876" s="1" t="str">
        <f t="shared" si="151"/>
        <v/>
      </c>
      <c r="R876" s="2" t="str">
        <f t="shared" si="152"/>
        <v/>
      </c>
      <c r="S876" s="1" t="str">
        <f t="shared" si="153"/>
        <v/>
      </c>
    </row>
    <row r="877" spans="1:19" x14ac:dyDescent="0.2">
      <c r="A877" t="str">
        <f>IF(COUNTBLANK(B877:S877)&lt;&gt;COLUMNS(B877:S877),876,"")</f>
        <v/>
      </c>
      <c r="C877" s="2" t="str">
        <f t="shared" si="143"/>
        <v/>
      </c>
      <c r="D877" s="1" t="str">
        <f t="shared" si="144"/>
        <v/>
      </c>
      <c r="E877" s="1" t="str">
        <f t="shared" si="145"/>
        <v/>
      </c>
      <c r="I877" s="1" t="str">
        <f t="shared" si="146"/>
        <v/>
      </c>
      <c r="J877" s="2" t="str">
        <f t="shared" si="147"/>
        <v/>
      </c>
      <c r="K877" s="1" t="str">
        <f t="shared" si="148"/>
        <v/>
      </c>
      <c r="O877" s="1" t="str">
        <f t="shared" si="149"/>
        <v/>
      </c>
      <c r="P877" s="2" t="str">
        <f t="shared" si="150"/>
        <v/>
      </c>
      <c r="Q877" s="1" t="str">
        <f t="shared" si="151"/>
        <v/>
      </c>
      <c r="R877" s="2" t="str">
        <f t="shared" si="152"/>
        <v/>
      </c>
      <c r="S877" s="1" t="str">
        <f t="shared" si="153"/>
        <v/>
      </c>
    </row>
    <row r="878" spans="1:19" x14ac:dyDescent="0.2">
      <c r="A878" t="str">
        <f>IF(COUNTBLANK(B878:S878)&lt;&gt;COLUMNS(B878:S878),877,"")</f>
        <v/>
      </c>
      <c r="C878" s="2" t="str">
        <f t="shared" si="143"/>
        <v/>
      </c>
      <c r="D878" s="1" t="str">
        <f t="shared" si="144"/>
        <v/>
      </c>
      <c r="E878" s="1" t="str">
        <f t="shared" si="145"/>
        <v/>
      </c>
      <c r="I878" s="1" t="str">
        <f t="shared" si="146"/>
        <v/>
      </c>
      <c r="J878" s="2" t="str">
        <f t="shared" si="147"/>
        <v/>
      </c>
      <c r="K878" s="1" t="str">
        <f t="shared" si="148"/>
        <v/>
      </c>
      <c r="O878" s="1" t="str">
        <f t="shared" si="149"/>
        <v/>
      </c>
      <c r="P878" s="2" t="str">
        <f t="shared" si="150"/>
        <v/>
      </c>
      <c r="Q878" s="1" t="str">
        <f t="shared" si="151"/>
        <v/>
      </c>
      <c r="R878" s="2" t="str">
        <f t="shared" si="152"/>
        <v/>
      </c>
      <c r="S878" s="1" t="str">
        <f t="shared" si="153"/>
        <v/>
      </c>
    </row>
    <row r="879" spans="1:19" x14ac:dyDescent="0.2">
      <c r="A879" t="str">
        <f>IF(COUNTBLANK(B879:S879)&lt;&gt;COLUMNS(B879:S879),878,"")</f>
        <v/>
      </c>
      <c r="C879" s="2" t="str">
        <f t="shared" si="143"/>
        <v/>
      </c>
      <c r="D879" s="1" t="str">
        <f t="shared" si="144"/>
        <v/>
      </c>
      <c r="E879" s="1" t="str">
        <f t="shared" si="145"/>
        <v/>
      </c>
      <c r="I879" s="1" t="str">
        <f t="shared" si="146"/>
        <v/>
      </c>
      <c r="J879" s="2" t="str">
        <f t="shared" si="147"/>
        <v/>
      </c>
      <c r="K879" s="1" t="str">
        <f t="shared" si="148"/>
        <v/>
      </c>
      <c r="O879" s="1" t="str">
        <f t="shared" si="149"/>
        <v/>
      </c>
      <c r="P879" s="2" t="str">
        <f t="shared" si="150"/>
        <v/>
      </c>
      <c r="Q879" s="1" t="str">
        <f t="shared" si="151"/>
        <v/>
      </c>
      <c r="R879" s="2" t="str">
        <f t="shared" si="152"/>
        <v/>
      </c>
      <c r="S879" s="1" t="str">
        <f t="shared" si="153"/>
        <v/>
      </c>
    </row>
    <row r="880" spans="1:19" x14ac:dyDescent="0.2">
      <c r="A880" t="str">
        <f>IF(COUNTBLANK(B880:S880)&lt;&gt;COLUMNS(B880:S880),879,"")</f>
        <v/>
      </c>
      <c r="C880" s="2" t="str">
        <f t="shared" si="143"/>
        <v/>
      </c>
      <c r="D880" s="1" t="str">
        <f t="shared" si="144"/>
        <v/>
      </c>
      <c r="E880" s="1" t="str">
        <f t="shared" si="145"/>
        <v/>
      </c>
      <c r="I880" s="1" t="str">
        <f t="shared" si="146"/>
        <v/>
      </c>
      <c r="J880" s="2" t="str">
        <f t="shared" si="147"/>
        <v/>
      </c>
      <c r="K880" s="1" t="str">
        <f t="shared" si="148"/>
        <v/>
      </c>
      <c r="O880" s="1" t="str">
        <f t="shared" si="149"/>
        <v/>
      </c>
      <c r="P880" s="2" t="str">
        <f t="shared" si="150"/>
        <v/>
      </c>
      <c r="Q880" s="1" t="str">
        <f t="shared" si="151"/>
        <v/>
      </c>
      <c r="R880" s="2" t="str">
        <f t="shared" si="152"/>
        <v/>
      </c>
      <c r="S880" s="1" t="str">
        <f t="shared" si="153"/>
        <v/>
      </c>
    </row>
    <row r="881" spans="1:19" x14ac:dyDescent="0.2">
      <c r="A881" t="str">
        <f>IF(COUNTBLANK(B881:S881)&lt;&gt;COLUMNS(B881:S881),880,"")</f>
        <v/>
      </c>
      <c r="C881" s="2" t="str">
        <f t="shared" si="143"/>
        <v/>
      </c>
      <c r="D881" s="1" t="str">
        <f t="shared" si="144"/>
        <v/>
      </c>
      <c r="E881" s="1" t="str">
        <f t="shared" si="145"/>
        <v/>
      </c>
      <c r="I881" s="1" t="str">
        <f t="shared" si="146"/>
        <v/>
      </c>
      <c r="J881" s="2" t="str">
        <f t="shared" si="147"/>
        <v/>
      </c>
      <c r="K881" s="1" t="str">
        <f t="shared" si="148"/>
        <v/>
      </c>
      <c r="O881" s="1" t="str">
        <f t="shared" si="149"/>
        <v/>
      </c>
      <c r="P881" s="2" t="str">
        <f t="shared" si="150"/>
        <v/>
      </c>
      <c r="Q881" s="1" t="str">
        <f t="shared" si="151"/>
        <v/>
      </c>
      <c r="R881" s="2" t="str">
        <f t="shared" si="152"/>
        <v/>
      </c>
      <c r="S881" s="1" t="str">
        <f t="shared" si="153"/>
        <v/>
      </c>
    </row>
    <row r="882" spans="1:19" x14ac:dyDescent="0.2">
      <c r="A882" t="str">
        <f>IF(COUNTBLANK(B882:S882)&lt;&gt;COLUMNS(B882:S882),881,"")</f>
        <v/>
      </c>
      <c r="C882" s="2" t="str">
        <f t="shared" si="143"/>
        <v/>
      </c>
      <c r="D882" s="1" t="str">
        <f t="shared" si="144"/>
        <v/>
      </c>
      <c r="E882" s="1" t="str">
        <f t="shared" si="145"/>
        <v/>
      </c>
      <c r="I882" s="1" t="str">
        <f t="shared" si="146"/>
        <v/>
      </c>
      <c r="J882" s="2" t="str">
        <f t="shared" si="147"/>
        <v/>
      </c>
      <c r="K882" s="1" t="str">
        <f t="shared" si="148"/>
        <v/>
      </c>
      <c r="O882" s="1" t="str">
        <f t="shared" si="149"/>
        <v/>
      </c>
      <c r="P882" s="2" t="str">
        <f t="shared" si="150"/>
        <v/>
      </c>
      <c r="Q882" s="1" t="str">
        <f t="shared" si="151"/>
        <v/>
      </c>
      <c r="R882" s="2" t="str">
        <f t="shared" si="152"/>
        <v/>
      </c>
      <c r="S882" s="1" t="str">
        <f t="shared" si="153"/>
        <v/>
      </c>
    </row>
    <row r="883" spans="1:19" x14ac:dyDescent="0.2">
      <c r="A883" t="str">
        <f>IF(COUNTBLANK(B883:S883)&lt;&gt;COLUMNS(B883:S883),882,"")</f>
        <v/>
      </c>
      <c r="C883" s="2" t="str">
        <f t="shared" si="143"/>
        <v/>
      </c>
      <c r="D883" s="1" t="str">
        <f t="shared" si="144"/>
        <v/>
      </c>
      <c r="E883" s="1" t="str">
        <f t="shared" si="145"/>
        <v/>
      </c>
      <c r="I883" s="1" t="str">
        <f t="shared" si="146"/>
        <v/>
      </c>
      <c r="J883" s="2" t="str">
        <f t="shared" si="147"/>
        <v/>
      </c>
      <c r="K883" s="1" t="str">
        <f t="shared" si="148"/>
        <v/>
      </c>
      <c r="O883" s="1" t="str">
        <f t="shared" si="149"/>
        <v/>
      </c>
      <c r="P883" s="2" t="str">
        <f t="shared" si="150"/>
        <v/>
      </c>
      <c r="Q883" s="1" t="str">
        <f t="shared" si="151"/>
        <v/>
      </c>
      <c r="R883" s="2" t="str">
        <f t="shared" si="152"/>
        <v/>
      </c>
      <c r="S883" s="1" t="str">
        <f t="shared" si="153"/>
        <v/>
      </c>
    </row>
    <row r="884" spans="1:19" x14ac:dyDescent="0.2">
      <c r="A884" t="str">
        <f>IF(COUNTBLANK(B884:S884)&lt;&gt;COLUMNS(B884:S884),883,"")</f>
        <v/>
      </c>
      <c r="C884" s="2" t="str">
        <f t="shared" si="143"/>
        <v/>
      </c>
      <c r="D884" s="1" t="str">
        <f t="shared" si="144"/>
        <v/>
      </c>
      <c r="E884" s="1" t="str">
        <f t="shared" si="145"/>
        <v/>
      </c>
      <c r="I884" s="1" t="str">
        <f t="shared" si="146"/>
        <v/>
      </c>
      <c r="J884" s="2" t="str">
        <f t="shared" si="147"/>
        <v/>
      </c>
      <c r="K884" s="1" t="str">
        <f t="shared" si="148"/>
        <v/>
      </c>
      <c r="O884" s="1" t="str">
        <f t="shared" si="149"/>
        <v/>
      </c>
      <c r="P884" s="2" t="str">
        <f t="shared" si="150"/>
        <v/>
      </c>
      <c r="Q884" s="1" t="str">
        <f t="shared" si="151"/>
        <v/>
      </c>
      <c r="R884" s="2" t="str">
        <f t="shared" si="152"/>
        <v/>
      </c>
      <c r="S884" s="1" t="str">
        <f t="shared" si="153"/>
        <v/>
      </c>
    </row>
    <row r="885" spans="1:19" x14ac:dyDescent="0.2">
      <c r="A885" t="str">
        <f>IF(COUNTBLANK(B885:S885)&lt;&gt;COLUMNS(B885:S885),884,"")</f>
        <v/>
      </c>
      <c r="C885" s="2" t="str">
        <f t="shared" si="143"/>
        <v/>
      </c>
      <c r="D885" s="1" t="str">
        <f t="shared" si="144"/>
        <v/>
      </c>
      <c r="E885" s="1" t="str">
        <f t="shared" si="145"/>
        <v/>
      </c>
      <c r="I885" s="1" t="str">
        <f t="shared" si="146"/>
        <v/>
      </c>
      <c r="J885" s="2" t="str">
        <f t="shared" si="147"/>
        <v/>
      </c>
      <c r="K885" s="1" t="str">
        <f t="shared" si="148"/>
        <v/>
      </c>
      <c r="O885" s="1" t="str">
        <f t="shared" si="149"/>
        <v/>
      </c>
      <c r="P885" s="2" t="str">
        <f t="shared" si="150"/>
        <v/>
      </c>
      <c r="Q885" s="1" t="str">
        <f t="shared" si="151"/>
        <v/>
      </c>
      <c r="R885" s="2" t="str">
        <f t="shared" si="152"/>
        <v/>
      </c>
      <c r="S885" s="1" t="str">
        <f t="shared" si="153"/>
        <v/>
      </c>
    </row>
    <row r="886" spans="1:19" x14ac:dyDescent="0.2">
      <c r="A886" t="str">
        <f>IF(COUNTBLANK(B886:S886)&lt;&gt;COLUMNS(B886:S886),885,"")</f>
        <v/>
      </c>
      <c r="C886" s="2" t="str">
        <f t="shared" si="143"/>
        <v/>
      </c>
      <c r="D886" s="1" t="str">
        <f t="shared" si="144"/>
        <v/>
      </c>
      <c r="E886" s="1" t="str">
        <f t="shared" si="145"/>
        <v/>
      </c>
      <c r="I886" s="1" t="str">
        <f t="shared" si="146"/>
        <v/>
      </c>
      <c r="J886" s="2" t="str">
        <f t="shared" si="147"/>
        <v/>
      </c>
      <c r="K886" s="1" t="str">
        <f t="shared" si="148"/>
        <v/>
      </c>
      <c r="O886" s="1" t="str">
        <f t="shared" si="149"/>
        <v/>
      </c>
      <c r="P886" s="2" t="str">
        <f t="shared" si="150"/>
        <v/>
      </c>
      <c r="Q886" s="1" t="str">
        <f t="shared" si="151"/>
        <v/>
      </c>
      <c r="R886" s="2" t="str">
        <f t="shared" si="152"/>
        <v/>
      </c>
      <c r="S886" s="1" t="str">
        <f t="shared" si="153"/>
        <v/>
      </c>
    </row>
    <row r="887" spans="1:19" x14ac:dyDescent="0.2">
      <c r="A887" t="str">
        <f>IF(COUNTBLANK(B887:S887)&lt;&gt;COLUMNS(B887:S887),886,"")</f>
        <v/>
      </c>
      <c r="C887" s="2" t="str">
        <f t="shared" si="143"/>
        <v/>
      </c>
      <c r="D887" s="1" t="str">
        <f t="shared" si="144"/>
        <v/>
      </c>
      <c r="E887" s="1" t="str">
        <f t="shared" si="145"/>
        <v/>
      </c>
      <c r="I887" s="1" t="str">
        <f t="shared" si="146"/>
        <v/>
      </c>
      <c r="J887" s="2" t="str">
        <f t="shared" si="147"/>
        <v/>
      </c>
      <c r="K887" s="1" t="str">
        <f t="shared" si="148"/>
        <v/>
      </c>
      <c r="O887" s="1" t="str">
        <f t="shared" si="149"/>
        <v/>
      </c>
      <c r="P887" s="2" t="str">
        <f t="shared" si="150"/>
        <v/>
      </c>
      <c r="Q887" s="1" t="str">
        <f t="shared" si="151"/>
        <v/>
      </c>
      <c r="R887" s="2" t="str">
        <f t="shared" si="152"/>
        <v/>
      </c>
      <c r="S887" s="1" t="str">
        <f t="shared" si="153"/>
        <v/>
      </c>
    </row>
    <row r="888" spans="1:19" x14ac:dyDescent="0.2">
      <c r="A888" t="str">
        <f>IF(COUNTBLANK(B888:S888)&lt;&gt;COLUMNS(B888:S888),887,"")</f>
        <v/>
      </c>
      <c r="C888" s="2" t="str">
        <f t="shared" si="143"/>
        <v/>
      </c>
      <c r="D888" s="1" t="str">
        <f t="shared" si="144"/>
        <v/>
      </c>
      <c r="E888" s="1" t="str">
        <f t="shared" si="145"/>
        <v/>
      </c>
      <c r="I888" s="1" t="str">
        <f t="shared" si="146"/>
        <v/>
      </c>
      <c r="J888" s="2" t="str">
        <f t="shared" si="147"/>
        <v/>
      </c>
      <c r="K888" s="1" t="str">
        <f t="shared" si="148"/>
        <v/>
      </c>
      <c r="O888" s="1" t="str">
        <f t="shared" si="149"/>
        <v/>
      </c>
      <c r="P888" s="2" t="str">
        <f t="shared" si="150"/>
        <v/>
      </c>
      <c r="Q888" s="1" t="str">
        <f t="shared" si="151"/>
        <v/>
      </c>
      <c r="R888" s="2" t="str">
        <f t="shared" si="152"/>
        <v/>
      </c>
      <c r="S888" s="1" t="str">
        <f t="shared" si="153"/>
        <v/>
      </c>
    </row>
    <row r="889" spans="1:19" x14ac:dyDescent="0.2">
      <c r="A889" t="str">
        <f>IF(COUNTBLANK(B889:S889)&lt;&gt;COLUMNS(B889:S889),888,"")</f>
        <v/>
      </c>
      <c r="C889" s="2" t="str">
        <f t="shared" si="143"/>
        <v/>
      </c>
      <c r="D889" s="1" t="str">
        <f t="shared" si="144"/>
        <v/>
      </c>
      <c r="E889" s="1" t="str">
        <f t="shared" si="145"/>
        <v/>
      </c>
      <c r="I889" s="1" t="str">
        <f t="shared" si="146"/>
        <v/>
      </c>
      <c r="J889" s="2" t="str">
        <f t="shared" si="147"/>
        <v/>
      </c>
      <c r="K889" s="1" t="str">
        <f t="shared" si="148"/>
        <v/>
      </c>
      <c r="O889" s="1" t="str">
        <f t="shared" si="149"/>
        <v/>
      </c>
      <c r="P889" s="2" t="str">
        <f t="shared" si="150"/>
        <v/>
      </c>
      <c r="Q889" s="1" t="str">
        <f t="shared" si="151"/>
        <v/>
      </c>
      <c r="R889" s="2" t="str">
        <f t="shared" si="152"/>
        <v/>
      </c>
      <c r="S889" s="1" t="str">
        <f t="shared" si="153"/>
        <v/>
      </c>
    </row>
    <row r="890" spans="1:19" x14ac:dyDescent="0.2">
      <c r="A890" t="str">
        <f>IF(COUNTBLANK(B890:S890)&lt;&gt;COLUMNS(B890:S890),889,"")</f>
        <v/>
      </c>
      <c r="C890" s="2" t="str">
        <f t="shared" si="143"/>
        <v/>
      </c>
      <c r="D890" s="1" t="str">
        <f t="shared" si="144"/>
        <v/>
      </c>
      <c r="E890" s="1" t="str">
        <f t="shared" si="145"/>
        <v/>
      </c>
      <c r="I890" s="1" t="str">
        <f t="shared" si="146"/>
        <v/>
      </c>
      <c r="J890" s="2" t="str">
        <f t="shared" si="147"/>
        <v/>
      </c>
      <c r="K890" s="1" t="str">
        <f t="shared" si="148"/>
        <v/>
      </c>
      <c r="O890" s="1" t="str">
        <f t="shared" si="149"/>
        <v/>
      </c>
      <c r="P890" s="2" t="str">
        <f t="shared" si="150"/>
        <v/>
      </c>
      <c r="Q890" s="1" t="str">
        <f t="shared" si="151"/>
        <v/>
      </c>
      <c r="R890" s="2" t="str">
        <f t="shared" si="152"/>
        <v/>
      </c>
      <c r="S890" s="1" t="str">
        <f t="shared" si="153"/>
        <v/>
      </c>
    </row>
    <row r="891" spans="1:19" x14ac:dyDescent="0.2">
      <c r="A891" t="str">
        <f>IF(COUNTBLANK(B891:S891)&lt;&gt;COLUMNS(B891:S891),890,"")</f>
        <v/>
      </c>
      <c r="C891" s="2" t="str">
        <f t="shared" si="143"/>
        <v/>
      </c>
      <c r="D891" s="1" t="str">
        <f t="shared" si="144"/>
        <v/>
      </c>
      <c r="E891" s="1" t="str">
        <f t="shared" si="145"/>
        <v/>
      </c>
      <c r="I891" s="1" t="str">
        <f t="shared" si="146"/>
        <v/>
      </c>
      <c r="J891" s="2" t="str">
        <f t="shared" si="147"/>
        <v/>
      </c>
      <c r="K891" s="1" t="str">
        <f t="shared" si="148"/>
        <v/>
      </c>
      <c r="O891" s="1" t="str">
        <f t="shared" si="149"/>
        <v/>
      </c>
      <c r="P891" s="2" t="str">
        <f t="shared" si="150"/>
        <v/>
      </c>
      <c r="Q891" s="1" t="str">
        <f t="shared" si="151"/>
        <v/>
      </c>
      <c r="R891" s="2" t="str">
        <f t="shared" si="152"/>
        <v/>
      </c>
      <c r="S891" s="1" t="str">
        <f t="shared" si="153"/>
        <v/>
      </c>
    </row>
    <row r="892" spans="1:19" x14ac:dyDescent="0.2">
      <c r="A892" t="str">
        <f>IF(COUNTBLANK(B892:S892)&lt;&gt;COLUMNS(B892:S892),891,"")</f>
        <v/>
      </c>
      <c r="C892" s="2" t="str">
        <f t="shared" si="143"/>
        <v/>
      </c>
      <c r="D892" s="1" t="str">
        <f t="shared" si="144"/>
        <v/>
      </c>
      <c r="E892" s="1" t="str">
        <f t="shared" si="145"/>
        <v/>
      </c>
      <c r="I892" s="1" t="str">
        <f t="shared" si="146"/>
        <v/>
      </c>
      <c r="J892" s="2" t="str">
        <f t="shared" si="147"/>
        <v/>
      </c>
      <c r="K892" s="1" t="str">
        <f t="shared" si="148"/>
        <v/>
      </c>
      <c r="O892" s="1" t="str">
        <f t="shared" si="149"/>
        <v/>
      </c>
      <c r="P892" s="2" t="str">
        <f t="shared" si="150"/>
        <v/>
      </c>
      <c r="Q892" s="1" t="str">
        <f t="shared" si="151"/>
        <v/>
      </c>
      <c r="R892" s="2" t="str">
        <f t="shared" si="152"/>
        <v/>
      </c>
      <c r="S892" s="1" t="str">
        <f t="shared" si="153"/>
        <v/>
      </c>
    </row>
    <row r="893" spans="1:19" x14ac:dyDescent="0.2">
      <c r="A893" t="str">
        <f>IF(COUNTBLANK(B893:S893)&lt;&gt;COLUMNS(B893:S893),892,"")</f>
        <v/>
      </c>
      <c r="C893" s="2" t="str">
        <f t="shared" si="143"/>
        <v/>
      </c>
      <c r="D893" s="1" t="str">
        <f t="shared" si="144"/>
        <v/>
      </c>
      <c r="E893" s="1" t="str">
        <f t="shared" si="145"/>
        <v/>
      </c>
      <c r="I893" s="1" t="str">
        <f t="shared" si="146"/>
        <v/>
      </c>
      <c r="J893" s="2" t="str">
        <f t="shared" si="147"/>
        <v/>
      </c>
      <c r="K893" s="1" t="str">
        <f t="shared" si="148"/>
        <v/>
      </c>
      <c r="O893" s="1" t="str">
        <f t="shared" si="149"/>
        <v/>
      </c>
      <c r="P893" s="2" t="str">
        <f t="shared" si="150"/>
        <v/>
      </c>
      <c r="Q893" s="1" t="str">
        <f t="shared" si="151"/>
        <v/>
      </c>
      <c r="R893" s="2" t="str">
        <f t="shared" si="152"/>
        <v/>
      </c>
      <c r="S893" s="1" t="str">
        <f t="shared" si="153"/>
        <v/>
      </c>
    </row>
    <row r="894" spans="1:19" x14ac:dyDescent="0.2">
      <c r="A894" t="str">
        <f>IF(COUNTBLANK(B894:S894)&lt;&gt;COLUMNS(B894:S894),893,"")</f>
        <v/>
      </c>
      <c r="C894" s="2" t="str">
        <f t="shared" si="143"/>
        <v/>
      </c>
      <c r="D894" s="1" t="str">
        <f t="shared" si="144"/>
        <v/>
      </c>
      <c r="E894" s="1" t="str">
        <f t="shared" si="145"/>
        <v/>
      </c>
      <c r="I894" s="1" t="str">
        <f t="shared" si="146"/>
        <v/>
      </c>
      <c r="J894" s="2" t="str">
        <f t="shared" si="147"/>
        <v/>
      </c>
      <c r="K894" s="1" t="str">
        <f t="shared" si="148"/>
        <v/>
      </c>
      <c r="O894" s="1" t="str">
        <f t="shared" si="149"/>
        <v/>
      </c>
      <c r="P894" s="2" t="str">
        <f t="shared" si="150"/>
        <v/>
      </c>
      <c r="Q894" s="1" t="str">
        <f t="shared" si="151"/>
        <v/>
      </c>
      <c r="R894" s="2" t="str">
        <f t="shared" si="152"/>
        <v/>
      </c>
      <c r="S894" s="1" t="str">
        <f t="shared" si="153"/>
        <v/>
      </c>
    </row>
    <row r="895" spans="1:19" x14ac:dyDescent="0.2">
      <c r="A895" t="str">
        <f>IF(COUNTBLANK(B895:S895)&lt;&gt;COLUMNS(B895:S895),894,"")</f>
        <v/>
      </c>
      <c r="C895" s="2" t="str">
        <f t="shared" si="143"/>
        <v/>
      </c>
      <c r="D895" s="1" t="str">
        <f t="shared" si="144"/>
        <v/>
      </c>
      <c r="E895" s="1" t="str">
        <f t="shared" si="145"/>
        <v/>
      </c>
      <c r="I895" s="1" t="str">
        <f t="shared" si="146"/>
        <v/>
      </c>
      <c r="J895" s="2" t="str">
        <f t="shared" si="147"/>
        <v/>
      </c>
      <c r="K895" s="1" t="str">
        <f t="shared" si="148"/>
        <v/>
      </c>
      <c r="O895" s="1" t="str">
        <f t="shared" si="149"/>
        <v/>
      </c>
      <c r="P895" s="2" t="str">
        <f t="shared" si="150"/>
        <v/>
      </c>
      <c r="Q895" s="1" t="str">
        <f t="shared" si="151"/>
        <v/>
      </c>
      <c r="R895" s="2" t="str">
        <f t="shared" si="152"/>
        <v/>
      </c>
      <c r="S895" s="1" t="str">
        <f t="shared" si="153"/>
        <v/>
      </c>
    </row>
    <row r="896" spans="1:19" x14ac:dyDescent="0.2">
      <c r="A896" t="str">
        <f>IF(COUNTBLANK(B896:S896)&lt;&gt;COLUMNS(B896:S896),895,"")</f>
        <v/>
      </c>
      <c r="C896" s="2" t="str">
        <f t="shared" si="143"/>
        <v/>
      </c>
      <c r="D896" s="1" t="str">
        <f t="shared" si="144"/>
        <v/>
      </c>
      <c r="E896" s="1" t="str">
        <f t="shared" si="145"/>
        <v/>
      </c>
      <c r="I896" s="1" t="str">
        <f t="shared" si="146"/>
        <v/>
      </c>
      <c r="J896" s="2" t="str">
        <f t="shared" si="147"/>
        <v/>
      </c>
      <c r="K896" s="1" t="str">
        <f t="shared" si="148"/>
        <v/>
      </c>
      <c r="O896" s="1" t="str">
        <f t="shared" si="149"/>
        <v/>
      </c>
      <c r="P896" s="2" t="str">
        <f t="shared" si="150"/>
        <v/>
      </c>
      <c r="Q896" s="1" t="str">
        <f t="shared" si="151"/>
        <v/>
      </c>
      <c r="R896" s="2" t="str">
        <f t="shared" si="152"/>
        <v/>
      </c>
      <c r="S896" s="1" t="str">
        <f t="shared" si="153"/>
        <v/>
      </c>
    </row>
    <row r="897" spans="1:19" x14ac:dyDescent="0.2">
      <c r="A897" t="str">
        <f>IF(COUNTBLANK(B897:S897)&lt;&gt;COLUMNS(B897:S897),896,"")</f>
        <v/>
      </c>
      <c r="C897" s="2" t="str">
        <f t="shared" si="143"/>
        <v/>
      </c>
      <c r="D897" s="1" t="str">
        <f t="shared" si="144"/>
        <v/>
      </c>
      <c r="E897" s="1" t="str">
        <f t="shared" si="145"/>
        <v/>
      </c>
      <c r="I897" s="1" t="str">
        <f t="shared" si="146"/>
        <v/>
      </c>
      <c r="J897" s="2" t="str">
        <f t="shared" si="147"/>
        <v/>
      </c>
      <c r="K897" s="1" t="str">
        <f t="shared" si="148"/>
        <v/>
      </c>
      <c r="O897" s="1" t="str">
        <f t="shared" si="149"/>
        <v/>
      </c>
      <c r="P897" s="2" t="str">
        <f t="shared" si="150"/>
        <v/>
      </c>
      <c r="Q897" s="1" t="str">
        <f t="shared" si="151"/>
        <v/>
      </c>
      <c r="R897" s="2" t="str">
        <f t="shared" si="152"/>
        <v/>
      </c>
      <c r="S897" s="1" t="str">
        <f t="shared" si="153"/>
        <v/>
      </c>
    </row>
    <row r="898" spans="1:19" x14ac:dyDescent="0.2">
      <c r="A898" t="str">
        <f>IF(COUNTBLANK(B898:S898)&lt;&gt;COLUMNS(B898:S898),897,"")</f>
        <v/>
      </c>
      <c r="C898" s="2" t="str">
        <f t="shared" ref="C898:C961" si="154">IF(B898="", "", "missing: not provided")</f>
        <v/>
      </c>
      <c r="D898" s="1" t="str">
        <f t="shared" ref="D898:D961" si="155">IF(B898="", "", " missing: not provided")</f>
        <v/>
      </c>
      <c r="E898" s="1" t="str">
        <f t="shared" ref="E898:E961" si="156">IF(B898="", "", "Host-associated")</f>
        <v/>
      </c>
      <c r="I898" s="1" t="str">
        <f t="shared" ref="I898:I961" si="157">IF(B898="", "", "host-associated")</f>
        <v/>
      </c>
      <c r="J898" s="2" t="str">
        <f t="shared" ref="J898:J961" si="158">IF(B898="", "", "missing: not provided")</f>
        <v/>
      </c>
      <c r="K898" s="1" t="str">
        <f t="shared" ref="K898:K961" si="159">IF(B898="", "", " missing: not provided")</f>
        <v/>
      </c>
      <c r="O898" s="1" t="str">
        <f t="shared" ref="O898:O961" si="160">IF(B898="", "", "Not applicable")</f>
        <v/>
      </c>
      <c r="P898" s="2" t="str">
        <f t="shared" ref="P898:P961" si="161">IF(B898="", "", "missing: not provided")</f>
        <v/>
      </c>
      <c r="Q898" s="1" t="str">
        <f t="shared" ref="Q898:Q961" si="162">IF(B898="", "", "Not applicable")</f>
        <v/>
      </c>
      <c r="R898" s="2" t="str">
        <f t="shared" ref="R898:R961" si="163">IF(B898="", "", "missing: not provided")</f>
        <v/>
      </c>
      <c r="S898" s="1" t="str">
        <f t="shared" ref="S898:S961" si="164">IF(B898="", "", " missing: not provided")</f>
        <v/>
      </c>
    </row>
    <row r="899" spans="1:19" x14ac:dyDescent="0.2">
      <c r="A899" t="str">
        <f>IF(COUNTBLANK(B899:S899)&lt;&gt;COLUMNS(B899:S899),898,"")</f>
        <v/>
      </c>
      <c r="C899" s="2" t="str">
        <f t="shared" si="154"/>
        <v/>
      </c>
      <c r="D899" s="1" t="str">
        <f t="shared" si="155"/>
        <v/>
      </c>
      <c r="E899" s="1" t="str">
        <f t="shared" si="156"/>
        <v/>
      </c>
      <c r="I899" s="1" t="str">
        <f t="shared" si="157"/>
        <v/>
      </c>
      <c r="J899" s="2" t="str">
        <f t="shared" si="158"/>
        <v/>
      </c>
      <c r="K899" s="1" t="str">
        <f t="shared" si="159"/>
        <v/>
      </c>
      <c r="O899" s="1" t="str">
        <f t="shared" si="160"/>
        <v/>
      </c>
      <c r="P899" s="2" t="str">
        <f t="shared" si="161"/>
        <v/>
      </c>
      <c r="Q899" s="1" t="str">
        <f t="shared" si="162"/>
        <v/>
      </c>
      <c r="R899" s="2" t="str">
        <f t="shared" si="163"/>
        <v/>
      </c>
      <c r="S899" s="1" t="str">
        <f t="shared" si="164"/>
        <v/>
      </c>
    </row>
    <row r="900" spans="1:19" x14ac:dyDescent="0.2">
      <c r="A900" t="str">
        <f>IF(COUNTBLANK(B900:S900)&lt;&gt;COLUMNS(B900:S900),899,"")</f>
        <v/>
      </c>
      <c r="C900" s="2" t="str">
        <f t="shared" si="154"/>
        <v/>
      </c>
      <c r="D900" s="1" t="str">
        <f t="shared" si="155"/>
        <v/>
      </c>
      <c r="E900" s="1" t="str">
        <f t="shared" si="156"/>
        <v/>
      </c>
      <c r="I900" s="1" t="str">
        <f t="shared" si="157"/>
        <v/>
      </c>
      <c r="J900" s="2" t="str">
        <f t="shared" si="158"/>
        <v/>
      </c>
      <c r="K900" s="1" t="str">
        <f t="shared" si="159"/>
        <v/>
      </c>
      <c r="O900" s="1" t="str">
        <f t="shared" si="160"/>
        <v/>
      </c>
      <c r="P900" s="2" t="str">
        <f t="shared" si="161"/>
        <v/>
      </c>
      <c r="Q900" s="1" t="str">
        <f t="shared" si="162"/>
        <v/>
      </c>
      <c r="R900" s="2" t="str">
        <f t="shared" si="163"/>
        <v/>
      </c>
      <c r="S900" s="1" t="str">
        <f t="shared" si="164"/>
        <v/>
      </c>
    </row>
    <row r="901" spans="1:19" x14ac:dyDescent="0.2">
      <c r="A901" t="str">
        <f>IF(COUNTBLANK(B901:S901)&lt;&gt;COLUMNS(B901:S901),900,"")</f>
        <v/>
      </c>
      <c r="C901" s="2" t="str">
        <f t="shared" si="154"/>
        <v/>
      </c>
      <c r="D901" s="1" t="str">
        <f t="shared" si="155"/>
        <v/>
      </c>
      <c r="E901" s="1" t="str">
        <f t="shared" si="156"/>
        <v/>
      </c>
      <c r="I901" s="1" t="str">
        <f t="shared" si="157"/>
        <v/>
      </c>
      <c r="J901" s="2" t="str">
        <f t="shared" si="158"/>
        <v/>
      </c>
      <c r="K901" s="1" t="str">
        <f t="shared" si="159"/>
        <v/>
      </c>
      <c r="O901" s="1" t="str">
        <f t="shared" si="160"/>
        <v/>
      </c>
      <c r="P901" s="2" t="str">
        <f t="shared" si="161"/>
        <v/>
      </c>
      <c r="Q901" s="1" t="str">
        <f t="shared" si="162"/>
        <v/>
      </c>
      <c r="R901" s="2" t="str">
        <f t="shared" si="163"/>
        <v/>
      </c>
      <c r="S901" s="1" t="str">
        <f t="shared" si="164"/>
        <v/>
      </c>
    </row>
    <row r="902" spans="1:19" x14ac:dyDescent="0.2">
      <c r="A902" t="str">
        <f>IF(COUNTBLANK(B902:S902)&lt;&gt;COLUMNS(B902:S902),901,"")</f>
        <v/>
      </c>
      <c r="C902" s="2" t="str">
        <f t="shared" si="154"/>
        <v/>
      </c>
      <c r="D902" s="1" t="str">
        <f t="shared" si="155"/>
        <v/>
      </c>
      <c r="E902" s="1" t="str">
        <f t="shared" si="156"/>
        <v/>
      </c>
      <c r="I902" s="1" t="str">
        <f t="shared" si="157"/>
        <v/>
      </c>
      <c r="J902" s="2" t="str">
        <f t="shared" si="158"/>
        <v/>
      </c>
      <c r="K902" s="1" t="str">
        <f t="shared" si="159"/>
        <v/>
      </c>
      <c r="O902" s="1" t="str">
        <f t="shared" si="160"/>
        <v/>
      </c>
      <c r="P902" s="2" t="str">
        <f t="shared" si="161"/>
        <v/>
      </c>
      <c r="Q902" s="1" t="str">
        <f t="shared" si="162"/>
        <v/>
      </c>
      <c r="R902" s="2" t="str">
        <f t="shared" si="163"/>
        <v/>
      </c>
      <c r="S902" s="1" t="str">
        <f t="shared" si="164"/>
        <v/>
      </c>
    </row>
    <row r="903" spans="1:19" x14ac:dyDescent="0.2">
      <c r="A903" t="str">
        <f>IF(COUNTBLANK(B903:S903)&lt;&gt;COLUMNS(B903:S903),902,"")</f>
        <v/>
      </c>
      <c r="C903" s="2" t="str">
        <f t="shared" si="154"/>
        <v/>
      </c>
      <c r="D903" s="1" t="str">
        <f t="shared" si="155"/>
        <v/>
      </c>
      <c r="E903" s="1" t="str">
        <f t="shared" si="156"/>
        <v/>
      </c>
      <c r="I903" s="1" t="str">
        <f t="shared" si="157"/>
        <v/>
      </c>
      <c r="J903" s="2" t="str">
        <f t="shared" si="158"/>
        <v/>
      </c>
      <c r="K903" s="1" t="str">
        <f t="shared" si="159"/>
        <v/>
      </c>
      <c r="O903" s="1" t="str">
        <f t="shared" si="160"/>
        <v/>
      </c>
      <c r="P903" s="2" t="str">
        <f t="shared" si="161"/>
        <v/>
      </c>
      <c r="Q903" s="1" t="str">
        <f t="shared" si="162"/>
        <v/>
      </c>
      <c r="R903" s="2" t="str">
        <f t="shared" si="163"/>
        <v/>
      </c>
      <c r="S903" s="1" t="str">
        <f t="shared" si="164"/>
        <v/>
      </c>
    </row>
    <row r="904" spans="1:19" x14ac:dyDescent="0.2">
      <c r="A904" t="str">
        <f>IF(COUNTBLANK(B904:S904)&lt;&gt;COLUMNS(B904:S904),903,"")</f>
        <v/>
      </c>
      <c r="C904" s="2" t="str">
        <f t="shared" si="154"/>
        <v/>
      </c>
      <c r="D904" s="1" t="str">
        <f t="shared" si="155"/>
        <v/>
      </c>
      <c r="E904" s="1" t="str">
        <f t="shared" si="156"/>
        <v/>
      </c>
      <c r="I904" s="1" t="str">
        <f t="shared" si="157"/>
        <v/>
      </c>
      <c r="J904" s="2" t="str">
        <f t="shared" si="158"/>
        <v/>
      </c>
      <c r="K904" s="1" t="str">
        <f t="shared" si="159"/>
        <v/>
      </c>
      <c r="O904" s="1" t="str">
        <f t="shared" si="160"/>
        <v/>
      </c>
      <c r="P904" s="2" t="str">
        <f t="shared" si="161"/>
        <v/>
      </c>
      <c r="Q904" s="1" t="str">
        <f t="shared" si="162"/>
        <v/>
      </c>
      <c r="R904" s="2" t="str">
        <f t="shared" si="163"/>
        <v/>
      </c>
      <c r="S904" s="1" t="str">
        <f t="shared" si="164"/>
        <v/>
      </c>
    </row>
    <row r="905" spans="1:19" x14ac:dyDescent="0.2">
      <c r="A905" t="str">
        <f>IF(COUNTBLANK(B905:S905)&lt;&gt;COLUMNS(B905:S905),904,"")</f>
        <v/>
      </c>
      <c r="C905" s="2" t="str">
        <f t="shared" si="154"/>
        <v/>
      </c>
      <c r="D905" s="1" t="str">
        <f t="shared" si="155"/>
        <v/>
      </c>
      <c r="E905" s="1" t="str">
        <f t="shared" si="156"/>
        <v/>
      </c>
      <c r="I905" s="1" t="str">
        <f t="shared" si="157"/>
        <v/>
      </c>
      <c r="J905" s="2" t="str">
        <f t="shared" si="158"/>
        <v/>
      </c>
      <c r="K905" s="1" t="str">
        <f t="shared" si="159"/>
        <v/>
      </c>
      <c r="O905" s="1" t="str">
        <f t="shared" si="160"/>
        <v/>
      </c>
      <c r="P905" s="2" t="str">
        <f t="shared" si="161"/>
        <v/>
      </c>
      <c r="Q905" s="1" t="str">
        <f t="shared" si="162"/>
        <v/>
      </c>
      <c r="R905" s="2" t="str">
        <f t="shared" si="163"/>
        <v/>
      </c>
      <c r="S905" s="1" t="str">
        <f t="shared" si="164"/>
        <v/>
      </c>
    </row>
    <row r="906" spans="1:19" x14ac:dyDescent="0.2">
      <c r="A906" t="str">
        <f>IF(COUNTBLANK(B906:S906)&lt;&gt;COLUMNS(B906:S906),905,"")</f>
        <v/>
      </c>
      <c r="C906" s="2" t="str">
        <f t="shared" si="154"/>
        <v/>
      </c>
      <c r="D906" s="1" t="str">
        <f t="shared" si="155"/>
        <v/>
      </c>
      <c r="E906" s="1" t="str">
        <f t="shared" si="156"/>
        <v/>
      </c>
      <c r="I906" s="1" t="str">
        <f t="shared" si="157"/>
        <v/>
      </c>
      <c r="J906" s="2" t="str">
        <f t="shared" si="158"/>
        <v/>
      </c>
      <c r="K906" s="1" t="str">
        <f t="shared" si="159"/>
        <v/>
      </c>
      <c r="O906" s="1" t="str">
        <f t="shared" si="160"/>
        <v/>
      </c>
      <c r="P906" s="2" t="str">
        <f t="shared" si="161"/>
        <v/>
      </c>
      <c r="Q906" s="1" t="str">
        <f t="shared" si="162"/>
        <v/>
      </c>
      <c r="R906" s="2" t="str">
        <f t="shared" si="163"/>
        <v/>
      </c>
      <c r="S906" s="1" t="str">
        <f t="shared" si="164"/>
        <v/>
      </c>
    </row>
    <row r="907" spans="1:19" x14ac:dyDescent="0.2">
      <c r="A907" t="str">
        <f>IF(COUNTBLANK(B907:S907)&lt;&gt;COLUMNS(B907:S907),906,"")</f>
        <v/>
      </c>
      <c r="C907" s="2" t="str">
        <f t="shared" si="154"/>
        <v/>
      </c>
      <c r="D907" s="1" t="str">
        <f t="shared" si="155"/>
        <v/>
      </c>
      <c r="E907" s="1" t="str">
        <f t="shared" si="156"/>
        <v/>
      </c>
      <c r="I907" s="1" t="str">
        <f t="shared" si="157"/>
        <v/>
      </c>
      <c r="J907" s="2" t="str">
        <f t="shared" si="158"/>
        <v/>
      </c>
      <c r="K907" s="1" t="str">
        <f t="shared" si="159"/>
        <v/>
      </c>
      <c r="O907" s="1" t="str">
        <f t="shared" si="160"/>
        <v/>
      </c>
      <c r="P907" s="2" t="str">
        <f t="shared" si="161"/>
        <v/>
      </c>
      <c r="Q907" s="1" t="str">
        <f t="shared" si="162"/>
        <v/>
      </c>
      <c r="R907" s="2" t="str">
        <f t="shared" si="163"/>
        <v/>
      </c>
      <c r="S907" s="1" t="str">
        <f t="shared" si="164"/>
        <v/>
      </c>
    </row>
    <row r="908" spans="1:19" x14ac:dyDescent="0.2">
      <c r="A908" t="str">
        <f>IF(COUNTBLANK(B908:S908)&lt;&gt;COLUMNS(B908:S908),907,"")</f>
        <v/>
      </c>
      <c r="C908" s="2" t="str">
        <f t="shared" si="154"/>
        <v/>
      </c>
      <c r="D908" s="1" t="str">
        <f t="shared" si="155"/>
        <v/>
      </c>
      <c r="E908" s="1" t="str">
        <f t="shared" si="156"/>
        <v/>
      </c>
      <c r="I908" s="1" t="str">
        <f t="shared" si="157"/>
        <v/>
      </c>
      <c r="J908" s="2" t="str">
        <f t="shared" si="158"/>
        <v/>
      </c>
      <c r="K908" s="1" t="str">
        <f t="shared" si="159"/>
        <v/>
      </c>
      <c r="O908" s="1" t="str">
        <f t="shared" si="160"/>
        <v/>
      </c>
      <c r="P908" s="2" t="str">
        <f t="shared" si="161"/>
        <v/>
      </c>
      <c r="Q908" s="1" t="str">
        <f t="shared" si="162"/>
        <v/>
      </c>
      <c r="R908" s="2" t="str">
        <f t="shared" si="163"/>
        <v/>
      </c>
      <c r="S908" s="1" t="str">
        <f t="shared" si="164"/>
        <v/>
      </c>
    </row>
    <row r="909" spans="1:19" x14ac:dyDescent="0.2">
      <c r="A909" t="str">
        <f>IF(COUNTBLANK(B909:S909)&lt;&gt;COLUMNS(B909:S909),908,"")</f>
        <v/>
      </c>
      <c r="C909" s="2" t="str">
        <f t="shared" si="154"/>
        <v/>
      </c>
      <c r="D909" s="1" t="str">
        <f t="shared" si="155"/>
        <v/>
      </c>
      <c r="E909" s="1" t="str">
        <f t="shared" si="156"/>
        <v/>
      </c>
      <c r="I909" s="1" t="str">
        <f t="shared" si="157"/>
        <v/>
      </c>
      <c r="J909" s="2" t="str">
        <f t="shared" si="158"/>
        <v/>
      </c>
      <c r="K909" s="1" t="str">
        <f t="shared" si="159"/>
        <v/>
      </c>
      <c r="O909" s="1" t="str">
        <f t="shared" si="160"/>
        <v/>
      </c>
      <c r="P909" s="2" t="str">
        <f t="shared" si="161"/>
        <v/>
      </c>
      <c r="Q909" s="1" t="str">
        <f t="shared" si="162"/>
        <v/>
      </c>
      <c r="R909" s="2" t="str">
        <f t="shared" si="163"/>
        <v/>
      </c>
      <c r="S909" s="1" t="str">
        <f t="shared" si="164"/>
        <v/>
      </c>
    </row>
    <row r="910" spans="1:19" x14ac:dyDescent="0.2">
      <c r="A910" t="str">
        <f>IF(COUNTBLANK(B910:S910)&lt;&gt;COLUMNS(B910:S910),909,"")</f>
        <v/>
      </c>
      <c r="C910" s="2" t="str">
        <f t="shared" si="154"/>
        <v/>
      </c>
      <c r="D910" s="1" t="str">
        <f t="shared" si="155"/>
        <v/>
      </c>
      <c r="E910" s="1" t="str">
        <f t="shared" si="156"/>
        <v/>
      </c>
      <c r="I910" s="1" t="str">
        <f t="shared" si="157"/>
        <v/>
      </c>
      <c r="J910" s="2" t="str">
        <f t="shared" si="158"/>
        <v/>
      </c>
      <c r="K910" s="1" t="str">
        <f t="shared" si="159"/>
        <v/>
      </c>
      <c r="O910" s="1" t="str">
        <f t="shared" si="160"/>
        <v/>
      </c>
      <c r="P910" s="2" t="str">
        <f t="shared" si="161"/>
        <v/>
      </c>
      <c r="Q910" s="1" t="str">
        <f t="shared" si="162"/>
        <v/>
      </c>
      <c r="R910" s="2" t="str">
        <f t="shared" si="163"/>
        <v/>
      </c>
      <c r="S910" s="1" t="str">
        <f t="shared" si="164"/>
        <v/>
      </c>
    </row>
    <row r="911" spans="1:19" x14ac:dyDescent="0.2">
      <c r="A911" t="str">
        <f>IF(COUNTBLANK(B911:S911)&lt;&gt;COLUMNS(B911:S911),910,"")</f>
        <v/>
      </c>
      <c r="C911" s="2" t="str">
        <f t="shared" si="154"/>
        <v/>
      </c>
      <c r="D911" s="1" t="str">
        <f t="shared" si="155"/>
        <v/>
      </c>
      <c r="E911" s="1" t="str">
        <f t="shared" si="156"/>
        <v/>
      </c>
      <c r="I911" s="1" t="str">
        <f t="shared" si="157"/>
        <v/>
      </c>
      <c r="J911" s="2" t="str">
        <f t="shared" si="158"/>
        <v/>
      </c>
      <c r="K911" s="1" t="str">
        <f t="shared" si="159"/>
        <v/>
      </c>
      <c r="O911" s="1" t="str">
        <f t="shared" si="160"/>
        <v/>
      </c>
      <c r="P911" s="2" t="str">
        <f t="shared" si="161"/>
        <v/>
      </c>
      <c r="Q911" s="1" t="str">
        <f t="shared" si="162"/>
        <v/>
      </c>
      <c r="R911" s="2" t="str">
        <f t="shared" si="163"/>
        <v/>
      </c>
      <c r="S911" s="1" t="str">
        <f t="shared" si="164"/>
        <v/>
      </c>
    </row>
    <row r="912" spans="1:19" x14ac:dyDescent="0.2">
      <c r="A912" t="str">
        <f>IF(COUNTBLANK(B912:S912)&lt;&gt;COLUMNS(B912:S912),911,"")</f>
        <v/>
      </c>
      <c r="C912" s="2" t="str">
        <f t="shared" si="154"/>
        <v/>
      </c>
      <c r="D912" s="1" t="str">
        <f t="shared" si="155"/>
        <v/>
      </c>
      <c r="E912" s="1" t="str">
        <f t="shared" si="156"/>
        <v/>
      </c>
      <c r="I912" s="1" t="str">
        <f t="shared" si="157"/>
        <v/>
      </c>
      <c r="J912" s="2" t="str">
        <f t="shared" si="158"/>
        <v/>
      </c>
      <c r="K912" s="1" t="str">
        <f t="shared" si="159"/>
        <v/>
      </c>
      <c r="O912" s="1" t="str">
        <f t="shared" si="160"/>
        <v/>
      </c>
      <c r="P912" s="2" t="str">
        <f t="shared" si="161"/>
        <v/>
      </c>
      <c r="Q912" s="1" t="str">
        <f t="shared" si="162"/>
        <v/>
      </c>
      <c r="R912" s="2" t="str">
        <f t="shared" si="163"/>
        <v/>
      </c>
      <c r="S912" s="1" t="str">
        <f t="shared" si="164"/>
        <v/>
      </c>
    </row>
    <row r="913" spans="1:19" x14ac:dyDescent="0.2">
      <c r="A913" t="str">
        <f>IF(COUNTBLANK(B913:S913)&lt;&gt;COLUMNS(B913:S913),912,"")</f>
        <v/>
      </c>
      <c r="C913" s="2" t="str">
        <f t="shared" si="154"/>
        <v/>
      </c>
      <c r="D913" s="1" t="str">
        <f t="shared" si="155"/>
        <v/>
      </c>
      <c r="E913" s="1" t="str">
        <f t="shared" si="156"/>
        <v/>
      </c>
      <c r="I913" s="1" t="str">
        <f t="shared" si="157"/>
        <v/>
      </c>
      <c r="J913" s="2" t="str">
        <f t="shared" si="158"/>
        <v/>
      </c>
      <c r="K913" s="1" t="str">
        <f t="shared" si="159"/>
        <v/>
      </c>
      <c r="O913" s="1" t="str">
        <f t="shared" si="160"/>
        <v/>
      </c>
      <c r="P913" s="2" t="str">
        <f t="shared" si="161"/>
        <v/>
      </c>
      <c r="Q913" s="1" t="str">
        <f t="shared" si="162"/>
        <v/>
      </c>
      <c r="R913" s="2" t="str">
        <f t="shared" si="163"/>
        <v/>
      </c>
      <c r="S913" s="1" t="str">
        <f t="shared" si="164"/>
        <v/>
      </c>
    </row>
    <row r="914" spans="1:19" x14ac:dyDescent="0.2">
      <c r="A914" t="str">
        <f>IF(COUNTBLANK(B914:S914)&lt;&gt;COLUMNS(B914:S914),913,"")</f>
        <v/>
      </c>
      <c r="C914" s="2" t="str">
        <f t="shared" si="154"/>
        <v/>
      </c>
      <c r="D914" s="1" t="str">
        <f t="shared" si="155"/>
        <v/>
      </c>
      <c r="E914" s="1" t="str">
        <f t="shared" si="156"/>
        <v/>
      </c>
      <c r="I914" s="1" t="str">
        <f t="shared" si="157"/>
        <v/>
      </c>
      <c r="J914" s="2" t="str">
        <f t="shared" si="158"/>
        <v/>
      </c>
      <c r="K914" s="1" t="str">
        <f t="shared" si="159"/>
        <v/>
      </c>
      <c r="O914" s="1" t="str">
        <f t="shared" si="160"/>
        <v/>
      </c>
      <c r="P914" s="2" t="str">
        <f t="shared" si="161"/>
        <v/>
      </c>
      <c r="Q914" s="1" t="str">
        <f t="shared" si="162"/>
        <v/>
      </c>
      <c r="R914" s="2" t="str">
        <f t="shared" si="163"/>
        <v/>
      </c>
      <c r="S914" s="1" t="str">
        <f t="shared" si="164"/>
        <v/>
      </c>
    </row>
    <row r="915" spans="1:19" x14ac:dyDescent="0.2">
      <c r="A915" t="str">
        <f>IF(COUNTBLANK(B915:S915)&lt;&gt;COLUMNS(B915:S915),914,"")</f>
        <v/>
      </c>
      <c r="C915" s="2" t="str">
        <f t="shared" si="154"/>
        <v/>
      </c>
      <c r="D915" s="1" t="str">
        <f t="shared" si="155"/>
        <v/>
      </c>
      <c r="E915" s="1" t="str">
        <f t="shared" si="156"/>
        <v/>
      </c>
      <c r="I915" s="1" t="str">
        <f t="shared" si="157"/>
        <v/>
      </c>
      <c r="J915" s="2" t="str">
        <f t="shared" si="158"/>
        <v/>
      </c>
      <c r="K915" s="1" t="str">
        <f t="shared" si="159"/>
        <v/>
      </c>
      <c r="O915" s="1" t="str">
        <f t="shared" si="160"/>
        <v/>
      </c>
      <c r="P915" s="2" t="str">
        <f t="shared" si="161"/>
        <v/>
      </c>
      <c r="Q915" s="1" t="str">
        <f t="shared" si="162"/>
        <v/>
      </c>
      <c r="R915" s="2" t="str">
        <f t="shared" si="163"/>
        <v/>
      </c>
      <c r="S915" s="1" t="str">
        <f t="shared" si="164"/>
        <v/>
      </c>
    </row>
    <row r="916" spans="1:19" x14ac:dyDescent="0.2">
      <c r="A916" t="str">
        <f>IF(COUNTBLANK(B916:S916)&lt;&gt;COLUMNS(B916:S916),915,"")</f>
        <v/>
      </c>
      <c r="C916" s="2" t="str">
        <f t="shared" si="154"/>
        <v/>
      </c>
      <c r="D916" s="1" t="str">
        <f t="shared" si="155"/>
        <v/>
      </c>
      <c r="E916" s="1" t="str">
        <f t="shared" si="156"/>
        <v/>
      </c>
      <c r="I916" s="1" t="str">
        <f t="shared" si="157"/>
        <v/>
      </c>
      <c r="J916" s="2" t="str">
        <f t="shared" si="158"/>
        <v/>
      </c>
      <c r="K916" s="1" t="str">
        <f t="shared" si="159"/>
        <v/>
      </c>
      <c r="O916" s="1" t="str">
        <f t="shared" si="160"/>
        <v/>
      </c>
      <c r="P916" s="2" t="str">
        <f t="shared" si="161"/>
        <v/>
      </c>
      <c r="Q916" s="1" t="str">
        <f t="shared" si="162"/>
        <v/>
      </c>
      <c r="R916" s="2" t="str">
        <f t="shared" si="163"/>
        <v/>
      </c>
      <c r="S916" s="1" t="str">
        <f t="shared" si="164"/>
        <v/>
      </c>
    </row>
    <row r="917" spans="1:19" x14ac:dyDescent="0.2">
      <c r="A917" t="str">
        <f>IF(COUNTBLANK(B917:S917)&lt;&gt;COLUMNS(B917:S917),916,"")</f>
        <v/>
      </c>
      <c r="C917" s="2" t="str">
        <f t="shared" si="154"/>
        <v/>
      </c>
      <c r="D917" s="1" t="str">
        <f t="shared" si="155"/>
        <v/>
      </c>
      <c r="E917" s="1" t="str">
        <f t="shared" si="156"/>
        <v/>
      </c>
      <c r="I917" s="1" t="str">
        <f t="shared" si="157"/>
        <v/>
      </c>
      <c r="J917" s="2" t="str">
        <f t="shared" si="158"/>
        <v/>
      </c>
      <c r="K917" s="1" t="str">
        <f t="shared" si="159"/>
        <v/>
      </c>
      <c r="O917" s="1" t="str">
        <f t="shared" si="160"/>
        <v/>
      </c>
      <c r="P917" s="2" t="str">
        <f t="shared" si="161"/>
        <v/>
      </c>
      <c r="Q917" s="1" t="str">
        <f t="shared" si="162"/>
        <v/>
      </c>
      <c r="R917" s="2" t="str">
        <f t="shared" si="163"/>
        <v/>
      </c>
      <c r="S917" s="1" t="str">
        <f t="shared" si="164"/>
        <v/>
      </c>
    </row>
    <row r="918" spans="1:19" x14ac:dyDescent="0.2">
      <c r="A918" t="str">
        <f>IF(COUNTBLANK(B918:S918)&lt;&gt;COLUMNS(B918:S918),917,"")</f>
        <v/>
      </c>
      <c r="C918" s="2" t="str">
        <f t="shared" si="154"/>
        <v/>
      </c>
      <c r="D918" s="1" t="str">
        <f t="shared" si="155"/>
        <v/>
      </c>
      <c r="E918" s="1" t="str">
        <f t="shared" si="156"/>
        <v/>
      </c>
      <c r="I918" s="1" t="str">
        <f t="shared" si="157"/>
        <v/>
      </c>
      <c r="J918" s="2" t="str">
        <f t="shared" si="158"/>
        <v/>
      </c>
      <c r="K918" s="1" t="str">
        <f t="shared" si="159"/>
        <v/>
      </c>
      <c r="O918" s="1" t="str">
        <f t="shared" si="160"/>
        <v/>
      </c>
      <c r="P918" s="2" t="str">
        <f t="shared" si="161"/>
        <v/>
      </c>
      <c r="Q918" s="1" t="str">
        <f t="shared" si="162"/>
        <v/>
      </c>
      <c r="R918" s="2" t="str">
        <f t="shared" si="163"/>
        <v/>
      </c>
      <c r="S918" s="1" t="str">
        <f t="shared" si="164"/>
        <v/>
      </c>
    </row>
    <row r="919" spans="1:19" x14ac:dyDescent="0.2">
      <c r="A919" t="str">
        <f>IF(COUNTBLANK(B919:S919)&lt;&gt;COLUMNS(B919:S919),918,"")</f>
        <v/>
      </c>
      <c r="C919" s="2" t="str">
        <f t="shared" si="154"/>
        <v/>
      </c>
      <c r="D919" s="1" t="str">
        <f t="shared" si="155"/>
        <v/>
      </c>
      <c r="E919" s="1" t="str">
        <f t="shared" si="156"/>
        <v/>
      </c>
      <c r="I919" s="1" t="str">
        <f t="shared" si="157"/>
        <v/>
      </c>
      <c r="J919" s="2" t="str">
        <f t="shared" si="158"/>
        <v/>
      </c>
      <c r="K919" s="1" t="str">
        <f t="shared" si="159"/>
        <v/>
      </c>
      <c r="O919" s="1" t="str">
        <f t="shared" si="160"/>
        <v/>
      </c>
      <c r="P919" s="2" t="str">
        <f t="shared" si="161"/>
        <v/>
      </c>
      <c r="Q919" s="1" t="str">
        <f t="shared" si="162"/>
        <v/>
      </c>
      <c r="R919" s="2" t="str">
        <f t="shared" si="163"/>
        <v/>
      </c>
      <c r="S919" s="1" t="str">
        <f t="shared" si="164"/>
        <v/>
      </c>
    </row>
    <row r="920" spans="1:19" x14ac:dyDescent="0.2">
      <c r="A920" t="str">
        <f>IF(COUNTBLANK(B920:S920)&lt;&gt;COLUMNS(B920:S920),919,"")</f>
        <v/>
      </c>
      <c r="C920" s="2" t="str">
        <f t="shared" si="154"/>
        <v/>
      </c>
      <c r="D920" s="1" t="str">
        <f t="shared" si="155"/>
        <v/>
      </c>
      <c r="E920" s="1" t="str">
        <f t="shared" si="156"/>
        <v/>
      </c>
      <c r="I920" s="1" t="str">
        <f t="shared" si="157"/>
        <v/>
      </c>
      <c r="J920" s="2" t="str">
        <f t="shared" si="158"/>
        <v/>
      </c>
      <c r="K920" s="1" t="str">
        <f t="shared" si="159"/>
        <v/>
      </c>
      <c r="O920" s="1" t="str">
        <f t="shared" si="160"/>
        <v/>
      </c>
      <c r="P920" s="2" t="str">
        <f t="shared" si="161"/>
        <v/>
      </c>
      <c r="Q920" s="1" t="str">
        <f t="shared" si="162"/>
        <v/>
      </c>
      <c r="R920" s="2" t="str">
        <f t="shared" si="163"/>
        <v/>
      </c>
      <c r="S920" s="1" t="str">
        <f t="shared" si="164"/>
        <v/>
      </c>
    </row>
    <row r="921" spans="1:19" x14ac:dyDescent="0.2">
      <c r="A921" t="str">
        <f>IF(COUNTBLANK(B921:S921)&lt;&gt;COLUMNS(B921:S921),920,"")</f>
        <v/>
      </c>
      <c r="C921" s="2" t="str">
        <f t="shared" si="154"/>
        <v/>
      </c>
      <c r="D921" s="1" t="str">
        <f t="shared" si="155"/>
        <v/>
      </c>
      <c r="E921" s="1" t="str">
        <f t="shared" si="156"/>
        <v/>
      </c>
      <c r="I921" s="1" t="str">
        <f t="shared" si="157"/>
        <v/>
      </c>
      <c r="J921" s="2" t="str">
        <f t="shared" si="158"/>
        <v/>
      </c>
      <c r="K921" s="1" t="str">
        <f t="shared" si="159"/>
        <v/>
      </c>
      <c r="O921" s="1" t="str">
        <f t="shared" si="160"/>
        <v/>
      </c>
      <c r="P921" s="2" t="str">
        <f t="shared" si="161"/>
        <v/>
      </c>
      <c r="Q921" s="1" t="str">
        <f t="shared" si="162"/>
        <v/>
      </c>
      <c r="R921" s="2" t="str">
        <f t="shared" si="163"/>
        <v/>
      </c>
      <c r="S921" s="1" t="str">
        <f t="shared" si="164"/>
        <v/>
      </c>
    </row>
    <row r="922" spans="1:19" x14ac:dyDescent="0.2">
      <c r="A922" t="str">
        <f>IF(COUNTBLANK(B922:S922)&lt;&gt;COLUMNS(B922:S922),921,"")</f>
        <v/>
      </c>
      <c r="C922" s="2" t="str">
        <f t="shared" si="154"/>
        <v/>
      </c>
      <c r="D922" s="1" t="str">
        <f t="shared" si="155"/>
        <v/>
      </c>
      <c r="E922" s="1" t="str">
        <f t="shared" si="156"/>
        <v/>
      </c>
      <c r="I922" s="1" t="str">
        <f t="shared" si="157"/>
        <v/>
      </c>
      <c r="J922" s="2" t="str">
        <f t="shared" si="158"/>
        <v/>
      </c>
      <c r="K922" s="1" t="str">
        <f t="shared" si="159"/>
        <v/>
      </c>
      <c r="O922" s="1" t="str">
        <f t="shared" si="160"/>
        <v/>
      </c>
      <c r="P922" s="2" t="str">
        <f t="shared" si="161"/>
        <v/>
      </c>
      <c r="Q922" s="1" t="str">
        <f t="shared" si="162"/>
        <v/>
      </c>
      <c r="R922" s="2" t="str">
        <f t="shared" si="163"/>
        <v/>
      </c>
      <c r="S922" s="1" t="str">
        <f t="shared" si="164"/>
        <v/>
      </c>
    </row>
    <row r="923" spans="1:19" x14ac:dyDescent="0.2">
      <c r="A923" t="str">
        <f>IF(COUNTBLANK(B923:S923)&lt;&gt;COLUMNS(B923:S923),922,"")</f>
        <v/>
      </c>
      <c r="C923" s="2" t="str">
        <f t="shared" si="154"/>
        <v/>
      </c>
      <c r="D923" s="1" t="str">
        <f t="shared" si="155"/>
        <v/>
      </c>
      <c r="E923" s="1" t="str">
        <f t="shared" si="156"/>
        <v/>
      </c>
      <c r="I923" s="1" t="str">
        <f t="shared" si="157"/>
        <v/>
      </c>
      <c r="J923" s="2" t="str">
        <f t="shared" si="158"/>
        <v/>
      </c>
      <c r="K923" s="1" t="str">
        <f t="shared" si="159"/>
        <v/>
      </c>
      <c r="O923" s="1" t="str">
        <f t="shared" si="160"/>
        <v/>
      </c>
      <c r="P923" s="2" t="str">
        <f t="shared" si="161"/>
        <v/>
      </c>
      <c r="Q923" s="1" t="str">
        <f t="shared" si="162"/>
        <v/>
      </c>
      <c r="R923" s="2" t="str">
        <f t="shared" si="163"/>
        <v/>
      </c>
      <c r="S923" s="1" t="str">
        <f t="shared" si="164"/>
        <v/>
      </c>
    </row>
    <row r="924" spans="1:19" x14ac:dyDescent="0.2">
      <c r="A924" t="str">
        <f>IF(COUNTBLANK(B924:S924)&lt;&gt;COLUMNS(B924:S924),923,"")</f>
        <v/>
      </c>
      <c r="C924" s="2" t="str">
        <f t="shared" si="154"/>
        <v/>
      </c>
      <c r="D924" s="1" t="str">
        <f t="shared" si="155"/>
        <v/>
      </c>
      <c r="E924" s="1" t="str">
        <f t="shared" si="156"/>
        <v/>
      </c>
      <c r="I924" s="1" t="str">
        <f t="shared" si="157"/>
        <v/>
      </c>
      <c r="J924" s="2" t="str">
        <f t="shared" si="158"/>
        <v/>
      </c>
      <c r="K924" s="1" t="str">
        <f t="shared" si="159"/>
        <v/>
      </c>
      <c r="O924" s="1" t="str">
        <f t="shared" si="160"/>
        <v/>
      </c>
      <c r="P924" s="2" t="str">
        <f t="shared" si="161"/>
        <v/>
      </c>
      <c r="Q924" s="1" t="str">
        <f t="shared" si="162"/>
        <v/>
      </c>
      <c r="R924" s="2" t="str">
        <f t="shared" si="163"/>
        <v/>
      </c>
      <c r="S924" s="1" t="str">
        <f t="shared" si="164"/>
        <v/>
      </c>
    </row>
    <row r="925" spans="1:19" x14ac:dyDescent="0.2">
      <c r="A925" t="str">
        <f>IF(COUNTBLANK(B925:S925)&lt;&gt;COLUMNS(B925:S925),924,"")</f>
        <v/>
      </c>
      <c r="C925" s="2" t="str">
        <f t="shared" si="154"/>
        <v/>
      </c>
      <c r="D925" s="1" t="str">
        <f t="shared" si="155"/>
        <v/>
      </c>
      <c r="E925" s="1" t="str">
        <f t="shared" si="156"/>
        <v/>
      </c>
      <c r="I925" s="1" t="str">
        <f t="shared" si="157"/>
        <v/>
      </c>
      <c r="J925" s="2" t="str">
        <f t="shared" si="158"/>
        <v/>
      </c>
      <c r="K925" s="1" t="str">
        <f t="shared" si="159"/>
        <v/>
      </c>
      <c r="O925" s="1" t="str">
        <f t="shared" si="160"/>
        <v/>
      </c>
      <c r="P925" s="2" t="str">
        <f t="shared" si="161"/>
        <v/>
      </c>
      <c r="Q925" s="1" t="str">
        <f t="shared" si="162"/>
        <v/>
      </c>
      <c r="R925" s="2" t="str">
        <f t="shared" si="163"/>
        <v/>
      </c>
      <c r="S925" s="1" t="str">
        <f t="shared" si="164"/>
        <v/>
      </c>
    </row>
    <row r="926" spans="1:19" x14ac:dyDescent="0.2">
      <c r="A926" t="str">
        <f>IF(COUNTBLANK(B926:S926)&lt;&gt;COLUMNS(B926:S926),925,"")</f>
        <v/>
      </c>
      <c r="C926" s="2" t="str">
        <f t="shared" si="154"/>
        <v/>
      </c>
      <c r="D926" s="1" t="str">
        <f t="shared" si="155"/>
        <v/>
      </c>
      <c r="E926" s="1" t="str">
        <f t="shared" si="156"/>
        <v/>
      </c>
      <c r="I926" s="1" t="str">
        <f t="shared" si="157"/>
        <v/>
      </c>
      <c r="J926" s="2" t="str">
        <f t="shared" si="158"/>
        <v/>
      </c>
      <c r="K926" s="1" t="str">
        <f t="shared" si="159"/>
        <v/>
      </c>
      <c r="O926" s="1" t="str">
        <f t="shared" si="160"/>
        <v/>
      </c>
      <c r="P926" s="2" t="str">
        <f t="shared" si="161"/>
        <v/>
      </c>
      <c r="Q926" s="1" t="str">
        <f t="shared" si="162"/>
        <v/>
      </c>
      <c r="R926" s="2" t="str">
        <f t="shared" si="163"/>
        <v/>
      </c>
      <c r="S926" s="1" t="str">
        <f t="shared" si="164"/>
        <v/>
      </c>
    </row>
    <row r="927" spans="1:19" x14ac:dyDescent="0.2">
      <c r="A927" t="str">
        <f>IF(COUNTBLANK(B927:S927)&lt;&gt;COLUMNS(B927:S927),926,"")</f>
        <v/>
      </c>
      <c r="C927" s="2" t="str">
        <f t="shared" si="154"/>
        <v/>
      </c>
      <c r="D927" s="1" t="str">
        <f t="shared" si="155"/>
        <v/>
      </c>
      <c r="E927" s="1" t="str">
        <f t="shared" si="156"/>
        <v/>
      </c>
      <c r="I927" s="1" t="str">
        <f t="shared" si="157"/>
        <v/>
      </c>
      <c r="J927" s="2" t="str">
        <f t="shared" si="158"/>
        <v/>
      </c>
      <c r="K927" s="1" t="str">
        <f t="shared" si="159"/>
        <v/>
      </c>
      <c r="O927" s="1" t="str">
        <f t="shared" si="160"/>
        <v/>
      </c>
      <c r="P927" s="2" t="str">
        <f t="shared" si="161"/>
        <v/>
      </c>
      <c r="Q927" s="1" t="str">
        <f t="shared" si="162"/>
        <v/>
      </c>
      <c r="R927" s="2" t="str">
        <f t="shared" si="163"/>
        <v/>
      </c>
      <c r="S927" s="1" t="str">
        <f t="shared" si="164"/>
        <v/>
      </c>
    </row>
    <row r="928" spans="1:19" x14ac:dyDescent="0.2">
      <c r="A928" t="str">
        <f>IF(COUNTBLANK(B928:S928)&lt;&gt;COLUMNS(B928:S928),927,"")</f>
        <v/>
      </c>
      <c r="C928" s="2" t="str">
        <f t="shared" si="154"/>
        <v/>
      </c>
      <c r="D928" s="1" t="str">
        <f t="shared" si="155"/>
        <v/>
      </c>
      <c r="E928" s="1" t="str">
        <f t="shared" si="156"/>
        <v/>
      </c>
      <c r="I928" s="1" t="str">
        <f t="shared" si="157"/>
        <v/>
      </c>
      <c r="J928" s="2" t="str">
        <f t="shared" si="158"/>
        <v/>
      </c>
      <c r="K928" s="1" t="str">
        <f t="shared" si="159"/>
        <v/>
      </c>
      <c r="O928" s="1" t="str">
        <f t="shared" si="160"/>
        <v/>
      </c>
      <c r="P928" s="2" t="str">
        <f t="shared" si="161"/>
        <v/>
      </c>
      <c r="Q928" s="1" t="str">
        <f t="shared" si="162"/>
        <v/>
      </c>
      <c r="R928" s="2" t="str">
        <f t="shared" si="163"/>
        <v/>
      </c>
      <c r="S928" s="1" t="str">
        <f t="shared" si="164"/>
        <v/>
      </c>
    </row>
    <row r="929" spans="1:19" x14ac:dyDescent="0.2">
      <c r="A929" t="str">
        <f>IF(COUNTBLANK(B929:S929)&lt;&gt;COLUMNS(B929:S929),928,"")</f>
        <v/>
      </c>
      <c r="C929" s="2" t="str">
        <f t="shared" si="154"/>
        <v/>
      </c>
      <c r="D929" s="1" t="str">
        <f t="shared" si="155"/>
        <v/>
      </c>
      <c r="E929" s="1" t="str">
        <f t="shared" si="156"/>
        <v/>
      </c>
      <c r="I929" s="1" t="str">
        <f t="shared" si="157"/>
        <v/>
      </c>
      <c r="J929" s="2" t="str">
        <f t="shared" si="158"/>
        <v/>
      </c>
      <c r="K929" s="1" t="str">
        <f t="shared" si="159"/>
        <v/>
      </c>
      <c r="O929" s="1" t="str">
        <f t="shared" si="160"/>
        <v/>
      </c>
      <c r="P929" s="2" t="str">
        <f t="shared" si="161"/>
        <v/>
      </c>
      <c r="Q929" s="1" t="str">
        <f t="shared" si="162"/>
        <v/>
      </c>
      <c r="R929" s="2" t="str">
        <f t="shared" si="163"/>
        <v/>
      </c>
      <c r="S929" s="1" t="str">
        <f t="shared" si="164"/>
        <v/>
      </c>
    </row>
    <row r="930" spans="1:19" x14ac:dyDescent="0.2">
      <c r="A930" t="str">
        <f>IF(COUNTBLANK(B930:S930)&lt;&gt;COLUMNS(B930:S930),929,"")</f>
        <v/>
      </c>
      <c r="C930" s="2" t="str">
        <f t="shared" si="154"/>
        <v/>
      </c>
      <c r="D930" s="1" t="str">
        <f t="shared" si="155"/>
        <v/>
      </c>
      <c r="E930" s="1" t="str">
        <f t="shared" si="156"/>
        <v/>
      </c>
      <c r="I930" s="1" t="str">
        <f t="shared" si="157"/>
        <v/>
      </c>
      <c r="J930" s="2" t="str">
        <f t="shared" si="158"/>
        <v/>
      </c>
      <c r="K930" s="1" t="str">
        <f t="shared" si="159"/>
        <v/>
      </c>
      <c r="O930" s="1" t="str">
        <f t="shared" si="160"/>
        <v/>
      </c>
      <c r="P930" s="2" t="str">
        <f t="shared" si="161"/>
        <v/>
      </c>
      <c r="Q930" s="1" t="str">
        <f t="shared" si="162"/>
        <v/>
      </c>
      <c r="R930" s="2" t="str">
        <f t="shared" si="163"/>
        <v/>
      </c>
      <c r="S930" s="1" t="str">
        <f t="shared" si="164"/>
        <v/>
      </c>
    </row>
    <row r="931" spans="1:19" x14ac:dyDescent="0.2">
      <c r="A931" t="str">
        <f>IF(COUNTBLANK(B931:S931)&lt;&gt;COLUMNS(B931:S931),930,"")</f>
        <v/>
      </c>
      <c r="C931" s="2" t="str">
        <f t="shared" si="154"/>
        <v/>
      </c>
      <c r="D931" s="1" t="str">
        <f t="shared" si="155"/>
        <v/>
      </c>
      <c r="E931" s="1" t="str">
        <f t="shared" si="156"/>
        <v/>
      </c>
      <c r="I931" s="1" t="str">
        <f t="shared" si="157"/>
        <v/>
      </c>
      <c r="J931" s="2" t="str">
        <f t="shared" si="158"/>
        <v/>
      </c>
      <c r="K931" s="1" t="str">
        <f t="shared" si="159"/>
        <v/>
      </c>
      <c r="O931" s="1" t="str">
        <f t="shared" si="160"/>
        <v/>
      </c>
      <c r="P931" s="2" t="str">
        <f t="shared" si="161"/>
        <v/>
      </c>
      <c r="Q931" s="1" t="str">
        <f t="shared" si="162"/>
        <v/>
      </c>
      <c r="R931" s="2" t="str">
        <f t="shared" si="163"/>
        <v/>
      </c>
      <c r="S931" s="1" t="str">
        <f t="shared" si="164"/>
        <v/>
      </c>
    </row>
    <row r="932" spans="1:19" x14ac:dyDescent="0.2">
      <c r="A932" t="str">
        <f>IF(COUNTBLANK(B932:S932)&lt;&gt;COLUMNS(B932:S932),931,"")</f>
        <v/>
      </c>
      <c r="C932" s="2" t="str">
        <f t="shared" si="154"/>
        <v/>
      </c>
      <c r="D932" s="1" t="str">
        <f t="shared" si="155"/>
        <v/>
      </c>
      <c r="E932" s="1" t="str">
        <f t="shared" si="156"/>
        <v/>
      </c>
      <c r="I932" s="1" t="str">
        <f t="shared" si="157"/>
        <v/>
      </c>
      <c r="J932" s="2" t="str">
        <f t="shared" si="158"/>
        <v/>
      </c>
      <c r="K932" s="1" t="str">
        <f t="shared" si="159"/>
        <v/>
      </c>
      <c r="O932" s="1" t="str">
        <f t="shared" si="160"/>
        <v/>
      </c>
      <c r="P932" s="2" t="str">
        <f t="shared" si="161"/>
        <v/>
      </c>
      <c r="Q932" s="1" t="str">
        <f t="shared" si="162"/>
        <v/>
      </c>
      <c r="R932" s="2" t="str">
        <f t="shared" si="163"/>
        <v/>
      </c>
      <c r="S932" s="1" t="str">
        <f t="shared" si="164"/>
        <v/>
      </c>
    </row>
    <row r="933" spans="1:19" x14ac:dyDescent="0.2">
      <c r="A933" t="str">
        <f>IF(COUNTBLANK(B933:S933)&lt;&gt;COLUMNS(B933:S933),932,"")</f>
        <v/>
      </c>
      <c r="C933" s="2" t="str">
        <f t="shared" si="154"/>
        <v/>
      </c>
      <c r="D933" s="1" t="str">
        <f t="shared" si="155"/>
        <v/>
      </c>
      <c r="E933" s="1" t="str">
        <f t="shared" si="156"/>
        <v/>
      </c>
      <c r="I933" s="1" t="str">
        <f t="shared" si="157"/>
        <v/>
      </c>
      <c r="J933" s="2" t="str">
        <f t="shared" si="158"/>
        <v/>
      </c>
      <c r="K933" s="1" t="str">
        <f t="shared" si="159"/>
        <v/>
      </c>
      <c r="O933" s="1" t="str">
        <f t="shared" si="160"/>
        <v/>
      </c>
      <c r="P933" s="2" t="str">
        <f t="shared" si="161"/>
        <v/>
      </c>
      <c r="Q933" s="1" t="str">
        <f t="shared" si="162"/>
        <v/>
      </c>
      <c r="R933" s="2" t="str">
        <f t="shared" si="163"/>
        <v/>
      </c>
      <c r="S933" s="1" t="str">
        <f t="shared" si="164"/>
        <v/>
      </c>
    </row>
    <row r="934" spans="1:19" x14ac:dyDescent="0.2">
      <c r="A934" t="str">
        <f>IF(COUNTBLANK(B934:S934)&lt;&gt;COLUMNS(B934:S934),933,"")</f>
        <v/>
      </c>
      <c r="C934" s="2" t="str">
        <f t="shared" si="154"/>
        <v/>
      </c>
      <c r="D934" s="1" t="str">
        <f t="shared" si="155"/>
        <v/>
      </c>
      <c r="E934" s="1" t="str">
        <f t="shared" si="156"/>
        <v/>
      </c>
      <c r="I934" s="1" t="str">
        <f t="shared" si="157"/>
        <v/>
      </c>
      <c r="J934" s="2" t="str">
        <f t="shared" si="158"/>
        <v/>
      </c>
      <c r="K934" s="1" t="str">
        <f t="shared" si="159"/>
        <v/>
      </c>
      <c r="O934" s="1" t="str">
        <f t="shared" si="160"/>
        <v/>
      </c>
      <c r="P934" s="2" t="str">
        <f t="shared" si="161"/>
        <v/>
      </c>
      <c r="Q934" s="1" t="str">
        <f t="shared" si="162"/>
        <v/>
      </c>
      <c r="R934" s="2" t="str">
        <f t="shared" si="163"/>
        <v/>
      </c>
      <c r="S934" s="1" t="str">
        <f t="shared" si="164"/>
        <v/>
      </c>
    </row>
    <row r="935" spans="1:19" x14ac:dyDescent="0.2">
      <c r="A935" t="str">
        <f>IF(COUNTBLANK(B935:S935)&lt;&gt;COLUMNS(B935:S935),934,"")</f>
        <v/>
      </c>
      <c r="C935" s="2" t="str">
        <f t="shared" si="154"/>
        <v/>
      </c>
      <c r="D935" s="1" t="str">
        <f t="shared" si="155"/>
        <v/>
      </c>
      <c r="E935" s="1" t="str">
        <f t="shared" si="156"/>
        <v/>
      </c>
      <c r="I935" s="1" t="str">
        <f t="shared" si="157"/>
        <v/>
      </c>
      <c r="J935" s="2" t="str">
        <f t="shared" si="158"/>
        <v/>
      </c>
      <c r="K935" s="1" t="str">
        <f t="shared" si="159"/>
        <v/>
      </c>
      <c r="O935" s="1" t="str">
        <f t="shared" si="160"/>
        <v/>
      </c>
      <c r="P935" s="2" t="str">
        <f t="shared" si="161"/>
        <v/>
      </c>
      <c r="Q935" s="1" t="str">
        <f t="shared" si="162"/>
        <v/>
      </c>
      <c r="R935" s="2" t="str">
        <f t="shared" si="163"/>
        <v/>
      </c>
      <c r="S935" s="1" t="str">
        <f t="shared" si="164"/>
        <v/>
      </c>
    </row>
    <row r="936" spans="1:19" x14ac:dyDescent="0.2">
      <c r="A936" t="str">
        <f>IF(COUNTBLANK(B936:S936)&lt;&gt;COLUMNS(B936:S936),935,"")</f>
        <v/>
      </c>
      <c r="C936" s="2" t="str">
        <f t="shared" si="154"/>
        <v/>
      </c>
      <c r="D936" s="1" t="str">
        <f t="shared" si="155"/>
        <v/>
      </c>
      <c r="E936" s="1" t="str">
        <f t="shared" si="156"/>
        <v/>
      </c>
      <c r="I936" s="1" t="str">
        <f t="shared" si="157"/>
        <v/>
      </c>
      <c r="J936" s="2" t="str">
        <f t="shared" si="158"/>
        <v/>
      </c>
      <c r="K936" s="1" t="str">
        <f t="shared" si="159"/>
        <v/>
      </c>
      <c r="O936" s="1" t="str">
        <f t="shared" si="160"/>
        <v/>
      </c>
      <c r="P936" s="2" t="str">
        <f t="shared" si="161"/>
        <v/>
      </c>
      <c r="Q936" s="1" t="str">
        <f t="shared" si="162"/>
        <v/>
      </c>
      <c r="R936" s="2" t="str">
        <f t="shared" si="163"/>
        <v/>
      </c>
      <c r="S936" s="1" t="str">
        <f t="shared" si="164"/>
        <v/>
      </c>
    </row>
    <row r="937" spans="1:19" x14ac:dyDescent="0.2">
      <c r="A937" t="str">
        <f>IF(COUNTBLANK(B937:S937)&lt;&gt;COLUMNS(B937:S937),936,"")</f>
        <v/>
      </c>
      <c r="C937" s="2" t="str">
        <f t="shared" si="154"/>
        <v/>
      </c>
      <c r="D937" s="1" t="str">
        <f t="shared" si="155"/>
        <v/>
      </c>
      <c r="E937" s="1" t="str">
        <f t="shared" si="156"/>
        <v/>
      </c>
      <c r="I937" s="1" t="str">
        <f t="shared" si="157"/>
        <v/>
      </c>
      <c r="J937" s="2" t="str">
        <f t="shared" si="158"/>
        <v/>
      </c>
      <c r="K937" s="1" t="str">
        <f t="shared" si="159"/>
        <v/>
      </c>
      <c r="O937" s="1" t="str">
        <f t="shared" si="160"/>
        <v/>
      </c>
      <c r="P937" s="2" t="str">
        <f t="shared" si="161"/>
        <v/>
      </c>
      <c r="Q937" s="1" t="str">
        <f t="shared" si="162"/>
        <v/>
      </c>
      <c r="R937" s="2" t="str">
        <f t="shared" si="163"/>
        <v/>
      </c>
      <c r="S937" s="1" t="str">
        <f t="shared" si="164"/>
        <v/>
      </c>
    </row>
    <row r="938" spans="1:19" x14ac:dyDescent="0.2">
      <c r="A938" t="str">
        <f>IF(COUNTBLANK(B938:S938)&lt;&gt;COLUMNS(B938:S938),937,"")</f>
        <v/>
      </c>
      <c r="C938" s="2" t="str">
        <f t="shared" si="154"/>
        <v/>
      </c>
      <c r="D938" s="1" t="str">
        <f t="shared" si="155"/>
        <v/>
      </c>
      <c r="E938" s="1" t="str">
        <f t="shared" si="156"/>
        <v/>
      </c>
      <c r="I938" s="1" t="str">
        <f t="shared" si="157"/>
        <v/>
      </c>
      <c r="J938" s="2" t="str">
        <f t="shared" si="158"/>
        <v/>
      </c>
      <c r="K938" s="1" t="str">
        <f t="shared" si="159"/>
        <v/>
      </c>
      <c r="O938" s="1" t="str">
        <f t="shared" si="160"/>
        <v/>
      </c>
      <c r="P938" s="2" t="str">
        <f t="shared" si="161"/>
        <v/>
      </c>
      <c r="Q938" s="1" t="str">
        <f t="shared" si="162"/>
        <v/>
      </c>
      <c r="R938" s="2" t="str">
        <f t="shared" si="163"/>
        <v/>
      </c>
      <c r="S938" s="1" t="str">
        <f t="shared" si="164"/>
        <v/>
      </c>
    </row>
    <row r="939" spans="1:19" x14ac:dyDescent="0.2">
      <c r="A939" t="str">
        <f>IF(COUNTBLANK(B939:S939)&lt;&gt;COLUMNS(B939:S939),938,"")</f>
        <v/>
      </c>
      <c r="C939" s="2" t="str">
        <f t="shared" si="154"/>
        <v/>
      </c>
      <c r="D939" s="1" t="str">
        <f t="shared" si="155"/>
        <v/>
      </c>
      <c r="E939" s="1" t="str">
        <f t="shared" si="156"/>
        <v/>
      </c>
      <c r="I939" s="1" t="str">
        <f t="shared" si="157"/>
        <v/>
      </c>
      <c r="J939" s="2" t="str">
        <f t="shared" si="158"/>
        <v/>
      </c>
      <c r="K939" s="1" t="str">
        <f t="shared" si="159"/>
        <v/>
      </c>
      <c r="O939" s="1" t="str">
        <f t="shared" si="160"/>
        <v/>
      </c>
      <c r="P939" s="2" t="str">
        <f t="shared" si="161"/>
        <v/>
      </c>
      <c r="Q939" s="1" t="str">
        <f t="shared" si="162"/>
        <v/>
      </c>
      <c r="R939" s="2" t="str">
        <f t="shared" si="163"/>
        <v/>
      </c>
      <c r="S939" s="1" t="str">
        <f t="shared" si="164"/>
        <v/>
      </c>
    </row>
    <row r="940" spans="1:19" x14ac:dyDescent="0.2">
      <c r="A940" t="str">
        <f>IF(COUNTBLANK(B940:S940)&lt;&gt;COLUMNS(B940:S940),939,"")</f>
        <v/>
      </c>
      <c r="C940" s="2" t="str">
        <f t="shared" si="154"/>
        <v/>
      </c>
      <c r="D940" s="1" t="str">
        <f t="shared" si="155"/>
        <v/>
      </c>
      <c r="E940" s="1" t="str">
        <f t="shared" si="156"/>
        <v/>
      </c>
      <c r="I940" s="1" t="str">
        <f t="shared" si="157"/>
        <v/>
      </c>
      <c r="J940" s="2" t="str">
        <f t="shared" si="158"/>
        <v/>
      </c>
      <c r="K940" s="1" t="str">
        <f t="shared" si="159"/>
        <v/>
      </c>
      <c r="O940" s="1" t="str">
        <f t="shared" si="160"/>
        <v/>
      </c>
      <c r="P940" s="2" t="str">
        <f t="shared" si="161"/>
        <v/>
      </c>
      <c r="Q940" s="1" t="str">
        <f t="shared" si="162"/>
        <v/>
      </c>
      <c r="R940" s="2" t="str">
        <f t="shared" si="163"/>
        <v/>
      </c>
      <c r="S940" s="1" t="str">
        <f t="shared" si="164"/>
        <v/>
      </c>
    </row>
    <row r="941" spans="1:19" x14ac:dyDescent="0.2">
      <c r="A941" t="str">
        <f>IF(COUNTBLANK(B941:S941)&lt;&gt;COLUMNS(B941:S941),940,"")</f>
        <v/>
      </c>
      <c r="C941" s="2" t="str">
        <f t="shared" si="154"/>
        <v/>
      </c>
      <c r="D941" s="1" t="str">
        <f t="shared" si="155"/>
        <v/>
      </c>
      <c r="E941" s="1" t="str">
        <f t="shared" si="156"/>
        <v/>
      </c>
      <c r="I941" s="1" t="str">
        <f t="shared" si="157"/>
        <v/>
      </c>
      <c r="J941" s="2" t="str">
        <f t="shared" si="158"/>
        <v/>
      </c>
      <c r="K941" s="1" t="str">
        <f t="shared" si="159"/>
        <v/>
      </c>
      <c r="O941" s="1" t="str">
        <f t="shared" si="160"/>
        <v/>
      </c>
      <c r="P941" s="2" t="str">
        <f t="shared" si="161"/>
        <v/>
      </c>
      <c r="Q941" s="1" t="str">
        <f t="shared" si="162"/>
        <v/>
      </c>
      <c r="R941" s="2" t="str">
        <f t="shared" si="163"/>
        <v/>
      </c>
      <c r="S941" s="1" t="str">
        <f t="shared" si="164"/>
        <v/>
      </c>
    </row>
    <row r="942" spans="1:19" x14ac:dyDescent="0.2">
      <c r="A942" t="str">
        <f>IF(COUNTBLANK(B942:S942)&lt;&gt;COLUMNS(B942:S942),941,"")</f>
        <v/>
      </c>
      <c r="C942" s="2" t="str">
        <f t="shared" si="154"/>
        <v/>
      </c>
      <c r="D942" s="1" t="str">
        <f t="shared" si="155"/>
        <v/>
      </c>
      <c r="E942" s="1" t="str">
        <f t="shared" si="156"/>
        <v/>
      </c>
      <c r="I942" s="1" t="str">
        <f t="shared" si="157"/>
        <v/>
      </c>
      <c r="J942" s="2" t="str">
        <f t="shared" si="158"/>
        <v/>
      </c>
      <c r="K942" s="1" t="str">
        <f t="shared" si="159"/>
        <v/>
      </c>
      <c r="O942" s="1" t="str">
        <f t="shared" si="160"/>
        <v/>
      </c>
      <c r="P942" s="2" t="str">
        <f t="shared" si="161"/>
        <v/>
      </c>
      <c r="Q942" s="1" t="str">
        <f t="shared" si="162"/>
        <v/>
      </c>
      <c r="R942" s="2" t="str">
        <f t="shared" si="163"/>
        <v/>
      </c>
      <c r="S942" s="1" t="str">
        <f t="shared" si="164"/>
        <v/>
      </c>
    </row>
    <row r="943" spans="1:19" x14ac:dyDescent="0.2">
      <c r="A943" t="str">
        <f>IF(COUNTBLANK(B943:S943)&lt;&gt;COLUMNS(B943:S943),942,"")</f>
        <v/>
      </c>
      <c r="C943" s="2" t="str">
        <f t="shared" si="154"/>
        <v/>
      </c>
      <c r="D943" s="1" t="str">
        <f t="shared" si="155"/>
        <v/>
      </c>
      <c r="E943" s="1" t="str">
        <f t="shared" si="156"/>
        <v/>
      </c>
      <c r="I943" s="1" t="str">
        <f t="shared" si="157"/>
        <v/>
      </c>
      <c r="J943" s="2" t="str">
        <f t="shared" si="158"/>
        <v/>
      </c>
      <c r="K943" s="1" t="str">
        <f t="shared" si="159"/>
        <v/>
      </c>
      <c r="O943" s="1" t="str">
        <f t="shared" si="160"/>
        <v/>
      </c>
      <c r="P943" s="2" t="str">
        <f t="shared" si="161"/>
        <v/>
      </c>
      <c r="Q943" s="1" t="str">
        <f t="shared" si="162"/>
        <v/>
      </c>
      <c r="R943" s="2" t="str">
        <f t="shared" si="163"/>
        <v/>
      </c>
      <c r="S943" s="1" t="str">
        <f t="shared" si="164"/>
        <v/>
      </c>
    </row>
    <row r="944" spans="1:19" x14ac:dyDescent="0.2">
      <c r="A944" t="str">
        <f>IF(COUNTBLANK(B944:S944)&lt;&gt;COLUMNS(B944:S944),943,"")</f>
        <v/>
      </c>
      <c r="C944" s="2" t="str">
        <f t="shared" si="154"/>
        <v/>
      </c>
      <c r="D944" s="1" t="str">
        <f t="shared" si="155"/>
        <v/>
      </c>
      <c r="E944" s="1" t="str">
        <f t="shared" si="156"/>
        <v/>
      </c>
      <c r="I944" s="1" t="str">
        <f t="shared" si="157"/>
        <v/>
      </c>
      <c r="J944" s="2" t="str">
        <f t="shared" si="158"/>
        <v/>
      </c>
      <c r="K944" s="1" t="str">
        <f t="shared" si="159"/>
        <v/>
      </c>
      <c r="O944" s="1" t="str">
        <f t="shared" si="160"/>
        <v/>
      </c>
      <c r="P944" s="2" t="str">
        <f t="shared" si="161"/>
        <v/>
      </c>
      <c r="Q944" s="1" t="str">
        <f t="shared" si="162"/>
        <v/>
      </c>
      <c r="R944" s="2" t="str">
        <f t="shared" si="163"/>
        <v/>
      </c>
      <c r="S944" s="1" t="str">
        <f t="shared" si="164"/>
        <v/>
      </c>
    </row>
    <row r="945" spans="1:19" x14ac:dyDescent="0.2">
      <c r="A945" t="str">
        <f>IF(COUNTBLANK(B945:S945)&lt;&gt;COLUMNS(B945:S945),944,"")</f>
        <v/>
      </c>
      <c r="C945" s="2" t="str">
        <f t="shared" si="154"/>
        <v/>
      </c>
      <c r="D945" s="1" t="str">
        <f t="shared" si="155"/>
        <v/>
      </c>
      <c r="E945" s="1" t="str">
        <f t="shared" si="156"/>
        <v/>
      </c>
      <c r="I945" s="1" t="str">
        <f t="shared" si="157"/>
        <v/>
      </c>
      <c r="J945" s="2" t="str">
        <f t="shared" si="158"/>
        <v/>
      </c>
      <c r="K945" s="1" t="str">
        <f t="shared" si="159"/>
        <v/>
      </c>
      <c r="O945" s="1" t="str">
        <f t="shared" si="160"/>
        <v/>
      </c>
      <c r="P945" s="2" t="str">
        <f t="shared" si="161"/>
        <v/>
      </c>
      <c r="Q945" s="1" t="str">
        <f t="shared" si="162"/>
        <v/>
      </c>
      <c r="R945" s="2" t="str">
        <f t="shared" si="163"/>
        <v/>
      </c>
      <c r="S945" s="1" t="str">
        <f t="shared" si="164"/>
        <v/>
      </c>
    </row>
    <row r="946" spans="1:19" x14ac:dyDescent="0.2">
      <c r="A946" t="str">
        <f>IF(COUNTBLANK(B946:S946)&lt;&gt;COLUMNS(B946:S946),945,"")</f>
        <v/>
      </c>
      <c r="C946" s="2" t="str">
        <f t="shared" si="154"/>
        <v/>
      </c>
      <c r="D946" s="1" t="str">
        <f t="shared" si="155"/>
        <v/>
      </c>
      <c r="E946" s="1" t="str">
        <f t="shared" si="156"/>
        <v/>
      </c>
      <c r="I946" s="1" t="str">
        <f t="shared" si="157"/>
        <v/>
      </c>
      <c r="J946" s="2" t="str">
        <f t="shared" si="158"/>
        <v/>
      </c>
      <c r="K946" s="1" t="str">
        <f t="shared" si="159"/>
        <v/>
      </c>
      <c r="O946" s="1" t="str">
        <f t="shared" si="160"/>
        <v/>
      </c>
      <c r="P946" s="2" t="str">
        <f t="shared" si="161"/>
        <v/>
      </c>
      <c r="Q946" s="1" t="str">
        <f t="shared" si="162"/>
        <v/>
      </c>
      <c r="R946" s="2" t="str">
        <f t="shared" si="163"/>
        <v/>
      </c>
      <c r="S946" s="1" t="str">
        <f t="shared" si="164"/>
        <v/>
      </c>
    </row>
    <row r="947" spans="1:19" x14ac:dyDescent="0.2">
      <c r="A947" t="str">
        <f>IF(COUNTBLANK(B947:S947)&lt;&gt;COLUMNS(B947:S947),946,"")</f>
        <v/>
      </c>
      <c r="C947" s="2" t="str">
        <f t="shared" si="154"/>
        <v/>
      </c>
      <c r="D947" s="1" t="str">
        <f t="shared" si="155"/>
        <v/>
      </c>
      <c r="E947" s="1" t="str">
        <f t="shared" si="156"/>
        <v/>
      </c>
      <c r="I947" s="1" t="str">
        <f t="shared" si="157"/>
        <v/>
      </c>
      <c r="J947" s="2" t="str">
        <f t="shared" si="158"/>
        <v/>
      </c>
      <c r="K947" s="1" t="str">
        <f t="shared" si="159"/>
        <v/>
      </c>
      <c r="O947" s="1" t="str">
        <f t="shared" si="160"/>
        <v/>
      </c>
      <c r="P947" s="2" t="str">
        <f t="shared" si="161"/>
        <v/>
      </c>
      <c r="Q947" s="1" t="str">
        <f t="shared" si="162"/>
        <v/>
      </c>
      <c r="R947" s="2" t="str">
        <f t="shared" si="163"/>
        <v/>
      </c>
      <c r="S947" s="1" t="str">
        <f t="shared" si="164"/>
        <v/>
      </c>
    </row>
    <row r="948" spans="1:19" x14ac:dyDescent="0.2">
      <c r="A948" t="str">
        <f>IF(COUNTBLANK(B948:S948)&lt;&gt;COLUMNS(B948:S948),947,"")</f>
        <v/>
      </c>
      <c r="C948" s="2" t="str">
        <f t="shared" si="154"/>
        <v/>
      </c>
      <c r="D948" s="1" t="str">
        <f t="shared" si="155"/>
        <v/>
      </c>
      <c r="E948" s="1" t="str">
        <f t="shared" si="156"/>
        <v/>
      </c>
      <c r="I948" s="1" t="str">
        <f t="shared" si="157"/>
        <v/>
      </c>
      <c r="J948" s="2" t="str">
        <f t="shared" si="158"/>
        <v/>
      </c>
      <c r="K948" s="1" t="str">
        <f t="shared" si="159"/>
        <v/>
      </c>
      <c r="O948" s="1" t="str">
        <f t="shared" si="160"/>
        <v/>
      </c>
      <c r="P948" s="2" t="str">
        <f t="shared" si="161"/>
        <v/>
      </c>
      <c r="Q948" s="1" t="str">
        <f t="shared" si="162"/>
        <v/>
      </c>
      <c r="R948" s="2" t="str">
        <f t="shared" si="163"/>
        <v/>
      </c>
      <c r="S948" s="1" t="str">
        <f t="shared" si="164"/>
        <v/>
      </c>
    </row>
    <row r="949" spans="1:19" x14ac:dyDescent="0.2">
      <c r="A949" t="str">
        <f>IF(COUNTBLANK(B949:S949)&lt;&gt;COLUMNS(B949:S949),948,"")</f>
        <v/>
      </c>
      <c r="C949" s="2" t="str">
        <f t="shared" si="154"/>
        <v/>
      </c>
      <c r="D949" s="1" t="str">
        <f t="shared" si="155"/>
        <v/>
      </c>
      <c r="E949" s="1" t="str">
        <f t="shared" si="156"/>
        <v/>
      </c>
      <c r="I949" s="1" t="str">
        <f t="shared" si="157"/>
        <v/>
      </c>
      <c r="J949" s="2" t="str">
        <f t="shared" si="158"/>
        <v/>
      </c>
      <c r="K949" s="1" t="str">
        <f t="shared" si="159"/>
        <v/>
      </c>
      <c r="O949" s="1" t="str">
        <f t="shared" si="160"/>
        <v/>
      </c>
      <c r="P949" s="2" t="str">
        <f t="shared" si="161"/>
        <v/>
      </c>
      <c r="Q949" s="1" t="str">
        <f t="shared" si="162"/>
        <v/>
      </c>
      <c r="R949" s="2" t="str">
        <f t="shared" si="163"/>
        <v/>
      </c>
      <c r="S949" s="1" t="str">
        <f t="shared" si="164"/>
        <v/>
      </c>
    </row>
    <row r="950" spans="1:19" x14ac:dyDescent="0.2">
      <c r="A950" t="str">
        <f>IF(COUNTBLANK(B950:S950)&lt;&gt;COLUMNS(B950:S950),949,"")</f>
        <v/>
      </c>
      <c r="C950" s="2" t="str">
        <f t="shared" si="154"/>
        <v/>
      </c>
      <c r="D950" s="1" t="str">
        <f t="shared" si="155"/>
        <v/>
      </c>
      <c r="E950" s="1" t="str">
        <f t="shared" si="156"/>
        <v/>
      </c>
      <c r="I950" s="1" t="str">
        <f t="shared" si="157"/>
        <v/>
      </c>
      <c r="J950" s="2" t="str">
        <f t="shared" si="158"/>
        <v/>
      </c>
      <c r="K950" s="1" t="str">
        <f t="shared" si="159"/>
        <v/>
      </c>
      <c r="O950" s="1" t="str">
        <f t="shared" si="160"/>
        <v/>
      </c>
      <c r="P950" s="2" t="str">
        <f t="shared" si="161"/>
        <v/>
      </c>
      <c r="Q950" s="1" t="str">
        <f t="shared" si="162"/>
        <v/>
      </c>
      <c r="R950" s="2" t="str">
        <f t="shared" si="163"/>
        <v/>
      </c>
      <c r="S950" s="1" t="str">
        <f t="shared" si="164"/>
        <v/>
      </c>
    </row>
    <row r="951" spans="1:19" x14ac:dyDescent="0.2">
      <c r="A951" t="str">
        <f>IF(COUNTBLANK(B951:S951)&lt;&gt;COLUMNS(B951:S951),950,"")</f>
        <v/>
      </c>
      <c r="C951" s="2" t="str">
        <f t="shared" si="154"/>
        <v/>
      </c>
      <c r="D951" s="1" t="str">
        <f t="shared" si="155"/>
        <v/>
      </c>
      <c r="E951" s="1" t="str">
        <f t="shared" si="156"/>
        <v/>
      </c>
      <c r="I951" s="1" t="str">
        <f t="shared" si="157"/>
        <v/>
      </c>
      <c r="J951" s="2" t="str">
        <f t="shared" si="158"/>
        <v/>
      </c>
      <c r="K951" s="1" t="str">
        <f t="shared" si="159"/>
        <v/>
      </c>
      <c r="O951" s="1" t="str">
        <f t="shared" si="160"/>
        <v/>
      </c>
      <c r="P951" s="2" t="str">
        <f t="shared" si="161"/>
        <v/>
      </c>
      <c r="Q951" s="1" t="str">
        <f t="shared" si="162"/>
        <v/>
      </c>
      <c r="R951" s="2" t="str">
        <f t="shared" si="163"/>
        <v/>
      </c>
      <c r="S951" s="1" t="str">
        <f t="shared" si="164"/>
        <v/>
      </c>
    </row>
    <row r="952" spans="1:19" x14ac:dyDescent="0.2">
      <c r="A952" t="str">
        <f>IF(COUNTBLANK(B952:S952)&lt;&gt;COLUMNS(B952:S952),951,"")</f>
        <v/>
      </c>
      <c r="C952" s="2" t="str">
        <f t="shared" si="154"/>
        <v/>
      </c>
      <c r="D952" s="1" t="str">
        <f t="shared" si="155"/>
        <v/>
      </c>
      <c r="E952" s="1" t="str">
        <f t="shared" si="156"/>
        <v/>
      </c>
      <c r="I952" s="1" t="str">
        <f t="shared" si="157"/>
        <v/>
      </c>
      <c r="J952" s="2" t="str">
        <f t="shared" si="158"/>
        <v/>
      </c>
      <c r="K952" s="1" t="str">
        <f t="shared" si="159"/>
        <v/>
      </c>
      <c r="O952" s="1" t="str">
        <f t="shared" si="160"/>
        <v/>
      </c>
      <c r="P952" s="2" t="str">
        <f t="shared" si="161"/>
        <v/>
      </c>
      <c r="Q952" s="1" t="str">
        <f t="shared" si="162"/>
        <v/>
      </c>
      <c r="R952" s="2" t="str">
        <f t="shared" si="163"/>
        <v/>
      </c>
      <c r="S952" s="1" t="str">
        <f t="shared" si="164"/>
        <v/>
      </c>
    </row>
    <row r="953" spans="1:19" x14ac:dyDescent="0.2">
      <c r="A953" t="str">
        <f>IF(COUNTBLANK(B953:S953)&lt;&gt;COLUMNS(B953:S953),952,"")</f>
        <v/>
      </c>
      <c r="C953" s="2" t="str">
        <f t="shared" si="154"/>
        <v/>
      </c>
      <c r="D953" s="1" t="str">
        <f t="shared" si="155"/>
        <v/>
      </c>
      <c r="E953" s="1" t="str">
        <f t="shared" si="156"/>
        <v/>
      </c>
      <c r="I953" s="1" t="str">
        <f t="shared" si="157"/>
        <v/>
      </c>
      <c r="J953" s="2" t="str">
        <f t="shared" si="158"/>
        <v/>
      </c>
      <c r="K953" s="1" t="str">
        <f t="shared" si="159"/>
        <v/>
      </c>
      <c r="O953" s="1" t="str">
        <f t="shared" si="160"/>
        <v/>
      </c>
      <c r="P953" s="2" t="str">
        <f t="shared" si="161"/>
        <v/>
      </c>
      <c r="Q953" s="1" t="str">
        <f t="shared" si="162"/>
        <v/>
      </c>
      <c r="R953" s="2" t="str">
        <f t="shared" si="163"/>
        <v/>
      </c>
      <c r="S953" s="1" t="str">
        <f t="shared" si="164"/>
        <v/>
      </c>
    </row>
    <row r="954" spans="1:19" x14ac:dyDescent="0.2">
      <c r="A954" t="str">
        <f>IF(COUNTBLANK(B954:S954)&lt;&gt;COLUMNS(B954:S954),953,"")</f>
        <v/>
      </c>
      <c r="C954" s="2" t="str">
        <f t="shared" si="154"/>
        <v/>
      </c>
      <c r="D954" s="1" t="str">
        <f t="shared" si="155"/>
        <v/>
      </c>
      <c r="E954" s="1" t="str">
        <f t="shared" si="156"/>
        <v/>
      </c>
      <c r="I954" s="1" t="str">
        <f t="shared" si="157"/>
        <v/>
      </c>
      <c r="J954" s="2" t="str">
        <f t="shared" si="158"/>
        <v/>
      </c>
      <c r="K954" s="1" t="str">
        <f t="shared" si="159"/>
        <v/>
      </c>
      <c r="O954" s="1" t="str">
        <f t="shared" si="160"/>
        <v/>
      </c>
      <c r="P954" s="2" t="str">
        <f t="shared" si="161"/>
        <v/>
      </c>
      <c r="Q954" s="1" t="str">
        <f t="shared" si="162"/>
        <v/>
      </c>
      <c r="R954" s="2" t="str">
        <f t="shared" si="163"/>
        <v/>
      </c>
      <c r="S954" s="1" t="str">
        <f t="shared" si="164"/>
        <v/>
      </c>
    </row>
    <row r="955" spans="1:19" x14ac:dyDescent="0.2">
      <c r="A955" t="str">
        <f>IF(COUNTBLANK(B955:S955)&lt;&gt;COLUMNS(B955:S955),954,"")</f>
        <v/>
      </c>
      <c r="C955" s="2" t="str">
        <f t="shared" si="154"/>
        <v/>
      </c>
      <c r="D955" s="1" t="str">
        <f t="shared" si="155"/>
        <v/>
      </c>
      <c r="E955" s="1" t="str">
        <f t="shared" si="156"/>
        <v/>
      </c>
      <c r="I955" s="1" t="str">
        <f t="shared" si="157"/>
        <v/>
      </c>
      <c r="J955" s="2" t="str">
        <f t="shared" si="158"/>
        <v/>
      </c>
      <c r="K955" s="1" t="str">
        <f t="shared" si="159"/>
        <v/>
      </c>
      <c r="O955" s="1" t="str">
        <f t="shared" si="160"/>
        <v/>
      </c>
      <c r="P955" s="2" t="str">
        <f t="shared" si="161"/>
        <v/>
      </c>
      <c r="Q955" s="1" t="str">
        <f t="shared" si="162"/>
        <v/>
      </c>
      <c r="R955" s="2" t="str">
        <f t="shared" si="163"/>
        <v/>
      </c>
      <c r="S955" s="1" t="str">
        <f t="shared" si="164"/>
        <v/>
      </c>
    </row>
    <row r="956" spans="1:19" x14ac:dyDescent="0.2">
      <c r="A956" t="str">
        <f>IF(COUNTBLANK(B956:S956)&lt;&gt;COLUMNS(B956:S956),955,"")</f>
        <v/>
      </c>
      <c r="C956" s="2" t="str">
        <f t="shared" si="154"/>
        <v/>
      </c>
      <c r="D956" s="1" t="str">
        <f t="shared" si="155"/>
        <v/>
      </c>
      <c r="E956" s="1" t="str">
        <f t="shared" si="156"/>
        <v/>
      </c>
      <c r="I956" s="1" t="str">
        <f t="shared" si="157"/>
        <v/>
      </c>
      <c r="J956" s="2" t="str">
        <f t="shared" si="158"/>
        <v/>
      </c>
      <c r="K956" s="1" t="str">
        <f t="shared" si="159"/>
        <v/>
      </c>
      <c r="O956" s="1" t="str">
        <f t="shared" si="160"/>
        <v/>
      </c>
      <c r="P956" s="2" t="str">
        <f t="shared" si="161"/>
        <v/>
      </c>
      <c r="Q956" s="1" t="str">
        <f t="shared" si="162"/>
        <v/>
      </c>
      <c r="R956" s="2" t="str">
        <f t="shared" si="163"/>
        <v/>
      </c>
      <c r="S956" s="1" t="str">
        <f t="shared" si="164"/>
        <v/>
      </c>
    </row>
    <row r="957" spans="1:19" x14ac:dyDescent="0.2">
      <c r="A957" t="str">
        <f>IF(COUNTBLANK(B957:S957)&lt;&gt;COLUMNS(B957:S957),956,"")</f>
        <v/>
      </c>
      <c r="C957" s="2" t="str">
        <f t="shared" si="154"/>
        <v/>
      </c>
      <c r="D957" s="1" t="str">
        <f t="shared" si="155"/>
        <v/>
      </c>
      <c r="E957" s="1" t="str">
        <f t="shared" si="156"/>
        <v/>
      </c>
      <c r="I957" s="1" t="str">
        <f t="shared" si="157"/>
        <v/>
      </c>
      <c r="J957" s="2" t="str">
        <f t="shared" si="158"/>
        <v/>
      </c>
      <c r="K957" s="1" t="str">
        <f t="shared" si="159"/>
        <v/>
      </c>
      <c r="O957" s="1" t="str">
        <f t="shared" si="160"/>
        <v/>
      </c>
      <c r="P957" s="2" t="str">
        <f t="shared" si="161"/>
        <v/>
      </c>
      <c r="Q957" s="1" t="str">
        <f t="shared" si="162"/>
        <v/>
      </c>
      <c r="R957" s="2" t="str">
        <f t="shared" si="163"/>
        <v/>
      </c>
      <c r="S957" s="1" t="str">
        <f t="shared" si="164"/>
        <v/>
      </c>
    </row>
    <row r="958" spans="1:19" x14ac:dyDescent="0.2">
      <c r="A958" t="str">
        <f>IF(COUNTBLANK(B958:S958)&lt;&gt;COLUMNS(B958:S958),957,"")</f>
        <v/>
      </c>
      <c r="C958" s="2" t="str">
        <f t="shared" si="154"/>
        <v/>
      </c>
      <c r="D958" s="1" t="str">
        <f t="shared" si="155"/>
        <v/>
      </c>
      <c r="E958" s="1" t="str">
        <f t="shared" si="156"/>
        <v/>
      </c>
      <c r="I958" s="1" t="str">
        <f t="shared" si="157"/>
        <v/>
      </c>
      <c r="J958" s="2" t="str">
        <f t="shared" si="158"/>
        <v/>
      </c>
      <c r="K958" s="1" t="str">
        <f t="shared" si="159"/>
        <v/>
      </c>
      <c r="O958" s="1" t="str">
        <f t="shared" si="160"/>
        <v/>
      </c>
      <c r="P958" s="2" t="str">
        <f t="shared" si="161"/>
        <v/>
      </c>
      <c r="Q958" s="1" t="str">
        <f t="shared" si="162"/>
        <v/>
      </c>
      <c r="R958" s="2" t="str">
        <f t="shared" si="163"/>
        <v/>
      </c>
      <c r="S958" s="1" t="str">
        <f t="shared" si="164"/>
        <v/>
      </c>
    </row>
    <row r="959" spans="1:19" x14ac:dyDescent="0.2">
      <c r="A959" t="str">
        <f>IF(COUNTBLANK(B959:S959)&lt;&gt;COLUMNS(B959:S959),958,"")</f>
        <v/>
      </c>
      <c r="C959" s="2" t="str">
        <f t="shared" si="154"/>
        <v/>
      </c>
      <c r="D959" s="1" t="str">
        <f t="shared" si="155"/>
        <v/>
      </c>
      <c r="E959" s="1" t="str">
        <f t="shared" si="156"/>
        <v/>
      </c>
      <c r="I959" s="1" t="str">
        <f t="shared" si="157"/>
        <v/>
      </c>
      <c r="J959" s="2" t="str">
        <f t="shared" si="158"/>
        <v/>
      </c>
      <c r="K959" s="1" t="str">
        <f t="shared" si="159"/>
        <v/>
      </c>
      <c r="O959" s="1" t="str">
        <f t="shared" si="160"/>
        <v/>
      </c>
      <c r="P959" s="2" t="str">
        <f t="shared" si="161"/>
        <v/>
      </c>
      <c r="Q959" s="1" t="str">
        <f t="shared" si="162"/>
        <v/>
      </c>
      <c r="R959" s="2" t="str">
        <f t="shared" si="163"/>
        <v/>
      </c>
      <c r="S959" s="1" t="str">
        <f t="shared" si="164"/>
        <v/>
      </c>
    </row>
    <row r="960" spans="1:19" x14ac:dyDescent="0.2">
      <c r="A960" t="str">
        <f>IF(COUNTBLANK(B960:S960)&lt;&gt;COLUMNS(B960:S960),959,"")</f>
        <v/>
      </c>
      <c r="C960" s="2" t="str">
        <f t="shared" si="154"/>
        <v/>
      </c>
      <c r="D960" s="1" t="str">
        <f t="shared" si="155"/>
        <v/>
      </c>
      <c r="E960" s="1" t="str">
        <f t="shared" si="156"/>
        <v/>
      </c>
      <c r="I960" s="1" t="str">
        <f t="shared" si="157"/>
        <v/>
      </c>
      <c r="J960" s="2" t="str">
        <f t="shared" si="158"/>
        <v/>
      </c>
      <c r="K960" s="1" t="str">
        <f t="shared" si="159"/>
        <v/>
      </c>
      <c r="O960" s="1" t="str">
        <f t="shared" si="160"/>
        <v/>
      </c>
      <c r="P960" s="2" t="str">
        <f t="shared" si="161"/>
        <v/>
      </c>
      <c r="Q960" s="1" t="str">
        <f t="shared" si="162"/>
        <v/>
      </c>
      <c r="R960" s="2" t="str">
        <f t="shared" si="163"/>
        <v/>
      </c>
      <c r="S960" s="1" t="str">
        <f t="shared" si="164"/>
        <v/>
      </c>
    </row>
    <row r="961" spans="1:19" x14ac:dyDescent="0.2">
      <c r="A961" t="str">
        <f>IF(COUNTBLANK(B961:S961)&lt;&gt;COLUMNS(B961:S961),960,"")</f>
        <v/>
      </c>
      <c r="C961" s="2" t="str">
        <f t="shared" si="154"/>
        <v/>
      </c>
      <c r="D961" s="1" t="str">
        <f t="shared" si="155"/>
        <v/>
      </c>
      <c r="E961" s="1" t="str">
        <f t="shared" si="156"/>
        <v/>
      </c>
      <c r="I961" s="1" t="str">
        <f t="shared" si="157"/>
        <v/>
      </c>
      <c r="J961" s="2" t="str">
        <f t="shared" si="158"/>
        <v/>
      </c>
      <c r="K961" s="1" t="str">
        <f t="shared" si="159"/>
        <v/>
      </c>
      <c r="O961" s="1" t="str">
        <f t="shared" si="160"/>
        <v/>
      </c>
      <c r="P961" s="2" t="str">
        <f t="shared" si="161"/>
        <v/>
      </c>
      <c r="Q961" s="1" t="str">
        <f t="shared" si="162"/>
        <v/>
      </c>
      <c r="R961" s="2" t="str">
        <f t="shared" si="163"/>
        <v/>
      </c>
      <c r="S961" s="1" t="str">
        <f t="shared" si="164"/>
        <v/>
      </c>
    </row>
    <row r="962" spans="1:19" x14ac:dyDescent="0.2">
      <c r="A962" t="str">
        <f>IF(COUNTBLANK(B962:S962)&lt;&gt;COLUMNS(B962:S962),961,"")</f>
        <v/>
      </c>
      <c r="C962" s="2" t="str">
        <f t="shared" ref="C962:C1025" si="165">IF(B962="", "", "missing: not provided")</f>
        <v/>
      </c>
      <c r="D962" s="1" t="str">
        <f t="shared" ref="D962:D1001" si="166">IF(B962="", "", " missing: not provided")</f>
        <v/>
      </c>
      <c r="E962" s="1" t="str">
        <f t="shared" ref="E962:E1001" si="167">IF(B962="", "", "Host-associated")</f>
        <v/>
      </c>
      <c r="I962" s="1" t="str">
        <f t="shared" ref="I962:I1001" si="168">IF(B962="", "", "host-associated")</f>
        <v/>
      </c>
      <c r="J962" s="2" t="str">
        <f t="shared" ref="J962:J1001" si="169">IF(B962="", "", "missing: not provided")</f>
        <v/>
      </c>
      <c r="K962" s="1" t="str">
        <f t="shared" ref="K962:K1001" si="170">IF(B962="", "", " missing: not provided")</f>
        <v/>
      </c>
      <c r="O962" s="1" t="str">
        <f t="shared" ref="O962:O1001" si="171">IF(B962="", "", "Not applicable")</f>
        <v/>
      </c>
      <c r="P962" s="2" t="str">
        <f t="shared" ref="P962:P1001" si="172">IF(B962="", "", "missing: not provided")</f>
        <v/>
      </c>
      <c r="Q962" s="1" t="str">
        <f t="shared" ref="Q962:Q1001" si="173">IF(B962="", "", "Not applicable")</f>
        <v/>
      </c>
      <c r="R962" s="2" t="str">
        <f t="shared" ref="R962:R1001" si="174">IF(B962="", "", "missing: not provided")</f>
        <v/>
      </c>
      <c r="S962" s="1" t="str">
        <f t="shared" ref="S962:S1001" si="175">IF(B962="", "", " missing: not provided")</f>
        <v/>
      </c>
    </row>
    <row r="963" spans="1:19" x14ac:dyDescent="0.2">
      <c r="A963" t="str">
        <f>IF(COUNTBLANK(B963:S963)&lt;&gt;COLUMNS(B963:S963),962,"")</f>
        <v/>
      </c>
      <c r="C963" s="2" t="str">
        <f t="shared" si="165"/>
        <v/>
      </c>
      <c r="D963" s="1" t="str">
        <f t="shared" si="166"/>
        <v/>
      </c>
      <c r="E963" s="1" t="str">
        <f t="shared" si="167"/>
        <v/>
      </c>
      <c r="I963" s="1" t="str">
        <f t="shared" si="168"/>
        <v/>
      </c>
      <c r="J963" s="2" t="str">
        <f t="shared" si="169"/>
        <v/>
      </c>
      <c r="K963" s="1" t="str">
        <f t="shared" si="170"/>
        <v/>
      </c>
      <c r="O963" s="1" t="str">
        <f t="shared" si="171"/>
        <v/>
      </c>
      <c r="P963" s="2" t="str">
        <f t="shared" si="172"/>
        <v/>
      </c>
      <c r="Q963" s="1" t="str">
        <f t="shared" si="173"/>
        <v/>
      </c>
      <c r="R963" s="2" t="str">
        <f t="shared" si="174"/>
        <v/>
      </c>
      <c r="S963" s="1" t="str">
        <f t="shared" si="175"/>
        <v/>
      </c>
    </row>
    <row r="964" spans="1:19" x14ac:dyDescent="0.2">
      <c r="A964" t="str">
        <f>IF(COUNTBLANK(B964:S964)&lt;&gt;COLUMNS(B964:S964),963,"")</f>
        <v/>
      </c>
      <c r="C964" s="2" t="str">
        <f t="shared" si="165"/>
        <v/>
      </c>
      <c r="D964" s="1" t="str">
        <f t="shared" si="166"/>
        <v/>
      </c>
      <c r="E964" s="1" t="str">
        <f t="shared" si="167"/>
        <v/>
      </c>
      <c r="I964" s="1" t="str">
        <f t="shared" si="168"/>
        <v/>
      </c>
      <c r="J964" s="2" t="str">
        <f t="shared" si="169"/>
        <v/>
      </c>
      <c r="K964" s="1" t="str">
        <f t="shared" si="170"/>
        <v/>
      </c>
      <c r="O964" s="1" t="str">
        <f t="shared" si="171"/>
        <v/>
      </c>
      <c r="P964" s="2" t="str">
        <f t="shared" si="172"/>
        <v/>
      </c>
      <c r="Q964" s="1" t="str">
        <f t="shared" si="173"/>
        <v/>
      </c>
      <c r="R964" s="2" t="str">
        <f t="shared" si="174"/>
        <v/>
      </c>
      <c r="S964" s="1" t="str">
        <f t="shared" si="175"/>
        <v/>
      </c>
    </row>
    <row r="965" spans="1:19" x14ac:dyDescent="0.2">
      <c r="A965" t="str">
        <f>IF(COUNTBLANK(B965:S965)&lt;&gt;COLUMNS(B965:S965),964,"")</f>
        <v/>
      </c>
      <c r="C965" s="2" t="str">
        <f t="shared" si="165"/>
        <v/>
      </c>
      <c r="D965" s="1" t="str">
        <f t="shared" si="166"/>
        <v/>
      </c>
      <c r="E965" s="1" t="str">
        <f t="shared" si="167"/>
        <v/>
      </c>
      <c r="I965" s="1" t="str">
        <f t="shared" si="168"/>
        <v/>
      </c>
      <c r="J965" s="2" t="str">
        <f t="shared" si="169"/>
        <v/>
      </c>
      <c r="K965" s="1" t="str">
        <f t="shared" si="170"/>
        <v/>
      </c>
      <c r="O965" s="1" t="str">
        <f t="shared" si="171"/>
        <v/>
      </c>
      <c r="P965" s="2" t="str">
        <f t="shared" si="172"/>
        <v/>
      </c>
      <c r="Q965" s="1" t="str">
        <f t="shared" si="173"/>
        <v/>
      </c>
      <c r="R965" s="2" t="str">
        <f t="shared" si="174"/>
        <v/>
      </c>
      <c r="S965" s="1" t="str">
        <f t="shared" si="175"/>
        <v/>
      </c>
    </row>
    <row r="966" spans="1:19" x14ac:dyDescent="0.2">
      <c r="A966" t="str">
        <f>IF(COUNTBLANK(B966:S966)&lt;&gt;COLUMNS(B966:S966),965,"")</f>
        <v/>
      </c>
      <c r="C966" s="2" t="str">
        <f t="shared" si="165"/>
        <v/>
      </c>
      <c r="D966" s="1" t="str">
        <f t="shared" si="166"/>
        <v/>
      </c>
      <c r="E966" s="1" t="str">
        <f t="shared" si="167"/>
        <v/>
      </c>
      <c r="I966" s="1" t="str">
        <f t="shared" si="168"/>
        <v/>
      </c>
      <c r="J966" s="2" t="str">
        <f t="shared" si="169"/>
        <v/>
      </c>
      <c r="K966" s="1" t="str">
        <f t="shared" si="170"/>
        <v/>
      </c>
      <c r="O966" s="1" t="str">
        <f t="shared" si="171"/>
        <v/>
      </c>
      <c r="P966" s="2" t="str">
        <f t="shared" si="172"/>
        <v/>
      </c>
      <c r="Q966" s="1" t="str">
        <f t="shared" si="173"/>
        <v/>
      </c>
      <c r="R966" s="2" t="str">
        <f t="shared" si="174"/>
        <v/>
      </c>
      <c r="S966" s="1" t="str">
        <f t="shared" si="175"/>
        <v/>
      </c>
    </row>
    <row r="967" spans="1:19" x14ac:dyDescent="0.2">
      <c r="A967" t="str">
        <f>IF(COUNTBLANK(B967:S967)&lt;&gt;COLUMNS(B967:S967),966,"")</f>
        <v/>
      </c>
      <c r="C967" s="2" t="str">
        <f t="shared" si="165"/>
        <v/>
      </c>
      <c r="D967" s="1" t="str">
        <f t="shared" si="166"/>
        <v/>
      </c>
      <c r="E967" s="1" t="str">
        <f t="shared" si="167"/>
        <v/>
      </c>
      <c r="I967" s="1" t="str">
        <f t="shared" si="168"/>
        <v/>
      </c>
      <c r="J967" s="2" t="str">
        <f t="shared" si="169"/>
        <v/>
      </c>
      <c r="K967" s="1" t="str">
        <f t="shared" si="170"/>
        <v/>
      </c>
      <c r="O967" s="1" t="str">
        <f t="shared" si="171"/>
        <v/>
      </c>
      <c r="P967" s="2" t="str">
        <f t="shared" si="172"/>
        <v/>
      </c>
      <c r="Q967" s="1" t="str">
        <f t="shared" si="173"/>
        <v/>
      </c>
      <c r="R967" s="2" t="str">
        <f t="shared" si="174"/>
        <v/>
      </c>
      <c r="S967" s="1" t="str">
        <f t="shared" si="175"/>
        <v/>
      </c>
    </row>
    <row r="968" spans="1:19" x14ac:dyDescent="0.2">
      <c r="A968" t="str">
        <f>IF(COUNTBLANK(B968:S968)&lt;&gt;COLUMNS(B968:S968),967,"")</f>
        <v/>
      </c>
      <c r="C968" s="2" t="str">
        <f t="shared" si="165"/>
        <v/>
      </c>
      <c r="D968" s="1" t="str">
        <f t="shared" si="166"/>
        <v/>
      </c>
      <c r="E968" s="1" t="str">
        <f t="shared" si="167"/>
        <v/>
      </c>
      <c r="I968" s="1" t="str">
        <f t="shared" si="168"/>
        <v/>
      </c>
      <c r="J968" s="2" t="str">
        <f t="shared" si="169"/>
        <v/>
      </c>
      <c r="K968" s="1" t="str">
        <f t="shared" si="170"/>
        <v/>
      </c>
      <c r="O968" s="1" t="str">
        <f t="shared" si="171"/>
        <v/>
      </c>
      <c r="P968" s="2" t="str">
        <f t="shared" si="172"/>
        <v/>
      </c>
      <c r="Q968" s="1" t="str">
        <f t="shared" si="173"/>
        <v/>
      </c>
      <c r="R968" s="2" t="str">
        <f t="shared" si="174"/>
        <v/>
      </c>
      <c r="S968" s="1" t="str">
        <f t="shared" si="175"/>
        <v/>
      </c>
    </row>
    <row r="969" spans="1:19" x14ac:dyDescent="0.2">
      <c r="A969" t="str">
        <f>IF(COUNTBLANK(B969:S969)&lt;&gt;COLUMNS(B969:S969),968,"")</f>
        <v/>
      </c>
      <c r="C969" s="2" t="str">
        <f t="shared" si="165"/>
        <v/>
      </c>
      <c r="D969" s="1" t="str">
        <f t="shared" si="166"/>
        <v/>
      </c>
      <c r="E969" s="1" t="str">
        <f t="shared" si="167"/>
        <v/>
      </c>
      <c r="I969" s="1" t="str">
        <f t="shared" si="168"/>
        <v/>
      </c>
      <c r="J969" s="2" t="str">
        <f t="shared" si="169"/>
        <v/>
      </c>
      <c r="K969" s="1" t="str">
        <f t="shared" si="170"/>
        <v/>
      </c>
      <c r="O969" s="1" t="str">
        <f t="shared" si="171"/>
        <v/>
      </c>
      <c r="P969" s="2" t="str">
        <f t="shared" si="172"/>
        <v/>
      </c>
      <c r="Q969" s="1" t="str">
        <f t="shared" si="173"/>
        <v/>
      </c>
      <c r="R969" s="2" t="str">
        <f t="shared" si="174"/>
        <v/>
      </c>
      <c r="S969" s="1" t="str">
        <f t="shared" si="175"/>
        <v/>
      </c>
    </row>
    <row r="970" spans="1:19" x14ac:dyDescent="0.2">
      <c r="A970" t="str">
        <f>IF(COUNTBLANK(B970:S970)&lt;&gt;COLUMNS(B970:S970),969,"")</f>
        <v/>
      </c>
      <c r="C970" s="2" t="str">
        <f t="shared" si="165"/>
        <v/>
      </c>
      <c r="D970" s="1" t="str">
        <f t="shared" si="166"/>
        <v/>
      </c>
      <c r="E970" s="1" t="str">
        <f t="shared" si="167"/>
        <v/>
      </c>
      <c r="I970" s="1" t="str">
        <f t="shared" si="168"/>
        <v/>
      </c>
      <c r="J970" s="2" t="str">
        <f t="shared" si="169"/>
        <v/>
      </c>
      <c r="K970" s="1" t="str">
        <f t="shared" si="170"/>
        <v/>
      </c>
      <c r="O970" s="1" t="str">
        <f t="shared" si="171"/>
        <v/>
      </c>
      <c r="P970" s="2" t="str">
        <f t="shared" si="172"/>
        <v/>
      </c>
      <c r="Q970" s="1" t="str">
        <f t="shared" si="173"/>
        <v/>
      </c>
      <c r="R970" s="2" t="str">
        <f t="shared" si="174"/>
        <v/>
      </c>
      <c r="S970" s="1" t="str">
        <f t="shared" si="175"/>
        <v/>
      </c>
    </row>
    <row r="971" spans="1:19" x14ac:dyDescent="0.2">
      <c r="A971" t="str">
        <f>IF(COUNTBLANK(B971:S971)&lt;&gt;COLUMNS(B971:S971),970,"")</f>
        <v/>
      </c>
      <c r="C971" s="2" t="str">
        <f t="shared" si="165"/>
        <v/>
      </c>
      <c r="D971" s="1" t="str">
        <f t="shared" si="166"/>
        <v/>
      </c>
      <c r="E971" s="1" t="str">
        <f t="shared" si="167"/>
        <v/>
      </c>
      <c r="I971" s="1" t="str">
        <f t="shared" si="168"/>
        <v/>
      </c>
      <c r="J971" s="2" t="str">
        <f t="shared" si="169"/>
        <v/>
      </c>
      <c r="K971" s="1" t="str">
        <f t="shared" si="170"/>
        <v/>
      </c>
      <c r="O971" s="1" t="str">
        <f t="shared" si="171"/>
        <v/>
      </c>
      <c r="P971" s="2" t="str">
        <f t="shared" si="172"/>
        <v/>
      </c>
      <c r="Q971" s="1" t="str">
        <f t="shared" si="173"/>
        <v/>
      </c>
      <c r="R971" s="2" t="str">
        <f t="shared" si="174"/>
        <v/>
      </c>
      <c r="S971" s="1" t="str">
        <f t="shared" si="175"/>
        <v/>
      </c>
    </row>
    <row r="972" spans="1:19" x14ac:dyDescent="0.2">
      <c r="A972" t="str">
        <f>IF(COUNTBLANK(B972:S972)&lt;&gt;COLUMNS(B972:S972),971,"")</f>
        <v/>
      </c>
      <c r="C972" s="2" t="str">
        <f t="shared" si="165"/>
        <v/>
      </c>
      <c r="D972" s="1" t="str">
        <f t="shared" si="166"/>
        <v/>
      </c>
      <c r="E972" s="1" t="str">
        <f t="shared" si="167"/>
        <v/>
      </c>
      <c r="I972" s="1" t="str">
        <f t="shared" si="168"/>
        <v/>
      </c>
      <c r="J972" s="2" t="str">
        <f t="shared" si="169"/>
        <v/>
      </c>
      <c r="K972" s="1" t="str">
        <f t="shared" si="170"/>
        <v/>
      </c>
      <c r="O972" s="1" t="str">
        <f t="shared" si="171"/>
        <v/>
      </c>
      <c r="P972" s="2" t="str">
        <f t="shared" si="172"/>
        <v/>
      </c>
      <c r="Q972" s="1" t="str">
        <f t="shared" si="173"/>
        <v/>
      </c>
      <c r="R972" s="2" t="str">
        <f t="shared" si="174"/>
        <v/>
      </c>
      <c r="S972" s="1" t="str">
        <f t="shared" si="175"/>
        <v/>
      </c>
    </row>
    <row r="973" spans="1:19" x14ac:dyDescent="0.2">
      <c r="A973" t="str">
        <f>IF(COUNTBLANK(B973:S973)&lt;&gt;COLUMNS(B973:S973),972,"")</f>
        <v/>
      </c>
      <c r="C973" s="2" t="str">
        <f t="shared" si="165"/>
        <v/>
      </c>
      <c r="D973" s="1" t="str">
        <f t="shared" si="166"/>
        <v/>
      </c>
      <c r="E973" s="1" t="str">
        <f t="shared" si="167"/>
        <v/>
      </c>
      <c r="I973" s="1" t="str">
        <f t="shared" si="168"/>
        <v/>
      </c>
      <c r="J973" s="2" t="str">
        <f t="shared" si="169"/>
        <v/>
      </c>
      <c r="K973" s="1" t="str">
        <f t="shared" si="170"/>
        <v/>
      </c>
      <c r="O973" s="1" t="str">
        <f t="shared" si="171"/>
        <v/>
      </c>
      <c r="P973" s="2" t="str">
        <f t="shared" si="172"/>
        <v/>
      </c>
      <c r="Q973" s="1" t="str">
        <f t="shared" si="173"/>
        <v/>
      </c>
      <c r="R973" s="2" t="str">
        <f t="shared" si="174"/>
        <v/>
      </c>
      <c r="S973" s="1" t="str">
        <f t="shared" si="175"/>
        <v/>
      </c>
    </row>
    <row r="974" spans="1:19" x14ac:dyDescent="0.2">
      <c r="A974" t="str">
        <f>IF(COUNTBLANK(B974:S974)&lt;&gt;COLUMNS(B974:S974),973,"")</f>
        <v/>
      </c>
      <c r="C974" s="2" t="str">
        <f t="shared" si="165"/>
        <v/>
      </c>
      <c r="D974" s="1" t="str">
        <f t="shared" si="166"/>
        <v/>
      </c>
      <c r="E974" s="1" t="str">
        <f t="shared" si="167"/>
        <v/>
      </c>
      <c r="I974" s="1" t="str">
        <f t="shared" si="168"/>
        <v/>
      </c>
      <c r="J974" s="2" t="str">
        <f t="shared" si="169"/>
        <v/>
      </c>
      <c r="K974" s="1" t="str">
        <f t="shared" si="170"/>
        <v/>
      </c>
      <c r="O974" s="1" t="str">
        <f t="shared" si="171"/>
        <v/>
      </c>
      <c r="P974" s="2" t="str">
        <f t="shared" si="172"/>
        <v/>
      </c>
      <c r="Q974" s="1" t="str">
        <f t="shared" si="173"/>
        <v/>
      </c>
      <c r="R974" s="2" t="str">
        <f t="shared" si="174"/>
        <v/>
      </c>
      <c r="S974" s="1" t="str">
        <f t="shared" si="175"/>
        <v/>
      </c>
    </row>
    <row r="975" spans="1:19" x14ac:dyDescent="0.2">
      <c r="A975" t="str">
        <f>IF(COUNTBLANK(B975:S975)&lt;&gt;COLUMNS(B975:S975),974,"")</f>
        <v/>
      </c>
      <c r="C975" s="2" t="str">
        <f t="shared" si="165"/>
        <v/>
      </c>
      <c r="D975" s="1" t="str">
        <f t="shared" si="166"/>
        <v/>
      </c>
      <c r="E975" s="1" t="str">
        <f t="shared" si="167"/>
        <v/>
      </c>
      <c r="I975" s="1" t="str">
        <f t="shared" si="168"/>
        <v/>
      </c>
      <c r="J975" s="2" t="str">
        <f t="shared" si="169"/>
        <v/>
      </c>
      <c r="K975" s="1" t="str">
        <f t="shared" si="170"/>
        <v/>
      </c>
      <c r="O975" s="1" t="str">
        <f t="shared" si="171"/>
        <v/>
      </c>
      <c r="P975" s="2" t="str">
        <f t="shared" si="172"/>
        <v/>
      </c>
      <c r="Q975" s="1" t="str">
        <f t="shared" si="173"/>
        <v/>
      </c>
      <c r="R975" s="2" t="str">
        <f t="shared" si="174"/>
        <v/>
      </c>
      <c r="S975" s="1" t="str">
        <f t="shared" si="175"/>
        <v/>
      </c>
    </row>
    <row r="976" spans="1:19" x14ac:dyDescent="0.2">
      <c r="A976" t="str">
        <f>IF(COUNTBLANK(B976:S976)&lt;&gt;COLUMNS(B976:S976),975,"")</f>
        <v/>
      </c>
      <c r="C976" s="2" t="str">
        <f t="shared" si="165"/>
        <v/>
      </c>
      <c r="D976" s="1" t="str">
        <f t="shared" si="166"/>
        <v/>
      </c>
      <c r="E976" s="1" t="str">
        <f t="shared" si="167"/>
        <v/>
      </c>
      <c r="I976" s="1" t="str">
        <f t="shared" si="168"/>
        <v/>
      </c>
      <c r="J976" s="2" t="str">
        <f t="shared" si="169"/>
        <v/>
      </c>
      <c r="K976" s="1" t="str">
        <f t="shared" si="170"/>
        <v/>
      </c>
      <c r="O976" s="1" t="str">
        <f t="shared" si="171"/>
        <v/>
      </c>
      <c r="P976" s="2" t="str">
        <f t="shared" si="172"/>
        <v/>
      </c>
      <c r="Q976" s="1" t="str">
        <f t="shared" si="173"/>
        <v/>
      </c>
      <c r="R976" s="2" t="str">
        <f t="shared" si="174"/>
        <v/>
      </c>
      <c r="S976" s="1" t="str">
        <f t="shared" si="175"/>
        <v/>
      </c>
    </row>
    <row r="977" spans="1:19" x14ac:dyDescent="0.2">
      <c r="A977" t="str">
        <f>IF(COUNTBLANK(B977:S977)&lt;&gt;COLUMNS(B977:S977),976,"")</f>
        <v/>
      </c>
      <c r="C977" s="2" t="str">
        <f t="shared" si="165"/>
        <v/>
      </c>
      <c r="D977" s="1" t="str">
        <f t="shared" si="166"/>
        <v/>
      </c>
      <c r="E977" s="1" t="str">
        <f t="shared" si="167"/>
        <v/>
      </c>
      <c r="I977" s="1" t="str">
        <f t="shared" si="168"/>
        <v/>
      </c>
      <c r="J977" s="2" t="str">
        <f t="shared" si="169"/>
        <v/>
      </c>
      <c r="K977" s="1" t="str">
        <f t="shared" si="170"/>
        <v/>
      </c>
      <c r="O977" s="1" t="str">
        <f t="shared" si="171"/>
        <v/>
      </c>
      <c r="P977" s="2" t="str">
        <f t="shared" si="172"/>
        <v/>
      </c>
      <c r="Q977" s="1" t="str">
        <f t="shared" si="173"/>
        <v/>
      </c>
      <c r="R977" s="2" t="str">
        <f t="shared" si="174"/>
        <v/>
      </c>
      <c r="S977" s="1" t="str">
        <f t="shared" si="175"/>
        <v/>
      </c>
    </row>
    <row r="978" spans="1:19" x14ac:dyDescent="0.2">
      <c r="A978" t="str">
        <f>IF(COUNTBLANK(B978:S978)&lt;&gt;COLUMNS(B978:S978),977,"")</f>
        <v/>
      </c>
      <c r="C978" s="2" t="str">
        <f t="shared" si="165"/>
        <v/>
      </c>
      <c r="D978" s="1" t="str">
        <f t="shared" si="166"/>
        <v/>
      </c>
      <c r="E978" s="1" t="str">
        <f t="shared" si="167"/>
        <v/>
      </c>
      <c r="I978" s="1" t="str">
        <f t="shared" si="168"/>
        <v/>
      </c>
      <c r="J978" s="2" t="str">
        <f t="shared" si="169"/>
        <v/>
      </c>
      <c r="K978" s="1" t="str">
        <f t="shared" si="170"/>
        <v/>
      </c>
      <c r="O978" s="1" t="str">
        <f t="shared" si="171"/>
        <v/>
      </c>
      <c r="P978" s="2" t="str">
        <f t="shared" si="172"/>
        <v/>
      </c>
      <c r="Q978" s="1" t="str">
        <f t="shared" si="173"/>
        <v/>
      </c>
      <c r="R978" s="2" t="str">
        <f t="shared" si="174"/>
        <v/>
      </c>
      <c r="S978" s="1" t="str">
        <f t="shared" si="175"/>
        <v/>
      </c>
    </row>
    <row r="979" spans="1:19" x14ac:dyDescent="0.2">
      <c r="A979" t="str">
        <f>IF(COUNTBLANK(B979:S979)&lt;&gt;COLUMNS(B979:S979),978,"")</f>
        <v/>
      </c>
      <c r="C979" s="2" t="str">
        <f t="shared" si="165"/>
        <v/>
      </c>
      <c r="D979" s="1" t="str">
        <f t="shared" si="166"/>
        <v/>
      </c>
      <c r="E979" s="1" t="str">
        <f t="shared" si="167"/>
        <v/>
      </c>
      <c r="I979" s="1" t="str">
        <f t="shared" si="168"/>
        <v/>
      </c>
      <c r="J979" s="2" t="str">
        <f t="shared" si="169"/>
        <v/>
      </c>
      <c r="K979" s="1" t="str">
        <f t="shared" si="170"/>
        <v/>
      </c>
      <c r="O979" s="1" t="str">
        <f t="shared" si="171"/>
        <v/>
      </c>
      <c r="P979" s="2" t="str">
        <f t="shared" si="172"/>
        <v/>
      </c>
      <c r="Q979" s="1" t="str">
        <f t="shared" si="173"/>
        <v/>
      </c>
      <c r="R979" s="2" t="str">
        <f t="shared" si="174"/>
        <v/>
      </c>
      <c r="S979" s="1" t="str">
        <f t="shared" si="175"/>
        <v/>
      </c>
    </row>
    <row r="980" spans="1:19" x14ac:dyDescent="0.2">
      <c r="A980" t="str">
        <f>IF(COUNTBLANK(B980:S980)&lt;&gt;COLUMNS(B980:S980),979,"")</f>
        <v/>
      </c>
      <c r="C980" s="2" t="str">
        <f t="shared" si="165"/>
        <v/>
      </c>
      <c r="D980" s="1" t="str">
        <f t="shared" si="166"/>
        <v/>
      </c>
      <c r="E980" s="1" t="str">
        <f t="shared" si="167"/>
        <v/>
      </c>
      <c r="I980" s="1" t="str">
        <f t="shared" si="168"/>
        <v/>
      </c>
      <c r="J980" s="2" t="str">
        <f t="shared" si="169"/>
        <v/>
      </c>
      <c r="K980" s="1" t="str">
        <f t="shared" si="170"/>
        <v/>
      </c>
      <c r="O980" s="1" t="str">
        <f t="shared" si="171"/>
        <v/>
      </c>
      <c r="P980" s="2" t="str">
        <f t="shared" si="172"/>
        <v/>
      </c>
      <c r="Q980" s="1" t="str">
        <f t="shared" si="173"/>
        <v/>
      </c>
      <c r="R980" s="2" t="str">
        <f t="shared" si="174"/>
        <v/>
      </c>
      <c r="S980" s="1" t="str">
        <f t="shared" si="175"/>
        <v/>
      </c>
    </row>
    <row r="981" spans="1:19" x14ac:dyDescent="0.2">
      <c r="A981" t="str">
        <f>IF(COUNTBLANK(B981:S981)&lt;&gt;COLUMNS(B981:S981),980,"")</f>
        <v/>
      </c>
      <c r="C981" s="2" t="str">
        <f t="shared" si="165"/>
        <v/>
      </c>
      <c r="D981" s="1" t="str">
        <f t="shared" si="166"/>
        <v/>
      </c>
      <c r="E981" s="1" t="str">
        <f t="shared" si="167"/>
        <v/>
      </c>
      <c r="I981" s="1" t="str">
        <f t="shared" si="168"/>
        <v/>
      </c>
      <c r="J981" s="2" t="str">
        <f t="shared" si="169"/>
        <v/>
      </c>
      <c r="K981" s="1" t="str">
        <f t="shared" si="170"/>
        <v/>
      </c>
      <c r="O981" s="1" t="str">
        <f t="shared" si="171"/>
        <v/>
      </c>
      <c r="P981" s="2" t="str">
        <f t="shared" si="172"/>
        <v/>
      </c>
      <c r="Q981" s="1" t="str">
        <f t="shared" si="173"/>
        <v/>
      </c>
      <c r="R981" s="2" t="str">
        <f t="shared" si="174"/>
        <v/>
      </c>
      <c r="S981" s="1" t="str">
        <f t="shared" si="175"/>
        <v/>
      </c>
    </row>
    <row r="982" spans="1:19" x14ac:dyDescent="0.2">
      <c r="A982" t="str">
        <f>IF(COUNTBLANK(B982:S982)&lt;&gt;COLUMNS(B982:S982),981,"")</f>
        <v/>
      </c>
      <c r="C982" s="2" t="str">
        <f t="shared" si="165"/>
        <v/>
      </c>
      <c r="D982" s="1" t="str">
        <f t="shared" si="166"/>
        <v/>
      </c>
      <c r="E982" s="1" t="str">
        <f t="shared" si="167"/>
        <v/>
      </c>
      <c r="I982" s="1" t="str">
        <f t="shared" si="168"/>
        <v/>
      </c>
      <c r="J982" s="2" t="str">
        <f t="shared" si="169"/>
        <v/>
      </c>
      <c r="K982" s="1" t="str">
        <f t="shared" si="170"/>
        <v/>
      </c>
      <c r="O982" s="1" t="str">
        <f t="shared" si="171"/>
        <v/>
      </c>
      <c r="P982" s="2" t="str">
        <f t="shared" si="172"/>
        <v/>
      </c>
      <c r="Q982" s="1" t="str">
        <f t="shared" si="173"/>
        <v/>
      </c>
      <c r="R982" s="2" t="str">
        <f t="shared" si="174"/>
        <v/>
      </c>
      <c r="S982" s="1" t="str">
        <f t="shared" si="175"/>
        <v/>
      </c>
    </row>
    <row r="983" spans="1:19" x14ac:dyDescent="0.2">
      <c r="A983" t="str">
        <f>IF(COUNTBLANK(B983:S983)&lt;&gt;COLUMNS(B983:S983),982,"")</f>
        <v/>
      </c>
      <c r="C983" s="2" t="str">
        <f t="shared" si="165"/>
        <v/>
      </c>
      <c r="D983" s="1" t="str">
        <f t="shared" si="166"/>
        <v/>
      </c>
      <c r="E983" s="1" t="str">
        <f t="shared" si="167"/>
        <v/>
      </c>
      <c r="I983" s="1" t="str">
        <f t="shared" si="168"/>
        <v/>
      </c>
      <c r="J983" s="2" t="str">
        <f t="shared" si="169"/>
        <v/>
      </c>
      <c r="K983" s="1" t="str">
        <f t="shared" si="170"/>
        <v/>
      </c>
      <c r="O983" s="1" t="str">
        <f t="shared" si="171"/>
        <v/>
      </c>
      <c r="P983" s="2" t="str">
        <f t="shared" si="172"/>
        <v/>
      </c>
      <c r="Q983" s="1" t="str">
        <f t="shared" si="173"/>
        <v/>
      </c>
      <c r="R983" s="2" t="str">
        <f t="shared" si="174"/>
        <v/>
      </c>
      <c r="S983" s="1" t="str">
        <f t="shared" si="175"/>
        <v/>
      </c>
    </row>
    <row r="984" spans="1:19" x14ac:dyDescent="0.2">
      <c r="A984" t="str">
        <f>IF(COUNTBLANK(B984:S984)&lt;&gt;COLUMNS(B984:S984),983,"")</f>
        <v/>
      </c>
      <c r="C984" s="2" t="str">
        <f t="shared" si="165"/>
        <v/>
      </c>
      <c r="D984" s="1" t="str">
        <f t="shared" si="166"/>
        <v/>
      </c>
      <c r="E984" s="1" t="str">
        <f t="shared" si="167"/>
        <v/>
      </c>
      <c r="I984" s="1" t="str">
        <f t="shared" si="168"/>
        <v/>
      </c>
      <c r="J984" s="2" t="str">
        <f t="shared" si="169"/>
        <v/>
      </c>
      <c r="K984" s="1" t="str">
        <f t="shared" si="170"/>
        <v/>
      </c>
      <c r="O984" s="1" t="str">
        <f t="shared" si="171"/>
        <v/>
      </c>
      <c r="P984" s="2" t="str">
        <f t="shared" si="172"/>
        <v/>
      </c>
      <c r="Q984" s="1" t="str">
        <f t="shared" si="173"/>
        <v/>
      </c>
      <c r="R984" s="2" t="str">
        <f t="shared" si="174"/>
        <v/>
      </c>
      <c r="S984" s="1" t="str">
        <f t="shared" si="175"/>
        <v/>
      </c>
    </row>
    <row r="985" spans="1:19" x14ac:dyDescent="0.2">
      <c r="A985" t="str">
        <f>IF(COUNTBLANK(B985:S985)&lt;&gt;COLUMNS(B985:S985),984,"")</f>
        <v/>
      </c>
      <c r="C985" s="2" t="str">
        <f t="shared" si="165"/>
        <v/>
      </c>
      <c r="D985" s="1" t="str">
        <f t="shared" si="166"/>
        <v/>
      </c>
      <c r="E985" s="1" t="str">
        <f t="shared" si="167"/>
        <v/>
      </c>
      <c r="I985" s="1" t="str">
        <f t="shared" si="168"/>
        <v/>
      </c>
      <c r="J985" s="2" t="str">
        <f t="shared" si="169"/>
        <v/>
      </c>
      <c r="K985" s="1" t="str">
        <f t="shared" si="170"/>
        <v/>
      </c>
      <c r="O985" s="1" t="str">
        <f t="shared" si="171"/>
        <v/>
      </c>
      <c r="P985" s="2" t="str">
        <f t="shared" si="172"/>
        <v/>
      </c>
      <c r="Q985" s="1" t="str">
        <f t="shared" si="173"/>
        <v/>
      </c>
      <c r="R985" s="2" t="str">
        <f t="shared" si="174"/>
        <v/>
      </c>
      <c r="S985" s="1" t="str">
        <f t="shared" si="175"/>
        <v/>
      </c>
    </row>
    <row r="986" spans="1:19" x14ac:dyDescent="0.2">
      <c r="A986" t="str">
        <f>IF(COUNTBLANK(B986:S986)&lt;&gt;COLUMNS(B986:S986),985,"")</f>
        <v/>
      </c>
      <c r="C986" s="2" t="str">
        <f t="shared" si="165"/>
        <v/>
      </c>
      <c r="D986" s="1" t="str">
        <f t="shared" si="166"/>
        <v/>
      </c>
      <c r="E986" s="1" t="str">
        <f t="shared" si="167"/>
        <v/>
      </c>
      <c r="I986" s="1" t="str">
        <f t="shared" si="168"/>
        <v/>
      </c>
      <c r="J986" s="2" t="str">
        <f t="shared" si="169"/>
        <v/>
      </c>
      <c r="K986" s="1" t="str">
        <f t="shared" si="170"/>
        <v/>
      </c>
      <c r="O986" s="1" t="str">
        <f t="shared" si="171"/>
        <v/>
      </c>
      <c r="P986" s="2" t="str">
        <f t="shared" si="172"/>
        <v/>
      </c>
      <c r="Q986" s="1" t="str">
        <f t="shared" si="173"/>
        <v/>
      </c>
      <c r="R986" s="2" t="str">
        <f t="shared" si="174"/>
        <v/>
      </c>
      <c r="S986" s="1" t="str">
        <f t="shared" si="175"/>
        <v/>
      </c>
    </row>
    <row r="987" spans="1:19" x14ac:dyDescent="0.2">
      <c r="A987" t="str">
        <f>IF(COUNTBLANK(B987:S987)&lt;&gt;COLUMNS(B987:S987),986,"")</f>
        <v/>
      </c>
      <c r="C987" s="2" t="str">
        <f t="shared" si="165"/>
        <v/>
      </c>
      <c r="D987" s="1" t="str">
        <f t="shared" si="166"/>
        <v/>
      </c>
      <c r="E987" s="1" t="str">
        <f t="shared" si="167"/>
        <v/>
      </c>
      <c r="I987" s="1" t="str">
        <f t="shared" si="168"/>
        <v/>
      </c>
      <c r="J987" s="2" t="str">
        <f t="shared" si="169"/>
        <v/>
      </c>
      <c r="K987" s="1" t="str">
        <f t="shared" si="170"/>
        <v/>
      </c>
      <c r="O987" s="1" t="str">
        <f t="shared" si="171"/>
        <v/>
      </c>
      <c r="P987" s="2" t="str">
        <f t="shared" si="172"/>
        <v/>
      </c>
      <c r="Q987" s="1" t="str">
        <f t="shared" si="173"/>
        <v/>
      </c>
      <c r="R987" s="2" t="str">
        <f t="shared" si="174"/>
        <v/>
      </c>
      <c r="S987" s="1" t="str">
        <f t="shared" si="175"/>
        <v/>
      </c>
    </row>
    <row r="988" spans="1:19" x14ac:dyDescent="0.2">
      <c r="A988" t="str">
        <f>IF(COUNTBLANK(B988:S988)&lt;&gt;COLUMNS(B988:S988),987,"")</f>
        <v/>
      </c>
      <c r="C988" s="2" t="str">
        <f t="shared" si="165"/>
        <v/>
      </c>
      <c r="D988" s="1" t="str">
        <f t="shared" si="166"/>
        <v/>
      </c>
      <c r="E988" s="1" t="str">
        <f t="shared" si="167"/>
        <v/>
      </c>
      <c r="I988" s="1" t="str">
        <f t="shared" si="168"/>
        <v/>
      </c>
      <c r="J988" s="2" t="str">
        <f t="shared" si="169"/>
        <v/>
      </c>
      <c r="K988" s="1" t="str">
        <f t="shared" si="170"/>
        <v/>
      </c>
      <c r="O988" s="1" t="str">
        <f t="shared" si="171"/>
        <v/>
      </c>
      <c r="P988" s="2" t="str">
        <f t="shared" si="172"/>
        <v/>
      </c>
      <c r="Q988" s="1" t="str">
        <f t="shared" si="173"/>
        <v/>
      </c>
      <c r="R988" s="2" t="str">
        <f t="shared" si="174"/>
        <v/>
      </c>
      <c r="S988" s="1" t="str">
        <f t="shared" si="175"/>
        <v/>
      </c>
    </row>
    <row r="989" spans="1:19" x14ac:dyDescent="0.2">
      <c r="A989" t="str">
        <f>IF(COUNTBLANK(B989:S989)&lt;&gt;COLUMNS(B989:S989),988,"")</f>
        <v/>
      </c>
      <c r="C989" s="2" t="str">
        <f t="shared" si="165"/>
        <v/>
      </c>
      <c r="D989" s="1" t="str">
        <f t="shared" si="166"/>
        <v/>
      </c>
      <c r="E989" s="1" t="str">
        <f t="shared" si="167"/>
        <v/>
      </c>
      <c r="I989" s="1" t="str">
        <f t="shared" si="168"/>
        <v/>
      </c>
      <c r="J989" s="2" t="str">
        <f t="shared" si="169"/>
        <v/>
      </c>
      <c r="K989" s="1" t="str">
        <f t="shared" si="170"/>
        <v/>
      </c>
      <c r="O989" s="1" t="str">
        <f t="shared" si="171"/>
        <v/>
      </c>
      <c r="P989" s="2" t="str">
        <f t="shared" si="172"/>
        <v/>
      </c>
      <c r="Q989" s="1" t="str">
        <f t="shared" si="173"/>
        <v/>
      </c>
      <c r="R989" s="2" t="str">
        <f t="shared" si="174"/>
        <v/>
      </c>
      <c r="S989" s="1" t="str">
        <f t="shared" si="175"/>
        <v/>
      </c>
    </row>
    <row r="990" spans="1:19" x14ac:dyDescent="0.2">
      <c r="A990" t="str">
        <f>IF(COUNTBLANK(B990:S990)&lt;&gt;COLUMNS(B990:S990),989,"")</f>
        <v/>
      </c>
      <c r="C990" s="2" t="str">
        <f t="shared" si="165"/>
        <v/>
      </c>
      <c r="D990" s="1" t="str">
        <f t="shared" si="166"/>
        <v/>
      </c>
      <c r="E990" s="1" t="str">
        <f t="shared" si="167"/>
        <v/>
      </c>
      <c r="I990" s="1" t="str">
        <f t="shared" si="168"/>
        <v/>
      </c>
      <c r="J990" s="2" t="str">
        <f t="shared" si="169"/>
        <v/>
      </c>
      <c r="K990" s="1" t="str">
        <f t="shared" si="170"/>
        <v/>
      </c>
      <c r="O990" s="1" t="str">
        <f t="shared" si="171"/>
        <v/>
      </c>
      <c r="P990" s="2" t="str">
        <f t="shared" si="172"/>
        <v/>
      </c>
      <c r="Q990" s="1" t="str">
        <f t="shared" si="173"/>
        <v/>
      </c>
      <c r="R990" s="2" t="str">
        <f t="shared" si="174"/>
        <v/>
      </c>
      <c r="S990" s="1" t="str">
        <f t="shared" si="175"/>
        <v/>
      </c>
    </row>
    <row r="991" spans="1:19" x14ac:dyDescent="0.2">
      <c r="A991" t="str">
        <f>IF(COUNTBLANK(B991:S991)&lt;&gt;COLUMNS(B991:S991),990,"")</f>
        <v/>
      </c>
      <c r="C991" s="2" t="str">
        <f t="shared" si="165"/>
        <v/>
      </c>
      <c r="D991" s="1" t="str">
        <f t="shared" si="166"/>
        <v/>
      </c>
      <c r="E991" s="1" t="str">
        <f t="shared" si="167"/>
        <v/>
      </c>
      <c r="I991" s="1" t="str">
        <f t="shared" si="168"/>
        <v/>
      </c>
      <c r="J991" s="2" t="str">
        <f t="shared" si="169"/>
        <v/>
      </c>
      <c r="K991" s="1" t="str">
        <f t="shared" si="170"/>
        <v/>
      </c>
      <c r="O991" s="1" t="str">
        <f t="shared" si="171"/>
        <v/>
      </c>
      <c r="P991" s="2" t="str">
        <f t="shared" si="172"/>
        <v/>
      </c>
      <c r="Q991" s="1" t="str">
        <f t="shared" si="173"/>
        <v/>
      </c>
      <c r="R991" s="2" t="str">
        <f t="shared" si="174"/>
        <v/>
      </c>
      <c r="S991" s="1" t="str">
        <f t="shared" si="175"/>
        <v/>
      </c>
    </row>
    <row r="992" spans="1:19" x14ac:dyDescent="0.2">
      <c r="A992" t="str">
        <f>IF(COUNTBLANK(B992:S992)&lt;&gt;COLUMNS(B992:S992),991,"")</f>
        <v/>
      </c>
      <c r="C992" s="2" t="str">
        <f t="shared" si="165"/>
        <v/>
      </c>
      <c r="D992" s="1" t="str">
        <f t="shared" si="166"/>
        <v/>
      </c>
      <c r="E992" s="1" t="str">
        <f t="shared" si="167"/>
        <v/>
      </c>
      <c r="I992" s="1" t="str">
        <f t="shared" si="168"/>
        <v/>
      </c>
      <c r="J992" s="2" t="str">
        <f t="shared" si="169"/>
        <v/>
      </c>
      <c r="K992" s="1" t="str">
        <f t="shared" si="170"/>
        <v/>
      </c>
      <c r="O992" s="1" t="str">
        <f t="shared" si="171"/>
        <v/>
      </c>
      <c r="P992" s="2" t="str">
        <f t="shared" si="172"/>
        <v/>
      </c>
      <c r="Q992" s="1" t="str">
        <f t="shared" si="173"/>
        <v/>
      </c>
      <c r="R992" s="2" t="str">
        <f t="shared" si="174"/>
        <v/>
      </c>
      <c r="S992" s="1" t="str">
        <f t="shared" si="175"/>
        <v/>
      </c>
    </row>
    <row r="993" spans="1:19" x14ac:dyDescent="0.2">
      <c r="A993" t="str">
        <f>IF(COUNTBLANK(B993:S993)&lt;&gt;COLUMNS(B993:S993),992,"")</f>
        <v/>
      </c>
      <c r="C993" s="2" t="str">
        <f t="shared" si="165"/>
        <v/>
      </c>
      <c r="D993" s="1" t="str">
        <f t="shared" si="166"/>
        <v/>
      </c>
      <c r="E993" s="1" t="str">
        <f t="shared" si="167"/>
        <v/>
      </c>
      <c r="I993" s="1" t="str">
        <f t="shared" si="168"/>
        <v/>
      </c>
      <c r="J993" s="2" t="str">
        <f t="shared" si="169"/>
        <v/>
      </c>
      <c r="K993" s="1" t="str">
        <f t="shared" si="170"/>
        <v/>
      </c>
      <c r="O993" s="1" t="str">
        <f t="shared" si="171"/>
        <v/>
      </c>
      <c r="P993" s="2" t="str">
        <f t="shared" si="172"/>
        <v/>
      </c>
      <c r="Q993" s="1" t="str">
        <f t="shared" si="173"/>
        <v/>
      </c>
      <c r="R993" s="2" t="str">
        <f t="shared" si="174"/>
        <v/>
      </c>
      <c r="S993" s="1" t="str">
        <f t="shared" si="175"/>
        <v/>
      </c>
    </row>
    <row r="994" spans="1:19" x14ac:dyDescent="0.2">
      <c r="A994" t="str">
        <f>IF(COUNTBLANK(B994:S994)&lt;&gt;COLUMNS(B994:S994),993,"")</f>
        <v/>
      </c>
      <c r="C994" s="2" t="str">
        <f t="shared" si="165"/>
        <v/>
      </c>
      <c r="D994" s="1" t="str">
        <f t="shared" si="166"/>
        <v/>
      </c>
      <c r="E994" s="1" t="str">
        <f t="shared" si="167"/>
        <v/>
      </c>
      <c r="I994" s="1" t="str">
        <f t="shared" si="168"/>
        <v/>
      </c>
      <c r="J994" s="2" t="str">
        <f t="shared" si="169"/>
        <v/>
      </c>
      <c r="K994" s="1" t="str">
        <f t="shared" si="170"/>
        <v/>
      </c>
      <c r="O994" s="1" t="str">
        <f t="shared" si="171"/>
        <v/>
      </c>
      <c r="P994" s="2" t="str">
        <f t="shared" si="172"/>
        <v/>
      </c>
      <c r="Q994" s="1" t="str">
        <f t="shared" si="173"/>
        <v/>
      </c>
      <c r="R994" s="2" t="str">
        <f t="shared" si="174"/>
        <v/>
      </c>
      <c r="S994" s="1" t="str">
        <f t="shared" si="175"/>
        <v/>
      </c>
    </row>
    <row r="995" spans="1:19" x14ac:dyDescent="0.2">
      <c r="A995" t="str">
        <f>IF(COUNTBLANK(B995:S995)&lt;&gt;COLUMNS(B995:S995),994,"")</f>
        <v/>
      </c>
      <c r="C995" s="2" t="str">
        <f t="shared" si="165"/>
        <v/>
      </c>
      <c r="D995" s="1" t="str">
        <f t="shared" si="166"/>
        <v/>
      </c>
      <c r="E995" s="1" t="str">
        <f t="shared" si="167"/>
        <v/>
      </c>
      <c r="I995" s="1" t="str">
        <f t="shared" si="168"/>
        <v/>
      </c>
      <c r="J995" s="2" t="str">
        <f t="shared" si="169"/>
        <v/>
      </c>
      <c r="K995" s="1" t="str">
        <f t="shared" si="170"/>
        <v/>
      </c>
      <c r="O995" s="1" t="str">
        <f t="shared" si="171"/>
        <v/>
      </c>
      <c r="P995" s="2" t="str">
        <f t="shared" si="172"/>
        <v/>
      </c>
      <c r="Q995" s="1" t="str">
        <f t="shared" si="173"/>
        <v/>
      </c>
      <c r="R995" s="2" t="str">
        <f t="shared" si="174"/>
        <v/>
      </c>
      <c r="S995" s="1" t="str">
        <f t="shared" si="175"/>
        <v/>
      </c>
    </row>
    <row r="996" spans="1:19" x14ac:dyDescent="0.2">
      <c r="A996" t="str">
        <f>IF(COUNTBLANK(B996:S996)&lt;&gt;COLUMNS(B996:S996),995,"")</f>
        <v/>
      </c>
      <c r="C996" s="2" t="str">
        <f t="shared" si="165"/>
        <v/>
      </c>
      <c r="D996" s="1" t="str">
        <f t="shared" si="166"/>
        <v/>
      </c>
      <c r="E996" s="1" t="str">
        <f t="shared" si="167"/>
        <v/>
      </c>
      <c r="I996" s="1" t="str">
        <f t="shared" si="168"/>
        <v/>
      </c>
      <c r="J996" s="2" t="str">
        <f t="shared" si="169"/>
        <v/>
      </c>
      <c r="K996" s="1" t="str">
        <f t="shared" si="170"/>
        <v/>
      </c>
      <c r="O996" s="1" t="str">
        <f t="shared" si="171"/>
        <v/>
      </c>
      <c r="P996" s="2" t="str">
        <f t="shared" si="172"/>
        <v/>
      </c>
      <c r="Q996" s="1" t="str">
        <f t="shared" si="173"/>
        <v/>
      </c>
      <c r="R996" s="2" t="str">
        <f t="shared" si="174"/>
        <v/>
      </c>
      <c r="S996" s="1" t="str">
        <f t="shared" si="175"/>
        <v/>
      </c>
    </row>
    <row r="997" spans="1:19" x14ac:dyDescent="0.2">
      <c r="A997" t="str">
        <f>IF(COUNTBLANK(B997:S997)&lt;&gt;COLUMNS(B997:S997),996,"")</f>
        <v/>
      </c>
      <c r="C997" s="2" t="str">
        <f t="shared" si="165"/>
        <v/>
      </c>
      <c r="D997" s="1" t="str">
        <f t="shared" si="166"/>
        <v/>
      </c>
      <c r="E997" s="1" t="str">
        <f t="shared" si="167"/>
        <v/>
      </c>
      <c r="I997" s="1" t="str">
        <f t="shared" si="168"/>
        <v/>
      </c>
      <c r="J997" s="2" t="str">
        <f t="shared" si="169"/>
        <v/>
      </c>
      <c r="K997" s="1" t="str">
        <f t="shared" si="170"/>
        <v/>
      </c>
      <c r="O997" s="1" t="str">
        <f t="shared" si="171"/>
        <v/>
      </c>
      <c r="P997" s="2" t="str">
        <f t="shared" si="172"/>
        <v/>
      </c>
      <c r="Q997" s="1" t="str">
        <f t="shared" si="173"/>
        <v/>
      </c>
      <c r="R997" s="2" t="str">
        <f t="shared" si="174"/>
        <v/>
      </c>
      <c r="S997" s="1" t="str">
        <f t="shared" si="175"/>
        <v/>
      </c>
    </row>
    <row r="998" spans="1:19" x14ac:dyDescent="0.2">
      <c r="A998" t="str">
        <f>IF(COUNTBLANK(B998:S998)&lt;&gt;COLUMNS(B998:S998),997,"")</f>
        <v/>
      </c>
      <c r="C998" s="2" t="str">
        <f t="shared" si="165"/>
        <v/>
      </c>
      <c r="D998" s="1" t="str">
        <f t="shared" si="166"/>
        <v/>
      </c>
      <c r="E998" s="1" t="str">
        <f t="shared" si="167"/>
        <v/>
      </c>
      <c r="I998" s="1" t="str">
        <f t="shared" si="168"/>
        <v/>
      </c>
      <c r="J998" s="2" t="str">
        <f t="shared" si="169"/>
        <v/>
      </c>
      <c r="K998" s="1" t="str">
        <f t="shared" si="170"/>
        <v/>
      </c>
      <c r="O998" s="1" t="str">
        <f t="shared" si="171"/>
        <v/>
      </c>
      <c r="P998" s="2" t="str">
        <f t="shared" si="172"/>
        <v/>
      </c>
      <c r="Q998" s="1" t="str">
        <f t="shared" si="173"/>
        <v/>
      </c>
      <c r="R998" s="2" t="str">
        <f t="shared" si="174"/>
        <v/>
      </c>
      <c r="S998" s="1" t="str">
        <f t="shared" si="175"/>
        <v/>
      </c>
    </row>
    <row r="999" spans="1:19" x14ac:dyDescent="0.2">
      <c r="A999" t="str">
        <f>IF(COUNTBLANK(B999:S999)&lt;&gt;COLUMNS(B999:S999),998,"")</f>
        <v/>
      </c>
      <c r="C999" s="2" t="str">
        <f t="shared" si="165"/>
        <v/>
      </c>
      <c r="D999" s="1" t="str">
        <f t="shared" si="166"/>
        <v/>
      </c>
      <c r="E999" s="1" t="str">
        <f t="shared" si="167"/>
        <v/>
      </c>
      <c r="I999" s="1" t="str">
        <f t="shared" si="168"/>
        <v/>
      </c>
      <c r="J999" s="2" t="str">
        <f t="shared" si="169"/>
        <v/>
      </c>
      <c r="K999" s="1" t="str">
        <f t="shared" si="170"/>
        <v/>
      </c>
      <c r="O999" s="1" t="str">
        <f t="shared" si="171"/>
        <v/>
      </c>
      <c r="P999" s="2" t="str">
        <f t="shared" si="172"/>
        <v/>
      </c>
      <c r="Q999" s="1" t="str">
        <f t="shared" si="173"/>
        <v/>
      </c>
      <c r="R999" s="2" t="str">
        <f t="shared" si="174"/>
        <v/>
      </c>
      <c r="S999" s="1" t="str">
        <f t="shared" si="175"/>
        <v/>
      </c>
    </row>
    <row r="1000" spans="1:19" x14ac:dyDescent="0.2">
      <c r="A1000" t="str">
        <f>IF(COUNTBLANK(B1000:S1000)&lt;&gt;COLUMNS(B1000:S1000),999,"")</f>
        <v/>
      </c>
      <c r="C1000" s="2" t="str">
        <f t="shared" si="165"/>
        <v/>
      </c>
      <c r="D1000" s="1" t="str">
        <f t="shared" si="166"/>
        <v/>
      </c>
      <c r="E1000" s="1" t="str">
        <f t="shared" si="167"/>
        <v/>
      </c>
      <c r="I1000" s="1" t="str">
        <f t="shared" si="168"/>
        <v/>
      </c>
      <c r="J1000" s="2" t="str">
        <f t="shared" si="169"/>
        <v/>
      </c>
      <c r="K1000" s="1" t="str">
        <f t="shared" si="170"/>
        <v/>
      </c>
      <c r="O1000" s="1" t="str">
        <f t="shared" si="171"/>
        <v/>
      </c>
      <c r="P1000" s="2" t="str">
        <f t="shared" si="172"/>
        <v/>
      </c>
      <c r="Q1000" s="1" t="str">
        <f t="shared" si="173"/>
        <v/>
      </c>
      <c r="R1000" s="2" t="str">
        <f t="shared" si="174"/>
        <v/>
      </c>
      <c r="S1000" s="1" t="str">
        <f t="shared" si="175"/>
        <v/>
      </c>
    </row>
    <row r="1001" spans="1:19" x14ac:dyDescent="0.2">
      <c r="A1001" t="str">
        <f>IF(COUNTBLANK(B1001:S1001)&lt;&gt;COLUMNS(B1001:S1001),1000,"")</f>
        <v/>
      </c>
      <c r="C1001" s="2" t="str">
        <f t="shared" si="165"/>
        <v/>
      </c>
      <c r="D1001" s="1" t="str">
        <f t="shared" si="166"/>
        <v/>
      </c>
      <c r="E1001" s="1" t="str">
        <f t="shared" si="167"/>
        <v/>
      </c>
      <c r="I1001" s="1" t="str">
        <f t="shared" si="168"/>
        <v/>
      </c>
      <c r="J1001" s="2" t="str">
        <f t="shared" si="169"/>
        <v/>
      </c>
      <c r="K1001" s="1" t="str">
        <f t="shared" si="170"/>
        <v/>
      </c>
      <c r="O1001" s="1" t="str">
        <f t="shared" si="171"/>
        <v/>
      </c>
      <c r="P1001" s="2" t="str">
        <f t="shared" si="172"/>
        <v/>
      </c>
      <c r="Q1001" s="1" t="str">
        <f t="shared" si="173"/>
        <v/>
      </c>
      <c r="R1001" s="2" t="str">
        <f t="shared" si="174"/>
        <v/>
      </c>
      <c r="S1001" s="1" t="str">
        <f t="shared" si="175"/>
        <v/>
      </c>
    </row>
    <row r="1002" spans="1:19" x14ac:dyDescent="0.2">
      <c r="B1002" s="3" t="s">
        <v>2</v>
      </c>
    </row>
  </sheetData>
  <sheetProtection sheet="1" objects="1" scenarios="1" formatCells="0" formatColumns="0" formatRows="0"/>
  <dataValidations count="18">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custom" allowBlank="1" showInputMessage="1" showErrorMessage="1" errorTitle="Invalid age" error="The age value entered is not valid. Host age in appropriate units. The value must be a string and must equal &quot;not applicable&quot; or must equal &quot;missing: not collected&quot; or must e[text truncated: please refer to field descriptions sheet for full requirements]." promptTitle="Enter age" prompt="Host age in appropriate units. The value must be a string and must equal &quot;not applicable&quot; or must equal &quot;missing: not collected&quot; or must equal &quot;missing: not provided&quot; or must[text truncated: please refer to field descriptions sheet for full requirements]." sqref="C2:C1001">
      <formula1>(OR(AND(IF(C2="",FALSE,TRUE),OR(EXACT(C2,"not applicable"),EXACT(C2,"missing: not collected"),EXACT(C2,"missing: not provided"),EXACT(C2,"missing: restricted access"))),AND(IF(C2="",FALSE,ISNUMBER(VALUE(C2))),C2&gt;0)))</formula1>
    </dataValidation>
    <dataValidation type="list" allowBlank="1" showInputMessage="1" showErrorMessage="1" errorTitle="Invalid age_units" error="The age_units value entered is not valid. The value must be a string and must equal &quot;missing: not provided&quot;. The default value is  missing: not provided." promptTitle="Enter age_units" prompt="The value must be a string and must equal &quot;missing: not provided&quot;. The default value is  missing: not provided." sqref="D2:D1001">
      <formula1>"missing: not provided"</formula1>
    </dataValidation>
    <dataValidation type="list" allowBlank="1" showInputMessage="1" showErrorMessage="1" errorTitle="Invalid empo_1" error="The empo_1 value entered is not valid. The value must be a string and must equal &quot;Host-associated&quot;. The default value is Host-associated." promptTitle="Enter empo_1" prompt="The value must be a string and must equal &quot;Host-associated&quot;. The default value is Host-associated." sqref="E2:E1001">
      <formula1>"Host-associated"</formula1>
    </dataValidation>
    <dataValidation type="list" allowBlank="1" showInputMessage="1" showErrorMessage="1" errorTitle="Invalid empo_2" error="The empo_2 value entered is not valid. The value must be a string and must equal &quot;Animal&quot; or must equal &quot;Fungus&quot; or must equal &quot;Plant&quot;." promptTitle="Enter empo_2" prompt="The value must be a string and must equal &quot;Animal&quot; or must equal &quot;Fungus&quot; or must equal &quot;Plant&quot;." sqref="F2:F1001">
      <formula1>"Animal,Fungus,Plant"</formula1>
    </dataValidation>
    <dataValidation type="list" allowBlank="1" showInputMessage="1" showErrorMessage="1" errorTitle="Invalid empo_3" error="The empo_3 value entered is not valid. The value must be a string and must equal &quot;Plant secretion&quot; or must equal &quot;Plant rhizosphere&quot; or must equal &quot;Plant surface&quot; or must equ[text truncated: please refer to field descriptions sheet for full requirements]." promptTitle="Enter empo_3" prompt="The value must be a string and must equal &quot;Plant secretion&quot; or must equal &quot;Plant rhizosphere&quot; or must equal &quot;Plant surface&quot; or must equal &quot;Plant corpus&quot; or must equal &quot;Fungus[text truncated: please refer to field descriptions sheet for full requirements]." sqref="G2:G1001">
      <formula1>"Plant secretion,Plant rhizosphere,Plant surface,Plant corpus,Fungus surface,Fungus corpus,Animal surface,Animal proximal gut,Animal corpus,Animal distal gut,Animal secretion"</formula1>
    </dataValidation>
    <dataValidation type="custom" allowBlank="1" showInputMessage="1" showErrorMessage="1" errorTitle="Invalid env_feature" error="The env_feature value entered is not valid. The value must be a string and must equal &quot;missing: not collected&quot; or must equal &quot;missing: not provided&quot; or must equal &quot;missing: r[text truncated: please refer to field descriptions sheet for full requirements]." promptTitle="Enter env_feature" prompt="The value must be a string and must equal &quot;missing: not collected&quot; or must equal &quot;missing: not provided&quot; or must equal &quot;missing: restricted access&quot; or the value must be a str[text truncated: please refer to field descriptions sheet for full requirements]." sqref="H2:H1001">
      <formula1>(OR(AND(IF(H2="",FALSE,TRUE),OR(EXACT(H2,"missing: not collected"),EXACT(H2,"missing: not provided"),EXACT(H2,"missing: restricted access"))),AND(IF(H2="",FALSE,TRUE),OR(EXACT(H2,"organism-associated habitat"),EXACT(H2,"plant-associated habitat"),EXACT(H2,"animal-associated habitat"),EXACT(H2,"insecta-associated habitat"),EXACT(H2,"mammalia-associated habitat"),EXACT(H2,"human-associated habitat"),EXACT(H2,"livestock-associated habitat")))))</formula1>
    </dataValidation>
    <dataValidation type="list" allowBlank="1" showInputMessage="1" showErrorMessage="1" errorTitle="Invalid env_package" error="The env_package value entered is not valid. The value must be a string and must equal &quot;host-associated&quot;. The default value is host-associated." promptTitle="Enter env_package" prompt="The value must be a string and must equal &quot;host-associated&quot;. The default value is host-associated." sqref="I2:I1001">
      <formula1>"host-associated"</formula1>
    </dataValidation>
    <dataValidation type="custom" allowBlank="1" showInputMessage="1" showErrorMessage="1" errorTitle="Invalid height" error="The height value entered is not valid. Height (or length) of host in cm preferred. The value must be a string and must equal &quot;not applicable&quot; or must equal &quot;missing: not coll[text truncated: please refer to field descriptions sheet for full requirements]." promptTitle="Enter height" prompt="Height (or length) of host in cm preferred. The value must be a string and must equal &quot;not applicable&quot; or must equal &quot;missing: not collected&quot; or must equal &quot;missing: not prov[text truncated: please refer to field descriptions sheet for full requirements]." sqref="J2:J1001">
      <formula1>(OR(AND(IF(J2="",FALSE,TRUE),OR(EXACT(J2,"not applicable"),EXACT(J2,"missing: not collected"),EXACT(J2,"missing: not provided"),EXACT(J2,"missing: restricted access"))),AND(IF(J2="",FALSE,ISNUMBER(VALUE(J2))),J2&gt;0)))</formula1>
    </dataValidation>
    <dataValidation type="list" allowBlank="1" showInputMessage="1" showErrorMessage="1" errorTitle="Invalid height_units" error="The height_units value entered is not valid. The value must be a string and must equal &quot;missing: not provided&quot;. The default value is  missing: not provided." promptTitle="Enter height_units" prompt="The value must be a string and must equal &quot;missing: not provided&quot;. The default value is  missing: not provided." sqref="K2:K1001">
      <formula1>"missing: not provided"</formula1>
    </dataValidation>
    <dataValidation type="custom" allowBlank="1" showInputMessage="1" showErrorMessage="1" errorTitle="Invalid host_common_name" error="The host_common_name value entered is not valid. Common usage term for host e.g. human. The value must be a string." promptTitle="Enter host_common_name" prompt="Common usage term for host e.g. human. The value must be a string." sqref="L2:L1001">
      <formula1>(IF(L2="",FALSE,TRUE))</formula1>
    </dataValidation>
    <dataValidation type="custom" allowBlank="1" showInputMessage="1" showErrorMessage="1" errorTitle="Invalid host_scientific_name" error="The host_scientific_name value entered is not valid. Host scientific name e.g. Homo sapiens. The value must be a string." promptTitle="Enter host_scientific_name" prompt="Host scientific name e.g. Homo sapiens. The value must be a string." sqref="M2:M1001">
      <formula1>(IF(M2="",FALSE,TRUE))</formula1>
    </dataValidation>
    <dataValidation type="custom" allowBlank="1" showInputMessage="1" showErrorMessage="1" errorTitle="Invalid host_taxid" error="The host_taxid value entered is not valid. Taxonomy id of host e.g. human is 9606. The value must be a string and must equal &quot;not applicable&quot; or must equal &quot;missing: not coll[text truncated: please refer to field descriptions sheet for full requirements]." promptTitle="Enter host_taxid" prompt="Taxonomy id of host e.g. human is 9606. The value must be a string and must equal &quot;not applicable&quot; or must equal &quot;missing: not collected&quot; or must equal &quot;missing: not provided&quot; or the value must be a integer and &gt;0." sqref="N2:N1001">
      <formula1>(OR(AND(IF(N2="",FALSE,TRUE),OR(EXACT(N2,"not applicable"),EXACT(N2,"missing: not collected"),EXACT(N2,"missing: not provided"))),AND(IF(N2="",FALSE,IF(ISERROR(INT(N2)),FALSE,INT(N2)=N2)),N2&gt;0)))</formula1>
    </dataValidation>
    <dataValidation type="list" allowBlank="1" showInputMessage="1" showErrorMessage="1" errorTitle="Invalid host_taxid_units" error="The host_taxid_units value entered is not valid. The value must be a string and must equal &quot;Not applicable&quot;. The default value is Not applicable." promptTitle="Enter host_taxid_units" prompt="The value must be a string and must equal &quot;Not applicable&quot;. The default value is Not applicable." sqref="O2:O1001">
      <formula1>"Not applicable"</formula1>
    </dataValidation>
    <dataValidation type="custom" allowBlank="1" showInputMessage="1" showErrorMessage="1" errorTitle="Invalid time_point" error="The time_point value entered is not valid. A numeric ID to indicate order of linked samples. The value must be a string and must equal &quot;not applicable&quot; or must equal &quot;missing[text truncated: please refer to field descriptions sheet for full requirements]." promptTitle="Enter time_point" prompt="A numeric ID to indicate order of linked samples. The value must be a string and must equal &quot;not applicable&quot; or must equal &quot;missing: not collected&quot; or must equal &quot;missing: no[text truncated: please refer to field descriptions sheet for full requirements]." sqref="P2:P1001">
      <formula1>(OR(AND(IF(P2="",FALSE,TRUE),OR(EXACT(P2,"not applicable"),EXACT(P2,"missing: not collected"),EXACT(P2,"missing: not provided"),EXACT(P2,"missing: restricted access"))),IF(P2="",FALSE,IF(ISERROR(INT(P2)),FALSE,INT(P2)=P2))))</formula1>
    </dataValidation>
    <dataValidation type="list" allowBlank="1" showInputMessage="1" showErrorMessage="1" errorTitle="Invalid time_point_units" error="The time_point_units value entered is not valid. The value must be a string and must equal &quot;Not applicable&quot;. The default value is Not applicable." promptTitle="Enter time_point_units" prompt="The value must be a string and must equal &quot;Not applicable&quot;. The default value is Not applicable." sqref="Q2:Q1001">
      <formula1>"Not applicable"</formula1>
    </dataValidation>
    <dataValidation type="custom" allowBlank="1" showInputMessage="1" showErrorMessage="1" errorTitle="Invalid weight" error="The weight value entered is not valid. In kilograms preferred. The value must be a string and must equal &quot;not applicable&quot; or must equal &quot;missing: not collected&quot; or must equal[text truncated: please refer to field descriptions sheet for full requirements]." promptTitle="Enter weight" prompt="In kilograms preferred. The value must be a string and must equal &quot;not applicable&quot; or must equal &quot;missing: not collected&quot; or must equal &quot;missing: not provided&quot; or must equal [text truncated: please refer to field descriptions sheet for full requirements]." sqref="R2:R1001">
      <formula1>(OR(AND(IF(R2="",FALSE,TRUE),OR(EXACT(R2,"not applicable"),EXACT(R2,"missing: not collected"),EXACT(R2,"missing: not provided"),EXACT(R2,"missing: restricted access"))),AND(IF(R2="",FALSE,ISNUMBER(VALUE(R2))),R2&gt;0)))</formula1>
    </dataValidation>
    <dataValidation type="list" allowBlank="1" showInputMessage="1" showErrorMessage="1" errorTitle="Invalid weight_units" error="The weight_units value entered is not valid. The value must be a string and must equal &quot;missing: not provided&quot;. The default value is  missing: not provided." promptTitle="Enter weight_units" prompt="The value must be a string and must equal &quot;missing: not provided&quot;. The default value is  missing: not provided." sqref="S2:S1001">
      <formula1>"missing: not provided"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006"/>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zeroHeight="1" x14ac:dyDescent="0.2"/>
  <cols>
    <col min="2" max="19" width="8.83203125" style="4"/>
    <col min="23" max="47" width="0" hidden="1" customWidth="1"/>
  </cols>
  <sheetData>
    <row r="1" spans="1:47" x14ac:dyDescent="0.2">
      <c r="A1" s="3" t="s">
        <v>1</v>
      </c>
      <c r="B1" s="3" t="str">
        <f ca="1">IF(B2=" ", " ", INDEX($AD$1:$AU$1, 1, MATCH(COLUMNS($AD$1006:AD1006),$AD$1006:$AU$1006,0)))</f>
        <v xml:space="preserve"> </v>
      </c>
      <c r="C1" s="3" t="str">
        <f ca="1">IF(C2=" ", " ", INDEX($AD$1:$AU$1, 1, MATCH(COLUMNS($AD$1006:AE1006),$AD$1006:$AU$1006,0)))</f>
        <v xml:space="preserve"> </v>
      </c>
      <c r="D1" s="3" t="str">
        <f ca="1">IF(D2=" ", " ", INDEX($AD$1:$AU$1, 1, MATCH(COLUMNS($AD$1006:AF1006),$AD$1006:$AU$1006,0)))</f>
        <v xml:space="preserve"> </v>
      </c>
      <c r="E1" s="3" t="str">
        <f ca="1">IF(E2=" ", " ", INDEX($AD$1:$AU$1, 1, MATCH(COLUMNS($AD$1006:AG1006),$AD$1006:$AU$1006,0)))</f>
        <v xml:space="preserve"> </v>
      </c>
      <c r="F1" s="3" t="str">
        <f ca="1">IF(F2=" ", " ", INDEX($AD$1:$AU$1, 1, MATCH(COLUMNS($AD$1006:AH1006),$AD$1006:$AU$1006,0)))</f>
        <v xml:space="preserve"> </v>
      </c>
      <c r="G1" s="3" t="str">
        <f ca="1">IF(G2=" ", " ", INDEX($AD$1:$AU$1, 1, MATCH(COLUMNS($AD$1006:AI1006),$AD$1006:$AU$1006,0)))</f>
        <v xml:space="preserve"> </v>
      </c>
      <c r="H1" s="3" t="str">
        <f ca="1">IF(H2=" ", " ", INDEX($AD$1:$AU$1, 1, MATCH(COLUMNS($AD$1006:AJ1006),$AD$1006:$AU$1006,0)))</f>
        <v xml:space="preserve"> </v>
      </c>
      <c r="I1" s="3" t="str">
        <f ca="1">IF(I2=" ", " ", INDEX($AD$1:$AU$1, 1, MATCH(COLUMNS($AD$1006:AK1006),$AD$1006:$AU$1006,0)))</f>
        <v xml:space="preserve"> </v>
      </c>
      <c r="J1" s="3" t="str">
        <f ca="1">IF(J2=" ", " ", INDEX($AD$1:$AU$1, 1, MATCH(COLUMNS($AD$1006:AL1006),$AD$1006:$AU$1006,0)))</f>
        <v xml:space="preserve"> </v>
      </c>
      <c r="K1" s="3" t="str">
        <f ca="1">IF(K2=" ", " ", INDEX($AD$1:$AU$1, 1, MATCH(COLUMNS($AD$1006:AM1006),$AD$1006:$AU$1006,0)))</f>
        <v xml:space="preserve"> </v>
      </c>
      <c r="L1" s="3" t="str">
        <f ca="1">IF(L2=" ", " ", INDEX($AD$1:$AU$1, 1, MATCH(COLUMNS($AD$1006:AN1006),$AD$1006:$AU$1006,0)))</f>
        <v xml:space="preserve"> </v>
      </c>
      <c r="M1" s="3" t="str">
        <f ca="1">IF(M2=" ", " ", INDEX($AD$1:$AU$1, 1, MATCH(COLUMNS($AD$1006:AO1006),$AD$1006:$AU$1006,0)))</f>
        <v xml:space="preserve"> </v>
      </c>
      <c r="N1" s="3" t="str">
        <f ca="1">IF(N2=" ", " ", INDEX($AD$1:$AU$1, 1, MATCH(COLUMNS($AD$1006:AP1006),$AD$1006:$AU$1006,0)))</f>
        <v xml:space="preserve"> </v>
      </c>
      <c r="O1" s="3" t="str">
        <f ca="1">IF(O2=" ", " ", INDEX($AD$1:$AU$1, 1, MATCH(COLUMNS($AD$1006:AQ1006),$AD$1006:$AU$1006,0)))</f>
        <v xml:space="preserve"> </v>
      </c>
      <c r="P1" s="3" t="str">
        <f ca="1">IF(P2=" ", " ", INDEX($AD$1:$AU$1, 1, MATCH(COLUMNS($AD$1006:AR1006),$AD$1006:$AU$1006,0)))</f>
        <v xml:space="preserve"> </v>
      </c>
      <c r="Q1" s="3" t="str">
        <f ca="1">IF(Q2=" ", " ", INDEX($AD$1:$AU$1, 1, MATCH(COLUMNS($AD$1006:AS1006),$AD$1006:$AU$1006,0)))</f>
        <v xml:space="preserve"> </v>
      </c>
      <c r="R1" s="3" t="str">
        <f ca="1">IF(R2=" ", " ", INDEX($AD$1:$AU$1, 1, MATCH(COLUMNS($AD$1006:AT1006),$AD$1006:$AU$1006,0)))</f>
        <v xml:space="preserve"> </v>
      </c>
      <c r="S1" s="3" t="str">
        <f ca="1">IF(S2=" ", " ", INDEX($AD$1:$AU$1, 1, MATCH(COLUMNS($AD$1006:AU1006),$AD$1006:$AU$1006,0)))</f>
        <v xml:space="preserve"> </v>
      </c>
      <c r="W1" s="3" t="s">
        <v>24</v>
      </c>
      <c r="X1" s="3" t="s">
        <v>23</v>
      </c>
      <c r="Y1" s="3" t="s">
        <v>22</v>
      </c>
      <c r="Z1" s="3" t="s">
        <v>21</v>
      </c>
      <c r="AA1" s="3" t="s">
        <v>20</v>
      </c>
      <c r="AB1" s="3" t="s">
        <v>1</v>
      </c>
      <c r="AD1" s="3" t="s">
        <v>1</v>
      </c>
      <c r="AE1" s="3" t="s">
        <v>3</v>
      </c>
      <c r="AF1" s="3" t="s">
        <v>4</v>
      </c>
      <c r="AG1" s="3" t="s">
        <v>5</v>
      </c>
      <c r="AH1" s="3" t="s">
        <v>6</v>
      </c>
      <c r="AI1" s="3" t="s">
        <v>7</v>
      </c>
      <c r="AJ1" s="3" t="s">
        <v>8</v>
      </c>
      <c r="AK1" s="3" t="s">
        <v>9</v>
      </c>
      <c r="AL1" s="3" t="s">
        <v>10</v>
      </c>
      <c r="AM1" s="3" t="s">
        <v>11</v>
      </c>
      <c r="AN1" s="3" t="s">
        <v>12</v>
      </c>
      <c r="AO1" s="3" t="s">
        <v>13</v>
      </c>
      <c r="AP1" s="3" t="s">
        <v>14</v>
      </c>
      <c r="AQ1" s="3" t="s">
        <v>15</v>
      </c>
      <c r="AR1" s="3" t="s">
        <v>16</v>
      </c>
      <c r="AS1" s="3" t="s">
        <v>17</v>
      </c>
      <c r="AT1" s="3" t="s">
        <v>18</v>
      </c>
      <c r="AU1" s="3" t="s">
        <v>19</v>
      </c>
    </row>
    <row r="2" spans="1:47" x14ac:dyDescent="0.2">
      <c r="A2" s="5" t="str">
        <f ca="1">IF(B2=" "," ",HYPERLINK(CONCATENATE("#metadata!",ADDRESS(INDEX($Y$2:$Y$1001,MATCH(ROWS($W$2:W2),$W$2:$W$1001,0),0),1)),INDEX($AB$2:$AB$1001,MATCH(ROWS($W$2:W2),$W$2:$W$1001,0),0)))</f>
        <v xml:space="preserve"> </v>
      </c>
      <c r="B2" s="4" t="str">
        <f ca="1">IF(OR(INDEX($X$2:$X$1001,MATCH(ROWS($W$2:W2),$W$2:$W$1001,0),1)&gt;=100000,INDEX($AD$1005:$AU$1005,1,MATCH(COLUMNS($AD$1006:AD1006),$AD$1006:$AU$1006,0))&gt;=100000), " ",IF(INDEX($AD$2:$AU$1001,MATCH(ROWS($W$2:W2),$W$2:$W$1001,0),MATCH(COLUMNS($AD$1006:AD1006),$AD$1006:$AU$1006,0)), HYPERLINK("#",""), HYPERLINK(CONCATENATE("#metadata!", ADDRESS(INDEX($Y$2:$Y$1001,MATCH(ROWS($W$2:W2),$W$2:$W$1001,0),0), INDEX($AD$1004:$AU$1004,1,MATCH(COLUMNS($AD$1006:AD1006),$AD$1006:$AU$1006,0)))),"Fix")))</f>
        <v xml:space="preserve"> </v>
      </c>
      <c r="C2" s="4" t="str">
        <f ca="1">IF(OR(INDEX($X$2:$X$1001,MATCH(ROWS($W$2:W2),$W$2:$W$1001,0),1)&gt;=100000,INDEX($AD$1005:$AU$1005,1,MATCH(COLUMNS($AD$1006:AE1006),$AD$1006:$AU$1006,0))&gt;=100000), " ",IF(INDEX($AD$2:$AU$1001,MATCH(ROWS($W$2:W2),$W$2:$W$1001,0),MATCH(COLUMNS($AD$1006:AE1006),$AD$1006:$AU$1006,0)), HYPERLINK("#",""), HYPERLINK(CONCATENATE("#metadata!", ADDRESS(INDEX($Y$2:$Y$1001,MATCH(ROWS($W$2:W2),$W$2:$W$1001,0),0), INDEX($AD$1004:$AU$1004,1,MATCH(COLUMNS($AD$1006:AE1006),$AD$1006:$AU$1006,0)))),"Fix")))</f>
        <v xml:space="preserve"> </v>
      </c>
      <c r="D2" s="4" t="str">
        <f ca="1">IF(OR(INDEX($X$2:$X$1001,MATCH(ROWS($W$2:W2),$W$2:$W$1001,0),1)&gt;=100000,INDEX($AD$1005:$AU$1005,1,MATCH(COLUMNS($AD$1006:AF1006),$AD$1006:$AU$1006,0))&gt;=100000), " ",IF(INDEX($AD$2:$AU$1001,MATCH(ROWS($W$2:W2),$W$2:$W$1001,0),MATCH(COLUMNS($AD$1006:AF1006),$AD$1006:$AU$1006,0)), HYPERLINK("#",""), HYPERLINK(CONCATENATE("#metadata!", ADDRESS(INDEX($Y$2:$Y$1001,MATCH(ROWS($W$2:W2),$W$2:$W$1001,0),0), INDEX($AD$1004:$AU$1004,1,MATCH(COLUMNS($AD$1006:AF1006),$AD$1006:$AU$1006,0)))),"Fix")))</f>
        <v xml:space="preserve"> </v>
      </c>
      <c r="E2" s="4" t="str">
        <f ca="1">IF(OR(INDEX($X$2:$X$1001,MATCH(ROWS($W$2:W2),$W$2:$W$1001,0),1)&gt;=100000,INDEX($AD$1005:$AU$1005,1,MATCH(COLUMNS($AD$1006:AG1006),$AD$1006:$AU$1006,0))&gt;=100000), " ",IF(INDEX($AD$2:$AU$1001,MATCH(ROWS($W$2:W2),$W$2:$W$1001,0),MATCH(COLUMNS($AD$1006:AG1006),$AD$1006:$AU$1006,0)), HYPERLINK("#",""), HYPERLINK(CONCATENATE("#metadata!", ADDRESS(INDEX($Y$2:$Y$1001,MATCH(ROWS($W$2:W2),$W$2:$W$1001,0),0), INDEX($AD$1004:$AU$1004,1,MATCH(COLUMNS($AD$1006:AG1006),$AD$1006:$AU$1006,0)))),"Fix")))</f>
        <v xml:space="preserve"> </v>
      </c>
      <c r="F2" s="4" t="str">
        <f ca="1">IF(OR(INDEX($X$2:$X$1001,MATCH(ROWS($W$2:W2),$W$2:$W$1001,0),1)&gt;=100000,INDEX($AD$1005:$AU$1005,1,MATCH(COLUMNS($AD$1006:AH1006),$AD$1006:$AU$1006,0))&gt;=100000), " ",IF(INDEX($AD$2:$AU$1001,MATCH(ROWS($W$2:W2),$W$2:$W$1001,0),MATCH(COLUMNS($AD$1006:AH1006),$AD$1006:$AU$1006,0)), HYPERLINK("#",""), HYPERLINK(CONCATENATE("#metadata!", ADDRESS(INDEX($Y$2:$Y$1001,MATCH(ROWS($W$2:W2),$W$2:$W$1001,0),0), INDEX($AD$1004:$AU$1004,1,MATCH(COLUMNS($AD$1006:AH1006),$AD$1006:$AU$1006,0)))),"Fix")))</f>
        <v xml:space="preserve"> </v>
      </c>
      <c r="G2" s="4" t="str">
        <f ca="1">IF(OR(INDEX($X$2:$X$1001,MATCH(ROWS($W$2:W2),$W$2:$W$1001,0),1)&gt;=100000,INDEX($AD$1005:$AU$1005,1,MATCH(COLUMNS($AD$1006:AI1006),$AD$1006:$AU$1006,0))&gt;=100000), " ",IF(INDEX($AD$2:$AU$1001,MATCH(ROWS($W$2:W2),$W$2:$W$1001,0),MATCH(COLUMNS($AD$1006:AI1006),$AD$1006:$AU$1006,0)), HYPERLINK("#",""), HYPERLINK(CONCATENATE("#metadata!", ADDRESS(INDEX($Y$2:$Y$1001,MATCH(ROWS($W$2:W2),$W$2:$W$1001,0),0), INDEX($AD$1004:$AU$1004,1,MATCH(COLUMNS($AD$1006:AI1006),$AD$1006:$AU$1006,0)))),"Fix")))</f>
        <v xml:space="preserve"> </v>
      </c>
      <c r="H2" s="4" t="str">
        <f ca="1">IF(OR(INDEX($X$2:$X$1001,MATCH(ROWS($W$2:W2),$W$2:$W$1001,0),1)&gt;=100000,INDEX($AD$1005:$AU$1005,1,MATCH(COLUMNS($AD$1006:AJ1006),$AD$1006:$AU$1006,0))&gt;=100000), " ",IF(INDEX($AD$2:$AU$1001,MATCH(ROWS($W$2:W2),$W$2:$W$1001,0),MATCH(COLUMNS($AD$1006:AJ1006),$AD$1006:$AU$1006,0)), HYPERLINK("#",""), HYPERLINK(CONCATENATE("#metadata!", ADDRESS(INDEX($Y$2:$Y$1001,MATCH(ROWS($W$2:W2),$W$2:$W$1001,0),0), INDEX($AD$1004:$AU$1004,1,MATCH(COLUMNS($AD$1006:AJ1006),$AD$1006:$AU$1006,0)))),"Fix")))</f>
        <v xml:space="preserve"> </v>
      </c>
      <c r="I2" s="4" t="str">
        <f ca="1">IF(OR(INDEX($X$2:$X$1001,MATCH(ROWS($W$2:W2),$W$2:$W$1001,0),1)&gt;=100000,INDEX($AD$1005:$AU$1005,1,MATCH(COLUMNS($AD$1006:AK1006),$AD$1006:$AU$1006,0))&gt;=100000), " ",IF(INDEX($AD$2:$AU$1001,MATCH(ROWS($W$2:W2),$W$2:$W$1001,0),MATCH(COLUMNS($AD$1006:AK1006),$AD$1006:$AU$1006,0)), HYPERLINK("#",""), HYPERLINK(CONCATENATE("#metadata!", ADDRESS(INDEX($Y$2:$Y$1001,MATCH(ROWS($W$2:W2),$W$2:$W$1001,0),0), INDEX($AD$1004:$AU$1004,1,MATCH(COLUMNS($AD$1006:AK1006),$AD$1006:$AU$1006,0)))),"Fix")))</f>
        <v xml:space="preserve"> </v>
      </c>
      <c r="J2" s="4" t="str">
        <f ca="1">IF(OR(INDEX($X$2:$X$1001,MATCH(ROWS($W$2:W2),$W$2:$W$1001,0),1)&gt;=100000,INDEX($AD$1005:$AU$1005,1,MATCH(COLUMNS($AD$1006:AL1006),$AD$1006:$AU$1006,0))&gt;=100000), " ",IF(INDEX($AD$2:$AU$1001,MATCH(ROWS($W$2:W2),$W$2:$W$1001,0),MATCH(COLUMNS($AD$1006:AL1006),$AD$1006:$AU$1006,0)), HYPERLINK("#",""), HYPERLINK(CONCATENATE("#metadata!", ADDRESS(INDEX($Y$2:$Y$1001,MATCH(ROWS($W$2:W2),$W$2:$W$1001,0),0), INDEX($AD$1004:$AU$1004,1,MATCH(COLUMNS($AD$1006:AL1006),$AD$1006:$AU$1006,0)))),"Fix")))</f>
        <v xml:space="preserve"> </v>
      </c>
      <c r="K2" s="4" t="str">
        <f ca="1">IF(OR(INDEX($X$2:$X$1001,MATCH(ROWS($W$2:W2),$W$2:$W$1001,0),1)&gt;=100000,INDEX($AD$1005:$AU$1005,1,MATCH(COLUMNS($AD$1006:AM1006),$AD$1006:$AU$1006,0))&gt;=100000), " ",IF(INDEX($AD$2:$AU$1001,MATCH(ROWS($W$2:W2),$W$2:$W$1001,0),MATCH(COLUMNS($AD$1006:AM1006),$AD$1006:$AU$1006,0)), HYPERLINK("#",""), HYPERLINK(CONCATENATE("#metadata!", ADDRESS(INDEX($Y$2:$Y$1001,MATCH(ROWS($W$2:W2),$W$2:$W$1001,0),0), INDEX($AD$1004:$AU$1004,1,MATCH(COLUMNS($AD$1006:AM1006),$AD$1006:$AU$1006,0)))),"Fix")))</f>
        <v xml:space="preserve"> </v>
      </c>
      <c r="L2" s="4" t="str">
        <f ca="1">IF(OR(INDEX($X$2:$X$1001,MATCH(ROWS($W$2:W2),$W$2:$W$1001,0),1)&gt;=100000,INDEX($AD$1005:$AU$1005,1,MATCH(COLUMNS($AD$1006:AN1006),$AD$1006:$AU$1006,0))&gt;=100000), " ",IF(INDEX($AD$2:$AU$1001,MATCH(ROWS($W$2:W2),$W$2:$W$1001,0),MATCH(COLUMNS($AD$1006:AN1006),$AD$1006:$AU$1006,0)), HYPERLINK("#",""), HYPERLINK(CONCATENATE("#metadata!", ADDRESS(INDEX($Y$2:$Y$1001,MATCH(ROWS($W$2:W2),$W$2:$W$1001,0),0), INDEX($AD$1004:$AU$1004,1,MATCH(COLUMNS($AD$1006:AN1006),$AD$1006:$AU$1006,0)))),"Fix")))</f>
        <v xml:space="preserve"> </v>
      </c>
      <c r="M2" s="4" t="str">
        <f ca="1">IF(OR(INDEX($X$2:$X$1001,MATCH(ROWS($W$2:W2),$W$2:$W$1001,0),1)&gt;=100000,INDEX($AD$1005:$AU$1005,1,MATCH(COLUMNS($AD$1006:AO1006),$AD$1006:$AU$1006,0))&gt;=100000), " ",IF(INDEX($AD$2:$AU$1001,MATCH(ROWS($W$2:W2),$W$2:$W$1001,0),MATCH(COLUMNS($AD$1006:AO1006),$AD$1006:$AU$1006,0)), HYPERLINK("#",""), HYPERLINK(CONCATENATE("#metadata!", ADDRESS(INDEX($Y$2:$Y$1001,MATCH(ROWS($W$2:W2),$W$2:$W$1001,0),0), INDEX($AD$1004:$AU$1004,1,MATCH(COLUMNS($AD$1006:AO1006),$AD$1006:$AU$1006,0)))),"Fix")))</f>
        <v xml:space="preserve"> </v>
      </c>
      <c r="N2" s="4" t="str">
        <f ca="1">IF(OR(INDEX($X$2:$X$1001,MATCH(ROWS($W$2:W2),$W$2:$W$1001,0),1)&gt;=100000,INDEX($AD$1005:$AU$1005,1,MATCH(COLUMNS($AD$1006:AP1006),$AD$1006:$AU$1006,0))&gt;=100000), " ",IF(INDEX($AD$2:$AU$1001,MATCH(ROWS($W$2:W2),$W$2:$W$1001,0),MATCH(COLUMNS($AD$1006:AP1006),$AD$1006:$AU$1006,0)), HYPERLINK("#",""), HYPERLINK(CONCATENATE("#metadata!", ADDRESS(INDEX($Y$2:$Y$1001,MATCH(ROWS($W$2:W2),$W$2:$W$1001,0),0), INDEX($AD$1004:$AU$1004,1,MATCH(COLUMNS($AD$1006:AP1006),$AD$1006:$AU$1006,0)))),"Fix")))</f>
        <v xml:space="preserve"> </v>
      </c>
      <c r="O2" s="4" t="str">
        <f ca="1">IF(OR(INDEX($X$2:$X$1001,MATCH(ROWS($W$2:W2),$W$2:$W$1001,0),1)&gt;=100000,INDEX($AD$1005:$AU$1005,1,MATCH(COLUMNS($AD$1006:AQ1006),$AD$1006:$AU$1006,0))&gt;=100000), " ",IF(INDEX($AD$2:$AU$1001,MATCH(ROWS($W$2:W2),$W$2:$W$1001,0),MATCH(COLUMNS($AD$1006:AQ1006),$AD$1006:$AU$1006,0)), HYPERLINK("#",""), HYPERLINK(CONCATENATE("#metadata!", ADDRESS(INDEX($Y$2:$Y$1001,MATCH(ROWS($W$2:W2),$W$2:$W$1001,0),0), INDEX($AD$1004:$AU$1004,1,MATCH(COLUMNS($AD$1006:AQ1006),$AD$1006:$AU$1006,0)))),"Fix")))</f>
        <v xml:space="preserve"> </v>
      </c>
      <c r="P2" s="4" t="str">
        <f ca="1">IF(OR(INDEX($X$2:$X$1001,MATCH(ROWS($W$2:W2),$W$2:$W$1001,0),1)&gt;=100000,INDEX($AD$1005:$AU$1005,1,MATCH(COLUMNS($AD$1006:AR1006),$AD$1006:$AU$1006,0))&gt;=100000), " ",IF(INDEX($AD$2:$AU$1001,MATCH(ROWS($W$2:W2),$W$2:$W$1001,0),MATCH(COLUMNS($AD$1006:AR1006),$AD$1006:$AU$1006,0)), HYPERLINK("#",""), HYPERLINK(CONCATENATE("#metadata!", ADDRESS(INDEX($Y$2:$Y$1001,MATCH(ROWS($W$2:W2),$W$2:$W$1001,0),0), INDEX($AD$1004:$AU$1004,1,MATCH(COLUMNS($AD$1006:AR1006),$AD$1006:$AU$1006,0)))),"Fix")))</f>
        <v xml:space="preserve"> </v>
      </c>
      <c r="Q2" s="4" t="str">
        <f ca="1">IF(OR(INDEX($X$2:$X$1001,MATCH(ROWS($W$2:W2),$W$2:$W$1001,0),1)&gt;=100000,INDEX($AD$1005:$AU$1005,1,MATCH(COLUMNS($AD$1006:AS1006),$AD$1006:$AU$1006,0))&gt;=100000), " ",IF(INDEX($AD$2:$AU$1001,MATCH(ROWS($W$2:W2),$W$2:$W$1001,0),MATCH(COLUMNS($AD$1006:AS1006),$AD$1006:$AU$1006,0)), HYPERLINK("#",""), HYPERLINK(CONCATENATE("#metadata!", ADDRESS(INDEX($Y$2:$Y$1001,MATCH(ROWS($W$2:W2),$W$2:$W$1001,0),0), INDEX($AD$1004:$AU$1004,1,MATCH(COLUMNS($AD$1006:AS1006),$AD$1006:$AU$1006,0)))),"Fix")))</f>
        <v xml:space="preserve"> </v>
      </c>
      <c r="R2" s="4" t="str">
        <f ca="1">IF(OR(INDEX($X$2:$X$1001,MATCH(ROWS($W$2:W2),$W$2:$W$1001,0),1)&gt;=100000,INDEX($AD$1005:$AU$1005,1,MATCH(COLUMNS($AD$1006:AT1006),$AD$1006:$AU$1006,0))&gt;=100000), " ",IF(INDEX($AD$2:$AU$1001,MATCH(ROWS($W$2:W2),$W$2:$W$1001,0),MATCH(COLUMNS($AD$1006:AT1006),$AD$1006:$AU$1006,0)), HYPERLINK("#",""), HYPERLINK(CONCATENATE("#metadata!", ADDRESS(INDEX($Y$2:$Y$1001,MATCH(ROWS($W$2:W2),$W$2:$W$1001,0),0), INDEX($AD$1004:$AU$1004,1,MATCH(COLUMNS($AD$1006:AT1006),$AD$1006:$AU$1006,0)))),"Fix")))</f>
        <v xml:space="preserve"> </v>
      </c>
      <c r="S2" s="4" t="str">
        <f ca="1">IF(OR(INDEX($X$2:$X$1001,MATCH(ROWS($W$2:W2),$W$2:$W$1001,0),1)&gt;=100000,INDEX($AD$1005:$AU$1005,1,MATCH(COLUMNS($AD$1006:AU1006),$AD$1006:$AU$1006,0))&gt;=100000), " ",IF(INDEX($AD$2:$AU$1001,MATCH(ROWS($W$2:W2),$W$2:$W$1001,0),MATCH(COLUMNS($AD$1006:AU1006),$AD$1006:$AU$1006,0)), HYPERLINK("#",""), HYPERLINK(CONCATENATE("#metadata!", ADDRESS(INDEX($Y$2:$Y$1001,MATCH(ROWS($W$2:W2),$W$2:$W$1001,0),0), INDEX($AD$1004:$AU$1004,1,MATCH(COLUMNS($AD$1006:AU1006),$AD$1006:$AU$1006,0)))),"Fix")))</f>
        <v xml:space="preserve"> </v>
      </c>
      <c r="W2">
        <f t="array" ref="W2:W1001">COUNTIF(X$2:X$1001,"&lt;="&amp;$X2:$X1001)</f>
        <v>1</v>
      </c>
      <c r="X2">
        <f t="array" ref="X2:X1001">INT(Z2:Z1001)*100000+$Y$2:$Y$1001</f>
        <v>100002</v>
      </c>
      <c r="Y2">
        <f t="array" ref="Y2:Y1001">ROW(metadata!B2:B1001)</f>
        <v>2</v>
      </c>
      <c r="Z2" t="b">
        <f t="shared" ref="Z2:Z65" si="0">IF(AA2,TRUE,AND(AD2:AU2))</f>
        <v>1</v>
      </c>
      <c r="AA2" t="b">
        <f>COUNTBLANK(metadata!B2:S2)=COLUMNS(metadata!B2:S2)</f>
        <v>1</v>
      </c>
      <c r="AB2" t="str">
        <f t="array" ref="AB2:AB1001">IF(metadata!B2:B1001="","",metadata!B2:B1001)</f>
        <v/>
      </c>
      <c r="AD2" t="b">
        <f ca="1">AND(IF(metadata!B2="",FALSE,TRUE),COUNTIF(metadata!B:B, metadata!B2) = 1,NOT(ISERROR(SUMPRODUCT(SEARCH(MID(metadata!B2,ROW(INDIRECT("1:"&amp;LEN(metadata!B2))), 1),"0123456789abcdefghijklmnopqrstuvwxyzABCDEFGHIJKLMNOPQRSTUVWXYZ.")))))</f>
        <v>0</v>
      </c>
      <c r="AE2" t="b">
        <f>OR(AND(IF(metadata!C2="",FALSE,TRUE),OR(EXACT(metadata!C2,"not applicable"),EXACT(metadata!C2,"missing: not collected"),EXACT(metadata!C2,"missing: not provided"),EXACT(metadata!C2,"missing: restricted access"))),AND(IF(metadata!C2="",FALSE,ISNUMBER(VALUE(metadata!C2))),metadata!C2&gt;0))</f>
        <v>0</v>
      </c>
      <c r="AF2" t="b">
        <f>AND(IF(metadata!D2="",FALSE,TRUE),EXACT(metadata!D2,"missing: not provided"))</f>
        <v>0</v>
      </c>
      <c r="AG2" t="b">
        <f>AND(IF(metadata!E2="",FALSE,TRUE),EXACT(metadata!E2,"Host-associated"))</f>
        <v>0</v>
      </c>
      <c r="AH2" t="b">
        <f>AND(IF(metadata!F2="",FALSE,TRUE),OR(EXACT(metadata!F2,"Animal"),EXACT(metadata!F2,"Fungus"),EXACT(metadata!F2,"Plant")))</f>
        <v>0</v>
      </c>
      <c r="AI2" t="b">
        <f>AND(IF(metadata!G2="",FALSE,TRUE),OR(EXACT(metadata!G2,"Plant secretion"),EXACT(metadata!G2,"Plant rhizosphere"),EXACT(metadata!G2,"Plant surface"),EXACT(metadata!G2,"Plant corpus"),EXACT(metadata!G2,"Fungus surface"),EXACT(metadata!G2,"Fungus corpus"),EXACT(metadata!G2,"Animal surface"),EXACT(metadata!G2,"Animal proximal gut"),EXACT(metadata!G2,"Animal corpus"),EXACT(metadata!G2,"Animal distal gut"),EXACT(metadata!G2,"Animal secretion")))</f>
        <v>0</v>
      </c>
      <c r="AJ2" t="b">
        <f>OR(AND(IF(metadata!H2="",FALSE,TRUE),OR(EXACT(metadata!H2,"missing: not collected"),EXACT(metadata!H2,"missing: not provided"),EXACT(metadata!H2,"missing: restricted access"))),AND(IF(metadata!H2="",FALSE,TRUE),OR(EXACT(metadata!H2,"organism-associated habitat"),EXACT(metadata!H2,"plant-associated habitat"),EXACT(metadata!H2,"animal-associated habitat"),EXACT(metadata!H2,"insecta-associated habitat"),EXACT(metadata!H2,"mammalia-associated habitat"),EXACT(metadata!H2,"human-associated habitat"),EXACT(metadata!H2,"livestock-associated habitat"))))</f>
        <v>0</v>
      </c>
      <c r="AK2" t="b">
        <f>AND(IF(metadata!I2="",FALSE,TRUE),EXACT(metadata!I2,"host-associated"))</f>
        <v>0</v>
      </c>
      <c r="AL2" t="b">
        <f>OR(AND(IF(metadata!J2="",FALSE,TRUE),OR(EXACT(metadata!J2,"not applicable"),EXACT(metadata!J2,"missing: not collected"),EXACT(metadata!J2,"missing: not provided"),EXACT(metadata!J2,"missing: restricted access"))),AND(IF(metadata!J2="",FALSE,ISNUMBER(VALUE(metadata!J2))),metadata!J2&gt;0))</f>
        <v>0</v>
      </c>
      <c r="AM2" t="b">
        <f>AND(IF(metadata!K2="",FALSE,TRUE),EXACT(metadata!K2,"missing: not provided"))</f>
        <v>0</v>
      </c>
      <c r="AN2" t="b">
        <f>IF(metadata!L2="",FALSE,TRUE)</f>
        <v>0</v>
      </c>
      <c r="AO2" t="b">
        <f>IF(metadata!M2="",FALSE,TRUE)</f>
        <v>0</v>
      </c>
      <c r="AP2" t="b">
        <f>OR(AND(IF(metadata!N2="",FALSE,TRUE),OR(EXACT(metadata!N2,"not applicable"),EXACT(metadata!N2,"missing: not collected"),EXACT(metadata!N2,"missing: not provided"))),AND(IF(metadata!N2="",FALSE,IF(ISERROR(INT(metadata!N2)),FALSE,INT(metadata!N2)=metadata!N2)),metadata!N2&gt;0))</f>
        <v>0</v>
      </c>
      <c r="AQ2" t="b">
        <f>AND(IF(metadata!O2="",FALSE,TRUE),EXACT(metadata!O2,"Not applicable"))</f>
        <v>0</v>
      </c>
      <c r="AR2" t="b">
        <f>OR(AND(IF(metadata!P2="",FALSE,TRUE),OR(EXACT(metadata!P2,"not applicable"),EXACT(metadata!P2,"missing: not collected"),EXACT(metadata!P2,"missing: not provided"),EXACT(metadata!P2,"missing: restricted access"))),IF(metadata!P2="",FALSE,IF(ISERROR(INT(metadata!P2)),FALSE,INT(metadata!P2)=metadata!P2)))</f>
        <v>0</v>
      </c>
      <c r="AS2" t="b">
        <f>AND(IF(metadata!Q2="",FALSE,TRUE),EXACT(metadata!Q2,"Not applicable"))</f>
        <v>0</v>
      </c>
      <c r="AT2" t="b">
        <f>OR(AND(IF(metadata!R2="",FALSE,TRUE),OR(EXACT(metadata!R2,"not applicable"),EXACT(metadata!R2,"missing: not collected"),EXACT(metadata!R2,"missing: not provided"),EXACT(metadata!R2,"missing: restricted access"))),AND(IF(metadata!R2="",FALSE,ISNUMBER(VALUE(metadata!R2))),metadata!R2&gt;0))</f>
        <v>0</v>
      </c>
      <c r="AU2" t="b">
        <f>AND(IF(metadata!S2="",FALSE,TRUE),EXACT(metadata!S2,"missing: not provided"))</f>
        <v>0</v>
      </c>
    </row>
    <row r="3" spans="1:47" x14ac:dyDescent="0.2">
      <c r="A3" s="5" t="str">
        <f ca="1">IF(B3=" "," ",HYPERLINK(CONCATENATE("#metadata!",ADDRESS(INDEX($Y$2:$Y$1001,MATCH(ROWS($W$2:W3),$W$2:$W$1001,0),0),1)),INDEX($AB$2:$AB$1001,MATCH(ROWS($W$2:W3),$W$2:$W$1001,0),0)))</f>
        <v xml:space="preserve"> </v>
      </c>
      <c r="B3" s="4" t="str">
        <f ca="1">IF(OR(INDEX($X$2:$X$1001,MATCH(ROWS($W$2:W3),$W$2:$W$1001,0),1)&gt;=100000,INDEX($AD$1005:$AU$1005,1,MATCH(COLUMNS($AD$1006:AD1006),$AD$1006:$AU$1006,0))&gt;=100000), " ",IF(INDEX($AD$2:$AU$1001,MATCH(ROWS($W$2:W3),$W$2:$W$1001,0),MATCH(COLUMNS($AD$1006:AD1006),$AD$1006:$AU$1006,0)), HYPERLINK("#",""), HYPERLINK(CONCATENATE("#metadata!", ADDRESS(INDEX($Y$2:$Y$1001,MATCH(ROWS($W$2:W3),$W$2:$W$1001,0),0), INDEX($AD$1004:$AU$1004,1,MATCH(COLUMNS($AD$1006:AD1006),$AD$1006:$AU$1006,0)))),"Fix")))</f>
        <v xml:space="preserve"> </v>
      </c>
      <c r="C3" s="4" t="str">
        <f ca="1">IF(OR(INDEX($X$2:$X$1001,MATCH(ROWS($W$2:W3),$W$2:$W$1001,0),1)&gt;=100000,INDEX($AD$1005:$AU$1005,1,MATCH(COLUMNS($AD$1006:AE1006),$AD$1006:$AU$1006,0))&gt;=100000), " ",IF(INDEX($AD$2:$AU$1001,MATCH(ROWS($W$2:W3),$W$2:$W$1001,0),MATCH(COLUMNS($AD$1006:AE1006),$AD$1006:$AU$1006,0)), HYPERLINK("#",""), HYPERLINK(CONCATENATE("#metadata!", ADDRESS(INDEX($Y$2:$Y$1001,MATCH(ROWS($W$2:W3),$W$2:$W$1001,0),0), INDEX($AD$1004:$AU$1004,1,MATCH(COLUMNS($AD$1006:AE1006),$AD$1006:$AU$1006,0)))),"Fix")))</f>
        <v xml:space="preserve"> </v>
      </c>
      <c r="D3" s="4" t="str">
        <f ca="1">IF(OR(INDEX($X$2:$X$1001,MATCH(ROWS($W$2:W3),$W$2:$W$1001,0),1)&gt;=100000,INDEX($AD$1005:$AU$1005,1,MATCH(COLUMNS($AD$1006:AF1006),$AD$1006:$AU$1006,0))&gt;=100000), " ",IF(INDEX($AD$2:$AU$1001,MATCH(ROWS($W$2:W3),$W$2:$W$1001,0),MATCH(COLUMNS($AD$1006:AF1006),$AD$1006:$AU$1006,0)), HYPERLINK("#",""), HYPERLINK(CONCATENATE("#metadata!", ADDRESS(INDEX($Y$2:$Y$1001,MATCH(ROWS($W$2:W3),$W$2:$W$1001,0),0), INDEX($AD$1004:$AU$1004,1,MATCH(COLUMNS($AD$1006:AF1006),$AD$1006:$AU$1006,0)))),"Fix")))</f>
        <v xml:space="preserve"> </v>
      </c>
      <c r="E3" s="4" t="str">
        <f ca="1">IF(OR(INDEX($X$2:$X$1001,MATCH(ROWS($W$2:W3),$W$2:$W$1001,0),1)&gt;=100000,INDEX($AD$1005:$AU$1005,1,MATCH(COLUMNS($AD$1006:AG1006),$AD$1006:$AU$1006,0))&gt;=100000), " ",IF(INDEX($AD$2:$AU$1001,MATCH(ROWS($W$2:W3),$W$2:$W$1001,0),MATCH(COLUMNS($AD$1006:AG1006),$AD$1006:$AU$1006,0)), HYPERLINK("#",""), HYPERLINK(CONCATENATE("#metadata!", ADDRESS(INDEX($Y$2:$Y$1001,MATCH(ROWS($W$2:W3),$W$2:$W$1001,0),0), INDEX($AD$1004:$AU$1004,1,MATCH(COLUMNS($AD$1006:AG1006),$AD$1006:$AU$1006,0)))),"Fix")))</f>
        <v xml:space="preserve"> </v>
      </c>
      <c r="F3" s="4" t="str">
        <f ca="1">IF(OR(INDEX($X$2:$X$1001,MATCH(ROWS($W$2:W3),$W$2:$W$1001,0),1)&gt;=100000,INDEX($AD$1005:$AU$1005,1,MATCH(COLUMNS($AD$1006:AH1006),$AD$1006:$AU$1006,0))&gt;=100000), " ",IF(INDEX($AD$2:$AU$1001,MATCH(ROWS($W$2:W3),$W$2:$W$1001,0),MATCH(COLUMNS($AD$1006:AH1006),$AD$1006:$AU$1006,0)), HYPERLINK("#",""), HYPERLINK(CONCATENATE("#metadata!", ADDRESS(INDEX($Y$2:$Y$1001,MATCH(ROWS($W$2:W3),$W$2:$W$1001,0),0), INDEX($AD$1004:$AU$1004,1,MATCH(COLUMNS($AD$1006:AH1006),$AD$1006:$AU$1006,0)))),"Fix")))</f>
        <v xml:space="preserve"> </v>
      </c>
      <c r="G3" s="4" t="str">
        <f ca="1">IF(OR(INDEX($X$2:$X$1001,MATCH(ROWS($W$2:W3),$W$2:$W$1001,0),1)&gt;=100000,INDEX($AD$1005:$AU$1005,1,MATCH(COLUMNS($AD$1006:AI1006),$AD$1006:$AU$1006,0))&gt;=100000), " ",IF(INDEX($AD$2:$AU$1001,MATCH(ROWS($W$2:W3),$W$2:$W$1001,0),MATCH(COLUMNS($AD$1006:AI1006),$AD$1006:$AU$1006,0)), HYPERLINK("#",""), HYPERLINK(CONCATENATE("#metadata!", ADDRESS(INDEX($Y$2:$Y$1001,MATCH(ROWS($W$2:W3),$W$2:$W$1001,0),0), INDEX($AD$1004:$AU$1004,1,MATCH(COLUMNS($AD$1006:AI1006),$AD$1006:$AU$1006,0)))),"Fix")))</f>
        <v xml:space="preserve"> </v>
      </c>
      <c r="H3" s="4" t="str">
        <f ca="1">IF(OR(INDEX($X$2:$X$1001,MATCH(ROWS($W$2:W3),$W$2:$W$1001,0),1)&gt;=100000,INDEX($AD$1005:$AU$1005,1,MATCH(COLUMNS($AD$1006:AJ1006),$AD$1006:$AU$1006,0))&gt;=100000), " ",IF(INDEX($AD$2:$AU$1001,MATCH(ROWS($W$2:W3),$W$2:$W$1001,0),MATCH(COLUMNS($AD$1006:AJ1006),$AD$1006:$AU$1006,0)), HYPERLINK("#",""), HYPERLINK(CONCATENATE("#metadata!", ADDRESS(INDEX($Y$2:$Y$1001,MATCH(ROWS($W$2:W3),$W$2:$W$1001,0),0), INDEX($AD$1004:$AU$1004,1,MATCH(COLUMNS($AD$1006:AJ1006),$AD$1006:$AU$1006,0)))),"Fix")))</f>
        <v xml:space="preserve"> </v>
      </c>
      <c r="I3" s="4" t="str">
        <f ca="1">IF(OR(INDEX($X$2:$X$1001,MATCH(ROWS($W$2:W3),$W$2:$W$1001,0),1)&gt;=100000,INDEX($AD$1005:$AU$1005,1,MATCH(COLUMNS($AD$1006:AK1006),$AD$1006:$AU$1006,0))&gt;=100000), " ",IF(INDEX($AD$2:$AU$1001,MATCH(ROWS($W$2:W3),$W$2:$W$1001,0),MATCH(COLUMNS($AD$1006:AK1006),$AD$1006:$AU$1006,0)), HYPERLINK("#",""), HYPERLINK(CONCATENATE("#metadata!", ADDRESS(INDEX($Y$2:$Y$1001,MATCH(ROWS($W$2:W3),$W$2:$W$1001,0),0), INDEX($AD$1004:$AU$1004,1,MATCH(COLUMNS($AD$1006:AK1006),$AD$1006:$AU$1006,0)))),"Fix")))</f>
        <v xml:space="preserve"> </v>
      </c>
      <c r="J3" s="4" t="str">
        <f ca="1">IF(OR(INDEX($X$2:$X$1001,MATCH(ROWS($W$2:W3),$W$2:$W$1001,0),1)&gt;=100000,INDEX($AD$1005:$AU$1005,1,MATCH(COLUMNS($AD$1006:AL1006),$AD$1006:$AU$1006,0))&gt;=100000), " ",IF(INDEX($AD$2:$AU$1001,MATCH(ROWS($W$2:W3),$W$2:$W$1001,0),MATCH(COLUMNS($AD$1006:AL1006),$AD$1006:$AU$1006,0)), HYPERLINK("#",""), HYPERLINK(CONCATENATE("#metadata!", ADDRESS(INDEX($Y$2:$Y$1001,MATCH(ROWS($W$2:W3),$W$2:$W$1001,0),0), INDEX($AD$1004:$AU$1004,1,MATCH(COLUMNS($AD$1006:AL1006),$AD$1006:$AU$1006,0)))),"Fix")))</f>
        <v xml:space="preserve"> </v>
      </c>
      <c r="K3" s="4" t="str">
        <f ca="1">IF(OR(INDEX($X$2:$X$1001,MATCH(ROWS($W$2:W3),$W$2:$W$1001,0),1)&gt;=100000,INDEX($AD$1005:$AU$1005,1,MATCH(COLUMNS($AD$1006:AM1006),$AD$1006:$AU$1006,0))&gt;=100000), " ",IF(INDEX($AD$2:$AU$1001,MATCH(ROWS($W$2:W3),$W$2:$W$1001,0),MATCH(COLUMNS($AD$1006:AM1006),$AD$1006:$AU$1006,0)), HYPERLINK("#",""), HYPERLINK(CONCATENATE("#metadata!", ADDRESS(INDEX($Y$2:$Y$1001,MATCH(ROWS($W$2:W3),$W$2:$W$1001,0),0), INDEX($AD$1004:$AU$1004,1,MATCH(COLUMNS($AD$1006:AM1006),$AD$1006:$AU$1006,0)))),"Fix")))</f>
        <v xml:space="preserve"> </v>
      </c>
      <c r="L3" s="4" t="str">
        <f ca="1">IF(OR(INDEX($X$2:$X$1001,MATCH(ROWS($W$2:W3),$W$2:$W$1001,0),1)&gt;=100000,INDEX($AD$1005:$AU$1005,1,MATCH(COLUMNS($AD$1006:AN1006),$AD$1006:$AU$1006,0))&gt;=100000), " ",IF(INDEX($AD$2:$AU$1001,MATCH(ROWS($W$2:W3),$W$2:$W$1001,0),MATCH(COLUMNS($AD$1006:AN1006),$AD$1006:$AU$1006,0)), HYPERLINK("#",""), HYPERLINK(CONCATENATE("#metadata!", ADDRESS(INDEX($Y$2:$Y$1001,MATCH(ROWS($W$2:W3),$W$2:$W$1001,0),0), INDEX($AD$1004:$AU$1004,1,MATCH(COLUMNS($AD$1006:AN1006),$AD$1006:$AU$1006,0)))),"Fix")))</f>
        <v xml:space="preserve"> </v>
      </c>
      <c r="M3" s="4" t="str">
        <f ca="1">IF(OR(INDEX($X$2:$X$1001,MATCH(ROWS($W$2:W3),$W$2:$W$1001,0),1)&gt;=100000,INDEX($AD$1005:$AU$1005,1,MATCH(COLUMNS($AD$1006:AO1006),$AD$1006:$AU$1006,0))&gt;=100000), " ",IF(INDEX($AD$2:$AU$1001,MATCH(ROWS($W$2:W3),$W$2:$W$1001,0),MATCH(COLUMNS($AD$1006:AO1006),$AD$1006:$AU$1006,0)), HYPERLINK("#",""), HYPERLINK(CONCATENATE("#metadata!", ADDRESS(INDEX($Y$2:$Y$1001,MATCH(ROWS($W$2:W3),$W$2:$W$1001,0),0), INDEX($AD$1004:$AU$1004,1,MATCH(COLUMNS($AD$1006:AO1006),$AD$1006:$AU$1006,0)))),"Fix")))</f>
        <v xml:space="preserve"> </v>
      </c>
      <c r="N3" s="4" t="str">
        <f ca="1">IF(OR(INDEX($X$2:$X$1001,MATCH(ROWS($W$2:W3),$W$2:$W$1001,0),1)&gt;=100000,INDEX($AD$1005:$AU$1005,1,MATCH(COLUMNS($AD$1006:AP1006),$AD$1006:$AU$1006,0))&gt;=100000), " ",IF(INDEX($AD$2:$AU$1001,MATCH(ROWS($W$2:W3),$W$2:$W$1001,0),MATCH(COLUMNS($AD$1006:AP1006),$AD$1006:$AU$1006,0)), HYPERLINK("#",""), HYPERLINK(CONCATENATE("#metadata!", ADDRESS(INDEX($Y$2:$Y$1001,MATCH(ROWS($W$2:W3),$W$2:$W$1001,0),0), INDEX($AD$1004:$AU$1004,1,MATCH(COLUMNS($AD$1006:AP1006),$AD$1006:$AU$1006,0)))),"Fix")))</f>
        <v xml:space="preserve"> </v>
      </c>
      <c r="O3" s="4" t="str">
        <f ca="1">IF(OR(INDEX($X$2:$X$1001,MATCH(ROWS($W$2:W3),$W$2:$W$1001,0),1)&gt;=100000,INDEX($AD$1005:$AU$1005,1,MATCH(COLUMNS($AD$1006:AQ1006),$AD$1006:$AU$1006,0))&gt;=100000), " ",IF(INDEX($AD$2:$AU$1001,MATCH(ROWS($W$2:W3),$W$2:$W$1001,0),MATCH(COLUMNS($AD$1006:AQ1006),$AD$1006:$AU$1006,0)), HYPERLINK("#",""), HYPERLINK(CONCATENATE("#metadata!", ADDRESS(INDEX($Y$2:$Y$1001,MATCH(ROWS($W$2:W3),$W$2:$W$1001,0),0), INDEX($AD$1004:$AU$1004,1,MATCH(COLUMNS($AD$1006:AQ1006),$AD$1006:$AU$1006,0)))),"Fix")))</f>
        <v xml:space="preserve"> </v>
      </c>
      <c r="P3" s="4" t="str">
        <f ca="1">IF(OR(INDEX($X$2:$X$1001,MATCH(ROWS($W$2:W3),$W$2:$W$1001,0),1)&gt;=100000,INDEX($AD$1005:$AU$1005,1,MATCH(COLUMNS($AD$1006:AR1006),$AD$1006:$AU$1006,0))&gt;=100000), " ",IF(INDEX($AD$2:$AU$1001,MATCH(ROWS($W$2:W3),$W$2:$W$1001,0),MATCH(COLUMNS($AD$1006:AR1006),$AD$1006:$AU$1006,0)), HYPERLINK("#",""), HYPERLINK(CONCATENATE("#metadata!", ADDRESS(INDEX($Y$2:$Y$1001,MATCH(ROWS($W$2:W3),$W$2:$W$1001,0),0), INDEX($AD$1004:$AU$1004,1,MATCH(COLUMNS($AD$1006:AR1006),$AD$1006:$AU$1006,0)))),"Fix")))</f>
        <v xml:space="preserve"> </v>
      </c>
      <c r="Q3" s="4" t="str">
        <f ca="1">IF(OR(INDEX($X$2:$X$1001,MATCH(ROWS($W$2:W3),$W$2:$W$1001,0),1)&gt;=100000,INDEX($AD$1005:$AU$1005,1,MATCH(COLUMNS($AD$1006:AS1006),$AD$1006:$AU$1006,0))&gt;=100000), " ",IF(INDEX($AD$2:$AU$1001,MATCH(ROWS($W$2:W3),$W$2:$W$1001,0),MATCH(COLUMNS($AD$1006:AS1006),$AD$1006:$AU$1006,0)), HYPERLINK("#",""), HYPERLINK(CONCATENATE("#metadata!", ADDRESS(INDEX($Y$2:$Y$1001,MATCH(ROWS($W$2:W3),$W$2:$W$1001,0),0), INDEX($AD$1004:$AU$1004,1,MATCH(COLUMNS($AD$1006:AS1006),$AD$1006:$AU$1006,0)))),"Fix")))</f>
        <v xml:space="preserve"> </v>
      </c>
      <c r="R3" s="4" t="str">
        <f ca="1">IF(OR(INDEX($X$2:$X$1001,MATCH(ROWS($W$2:W3),$W$2:$W$1001,0),1)&gt;=100000,INDEX($AD$1005:$AU$1005,1,MATCH(COLUMNS($AD$1006:AT1006),$AD$1006:$AU$1006,0))&gt;=100000), " ",IF(INDEX($AD$2:$AU$1001,MATCH(ROWS($W$2:W3),$W$2:$W$1001,0),MATCH(COLUMNS($AD$1006:AT1006),$AD$1006:$AU$1006,0)), HYPERLINK("#",""), HYPERLINK(CONCATENATE("#metadata!", ADDRESS(INDEX($Y$2:$Y$1001,MATCH(ROWS($W$2:W3),$W$2:$W$1001,0),0), INDEX($AD$1004:$AU$1004,1,MATCH(COLUMNS($AD$1006:AT1006),$AD$1006:$AU$1006,0)))),"Fix")))</f>
        <v xml:space="preserve"> </v>
      </c>
      <c r="S3" s="4" t="str">
        <f ca="1">IF(OR(INDEX($X$2:$X$1001,MATCH(ROWS($W$2:W3),$W$2:$W$1001,0),1)&gt;=100000,INDEX($AD$1005:$AU$1005,1,MATCH(COLUMNS($AD$1006:AU1006),$AD$1006:$AU$1006,0))&gt;=100000), " ",IF(INDEX($AD$2:$AU$1001,MATCH(ROWS($W$2:W3),$W$2:$W$1001,0),MATCH(COLUMNS($AD$1006:AU1006),$AD$1006:$AU$1006,0)), HYPERLINK("#",""), HYPERLINK(CONCATENATE("#metadata!", ADDRESS(INDEX($Y$2:$Y$1001,MATCH(ROWS($W$2:W3),$W$2:$W$1001,0),0), INDEX($AD$1004:$AU$1004,1,MATCH(COLUMNS($AD$1006:AU1006),$AD$1006:$AU$1006,0)))),"Fix")))</f>
        <v xml:space="preserve"> </v>
      </c>
      <c r="W3">
        <v>2</v>
      </c>
      <c r="X3">
        <v>100003</v>
      </c>
      <c r="Y3">
        <v>3</v>
      </c>
      <c r="Z3" t="b">
        <f t="shared" si="0"/>
        <v>1</v>
      </c>
      <c r="AA3" t="b">
        <f>COUNTBLANK(metadata!B3:S3)=COLUMNS(metadata!B3:S3)</f>
        <v>1</v>
      </c>
      <c r="AB3" t="str">
        <v/>
      </c>
      <c r="AD3" t="b">
        <f ca="1">AND(IF(metadata!B3="",FALSE,TRUE),COUNTIF(metadata!B:B, metadata!B3) = 1,NOT(ISERROR(SUMPRODUCT(SEARCH(MID(metadata!B3,ROW(INDIRECT("1:"&amp;LEN(metadata!B3))), 1),"0123456789abcdefghijklmnopqrstuvwxyzABCDEFGHIJKLMNOPQRSTUVWXYZ.")))))</f>
        <v>0</v>
      </c>
      <c r="AE3" t="b">
        <f>OR(AND(IF(metadata!C3="",FALSE,TRUE),OR(EXACT(metadata!C3,"not applicable"),EXACT(metadata!C3,"missing: not collected"),EXACT(metadata!C3,"missing: not provided"),EXACT(metadata!C3,"missing: restricted access"))),AND(IF(metadata!C3="",FALSE,ISNUMBER(VALUE(metadata!C3))),metadata!C3&gt;0))</f>
        <v>0</v>
      </c>
      <c r="AF3" t="b">
        <f>AND(IF(metadata!D3="",FALSE,TRUE),EXACT(metadata!D3,"missing: not provided"))</f>
        <v>0</v>
      </c>
      <c r="AG3" t="b">
        <f>AND(IF(metadata!E3="",FALSE,TRUE),EXACT(metadata!E3,"Host-associated"))</f>
        <v>0</v>
      </c>
      <c r="AH3" t="b">
        <f>AND(IF(metadata!F3="",FALSE,TRUE),OR(EXACT(metadata!F3,"Animal"),EXACT(metadata!F3,"Fungus"),EXACT(metadata!F3,"Plant")))</f>
        <v>0</v>
      </c>
      <c r="AI3" t="b">
        <f>AND(IF(metadata!G3="",FALSE,TRUE),OR(EXACT(metadata!G3,"Plant secretion"),EXACT(metadata!G3,"Plant rhizosphere"),EXACT(metadata!G3,"Plant surface"),EXACT(metadata!G3,"Plant corpus"),EXACT(metadata!G3,"Fungus surface"),EXACT(metadata!G3,"Fungus corpus"),EXACT(metadata!G3,"Animal surface"),EXACT(metadata!G3,"Animal proximal gut"),EXACT(metadata!G3,"Animal corpus"),EXACT(metadata!G3,"Animal distal gut"),EXACT(metadata!G3,"Animal secretion")))</f>
        <v>0</v>
      </c>
      <c r="AJ3" t="b">
        <f>OR(AND(IF(metadata!H3="",FALSE,TRUE),OR(EXACT(metadata!H3,"missing: not collected"),EXACT(metadata!H3,"missing: not provided"),EXACT(metadata!H3,"missing: restricted access"))),AND(IF(metadata!H3="",FALSE,TRUE),OR(EXACT(metadata!H3,"organism-associated habitat"),EXACT(metadata!H3,"plant-associated habitat"),EXACT(metadata!H3,"animal-associated habitat"),EXACT(metadata!H3,"insecta-associated habitat"),EXACT(metadata!H3,"mammalia-associated habitat"),EXACT(metadata!H3,"human-associated habitat"),EXACT(metadata!H3,"livestock-associated habitat"))))</f>
        <v>0</v>
      </c>
      <c r="AK3" t="b">
        <f>AND(IF(metadata!I3="",FALSE,TRUE),EXACT(metadata!I3,"host-associated"))</f>
        <v>0</v>
      </c>
      <c r="AL3" t="b">
        <f>OR(AND(IF(metadata!J3="",FALSE,TRUE),OR(EXACT(metadata!J3,"not applicable"),EXACT(metadata!J3,"missing: not collected"),EXACT(metadata!J3,"missing: not provided"),EXACT(metadata!J3,"missing: restricted access"))),AND(IF(metadata!J3="",FALSE,ISNUMBER(VALUE(metadata!J3))),metadata!J3&gt;0))</f>
        <v>0</v>
      </c>
      <c r="AM3" t="b">
        <f>AND(IF(metadata!K3="",FALSE,TRUE),EXACT(metadata!K3,"missing: not provided"))</f>
        <v>0</v>
      </c>
      <c r="AN3" t="b">
        <f>IF(metadata!L3="",FALSE,TRUE)</f>
        <v>0</v>
      </c>
      <c r="AO3" t="b">
        <f>IF(metadata!M3="",FALSE,TRUE)</f>
        <v>0</v>
      </c>
      <c r="AP3" t="b">
        <f>OR(AND(IF(metadata!N3="",FALSE,TRUE),OR(EXACT(metadata!N3,"not applicable"),EXACT(metadata!N3,"missing: not collected"),EXACT(metadata!N3,"missing: not provided"))),AND(IF(metadata!N3="",FALSE,IF(ISERROR(INT(metadata!N3)),FALSE,INT(metadata!N3)=metadata!N3)),metadata!N3&gt;0))</f>
        <v>0</v>
      </c>
      <c r="AQ3" t="b">
        <f>AND(IF(metadata!O3="",FALSE,TRUE),EXACT(metadata!O3,"Not applicable"))</f>
        <v>0</v>
      </c>
      <c r="AR3" t="b">
        <f>OR(AND(IF(metadata!P3="",FALSE,TRUE),OR(EXACT(metadata!P3,"not applicable"),EXACT(metadata!P3,"missing: not collected"),EXACT(metadata!P3,"missing: not provided"),EXACT(metadata!P3,"missing: restricted access"))),IF(metadata!P3="",FALSE,IF(ISERROR(INT(metadata!P3)),FALSE,INT(metadata!P3)=metadata!P3)))</f>
        <v>0</v>
      </c>
      <c r="AS3" t="b">
        <f>AND(IF(metadata!Q3="",FALSE,TRUE),EXACT(metadata!Q3,"Not applicable"))</f>
        <v>0</v>
      </c>
      <c r="AT3" t="b">
        <f>OR(AND(IF(metadata!R3="",FALSE,TRUE),OR(EXACT(metadata!R3,"not applicable"),EXACT(metadata!R3,"missing: not collected"),EXACT(metadata!R3,"missing: not provided"),EXACT(metadata!R3,"missing: restricted access"))),AND(IF(metadata!R3="",FALSE,ISNUMBER(VALUE(metadata!R3))),metadata!R3&gt;0))</f>
        <v>0</v>
      </c>
      <c r="AU3" t="b">
        <f>AND(IF(metadata!S3="",FALSE,TRUE),EXACT(metadata!S3,"missing: not provided"))</f>
        <v>0</v>
      </c>
    </row>
    <row r="4" spans="1:47" x14ac:dyDescent="0.2">
      <c r="A4" s="5" t="str">
        <f ca="1">IF(B4=" "," ",HYPERLINK(CONCATENATE("#metadata!",ADDRESS(INDEX($Y$2:$Y$1001,MATCH(ROWS($W$2:W4),$W$2:$W$1001,0),0),1)),INDEX($AB$2:$AB$1001,MATCH(ROWS($W$2:W4),$W$2:$W$1001,0),0)))</f>
        <v xml:space="preserve"> </v>
      </c>
      <c r="B4" s="4" t="str">
        <f ca="1">IF(OR(INDEX($X$2:$X$1001,MATCH(ROWS($W$2:W4),$W$2:$W$1001,0),1)&gt;=100000,INDEX($AD$1005:$AU$1005,1,MATCH(COLUMNS($AD$1006:AD1006),$AD$1006:$AU$1006,0))&gt;=100000), " ",IF(INDEX($AD$2:$AU$1001,MATCH(ROWS($W$2:W4),$W$2:$W$1001,0),MATCH(COLUMNS($AD$1006:AD1006),$AD$1006:$AU$1006,0)), HYPERLINK("#",""), HYPERLINK(CONCATENATE("#metadata!", ADDRESS(INDEX($Y$2:$Y$1001,MATCH(ROWS($W$2:W4),$W$2:$W$1001,0),0), INDEX($AD$1004:$AU$1004,1,MATCH(COLUMNS($AD$1006:AD1006),$AD$1006:$AU$1006,0)))),"Fix")))</f>
        <v xml:space="preserve"> </v>
      </c>
      <c r="C4" s="4" t="str">
        <f ca="1">IF(OR(INDEX($X$2:$X$1001,MATCH(ROWS($W$2:W4),$W$2:$W$1001,0),1)&gt;=100000,INDEX($AD$1005:$AU$1005,1,MATCH(COLUMNS($AD$1006:AE1006),$AD$1006:$AU$1006,0))&gt;=100000), " ",IF(INDEX($AD$2:$AU$1001,MATCH(ROWS($W$2:W4),$W$2:$W$1001,0),MATCH(COLUMNS($AD$1006:AE1006),$AD$1006:$AU$1006,0)), HYPERLINK("#",""), HYPERLINK(CONCATENATE("#metadata!", ADDRESS(INDEX($Y$2:$Y$1001,MATCH(ROWS($W$2:W4),$W$2:$W$1001,0),0), INDEX($AD$1004:$AU$1004,1,MATCH(COLUMNS($AD$1006:AE1006),$AD$1006:$AU$1006,0)))),"Fix")))</f>
        <v xml:space="preserve"> </v>
      </c>
      <c r="D4" s="4" t="str">
        <f ca="1">IF(OR(INDEX($X$2:$X$1001,MATCH(ROWS($W$2:W4),$W$2:$W$1001,0),1)&gt;=100000,INDEX($AD$1005:$AU$1005,1,MATCH(COLUMNS($AD$1006:AF1006),$AD$1006:$AU$1006,0))&gt;=100000), " ",IF(INDEX($AD$2:$AU$1001,MATCH(ROWS($W$2:W4),$W$2:$W$1001,0),MATCH(COLUMNS($AD$1006:AF1006),$AD$1006:$AU$1006,0)), HYPERLINK("#",""), HYPERLINK(CONCATENATE("#metadata!", ADDRESS(INDEX($Y$2:$Y$1001,MATCH(ROWS($W$2:W4),$W$2:$W$1001,0),0), INDEX($AD$1004:$AU$1004,1,MATCH(COLUMNS($AD$1006:AF1006),$AD$1006:$AU$1006,0)))),"Fix")))</f>
        <v xml:space="preserve"> </v>
      </c>
      <c r="E4" s="4" t="str">
        <f ca="1">IF(OR(INDEX($X$2:$X$1001,MATCH(ROWS($W$2:W4),$W$2:$W$1001,0),1)&gt;=100000,INDEX($AD$1005:$AU$1005,1,MATCH(COLUMNS($AD$1006:AG1006),$AD$1006:$AU$1006,0))&gt;=100000), " ",IF(INDEX($AD$2:$AU$1001,MATCH(ROWS($W$2:W4),$W$2:$W$1001,0),MATCH(COLUMNS($AD$1006:AG1006),$AD$1006:$AU$1006,0)), HYPERLINK("#",""), HYPERLINK(CONCATENATE("#metadata!", ADDRESS(INDEX($Y$2:$Y$1001,MATCH(ROWS($W$2:W4),$W$2:$W$1001,0),0), INDEX($AD$1004:$AU$1004,1,MATCH(COLUMNS($AD$1006:AG1006),$AD$1006:$AU$1006,0)))),"Fix")))</f>
        <v xml:space="preserve"> </v>
      </c>
      <c r="F4" s="4" t="str">
        <f ca="1">IF(OR(INDEX($X$2:$X$1001,MATCH(ROWS($W$2:W4),$W$2:$W$1001,0),1)&gt;=100000,INDEX($AD$1005:$AU$1005,1,MATCH(COLUMNS($AD$1006:AH1006),$AD$1006:$AU$1006,0))&gt;=100000), " ",IF(INDEX($AD$2:$AU$1001,MATCH(ROWS($W$2:W4),$W$2:$W$1001,0),MATCH(COLUMNS($AD$1006:AH1006),$AD$1006:$AU$1006,0)), HYPERLINK("#",""), HYPERLINK(CONCATENATE("#metadata!", ADDRESS(INDEX($Y$2:$Y$1001,MATCH(ROWS($W$2:W4),$W$2:$W$1001,0),0), INDEX($AD$1004:$AU$1004,1,MATCH(COLUMNS($AD$1006:AH1006),$AD$1006:$AU$1006,0)))),"Fix")))</f>
        <v xml:space="preserve"> </v>
      </c>
      <c r="G4" s="4" t="str">
        <f ca="1">IF(OR(INDEX($X$2:$X$1001,MATCH(ROWS($W$2:W4),$W$2:$W$1001,0),1)&gt;=100000,INDEX($AD$1005:$AU$1005,1,MATCH(COLUMNS($AD$1006:AI1006),$AD$1006:$AU$1006,0))&gt;=100000), " ",IF(INDEX($AD$2:$AU$1001,MATCH(ROWS($W$2:W4),$W$2:$W$1001,0),MATCH(COLUMNS($AD$1006:AI1006),$AD$1006:$AU$1006,0)), HYPERLINK("#",""), HYPERLINK(CONCATENATE("#metadata!", ADDRESS(INDEX($Y$2:$Y$1001,MATCH(ROWS($W$2:W4),$W$2:$W$1001,0),0), INDEX($AD$1004:$AU$1004,1,MATCH(COLUMNS($AD$1006:AI1006),$AD$1006:$AU$1006,0)))),"Fix")))</f>
        <v xml:space="preserve"> </v>
      </c>
      <c r="H4" s="4" t="str">
        <f ca="1">IF(OR(INDEX($X$2:$X$1001,MATCH(ROWS($W$2:W4),$W$2:$W$1001,0),1)&gt;=100000,INDEX($AD$1005:$AU$1005,1,MATCH(COLUMNS($AD$1006:AJ1006),$AD$1006:$AU$1006,0))&gt;=100000), " ",IF(INDEX($AD$2:$AU$1001,MATCH(ROWS($W$2:W4),$W$2:$W$1001,0),MATCH(COLUMNS($AD$1006:AJ1006),$AD$1006:$AU$1006,0)), HYPERLINK("#",""), HYPERLINK(CONCATENATE("#metadata!", ADDRESS(INDEX($Y$2:$Y$1001,MATCH(ROWS($W$2:W4),$W$2:$W$1001,0),0), INDEX($AD$1004:$AU$1004,1,MATCH(COLUMNS($AD$1006:AJ1006),$AD$1006:$AU$1006,0)))),"Fix")))</f>
        <v xml:space="preserve"> </v>
      </c>
      <c r="I4" s="4" t="str">
        <f ca="1">IF(OR(INDEX($X$2:$X$1001,MATCH(ROWS($W$2:W4),$W$2:$W$1001,0),1)&gt;=100000,INDEX($AD$1005:$AU$1005,1,MATCH(COLUMNS($AD$1006:AK1006),$AD$1006:$AU$1006,0))&gt;=100000), " ",IF(INDEX($AD$2:$AU$1001,MATCH(ROWS($W$2:W4),$W$2:$W$1001,0),MATCH(COLUMNS($AD$1006:AK1006),$AD$1006:$AU$1006,0)), HYPERLINK("#",""), HYPERLINK(CONCATENATE("#metadata!", ADDRESS(INDEX($Y$2:$Y$1001,MATCH(ROWS($W$2:W4),$W$2:$W$1001,0),0), INDEX($AD$1004:$AU$1004,1,MATCH(COLUMNS($AD$1006:AK1006),$AD$1006:$AU$1006,0)))),"Fix")))</f>
        <v xml:space="preserve"> </v>
      </c>
      <c r="J4" s="4" t="str">
        <f ca="1">IF(OR(INDEX($X$2:$X$1001,MATCH(ROWS($W$2:W4),$W$2:$W$1001,0),1)&gt;=100000,INDEX($AD$1005:$AU$1005,1,MATCH(COLUMNS($AD$1006:AL1006),$AD$1006:$AU$1006,0))&gt;=100000), " ",IF(INDEX($AD$2:$AU$1001,MATCH(ROWS($W$2:W4),$W$2:$W$1001,0),MATCH(COLUMNS($AD$1006:AL1006),$AD$1006:$AU$1006,0)), HYPERLINK("#",""), HYPERLINK(CONCATENATE("#metadata!", ADDRESS(INDEX($Y$2:$Y$1001,MATCH(ROWS($W$2:W4),$W$2:$W$1001,0),0), INDEX($AD$1004:$AU$1004,1,MATCH(COLUMNS($AD$1006:AL1006),$AD$1006:$AU$1006,0)))),"Fix")))</f>
        <v xml:space="preserve"> </v>
      </c>
      <c r="K4" s="4" t="str">
        <f ca="1">IF(OR(INDEX($X$2:$X$1001,MATCH(ROWS($W$2:W4),$W$2:$W$1001,0),1)&gt;=100000,INDEX($AD$1005:$AU$1005,1,MATCH(COLUMNS($AD$1006:AM1006),$AD$1006:$AU$1006,0))&gt;=100000), " ",IF(INDEX($AD$2:$AU$1001,MATCH(ROWS($W$2:W4),$W$2:$W$1001,0),MATCH(COLUMNS($AD$1006:AM1006),$AD$1006:$AU$1006,0)), HYPERLINK("#",""), HYPERLINK(CONCATENATE("#metadata!", ADDRESS(INDEX($Y$2:$Y$1001,MATCH(ROWS($W$2:W4),$W$2:$W$1001,0),0), INDEX($AD$1004:$AU$1004,1,MATCH(COLUMNS($AD$1006:AM1006),$AD$1006:$AU$1006,0)))),"Fix")))</f>
        <v xml:space="preserve"> </v>
      </c>
      <c r="L4" s="4" t="str">
        <f ca="1">IF(OR(INDEX($X$2:$X$1001,MATCH(ROWS($W$2:W4),$W$2:$W$1001,0),1)&gt;=100000,INDEX($AD$1005:$AU$1005,1,MATCH(COLUMNS($AD$1006:AN1006),$AD$1006:$AU$1006,0))&gt;=100000), " ",IF(INDEX($AD$2:$AU$1001,MATCH(ROWS($W$2:W4),$W$2:$W$1001,0),MATCH(COLUMNS($AD$1006:AN1006),$AD$1006:$AU$1006,0)), HYPERLINK("#",""), HYPERLINK(CONCATENATE("#metadata!", ADDRESS(INDEX($Y$2:$Y$1001,MATCH(ROWS($W$2:W4),$W$2:$W$1001,0),0), INDEX($AD$1004:$AU$1004,1,MATCH(COLUMNS($AD$1006:AN1006),$AD$1006:$AU$1006,0)))),"Fix")))</f>
        <v xml:space="preserve"> </v>
      </c>
      <c r="M4" s="4" t="str">
        <f ca="1">IF(OR(INDEX($X$2:$X$1001,MATCH(ROWS($W$2:W4),$W$2:$W$1001,0),1)&gt;=100000,INDEX($AD$1005:$AU$1005,1,MATCH(COLUMNS($AD$1006:AO1006),$AD$1006:$AU$1006,0))&gt;=100000), " ",IF(INDEX($AD$2:$AU$1001,MATCH(ROWS($W$2:W4),$W$2:$W$1001,0),MATCH(COLUMNS($AD$1006:AO1006),$AD$1006:$AU$1006,0)), HYPERLINK("#",""), HYPERLINK(CONCATENATE("#metadata!", ADDRESS(INDEX($Y$2:$Y$1001,MATCH(ROWS($W$2:W4),$W$2:$W$1001,0),0), INDEX($AD$1004:$AU$1004,1,MATCH(COLUMNS($AD$1006:AO1006),$AD$1006:$AU$1006,0)))),"Fix")))</f>
        <v xml:space="preserve"> </v>
      </c>
      <c r="N4" s="4" t="str">
        <f ca="1">IF(OR(INDEX($X$2:$X$1001,MATCH(ROWS($W$2:W4),$W$2:$W$1001,0),1)&gt;=100000,INDEX($AD$1005:$AU$1005,1,MATCH(COLUMNS($AD$1006:AP1006),$AD$1006:$AU$1006,0))&gt;=100000), " ",IF(INDEX($AD$2:$AU$1001,MATCH(ROWS($W$2:W4),$W$2:$W$1001,0),MATCH(COLUMNS($AD$1006:AP1006),$AD$1006:$AU$1006,0)), HYPERLINK("#",""), HYPERLINK(CONCATENATE("#metadata!", ADDRESS(INDEX($Y$2:$Y$1001,MATCH(ROWS($W$2:W4),$W$2:$W$1001,0),0), INDEX($AD$1004:$AU$1004,1,MATCH(COLUMNS($AD$1006:AP1006),$AD$1006:$AU$1006,0)))),"Fix")))</f>
        <v xml:space="preserve"> </v>
      </c>
      <c r="O4" s="4" t="str">
        <f ca="1">IF(OR(INDEX($X$2:$X$1001,MATCH(ROWS($W$2:W4),$W$2:$W$1001,0),1)&gt;=100000,INDEX($AD$1005:$AU$1005,1,MATCH(COLUMNS($AD$1006:AQ1006),$AD$1006:$AU$1006,0))&gt;=100000), " ",IF(INDEX($AD$2:$AU$1001,MATCH(ROWS($W$2:W4),$W$2:$W$1001,0),MATCH(COLUMNS($AD$1006:AQ1006),$AD$1006:$AU$1006,0)), HYPERLINK("#",""), HYPERLINK(CONCATENATE("#metadata!", ADDRESS(INDEX($Y$2:$Y$1001,MATCH(ROWS($W$2:W4),$W$2:$W$1001,0),0), INDEX($AD$1004:$AU$1004,1,MATCH(COLUMNS($AD$1006:AQ1006),$AD$1006:$AU$1006,0)))),"Fix")))</f>
        <v xml:space="preserve"> </v>
      </c>
      <c r="P4" s="4" t="str">
        <f ca="1">IF(OR(INDEX($X$2:$X$1001,MATCH(ROWS($W$2:W4),$W$2:$W$1001,0),1)&gt;=100000,INDEX($AD$1005:$AU$1005,1,MATCH(COLUMNS($AD$1006:AR1006),$AD$1006:$AU$1006,0))&gt;=100000), " ",IF(INDEX($AD$2:$AU$1001,MATCH(ROWS($W$2:W4),$W$2:$W$1001,0),MATCH(COLUMNS($AD$1006:AR1006),$AD$1006:$AU$1006,0)), HYPERLINK("#",""), HYPERLINK(CONCATENATE("#metadata!", ADDRESS(INDEX($Y$2:$Y$1001,MATCH(ROWS($W$2:W4),$W$2:$W$1001,0),0), INDEX($AD$1004:$AU$1004,1,MATCH(COLUMNS($AD$1006:AR1006),$AD$1006:$AU$1006,0)))),"Fix")))</f>
        <v xml:space="preserve"> </v>
      </c>
      <c r="Q4" s="4" t="str">
        <f ca="1">IF(OR(INDEX($X$2:$X$1001,MATCH(ROWS($W$2:W4),$W$2:$W$1001,0),1)&gt;=100000,INDEX($AD$1005:$AU$1005,1,MATCH(COLUMNS($AD$1006:AS1006),$AD$1006:$AU$1006,0))&gt;=100000), " ",IF(INDEX($AD$2:$AU$1001,MATCH(ROWS($W$2:W4),$W$2:$W$1001,0),MATCH(COLUMNS($AD$1006:AS1006),$AD$1006:$AU$1006,0)), HYPERLINK("#",""), HYPERLINK(CONCATENATE("#metadata!", ADDRESS(INDEX($Y$2:$Y$1001,MATCH(ROWS($W$2:W4),$W$2:$W$1001,0),0), INDEX($AD$1004:$AU$1004,1,MATCH(COLUMNS($AD$1006:AS1006),$AD$1006:$AU$1006,0)))),"Fix")))</f>
        <v xml:space="preserve"> </v>
      </c>
      <c r="R4" s="4" t="str">
        <f ca="1">IF(OR(INDEX($X$2:$X$1001,MATCH(ROWS($W$2:W4),$W$2:$W$1001,0),1)&gt;=100000,INDEX($AD$1005:$AU$1005,1,MATCH(COLUMNS($AD$1006:AT1006),$AD$1006:$AU$1006,0))&gt;=100000), " ",IF(INDEX($AD$2:$AU$1001,MATCH(ROWS($W$2:W4),$W$2:$W$1001,0),MATCH(COLUMNS($AD$1006:AT1006),$AD$1006:$AU$1006,0)), HYPERLINK("#",""), HYPERLINK(CONCATENATE("#metadata!", ADDRESS(INDEX($Y$2:$Y$1001,MATCH(ROWS($W$2:W4),$W$2:$W$1001,0),0), INDEX($AD$1004:$AU$1004,1,MATCH(COLUMNS($AD$1006:AT1006),$AD$1006:$AU$1006,0)))),"Fix")))</f>
        <v xml:space="preserve"> </v>
      </c>
      <c r="S4" s="4" t="str">
        <f ca="1">IF(OR(INDEX($X$2:$X$1001,MATCH(ROWS($W$2:W4),$W$2:$W$1001,0),1)&gt;=100000,INDEX($AD$1005:$AU$1005,1,MATCH(COLUMNS($AD$1006:AU1006),$AD$1006:$AU$1006,0))&gt;=100000), " ",IF(INDEX($AD$2:$AU$1001,MATCH(ROWS($W$2:W4),$W$2:$W$1001,0),MATCH(COLUMNS($AD$1006:AU1006),$AD$1006:$AU$1006,0)), HYPERLINK("#",""), HYPERLINK(CONCATENATE("#metadata!", ADDRESS(INDEX($Y$2:$Y$1001,MATCH(ROWS($W$2:W4),$W$2:$W$1001,0),0), INDEX($AD$1004:$AU$1004,1,MATCH(COLUMNS($AD$1006:AU1006),$AD$1006:$AU$1006,0)))),"Fix")))</f>
        <v xml:space="preserve"> </v>
      </c>
      <c r="W4">
        <v>3</v>
      </c>
      <c r="X4">
        <v>100004</v>
      </c>
      <c r="Y4">
        <v>4</v>
      </c>
      <c r="Z4" t="b">
        <f t="shared" si="0"/>
        <v>1</v>
      </c>
      <c r="AA4" t="b">
        <f>COUNTBLANK(metadata!B4:S4)=COLUMNS(metadata!B4:S4)</f>
        <v>1</v>
      </c>
      <c r="AB4" t="str">
        <v/>
      </c>
      <c r="AD4" t="b">
        <f ca="1">AND(IF(metadata!B4="",FALSE,TRUE),COUNTIF(metadata!B:B, metadata!B4) = 1,NOT(ISERROR(SUMPRODUCT(SEARCH(MID(metadata!B4,ROW(INDIRECT("1:"&amp;LEN(metadata!B4))), 1),"0123456789abcdefghijklmnopqrstuvwxyzABCDEFGHIJKLMNOPQRSTUVWXYZ.")))))</f>
        <v>0</v>
      </c>
      <c r="AE4" t="b">
        <f>OR(AND(IF(metadata!C4="",FALSE,TRUE),OR(EXACT(metadata!C4,"not applicable"),EXACT(metadata!C4,"missing: not collected"),EXACT(metadata!C4,"missing: not provided"),EXACT(metadata!C4,"missing: restricted access"))),AND(IF(metadata!C4="",FALSE,ISNUMBER(VALUE(metadata!C4))),metadata!C4&gt;0))</f>
        <v>0</v>
      </c>
      <c r="AF4" t="b">
        <f>AND(IF(metadata!D4="",FALSE,TRUE),EXACT(metadata!D4,"missing: not provided"))</f>
        <v>0</v>
      </c>
      <c r="AG4" t="b">
        <f>AND(IF(metadata!E4="",FALSE,TRUE),EXACT(metadata!E4,"Host-associated"))</f>
        <v>0</v>
      </c>
      <c r="AH4" t="b">
        <f>AND(IF(metadata!F4="",FALSE,TRUE),OR(EXACT(metadata!F4,"Animal"),EXACT(metadata!F4,"Fungus"),EXACT(metadata!F4,"Plant")))</f>
        <v>0</v>
      </c>
      <c r="AI4" t="b">
        <f>AND(IF(metadata!G4="",FALSE,TRUE),OR(EXACT(metadata!G4,"Plant secretion"),EXACT(metadata!G4,"Plant rhizosphere"),EXACT(metadata!G4,"Plant surface"),EXACT(metadata!G4,"Plant corpus"),EXACT(metadata!G4,"Fungus surface"),EXACT(metadata!G4,"Fungus corpus"),EXACT(metadata!G4,"Animal surface"),EXACT(metadata!G4,"Animal proximal gut"),EXACT(metadata!G4,"Animal corpus"),EXACT(metadata!G4,"Animal distal gut"),EXACT(metadata!G4,"Animal secretion")))</f>
        <v>0</v>
      </c>
      <c r="AJ4" t="b">
        <f>OR(AND(IF(metadata!H4="",FALSE,TRUE),OR(EXACT(metadata!H4,"missing: not collected"),EXACT(metadata!H4,"missing: not provided"),EXACT(metadata!H4,"missing: restricted access"))),AND(IF(metadata!H4="",FALSE,TRUE),OR(EXACT(metadata!H4,"organism-associated habitat"),EXACT(metadata!H4,"plant-associated habitat"),EXACT(metadata!H4,"animal-associated habitat"),EXACT(metadata!H4,"insecta-associated habitat"),EXACT(metadata!H4,"mammalia-associated habitat"),EXACT(metadata!H4,"human-associated habitat"),EXACT(metadata!H4,"livestock-associated habitat"))))</f>
        <v>0</v>
      </c>
      <c r="AK4" t="b">
        <f>AND(IF(metadata!I4="",FALSE,TRUE),EXACT(metadata!I4,"host-associated"))</f>
        <v>0</v>
      </c>
      <c r="AL4" t="b">
        <f>OR(AND(IF(metadata!J4="",FALSE,TRUE),OR(EXACT(metadata!J4,"not applicable"),EXACT(metadata!J4,"missing: not collected"),EXACT(metadata!J4,"missing: not provided"),EXACT(metadata!J4,"missing: restricted access"))),AND(IF(metadata!J4="",FALSE,ISNUMBER(VALUE(metadata!J4))),metadata!J4&gt;0))</f>
        <v>0</v>
      </c>
      <c r="AM4" t="b">
        <f>AND(IF(metadata!K4="",FALSE,TRUE),EXACT(metadata!K4,"missing: not provided"))</f>
        <v>0</v>
      </c>
      <c r="AN4" t="b">
        <f>IF(metadata!L4="",FALSE,TRUE)</f>
        <v>0</v>
      </c>
      <c r="AO4" t="b">
        <f>IF(metadata!M4="",FALSE,TRUE)</f>
        <v>0</v>
      </c>
      <c r="AP4" t="b">
        <f>OR(AND(IF(metadata!N4="",FALSE,TRUE),OR(EXACT(metadata!N4,"not applicable"),EXACT(metadata!N4,"missing: not collected"),EXACT(metadata!N4,"missing: not provided"))),AND(IF(metadata!N4="",FALSE,IF(ISERROR(INT(metadata!N4)),FALSE,INT(metadata!N4)=metadata!N4)),metadata!N4&gt;0))</f>
        <v>0</v>
      </c>
      <c r="AQ4" t="b">
        <f>AND(IF(metadata!O4="",FALSE,TRUE),EXACT(metadata!O4,"Not applicable"))</f>
        <v>0</v>
      </c>
      <c r="AR4" t="b">
        <f>OR(AND(IF(metadata!P4="",FALSE,TRUE),OR(EXACT(metadata!P4,"not applicable"),EXACT(metadata!P4,"missing: not collected"),EXACT(metadata!P4,"missing: not provided"),EXACT(metadata!P4,"missing: restricted access"))),IF(metadata!P4="",FALSE,IF(ISERROR(INT(metadata!P4)),FALSE,INT(metadata!P4)=metadata!P4)))</f>
        <v>0</v>
      </c>
      <c r="AS4" t="b">
        <f>AND(IF(metadata!Q4="",FALSE,TRUE),EXACT(metadata!Q4,"Not applicable"))</f>
        <v>0</v>
      </c>
      <c r="AT4" t="b">
        <f>OR(AND(IF(metadata!R4="",FALSE,TRUE),OR(EXACT(metadata!R4,"not applicable"),EXACT(metadata!R4,"missing: not collected"),EXACT(metadata!R4,"missing: not provided"),EXACT(metadata!R4,"missing: restricted access"))),AND(IF(metadata!R4="",FALSE,ISNUMBER(VALUE(metadata!R4))),metadata!R4&gt;0))</f>
        <v>0</v>
      </c>
      <c r="AU4" t="b">
        <f>AND(IF(metadata!S4="",FALSE,TRUE),EXACT(metadata!S4,"missing: not provided"))</f>
        <v>0</v>
      </c>
    </row>
    <row r="5" spans="1:47" x14ac:dyDescent="0.2">
      <c r="A5" s="5" t="str">
        <f ca="1">IF(B5=" "," ",HYPERLINK(CONCATENATE("#metadata!",ADDRESS(INDEX($Y$2:$Y$1001,MATCH(ROWS($W$2:W5),$W$2:$W$1001,0),0),1)),INDEX($AB$2:$AB$1001,MATCH(ROWS($W$2:W5),$W$2:$W$1001,0),0)))</f>
        <v xml:space="preserve"> </v>
      </c>
      <c r="B5" s="4" t="str">
        <f ca="1">IF(OR(INDEX($X$2:$X$1001,MATCH(ROWS($W$2:W5),$W$2:$W$1001,0),1)&gt;=100000,INDEX($AD$1005:$AU$1005,1,MATCH(COLUMNS($AD$1006:AD1006),$AD$1006:$AU$1006,0))&gt;=100000), " ",IF(INDEX($AD$2:$AU$1001,MATCH(ROWS($W$2:W5),$W$2:$W$1001,0),MATCH(COLUMNS($AD$1006:AD1006),$AD$1006:$AU$1006,0)), HYPERLINK("#",""), HYPERLINK(CONCATENATE("#metadata!", ADDRESS(INDEX($Y$2:$Y$1001,MATCH(ROWS($W$2:W5),$W$2:$W$1001,0),0), INDEX($AD$1004:$AU$1004,1,MATCH(COLUMNS($AD$1006:AD1006),$AD$1006:$AU$1006,0)))),"Fix")))</f>
        <v xml:space="preserve"> </v>
      </c>
      <c r="C5" s="4" t="str">
        <f ca="1">IF(OR(INDEX($X$2:$X$1001,MATCH(ROWS($W$2:W5),$W$2:$W$1001,0),1)&gt;=100000,INDEX($AD$1005:$AU$1005,1,MATCH(COLUMNS($AD$1006:AE1006),$AD$1006:$AU$1006,0))&gt;=100000), " ",IF(INDEX($AD$2:$AU$1001,MATCH(ROWS($W$2:W5),$W$2:$W$1001,0),MATCH(COLUMNS($AD$1006:AE1006),$AD$1006:$AU$1006,0)), HYPERLINK("#",""), HYPERLINK(CONCATENATE("#metadata!", ADDRESS(INDEX($Y$2:$Y$1001,MATCH(ROWS($W$2:W5),$W$2:$W$1001,0),0), INDEX($AD$1004:$AU$1004,1,MATCH(COLUMNS($AD$1006:AE1006),$AD$1006:$AU$1006,0)))),"Fix")))</f>
        <v xml:space="preserve"> </v>
      </c>
      <c r="D5" s="4" t="str">
        <f ca="1">IF(OR(INDEX($X$2:$X$1001,MATCH(ROWS($W$2:W5),$W$2:$W$1001,0),1)&gt;=100000,INDEX($AD$1005:$AU$1005,1,MATCH(COLUMNS($AD$1006:AF1006),$AD$1006:$AU$1006,0))&gt;=100000), " ",IF(INDEX($AD$2:$AU$1001,MATCH(ROWS($W$2:W5),$W$2:$W$1001,0),MATCH(COLUMNS($AD$1006:AF1006),$AD$1006:$AU$1006,0)), HYPERLINK("#",""), HYPERLINK(CONCATENATE("#metadata!", ADDRESS(INDEX($Y$2:$Y$1001,MATCH(ROWS($W$2:W5),$W$2:$W$1001,0),0), INDEX($AD$1004:$AU$1004,1,MATCH(COLUMNS($AD$1006:AF1006),$AD$1006:$AU$1006,0)))),"Fix")))</f>
        <v xml:space="preserve"> </v>
      </c>
      <c r="E5" s="4" t="str">
        <f ca="1">IF(OR(INDEX($X$2:$X$1001,MATCH(ROWS($W$2:W5),$W$2:$W$1001,0),1)&gt;=100000,INDEX($AD$1005:$AU$1005,1,MATCH(COLUMNS($AD$1006:AG1006),$AD$1006:$AU$1006,0))&gt;=100000), " ",IF(INDEX($AD$2:$AU$1001,MATCH(ROWS($W$2:W5),$W$2:$W$1001,0),MATCH(COLUMNS($AD$1006:AG1006),$AD$1006:$AU$1006,0)), HYPERLINK("#",""), HYPERLINK(CONCATENATE("#metadata!", ADDRESS(INDEX($Y$2:$Y$1001,MATCH(ROWS($W$2:W5),$W$2:$W$1001,0),0), INDEX($AD$1004:$AU$1004,1,MATCH(COLUMNS($AD$1006:AG1006),$AD$1006:$AU$1006,0)))),"Fix")))</f>
        <v xml:space="preserve"> </v>
      </c>
      <c r="F5" s="4" t="str">
        <f ca="1">IF(OR(INDEX($X$2:$X$1001,MATCH(ROWS($W$2:W5),$W$2:$W$1001,0),1)&gt;=100000,INDEX($AD$1005:$AU$1005,1,MATCH(COLUMNS($AD$1006:AH1006),$AD$1006:$AU$1006,0))&gt;=100000), " ",IF(INDEX($AD$2:$AU$1001,MATCH(ROWS($W$2:W5),$W$2:$W$1001,0),MATCH(COLUMNS($AD$1006:AH1006),$AD$1006:$AU$1006,0)), HYPERLINK("#",""), HYPERLINK(CONCATENATE("#metadata!", ADDRESS(INDEX($Y$2:$Y$1001,MATCH(ROWS($W$2:W5),$W$2:$W$1001,0),0), INDEX($AD$1004:$AU$1004,1,MATCH(COLUMNS($AD$1006:AH1006),$AD$1006:$AU$1006,0)))),"Fix")))</f>
        <v xml:space="preserve"> </v>
      </c>
      <c r="G5" s="4" t="str">
        <f ca="1">IF(OR(INDEX($X$2:$X$1001,MATCH(ROWS($W$2:W5),$W$2:$W$1001,0),1)&gt;=100000,INDEX($AD$1005:$AU$1005,1,MATCH(COLUMNS($AD$1006:AI1006),$AD$1006:$AU$1006,0))&gt;=100000), " ",IF(INDEX($AD$2:$AU$1001,MATCH(ROWS($W$2:W5),$W$2:$W$1001,0),MATCH(COLUMNS($AD$1006:AI1006),$AD$1006:$AU$1006,0)), HYPERLINK("#",""), HYPERLINK(CONCATENATE("#metadata!", ADDRESS(INDEX($Y$2:$Y$1001,MATCH(ROWS($W$2:W5),$W$2:$W$1001,0),0), INDEX($AD$1004:$AU$1004,1,MATCH(COLUMNS($AD$1006:AI1006),$AD$1006:$AU$1006,0)))),"Fix")))</f>
        <v xml:space="preserve"> </v>
      </c>
      <c r="H5" s="4" t="str">
        <f ca="1">IF(OR(INDEX($X$2:$X$1001,MATCH(ROWS($W$2:W5),$W$2:$W$1001,0),1)&gt;=100000,INDEX($AD$1005:$AU$1005,1,MATCH(COLUMNS($AD$1006:AJ1006),$AD$1006:$AU$1006,0))&gt;=100000), " ",IF(INDEX($AD$2:$AU$1001,MATCH(ROWS($W$2:W5),$W$2:$W$1001,0),MATCH(COLUMNS($AD$1006:AJ1006),$AD$1006:$AU$1006,0)), HYPERLINK("#",""), HYPERLINK(CONCATENATE("#metadata!", ADDRESS(INDEX($Y$2:$Y$1001,MATCH(ROWS($W$2:W5),$W$2:$W$1001,0),0), INDEX($AD$1004:$AU$1004,1,MATCH(COLUMNS($AD$1006:AJ1006),$AD$1006:$AU$1006,0)))),"Fix")))</f>
        <v xml:space="preserve"> </v>
      </c>
      <c r="I5" s="4" t="str">
        <f ca="1">IF(OR(INDEX($X$2:$X$1001,MATCH(ROWS($W$2:W5),$W$2:$W$1001,0),1)&gt;=100000,INDEX($AD$1005:$AU$1005,1,MATCH(COLUMNS($AD$1006:AK1006),$AD$1006:$AU$1006,0))&gt;=100000), " ",IF(INDEX($AD$2:$AU$1001,MATCH(ROWS($W$2:W5),$W$2:$W$1001,0),MATCH(COLUMNS($AD$1006:AK1006),$AD$1006:$AU$1006,0)), HYPERLINK("#",""), HYPERLINK(CONCATENATE("#metadata!", ADDRESS(INDEX($Y$2:$Y$1001,MATCH(ROWS($W$2:W5),$W$2:$W$1001,0),0), INDEX($AD$1004:$AU$1004,1,MATCH(COLUMNS($AD$1006:AK1006),$AD$1006:$AU$1006,0)))),"Fix")))</f>
        <v xml:space="preserve"> </v>
      </c>
      <c r="J5" s="4" t="str">
        <f ca="1">IF(OR(INDEX($X$2:$X$1001,MATCH(ROWS($W$2:W5),$W$2:$W$1001,0),1)&gt;=100000,INDEX($AD$1005:$AU$1005,1,MATCH(COLUMNS($AD$1006:AL1006),$AD$1006:$AU$1006,0))&gt;=100000), " ",IF(INDEX($AD$2:$AU$1001,MATCH(ROWS($W$2:W5),$W$2:$W$1001,0),MATCH(COLUMNS($AD$1006:AL1006),$AD$1006:$AU$1006,0)), HYPERLINK("#",""), HYPERLINK(CONCATENATE("#metadata!", ADDRESS(INDEX($Y$2:$Y$1001,MATCH(ROWS($W$2:W5),$W$2:$W$1001,0),0), INDEX($AD$1004:$AU$1004,1,MATCH(COLUMNS($AD$1006:AL1006),$AD$1006:$AU$1006,0)))),"Fix")))</f>
        <v xml:space="preserve"> </v>
      </c>
      <c r="K5" s="4" t="str">
        <f ca="1">IF(OR(INDEX($X$2:$X$1001,MATCH(ROWS($W$2:W5),$W$2:$W$1001,0),1)&gt;=100000,INDEX($AD$1005:$AU$1005,1,MATCH(COLUMNS($AD$1006:AM1006),$AD$1006:$AU$1006,0))&gt;=100000), " ",IF(INDEX($AD$2:$AU$1001,MATCH(ROWS($W$2:W5),$W$2:$W$1001,0),MATCH(COLUMNS($AD$1006:AM1006),$AD$1006:$AU$1006,0)), HYPERLINK("#",""), HYPERLINK(CONCATENATE("#metadata!", ADDRESS(INDEX($Y$2:$Y$1001,MATCH(ROWS($W$2:W5),$W$2:$W$1001,0),0), INDEX($AD$1004:$AU$1004,1,MATCH(COLUMNS($AD$1006:AM1006),$AD$1006:$AU$1006,0)))),"Fix")))</f>
        <v xml:space="preserve"> </v>
      </c>
      <c r="L5" s="4" t="str">
        <f ca="1">IF(OR(INDEX($X$2:$X$1001,MATCH(ROWS($W$2:W5),$W$2:$W$1001,0),1)&gt;=100000,INDEX($AD$1005:$AU$1005,1,MATCH(COLUMNS($AD$1006:AN1006),$AD$1006:$AU$1006,0))&gt;=100000), " ",IF(INDEX($AD$2:$AU$1001,MATCH(ROWS($W$2:W5),$W$2:$W$1001,0),MATCH(COLUMNS($AD$1006:AN1006),$AD$1006:$AU$1006,0)), HYPERLINK("#",""), HYPERLINK(CONCATENATE("#metadata!", ADDRESS(INDEX($Y$2:$Y$1001,MATCH(ROWS($W$2:W5),$W$2:$W$1001,0),0), INDEX($AD$1004:$AU$1004,1,MATCH(COLUMNS($AD$1006:AN1006),$AD$1006:$AU$1006,0)))),"Fix")))</f>
        <v xml:space="preserve"> </v>
      </c>
      <c r="M5" s="4" t="str">
        <f ca="1">IF(OR(INDEX($X$2:$X$1001,MATCH(ROWS($W$2:W5),$W$2:$W$1001,0),1)&gt;=100000,INDEX($AD$1005:$AU$1005,1,MATCH(COLUMNS($AD$1006:AO1006),$AD$1006:$AU$1006,0))&gt;=100000), " ",IF(INDEX($AD$2:$AU$1001,MATCH(ROWS($W$2:W5),$W$2:$W$1001,0),MATCH(COLUMNS($AD$1006:AO1006),$AD$1006:$AU$1006,0)), HYPERLINK("#",""), HYPERLINK(CONCATENATE("#metadata!", ADDRESS(INDEX($Y$2:$Y$1001,MATCH(ROWS($W$2:W5),$W$2:$W$1001,0),0), INDEX($AD$1004:$AU$1004,1,MATCH(COLUMNS($AD$1006:AO1006),$AD$1006:$AU$1006,0)))),"Fix")))</f>
        <v xml:space="preserve"> </v>
      </c>
      <c r="N5" s="4" t="str">
        <f ca="1">IF(OR(INDEX($X$2:$X$1001,MATCH(ROWS($W$2:W5),$W$2:$W$1001,0),1)&gt;=100000,INDEX($AD$1005:$AU$1005,1,MATCH(COLUMNS($AD$1006:AP1006),$AD$1006:$AU$1006,0))&gt;=100000), " ",IF(INDEX($AD$2:$AU$1001,MATCH(ROWS($W$2:W5),$W$2:$W$1001,0),MATCH(COLUMNS($AD$1006:AP1006),$AD$1006:$AU$1006,0)), HYPERLINK("#",""), HYPERLINK(CONCATENATE("#metadata!", ADDRESS(INDEX($Y$2:$Y$1001,MATCH(ROWS($W$2:W5),$W$2:$W$1001,0),0), INDEX($AD$1004:$AU$1004,1,MATCH(COLUMNS($AD$1006:AP1006),$AD$1006:$AU$1006,0)))),"Fix")))</f>
        <v xml:space="preserve"> </v>
      </c>
      <c r="O5" s="4" t="str">
        <f ca="1">IF(OR(INDEX($X$2:$X$1001,MATCH(ROWS($W$2:W5),$W$2:$W$1001,0),1)&gt;=100000,INDEX($AD$1005:$AU$1005,1,MATCH(COLUMNS($AD$1006:AQ1006),$AD$1006:$AU$1006,0))&gt;=100000), " ",IF(INDEX($AD$2:$AU$1001,MATCH(ROWS($W$2:W5),$W$2:$W$1001,0),MATCH(COLUMNS($AD$1006:AQ1006),$AD$1006:$AU$1006,0)), HYPERLINK("#",""), HYPERLINK(CONCATENATE("#metadata!", ADDRESS(INDEX($Y$2:$Y$1001,MATCH(ROWS($W$2:W5),$W$2:$W$1001,0),0), INDEX($AD$1004:$AU$1004,1,MATCH(COLUMNS($AD$1006:AQ1006),$AD$1006:$AU$1006,0)))),"Fix")))</f>
        <v xml:space="preserve"> </v>
      </c>
      <c r="P5" s="4" t="str">
        <f ca="1">IF(OR(INDEX($X$2:$X$1001,MATCH(ROWS($W$2:W5),$W$2:$W$1001,0),1)&gt;=100000,INDEX($AD$1005:$AU$1005,1,MATCH(COLUMNS($AD$1006:AR1006),$AD$1006:$AU$1006,0))&gt;=100000), " ",IF(INDEX($AD$2:$AU$1001,MATCH(ROWS($W$2:W5),$W$2:$W$1001,0),MATCH(COLUMNS($AD$1006:AR1006),$AD$1006:$AU$1006,0)), HYPERLINK("#",""), HYPERLINK(CONCATENATE("#metadata!", ADDRESS(INDEX($Y$2:$Y$1001,MATCH(ROWS($W$2:W5),$W$2:$W$1001,0),0), INDEX($AD$1004:$AU$1004,1,MATCH(COLUMNS($AD$1006:AR1006),$AD$1006:$AU$1006,0)))),"Fix")))</f>
        <v xml:space="preserve"> </v>
      </c>
      <c r="Q5" s="4" t="str">
        <f ca="1">IF(OR(INDEX($X$2:$X$1001,MATCH(ROWS($W$2:W5),$W$2:$W$1001,0),1)&gt;=100000,INDEX($AD$1005:$AU$1005,1,MATCH(COLUMNS($AD$1006:AS1006),$AD$1006:$AU$1006,0))&gt;=100000), " ",IF(INDEX($AD$2:$AU$1001,MATCH(ROWS($W$2:W5),$W$2:$W$1001,0),MATCH(COLUMNS($AD$1006:AS1006),$AD$1006:$AU$1006,0)), HYPERLINK("#",""), HYPERLINK(CONCATENATE("#metadata!", ADDRESS(INDEX($Y$2:$Y$1001,MATCH(ROWS($W$2:W5),$W$2:$W$1001,0),0), INDEX($AD$1004:$AU$1004,1,MATCH(COLUMNS($AD$1006:AS1006),$AD$1006:$AU$1006,0)))),"Fix")))</f>
        <v xml:space="preserve"> </v>
      </c>
      <c r="R5" s="4" t="str">
        <f ca="1">IF(OR(INDEX($X$2:$X$1001,MATCH(ROWS($W$2:W5),$W$2:$W$1001,0),1)&gt;=100000,INDEX($AD$1005:$AU$1005,1,MATCH(COLUMNS($AD$1006:AT1006),$AD$1006:$AU$1006,0))&gt;=100000), " ",IF(INDEX($AD$2:$AU$1001,MATCH(ROWS($W$2:W5),$W$2:$W$1001,0),MATCH(COLUMNS($AD$1006:AT1006),$AD$1006:$AU$1006,0)), HYPERLINK("#",""), HYPERLINK(CONCATENATE("#metadata!", ADDRESS(INDEX($Y$2:$Y$1001,MATCH(ROWS($W$2:W5),$W$2:$W$1001,0),0), INDEX($AD$1004:$AU$1004,1,MATCH(COLUMNS($AD$1006:AT1006),$AD$1006:$AU$1006,0)))),"Fix")))</f>
        <v xml:space="preserve"> </v>
      </c>
      <c r="S5" s="4" t="str">
        <f ca="1">IF(OR(INDEX($X$2:$X$1001,MATCH(ROWS($W$2:W5),$W$2:$W$1001,0),1)&gt;=100000,INDEX($AD$1005:$AU$1005,1,MATCH(COLUMNS($AD$1006:AU1006),$AD$1006:$AU$1006,0))&gt;=100000), " ",IF(INDEX($AD$2:$AU$1001,MATCH(ROWS($W$2:W5),$W$2:$W$1001,0),MATCH(COLUMNS($AD$1006:AU1006),$AD$1006:$AU$1006,0)), HYPERLINK("#",""), HYPERLINK(CONCATENATE("#metadata!", ADDRESS(INDEX($Y$2:$Y$1001,MATCH(ROWS($W$2:W5),$W$2:$W$1001,0),0), INDEX($AD$1004:$AU$1004,1,MATCH(COLUMNS($AD$1006:AU1006),$AD$1006:$AU$1006,0)))),"Fix")))</f>
        <v xml:space="preserve"> </v>
      </c>
      <c r="W5">
        <v>4</v>
      </c>
      <c r="X5">
        <v>100005</v>
      </c>
      <c r="Y5">
        <v>5</v>
      </c>
      <c r="Z5" t="b">
        <f t="shared" si="0"/>
        <v>1</v>
      </c>
      <c r="AA5" t="b">
        <f>COUNTBLANK(metadata!B5:S5)=COLUMNS(metadata!B5:S5)</f>
        <v>1</v>
      </c>
      <c r="AB5" t="str">
        <v/>
      </c>
      <c r="AD5" t="b">
        <f ca="1">AND(IF(metadata!B5="",FALSE,TRUE),COUNTIF(metadata!B:B, metadata!B5) = 1,NOT(ISERROR(SUMPRODUCT(SEARCH(MID(metadata!B5,ROW(INDIRECT("1:"&amp;LEN(metadata!B5))), 1),"0123456789abcdefghijklmnopqrstuvwxyzABCDEFGHIJKLMNOPQRSTUVWXYZ.")))))</f>
        <v>0</v>
      </c>
      <c r="AE5" t="b">
        <f>OR(AND(IF(metadata!C5="",FALSE,TRUE),OR(EXACT(metadata!C5,"not applicable"),EXACT(metadata!C5,"missing: not collected"),EXACT(metadata!C5,"missing: not provided"),EXACT(metadata!C5,"missing: restricted access"))),AND(IF(metadata!C5="",FALSE,ISNUMBER(VALUE(metadata!C5))),metadata!C5&gt;0))</f>
        <v>0</v>
      </c>
      <c r="AF5" t="b">
        <f>AND(IF(metadata!D5="",FALSE,TRUE),EXACT(metadata!D5,"missing: not provided"))</f>
        <v>0</v>
      </c>
      <c r="AG5" t="b">
        <f>AND(IF(metadata!E5="",FALSE,TRUE),EXACT(metadata!E5,"Host-associated"))</f>
        <v>0</v>
      </c>
      <c r="AH5" t="b">
        <f>AND(IF(metadata!F5="",FALSE,TRUE),OR(EXACT(metadata!F5,"Animal"),EXACT(metadata!F5,"Fungus"),EXACT(metadata!F5,"Plant")))</f>
        <v>0</v>
      </c>
      <c r="AI5" t="b">
        <f>AND(IF(metadata!G5="",FALSE,TRUE),OR(EXACT(metadata!G5,"Plant secretion"),EXACT(metadata!G5,"Plant rhizosphere"),EXACT(metadata!G5,"Plant surface"),EXACT(metadata!G5,"Plant corpus"),EXACT(metadata!G5,"Fungus surface"),EXACT(metadata!G5,"Fungus corpus"),EXACT(metadata!G5,"Animal surface"),EXACT(metadata!G5,"Animal proximal gut"),EXACT(metadata!G5,"Animal corpus"),EXACT(metadata!G5,"Animal distal gut"),EXACT(metadata!G5,"Animal secretion")))</f>
        <v>0</v>
      </c>
      <c r="AJ5" t="b">
        <f>OR(AND(IF(metadata!H5="",FALSE,TRUE),OR(EXACT(metadata!H5,"missing: not collected"),EXACT(metadata!H5,"missing: not provided"),EXACT(metadata!H5,"missing: restricted access"))),AND(IF(metadata!H5="",FALSE,TRUE),OR(EXACT(metadata!H5,"organism-associated habitat"),EXACT(metadata!H5,"plant-associated habitat"),EXACT(metadata!H5,"animal-associated habitat"),EXACT(metadata!H5,"insecta-associated habitat"),EXACT(metadata!H5,"mammalia-associated habitat"),EXACT(metadata!H5,"human-associated habitat"),EXACT(metadata!H5,"livestock-associated habitat"))))</f>
        <v>0</v>
      </c>
      <c r="AK5" t="b">
        <f>AND(IF(metadata!I5="",FALSE,TRUE),EXACT(metadata!I5,"host-associated"))</f>
        <v>0</v>
      </c>
      <c r="AL5" t="b">
        <f>OR(AND(IF(metadata!J5="",FALSE,TRUE),OR(EXACT(metadata!J5,"not applicable"),EXACT(metadata!J5,"missing: not collected"),EXACT(metadata!J5,"missing: not provided"),EXACT(metadata!J5,"missing: restricted access"))),AND(IF(metadata!J5="",FALSE,ISNUMBER(VALUE(metadata!J5))),metadata!J5&gt;0))</f>
        <v>0</v>
      </c>
      <c r="AM5" t="b">
        <f>AND(IF(metadata!K5="",FALSE,TRUE),EXACT(metadata!K5,"missing: not provided"))</f>
        <v>0</v>
      </c>
      <c r="AN5" t="b">
        <f>IF(metadata!L5="",FALSE,TRUE)</f>
        <v>0</v>
      </c>
      <c r="AO5" t="b">
        <f>IF(metadata!M5="",FALSE,TRUE)</f>
        <v>0</v>
      </c>
      <c r="AP5" t="b">
        <f>OR(AND(IF(metadata!N5="",FALSE,TRUE),OR(EXACT(metadata!N5,"not applicable"),EXACT(metadata!N5,"missing: not collected"),EXACT(metadata!N5,"missing: not provided"))),AND(IF(metadata!N5="",FALSE,IF(ISERROR(INT(metadata!N5)),FALSE,INT(metadata!N5)=metadata!N5)),metadata!N5&gt;0))</f>
        <v>0</v>
      </c>
      <c r="AQ5" t="b">
        <f>AND(IF(metadata!O5="",FALSE,TRUE),EXACT(metadata!O5,"Not applicable"))</f>
        <v>0</v>
      </c>
      <c r="AR5" t="b">
        <f>OR(AND(IF(metadata!P5="",FALSE,TRUE),OR(EXACT(metadata!P5,"not applicable"),EXACT(metadata!P5,"missing: not collected"),EXACT(metadata!P5,"missing: not provided"),EXACT(metadata!P5,"missing: restricted access"))),IF(metadata!P5="",FALSE,IF(ISERROR(INT(metadata!P5)),FALSE,INT(metadata!P5)=metadata!P5)))</f>
        <v>0</v>
      </c>
      <c r="AS5" t="b">
        <f>AND(IF(metadata!Q5="",FALSE,TRUE),EXACT(metadata!Q5,"Not applicable"))</f>
        <v>0</v>
      </c>
      <c r="AT5" t="b">
        <f>OR(AND(IF(metadata!R5="",FALSE,TRUE),OR(EXACT(metadata!R5,"not applicable"),EXACT(metadata!R5,"missing: not collected"),EXACT(metadata!R5,"missing: not provided"),EXACT(metadata!R5,"missing: restricted access"))),AND(IF(metadata!R5="",FALSE,ISNUMBER(VALUE(metadata!R5))),metadata!R5&gt;0))</f>
        <v>0</v>
      </c>
      <c r="AU5" t="b">
        <f>AND(IF(metadata!S5="",FALSE,TRUE),EXACT(metadata!S5,"missing: not provided"))</f>
        <v>0</v>
      </c>
    </row>
    <row r="6" spans="1:47" x14ac:dyDescent="0.2">
      <c r="A6" s="5" t="str">
        <f ca="1">IF(B6=" "," ",HYPERLINK(CONCATENATE("#metadata!",ADDRESS(INDEX($Y$2:$Y$1001,MATCH(ROWS($W$2:W6),$W$2:$W$1001,0),0),1)),INDEX($AB$2:$AB$1001,MATCH(ROWS($W$2:W6),$W$2:$W$1001,0),0)))</f>
        <v xml:space="preserve"> </v>
      </c>
      <c r="B6" s="4" t="str">
        <f ca="1">IF(OR(INDEX($X$2:$X$1001,MATCH(ROWS($W$2:W6),$W$2:$W$1001,0),1)&gt;=100000,INDEX($AD$1005:$AU$1005,1,MATCH(COLUMNS($AD$1006:AD1006),$AD$1006:$AU$1006,0))&gt;=100000), " ",IF(INDEX($AD$2:$AU$1001,MATCH(ROWS($W$2:W6),$W$2:$W$1001,0),MATCH(COLUMNS($AD$1006:AD1006),$AD$1006:$AU$1006,0)), HYPERLINK("#",""), HYPERLINK(CONCATENATE("#metadata!", ADDRESS(INDEX($Y$2:$Y$1001,MATCH(ROWS($W$2:W6),$W$2:$W$1001,0),0), INDEX($AD$1004:$AU$1004,1,MATCH(COLUMNS($AD$1006:AD1006),$AD$1006:$AU$1006,0)))),"Fix")))</f>
        <v xml:space="preserve"> </v>
      </c>
      <c r="C6" s="4" t="str">
        <f ca="1">IF(OR(INDEX($X$2:$X$1001,MATCH(ROWS($W$2:W6),$W$2:$W$1001,0),1)&gt;=100000,INDEX($AD$1005:$AU$1005,1,MATCH(COLUMNS($AD$1006:AE1006),$AD$1006:$AU$1006,0))&gt;=100000), " ",IF(INDEX($AD$2:$AU$1001,MATCH(ROWS($W$2:W6),$W$2:$W$1001,0),MATCH(COLUMNS($AD$1006:AE1006),$AD$1006:$AU$1006,0)), HYPERLINK("#",""), HYPERLINK(CONCATENATE("#metadata!", ADDRESS(INDEX($Y$2:$Y$1001,MATCH(ROWS($W$2:W6),$W$2:$W$1001,0),0), INDEX($AD$1004:$AU$1004,1,MATCH(COLUMNS($AD$1006:AE1006),$AD$1006:$AU$1006,0)))),"Fix")))</f>
        <v xml:space="preserve"> </v>
      </c>
      <c r="D6" s="4" t="str">
        <f ca="1">IF(OR(INDEX($X$2:$X$1001,MATCH(ROWS($W$2:W6),$W$2:$W$1001,0),1)&gt;=100000,INDEX($AD$1005:$AU$1005,1,MATCH(COLUMNS($AD$1006:AF1006),$AD$1006:$AU$1006,0))&gt;=100000), " ",IF(INDEX($AD$2:$AU$1001,MATCH(ROWS($W$2:W6),$W$2:$W$1001,0),MATCH(COLUMNS($AD$1006:AF1006),$AD$1006:$AU$1006,0)), HYPERLINK("#",""), HYPERLINK(CONCATENATE("#metadata!", ADDRESS(INDEX($Y$2:$Y$1001,MATCH(ROWS($W$2:W6),$W$2:$W$1001,0),0), INDEX($AD$1004:$AU$1004,1,MATCH(COLUMNS($AD$1006:AF1006),$AD$1006:$AU$1006,0)))),"Fix")))</f>
        <v xml:space="preserve"> </v>
      </c>
      <c r="E6" s="4" t="str">
        <f ca="1">IF(OR(INDEX($X$2:$X$1001,MATCH(ROWS($W$2:W6),$W$2:$W$1001,0),1)&gt;=100000,INDEX($AD$1005:$AU$1005,1,MATCH(COLUMNS($AD$1006:AG1006),$AD$1006:$AU$1006,0))&gt;=100000), " ",IF(INDEX($AD$2:$AU$1001,MATCH(ROWS($W$2:W6),$W$2:$W$1001,0),MATCH(COLUMNS($AD$1006:AG1006),$AD$1006:$AU$1006,0)), HYPERLINK("#",""), HYPERLINK(CONCATENATE("#metadata!", ADDRESS(INDEX($Y$2:$Y$1001,MATCH(ROWS($W$2:W6),$W$2:$W$1001,0),0), INDEX($AD$1004:$AU$1004,1,MATCH(COLUMNS($AD$1006:AG1006),$AD$1006:$AU$1006,0)))),"Fix")))</f>
        <v xml:space="preserve"> </v>
      </c>
      <c r="F6" s="4" t="str">
        <f ca="1">IF(OR(INDEX($X$2:$X$1001,MATCH(ROWS($W$2:W6),$W$2:$W$1001,0),1)&gt;=100000,INDEX($AD$1005:$AU$1005,1,MATCH(COLUMNS($AD$1006:AH1006),$AD$1006:$AU$1006,0))&gt;=100000), " ",IF(INDEX($AD$2:$AU$1001,MATCH(ROWS($W$2:W6),$W$2:$W$1001,0),MATCH(COLUMNS($AD$1006:AH1006),$AD$1006:$AU$1006,0)), HYPERLINK("#",""), HYPERLINK(CONCATENATE("#metadata!", ADDRESS(INDEX($Y$2:$Y$1001,MATCH(ROWS($W$2:W6),$W$2:$W$1001,0),0), INDEX($AD$1004:$AU$1004,1,MATCH(COLUMNS($AD$1006:AH1006),$AD$1006:$AU$1006,0)))),"Fix")))</f>
        <v xml:space="preserve"> </v>
      </c>
      <c r="G6" s="4" t="str">
        <f ca="1">IF(OR(INDEX($X$2:$X$1001,MATCH(ROWS($W$2:W6),$W$2:$W$1001,0),1)&gt;=100000,INDEX($AD$1005:$AU$1005,1,MATCH(COLUMNS($AD$1006:AI1006),$AD$1006:$AU$1006,0))&gt;=100000), " ",IF(INDEX($AD$2:$AU$1001,MATCH(ROWS($W$2:W6),$W$2:$W$1001,0),MATCH(COLUMNS($AD$1006:AI1006),$AD$1006:$AU$1006,0)), HYPERLINK("#",""), HYPERLINK(CONCATENATE("#metadata!", ADDRESS(INDEX($Y$2:$Y$1001,MATCH(ROWS($W$2:W6),$W$2:$W$1001,0),0), INDEX($AD$1004:$AU$1004,1,MATCH(COLUMNS($AD$1006:AI1006),$AD$1006:$AU$1006,0)))),"Fix")))</f>
        <v xml:space="preserve"> </v>
      </c>
      <c r="H6" s="4" t="str">
        <f ca="1">IF(OR(INDEX($X$2:$X$1001,MATCH(ROWS($W$2:W6),$W$2:$W$1001,0),1)&gt;=100000,INDEX($AD$1005:$AU$1005,1,MATCH(COLUMNS($AD$1006:AJ1006),$AD$1006:$AU$1006,0))&gt;=100000), " ",IF(INDEX($AD$2:$AU$1001,MATCH(ROWS($W$2:W6),$W$2:$W$1001,0),MATCH(COLUMNS($AD$1006:AJ1006),$AD$1006:$AU$1006,0)), HYPERLINK("#",""), HYPERLINK(CONCATENATE("#metadata!", ADDRESS(INDEX($Y$2:$Y$1001,MATCH(ROWS($W$2:W6),$W$2:$W$1001,0),0), INDEX($AD$1004:$AU$1004,1,MATCH(COLUMNS($AD$1006:AJ1006),$AD$1006:$AU$1006,0)))),"Fix")))</f>
        <v xml:space="preserve"> </v>
      </c>
      <c r="I6" s="4" t="str">
        <f ca="1">IF(OR(INDEX($X$2:$X$1001,MATCH(ROWS($W$2:W6),$W$2:$W$1001,0),1)&gt;=100000,INDEX($AD$1005:$AU$1005,1,MATCH(COLUMNS($AD$1006:AK1006),$AD$1006:$AU$1006,0))&gt;=100000), " ",IF(INDEX($AD$2:$AU$1001,MATCH(ROWS($W$2:W6),$W$2:$W$1001,0),MATCH(COLUMNS($AD$1006:AK1006),$AD$1006:$AU$1006,0)), HYPERLINK("#",""), HYPERLINK(CONCATENATE("#metadata!", ADDRESS(INDEX($Y$2:$Y$1001,MATCH(ROWS($W$2:W6),$W$2:$W$1001,0),0), INDEX($AD$1004:$AU$1004,1,MATCH(COLUMNS($AD$1006:AK1006),$AD$1006:$AU$1006,0)))),"Fix")))</f>
        <v xml:space="preserve"> </v>
      </c>
      <c r="J6" s="4" t="str">
        <f ca="1">IF(OR(INDEX($X$2:$X$1001,MATCH(ROWS($W$2:W6),$W$2:$W$1001,0),1)&gt;=100000,INDEX($AD$1005:$AU$1005,1,MATCH(COLUMNS($AD$1006:AL1006),$AD$1006:$AU$1006,0))&gt;=100000), " ",IF(INDEX($AD$2:$AU$1001,MATCH(ROWS($W$2:W6),$W$2:$W$1001,0),MATCH(COLUMNS($AD$1006:AL1006),$AD$1006:$AU$1006,0)), HYPERLINK("#",""), HYPERLINK(CONCATENATE("#metadata!", ADDRESS(INDEX($Y$2:$Y$1001,MATCH(ROWS($W$2:W6),$W$2:$W$1001,0),0), INDEX($AD$1004:$AU$1004,1,MATCH(COLUMNS($AD$1006:AL1006),$AD$1006:$AU$1006,0)))),"Fix")))</f>
        <v xml:space="preserve"> </v>
      </c>
      <c r="K6" s="4" t="str">
        <f ca="1">IF(OR(INDEX($X$2:$X$1001,MATCH(ROWS($W$2:W6),$W$2:$W$1001,0),1)&gt;=100000,INDEX($AD$1005:$AU$1005,1,MATCH(COLUMNS($AD$1006:AM1006),$AD$1006:$AU$1006,0))&gt;=100000), " ",IF(INDEX($AD$2:$AU$1001,MATCH(ROWS($W$2:W6),$W$2:$W$1001,0),MATCH(COLUMNS($AD$1006:AM1006),$AD$1006:$AU$1006,0)), HYPERLINK("#",""), HYPERLINK(CONCATENATE("#metadata!", ADDRESS(INDEX($Y$2:$Y$1001,MATCH(ROWS($W$2:W6),$W$2:$W$1001,0),0), INDEX($AD$1004:$AU$1004,1,MATCH(COLUMNS($AD$1006:AM1006),$AD$1006:$AU$1006,0)))),"Fix")))</f>
        <v xml:space="preserve"> </v>
      </c>
      <c r="L6" s="4" t="str">
        <f ca="1">IF(OR(INDEX($X$2:$X$1001,MATCH(ROWS($W$2:W6),$W$2:$W$1001,0),1)&gt;=100000,INDEX($AD$1005:$AU$1005,1,MATCH(COLUMNS($AD$1006:AN1006),$AD$1006:$AU$1006,0))&gt;=100000), " ",IF(INDEX($AD$2:$AU$1001,MATCH(ROWS($W$2:W6),$W$2:$W$1001,0),MATCH(COLUMNS($AD$1006:AN1006),$AD$1006:$AU$1006,0)), HYPERLINK("#",""), HYPERLINK(CONCATENATE("#metadata!", ADDRESS(INDEX($Y$2:$Y$1001,MATCH(ROWS($W$2:W6),$W$2:$W$1001,0),0), INDEX($AD$1004:$AU$1004,1,MATCH(COLUMNS($AD$1006:AN1006),$AD$1006:$AU$1006,0)))),"Fix")))</f>
        <v xml:space="preserve"> </v>
      </c>
      <c r="M6" s="4" t="str">
        <f ca="1">IF(OR(INDEX($X$2:$X$1001,MATCH(ROWS($W$2:W6),$W$2:$W$1001,0),1)&gt;=100000,INDEX($AD$1005:$AU$1005,1,MATCH(COLUMNS($AD$1006:AO1006),$AD$1006:$AU$1006,0))&gt;=100000), " ",IF(INDEX($AD$2:$AU$1001,MATCH(ROWS($W$2:W6),$W$2:$W$1001,0),MATCH(COLUMNS($AD$1006:AO1006),$AD$1006:$AU$1006,0)), HYPERLINK("#",""), HYPERLINK(CONCATENATE("#metadata!", ADDRESS(INDEX($Y$2:$Y$1001,MATCH(ROWS($W$2:W6),$W$2:$W$1001,0),0), INDEX($AD$1004:$AU$1004,1,MATCH(COLUMNS($AD$1006:AO1006),$AD$1006:$AU$1006,0)))),"Fix")))</f>
        <v xml:space="preserve"> </v>
      </c>
      <c r="N6" s="4" t="str">
        <f ca="1">IF(OR(INDEX($X$2:$X$1001,MATCH(ROWS($W$2:W6),$W$2:$W$1001,0),1)&gt;=100000,INDEX($AD$1005:$AU$1005,1,MATCH(COLUMNS($AD$1006:AP1006),$AD$1006:$AU$1006,0))&gt;=100000), " ",IF(INDEX($AD$2:$AU$1001,MATCH(ROWS($W$2:W6),$W$2:$W$1001,0),MATCH(COLUMNS($AD$1006:AP1006),$AD$1006:$AU$1006,0)), HYPERLINK("#",""), HYPERLINK(CONCATENATE("#metadata!", ADDRESS(INDEX($Y$2:$Y$1001,MATCH(ROWS($W$2:W6),$W$2:$W$1001,0),0), INDEX($AD$1004:$AU$1004,1,MATCH(COLUMNS($AD$1006:AP1006),$AD$1006:$AU$1006,0)))),"Fix")))</f>
        <v xml:space="preserve"> </v>
      </c>
      <c r="O6" s="4" t="str">
        <f ca="1">IF(OR(INDEX($X$2:$X$1001,MATCH(ROWS($W$2:W6),$W$2:$W$1001,0),1)&gt;=100000,INDEX($AD$1005:$AU$1005,1,MATCH(COLUMNS($AD$1006:AQ1006),$AD$1006:$AU$1006,0))&gt;=100000), " ",IF(INDEX($AD$2:$AU$1001,MATCH(ROWS($W$2:W6),$W$2:$W$1001,0),MATCH(COLUMNS($AD$1006:AQ1006),$AD$1006:$AU$1006,0)), HYPERLINK("#",""), HYPERLINK(CONCATENATE("#metadata!", ADDRESS(INDEX($Y$2:$Y$1001,MATCH(ROWS($W$2:W6),$W$2:$W$1001,0),0), INDEX($AD$1004:$AU$1004,1,MATCH(COLUMNS($AD$1006:AQ1006),$AD$1006:$AU$1006,0)))),"Fix")))</f>
        <v xml:space="preserve"> </v>
      </c>
      <c r="P6" s="4" t="str">
        <f ca="1">IF(OR(INDEX($X$2:$X$1001,MATCH(ROWS($W$2:W6),$W$2:$W$1001,0),1)&gt;=100000,INDEX($AD$1005:$AU$1005,1,MATCH(COLUMNS($AD$1006:AR1006),$AD$1006:$AU$1006,0))&gt;=100000), " ",IF(INDEX($AD$2:$AU$1001,MATCH(ROWS($W$2:W6),$W$2:$W$1001,0),MATCH(COLUMNS($AD$1006:AR1006),$AD$1006:$AU$1006,0)), HYPERLINK("#",""), HYPERLINK(CONCATENATE("#metadata!", ADDRESS(INDEX($Y$2:$Y$1001,MATCH(ROWS($W$2:W6),$W$2:$W$1001,0),0), INDEX($AD$1004:$AU$1004,1,MATCH(COLUMNS($AD$1006:AR1006),$AD$1006:$AU$1006,0)))),"Fix")))</f>
        <v xml:space="preserve"> </v>
      </c>
      <c r="Q6" s="4" t="str">
        <f ca="1">IF(OR(INDEX($X$2:$X$1001,MATCH(ROWS($W$2:W6),$W$2:$W$1001,0),1)&gt;=100000,INDEX($AD$1005:$AU$1005,1,MATCH(COLUMNS($AD$1006:AS1006),$AD$1006:$AU$1006,0))&gt;=100000), " ",IF(INDEX($AD$2:$AU$1001,MATCH(ROWS($W$2:W6),$W$2:$W$1001,0),MATCH(COLUMNS($AD$1006:AS1006),$AD$1006:$AU$1006,0)), HYPERLINK("#",""), HYPERLINK(CONCATENATE("#metadata!", ADDRESS(INDEX($Y$2:$Y$1001,MATCH(ROWS($W$2:W6),$W$2:$W$1001,0),0), INDEX($AD$1004:$AU$1004,1,MATCH(COLUMNS($AD$1006:AS1006),$AD$1006:$AU$1006,0)))),"Fix")))</f>
        <v xml:space="preserve"> </v>
      </c>
      <c r="R6" s="4" t="str">
        <f ca="1">IF(OR(INDEX($X$2:$X$1001,MATCH(ROWS($W$2:W6),$W$2:$W$1001,0),1)&gt;=100000,INDEX($AD$1005:$AU$1005,1,MATCH(COLUMNS($AD$1006:AT1006),$AD$1006:$AU$1006,0))&gt;=100000), " ",IF(INDEX($AD$2:$AU$1001,MATCH(ROWS($W$2:W6),$W$2:$W$1001,0),MATCH(COLUMNS($AD$1006:AT1006),$AD$1006:$AU$1006,0)), HYPERLINK("#",""), HYPERLINK(CONCATENATE("#metadata!", ADDRESS(INDEX($Y$2:$Y$1001,MATCH(ROWS($W$2:W6),$W$2:$W$1001,0),0), INDEX($AD$1004:$AU$1004,1,MATCH(COLUMNS($AD$1006:AT1006),$AD$1006:$AU$1006,0)))),"Fix")))</f>
        <v xml:space="preserve"> </v>
      </c>
      <c r="S6" s="4" t="str">
        <f ca="1">IF(OR(INDEX($X$2:$X$1001,MATCH(ROWS($W$2:W6),$W$2:$W$1001,0),1)&gt;=100000,INDEX($AD$1005:$AU$1005,1,MATCH(COLUMNS($AD$1006:AU1006),$AD$1006:$AU$1006,0))&gt;=100000), " ",IF(INDEX($AD$2:$AU$1001,MATCH(ROWS($W$2:W6),$W$2:$W$1001,0),MATCH(COLUMNS($AD$1006:AU1006),$AD$1006:$AU$1006,0)), HYPERLINK("#",""), HYPERLINK(CONCATENATE("#metadata!", ADDRESS(INDEX($Y$2:$Y$1001,MATCH(ROWS($W$2:W6),$W$2:$W$1001,0),0), INDEX($AD$1004:$AU$1004,1,MATCH(COLUMNS($AD$1006:AU1006),$AD$1006:$AU$1006,0)))),"Fix")))</f>
        <v xml:space="preserve"> </v>
      </c>
      <c r="W6">
        <v>5</v>
      </c>
      <c r="X6">
        <v>100006</v>
      </c>
      <c r="Y6">
        <v>6</v>
      </c>
      <c r="Z6" t="b">
        <f t="shared" si="0"/>
        <v>1</v>
      </c>
      <c r="AA6" t="b">
        <f>COUNTBLANK(metadata!B6:S6)=COLUMNS(metadata!B6:S6)</f>
        <v>1</v>
      </c>
      <c r="AB6" t="str">
        <v/>
      </c>
      <c r="AD6" t="b">
        <f ca="1">AND(IF(metadata!B6="",FALSE,TRUE),COUNTIF(metadata!B:B, metadata!B6) = 1,NOT(ISERROR(SUMPRODUCT(SEARCH(MID(metadata!B6,ROW(INDIRECT("1:"&amp;LEN(metadata!B6))), 1),"0123456789abcdefghijklmnopqrstuvwxyzABCDEFGHIJKLMNOPQRSTUVWXYZ.")))))</f>
        <v>0</v>
      </c>
      <c r="AE6" t="b">
        <f>OR(AND(IF(metadata!C6="",FALSE,TRUE),OR(EXACT(metadata!C6,"not applicable"),EXACT(metadata!C6,"missing: not collected"),EXACT(metadata!C6,"missing: not provided"),EXACT(metadata!C6,"missing: restricted access"))),AND(IF(metadata!C6="",FALSE,ISNUMBER(VALUE(metadata!C6))),metadata!C6&gt;0))</f>
        <v>0</v>
      </c>
      <c r="AF6" t="b">
        <f>AND(IF(metadata!D6="",FALSE,TRUE),EXACT(metadata!D6,"missing: not provided"))</f>
        <v>0</v>
      </c>
      <c r="AG6" t="b">
        <f>AND(IF(metadata!E6="",FALSE,TRUE),EXACT(metadata!E6,"Host-associated"))</f>
        <v>0</v>
      </c>
      <c r="AH6" t="b">
        <f>AND(IF(metadata!F6="",FALSE,TRUE),OR(EXACT(metadata!F6,"Animal"),EXACT(metadata!F6,"Fungus"),EXACT(metadata!F6,"Plant")))</f>
        <v>0</v>
      </c>
      <c r="AI6" t="b">
        <f>AND(IF(metadata!G6="",FALSE,TRUE),OR(EXACT(metadata!G6,"Plant secretion"),EXACT(metadata!G6,"Plant rhizosphere"),EXACT(metadata!G6,"Plant surface"),EXACT(metadata!G6,"Plant corpus"),EXACT(metadata!G6,"Fungus surface"),EXACT(metadata!G6,"Fungus corpus"),EXACT(metadata!G6,"Animal surface"),EXACT(metadata!G6,"Animal proximal gut"),EXACT(metadata!G6,"Animal corpus"),EXACT(metadata!G6,"Animal distal gut"),EXACT(metadata!G6,"Animal secretion")))</f>
        <v>0</v>
      </c>
      <c r="AJ6" t="b">
        <f>OR(AND(IF(metadata!H6="",FALSE,TRUE),OR(EXACT(metadata!H6,"missing: not collected"),EXACT(metadata!H6,"missing: not provided"),EXACT(metadata!H6,"missing: restricted access"))),AND(IF(metadata!H6="",FALSE,TRUE),OR(EXACT(metadata!H6,"organism-associated habitat"),EXACT(metadata!H6,"plant-associated habitat"),EXACT(metadata!H6,"animal-associated habitat"),EXACT(metadata!H6,"insecta-associated habitat"),EXACT(metadata!H6,"mammalia-associated habitat"),EXACT(metadata!H6,"human-associated habitat"),EXACT(metadata!H6,"livestock-associated habitat"))))</f>
        <v>0</v>
      </c>
      <c r="AK6" t="b">
        <f>AND(IF(metadata!I6="",FALSE,TRUE),EXACT(metadata!I6,"host-associated"))</f>
        <v>0</v>
      </c>
      <c r="AL6" t="b">
        <f>OR(AND(IF(metadata!J6="",FALSE,TRUE),OR(EXACT(metadata!J6,"not applicable"),EXACT(metadata!J6,"missing: not collected"),EXACT(metadata!J6,"missing: not provided"),EXACT(metadata!J6,"missing: restricted access"))),AND(IF(metadata!J6="",FALSE,ISNUMBER(VALUE(metadata!J6))),metadata!J6&gt;0))</f>
        <v>0</v>
      </c>
      <c r="AM6" t="b">
        <f>AND(IF(metadata!K6="",FALSE,TRUE),EXACT(metadata!K6,"missing: not provided"))</f>
        <v>0</v>
      </c>
      <c r="AN6" t="b">
        <f>IF(metadata!L6="",FALSE,TRUE)</f>
        <v>0</v>
      </c>
      <c r="AO6" t="b">
        <f>IF(metadata!M6="",FALSE,TRUE)</f>
        <v>0</v>
      </c>
      <c r="AP6" t="b">
        <f>OR(AND(IF(metadata!N6="",FALSE,TRUE),OR(EXACT(metadata!N6,"not applicable"),EXACT(metadata!N6,"missing: not collected"),EXACT(metadata!N6,"missing: not provided"))),AND(IF(metadata!N6="",FALSE,IF(ISERROR(INT(metadata!N6)),FALSE,INT(metadata!N6)=metadata!N6)),metadata!N6&gt;0))</f>
        <v>0</v>
      </c>
      <c r="AQ6" t="b">
        <f>AND(IF(metadata!O6="",FALSE,TRUE),EXACT(metadata!O6,"Not applicable"))</f>
        <v>0</v>
      </c>
      <c r="AR6" t="b">
        <f>OR(AND(IF(metadata!P6="",FALSE,TRUE),OR(EXACT(metadata!P6,"not applicable"),EXACT(metadata!P6,"missing: not collected"),EXACT(metadata!P6,"missing: not provided"),EXACT(metadata!P6,"missing: restricted access"))),IF(metadata!P6="",FALSE,IF(ISERROR(INT(metadata!P6)),FALSE,INT(metadata!P6)=metadata!P6)))</f>
        <v>0</v>
      </c>
      <c r="AS6" t="b">
        <f>AND(IF(metadata!Q6="",FALSE,TRUE),EXACT(metadata!Q6,"Not applicable"))</f>
        <v>0</v>
      </c>
      <c r="AT6" t="b">
        <f>OR(AND(IF(metadata!R6="",FALSE,TRUE),OR(EXACT(metadata!R6,"not applicable"),EXACT(metadata!R6,"missing: not collected"),EXACT(metadata!R6,"missing: not provided"),EXACT(metadata!R6,"missing: restricted access"))),AND(IF(metadata!R6="",FALSE,ISNUMBER(VALUE(metadata!R6))),metadata!R6&gt;0))</f>
        <v>0</v>
      </c>
      <c r="AU6" t="b">
        <f>AND(IF(metadata!S6="",FALSE,TRUE),EXACT(metadata!S6,"missing: not provided"))</f>
        <v>0</v>
      </c>
    </row>
    <row r="7" spans="1:47" x14ac:dyDescent="0.2">
      <c r="A7" s="5" t="str">
        <f ca="1">IF(B7=" "," ",HYPERLINK(CONCATENATE("#metadata!",ADDRESS(INDEX($Y$2:$Y$1001,MATCH(ROWS($W$2:W7),$W$2:$W$1001,0),0),1)),INDEX($AB$2:$AB$1001,MATCH(ROWS($W$2:W7),$W$2:$W$1001,0),0)))</f>
        <v xml:space="preserve"> </v>
      </c>
      <c r="B7" s="4" t="str">
        <f ca="1">IF(OR(INDEX($X$2:$X$1001,MATCH(ROWS($W$2:W7),$W$2:$W$1001,0),1)&gt;=100000,INDEX($AD$1005:$AU$1005,1,MATCH(COLUMNS($AD$1006:AD1006),$AD$1006:$AU$1006,0))&gt;=100000), " ",IF(INDEX($AD$2:$AU$1001,MATCH(ROWS($W$2:W7),$W$2:$W$1001,0),MATCH(COLUMNS($AD$1006:AD1006),$AD$1006:$AU$1006,0)), HYPERLINK("#",""), HYPERLINK(CONCATENATE("#metadata!", ADDRESS(INDEX($Y$2:$Y$1001,MATCH(ROWS($W$2:W7),$W$2:$W$1001,0),0), INDEX($AD$1004:$AU$1004,1,MATCH(COLUMNS($AD$1006:AD1006),$AD$1006:$AU$1006,0)))),"Fix")))</f>
        <v xml:space="preserve"> </v>
      </c>
      <c r="C7" s="4" t="str">
        <f ca="1">IF(OR(INDEX($X$2:$X$1001,MATCH(ROWS($W$2:W7),$W$2:$W$1001,0),1)&gt;=100000,INDEX($AD$1005:$AU$1005,1,MATCH(COLUMNS($AD$1006:AE1006),$AD$1006:$AU$1006,0))&gt;=100000), " ",IF(INDEX($AD$2:$AU$1001,MATCH(ROWS($W$2:W7),$W$2:$W$1001,0),MATCH(COLUMNS($AD$1006:AE1006),$AD$1006:$AU$1006,0)), HYPERLINK("#",""), HYPERLINK(CONCATENATE("#metadata!", ADDRESS(INDEX($Y$2:$Y$1001,MATCH(ROWS($W$2:W7),$W$2:$W$1001,0),0), INDEX($AD$1004:$AU$1004,1,MATCH(COLUMNS($AD$1006:AE1006),$AD$1006:$AU$1006,0)))),"Fix")))</f>
        <v xml:space="preserve"> </v>
      </c>
      <c r="D7" s="4" t="str">
        <f ca="1">IF(OR(INDEX($X$2:$X$1001,MATCH(ROWS($W$2:W7),$W$2:$W$1001,0),1)&gt;=100000,INDEX($AD$1005:$AU$1005,1,MATCH(COLUMNS($AD$1006:AF1006),$AD$1006:$AU$1006,0))&gt;=100000), " ",IF(INDEX($AD$2:$AU$1001,MATCH(ROWS($W$2:W7),$W$2:$W$1001,0),MATCH(COLUMNS($AD$1006:AF1006),$AD$1006:$AU$1006,0)), HYPERLINK("#",""), HYPERLINK(CONCATENATE("#metadata!", ADDRESS(INDEX($Y$2:$Y$1001,MATCH(ROWS($W$2:W7),$W$2:$W$1001,0),0), INDEX($AD$1004:$AU$1004,1,MATCH(COLUMNS($AD$1006:AF1006),$AD$1006:$AU$1006,0)))),"Fix")))</f>
        <v xml:space="preserve"> </v>
      </c>
      <c r="E7" s="4" t="str">
        <f ca="1">IF(OR(INDEX($X$2:$X$1001,MATCH(ROWS($W$2:W7),$W$2:$W$1001,0),1)&gt;=100000,INDEX($AD$1005:$AU$1005,1,MATCH(COLUMNS($AD$1006:AG1006),$AD$1006:$AU$1006,0))&gt;=100000), " ",IF(INDEX($AD$2:$AU$1001,MATCH(ROWS($W$2:W7),$W$2:$W$1001,0),MATCH(COLUMNS($AD$1006:AG1006),$AD$1006:$AU$1006,0)), HYPERLINK("#",""), HYPERLINK(CONCATENATE("#metadata!", ADDRESS(INDEX($Y$2:$Y$1001,MATCH(ROWS($W$2:W7),$W$2:$W$1001,0),0), INDEX($AD$1004:$AU$1004,1,MATCH(COLUMNS($AD$1006:AG1006),$AD$1006:$AU$1006,0)))),"Fix")))</f>
        <v xml:space="preserve"> </v>
      </c>
      <c r="F7" s="4" t="str">
        <f ca="1">IF(OR(INDEX($X$2:$X$1001,MATCH(ROWS($W$2:W7),$W$2:$W$1001,0),1)&gt;=100000,INDEX($AD$1005:$AU$1005,1,MATCH(COLUMNS($AD$1006:AH1006),$AD$1006:$AU$1006,0))&gt;=100000), " ",IF(INDEX($AD$2:$AU$1001,MATCH(ROWS($W$2:W7),$W$2:$W$1001,0),MATCH(COLUMNS($AD$1006:AH1006),$AD$1006:$AU$1006,0)), HYPERLINK("#",""), HYPERLINK(CONCATENATE("#metadata!", ADDRESS(INDEX($Y$2:$Y$1001,MATCH(ROWS($W$2:W7),$W$2:$W$1001,0),0), INDEX($AD$1004:$AU$1004,1,MATCH(COLUMNS($AD$1006:AH1006),$AD$1006:$AU$1006,0)))),"Fix")))</f>
        <v xml:space="preserve"> </v>
      </c>
      <c r="G7" s="4" t="str">
        <f ca="1">IF(OR(INDEX($X$2:$X$1001,MATCH(ROWS($W$2:W7),$W$2:$W$1001,0),1)&gt;=100000,INDEX($AD$1005:$AU$1005,1,MATCH(COLUMNS($AD$1006:AI1006),$AD$1006:$AU$1006,0))&gt;=100000), " ",IF(INDEX($AD$2:$AU$1001,MATCH(ROWS($W$2:W7),$W$2:$W$1001,0),MATCH(COLUMNS($AD$1006:AI1006),$AD$1006:$AU$1006,0)), HYPERLINK("#",""), HYPERLINK(CONCATENATE("#metadata!", ADDRESS(INDEX($Y$2:$Y$1001,MATCH(ROWS($W$2:W7),$W$2:$W$1001,0),0), INDEX($AD$1004:$AU$1004,1,MATCH(COLUMNS($AD$1006:AI1006),$AD$1006:$AU$1006,0)))),"Fix")))</f>
        <v xml:space="preserve"> </v>
      </c>
      <c r="H7" s="4" t="str">
        <f ca="1">IF(OR(INDEX($X$2:$X$1001,MATCH(ROWS($W$2:W7),$W$2:$W$1001,0),1)&gt;=100000,INDEX($AD$1005:$AU$1005,1,MATCH(COLUMNS($AD$1006:AJ1006),$AD$1006:$AU$1006,0))&gt;=100000), " ",IF(INDEX($AD$2:$AU$1001,MATCH(ROWS($W$2:W7),$W$2:$W$1001,0),MATCH(COLUMNS($AD$1006:AJ1006),$AD$1006:$AU$1006,0)), HYPERLINK("#",""), HYPERLINK(CONCATENATE("#metadata!", ADDRESS(INDEX($Y$2:$Y$1001,MATCH(ROWS($W$2:W7),$W$2:$W$1001,0),0), INDEX($AD$1004:$AU$1004,1,MATCH(COLUMNS($AD$1006:AJ1006),$AD$1006:$AU$1006,0)))),"Fix")))</f>
        <v xml:space="preserve"> </v>
      </c>
      <c r="I7" s="4" t="str">
        <f ca="1">IF(OR(INDEX($X$2:$X$1001,MATCH(ROWS($W$2:W7),$W$2:$W$1001,0),1)&gt;=100000,INDEX($AD$1005:$AU$1005,1,MATCH(COLUMNS($AD$1006:AK1006),$AD$1006:$AU$1006,0))&gt;=100000), " ",IF(INDEX($AD$2:$AU$1001,MATCH(ROWS($W$2:W7),$W$2:$W$1001,0),MATCH(COLUMNS($AD$1006:AK1006),$AD$1006:$AU$1006,0)), HYPERLINK("#",""), HYPERLINK(CONCATENATE("#metadata!", ADDRESS(INDEX($Y$2:$Y$1001,MATCH(ROWS($W$2:W7),$W$2:$W$1001,0),0), INDEX($AD$1004:$AU$1004,1,MATCH(COLUMNS($AD$1006:AK1006),$AD$1006:$AU$1006,0)))),"Fix")))</f>
        <v xml:space="preserve"> </v>
      </c>
      <c r="J7" s="4" t="str">
        <f ca="1">IF(OR(INDEX($X$2:$X$1001,MATCH(ROWS($W$2:W7),$W$2:$W$1001,0),1)&gt;=100000,INDEX($AD$1005:$AU$1005,1,MATCH(COLUMNS($AD$1006:AL1006),$AD$1006:$AU$1006,0))&gt;=100000), " ",IF(INDEX($AD$2:$AU$1001,MATCH(ROWS($W$2:W7),$W$2:$W$1001,0),MATCH(COLUMNS($AD$1006:AL1006),$AD$1006:$AU$1006,0)), HYPERLINK("#",""), HYPERLINK(CONCATENATE("#metadata!", ADDRESS(INDEX($Y$2:$Y$1001,MATCH(ROWS($W$2:W7),$W$2:$W$1001,0),0), INDEX($AD$1004:$AU$1004,1,MATCH(COLUMNS($AD$1006:AL1006),$AD$1006:$AU$1006,0)))),"Fix")))</f>
        <v xml:space="preserve"> </v>
      </c>
      <c r="K7" s="4" t="str">
        <f ca="1">IF(OR(INDEX($X$2:$X$1001,MATCH(ROWS($W$2:W7),$W$2:$W$1001,0),1)&gt;=100000,INDEX($AD$1005:$AU$1005,1,MATCH(COLUMNS($AD$1006:AM1006),$AD$1006:$AU$1006,0))&gt;=100000), " ",IF(INDEX($AD$2:$AU$1001,MATCH(ROWS($W$2:W7),$W$2:$W$1001,0),MATCH(COLUMNS($AD$1006:AM1006),$AD$1006:$AU$1006,0)), HYPERLINK("#",""), HYPERLINK(CONCATENATE("#metadata!", ADDRESS(INDEX($Y$2:$Y$1001,MATCH(ROWS($W$2:W7),$W$2:$W$1001,0),0), INDEX($AD$1004:$AU$1004,1,MATCH(COLUMNS($AD$1006:AM1006),$AD$1006:$AU$1006,0)))),"Fix")))</f>
        <v xml:space="preserve"> </v>
      </c>
      <c r="L7" s="4" t="str">
        <f ca="1">IF(OR(INDEX($X$2:$X$1001,MATCH(ROWS($W$2:W7),$W$2:$W$1001,0),1)&gt;=100000,INDEX($AD$1005:$AU$1005,1,MATCH(COLUMNS($AD$1006:AN1006),$AD$1006:$AU$1006,0))&gt;=100000), " ",IF(INDEX($AD$2:$AU$1001,MATCH(ROWS($W$2:W7),$W$2:$W$1001,0),MATCH(COLUMNS($AD$1006:AN1006),$AD$1006:$AU$1006,0)), HYPERLINK("#",""), HYPERLINK(CONCATENATE("#metadata!", ADDRESS(INDEX($Y$2:$Y$1001,MATCH(ROWS($W$2:W7),$W$2:$W$1001,0),0), INDEX($AD$1004:$AU$1004,1,MATCH(COLUMNS($AD$1006:AN1006),$AD$1006:$AU$1006,0)))),"Fix")))</f>
        <v xml:space="preserve"> </v>
      </c>
      <c r="M7" s="4" t="str">
        <f ca="1">IF(OR(INDEX($X$2:$X$1001,MATCH(ROWS($W$2:W7),$W$2:$W$1001,0),1)&gt;=100000,INDEX($AD$1005:$AU$1005,1,MATCH(COLUMNS($AD$1006:AO1006),$AD$1006:$AU$1006,0))&gt;=100000), " ",IF(INDEX($AD$2:$AU$1001,MATCH(ROWS($W$2:W7),$W$2:$W$1001,0),MATCH(COLUMNS($AD$1006:AO1006),$AD$1006:$AU$1006,0)), HYPERLINK("#",""), HYPERLINK(CONCATENATE("#metadata!", ADDRESS(INDEX($Y$2:$Y$1001,MATCH(ROWS($W$2:W7),$W$2:$W$1001,0),0), INDEX($AD$1004:$AU$1004,1,MATCH(COLUMNS($AD$1006:AO1006),$AD$1006:$AU$1006,0)))),"Fix")))</f>
        <v xml:space="preserve"> </v>
      </c>
      <c r="N7" s="4" t="str">
        <f ca="1">IF(OR(INDEX($X$2:$X$1001,MATCH(ROWS($W$2:W7),$W$2:$W$1001,0),1)&gt;=100000,INDEX($AD$1005:$AU$1005,1,MATCH(COLUMNS($AD$1006:AP1006),$AD$1006:$AU$1006,0))&gt;=100000), " ",IF(INDEX($AD$2:$AU$1001,MATCH(ROWS($W$2:W7),$W$2:$W$1001,0),MATCH(COLUMNS($AD$1006:AP1006),$AD$1006:$AU$1006,0)), HYPERLINK("#",""), HYPERLINK(CONCATENATE("#metadata!", ADDRESS(INDEX($Y$2:$Y$1001,MATCH(ROWS($W$2:W7),$W$2:$W$1001,0),0), INDEX($AD$1004:$AU$1004,1,MATCH(COLUMNS($AD$1006:AP1006),$AD$1006:$AU$1006,0)))),"Fix")))</f>
        <v xml:space="preserve"> </v>
      </c>
      <c r="O7" s="4" t="str">
        <f ca="1">IF(OR(INDEX($X$2:$X$1001,MATCH(ROWS($W$2:W7),$W$2:$W$1001,0),1)&gt;=100000,INDEX($AD$1005:$AU$1005,1,MATCH(COLUMNS($AD$1006:AQ1006),$AD$1006:$AU$1006,0))&gt;=100000), " ",IF(INDEX($AD$2:$AU$1001,MATCH(ROWS($W$2:W7),$W$2:$W$1001,0),MATCH(COLUMNS($AD$1006:AQ1006),$AD$1006:$AU$1006,0)), HYPERLINK("#",""), HYPERLINK(CONCATENATE("#metadata!", ADDRESS(INDEX($Y$2:$Y$1001,MATCH(ROWS($W$2:W7),$W$2:$W$1001,0),0), INDEX($AD$1004:$AU$1004,1,MATCH(COLUMNS($AD$1006:AQ1006),$AD$1006:$AU$1006,0)))),"Fix")))</f>
        <v xml:space="preserve"> </v>
      </c>
      <c r="P7" s="4" t="str">
        <f ca="1">IF(OR(INDEX($X$2:$X$1001,MATCH(ROWS($W$2:W7),$W$2:$W$1001,0),1)&gt;=100000,INDEX($AD$1005:$AU$1005,1,MATCH(COLUMNS($AD$1006:AR1006),$AD$1006:$AU$1006,0))&gt;=100000), " ",IF(INDEX($AD$2:$AU$1001,MATCH(ROWS($W$2:W7),$W$2:$W$1001,0),MATCH(COLUMNS($AD$1006:AR1006),$AD$1006:$AU$1006,0)), HYPERLINK("#",""), HYPERLINK(CONCATENATE("#metadata!", ADDRESS(INDEX($Y$2:$Y$1001,MATCH(ROWS($W$2:W7),$W$2:$W$1001,0),0), INDEX($AD$1004:$AU$1004,1,MATCH(COLUMNS($AD$1006:AR1006),$AD$1006:$AU$1006,0)))),"Fix")))</f>
        <v xml:space="preserve"> </v>
      </c>
      <c r="Q7" s="4" t="str">
        <f ca="1">IF(OR(INDEX($X$2:$X$1001,MATCH(ROWS($W$2:W7),$W$2:$W$1001,0),1)&gt;=100000,INDEX($AD$1005:$AU$1005,1,MATCH(COLUMNS($AD$1006:AS1006),$AD$1006:$AU$1006,0))&gt;=100000), " ",IF(INDEX($AD$2:$AU$1001,MATCH(ROWS($W$2:W7),$W$2:$W$1001,0),MATCH(COLUMNS($AD$1006:AS1006),$AD$1006:$AU$1006,0)), HYPERLINK("#",""), HYPERLINK(CONCATENATE("#metadata!", ADDRESS(INDEX($Y$2:$Y$1001,MATCH(ROWS($W$2:W7),$W$2:$W$1001,0),0), INDEX($AD$1004:$AU$1004,1,MATCH(COLUMNS($AD$1006:AS1006),$AD$1006:$AU$1006,0)))),"Fix")))</f>
        <v xml:space="preserve"> </v>
      </c>
      <c r="R7" s="4" t="str">
        <f ca="1">IF(OR(INDEX($X$2:$X$1001,MATCH(ROWS($W$2:W7),$W$2:$W$1001,0),1)&gt;=100000,INDEX($AD$1005:$AU$1005,1,MATCH(COLUMNS($AD$1006:AT1006),$AD$1006:$AU$1006,0))&gt;=100000), " ",IF(INDEX($AD$2:$AU$1001,MATCH(ROWS($W$2:W7),$W$2:$W$1001,0),MATCH(COLUMNS($AD$1006:AT1006),$AD$1006:$AU$1006,0)), HYPERLINK("#",""), HYPERLINK(CONCATENATE("#metadata!", ADDRESS(INDEX($Y$2:$Y$1001,MATCH(ROWS($W$2:W7),$W$2:$W$1001,0),0), INDEX($AD$1004:$AU$1004,1,MATCH(COLUMNS($AD$1006:AT1006),$AD$1006:$AU$1006,0)))),"Fix")))</f>
        <v xml:space="preserve"> </v>
      </c>
      <c r="S7" s="4" t="str">
        <f ca="1">IF(OR(INDEX($X$2:$X$1001,MATCH(ROWS($W$2:W7),$W$2:$W$1001,0),1)&gt;=100000,INDEX($AD$1005:$AU$1005,1,MATCH(COLUMNS($AD$1006:AU1006),$AD$1006:$AU$1006,0))&gt;=100000), " ",IF(INDEX($AD$2:$AU$1001,MATCH(ROWS($W$2:W7),$W$2:$W$1001,0),MATCH(COLUMNS($AD$1006:AU1006),$AD$1006:$AU$1006,0)), HYPERLINK("#",""), HYPERLINK(CONCATENATE("#metadata!", ADDRESS(INDEX($Y$2:$Y$1001,MATCH(ROWS($W$2:W7),$W$2:$W$1001,0),0), INDEX($AD$1004:$AU$1004,1,MATCH(COLUMNS($AD$1006:AU1006),$AD$1006:$AU$1006,0)))),"Fix")))</f>
        <v xml:space="preserve"> </v>
      </c>
      <c r="W7">
        <v>6</v>
      </c>
      <c r="X7">
        <v>100007</v>
      </c>
      <c r="Y7">
        <v>7</v>
      </c>
      <c r="Z7" t="b">
        <f t="shared" si="0"/>
        <v>1</v>
      </c>
      <c r="AA7" t="b">
        <f>COUNTBLANK(metadata!B7:S7)=COLUMNS(metadata!B7:S7)</f>
        <v>1</v>
      </c>
      <c r="AB7" t="str">
        <v/>
      </c>
      <c r="AD7" t="b">
        <f ca="1">AND(IF(metadata!B7="",FALSE,TRUE),COUNTIF(metadata!B:B, metadata!B7) = 1,NOT(ISERROR(SUMPRODUCT(SEARCH(MID(metadata!B7,ROW(INDIRECT("1:"&amp;LEN(metadata!B7))), 1),"0123456789abcdefghijklmnopqrstuvwxyzABCDEFGHIJKLMNOPQRSTUVWXYZ.")))))</f>
        <v>0</v>
      </c>
      <c r="AE7" t="b">
        <f>OR(AND(IF(metadata!C7="",FALSE,TRUE),OR(EXACT(metadata!C7,"not applicable"),EXACT(metadata!C7,"missing: not collected"),EXACT(metadata!C7,"missing: not provided"),EXACT(metadata!C7,"missing: restricted access"))),AND(IF(metadata!C7="",FALSE,ISNUMBER(VALUE(metadata!C7))),metadata!C7&gt;0))</f>
        <v>0</v>
      </c>
      <c r="AF7" t="b">
        <f>AND(IF(metadata!D7="",FALSE,TRUE),EXACT(metadata!D7,"missing: not provided"))</f>
        <v>0</v>
      </c>
      <c r="AG7" t="b">
        <f>AND(IF(metadata!E7="",FALSE,TRUE),EXACT(metadata!E7,"Host-associated"))</f>
        <v>0</v>
      </c>
      <c r="AH7" t="b">
        <f>AND(IF(metadata!F7="",FALSE,TRUE),OR(EXACT(metadata!F7,"Animal"),EXACT(metadata!F7,"Fungus"),EXACT(metadata!F7,"Plant")))</f>
        <v>0</v>
      </c>
      <c r="AI7" t="b">
        <f>AND(IF(metadata!G7="",FALSE,TRUE),OR(EXACT(metadata!G7,"Plant secretion"),EXACT(metadata!G7,"Plant rhizosphere"),EXACT(metadata!G7,"Plant surface"),EXACT(metadata!G7,"Plant corpus"),EXACT(metadata!G7,"Fungus surface"),EXACT(metadata!G7,"Fungus corpus"),EXACT(metadata!G7,"Animal surface"),EXACT(metadata!G7,"Animal proximal gut"),EXACT(metadata!G7,"Animal corpus"),EXACT(metadata!G7,"Animal distal gut"),EXACT(metadata!G7,"Animal secretion")))</f>
        <v>0</v>
      </c>
      <c r="AJ7" t="b">
        <f>OR(AND(IF(metadata!H7="",FALSE,TRUE),OR(EXACT(metadata!H7,"missing: not collected"),EXACT(metadata!H7,"missing: not provided"),EXACT(metadata!H7,"missing: restricted access"))),AND(IF(metadata!H7="",FALSE,TRUE),OR(EXACT(metadata!H7,"organism-associated habitat"),EXACT(metadata!H7,"plant-associated habitat"),EXACT(metadata!H7,"animal-associated habitat"),EXACT(metadata!H7,"insecta-associated habitat"),EXACT(metadata!H7,"mammalia-associated habitat"),EXACT(metadata!H7,"human-associated habitat"),EXACT(metadata!H7,"livestock-associated habitat"))))</f>
        <v>0</v>
      </c>
      <c r="AK7" t="b">
        <f>AND(IF(metadata!I7="",FALSE,TRUE),EXACT(metadata!I7,"host-associated"))</f>
        <v>0</v>
      </c>
      <c r="AL7" t="b">
        <f>OR(AND(IF(metadata!J7="",FALSE,TRUE),OR(EXACT(metadata!J7,"not applicable"),EXACT(metadata!J7,"missing: not collected"),EXACT(metadata!J7,"missing: not provided"),EXACT(metadata!J7,"missing: restricted access"))),AND(IF(metadata!J7="",FALSE,ISNUMBER(VALUE(metadata!J7))),metadata!J7&gt;0))</f>
        <v>0</v>
      </c>
      <c r="AM7" t="b">
        <f>AND(IF(metadata!K7="",FALSE,TRUE),EXACT(metadata!K7,"missing: not provided"))</f>
        <v>0</v>
      </c>
      <c r="AN7" t="b">
        <f>IF(metadata!L7="",FALSE,TRUE)</f>
        <v>0</v>
      </c>
      <c r="AO7" t="b">
        <f>IF(metadata!M7="",FALSE,TRUE)</f>
        <v>0</v>
      </c>
      <c r="AP7" t="b">
        <f>OR(AND(IF(metadata!N7="",FALSE,TRUE),OR(EXACT(metadata!N7,"not applicable"),EXACT(metadata!N7,"missing: not collected"),EXACT(metadata!N7,"missing: not provided"))),AND(IF(metadata!N7="",FALSE,IF(ISERROR(INT(metadata!N7)),FALSE,INT(metadata!N7)=metadata!N7)),metadata!N7&gt;0))</f>
        <v>0</v>
      </c>
      <c r="AQ7" t="b">
        <f>AND(IF(metadata!O7="",FALSE,TRUE),EXACT(metadata!O7,"Not applicable"))</f>
        <v>0</v>
      </c>
      <c r="AR7" t="b">
        <f>OR(AND(IF(metadata!P7="",FALSE,TRUE),OR(EXACT(metadata!P7,"not applicable"),EXACT(metadata!P7,"missing: not collected"),EXACT(metadata!P7,"missing: not provided"),EXACT(metadata!P7,"missing: restricted access"))),IF(metadata!P7="",FALSE,IF(ISERROR(INT(metadata!P7)),FALSE,INT(metadata!P7)=metadata!P7)))</f>
        <v>0</v>
      </c>
      <c r="AS7" t="b">
        <f>AND(IF(metadata!Q7="",FALSE,TRUE),EXACT(metadata!Q7,"Not applicable"))</f>
        <v>0</v>
      </c>
      <c r="AT7" t="b">
        <f>OR(AND(IF(metadata!R7="",FALSE,TRUE),OR(EXACT(metadata!R7,"not applicable"),EXACT(metadata!R7,"missing: not collected"),EXACT(metadata!R7,"missing: not provided"),EXACT(metadata!R7,"missing: restricted access"))),AND(IF(metadata!R7="",FALSE,ISNUMBER(VALUE(metadata!R7))),metadata!R7&gt;0))</f>
        <v>0</v>
      </c>
      <c r="AU7" t="b">
        <f>AND(IF(metadata!S7="",FALSE,TRUE),EXACT(metadata!S7,"missing: not provided"))</f>
        <v>0</v>
      </c>
    </row>
    <row r="8" spans="1:47" x14ac:dyDescent="0.2">
      <c r="A8" s="5" t="str">
        <f ca="1">IF(B8=" "," ",HYPERLINK(CONCATENATE("#metadata!",ADDRESS(INDEX($Y$2:$Y$1001,MATCH(ROWS($W$2:W8),$W$2:$W$1001,0),0),1)),INDEX($AB$2:$AB$1001,MATCH(ROWS($W$2:W8),$W$2:$W$1001,0),0)))</f>
        <v xml:space="preserve"> </v>
      </c>
      <c r="B8" s="4" t="str">
        <f ca="1">IF(OR(INDEX($X$2:$X$1001,MATCH(ROWS($W$2:W8),$W$2:$W$1001,0),1)&gt;=100000,INDEX($AD$1005:$AU$1005,1,MATCH(COLUMNS($AD$1006:AD1006),$AD$1006:$AU$1006,0))&gt;=100000), " ",IF(INDEX($AD$2:$AU$1001,MATCH(ROWS($W$2:W8),$W$2:$W$1001,0),MATCH(COLUMNS($AD$1006:AD1006),$AD$1006:$AU$1006,0)), HYPERLINK("#",""), HYPERLINK(CONCATENATE("#metadata!", ADDRESS(INDEX($Y$2:$Y$1001,MATCH(ROWS($W$2:W8),$W$2:$W$1001,0),0), INDEX($AD$1004:$AU$1004,1,MATCH(COLUMNS($AD$1006:AD1006),$AD$1006:$AU$1006,0)))),"Fix")))</f>
        <v xml:space="preserve"> </v>
      </c>
      <c r="C8" s="4" t="str">
        <f ca="1">IF(OR(INDEX($X$2:$X$1001,MATCH(ROWS($W$2:W8),$W$2:$W$1001,0),1)&gt;=100000,INDEX($AD$1005:$AU$1005,1,MATCH(COLUMNS($AD$1006:AE1006),$AD$1006:$AU$1006,0))&gt;=100000), " ",IF(INDEX($AD$2:$AU$1001,MATCH(ROWS($W$2:W8),$W$2:$W$1001,0),MATCH(COLUMNS($AD$1006:AE1006),$AD$1006:$AU$1006,0)), HYPERLINK("#",""), HYPERLINK(CONCATENATE("#metadata!", ADDRESS(INDEX($Y$2:$Y$1001,MATCH(ROWS($W$2:W8),$W$2:$W$1001,0),0), INDEX($AD$1004:$AU$1004,1,MATCH(COLUMNS($AD$1006:AE1006),$AD$1006:$AU$1006,0)))),"Fix")))</f>
        <v xml:space="preserve"> </v>
      </c>
      <c r="D8" s="4" t="str">
        <f ca="1">IF(OR(INDEX($X$2:$X$1001,MATCH(ROWS($W$2:W8),$W$2:$W$1001,0),1)&gt;=100000,INDEX($AD$1005:$AU$1005,1,MATCH(COLUMNS($AD$1006:AF1006),$AD$1006:$AU$1006,0))&gt;=100000), " ",IF(INDEX($AD$2:$AU$1001,MATCH(ROWS($W$2:W8),$W$2:$W$1001,0),MATCH(COLUMNS($AD$1006:AF1006),$AD$1006:$AU$1006,0)), HYPERLINK("#",""), HYPERLINK(CONCATENATE("#metadata!", ADDRESS(INDEX($Y$2:$Y$1001,MATCH(ROWS($W$2:W8),$W$2:$W$1001,0),0), INDEX($AD$1004:$AU$1004,1,MATCH(COLUMNS($AD$1006:AF1006),$AD$1006:$AU$1006,0)))),"Fix")))</f>
        <v xml:space="preserve"> </v>
      </c>
      <c r="E8" s="4" t="str">
        <f ca="1">IF(OR(INDEX($X$2:$X$1001,MATCH(ROWS($W$2:W8),$W$2:$W$1001,0),1)&gt;=100000,INDEX($AD$1005:$AU$1005,1,MATCH(COLUMNS($AD$1006:AG1006),$AD$1006:$AU$1006,0))&gt;=100000), " ",IF(INDEX($AD$2:$AU$1001,MATCH(ROWS($W$2:W8),$W$2:$W$1001,0),MATCH(COLUMNS($AD$1006:AG1006),$AD$1006:$AU$1006,0)), HYPERLINK("#",""), HYPERLINK(CONCATENATE("#metadata!", ADDRESS(INDEX($Y$2:$Y$1001,MATCH(ROWS($W$2:W8),$W$2:$W$1001,0),0), INDEX($AD$1004:$AU$1004,1,MATCH(COLUMNS($AD$1006:AG1006),$AD$1006:$AU$1006,0)))),"Fix")))</f>
        <v xml:space="preserve"> </v>
      </c>
      <c r="F8" s="4" t="str">
        <f ca="1">IF(OR(INDEX($X$2:$X$1001,MATCH(ROWS($W$2:W8),$W$2:$W$1001,0),1)&gt;=100000,INDEX($AD$1005:$AU$1005,1,MATCH(COLUMNS($AD$1006:AH1006),$AD$1006:$AU$1006,0))&gt;=100000), " ",IF(INDEX($AD$2:$AU$1001,MATCH(ROWS($W$2:W8),$W$2:$W$1001,0),MATCH(COLUMNS($AD$1006:AH1006),$AD$1006:$AU$1006,0)), HYPERLINK("#",""), HYPERLINK(CONCATENATE("#metadata!", ADDRESS(INDEX($Y$2:$Y$1001,MATCH(ROWS($W$2:W8),$W$2:$W$1001,0),0), INDEX($AD$1004:$AU$1004,1,MATCH(COLUMNS($AD$1006:AH1006),$AD$1006:$AU$1006,0)))),"Fix")))</f>
        <v xml:space="preserve"> </v>
      </c>
      <c r="G8" s="4" t="str">
        <f ca="1">IF(OR(INDEX($X$2:$X$1001,MATCH(ROWS($W$2:W8),$W$2:$W$1001,0),1)&gt;=100000,INDEX($AD$1005:$AU$1005,1,MATCH(COLUMNS($AD$1006:AI1006),$AD$1006:$AU$1006,0))&gt;=100000), " ",IF(INDEX($AD$2:$AU$1001,MATCH(ROWS($W$2:W8),$W$2:$W$1001,0),MATCH(COLUMNS($AD$1006:AI1006),$AD$1006:$AU$1006,0)), HYPERLINK("#",""), HYPERLINK(CONCATENATE("#metadata!", ADDRESS(INDEX($Y$2:$Y$1001,MATCH(ROWS($W$2:W8),$W$2:$W$1001,0),0), INDEX($AD$1004:$AU$1004,1,MATCH(COLUMNS($AD$1006:AI1006),$AD$1006:$AU$1006,0)))),"Fix")))</f>
        <v xml:space="preserve"> </v>
      </c>
      <c r="H8" s="4" t="str">
        <f ca="1">IF(OR(INDEX($X$2:$X$1001,MATCH(ROWS($W$2:W8),$W$2:$W$1001,0),1)&gt;=100000,INDEX($AD$1005:$AU$1005,1,MATCH(COLUMNS($AD$1006:AJ1006),$AD$1006:$AU$1006,0))&gt;=100000), " ",IF(INDEX($AD$2:$AU$1001,MATCH(ROWS($W$2:W8),$W$2:$W$1001,0),MATCH(COLUMNS($AD$1006:AJ1006),$AD$1006:$AU$1006,0)), HYPERLINK("#",""), HYPERLINK(CONCATENATE("#metadata!", ADDRESS(INDEX($Y$2:$Y$1001,MATCH(ROWS($W$2:W8),$W$2:$W$1001,0),0), INDEX($AD$1004:$AU$1004,1,MATCH(COLUMNS($AD$1006:AJ1006),$AD$1006:$AU$1006,0)))),"Fix")))</f>
        <v xml:space="preserve"> </v>
      </c>
      <c r="I8" s="4" t="str">
        <f ca="1">IF(OR(INDEX($X$2:$X$1001,MATCH(ROWS($W$2:W8),$W$2:$W$1001,0),1)&gt;=100000,INDEX($AD$1005:$AU$1005,1,MATCH(COLUMNS($AD$1006:AK1006),$AD$1006:$AU$1006,0))&gt;=100000), " ",IF(INDEX($AD$2:$AU$1001,MATCH(ROWS($W$2:W8),$W$2:$W$1001,0),MATCH(COLUMNS($AD$1006:AK1006),$AD$1006:$AU$1006,0)), HYPERLINK("#",""), HYPERLINK(CONCATENATE("#metadata!", ADDRESS(INDEX($Y$2:$Y$1001,MATCH(ROWS($W$2:W8),$W$2:$W$1001,0),0), INDEX($AD$1004:$AU$1004,1,MATCH(COLUMNS($AD$1006:AK1006),$AD$1006:$AU$1006,0)))),"Fix")))</f>
        <v xml:space="preserve"> </v>
      </c>
      <c r="J8" s="4" t="str">
        <f ca="1">IF(OR(INDEX($X$2:$X$1001,MATCH(ROWS($W$2:W8),$W$2:$W$1001,0),1)&gt;=100000,INDEX($AD$1005:$AU$1005,1,MATCH(COLUMNS($AD$1006:AL1006),$AD$1006:$AU$1006,0))&gt;=100000), " ",IF(INDEX($AD$2:$AU$1001,MATCH(ROWS($W$2:W8),$W$2:$W$1001,0),MATCH(COLUMNS($AD$1006:AL1006),$AD$1006:$AU$1006,0)), HYPERLINK("#",""), HYPERLINK(CONCATENATE("#metadata!", ADDRESS(INDEX($Y$2:$Y$1001,MATCH(ROWS($W$2:W8),$W$2:$W$1001,0),0), INDEX($AD$1004:$AU$1004,1,MATCH(COLUMNS($AD$1006:AL1006),$AD$1006:$AU$1006,0)))),"Fix")))</f>
        <v xml:space="preserve"> </v>
      </c>
      <c r="K8" s="4" t="str">
        <f ca="1">IF(OR(INDEX($X$2:$X$1001,MATCH(ROWS($W$2:W8),$W$2:$W$1001,0),1)&gt;=100000,INDEX($AD$1005:$AU$1005,1,MATCH(COLUMNS($AD$1006:AM1006),$AD$1006:$AU$1006,0))&gt;=100000), " ",IF(INDEX($AD$2:$AU$1001,MATCH(ROWS($W$2:W8),$W$2:$W$1001,0),MATCH(COLUMNS($AD$1006:AM1006),$AD$1006:$AU$1006,0)), HYPERLINK("#",""), HYPERLINK(CONCATENATE("#metadata!", ADDRESS(INDEX($Y$2:$Y$1001,MATCH(ROWS($W$2:W8),$W$2:$W$1001,0),0), INDEX($AD$1004:$AU$1004,1,MATCH(COLUMNS($AD$1006:AM1006),$AD$1006:$AU$1006,0)))),"Fix")))</f>
        <v xml:space="preserve"> </v>
      </c>
      <c r="L8" s="4" t="str">
        <f ca="1">IF(OR(INDEX($X$2:$X$1001,MATCH(ROWS($W$2:W8),$W$2:$W$1001,0),1)&gt;=100000,INDEX($AD$1005:$AU$1005,1,MATCH(COLUMNS($AD$1006:AN1006),$AD$1006:$AU$1006,0))&gt;=100000), " ",IF(INDEX($AD$2:$AU$1001,MATCH(ROWS($W$2:W8),$W$2:$W$1001,0),MATCH(COLUMNS($AD$1006:AN1006),$AD$1006:$AU$1006,0)), HYPERLINK("#",""), HYPERLINK(CONCATENATE("#metadata!", ADDRESS(INDEX($Y$2:$Y$1001,MATCH(ROWS($W$2:W8),$W$2:$W$1001,0),0), INDEX($AD$1004:$AU$1004,1,MATCH(COLUMNS($AD$1006:AN1006),$AD$1006:$AU$1006,0)))),"Fix")))</f>
        <v xml:space="preserve"> </v>
      </c>
      <c r="M8" s="4" t="str">
        <f ca="1">IF(OR(INDEX($X$2:$X$1001,MATCH(ROWS($W$2:W8),$W$2:$W$1001,0),1)&gt;=100000,INDEX($AD$1005:$AU$1005,1,MATCH(COLUMNS($AD$1006:AO1006),$AD$1006:$AU$1006,0))&gt;=100000), " ",IF(INDEX($AD$2:$AU$1001,MATCH(ROWS($W$2:W8),$W$2:$W$1001,0),MATCH(COLUMNS($AD$1006:AO1006),$AD$1006:$AU$1006,0)), HYPERLINK("#",""), HYPERLINK(CONCATENATE("#metadata!", ADDRESS(INDEX($Y$2:$Y$1001,MATCH(ROWS($W$2:W8),$W$2:$W$1001,0),0), INDEX($AD$1004:$AU$1004,1,MATCH(COLUMNS($AD$1006:AO1006),$AD$1006:$AU$1006,0)))),"Fix")))</f>
        <v xml:space="preserve"> </v>
      </c>
      <c r="N8" s="4" t="str">
        <f ca="1">IF(OR(INDEX($X$2:$X$1001,MATCH(ROWS($W$2:W8),$W$2:$W$1001,0),1)&gt;=100000,INDEX($AD$1005:$AU$1005,1,MATCH(COLUMNS($AD$1006:AP1006),$AD$1006:$AU$1006,0))&gt;=100000), " ",IF(INDEX($AD$2:$AU$1001,MATCH(ROWS($W$2:W8),$W$2:$W$1001,0),MATCH(COLUMNS($AD$1006:AP1006),$AD$1006:$AU$1006,0)), HYPERLINK("#",""), HYPERLINK(CONCATENATE("#metadata!", ADDRESS(INDEX($Y$2:$Y$1001,MATCH(ROWS($W$2:W8),$W$2:$W$1001,0),0), INDEX($AD$1004:$AU$1004,1,MATCH(COLUMNS($AD$1006:AP1006),$AD$1006:$AU$1006,0)))),"Fix")))</f>
        <v xml:space="preserve"> </v>
      </c>
      <c r="O8" s="4" t="str">
        <f ca="1">IF(OR(INDEX($X$2:$X$1001,MATCH(ROWS($W$2:W8),$W$2:$W$1001,0),1)&gt;=100000,INDEX($AD$1005:$AU$1005,1,MATCH(COLUMNS($AD$1006:AQ1006),$AD$1006:$AU$1006,0))&gt;=100000), " ",IF(INDEX($AD$2:$AU$1001,MATCH(ROWS($W$2:W8),$W$2:$W$1001,0),MATCH(COLUMNS($AD$1006:AQ1006),$AD$1006:$AU$1006,0)), HYPERLINK("#",""), HYPERLINK(CONCATENATE("#metadata!", ADDRESS(INDEX($Y$2:$Y$1001,MATCH(ROWS($W$2:W8),$W$2:$W$1001,0),0), INDEX($AD$1004:$AU$1004,1,MATCH(COLUMNS($AD$1006:AQ1006),$AD$1006:$AU$1006,0)))),"Fix")))</f>
        <v xml:space="preserve"> </v>
      </c>
      <c r="P8" s="4" t="str">
        <f ca="1">IF(OR(INDEX($X$2:$X$1001,MATCH(ROWS($W$2:W8),$W$2:$W$1001,0),1)&gt;=100000,INDEX($AD$1005:$AU$1005,1,MATCH(COLUMNS($AD$1006:AR1006),$AD$1006:$AU$1006,0))&gt;=100000), " ",IF(INDEX($AD$2:$AU$1001,MATCH(ROWS($W$2:W8),$W$2:$W$1001,0),MATCH(COLUMNS($AD$1006:AR1006),$AD$1006:$AU$1006,0)), HYPERLINK("#",""), HYPERLINK(CONCATENATE("#metadata!", ADDRESS(INDEX($Y$2:$Y$1001,MATCH(ROWS($W$2:W8),$W$2:$W$1001,0),0), INDEX($AD$1004:$AU$1004,1,MATCH(COLUMNS($AD$1006:AR1006),$AD$1006:$AU$1006,0)))),"Fix")))</f>
        <v xml:space="preserve"> </v>
      </c>
      <c r="Q8" s="4" t="str">
        <f ca="1">IF(OR(INDEX($X$2:$X$1001,MATCH(ROWS($W$2:W8),$W$2:$W$1001,0),1)&gt;=100000,INDEX($AD$1005:$AU$1005,1,MATCH(COLUMNS($AD$1006:AS1006),$AD$1006:$AU$1006,0))&gt;=100000), " ",IF(INDEX($AD$2:$AU$1001,MATCH(ROWS($W$2:W8),$W$2:$W$1001,0),MATCH(COLUMNS($AD$1006:AS1006),$AD$1006:$AU$1006,0)), HYPERLINK("#",""), HYPERLINK(CONCATENATE("#metadata!", ADDRESS(INDEX($Y$2:$Y$1001,MATCH(ROWS($W$2:W8),$W$2:$W$1001,0),0), INDEX($AD$1004:$AU$1004,1,MATCH(COLUMNS($AD$1006:AS1006),$AD$1006:$AU$1006,0)))),"Fix")))</f>
        <v xml:space="preserve"> </v>
      </c>
      <c r="R8" s="4" t="str">
        <f ca="1">IF(OR(INDEX($X$2:$X$1001,MATCH(ROWS($W$2:W8),$W$2:$W$1001,0),1)&gt;=100000,INDEX($AD$1005:$AU$1005,1,MATCH(COLUMNS($AD$1006:AT1006),$AD$1006:$AU$1006,0))&gt;=100000), " ",IF(INDEX($AD$2:$AU$1001,MATCH(ROWS($W$2:W8),$W$2:$W$1001,0),MATCH(COLUMNS($AD$1006:AT1006),$AD$1006:$AU$1006,0)), HYPERLINK("#",""), HYPERLINK(CONCATENATE("#metadata!", ADDRESS(INDEX($Y$2:$Y$1001,MATCH(ROWS($W$2:W8),$W$2:$W$1001,0),0), INDEX($AD$1004:$AU$1004,1,MATCH(COLUMNS($AD$1006:AT1006),$AD$1006:$AU$1006,0)))),"Fix")))</f>
        <v xml:space="preserve"> </v>
      </c>
      <c r="S8" s="4" t="str">
        <f ca="1">IF(OR(INDEX($X$2:$X$1001,MATCH(ROWS($W$2:W8),$W$2:$W$1001,0),1)&gt;=100000,INDEX($AD$1005:$AU$1005,1,MATCH(COLUMNS($AD$1006:AU1006),$AD$1006:$AU$1006,0))&gt;=100000), " ",IF(INDEX($AD$2:$AU$1001,MATCH(ROWS($W$2:W8),$W$2:$W$1001,0),MATCH(COLUMNS($AD$1006:AU1006),$AD$1006:$AU$1006,0)), HYPERLINK("#",""), HYPERLINK(CONCATENATE("#metadata!", ADDRESS(INDEX($Y$2:$Y$1001,MATCH(ROWS($W$2:W8),$W$2:$W$1001,0),0), INDEX($AD$1004:$AU$1004,1,MATCH(COLUMNS($AD$1006:AU1006),$AD$1006:$AU$1006,0)))),"Fix")))</f>
        <v xml:space="preserve"> </v>
      </c>
      <c r="W8">
        <v>7</v>
      </c>
      <c r="X8">
        <v>100008</v>
      </c>
      <c r="Y8">
        <v>8</v>
      </c>
      <c r="Z8" t="b">
        <f t="shared" si="0"/>
        <v>1</v>
      </c>
      <c r="AA8" t="b">
        <f>COUNTBLANK(metadata!B8:S8)=COLUMNS(metadata!B8:S8)</f>
        <v>1</v>
      </c>
      <c r="AB8" t="str">
        <v/>
      </c>
      <c r="AD8" t="b">
        <f ca="1">AND(IF(metadata!B8="",FALSE,TRUE),COUNTIF(metadata!B:B, metadata!B8) = 1,NOT(ISERROR(SUMPRODUCT(SEARCH(MID(metadata!B8,ROW(INDIRECT("1:"&amp;LEN(metadata!B8))), 1),"0123456789abcdefghijklmnopqrstuvwxyzABCDEFGHIJKLMNOPQRSTUVWXYZ.")))))</f>
        <v>0</v>
      </c>
      <c r="AE8" t="b">
        <f>OR(AND(IF(metadata!C8="",FALSE,TRUE),OR(EXACT(metadata!C8,"not applicable"),EXACT(metadata!C8,"missing: not collected"),EXACT(metadata!C8,"missing: not provided"),EXACT(metadata!C8,"missing: restricted access"))),AND(IF(metadata!C8="",FALSE,ISNUMBER(VALUE(metadata!C8))),metadata!C8&gt;0))</f>
        <v>0</v>
      </c>
      <c r="AF8" t="b">
        <f>AND(IF(metadata!D8="",FALSE,TRUE),EXACT(metadata!D8,"missing: not provided"))</f>
        <v>0</v>
      </c>
      <c r="AG8" t="b">
        <f>AND(IF(metadata!E8="",FALSE,TRUE),EXACT(metadata!E8,"Host-associated"))</f>
        <v>0</v>
      </c>
      <c r="AH8" t="b">
        <f>AND(IF(metadata!F8="",FALSE,TRUE),OR(EXACT(metadata!F8,"Animal"),EXACT(metadata!F8,"Fungus"),EXACT(metadata!F8,"Plant")))</f>
        <v>0</v>
      </c>
      <c r="AI8" t="b">
        <f>AND(IF(metadata!G8="",FALSE,TRUE),OR(EXACT(metadata!G8,"Plant secretion"),EXACT(metadata!G8,"Plant rhizosphere"),EXACT(metadata!G8,"Plant surface"),EXACT(metadata!G8,"Plant corpus"),EXACT(metadata!G8,"Fungus surface"),EXACT(metadata!G8,"Fungus corpus"),EXACT(metadata!G8,"Animal surface"),EXACT(metadata!G8,"Animal proximal gut"),EXACT(metadata!G8,"Animal corpus"),EXACT(metadata!G8,"Animal distal gut"),EXACT(metadata!G8,"Animal secretion")))</f>
        <v>0</v>
      </c>
      <c r="AJ8" t="b">
        <f>OR(AND(IF(metadata!H8="",FALSE,TRUE),OR(EXACT(metadata!H8,"missing: not collected"),EXACT(metadata!H8,"missing: not provided"),EXACT(metadata!H8,"missing: restricted access"))),AND(IF(metadata!H8="",FALSE,TRUE),OR(EXACT(metadata!H8,"organism-associated habitat"),EXACT(metadata!H8,"plant-associated habitat"),EXACT(metadata!H8,"animal-associated habitat"),EXACT(metadata!H8,"insecta-associated habitat"),EXACT(metadata!H8,"mammalia-associated habitat"),EXACT(metadata!H8,"human-associated habitat"),EXACT(metadata!H8,"livestock-associated habitat"))))</f>
        <v>0</v>
      </c>
      <c r="AK8" t="b">
        <f>AND(IF(metadata!I8="",FALSE,TRUE),EXACT(metadata!I8,"host-associated"))</f>
        <v>0</v>
      </c>
      <c r="AL8" t="b">
        <f>OR(AND(IF(metadata!J8="",FALSE,TRUE),OR(EXACT(metadata!J8,"not applicable"),EXACT(metadata!J8,"missing: not collected"),EXACT(metadata!J8,"missing: not provided"),EXACT(metadata!J8,"missing: restricted access"))),AND(IF(metadata!J8="",FALSE,ISNUMBER(VALUE(metadata!J8))),metadata!J8&gt;0))</f>
        <v>0</v>
      </c>
      <c r="AM8" t="b">
        <f>AND(IF(metadata!K8="",FALSE,TRUE),EXACT(metadata!K8,"missing: not provided"))</f>
        <v>0</v>
      </c>
      <c r="AN8" t="b">
        <f>IF(metadata!L8="",FALSE,TRUE)</f>
        <v>0</v>
      </c>
      <c r="AO8" t="b">
        <f>IF(metadata!M8="",FALSE,TRUE)</f>
        <v>0</v>
      </c>
      <c r="AP8" t="b">
        <f>OR(AND(IF(metadata!N8="",FALSE,TRUE),OR(EXACT(metadata!N8,"not applicable"),EXACT(metadata!N8,"missing: not collected"),EXACT(metadata!N8,"missing: not provided"))),AND(IF(metadata!N8="",FALSE,IF(ISERROR(INT(metadata!N8)),FALSE,INT(metadata!N8)=metadata!N8)),metadata!N8&gt;0))</f>
        <v>0</v>
      </c>
      <c r="AQ8" t="b">
        <f>AND(IF(metadata!O8="",FALSE,TRUE),EXACT(metadata!O8,"Not applicable"))</f>
        <v>0</v>
      </c>
      <c r="AR8" t="b">
        <f>OR(AND(IF(metadata!P8="",FALSE,TRUE),OR(EXACT(metadata!P8,"not applicable"),EXACT(metadata!P8,"missing: not collected"),EXACT(metadata!P8,"missing: not provided"),EXACT(metadata!P8,"missing: restricted access"))),IF(metadata!P8="",FALSE,IF(ISERROR(INT(metadata!P8)),FALSE,INT(metadata!P8)=metadata!P8)))</f>
        <v>0</v>
      </c>
      <c r="AS8" t="b">
        <f>AND(IF(metadata!Q8="",FALSE,TRUE),EXACT(metadata!Q8,"Not applicable"))</f>
        <v>0</v>
      </c>
      <c r="AT8" t="b">
        <f>OR(AND(IF(metadata!R8="",FALSE,TRUE),OR(EXACT(metadata!R8,"not applicable"),EXACT(metadata!R8,"missing: not collected"),EXACT(metadata!R8,"missing: not provided"),EXACT(metadata!R8,"missing: restricted access"))),AND(IF(metadata!R8="",FALSE,ISNUMBER(VALUE(metadata!R8))),metadata!R8&gt;0))</f>
        <v>0</v>
      </c>
      <c r="AU8" t="b">
        <f>AND(IF(metadata!S8="",FALSE,TRUE),EXACT(metadata!S8,"missing: not provided"))</f>
        <v>0</v>
      </c>
    </row>
    <row r="9" spans="1:47" x14ac:dyDescent="0.2">
      <c r="A9" s="5" t="str">
        <f ca="1">IF(B9=" "," ",HYPERLINK(CONCATENATE("#metadata!",ADDRESS(INDEX($Y$2:$Y$1001,MATCH(ROWS($W$2:W9),$W$2:$W$1001,0),0),1)),INDEX($AB$2:$AB$1001,MATCH(ROWS($W$2:W9),$W$2:$W$1001,0),0)))</f>
        <v xml:space="preserve"> </v>
      </c>
      <c r="B9" s="4" t="str">
        <f ca="1">IF(OR(INDEX($X$2:$X$1001,MATCH(ROWS($W$2:W9),$W$2:$W$1001,0),1)&gt;=100000,INDEX($AD$1005:$AU$1005,1,MATCH(COLUMNS($AD$1006:AD1006),$AD$1006:$AU$1006,0))&gt;=100000), " ",IF(INDEX($AD$2:$AU$1001,MATCH(ROWS($W$2:W9),$W$2:$W$1001,0),MATCH(COLUMNS($AD$1006:AD1006),$AD$1006:$AU$1006,0)), HYPERLINK("#",""), HYPERLINK(CONCATENATE("#metadata!", ADDRESS(INDEX($Y$2:$Y$1001,MATCH(ROWS($W$2:W9),$W$2:$W$1001,0),0), INDEX($AD$1004:$AU$1004,1,MATCH(COLUMNS($AD$1006:AD1006),$AD$1006:$AU$1006,0)))),"Fix")))</f>
        <v xml:space="preserve"> </v>
      </c>
      <c r="C9" s="4" t="str">
        <f ca="1">IF(OR(INDEX($X$2:$X$1001,MATCH(ROWS($W$2:W9),$W$2:$W$1001,0),1)&gt;=100000,INDEX($AD$1005:$AU$1005,1,MATCH(COLUMNS($AD$1006:AE1006),$AD$1006:$AU$1006,0))&gt;=100000), " ",IF(INDEX($AD$2:$AU$1001,MATCH(ROWS($W$2:W9),$W$2:$W$1001,0),MATCH(COLUMNS($AD$1006:AE1006),$AD$1006:$AU$1006,0)), HYPERLINK("#",""), HYPERLINK(CONCATENATE("#metadata!", ADDRESS(INDEX($Y$2:$Y$1001,MATCH(ROWS($W$2:W9),$W$2:$W$1001,0),0), INDEX($AD$1004:$AU$1004,1,MATCH(COLUMNS($AD$1006:AE1006),$AD$1006:$AU$1006,0)))),"Fix")))</f>
        <v xml:space="preserve"> </v>
      </c>
      <c r="D9" s="4" t="str">
        <f ca="1">IF(OR(INDEX($X$2:$X$1001,MATCH(ROWS($W$2:W9),$W$2:$W$1001,0),1)&gt;=100000,INDEX($AD$1005:$AU$1005,1,MATCH(COLUMNS($AD$1006:AF1006),$AD$1006:$AU$1006,0))&gt;=100000), " ",IF(INDEX($AD$2:$AU$1001,MATCH(ROWS($W$2:W9),$W$2:$W$1001,0),MATCH(COLUMNS($AD$1006:AF1006),$AD$1006:$AU$1006,0)), HYPERLINK("#",""), HYPERLINK(CONCATENATE("#metadata!", ADDRESS(INDEX($Y$2:$Y$1001,MATCH(ROWS($W$2:W9),$W$2:$W$1001,0),0), INDEX($AD$1004:$AU$1004,1,MATCH(COLUMNS($AD$1006:AF1006),$AD$1006:$AU$1006,0)))),"Fix")))</f>
        <v xml:space="preserve"> </v>
      </c>
      <c r="E9" s="4" t="str">
        <f ca="1">IF(OR(INDEX($X$2:$X$1001,MATCH(ROWS($W$2:W9),$W$2:$W$1001,0),1)&gt;=100000,INDEX($AD$1005:$AU$1005,1,MATCH(COLUMNS($AD$1006:AG1006),$AD$1006:$AU$1006,0))&gt;=100000), " ",IF(INDEX($AD$2:$AU$1001,MATCH(ROWS($W$2:W9),$W$2:$W$1001,0),MATCH(COLUMNS($AD$1006:AG1006),$AD$1006:$AU$1006,0)), HYPERLINK("#",""), HYPERLINK(CONCATENATE("#metadata!", ADDRESS(INDEX($Y$2:$Y$1001,MATCH(ROWS($W$2:W9),$W$2:$W$1001,0),0), INDEX($AD$1004:$AU$1004,1,MATCH(COLUMNS($AD$1006:AG1006),$AD$1006:$AU$1006,0)))),"Fix")))</f>
        <v xml:space="preserve"> </v>
      </c>
      <c r="F9" s="4" t="str">
        <f ca="1">IF(OR(INDEX($X$2:$X$1001,MATCH(ROWS($W$2:W9),$W$2:$W$1001,0),1)&gt;=100000,INDEX($AD$1005:$AU$1005,1,MATCH(COLUMNS($AD$1006:AH1006),$AD$1006:$AU$1006,0))&gt;=100000), " ",IF(INDEX($AD$2:$AU$1001,MATCH(ROWS($W$2:W9),$W$2:$W$1001,0),MATCH(COLUMNS($AD$1006:AH1006),$AD$1006:$AU$1006,0)), HYPERLINK("#",""), HYPERLINK(CONCATENATE("#metadata!", ADDRESS(INDEX($Y$2:$Y$1001,MATCH(ROWS($W$2:W9),$W$2:$W$1001,0),0), INDEX($AD$1004:$AU$1004,1,MATCH(COLUMNS($AD$1006:AH1006),$AD$1006:$AU$1006,0)))),"Fix")))</f>
        <v xml:space="preserve"> </v>
      </c>
      <c r="G9" s="4" t="str">
        <f ca="1">IF(OR(INDEX($X$2:$X$1001,MATCH(ROWS($W$2:W9),$W$2:$W$1001,0),1)&gt;=100000,INDEX($AD$1005:$AU$1005,1,MATCH(COLUMNS($AD$1006:AI1006),$AD$1006:$AU$1006,0))&gt;=100000), " ",IF(INDEX($AD$2:$AU$1001,MATCH(ROWS($W$2:W9),$W$2:$W$1001,0),MATCH(COLUMNS($AD$1006:AI1006),$AD$1006:$AU$1006,0)), HYPERLINK("#",""), HYPERLINK(CONCATENATE("#metadata!", ADDRESS(INDEX($Y$2:$Y$1001,MATCH(ROWS($W$2:W9),$W$2:$W$1001,0),0), INDEX($AD$1004:$AU$1004,1,MATCH(COLUMNS($AD$1006:AI1006),$AD$1006:$AU$1006,0)))),"Fix")))</f>
        <v xml:space="preserve"> </v>
      </c>
      <c r="H9" s="4" t="str">
        <f ca="1">IF(OR(INDEX($X$2:$X$1001,MATCH(ROWS($W$2:W9),$W$2:$W$1001,0),1)&gt;=100000,INDEX($AD$1005:$AU$1005,1,MATCH(COLUMNS($AD$1006:AJ1006),$AD$1006:$AU$1006,0))&gt;=100000), " ",IF(INDEX($AD$2:$AU$1001,MATCH(ROWS($W$2:W9),$W$2:$W$1001,0),MATCH(COLUMNS($AD$1006:AJ1006),$AD$1006:$AU$1006,0)), HYPERLINK("#",""), HYPERLINK(CONCATENATE("#metadata!", ADDRESS(INDEX($Y$2:$Y$1001,MATCH(ROWS($W$2:W9),$W$2:$W$1001,0),0), INDEX($AD$1004:$AU$1004,1,MATCH(COLUMNS($AD$1006:AJ1006),$AD$1006:$AU$1006,0)))),"Fix")))</f>
        <v xml:space="preserve"> </v>
      </c>
      <c r="I9" s="4" t="str">
        <f ca="1">IF(OR(INDEX($X$2:$X$1001,MATCH(ROWS($W$2:W9),$W$2:$W$1001,0),1)&gt;=100000,INDEX($AD$1005:$AU$1005,1,MATCH(COLUMNS($AD$1006:AK1006),$AD$1006:$AU$1006,0))&gt;=100000), " ",IF(INDEX($AD$2:$AU$1001,MATCH(ROWS($W$2:W9),$W$2:$W$1001,0),MATCH(COLUMNS($AD$1006:AK1006),$AD$1006:$AU$1006,0)), HYPERLINK("#",""), HYPERLINK(CONCATENATE("#metadata!", ADDRESS(INDEX($Y$2:$Y$1001,MATCH(ROWS($W$2:W9),$W$2:$W$1001,0),0), INDEX($AD$1004:$AU$1004,1,MATCH(COLUMNS($AD$1006:AK1006),$AD$1006:$AU$1006,0)))),"Fix")))</f>
        <v xml:space="preserve"> </v>
      </c>
      <c r="J9" s="4" t="str">
        <f ca="1">IF(OR(INDEX($X$2:$X$1001,MATCH(ROWS($W$2:W9),$W$2:$W$1001,0),1)&gt;=100000,INDEX($AD$1005:$AU$1005,1,MATCH(COLUMNS($AD$1006:AL1006),$AD$1006:$AU$1006,0))&gt;=100000), " ",IF(INDEX($AD$2:$AU$1001,MATCH(ROWS($W$2:W9),$W$2:$W$1001,0),MATCH(COLUMNS($AD$1006:AL1006),$AD$1006:$AU$1006,0)), HYPERLINK("#",""), HYPERLINK(CONCATENATE("#metadata!", ADDRESS(INDEX($Y$2:$Y$1001,MATCH(ROWS($W$2:W9),$W$2:$W$1001,0),0), INDEX($AD$1004:$AU$1004,1,MATCH(COLUMNS($AD$1006:AL1006),$AD$1006:$AU$1006,0)))),"Fix")))</f>
        <v xml:space="preserve"> </v>
      </c>
      <c r="K9" s="4" t="str">
        <f ca="1">IF(OR(INDEX($X$2:$X$1001,MATCH(ROWS($W$2:W9),$W$2:$W$1001,0),1)&gt;=100000,INDEX($AD$1005:$AU$1005,1,MATCH(COLUMNS($AD$1006:AM1006),$AD$1006:$AU$1006,0))&gt;=100000), " ",IF(INDEX($AD$2:$AU$1001,MATCH(ROWS($W$2:W9),$W$2:$W$1001,0),MATCH(COLUMNS($AD$1006:AM1006),$AD$1006:$AU$1006,0)), HYPERLINK("#",""), HYPERLINK(CONCATENATE("#metadata!", ADDRESS(INDEX($Y$2:$Y$1001,MATCH(ROWS($W$2:W9),$W$2:$W$1001,0),0), INDEX($AD$1004:$AU$1004,1,MATCH(COLUMNS($AD$1006:AM1006),$AD$1006:$AU$1006,0)))),"Fix")))</f>
        <v xml:space="preserve"> </v>
      </c>
      <c r="L9" s="4" t="str">
        <f ca="1">IF(OR(INDEX($X$2:$X$1001,MATCH(ROWS($W$2:W9),$W$2:$W$1001,0),1)&gt;=100000,INDEX($AD$1005:$AU$1005,1,MATCH(COLUMNS($AD$1006:AN1006),$AD$1006:$AU$1006,0))&gt;=100000), " ",IF(INDEX($AD$2:$AU$1001,MATCH(ROWS($W$2:W9),$W$2:$W$1001,0),MATCH(COLUMNS($AD$1006:AN1006),$AD$1006:$AU$1006,0)), HYPERLINK("#",""), HYPERLINK(CONCATENATE("#metadata!", ADDRESS(INDEX($Y$2:$Y$1001,MATCH(ROWS($W$2:W9),$W$2:$W$1001,0),0), INDEX($AD$1004:$AU$1004,1,MATCH(COLUMNS($AD$1006:AN1006),$AD$1006:$AU$1006,0)))),"Fix")))</f>
        <v xml:space="preserve"> </v>
      </c>
      <c r="M9" s="4" t="str">
        <f ca="1">IF(OR(INDEX($X$2:$X$1001,MATCH(ROWS($W$2:W9),$W$2:$W$1001,0),1)&gt;=100000,INDEX($AD$1005:$AU$1005,1,MATCH(COLUMNS($AD$1006:AO1006),$AD$1006:$AU$1006,0))&gt;=100000), " ",IF(INDEX($AD$2:$AU$1001,MATCH(ROWS($W$2:W9),$W$2:$W$1001,0),MATCH(COLUMNS($AD$1006:AO1006),$AD$1006:$AU$1006,0)), HYPERLINK("#",""), HYPERLINK(CONCATENATE("#metadata!", ADDRESS(INDEX($Y$2:$Y$1001,MATCH(ROWS($W$2:W9),$W$2:$W$1001,0),0), INDEX($AD$1004:$AU$1004,1,MATCH(COLUMNS($AD$1006:AO1006),$AD$1006:$AU$1006,0)))),"Fix")))</f>
        <v xml:space="preserve"> </v>
      </c>
      <c r="N9" s="4" t="str">
        <f ca="1">IF(OR(INDEX($X$2:$X$1001,MATCH(ROWS($W$2:W9),$W$2:$W$1001,0),1)&gt;=100000,INDEX($AD$1005:$AU$1005,1,MATCH(COLUMNS($AD$1006:AP1006),$AD$1006:$AU$1006,0))&gt;=100000), " ",IF(INDEX($AD$2:$AU$1001,MATCH(ROWS($W$2:W9),$W$2:$W$1001,0),MATCH(COLUMNS($AD$1006:AP1006),$AD$1006:$AU$1006,0)), HYPERLINK("#",""), HYPERLINK(CONCATENATE("#metadata!", ADDRESS(INDEX($Y$2:$Y$1001,MATCH(ROWS($W$2:W9),$W$2:$W$1001,0),0), INDEX($AD$1004:$AU$1004,1,MATCH(COLUMNS($AD$1006:AP1006),$AD$1006:$AU$1006,0)))),"Fix")))</f>
        <v xml:space="preserve"> </v>
      </c>
      <c r="O9" s="4" t="str">
        <f ca="1">IF(OR(INDEX($X$2:$X$1001,MATCH(ROWS($W$2:W9),$W$2:$W$1001,0),1)&gt;=100000,INDEX($AD$1005:$AU$1005,1,MATCH(COLUMNS($AD$1006:AQ1006),$AD$1006:$AU$1006,0))&gt;=100000), " ",IF(INDEX($AD$2:$AU$1001,MATCH(ROWS($W$2:W9),$W$2:$W$1001,0),MATCH(COLUMNS($AD$1006:AQ1006),$AD$1006:$AU$1006,0)), HYPERLINK("#",""), HYPERLINK(CONCATENATE("#metadata!", ADDRESS(INDEX($Y$2:$Y$1001,MATCH(ROWS($W$2:W9),$W$2:$W$1001,0),0), INDEX($AD$1004:$AU$1004,1,MATCH(COLUMNS($AD$1006:AQ1006),$AD$1006:$AU$1006,0)))),"Fix")))</f>
        <v xml:space="preserve"> </v>
      </c>
      <c r="P9" s="4" t="str">
        <f ca="1">IF(OR(INDEX($X$2:$X$1001,MATCH(ROWS($W$2:W9),$W$2:$W$1001,0),1)&gt;=100000,INDEX($AD$1005:$AU$1005,1,MATCH(COLUMNS($AD$1006:AR1006),$AD$1006:$AU$1006,0))&gt;=100000), " ",IF(INDEX($AD$2:$AU$1001,MATCH(ROWS($W$2:W9),$W$2:$W$1001,0),MATCH(COLUMNS($AD$1006:AR1006),$AD$1006:$AU$1006,0)), HYPERLINK("#",""), HYPERLINK(CONCATENATE("#metadata!", ADDRESS(INDEX($Y$2:$Y$1001,MATCH(ROWS($W$2:W9),$W$2:$W$1001,0),0), INDEX($AD$1004:$AU$1004,1,MATCH(COLUMNS($AD$1006:AR1006),$AD$1006:$AU$1006,0)))),"Fix")))</f>
        <v xml:space="preserve"> </v>
      </c>
      <c r="Q9" s="4" t="str">
        <f ca="1">IF(OR(INDEX($X$2:$X$1001,MATCH(ROWS($W$2:W9),$W$2:$W$1001,0),1)&gt;=100000,INDEX($AD$1005:$AU$1005,1,MATCH(COLUMNS($AD$1006:AS1006),$AD$1006:$AU$1006,0))&gt;=100000), " ",IF(INDEX($AD$2:$AU$1001,MATCH(ROWS($W$2:W9),$W$2:$W$1001,0),MATCH(COLUMNS($AD$1006:AS1006),$AD$1006:$AU$1006,0)), HYPERLINK("#",""), HYPERLINK(CONCATENATE("#metadata!", ADDRESS(INDEX($Y$2:$Y$1001,MATCH(ROWS($W$2:W9),$W$2:$W$1001,0),0), INDEX($AD$1004:$AU$1004,1,MATCH(COLUMNS($AD$1006:AS1006),$AD$1006:$AU$1006,0)))),"Fix")))</f>
        <v xml:space="preserve"> </v>
      </c>
      <c r="R9" s="4" t="str">
        <f ca="1">IF(OR(INDEX($X$2:$X$1001,MATCH(ROWS($W$2:W9),$W$2:$W$1001,0),1)&gt;=100000,INDEX($AD$1005:$AU$1005,1,MATCH(COLUMNS($AD$1006:AT1006),$AD$1006:$AU$1006,0))&gt;=100000), " ",IF(INDEX($AD$2:$AU$1001,MATCH(ROWS($W$2:W9),$W$2:$W$1001,0),MATCH(COLUMNS($AD$1006:AT1006),$AD$1006:$AU$1006,0)), HYPERLINK("#",""), HYPERLINK(CONCATENATE("#metadata!", ADDRESS(INDEX($Y$2:$Y$1001,MATCH(ROWS($W$2:W9),$W$2:$W$1001,0),0), INDEX($AD$1004:$AU$1004,1,MATCH(COLUMNS($AD$1006:AT1006),$AD$1006:$AU$1006,0)))),"Fix")))</f>
        <v xml:space="preserve"> </v>
      </c>
      <c r="S9" s="4" t="str">
        <f ca="1">IF(OR(INDEX($X$2:$X$1001,MATCH(ROWS($W$2:W9),$W$2:$W$1001,0),1)&gt;=100000,INDEX($AD$1005:$AU$1005,1,MATCH(COLUMNS($AD$1006:AU1006),$AD$1006:$AU$1006,0))&gt;=100000), " ",IF(INDEX($AD$2:$AU$1001,MATCH(ROWS($W$2:W9),$W$2:$W$1001,0),MATCH(COLUMNS($AD$1006:AU1006),$AD$1006:$AU$1006,0)), HYPERLINK("#",""), HYPERLINK(CONCATENATE("#metadata!", ADDRESS(INDEX($Y$2:$Y$1001,MATCH(ROWS($W$2:W9),$W$2:$W$1001,0),0), INDEX($AD$1004:$AU$1004,1,MATCH(COLUMNS($AD$1006:AU1006),$AD$1006:$AU$1006,0)))),"Fix")))</f>
        <v xml:space="preserve"> </v>
      </c>
      <c r="W9">
        <v>8</v>
      </c>
      <c r="X9">
        <v>100009</v>
      </c>
      <c r="Y9">
        <v>9</v>
      </c>
      <c r="Z9" t="b">
        <f t="shared" si="0"/>
        <v>1</v>
      </c>
      <c r="AA9" t="b">
        <f>COUNTBLANK(metadata!B9:S9)=COLUMNS(metadata!B9:S9)</f>
        <v>1</v>
      </c>
      <c r="AB9" t="str">
        <v/>
      </c>
      <c r="AD9" t="b">
        <f ca="1">AND(IF(metadata!B9="",FALSE,TRUE),COUNTIF(metadata!B:B, metadata!B9) = 1,NOT(ISERROR(SUMPRODUCT(SEARCH(MID(metadata!B9,ROW(INDIRECT("1:"&amp;LEN(metadata!B9))), 1),"0123456789abcdefghijklmnopqrstuvwxyzABCDEFGHIJKLMNOPQRSTUVWXYZ.")))))</f>
        <v>0</v>
      </c>
      <c r="AE9" t="b">
        <f>OR(AND(IF(metadata!C9="",FALSE,TRUE),OR(EXACT(metadata!C9,"not applicable"),EXACT(metadata!C9,"missing: not collected"),EXACT(metadata!C9,"missing: not provided"),EXACT(metadata!C9,"missing: restricted access"))),AND(IF(metadata!C9="",FALSE,ISNUMBER(VALUE(metadata!C9))),metadata!C9&gt;0))</f>
        <v>0</v>
      </c>
      <c r="AF9" t="b">
        <f>AND(IF(metadata!D9="",FALSE,TRUE),EXACT(metadata!D9,"missing: not provided"))</f>
        <v>0</v>
      </c>
      <c r="AG9" t="b">
        <f>AND(IF(metadata!E9="",FALSE,TRUE),EXACT(metadata!E9,"Host-associated"))</f>
        <v>0</v>
      </c>
      <c r="AH9" t="b">
        <f>AND(IF(metadata!F9="",FALSE,TRUE),OR(EXACT(metadata!F9,"Animal"),EXACT(metadata!F9,"Fungus"),EXACT(metadata!F9,"Plant")))</f>
        <v>0</v>
      </c>
      <c r="AI9" t="b">
        <f>AND(IF(metadata!G9="",FALSE,TRUE),OR(EXACT(metadata!G9,"Plant secretion"),EXACT(metadata!G9,"Plant rhizosphere"),EXACT(metadata!G9,"Plant surface"),EXACT(metadata!G9,"Plant corpus"),EXACT(metadata!G9,"Fungus surface"),EXACT(metadata!G9,"Fungus corpus"),EXACT(metadata!G9,"Animal surface"),EXACT(metadata!G9,"Animal proximal gut"),EXACT(metadata!G9,"Animal corpus"),EXACT(metadata!G9,"Animal distal gut"),EXACT(metadata!G9,"Animal secretion")))</f>
        <v>0</v>
      </c>
      <c r="AJ9" t="b">
        <f>OR(AND(IF(metadata!H9="",FALSE,TRUE),OR(EXACT(metadata!H9,"missing: not collected"),EXACT(metadata!H9,"missing: not provided"),EXACT(metadata!H9,"missing: restricted access"))),AND(IF(metadata!H9="",FALSE,TRUE),OR(EXACT(metadata!H9,"organism-associated habitat"),EXACT(metadata!H9,"plant-associated habitat"),EXACT(metadata!H9,"animal-associated habitat"),EXACT(metadata!H9,"insecta-associated habitat"),EXACT(metadata!H9,"mammalia-associated habitat"),EXACT(metadata!H9,"human-associated habitat"),EXACT(metadata!H9,"livestock-associated habitat"))))</f>
        <v>0</v>
      </c>
      <c r="AK9" t="b">
        <f>AND(IF(metadata!I9="",FALSE,TRUE),EXACT(metadata!I9,"host-associated"))</f>
        <v>0</v>
      </c>
      <c r="AL9" t="b">
        <f>OR(AND(IF(metadata!J9="",FALSE,TRUE),OR(EXACT(metadata!J9,"not applicable"),EXACT(metadata!J9,"missing: not collected"),EXACT(metadata!J9,"missing: not provided"),EXACT(metadata!J9,"missing: restricted access"))),AND(IF(metadata!J9="",FALSE,ISNUMBER(VALUE(metadata!J9))),metadata!J9&gt;0))</f>
        <v>0</v>
      </c>
      <c r="AM9" t="b">
        <f>AND(IF(metadata!K9="",FALSE,TRUE),EXACT(metadata!K9,"missing: not provided"))</f>
        <v>0</v>
      </c>
      <c r="AN9" t="b">
        <f>IF(metadata!L9="",FALSE,TRUE)</f>
        <v>0</v>
      </c>
      <c r="AO9" t="b">
        <f>IF(metadata!M9="",FALSE,TRUE)</f>
        <v>0</v>
      </c>
      <c r="AP9" t="b">
        <f>OR(AND(IF(metadata!N9="",FALSE,TRUE),OR(EXACT(metadata!N9,"not applicable"),EXACT(metadata!N9,"missing: not collected"),EXACT(metadata!N9,"missing: not provided"))),AND(IF(metadata!N9="",FALSE,IF(ISERROR(INT(metadata!N9)),FALSE,INT(metadata!N9)=metadata!N9)),metadata!N9&gt;0))</f>
        <v>0</v>
      </c>
      <c r="AQ9" t="b">
        <f>AND(IF(metadata!O9="",FALSE,TRUE),EXACT(metadata!O9,"Not applicable"))</f>
        <v>0</v>
      </c>
      <c r="AR9" t="b">
        <f>OR(AND(IF(metadata!P9="",FALSE,TRUE),OR(EXACT(metadata!P9,"not applicable"),EXACT(metadata!P9,"missing: not collected"),EXACT(metadata!P9,"missing: not provided"),EXACT(metadata!P9,"missing: restricted access"))),IF(metadata!P9="",FALSE,IF(ISERROR(INT(metadata!P9)),FALSE,INT(metadata!P9)=metadata!P9)))</f>
        <v>0</v>
      </c>
      <c r="AS9" t="b">
        <f>AND(IF(metadata!Q9="",FALSE,TRUE),EXACT(metadata!Q9,"Not applicable"))</f>
        <v>0</v>
      </c>
      <c r="AT9" t="b">
        <f>OR(AND(IF(metadata!R9="",FALSE,TRUE),OR(EXACT(metadata!R9,"not applicable"),EXACT(metadata!R9,"missing: not collected"),EXACT(metadata!R9,"missing: not provided"),EXACT(metadata!R9,"missing: restricted access"))),AND(IF(metadata!R9="",FALSE,ISNUMBER(VALUE(metadata!R9))),metadata!R9&gt;0))</f>
        <v>0</v>
      </c>
      <c r="AU9" t="b">
        <f>AND(IF(metadata!S9="",FALSE,TRUE),EXACT(metadata!S9,"missing: not provided"))</f>
        <v>0</v>
      </c>
    </row>
    <row r="10" spans="1:47" x14ac:dyDescent="0.2">
      <c r="A10" s="5" t="str">
        <f ca="1">IF(B10=" "," ",HYPERLINK(CONCATENATE("#metadata!",ADDRESS(INDEX($Y$2:$Y$1001,MATCH(ROWS($W$2:W10),$W$2:$W$1001,0),0),1)),INDEX($AB$2:$AB$1001,MATCH(ROWS($W$2:W10),$W$2:$W$1001,0),0)))</f>
        <v xml:space="preserve"> </v>
      </c>
      <c r="B10" s="4" t="str">
        <f ca="1">IF(OR(INDEX($X$2:$X$1001,MATCH(ROWS($W$2:W10),$W$2:$W$1001,0),1)&gt;=100000,INDEX($AD$1005:$AU$1005,1,MATCH(COLUMNS($AD$1006:AD1006),$AD$1006:$AU$1006,0))&gt;=100000), " ",IF(INDEX($AD$2:$AU$1001,MATCH(ROWS($W$2:W10),$W$2:$W$1001,0),MATCH(COLUMNS($AD$1006:AD1006),$AD$1006:$AU$1006,0)), HYPERLINK("#",""), HYPERLINK(CONCATENATE("#metadata!", ADDRESS(INDEX($Y$2:$Y$1001,MATCH(ROWS($W$2:W10),$W$2:$W$1001,0),0), INDEX($AD$1004:$AU$1004,1,MATCH(COLUMNS($AD$1006:AD1006),$AD$1006:$AU$1006,0)))),"Fix")))</f>
        <v xml:space="preserve"> </v>
      </c>
      <c r="C10" s="4" t="str">
        <f ca="1">IF(OR(INDEX($X$2:$X$1001,MATCH(ROWS($W$2:W10),$W$2:$W$1001,0),1)&gt;=100000,INDEX($AD$1005:$AU$1005,1,MATCH(COLUMNS($AD$1006:AE1006),$AD$1006:$AU$1006,0))&gt;=100000), " ",IF(INDEX($AD$2:$AU$1001,MATCH(ROWS($W$2:W10),$W$2:$W$1001,0),MATCH(COLUMNS($AD$1006:AE1006),$AD$1006:$AU$1006,0)), HYPERLINK("#",""), HYPERLINK(CONCATENATE("#metadata!", ADDRESS(INDEX($Y$2:$Y$1001,MATCH(ROWS($W$2:W10),$W$2:$W$1001,0),0), INDEX($AD$1004:$AU$1004,1,MATCH(COLUMNS($AD$1006:AE1006),$AD$1006:$AU$1006,0)))),"Fix")))</f>
        <v xml:space="preserve"> </v>
      </c>
      <c r="D10" s="4" t="str">
        <f ca="1">IF(OR(INDEX($X$2:$X$1001,MATCH(ROWS($W$2:W10),$W$2:$W$1001,0),1)&gt;=100000,INDEX($AD$1005:$AU$1005,1,MATCH(COLUMNS($AD$1006:AF1006),$AD$1006:$AU$1006,0))&gt;=100000), " ",IF(INDEX($AD$2:$AU$1001,MATCH(ROWS($W$2:W10),$W$2:$W$1001,0),MATCH(COLUMNS($AD$1006:AF1006),$AD$1006:$AU$1006,0)), HYPERLINK("#",""), HYPERLINK(CONCATENATE("#metadata!", ADDRESS(INDEX($Y$2:$Y$1001,MATCH(ROWS($W$2:W10),$W$2:$W$1001,0),0), INDEX($AD$1004:$AU$1004,1,MATCH(COLUMNS($AD$1006:AF1006),$AD$1006:$AU$1006,0)))),"Fix")))</f>
        <v xml:space="preserve"> </v>
      </c>
      <c r="E10" s="4" t="str">
        <f ca="1">IF(OR(INDEX($X$2:$X$1001,MATCH(ROWS($W$2:W10),$W$2:$W$1001,0),1)&gt;=100000,INDEX($AD$1005:$AU$1005,1,MATCH(COLUMNS($AD$1006:AG1006),$AD$1006:$AU$1006,0))&gt;=100000), " ",IF(INDEX($AD$2:$AU$1001,MATCH(ROWS($W$2:W10),$W$2:$W$1001,0),MATCH(COLUMNS($AD$1006:AG1006),$AD$1006:$AU$1006,0)), HYPERLINK("#",""), HYPERLINK(CONCATENATE("#metadata!", ADDRESS(INDEX($Y$2:$Y$1001,MATCH(ROWS($W$2:W10),$W$2:$W$1001,0),0), INDEX($AD$1004:$AU$1004,1,MATCH(COLUMNS($AD$1006:AG1006),$AD$1006:$AU$1006,0)))),"Fix")))</f>
        <v xml:space="preserve"> </v>
      </c>
      <c r="F10" s="4" t="str">
        <f ca="1">IF(OR(INDEX($X$2:$X$1001,MATCH(ROWS($W$2:W10),$W$2:$W$1001,0),1)&gt;=100000,INDEX($AD$1005:$AU$1005,1,MATCH(COLUMNS($AD$1006:AH1006),$AD$1006:$AU$1006,0))&gt;=100000), " ",IF(INDEX($AD$2:$AU$1001,MATCH(ROWS($W$2:W10),$W$2:$W$1001,0),MATCH(COLUMNS($AD$1006:AH1006),$AD$1006:$AU$1006,0)), HYPERLINK("#",""), HYPERLINK(CONCATENATE("#metadata!", ADDRESS(INDEX($Y$2:$Y$1001,MATCH(ROWS($W$2:W10),$W$2:$W$1001,0),0), INDEX($AD$1004:$AU$1004,1,MATCH(COLUMNS($AD$1006:AH1006),$AD$1006:$AU$1006,0)))),"Fix")))</f>
        <v xml:space="preserve"> </v>
      </c>
      <c r="G10" s="4" t="str">
        <f ca="1">IF(OR(INDEX($X$2:$X$1001,MATCH(ROWS($W$2:W10),$W$2:$W$1001,0),1)&gt;=100000,INDEX($AD$1005:$AU$1005,1,MATCH(COLUMNS($AD$1006:AI1006),$AD$1006:$AU$1006,0))&gt;=100000), " ",IF(INDEX($AD$2:$AU$1001,MATCH(ROWS($W$2:W10),$W$2:$W$1001,0),MATCH(COLUMNS($AD$1006:AI1006),$AD$1006:$AU$1006,0)), HYPERLINK("#",""), HYPERLINK(CONCATENATE("#metadata!", ADDRESS(INDEX($Y$2:$Y$1001,MATCH(ROWS($W$2:W10),$W$2:$W$1001,0),0), INDEX($AD$1004:$AU$1004,1,MATCH(COLUMNS($AD$1006:AI1006),$AD$1006:$AU$1006,0)))),"Fix")))</f>
        <v xml:space="preserve"> </v>
      </c>
      <c r="H10" s="4" t="str">
        <f ca="1">IF(OR(INDEX($X$2:$X$1001,MATCH(ROWS($W$2:W10),$W$2:$W$1001,0),1)&gt;=100000,INDEX($AD$1005:$AU$1005,1,MATCH(COLUMNS($AD$1006:AJ1006),$AD$1006:$AU$1006,0))&gt;=100000), " ",IF(INDEX($AD$2:$AU$1001,MATCH(ROWS($W$2:W10),$W$2:$W$1001,0),MATCH(COLUMNS($AD$1006:AJ1006),$AD$1006:$AU$1006,0)), HYPERLINK("#",""), HYPERLINK(CONCATENATE("#metadata!", ADDRESS(INDEX($Y$2:$Y$1001,MATCH(ROWS($W$2:W10),$W$2:$W$1001,0),0), INDEX($AD$1004:$AU$1004,1,MATCH(COLUMNS($AD$1006:AJ1006),$AD$1006:$AU$1006,0)))),"Fix")))</f>
        <v xml:space="preserve"> </v>
      </c>
      <c r="I10" s="4" t="str">
        <f ca="1">IF(OR(INDEX($X$2:$X$1001,MATCH(ROWS($W$2:W10),$W$2:$W$1001,0),1)&gt;=100000,INDEX($AD$1005:$AU$1005,1,MATCH(COLUMNS($AD$1006:AK1006),$AD$1006:$AU$1006,0))&gt;=100000), " ",IF(INDEX($AD$2:$AU$1001,MATCH(ROWS($W$2:W10),$W$2:$W$1001,0),MATCH(COLUMNS($AD$1006:AK1006),$AD$1006:$AU$1006,0)), HYPERLINK("#",""), HYPERLINK(CONCATENATE("#metadata!", ADDRESS(INDEX($Y$2:$Y$1001,MATCH(ROWS($W$2:W10),$W$2:$W$1001,0),0), INDEX($AD$1004:$AU$1004,1,MATCH(COLUMNS($AD$1006:AK1006),$AD$1006:$AU$1006,0)))),"Fix")))</f>
        <v xml:space="preserve"> </v>
      </c>
      <c r="J10" s="4" t="str">
        <f ca="1">IF(OR(INDEX($X$2:$X$1001,MATCH(ROWS($W$2:W10),$W$2:$W$1001,0),1)&gt;=100000,INDEX($AD$1005:$AU$1005,1,MATCH(COLUMNS($AD$1006:AL1006),$AD$1006:$AU$1006,0))&gt;=100000), " ",IF(INDEX($AD$2:$AU$1001,MATCH(ROWS($W$2:W10),$W$2:$W$1001,0),MATCH(COLUMNS($AD$1006:AL1006),$AD$1006:$AU$1006,0)), HYPERLINK("#",""), HYPERLINK(CONCATENATE("#metadata!", ADDRESS(INDEX($Y$2:$Y$1001,MATCH(ROWS($W$2:W10),$W$2:$W$1001,0),0), INDEX($AD$1004:$AU$1004,1,MATCH(COLUMNS($AD$1006:AL1006),$AD$1006:$AU$1006,0)))),"Fix")))</f>
        <v xml:space="preserve"> </v>
      </c>
      <c r="K10" s="4" t="str">
        <f ca="1">IF(OR(INDEX($X$2:$X$1001,MATCH(ROWS($W$2:W10),$W$2:$W$1001,0),1)&gt;=100000,INDEX($AD$1005:$AU$1005,1,MATCH(COLUMNS($AD$1006:AM1006),$AD$1006:$AU$1006,0))&gt;=100000), " ",IF(INDEX($AD$2:$AU$1001,MATCH(ROWS($W$2:W10),$W$2:$W$1001,0),MATCH(COLUMNS($AD$1006:AM1006),$AD$1006:$AU$1006,0)), HYPERLINK("#",""), HYPERLINK(CONCATENATE("#metadata!", ADDRESS(INDEX($Y$2:$Y$1001,MATCH(ROWS($W$2:W10),$W$2:$W$1001,0),0), INDEX($AD$1004:$AU$1004,1,MATCH(COLUMNS($AD$1006:AM1006),$AD$1006:$AU$1006,0)))),"Fix")))</f>
        <v xml:space="preserve"> </v>
      </c>
      <c r="L10" s="4" t="str">
        <f ca="1">IF(OR(INDEX($X$2:$X$1001,MATCH(ROWS($W$2:W10),$W$2:$W$1001,0),1)&gt;=100000,INDEX($AD$1005:$AU$1005,1,MATCH(COLUMNS($AD$1006:AN1006),$AD$1006:$AU$1006,0))&gt;=100000), " ",IF(INDEX($AD$2:$AU$1001,MATCH(ROWS($W$2:W10),$W$2:$W$1001,0),MATCH(COLUMNS($AD$1006:AN1006),$AD$1006:$AU$1006,0)), HYPERLINK("#",""), HYPERLINK(CONCATENATE("#metadata!", ADDRESS(INDEX($Y$2:$Y$1001,MATCH(ROWS($W$2:W10),$W$2:$W$1001,0),0), INDEX($AD$1004:$AU$1004,1,MATCH(COLUMNS($AD$1006:AN1006),$AD$1006:$AU$1006,0)))),"Fix")))</f>
        <v xml:space="preserve"> </v>
      </c>
      <c r="M10" s="4" t="str">
        <f ca="1">IF(OR(INDEX($X$2:$X$1001,MATCH(ROWS($W$2:W10),$W$2:$W$1001,0),1)&gt;=100000,INDEX($AD$1005:$AU$1005,1,MATCH(COLUMNS($AD$1006:AO1006),$AD$1006:$AU$1006,0))&gt;=100000), " ",IF(INDEX($AD$2:$AU$1001,MATCH(ROWS($W$2:W10),$W$2:$W$1001,0),MATCH(COLUMNS($AD$1006:AO1006),$AD$1006:$AU$1006,0)), HYPERLINK("#",""), HYPERLINK(CONCATENATE("#metadata!", ADDRESS(INDEX($Y$2:$Y$1001,MATCH(ROWS($W$2:W10),$W$2:$W$1001,0),0), INDEX($AD$1004:$AU$1004,1,MATCH(COLUMNS($AD$1006:AO1006),$AD$1006:$AU$1006,0)))),"Fix")))</f>
        <v xml:space="preserve"> </v>
      </c>
      <c r="N10" s="4" t="str">
        <f ca="1">IF(OR(INDEX($X$2:$X$1001,MATCH(ROWS($W$2:W10),$W$2:$W$1001,0),1)&gt;=100000,INDEX($AD$1005:$AU$1005,1,MATCH(COLUMNS($AD$1006:AP1006),$AD$1006:$AU$1006,0))&gt;=100000), " ",IF(INDEX($AD$2:$AU$1001,MATCH(ROWS($W$2:W10),$W$2:$W$1001,0),MATCH(COLUMNS($AD$1006:AP1006),$AD$1006:$AU$1006,0)), HYPERLINK("#",""), HYPERLINK(CONCATENATE("#metadata!", ADDRESS(INDEX($Y$2:$Y$1001,MATCH(ROWS($W$2:W10),$W$2:$W$1001,0),0), INDEX($AD$1004:$AU$1004,1,MATCH(COLUMNS($AD$1006:AP1006),$AD$1006:$AU$1006,0)))),"Fix")))</f>
        <v xml:space="preserve"> </v>
      </c>
      <c r="O10" s="4" t="str">
        <f ca="1">IF(OR(INDEX($X$2:$X$1001,MATCH(ROWS($W$2:W10),$W$2:$W$1001,0),1)&gt;=100000,INDEX($AD$1005:$AU$1005,1,MATCH(COLUMNS($AD$1006:AQ1006),$AD$1006:$AU$1006,0))&gt;=100000), " ",IF(INDEX($AD$2:$AU$1001,MATCH(ROWS($W$2:W10),$W$2:$W$1001,0),MATCH(COLUMNS($AD$1006:AQ1006),$AD$1006:$AU$1006,0)), HYPERLINK("#",""), HYPERLINK(CONCATENATE("#metadata!", ADDRESS(INDEX($Y$2:$Y$1001,MATCH(ROWS($W$2:W10),$W$2:$W$1001,0),0), INDEX($AD$1004:$AU$1004,1,MATCH(COLUMNS($AD$1006:AQ1006),$AD$1006:$AU$1006,0)))),"Fix")))</f>
        <v xml:space="preserve"> </v>
      </c>
      <c r="P10" s="4" t="str">
        <f ca="1">IF(OR(INDEX($X$2:$X$1001,MATCH(ROWS($W$2:W10),$W$2:$W$1001,0),1)&gt;=100000,INDEX($AD$1005:$AU$1005,1,MATCH(COLUMNS($AD$1006:AR1006),$AD$1006:$AU$1006,0))&gt;=100000), " ",IF(INDEX($AD$2:$AU$1001,MATCH(ROWS($W$2:W10),$W$2:$W$1001,0),MATCH(COLUMNS($AD$1006:AR1006),$AD$1006:$AU$1006,0)), HYPERLINK("#",""), HYPERLINK(CONCATENATE("#metadata!", ADDRESS(INDEX($Y$2:$Y$1001,MATCH(ROWS($W$2:W10),$W$2:$W$1001,0),0), INDEX($AD$1004:$AU$1004,1,MATCH(COLUMNS($AD$1006:AR1006),$AD$1006:$AU$1006,0)))),"Fix")))</f>
        <v xml:space="preserve"> </v>
      </c>
      <c r="Q10" s="4" t="str">
        <f ca="1">IF(OR(INDEX($X$2:$X$1001,MATCH(ROWS($W$2:W10),$W$2:$W$1001,0),1)&gt;=100000,INDEX($AD$1005:$AU$1005,1,MATCH(COLUMNS($AD$1006:AS1006),$AD$1006:$AU$1006,0))&gt;=100000), " ",IF(INDEX($AD$2:$AU$1001,MATCH(ROWS($W$2:W10),$W$2:$W$1001,0),MATCH(COLUMNS($AD$1006:AS1006),$AD$1006:$AU$1006,0)), HYPERLINK("#",""), HYPERLINK(CONCATENATE("#metadata!", ADDRESS(INDEX($Y$2:$Y$1001,MATCH(ROWS($W$2:W10),$W$2:$W$1001,0),0), INDEX($AD$1004:$AU$1004,1,MATCH(COLUMNS($AD$1006:AS1006),$AD$1006:$AU$1006,0)))),"Fix")))</f>
        <v xml:space="preserve"> </v>
      </c>
      <c r="R10" s="4" t="str">
        <f ca="1">IF(OR(INDEX($X$2:$X$1001,MATCH(ROWS($W$2:W10),$W$2:$W$1001,0),1)&gt;=100000,INDEX($AD$1005:$AU$1005,1,MATCH(COLUMNS($AD$1006:AT1006),$AD$1006:$AU$1006,0))&gt;=100000), " ",IF(INDEX($AD$2:$AU$1001,MATCH(ROWS($W$2:W10),$W$2:$W$1001,0),MATCH(COLUMNS($AD$1006:AT1006),$AD$1006:$AU$1006,0)), HYPERLINK("#",""), HYPERLINK(CONCATENATE("#metadata!", ADDRESS(INDEX($Y$2:$Y$1001,MATCH(ROWS($W$2:W10),$W$2:$W$1001,0),0), INDEX($AD$1004:$AU$1004,1,MATCH(COLUMNS($AD$1006:AT1006),$AD$1006:$AU$1006,0)))),"Fix")))</f>
        <v xml:space="preserve"> </v>
      </c>
      <c r="S10" s="4" t="str">
        <f ca="1">IF(OR(INDEX($X$2:$X$1001,MATCH(ROWS($W$2:W10),$W$2:$W$1001,0),1)&gt;=100000,INDEX($AD$1005:$AU$1005,1,MATCH(COLUMNS($AD$1006:AU1006),$AD$1006:$AU$1006,0))&gt;=100000), " ",IF(INDEX($AD$2:$AU$1001,MATCH(ROWS($W$2:W10),$W$2:$W$1001,0),MATCH(COLUMNS($AD$1006:AU1006),$AD$1006:$AU$1006,0)), HYPERLINK("#",""), HYPERLINK(CONCATENATE("#metadata!", ADDRESS(INDEX($Y$2:$Y$1001,MATCH(ROWS($W$2:W10),$W$2:$W$1001,0),0), INDEX($AD$1004:$AU$1004,1,MATCH(COLUMNS($AD$1006:AU1006),$AD$1006:$AU$1006,0)))),"Fix")))</f>
        <v xml:space="preserve"> </v>
      </c>
      <c r="W10">
        <v>9</v>
      </c>
      <c r="X10">
        <v>100010</v>
      </c>
      <c r="Y10">
        <v>10</v>
      </c>
      <c r="Z10" t="b">
        <f t="shared" si="0"/>
        <v>1</v>
      </c>
      <c r="AA10" t="b">
        <f>COUNTBLANK(metadata!B10:S10)=COLUMNS(metadata!B10:S10)</f>
        <v>1</v>
      </c>
      <c r="AB10" t="str">
        <v/>
      </c>
      <c r="AD10" t="b">
        <f ca="1">AND(IF(metadata!B10="",FALSE,TRUE),COUNTIF(metadata!B:B, metadata!B10) = 1,NOT(ISERROR(SUMPRODUCT(SEARCH(MID(metadata!B10,ROW(INDIRECT("1:"&amp;LEN(metadata!B10))), 1),"0123456789abcdefghijklmnopqrstuvwxyzABCDEFGHIJKLMNOPQRSTUVWXYZ.")))))</f>
        <v>0</v>
      </c>
      <c r="AE10" t="b">
        <f>OR(AND(IF(metadata!C10="",FALSE,TRUE),OR(EXACT(metadata!C10,"not applicable"),EXACT(metadata!C10,"missing: not collected"),EXACT(metadata!C10,"missing: not provided"),EXACT(metadata!C10,"missing: restricted access"))),AND(IF(metadata!C10="",FALSE,ISNUMBER(VALUE(metadata!C10))),metadata!C10&gt;0))</f>
        <v>0</v>
      </c>
      <c r="AF10" t="b">
        <f>AND(IF(metadata!D10="",FALSE,TRUE),EXACT(metadata!D10,"missing: not provided"))</f>
        <v>0</v>
      </c>
      <c r="AG10" t="b">
        <f>AND(IF(metadata!E10="",FALSE,TRUE),EXACT(metadata!E10,"Host-associated"))</f>
        <v>0</v>
      </c>
      <c r="AH10" t="b">
        <f>AND(IF(metadata!F10="",FALSE,TRUE),OR(EXACT(metadata!F10,"Animal"),EXACT(metadata!F10,"Fungus"),EXACT(metadata!F10,"Plant")))</f>
        <v>0</v>
      </c>
      <c r="AI10" t="b">
        <f>AND(IF(metadata!G10="",FALSE,TRUE),OR(EXACT(metadata!G10,"Plant secretion"),EXACT(metadata!G10,"Plant rhizosphere"),EXACT(metadata!G10,"Plant surface"),EXACT(metadata!G10,"Plant corpus"),EXACT(metadata!G10,"Fungus surface"),EXACT(metadata!G10,"Fungus corpus"),EXACT(metadata!G10,"Animal surface"),EXACT(metadata!G10,"Animal proximal gut"),EXACT(metadata!G10,"Animal corpus"),EXACT(metadata!G10,"Animal distal gut"),EXACT(metadata!G10,"Animal secretion")))</f>
        <v>0</v>
      </c>
      <c r="AJ10" t="b">
        <f>OR(AND(IF(metadata!H10="",FALSE,TRUE),OR(EXACT(metadata!H10,"missing: not collected"),EXACT(metadata!H10,"missing: not provided"),EXACT(metadata!H10,"missing: restricted access"))),AND(IF(metadata!H10="",FALSE,TRUE),OR(EXACT(metadata!H10,"organism-associated habitat"),EXACT(metadata!H10,"plant-associated habitat"),EXACT(metadata!H10,"animal-associated habitat"),EXACT(metadata!H10,"insecta-associated habitat"),EXACT(metadata!H10,"mammalia-associated habitat"),EXACT(metadata!H10,"human-associated habitat"),EXACT(metadata!H10,"livestock-associated habitat"))))</f>
        <v>0</v>
      </c>
      <c r="AK10" t="b">
        <f>AND(IF(metadata!I10="",FALSE,TRUE),EXACT(metadata!I10,"host-associated"))</f>
        <v>0</v>
      </c>
      <c r="AL10" t="b">
        <f>OR(AND(IF(metadata!J10="",FALSE,TRUE),OR(EXACT(metadata!J10,"not applicable"),EXACT(metadata!J10,"missing: not collected"),EXACT(metadata!J10,"missing: not provided"),EXACT(metadata!J10,"missing: restricted access"))),AND(IF(metadata!J10="",FALSE,ISNUMBER(VALUE(metadata!J10))),metadata!J10&gt;0))</f>
        <v>0</v>
      </c>
      <c r="AM10" t="b">
        <f>AND(IF(metadata!K10="",FALSE,TRUE),EXACT(metadata!K10,"missing: not provided"))</f>
        <v>0</v>
      </c>
      <c r="AN10" t="b">
        <f>IF(metadata!L10="",FALSE,TRUE)</f>
        <v>0</v>
      </c>
      <c r="AO10" t="b">
        <f>IF(metadata!M10="",FALSE,TRUE)</f>
        <v>0</v>
      </c>
      <c r="AP10" t="b">
        <f>OR(AND(IF(metadata!N10="",FALSE,TRUE),OR(EXACT(metadata!N10,"not applicable"),EXACT(metadata!N10,"missing: not collected"),EXACT(metadata!N10,"missing: not provided"))),AND(IF(metadata!N10="",FALSE,IF(ISERROR(INT(metadata!N10)),FALSE,INT(metadata!N10)=metadata!N10)),metadata!N10&gt;0))</f>
        <v>0</v>
      </c>
      <c r="AQ10" t="b">
        <f>AND(IF(metadata!O10="",FALSE,TRUE),EXACT(metadata!O10,"Not applicable"))</f>
        <v>0</v>
      </c>
      <c r="AR10" t="b">
        <f>OR(AND(IF(metadata!P10="",FALSE,TRUE),OR(EXACT(metadata!P10,"not applicable"),EXACT(metadata!P10,"missing: not collected"),EXACT(metadata!P10,"missing: not provided"),EXACT(metadata!P10,"missing: restricted access"))),IF(metadata!P10="",FALSE,IF(ISERROR(INT(metadata!P10)),FALSE,INT(metadata!P10)=metadata!P10)))</f>
        <v>0</v>
      </c>
      <c r="AS10" t="b">
        <f>AND(IF(metadata!Q10="",FALSE,TRUE),EXACT(metadata!Q10,"Not applicable"))</f>
        <v>0</v>
      </c>
      <c r="AT10" t="b">
        <f>OR(AND(IF(metadata!R10="",FALSE,TRUE),OR(EXACT(metadata!R10,"not applicable"),EXACT(metadata!R10,"missing: not collected"),EXACT(metadata!R10,"missing: not provided"),EXACT(metadata!R10,"missing: restricted access"))),AND(IF(metadata!R10="",FALSE,ISNUMBER(VALUE(metadata!R10))),metadata!R10&gt;0))</f>
        <v>0</v>
      </c>
      <c r="AU10" t="b">
        <f>AND(IF(metadata!S10="",FALSE,TRUE),EXACT(metadata!S10,"missing: not provided"))</f>
        <v>0</v>
      </c>
    </row>
    <row r="11" spans="1:47" x14ac:dyDescent="0.2">
      <c r="A11" s="5" t="str">
        <f ca="1">IF(B11=" "," ",HYPERLINK(CONCATENATE("#metadata!",ADDRESS(INDEX($Y$2:$Y$1001,MATCH(ROWS($W$2:W11),$W$2:$W$1001,0),0),1)),INDEX($AB$2:$AB$1001,MATCH(ROWS($W$2:W11),$W$2:$W$1001,0),0)))</f>
        <v xml:space="preserve"> </v>
      </c>
      <c r="B11" s="4" t="str">
        <f ca="1">IF(OR(INDEX($X$2:$X$1001,MATCH(ROWS($W$2:W11),$W$2:$W$1001,0),1)&gt;=100000,INDEX($AD$1005:$AU$1005,1,MATCH(COLUMNS($AD$1006:AD1006),$AD$1006:$AU$1006,0))&gt;=100000), " ",IF(INDEX($AD$2:$AU$1001,MATCH(ROWS($W$2:W11),$W$2:$W$1001,0),MATCH(COLUMNS($AD$1006:AD1006),$AD$1006:$AU$1006,0)), HYPERLINK("#",""), HYPERLINK(CONCATENATE("#metadata!", ADDRESS(INDEX($Y$2:$Y$1001,MATCH(ROWS($W$2:W11),$W$2:$W$1001,0),0), INDEX($AD$1004:$AU$1004,1,MATCH(COLUMNS($AD$1006:AD1006),$AD$1006:$AU$1006,0)))),"Fix")))</f>
        <v xml:space="preserve"> </v>
      </c>
      <c r="C11" s="4" t="str">
        <f ca="1">IF(OR(INDEX($X$2:$X$1001,MATCH(ROWS($W$2:W11),$W$2:$W$1001,0),1)&gt;=100000,INDEX($AD$1005:$AU$1005,1,MATCH(COLUMNS($AD$1006:AE1006),$AD$1006:$AU$1006,0))&gt;=100000), " ",IF(INDEX($AD$2:$AU$1001,MATCH(ROWS($W$2:W11),$W$2:$W$1001,0),MATCH(COLUMNS($AD$1006:AE1006),$AD$1006:$AU$1006,0)), HYPERLINK("#",""), HYPERLINK(CONCATENATE("#metadata!", ADDRESS(INDEX($Y$2:$Y$1001,MATCH(ROWS($W$2:W11),$W$2:$W$1001,0),0), INDEX($AD$1004:$AU$1004,1,MATCH(COLUMNS($AD$1006:AE1006),$AD$1006:$AU$1006,0)))),"Fix")))</f>
        <v xml:space="preserve"> </v>
      </c>
      <c r="D11" s="4" t="str">
        <f ca="1">IF(OR(INDEX($X$2:$X$1001,MATCH(ROWS($W$2:W11),$W$2:$W$1001,0),1)&gt;=100000,INDEX($AD$1005:$AU$1005,1,MATCH(COLUMNS($AD$1006:AF1006),$AD$1006:$AU$1006,0))&gt;=100000), " ",IF(INDEX($AD$2:$AU$1001,MATCH(ROWS($W$2:W11),$W$2:$W$1001,0),MATCH(COLUMNS($AD$1006:AF1006),$AD$1006:$AU$1006,0)), HYPERLINK("#",""), HYPERLINK(CONCATENATE("#metadata!", ADDRESS(INDEX($Y$2:$Y$1001,MATCH(ROWS($W$2:W11),$W$2:$W$1001,0),0), INDEX($AD$1004:$AU$1004,1,MATCH(COLUMNS($AD$1006:AF1006),$AD$1006:$AU$1006,0)))),"Fix")))</f>
        <v xml:space="preserve"> </v>
      </c>
      <c r="E11" s="4" t="str">
        <f ca="1">IF(OR(INDEX($X$2:$X$1001,MATCH(ROWS($W$2:W11),$W$2:$W$1001,0),1)&gt;=100000,INDEX($AD$1005:$AU$1005,1,MATCH(COLUMNS($AD$1006:AG1006),$AD$1006:$AU$1006,0))&gt;=100000), " ",IF(INDEX($AD$2:$AU$1001,MATCH(ROWS($W$2:W11),$W$2:$W$1001,0),MATCH(COLUMNS($AD$1006:AG1006),$AD$1006:$AU$1006,0)), HYPERLINK("#",""), HYPERLINK(CONCATENATE("#metadata!", ADDRESS(INDEX($Y$2:$Y$1001,MATCH(ROWS($W$2:W11),$W$2:$W$1001,0),0), INDEX($AD$1004:$AU$1004,1,MATCH(COLUMNS($AD$1006:AG1006),$AD$1006:$AU$1006,0)))),"Fix")))</f>
        <v xml:space="preserve"> </v>
      </c>
      <c r="F11" s="4" t="str">
        <f ca="1">IF(OR(INDEX($X$2:$X$1001,MATCH(ROWS($W$2:W11),$W$2:$W$1001,0),1)&gt;=100000,INDEX($AD$1005:$AU$1005,1,MATCH(COLUMNS($AD$1006:AH1006),$AD$1006:$AU$1006,0))&gt;=100000), " ",IF(INDEX($AD$2:$AU$1001,MATCH(ROWS($W$2:W11),$W$2:$W$1001,0),MATCH(COLUMNS($AD$1006:AH1006),$AD$1006:$AU$1006,0)), HYPERLINK("#",""), HYPERLINK(CONCATENATE("#metadata!", ADDRESS(INDEX($Y$2:$Y$1001,MATCH(ROWS($W$2:W11),$W$2:$W$1001,0),0), INDEX($AD$1004:$AU$1004,1,MATCH(COLUMNS($AD$1006:AH1006),$AD$1006:$AU$1006,0)))),"Fix")))</f>
        <v xml:space="preserve"> </v>
      </c>
      <c r="G11" s="4" t="str">
        <f ca="1">IF(OR(INDEX($X$2:$X$1001,MATCH(ROWS($W$2:W11),$W$2:$W$1001,0),1)&gt;=100000,INDEX($AD$1005:$AU$1005,1,MATCH(COLUMNS($AD$1006:AI1006),$AD$1006:$AU$1006,0))&gt;=100000), " ",IF(INDEX($AD$2:$AU$1001,MATCH(ROWS($W$2:W11),$W$2:$W$1001,0),MATCH(COLUMNS($AD$1006:AI1006),$AD$1006:$AU$1006,0)), HYPERLINK("#",""), HYPERLINK(CONCATENATE("#metadata!", ADDRESS(INDEX($Y$2:$Y$1001,MATCH(ROWS($W$2:W11),$W$2:$W$1001,0),0), INDEX($AD$1004:$AU$1004,1,MATCH(COLUMNS($AD$1006:AI1006),$AD$1006:$AU$1006,0)))),"Fix")))</f>
        <v xml:space="preserve"> </v>
      </c>
      <c r="H11" s="4" t="str">
        <f ca="1">IF(OR(INDEX($X$2:$X$1001,MATCH(ROWS($W$2:W11),$W$2:$W$1001,0),1)&gt;=100000,INDEX($AD$1005:$AU$1005,1,MATCH(COLUMNS($AD$1006:AJ1006),$AD$1006:$AU$1006,0))&gt;=100000), " ",IF(INDEX($AD$2:$AU$1001,MATCH(ROWS($W$2:W11),$W$2:$W$1001,0),MATCH(COLUMNS($AD$1006:AJ1006),$AD$1006:$AU$1006,0)), HYPERLINK("#",""), HYPERLINK(CONCATENATE("#metadata!", ADDRESS(INDEX($Y$2:$Y$1001,MATCH(ROWS($W$2:W11),$W$2:$W$1001,0),0), INDEX($AD$1004:$AU$1004,1,MATCH(COLUMNS($AD$1006:AJ1006),$AD$1006:$AU$1006,0)))),"Fix")))</f>
        <v xml:space="preserve"> </v>
      </c>
      <c r="I11" s="4" t="str">
        <f ca="1">IF(OR(INDEX($X$2:$X$1001,MATCH(ROWS($W$2:W11),$W$2:$W$1001,0),1)&gt;=100000,INDEX($AD$1005:$AU$1005,1,MATCH(COLUMNS($AD$1006:AK1006),$AD$1006:$AU$1006,0))&gt;=100000), " ",IF(INDEX($AD$2:$AU$1001,MATCH(ROWS($W$2:W11),$W$2:$W$1001,0),MATCH(COLUMNS($AD$1006:AK1006),$AD$1006:$AU$1006,0)), HYPERLINK("#",""), HYPERLINK(CONCATENATE("#metadata!", ADDRESS(INDEX($Y$2:$Y$1001,MATCH(ROWS($W$2:W11),$W$2:$W$1001,0),0), INDEX($AD$1004:$AU$1004,1,MATCH(COLUMNS($AD$1006:AK1006),$AD$1006:$AU$1006,0)))),"Fix")))</f>
        <v xml:space="preserve"> </v>
      </c>
      <c r="J11" s="4" t="str">
        <f ca="1">IF(OR(INDEX($X$2:$X$1001,MATCH(ROWS($W$2:W11),$W$2:$W$1001,0),1)&gt;=100000,INDEX($AD$1005:$AU$1005,1,MATCH(COLUMNS($AD$1006:AL1006),$AD$1006:$AU$1006,0))&gt;=100000), " ",IF(INDEX($AD$2:$AU$1001,MATCH(ROWS($W$2:W11),$W$2:$W$1001,0),MATCH(COLUMNS($AD$1006:AL1006),$AD$1006:$AU$1006,0)), HYPERLINK("#",""), HYPERLINK(CONCATENATE("#metadata!", ADDRESS(INDEX($Y$2:$Y$1001,MATCH(ROWS($W$2:W11),$W$2:$W$1001,0),0), INDEX($AD$1004:$AU$1004,1,MATCH(COLUMNS($AD$1006:AL1006),$AD$1006:$AU$1006,0)))),"Fix")))</f>
        <v xml:space="preserve"> </v>
      </c>
      <c r="K11" s="4" t="str">
        <f ca="1">IF(OR(INDEX($X$2:$X$1001,MATCH(ROWS($W$2:W11),$W$2:$W$1001,0),1)&gt;=100000,INDEX($AD$1005:$AU$1005,1,MATCH(COLUMNS($AD$1006:AM1006),$AD$1006:$AU$1006,0))&gt;=100000), " ",IF(INDEX($AD$2:$AU$1001,MATCH(ROWS($W$2:W11),$W$2:$W$1001,0),MATCH(COLUMNS($AD$1006:AM1006),$AD$1006:$AU$1006,0)), HYPERLINK("#",""), HYPERLINK(CONCATENATE("#metadata!", ADDRESS(INDEX($Y$2:$Y$1001,MATCH(ROWS($W$2:W11),$W$2:$W$1001,0),0), INDEX($AD$1004:$AU$1004,1,MATCH(COLUMNS($AD$1006:AM1006),$AD$1006:$AU$1006,0)))),"Fix")))</f>
        <v xml:space="preserve"> </v>
      </c>
      <c r="L11" s="4" t="str">
        <f ca="1">IF(OR(INDEX($X$2:$X$1001,MATCH(ROWS($W$2:W11),$W$2:$W$1001,0),1)&gt;=100000,INDEX($AD$1005:$AU$1005,1,MATCH(COLUMNS($AD$1006:AN1006),$AD$1006:$AU$1006,0))&gt;=100000), " ",IF(INDEX($AD$2:$AU$1001,MATCH(ROWS($W$2:W11),$W$2:$W$1001,0),MATCH(COLUMNS($AD$1006:AN1006),$AD$1006:$AU$1006,0)), HYPERLINK("#",""), HYPERLINK(CONCATENATE("#metadata!", ADDRESS(INDEX($Y$2:$Y$1001,MATCH(ROWS($W$2:W11),$W$2:$W$1001,0),0), INDEX($AD$1004:$AU$1004,1,MATCH(COLUMNS($AD$1006:AN1006),$AD$1006:$AU$1006,0)))),"Fix")))</f>
        <v xml:space="preserve"> </v>
      </c>
      <c r="M11" s="4" t="str">
        <f ca="1">IF(OR(INDEX($X$2:$X$1001,MATCH(ROWS($W$2:W11),$W$2:$W$1001,0),1)&gt;=100000,INDEX($AD$1005:$AU$1005,1,MATCH(COLUMNS($AD$1006:AO1006),$AD$1006:$AU$1006,0))&gt;=100000), " ",IF(INDEX($AD$2:$AU$1001,MATCH(ROWS($W$2:W11),$W$2:$W$1001,0),MATCH(COLUMNS($AD$1006:AO1006),$AD$1006:$AU$1006,0)), HYPERLINK("#",""), HYPERLINK(CONCATENATE("#metadata!", ADDRESS(INDEX($Y$2:$Y$1001,MATCH(ROWS($W$2:W11),$W$2:$W$1001,0),0), INDEX($AD$1004:$AU$1004,1,MATCH(COLUMNS($AD$1006:AO1006),$AD$1006:$AU$1006,0)))),"Fix")))</f>
        <v xml:space="preserve"> </v>
      </c>
      <c r="N11" s="4" t="str">
        <f ca="1">IF(OR(INDEX($X$2:$X$1001,MATCH(ROWS($W$2:W11),$W$2:$W$1001,0),1)&gt;=100000,INDEX($AD$1005:$AU$1005,1,MATCH(COLUMNS($AD$1006:AP1006),$AD$1006:$AU$1006,0))&gt;=100000), " ",IF(INDEX($AD$2:$AU$1001,MATCH(ROWS($W$2:W11),$W$2:$W$1001,0),MATCH(COLUMNS($AD$1006:AP1006),$AD$1006:$AU$1006,0)), HYPERLINK("#",""), HYPERLINK(CONCATENATE("#metadata!", ADDRESS(INDEX($Y$2:$Y$1001,MATCH(ROWS($W$2:W11),$W$2:$W$1001,0),0), INDEX($AD$1004:$AU$1004,1,MATCH(COLUMNS($AD$1006:AP1006),$AD$1006:$AU$1006,0)))),"Fix")))</f>
        <v xml:space="preserve"> </v>
      </c>
      <c r="O11" s="4" t="str">
        <f ca="1">IF(OR(INDEX($X$2:$X$1001,MATCH(ROWS($W$2:W11),$W$2:$W$1001,0),1)&gt;=100000,INDEX($AD$1005:$AU$1005,1,MATCH(COLUMNS($AD$1006:AQ1006),$AD$1006:$AU$1006,0))&gt;=100000), " ",IF(INDEX($AD$2:$AU$1001,MATCH(ROWS($W$2:W11),$W$2:$W$1001,0),MATCH(COLUMNS($AD$1006:AQ1006),$AD$1006:$AU$1006,0)), HYPERLINK("#",""), HYPERLINK(CONCATENATE("#metadata!", ADDRESS(INDEX($Y$2:$Y$1001,MATCH(ROWS($W$2:W11),$W$2:$W$1001,0),0), INDEX($AD$1004:$AU$1004,1,MATCH(COLUMNS($AD$1006:AQ1006),$AD$1006:$AU$1006,0)))),"Fix")))</f>
        <v xml:space="preserve"> </v>
      </c>
      <c r="P11" s="4" t="str">
        <f ca="1">IF(OR(INDEX($X$2:$X$1001,MATCH(ROWS($W$2:W11),$W$2:$W$1001,0),1)&gt;=100000,INDEX($AD$1005:$AU$1005,1,MATCH(COLUMNS($AD$1006:AR1006),$AD$1006:$AU$1006,0))&gt;=100000), " ",IF(INDEX($AD$2:$AU$1001,MATCH(ROWS($W$2:W11),$W$2:$W$1001,0),MATCH(COLUMNS($AD$1006:AR1006),$AD$1006:$AU$1006,0)), HYPERLINK("#",""), HYPERLINK(CONCATENATE("#metadata!", ADDRESS(INDEX($Y$2:$Y$1001,MATCH(ROWS($W$2:W11),$W$2:$W$1001,0),0), INDEX($AD$1004:$AU$1004,1,MATCH(COLUMNS($AD$1006:AR1006),$AD$1006:$AU$1006,0)))),"Fix")))</f>
        <v xml:space="preserve"> </v>
      </c>
      <c r="Q11" s="4" t="str">
        <f ca="1">IF(OR(INDEX($X$2:$X$1001,MATCH(ROWS($W$2:W11),$W$2:$W$1001,0),1)&gt;=100000,INDEX($AD$1005:$AU$1005,1,MATCH(COLUMNS($AD$1006:AS1006),$AD$1006:$AU$1006,0))&gt;=100000), " ",IF(INDEX($AD$2:$AU$1001,MATCH(ROWS($W$2:W11),$W$2:$W$1001,0),MATCH(COLUMNS($AD$1006:AS1006),$AD$1006:$AU$1006,0)), HYPERLINK("#",""), HYPERLINK(CONCATENATE("#metadata!", ADDRESS(INDEX($Y$2:$Y$1001,MATCH(ROWS($W$2:W11),$W$2:$W$1001,0),0), INDEX($AD$1004:$AU$1004,1,MATCH(COLUMNS($AD$1006:AS1006),$AD$1006:$AU$1006,0)))),"Fix")))</f>
        <v xml:space="preserve"> </v>
      </c>
      <c r="R11" s="4" t="str">
        <f ca="1">IF(OR(INDEX($X$2:$X$1001,MATCH(ROWS($W$2:W11),$W$2:$W$1001,0),1)&gt;=100000,INDEX($AD$1005:$AU$1005,1,MATCH(COLUMNS($AD$1006:AT1006),$AD$1006:$AU$1006,0))&gt;=100000), " ",IF(INDEX($AD$2:$AU$1001,MATCH(ROWS($W$2:W11),$W$2:$W$1001,0),MATCH(COLUMNS($AD$1006:AT1006),$AD$1006:$AU$1006,0)), HYPERLINK("#",""), HYPERLINK(CONCATENATE("#metadata!", ADDRESS(INDEX($Y$2:$Y$1001,MATCH(ROWS($W$2:W11),$W$2:$W$1001,0),0), INDEX($AD$1004:$AU$1004,1,MATCH(COLUMNS($AD$1006:AT1006),$AD$1006:$AU$1006,0)))),"Fix")))</f>
        <v xml:space="preserve"> </v>
      </c>
      <c r="S11" s="4" t="str">
        <f ca="1">IF(OR(INDEX($X$2:$X$1001,MATCH(ROWS($W$2:W11),$W$2:$W$1001,0),1)&gt;=100000,INDEX($AD$1005:$AU$1005,1,MATCH(COLUMNS($AD$1006:AU1006),$AD$1006:$AU$1006,0))&gt;=100000), " ",IF(INDEX($AD$2:$AU$1001,MATCH(ROWS($W$2:W11),$W$2:$W$1001,0),MATCH(COLUMNS($AD$1006:AU1006),$AD$1006:$AU$1006,0)), HYPERLINK("#",""), HYPERLINK(CONCATENATE("#metadata!", ADDRESS(INDEX($Y$2:$Y$1001,MATCH(ROWS($W$2:W11),$W$2:$W$1001,0),0), INDEX($AD$1004:$AU$1004,1,MATCH(COLUMNS($AD$1006:AU1006),$AD$1006:$AU$1006,0)))),"Fix")))</f>
        <v xml:space="preserve"> </v>
      </c>
      <c r="W11">
        <v>10</v>
      </c>
      <c r="X11">
        <v>100011</v>
      </c>
      <c r="Y11">
        <v>11</v>
      </c>
      <c r="Z11" t="b">
        <f t="shared" si="0"/>
        <v>1</v>
      </c>
      <c r="AA11" t="b">
        <f>COUNTBLANK(metadata!B11:S11)=COLUMNS(metadata!B11:S11)</f>
        <v>1</v>
      </c>
      <c r="AB11" t="str">
        <v/>
      </c>
      <c r="AD11" t="b">
        <f ca="1">AND(IF(metadata!B11="",FALSE,TRUE),COUNTIF(metadata!B:B, metadata!B11) = 1,NOT(ISERROR(SUMPRODUCT(SEARCH(MID(metadata!B11,ROW(INDIRECT("1:"&amp;LEN(metadata!B11))), 1),"0123456789abcdefghijklmnopqrstuvwxyzABCDEFGHIJKLMNOPQRSTUVWXYZ.")))))</f>
        <v>0</v>
      </c>
      <c r="AE11" t="b">
        <f>OR(AND(IF(metadata!C11="",FALSE,TRUE),OR(EXACT(metadata!C11,"not applicable"),EXACT(metadata!C11,"missing: not collected"),EXACT(metadata!C11,"missing: not provided"),EXACT(metadata!C11,"missing: restricted access"))),AND(IF(metadata!C11="",FALSE,ISNUMBER(VALUE(metadata!C11))),metadata!C11&gt;0))</f>
        <v>0</v>
      </c>
      <c r="AF11" t="b">
        <f>AND(IF(metadata!D11="",FALSE,TRUE),EXACT(metadata!D11,"missing: not provided"))</f>
        <v>0</v>
      </c>
      <c r="AG11" t="b">
        <f>AND(IF(metadata!E11="",FALSE,TRUE),EXACT(metadata!E11,"Host-associated"))</f>
        <v>0</v>
      </c>
      <c r="AH11" t="b">
        <f>AND(IF(metadata!F11="",FALSE,TRUE),OR(EXACT(metadata!F11,"Animal"),EXACT(metadata!F11,"Fungus"),EXACT(metadata!F11,"Plant")))</f>
        <v>0</v>
      </c>
      <c r="AI11" t="b">
        <f>AND(IF(metadata!G11="",FALSE,TRUE),OR(EXACT(metadata!G11,"Plant secretion"),EXACT(metadata!G11,"Plant rhizosphere"),EXACT(metadata!G11,"Plant surface"),EXACT(metadata!G11,"Plant corpus"),EXACT(metadata!G11,"Fungus surface"),EXACT(metadata!G11,"Fungus corpus"),EXACT(metadata!G11,"Animal surface"),EXACT(metadata!G11,"Animal proximal gut"),EXACT(metadata!G11,"Animal corpus"),EXACT(metadata!G11,"Animal distal gut"),EXACT(metadata!G11,"Animal secretion")))</f>
        <v>0</v>
      </c>
      <c r="AJ11" t="b">
        <f>OR(AND(IF(metadata!H11="",FALSE,TRUE),OR(EXACT(metadata!H11,"missing: not collected"),EXACT(metadata!H11,"missing: not provided"),EXACT(metadata!H11,"missing: restricted access"))),AND(IF(metadata!H11="",FALSE,TRUE),OR(EXACT(metadata!H11,"organism-associated habitat"),EXACT(metadata!H11,"plant-associated habitat"),EXACT(metadata!H11,"animal-associated habitat"),EXACT(metadata!H11,"insecta-associated habitat"),EXACT(metadata!H11,"mammalia-associated habitat"),EXACT(metadata!H11,"human-associated habitat"),EXACT(metadata!H11,"livestock-associated habitat"))))</f>
        <v>0</v>
      </c>
      <c r="AK11" t="b">
        <f>AND(IF(metadata!I11="",FALSE,TRUE),EXACT(metadata!I11,"host-associated"))</f>
        <v>0</v>
      </c>
      <c r="AL11" t="b">
        <f>OR(AND(IF(metadata!J11="",FALSE,TRUE),OR(EXACT(metadata!J11,"not applicable"),EXACT(metadata!J11,"missing: not collected"),EXACT(metadata!J11,"missing: not provided"),EXACT(metadata!J11,"missing: restricted access"))),AND(IF(metadata!J11="",FALSE,ISNUMBER(VALUE(metadata!J11))),metadata!J11&gt;0))</f>
        <v>0</v>
      </c>
      <c r="AM11" t="b">
        <f>AND(IF(metadata!K11="",FALSE,TRUE),EXACT(metadata!K11,"missing: not provided"))</f>
        <v>0</v>
      </c>
      <c r="AN11" t="b">
        <f>IF(metadata!L11="",FALSE,TRUE)</f>
        <v>0</v>
      </c>
      <c r="AO11" t="b">
        <f>IF(metadata!M11="",FALSE,TRUE)</f>
        <v>0</v>
      </c>
      <c r="AP11" t="b">
        <f>OR(AND(IF(metadata!N11="",FALSE,TRUE),OR(EXACT(metadata!N11,"not applicable"),EXACT(metadata!N11,"missing: not collected"),EXACT(metadata!N11,"missing: not provided"))),AND(IF(metadata!N11="",FALSE,IF(ISERROR(INT(metadata!N11)),FALSE,INT(metadata!N11)=metadata!N11)),metadata!N11&gt;0))</f>
        <v>0</v>
      </c>
      <c r="AQ11" t="b">
        <f>AND(IF(metadata!O11="",FALSE,TRUE),EXACT(metadata!O11,"Not applicable"))</f>
        <v>0</v>
      </c>
      <c r="AR11" t="b">
        <f>OR(AND(IF(metadata!P11="",FALSE,TRUE),OR(EXACT(metadata!P11,"not applicable"),EXACT(metadata!P11,"missing: not collected"),EXACT(metadata!P11,"missing: not provided"),EXACT(metadata!P11,"missing: restricted access"))),IF(metadata!P11="",FALSE,IF(ISERROR(INT(metadata!P11)),FALSE,INT(metadata!P11)=metadata!P11)))</f>
        <v>0</v>
      </c>
      <c r="AS11" t="b">
        <f>AND(IF(metadata!Q11="",FALSE,TRUE),EXACT(metadata!Q11,"Not applicable"))</f>
        <v>0</v>
      </c>
      <c r="AT11" t="b">
        <f>OR(AND(IF(metadata!R11="",FALSE,TRUE),OR(EXACT(metadata!R11,"not applicable"),EXACT(metadata!R11,"missing: not collected"),EXACT(metadata!R11,"missing: not provided"),EXACT(metadata!R11,"missing: restricted access"))),AND(IF(metadata!R11="",FALSE,ISNUMBER(VALUE(metadata!R11))),metadata!R11&gt;0))</f>
        <v>0</v>
      </c>
      <c r="AU11" t="b">
        <f>AND(IF(metadata!S11="",FALSE,TRUE),EXACT(metadata!S11,"missing: not provided"))</f>
        <v>0</v>
      </c>
    </row>
    <row r="12" spans="1:47" x14ac:dyDescent="0.2">
      <c r="A12" s="5" t="str">
        <f ca="1">IF(B12=" "," ",HYPERLINK(CONCATENATE("#metadata!",ADDRESS(INDEX($Y$2:$Y$1001,MATCH(ROWS($W$2:W12),$W$2:$W$1001,0),0),1)),INDEX($AB$2:$AB$1001,MATCH(ROWS($W$2:W12),$W$2:$W$1001,0),0)))</f>
        <v xml:space="preserve"> </v>
      </c>
      <c r="B12" s="4" t="str">
        <f ca="1">IF(OR(INDEX($X$2:$X$1001,MATCH(ROWS($W$2:W12),$W$2:$W$1001,0),1)&gt;=100000,INDEX($AD$1005:$AU$1005,1,MATCH(COLUMNS($AD$1006:AD1006),$AD$1006:$AU$1006,0))&gt;=100000), " ",IF(INDEX($AD$2:$AU$1001,MATCH(ROWS($W$2:W12),$W$2:$W$1001,0),MATCH(COLUMNS($AD$1006:AD1006),$AD$1006:$AU$1006,0)), HYPERLINK("#",""), HYPERLINK(CONCATENATE("#metadata!", ADDRESS(INDEX($Y$2:$Y$1001,MATCH(ROWS($W$2:W12),$W$2:$W$1001,0),0), INDEX($AD$1004:$AU$1004,1,MATCH(COLUMNS($AD$1006:AD1006),$AD$1006:$AU$1006,0)))),"Fix")))</f>
        <v xml:space="preserve"> </v>
      </c>
      <c r="C12" s="4" t="str">
        <f ca="1">IF(OR(INDEX($X$2:$X$1001,MATCH(ROWS($W$2:W12),$W$2:$W$1001,0),1)&gt;=100000,INDEX($AD$1005:$AU$1005,1,MATCH(COLUMNS($AD$1006:AE1006),$AD$1006:$AU$1006,0))&gt;=100000), " ",IF(INDEX($AD$2:$AU$1001,MATCH(ROWS($W$2:W12),$W$2:$W$1001,0),MATCH(COLUMNS($AD$1006:AE1006),$AD$1006:$AU$1006,0)), HYPERLINK("#",""), HYPERLINK(CONCATENATE("#metadata!", ADDRESS(INDEX($Y$2:$Y$1001,MATCH(ROWS($W$2:W12),$W$2:$W$1001,0),0), INDEX($AD$1004:$AU$1004,1,MATCH(COLUMNS($AD$1006:AE1006),$AD$1006:$AU$1006,0)))),"Fix")))</f>
        <v xml:space="preserve"> </v>
      </c>
      <c r="D12" s="4" t="str">
        <f ca="1">IF(OR(INDEX($X$2:$X$1001,MATCH(ROWS($W$2:W12),$W$2:$W$1001,0),1)&gt;=100000,INDEX($AD$1005:$AU$1005,1,MATCH(COLUMNS($AD$1006:AF1006),$AD$1006:$AU$1006,0))&gt;=100000), " ",IF(INDEX($AD$2:$AU$1001,MATCH(ROWS($W$2:W12),$W$2:$W$1001,0),MATCH(COLUMNS($AD$1006:AF1006),$AD$1006:$AU$1006,0)), HYPERLINK("#",""), HYPERLINK(CONCATENATE("#metadata!", ADDRESS(INDEX($Y$2:$Y$1001,MATCH(ROWS($W$2:W12),$W$2:$W$1001,0),0), INDEX($AD$1004:$AU$1004,1,MATCH(COLUMNS($AD$1006:AF1006),$AD$1006:$AU$1006,0)))),"Fix")))</f>
        <v xml:space="preserve"> </v>
      </c>
      <c r="E12" s="4" t="str">
        <f ca="1">IF(OR(INDEX($X$2:$X$1001,MATCH(ROWS($W$2:W12),$W$2:$W$1001,0),1)&gt;=100000,INDEX($AD$1005:$AU$1005,1,MATCH(COLUMNS($AD$1006:AG1006),$AD$1006:$AU$1006,0))&gt;=100000), " ",IF(INDEX($AD$2:$AU$1001,MATCH(ROWS($W$2:W12),$W$2:$W$1001,0),MATCH(COLUMNS($AD$1006:AG1006),$AD$1006:$AU$1006,0)), HYPERLINK("#",""), HYPERLINK(CONCATENATE("#metadata!", ADDRESS(INDEX($Y$2:$Y$1001,MATCH(ROWS($W$2:W12),$W$2:$W$1001,0),0), INDEX($AD$1004:$AU$1004,1,MATCH(COLUMNS($AD$1006:AG1006),$AD$1006:$AU$1006,0)))),"Fix")))</f>
        <v xml:space="preserve"> </v>
      </c>
      <c r="F12" s="4" t="str">
        <f ca="1">IF(OR(INDEX($X$2:$X$1001,MATCH(ROWS($W$2:W12),$W$2:$W$1001,0),1)&gt;=100000,INDEX($AD$1005:$AU$1005,1,MATCH(COLUMNS($AD$1006:AH1006),$AD$1006:$AU$1006,0))&gt;=100000), " ",IF(INDEX($AD$2:$AU$1001,MATCH(ROWS($W$2:W12),$W$2:$W$1001,0),MATCH(COLUMNS($AD$1006:AH1006),$AD$1006:$AU$1006,0)), HYPERLINK("#",""), HYPERLINK(CONCATENATE("#metadata!", ADDRESS(INDEX($Y$2:$Y$1001,MATCH(ROWS($W$2:W12),$W$2:$W$1001,0),0), INDEX($AD$1004:$AU$1004,1,MATCH(COLUMNS($AD$1006:AH1006),$AD$1006:$AU$1006,0)))),"Fix")))</f>
        <v xml:space="preserve"> </v>
      </c>
      <c r="G12" s="4" t="str">
        <f ca="1">IF(OR(INDEX($X$2:$X$1001,MATCH(ROWS($W$2:W12),$W$2:$W$1001,0),1)&gt;=100000,INDEX($AD$1005:$AU$1005,1,MATCH(COLUMNS($AD$1006:AI1006),$AD$1006:$AU$1006,0))&gt;=100000), " ",IF(INDEX($AD$2:$AU$1001,MATCH(ROWS($W$2:W12),$W$2:$W$1001,0),MATCH(COLUMNS($AD$1006:AI1006),$AD$1006:$AU$1006,0)), HYPERLINK("#",""), HYPERLINK(CONCATENATE("#metadata!", ADDRESS(INDEX($Y$2:$Y$1001,MATCH(ROWS($W$2:W12),$W$2:$W$1001,0),0), INDEX($AD$1004:$AU$1004,1,MATCH(COLUMNS($AD$1006:AI1006),$AD$1006:$AU$1006,0)))),"Fix")))</f>
        <v xml:space="preserve"> </v>
      </c>
      <c r="H12" s="4" t="str">
        <f ca="1">IF(OR(INDEX($X$2:$X$1001,MATCH(ROWS($W$2:W12),$W$2:$W$1001,0),1)&gt;=100000,INDEX($AD$1005:$AU$1005,1,MATCH(COLUMNS($AD$1006:AJ1006),$AD$1006:$AU$1006,0))&gt;=100000), " ",IF(INDEX($AD$2:$AU$1001,MATCH(ROWS($W$2:W12),$W$2:$W$1001,0),MATCH(COLUMNS($AD$1006:AJ1006),$AD$1006:$AU$1006,0)), HYPERLINK("#",""), HYPERLINK(CONCATENATE("#metadata!", ADDRESS(INDEX($Y$2:$Y$1001,MATCH(ROWS($W$2:W12),$W$2:$W$1001,0),0), INDEX($AD$1004:$AU$1004,1,MATCH(COLUMNS($AD$1006:AJ1006),$AD$1006:$AU$1006,0)))),"Fix")))</f>
        <v xml:space="preserve"> </v>
      </c>
      <c r="I12" s="4" t="str">
        <f ca="1">IF(OR(INDEX($X$2:$X$1001,MATCH(ROWS($W$2:W12),$W$2:$W$1001,0),1)&gt;=100000,INDEX($AD$1005:$AU$1005,1,MATCH(COLUMNS($AD$1006:AK1006),$AD$1006:$AU$1006,0))&gt;=100000), " ",IF(INDEX($AD$2:$AU$1001,MATCH(ROWS($W$2:W12),$W$2:$W$1001,0),MATCH(COLUMNS($AD$1006:AK1006),$AD$1006:$AU$1006,0)), HYPERLINK("#",""), HYPERLINK(CONCATENATE("#metadata!", ADDRESS(INDEX($Y$2:$Y$1001,MATCH(ROWS($W$2:W12),$W$2:$W$1001,0),0), INDEX($AD$1004:$AU$1004,1,MATCH(COLUMNS($AD$1006:AK1006),$AD$1006:$AU$1006,0)))),"Fix")))</f>
        <v xml:space="preserve"> </v>
      </c>
      <c r="J12" s="4" t="str">
        <f ca="1">IF(OR(INDEX($X$2:$X$1001,MATCH(ROWS($W$2:W12),$W$2:$W$1001,0),1)&gt;=100000,INDEX($AD$1005:$AU$1005,1,MATCH(COLUMNS($AD$1006:AL1006),$AD$1006:$AU$1006,0))&gt;=100000), " ",IF(INDEX($AD$2:$AU$1001,MATCH(ROWS($W$2:W12),$W$2:$W$1001,0),MATCH(COLUMNS($AD$1006:AL1006),$AD$1006:$AU$1006,0)), HYPERLINK("#",""), HYPERLINK(CONCATENATE("#metadata!", ADDRESS(INDEX($Y$2:$Y$1001,MATCH(ROWS($W$2:W12),$W$2:$W$1001,0),0), INDEX($AD$1004:$AU$1004,1,MATCH(COLUMNS($AD$1006:AL1006),$AD$1006:$AU$1006,0)))),"Fix")))</f>
        <v xml:space="preserve"> </v>
      </c>
      <c r="K12" s="4" t="str">
        <f ca="1">IF(OR(INDEX($X$2:$X$1001,MATCH(ROWS($W$2:W12),$W$2:$W$1001,0),1)&gt;=100000,INDEX($AD$1005:$AU$1005,1,MATCH(COLUMNS($AD$1006:AM1006),$AD$1006:$AU$1006,0))&gt;=100000), " ",IF(INDEX($AD$2:$AU$1001,MATCH(ROWS($W$2:W12),$W$2:$W$1001,0),MATCH(COLUMNS($AD$1006:AM1006),$AD$1006:$AU$1006,0)), HYPERLINK("#",""), HYPERLINK(CONCATENATE("#metadata!", ADDRESS(INDEX($Y$2:$Y$1001,MATCH(ROWS($W$2:W12),$W$2:$W$1001,0),0), INDEX($AD$1004:$AU$1004,1,MATCH(COLUMNS($AD$1006:AM1006),$AD$1006:$AU$1006,0)))),"Fix")))</f>
        <v xml:space="preserve"> </v>
      </c>
      <c r="L12" s="4" t="str">
        <f ca="1">IF(OR(INDEX($X$2:$X$1001,MATCH(ROWS($W$2:W12),$W$2:$W$1001,0),1)&gt;=100000,INDEX($AD$1005:$AU$1005,1,MATCH(COLUMNS($AD$1006:AN1006),$AD$1006:$AU$1006,0))&gt;=100000), " ",IF(INDEX($AD$2:$AU$1001,MATCH(ROWS($W$2:W12),$W$2:$W$1001,0),MATCH(COLUMNS($AD$1006:AN1006),$AD$1006:$AU$1006,0)), HYPERLINK("#",""), HYPERLINK(CONCATENATE("#metadata!", ADDRESS(INDEX($Y$2:$Y$1001,MATCH(ROWS($W$2:W12),$W$2:$W$1001,0),0), INDEX($AD$1004:$AU$1004,1,MATCH(COLUMNS($AD$1006:AN1006),$AD$1006:$AU$1006,0)))),"Fix")))</f>
        <v xml:space="preserve"> </v>
      </c>
      <c r="M12" s="4" t="str">
        <f ca="1">IF(OR(INDEX($X$2:$X$1001,MATCH(ROWS($W$2:W12),$W$2:$W$1001,0),1)&gt;=100000,INDEX($AD$1005:$AU$1005,1,MATCH(COLUMNS($AD$1006:AO1006),$AD$1006:$AU$1006,0))&gt;=100000), " ",IF(INDEX($AD$2:$AU$1001,MATCH(ROWS($W$2:W12),$W$2:$W$1001,0),MATCH(COLUMNS($AD$1006:AO1006),$AD$1006:$AU$1006,0)), HYPERLINK("#",""), HYPERLINK(CONCATENATE("#metadata!", ADDRESS(INDEX($Y$2:$Y$1001,MATCH(ROWS($W$2:W12),$W$2:$W$1001,0),0), INDEX($AD$1004:$AU$1004,1,MATCH(COLUMNS($AD$1006:AO1006),$AD$1006:$AU$1006,0)))),"Fix")))</f>
        <v xml:space="preserve"> </v>
      </c>
      <c r="N12" s="4" t="str">
        <f ca="1">IF(OR(INDEX($X$2:$X$1001,MATCH(ROWS($W$2:W12),$W$2:$W$1001,0),1)&gt;=100000,INDEX($AD$1005:$AU$1005,1,MATCH(COLUMNS($AD$1006:AP1006),$AD$1006:$AU$1006,0))&gt;=100000), " ",IF(INDEX($AD$2:$AU$1001,MATCH(ROWS($W$2:W12),$W$2:$W$1001,0),MATCH(COLUMNS($AD$1006:AP1006),$AD$1006:$AU$1006,0)), HYPERLINK("#",""), HYPERLINK(CONCATENATE("#metadata!", ADDRESS(INDEX($Y$2:$Y$1001,MATCH(ROWS($W$2:W12),$W$2:$W$1001,0),0), INDEX($AD$1004:$AU$1004,1,MATCH(COLUMNS($AD$1006:AP1006),$AD$1006:$AU$1006,0)))),"Fix")))</f>
        <v xml:space="preserve"> </v>
      </c>
      <c r="O12" s="4" t="str">
        <f ca="1">IF(OR(INDEX($X$2:$X$1001,MATCH(ROWS($W$2:W12),$W$2:$W$1001,0),1)&gt;=100000,INDEX($AD$1005:$AU$1005,1,MATCH(COLUMNS($AD$1006:AQ1006),$AD$1006:$AU$1006,0))&gt;=100000), " ",IF(INDEX($AD$2:$AU$1001,MATCH(ROWS($W$2:W12),$W$2:$W$1001,0),MATCH(COLUMNS($AD$1006:AQ1006),$AD$1006:$AU$1006,0)), HYPERLINK("#",""), HYPERLINK(CONCATENATE("#metadata!", ADDRESS(INDEX($Y$2:$Y$1001,MATCH(ROWS($W$2:W12),$W$2:$W$1001,0),0), INDEX($AD$1004:$AU$1004,1,MATCH(COLUMNS($AD$1006:AQ1006),$AD$1006:$AU$1006,0)))),"Fix")))</f>
        <v xml:space="preserve"> </v>
      </c>
      <c r="P12" s="4" t="str">
        <f ca="1">IF(OR(INDEX($X$2:$X$1001,MATCH(ROWS($W$2:W12),$W$2:$W$1001,0),1)&gt;=100000,INDEX($AD$1005:$AU$1005,1,MATCH(COLUMNS($AD$1006:AR1006),$AD$1006:$AU$1006,0))&gt;=100000), " ",IF(INDEX($AD$2:$AU$1001,MATCH(ROWS($W$2:W12),$W$2:$W$1001,0),MATCH(COLUMNS($AD$1006:AR1006),$AD$1006:$AU$1006,0)), HYPERLINK("#",""), HYPERLINK(CONCATENATE("#metadata!", ADDRESS(INDEX($Y$2:$Y$1001,MATCH(ROWS($W$2:W12),$W$2:$W$1001,0),0), INDEX($AD$1004:$AU$1004,1,MATCH(COLUMNS($AD$1006:AR1006),$AD$1006:$AU$1006,0)))),"Fix")))</f>
        <v xml:space="preserve"> </v>
      </c>
      <c r="Q12" s="4" t="str">
        <f ca="1">IF(OR(INDEX($X$2:$X$1001,MATCH(ROWS($W$2:W12),$W$2:$W$1001,0),1)&gt;=100000,INDEX($AD$1005:$AU$1005,1,MATCH(COLUMNS($AD$1006:AS1006),$AD$1006:$AU$1006,0))&gt;=100000), " ",IF(INDEX($AD$2:$AU$1001,MATCH(ROWS($W$2:W12),$W$2:$W$1001,0),MATCH(COLUMNS($AD$1006:AS1006),$AD$1006:$AU$1006,0)), HYPERLINK("#",""), HYPERLINK(CONCATENATE("#metadata!", ADDRESS(INDEX($Y$2:$Y$1001,MATCH(ROWS($W$2:W12),$W$2:$W$1001,0),0), INDEX($AD$1004:$AU$1004,1,MATCH(COLUMNS($AD$1006:AS1006),$AD$1006:$AU$1006,0)))),"Fix")))</f>
        <v xml:space="preserve"> </v>
      </c>
      <c r="R12" s="4" t="str">
        <f ca="1">IF(OR(INDEX($X$2:$X$1001,MATCH(ROWS($W$2:W12),$W$2:$W$1001,0),1)&gt;=100000,INDEX($AD$1005:$AU$1005,1,MATCH(COLUMNS($AD$1006:AT1006),$AD$1006:$AU$1006,0))&gt;=100000), " ",IF(INDEX($AD$2:$AU$1001,MATCH(ROWS($W$2:W12),$W$2:$W$1001,0),MATCH(COLUMNS($AD$1006:AT1006),$AD$1006:$AU$1006,0)), HYPERLINK("#",""), HYPERLINK(CONCATENATE("#metadata!", ADDRESS(INDEX($Y$2:$Y$1001,MATCH(ROWS($W$2:W12),$W$2:$W$1001,0),0), INDEX($AD$1004:$AU$1004,1,MATCH(COLUMNS($AD$1006:AT1006),$AD$1006:$AU$1006,0)))),"Fix")))</f>
        <v xml:space="preserve"> </v>
      </c>
      <c r="S12" s="4" t="str">
        <f ca="1">IF(OR(INDEX($X$2:$X$1001,MATCH(ROWS($W$2:W12),$W$2:$W$1001,0),1)&gt;=100000,INDEX($AD$1005:$AU$1005,1,MATCH(COLUMNS($AD$1006:AU1006),$AD$1006:$AU$1006,0))&gt;=100000), " ",IF(INDEX($AD$2:$AU$1001,MATCH(ROWS($W$2:W12),$W$2:$W$1001,0),MATCH(COLUMNS($AD$1006:AU1006),$AD$1006:$AU$1006,0)), HYPERLINK("#",""), HYPERLINK(CONCATENATE("#metadata!", ADDRESS(INDEX($Y$2:$Y$1001,MATCH(ROWS($W$2:W12),$W$2:$W$1001,0),0), INDEX($AD$1004:$AU$1004,1,MATCH(COLUMNS($AD$1006:AU1006),$AD$1006:$AU$1006,0)))),"Fix")))</f>
        <v xml:space="preserve"> </v>
      </c>
      <c r="W12">
        <v>11</v>
      </c>
      <c r="X12">
        <v>100012</v>
      </c>
      <c r="Y12">
        <v>12</v>
      </c>
      <c r="Z12" t="b">
        <f t="shared" si="0"/>
        <v>1</v>
      </c>
      <c r="AA12" t="b">
        <f>COUNTBLANK(metadata!B12:S12)=COLUMNS(metadata!B12:S12)</f>
        <v>1</v>
      </c>
      <c r="AB12" t="str">
        <v/>
      </c>
      <c r="AD12" t="b">
        <f ca="1">AND(IF(metadata!B12="",FALSE,TRUE),COUNTIF(metadata!B:B, metadata!B12) = 1,NOT(ISERROR(SUMPRODUCT(SEARCH(MID(metadata!B12,ROW(INDIRECT("1:"&amp;LEN(metadata!B12))), 1),"0123456789abcdefghijklmnopqrstuvwxyzABCDEFGHIJKLMNOPQRSTUVWXYZ.")))))</f>
        <v>0</v>
      </c>
      <c r="AE12" t="b">
        <f>OR(AND(IF(metadata!C12="",FALSE,TRUE),OR(EXACT(metadata!C12,"not applicable"),EXACT(metadata!C12,"missing: not collected"),EXACT(metadata!C12,"missing: not provided"),EXACT(metadata!C12,"missing: restricted access"))),AND(IF(metadata!C12="",FALSE,ISNUMBER(VALUE(metadata!C12))),metadata!C12&gt;0))</f>
        <v>0</v>
      </c>
      <c r="AF12" t="b">
        <f>AND(IF(metadata!D12="",FALSE,TRUE),EXACT(metadata!D12,"missing: not provided"))</f>
        <v>0</v>
      </c>
      <c r="AG12" t="b">
        <f>AND(IF(metadata!E12="",FALSE,TRUE),EXACT(metadata!E12,"Host-associated"))</f>
        <v>0</v>
      </c>
      <c r="AH12" t="b">
        <f>AND(IF(metadata!F12="",FALSE,TRUE),OR(EXACT(metadata!F12,"Animal"),EXACT(metadata!F12,"Fungus"),EXACT(metadata!F12,"Plant")))</f>
        <v>0</v>
      </c>
      <c r="AI12" t="b">
        <f>AND(IF(metadata!G12="",FALSE,TRUE),OR(EXACT(metadata!G12,"Plant secretion"),EXACT(metadata!G12,"Plant rhizosphere"),EXACT(metadata!G12,"Plant surface"),EXACT(metadata!G12,"Plant corpus"),EXACT(metadata!G12,"Fungus surface"),EXACT(metadata!G12,"Fungus corpus"),EXACT(metadata!G12,"Animal surface"),EXACT(metadata!G12,"Animal proximal gut"),EXACT(metadata!G12,"Animal corpus"),EXACT(metadata!G12,"Animal distal gut"),EXACT(metadata!G12,"Animal secretion")))</f>
        <v>0</v>
      </c>
      <c r="AJ12" t="b">
        <f>OR(AND(IF(metadata!H12="",FALSE,TRUE),OR(EXACT(metadata!H12,"missing: not collected"),EXACT(metadata!H12,"missing: not provided"),EXACT(metadata!H12,"missing: restricted access"))),AND(IF(metadata!H12="",FALSE,TRUE),OR(EXACT(metadata!H12,"organism-associated habitat"),EXACT(metadata!H12,"plant-associated habitat"),EXACT(metadata!H12,"animal-associated habitat"),EXACT(metadata!H12,"insecta-associated habitat"),EXACT(metadata!H12,"mammalia-associated habitat"),EXACT(metadata!H12,"human-associated habitat"),EXACT(metadata!H12,"livestock-associated habitat"))))</f>
        <v>0</v>
      </c>
      <c r="AK12" t="b">
        <f>AND(IF(metadata!I12="",FALSE,TRUE),EXACT(metadata!I12,"host-associated"))</f>
        <v>0</v>
      </c>
      <c r="AL12" t="b">
        <f>OR(AND(IF(metadata!J12="",FALSE,TRUE),OR(EXACT(metadata!J12,"not applicable"),EXACT(metadata!J12,"missing: not collected"),EXACT(metadata!J12,"missing: not provided"),EXACT(metadata!J12,"missing: restricted access"))),AND(IF(metadata!J12="",FALSE,ISNUMBER(VALUE(metadata!J12))),metadata!J12&gt;0))</f>
        <v>0</v>
      </c>
      <c r="AM12" t="b">
        <f>AND(IF(metadata!K12="",FALSE,TRUE),EXACT(metadata!K12,"missing: not provided"))</f>
        <v>0</v>
      </c>
      <c r="AN12" t="b">
        <f>IF(metadata!L12="",FALSE,TRUE)</f>
        <v>0</v>
      </c>
      <c r="AO12" t="b">
        <f>IF(metadata!M12="",FALSE,TRUE)</f>
        <v>0</v>
      </c>
      <c r="AP12" t="b">
        <f>OR(AND(IF(metadata!N12="",FALSE,TRUE),OR(EXACT(metadata!N12,"not applicable"),EXACT(metadata!N12,"missing: not collected"),EXACT(metadata!N12,"missing: not provided"))),AND(IF(metadata!N12="",FALSE,IF(ISERROR(INT(metadata!N12)),FALSE,INT(metadata!N12)=metadata!N12)),metadata!N12&gt;0))</f>
        <v>0</v>
      </c>
      <c r="AQ12" t="b">
        <f>AND(IF(metadata!O12="",FALSE,TRUE),EXACT(metadata!O12,"Not applicable"))</f>
        <v>0</v>
      </c>
      <c r="AR12" t="b">
        <f>OR(AND(IF(metadata!P12="",FALSE,TRUE),OR(EXACT(metadata!P12,"not applicable"),EXACT(metadata!P12,"missing: not collected"),EXACT(metadata!P12,"missing: not provided"),EXACT(metadata!P12,"missing: restricted access"))),IF(metadata!P12="",FALSE,IF(ISERROR(INT(metadata!P12)),FALSE,INT(metadata!P12)=metadata!P12)))</f>
        <v>0</v>
      </c>
      <c r="AS12" t="b">
        <f>AND(IF(metadata!Q12="",FALSE,TRUE),EXACT(metadata!Q12,"Not applicable"))</f>
        <v>0</v>
      </c>
      <c r="AT12" t="b">
        <f>OR(AND(IF(metadata!R12="",FALSE,TRUE),OR(EXACT(metadata!R12,"not applicable"),EXACT(metadata!R12,"missing: not collected"),EXACT(metadata!R12,"missing: not provided"),EXACT(metadata!R12,"missing: restricted access"))),AND(IF(metadata!R12="",FALSE,ISNUMBER(VALUE(metadata!R12))),metadata!R12&gt;0))</f>
        <v>0</v>
      </c>
      <c r="AU12" t="b">
        <f>AND(IF(metadata!S12="",FALSE,TRUE),EXACT(metadata!S12,"missing: not provided"))</f>
        <v>0</v>
      </c>
    </row>
    <row r="13" spans="1:47" x14ac:dyDescent="0.2">
      <c r="A13" s="5" t="str">
        <f ca="1">IF(B13=" "," ",HYPERLINK(CONCATENATE("#metadata!",ADDRESS(INDEX($Y$2:$Y$1001,MATCH(ROWS($W$2:W13),$W$2:$W$1001,0),0),1)),INDEX($AB$2:$AB$1001,MATCH(ROWS($W$2:W13),$W$2:$W$1001,0),0)))</f>
        <v xml:space="preserve"> </v>
      </c>
      <c r="B13" s="4" t="str">
        <f ca="1">IF(OR(INDEX($X$2:$X$1001,MATCH(ROWS($W$2:W13),$W$2:$W$1001,0),1)&gt;=100000,INDEX($AD$1005:$AU$1005,1,MATCH(COLUMNS($AD$1006:AD1006),$AD$1006:$AU$1006,0))&gt;=100000), " ",IF(INDEX($AD$2:$AU$1001,MATCH(ROWS($W$2:W13),$W$2:$W$1001,0),MATCH(COLUMNS($AD$1006:AD1006),$AD$1006:$AU$1006,0)), HYPERLINK("#",""), HYPERLINK(CONCATENATE("#metadata!", ADDRESS(INDEX($Y$2:$Y$1001,MATCH(ROWS($W$2:W13),$W$2:$W$1001,0),0), INDEX($AD$1004:$AU$1004,1,MATCH(COLUMNS($AD$1006:AD1006),$AD$1006:$AU$1006,0)))),"Fix")))</f>
        <v xml:space="preserve"> </v>
      </c>
      <c r="C13" s="4" t="str">
        <f ca="1">IF(OR(INDEX($X$2:$X$1001,MATCH(ROWS($W$2:W13),$W$2:$W$1001,0),1)&gt;=100000,INDEX($AD$1005:$AU$1005,1,MATCH(COLUMNS($AD$1006:AE1006),$AD$1006:$AU$1006,0))&gt;=100000), " ",IF(INDEX($AD$2:$AU$1001,MATCH(ROWS($W$2:W13),$W$2:$W$1001,0),MATCH(COLUMNS($AD$1006:AE1006),$AD$1006:$AU$1006,0)), HYPERLINK("#",""), HYPERLINK(CONCATENATE("#metadata!", ADDRESS(INDEX($Y$2:$Y$1001,MATCH(ROWS($W$2:W13),$W$2:$W$1001,0),0), INDEX($AD$1004:$AU$1004,1,MATCH(COLUMNS($AD$1006:AE1006),$AD$1006:$AU$1006,0)))),"Fix")))</f>
        <v xml:space="preserve"> </v>
      </c>
      <c r="D13" s="4" t="str">
        <f ca="1">IF(OR(INDEX($X$2:$X$1001,MATCH(ROWS($W$2:W13),$W$2:$W$1001,0),1)&gt;=100000,INDEX($AD$1005:$AU$1005,1,MATCH(COLUMNS($AD$1006:AF1006),$AD$1006:$AU$1006,0))&gt;=100000), " ",IF(INDEX($AD$2:$AU$1001,MATCH(ROWS($W$2:W13),$W$2:$W$1001,0),MATCH(COLUMNS($AD$1006:AF1006),$AD$1006:$AU$1006,0)), HYPERLINK("#",""), HYPERLINK(CONCATENATE("#metadata!", ADDRESS(INDEX($Y$2:$Y$1001,MATCH(ROWS($W$2:W13),$W$2:$W$1001,0),0), INDEX($AD$1004:$AU$1004,1,MATCH(COLUMNS($AD$1006:AF1006),$AD$1006:$AU$1006,0)))),"Fix")))</f>
        <v xml:space="preserve"> </v>
      </c>
      <c r="E13" s="4" t="str">
        <f ca="1">IF(OR(INDEX($X$2:$X$1001,MATCH(ROWS($W$2:W13),$W$2:$W$1001,0),1)&gt;=100000,INDEX($AD$1005:$AU$1005,1,MATCH(COLUMNS($AD$1006:AG1006),$AD$1006:$AU$1006,0))&gt;=100000), " ",IF(INDEX($AD$2:$AU$1001,MATCH(ROWS($W$2:W13),$W$2:$W$1001,0),MATCH(COLUMNS($AD$1006:AG1006),$AD$1006:$AU$1006,0)), HYPERLINK("#",""), HYPERLINK(CONCATENATE("#metadata!", ADDRESS(INDEX($Y$2:$Y$1001,MATCH(ROWS($W$2:W13),$W$2:$W$1001,0),0), INDEX($AD$1004:$AU$1004,1,MATCH(COLUMNS($AD$1006:AG1006),$AD$1006:$AU$1006,0)))),"Fix")))</f>
        <v xml:space="preserve"> </v>
      </c>
      <c r="F13" s="4" t="str">
        <f ca="1">IF(OR(INDEX($X$2:$X$1001,MATCH(ROWS($W$2:W13),$W$2:$W$1001,0),1)&gt;=100000,INDEX($AD$1005:$AU$1005,1,MATCH(COLUMNS($AD$1006:AH1006),$AD$1006:$AU$1006,0))&gt;=100000), " ",IF(INDEX($AD$2:$AU$1001,MATCH(ROWS($W$2:W13),$W$2:$W$1001,0),MATCH(COLUMNS($AD$1006:AH1006),$AD$1006:$AU$1006,0)), HYPERLINK("#",""), HYPERLINK(CONCATENATE("#metadata!", ADDRESS(INDEX($Y$2:$Y$1001,MATCH(ROWS($W$2:W13),$W$2:$W$1001,0),0), INDEX($AD$1004:$AU$1004,1,MATCH(COLUMNS($AD$1006:AH1006),$AD$1006:$AU$1006,0)))),"Fix")))</f>
        <v xml:space="preserve"> </v>
      </c>
      <c r="G13" s="4" t="str">
        <f ca="1">IF(OR(INDEX($X$2:$X$1001,MATCH(ROWS($W$2:W13),$W$2:$W$1001,0),1)&gt;=100000,INDEX($AD$1005:$AU$1005,1,MATCH(COLUMNS($AD$1006:AI1006),$AD$1006:$AU$1006,0))&gt;=100000), " ",IF(INDEX($AD$2:$AU$1001,MATCH(ROWS($W$2:W13),$W$2:$W$1001,0),MATCH(COLUMNS($AD$1006:AI1006),$AD$1006:$AU$1006,0)), HYPERLINK("#",""), HYPERLINK(CONCATENATE("#metadata!", ADDRESS(INDEX($Y$2:$Y$1001,MATCH(ROWS($W$2:W13),$W$2:$W$1001,0),0), INDEX($AD$1004:$AU$1004,1,MATCH(COLUMNS($AD$1006:AI1006),$AD$1006:$AU$1006,0)))),"Fix")))</f>
        <v xml:space="preserve"> </v>
      </c>
      <c r="H13" s="4" t="str">
        <f ca="1">IF(OR(INDEX($X$2:$X$1001,MATCH(ROWS($W$2:W13),$W$2:$W$1001,0),1)&gt;=100000,INDEX($AD$1005:$AU$1005,1,MATCH(COLUMNS($AD$1006:AJ1006),$AD$1006:$AU$1006,0))&gt;=100000), " ",IF(INDEX($AD$2:$AU$1001,MATCH(ROWS($W$2:W13),$W$2:$W$1001,0),MATCH(COLUMNS($AD$1006:AJ1006),$AD$1006:$AU$1006,0)), HYPERLINK("#",""), HYPERLINK(CONCATENATE("#metadata!", ADDRESS(INDEX($Y$2:$Y$1001,MATCH(ROWS($W$2:W13),$W$2:$W$1001,0),0), INDEX($AD$1004:$AU$1004,1,MATCH(COLUMNS($AD$1006:AJ1006),$AD$1006:$AU$1006,0)))),"Fix")))</f>
        <v xml:space="preserve"> </v>
      </c>
      <c r="I13" s="4" t="str">
        <f ca="1">IF(OR(INDEX($X$2:$X$1001,MATCH(ROWS($W$2:W13),$W$2:$W$1001,0),1)&gt;=100000,INDEX($AD$1005:$AU$1005,1,MATCH(COLUMNS($AD$1006:AK1006),$AD$1006:$AU$1006,0))&gt;=100000), " ",IF(INDEX($AD$2:$AU$1001,MATCH(ROWS($W$2:W13),$W$2:$W$1001,0),MATCH(COLUMNS($AD$1006:AK1006),$AD$1006:$AU$1006,0)), HYPERLINK("#",""), HYPERLINK(CONCATENATE("#metadata!", ADDRESS(INDEX($Y$2:$Y$1001,MATCH(ROWS($W$2:W13),$W$2:$W$1001,0),0), INDEX($AD$1004:$AU$1004,1,MATCH(COLUMNS($AD$1006:AK1006),$AD$1006:$AU$1006,0)))),"Fix")))</f>
        <v xml:space="preserve"> </v>
      </c>
      <c r="J13" s="4" t="str">
        <f ca="1">IF(OR(INDEX($X$2:$X$1001,MATCH(ROWS($W$2:W13),$W$2:$W$1001,0),1)&gt;=100000,INDEX($AD$1005:$AU$1005,1,MATCH(COLUMNS($AD$1006:AL1006),$AD$1006:$AU$1006,0))&gt;=100000), " ",IF(INDEX($AD$2:$AU$1001,MATCH(ROWS($W$2:W13),$W$2:$W$1001,0),MATCH(COLUMNS($AD$1006:AL1006),$AD$1006:$AU$1006,0)), HYPERLINK("#",""), HYPERLINK(CONCATENATE("#metadata!", ADDRESS(INDEX($Y$2:$Y$1001,MATCH(ROWS($W$2:W13),$W$2:$W$1001,0),0), INDEX($AD$1004:$AU$1004,1,MATCH(COLUMNS($AD$1006:AL1006),$AD$1006:$AU$1006,0)))),"Fix")))</f>
        <v xml:space="preserve"> </v>
      </c>
      <c r="K13" s="4" t="str">
        <f ca="1">IF(OR(INDEX($X$2:$X$1001,MATCH(ROWS($W$2:W13),$W$2:$W$1001,0),1)&gt;=100000,INDEX($AD$1005:$AU$1005,1,MATCH(COLUMNS($AD$1006:AM1006),$AD$1006:$AU$1006,0))&gt;=100000), " ",IF(INDEX($AD$2:$AU$1001,MATCH(ROWS($W$2:W13),$W$2:$W$1001,0),MATCH(COLUMNS($AD$1006:AM1006),$AD$1006:$AU$1006,0)), HYPERLINK("#",""), HYPERLINK(CONCATENATE("#metadata!", ADDRESS(INDEX($Y$2:$Y$1001,MATCH(ROWS($W$2:W13),$W$2:$W$1001,0),0), INDEX($AD$1004:$AU$1004,1,MATCH(COLUMNS($AD$1006:AM1006),$AD$1006:$AU$1006,0)))),"Fix")))</f>
        <v xml:space="preserve"> </v>
      </c>
      <c r="L13" s="4" t="str">
        <f ca="1">IF(OR(INDEX($X$2:$X$1001,MATCH(ROWS($W$2:W13),$W$2:$W$1001,0),1)&gt;=100000,INDEX($AD$1005:$AU$1005,1,MATCH(COLUMNS($AD$1006:AN1006),$AD$1006:$AU$1006,0))&gt;=100000), " ",IF(INDEX($AD$2:$AU$1001,MATCH(ROWS($W$2:W13),$W$2:$W$1001,0),MATCH(COLUMNS($AD$1006:AN1006),$AD$1006:$AU$1006,0)), HYPERLINK("#",""), HYPERLINK(CONCATENATE("#metadata!", ADDRESS(INDEX($Y$2:$Y$1001,MATCH(ROWS($W$2:W13),$W$2:$W$1001,0),0), INDEX($AD$1004:$AU$1004,1,MATCH(COLUMNS($AD$1006:AN1006),$AD$1006:$AU$1006,0)))),"Fix")))</f>
        <v xml:space="preserve"> </v>
      </c>
      <c r="M13" s="4" t="str">
        <f ca="1">IF(OR(INDEX($X$2:$X$1001,MATCH(ROWS($W$2:W13),$W$2:$W$1001,0),1)&gt;=100000,INDEX($AD$1005:$AU$1005,1,MATCH(COLUMNS($AD$1006:AO1006),$AD$1006:$AU$1006,0))&gt;=100000), " ",IF(INDEX($AD$2:$AU$1001,MATCH(ROWS($W$2:W13),$W$2:$W$1001,0),MATCH(COLUMNS($AD$1006:AO1006),$AD$1006:$AU$1006,0)), HYPERLINK("#",""), HYPERLINK(CONCATENATE("#metadata!", ADDRESS(INDEX($Y$2:$Y$1001,MATCH(ROWS($W$2:W13),$W$2:$W$1001,0),0), INDEX($AD$1004:$AU$1004,1,MATCH(COLUMNS($AD$1006:AO1006),$AD$1006:$AU$1006,0)))),"Fix")))</f>
        <v xml:space="preserve"> </v>
      </c>
      <c r="N13" s="4" t="str">
        <f ca="1">IF(OR(INDEX($X$2:$X$1001,MATCH(ROWS($W$2:W13),$W$2:$W$1001,0),1)&gt;=100000,INDEX($AD$1005:$AU$1005,1,MATCH(COLUMNS($AD$1006:AP1006),$AD$1006:$AU$1006,0))&gt;=100000), " ",IF(INDEX($AD$2:$AU$1001,MATCH(ROWS($W$2:W13),$W$2:$W$1001,0),MATCH(COLUMNS($AD$1006:AP1006),$AD$1006:$AU$1006,0)), HYPERLINK("#",""), HYPERLINK(CONCATENATE("#metadata!", ADDRESS(INDEX($Y$2:$Y$1001,MATCH(ROWS($W$2:W13),$W$2:$W$1001,0),0), INDEX($AD$1004:$AU$1004,1,MATCH(COLUMNS($AD$1006:AP1006),$AD$1006:$AU$1006,0)))),"Fix")))</f>
        <v xml:space="preserve"> </v>
      </c>
      <c r="O13" s="4" t="str">
        <f ca="1">IF(OR(INDEX($X$2:$X$1001,MATCH(ROWS($W$2:W13),$W$2:$W$1001,0),1)&gt;=100000,INDEX($AD$1005:$AU$1005,1,MATCH(COLUMNS($AD$1006:AQ1006),$AD$1006:$AU$1006,0))&gt;=100000), " ",IF(INDEX($AD$2:$AU$1001,MATCH(ROWS($W$2:W13),$W$2:$W$1001,0),MATCH(COLUMNS($AD$1006:AQ1006),$AD$1006:$AU$1006,0)), HYPERLINK("#",""), HYPERLINK(CONCATENATE("#metadata!", ADDRESS(INDEX($Y$2:$Y$1001,MATCH(ROWS($W$2:W13),$W$2:$W$1001,0),0), INDEX($AD$1004:$AU$1004,1,MATCH(COLUMNS($AD$1006:AQ1006),$AD$1006:$AU$1006,0)))),"Fix")))</f>
        <v xml:space="preserve"> </v>
      </c>
      <c r="P13" s="4" t="str">
        <f ca="1">IF(OR(INDEX($X$2:$X$1001,MATCH(ROWS($W$2:W13),$W$2:$W$1001,0),1)&gt;=100000,INDEX($AD$1005:$AU$1005,1,MATCH(COLUMNS($AD$1006:AR1006),$AD$1006:$AU$1006,0))&gt;=100000), " ",IF(INDEX($AD$2:$AU$1001,MATCH(ROWS($W$2:W13),$W$2:$W$1001,0),MATCH(COLUMNS($AD$1006:AR1006),$AD$1006:$AU$1006,0)), HYPERLINK("#",""), HYPERLINK(CONCATENATE("#metadata!", ADDRESS(INDEX($Y$2:$Y$1001,MATCH(ROWS($W$2:W13),$W$2:$W$1001,0),0), INDEX($AD$1004:$AU$1004,1,MATCH(COLUMNS($AD$1006:AR1006),$AD$1006:$AU$1006,0)))),"Fix")))</f>
        <v xml:space="preserve"> </v>
      </c>
      <c r="Q13" s="4" t="str">
        <f ca="1">IF(OR(INDEX($X$2:$X$1001,MATCH(ROWS($W$2:W13),$W$2:$W$1001,0),1)&gt;=100000,INDEX($AD$1005:$AU$1005,1,MATCH(COLUMNS($AD$1006:AS1006),$AD$1006:$AU$1006,0))&gt;=100000), " ",IF(INDEX($AD$2:$AU$1001,MATCH(ROWS($W$2:W13),$W$2:$W$1001,0),MATCH(COLUMNS($AD$1006:AS1006),$AD$1006:$AU$1006,0)), HYPERLINK("#",""), HYPERLINK(CONCATENATE("#metadata!", ADDRESS(INDEX($Y$2:$Y$1001,MATCH(ROWS($W$2:W13),$W$2:$W$1001,0),0), INDEX($AD$1004:$AU$1004,1,MATCH(COLUMNS($AD$1006:AS1006),$AD$1006:$AU$1006,0)))),"Fix")))</f>
        <v xml:space="preserve"> </v>
      </c>
      <c r="R13" s="4" t="str">
        <f ca="1">IF(OR(INDEX($X$2:$X$1001,MATCH(ROWS($W$2:W13),$W$2:$W$1001,0),1)&gt;=100000,INDEX($AD$1005:$AU$1005,1,MATCH(COLUMNS($AD$1006:AT1006),$AD$1006:$AU$1006,0))&gt;=100000), " ",IF(INDEX($AD$2:$AU$1001,MATCH(ROWS($W$2:W13),$W$2:$W$1001,0),MATCH(COLUMNS($AD$1006:AT1006),$AD$1006:$AU$1006,0)), HYPERLINK("#",""), HYPERLINK(CONCATENATE("#metadata!", ADDRESS(INDEX($Y$2:$Y$1001,MATCH(ROWS($W$2:W13),$W$2:$W$1001,0),0), INDEX($AD$1004:$AU$1004,1,MATCH(COLUMNS($AD$1006:AT1006),$AD$1006:$AU$1006,0)))),"Fix")))</f>
        <v xml:space="preserve"> </v>
      </c>
      <c r="S13" s="4" t="str">
        <f ca="1">IF(OR(INDEX($X$2:$X$1001,MATCH(ROWS($W$2:W13),$W$2:$W$1001,0),1)&gt;=100000,INDEX($AD$1005:$AU$1005,1,MATCH(COLUMNS($AD$1006:AU1006),$AD$1006:$AU$1006,0))&gt;=100000), " ",IF(INDEX($AD$2:$AU$1001,MATCH(ROWS($W$2:W13),$W$2:$W$1001,0),MATCH(COLUMNS($AD$1006:AU1006),$AD$1006:$AU$1006,0)), HYPERLINK("#",""), HYPERLINK(CONCATENATE("#metadata!", ADDRESS(INDEX($Y$2:$Y$1001,MATCH(ROWS($W$2:W13),$W$2:$W$1001,0),0), INDEX($AD$1004:$AU$1004,1,MATCH(COLUMNS($AD$1006:AU1006),$AD$1006:$AU$1006,0)))),"Fix")))</f>
        <v xml:space="preserve"> </v>
      </c>
      <c r="W13">
        <v>12</v>
      </c>
      <c r="X13">
        <v>100013</v>
      </c>
      <c r="Y13">
        <v>13</v>
      </c>
      <c r="Z13" t="b">
        <f t="shared" si="0"/>
        <v>1</v>
      </c>
      <c r="AA13" t="b">
        <f>COUNTBLANK(metadata!B13:S13)=COLUMNS(metadata!B13:S13)</f>
        <v>1</v>
      </c>
      <c r="AB13" t="str">
        <v/>
      </c>
      <c r="AD13" t="b">
        <f ca="1">AND(IF(metadata!B13="",FALSE,TRUE),COUNTIF(metadata!B:B, metadata!B13) = 1,NOT(ISERROR(SUMPRODUCT(SEARCH(MID(metadata!B13,ROW(INDIRECT("1:"&amp;LEN(metadata!B13))), 1),"0123456789abcdefghijklmnopqrstuvwxyzABCDEFGHIJKLMNOPQRSTUVWXYZ.")))))</f>
        <v>0</v>
      </c>
      <c r="AE13" t="b">
        <f>OR(AND(IF(metadata!C13="",FALSE,TRUE),OR(EXACT(metadata!C13,"not applicable"),EXACT(metadata!C13,"missing: not collected"),EXACT(metadata!C13,"missing: not provided"),EXACT(metadata!C13,"missing: restricted access"))),AND(IF(metadata!C13="",FALSE,ISNUMBER(VALUE(metadata!C13))),metadata!C13&gt;0))</f>
        <v>0</v>
      </c>
      <c r="AF13" t="b">
        <f>AND(IF(metadata!D13="",FALSE,TRUE),EXACT(metadata!D13,"missing: not provided"))</f>
        <v>0</v>
      </c>
      <c r="AG13" t="b">
        <f>AND(IF(metadata!E13="",FALSE,TRUE),EXACT(metadata!E13,"Host-associated"))</f>
        <v>0</v>
      </c>
      <c r="AH13" t="b">
        <f>AND(IF(metadata!F13="",FALSE,TRUE),OR(EXACT(metadata!F13,"Animal"),EXACT(metadata!F13,"Fungus"),EXACT(metadata!F13,"Plant")))</f>
        <v>0</v>
      </c>
      <c r="AI13" t="b">
        <f>AND(IF(metadata!G13="",FALSE,TRUE),OR(EXACT(metadata!G13,"Plant secretion"),EXACT(metadata!G13,"Plant rhizosphere"),EXACT(metadata!G13,"Plant surface"),EXACT(metadata!G13,"Plant corpus"),EXACT(metadata!G13,"Fungus surface"),EXACT(metadata!G13,"Fungus corpus"),EXACT(metadata!G13,"Animal surface"),EXACT(metadata!G13,"Animal proximal gut"),EXACT(metadata!G13,"Animal corpus"),EXACT(metadata!G13,"Animal distal gut"),EXACT(metadata!G13,"Animal secretion")))</f>
        <v>0</v>
      </c>
      <c r="AJ13" t="b">
        <f>OR(AND(IF(metadata!H13="",FALSE,TRUE),OR(EXACT(metadata!H13,"missing: not collected"),EXACT(metadata!H13,"missing: not provided"),EXACT(metadata!H13,"missing: restricted access"))),AND(IF(metadata!H13="",FALSE,TRUE),OR(EXACT(metadata!H13,"organism-associated habitat"),EXACT(metadata!H13,"plant-associated habitat"),EXACT(metadata!H13,"animal-associated habitat"),EXACT(metadata!H13,"insecta-associated habitat"),EXACT(metadata!H13,"mammalia-associated habitat"),EXACT(metadata!H13,"human-associated habitat"),EXACT(metadata!H13,"livestock-associated habitat"))))</f>
        <v>0</v>
      </c>
      <c r="AK13" t="b">
        <f>AND(IF(metadata!I13="",FALSE,TRUE),EXACT(metadata!I13,"host-associated"))</f>
        <v>0</v>
      </c>
      <c r="AL13" t="b">
        <f>OR(AND(IF(metadata!J13="",FALSE,TRUE),OR(EXACT(metadata!J13,"not applicable"),EXACT(metadata!J13,"missing: not collected"),EXACT(metadata!J13,"missing: not provided"),EXACT(metadata!J13,"missing: restricted access"))),AND(IF(metadata!J13="",FALSE,ISNUMBER(VALUE(metadata!J13))),metadata!J13&gt;0))</f>
        <v>0</v>
      </c>
      <c r="AM13" t="b">
        <f>AND(IF(metadata!K13="",FALSE,TRUE),EXACT(metadata!K13,"missing: not provided"))</f>
        <v>0</v>
      </c>
      <c r="AN13" t="b">
        <f>IF(metadata!L13="",FALSE,TRUE)</f>
        <v>0</v>
      </c>
      <c r="AO13" t="b">
        <f>IF(metadata!M13="",FALSE,TRUE)</f>
        <v>0</v>
      </c>
      <c r="AP13" t="b">
        <f>OR(AND(IF(metadata!N13="",FALSE,TRUE),OR(EXACT(metadata!N13,"not applicable"),EXACT(metadata!N13,"missing: not collected"),EXACT(metadata!N13,"missing: not provided"))),AND(IF(metadata!N13="",FALSE,IF(ISERROR(INT(metadata!N13)),FALSE,INT(metadata!N13)=metadata!N13)),metadata!N13&gt;0))</f>
        <v>0</v>
      </c>
      <c r="AQ13" t="b">
        <f>AND(IF(metadata!O13="",FALSE,TRUE),EXACT(metadata!O13,"Not applicable"))</f>
        <v>0</v>
      </c>
      <c r="AR13" t="b">
        <f>OR(AND(IF(metadata!P13="",FALSE,TRUE),OR(EXACT(metadata!P13,"not applicable"),EXACT(metadata!P13,"missing: not collected"),EXACT(metadata!P13,"missing: not provided"),EXACT(metadata!P13,"missing: restricted access"))),IF(metadata!P13="",FALSE,IF(ISERROR(INT(metadata!P13)),FALSE,INT(metadata!P13)=metadata!P13)))</f>
        <v>0</v>
      </c>
      <c r="AS13" t="b">
        <f>AND(IF(metadata!Q13="",FALSE,TRUE),EXACT(metadata!Q13,"Not applicable"))</f>
        <v>0</v>
      </c>
      <c r="AT13" t="b">
        <f>OR(AND(IF(metadata!R13="",FALSE,TRUE),OR(EXACT(metadata!R13,"not applicable"),EXACT(metadata!R13,"missing: not collected"),EXACT(metadata!R13,"missing: not provided"),EXACT(metadata!R13,"missing: restricted access"))),AND(IF(metadata!R13="",FALSE,ISNUMBER(VALUE(metadata!R13))),metadata!R13&gt;0))</f>
        <v>0</v>
      </c>
      <c r="AU13" t="b">
        <f>AND(IF(metadata!S13="",FALSE,TRUE),EXACT(metadata!S13,"missing: not provided"))</f>
        <v>0</v>
      </c>
    </row>
    <row r="14" spans="1:47" x14ac:dyDescent="0.2">
      <c r="A14" s="5" t="str">
        <f ca="1">IF(B14=" "," ",HYPERLINK(CONCATENATE("#metadata!",ADDRESS(INDEX($Y$2:$Y$1001,MATCH(ROWS($W$2:W14),$W$2:$W$1001,0),0),1)),INDEX($AB$2:$AB$1001,MATCH(ROWS($W$2:W14),$W$2:$W$1001,0),0)))</f>
        <v xml:space="preserve"> </v>
      </c>
      <c r="B14" s="4" t="str">
        <f ca="1">IF(OR(INDEX($X$2:$X$1001,MATCH(ROWS($W$2:W14),$W$2:$W$1001,0),1)&gt;=100000,INDEX($AD$1005:$AU$1005,1,MATCH(COLUMNS($AD$1006:AD1006),$AD$1006:$AU$1006,0))&gt;=100000), " ",IF(INDEX($AD$2:$AU$1001,MATCH(ROWS($W$2:W14),$W$2:$W$1001,0),MATCH(COLUMNS($AD$1006:AD1006),$AD$1006:$AU$1006,0)), HYPERLINK("#",""), HYPERLINK(CONCATENATE("#metadata!", ADDRESS(INDEX($Y$2:$Y$1001,MATCH(ROWS($W$2:W14),$W$2:$W$1001,0),0), INDEX($AD$1004:$AU$1004,1,MATCH(COLUMNS($AD$1006:AD1006),$AD$1006:$AU$1006,0)))),"Fix")))</f>
        <v xml:space="preserve"> </v>
      </c>
      <c r="C14" s="4" t="str">
        <f ca="1">IF(OR(INDEX($X$2:$X$1001,MATCH(ROWS($W$2:W14),$W$2:$W$1001,0),1)&gt;=100000,INDEX($AD$1005:$AU$1005,1,MATCH(COLUMNS($AD$1006:AE1006),$AD$1006:$AU$1006,0))&gt;=100000), " ",IF(INDEX($AD$2:$AU$1001,MATCH(ROWS($W$2:W14),$W$2:$W$1001,0),MATCH(COLUMNS($AD$1006:AE1006),$AD$1006:$AU$1006,0)), HYPERLINK("#",""), HYPERLINK(CONCATENATE("#metadata!", ADDRESS(INDEX($Y$2:$Y$1001,MATCH(ROWS($W$2:W14),$W$2:$W$1001,0),0), INDEX($AD$1004:$AU$1004,1,MATCH(COLUMNS($AD$1006:AE1006),$AD$1006:$AU$1006,0)))),"Fix")))</f>
        <v xml:space="preserve"> </v>
      </c>
      <c r="D14" s="4" t="str">
        <f ca="1">IF(OR(INDEX($X$2:$X$1001,MATCH(ROWS($W$2:W14),$W$2:$W$1001,0),1)&gt;=100000,INDEX($AD$1005:$AU$1005,1,MATCH(COLUMNS($AD$1006:AF1006),$AD$1006:$AU$1006,0))&gt;=100000), " ",IF(INDEX($AD$2:$AU$1001,MATCH(ROWS($W$2:W14),$W$2:$W$1001,0),MATCH(COLUMNS($AD$1006:AF1006),$AD$1006:$AU$1006,0)), HYPERLINK("#",""), HYPERLINK(CONCATENATE("#metadata!", ADDRESS(INDEX($Y$2:$Y$1001,MATCH(ROWS($W$2:W14),$W$2:$W$1001,0),0), INDEX($AD$1004:$AU$1004,1,MATCH(COLUMNS($AD$1006:AF1006),$AD$1006:$AU$1006,0)))),"Fix")))</f>
        <v xml:space="preserve"> </v>
      </c>
      <c r="E14" s="4" t="str">
        <f ca="1">IF(OR(INDEX($X$2:$X$1001,MATCH(ROWS($W$2:W14),$W$2:$W$1001,0),1)&gt;=100000,INDEX($AD$1005:$AU$1005,1,MATCH(COLUMNS($AD$1006:AG1006),$AD$1006:$AU$1006,0))&gt;=100000), " ",IF(INDEX($AD$2:$AU$1001,MATCH(ROWS($W$2:W14),$W$2:$W$1001,0),MATCH(COLUMNS($AD$1006:AG1006),$AD$1006:$AU$1006,0)), HYPERLINK("#",""), HYPERLINK(CONCATENATE("#metadata!", ADDRESS(INDEX($Y$2:$Y$1001,MATCH(ROWS($W$2:W14),$W$2:$W$1001,0),0), INDEX($AD$1004:$AU$1004,1,MATCH(COLUMNS($AD$1006:AG1006),$AD$1006:$AU$1006,0)))),"Fix")))</f>
        <v xml:space="preserve"> </v>
      </c>
      <c r="F14" s="4" t="str">
        <f ca="1">IF(OR(INDEX($X$2:$X$1001,MATCH(ROWS($W$2:W14),$W$2:$W$1001,0),1)&gt;=100000,INDEX($AD$1005:$AU$1005,1,MATCH(COLUMNS($AD$1006:AH1006),$AD$1006:$AU$1006,0))&gt;=100000), " ",IF(INDEX($AD$2:$AU$1001,MATCH(ROWS($W$2:W14),$W$2:$W$1001,0),MATCH(COLUMNS($AD$1006:AH1006),$AD$1006:$AU$1006,0)), HYPERLINK("#",""), HYPERLINK(CONCATENATE("#metadata!", ADDRESS(INDEX($Y$2:$Y$1001,MATCH(ROWS($W$2:W14),$W$2:$W$1001,0),0), INDEX($AD$1004:$AU$1004,1,MATCH(COLUMNS($AD$1006:AH1006),$AD$1006:$AU$1006,0)))),"Fix")))</f>
        <v xml:space="preserve"> </v>
      </c>
      <c r="G14" s="4" t="str">
        <f ca="1">IF(OR(INDEX($X$2:$X$1001,MATCH(ROWS($W$2:W14),$W$2:$W$1001,0),1)&gt;=100000,INDEX($AD$1005:$AU$1005,1,MATCH(COLUMNS($AD$1006:AI1006),$AD$1006:$AU$1006,0))&gt;=100000), " ",IF(INDEX($AD$2:$AU$1001,MATCH(ROWS($W$2:W14),$W$2:$W$1001,0),MATCH(COLUMNS($AD$1006:AI1006),$AD$1006:$AU$1006,0)), HYPERLINK("#",""), HYPERLINK(CONCATENATE("#metadata!", ADDRESS(INDEX($Y$2:$Y$1001,MATCH(ROWS($W$2:W14),$W$2:$W$1001,0),0), INDEX($AD$1004:$AU$1004,1,MATCH(COLUMNS($AD$1006:AI1006),$AD$1006:$AU$1006,0)))),"Fix")))</f>
        <v xml:space="preserve"> </v>
      </c>
      <c r="H14" s="4" t="str">
        <f ca="1">IF(OR(INDEX($X$2:$X$1001,MATCH(ROWS($W$2:W14),$W$2:$W$1001,0),1)&gt;=100000,INDEX($AD$1005:$AU$1005,1,MATCH(COLUMNS($AD$1006:AJ1006),$AD$1006:$AU$1006,0))&gt;=100000), " ",IF(INDEX($AD$2:$AU$1001,MATCH(ROWS($W$2:W14),$W$2:$W$1001,0),MATCH(COLUMNS($AD$1006:AJ1006),$AD$1006:$AU$1006,0)), HYPERLINK("#",""), HYPERLINK(CONCATENATE("#metadata!", ADDRESS(INDEX($Y$2:$Y$1001,MATCH(ROWS($W$2:W14),$W$2:$W$1001,0),0), INDEX($AD$1004:$AU$1004,1,MATCH(COLUMNS($AD$1006:AJ1006),$AD$1006:$AU$1006,0)))),"Fix")))</f>
        <v xml:space="preserve"> </v>
      </c>
      <c r="I14" s="4" t="str">
        <f ca="1">IF(OR(INDEX($X$2:$X$1001,MATCH(ROWS($W$2:W14),$W$2:$W$1001,0),1)&gt;=100000,INDEX($AD$1005:$AU$1005,1,MATCH(COLUMNS($AD$1006:AK1006),$AD$1006:$AU$1006,0))&gt;=100000), " ",IF(INDEX($AD$2:$AU$1001,MATCH(ROWS($W$2:W14),$W$2:$W$1001,0),MATCH(COLUMNS($AD$1006:AK1006),$AD$1006:$AU$1006,0)), HYPERLINK("#",""), HYPERLINK(CONCATENATE("#metadata!", ADDRESS(INDEX($Y$2:$Y$1001,MATCH(ROWS($W$2:W14),$W$2:$W$1001,0),0), INDEX($AD$1004:$AU$1004,1,MATCH(COLUMNS($AD$1006:AK1006),$AD$1006:$AU$1006,0)))),"Fix")))</f>
        <v xml:space="preserve"> </v>
      </c>
      <c r="J14" s="4" t="str">
        <f ca="1">IF(OR(INDEX($X$2:$X$1001,MATCH(ROWS($W$2:W14),$W$2:$W$1001,0),1)&gt;=100000,INDEX($AD$1005:$AU$1005,1,MATCH(COLUMNS($AD$1006:AL1006),$AD$1006:$AU$1006,0))&gt;=100000), " ",IF(INDEX($AD$2:$AU$1001,MATCH(ROWS($W$2:W14),$W$2:$W$1001,0),MATCH(COLUMNS($AD$1006:AL1006),$AD$1006:$AU$1006,0)), HYPERLINK("#",""), HYPERLINK(CONCATENATE("#metadata!", ADDRESS(INDEX($Y$2:$Y$1001,MATCH(ROWS($W$2:W14),$W$2:$W$1001,0),0), INDEX($AD$1004:$AU$1004,1,MATCH(COLUMNS($AD$1006:AL1006),$AD$1006:$AU$1006,0)))),"Fix")))</f>
        <v xml:space="preserve"> </v>
      </c>
      <c r="K14" s="4" t="str">
        <f ca="1">IF(OR(INDEX($X$2:$X$1001,MATCH(ROWS($W$2:W14),$W$2:$W$1001,0),1)&gt;=100000,INDEX($AD$1005:$AU$1005,1,MATCH(COLUMNS($AD$1006:AM1006),$AD$1006:$AU$1006,0))&gt;=100000), " ",IF(INDEX($AD$2:$AU$1001,MATCH(ROWS($W$2:W14),$W$2:$W$1001,0),MATCH(COLUMNS($AD$1006:AM1006),$AD$1006:$AU$1006,0)), HYPERLINK("#",""), HYPERLINK(CONCATENATE("#metadata!", ADDRESS(INDEX($Y$2:$Y$1001,MATCH(ROWS($W$2:W14),$W$2:$W$1001,0),0), INDEX($AD$1004:$AU$1004,1,MATCH(COLUMNS($AD$1006:AM1006),$AD$1006:$AU$1006,0)))),"Fix")))</f>
        <v xml:space="preserve"> </v>
      </c>
      <c r="L14" s="4" t="str">
        <f ca="1">IF(OR(INDEX($X$2:$X$1001,MATCH(ROWS($W$2:W14),$W$2:$W$1001,0),1)&gt;=100000,INDEX($AD$1005:$AU$1005,1,MATCH(COLUMNS($AD$1006:AN1006),$AD$1006:$AU$1006,0))&gt;=100000), " ",IF(INDEX($AD$2:$AU$1001,MATCH(ROWS($W$2:W14),$W$2:$W$1001,0),MATCH(COLUMNS($AD$1006:AN1006),$AD$1006:$AU$1006,0)), HYPERLINK("#",""), HYPERLINK(CONCATENATE("#metadata!", ADDRESS(INDEX($Y$2:$Y$1001,MATCH(ROWS($W$2:W14),$W$2:$W$1001,0),0), INDEX($AD$1004:$AU$1004,1,MATCH(COLUMNS($AD$1006:AN1006),$AD$1006:$AU$1006,0)))),"Fix")))</f>
        <v xml:space="preserve"> </v>
      </c>
      <c r="M14" s="4" t="str">
        <f ca="1">IF(OR(INDEX($X$2:$X$1001,MATCH(ROWS($W$2:W14),$W$2:$W$1001,0),1)&gt;=100000,INDEX($AD$1005:$AU$1005,1,MATCH(COLUMNS($AD$1006:AO1006),$AD$1006:$AU$1006,0))&gt;=100000), " ",IF(INDEX($AD$2:$AU$1001,MATCH(ROWS($W$2:W14),$W$2:$W$1001,0),MATCH(COLUMNS($AD$1006:AO1006),$AD$1006:$AU$1006,0)), HYPERLINK("#",""), HYPERLINK(CONCATENATE("#metadata!", ADDRESS(INDEX($Y$2:$Y$1001,MATCH(ROWS($W$2:W14),$W$2:$W$1001,0),0), INDEX($AD$1004:$AU$1004,1,MATCH(COLUMNS($AD$1006:AO1006),$AD$1006:$AU$1006,0)))),"Fix")))</f>
        <v xml:space="preserve"> </v>
      </c>
      <c r="N14" s="4" t="str">
        <f ca="1">IF(OR(INDEX($X$2:$X$1001,MATCH(ROWS($W$2:W14),$W$2:$W$1001,0),1)&gt;=100000,INDEX($AD$1005:$AU$1005,1,MATCH(COLUMNS($AD$1006:AP1006),$AD$1006:$AU$1006,0))&gt;=100000), " ",IF(INDEX($AD$2:$AU$1001,MATCH(ROWS($W$2:W14),$W$2:$W$1001,0),MATCH(COLUMNS($AD$1006:AP1006),$AD$1006:$AU$1006,0)), HYPERLINK("#",""), HYPERLINK(CONCATENATE("#metadata!", ADDRESS(INDEX($Y$2:$Y$1001,MATCH(ROWS($W$2:W14),$W$2:$W$1001,0),0), INDEX($AD$1004:$AU$1004,1,MATCH(COLUMNS($AD$1006:AP1006),$AD$1006:$AU$1006,0)))),"Fix")))</f>
        <v xml:space="preserve"> </v>
      </c>
      <c r="O14" s="4" t="str">
        <f ca="1">IF(OR(INDEX($X$2:$X$1001,MATCH(ROWS($W$2:W14),$W$2:$W$1001,0),1)&gt;=100000,INDEX($AD$1005:$AU$1005,1,MATCH(COLUMNS($AD$1006:AQ1006),$AD$1006:$AU$1006,0))&gt;=100000), " ",IF(INDEX($AD$2:$AU$1001,MATCH(ROWS($W$2:W14),$W$2:$W$1001,0),MATCH(COLUMNS($AD$1006:AQ1006),$AD$1006:$AU$1006,0)), HYPERLINK("#",""), HYPERLINK(CONCATENATE("#metadata!", ADDRESS(INDEX($Y$2:$Y$1001,MATCH(ROWS($W$2:W14),$W$2:$W$1001,0),0), INDEX($AD$1004:$AU$1004,1,MATCH(COLUMNS($AD$1006:AQ1006),$AD$1006:$AU$1006,0)))),"Fix")))</f>
        <v xml:space="preserve"> </v>
      </c>
      <c r="P14" s="4" t="str">
        <f ca="1">IF(OR(INDEX($X$2:$X$1001,MATCH(ROWS($W$2:W14),$W$2:$W$1001,0),1)&gt;=100000,INDEX($AD$1005:$AU$1005,1,MATCH(COLUMNS($AD$1006:AR1006),$AD$1006:$AU$1006,0))&gt;=100000), " ",IF(INDEX($AD$2:$AU$1001,MATCH(ROWS($W$2:W14),$W$2:$W$1001,0),MATCH(COLUMNS($AD$1006:AR1006),$AD$1006:$AU$1006,0)), HYPERLINK("#",""), HYPERLINK(CONCATENATE("#metadata!", ADDRESS(INDEX($Y$2:$Y$1001,MATCH(ROWS($W$2:W14),$W$2:$W$1001,0),0), INDEX($AD$1004:$AU$1004,1,MATCH(COLUMNS($AD$1006:AR1006),$AD$1006:$AU$1006,0)))),"Fix")))</f>
        <v xml:space="preserve"> </v>
      </c>
      <c r="Q14" s="4" t="str">
        <f ca="1">IF(OR(INDEX($X$2:$X$1001,MATCH(ROWS($W$2:W14),$W$2:$W$1001,0),1)&gt;=100000,INDEX($AD$1005:$AU$1005,1,MATCH(COLUMNS($AD$1006:AS1006),$AD$1006:$AU$1006,0))&gt;=100000), " ",IF(INDEX($AD$2:$AU$1001,MATCH(ROWS($W$2:W14),$W$2:$W$1001,0),MATCH(COLUMNS($AD$1006:AS1006),$AD$1006:$AU$1006,0)), HYPERLINK("#",""), HYPERLINK(CONCATENATE("#metadata!", ADDRESS(INDEX($Y$2:$Y$1001,MATCH(ROWS($W$2:W14),$W$2:$W$1001,0),0), INDEX($AD$1004:$AU$1004,1,MATCH(COLUMNS($AD$1006:AS1006),$AD$1006:$AU$1006,0)))),"Fix")))</f>
        <v xml:space="preserve"> </v>
      </c>
      <c r="R14" s="4" t="str">
        <f ca="1">IF(OR(INDEX($X$2:$X$1001,MATCH(ROWS($W$2:W14),$W$2:$W$1001,0),1)&gt;=100000,INDEX($AD$1005:$AU$1005,1,MATCH(COLUMNS($AD$1006:AT1006),$AD$1006:$AU$1006,0))&gt;=100000), " ",IF(INDEX($AD$2:$AU$1001,MATCH(ROWS($W$2:W14),$W$2:$W$1001,0),MATCH(COLUMNS($AD$1006:AT1006),$AD$1006:$AU$1006,0)), HYPERLINK("#",""), HYPERLINK(CONCATENATE("#metadata!", ADDRESS(INDEX($Y$2:$Y$1001,MATCH(ROWS($W$2:W14),$W$2:$W$1001,0),0), INDEX($AD$1004:$AU$1004,1,MATCH(COLUMNS($AD$1006:AT1006),$AD$1006:$AU$1006,0)))),"Fix")))</f>
        <v xml:space="preserve"> </v>
      </c>
      <c r="S14" s="4" t="str">
        <f ca="1">IF(OR(INDEX($X$2:$X$1001,MATCH(ROWS($W$2:W14),$W$2:$W$1001,0),1)&gt;=100000,INDEX($AD$1005:$AU$1005,1,MATCH(COLUMNS($AD$1006:AU1006),$AD$1006:$AU$1006,0))&gt;=100000), " ",IF(INDEX($AD$2:$AU$1001,MATCH(ROWS($W$2:W14),$W$2:$W$1001,0),MATCH(COLUMNS($AD$1006:AU1006),$AD$1006:$AU$1006,0)), HYPERLINK("#",""), HYPERLINK(CONCATENATE("#metadata!", ADDRESS(INDEX($Y$2:$Y$1001,MATCH(ROWS($W$2:W14),$W$2:$W$1001,0),0), INDEX($AD$1004:$AU$1004,1,MATCH(COLUMNS($AD$1006:AU1006),$AD$1006:$AU$1006,0)))),"Fix")))</f>
        <v xml:space="preserve"> </v>
      </c>
      <c r="W14">
        <v>13</v>
      </c>
      <c r="X14">
        <v>100014</v>
      </c>
      <c r="Y14">
        <v>14</v>
      </c>
      <c r="Z14" t="b">
        <f t="shared" si="0"/>
        <v>1</v>
      </c>
      <c r="AA14" t="b">
        <f>COUNTBLANK(metadata!B14:S14)=COLUMNS(metadata!B14:S14)</f>
        <v>1</v>
      </c>
      <c r="AB14" t="str">
        <v/>
      </c>
      <c r="AD14" t="b">
        <f ca="1">AND(IF(metadata!B14="",FALSE,TRUE),COUNTIF(metadata!B:B, metadata!B14) = 1,NOT(ISERROR(SUMPRODUCT(SEARCH(MID(metadata!B14,ROW(INDIRECT("1:"&amp;LEN(metadata!B14))), 1),"0123456789abcdefghijklmnopqrstuvwxyzABCDEFGHIJKLMNOPQRSTUVWXYZ.")))))</f>
        <v>0</v>
      </c>
      <c r="AE14" t="b">
        <f>OR(AND(IF(metadata!C14="",FALSE,TRUE),OR(EXACT(metadata!C14,"not applicable"),EXACT(metadata!C14,"missing: not collected"),EXACT(metadata!C14,"missing: not provided"),EXACT(metadata!C14,"missing: restricted access"))),AND(IF(metadata!C14="",FALSE,ISNUMBER(VALUE(metadata!C14))),metadata!C14&gt;0))</f>
        <v>0</v>
      </c>
      <c r="AF14" t="b">
        <f>AND(IF(metadata!D14="",FALSE,TRUE),EXACT(metadata!D14,"missing: not provided"))</f>
        <v>0</v>
      </c>
      <c r="AG14" t="b">
        <f>AND(IF(metadata!E14="",FALSE,TRUE),EXACT(metadata!E14,"Host-associated"))</f>
        <v>0</v>
      </c>
      <c r="AH14" t="b">
        <f>AND(IF(metadata!F14="",FALSE,TRUE),OR(EXACT(metadata!F14,"Animal"),EXACT(metadata!F14,"Fungus"),EXACT(metadata!F14,"Plant")))</f>
        <v>0</v>
      </c>
      <c r="AI14" t="b">
        <f>AND(IF(metadata!G14="",FALSE,TRUE),OR(EXACT(metadata!G14,"Plant secretion"),EXACT(metadata!G14,"Plant rhizosphere"),EXACT(metadata!G14,"Plant surface"),EXACT(metadata!G14,"Plant corpus"),EXACT(metadata!G14,"Fungus surface"),EXACT(metadata!G14,"Fungus corpus"),EXACT(metadata!G14,"Animal surface"),EXACT(metadata!G14,"Animal proximal gut"),EXACT(metadata!G14,"Animal corpus"),EXACT(metadata!G14,"Animal distal gut"),EXACT(metadata!G14,"Animal secretion")))</f>
        <v>0</v>
      </c>
      <c r="AJ14" t="b">
        <f>OR(AND(IF(metadata!H14="",FALSE,TRUE),OR(EXACT(metadata!H14,"missing: not collected"),EXACT(metadata!H14,"missing: not provided"),EXACT(metadata!H14,"missing: restricted access"))),AND(IF(metadata!H14="",FALSE,TRUE),OR(EXACT(metadata!H14,"organism-associated habitat"),EXACT(metadata!H14,"plant-associated habitat"),EXACT(metadata!H14,"animal-associated habitat"),EXACT(metadata!H14,"insecta-associated habitat"),EXACT(metadata!H14,"mammalia-associated habitat"),EXACT(metadata!H14,"human-associated habitat"),EXACT(metadata!H14,"livestock-associated habitat"))))</f>
        <v>0</v>
      </c>
      <c r="AK14" t="b">
        <f>AND(IF(metadata!I14="",FALSE,TRUE),EXACT(metadata!I14,"host-associated"))</f>
        <v>0</v>
      </c>
      <c r="AL14" t="b">
        <f>OR(AND(IF(metadata!J14="",FALSE,TRUE),OR(EXACT(metadata!J14,"not applicable"),EXACT(metadata!J14,"missing: not collected"),EXACT(metadata!J14,"missing: not provided"),EXACT(metadata!J14,"missing: restricted access"))),AND(IF(metadata!J14="",FALSE,ISNUMBER(VALUE(metadata!J14))),metadata!J14&gt;0))</f>
        <v>0</v>
      </c>
      <c r="AM14" t="b">
        <f>AND(IF(metadata!K14="",FALSE,TRUE),EXACT(metadata!K14,"missing: not provided"))</f>
        <v>0</v>
      </c>
      <c r="AN14" t="b">
        <f>IF(metadata!L14="",FALSE,TRUE)</f>
        <v>0</v>
      </c>
      <c r="AO14" t="b">
        <f>IF(metadata!M14="",FALSE,TRUE)</f>
        <v>0</v>
      </c>
      <c r="AP14" t="b">
        <f>OR(AND(IF(metadata!N14="",FALSE,TRUE),OR(EXACT(metadata!N14,"not applicable"),EXACT(metadata!N14,"missing: not collected"),EXACT(metadata!N14,"missing: not provided"))),AND(IF(metadata!N14="",FALSE,IF(ISERROR(INT(metadata!N14)),FALSE,INT(metadata!N14)=metadata!N14)),metadata!N14&gt;0))</f>
        <v>0</v>
      </c>
      <c r="AQ14" t="b">
        <f>AND(IF(metadata!O14="",FALSE,TRUE),EXACT(metadata!O14,"Not applicable"))</f>
        <v>0</v>
      </c>
      <c r="AR14" t="b">
        <f>OR(AND(IF(metadata!P14="",FALSE,TRUE),OR(EXACT(metadata!P14,"not applicable"),EXACT(metadata!P14,"missing: not collected"),EXACT(metadata!P14,"missing: not provided"),EXACT(metadata!P14,"missing: restricted access"))),IF(metadata!P14="",FALSE,IF(ISERROR(INT(metadata!P14)),FALSE,INT(metadata!P14)=metadata!P14)))</f>
        <v>0</v>
      </c>
      <c r="AS14" t="b">
        <f>AND(IF(metadata!Q14="",FALSE,TRUE),EXACT(metadata!Q14,"Not applicable"))</f>
        <v>0</v>
      </c>
      <c r="AT14" t="b">
        <f>OR(AND(IF(metadata!R14="",FALSE,TRUE),OR(EXACT(metadata!R14,"not applicable"),EXACT(metadata!R14,"missing: not collected"),EXACT(metadata!R14,"missing: not provided"),EXACT(metadata!R14,"missing: restricted access"))),AND(IF(metadata!R14="",FALSE,ISNUMBER(VALUE(metadata!R14))),metadata!R14&gt;0))</f>
        <v>0</v>
      </c>
      <c r="AU14" t="b">
        <f>AND(IF(metadata!S14="",FALSE,TRUE),EXACT(metadata!S14,"missing: not provided"))</f>
        <v>0</v>
      </c>
    </row>
    <row r="15" spans="1:47" x14ac:dyDescent="0.2">
      <c r="A15" s="5" t="str">
        <f ca="1">IF(B15=" "," ",HYPERLINK(CONCATENATE("#metadata!",ADDRESS(INDEX($Y$2:$Y$1001,MATCH(ROWS($W$2:W15),$W$2:$W$1001,0),0),1)),INDEX($AB$2:$AB$1001,MATCH(ROWS($W$2:W15),$W$2:$W$1001,0),0)))</f>
        <v xml:space="preserve"> </v>
      </c>
      <c r="B15" s="4" t="str">
        <f ca="1">IF(OR(INDEX($X$2:$X$1001,MATCH(ROWS($W$2:W15),$W$2:$W$1001,0),1)&gt;=100000,INDEX($AD$1005:$AU$1005,1,MATCH(COLUMNS($AD$1006:AD1006),$AD$1006:$AU$1006,0))&gt;=100000), " ",IF(INDEX($AD$2:$AU$1001,MATCH(ROWS($W$2:W15),$W$2:$W$1001,0),MATCH(COLUMNS($AD$1006:AD1006),$AD$1006:$AU$1006,0)), HYPERLINK("#",""), HYPERLINK(CONCATENATE("#metadata!", ADDRESS(INDEX($Y$2:$Y$1001,MATCH(ROWS($W$2:W15),$W$2:$W$1001,0),0), INDEX($AD$1004:$AU$1004,1,MATCH(COLUMNS($AD$1006:AD1006),$AD$1006:$AU$1006,0)))),"Fix")))</f>
        <v xml:space="preserve"> </v>
      </c>
      <c r="C15" s="4" t="str">
        <f ca="1">IF(OR(INDEX($X$2:$X$1001,MATCH(ROWS($W$2:W15),$W$2:$W$1001,0),1)&gt;=100000,INDEX($AD$1005:$AU$1005,1,MATCH(COLUMNS($AD$1006:AE1006),$AD$1006:$AU$1006,0))&gt;=100000), " ",IF(INDEX($AD$2:$AU$1001,MATCH(ROWS($W$2:W15),$W$2:$W$1001,0),MATCH(COLUMNS($AD$1006:AE1006),$AD$1006:$AU$1006,0)), HYPERLINK("#",""), HYPERLINK(CONCATENATE("#metadata!", ADDRESS(INDEX($Y$2:$Y$1001,MATCH(ROWS($W$2:W15),$W$2:$W$1001,0),0), INDEX($AD$1004:$AU$1004,1,MATCH(COLUMNS($AD$1006:AE1006),$AD$1006:$AU$1006,0)))),"Fix")))</f>
        <v xml:space="preserve"> </v>
      </c>
      <c r="D15" s="4" t="str">
        <f ca="1">IF(OR(INDEX($X$2:$X$1001,MATCH(ROWS($W$2:W15),$W$2:$W$1001,0),1)&gt;=100000,INDEX($AD$1005:$AU$1005,1,MATCH(COLUMNS($AD$1006:AF1006),$AD$1006:$AU$1006,0))&gt;=100000), " ",IF(INDEX($AD$2:$AU$1001,MATCH(ROWS($W$2:W15),$W$2:$W$1001,0),MATCH(COLUMNS($AD$1006:AF1006),$AD$1006:$AU$1006,0)), HYPERLINK("#",""), HYPERLINK(CONCATENATE("#metadata!", ADDRESS(INDEX($Y$2:$Y$1001,MATCH(ROWS($W$2:W15),$W$2:$W$1001,0),0), INDEX($AD$1004:$AU$1004,1,MATCH(COLUMNS($AD$1006:AF1006),$AD$1006:$AU$1006,0)))),"Fix")))</f>
        <v xml:space="preserve"> </v>
      </c>
      <c r="E15" s="4" t="str">
        <f ca="1">IF(OR(INDEX($X$2:$X$1001,MATCH(ROWS($W$2:W15),$W$2:$W$1001,0),1)&gt;=100000,INDEX($AD$1005:$AU$1005,1,MATCH(COLUMNS($AD$1006:AG1006),$AD$1006:$AU$1006,0))&gt;=100000), " ",IF(INDEX($AD$2:$AU$1001,MATCH(ROWS($W$2:W15),$W$2:$W$1001,0),MATCH(COLUMNS($AD$1006:AG1006),$AD$1006:$AU$1006,0)), HYPERLINK("#",""), HYPERLINK(CONCATENATE("#metadata!", ADDRESS(INDEX($Y$2:$Y$1001,MATCH(ROWS($W$2:W15),$W$2:$W$1001,0),0), INDEX($AD$1004:$AU$1004,1,MATCH(COLUMNS($AD$1006:AG1006),$AD$1006:$AU$1006,0)))),"Fix")))</f>
        <v xml:space="preserve"> </v>
      </c>
      <c r="F15" s="4" t="str">
        <f ca="1">IF(OR(INDEX($X$2:$X$1001,MATCH(ROWS($W$2:W15),$W$2:$W$1001,0),1)&gt;=100000,INDEX($AD$1005:$AU$1005,1,MATCH(COLUMNS($AD$1006:AH1006),$AD$1006:$AU$1006,0))&gt;=100000), " ",IF(INDEX($AD$2:$AU$1001,MATCH(ROWS($W$2:W15),$W$2:$W$1001,0),MATCH(COLUMNS($AD$1006:AH1006),$AD$1006:$AU$1006,0)), HYPERLINK("#",""), HYPERLINK(CONCATENATE("#metadata!", ADDRESS(INDEX($Y$2:$Y$1001,MATCH(ROWS($W$2:W15),$W$2:$W$1001,0),0), INDEX($AD$1004:$AU$1004,1,MATCH(COLUMNS($AD$1006:AH1006),$AD$1006:$AU$1006,0)))),"Fix")))</f>
        <v xml:space="preserve"> </v>
      </c>
      <c r="G15" s="4" t="str">
        <f ca="1">IF(OR(INDEX($X$2:$X$1001,MATCH(ROWS($W$2:W15),$W$2:$W$1001,0),1)&gt;=100000,INDEX($AD$1005:$AU$1005,1,MATCH(COLUMNS($AD$1006:AI1006),$AD$1006:$AU$1006,0))&gt;=100000), " ",IF(INDEX($AD$2:$AU$1001,MATCH(ROWS($W$2:W15),$W$2:$W$1001,0),MATCH(COLUMNS($AD$1006:AI1006),$AD$1006:$AU$1006,0)), HYPERLINK("#",""), HYPERLINK(CONCATENATE("#metadata!", ADDRESS(INDEX($Y$2:$Y$1001,MATCH(ROWS($W$2:W15),$W$2:$W$1001,0),0), INDEX($AD$1004:$AU$1004,1,MATCH(COLUMNS($AD$1006:AI1006),$AD$1006:$AU$1006,0)))),"Fix")))</f>
        <v xml:space="preserve"> </v>
      </c>
      <c r="H15" s="4" t="str">
        <f ca="1">IF(OR(INDEX($X$2:$X$1001,MATCH(ROWS($W$2:W15),$W$2:$W$1001,0),1)&gt;=100000,INDEX($AD$1005:$AU$1005,1,MATCH(COLUMNS($AD$1006:AJ1006),$AD$1006:$AU$1006,0))&gt;=100000), " ",IF(INDEX($AD$2:$AU$1001,MATCH(ROWS($W$2:W15),$W$2:$W$1001,0),MATCH(COLUMNS($AD$1006:AJ1006),$AD$1006:$AU$1006,0)), HYPERLINK("#",""), HYPERLINK(CONCATENATE("#metadata!", ADDRESS(INDEX($Y$2:$Y$1001,MATCH(ROWS($W$2:W15),$W$2:$W$1001,0),0), INDEX($AD$1004:$AU$1004,1,MATCH(COLUMNS($AD$1006:AJ1006),$AD$1006:$AU$1006,0)))),"Fix")))</f>
        <v xml:space="preserve"> </v>
      </c>
      <c r="I15" s="4" t="str">
        <f ca="1">IF(OR(INDEX($X$2:$X$1001,MATCH(ROWS($W$2:W15),$W$2:$W$1001,0),1)&gt;=100000,INDEX($AD$1005:$AU$1005,1,MATCH(COLUMNS($AD$1006:AK1006),$AD$1006:$AU$1006,0))&gt;=100000), " ",IF(INDEX($AD$2:$AU$1001,MATCH(ROWS($W$2:W15),$W$2:$W$1001,0),MATCH(COLUMNS($AD$1006:AK1006),$AD$1006:$AU$1006,0)), HYPERLINK("#",""), HYPERLINK(CONCATENATE("#metadata!", ADDRESS(INDEX($Y$2:$Y$1001,MATCH(ROWS($W$2:W15),$W$2:$W$1001,0),0), INDEX($AD$1004:$AU$1004,1,MATCH(COLUMNS($AD$1006:AK1006),$AD$1006:$AU$1006,0)))),"Fix")))</f>
        <v xml:space="preserve"> </v>
      </c>
      <c r="J15" s="4" t="str">
        <f ca="1">IF(OR(INDEX($X$2:$X$1001,MATCH(ROWS($W$2:W15),$W$2:$W$1001,0),1)&gt;=100000,INDEX($AD$1005:$AU$1005,1,MATCH(COLUMNS($AD$1006:AL1006),$AD$1006:$AU$1006,0))&gt;=100000), " ",IF(INDEX($AD$2:$AU$1001,MATCH(ROWS($W$2:W15),$W$2:$W$1001,0),MATCH(COLUMNS($AD$1006:AL1006),$AD$1006:$AU$1006,0)), HYPERLINK("#",""), HYPERLINK(CONCATENATE("#metadata!", ADDRESS(INDEX($Y$2:$Y$1001,MATCH(ROWS($W$2:W15),$W$2:$W$1001,0),0), INDEX($AD$1004:$AU$1004,1,MATCH(COLUMNS($AD$1006:AL1006),$AD$1006:$AU$1006,0)))),"Fix")))</f>
        <v xml:space="preserve"> </v>
      </c>
      <c r="K15" s="4" t="str">
        <f ca="1">IF(OR(INDEX($X$2:$X$1001,MATCH(ROWS($W$2:W15),$W$2:$W$1001,0),1)&gt;=100000,INDEX($AD$1005:$AU$1005,1,MATCH(COLUMNS($AD$1006:AM1006),$AD$1006:$AU$1006,0))&gt;=100000), " ",IF(INDEX($AD$2:$AU$1001,MATCH(ROWS($W$2:W15),$W$2:$W$1001,0),MATCH(COLUMNS($AD$1006:AM1006),$AD$1006:$AU$1006,0)), HYPERLINK("#",""), HYPERLINK(CONCATENATE("#metadata!", ADDRESS(INDEX($Y$2:$Y$1001,MATCH(ROWS($W$2:W15),$W$2:$W$1001,0),0), INDEX($AD$1004:$AU$1004,1,MATCH(COLUMNS($AD$1006:AM1006),$AD$1006:$AU$1006,0)))),"Fix")))</f>
        <v xml:space="preserve"> </v>
      </c>
      <c r="L15" s="4" t="str">
        <f ca="1">IF(OR(INDEX($X$2:$X$1001,MATCH(ROWS($W$2:W15),$W$2:$W$1001,0),1)&gt;=100000,INDEX($AD$1005:$AU$1005,1,MATCH(COLUMNS($AD$1006:AN1006),$AD$1006:$AU$1006,0))&gt;=100000), " ",IF(INDEX($AD$2:$AU$1001,MATCH(ROWS($W$2:W15),$W$2:$W$1001,0),MATCH(COLUMNS($AD$1006:AN1006),$AD$1006:$AU$1006,0)), HYPERLINK("#",""), HYPERLINK(CONCATENATE("#metadata!", ADDRESS(INDEX($Y$2:$Y$1001,MATCH(ROWS($W$2:W15),$W$2:$W$1001,0),0), INDEX($AD$1004:$AU$1004,1,MATCH(COLUMNS($AD$1006:AN1006),$AD$1006:$AU$1006,0)))),"Fix")))</f>
        <v xml:space="preserve"> </v>
      </c>
      <c r="M15" s="4" t="str">
        <f ca="1">IF(OR(INDEX($X$2:$X$1001,MATCH(ROWS($W$2:W15),$W$2:$W$1001,0),1)&gt;=100000,INDEX($AD$1005:$AU$1005,1,MATCH(COLUMNS($AD$1006:AO1006),$AD$1006:$AU$1006,0))&gt;=100000), " ",IF(INDEX($AD$2:$AU$1001,MATCH(ROWS($W$2:W15),$W$2:$W$1001,0),MATCH(COLUMNS($AD$1006:AO1006),$AD$1006:$AU$1006,0)), HYPERLINK("#",""), HYPERLINK(CONCATENATE("#metadata!", ADDRESS(INDEX($Y$2:$Y$1001,MATCH(ROWS($W$2:W15),$W$2:$W$1001,0),0), INDEX($AD$1004:$AU$1004,1,MATCH(COLUMNS($AD$1006:AO1006),$AD$1006:$AU$1006,0)))),"Fix")))</f>
        <v xml:space="preserve"> </v>
      </c>
      <c r="N15" s="4" t="str">
        <f ca="1">IF(OR(INDEX($X$2:$X$1001,MATCH(ROWS($W$2:W15),$W$2:$W$1001,0),1)&gt;=100000,INDEX($AD$1005:$AU$1005,1,MATCH(COLUMNS($AD$1006:AP1006),$AD$1006:$AU$1006,0))&gt;=100000), " ",IF(INDEX($AD$2:$AU$1001,MATCH(ROWS($W$2:W15),$W$2:$W$1001,0),MATCH(COLUMNS($AD$1006:AP1006),$AD$1006:$AU$1006,0)), HYPERLINK("#",""), HYPERLINK(CONCATENATE("#metadata!", ADDRESS(INDEX($Y$2:$Y$1001,MATCH(ROWS($W$2:W15),$W$2:$W$1001,0),0), INDEX($AD$1004:$AU$1004,1,MATCH(COLUMNS($AD$1006:AP1006),$AD$1006:$AU$1006,0)))),"Fix")))</f>
        <v xml:space="preserve"> </v>
      </c>
      <c r="O15" s="4" t="str">
        <f ca="1">IF(OR(INDEX($X$2:$X$1001,MATCH(ROWS($W$2:W15),$W$2:$W$1001,0),1)&gt;=100000,INDEX($AD$1005:$AU$1005,1,MATCH(COLUMNS($AD$1006:AQ1006),$AD$1006:$AU$1006,0))&gt;=100000), " ",IF(INDEX($AD$2:$AU$1001,MATCH(ROWS($W$2:W15),$W$2:$W$1001,0),MATCH(COLUMNS($AD$1006:AQ1006),$AD$1006:$AU$1006,0)), HYPERLINK("#",""), HYPERLINK(CONCATENATE("#metadata!", ADDRESS(INDEX($Y$2:$Y$1001,MATCH(ROWS($W$2:W15),$W$2:$W$1001,0),0), INDEX($AD$1004:$AU$1004,1,MATCH(COLUMNS($AD$1006:AQ1006),$AD$1006:$AU$1006,0)))),"Fix")))</f>
        <v xml:space="preserve"> </v>
      </c>
      <c r="P15" s="4" t="str">
        <f ca="1">IF(OR(INDEX($X$2:$X$1001,MATCH(ROWS($W$2:W15),$W$2:$W$1001,0),1)&gt;=100000,INDEX($AD$1005:$AU$1005,1,MATCH(COLUMNS($AD$1006:AR1006),$AD$1006:$AU$1006,0))&gt;=100000), " ",IF(INDEX($AD$2:$AU$1001,MATCH(ROWS($W$2:W15),$W$2:$W$1001,0),MATCH(COLUMNS($AD$1006:AR1006),$AD$1006:$AU$1006,0)), HYPERLINK("#",""), HYPERLINK(CONCATENATE("#metadata!", ADDRESS(INDEX($Y$2:$Y$1001,MATCH(ROWS($W$2:W15),$W$2:$W$1001,0),0), INDEX($AD$1004:$AU$1004,1,MATCH(COLUMNS($AD$1006:AR1006),$AD$1006:$AU$1006,0)))),"Fix")))</f>
        <v xml:space="preserve"> </v>
      </c>
      <c r="Q15" s="4" t="str">
        <f ca="1">IF(OR(INDEX($X$2:$X$1001,MATCH(ROWS($W$2:W15),$W$2:$W$1001,0),1)&gt;=100000,INDEX($AD$1005:$AU$1005,1,MATCH(COLUMNS($AD$1006:AS1006),$AD$1006:$AU$1006,0))&gt;=100000), " ",IF(INDEX($AD$2:$AU$1001,MATCH(ROWS($W$2:W15),$W$2:$W$1001,0),MATCH(COLUMNS($AD$1006:AS1006),$AD$1006:$AU$1006,0)), HYPERLINK("#",""), HYPERLINK(CONCATENATE("#metadata!", ADDRESS(INDEX($Y$2:$Y$1001,MATCH(ROWS($W$2:W15),$W$2:$W$1001,0),0), INDEX($AD$1004:$AU$1004,1,MATCH(COLUMNS($AD$1006:AS1006),$AD$1006:$AU$1006,0)))),"Fix")))</f>
        <v xml:space="preserve"> </v>
      </c>
      <c r="R15" s="4" t="str">
        <f ca="1">IF(OR(INDEX($X$2:$X$1001,MATCH(ROWS($W$2:W15),$W$2:$W$1001,0),1)&gt;=100000,INDEX($AD$1005:$AU$1005,1,MATCH(COLUMNS($AD$1006:AT1006),$AD$1006:$AU$1006,0))&gt;=100000), " ",IF(INDEX($AD$2:$AU$1001,MATCH(ROWS($W$2:W15),$W$2:$W$1001,0),MATCH(COLUMNS($AD$1006:AT1006),$AD$1006:$AU$1006,0)), HYPERLINK("#",""), HYPERLINK(CONCATENATE("#metadata!", ADDRESS(INDEX($Y$2:$Y$1001,MATCH(ROWS($W$2:W15),$W$2:$W$1001,0),0), INDEX($AD$1004:$AU$1004,1,MATCH(COLUMNS($AD$1006:AT1006),$AD$1006:$AU$1006,0)))),"Fix")))</f>
        <v xml:space="preserve"> </v>
      </c>
      <c r="S15" s="4" t="str">
        <f ca="1">IF(OR(INDEX($X$2:$X$1001,MATCH(ROWS($W$2:W15),$W$2:$W$1001,0),1)&gt;=100000,INDEX($AD$1005:$AU$1005,1,MATCH(COLUMNS($AD$1006:AU1006),$AD$1006:$AU$1006,0))&gt;=100000), " ",IF(INDEX($AD$2:$AU$1001,MATCH(ROWS($W$2:W15),$W$2:$W$1001,0),MATCH(COLUMNS($AD$1006:AU1006),$AD$1006:$AU$1006,0)), HYPERLINK("#",""), HYPERLINK(CONCATENATE("#metadata!", ADDRESS(INDEX($Y$2:$Y$1001,MATCH(ROWS($W$2:W15),$W$2:$W$1001,0),0), INDEX($AD$1004:$AU$1004,1,MATCH(COLUMNS($AD$1006:AU1006),$AD$1006:$AU$1006,0)))),"Fix")))</f>
        <v xml:space="preserve"> </v>
      </c>
      <c r="W15">
        <v>14</v>
      </c>
      <c r="X15">
        <v>100015</v>
      </c>
      <c r="Y15">
        <v>15</v>
      </c>
      <c r="Z15" t="b">
        <f t="shared" si="0"/>
        <v>1</v>
      </c>
      <c r="AA15" t="b">
        <f>COUNTBLANK(metadata!B15:S15)=COLUMNS(metadata!B15:S15)</f>
        <v>1</v>
      </c>
      <c r="AB15" t="str">
        <v/>
      </c>
      <c r="AD15" t="b">
        <f ca="1">AND(IF(metadata!B15="",FALSE,TRUE),COUNTIF(metadata!B:B, metadata!B15) = 1,NOT(ISERROR(SUMPRODUCT(SEARCH(MID(metadata!B15,ROW(INDIRECT("1:"&amp;LEN(metadata!B15))), 1),"0123456789abcdefghijklmnopqrstuvwxyzABCDEFGHIJKLMNOPQRSTUVWXYZ.")))))</f>
        <v>0</v>
      </c>
      <c r="AE15" t="b">
        <f>OR(AND(IF(metadata!C15="",FALSE,TRUE),OR(EXACT(metadata!C15,"not applicable"),EXACT(metadata!C15,"missing: not collected"),EXACT(metadata!C15,"missing: not provided"),EXACT(metadata!C15,"missing: restricted access"))),AND(IF(metadata!C15="",FALSE,ISNUMBER(VALUE(metadata!C15))),metadata!C15&gt;0))</f>
        <v>0</v>
      </c>
      <c r="AF15" t="b">
        <f>AND(IF(metadata!D15="",FALSE,TRUE),EXACT(metadata!D15,"missing: not provided"))</f>
        <v>0</v>
      </c>
      <c r="AG15" t="b">
        <f>AND(IF(metadata!E15="",FALSE,TRUE),EXACT(metadata!E15,"Host-associated"))</f>
        <v>0</v>
      </c>
      <c r="AH15" t="b">
        <f>AND(IF(metadata!F15="",FALSE,TRUE),OR(EXACT(metadata!F15,"Animal"),EXACT(metadata!F15,"Fungus"),EXACT(metadata!F15,"Plant")))</f>
        <v>0</v>
      </c>
      <c r="AI15" t="b">
        <f>AND(IF(metadata!G15="",FALSE,TRUE),OR(EXACT(metadata!G15,"Plant secretion"),EXACT(metadata!G15,"Plant rhizosphere"),EXACT(metadata!G15,"Plant surface"),EXACT(metadata!G15,"Plant corpus"),EXACT(metadata!G15,"Fungus surface"),EXACT(metadata!G15,"Fungus corpus"),EXACT(metadata!G15,"Animal surface"),EXACT(metadata!G15,"Animal proximal gut"),EXACT(metadata!G15,"Animal corpus"),EXACT(metadata!G15,"Animal distal gut"),EXACT(metadata!G15,"Animal secretion")))</f>
        <v>0</v>
      </c>
      <c r="AJ15" t="b">
        <f>OR(AND(IF(metadata!H15="",FALSE,TRUE),OR(EXACT(metadata!H15,"missing: not collected"),EXACT(metadata!H15,"missing: not provided"),EXACT(metadata!H15,"missing: restricted access"))),AND(IF(metadata!H15="",FALSE,TRUE),OR(EXACT(metadata!H15,"organism-associated habitat"),EXACT(metadata!H15,"plant-associated habitat"),EXACT(metadata!H15,"animal-associated habitat"),EXACT(metadata!H15,"insecta-associated habitat"),EXACT(metadata!H15,"mammalia-associated habitat"),EXACT(metadata!H15,"human-associated habitat"),EXACT(metadata!H15,"livestock-associated habitat"))))</f>
        <v>0</v>
      </c>
      <c r="AK15" t="b">
        <f>AND(IF(metadata!I15="",FALSE,TRUE),EXACT(metadata!I15,"host-associated"))</f>
        <v>0</v>
      </c>
      <c r="AL15" t="b">
        <f>OR(AND(IF(metadata!J15="",FALSE,TRUE),OR(EXACT(metadata!J15,"not applicable"),EXACT(metadata!J15,"missing: not collected"),EXACT(metadata!J15,"missing: not provided"),EXACT(metadata!J15,"missing: restricted access"))),AND(IF(metadata!J15="",FALSE,ISNUMBER(VALUE(metadata!J15))),metadata!J15&gt;0))</f>
        <v>0</v>
      </c>
      <c r="AM15" t="b">
        <f>AND(IF(metadata!K15="",FALSE,TRUE),EXACT(metadata!K15,"missing: not provided"))</f>
        <v>0</v>
      </c>
      <c r="AN15" t="b">
        <f>IF(metadata!L15="",FALSE,TRUE)</f>
        <v>0</v>
      </c>
      <c r="AO15" t="b">
        <f>IF(metadata!M15="",FALSE,TRUE)</f>
        <v>0</v>
      </c>
      <c r="AP15" t="b">
        <f>OR(AND(IF(metadata!N15="",FALSE,TRUE),OR(EXACT(metadata!N15,"not applicable"),EXACT(metadata!N15,"missing: not collected"),EXACT(metadata!N15,"missing: not provided"))),AND(IF(metadata!N15="",FALSE,IF(ISERROR(INT(metadata!N15)),FALSE,INT(metadata!N15)=metadata!N15)),metadata!N15&gt;0))</f>
        <v>0</v>
      </c>
      <c r="AQ15" t="b">
        <f>AND(IF(metadata!O15="",FALSE,TRUE),EXACT(metadata!O15,"Not applicable"))</f>
        <v>0</v>
      </c>
      <c r="AR15" t="b">
        <f>OR(AND(IF(metadata!P15="",FALSE,TRUE),OR(EXACT(metadata!P15,"not applicable"),EXACT(metadata!P15,"missing: not collected"),EXACT(metadata!P15,"missing: not provided"),EXACT(metadata!P15,"missing: restricted access"))),IF(metadata!P15="",FALSE,IF(ISERROR(INT(metadata!P15)),FALSE,INT(metadata!P15)=metadata!P15)))</f>
        <v>0</v>
      </c>
      <c r="AS15" t="b">
        <f>AND(IF(metadata!Q15="",FALSE,TRUE),EXACT(metadata!Q15,"Not applicable"))</f>
        <v>0</v>
      </c>
      <c r="AT15" t="b">
        <f>OR(AND(IF(metadata!R15="",FALSE,TRUE),OR(EXACT(metadata!R15,"not applicable"),EXACT(metadata!R15,"missing: not collected"),EXACT(metadata!R15,"missing: not provided"),EXACT(metadata!R15,"missing: restricted access"))),AND(IF(metadata!R15="",FALSE,ISNUMBER(VALUE(metadata!R15))),metadata!R15&gt;0))</f>
        <v>0</v>
      </c>
      <c r="AU15" t="b">
        <f>AND(IF(metadata!S15="",FALSE,TRUE),EXACT(metadata!S15,"missing: not provided"))</f>
        <v>0</v>
      </c>
    </row>
    <row r="16" spans="1:47" x14ac:dyDescent="0.2">
      <c r="A16" s="5" t="str">
        <f ca="1">IF(B16=" "," ",HYPERLINK(CONCATENATE("#metadata!",ADDRESS(INDEX($Y$2:$Y$1001,MATCH(ROWS($W$2:W16),$W$2:$W$1001,0),0),1)),INDEX($AB$2:$AB$1001,MATCH(ROWS($W$2:W16),$W$2:$W$1001,0),0)))</f>
        <v xml:space="preserve"> </v>
      </c>
      <c r="B16" s="4" t="str">
        <f ca="1">IF(OR(INDEX($X$2:$X$1001,MATCH(ROWS($W$2:W16),$W$2:$W$1001,0),1)&gt;=100000,INDEX($AD$1005:$AU$1005,1,MATCH(COLUMNS($AD$1006:AD1006),$AD$1006:$AU$1006,0))&gt;=100000), " ",IF(INDEX($AD$2:$AU$1001,MATCH(ROWS($W$2:W16),$W$2:$W$1001,0),MATCH(COLUMNS($AD$1006:AD1006),$AD$1006:$AU$1006,0)), HYPERLINK("#",""), HYPERLINK(CONCATENATE("#metadata!", ADDRESS(INDEX($Y$2:$Y$1001,MATCH(ROWS($W$2:W16),$W$2:$W$1001,0),0), INDEX($AD$1004:$AU$1004,1,MATCH(COLUMNS($AD$1006:AD1006),$AD$1006:$AU$1006,0)))),"Fix")))</f>
        <v xml:space="preserve"> </v>
      </c>
      <c r="C16" s="4" t="str">
        <f ca="1">IF(OR(INDEX($X$2:$X$1001,MATCH(ROWS($W$2:W16),$W$2:$W$1001,0),1)&gt;=100000,INDEX($AD$1005:$AU$1005,1,MATCH(COLUMNS($AD$1006:AE1006),$AD$1006:$AU$1006,0))&gt;=100000), " ",IF(INDEX($AD$2:$AU$1001,MATCH(ROWS($W$2:W16),$W$2:$W$1001,0),MATCH(COLUMNS($AD$1006:AE1006),$AD$1006:$AU$1006,0)), HYPERLINK("#",""), HYPERLINK(CONCATENATE("#metadata!", ADDRESS(INDEX($Y$2:$Y$1001,MATCH(ROWS($W$2:W16),$W$2:$W$1001,0),0), INDEX($AD$1004:$AU$1004,1,MATCH(COLUMNS($AD$1006:AE1006),$AD$1006:$AU$1006,0)))),"Fix")))</f>
        <v xml:space="preserve"> </v>
      </c>
      <c r="D16" s="4" t="str">
        <f ca="1">IF(OR(INDEX($X$2:$X$1001,MATCH(ROWS($W$2:W16),$W$2:$W$1001,0),1)&gt;=100000,INDEX($AD$1005:$AU$1005,1,MATCH(COLUMNS($AD$1006:AF1006),$AD$1006:$AU$1006,0))&gt;=100000), " ",IF(INDEX($AD$2:$AU$1001,MATCH(ROWS($W$2:W16),$W$2:$W$1001,0),MATCH(COLUMNS($AD$1006:AF1006),$AD$1006:$AU$1006,0)), HYPERLINK("#",""), HYPERLINK(CONCATENATE("#metadata!", ADDRESS(INDEX($Y$2:$Y$1001,MATCH(ROWS($W$2:W16),$W$2:$W$1001,0),0), INDEX($AD$1004:$AU$1004,1,MATCH(COLUMNS($AD$1006:AF1006),$AD$1006:$AU$1006,0)))),"Fix")))</f>
        <v xml:space="preserve"> </v>
      </c>
      <c r="E16" s="4" t="str">
        <f ca="1">IF(OR(INDEX($X$2:$X$1001,MATCH(ROWS($W$2:W16),$W$2:$W$1001,0),1)&gt;=100000,INDEX($AD$1005:$AU$1005,1,MATCH(COLUMNS($AD$1006:AG1006),$AD$1006:$AU$1006,0))&gt;=100000), " ",IF(INDEX($AD$2:$AU$1001,MATCH(ROWS($W$2:W16),$W$2:$W$1001,0),MATCH(COLUMNS($AD$1006:AG1006),$AD$1006:$AU$1006,0)), HYPERLINK("#",""), HYPERLINK(CONCATENATE("#metadata!", ADDRESS(INDEX($Y$2:$Y$1001,MATCH(ROWS($W$2:W16),$W$2:$W$1001,0),0), INDEX($AD$1004:$AU$1004,1,MATCH(COLUMNS($AD$1006:AG1006),$AD$1006:$AU$1006,0)))),"Fix")))</f>
        <v xml:space="preserve"> </v>
      </c>
      <c r="F16" s="4" t="str">
        <f ca="1">IF(OR(INDEX($X$2:$X$1001,MATCH(ROWS($W$2:W16),$W$2:$W$1001,0),1)&gt;=100000,INDEX($AD$1005:$AU$1005,1,MATCH(COLUMNS($AD$1006:AH1006),$AD$1006:$AU$1006,0))&gt;=100000), " ",IF(INDEX($AD$2:$AU$1001,MATCH(ROWS($W$2:W16),$W$2:$W$1001,0),MATCH(COLUMNS($AD$1006:AH1006),$AD$1006:$AU$1006,0)), HYPERLINK("#",""), HYPERLINK(CONCATENATE("#metadata!", ADDRESS(INDEX($Y$2:$Y$1001,MATCH(ROWS($W$2:W16),$W$2:$W$1001,0),0), INDEX($AD$1004:$AU$1004,1,MATCH(COLUMNS($AD$1006:AH1006),$AD$1006:$AU$1006,0)))),"Fix")))</f>
        <v xml:space="preserve"> </v>
      </c>
      <c r="G16" s="4" t="str">
        <f ca="1">IF(OR(INDEX($X$2:$X$1001,MATCH(ROWS($W$2:W16),$W$2:$W$1001,0),1)&gt;=100000,INDEX($AD$1005:$AU$1005,1,MATCH(COLUMNS($AD$1006:AI1006),$AD$1006:$AU$1006,0))&gt;=100000), " ",IF(INDEX($AD$2:$AU$1001,MATCH(ROWS($W$2:W16),$W$2:$W$1001,0),MATCH(COLUMNS($AD$1006:AI1006),$AD$1006:$AU$1006,0)), HYPERLINK("#",""), HYPERLINK(CONCATENATE("#metadata!", ADDRESS(INDEX($Y$2:$Y$1001,MATCH(ROWS($W$2:W16),$W$2:$W$1001,0),0), INDEX($AD$1004:$AU$1004,1,MATCH(COLUMNS($AD$1006:AI1006),$AD$1006:$AU$1006,0)))),"Fix")))</f>
        <v xml:space="preserve"> </v>
      </c>
      <c r="H16" s="4" t="str">
        <f ca="1">IF(OR(INDEX($X$2:$X$1001,MATCH(ROWS($W$2:W16),$W$2:$W$1001,0),1)&gt;=100000,INDEX($AD$1005:$AU$1005,1,MATCH(COLUMNS($AD$1006:AJ1006),$AD$1006:$AU$1006,0))&gt;=100000), " ",IF(INDEX($AD$2:$AU$1001,MATCH(ROWS($W$2:W16),$W$2:$W$1001,0),MATCH(COLUMNS($AD$1006:AJ1006),$AD$1006:$AU$1006,0)), HYPERLINK("#",""), HYPERLINK(CONCATENATE("#metadata!", ADDRESS(INDEX($Y$2:$Y$1001,MATCH(ROWS($W$2:W16),$W$2:$W$1001,0),0), INDEX($AD$1004:$AU$1004,1,MATCH(COLUMNS($AD$1006:AJ1006),$AD$1006:$AU$1006,0)))),"Fix")))</f>
        <v xml:space="preserve"> </v>
      </c>
      <c r="I16" s="4" t="str">
        <f ca="1">IF(OR(INDEX($X$2:$X$1001,MATCH(ROWS($W$2:W16),$W$2:$W$1001,0),1)&gt;=100000,INDEX($AD$1005:$AU$1005,1,MATCH(COLUMNS($AD$1006:AK1006),$AD$1006:$AU$1006,0))&gt;=100000), " ",IF(INDEX($AD$2:$AU$1001,MATCH(ROWS($W$2:W16),$W$2:$W$1001,0),MATCH(COLUMNS($AD$1006:AK1006),$AD$1006:$AU$1006,0)), HYPERLINK("#",""), HYPERLINK(CONCATENATE("#metadata!", ADDRESS(INDEX($Y$2:$Y$1001,MATCH(ROWS($W$2:W16),$W$2:$W$1001,0),0), INDEX($AD$1004:$AU$1004,1,MATCH(COLUMNS($AD$1006:AK1006),$AD$1006:$AU$1006,0)))),"Fix")))</f>
        <v xml:space="preserve"> </v>
      </c>
      <c r="J16" s="4" t="str">
        <f ca="1">IF(OR(INDEX($X$2:$X$1001,MATCH(ROWS($W$2:W16),$W$2:$W$1001,0),1)&gt;=100000,INDEX($AD$1005:$AU$1005,1,MATCH(COLUMNS($AD$1006:AL1006),$AD$1006:$AU$1006,0))&gt;=100000), " ",IF(INDEX($AD$2:$AU$1001,MATCH(ROWS($W$2:W16),$W$2:$W$1001,0),MATCH(COLUMNS($AD$1006:AL1006),$AD$1006:$AU$1006,0)), HYPERLINK("#",""), HYPERLINK(CONCATENATE("#metadata!", ADDRESS(INDEX($Y$2:$Y$1001,MATCH(ROWS($W$2:W16),$W$2:$W$1001,0),0), INDEX($AD$1004:$AU$1004,1,MATCH(COLUMNS($AD$1006:AL1006),$AD$1006:$AU$1006,0)))),"Fix")))</f>
        <v xml:space="preserve"> </v>
      </c>
      <c r="K16" s="4" t="str">
        <f ca="1">IF(OR(INDEX($X$2:$X$1001,MATCH(ROWS($W$2:W16),$W$2:$W$1001,0),1)&gt;=100000,INDEX($AD$1005:$AU$1005,1,MATCH(COLUMNS($AD$1006:AM1006),$AD$1006:$AU$1006,0))&gt;=100000), " ",IF(INDEX($AD$2:$AU$1001,MATCH(ROWS($W$2:W16),$W$2:$W$1001,0),MATCH(COLUMNS($AD$1006:AM1006),$AD$1006:$AU$1006,0)), HYPERLINK("#",""), HYPERLINK(CONCATENATE("#metadata!", ADDRESS(INDEX($Y$2:$Y$1001,MATCH(ROWS($W$2:W16),$W$2:$W$1001,0),0), INDEX($AD$1004:$AU$1004,1,MATCH(COLUMNS($AD$1006:AM1006),$AD$1006:$AU$1006,0)))),"Fix")))</f>
        <v xml:space="preserve"> </v>
      </c>
      <c r="L16" s="4" t="str">
        <f ca="1">IF(OR(INDEX($X$2:$X$1001,MATCH(ROWS($W$2:W16),$W$2:$W$1001,0),1)&gt;=100000,INDEX($AD$1005:$AU$1005,1,MATCH(COLUMNS($AD$1006:AN1006),$AD$1006:$AU$1006,0))&gt;=100000), " ",IF(INDEX($AD$2:$AU$1001,MATCH(ROWS($W$2:W16),$W$2:$W$1001,0),MATCH(COLUMNS($AD$1006:AN1006),$AD$1006:$AU$1006,0)), HYPERLINK("#",""), HYPERLINK(CONCATENATE("#metadata!", ADDRESS(INDEX($Y$2:$Y$1001,MATCH(ROWS($W$2:W16),$W$2:$W$1001,0),0), INDEX($AD$1004:$AU$1004,1,MATCH(COLUMNS($AD$1006:AN1006),$AD$1006:$AU$1006,0)))),"Fix")))</f>
        <v xml:space="preserve"> </v>
      </c>
      <c r="M16" s="4" t="str">
        <f ca="1">IF(OR(INDEX($X$2:$X$1001,MATCH(ROWS($W$2:W16),$W$2:$W$1001,0),1)&gt;=100000,INDEX($AD$1005:$AU$1005,1,MATCH(COLUMNS($AD$1006:AO1006),$AD$1006:$AU$1006,0))&gt;=100000), " ",IF(INDEX($AD$2:$AU$1001,MATCH(ROWS($W$2:W16),$W$2:$W$1001,0),MATCH(COLUMNS($AD$1006:AO1006),$AD$1006:$AU$1006,0)), HYPERLINK("#",""), HYPERLINK(CONCATENATE("#metadata!", ADDRESS(INDEX($Y$2:$Y$1001,MATCH(ROWS($W$2:W16),$W$2:$W$1001,0),0), INDEX($AD$1004:$AU$1004,1,MATCH(COLUMNS($AD$1006:AO1006),$AD$1006:$AU$1006,0)))),"Fix")))</f>
        <v xml:space="preserve"> </v>
      </c>
      <c r="N16" s="4" t="str">
        <f ca="1">IF(OR(INDEX($X$2:$X$1001,MATCH(ROWS($W$2:W16),$W$2:$W$1001,0),1)&gt;=100000,INDEX($AD$1005:$AU$1005,1,MATCH(COLUMNS($AD$1006:AP1006),$AD$1006:$AU$1006,0))&gt;=100000), " ",IF(INDEX($AD$2:$AU$1001,MATCH(ROWS($W$2:W16),$W$2:$W$1001,0),MATCH(COLUMNS($AD$1006:AP1006),$AD$1006:$AU$1006,0)), HYPERLINK("#",""), HYPERLINK(CONCATENATE("#metadata!", ADDRESS(INDEX($Y$2:$Y$1001,MATCH(ROWS($W$2:W16),$W$2:$W$1001,0),0), INDEX($AD$1004:$AU$1004,1,MATCH(COLUMNS($AD$1006:AP1006),$AD$1006:$AU$1006,0)))),"Fix")))</f>
        <v xml:space="preserve"> </v>
      </c>
      <c r="O16" s="4" t="str">
        <f ca="1">IF(OR(INDEX($X$2:$X$1001,MATCH(ROWS($W$2:W16),$W$2:$W$1001,0),1)&gt;=100000,INDEX($AD$1005:$AU$1005,1,MATCH(COLUMNS($AD$1006:AQ1006),$AD$1006:$AU$1006,0))&gt;=100000), " ",IF(INDEX($AD$2:$AU$1001,MATCH(ROWS($W$2:W16),$W$2:$W$1001,0),MATCH(COLUMNS($AD$1006:AQ1006),$AD$1006:$AU$1006,0)), HYPERLINK("#",""), HYPERLINK(CONCATENATE("#metadata!", ADDRESS(INDEX($Y$2:$Y$1001,MATCH(ROWS($W$2:W16),$W$2:$W$1001,0),0), INDEX($AD$1004:$AU$1004,1,MATCH(COLUMNS($AD$1006:AQ1006),$AD$1006:$AU$1006,0)))),"Fix")))</f>
        <v xml:space="preserve"> </v>
      </c>
      <c r="P16" s="4" t="str">
        <f ca="1">IF(OR(INDEX($X$2:$X$1001,MATCH(ROWS($W$2:W16),$W$2:$W$1001,0),1)&gt;=100000,INDEX($AD$1005:$AU$1005,1,MATCH(COLUMNS($AD$1006:AR1006),$AD$1006:$AU$1006,0))&gt;=100000), " ",IF(INDEX($AD$2:$AU$1001,MATCH(ROWS($W$2:W16),$W$2:$W$1001,0),MATCH(COLUMNS($AD$1006:AR1006),$AD$1006:$AU$1006,0)), HYPERLINK("#",""), HYPERLINK(CONCATENATE("#metadata!", ADDRESS(INDEX($Y$2:$Y$1001,MATCH(ROWS($W$2:W16),$W$2:$W$1001,0),0), INDEX($AD$1004:$AU$1004,1,MATCH(COLUMNS($AD$1006:AR1006),$AD$1006:$AU$1006,0)))),"Fix")))</f>
        <v xml:space="preserve"> </v>
      </c>
      <c r="Q16" s="4" t="str">
        <f ca="1">IF(OR(INDEX($X$2:$X$1001,MATCH(ROWS($W$2:W16),$W$2:$W$1001,0),1)&gt;=100000,INDEX($AD$1005:$AU$1005,1,MATCH(COLUMNS($AD$1006:AS1006),$AD$1006:$AU$1006,0))&gt;=100000), " ",IF(INDEX($AD$2:$AU$1001,MATCH(ROWS($W$2:W16),$W$2:$W$1001,0),MATCH(COLUMNS($AD$1006:AS1006),$AD$1006:$AU$1006,0)), HYPERLINK("#",""), HYPERLINK(CONCATENATE("#metadata!", ADDRESS(INDEX($Y$2:$Y$1001,MATCH(ROWS($W$2:W16),$W$2:$W$1001,0),0), INDEX($AD$1004:$AU$1004,1,MATCH(COLUMNS($AD$1006:AS1006),$AD$1006:$AU$1006,0)))),"Fix")))</f>
        <v xml:space="preserve"> </v>
      </c>
      <c r="R16" s="4" t="str">
        <f ca="1">IF(OR(INDEX($X$2:$X$1001,MATCH(ROWS($W$2:W16),$W$2:$W$1001,0),1)&gt;=100000,INDEX($AD$1005:$AU$1005,1,MATCH(COLUMNS($AD$1006:AT1006),$AD$1006:$AU$1006,0))&gt;=100000), " ",IF(INDEX($AD$2:$AU$1001,MATCH(ROWS($W$2:W16),$W$2:$W$1001,0),MATCH(COLUMNS($AD$1006:AT1006),$AD$1006:$AU$1006,0)), HYPERLINK("#",""), HYPERLINK(CONCATENATE("#metadata!", ADDRESS(INDEX($Y$2:$Y$1001,MATCH(ROWS($W$2:W16),$W$2:$W$1001,0),0), INDEX($AD$1004:$AU$1004,1,MATCH(COLUMNS($AD$1006:AT1006),$AD$1006:$AU$1006,0)))),"Fix")))</f>
        <v xml:space="preserve"> </v>
      </c>
      <c r="S16" s="4" t="str">
        <f ca="1">IF(OR(INDEX($X$2:$X$1001,MATCH(ROWS($W$2:W16),$W$2:$W$1001,0),1)&gt;=100000,INDEX($AD$1005:$AU$1005,1,MATCH(COLUMNS($AD$1006:AU1006),$AD$1006:$AU$1006,0))&gt;=100000), " ",IF(INDEX($AD$2:$AU$1001,MATCH(ROWS($W$2:W16),$W$2:$W$1001,0),MATCH(COLUMNS($AD$1006:AU1006),$AD$1006:$AU$1006,0)), HYPERLINK("#",""), HYPERLINK(CONCATENATE("#metadata!", ADDRESS(INDEX($Y$2:$Y$1001,MATCH(ROWS($W$2:W16),$W$2:$W$1001,0),0), INDEX($AD$1004:$AU$1004,1,MATCH(COLUMNS($AD$1006:AU1006),$AD$1006:$AU$1006,0)))),"Fix")))</f>
        <v xml:space="preserve"> </v>
      </c>
      <c r="W16">
        <v>15</v>
      </c>
      <c r="X16">
        <v>100016</v>
      </c>
      <c r="Y16">
        <v>16</v>
      </c>
      <c r="Z16" t="b">
        <f t="shared" si="0"/>
        <v>1</v>
      </c>
      <c r="AA16" t="b">
        <f>COUNTBLANK(metadata!B16:S16)=COLUMNS(metadata!B16:S16)</f>
        <v>1</v>
      </c>
      <c r="AB16" t="str">
        <v/>
      </c>
      <c r="AD16" t="b">
        <f ca="1">AND(IF(metadata!B16="",FALSE,TRUE),COUNTIF(metadata!B:B, metadata!B16) = 1,NOT(ISERROR(SUMPRODUCT(SEARCH(MID(metadata!B16,ROW(INDIRECT("1:"&amp;LEN(metadata!B16))), 1),"0123456789abcdefghijklmnopqrstuvwxyzABCDEFGHIJKLMNOPQRSTUVWXYZ.")))))</f>
        <v>0</v>
      </c>
      <c r="AE16" t="b">
        <f>OR(AND(IF(metadata!C16="",FALSE,TRUE),OR(EXACT(metadata!C16,"not applicable"),EXACT(metadata!C16,"missing: not collected"),EXACT(metadata!C16,"missing: not provided"),EXACT(metadata!C16,"missing: restricted access"))),AND(IF(metadata!C16="",FALSE,ISNUMBER(VALUE(metadata!C16))),metadata!C16&gt;0))</f>
        <v>0</v>
      </c>
      <c r="AF16" t="b">
        <f>AND(IF(metadata!D16="",FALSE,TRUE),EXACT(metadata!D16,"missing: not provided"))</f>
        <v>0</v>
      </c>
      <c r="AG16" t="b">
        <f>AND(IF(metadata!E16="",FALSE,TRUE),EXACT(metadata!E16,"Host-associated"))</f>
        <v>0</v>
      </c>
      <c r="AH16" t="b">
        <f>AND(IF(metadata!F16="",FALSE,TRUE),OR(EXACT(metadata!F16,"Animal"),EXACT(metadata!F16,"Fungus"),EXACT(metadata!F16,"Plant")))</f>
        <v>0</v>
      </c>
      <c r="AI16" t="b">
        <f>AND(IF(metadata!G16="",FALSE,TRUE),OR(EXACT(metadata!G16,"Plant secretion"),EXACT(metadata!G16,"Plant rhizosphere"),EXACT(metadata!G16,"Plant surface"),EXACT(metadata!G16,"Plant corpus"),EXACT(metadata!G16,"Fungus surface"),EXACT(metadata!G16,"Fungus corpus"),EXACT(metadata!G16,"Animal surface"),EXACT(metadata!G16,"Animal proximal gut"),EXACT(metadata!G16,"Animal corpus"),EXACT(metadata!G16,"Animal distal gut"),EXACT(metadata!G16,"Animal secretion")))</f>
        <v>0</v>
      </c>
      <c r="AJ16" t="b">
        <f>OR(AND(IF(metadata!H16="",FALSE,TRUE),OR(EXACT(metadata!H16,"missing: not collected"),EXACT(metadata!H16,"missing: not provided"),EXACT(metadata!H16,"missing: restricted access"))),AND(IF(metadata!H16="",FALSE,TRUE),OR(EXACT(metadata!H16,"organism-associated habitat"),EXACT(metadata!H16,"plant-associated habitat"),EXACT(metadata!H16,"animal-associated habitat"),EXACT(metadata!H16,"insecta-associated habitat"),EXACT(metadata!H16,"mammalia-associated habitat"),EXACT(metadata!H16,"human-associated habitat"),EXACT(metadata!H16,"livestock-associated habitat"))))</f>
        <v>0</v>
      </c>
      <c r="AK16" t="b">
        <f>AND(IF(metadata!I16="",FALSE,TRUE),EXACT(metadata!I16,"host-associated"))</f>
        <v>0</v>
      </c>
      <c r="AL16" t="b">
        <f>OR(AND(IF(metadata!J16="",FALSE,TRUE),OR(EXACT(metadata!J16,"not applicable"),EXACT(metadata!J16,"missing: not collected"),EXACT(metadata!J16,"missing: not provided"),EXACT(metadata!J16,"missing: restricted access"))),AND(IF(metadata!J16="",FALSE,ISNUMBER(VALUE(metadata!J16))),metadata!J16&gt;0))</f>
        <v>0</v>
      </c>
      <c r="AM16" t="b">
        <f>AND(IF(metadata!K16="",FALSE,TRUE),EXACT(metadata!K16,"missing: not provided"))</f>
        <v>0</v>
      </c>
      <c r="AN16" t="b">
        <f>IF(metadata!L16="",FALSE,TRUE)</f>
        <v>0</v>
      </c>
      <c r="AO16" t="b">
        <f>IF(metadata!M16="",FALSE,TRUE)</f>
        <v>0</v>
      </c>
      <c r="AP16" t="b">
        <f>OR(AND(IF(metadata!N16="",FALSE,TRUE),OR(EXACT(metadata!N16,"not applicable"),EXACT(metadata!N16,"missing: not collected"),EXACT(metadata!N16,"missing: not provided"))),AND(IF(metadata!N16="",FALSE,IF(ISERROR(INT(metadata!N16)),FALSE,INT(metadata!N16)=metadata!N16)),metadata!N16&gt;0))</f>
        <v>0</v>
      </c>
      <c r="AQ16" t="b">
        <f>AND(IF(metadata!O16="",FALSE,TRUE),EXACT(metadata!O16,"Not applicable"))</f>
        <v>0</v>
      </c>
      <c r="AR16" t="b">
        <f>OR(AND(IF(metadata!P16="",FALSE,TRUE),OR(EXACT(metadata!P16,"not applicable"),EXACT(metadata!P16,"missing: not collected"),EXACT(metadata!P16,"missing: not provided"),EXACT(metadata!P16,"missing: restricted access"))),IF(metadata!P16="",FALSE,IF(ISERROR(INT(metadata!P16)),FALSE,INT(metadata!P16)=metadata!P16)))</f>
        <v>0</v>
      </c>
      <c r="AS16" t="b">
        <f>AND(IF(metadata!Q16="",FALSE,TRUE),EXACT(metadata!Q16,"Not applicable"))</f>
        <v>0</v>
      </c>
      <c r="AT16" t="b">
        <f>OR(AND(IF(metadata!R16="",FALSE,TRUE),OR(EXACT(metadata!R16,"not applicable"),EXACT(metadata!R16,"missing: not collected"),EXACT(metadata!R16,"missing: not provided"),EXACT(metadata!R16,"missing: restricted access"))),AND(IF(metadata!R16="",FALSE,ISNUMBER(VALUE(metadata!R16))),metadata!R16&gt;0))</f>
        <v>0</v>
      </c>
      <c r="AU16" t="b">
        <f>AND(IF(metadata!S16="",FALSE,TRUE),EXACT(metadata!S16,"missing: not provided"))</f>
        <v>0</v>
      </c>
    </row>
    <row r="17" spans="1:47" x14ac:dyDescent="0.2">
      <c r="A17" s="5" t="str">
        <f ca="1">IF(B17=" "," ",HYPERLINK(CONCATENATE("#metadata!",ADDRESS(INDEX($Y$2:$Y$1001,MATCH(ROWS($W$2:W17),$W$2:$W$1001,0),0),1)),INDEX($AB$2:$AB$1001,MATCH(ROWS($W$2:W17),$W$2:$W$1001,0),0)))</f>
        <v xml:space="preserve"> </v>
      </c>
      <c r="B17" s="4" t="str">
        <f ca="1">IF(OR(INDEX($X$2:$X$1001,MATCH(ROWS($W$2:W17),$W$2:$W$1001,0),1)&gt;=100000,INDEX($AD$1005:$AU$1005,1,MATCH(COLUMNS($AD$1006:AD1006),$AD$1006:$AU$1006,0))&gt;=100000), " ",IF(INDEX($AD$2:$AU$1001,MATCH(ROWS($W$2:W17),$W$2:$W$1001,0),MATCH(COLUMNS($AD$1006:AD1006),$AD$1006:$AU$1006,0)), HYPERLINK("#",""), HYPERLINK(CONCATENATE("#metadata!", ADDRESS(INDEX($Y$2:$Y$1001,MATCH(ROWS($W$2:W17),$W$2:$W$1001,0),0), INDEX($AD$1004:$AU$1004,1,MATCH(COLUMNS($AD$1006:AD1006),$AD$1006:$AU$1006,0)))),"Fix")))</f>
        <v xml:space="preserve"> </v>
      </c>
      <c r="C17" s="4" t="str">
        <f ca="1">IF(OR(INDEX($X$2:$X$1001,MATCH(ROWS($W$2:W17),$W$2:$W$1001,0),1)&gt;=100000,INDEX($AD$1005:$AU$1005,1,MATCH(COLUMNS($AD$1006:AE1006),$AD$1006:$AU$1006,0))&gt;=100000), " ",IF(INDEX($AD$2:$AU$1001,MATCH(ROWS($W$2:W17),$W$2:$W$1001,0),MATCH(COLUMNS($AD$1006:AE1006),$AD$1006:$AU$1006,0)), HYPERLINK("#",""), HYPERLINK(CONCATENATE("#metadata!", ADDRESS(INDEX($Y$2:$Y$1001,MATCH(ROWS($W$2:W17),$W$2:$W$1001,0),0), INDEX($AD$1004:$AU$1004,1,MATCH(COLUMNS($AD$1006:AE1006),$AD$1006:$AU$1006,0)))),"Fix")))</f>
        <v xml:space="preserve"> </v>
      </c>
      <c r="D17" s="4" t="str">
        <f ca="1">IF(OR(INDEX($X$2:$X$1001,MATCH(ROWS($W$2:W17),$W$2:$W$1001,0),1)&gt;=100000,INDEX($AD$1005:$AU$1005,1,MATCH(COLUMNS($AD$1006:AF1006),$AD$1006:$AU$1006,0))&gt;=100000), " ",IF(INDEX($AD$2:$AU$1001,MATCH(ROWS($W$2:W17),$W$2:$W$1001,0),MATCH(COLUMNS($AD$1006:AF1006),$AD$1006:$AU$1006,0)), HYPERLINK("#",""), HYPERLINK(CONCATENATE("#metadata!", ADDRESS(INDEX($Y$2:$Y$1001,MATCH(ROWS($W$2:W17),$W$2:$W$1001,0),0), INDEX($AD$1004:$AU$1004,1,MATCH(COLUMNS($AD$1006:AF1006),$AD$1006:$AU$1006,0)))),"Fix")))</f>
        <v xml:space="preserve"> </v>
      </c>
      <c r="E17" s="4" t="str">
        <f ca="1">IF(OR(INDEX($X$2:$X$1001,MATCH(ROWS($W$2:W17),$W$2:$W$1001,0),1)&gt;=100000,INDEX($AD$1005:$AU$1005,1,MATCH(COLUMNS($AD$1006:AG1006),$AD$1006:$AU$1006,0))&gt;=100000), " ",IF(INDEX($AD$2:$AU$1001,MATCH(ROWS($W$2:W17),$W$2:$W$1001,0),MATCH(COLUMNS($AD$1006:AG1006),$AD$1006:$AU$1006,0)), HYPERLINK("#",""), HYPERLINK(CONCATENATE("#metadata!", ADDRESS(INDEX($Y$2:$Y$1001,MATCH(ROWS($W$2:W17),$W$2:$W$1001,0),0), INDEX($AD$1004:$AU$1004,1,MATCH(COLUMNS($AD$1006:AG1006),$AD$1006:$AU$1006,0)))),"Fix")))</f>
        <v xml:space="preserve"> </v>
      </c>
      <c r="F17" s="4" t="str">
        <f ca="1">IF(OR(INDEX($X$2:$X$1001,MATCH(ROWS($W$2:W17),$W$2:$W$1001,0),1)&gt;=100000,INDEX($AD$1005:$AU$1005,1,MATCH(COLUMNS($AD$1006:AH1006),$AD$1006:$AU$1006,0))&gt;=100000), " ",IF(INDEX($AD$2:$AU$1001,MATCH(ROWS($W$2:W17),$W$2:$W$1001,0),MATCH(COLUMNS($AD$1006:AH1006),$AD$1006:$AU$1006,0)), HYPERLINK("#",""), HYPERLINK(CONCATENATE("#metadata!", ADDRESS(INDEX($Y$2:$Y$1001,MATCH(ROWS($W$2:W17),$W$2:$W$1001,0),0), INDEX($AD$1004:$AU$1004,1,MATCH(COLUMNS($AD$1006:AH1006),$AD$1006:$AU$1006,0)))),"Fix")))</f>
        <v xml:space="preserve"> </v>
      </c>
      <c r="G17" s="4" t="str">
        <f ca="1">IF(OR(INDEX($X$2:$X$1001,MATCH(ROWS($W$2:W17),$W$2:$W$1001,0),1)&gt;=100000,INDEX($AD$1005:$AU$1005,1,MATCH(COLUMNS($AD$1006:AI1006),$AD$1006:$AU$1006,0))&gt;=100000), " ",IF(INDEX($AD$2:$AU$1001,MATCH(ROWS($W$2:W17),$W$2:$W$1001,0),MATCH(COLUMNS($AD$1006:AI1006),$AD$1006:$AU$1006,0)), HYPERLINK("#",""), HYPERLINK(CONCATENATE("#metadata!", ADDRESS(INDEX($Y$2:$Y$1001,MATCH(ROWS($W$2:W17),$W$2:$W$1001,0),0), INDEX($AD$1004:$AU$1004,1,MATCH(COLUMNS($AD$1006:AI1006),$AD$1006:$AU$1006,0)))),"Fix")))</f>
        <v xml:space="preserve"> </v>
      </c>
      <c r="H17" s="4" t="str">
        <f ca="1">IF(OR(INDEX($X$2:$X$1001,MATCH(ROWS($W$2:W17),$W$2:$W$1001,0),1)&gt;=100000,INDEX($AD$1005:$AU$1005,1,MATCH(COLUMNS($AD$1006:AJ1006),$AD$1006:$AU$1006,0))&gt;=100000), " ",IF(INDEX($AD$2:$AU$1001,MATCH(ROWS($W$2:W17),$W$2:$W$1001,0),MATCH(COLUMNS($AD$1006:AJ1006),$AD$1006:$AU$1006,0)), HYPERLINK("#",""), HYPERLINK(CONCATENATE("#metadata!", ADDRESS(INDEX($Y$2:$Y$1001,MATCH(ROWS($W$2:W17),$W$2:$W$1001,0),0), INDEX($AD$1004:$AU$1004,1,MATCH(COLUMNS($AD$1006:AJ1006),$AD$1006:$AU$1006,0)))),"Fix")))</f>
        <v xml:space="preserve"> </v>
      </c>
      <c r="I17" s="4" t="str">
        <f ca="1">IF(OR(INDEX($X$2:$X$1001,MATCH(ROWS($W$2:W17),$W$2:$W$1001,0),1)&gt;=100000,INDEX($AD$1005:$AU$1005,1,MATCH(COLUMNS($AD$1006:AK1006),$AD$1006:$AU$1006,0))&gt;=100000), " ",IF(INDEX($AD$2:$AU$1001,MATCH(ROWS($W$2:W17),$W$2:$W$1001,0),MATCH(COLUMNS($AD$1006:AK1006),$AD$1006:$AU$1006,0)), HYPERLINK("#",""), HYPERLINK(CONCATENATE("#metadata!", ADDRESS(INDEX($Y$2:$Y$1001,MATCH(ROWS($W$2:W17),$W$2:$W$1001,0),0), INDEX($AD$1004:$AU$1004,1,MATCH(COLUMNS($AD$1006:AK1006),$AD$1006:$AU$1006,0)))),"Fix")))</f>
        <v xml:space="preserve"> </v>
      </c>
      <c r="J17" s="4" t="str">
        <f ca="1">IF(OR(INDEX($X$2:$X$1001,MATCH(ROWS($W$2:W17),$W$2:$W$1001,0),1)&gt;=100000,INDEX($AD$1005:$AU$1005,1,MATCH(COLUMNS($AD$1006:AL1006),$AD$1006:$AU$1006,0))&gt;=100000), " ",IF(INDEX($AD$2:$AU$1001,MATCH(ROWS($W$2:W17),$W$2:$W$1001,0),MATCH(COLUMNS($AD$1006:AL1006),$AD$1006:$AU$1006,0)), HYPERLINK("#",""), HYPERLINK(CONCATENATE("#metadata!", ADDRESS(INDEX($Y$2:$Y$1001,MATCH(ROWS($W$2:W17),$W$2:$W$1001,0),0), INDEX($AD$1004:$AU$1004,1,MATCH(COLUMNS($AD$1006:AL1006),$AD$1006:$AU$1006,0)))),"Fix")))</f>
        <v xml:space="preserve"> </v>
      </c>
      <c r="K17" s="4" t="str">
        <f ca="1">IF(OR(INDEX($X$2:$X$1001,MATCH(ROWS($W$2:W17),$W$2:$W$1001,0),1)&gt;=100000,INDEX($AD$1005:$AU$1005,1,MATCH(COLUMNS($AD$1006:AM1006),$AD$1006:$AU$1006,0))&gt;=100000), " ",IF(INDEX($AD$2:$AU$1001,MATCH(ROWS($W$2:W17),$W$2:$W$1001,0),MATCH(COLUMNS($AD$1006:AM1006),$AD$1006:$AU$1006,0)), HYPERLINK("#",""), HYPERLINK(CONCATENATE("#metadata!", ADDRESS(INDEX($Y$2:$Y$1001,MATCH(ROWS($W$2:W17),$W$2:$W$1001,0),0), INDEX($AD$1004:$AU$1004,1,MATCH(COLUMNS($AD$1006:AM1006),$AD$1006:$AU$1006,0)))),"Fix")))</f>
        <v xml:space="preserve"> </v>
      </c>
      <c r="L17" s="4" t="str">
        <f ca="1">IF(OR(INDEX($X$2:$X$1001,MATCH(ROWS($W$2:W17),$W$2:$W$1001,0),1)&gt;=100000,INDEX($AD$1005:$AU$1005,1,MATCH(COLUMNS($AD$1006:AN1006),$AD$1006:$AU$1006,0))&gt;=100000), " ",IF(INDEX($AD$2:$AU$1001,MATCH(ROWS($W$2:W17),$W$2:$W$1001,0),MATCH(COLUMNS($AD$1006:AN1006),$AD$1006:$AU$1006,0)), HYPERLINK("#",""), HYPERLINK(CONCATENATE("#metadata!", ADDRESS(INDEX($Y$2:$Y$1001,MATCH(ROWS($W$2:W17),$W$2:$W$1001,0),0), INDEX($AD$1004:$AU$1004,1,MATCH(COLUMNS($AD$1006:AN1006),$AD$1006:$AU$1006,0)))),"Fix")))</f>
        <v xml:space="preserve"> </v>
      </c>
      <c r="M17" s="4" t="str">
        <f ca="1">IF(OR(INDEX($X$2:$X$1001,MATCH(ROWS($W$2:W17),$W$2:$W$1001,0),1)&gt;=100000,INDEX($AD$1005:$AU$1005,1,MATCH(COLUMNS($AD$1006:AO1006),$AD$1006:$AU$1006,0))&gt;=100000), " ",IF(INDEX($AD$2:$AU$1001,MATCH(ROWS($W$2:W17),$W$2:$W$1001,0),MATCH(COLUMNS($AD$1006:AO1006),$AD$1006:$AU$1006,0)), HYPERLINK("#",""), HYPERLINK(CONCATENATE("#metadata!", ADDRESS(INDEX($Y$2:$Y$1001,MATCH(ROWS($W$2:W17),$W$2:$W$1001,0),0), INDEX($AD$1004:$AU$1004,1,MATCH(COLUMNS($AD$1006:AO1006),$AD$1006:$AU$1006,0)))),"Fix")))</f>
        <v xml:space="preserve"> </v>
      </c>
      <c r="N17" s="4" t="str">
        <f ca="1">IF(OR(INDEX($X$2:$X$1001,MATCH(ROWS($W$2:W17),$W$2:$W$1001,0),1)&gt;=100000,INDEX($AD$1005:$AU$1005,1,MATCH(COLUMNS($AD$1006:AP1006),$AD$1006:$AU$1006,0))&gt;=100000), " ",IF(INDEX($AD$2:$AU$1001,MATCH(ROWS($W$2:W17),$W$2:$W$1001,0),MATCH(COLUMNS($AD$1006:AP1006),$AD$1006:$AU$1006,0)), HYPERLINK("#",""), HYPERLINK(CONCATENATE("#metadata!", ADDRESS(INDEX($Y$2:$Y$1001,MATCH(ROWS($W$2:W17),$W$2:$W$1001,0),0), INDEX($AD$1004:$AU$1004,1,MATCH(COLUMNS($AD$1006:AP1006),$AD$1006:$AU$1006,0)))),"Fix")))</f>
        <v xml:space="preserve"> </v>
      </c>
      <c r="O17" s="4" t="str">
        <f ca="1">IF(OR(INDEX($X$2:$X$1001,MATCH(ROWS($W$2:W17),$W$2:$W$1001,0),1)&gt;=100000,INDEX($AD$1005:$AU$1005,1,MATCH(COLUMNS($AD$1006:AQ1006),$AD$1006:$AU$1006,0))&gt;=100000), " ",IF(INDEX($AD$2:$AU$1001,MATCH(ROWS($W$2:W17),$W$2:$W$1001,0),MATCH(COLUMNS($AD$1006:AQ1006),$AD$1006:$AU$1006,0)), HYPERLINK("#",""), HYPERLINK(CONCATENATE("#metadata!", ADDRESS(INDEX($Y$2:$Y$1001,MATCH(ROWS($W$2:W17),$W$2:$W$1001,0),0), INDEX($AD$1004:$AU$1004,1,MATCH(COLUMNS($AD$1006:AQ1006),$AD$1006:$AU$1006,0)))),"Fix")))</f>
        <v xml:space="preserve"> </v>
      </c>
      <c r="P17" s="4" t="str">
        <f ca="1">IF(OR(INDEX($X$2:$X$1001,MATCH(ROWS($W$2:W17),$W$2:$W$1001,0),1)&gt;=100000,INDEX($AD$1005:$AU$1005,1,MATCH(COLUMNS($AD$1006:AR1006),$AD$1006:$AU$1006,0))&gt;=100000), " ",IF(INDEX($AD$2:$AU$1001,MATCH(ROWS($W$2:W17),$W$2:$W$1001,0),MATCH(COLUMNS($AD$1006:AR1006),$AD$1006:$AU$1006,0)), HYPERLINK("#",""), HYPERLINK(CONCATENATE("#metadata!", ADDRESS(INDEX($Y$2:$Y$1001,MATCH(ROWS($W$2:W17),$W$2:$W$1001,0),0), INDEX($AD$1004:$AU$1004,1,MATCH(COLUMNS($AD$1006:AR1006),$AD$1006:$AU$1006,0)))),"Fix")))</f>
        <v xml:space="preserve"> </v>
      </c>
      <c r="Q17" s="4" t="str">
        <f ca="1">IF(OR(INDEX($X$2:$X$1001,MATCH(ROWS($W$2:W17),$W$2:$W$1001,0),1)&gt;=100000,INDEX($AD$1005:$AU$1005,1,MATCH(COLUMNS($AD$1006:AS1006),$AD$1006:$AU$1006,0))&gt;=100000), " ",IF(INDEX($AD$2:$AU$1001,MATCH(ROWS($W$2:W17),$W$2:$W$1001,0),MATCH(COLUMNS($AD$1006:AS1006),$AD$1006:$AU$1006,0)), HYPERLINK("#",""), HYPERLINK(CONCATENATE("#metadata!", ADDRESS(INDEX($Y$2:$Y$1001,MATCH(ROWS($W$2:W17),$W$2:$W$1001,0),0), INDEX($AD$1004:$AU$1004,1,MATCH(COLUMNS($AD$1006:AS1006),$AD$1006:$AU$1006,0)))),"Fix")))</f>
        <v xml:space="preserve"> </v>
      </c>
      <c r="R17" s="4" t="str">
        <f ca="1">IF(OR(INDEX($X$2:$X$1001,MATCH(ROWS($W$2:W17),$W$2:$W$1001,0),1)&gt;=100000,INDEX($AD$1005:$AU$1005,1,MATCH(COLUMNS($AD$1006:AT1006),$AD$1006:$AU$1006,0))&gt;=100000), " ",IF(INDEX($AD$2:$AU$1001,MATCH(ROWS($W$2:W17),$W$2:$W$1001,0),MATCH(COLUMNS($AD$1006:AT1006),$AD$1006:$AU$1006,0)), HYPERLINK("#",""), HYPERLINK(CONCATENATE("#metadata!", ADDRESS(INDEX($Y$2:$Y$1001,MATCH(ROWS($W$2:W17),$W$2:$W$1001,0),0), INDEX($AD$1004:$AU$1004,1,MATCH(COLUMNS($AD$1006:AT1006),$AD$1006:$AU$1006,0)))),"Fix")))</f>
        <v xml:space="preserve"> </v>
      </c>
      <c r="S17" s="4" t="str">
        <f ca="1">IF(OR(INDEX($X$2:$X$1001,MATCH(ROWS($W$2:W17),$W$2:$W$1001,0),1)&gt;=100000,INDEX($AD$1005:$AU$1005,1,MATCH(COLUMNS($AD$1006:AU1006),$AD$1006:$AU$1006,0))&gt;=100000), " ",IF(INDEX($AD$2:$AU$1001,MATCH(ROWS($W$2:W17),$W$2:$W$1001,0),MATCH(COLUMNS($AD$1006:AU1006),$AD$1006:$AU$1006,0)), HYPERLINK("#",""), HYPERLINK(CONCATENATE("#metadata!", ADDRESS(INDEX($Y$2:$Y$1001,MATCH(ROWS($W$2:W17),$W$2:$W$1001,0),0), INDEX($AD$1004:$AU$1004,1,MATCH(COLUMNS($AD$1006:AU1006),$AD$1006:$AU$1006,0)))),"Fix")))</f>
        <v xml:space="preserve"> </v>
      </c>
      <c r="W17">
        <v>16</v>
      </c>
      <c r="X17">
        <v>100017</v>
      </c>
      <c r="Y17">
        <v>17</v>
      </c>
      <c r="Z17" t="b">
        <f t="shared" si="0"/>
        <v>1</v>
      </c>
      <c r="AA17" t="b">
        <f>COUNTBLANK(metadata!B17:S17)=COLUMNS(metadata!B17:S17)</f>
        <v>1</v>
      </c>
      <c r="AB17" t="str">
        <v/>
      </c>
      <c r="AD17" t="b">
        <f ca="1">AND(IF(metadata!B17="",FALSE,TRUE),COUNTIF(metadata!B:B, metadata!B17) = 1,NOT(ISERROR(SUMPRODUCT(SEARCH(MID(metadata!B17,ROW(INDIRECT("1:"&amp;LEN(metadata!B17))), 1),"0123456789abcdefghijklmnopqrstuvwxyzABCDEFGHIJKLMNOPQRSTUVWXYZ.")))))</f>
        <v>0</v>
      </c>
      <c r="AE17" t="b">
        <f>OR(AND(IF(metadata!C17="",FALSE,TRUE),OR(EXACT(metadata!C17,"not applicable"),EXACT(metadata!C17,"missing: not collected"),EXACT(metadata!C17,"missing: not provided"),EXACT(metadata!C17,"missing: restricted access"))),AND(IF(metadata!C17="",FALSE,ISNUMBER(VALUE(metadata!C17))),metadata!C17&gt;0))</f>
        <v>0</v>
      </c>
      <c r="AF17" t="b">
        <f>AND(IF(metadata!D17="",FALSE,TRUE),EXACT(metadata!D17,"missing: not provided"))</f>
        <v>0</v>
      </c>
      <c r="AG17" t="b">
        <f>AND(IF(metadata!E17="",FALSE,TRUE),EXACT(metadata!E17,"Host-associated"))</f>
        <v>0</v>
      </c>
      <c r="AH17" t="b">
        <f>AND(IF(metadata!F17="",FALSE,TRUE),OR(EXACT(metadata!F17,"Animal"),EXACT(metadata!F17,"Fungus"),EXACT(metadata!F17,"Plant")))</f>
        <v>0</v>
      </c>
      <c r="AI17" t="b">
        <f>AND(IF(metadata!G17="",FALSE,TRUE),OR(EXACT(metadata!G17,"Plant secretion"),EXACT(metadata!G17,"Plant rhizosphere"),EXACT(metadata!G17,"Plant surface"),EXACT(metadata!G17,"Plant corpus"),EXACT(metadata!G17,"Fungus surface"),EXACT(metadata!G17,"Fungus corpus"),EXACT(metadata!G17,"Animal surface"),EXACT(metadata!G17,"Animal proximal gut"),EXACT(metadata!G17,"Animal corpus"),EXACT(metadata!G17,"Animal distal gut"),EXACT(metadata!G17,"Animal secretion")))</f>
        <v>0</v>
      </c>
      <c r="AJ17" t="b">
        <f>OR(AND(IF(metadata!H17="",FALSE,TRUE),OR(EXACT(metadata!H17,"missing: not collected"),EXACT(metadata!H17,"missing: not provided"),EXACT(metadata!H17,"missing: restricted access"))),AND(IF(metadata!H17="",FALSE,TRUE),OR(EXACT(metadata!H17,"organism-associated habitat"),EXACT(metadata!H17,"plant-associated habitat"),EXACT(metadata!H17,"animal-associated habitat"),EXACT(metadata!H17,"insecta-associated habitat"),EXACT(metadata!H17,"mammalia-associated habitat"),EXACT(metadata!H17,"human-associated habitat"),EXACT(metadata!H17,"livestock-associated habitat"))))</f>
        <v>0</v>
      </c>
      <c r="AK17" t="b">
        <f>AND(IF(metadata!I17="",FALSE,TRUE),EXACT(metadata!I17,"host-associated"))</f>
        <v>0</v>
      </c>
      <c r="AL17" t="b">
        <f>OR(AND(IF(metadata!J17="",FALSE,TRUE),OR(EXACT(metadata!J17,"not applicable"),EXACT(metadata!J17,"missing: not collected"),EXACT(metadata!J17,"missing: not provided"),EXACT(metadata!J17,"missing: restricted access"))),AND(IF(metadata!J17="",FALSE,ISNUMBER(VALUE(metadata!J17))),metadata!J17&gt;0))</f>
        <v>0</v>
      </c>
      <c r="AM17" t="b">
        <f>AND(IF(metadata!K17="",FALSE,TRUE),EXACT(metadata!K17,"missing: not provided"))</f>
        <v>0</v>
      </c>
      <c r="AN17" t="b">
        <f>IF(metadata!L17="",FALSE,TRUE)</f>
        <v>0</v>
      </c>
      <c r="AO17" t="b">
        <f>IF(metadata!M17="",FALSE,TRUE)</f>
        <v>0</v>
      </c>
      <c r="AP17" t="b">
        <f>OR(AND(IF(metadata!N17="",FALSE,TRUE),OR(EXACT(metadata!N17,"not applicable"),EXACT(metadata!N17,"missing: not collected"),EXACT(metadata!N17,"missing: not provided"))),AND(IF(metadata!N17="",FALSE,IF(ISERROR(INT(metadata!N17)),FALSE,INT(metadata!N17)=metadata!N17)),metadata!N17&gt;0))</f>
        <v>0</v>
      </c>
      <c r="AQ17" t="b">
        <f>AND(IF(metadata!O17="",FALSE,TRUE),EXACT(metadata!O17,"Not applicable"))</f>
        <v>0</v>
      </c>
      <c r="AR17" t="b">
        <f>OR(AND(IF(metadata!P17="",FALSE,TRUE),OR(EXACT(metadata!P17,"not applicable"),EXACT(metadata!P17,"missing: not collected"),EXACT(metadata!P17,"missing: not provided"),EXACT(metadata!P17,"missing: restricted access"))),IF(metadata!P17="",FALSE,IF(ISERROR(INT(metadata!P17)),FALSE,INT(metadata!P17)=metadata!P17)))</f>
        <v>0</v>
      </c>
      <c r="AS17" t="b">
        <f>AND(IF(metadata!Q17="",FALSE,TRUE),EXACT(metadata!Q17,"Not applicable"))</f>
        <v>0</v>
      </c>
      <c r="AT17" t="b">
        <f>OR(AND(IF(metadata!R17="",FALSE,TRUE),OR(EXACT(metadata!R17,"not applicable"),EXACT(metadata!R17,"missing: not collected"),EXACT(metadata!R17,"missing: not provided"),EXACT(metadata!R17,"missing: restricted access"))),AND(IF(metadata!R17="",FALSE,ISNUMBER(VALUE(metadata!R17))),metadata!R17&gt;0))</f>
        <v>0</v>
      </c>
      <c r="AU17" t="b">
        <f>AND(IF(metadata!S17="",FALSE,TRUE),EXACT(metadata!S17,"missing: not provided"))</f>
        <v>0</v>
      </c>
    </row>
    <row r="18" spans="1:47" x14ac:dyDescent="0.2">
      <c r="A18" s="5" t="str">
        <f ca="1">IF(B18=" "," ",HYPERLINK(CONCATENATE("#metadata!",ADDRESS(INDEX($Y$2:$Y$1001,MATCH(ROWS($W$2:W18),$W$2:$W$1001,0),0),1)),INDEX($AB$2:$AB$1001,MATCH(ROWS($W$2:W18),$W$2:$W$1001,0),0)))</f>
        <v xml:space="preserve"> </v>
      </c>
      <c r="B18" s="4" t="str">
        <f ca="1">IF(OR(INDEX($X$2:$X$1001,MATCH(ROWS($W$2:W18),$W$2:$W$1001,0),1)&gt;=100000,INDEX($AD$1005:$AU$1005,1,MATCH(COLUMNS($AD$1006:AD1006),$AD$1006:$AU$1006,0))&gt;=100000), " ",IF(INDEX($AD$2:$AU$1001,MATCH(ROWS($W$2:W18),$W$2:$W$1001,0),MATCH(COLUMNS($AD$1006:AD1006),$AD$1006:$AU$1006,0)), HYPERLINK("#",""), HYPERLINK(CONCATENATE("#metadata!", ADDRESS(INDEX($Y$2:$Y$1001,MATCH(ROWS($W$2:W18),$W$2:$W$1001,0),0), INDEX($AD$1004:$AU$1004,1,MATCH(COLUMNS($AD$1006:AD1006),$AD$1006:$AU$1006,0)))),"Fix")))</f>
        <v xml:space="preserve"> </v>
      </c>
      <c r="C18" s="4" t="str">
        <f ca="1">IF(OR(INDEX($X$2:$X$1001,MATCH(ROWS($W$2:W18),$W$2:$W$1001,0),1)&gt;=100000,INDEX($AD$1005:$AU$1005,1,MATCH(COLUMNS($AD$1006:AE1006),$AD$1006:$AU$1006,0))&gt;=100000), " ",IF(INDEX($AD$2:$AU$1001,MATCH(ROWS($W$2:W18),$W$2:$W$1001,0),MATCH(COLUMNS($AD$1006:AE1006),$AD$1006:$AU$1006,0)), HYPERLINK("#",""), HYPERLINK(CONCATENATE("#metadata!", ADDRESS(INDEX($Y$2:$Y$1001,MATCH(ROWS($W$2:W18),$W$2:$W$1001,0),0), INDEX($AD$1004:$AU$1004,1,MATCH(COLUMNS($AD$1006:AE1006),$AD$1006:$AU$1006,0)))),"Fix")))</f>
        <v xml:space="preserve"> </v>
      </c>
      <c r="D18" s="4" t="str">
        <f ca="1">IF(OR(INDEX($X$2:$X$1001,MATCH(ROWS($W$2:W18),$W$2:$W$1001,0),1)&gt;=100000,INDEX($AD$1005:$AU$1005,1,MATCH(COLUMNS($AD$1006:AF1006),$AD$1006:$AU$1006,0))&gt;=100000), " ",IF(INDEX($AD$2:$AU$1001,MATCH(ROWS($W$2:W18),$W$2:$W$1001,0),MATCH(COLUMNS($AD$1006:AF1006),$AD$1006:$AU$1006,0)), HYPERLINK("#",""), HYPERLINK(CONCATENATE("#metadata!", ADDRESS(INDEX($Y$2:$Y$1001,MATCH(ROWS($W$2:W18),$W$2:$W$1001,0),0), INDEX($AD$1004:$AU$1004,1,MATCH(COLUMNS($AD$1006:AF1006),$AD$1006:$AU$1006,0)))),"Fix")))</f>
        <v xml:space="preserve"> </v>
      </c>
      <c r="E18" s="4" t="str">
        <f ca="1">IF(OR(INDEX($X$2:$X$1001,MATCH(ROWS($W$2:W18),$W$2:$W$1001,0),1)&gt;=100000,INDEX($AD$1005:$AU$1005,1,MATCH(COLUMNS($AD$1006:AG1006),$AD$1006:$AU$1006,0))&gt;=100000), " ",IF(INDEX($AD$2:$AU$1001,MATCH(ROWS($W$2:W18),$W$2:$W$1001,0),MATCH(COLUMNS($AD$1006:AG1006),$AD$1006:$AU$1006,0)), HYPERLINK("#",""), HYPERLINK(CONCATENATE("#metadata!", ADDRESS(INDEX($Y$2:$Y$1001,MATCH(ROWS($W$2:W18),$W$2:$W$1001,0),0), INDEX($AD$1004:$AU$1004,1,MATCH(COLUMNS($AD$1006:AG1006),$AD$1006:$AU$1006,0)))),"Fix")))</f>
        <v xml:space="preserve"> </v>
      </c>
      <c r="F18" s="4" t="str">
        <f ca="1">IF(OR(INDEX($X$2:$X$1001,MATCH(ROWS($W$2:W18),$W$2:$W$1001,0),1)&gt;=100000,INDEX($AD$1005:$AU$1005,1,MATCH(COLUMNS($AD$1006:AH1006),$AD$1006:$AU$1006,0))&gt;=100000), " ",IF(INDEX($AD$2:$AU$1001,MATCH(ROWS($W$2:W18),$W$2:$W$1001,0),MATCH(COLUMNS($AD$1006:AH1006),$AD$1006:$AU$1006,0)), HYPERLINK("#",""), HYPERLINK(CONCATENATE("#metadata!", ADDRESS(INDEX($Y$2:$Y$1001,MATCH(ROWS($W$2:W18),$W$2:$W$1001,0),0), INDEX($AD$1004:$AU$1004,1,MATCH(COLUMNS($AD$1006:AH1006),$AD$1006:$AU$1006,0)))),"Fix")))</f>
        <v xml:space="preserve"> </v>
      </c>
      <c r="G18" s="4" t="str">
        <f ca="1">IF(OR(INDEX($X$2:$X$1001,MATCH(ROWS($W$2:W18),$W$2:$W$1001,0),1)&gt;=100000,INDEX($AD$1005:$AU$1005,1,MATCH(COLUMNS($AD$1006:AI1006),$AD$1006:$AU$1006,0))&gt;=100000), " ",IF(INDEX($AD$2:$AU$1001,MATCH(ROWS($W$2:W18),$W$2:$W$1001,0),MATCH(COLUMNS($AD$1006:AI1006),$AD$1006:$AU$1006,0)), HYPERLINK("#",""), HYPERLINK(CONCATENATE("#metadata!", ADDRESS(INDEX($Y$2:$Y$1001,MATCH(ROWS($W$2:W18),$W$2:$W$1001,0),0), INDEX($AD$1004:$AU$1004,1,MATCH(COLUMNS($AD$1006:AI1006),$AD$1006:$AU$1006,0)))),"Fix")))</f>
        <v xml:space="preserve"> </v>
      </c>
      <c r="H18" s="4" t="str">
        <f ca="1">IF(OR(INDEX($X$2:$X$1001,MATCH(ROWS($W$2:W18),$W$2:$W$1001,0),1)&gt;=100000,INDEX($AD$1005:$AU$1005,1,MATCH(COLUMNS($AD$1006:AJ1006),$AD$1006:$AU$1006,0))&gt;=100000), " ",IF(INDEX($AD$2:$AU$1001,MATCH(ROWS($W$2:W18),$W$2:$W$1001,0),MATCH(COLUMNS($AD$1006:AJ1006),$AD$1006:$AU$1006,0)), HYPERLINK("#",""), HYPERLINK(CONCATENATE("#metadata!", ADDRESS(INDEX($Y$2:$Y$1001,MATCH(ROWS($W$2:W18),$W$2:$W$1001,0),0), INDEX($AD$1004:$AU$1004,1,MATCH(COLUMNS($AD$1006:AJ1006),$AD$1006:$AU$1006,0)))),"Fix")))</f>
        <v xml:space="preserve"> </v>
      </c>
      <c r="I18" s="4" t="str">
        <f ca="1">IF(OR(INDEX($X$2:$X$1001,MATCH(ROWS($W$2:W18),$W$2:$W$1001,0),1)&gt;=100000,INDEX($AD$1005:$AU$1005,1,MATCH(COLUMNS($AD$1006:AK1006),$AD$1006:$AU$1006,0))&gt;=100000), " ",IF(INDEX($AD$2:$AU$1001,MATCH(ROWS($W$2:W18),$W$2:$W$1001,0),MATCH(COLUMNS($AD$1006:AK1006),$AD$1006:$AU$1006,0)), HYPERLINK("#",""), HYPERLINK(CONCATENATE("#metadata!", ADDRESS(INDEX($Y$2:$Y$1001,MATCH(ROWS($W$2:W18),$W$2:$W$1001,0),0), INDEX($AD$1004:$AU$1004,1,MATCH(COLUMNS($AD$1006:AK1006),$AD$1006:$AU$1006,0)))),"Fix")))</f>
        <v xml:space="preserve"> </v>
      </c>
      <c r="J18" s="4" t="str">
        <f ca="1">IF(OR(INDEX($X$2:$X$1001,MATCH(ROWS($W$2:W18),$W$2:$W$1001,0),1)&gt;=100000,INDEX($AD$1005:$AU$1005,1,MATCH(COLUMNS($AD$1006:AL1006),$AD$1006:$AU$1006,0))&gt;=100000), " ",IF(INDEX($AD$2:$AU$1001,MATCH(ROWS($W$2:W18),$W$2:$W$1001,0),MATCH(COLUMNS($AD$1006:AL1006),$AD$1006:$AU$1006,0)), HYPERLINK("#",""), HYPERLINK(CONCATENATE("#metadata!", ADDRESS(INDEX($Y$2:$Y$1001,MATCH(ROWS($W$2:W18),$W$2:$W$1001,0),0), INDEX($AD$1004:$AU$1004,1,MATCH(COLUMNS($AD$1006:AL1006),$AD$1006:$AU$1006,0)))),"Fix")))</f>
        <v xml:space="preserve"> </v>
      </c>
      <c r="K18" s="4" t="str">
        <f ca="1">IF(OR(INDEX($X$2:$X$1001,MATCH(ROWS($W$2:W18),$W$2:$W$1001,0),1)&gt;=100000,INDEX($AD$1005:$AU$1005,1,MATCH(COLUMNS($AD$1006:AM1006),$AD$1006:$AU$1006,0))&gt;=100000), " ",IF(INDEX($AD$2:$AU$1001,MATCH(ROWS($W$2:W18),$W$2:$W$1001,0),MATCH(COLUMNS($AD$1006:AM1006),$AD$1006:$AU$1006,0)), HYPERLINK("#",""), HYPERLINK(CONCATENATE("#metadata!", ADDRESS(INDEX($Y$2:$Y$1001,MATCH(ROWS($W$2:W18),$W$2:$W$1001,0),0), INDEX($AD$1004:$AU$1004,1,MATCH(COLUMNS($AD$1006:AM1006),$AD$1006:$AU$1006,0)))),"Fix")))</f>
        <v xml:space="preserve"> </v>
      </c>
      <c r="L18" s="4" t="str">
        <f ca="1">IF(OR(INDEX($X$2:$X$1001,MATCH(ROWS($W$2:W18),$W$2:$W$1001,0),1)&gt;=100000,INDEX($AD$1005:$AU$1005,1,MATCH(COLUMNS($AD$1006:AN1006),$AD$1006:$AU$1006,0))&gt;=100000), " ",IF(INDEX($AD$2:$AU$1001,MATCH(ROWS($W$2:W18),$W$2:$W$1001,0),MATCH(COLUMNS($AD$1006:AN1006),$AD$1006:$AU$1006,0)), HYPERLINK("#",""), HYPERLINK(CONCATENATE("#metadata!", ADDRESS(INDEX($Y$2:$Y$1001,MATCH(ROWS($W$2:W18),$W$2:$W$1001,0),0), INDEX($AD$1004:$AU$1004,1,MATCH(COLUMNS($AD$1006:AN1006),$AD$1006:$AU$1006,0)))),"Fix")))</f>
        <v xml:space="preserve"> </v>
      </c>
      <c r="M18" s="4" t="str">
        <f ca="1">IF(OR(INDEX($X$2:$X$1001,MATCH(ROWS($W$2:W18),$W$2:$W$1001,0),1)&gt;=100000,INDEX($AD$1005:$AU$1005,1,MATCH(COLUMNS($AD$1006:AO1006),$AD$1006:$AU$1006,0))&gt;=100000), " ",IF(INDEX($AD$2:$AU$1001,MATCH(ROWS($W$2:W18),$W$2:$W$1001,0),MATCH(COLUMNS($AD$1006:AO1006),$AD$1006:$AU$1006,0)), HYPERLINK("#",""), HYPERLINK(CONCATENATE("#metadata!", ADDRESS(INDEX($Y$2:$Y$1001,MATCH(ROWS($W$2:W18),$W$2:$W$1001,0),0), INDEX($AD$1004:$AU$1004,1,MATCH(COLUMNS($AD$1006:AO1006),$AD$1006:$AU$1006,0)))),"Fix")))</f>
        <v xml:space="preserve"> </v>
      </c>
      <c r="N18" s="4" t="str">
        <f ca="1">IF(OR(INDEX($X$2:$X$1001,MATCH(ROWS($W$2:W18),$W$2:$W$1001,0),1)&gt;=100000,INDEX($AD$1005:$AU$1005,1,MATCH(COLUMNS($AD$1006:AP1006),$AD$1006:$AU$1006,0))&gt;=100000), " ",IF(INDEX($AD$2:$AU$1001,MATCH(ROWS($W$2:W18),$W$2:$W$1001,0),MATCH(COLUMNS($AD$1006:AP1006),$AD$1006:$AU$1006,0)), HYPERLINK("#",""), HYPERLINK(CONCATENATE("#metadata!", ADDRESS(INDEX($Y$2:$Y$1001,MATCH(ROWS($W$2:W18),$W$2:$W$1001,0),0), INDEX($AD$1004:$AU$1004,1,MATCH(COLUMNS($AD$1006:AP1006),$AD$1006:$AU$1006,0)))),"Fix")))</f>
        <v xml:space="preserve"> </v>
      </c>
      <c r="O18" s="4" t="str">
        <f ca="1">IF(OR(INDEX($X$2:$X$1001,MATCH(ROWS($W$2:W18),$W$2:$W$1001,0),1)&gt;=100000,INDEX($AD$1005:$AU$1005,1,MATCH(COLUMNS($AD$1006:AQ1006),$AD$1006:$AU$1006,0))&gt;=100000), " ",IF(INDEX($AD$2:$AU$1001,MATCH(ROWS($W$2:W18),$W$2:$W$1001,0),MATCH(COLUMNS($AD$1006:AQ1006),$AD$1006:$AU$1006,0)), HYPERLINK("#",""), HYPERLINK(CONCATENATE("#metadata!", ADDRESS(INDEX($Y$2:$Y$1001,MATCH(ROWS($W$2:W18),$W$2:$W$1001,0),0), INDEX($AD$1004:$AU$1004,1,MATCH(COLUMNS($AD$1006:AQ1006),$AD$1006:$AU$1006,0)))),"Fix")))</f>
        <v xml:space="preserve"> </v>
      </c>
      <c r="P18" s="4" t="str">
        <f ca="1">IF(OR(INDEX($X$2:$X$1001,MATCH(ROWS($W$2:W18),$W$2:$W$1001,0),1)&gt;=100000,INDEX($AD$1005:$AU$1005,1,MATCH(COLUMNS($AD$1006:AR1006),$AD$1006:$AU$1006,0))&gt;=100000), " ",IF(INDEX($AD$2:$AU$1001,MATCH(ROWS($W$2:W18),$W$2:$W$1001,0),MATCH(COLUMNS($AD$1006:AR1006),$AD$1006:$AU$1006,0)), HYPERLINK("#",""), HYPERLINK(CONCATENATE("#metadata!", ADDRESS(INDEX($Y$2:$Y$1001,MATCH(ROWS($W$2:W18),$W$2:$W$1001,0),0), INDEX($AD$1004:$AU$1004,1,MATCH(COLUMNS($AD$1006:AR1006),$AD$1006:$AU$1006,0)))),"Fix")))</f>
        <v xml:space="preserve"> </v>
      </c>
      <c r="Q18" s="4" t="str">
        <f ca="1">IF(OR(INDEX($X$2:$X$1001,MATCH(ROWS($W$2:W18),$W$2:$W$1001,0),1)&gt;=100000,INDEX($AD$1005:$AU$1005,1,MATCH(COLUMNS($AD$1006:AS1006),$AD$1006:$AU$1006,0))&gt;=100000), " ",IF(INDEX($AD$2:$AU$1001,MATCH(ROWS($W$2:W18),$W$2:$W$1001,0),MATCH(COLUMNS($AD$1006:AS1006),$AD$1006:$AU$1006,0)), HYPERLINK("#",""), HYPERLINK(CONCATENATE("#metadata!", ADDRESS(INDEX($Y$2:$Y$1001,MATCH(ROWS($W$2:W18),$W$2:$W$1001,0),0), INDEX($AD$1004:$AU$1004,1,MATCH(COLUMNS($AD$1006:AS1006),$AD$1006:$AU$1006,0)))),"Fix")))</f>
        <v xml:space="preserve"> </v>
      </c>
      <c r="R18" s="4" t="str">
        <f ca="1">IF(OR(INDEX($X$2:$X$1001,MATCH(ROWS($W$2:W18),$W$2:$W$1001,0),1)&gt;=100000,INDEX($AD$1005:$AU$1005,1,MATCH(COLUMNS($AD$1006:AT1006),$AD$1006:$AU$1006,0))&gt;=100000), " ",IF(INDEX($AD$2:$AU$1001,MATCH(ROWS($W$2:W18),$W$2:$W$1001,0),MATCH(COLUMNS($AD$1006:AT1006),$AD$1006:$AU$1006,0)), HYPERLINK("#",""), HYPERLINK(CONCATENATE("#metadata!", ADDRESS(INDEX($Y$2:$Y$1001,MATCH(ROWS($W$2:W18),$W$2:$W$1001,0),0), INDEX($AD$1004:$AU$1004,1,MATCH(COLUMNS($AD$1006:AT1006),$AD$1006:$AU$1006,0)))),"Fix")))</f>
        <v xml:space="preserve"> </v>
      </c>
      <c r="S18" s="4" t="str">
        <f ca="1">IF(OR(INDEX($X$2:$X$1001,MATCH(ROWS($W$2:W18),$W$2:$W$1001,0),1)&gt;=100000,INDEX($AD$1005:$AU$1005,1,MATCH(COLUMNS($AD$1006:AU1006),$AD$1006:$AU$1006,0))&gt;=100000), " ",IF(INDEX($AD$2:$AU$1001,MATCH(ROWS($W$2:W18),$W$2:$W$1001,0),MATCH(COLUMNS($AD$1006:AU1006),$AD$1006:$AU$1006,0)), HYPERLINK("#",""), HYPERLINK(CONCATENATE("#metadata!", ADDRESS(INDEX($Y$2:$Y$1001,MATCH(ROWS($W$2:W18),$W$2:$W$1001,0),0), INDEX($AD$1004:$AU$1004,1,MATCH(COLUMNS($AD$1006:AU1006),$AD$1006:$AU$1006,0)))),"Fix")))</f>
        <v xml:space="preserve"> </v>
      </c>
      <c r="W18">
        <v>17</v>
      </c>
      <c r="X18">
        <v>100018</v>
      </c>
      <c r="Y18">
        <v>18</v>
      </c>
      <c r="Z18" t="b">
        <f t="shared" si="0"/>
        <v>1</v>
      </c>
      <c r="AA18" t="b">
        <f>COUNTBLANK(metadata!B18:S18)=COLUMNS(metadata!B18:S18)</f>
        <v>1</v>
      </c>
      <c r="AB18" t="str">
        <v/>
      </c>
      <c r="AD18" t="b">
        <f ca="1">AND(IF(metadata!B18="",FALSE,TRUE),COUNTIF(metadata!B:B, metadata!B18) = 1,NOT(ISERROR(SUMPRODUCT(SEARCH(MID(metadata!B18,ROW(INDIRECT("1:"&amp;LEN(metadata!B18))), 1),"0123456789abcdefghijklmnopqrstuvwxyzABCDEFGHIJKLMNOPQRSTUVWXYZ.")))))</f>
        <v>0</v>
      </c>
      <c r="AE18" t="b">
        <f>OR(AND(IF(metadata!C18="",FALSE,TRUE),OR(EXACT(metadata!C18,"not applicable"),EXACT(metadata!C18,"missing: not collected"),EXACT(metadata!C18,"missing: not provided"),EXACT(metadata!C18,"missing: restricted access"))),AND(IF(metadata!C18="",FALSE,ISNUMBER(VALUE(metadata!C18))),metadata!C18&gt;0))</f>
        <v>0</v>
      </c>
      <c r="AF18" t="b">
        <f>AND(IF(metadata!D18="",FALSE,TRUE),EXACT(metadata!D18,"missing: not provided"))</f>
        <v>0</v>
      </c>
      <c r="AG18" t="b">
        <f>AND(IF(metadata!E18="",FALSE,TRUE),EXACT(metadata!E18,"Host-associated"))</f>
        <v>0</v>
      </c>
      <c r="AH18" t="b">
        <f>AND(IF(metadata!F18="",FALSE,TRUE),OR(EXACT(metadata!F18,"Animal"),EXACT(metadata!F18,"Fungus"),EXACT(metadata!F18,"Plant")))</f>
        <v>0</v>
      </c>
      <c r="AI18" t="b">
        <f>AND(IF(metadata!G18="",FALSE,TRUE),OR(EXACT(metadata!G18,"Plant secretion"),EXACT(metadata!G18,"Plant rhizosphere"),EXACT(metadata!G18,"Plant surface"),EXACT(metadata!G18,"Plant corpus"),EXACT(metadata!G18,"Fungus surface"),EXACT(metadata!G18,"Fungus corpus"),EXACT(metadata!G18,"Animal surface"),EXACT(metadata!G18,"Animal proximal gut"),EXACT(metadata!G18,"Animal corpus"),EXACT(metadata!G18,"Animal distal gut"),EXACT(metadata!G18,"Animal secretion")))</f>
        <v>0</v>
      </c>
      <c r="AJ18" t="b">
        <f>OR(AND(IF(metadata!H18="",FALSE,TRUE),OR(EXACT(metadata!H18,"missing: not collected"),EXACT(metadata!H18,"missing: not provided"),EXACT(metadata!H18,"missing: restricted access"))),AND(IF(metadata!H18="",FALSE,TRUE),OR(EXACT(metadata!H18,"organism-associated habitat"),EXACT(metadata!H18,"plant-associated habitat"),EXACT(metadata!H18,"animal-associated habitat"),EXACT(metadata!H18,"insecta-associated habitat"),EXACT(metadata!H18,"mammalia-associated habitat"),EXACT(metadata!H18,"human-associated habitat"),EXACT(metadata!H18,"livestock-associated habitat"))))</f>
        <v>0</v>
      </c>
      <c r="AK18" t="b">
        <f>AND(IF(metadata!I18="",FALSE,TRUE),EXACT(metadata!I18,"host-associated"))</f>
        <v>0</v>
      </c>
      <c r="AL18" t="b">
        <f>OR(AND(IF(metadata!J18="",FALSE,TRUE),OR(EXACT(metadata!J18,"not applicable"),EXACT(metadata!J18,"missing: not collected"),EXACT(metadata!J18,"missing: not provided"),EXACT(metadata!J18,"missing: restricted access"))),AND(IF(metadata!J18="",FALSE,ISNUMBER(VALUE(metadata!J18))),metadata!J18&gt;0))</f>
        <v>0</v>
      </c>
      <c r="AM18" t="b">
        <f>AND(IF(metadata!K18="",FALSE,TRUE),EXACT(metadata!K18,"missing: not provided"))</f>
        <v>0</v>
      </c>
      <c r="AN18" t="b">
        <f>IF(metadata!L18="",FALSE,TRUE)</f>
        <v>0</v>
      </c>
      <c r="AO18" t="b">
        <f>IF(metadata!M18="",FALSE,TRUE)</f>
        <v>0</v>
      </c>
      <c r="AP18" t="b">
        <f>OR(AND(IF(metadata!N18="",FALSE,TRUE),OR(EXACT(metadata!N18,"not applicable"),EXACT(metadata!N18,"missing: not collected"),EXACT(metadata!N18,"missing: not provided"))),AND(IF(metadata!N18="",FALSE,IF(ISERROR(INT(metadata!N18)),FALSE,INT(metadata!N18)=metadata!N18)),metadata!N18&gt;0))</f>
        <v>0</v>
      </c>
      <c r="AQ18" t="b">
        <f>AND(IF(metadata!O18="",FALSE,TRUE),EXACT(metadata!O18,"Not applicable"))</f>
        <v>0</v>
      </c>
      <c r="AR18" t="b">
        <f>OR(AND(IF(metadata!P18="",FALSE,TRUE),OR(EXACT(metadata!P18,"not applicable"),EXACT(metadata!P18,"missing: not collected"),EXACT(metadata!P18,"missing: not provided"),EXACT(metadata!P18,"missing: restricted access"))),IF(metadata!P18="",FALSE,IF(ISERROR(INT(metadata!P18)),FALSE,INT(metadata!P18)=metadata!P18)))</f>
        <v>0</v>
      </c>
      <c r="AS18" t="b">
        <f>AND(IF(metadata!Q18="",FALSE,TRUE),EXACT(metadata!Q18,"Not applicable"))</f>
        <v>0</v>
      </c>
      <c r="AT18" t="b">
        <f>OR(AND(IF(metadata!R18="",FALSE,TRUE),OR(EXACT(metadata!R18,"not applicable"),EXACT(metadata!R18,"missing: not collected"),EXACT(metadata!R18,"missing: not provided"),EXACT(metadata!R18,"missing: restricted access"))),AND(IF(metadata!R18="",FALSE,ISNUMBER(VALUE(metadata!R18))),metadata!R18&gt;0))</f>
        <v>0</v>
      </c>
      <c r="AU18" t="b">
        <f>AND(IF(metadata!S18="",FALSE,TRUE),EXACT(metadata!S18,"missing: not provided"))</f>
        <v>0</v>
      </c>
    </row>
    <row r="19" spans="1:47" x14ac:dyDescent="0.2">
      <c r="A19" s="5" t="str">
        <f ca="1">IF(B19=" "," ",HYPERLINK(CONCATENATE("#metadata!",ADDRESS(INDEX($Y$2:$Y$1001,MATCH(ROWS($W$2:W19),$W$2:$W$1001,0),0),1)),INDEX($AB$2:$AB$1001,MATCH(ROWS($W$2:W19),$W$2:$W$1001,0),0)))</f>
        <v xml:space="preserve"> </v>
      </c>
      <c r="B19" s="4" t="str">
        <f ca="1">IF(OR(INDEX($X$2:$X$1001,MATCH(ROWS($W$2:W19),$W$2:$W$1001,0),1)&gt;=100000,INDEX($AD$1005:$AU$1005,1,MATCH(COLUMNS($AD$1006:AD1006),$AD$1006:$AU$1006,0))&gt;=100000), " ",IF(INDEX($AD$2:$AU$1001,MATCH(ROWS($W$2:W19),$W$2:$W$1001,0),MATCH(COLUMNS($AD$1006:AD1006),$AD$1006:$AU$1006,0)), HYPERLINK("#",""), HYPERLINK(CONCATENATE("#metadata!", ADDRESS(INDEX($Y$2:$Y$1001,MATCH(ROWS($W$2:W19),$W$2:$W$1001,0),0), INDEX($AD$1004:$AU$1004,1,MATCH(COLUMNS($AD$1006:AD1006),$AD$1006:$AU$1006,0)))),"Fix")))</f>
        <v xml:space="preserve"> </v>
      </c>
      <c r="C19" s="4" t="str">
        <f ca="1">IF(OR(INDEX($X$2:$X$1001,MATCH(ROWS($W$2:W19),$W$2:$W$1001,0),1)&gt;=100000,INDEX($AD$1005:$AU$1005,1,MATCH(COLUMNS($AD$1006:AE1006),$AD$1006:$AU$1006,0))&gt;=100000), " ",IF(INDEX($AD$2:$AU$1001,MATCH(ROWS($W$2:W19),$W$2:$W$1001,0),MATCH(COLUMNS($AD$1006:AE1006),$AD$1006:$AU$1006,0)), HYPERLINK("#",""), HYPERLINK(CONCATENATE("#metadata!", ADDRESS(INDEX($Y$2:$Y$1001,MATCH(ROWS($W$2:W19),$W$2:$W$1001,0),0), INDEX($AD$1004:$AU$1004,1,MATCH(COLUMNS($AD$1006:AE1006),$AD$1006:$AU$1006,0)))),"Fix")))</f>
        <v xml:space="preserve"> </v>
      </c>
      <c r="D19" s="4" t="str">
        <f ca="1">IF(OR(INDEX($X$2:$X$1001,MATCH(ROWS($W$2:W19),$W$2:$W$1001,0),1)&gt;=100000,INDEX($AD$1005:$AU$1005,1,MATCH(COLUMNS($AD$1006:AF1006),$AD$1006:$AU$1006,0))&gt;=100000), " ",IF(INDEX($AD$2:$AU$1001,MATCH(ROWS($W$2:W19),$W$2:$W$1001,0),MATCH(COLUMNS($AD$1006:AF1006),$AD$1006:$AU$1006,0)), HYPERLINK("#",""), HYPERLINK(CONCATENATE("#metadata!", ADDRESS(INDEX($Y$2:$Y$1001,MATCH(ROWS($W$2:W19),$W$2:$W$1001,0),0), INDEX($AD$1004:$AU$1004,1,MATCH(COLUMNS($AD$1006:AF1006),$AD$1006:$AU$1006,0)))),"Fix")))</f>
        <v xml:space="preserve"> </v>
      </c>
      <c r="E19" s="4" t="str">
        <f ca="1">IF(OR(INDEX($X$2:$X$1001,MATCH(ROWS($W$2:W19),$W$2:$W$1001,0),1)&gt;=100000,INDEX($AD$1005:$AU$1005,1,MATCH(COLUMNS($AD$1006:AG1006),$AD$1006:$AU$1006,0))&gt;=100000), " ",IF(INDEX($AD$2:$AU$1001,MATCH(ROWS($W$2:W19),$W$2:$W$1001,0),MATCH(COLUMNS($AD$1006:AG1006),$AD$1006:$AU$1006,0)), HYPERLINK("#",""), HYPERLINK(CONCATENATE("#metadata!", ADDRESS(INDEX($Y$2:$Y$1001,MATCH(ROWS($W$2:W19),$W$2:$W$1001,0),0), INDEX($AD$1004:$AU$1004,1,MATCH(COLUMNS($AD$1006:AG1006),$AD$1006:$AU$1006,0)))),"Fix")))</f>
        <v xml:space="preserve"> </v>
      </c>
      <c r="F19" s="4" t="str">
        <f ca="1">IF(OR(INDEX($X$2:$X$1001,MATCH(ROWS($W$2:W19),$W$2:$W$1001,0),1)&gt;=100000,INDEX($AD$1005:$AU$1005,1,MATCH(COLUMNS($AD$1006:AH1006),$AD$1006:$AU$1006,0))&gt;=100000), " ",IF(INDEX($AD$2:$AU$1001,MATCH(ROWS($W$2:W19),$W$2:$W$1001,0),MATCH(COLUMNS($AD$1006:AH1006),$AD$1006:$AU$1006,0)), HYPERLINK("#",""), HYPERLINK(CONCATENATE("#metadata!", ADDRESS(INDEX($Y$2:$Y$1001,MATCH(ROWS($W$2:W19),$W$2:$W$1001,0),0), INDEX($AD$1004:$AU$1004,1,MATCH(COLUMNS($AD$1006:AH1006),$AD$1006:$AU$1006,0)))),"Fix")))</f>
        <v xml:space="preserve"> </v>
      </c>
      <c r="G19" s="4" t="str">
        <f ca="1">IF(OR(INDEX($X$2:$X$1001,MATCH(ROWS($W$2:W19),$W$2:$W$1001,0),1)&gt;=100000,INDEX($AD$1005:$AU$1005,1,MATCH(COLUMNS($AD$1006:AI1006),$AD$1006:$AU$1006,0))&gt;=100000), " ",IF(INDEX($AD$2:$AU$1001,MATCH(ROWS($W$2:W19),$W$2:$W$1001,0),MATCH(COLUMNS($AD$1006:AI1006),$AD$1006:$AU$1006,0)), HYPERLINK("#",""), HYPERLINK(CONCATENATE("#metadata!", ADDRESS(INDEX($Y$2:$Y$1001,MATCH(ROWS($W$2:W19),$W$2:$W$1001,0),0), INDEX($AD$1004:$AU$1004,1,MATCH(COLUMNS($AD$1006:AI1006),$AD$1006:$AU$1006,0)))),"Fix")))</f>
        <v xml:space="preserve"> </v>
      </c>
      <c r="H19" s="4" t="str">
        <f ca="1">IF(OR(INDEX($X$2:$X$1001,MATCH(ROWS($W$2:W19),$W$2:$W$1001,0),1)&gt;=100000,INDEX($AD$1005:$AU$1005,1,MATCH(COLUMNS($AD$1006:AJ1006),$AD$1006:$AU$1006,0))&gt;=100000), " ",IF(INDEX($AD$2:$AU$1001,MATCH(ROWS($W$2:W19),$W$2:$W$1001,0),MATCH(COLUMNS($AD$1006:AJ1006),$AD$1006:$AU$1006,0)), HYPERLINK("#",""), HYPERLINK(CONCATENATE("#metadata!", ADDRESS(INDEX($Y$2:$Y$1001,MATCH(ROWS($W$2:W19),$W$2:$W$1001,0),0), INDEX($AD$1004:$AU$1004,1,MATCH(COLUMNS($AD$1006:AJ1006),$AD$1006:$AU$1006,0)))),"Fix")))</f>
        <v xml:space="preserve"> </v>
      </c>
      <c r="I19" s="4" t="str">
        <f ca="1">IF(OR(INDEX($X$2:$X$1001,MATCH(ROWS($W$2:W19),$W$2:$W$1001,0),1)&gt;=100000,INDEX($AD$1005:$AU$1005,1,MATCH(COLUMNS($AD$1006:AK1006),$AD$1006:$AU$1006,0))&gt;=100000), " ",IF(INDEX($AD$2:$AU$1001,MATCH(ROWS($W$2:W19),$W$2:$W$1001,0),MATCH(COLUMNS($AD$1006:AK1006),$AD$1006:$AU$1006,0)), HYPERLINK("#",""), HYPERLINK(CONCATENATE("#metadata!", ADDRESS(INDEX($Y$2:$Y$1001,MATCH(ROWS($W$2:W19),$W$2:$W$1001,0),0), INDEX($AD$1004:$AU$1004,1,MATCH(COLUMNS($AD$1006:AK1006),$AD$1006:$AU$1006,0)))),"Fix")))</f>
        <v xml:space="preserve"> </v>
      </c>
      <c r="J19" s="4" t="str">
        <f ca="1">IF(OR(INDEX($X$2:$X$1001,MATCH(ROWS($W$2:W19),$W$2:$W$1001,0),1)&gt;=100000,INDEX($AD$1005:$AU$1005,1,MATCH(COLUMNS($AD$1006:AL1006),$AD$1006:$AU$1006,0))&gt;=100000), " ",IF(INDEX($AD$2:$AU$1001,MATCH(ROWS($W$2:W19),$W$2:$W$1001,0),MATCH(COLUMNS($AD$1006:AL1006),$AD$1006:$AU$1006,0)), HYPERLINK("#",""), HYPERLINK(CONCATENATE("#metadata!", ADDRESS(INDEX($Y$2:$Y$1001,MATCH(ROWS($W$2:W19),$W$2:$W$1001,0),0), INDEX($AD$1004:$AU$1004,1,MATCH(COLUMNS($AD$1006:AL1006),$AD$1006:$AU$1006,0)))),"Fix")))</f>
        <v xml:space="preserve"> </v>
      </c>
      <c r="K19" s="4" t="str">
        <f ca="1">IF(OR(INDEX($X$2:$X$1001,MATCH(ROWS($W$2:W19),$W$2:$W$1001,0),1)&gt;=100000,INDEX($AD$1005:$AU$1005,1,MATCH(COLUMNS($AD$1006:AM1006),$AD$1006:$AU$1006,0))&gt;=100000), " ",IF(INDEX($AD$2:$AU$1001,MATCH(ROWS($W$2:W19),$W$2:$W$1001,0),MATCH(COLUMNS($AD$1006:AM1006),$AD$1006:$AU$1006,0)), HYPERLINK("#",""), HYPERLINK(CONCATENATE("#metadata!", ADDRESS(INDEX($Y$2:$Y$1001,MATCH(ROWS($W$2:W19),$W$2:$W$1001,0),0), INDEX($AD$1004:$AU$1004,1,MATCH(COLUMNS($AD$1006:AM1006),$AD$1006:$AU$1006,0)))),"Fix")))</f>
        <v xml:space="preserve"> </v>
      </c>
      <c r="L19" s="4" t="str">
        <f ca="1">IF(OR(INDEX($X$2:$X$1001,MATCH(ROWS($W$2:W19),$W$2:$W$1001,0),1)&gt;=100000,INDEX($AD$1005:$AU$1005,1,MATCH(COLUMNS($AD$1006:AN1006),$AD$1006:$AU$1006,0))&gt;=100000), " ",IF(INDEX($AD$2:$AU$1001,MATCH(ROWS($W$2:W19),$W$2:$W$1001,0),MATCH(COLUMNS($AD$1006:AN1006),$AD$1006:$AU$1006,0)), HYPERLINK("#",""), HYPERLINK(CONCATENATE("#metadata!", ADDRESS(INDEX($Y$2:$Y$1001,MATCH(ROWS($W$2:W19),$W$2:$W$1001,0),0), INDEX($AD$1004:$AU$1004,1,MATCH(COLUMNS($AD$1006:AN1006),$AD$1006:$AU$1006,0)))),"Fix")))</f>
        <v xml:space="preserve"> </v>
      </c>
      <c r="M19" s="4" t="str">
        <f ca="1">IF(OR(INDEX($X$2:$X$1001,MATCH(ROWS($W$2:W19),$W$2:$W$1001,0),1)&gt;=100000,INDEX($AD$1005:$AU$1005,1,MATCH(COLUMNS($AD$1006:AO1006),$AD$1006:$AU$1006,0))&gt;=100000), " ",IF(INDEX($AD$2:$AU$1001,MATCH(ROWS($W$2:W19),$W$2:$W$1001,0),MATCH(COLUMNS($AD$1006:AO1006),$AD$1006:$AU$1006,0)), HYPERLINK("#",""), HYPERLINK(CONCATENATE("#metadata!", ADDRESS(INDEX($Y$2:$Y$1001,MATCH(ROWS($W$2:W19),$W$2:$W$1001,0),0), INDEX($AD$1004:$AU$1004,1,MATCH(COLUMNS($AD$1006:AO1006),$AD$1006:$AU$1006,0)))),"Fix")))</f>
        <v xml:space="preserve"> </v>
      </c>
      <c r="N19" s="4" t="str">
        <f ca="1">IF(OR(INDEX($X$2:$X$1001,MATCH(ROWS($W$2:W19),$W$2:$W$1001,0),1)&gt;=100000,INDEX($AD$1005:$AU$1005,1,MATCH(COLUMNS($AD$1006:AP1006),$AD$1006:$AU$1006,0))&gt;=100000), " ",IF(INDEX($AD$2:$AU$1001,MATCH(ROWS($W$2:W19),$W$2:$W$1001,0),MATCH(COLUMNS($AD$1006:AP1006),$AD$1006:$AU$1006,0)), HYPERLINK("#",""), HYPERLINK(CONCATENATE("#metadata!", ADDRESS(INDEX($Y$2:$Y$1001,MATCH(ROWS($W$2:W19),$W$2:$W$1001,0),0), INDEX($AD$1004:$AU$1004,1,MATCH(COLUMNS($AD$1006:AP1006),$AD$1006:$AU$1006,0)))),"Fix")))</f>
        <v xml:space="preserve"> </v>
      </c>
      <c r="O19" s="4" t="str">
        <f ca="1">IF(OR(INDEX($X$2:$X$1001,MATCH(ROWS($W$2:W19),$W$2:$W$1001,0),1)&gt;=100000,INDEX($AD$1005:$AU$1005,1,MATCH(COLUMNS($AD$1006:AQ1006),$AD$1006:$AU$1006,0))&gt;=100000), " ",IF(INDEX($AD$2:$AU$1001,MATCH(ROWS($W$2:W19),$W$2:$W$1001,0),MATCH(COLUMNS($AD$1006:AQ1006),$AD$1006:$AU$1006,0)), HYPERLINK("#",""), HYPERLINK(CONCATENATE("#metadata!", ADDRESS(INDEX($Y$2:$Y$1001,MATCH(ROWS($W$2:W19),$W$2:$W$1001,0),0), INDEX($AD$1004:$AU$1004,1,MATCH(COLUMNS($AD$1006:AQ1006),$AD$1006:$AU$1006,0)))),"Fix")))</f>
        <v xml:space="preserve"> </v>
      </c>
      <c r="P19" s="4" t="str">
        <f ca="1">IF(OR(INDEX($X$2:$X$1001,MATCH(ROWS($W$2:W19),$W$2:$W$1001,0),1)&gt;=100000,INDEX($AD$1005:$AU$1005,1,MATCH(COLUMNS($AD$1006:AR1006),$AD$1006:$AU$1006,0))&gt;=100000), " ",IF(INDEX($AD$2:$AU$1001,MATCH(ROWS($W$2:W19),$W$2:$W$1001,0),MATCH(COLUMNS($AD$1006:AR1006),$AD$1006:$AU$1006,0)), HYPERLINK("#",""), HYPERLINK(CONCATENATE("#metadata!", ADDRESS(INDEX($Y$2:$Y$1001,MATCH(ROWS($W$2:W19),$W$2:$W$1001,0),0), INDEX($AD$1004:$AU$1004,1,MATCH(COLUMNS($AD$1006:AR1006),$AD$1006:$AU$1006,0)))),"Fix")))</f>
        <v xml:space="preserve"> </v>
      </c>
      <c r="Q19" s="4" t="str">
        <f ca="1">IF(OR(INDEX($X$2:$X$1001,MATCH(ROWS($W$2:W19),$W$2:$W$1001,0),1)&gt;=100000,INDEX($AD$1005:$AU$1005,1,MATCH(COLUMNS($AD$1006:AS1006),$AD$1006:$AU$1006,0))&gt;=100000), " ",IF(INDEX($AD$2:$AU$1001,MATCH(ROWS($W$2:W19),$W$2:$W$1001,0),MATCH(COLUMNS($AD$1006:AS1006),$AD$1006:$AU$1006,0)), HYPERLINK("#",""), HYPERLINK(CONCATENATE("#metadata!", ADDRESS(INDEX($Y$2:$Y$1001,MATCH(ROWS($W$2:W19),$W$2:$W$1001,0),0), INDEX($AD$1004:$AU$1004,1,MATCH(COLUMNS($AD$1006:AS1006),$AD$1006:$AU$1006,0)))),"Fix")))</f>
        <v xml:space="preserve"> </v>
      </c>
      <c r="R19" s="4" t="str">
        <f ca="1">IF(OR(INDEX($X$2:$X$1001,MATCH(ROWS($W$2:W19),$W$2:$W$1001,0),1)&gt;=100000,INDEX($AD$1005:$AU$1005,1,MATCH(COLUMNS($AD$1006:AT1006),$AD$1006:$AU$1006,0))&gt;=100000), " ",IF(INDEX($AD$2:$AU$1001,MATCH(ROWS($W$2:W19),$W$2:$W$1001,0),MATCH(COLUMNS($AD$1006:AT1006),$AD$1006:$AU$1006,0)), HYPERLINK("#",""), HYPERLINK(CONCATENATE("#metadata!", ADDRESS(INDEX($Y$2:$Y$1001,MATCH(ROWS($W$2:W19),$W$2:$W$1001,0),0), INDEX($AD$1004:$AU$1004,1,MATCH(COLUMNS($AD$1006:AT1006),$AD$1006:$AU$1006,0)))),"Fix")))</f>
        <v xml:space="preserve"> </v>
      </c>
      <c r="S19" s="4" t="str">
        <f ca="1">IF(OR(INDEX($X$2:$X$1001,MATCH(ROWS($W$2:W19),$W$2:$W$1001,0),1)&gt;=100000,INDEX($AD$1005:$AU$1005,1,MATCH(COLUMNS($AD$1006:AU1006),$AD$1006:$AU$1006,0))&gt;=100000), " ",IF(INDEX($AD$2:$AU$1001,MATCH(ROWS($W$2:W19),$W$2:$W$1001,0),MATCH(COLUMNS($AD$1006:AU1006),$AD$1006:$AU$1006,0)), HYPERLINK("#",""), HYPERLINK(CONCATENATE("#metadata!", ADDRESS(INDEX($Y$2:$Y$1001,MATCH(ROWS($W$2:W19),$W$2:$W$1001,0),0), INDEX($AD$1004:$AU$1004,1,MATCH(COLUMNS($AD$1006:AU1006),$AD$1006:$AU$1006,0)))),"Fix")))</f>
        <v xml:space="preserve"> </v>
      </c>
      <c r="W19">
        <v>18</v>
      </c>
      <c r="X19">
        <v>100019</v>
      </c>
      <c r="Y19">
        <v>19</v>
      </c>
      <c r="Z19" t="b">
        <f t="shared" si="0"/>
        <v>1</v>
      </c>
      <c r="AA19" t="b">
        <f>COUNTBLANK(metadata!B19:S19)=COLUMNS(metadata!B19:S19)</f>
        <v>1</v>
      </c>
      <c r="AB19" t="str">
        <v/>
      </c>
      <c r="AD19" t="b">
        <f ca="1">AND(IF(metadata!B19="",FALSE,TRUE),COUNTIF(metadata!B:B, metadata!B19) = 1,NOT(ISERROR(SUMPRODUCT(SEARCH(MID(metadata!B19,ROW(INDIRECT("1:"&amp;LEN(metadata!B19))), 1),"0123456789abcdefghijklmnopqrstuvwxyzABCDEFGHIJKLMNOPQRSTUVWXYZ.")))))</f>
        <v>0</v>
      </c>
      <c r="AE19" t="b">
        <f>OR(AND(IF(metadata!C19="",FALSE,TRUE),OR(EXACT(metadata!C19,"not applicable"),EXACT(metadata!C19,"missing: not collected"),EXACT(metadata!C19,"missing: not provided"),EXACT(metadata!C19,"missing: restricted access"))),AND(IF(metadata!C19="",FALSE,ISNUMBER(VALUE(metadata!C19))),metadata!C19&gt;0))</f>
        <v>0</v>
      </c>
      <c r="AF19" t="b">
        <f>AND(IF(metadata!D19="",FALSE,TRUE),EXACT(metadata!D19,"missing: not provided"))</f>
        <v>0</v>
      </c>
      <c r="AG19" t="b">
        <f>AND(IF(metadata!E19="",FALSE,TRUE),EXACT(metadata!E19,"Host-associated"))</f>
        <v>0</v>
      </c>
      <c r="AH19" t="b">
        <f>AND(IF(metadata!F19="",FALSE,TRUE),OR(EXACT(metadata!F19,"Animal"),EXACT(metadata!F19,"Fungus"),EXACT(metadata!F19,"Plant")))</f>
        <v>0</v>
      </c>
      <c r="AI19" t="b">
        <f>AND(IF(metadata!G19="",FALSE,TRUE),OR(EXACT(metadata!G19,"Plant secretion"),EXACT(metadata!G19,"Plant rhizosphere"),EXACT(metadata!G19,"Plant surface"),EXACT(metadata!G19,"Plant corpus"),EXACT(metadata!G19,"Fungus surface"),EXACT(metadata!G19,"Fungus corpus"),EXACT(metadata!G19,"Animal surface"),EXACT(metadata!G19,"Animal proximal gut"),EXACT(metadata!G19,"Animal corpus"),EXACT(metadata!G19,"Animal distal gut"),EXACT(metadata!G19,"Animal secretion")))</f>
        <v>0</v>
      </c>
      <c r="AJ19" t="b">
        <f>OR(AND(IF(metadata!H19="",FALSE,TRUE),OR(EXACT(metadata!H19,"missing: not collected"),EXACT(metadata!H19,"missing: not provided"),EXACT(metadata!H19,"missing: restricted access"))),AND(IF(metadata!H19="",FALSE,TRUE),OR(EXACT(metadata!H19,"organism-associated habitat"),EXACT(metadata!H19,"plant-associated habitat"),EXACT(metadata!H19,"animal-associated habitat"),EXACT(metadata!H19,"insecta-associated habitat"),EXACT(metadata!H19,"mammalia-associated habitat"),EXACT(metadata!H19,"human-associated habitat"),EXACT(metadata!H19,"livestock-associated habitat"))))</f>
        <v>0</v>
      </c>
      <c r="AK19" t="b">
        <f>AND(IF(metadata!I19="",FALSE,TRUE),EXACT(metadata!I19,"host-associated"))</f>
        <v>0</v>
      </c>
      <c r="AL19" t="b">
        <f>OR(AND(IF(metadata!J19="",FALSE,TRUE),OR(EXACT(metadata!J19,"not applicable"),EXACT(metadata!J19,"missing: not collected"),EXACT(metadata!J19,"missing: not provided"),EXACT(metadata!J19,"missing: restricted access"))),AND(IF(metadata!J19="",FALSE,ISNUMBER(VALUE(metadata!J19))),metadata!J19&gt;0))</f>
        <v>0</v>
      </c>
      <c r="AM19" t="b">
        <f>AND(IF(metadata!K19="",FALSE,TRUE),EXACT(metadata!K19,"missing: not provided"))</f>
        <v>0</v>
      </c>
      <c r="AN19" t="b">
        <f>IF(metadata!L19="",FALSE,TRUE)</f>
        <v>0</v>
      </c>
      <c r="AO19" t="b">
        <f>IF(metadata!M19="",FALSE,TRUE)</f>
        <v>0</v>
      </c>
      <c r="AP19" t="b">
        <f>OR(AND(IF(metadata!N19="",FALSE,TRUE),OR(EXACT(metadata!N19,"not applicable"),EXACT(metadata!N19,"missing: not collected"),EXACT(metadata!N19,"missing: not provided"))),AND(IF(metadata!N19="",FALSE,IF(ISERROR(INT(metadata!N19)),FALSE,INT(metadata!N19)=metadata!N19)),metadata!N19&gt;0))</f>
        <v>0</v>
      </c>
      <c r="AQ19" t="b">
        <f>AND(IF(metadata!O19="",FALSE,TRUE),EXACT(metadata!O19,"Not applicable"))</f>
        <v>0</v>
      </c>
      <c r="AR19" t="b">
        <f>OR(AND(IF(metadata!P19="",FALSE,TRUE),OR(EXACT(metadata!P19,"not applicable"),EXACT(metadata!P19,"missing: not collected"),EXACT(metadata!P19,"missing: not provided"),EXACT(metadata!P19,"missing: restricted access"))),IF(metadata!P19="",FALSE,IF(ISERROR(INT(metadata!P19)),FALSE,INT(metadata!P19)=metadata!P19)))</f>
        <v>0</v>
      </c>
      <c r="AS19" t="b">
        <f>AND(IF(metadata!Q19="",FALSE,TRUE),EXACT(metadata!Q19,"Not applicable"))</f>
        <v>0</v>
      </c>
      <c r="AT19" t="b">
        <f>OR(AND(IF(metadata!R19="",FALSE,TRUE),OR(EXACT(metadata!R19,"not applicable"),EXACT(metadata!R19,"missing: not collected"),EXACT(metadata!R19,"missing: not provided"),EXACT(metadata!R19,"missing: restricted access"))),AND(IF(metadata!R19="",FALSE,ISNUMBER(VALUE(metadata!R19))),metadata!R19&gt;0))</f>
        <v>0</v>
      </c>
      <c r="AU19" t="b">
        <f>AND(IF(metadata!S19="",FALSE,TRUE),EXACT(metadata!S19,"missing: not provided"))</f>
        <v>0</v>
      </c>
    </row>
    <row r="20" spans="1:47" x14ac:dyDescent="0.2">
      <c r="A20" s="5" t="str">
        <f ca="1">IF(B20=" "," ",HYPERLINK(CONCATENATE("#metadata!",ADDRESS(INDEX($Y$2:$Y$1001,MATCH(ROWS($W$2:W20),$W$2:$W$1001,0),0),1)),INDEX($AB$2:$AB$1001,MATCH(ROWS($W$2:W20),$W$2:$W$1001,0),0)))</f>
        <v xml:space="preserve"> </v>
      </c>
      <c r="B20" s="4" t="str">
        <f ca="1">IF(OR(INDEX($X$2:$X$1001,MATCH(ROWS($W$2:W20),$W$2:$W$1001,0),1)&gt;=100000,INDEX($AD$1005:$AU$1005,1,MATCH(COLUMNS($AD$1006:AD1006),$AD$1006:$AU$1006,0))&gt;=100000), " ",IF(INDEX($AD$2:$AU$1001,MATCH(ROWS($W$2:W20),$W$2:$W$1001,0),MATCH(COLUMNS($AD$1006:AD1006),$AD$1006:$AU$1006,0)), HYPERLINK("#",""), HYPERLINK(CONCATENATE("#metadata!", ADDRESS(INDEX($Y$2:$Y$1001,MATCH(ROWS($W$2:W20),$W$2:$W$1001,0),0), INDEX($AD$1004:$AU$1004,1,MATCH(COLUMNS($AD$1006:AD1006),$AD$1006:$AU$1006,0)))),"Fix")))</f>
        <v xml:space="preserve"> </v>
      </c>
      <c r="C20" s="4" t="str">
        <f ca="1">IF(OR(INDEX($X$2:$X$1001,MATCH(ROWS($W$2:W20),$W$2:$W$1001,0),1)&gt;=100000,INDEX($AD$1005:$AU$1005,1,MATCH(COLUMNS($AD$1006:AE1006),$AD$1006:$AU$1006,0))&gt;=100000), " ",IF(INDEX($AD$2:$AU$1001,MATCH(ROWS($W$2:W20),$W$2:$W$1001,0),MATCH(COLUMNS($AD$1006:AE1006),$AD$1006:$AU$1006,0)), HYPERLINK("#",""), HYPERLINK(CONCATENATE("#metadata!", ADDRESS(INDEX($Y$2:$Y$1001,MATCH(ROWS($W$2:W20),$W$2:$W$1001,0),0), INDEX($AD$1004:$AU$1004,1,MATCH(COLUMNS($AD$1006:AE1006),$AD$1006:$AU$1006,0)))),"Fix")))</f>
        <v xml:space="preserve"> </v>
      </c>
      <c r="D20" s="4" t="str">
        <f ca="1">IF(OR(INDEX($X$2:$X$1001,MATCH(ROWS($W$2:W20),$W$2:$W$1001,0),1)&gt;=100000,INDEX($AD$1005:$AU$1005,1,MATCH(COLUMNS($AD$1006:AF1006),$AD$1006:$AU$1006,0))&gt;=100000), " ",IF(INDEX($AD$2:$AU$1001,MATCH(ROWS($W$2:W20),$W$2:$W$1001,0),MATCH(COLUMNS($AD$1006:AF1006),$AD$1006:$AU$1006,0)), HYPERLINK("#",""), HYPERLINK(CONCATENATE("#metadata!", ADDRESS(INDEX($Y$2:$Y$1001,MATCH(ROWS($W$2:W20),$W$2:$W$1001,0),0), INDEX($AD$1004:$AU$1004,1,MATCH(COLUMNS($AD$1006:AF1006),$AD$1006:$AU$1006,0)))),"Fix")))</f>
        <v xml:space="preserve"> </v>
      </c>
      <c r="E20" s="4" t="str">
        <f ca="1">IF(OR(INDEX($X$2:$X$1001,MATCH(ROWS($W$2:W20),$W$2:$W$1001,0),1)&gt;=100000,INDEX($AD$1005:$AU$1005,1,MATCH(COLUMNS($AD$1006:AG1006),$AD$1006:$AU$1006,0))&gt;=100000), " ",IF(INDEX($AD$2:$AU$1001,MATCH(ROWS($W$2:W20),$W$2:$W$1001,0),MATCH(COLUMNS($AD$1006:AG1006),$AD$1006:$AU$1006,0)), HYPERLINK("#",""), HYPERLINK(CONCATENATE("#metadata!", ADDRESS(INDEX($Y$2:$Y$1001,MATCH(ROWS($W$2:W20),$W$2:$W$1001,0),0), INDEX($AD$1004:$AU$1004,1,MATCH(COLUMNS($AD$1006:AG1006),$AD$1006:$AU$1006,0)))),"Fix")))</f>
        <v xml:space="preserve"> </v>
      </c>
      <c r="F20" s="4" t="str">
        <f ca="1">IF(OR(INDEX($X$2:$X$1001,MATCH(ROWS($W$2:W20),$W$2:$W$1001,0),1)&gt;=100000,INDEX($AD$1005:$AU$1005,1,MATCH(COLUMNS($AD$1006:AH1006),$AD$1006:$AU$1006,0))&gt;=100000), " ",IF(INDEX($AD$2:$AU$1001,MATCH(ROWS($W$2:W20),$W$2:$W$1001,0),MATCH(COLUMNS($AD$1006:AH1006),$AD$1006:$AU$1006,0)), HYPERLINK("#",""), HYPERLINK(CONCATENATE("#metadata!", ADDRESS(INDEX($Y$2:$Y$1001,MATCH(ROWS($W$2:W20),$W$2:$W$1001,0),0), INDEX($AD$1004:$AU$1004,1,MATCH(COLUMNS($AD$1006:AH1006),$AD$1006:$AU$1006,0)))),"Fix")))</f>
        <v xml:space="preserve"> </v>
      </c>
      <c r="G20" s="4" t="str">
        <f ca="1">IF(OR(INDEX($X$2:$X$1001,MATCH(ROWS($W$2:W20),$W$2:$W$1001,0),1)&gt;=100000,INDEX($AD$1005:$AU$1005,1,MATCH(COLUMNS($AD$1006:AI1006),$AD$1006:$AU$1006,0))&gt;=100000), " ",IF(INDEX($AD$2:$AU$1001,MATCH(ROWS($W$2:W20),$W$2:$W$1001,0),MATCH(COLUMNS($AD$1006:AI1006),$AD$1006:$AU$1006,0)), HYPERLINK("#",""), HYPERLINK(CONCATENATE("#metadata!", ADDRESS(INDEX($Y$2:$Y$1001,MATCH(ROWS($W$2:W20),$W$2:$W$1001,0),0), INDEX($AD$1004:$AU$1004,1,MATCH(COLUMNS($AD$1006:AI1006),$AD$1006:$AU$1006,0)))),"Fix")))</f>
        <v xml:space="preserve"> </v>
      </c>
      <c r="H20" s="4" t="str">
        <f ca="1">IF(OR(INDEX($X$2:$X$1001,MATCH(ROWS($W$2:W20),$W$2:$W$1001,0),1)&gt;=100000,INDEX($AD$1005:$AU$1005,1,MATCH(COLUMNS($AD$1006:AJ1006),$AD$1006:$AU$1006,0))&gt;=100000), " ",IF(INDEX($AD$2:$AU$1001,MATCH(ROWS($W$2:W20),$W$2:$W$1001,0),MATCH(COLUMNS($AD$1006:AJ1006),$AD$1006:$AU$1006,0)), HYPERLINK("#",""), HYPERLINK(CONCATENATE("#metadata!", ADDRESS(INDEX($Y$2:$Y$1001,MATCH(ROWS($W$2:W20),$W$2:$W$1001,0),0), INDEX($AD$1004:$AU$1004,1,MATCH(COLUMNS($AD$1006:AJ1006),$AD$1006:$AU$1006,0)))),"Fix")))</f>
        <v xml:space="preserve"> </v>
      </c>
      <c r="I20" s="4" t="str">
        <f ca="1">IF(OR(INDEX($X$2:$X$1001,MATCH(ROWS($W$2:W20),$W$2:$W$1001,0),1)&gt;=100000,INDEX($AD$1005:$AU$1005,1,MATCH(COLUMNS($AD$1006:AK1006),$AD$1006:$AU$1006,0))&gt;=100000), " ",IF(INDEX($AD$2:$AU$1001,MATCH(ROWS($W$2:W20),$W$2:$W$1001,0),MATCH(COLUMNS($AD$1006:AK1006),$AD$1006:$AU$1006,0)), HYPERLINK("#",""), HYPERLINK(CONCATENATE("#metadata!", ADDRESS(INDEX($Y$2:$Y$1001,MATCH(ROWS($W$2:W20),$W$2:$W$1001,0),0), INDEX($AD$1004:$AU$1004,1,MATCH(COLUMNS($AD$1006:AK1006),$AD$1006:$AU$1006,0)))),"Fix")))</f>
        <v xml:space="preserve"> </v>
      </c>
      <c r="J20" s="4" t="str">
        <f ca="1">IF(OR(INDEX($X$2:$X$1001,MATCH(ROWS($W$2:W20),$W$2:$W$1001,0),1)&gt;=100000,INDEX($AD$1005:$AU$1005,1,MATCH(COLUMNS($AD$1006:AL1006),$AD$1006:$AU$1006,0))&gt;=100000), " ",IF(INDEX($AD$2:$AU$1001,MATCH(ROWS($W$2:W20),$W$2:$W$1001,0),MATCH(COLUMNS($AD$1006:AL1006),$AD$1006:$AU$1006,0)), HYPERLINK("#",""), HYPERLINK(CONCATENATE("#metadata!", ADDRESS(INDEX($Y$2:$Y$1001,MATCH(ROWS($W$2:W20),$W$2:$W$1001,0),0), INDEX($AD$1004:$AU$1004,1,MATCH(COLUMNS($AD$1006:AL1006),$AD$1006:$AU$1006,0)))),"Fix")))</f>
        <v xml:space="preserve"> </v>
      </c>
      <c r="K20" s="4" t="str">
        <f ca="1">IF(OR(INDEX($X$2:$X$1001,MATCH(ROWS($W$2:W20),$W$2:$W$1001,0),1)&gt;=100000,INDEX($AD$1005:$AU$1005,1,MATCH(COLUMNS($AD$1006:AM1006),$AD$1006:$AU$1006,0))&gt;=100000), " ",IF(INDEX($AD$2:$AU$1001,MATCH(ROWS($W$2:W20),$W$2:$W$1001,0),MATCH(COLUMNS($AD$1006:AM1006),$AD$1006:$AU$1006,0)), HYPERLINK("#",""), HYPERLINK(CONCATENATE("#metadata!", ADDRESS(INDEX($Y$2:$Y$1001,MATCH(ROWS($W$2:W20),$W$2:$W$1001,0),0), INDEX($AD$1004:$AU$1004,1,MATCH(COLUMNS($AD$1006:AM1006),$AD$1006:$AU$1006,0)))),"Fix")))</f>
        <v xml:space="preserve"> </v>
      </c>
      <c r="L20" s="4" t="str">
        <f ca="1">IF(OR(INDEX($X$2:$X$1001,MATCH(ROWS($W$2:W20),$W$2:$W$1001,0),1)&gt;=100000,INDEX($AD$1005:$AU$1005,1,MATCH(COLUMNS($AD$1006:AN1006),$AD$1006:$AU$1006,0))&gt;=100000), " ",IF(INDEX($AD$2:$AU$1001,MATCH(ROWS($W$2:W20),$W$2:$W$1001,0),MATCH(COLUMNS($AD$1006:AN1006),$AD$1006:$AU$1006,0)), HYPERLINK("#",""), HYPERLINK(CONCATENATE("#metadata!", ADDRESS(INDEX($Y$2:$Y$1001,MATCH(ROWS($W$2:W20),$W$2:$W$1001,0),0), INDEX($AD$1004:$AU$1004,1,MATCH(COLUMNS($AD$1006:AN1006),$AD$1006:$AU$1006,0)))),"Fix")))</f>
        <v xml:space="preserve"> </v>
      </c>
      <c r="M20" s="4" t="str">
        <f ca="1">IF(OR(INDEX($X$2:$X$1001,MATCH(ROWS($W$2:W20),$W$2:$W$1001,0),1)&gt;=100000,INDEX($AD$1005:$AU$1005,1,MATCH(COLUMNS($AD$1006:AO1006),$AD$1006:$AU$1006,0))&gt;=100000), " ",IF(INDEX($AD$2:$AU$1001,MATCH(ROWS($W$2:W20),$W$2:$W$1001,0),MATCH(COLUMNS($AD$1006:AO1006),$AD$1006:$AU$1006,0)), HYPERLINK("#",""), HYPERLINK(CONCATENATE("#metadata!", ADDRESS(INDEX($Y$2:$Y$1001,MATCH(ROWS($W$2:W20),$W$2:$W$1001,0),0), INDEX($AD$1004:$AU$1004,1,MATCH(COLUMNS($AD$1006:AO1006),$AD$1006:$AU$1006,0)))),"Fix")))</f>
        <v xml:space="preserve"> </v>
      </c>
      <c r="N20" s="4" t="str">
        <f ca="1">IF(OR(INDEX($X$2:$X$1001,MATCH(ROWS($W$2:W20),$W$2:$W$1001,0),1)&gt;=100000,INDEX($AD$1005:$AU$1005,1,MATCH(COLUMNS($AD$1006:AP1006),$AD$1006:$AU$1006,0))&gt;=100000), " ",IF(INDEX($AD$2:$AU$1001,MATCH(ROWS($W$2:W20),$W$2:$W$1001,0),MATCH(COLUMNS($AD$1006:AP1006),$AD$1006:$AU$1006,0)), HYPERLINK("#",""), HYPERLINK(CONCATENATE("#metadata!", ADDRESS(INDEX($Y$2:$Y$1001,MATCH(ROWS($W$2:W20),$W$2:$W$1001,0),0), INDEX($AD$1004:$AU$1004,1,MATCH(COLUMNS($AD$1006:AP1006),$AD$1006:$AU$1006,0)))),"Fix")))</f>
        <v xml:space="preserve"> </v>
      </c>
      <c r="O20" s="4" t="str">
        <f ca="1">IF(OR(INDEX($X$2:$X$1001,MATCH(ROWS($W$2:W20),$W$2:$W$1001,0),1)&gt;=100000,INDEX($AD$1005:$AU$1005,1,MATCH(COLUMNS($AD$1006:AQ1006),$AD$1006:$AU$1006,0))&gt;=100000), " ",IF(INDEX($AD$2:$AU$1001,MATCH(ROWS($W$2:W20),$W$2:$W$1001,0),MATCH(COLUMNS($AD$1006:AQ1006),$AD$1006:$AU$1006,0)), HYPERLINK("#",""), HYPERLINK(CONCATENATE("#metadata!", ADDRESS(INDEX($Y$2:$Y$1001,MATCH(ROWS($W$2:W20),$W$2:$W$1001,0),0), INDEX($AD$1004:$AU$1004,1,MATCH(COLUMNS($AD$1006:AQ1006),$AD$1006:$AU$1006,0)))),"Fix")))</f>
        <v xml:space="preserve"> </v>
      </c>
      <c r="P20" s="4" t="str">
        <f ca="1">IF(OR(INDEX($X$2:$X$1001,MATCH(ROWS($W$2:W20),$W$2:$W$1001,0),1)&gt;=100000,INDEX($AD$1005:$AU$1005,1,MATCH(COLUMNS($AD$1006:AR1006),$AD$1006:$AU$1006,0))&gt;=100000), " ",IF(INDEX($AD$2:$AU$1001,MATCH(ROWS($W$2:W20),$W$2:$W$1001,0),MATCH(COLUMNS($AD$1006:AR1006),$AD$1006:$AU$1006,0)), HYPERLINK("#",""), HYPERLINK(CONCATENATE("#metadata!", ADDRESS(INDEX($Y$2:$Y$1001,MATCH(ROWS($W$2:W20),$W$2:$W$1001,0),0), INDEX($AD$1004:$AU$1004,1,MATCH(COLUMNS($AD$1006:AR1006),$AD$1006:$AU$1006,0)))),"Fix")))</f>
        <v xml:space="preserve"> </v>
      </c>
      <c r="Q20" s="4" t="str">
        <f ca="1">IF(OR(INDEX($X$2:$X$1001,MATCH(ROWS($W$2:W20),$W$2:$W$1001,0),1)&gt;=100000,INDEX($AD$1005:$AU$1005,1,MATCH(COLUMNS($AD$1006:AS1006),$AD$1006:$AU$1006,0))&gt;=100000), " ",IF(INDEX($AD$2:$AU$1001,MATCH(ROWS($W$2:W20),$W$2:$W$1001,0),MATCH(COLUMNS($AD$1006:AS1006),$AD$1006:$AU$1006,0)), HYPERLINK("#",""), HYPERLINK(CONCATENATE("#metadata!", ADDRESS(INDEX($Y$2:$Y$1001,MATCH(ROWS($W$2:W20),$W$2:$W$1001,0),0), INDEX($AD$1004:$AU$1004,1,MATCH(COLUMNS($AD$1006:AS1006),$AD$1006:$AU$1006,0)))),"Fix")))</f>
        <v xml:space="preserve"> </v>
      </c>
      <c r="R20" s="4" t="str">
        <f ca="1">IF(OR(INDEX($X$2:$X$1001,MATCH(ROWS($W$2:W20),$W$2:$W$1001,0),1)&gt;=100000,INDEX($AD$1005:$AU$1005,1,MATCH(COLUMNS($AD$1006:AT1006),$AD$1006:$AU$1006,0))&gt;=100000), " ",IF(INDEX($AD$2:$AU$1001,MATCH(ROWS($W$2:W20),$W$2:$W$1001,0),MATCH(COLUMNS($AD$1006:AT1006),$AD$1006:$AU$1006,0)), HYPERLINK("#",""), HYPERLINK(CONCATENATE("#metadata!", ADDRESS(INDEX($Y$2:$Y$1001,MATCH(ROWS($W$2:W20),$W$2:$W$1001,0),0), INDEX($AD$1004:$AU$1004,1,MATCH(COLUMNS($AD$1006:AT1006),$AD$1006:$AU$1006,0)))),"Fix")))</f>
        <v xml:space="preserve"> </v>
      </c>
      <c r="S20" s="4" t="str">
        <f ca="1">IF(OR(INDEX($X$2:$X$1001,MATCH(ROWS($W$2:W20),$W$2:$W$1001,0),1)&gt;=100000,INDEX($AD$1005:$AU$1005,1,MATCH(COLUMNS($AD$1006:AU1006),$AD$1006:$AU$1006,0))&gt;=100000), " ",IF(INDEX($AD$2:$AU$1001,MATCH(ROWS($W$2:W20),$W$2:$W$1001,0),MATCH(COLUMNS($AD$1006:AU1006),$AD$1006:$AU$1006,0)), HYPERLINK("#",""), HYPERLINK(CONCATENATE("#metadata!", ADDRESS(INDEX($Y$2:$Y$1001,MATCH(ROWS($W$2:W20),$W$2:$W$1001,0),0), INDEX($AD$1004:$AU$1004,1,MATCH(COLUMNS($AD$1006:AU1006),$AD$1006:$AU$1006,0)))),"Fix")))</f>
        <v xml:space="preserve"> </v>
      </c>
      <c r="W20">
        <v>19</v>
      </c>
      <c r="X20">
        <v>100020</v>
      </c>
      <c r="Y20">
        <v>20</v>
      </c>
      <c r="Z20" t="b">
        <f t="shared" si="0"/>
        <v>1</v>
      </c>
      <c r="AA20" t="b">
        <f>COUNTBLANK(metadata!B20:S20)=COLUMNS(metadata!B20:S20)</f>
        <v>1</v>
      </c>
      <c r="AB20" t="str">
        <v/>
      </c>
      <c r="AD20" t="b">
        <f ca="1">AND(IF(metadata!B20="",FALSE,TRUE),COUNTIF(metadata!B:B, metadata!B20) = 1,NOT(ISERROR(SUMPRODUCT(SEARCH(MID(metadata!B20,ROW(INDIRECT("1:"&amp;LEN(metadata!B20))), 1),"0123456789abcdefghijklmnopqrstuvwxyzABCDEFGHIJKLMNOPQRSTUVWXYZ.")))))</f>
        <v>0</v>
      </c>
      <c r="AE20" t="b">
        <f>OR(AND(IF(metadata!C20="",FALSE,TRUE),OR(EXACT(metadata!C20,"not applicable"),EXACT(metadata!C20,"missing: not collected"),EXACT(metadata!C20,"missing: not provided"),EXACT(metadata!C20,"missing: restricted access"))),AND(IF(metadata!C20="",FALSE,ISNUMBER(VALUE(metadata!C20))),metadata!C20&gt;0))</f>
        <v>0</v>
      </c>
      <c r="AF20" t="b">
        <f>AND(IF(metadata!D20="",FALSE,TRUE),EXACT(metadata!D20,"missing: not provided"))</f>
        <v>0</v>
      </c>
      <c r="AG20" t="b">
        <f>AND(IF(metadata!E20="",FALSE,TRUE),EXACT(metadata!E20,"Host-associated"))</f>
        <v>0</v>
      </c>
      <c r="AH20" t="b">
        <f>AND(IF(metadata!F20="",FALSE,TRUE),OR(EXACT(metadata!F20,"Animal"),EXACT(metadata!F20,"Fungus"),EXACT(metadata!F20,"Plant")))</f>
        <v>0</v>
      </c>
      <c r="AI20" t="b">
        <f>AND(IF(metadata!G20="",FALSE,TRUE),OR(EXACT(metadata!G20,"Plant secretion"),EXACT(metadata!G20,"Plant rhizosphere"),EXACT(metadata!G20,"Plant surface"),EXACT(metadata!G20,"Plant corpus"),EXACT(metadata!G20,"Fungus surface"),EXACT(metadata!G20,"Fungus corpus"),EXACT(metadata!G20,"Animal surface"),EXACT(metadata!G20,"Animal proximal gut"),EXACT(metadata!G20,"Animal corpus"),EXACT(metadata!G20,"Animal distal gut"),EXACT(metadata!G20,"Animal secretion")))</f>
        <v>0</v>
      </c>
      <c r="AJ20" t="b">
        <f>OR(AND(IF(metadata!H20="",FALSE,TRUE),OR(EXACT(metadata!H20,"missing: not collected"),EXACT(metadata!H20,"missing: not provided"),EXACT(metadata!H20,"missing: restricted access"))),AND(IF(metadata!H20="",FALSE,TRUE),OR(EXACT(metadata!H20,"organism-associated habitat"),EXACT(metadata!H20,"plant-associated habitat"),EXACT(metadata!H20,"animal-associated habitat"),EXACT(metadata!H20,"insecta-associated habitat"),EXACT(metadata!H20,"mammalia-associated habitat"),EXACT(metadata!H20,"human-associated habitat"),EXACT(metadata!H20,"livestock-associated habitat"))))</f>
        <v>0</v>
      </c>
      <c r="AK20" t="b">
        <f>AND(IF(metadata!I20="",FALSE,TRUE),EXACT(metadata!I20,"host-associated"))</f>
        <v>0</v>
      </c>
      <c r="AL20" t="b">
        <f>OR(AND(IF(metadata!J20="",FALSE,TRUE),OR(EXACT(metadata!J20,"not applicable"),EXACT(metadata!J20,"missing: not collected"),EXACT(metadata!J20,"missing: not provided"),EXACT(metadata!J20,"missing: restricted access"))),AND(IF(metadata!J20="",FALSE,ISNUMBER(VALUE(metadata!J20))),metadata!J20&gt;0))</f>
        <v>0</v>
      </c>
      <c r="AM20" t="b">
        <f>AND(IF(metadata!K20="",FALSE,TRUE),EXACT(metadata!K20,"missing: not provided"))</f>
        <v>0</v>
      </c>
      <c r="AN20" t="b">
        <f>IF(metadata!L20="",FALSE,TRUE)</f>
        <v>0</v>
      </c>
      <c r="AO20" t="b">
        <f>IF(metadata!M20="",FALSE,TRUE)</f>
        <v>0</v>
      </c>
      <c r="AP20" t="b">
        <f>OR(AND(IF(metadata!N20="",FALSE,TRUE),OR(EXACT(metadata!N20,"not applicable"),EXACT(metadata!N20,"missing: not collected"),EXACT(metadata!N20,"missing: not provided"))),AND(IF(metadata!N20="",FALSE,IF(ISERROR(INT(metadata!N20)),FALSE,INT(metadata!N20)=metadata!N20)),metadata!N20&gt;0))</f>
        <v>0</v>
      </c>
      <c r="AQ20" t="b">
        <f>AND(IF(metadata!O20="",FALSE,TRUE),EXACT(metadata!O20,"Not applicable"))</f>
        <v>0</v>
      </c>
      <c r="AR20" t="b">
        <f>OR(AND(IF(metadata!P20="",FALSE,TRUE),OR(EXACT(metadata!P20,"not applicable"),EXACT(metadata!P20,"missing: not collected"),EXACT(metadata!P20,"missing: not provided"),EXACT(metadata!P20,"missing: restricted access"))),IF(metadata!P20="",FALSE,IF(ISERROR(INT(metadata!P20)),FALSE,INT(metadata!P20)=metadata!P20)))</f>
        <v>0</v>
      </c>
      <c r="AS20" t="b">
        <f>AND(IF(metadata!Q20="",FALSE,TRUE),EXACT(metadata!Q20,"Not applicable"))</f>
        <v>0</v>
      </c>
      <c r="AT20" t="b">
        <f>OR(AND(IF(metadata!R20="",FALSE,TRUE),OR(EXACT(metadata!R20,"not applicable"),EXACT(metadata!R20,"missing: not collected"),EXACT(metadata!R20,"missing: not provided"),EXACT(metadata!R20,"missing: restricted access"))),AND(IF(metadata!R20="",FALSE,ISNUMBER(VALUE(metadata!R20))),metadata!R20&gt;0))</f>
        <v>0</v>
      </c>
      <c r="AU20" t="b">
        <f>AND(IF(metadata!S20="",FALSE,TRUE),EXACT(metadata!S20,"missing: not provided"))</f>
        <v>0</v>
      </c>
    </row>
    <row r="21" spans="1:47" x14ac:dyDescent="0.2">
      <c r="A21" s="5" t="str">
        <f ca="1">IF(B21=" "," ",HYPERLINK(CONCATENATE("#metadata!",ADDRESS(INDEX($Y$2:$Y$1001,MATCH(ROWS($W$2:W21),$W$2:$W$1001,0),0),1)),INDEX($AB$2:$AB$1001,MATCH(ROWS($W$2:W21),$W$2:$W$1001,0),0)))</f>
        <v xml:space="preserve"> </v>
      </c>
      <c r="B21" s="4" t="str">
        <f ca="1">IF(OR(INDEX($X$2:$X$1001,MATCH(ROWS($W$2:W21),$W$2:$W$1001,0),1)&gt;=100000,INDEX($AD$1005:$AU$1005,1,MATCH(COLUMNS($AD$1006:AD1006),$AD$1006:$AU$1006,0))&gt;=100000), " ",IF(INDEX($AD$2:$AU$1001,MATCH(ROWS($W$2:W21),$W$2:$W$1001,0),MATCH(COLUMNS($AD$1006:AD1006),$AD$1006:$AU$1006,0)), HYPERLINK("#",""), HYPERLINK(CONCATENATE("#metadata!", ADDRESS(INDEX($Y$2:$Y$1001,MATCH(ROWS($W$2:W21),$W$2:$W$1001,0),0), INDEX($AD$1004:$AU$1004,1,MATCH(COLUMNS($AD$1006:AD1006),$AD$1006:$AU$1006,0)))),"Fix")))</f>
        <v xml:space="preserve"> </v>
      </c>
      <c r="C21" s="4" t="str">
        <f ca="1">IF(OR(INDEX($X$2:$X$1001,MATCH(ROWS($W$2:W21),$W$2:$W$1001,0),1)&gt;=100000,INDEX($AD$1005:$AU$1005,1,MATCH(COLUMNS($AD$1006:AE1006),$AD$1006:$AU$1006,0))&gt;=100000), " ",IF(INDEX($AD$2:$AU$1001,MATCH(ROWS($W$2:W21),$W$2:$W$1001,0),MATCH(COLUMNS($AD$1006:AE1006),$AD$1006:$AU$1006,0)), HYPERLINK("#",""), HYPERLINK(CONCATENATE("#metadata!", ADDRESS(INDEX($Y$2:$Y$1001,MATCH(ROWS($W$2:W21),$W$2:$W$1001,0),0), INDEX($AD$1004:$AU$1004,1,MATCH(COLUMNS($AD$1006:AE1006),$AD$1006:$AU$1006,0)))),"Fix")))</f>
        <v xml:space="preserve"> </v>
      </c>
      <c r="D21" s="4" t="str">
        <f ca="1">IF(OR(INDEX($X$2:$X$1001,MATCH(ROWS($W$2:W21),$W$2:$W$1001,0),1)&gt;=100000,INDEX($AD$1005:$AU$1005,1,MATCH(COLUMNS($AD$1006:AF1006),$AD$1006:$AU$1006,0))&gt;=100000), " ",IF(INDEX($AD$2:$AU$1001,MATCH(ROWS($W$2:W21),$W$2:$W$1001,0),MATCH(COLUMNS($AD$1006:AF1006),$AD$1006:$AU$1006,0)), HYPERLINK("#",""), HYPERLINK(CONCATENATE("#metadata!", ADDRESS(INDEX($Y$2:$Y$1001,MATCH(ROWS($W$2:W21),$W$2:$W$1001,0),0), INDEX($AD$1004:$AU$1004,1,MATCH(COLUMNS($AD$1006:AF1006),$AD$1006:$AU$1006,0)))),"Fix")))</f>
        <v xml:space="preserve"> </v>
      </c>
      <c r="E21" s="4" t="str">
        <f ca="1">IF(OR(INDEX($X$2:$X$1001,MATCH(ROWS($W$2:W21),$W$2:$W$1001,0),1)&gt;=100000,INDEX($AD$1005:$AU$1005,1,MATCH(COLUMNS($AD$1006:AG1006),$AD$1006:$AU$1006,0))&gt;=100000), " ",IF(INDEX($AD$2:$AU$1001,MATCH(ROWS($W$2:W21),$W$2:$W$1001,0),MATCH(COLUMNS($AD$1006:AG1006),$AD$1006:$AU$1006,0)), HYPERLINK("#",""), HYPERLINK(CONCATENATE("#metadata!", ADDRESS(INDEX($Y$2:$Y$1001,MATCH(ROWS($W$2:W21),$W$2:$W$1001,0),0), INDEX($AD$1004:$AU$1004,1,MATCH(COLUMNS($AD$1006:AG1006),$AD$1006:$AU$1006,0)))),"Fix")))</f>
        <v xml:space="preserve"> </v>
      </c>
      <c r="F21" s="4" t="str">
        <f ca="1">IF(OR(INDEX($X$2:$X$1001,MATCH(ROWS($W$2:W21),$W$2:$W$1001,0),1)&gt;=100000,INDEX($AD$1005:$AU$1005,1,MATCH(COLUMNS($AD$1006:AH1006),$AD$1006:$AU$1006,0))&gt;=100000), " ",IF(INDEX($AD$2:$AU$1001,MATCH(ROWS($W$2:W21),$W$2:$W$1001,0),MATCH(COLUMNS($AD$1006:AH1006),$AD$1006:$AU$1006,0)), HYPERLINK("#",""), HYPERLINK(CONCATENATE("#metadata!", ADDRESS(INDEX($Y$2:$Y$1001,MATCH(ROWS($W$2:W21),$W$2:$W$1001,0),0), INDEX($AD$1004:$AU$1004,1,MATCH(COLUMNS($AD$1006:AH1006),$AD$1006:$AU$1006,0)))),"Fix")))</f>
        <v xml:space="preserve"> </v>
      </c>
      <c r="G21" s="4" t="str">
        <f ca="1">IF(OR(INDEX($X$2:$X$1001,MATCH(ROWS($W$2:W21),$W$2:$W$1001,0),1)&gt;=100000,INDEX($AD$1005:$AU$1005,1,MATCH(COLUMNS($AD$1006:AI1006),$AD$1006:$AU$1006,0))&gt;=100000), " ",IF(INDEX($AD$2:$AU$1001,MATCH(ROWS($W$2:W21),$W$2:$W$1001,0),MATCH(COLUMNS($AD$1006:AI1006),$AD$1006:$AU$1006,0)), HYPERLINK("#",""), HYPERLINK(CONCATENATE("#metadata!", ADDRESS(INDEX($Y$2:$Y$1001,MATCH(ROWS($W$2:W21),$W$2:$W$1001,0),0), INDEX($AD$1004:$AU$1004,1,MATCH(COLUMNS($AD$1006:AI1006),$AD$1006:$AU$1006,0)))),"Fix")))</f>
        <v xml:space="preserve"> </v>
      </c>
      <c r="H21" s="4" t="str">
        <f ca="1">IF(OR(INDEX($X$2:$X$1001,MATCH(ROWS($W$2:W21),$W$2:$W$1001,0),1)&gt;=100000,INDEX($AD$1005:$AU$1005,1,MATCH(COLUMNS($AD$1006:AJ1006),$AD$1006:$AU$1006,0))&gt;=100000), " ",IF(INDEX($AD$2:$AU$1001,MATCH(ROWS($W$2:W21),$W$2:$W$1001,0),MATCH(COLUMNS($AD$1006:AJ1006),$AD$1006:$AU$1006,0)), HYPERLINK("#",""), HYPERLINK(CONCATENATE("#metadata!", ADDRESS(INDEX($Y$2:$Y$1001,MATCH(ROWS($W$2:W21),$W$2:$W$1001,0),0), INDEX($AD$1004:$AU$1004,1,MATCH(COLUMNS($AD$1006:AJ1006),$AD$1006:$AU$1006,0)))),"Fix")))</f>
        <v xml:space="preserve"> </v>
      </c>
      <c r="I21" s="4" t="str">
        <f ca="1">IF(OR(INDEX($X$2:$X$1001,MATCH(ROWS($W$2:W21),$W$2:$W$1001,0),1)&gt;=100000,INDEX($AD$1005:$AU$1005,1,MATCH(COLUMNS($AD$1006:AK1006),$AD$1006:$AU$1006,0))&gt;=100000), " ",IF(INDEX($AD$2:$AU$1001,MATCH(ROWS($W$2:W21),$W$2:$W$1001,0),MATCH(COLUMNS($AD$1006:AK1006),$AD$1006:$AU$1006,0)), HYPERLINK("#",""), HYPERLINK(CONCATENATE("#metadata!", ADDRESS(INDEX($Y$2:$Y$1001,MATCH(ROWS($W$2:W21),$W$2:$W$1001,0),0), INDEX($AD$1004:$AU$1004,1,MATCH(COLUMNS($AD$1006:AK1006),$AD$1006:$AU$1006,0)))),"Fix")))</f>
        <v xml:space="preserve"> </v>
      </c>
      <c r="J21" s="4" t="str">
        <f ca="1">IF(OR(INDEX($X$2:$X$1001,MATCH(ROWS($W$2:W21),$W$2:$W$1001,0),1)&gt;=100000,INDEX($AD$1005:$AU$1005,1,MATCH(COLUMNS($AD$1006:AL1006),$AD$1006:$AU$1006,0))&gt;=100000), " ",IF(INDEX($AD$2:$AU$1001,MATCH(ROWS($W$2:W21),$W$2:$W$1001,0),MATCH(COLUMNS($AD$1006:AL1006),$AD$1006:$AU$1006,0)), HYPERLINK("#",""), HYPERLINK(CONCATENATE("#metadata!", ADDRESS(INDEX($Y$2:$Y$1001,MATCH(ROWS($W$2:W21),$W$2:$W$1001,0),0), INDEX($AD$1004:$AU$1004,1,MATCH(COLUMNS($AD$1006:AL1006),$AD$1006:$AU$1006,0)))),"Fix")))</f>
        <v xml:space="preserve"> </v>
      </c>
      <c r="K21" s="4" t="str">
        <f ca="1">IF(OR(INDEX($X$2:$X$1001,MATCH(ROWS($W$2:W21),$W$2:$W$1001,0),1)&gt;=100000,INDEX($AD$1005:$AU$1005,1,MATCH(COLUMNS($AD$1006:AM1006),$AD$1006:$AU$1006,0))&gt;=100000), " ",IF(INDEX($AD$2:$AU$1001,MATCH(ROWS($W$2:W21),$W$2:$W$1001,0),MATCH(COLUMNS($AD$1006:AM1006),$AD$1006:$AU$1006,0)), HYPERLINK("#",""), HYPERLINK(CONCATENATE("#metadata!", ADDRESS(INDEX($Y$2:$Y$1001,MATCH(ROWS($W$2:W21),$W$2:$W$1001,0),0), INDEX($AD$1004:$AU$1004,1,MATCH(COLUMNS($AD$1006:AM1006),$AD$1006:$AU$1006,0)))),"Fix")))</f>
        <v xml:space="preserve"> </v>
      </c>
      <c r="L21" s="4" t="str">
        <f ca="1">IF(OR(INDEX($X$2:$X$1001,MATCH(ROWS($W$2:W21),$W$2:$W$1001,0),1)&gt;=100000,INDEX($AD$1005:$AU$1005,1,MATCH(COLUMNS($AD$1006:AN1006),$AD$1006:$AU$1006,0))&gt;=100000), " ",IF(INDEX($AD$2:$AU$1001,MATCH(ROWS($W$2:W21),$W$2:$W$1001,0),MATCH(COLUMNS($AD$1006:AN1006),$AD$1006:$AU$1006,0)), HYPERLINK("#",""), HYPERLINK(CONCATENATE("#metadata!", ADDRESS(INDEX($Y$2:$Y$1001,MATCH(ROWS($W$2:W21),$W$2:$W$1001,0),0), INDEX($AD$1004:$AU$1004,1,MATCH(COLUMNS($AD$1006:AN1006),$AD$1006:$AU$1006,0)))),"Fix")))</f>
        <v xml:space="preserve"> </v>
      </c>
      <c r="M21" s="4" t="str">
        <f ca="1">IF(OR(INDEX($X$2:$X$1001,MATCH(ROWS($W$2:W21),$W$2:$W$1001,0),1)&gt;=100000,INDEX($AD$1005:$AU$1005,1,MATCH(COLUMNS($AD$1006:AO1006),$AD$1006:$AU$1006,0))&gt;=100000), " ",IF(INDEX($AD$2:$AU$1001,MATCH(ROWS($W$2:W21),$W$2:$W$1001,0),MATCH(COLUMNS($AD$1006:AO1006),$AD$1006:$AU$1006,0)), HYPERLINK("#",""), HYPERLINK(CONCATENATE("#metadata!", ADDRESS(INDEX($Y$2:$Y$1001,MATCH(ROWS($W$2:W21),$W$2:$W$1001,0),0), INDEX($AD$1004:$AU$1004,1,MATCH(COLUMNS($AD$1006:AO1006),$AD$1006:$AU$1006,0)))),"Fix")))</f>
        <v xml:space="preserve"> </v>
      </c>
      <c r="N21" s="4" t="str">
        <f ca="1">IF(OR(INDEX($X$2:$X$1001,MATCH(ROWS($W$2:W21),$W$2:$W$1001,0),1)&gt;=100000,INDEX($AD$1005:$AU$1005,1,MATCH(COLUMNS($AD$1006:AP1006),$AD$1006:$AU$1006,0))&gt;=100000), " ",IF(INDEX($AD$2:$AU$1001,MATCH(ROWS($W$2:W21),$W$2:$W$1001,0),MATCH(COLUMNS($AD$1006:AP1006),$AD$1006:$AU$1006,0)), HYPERLINK("#",""), HYPERLINK(CONCATENATE("#metadata!", ADDRESS(INDEX($Y$2:$Y$1001,MATCH(ROWS($W$2:W21),$W$2:$W$1001,0),0), INDEX($AD$1004:$AU$1004,1,MATCH(COLUMNS($AD$1006:AP1006),$AD$1006:$AU$1006,0)))),"Fix")))</f>
        <v xml:space="preserve"> </v>
      </c>
      <c r="O21" s="4" t="str">
        <f ca="1">IF(OR(INDEX($X$2:$X$1001,MATCH(ROWS($W$2:W21),$W$2:$W$1001,0),1)&gt;=100000,INDEX($AD$1005:$AU$1005,1,MATCH(COLUMNS($AD$1006:AQ1006),$AD$1006:$AU$1006,0))&gt;=100000), " ",IF(INDEX($AD$2:$AU$1001,MATCH(ROWS($W$2:W21),$W$2:$W$1001,0),MATCH(COLUMNS($AD$1006:AQ1006),$AD$1006:$AU$1006,0)), HYPERLINK("#",""), HYPERLINK(CONCATENATE("#metadata!", ADDRESS(INDEX($Y$2:$Y$1001,MATCH(ROWS($W$2:W21),$W$2:$W$1001,0),0), INDEX($AD$1004:$AU$1004,1,MATCH(COLUMNS($AD$1006:AQ1006),$AD$1006:$AU$1006,0)))),"Fix")))</f>
        <v xml:space="preserve"> </v>
      </c>
      <c r="P21" s="4" t="str">
        <f ca="1">IF(OR(INDEX($X$2:$X$1001,MATCH(ROWS($W$2:W21),$W$2:$W$1001,0),1)&gt;=100000,INDEX($AD$1005:$AU$1005,1,MATCH(COLUMNS($AD$1006:AR1006),$AD$1006:$AU$1006,0))&gt;=100000), " ",IF(INDEX($AD$2:$AU$1001,MATCH(ROWS($W$2:W21),$W$2:$W$1001,0),MATCH(COLUMNS($AD$1006:AR1006),$AD$1006:$AU$1006,0)), HYPERLINK("#",""), HYPERLINK(CONCATENATE("#metadata!", ADDRESS(INDEX($Y$2:$Y$1001,MATCH(ROWS($W$2:W21),$W$2:$W$1001,0),0), INDEX($AD$1004:$AU$1004,1,MATCH(COLUMNS($AD$1006:AR1006),$AD$1006:$AU$1006,0)))),"Fix")))</f>
        <v xml:space="preserve"> </v>
      </c>
      <c r="Q21" s="4" t="str">
        <f ca="1">IF(OR(INDEX($X$2:$X$1001,MATCH(ROWS($W$2:W21),$W$2:$W$1001,0),1)&gt;=100000,INDEX($AD$1005:$AU$1005,1,MATCH(COLUMNS($AD$1006:AS1006),$AD$1006:$AU$1006,0))&gt;=100000), " ",IF(INDEX($AD$2:$AU$1001,MATCH(ROWS($W$2:W21),$W$2:$W$1001,0),MATCH(COLUMNS($AD$1006:AS1006),$AD$1006:$AU$1006,0)), HYPERLINK("#",""), HYPERLINK(CONCATENATE("#metadata!", ADDRESS(INDEX($Y$2:$Y$1001,MATCH(ROWS($W$2:W21),$W$2:$W$1001,0),0), INDEX($AD$1004:$AU$1004,1,MATCH(COLUMNS($AD$1006:AS1006),$AD$1006:$AU$1006,0)))),"Fix")))</f>
        <v xml:space="preserve"> </v>
      </c>
      <c r="R21" s="4" t="str">
        <f ca="1">IF(OR(INDEX($X$2:$X$1001,MATCH(ROWS($W$2:W21),$W$2:$W$1001,0),1)&gt;=100000,INDEX($AD$1005:$AU$1005,1,MATCH(COLUMNS($AD$1006:AT1006),$AD$1006:$AU$1006,0))&gt;=100000), " ",IF(INDEX($AD$2:$AU$1001,MATCH(ROWS($W$2:W21),$W$2:$W$1001,0),MATCH(COLUMNS($AD$1006:AT1006),$AD$1006:$AU$1006,0)), HYPERLINK("#",""), HYPERLINK(CONCATENATE("#metadata!", ADDRESS(INDEX($Y$2:$Y$1001,MATCH(ROWS($W$2:W21),$W$2:$W$1001,0),0), INDEX($AD$1004:$AU$1004,1,MATCH(COLUMNS($AD$1006:AT1006),$AD$1006:$AU$1006,0)))),"Fix")))</f>
        <v xml:space="preserve"> </v>
      </c>
      <c r="S21" s="4" t="str">
        <f ca="1">IF(OR(INDEX($X$2:$X$1001,MATCH(ROWS($W$2:W21),$W$2:$W$1001,0),1)&gt;=100000,INDEX($AD$1005:$AU$1005,1,MATCH(COLUMNS($AD$1006:AU1006),$AD$1006:$AU$1006,0))&gt;=100000), " ",IF(INDEX($AD$2:$AU$1001,MATCH(ROWS($W$2:W21),$W$2:$W$1001,0),MATCH(COLUMNS($AD$1006:AU1006),$AD$1006:$AU$1006,0)), HYPERLINK("#",""), HYPERLINK(CONCATENATE("#metadata!", ADDRESS(INDEX($Y$2:$Y$1001,MATCH(ROWS($W$2:W21),$W$2:$W$1001,0),0), INDEX($AD$1004:$AU$1004,1,MATCH(COLUMNS($AD$1006:AU1006),$AD$1006:$AU$1006,0)))),"Fix")))</f>
        <v xml:space="preserve"> </v>
      </c>
      <c r="W21">
        <v>20</v>
      </c>
      <c r="X21">
        <v>100021</v>
      </c>
      <c r="Y21">
        <v>21</v>
      </c>
      <c r="Z21" t="b">
        <f t="shared" si="0"/>
        <v>1</v>
      </c>
      <c r="AA21" t="b">
        <f>COUNTBLANK(metadata!B21:S21)=COLUMNS(metadata!B21:S21)</f>
        <v>1</v>
      </c>
      <c r="AB21" t="str">
        <v/>
      </c>
      <c r="AD21" t="b">
        <f ca="1">AND(IF(metadata!B21="",FALSE,TRUE),COUNTIF(metadata!B:B, metadata!B21) = 1,NOT(ISERROR(SUMPRODUCT(SEARCH(MID(metadata!B21,ROW(INDIRECT("1:"&amp;LEN(metadata!B21))), 1),"0123456789abcdefghijklmnopqrstuvwxyzABCDEFGHIJKLMNOPQRSTUVWXYZ.")))))</f>
        <v>0</v>
      </c>
      <c r="AE21" t="b">
        <f>OR(AND(IF(metadata!C21="",FALSE,TRUE),OR(EXACT(metadata!C21,"not applicable"),EXACT(metadata!C21,"missing: not collected"),EXACT(metadata!C21,"missing: not provided"),EXACT(metadata!C21,"missing: restricted access"))),AND(IF(metadata!C21="",FALSE,ISNUMBER(VALUE(metadata!C21))),metadata!C21&gt;0))</f>
        <v>0</v>
      </c>
      <c r="AF21" t="b">
        <f>AND(IF(metadata!D21="",FALSE,TRUE),EXACT(metadata!D21,"missing: not provided"))</f>
        <v>0</v>
      </c>
      <c r="AG21" t="b">
        <f>AND(IF(metadata!E21="",FALSE,TRUE),EXACT(metadata!E21,"Host-associated"))</f>
        <v>0</v>
      </c>
      <c r="AH21" t="b">
        <f>AND(IF(metadata!F21="",FALSE,TRUE),OR(EXACT(metadata!F21,"Animal"),EXACT(metadata!F21,"Fungus"),EXACT(metadata!F21,"Plant")))</f>
        <v>0</v>
      </c>
      <c r="AI21" t="b">
        <f>AND(IF(metadata!G21="",FALSE,TRUE),OR(EXACT(metadata!G21,"Plant secretion"),EXACT(metadata!G21,"Plant rhizosphere"),EXACT(metadata!G21,"Plant surface"),EXACT(metadata!G21,"Plant corpus"),EXACT(metadata!G21,"Fungus surface"),EXACT(metadata!G21,"Fungus corpus"),EXACT(metadata!G21,"Animal surface"),EXACT(metadata!G21,"Animal proximal gut"),EXACT(metadata!G21,"Animal corpus"),EXACT(metadata!G21,"Animal distal gut"),EXACT(metadata!G21,"Animal secretion")))</f>
        <v>0</v>
      </c>
      <c r="AJ21" t="b">
        <f>OR(AND(IF(metadata!H21="",FALSE,TRUE),OR(EXACT(metadata!H21,"missing: not collected"),EXACT(metadata!H21,"missing: not provided"),EXACT(metadata!H21,"missing: restricted access"))),AND(IF(metadata!H21="",FALSE,TRUE),OR(EXACT(metadata!H21,"organism-associated habitat"),EXACT(metadata!H21,"plant-associated habitat"),EXACT(metadata!H21,"animal-associated habitat"),EXACT(metadata!H21,"insecta-associated habitat"),EXACT(metadata!H21,"mammalia-associated habitat"),EXACT(metadata!H21,"human-associated habitat"),EXACT(metadata!H21,"livestock-associated habitat"))))</f>
        <v>0</v>
      </c>
      <c r="AK21" t="b">
        <f>AND(IF(metadata!I21="",FALSE,TRUE),EXACT(metadata!I21,"host-associated"))</f>
        <v>0</v>
      </c>
      <c r="AL21" t="b">
        <f>OR(AND(IF(metadata!J21="",FALSE,TRUE),OR(EXACT(metadata!J21,"not applicable"),EXACT(metadata!J21,"missing: not collected"),EXACT(metadata!J21,"missing: not provided"),EXACT(metadata!J21,"missing: restricted access"))),AND(IF(metadata!J21="",FALSE,ISNUMBER(VALUE(metadata!J21))),metadata!J21&gt;0))</f>
        <v>0</v>
      </c>
      <c r="AM21" t="b">
        <f>AND(IF(metadata!K21="",FALSE,TRUE),EXACT(metadata!K21,"missing: not provided"))</f>
        <v>0</v>
      </c>
      <c r="AN21" t="b">
        <f>IF(metadata!L21="",FALSE,TRUE)</f>
        <v>0</v>
      </c>
      <c r="AO21" t="b">
        <f>IF(metadata!M21="",FALSE,TRUE)</f>
        <v>0</v>
      </c>
      <c r="AP21" t="b">
        <f>OR(AND(IF(metadata!N21="",FALSE,TRUE),OR(EXACT(metadata!N21,"not applicable"),EXACT(metadata!N21,"missing: not collected"),EXACT(metadata!N21,"missing: not provided"))),AND(IF(metadata!N21="",FALSE,IF(ISERROR(INT(metadata!N21)),FALSE,INT(metadata!N21)=metadata!N21)),metadata!N21&gt;0))</f>
        <v>0</v>
      </c>
      <c r="AQ21" t="b">
        <f>AND(IF(metadata!O21="",FALSE,TRUE),EXACT(metadata!O21,"Not applicable"))</f>
        <v>0</v>
      </c>
      <c r="AR21" t="b">
        <f>OR(AND(IF(metadata!P21="",FALSE,TRUE),OR(EXACT(metadata!P21,"not applicable"),EXACT(metadata!P21,"missing: not collected"),EXACT(metadata!P21,"missing: not provided"),EXACT(metadata!P21,"missing: restricted access"))),IF(metadata!P21="",FALSE,IF(ISERROR(INT(metadata!P21)),FALSE,INT(metadata!P21)=metadata!P21)))</f>
        <v>0</v>
      </c>
      <c r="AS21" t="b">
        <f>AND(IF(metadata!Q21="",FALSE,TRUE),EXACT(metadata!Q21,"Not applicable"))</f>
        <v>0</v>
      </c>
      <c r="AT21" t="b">
        <f>OR(AND(IF(metadata!R21="",FALSE,TRUE),OR(EXACT(metadata!R21,"not applicable"),EXACT(metadata!R21,"missing: not collected"),EXACT(metadata!R21,"missing: not provided"),EXACT(metadata!R21,"missing: restricted access"))),AND(IF(metadata!R21="",FALSE,ISNUMBER(VALUE(metadata!R21))),metadata!R21&gt;0))</f>
        <v>0</v>
      </c>
      <c r="AU21" t="b">
        <f>AND(IF(metadata!S21="",FALSE,TRUE),EXACT(metadata!S21,"missing: not provided"))</f>
        <v>0</v>
      </c>
    </row>
    <row r="22" spans="1:47" x14ac:dyDescent="0.2">
      <c r="A22" s="5" t="str">
        <f ca="1">IF(B22=" "," ",HYPERLINK(CONCATENATE("#metadata!",ADDRESS(INDEX($Y$2:$Y$1001,MATCH(ROWS($W$2:W22),$W$2:$W$1001,0),0),1)),INDEX($AB$2:$AB$1001,MATCH(ROWS($W$2:W22),$W$2:$W$1001,0),0)))</f>
        <v xml:space="preserve"> </v>
      </c>
      <c r="B22" s="4" t="str">
        <f ca="1">IF(OR(INDEX($X$2:$X$1001,MATCH(ROWS($W$2:W22),$W$2:$W$1001,0),1)&gt;=100000,INDEX($AD$1005:$AU$1005,1,MATCH(COLUMNS($AD$1006:AD1006),$AD$1006:$AU$1006,0))&gt;=100000), " ",IF(INDEX($AD$2:$AU$1001,MATCH(ROWS($W$2:W22),$W$2:$W$1001,0),MATCH(COLUMNS($AD$1006:AD1006),$AD$1006:$AU$1006,0)), HYPERLINK("#",""), HYPERLINK(CONCATENATE("#metadata!", ADDRESS(INDEX($Y$2:$Y$1001,MATCH(ROWS($W$2:W22),$W$2:$W$1001,0),0), INDEX($AD$1004:$AU$1004,1,MATCH(COLUMNS($AD$1006:AD1006),$AD$1006:$AU$1006,0)))),"Fix")))</f>
        <v xml:space="preserve"> </v>
      </c>
      <c r="C22" s="4" t="str">
        <f ca="1">IF(OR(INDEX($X$2:$X$1001,MATCH(ROWS($W$2:W22),$W$2:$W$1001,0),1)&gt;=100000,INDEX($AD$1005:$AU$1005,1,MATCH(COLUMNS($AD$1006:AE1006),$AD$1006:$AU$1006,0))&gt;=100000), " ",IF(INDEX($AD$2:$AU$1001,MATCH(ROWS($W$2:W22),$W$2:$W$1001,0),MATCH(COLUMNS($AD$1006:AE1006),$AD$1006:$AU$1006,0)), HYPERLINK("#",""), HYPERLINK(CONCATENATE("#metadata!", ADDRESS(INDEX($Y$2:$Y$1001,MATCH(ROWS($W$2:W22),$W$2:$W$1001,0),0), INDEX($AD$1004:$AU$1004,1,MATCH(COLUMNS($AD$1006:AE1006),$AD$1006:$AU$1006,0)))),"Fix")))</f>
        <v xml:space="preserve"> </v>
      </c>
      <c r="D22" s="4" t="str">
        <f ca="1">IF(OR(INDEX($X$2:$X$1001,MATCH(ROWS($W$2:W22),$W$2:$W$1001,0),1)&gt;=100000,INDEX($AD$1005:$AU$1005,1,MATCH(COLUMNS($AD$1006:AF1006),$AD$1006:$AU$1006,0))&gt;=100000), " ",IF(INDEX($AD$2:$AU$1001,MATCH(ROWS($W$2:W22),$W$2:$W$1001,0),MATCH(COLUMNS($AD$1006:AF1006),$AD$1006:$AU$1006,0)), HYPERLINK("#",""), HYPERLINK(CONCATENATE("#metadata!", ADDRESS(INDEX($Y$2:$Y$1001,MATCH(ROWS($W$2:W22),$W$2:$W$1001,0),0), INDEX($AD$1004:$AU$1004,1,MATCH(COLUMNS($AD$1006:AF1006),$AD$1006:$AU$1006,0)))),"Fix")))</f>
        <v xml:space="preserve"> </v>
      </c>
      <c r="E22" s="4" t="str">
        <f ca="1">IF(OR(INDEX($X$2:$X$1001,MATCH(ROWS($W$2:W22),$W$2:$W$1001,0),1)&gt;=100000,INDEX($AD$1005:$AU$1005,1,MATCH(COLUMNS($AD$1006:AG1006),$AD$1006:$AU$1006,0))&gt;=100000), " ",IF(INDEX($AD$2:$AU$1001,MATCH(ROWS($W$2:W22),$W$2:$W$1001,0),MATCH(COLUMNS($AD$1006:AG1006),$AD$1006:$AU$1006,0)), HYPERLINK("#",""), HYPERLINK(CONCATENATE("#metadata!", ADDRESS(INDEX($Y$2:$Y$1001,MATCH(ROWS($W$2:W22),$W$2:$W$1001,0),0), INDEX($AD$1004:$AU$1004,1,MATCH(COLUMNS($AD$1006:AG1006),$AD$1006:$AU$1006,0)))),"Fix")))</f>
        <v xml:space="preserve"> </v>
      </c>
      <c r="F22" s="4" t="str">
        <f ca="1">IF(OR(INDEX($X$2:$X$1001,MATCH(ROWS($W$2:W22),$W$2:$W$1001,0),1)&gt;=100000,INDEX($AD$1005:$AU$1005,1,MATCH(COLUMNS($AD$1006:AH1006),$AD$1006:$AU$1006,0))&gt;=100000), " ",IF(INDEX($AD$2:$AU$1001,MATCH(ROWS($W$2:W22),$W$2:$W$1001,0),MATCH(COLUMNS($AD$1006:AH1006),$AD$1006:$AU$1006,0)), HYPERLINK("#",""), HYPERLINK(CONCATENATE("#metadata!", ADDRESS(INDEX($Y$2:$Y$1001,MATCH(ROWS($W$2:W22),$W$2:$W$1001,0),0), INDEX($AD$1004:$AU$1004,1,MATCH(COLUMNS($AD$1006:AH1006),$AD$1006:$AU$1006,0)))),"Fix")))</f>
        <v xml:space="preserve"> </v>
      </c>
      <c r="G22" s="4" t="str">
        <f ca="1">IF(OR(INDEX($X$2:$X$1001,MATCH(ROWS($W$2:W22),$W$2:$W$1001,0),1)&gt;=100000,INDEX($AD$1005:$AU$1005,1,MATCH(COLUMNS($AD$1006:AI1006),$AD$1006:$AU$1006,0))&gt;=100000), " ",IF(INDEX($AD$2:$AU$1001,MATCH(ROWS($W$2:W22),$W$2:$W$1001,0),MATCH(COLUMNS($AD$1006:AI1006),$AD$1006:$AU$1006,0)), HYPERLINK("#",""), HYPERLINK(CONCATENATE("#metadata!", ADDRESS(INDEX($Y$2:$Y$1001,MATCH(ROWS($W$2:W22),$W$2:$W$1001,0),0), INDEX($AD$1004:$AU$1004,1,MATCH(COLUMNS($AD$1006:AI1006),$AD$1006:$AU$1006,0)))),"Fix")))</f>
        <v xml:space="preserve"> </v>
      </c>
      <c r="H22" s="4" t="str">
        <f ca="1">IF(OR(INDEX($X$2:$X$1001,MATCH(ROWS($W$2:W22),$W$2:$W$1001,0),1)&gt;=100000,INDEX($AD$1005:$AU$1005,1,MATCH(COLUMNS($AD$1006:AJ1006),$AD$1006:$AU$1006,0))&gt;=100000), " ",IF(INDEX($AD$2:$AU$1001,MATCH(ROWS($W$2:W22),$W$2:$W$1001,0),MATCH(COLUMNS($AD$1006:AJ1006),$AD$1006:$AU$1006,0)), HYPERLINK("#",""), HYPERLINK(CONCATENATE("#metadata!", ADDRESS(INDEX($Y$2:$Y$1001,MATCH(ROWS($W$2:W22),$W$2:$W$1001,0),0), INDEX($AD$1004:$AU$1004,1,MATCH(COLUMNS($AD$1006:AJ1006),$AD$1006:$AU$1006,0)))),"Fix")))</f>
        <v xml:space="preserve"> </v>
      </c>
      <c r="I22" s="4" t="str">
        <f ca="1">IF(OR(INDEX($X$2:$X$1001,MATCH(ROWS($W$2:W22),$W$2:$W$1001,0),1)&gt;=100000,INDEX($AD$1005:$AU$1005,1,MATCH(COLUMNS($AD$1006:AK1006),$AD$1006:$AU$1006,0))&gt;=100000), " ",IF(INDEX($AD$2:$AU$1001,MATCH(ROWS($W$2:W22),$W$2:$W$1001,0),MATCH(COLUMNS($AD$1006:AK1006),$AD$1006:$AU$1006,0)), HYPERLINK("#",""), HYPERLINK(CONCATENATE("#metadata!", ADDRESS(INDEX($Y$2:$Y$1001,MATCH(ROWS($W$2:W22),$W$2:$W$1001,0),0), INDEX($AD$1004:$AU$1004,1,MATCH(COLUMNS($AD$1006:AK1006),$AD$1006:$AU$1006,0)))),"Fix")))</f>
        <v xml:space="preserve"> </v>
      </c>
      <c r="J22" s="4" t="str">
        <f ca="1">IF(OR(INDEX($X$2:$X$1001,MATCH(ROWS($W$2:W22),$W$2:$W$1001,0),1)&gt;=100000,INDEX($AD$1005:$AU$1005,1,MATCH(COLUMNS($AD$1006:AL1006),$AD$1006:$AU$1006,0))&gt;=100000), " ",IF(INDEX($AD$2:$AU$1001,MATCH(ROWS($W$2:W22),$W$2:$W$1001,0),MATCH(COLUMNS($AD$1006:AL1006),$AD$1006:$AU$1006,0)), HYPERLINK("#",""), HYPERLINK(CONCATENATE("#metadata!", ADDRESS(INDEX($Y$2:$Y$1001,MATCH(ROWS($W$2:W22),$W$2:$W$1001,0),0), INDEX($AD$1004:$AU$1004,1,MATCH(COLUMNS($AD$1006:AL1006),$AD$1006:$AU$1006,0)))),"Fix")))</f>
        <v xml:space="preserve"> </v>
      </c>
      <c r="K22" s="4" t="str">
        <f ca="1">IF(OR(INDEX($X$2:$X$1001,MATCH(ROWS($W$2:W22),$W$2:$W$1001,0),1)&gt;=100000,INDEX($AD$1005:$AU$1005,1,MATCH(COLUMNS($AD$1006:AM1006),$AD$1006:$AU$1006,0))&gt;=100000), " ",IF(INDEX($AD$2:$AU$1001,MATCH(ROWS($W$2:W22),$W$2:$W$1001,0),MATCH(COLUMNS($AD$1006:AM1006),$AD$1006:$AU$1006,0)), HYPERLINK("#",""), HYPERLINK(CONCATENATE("#metadata!", ADDRESS(INDEX($Y$2:$Y$1001,MATCH(ROWS($W$2:W22),$W$2:$W$1001,0),0), INDEX($AD$1004:$AU$1004,1,MATCH(COLUMNS($AD$1006:AM1006),$AD$1006:$AU$1006,0)))),"Fix")))</f>
        <v xml:space="preserve"> </v>
      </c>
      <c r="L22" s="4" t="str">
        <f ca="1">IF(OR(INDEX($X$2:$X$1001,MATCH(ROWS($W$2:W22),$W$2:$W$1001,0),1)&gt;=100000,INDEX($AD$1005:$AU$1005,1,MATCH(COLUMNS($AD$1006:AN1006),$AD$1006:$AU$1006,0))&gt;=100000), " ",IF(INDEX($AD$2:$AU$1001,MATCH(ROWS($W$2:W22),$W$2:$W$1001,0),MATCH(COLUMNS($AD$1006:AN1006),$AD$1006:$AU$1006,0)), HYPERLINK("#",""), HYPERLINK(CONCATENATE("#metadata!", ADDRESS(INDEX($Y$2:$Y$1001,MATCH(ROWS($W$2:W22),$W$2:$W$1001,0),0), INDEX($AD$1004:$AU$1004,1,MATCH(COLUMNS($AD$1006:AN1006),$AD$1006:$AU$1006,0)))),"Fix")))</f>
        <v xml:space="preserve"> </v>
      </c>
      <c r="M22" s="4" t="str">
        <f ca="1">IF(OR(INDEX($X$2:$X$1001,MATCH(ROWS($W$2:W22),$W$2:$W$1001,0),1)&gt;=100000,INDEX($AD$1005:$AU$1005,1,MATCH(COLUMNS($AD$1006:AO1006),$AD$1006:$AU$1006,0))&gt;=100000), " ",IF(INDEX($AD$2:$AU$1001,MATCH(ROWS($W$2:W22),$W$2:$W$1001,0),MATCH(COLUMNS($AD$1006:AO1006),$AD$1006:$AU$1006,0)), HYPERLINK("#",""), HYPERLINK(CONCATENATE("#metadata!", ADDRESS(INDEX($Y$2:$Y$1001,MATCH(ROWS($W$2:W22),$W$2:$W$1001,0),0), INDEX($AD$1004:$AU$1004,1,MATCH(COLUMNS($AD$1006:AO1006),$AD$1006:$AU$1006,0)))),"Fix")))</f>
        <v xml:space="preserve"> </v>
      </c>
      <c r="N22" s="4" t="str">
        <f ca="1">IF(OR(INDEX($X$2:$X$1001,MATCH(ROWS($W$2:W22),$W$2:$W$1001,0),1)&gt;=100000,INDEX($AD$1005:$AU$1005,1,MATCH(COLUMNS($AD$1006:AP1006),$AD$1006:$AU$1006,0))&gt;=100000), " ",IF(INDEX($AD$2:$AU$1001,MATCH(ROWS($W$2:W22),$W$2:$W$1001,0),MATCH(COLUMNS($AD$1006:AP1006),$AD$1006:$AU$1006,0)), HYPERLINK("#",""), HYPERLINK(CONCATENATE("#metadata!", ADDRESS(INDEX($Y$2:$Y$1001,MATCH(ROWS($W$2:W22),$W$2:$W$1001,0),0), INDEX($AD$1004:$AU$1004,1,MATCH(COLUMNS($AD$1006:AP1006),$AD$1006:$AU$1006,0)))),"Fix")))</f>
        <v xml:space="preserve"> </v>
      </c>
      <c r="O22" s="4" t="str">
        <f ca="1">IF(OR(INDEX($X$2:$X$1001,MATCH(ROWS($W$2:W22),$W$2:$W$1001,0),1)&gt;=100000,INDEX($AD$1005:$AU$1005,1,MATCH(COLUMNS($AD$1006:AQ1006),$AD$1006:$AU$1006,0))&gt;=100000), " ",IF(INDEX($AD$2:$AU$1001,MATCH(ROWS($W$2:W22),$W$2:$W$1001,0),MATCH(COLUMNS($AD$1006:AQ1006),$AD$1006:$AU$1006,0)), HYPERLINK("#",""), HYPERLINK(CONCATENATE("#metadata!", ADDRESS(INDEX($Y$2:$Y$1001,MATCH(ROWS($W$2:W22),$W$2:$W$1001,0),0), INDEX($AD$1004:$AU$1004,1,MATCH(COLUMNS($AD$1006:AQ1006),$AD$1006:$AU$1006,0)))),"Fix")))</f>
        <v xml:space="preserve"> </v>
      </c>
      <c r="P22" s="4" t="str">
        <f ca="1">IF(OR(INDEX($X$2:$X$1001,MATCH(ROWS($W$2:W22),$W$2:$W$1001,0),1)&gt;=100000,INDEX($AD$1005:$AU$1005,1,MATCH(COLUMNS($AD$1006:AR1006),$AD$1006:$AU$1006,0))&gt;=100000), " ",IF(INDEX($AD$2:$AU$1001,MATCH(ROWS($W$2:W22),$W$2:$W$1001,0),MATCH(COLUMNS($AD$1006:AR1006),$AD$1006:$AU$1006,0)), HYPERLINK("#",""), HYPERLINK(CONCATENATE("#metadata!", ADDRESS(INDEX($Y$2:$Y$1001,MATCH(ROWS($W$2:W22),$W$2:$W$1001,0),0), INDEX($AD$1004:$AU$1004,1,MATCH(COLUMNS($AD$1006:AR1006),$AD$1006:$AU$1006,0)))),"Fix")))</f>
        <v xml:space="preserve"> </v>
      </c>
      <c r="Q22" s="4" t="str">
        <f ca="1">IF(OR(INDEX($X$2:$X$1001,MATCH(ROWS($W$2:W22),$W$2:$W$1001,0),1)&gt;=100000,INDEX($AD$1005:$AU$1005,1,MATCH(COLUMNS($AD$1006:AS1006),$AD$1006:$AU$1006,0))&gt;=100000), " ",IF(INDEX($AD$2:$AU$1001,MATCH(ROWS($W$2:W22),$W$2:$W$1001,0),MATCH(COLUMNS($AD$1006:AS1006),$AD$1006:$AU$1006,0)), HYPERLINK("#",""), HYPERLINK(CONCATENATE("#metadata!", ADDRESS(INDEX($Y$2:$Y$1001,MATCH(ROWS($W$2:W22),$W$2:$W$1001,0),0), INDEX($AD$1004:$AU$1004,1,MATCH(COLUMNS($AD$1006:AS1006),$AD$1006:$AU$1006,0)))),"Fix")))</f>
        <v xml:space="preserve"> </v>
      </c>
      <c r="R22" s="4" t="str">
        <f ca="1">IF(OR(INDEX($X$2:$X$1001,MATCH(ROWS($W$2:W22),$W$2:$W$1001,0),1)&gt;=100000,INDEX($AD$1005:$AU$1005,1,MATCH(COLUMNS($AD$1006:AT1006),$AD$1006:$AU$1006,0))&gt;=100000), " ",IF(INDEX($AD$2:$AU$1001,MATCH(ROWS($W$2:W22),$W$2:$W$1001,0),MATCH(COLUMNS($AD$1006:AT1006),$AD$1006:$AU$1006,0)), HYPERLINK("#",""), HYPERLINK(CONCATENATE("#metadata!", ADDRESS(INDEX($Y$2:$Y$1001,MATCH(ROWS($W$2:W22),$W$2:$W$1001,0),0), INDEX($AD$1004:$AU$1004,1,MATCH(COLUMNS($AD$1006:AT1006),$AD$1006:$AU$1006,0)))),"Fix")))</f>
        <v xml:space="preserve"> </v>
      </c>
      <c r="S22" s="4" t="str">
        <f ca="1">IF(OR(INDEX($X$2:$X$1001,MATCH(ROWS($W$2:W22),$W$2:$W$1001,0),1)&gt;=100000,INDEX($AD$1005:$AU$1005,1,MATCH(COLUMNS($AD$1006:AU1006),$AD$1006:$AU$1006,0))&gt;=100000), " ",IF(INDEX($AD$2:$AU$1001,MATCH(ROWS($W$2:W22),$W$2:$W$1001,0),MATCH(COLUMNS($AD$1006:AU1006),$AD$1006:$AU$1006,0)), HYPERLINK("#",""), HYPERLINK(CONCATENATE("#metadata!", ADDRESS(INDEX($Y$2:$Y$1001,MATCH(ROWS($W$2:W22),$W$2:$W$1001,0),0), INDEX($AD$1004:$AU$1004,1,MATCH(COLUMNS($AD$1006:AU1006),$AD$1006:$AU$1006,0)))),"Fix")))</f>
        <v xml:space="preserve"> </v>
      </c>
      <c r="W22">
        <v>21</v>
      </c>
      <c r="X22">
        <v>100022</v>
      </c>
      <c r="Y22">
        <v>22</v>
      </c>
      <c r="Z22" t="b">
        <f t="shared" si="0"/>
        <v>1</v>
      </c>
      <c r="AA22" t="b">
        <f>COUNTBLANK(metadata!B22:S22)=COLUMNS(metadata!B22:S22)</f>
        <v>1</v>
      </c>
      <c r="AB22" t="str">
        <v/>
      </c>
      <c r="AD22" t="b">
        <f ca="1">AND(IF(metadata!B22="",FALSE,TRUE),COUNTIF(metadata!B:B, metadata!B22) = 1,NOT(ISERROR(SUMPRODUCT(SEARCH(MID(metadata!B22,ROW(INDIRECT("1:"&amp;LEN(metadata!B22))), 1),"0123456789abcdefghijklmnopqrstuvwxyzABCDEFGHIJKLMNOPQRSTUVWXYZ.")))))</f>
        <v>0</v>
      </c>
      <c r="AE22" t="b">
        <f>OR(AND(IF(metadata!C22="",FALSE,TRUE),OR(EXACT(metadata!C22,"not applicable"),EXACT(metadata!C22,"missing: not collected"),EXACT(metadata!C22,"missing: not provided"),EXACT(metadata!C22,"missing: restricted access"))),AND(IF(metadata!C22="",FALSE,ISNUMBER(VALUE(metadata!C22))),metadata!C22&gt;0))</f>
        <v>0</v>
      </c>
      <c r="AF22" t="b">
        <f>AND(IF(metadata!D22="",FALSE,TRUE),EXACT(metadata!D22,"missing: not provided"))</f>
        <v>0</v>
      </c>
      <c r="AG22" t="b">
        <f>AND(IF(metadata!E22="",FALSE,TRUE),EXACT(metadata!E22,"Host-associated"))</f>
        <v>0</v>
      </c>
      <c r="AH22" t="b">
        <f>AND(IF(metadata!F22="",FALSE,TRUE),OR(EXACT(metadata!F22,"Animal"),EXACT(metadata!F22,"Fungus"),EXACT(metadata!F22,"Plant")))</f>
        <v>0</v>
      </c>
      <c r="AI22" t="b">
        <f>AND(IF(metadata!G22="",FALSE,TRUE),OR(EXACT(metadata!G22,"Plant secretion"),EXACT(metadata!G22,"Plant rhizosphere"),EXACT(metadata!G22,"Plant surface"),EXACT(metadata!G22,"Plant corpus"),EXACT(metadata!G22,"Fungus surface"),EXACT(metadata!G22,"Fungus corpus"),EXACT(metadata!G22,"Animal surface"),EXACT(metadata!G22,"Animal proximal gut"),EXACT(metadata!G22,"Animal corpus"),EXACT(metadata!G22,"Animal distal gut"),EXACT(metadata!G22,"Animal secretion")))</f>
        <v>0</v>
      </c>
      <c r="AJ22" t="b">
        <f>OR(AND(IF(metadata!H22="",FALSE,TRUE),OR(EXACT(metadata!H22,"missing: not collected"),EXACT(metadata!H22,"missing: not provided"),EXACT(metadata!H22,"missing: restricted access"))),AND(IF(metadata!H22="",FALSE,TRUE),OR(EXACT(metadata!H22,"organism-associated habitat"),EXACT(metadata!H22,"plant-associated habitat"),EXACT(metadata!H22,"animal-associated habitat"),EXACT(metadata!H22,"insecta-associated habitat"),EXACT(metadata!H22,"mammalia-associated habitat"),EXACT(metadata!H22,"human-associated habitat"),EXACT(metadata!H22,"livestock-associated habitat"))))</f>
        <v>0</v>
      </c>
      <c r="AK22" t="b">
        <f>AND(IF(metadata!I22="",FALSE,TRUE),EXACT(metadata!I22,"host-associated"))</f>
        <v>0</v>
      </c>
      <c r="AL22" t="b">
        <f>OR(AND(IF(metadata!J22="",FALSE,TRUE),OR(EXACT(metadata!J22,"not applicable"),EXACT(metadata!J22,"missing: not collected"),EXACT(metadata!J22,"missing: not provided"),EXACT(metadata!J22,"missing: restricted access"))),AND(IF(metadata!J22="",FALSE,ISNUMBER(VALUE(metadata!J22))),metadata!J22&gt;0))</f>
        <v>0</v>
      </c>
      <c r="AM22" t="b">
        <f>AND(IF(metadata!K22="",FALSE,TRUE),EXACT(metadata!K22,"missing: not provided"))</f>
        <v>0</v>
      </c>
      <c r="AN22" t="b">
        <f>IF(metadata!L22="",FALSE,TRUE)</f>
        <v>0</v>
      </c>
      <c r="AO22" t="b">
        <f>IF(metadata!M22="",FALSE,TRUE)</f>
        <v>0</v>
      </c>
      <c r="AP22" t="b">
        <f>OR(AND(IF(metadata!N22="",FALSE,TRUE),OR(EXACT(metadata!N22,"not applicable"),EXACT(metadata!N22,"missing: not collected"),EXACT(metadata!N22,"missing: not provided"))),AND(IF(metadata!N22="",FALSE,IF(ISERROR(INT(metadata!N22)),FALSE,INT(metadata!N22)=metadata!N22)),metadata!N22&gt;0))</f>
        <v>0</v>
      </c>
      <c r="AQ22" t="b">
        <f>AND(IF(metadata!O22="",FALSE,TRUE),EXACT(metadata!O22,"Not applicable"))</f>
        <v>0</v>
      </c>
      <c r="AR22" t="b">
        <f>OR(AND(IF(metadata!P22="",FALSE,TRUE),OR(EXACT(metadata!P22,"not applicable"),EXACT(metadata!P22,"missing: not collected"),EXACT(metadata!P22,"missing: not provided"),EXACT(metadata!P22,"missing: restricted access"))),IF(metadata!P22="",FALSE,IF(ISERROR(INT(metadata!P22)),FALSE,INT(metadata!P22)=metadata!P22)))</f>
        <v>0</v>
      </c>
      <c r="AS22" t="b">
        <f>AND(IF(metadata!Q22="",FALSE,TRUE),EXACT(metadata!Q22,"Not applicable"))</f>
        <v>0</v>
      </c>
      <c r="AT22" t="b">
        <f>OR(AND(IF(metadata!R22="",FALSE,TRUE),OR(EXACT(metadata!R22,"not applicable"),EXACT(metadata!R22,"missing: not collected"),EXACT(metadata!R22,"missing: not provided"),EXACT(metadata!R22,"missing: restricted access"))),AND(IF(metadata!R22="",FALSE,ISNUMBER(VALUE(metadata!R22))),metadata!R22&gt;0))</f>
        <v>0</v>
      </c>
      <c r="AU22" t="b">
        <f>AND(IF(metadata!S22="",FALSE,TRUE),EXACT(metadata!S22,"missing: not provided"))</f>
        <v>0</v>
      </c>
    </row>
    <row r="23" spans="1:47" x14ac:dyDescent="0.2">
      <c r="A23" s="5" t="str">
        <f ca="1">IF(B23=" "," ",HYPERLINK(CONCATENATE("#metadata!",ADDRESS(INDEX($Y$2:$Y$1001,MATCH(ROWS($W$2:W23),$W$2:$W$1001,0),0),1)),INDEX($AB$2:$AB$1001,MATCH(ROWS($W$2:W23),$W$2:$W$1001,0),0)))</f>
        <v xml:space="preserve"> </v>
      </c>
      <c r="B23" s="4" t="str">
        <f ca="1">IF(OR(INDEX($X$2:$X$1001,MATCH(ROWS($W$2:W23),$W$2:$W$1001,0),1)&gt;=100000,INDEX($AD$1005:$AU$1005,1,MATCH(COLUMNS($AD$1006:AD1006),$AD$1006:$AU$1006,0))&gt;=100000), " ",IF(INDEX($AD$2:$AU$1001,MATCH(ROWS($W$2:W23),$W$2:$W$1001,0),MATCH(COLUMNS($AD$1006:AD1006),$AD$1006:$AU$1006,0)), HYPERLINK("#",""), HYPERLINK(CONCATENATE("#metadata!", ADDRESS(INDEX($Y$2:$Y$1001,MATCH(ROWS($W$2:W23),$W$2:$W$1001,0),0), INDEX($AD$1004:$AU$1004,1,MATCH(COLUMNS($AD$1006:AD1006),$AD$1006:$AU$1006,0)))),"Fix")))</f>
        <v xml:space="preserve"> </v>
      </c>
      <c r="C23" s="4" t="str">
        <f ca="1">IF(OR(INDEX($X$2:$X$1001,MATCH(ROWS($W$2:W23),$W$2:$W$1001,0),1)&gt;=100000,INDEX($AD$1005:$AU$1005,1,MATCH(COLUMNS($AD$1006:AE1006),$AD$1006:$AU$1006,0))&gt;=100000), " ",IF(INDEX($AD$2:$AU$1001,MATCH(ROWS($W$2:W23),$W$2:$W$1001,0),MATCH(COLUMNS($AD$1006:AE1006),$AD$1006:$AU$1006,0)), HYPERLINK("#",""), HYPERLINK(CONCATENATE("#metadata!", ADDRESS(INDEX($Y$2:$Y$1001,MATCH(ROWS($W$2:W23),$W$2:$W$1001,0),0), INDEX($AD$1004:$AU$1004,1,MATCH(COLUMNS($AD$1006:AE1006),$AD$1006:$AU$1006,0)))),"Fix")))</f>
        <v xml:space="preserve"> </v>
      </c>
      <c r="D23" s="4" t="str">
        <f ca="1">IF(OR(INDEX($X$2:$X$1001,MATCH(ROWS($W$2:W23),$W$2:$W$1001,0),1)&gt;=100000,INDEX($AD$1005:$AU$1005,1,MATCH(COLUMNS($AD$1006:AF1006),$AD$1006:$AU$1006,0))&gt;=100000), " ",IF(INDEX($AD$2:$AU$1001,MATCH(ROWS($W$2:W23),$W$2:$W$1001,0),MATCH(COLUMNS($AD$1006:AF1006),$AD$1006:$AU$1006,0)), HYPERLINK("#",""), HYPERLINK(CONCATENATE("#metadata!", ADDRESS(INDEX($Y$2:$Y$1001,MATCH(ROWS($W$2:W23),$W$2:$W$1001,0),0), INDEX($AD$1004:$AU$1004,1,MATCH(COLUMNS($AD$1006:AF1006),$AD$1006:$AU$1006,0)))),"Fix")))</f>
        <v xml:space="preserve"> </v>
      </c>
      <c r="E23" s="4" t="str">
        <f ca="1">IF(OR(INDEX($X$2:$X$1001,MATCH(ROWS($W$2:W23),$W$2:$W$1001,0),1)&gt;=100000,INDEX($AD$1005:$AU$1005,1,MATCH(COLUMNS($AD$1006:AG1006),$AD$1006:$AU$1006,0))&gt;=100000), " ",IF(INDEX($AD$2:$AU$1001,MATCH(ROWS($W$2:W23),$W$2:$W$1001,0),MATCH(COLUMNS($AD$1006:AG1006),$AD$1006:$AU$1006,0)), HYPERLINK("#",""), HYPERLINK(CONCATENATE("#metadata!", ADDRESS(INDEX($Y$2:$Y$1001,MATCH(ROWS($W$2:W23),$W$2:$W$1001,0),0), INDEX($AD$1004:$AU$1004,1,MATCH(COLUMNS($AD$1006:AG1006),$AD$1006:$AU$1006,0)))),"Fix")))</f>
        <v xml:space="preserve"> </v>
      </c>
      <c r="F23" s="4" t="str">
        <f ca="1">IF(OR(INDEX($X$2:$X$1001,MATCH(ROWS($W$2:W23),$W$2:$W$1001,0),1)&gt;=100000,INDEX($AD$1005:$AU$1005,1,MATCH(COLUMNS($AD$1006:AH1006),$AD$1006:$AU$1006,0))&gt;=100000), " ",IF(INDEX($AD$2:$AU$1001,MATCH(ROWS($W$2:W23),$W$2:$W$1001,0),MATCH(COLUMNS($AD$1006:AH1006),$AD$1006:$AU$1006,0)), HYPERLINK("#",""), HYPERLINK(CONCATENATE("#metadata!", ADDRESS(INDEX($Y$2:$Y$1001,MATCH(ROWS($W$2:W23),$W$2:$W$1001,0),0), INDEX($AD$1004:$AU$1004,1,MATCH(COLUMNS($AD$1006:AH1006),$AD$1006:$AU$1006,0)))),"Fix")))</f>
        <v xml:space="preserve"> </v>
      </c>
      <c r="G23" s="4" t="str">
        <f ca="1">IF(OR(INDEX($X$2:$X$1001,MATCH(ROWS($W$2:W23),$W$2:$W$1001,0),1)&gt;=100000,INDEX($AD$1005:$AU$1005,1,MATCH(COLUMNS($AD$1006:AI1006),$AD$1006:$AU$1006,0))&gt;=100000), " ",IF(INDEX($AD$2:$AU$1001,MATCH(ROWS($W$2:W23),$W$2:$W$1001,0),MATCH(COLUMNS($AD$1006:AI1006),$AD$1006:$AU$1006,0)), HYPERLINK("#",""), HYPERLINK(CONCATENATE("#metadata!", ADDRESS(INDEX($Y$2:$Y$1001,MATCH(ROWS($W$2:W23),$W$2:$W$1001,0),0), INDEX($AD$1004:$AU$1004,1,MATCH(COLUMNS($AD$1006:AI1006),$AD$1006:$AU$1006,0)))),"Fix")))</f>
        <v xml:space="preserve"> </v>
      </c>
      <c r="H23" s="4" t="str">
        <f ca="1">IF(OR(INDEX($X$2:$X$1001,MATCH(ROWS($W$2:W23),$W$2:$W$1001,0),1)&gt;=100000,INDEX($AD$1005:$AU$1005,1,MATCH(COLUMNS($AD$1006:AJ1006),$AD$1006:$AU$1006,0))&gt;=100000), " ",IF(INDEX($AD$2:$AU$1001,MATCH(ROWS($W$2:W23),$W$2:$W$1001,0),MATCH(COLUMNS($AD$1006:AJ1006),$AD$1006:$AU$1006,0)), HYPERLINK("#",""), HYPERLINK(CONCATENATE("#metadata!", ADDRESS(INDEX($Y$2:$Y$1001,MATCH(ROWS($W$2:W23),$W$2:$W$1001,0),0), INDEX($AD$1004:$AU$1004,1,MATCH(COLUMNS($AD$1006:AJ1006),$AD$1006:$AU$1006,0)))),"Fix")))</f>
        <v xml:space="preserve"> </v>
      </c>
      <c r="I23" s="4" t="str">
        <f ca="1">IF(OR(INDEX($X$2:$X$1001,MATCH(ROWS($W$2:W23),$W$2:$W$1001,0),1)&gt;=100000,INDEX($AD$1005:$AU$1005,1,MATCH(COLUMNS($AD$1006:AK1006),$AD$1006:$AU$1006,0))&gt;=100000), " ",IF(INDEX($AD$2:$AU$1001,MATCH(ROWS($W$2:W23),$W$2:$W$1001,0),MATCH(COLUMNS($AD$1006:AK1006),$AD$1006:$AU$1006,0)), HYPERLINK("#",""), HYPERLINK(CONCATENATE("#metadata!", ADDRESS(INDEX($Y$2:$Y$1001,MATCH(ROWS($W$2:W23),$W$2:$W$1001,0),0), INDEX($AD$1004:$AU$1004,1,MATCH(COLUMNS($AD$1006:AK1006),$AD$1006:$AU$1006,0)))),"Fix")))</f>
        <v xml:space="preserve"> </v>
      </c>
      <c r="J23" s="4" t="str">
        <f ca="1">IF(OR(INDEX($X$2:$X$1001,MATCH(ROWS($W$2:W23),$W$2:$W$1001,0),1)&gt;=100000,INDEX($AD$1005:$AU$1005,1,MATCH(COLUMNS($AD$1006:AL1006),$AD$1006:$AU$1006,0))&gt;=100000), " ",IF(INDEX($AD$2:$AU$1001,MATCH(ROWS($W$2:W23),$W$2:$W$1001,0),MATCH(COLUMNS($AD$1006:AL1006),$AD$1006:$AU$1006,0)), HYPERLINK("#",""), HYPERLINK(CONCATENATE("#metadata!", ADDRESS(INDEX($Y$2:$Y$1001,MATCH(ROWS($W$2:W23),$W$2:$W$1001,0),0), INDEX($AD$1004:$AU$1004,1,MATCH(COLUMNS($AD$1006:AL1006),$AD$1006:$AU$1006,0)))),"Fix")))</f>
        <v xml:space="preserve"> </v>
      </c>
      <c r="K23" s="4" t="str">
        <f ca="1">IF(OR(INDEX($X$2:$X$1001,MATCH(ROWS($W$2:W23),$W$2:$W$1001,0),1)&gt;=100000,INDEX($AD$1005:$AU$1005,1,MATCH(COLUMNS($AD$1006:AM1006),$AD$1006:$AU$1006,0))&gt;=100000), " ",IF(INDEX($AD$2:$AU$1001,MATCH(ROWS($W$2:W23),$W$2:$W$1001,0),MATCH(COLUMNS($AD$1006:AM1006),$AD$1006:$AU$1006,0)), HYPERLINK("#",""), HYPERLINK(CONCATENATE("#metadata!", ADDRESS(INDEX($Y$2:$Y$1001,MATCH(ROWS($W$2:W23),$W$2:$W$1001,0),0), INDEX($AD$1004:$AU$1004,1,MATCH(COLUMNS($AD$1006:AM1006),$AD$1006:$AU$1006,0)))),"Fix")))</f>
        <v xml:space="preserve"> </v>
      </c>
      <c r="L23" s="4" t="str">
        <f ca="1">IF(OR(INDEX($X$2:$X$1001,MATCH(ROWS($W$2:W23),$W$2:$W$1001,0),1)&gt;=100000,INDEX($AD$1005:$AU$1005,1,MATCH(COLUMNS($AD$1006:AN1006),$AD$1006:$AU$1006,0))&gt;=100000), " ",IF(INDEX($AD$2:$AU$1001,MATCH(ROWS($W$2:W23),$W$2:$W$1001,0),MATCH(COLUMNS($AD$1006:AN1006),$AD$1006:$AU$1006,0)), HYPERLINK("#",""), HYPERLINK(CONCATENATE("#metadata!", ADDRESS(INDEX($Y$2:$Y$1001,MATCH(ROWS($W$2:W23),$W$2:$W$1001,0),0), INDEX($AD$1004:$AU$1004,1,MATCH(COLUMNS($AD$1006:AN1006),$AD$1006:$AU$1006,0)))),"Fix")))</f>
        <v xml:space="preserve"> </v>
      </c>
      <c r="M23" s="4" t="str">
        <f ca="1">IF(OR(INDEX($X$2:$X$1001,MATCH(ROWS($W$2:W23),$W$2:$W$1001,0),1)&gt;=100000,INDEX($AD$1005:$AU$1005,1,MATCH(COLUMNS($AD$1006:AO1006),$AD$1006:$AU$1006,0))&gt;=100000), " ",IF(INDEX($AD$2:$AU$1001,MATCH(ROWS($W$2:W23),$W$2:$W$1001,0),MATCH(COLUMNS($AD$1006:AO1006),$AD$1006:$AU$1006,0)), HYPERLINK("#",""), HYPERLINK(CONCATENATE("#metadata!", ADDRESS(INDEX($Y$2:$Y$1001,MATCH(ROWS($W$2:W23),$W$2:$W$1001,0),0), INDEX($AD$1004:$AU$1004,1,MATCH(COLUMNS($AD$1006:AO1006),$AD$1006:$AU$1006,0)))),"Fix")))</f>
        <v xml:space="preserve"> </v>
      </c>
      <c r="N23" s="4" t="str">
        <f ca="1">IF(OR(INDEX($X$2:$X$1001,MATCH(ROWS($W$2:W23),$W$2:$W$1001,0),1)&gt;=100000,INDEX($AD$1005:$AU$1005,1,MATCH(COLUMNS($AD$1006:AP1006),$AD$1006:$AU$1006,0))&gt;=100000), " ",IF(INDEX($AD$2:$AU$1001,MATCH(ROWS($W$2:W23),$W$2:$W$1001,0),MATCH(COLUMNS($AD$1006:AP1006),$AD$1006:$AU$1006,0)), HYPERLINK("#",""), HYPERLINK(CONCATENATE("#metadata!", ADDRESS(INDEX($Y$2:$Y$1001,MATCH(ROWS($W$2:W23),$W$2:$W$1001,0),0), INDEX($AD$1004:$AU$1004,1,MATCH(COLUMNS($AD$1006:AP1006),$AD$1006:$AU$1006,0)))),"Fix")))</f>
        <v xml:space="preserve"> </v>
      </c>
      <c r="O23" s="4" t="str">
        <f ca="1">IF(OR(INDEX($X$2:$X$1001,MATCH(ROWS($W$2:W23),$W$2:$W$1001,0),1)&gt;=100000,INDEX($AD$1005:$AU$1005,1,MATCH(COLUMNS($AD$1006:AQ1006),$AD$1006:$AU$1006,0))&gt;=100000), " ",IF(INDEX($AD$2:$AU$1001,MATCH(ROWS($W$2:W23),$W$2:$W$1001,0),MATCH(COLUMNS($AD$1006:AQ1006),$AD$1006:$AU$1006,0)), HYPERLINK("#",""), HYPERLINK(CONCATENATE("#metadata!", ADDRESS(INDEX($Y$2:$Y$1001,MATCH(ROWS($W$2:W23),$W$2:$W$1001,0),0), INDEX($AD$1004:$AU$1004,1,MATCH(COLUMNS($AD$1006:AQ1006),$AD$1006:$AU$1006,0)))),"Fix")))</f>
        <v xml:space="preserve"> </v>
      </c>
      <c r="P23" s="4" t="str">
        <f ca="1">IF(OR(INDEX($X$2:$X$1001,MATCH(ROWS($W$2:W23),$W$2:$W$1001,0),1)&gt;=100000,INDEX($AD$1005:$AU$1005,1,MATCH(COLUMNS($AD$1006:AR1006),$AD$1006:$AU$1006,0))&gt;=100000), " ",IF(INDEX($AD$2:$AU$1001,MATCH(ROWS($W$2:W23),$W$2:$W$1001,0),MATCH(COLUMNS($AD$1006:AR1006),$AD$1006:$AU$1006,0)), HYPERLINK("#",""), HYPERLINK(CONCATENATE("#metadata!", ADDRESS(INDEX($Y$2:$Y$1001,MATCH(ROWS($W$2:W23),$W$2:$W$1001,0),0), INDEX($AD$1004:$AU$1004,1,MATCH(COLUMNS($AD$1006:AR1006),$AD$1006:$AU$1006,0)))),"Fix")))</f>
        <v xml:space="preserve"> </v>
      </c>
      <c r="Q23" s="4" t="str">
        <f ca="1">IF(OR(INDEX($X$2:$X$1001,MATCH(ROWS($W$2:W23),$W$2:$W$1001,0),1)&gt;=100000,INDEX($AD$1005:$AU$1005,1,MATCH(COLUMNS($AD$1006:AS1006),$AD$1006:$AU$1006,0))&gt;=100000), " ",IF(INDEX($AD$2:$AU$1001,MATCH(ROWS($W$2:W23),$W$2:$W$1001,0),MATCH(COLUMNS($AD$1006:AS1006),$AD$1006:$AU$1006,0)), HYPERLINK("#",""), HYPERLINK(CONCATENATE("#metadata!", ADDRESS(INDEX($Y$2:$Y$1001,MATCH(ROWS($W$2:W23),$W$2:$W$1001,0),0), INDEX($AD$1004:$AU$1004,1,MATCH(COLUMNS($AD$1006:AS1006),$AD$1006:$AU$1006,0)))),"Fix")))</f>
        <v xml:space="preserve"> </v>
      </c>
      <c r="R23" s="4" t="str">
        <f ca="1">IF(OR(INDEX($X$2:$X$1001,MATCH(ROWS($W$2:W23),$W$2:$W$1001,0),1)&gt;=100000,INDEX($AD$1005:$AU$1005,1,MATCH(COLUMNS($AD$1006:AT1006),$AD$1006:$AU$1006,0))&gt;=100000), " ",IF(INDEX($AD$2:$AU$1001,MATCH(ROWS($W$2:W23),$W$2:$W$1001,0),MATCH(COLUMNS($AD$1006:AT1006),$AD$1006:$AU$1006,0)), HYPERLINK("#",""), HYPERLINK(CONCATENATE("#metadata!", ADDRESS(INDEX($Y$2:$Y$1001,MATCH(ROWS($W$2:W23),$W$2:$W$1001,0),0), INDEX($AD$1004:$AU$1004,1,MATCH(COLUMNS($AD$1006:AT1006),$AD$1006:$AU$1006,0)))),"Fix")))</f>
        <v xml:space="preserve"> </v>
      </c>
      <c r="S23" s="4" t="str">
        <f ca="1">IF(OR(INDEX($X$2:$X$1001,MATCH(ROWS($W$2:W23),$W$2:$W$1001,0),1)&gt;=100000,INDEX($AD$1005:$AU$1005,1,MATCH(COLUMNS($AD$1006:AU1006),$AD$1006:$AU$1006,0))&gt;=100000), " ",IF(INDEX($AD$2:$AU$1001,MATCH(ROWS($W$2:W23),$W$2:$W$1001,0),MATCH(COLUMNS($AD$1006:AU1006),$AD$1006:$AU$1006,0)), HYPERLINK("#",""), HYPERLINK(CONCATENATE("#metadata!", ADDRESS(INDEX($Y$2:$Y$1001,MATCH(ROWS($W$2:W23),$W$2:$W$1001,0),0), INDEX($AD$1004:$AU$1004,1,MATCH(COLUMNS($AD$1006:AU1006),$AD$1006:$AU$1006,0)))),"Fix")))</f>
        <v xml:space="preserve"> </v>
      </c>
      <c r="W23">
        <v>22</v>
      </c>
      <c r="X23">
        <v>100023</v>
      </c>
      <c r="Y23">
        <v>23</v>
      </c>
      <c r="Z23" t="b">
        <f t="shared" si="0"/>
        <v>1</v>
      </c>
      <c r="AA23" t="b">
        <f>COUNTBLANK(metadata!B23:S23)=COLUMNS(metadata!B23:S23)</f>
        <v>1</v>
      </c>
      <c r="AB23" t="str">
        <v/>
      </c>
      <c r="AD23" t="b">
        <f ca="1">AND(IF(metadata!B23="",FALSE,TRUE),COUNTIF(metadata!B:B, metadata!B23) = 1,NOT(ISERROR(SUMPRODUCT(SEARCH(MID(metadata!B23,ROW(INDIRECT("1:"&amp;LEN(metadata!B23))), 1),"0123456789abcdefghijklmnopqrstuvwxyzABCDEFGHIJKLMNOPQRSTUVWXYZ.")))))</f>
        <v>0</v>
      </c>
      <c r="AE23" t="b">
        <f>OR(AND(IF(metadata!C23="",FALSE,TRUE),OR(EXACT(metadata!C23,"not applicable"),EXACT(metadata!C23,"missing: not collected"),EXACT(metadata!C23,"missing: not provided"),EXACT(metadata!C23,"missing: restricted access"))),AND(IF(metadata!C23="",FALSE,ISNUMBER(VALUE(metadata!C23))),metadata!C23&gt;0))</f>
        <v>0</v>
      </c>
      <c r="AF23" t="b">
        <f>AND(IF(metadata!D23="",FALSE,TRUE),EXACT(metadata!D23,"missing: not provided"))</f>
        <v>0</v>
      </c>
      <c r="AG23" t="b">
        <f>AND(IF(metadata!E23="",FALSE,TRUE),EXACT(metadata!E23,"Host-associated"))</f>
        <v>0</v>
      </c>
      <c r="AH23" t="b">
        <f>AND(IF(metadata!F23="",FALSE,TRUE),OR(EXACT(metadata!F23,"Animal"),EXACT(metadata!F23,"Fungus"),EXACT(metadata!F23,"Plant")))</f>
        <v>0</v>
      </c>
      <c r="AI23" t="b">
        <f>AND(IF(metadata!G23="",FALSE,TRUE),OR(EXACT(metadata!G23,"Plant secretion"),EXACT(metadata!G23,"Plant rhizosphere"),EXACT(metadata!G23,"Plant surface"),EXACT(metadata!G23,"Plant corpus"),EXACT(metadata!G23,"Fungus surface"),EXACT(metadata!G23,"Fungus corpus"),EXACT(metadata!G23,"Animal surface"),EXACT(metadata!G23,"Animal proximal gut"),EXACT(metadata!G23,"Animal corpus"),EXACT(metadata!G23,"Animal distal gut"),EXACT(metadata!G23,"Animal secretion")))</f>
        <v>0</v>
      </c>
      <c r="AJ23" t="b">
        <f>OR(AND(IF(metadata!H23="",FALSE,TRUE),OR(EXACT(metadata!H23,"missing: not collected"),EXACT(metadata!H23,"missing: not provided"),EXACT(metadata!H23,"missing: restricted access"))),AND(IF(metadata!H23="",FALSE,TRUE),OR(EXACT(metadata!H23,"organism-associated habitat"),EXACT(metadata!H23,"plant-associated habitat"),EXACT(metadata!H23,"animal-associated habitat"),EXACT(metadata!H23,"insecta-associated habitat"),EXACT(metadata!H23,"mammalia-associated habitat"),EXACT(metadata!H23,"human-associated habitat"),EXACT(metadata!H23,"livestock-associated habitat"))))</f>
        <v>0</v>
      </c>
      <c r="AK23" t="b">
        <f>AND(IF(metadata!I23="",FALSE,TRUE),EXACT(metadata!I23,"host-associated"))</f>
        <v>0</v>
      </c>
      <c r="AL23" t="b">
        <f>OR(AND(IF(metadata!J23="",FALSE,TRUE),OR(EXACT(metadata!J23,"not applicable"),EXACT(metadata!J23,"missing: not collected"),EXACT(metadata!J23,"missing: not provided"),EXACT(metadata!J23,"missing: restricted access"))),AND(IF(metadata!J23="",FALSE,ISNUMBER(VALUE(metadata!J23))),metadata!J23&gt;0))</f>
        <v>0</v>
      </c>
      <c r="AM23" t="b">
        <f>AND(IF(metadata!K23="",FALSE,TRUE),EXACT(metadata!K23,"missing: not provided"))</f>
        <v>0</v>
      </c>
      <c r="AN23" t="b">
        <f>IF(metadata!L23="",FALSE,TRUE)</f>
        <v>0</v>
      </c>
      <c r="AO23" t="b">
        <f>IF(metadata!M23="",FALSE,TRUE)</f>
        <v>0</v>
      </c>
      <c r="AP23" t="b">
        <f>OR(AND(IF(metadata!N23="",FALSE,TRUE),OR(EXACT(metadata!N23,"not applicable"),EXACT(metadata!N23,"missing: not collected"),EXACT(metadata!N23,"missing: not provided"))),AND(IF(metadata!N23="",FALSE,IF(ISERROR(INT(metadata!N23)),FALSE,INT(metadata!N23)=metadata!N23)),metadata!N23&gt;0))</f>
        <v>0</v>
      </c>
      <c r="AQ23" t="b">
        <f>AND(IF(metadata!O23="",FALSE,TRUE),EXACT(metadata!O23,"Not applicable"))</f>
        <v>0</v>
      </c>
      <c r="AR23" t="b">
        <f>OR(AND(IF(metadata!P23="",FALSE,TRUE),OR(EXACT(metadata!P23,"not applicable"),EXACT(metadata!P23,"missing: not collected"),EXACT(metadata!P23,"missing: not provided"),EXACT(metadata!P23,"missing: restricted access"))),IF(metadata!P23="",FALSE,IF(ISERROR(INT(metadata!P23)),FALSE,INT(metadata!P23)=metadata!P23)))</f>
        <v>0</v>
      </c>
      <c r="AS23" t="b">
        <f>AND(IF(metadata!Q23="",FALSE,TRUE),EXACT(metadata!Q23,"Not applicable"))</f>
        <v>0</v>
      </c>
      <c r="AT23" t="b">
        <f>OR(AND(IF(metadata!R23="",FALSE,TRUE),OR(EXACT(metadata!R23,"not applicable"),EXACT(metadata!R23,"missing: not collected"),EXACT(metadata!R23,"missing: not provided"),EXACT(metadata!R23,"missing: restricted access"))),AND(IF(metadata!R23="",FALSE,ISNUMBER(VALUE(metadata!R23))),metadata!R23&gt;0))</f>
        <v>0</v>
      </c>
      <c r="AU23" t="b">
        <f>AND(IF(metadata!S23="",FALSE,TRUE),EXACT(metadata!S23,"missing: not provided"))</f>
        <v>0</v>
      </c>
    </row>
    <row r="24" spans="1:47" x14ac:dyDescent="0.2">
      <c r="A24" s="5" t="str">
        <f ca="1">IF(B24=" "," ",HYPERLINK(CONCATENATE("#metadata!",ADDRESS(INDEX($Y$2:$Y$1001,MATCH(ROWS($W$2:W24),$W$2:$W$1001,0),0),1)),INDEX($AB$2:$AB$1001,MATCH(ROWS($W$2:W24),$W$2:$W$1001,0),0)))</f>
        <v xml:space="preserve"> </v>
      </c>
      <c r="B24" s="4" t="str">
        <f ca="1">IF(OR(INDEX($X$2:$X$1001,MATCH(ROWS($W$2:W24),$W$2:$W$1001,0),1)&gt;=100000,INDEX($AD$1005:$AU$1005,1,MATCH(COLUMNS($AD$1006:AD1006),$AD$1006:$AU$1006,0))&gt;=100000), " ",IF(INDEX($AD$2:$AU$1001,MATCH(ROWS($W$2:W24),$W$2:$W$1001,0),MATCH(COLUMNS($AD$1006:AD1006),$AD$1006:$AU$1006,0)), HYPERLINK("#",""), HYPERLINK(CONCATENATE("#metadata!", ADDRESS(INDEX($Y$2:$Y$1001,MATCH(ROWS($W$2:W24),$W$2:$W$1001,0),0), INDEX($AD$1004:$AU$1004,1,MATCH(COLUMNS($AD$1006:AD1006),$AD$1006:$AU$1006,0)))),"Fix")))</f>
        <v xml:space="preserve"> </v>
      </c>
      <c r="C24" s="4" t="str">
        <f ca="1">IF(OR(INDEX($X$2:$X$1001,MATCH(ROWS($W$2:W24),$W$2:$W$1001,0),1)&gt;=100000,INDEX($AD$1005:$AU$1005,1,MATCH(COLUMNS($AD$1006:AE1006),$AD$1006:$AU$1006,0))&gt;=100000), " ",IF(INDEX($AD$2:$AU$1001,MATCH(ROWS($W$2:W24),$W$2:$W$1001,0),MATCH(COLUMNS($AD$1006:AE1006),$AD$1006:$AU$1006,0)), HYPERLINK("#",""), HYPERLINK(CONCATENATE("#metadata!", ADDRESS(INDEX($Y$2:$Y$1001,MATCH(ROWS($W$2:W24),$W$2:$W$1001,0),0), INDEX($AD$1004:$AU$1004,1,MATCH(COLUMNS($AD$1006:AE1006),$AD$1006:$AU$1006,0)))),"Fix")))</f>
        <v xml:space="preserve"> </v>
      </c>
      <c r="D24" s="4" t="str">
        <f ca="1">IF(OR(INDEX($X$2:$X$1001,MATCH(ROWS($W$2:W24),$W$2:$W$1001,0),1)&gt;=100000,INDEX($AD$1005:$AU$1005,1,MATCH(COLUMNS($AD$1006:AF1006),$AD$1006:$AU$1006,0))&gt;=100000), " ",IF(INDEX($AD$2:$AU$1001,MATCH(ROWS($W$2:W24),$W$2:$W$1001,0),MATCH(COLUMNS($AD$1006:AF1006),$AD$1006:$AU$1006,0)), HYPERLINK("#",""), HYPERLINK(CONCATENATE("#metadata!", ADDRESS(INDEX($Y$2:$Y$1001,MATCH(ROWS($W$2:W24),$W$2:$W$1001,0),0), INDEX($AD$1004:$AU$1004,1,MATCH(COLUMNS($AD$1006:AF1006),$AD$1006:$AU$1006,0)))),"Fix")))</f>
        <v xml:space="preserve"> </v>
      </c>
      <c r="E24" s="4" t="str">
        <f ca="1">IF(OR(INDEX($X$2:$X$1001,MATCH(ROWS($W$2:W24),$W$2:$W$1001,0),1)&gt;=100000,INDEX($AD$1005:$AU$1005,1,MATCH(COLUMNS($AD$1006:AG1006),$AD$1006:$AU$1006,0))&gt;=100000), " ",IF(INDEX($AD$2:$AU$1001,MATCH(ROWS($W$2:W24),$W$2:$W$1001,0),MATCH(COLUMNS($AD$1006:AG1006),$AD$1006:$AU$1006,0)), HYPERLINK("#",""), HYPERLINK(CONCATENATE("#metadata!", ADDRESS(INDEX($Y$2:$Y$1001,MATCH(ROWS($W$2:W24),$W$2:$W$1001,0),0), INDEX($AD$1004:$AU$1004,1,MATCH(COLUMNS($AD$1006:AG1006),$AD$1006:$AU$1006,0)))),"Fix")))</f>
        <v xml:space="preserve"> </v>
      </c>
      <c r="F24" s="4" t="str">
        <f ca="1">IF(OR(INDEX($X$2:$X$1001,MATCH(ROWS($W$2:W24),$W$2:$W$1001,0),1)&gt;=100000,INDEX($AD$1005:$AU$1005,1,MATCH(COLUMNS($AD$1006:AH1006),$AD$1006:$AU$1006,0))&gt;=100000), " ",IF(INDEX($AD$2:$AU$1001,MATCH(ROWS($W$2:W24),$W$2:$W$1001,0),MATCH(COLUMNS($AD$1006:AH1006),$AD$1006:$AU$1006,0)), HYPERLINK("#",""), HYPERLINK(CONCATENATE("#metadata!", ADDRESS(INDEX($Y$2:$Y$1001,MATCH(ROWS($W$2:W24),$W$2:$W$1001,0),0), INDEX($AD$1004:$AU$1004,1,MATCH(COLUMNS($AD$1006:AH1006),$AD$1006:$AU$1006,0)))),"Fix")))</f>
        <v xml:space="preserve"> </v>
      </c>
      <c r="G24" s="4" t="str">
        <f ca="1">IF(OR(INDEX($X$2:$X$1001,MATCH(ROWS($W$2:W24),$W$2:$W$1001,0),1)&gt;=100000,INDEX($AD$1005:$AU$1005,1,MATCH(COLUMNS($AD$1006:AI1006),$AD$1006:$AU$1006,0))&gt;=100000), " ",IF(INDEX($AD$2:$AU$1001,MATCH(ROWS($W$2:W24),$W$2:$W$1001,0),MATCH(COLUMNS($AD$1006:AI1006),$AD$1006:$AU$1006,0)), HYPERLINK("#",""), HYPERLINK(CONCATENATE("#metadata!", ADDRESS(INDEX($Y$2:$Y$1001,MATCH(ROWS($W$2:W24),$W$2:$W$1001,0),0), INDEX($AD$1004:$AU$1004,1,MATCH(COLUMNS($AD$1006:AI1006),$AD$1006:$AU$1006,0)))),"Fix")))</f>
        <v xml:space="preserve"> </v>
      </c>
      <c r="H24" s="4" t="str">
        <f ca="1">IF(OR(INDEX($X$2:$X$1001,MATCH(ROWS($W$2:W24),$W$2:$W$1001,0),1)&gt;=100000,INDEX($AD$1005:$AU$1005,1,MATCH(COLUMNS($AD$1006:AJ1006),$AD$1006:$AU$1006,0))&gt;=100000), " ",IF(INDEX($AD$2:$AU$1001,MATCH(ROWS($W$2:W24),$W$2:$W$1001,0),MATCH(COLUMNS($AD$1006:AJ1006),$AD$1006:$AU$1006,0)), HYPERLINK("#",""), HYPERLINK(CONCATENATE("#metadata!", ADDRESS(INDEX($Y$2:$Y$1001,MATCH(ROWS($W$2:W24),$W$2:$W$1001,0),0), INDEX($AD$1004:$AU$1004,1,MATCH(COLUMNS($AD$1006:AJ1006),$AD$1006:$AU$1006,0)))),"Fix")))</f>
        <v xml:space="preserve"> </v>
      </c>
      <c r="I24" s="4" t="str">
        <f ca="1">IF(OR(INDEX($X$2:$X$1001,MATCH(ROWS($W$2:W24),$W$2:$W$1001,0),1)&gt;=100000,INDEX($AD$1005:$AU$1005,1,MATCH(COLUMNS($AD$1006:AK1006),$AD$1006:$AU$1006,0))&gt;=100000), " ",IF(INDEX($AD$2:$AU$1001,MATCH(ROWS($W$2:W24),$W$2:$W$1001,0),MATCH(COLUMNS($AD$1006:AK1006),$AD$1006:$AU$1006,0)), HYPERLINK("#",""), HYPERLINK(CONCATENATE("#metadata!", ADDRESS(INDEX($Y$2:$Y$1001,MATCH(ROWS($W$2:W24),$W$2:$W$1001,0),0), INDEX($AD$1004:$AU$1004,1,MATCH(COLUMNS($AD$1006:AK1006),$AD$1006:$AU$1006,0)))),"Fix")))</f>
        <v xml:space="preserve"> </v>
      </c>
      <c r="J24" s="4" t="str">
        <f ca="1">IF(OR(INDEX($X$2:$X$1001,MATCH(ROWS($W$2:W24),$W$2:$W$1001,0),1)&gt;=100000,INDEX($AD$1005:$AU$1005,1,MATCH(COLUMNS($AD$1006:AL1006),$AD$1006:$AU$1006,0))&gt;=100000), " ",IF(INDEX($AD$2:$AU$1001,MATCH(ROWS($W$2:W24),$W$2:$W$1001,0),MATCH(COLUMNS($AD$1006:AL1006),$AD$1006:$AU$1006,0)), HYPERLINK("#",""), HYPERLINK(CONCATENATE("#metadata!", ADDRESS(INDEX($Y$2:$Y$1001,MATCH(ROWS($W$2:W24),$W$2:$W$1001,0),0), INDEX($AD$1004:$AU$1004,1,MATCH(COLUMNS($AD$1006:AL1006),$AD$1006:$AU$1006,0)))),"Fix")))</f>
        <v xml:space="preserve"> </v>
      </c>
      <c r="K24" s="4" t="str">
        <f ca="1">IF(OR(INDEX($X$2:$X$1001,MATCH(ROWS($W$2:W24),$W$2:$W$1001,0),1)&gt;=100000,INDEX($AD$1005:$AU$1005,1,MATCH(COLUMNS($AD$1006:AM1006),$AD$1006:$AU$1006,0))&gt;=100000), " ",IF(INDEX($AD$2:$AU$1001,MATCH(ROWS($W$2:W24),$W$2:$W$1001,0),MATCH(COLUMNS($AD$1006:AM1006),$AD$1006:$AU$1006,0)), HYPERLINK("#",""), HYPERLINK(CONCATENATE("#metadata!", ADDRESS(INDEX($Y$2:$Y$1001,MATCH(ROWS($W$2:W24),$W$2:$W$1001,0),0), INDEX($AD$1004:$AU$1004,1,MATCH(COLUMNS($AD$1006:AM1006),$AD$1006:$AU$1006,0)))),"Fix")))</f>
        <v xml:space="preserve"> </v>
      </c>
      <c r="L24" s="4" t="str">
        <f ca="1">IF(OR(INDEX($X$2:$X$1001,MATCH(ROWS($W$2:W24),$W$2:$W$1001,0),1)&gt;=100000,INDEX($AD$1005:$AU$1005,1,MATCH(COLUMNS($AD$1006:AN1006),$AD$1006:$AU$1006,0))&gt;=100000), " ",IF(INDEX($AD$2:$AU$1001,MATCH(ROWS($W$2:W24),$W$2:$W$1001,0),MATCH(COLUMNS($AD$1006:AN1006),$AD$1006:$AU$1006,0)), HYPERLINK("#",""), HYPERLINK(CONCATENATE("#metadata!", ADDRESS(INDEX($Y$2:$Y$1001,MATCH(ROWS($W$2:W24),$W$2:$W$1001,0),0), INDEX($AD$1004:$AU$1004,1,MATCH(COLUMNS($AD$1006:AN1006),$AD$1006:$AU$1006,0)))),"Fix")))</f>
        <v xml:space="preserve"> </v>
      </c>
      <c r="M24" s="4" t="str">
        <f ca="1">IF(OR(INDEX($X$2:$X$1001,MATCH(ROWS($W$2:W24),$W$2:$W$1001,0),1)&gt;=100000,INDEX($AD$1005:$AU$1005,1,MATCH(COLUMNS($AD$1006:AO1006),$AD$1006:$AU$1006,0))&gt;=100000), " ",IF(INDEX($AD$2:$AU$1001,MATCH(ROWS($W$2:W24),$W$2:$W$1001,0),MATCH(COLUMNS($AD$1006:AO1006),$AD$1006:$AU$1006,0)), HYPERLINK("#",""), HYPERLINK(CONCATENATE("#metadata!", ADDRESS(INDEX($Y$2:$Y$1001,MATCH(ROWS($W$2:W24),$W$2:$W$1001,0),0), INDEX($AD$1004:$AU$1004,1,MATCH(COLUMNS($AD$1006:AO1006),$AD$1006:$AU$1006,0)))),"Fix")))</f>
        <v xml:space="preserve"> </v>
      </c>
      <c r="N24" s="4" t="str">
        <f ca="1">IF(OR(INDEX($X$2:$X$1001,MATCH(ROWS($W$2:W24),$W$2:$W$1001,0),1)&gt;=100000,INDEX($AD$1005:$AU$1005,1,MATCH(COLUMNS($AD$1006:AP1006),$AD$1006:$AU$1006,0))&gt;=100000), " ",IF(INDEX($AD$2:$AU$1001,MATCH(ROWS($W$2:W24),$W$2:$W$1001,0),MATCH(COLUMNS($AD$1006:AP1006),$AD$1006:$AU$1006,0)), HYPERLINK("#",""), HYPERLINK(CONCATENATE("#metadata!", ADDRESS(INDEX($Y$2:$Y$1001,MATCH(ROWS($W$2:W24),$W$2:$W$1001,0),0), INDEX($AD$1004:$AU$1004,1,MATCH(COLUMNS($AD$1006:AP1006),$AD$1006:$AU$1006,0)))),"Fix")))</f>
        <v xml:space="preserve"> </v>
      </c>
      <c r="O24" s="4" t="str">
        <f ca="1">IF(OR(INDEX($X$2:$X$1001,MATCH(ROWS($W$2:W24),$W$2:$W$1001,0),1)&gt;=100000,INDEX($AD$1005:$AU$1005,1,MATCH(COLUMNS($AD$1006:AQ1006),$AD$1006:$AU$1006,0))&gt;=100000), " ",IF(INDEX($AD$2:$AU$1001,MATCH(ROWS($W$2:W24),$W$2:$W$1001,0),MATCH(COLUMNS($AD$1006:AQ1006),$AD$1006:$AU$1006,0)), HYPERLINK("#",""), HYPERLINK(CONCATENATE("#metadata!", ADDRESS(INDEX($Y$2:$Y$1001,MATCH(ROWS($W$2:W24),$W$2:$W$1001,0),0), INDEX($AD$1004:$AU$1004,1,MATCH(COLUMNS($AD$1006:AQ1006),$AD$1006:$AU$1006,0)))),"Fix")))</f>
        <v xml:space="preserve"> </v>
      </c>
      <c r="P24" s="4" t="str">
        <f ca="1">IF(OR(INDEX($X$2:$X$1001,MATCH(ROWS($W$2:W24),$W$2:$W$1001,0),1)&gt;=100000,INDEX($AD$1005:$AU$1005,1,MATCH(COLUMNS($AD$1006:AR1006),$AD$1006:$AU$1006,0))&gt;=100000), " ",IF(INDEX($AD$2:$AU$1001,MATCH(ROWS($W$2:W24),$W$2:$W$1001,0),MATCH(COLUMNS($AD$1006:AR1006),$AD$1006:$AU$1006,0)), HYPERLINK("#",""), HYPERLINK(CONCATENATE("#metadata!", ADDRESS(INDEX($Y$2:$Y$1001,MATCH(ROWS($W$2:W24),$W$2:$W$1001,0),0), INDEX($AD$1004:$AU$1004,1,MATCH(COLUMNS($AD$1006:AR1006),$AD$1006:$AU$1006,0)))),"Fix")))</f>
        <v xml:space="preserve"> </v>
      </c>
      <c r="Q24" s="4" t="str">
        <f ca="1">IF(OR(INDEX($X$2:$X$1001,MATCH(ROWS($W$2:W24),$W$2:$W$1001,0),1)&gt;=100000,INDEX($AD$1005:$AU$1005,1,MATCH(COLUMNS($AD$1006:AS1006),$AD$1006:$AU$1006,0))&gt;=100000), " ",IF(INDEX($AD$2:$AU$1001,MATCH(ROWS($W$2:W24),$W$2:$W$1001,0),MATCH(COLUMNS($AD$1006:AS1006),$AD$1006:$AU$1006,0)), HYPERLINK("#",""), HYPERLINK(CONCATENATE("#metadata!", ADDRESS(INDEX($Y$2:$Y$1001,MATCH(ROWS($W$2:W24),$W$2:$W$1001,0),0), INDEX($AD$1004:$AU$1004,1,MATCH(COLUMNS($AD$1006:AS1006),$AD$1006:$AU$1006,0)))),"Fix")))</f>
        <v xml:space="preserve"> </v>
      </c>
      <c r="R24" s="4" t="str">
        <f ca="1">IF(OR(INDEX($X$2:$X$1001,MATCH(ROWS($W$2:W24),$W$2:$W$1001,0),1)&gt;=100000,INDEX($AD$1005:$AU$1005,1,MATCH(COLUMNS($AD$1006:AT1006),$AD$1006:$AU$1006,0))&gt;=100000), " ",IF(INDEX($AD$2:$AU$1001,MATCH(ROWS($W$2:W24),$W$2:$W$1001,0),MATCH(COLUMNS($AD$1006:AT1006),$AD$1006:$AU$1006,0)), HYPERLINK("#",""), HYPERLINK(CONCATENATE("#metadata!", ADDRESS(INDEX($Y$2:$Y$1001,MATCH(ROWS($W$2:W24),$W$2:$W$1001,0),0), INDEX($AD$1004:$AU$1004,1,MATCH(COLUMNS($AD$1006:AT1006),$AD$1006:$AU$1006,0)))),"Fix")))</f>
        <v xml:space="preserve"> </v>
      </c>
      <c r="S24" s="4" t="str">
        <f ca="1">IF(OR(INDEX($X$2:$X$1001,MATCH(ROWS($W$2:W24),$W$2:$W$1001,0),1)&gt;=100000,INDEX($AD$1005:$AU$1005,1,MATCH(COLUMNS($AD$1006:AU1006),$AD$1006:$AU$1006,0))&gt;=100000), " ",IF(INDEX($AD$2:$AU$1001,MATCH(ROWS($W$2:W24),$W$2:$W$1001,0),MATCH(COLUMNS($AD$1006:AU1006),$AD$1006:$AU$1006,0)), HYPERLINK("#",""), HYPERLINK(CONCATENATE("#metadata!", ADDRESS(INDEX($Y$2:$Y$1001,MATCH(ROWS($W$2:W24),$W$2:$W$1001,0),0), INDEX($AD$1004:$AU$1004,1,MATCH(COLUMNS($AD$1006:AU1006),$AD$1006:$AU$1006,0)))),"Fix")))</f>
        <v xml:space="preserve"> </v>
      </c>
      <c r="W24">
        <v>23</v>
      </c>
      <c r="X24">
        <v>100024</v>
      </c>
      <c r="Y24">
        <v>24</v>
      </c>
      <c r="Z24" t="b">
        <f t="shared" si="0"/>
        <v>1</v>
      </c>
      <c r="AA24" t="b">
        <f>COUNTBLANK(metadata!B24:S24)=COLUMNS(metadata!B24:S24)</f>
        <v>1</v>
      </c>
      <c r="AB24" t="str">
        <v/>
      </c>
      <c r="AD24" t="b">
        <f ca="1">AND(IF(metadata!B24="",FALSE,TRUE),COUNTIF(metadata!B:B, metadata!B24) = 1,NOT(ISERROR(SUMPRODUCT(SEARCH(MID(metadata!B24,ROW(INDIRECT("1:"&amp;LEN(metadata!B24))), 1),"0123456789abcdefghijklmnopqrstuvwxyzABCDEFGHIJKLMNOPQRSTUVWXYZ.")))))</f>
        <v>0</v>
      </c>
      <c r="AE24" t="b">
        <f>OR(AND(IF(metadata!C24="",FALSE,TRUE),OR(EXACT(metadata!C24,"not applicable"),EXACT(metadata!C24,"missing: not collected"),EXACT(metadata!C24,"missing: not provided"),EXACT(metadata!C24,"missing: restricted access"))),AND(IF(metadata!C24="",FALSE,ISNUMBER(VALUE(metadata!C24))),metadata!C24&gt;0))</f>
        <v>0</v>
      </c>
      <c r="AF24" t="b">
        <f>AND(IF(metadata!D24="",FALSE,TRUE),EXACT(metadata!D24,"missing: not provided"))</f>
        <v>0</v>
      </c>
      <c r="AG24" t="b">
        <f>AND(IF(metadata!E24="",FALSE,TRUE),EXACT(metadata!E24,"Host-associated"))</f>
        <v>0</v>
      </c>
      <c r="AH24" t="b">
        <f>AND(IF(metadata!F24="",FALSE,TRUE),OR(EXACT(metadata!F24,"Animal"),EXACT(metadata!F24,"Fungus"),EXACT(metadata!F24,"Plant")))</f>
        <v>0</v>
      </c>
      <c r="AI24" t="b">
        <f>AND(IF(metadata!G24="",FALSE,TRUE),OR(EXACT(metadata!G24,"Plant secretion"),EXACT(metadata!G24,"Plant rhizosphere"),EXACT(metadata!G24,"Plant surface"),EXACT(metadata!G24,"Plant corpus"),EXACT(metadata!G24,"Fungus surface"),EXACT(metadata!G24,"Fungus corpus"),EXACT(metadata!G24,"Animal surface"),EXACT(metadata!G24,"Animal proximal gut"),EXACT(metadata!G24,"Animal corpus"),EXACT(metadata!G24,"Animal distal gut"),EXACT(metadata!G24,"Animal secretion")))</f>
        <v>0</v>
      </c>
      <c r="AJ24" t="b">
        <f>OR(AND(IF(metadata!H24="",FALSE,TRUE),OR(EXACT(metadata!H24,"missing: not collected"),EXACT(metadata!H24,"missing: not provided"),EXACT(metadata!H24,"missing: restricted access"))),AND(IF(metadata!H24="",FALSE,TRUE),OR(EXACT(metadata!H24,"organism-associated habitat"),EXACT(metadata!H24,"plant-associated habitat"),EXACT(metadata!H24,"animal-associated habitat"),EXACT(metadata!H24,"insecta-associated habitat"),EXACT(metadata!H24,"mammalia-associated habitat"),EXACT(metadata!H24,"human-associated habitat"),EXACT(metadata!H24,"livestock-associated habitat"))))</f>
        <v>0</v>
      </c>
      <c r="AK24" t="b">
        <f>AND(IF(metadata!I24="",FALSE,TRUE),EXACT(metadata!I24,"host-associated"))</f>
        <v>0</v>
      </c>
      <c r="AL24" t="b">
        <f>OR(AND(IF(metadata!J24="",FALSE,TRUE),OR(EXACT(metadata!J24,"not applicable"),EXACT(metadata!J24,"missing: not collected"),EXACT(metadata!J24,"missing: not provided"),EXACT(metadata!J24,"missing: restricted access"))),AND(IF(metadata!J24="",FALSE,ISNUMBER(VALUE(metadata!J24))),metadata!J24&gt;0))</f>
        <v>0</v>
      </c>
      <c r="AM24" t="b">
        <f>AND(IF(metadata!K24="",FALSE,TRUE),EXACT(metadata!K24,"missing: not provided"))</f>
        <v>0</v>
      </c>
      <c r="AN24" t="b">
        <f>IF(metadata!L24="",FALSE,TRUE)</f>
        <v>0</v>
      </c>
      <c r="AO24" t="b">
        <f>IF(metadata!M24="",FALSE,TRUE)</f>
        <v>0</v>
      </c>
      <c r="AP24" t="b">
        <f>OR(AND(IF(metadata!N24="",FALSE,TRUE),OR(EXACT(metadata!N24,"not applicable"),EXACT(metadata!N24,"missing: not collected"),EXACT(metadata!N24,"missing: not provided"))),AND(IF(metadata!N24="",FALSE,IF(ISERROR(INT(metadata!N24)),FALSE,INT(metadata!N24)=metadata!N24)),metadata!N24&gt;0))</f>
        <v>0</v>
      </c>
      <c r="AQ24" t="b">
        <f>AND(IF(metadata!O24="",FALSE,TRUE),EXACT(metadata!O24,"Not applicable"))</f>
        <v>0</v>
      </c>
      <c r="AR24" t="b">
        <f>OR(AND(IF(metadata!P24="",FALSE,TRUE),OR(EXACT(metadata!P24,"not applicable"),EXACT(metadata!P24,"missing: not collected"),EXACT(metadata!P24,"missing: not provided"),EXACT(metadata!P24,"missing: restricted access"))),IF(metadata!P24="",FALSE,IF(ISERROR(INT(metadata!P24)),FALSE,INT(metadata!P24)=metadata!P24)))</f>
        <v>0</v>
      </c>
      <c r="AS24" t="b">
        <f>AND(IF(metadata!Q24="",FALSE,TRUE),EXACT(metadata!Q24,"Not applicable"))</f>
        <v>0</v>
      </c>
      <c r="AT24" t="b">
        <f>OR(AND(IF(metadata!R24="",FALSE,TRUE),OR(EXACT(metadata!R24,"not applicable"),EXACT(metadata!R24,"missing: not collected"),EXACT(metadata!R24,"missing: not provided"),EXACT(metadata!R24,"missing: restricted access"))),AND(IF(metadata!R24="",FALSE,ISNUMBER(VALUE(metadata!R24))),metadata!R24&gt;0))</f>
        <v>0</v>
      </c>
      <c r="AU24" t="b">
        <f>AND(IF(metadata!S24="",FALSE,TRUE),EXACT(metadata!S24,"missing: not provided"))</f>
        <v>0</v>
      </c>
    </row>
    <row r="25" spans="1:47" x14ac:dyDescent="0.2">
      <c r="A25" s="5" t="str">
        <f ca="1">IF(B25=" "," ",HYPERLINK(CONCATENATE("#metadata!",ADDRESS(INDEX($Y$2:$Y$1001,MATCH(ROWS($W$2:W25),$W$2:$W$1001,0),0),1)),INDEX($AB$2:$AB$1001,MATCH(ROWS($W$2:W25),$W$2:$W$1001,0),0)))</f>
        <v xml:space="preserve"> </v>
      </c>
      <c r="B25" s="4" t="str">
        <f ca="1">IF(OR(INDEX($X$2:$X$1001,MATCH(ROWS($W$2:W25),$W$2:$W$1001,0),1)&gt;=100000,INDEX($AD$1005:$AU$1005,1,MATCH(COLUMNS($AD$1006:AD1006),$AD$1006:$AU$1006,0))&gt;=100000), " ",IF(INDEX($AD$2:$AU$1001,MATCH(ROWS($W$2:W25),$W$2:$W$1001,0),MATCH(COLUMNS($AD$1006:AD1006),$AD$1006:$AU$1006,0)), HYPERLINK("#",""), HYPERLINK(CONCATENATE("#metadata!", ADDRESS(INDEX($Y$2:$Y$1001,MATCH(ROWS($W$2:W25),$W$2:$W$1001,0),0), INDEX($AD$1004:$AU$1004,1,MATCH(COLUMNS($AD$1006:AD1006),$AD$1006:$AU$1006,0)))),"Fix")))</f>
        <v xml:space="preserve"> </v>
      </c>
      <c r="C25" s="4" t="str">
        <f ca="1">IF(OR(INDEX($X$2:$X$1001,MATCH(ROWS($W$2:W25),$W$2:$W$1001,0),1)&gt;=100000,INDEX($AD$1005:$AU$1005,1,MATCH(COLUMNS($AD$1006:AE1006),$AD$1006:$AU$1006,0))&gt;=100000), " ",IF(INDEX($AD$2:$AU$1001,MATCH(ROWS($W$2:W25),$W$2:$W$1001,0),MATCH(COLUMNS($AD$1006:AE1006),$AD$1006:$AU$1006,0)), HYPERLINK("#",""), HYPERLINK(CONCATENATE("#metadata!", ADDRESS(INDEX($Y$2:$Y$1001,MATCH(ROWS($W$2:W25),$W$2:$W$1001,0),0), INDEX($AD$1004:$AU$1004,1,MATCH(COLUMNS($AD$1006:AE1006),$AD$1006:$AU$1006,0)))),"Fix")))</f>
        <v xml:space="preserve"> </v>
      </c>
      <c r="D25" s="4" t="str">
        <f ca="1">IF(OR(INDEX($X$2:$X$1001,MATCH(ROWS($W$2:W25),$W$2:$W$1001,0),1)&gt;=100000,INDEX($AD$1005:$AU$1005,1,MATCH(COLUMNS($AD$1006:AF1006),$AD$1006:$AU$1006,0))&gt;=100000), " ",IF(INDEX($AD$2:$AU$1001,MATCH(ROWS($W$2:W25),$W$2:$W$1001,0),MATCH(COLUMNS($AD$1006:AF1006),$AD$1006:$AU$1006,0)), HYPERLINK("#",""), HYPERLINK(CONCATENATE("#metadata!", ADDRESS(INDEX($Y$2:$Y$1001,MATCH(ROWS($W$2:W25),$W$2:$W$1001,0),0), INDEX($AD$1004:$AU$1004,1,MATCH(COLUMNS($AD$1006:AF1006),$AD$1006:$AU$1006,0)))),"Fix")))</f>
        <v xml:space="preserve"> </v>
      </c>
      <c r="E25" s="4" t="str">
        <f ca="1">IF(OR(INDEX($X$2:$X$1001,MATCH(ROWS($W$2:W25),$W$2:$W$1001,0),1)&gt;=100000,INDEX($AD$1005:$AU$1005,1,MATCH(COLUMNS($AD$1006:AG1006),$AD$1006:$AU$1006,0))&gt;=100000), " ",IF(INDEX($AD$2:$AU$1001,MATCH(ROWS($W$2:W25),$W$2:$W$1001,0),MATCH(COLUMNS($AD$1006:AG1006),$AD$1006:$AU$1006,0)), HYPERLINK("#",""), HYPERLINK(CONCATENATE("#metadata!", ADDRESS(INDEX($Y$2:$Y$1001,MATCH(ROWS($W$2:W25),$W$2:$W$1001,0),0), INDEX($AD$1004:$AU$1004,1,MATCH(COLUMNS($AD$1006:AG1006),$AD$1006:$AU$1006,0)))),"Fix")))</f>
        <v xml:space="preserve"> </v>
      </c>
      <c r="F25" s="4" t="str">
        <f ca="1">IF(OR(INDEX($X$2:$X$1001,MATCH(ROWS($W$2:W25),$W$2:$W$1001,0),1)&gt;=100000,INDEX($AD$1005:$AU$1005,1,MATCH(COLUMNS($AD$1006:AH1006),$AD$1006:$AU$1006,0))&gt;=100000), " ",IF(INDEX($AD$2:$AU$1001,MATCH(ROWS($W$2:W25),$W$2:$W$1001,0),MATCH(COLUMNS($AD$1006:AH1006),$AD$1006:$AU$1006,0)), HYPERLINK("#",""), HYPERLINK(CONCATENATE("#metadata!", ADDRESS(INDEX($Y$2:$Y$1001,MATCH(ROWS($W$2:W25),$W$2:$W$1001,0),0), INDEX($AD$1004:$AU$1004,1,MATCH(COLUMNS($AD$1006:AH1006),$AD$1006:$AU$1006,0)))),"Fix")))</f>
        <v xml:space="preserve"> </v>
      </c>
      <c r="G25" s="4" t="str">
        <f ca="1">IF(OR(INDEX($X$2:$X$1001,MATCH(ROWS($W$2:W25),$W$2:$W$1001,0),1)&gt;=100000,INDEX($AD$1005:$AU$1005,1,MATCH(COLUMNS($AD$1006:AI1006),$AD$1006:$AU$1006,0))&gt;=100000), " ",IF(INDEX($AD$2:$AU$1001,MATCH(ROWS($W$2:W25),$W$2:$W$1001,0),MATCH(COLUMNS($AD$1006:AI1006),$AD$1006:$AU$1006,0)), HYPERLINK("#",""), HYPERLINK(CONCATENATE("#metadata!", ADDRESS(INDEX($Y$2:$Y$1001,MATCH(ROWS($W$2:W25),$W$2:$W$1001,0),0), INDEX($AD$1004:$AU$1004,1,MATCH(COLUMNS($AD$1006:AI1006),$AD$1006:$AU$1006,0)))),"Fix")))</f>
        <v xml:space="preserve"> </v>
      </c>
      <c r="H25" s="4" t="str">
        <f ca="1">IF(OR(INDEX($X$2:$X$1001,MATCH(ROWS($W$2:W25),$W$2:$W$1001,0),1)&gt;=100000,INDEX($AD$1005:$AU$1005,1,MATCH(COLUMNS($AD$1006:AJ1006),$AD$1006:$AU$1006,0))&gt;=100000), " ",IF(INDEX($AD$2:$AU$1001,MATCH(ROWS($W$2:W25),$W$2:$W$1001,0),MATCH(COLUMNS($AD$1006:AJ1006),$AD$1006:$AU$1006,0)), HYPERLINK("#",""), HYPERLINK(CONCATENATE("#metadata!", ADDRESS(INDEX($Y$2:$Y$1001,MATCH(ROWS($W$2:W25),$W$2:$W$1001,0),0), INDEX($AD$1004:$AU$1004,1,MATCH(COLUMNS($AD$1006:AJ1006),$AD$1006:$AU$1006,0)))),"Fix")))</f>
        <v xml:space="preserve"> </v>
      </c>
      <c r="I25" s="4" t="str">
        <f ca="1">IF(OR(INDEX($X$2:$X$1001,MATCH(ROWS($W$2:W25),$W$2:$W$1001,0),1)&gt;=100000,INDEX($AD$1005:$AU$1005,1,MATCH(COLUMNS($AD$1006:AK1006),$AD$1006:$AU$1006,0))&gt;=100000), " ",IF(INDEX($AD$2:$AU$1001,MATCH(ROWS($W$2:W25),$W$2:$W$1001,0),MATCH(COLUMNS($AD$1006:AK1006),$AD$1006:$AU$1006,0)), HYPERLINK("#",""), HYPERLINK(CONCATENATE("#metadata!", ADDRESS(INDEX($Y$2:$Y$1001,MATCH(ROWS($W$2:W25),$W$2:$W$1001,0),0), INDEX($AD$1004:$AU$1004,1,MATCH(COLUMNS($AD$1006:AK1006),$AD$1006:$AU$1006,0)))),"Fix")))</f>
        <v xml:space="preserve"> </v>
      </c>
      <c r="J25" s="4" t="str">
        <f ca="1">IF(OR(INDEX($X$2:$X$1001,MATCH(ROWS($W$2:W25),$W$2:$W$1001,0),1)&gt;=100000,INDEX($AD$1005:$AU$1005,1,MATCH(COLUMNS($AD$1006:AL1006),$AD$1006:$AU$1006,0))&gt;=100000), " ",IF(INDEX($AD$2:$AU$1001,MATCH(ROWS($W$2:W25),$W$2:$W$1001,0),MATCH(COLUMNS($AD$1006:AL1006),$AD$1006:$AU$1006,0)), HYPERLINK("#",""), HYPERLINK(CONCATENATE("#metadata!", ADDRESS(INDEX($Y$2:$Y$1001,MATCH(ROWS($W$2:W25),$W$2:$W$1001,0),0), INDEX($AD$1004:$AU$1004,1,MATCH(COLUMNS($AD$1006:AL1006),$AD$1006:$AU$1006,0)))),"Fix")))</f>
        <v xml:space="preserve"> </v>
      </c>
      <c r="K25" s="4" t="str">
        <f ca="1">IF(OR(INDEX($X$2:$X$1001,MATCH(ROWS($W$2:W25),$W$2:$W$1001,0),1)&gt;=100000,INDEX($AD$1005:$AU$1005,1,MATCH(COLUMNS($AD$1006:AM1006),$AD$1006:$AU$1006,0))&gt;=100000), " ",IF(INDEX($AD$2:$AU$1001,MATCH(ROWS($W$2:W25),$W$2:$W$1001,0),MATCH(COLUMNS($AD$1006:AM1006),$AD$1006:$AU$1006,0)), HYPERLINK("#",""), HYPERLINK(CONCATENATE("#metadata!", ADDRESS(INDEX($Y$2:$Y$1001,MATCH(ROWS($W$2:W25),$W$2:$W$1001,0),0), INDEX($AD$1004:$AU$1004,1,MATCH(COLUMNS($AD$1006:AM1006),$AD$1006:$AU$1006,0)))),"Fix")))</f>
        <v xml:space="preserve"> </v>
      </c>
      <c r="L25" s="4" t="str">
        <f ca="1">IF(OR(INDEX($X$2:$X$1001,MATCH(ROWS($W$2:W25),$W$2:$W$1001,0),1)&gt;=100000,INDEX($AD$1005:$AU$1005,1,MATCH(COLUMNS($AD$1006:AN1006),$AD$1006:$AU$1006,0))&gt;=100000), " ",IF(INDEX($AD$2:$AU$1001,MATCH(ROWS($W$2:W25),$W$2:$W$1001,0),MATCH(COLUMNS($AD$1006:AN1006),$AD$1006:$AU$1006,0)), HYPERLINK("#",""), HYPERLINK(CONCATENATE("#metadata!", ADDRESS(INDEX($Y$2:$Y$1001,MATCH(ROWS($W$2:W25),$W$2:$W$1001,0),0), INDEX($AD$1004:$AU$1004,1,MATCH(COLUMNS($AD$1006:AN1006),$AD$1006:$AU$1006,0)))),"Fix")))</f>
        <v xml:space="preserve"> </v>
      </c>
      <c r="M25" s="4" t="str">
        <f ca="1">IF(OR(INDEX($X$2:$X$1001,MATCH(ROWS($W$2:W25),$W$2:$W$1001,0),1)&gt;=100000,INDEX($AD$1005:$AU$1005,1,MATCH(COLUMNS($AD$1006:AO1006),$AD$1006:$AU$1006,0))&gt;=100000), " ",IF(INDEX($AD$2:$AU$1001,MATCH(ROWS($W$2:W25),$W$2:$W$1001,0),MATCH(COLUMNS($AD$1006:AO1006),$AD$1006:$AU$1006,0)), HYPERLINK("#",""), HYPERLINK(CONCATENATE("#metadata!", ADDRESS(INDEX($Y$2:$Y$1001,MATCH(ROWS($W$2:W25),$W$2:$W$1001,0),0), INDEX($AD$1004:$AU$1004,1,MATCH(COLUMNS($AD$1006:AO1006),$AD$1006:$AU$1006,0)))),"Fix")))</f>
        <v xml:space="preserve"> </v>
      </c>
      <c r="N25" s="4" t="str">
        <f ca="1">IF(OR(INDEX($X$2:$X$1001,MATCH(ROWS($W$2:W25),$W$2:$W$1001,0),1)&gt;=100000,INDEX($AD$1005:$AU$1005,1,MATCH(COLUMNS($AD$1006:AP1006),$AD$1006:$AU$1006,0))&gt;=100000), " ",IF(INDEX($AD$2:$AU$1001,MATCH(ROWS($W$2:W25),$W$2:$W$1001,0),MATCH(COLUMNS($AD$1006:AP1006),$AD$1006:$AU$1006,0)), HYPERLINK("#",""), HYPERLINK(CONCATENATE("#metadata!", ADDRESS(INDEX($Y$2:$Y$1001,MATCH(ROWS($W$2:W25),$W$2:$W$1001,0),0), INDEX($AD$1004:$AU$1004,1,MATCH(COLUMNS($AD$1006:AP1006),$AD$1006:$AU$1006,0)))),"Fix")))</f>
        <v xml:space="preserve"> </v>
      </c>
      <c r="O25" s="4" t="str">
        <f ca="1">IF(OR(INDEX($X$2:$X$1001,MATCH(ROWS($W$2:W25),$W$2:$W$1001,0),1)&gt;=100000,INDEX($AD$1005:$AU$1005,1,MATCH(COLUMNS($AD$1006:AQ1006),$AD$1006:$AU$1006,0))&gt;=100000), " ",IF(INDEX($AD$2:$AU$1001,MATCH(ROWS($W$2:W25),$W$2:$W$1001,0),MATCH(COLUMNS($AD$1006:AQ1006),$AD$1006:$AU$1006,0)), HYPERLINK("#",""), HYPERLINK(CONCATENATE("#metadata!", ADDRESS(INDEX($Y$2:$Y$1001,MATCH(ROWS($W$2:W25),$W$2:$W$1001,0),0), INDEX($AD$1004:$AU$1004,1,MATCH(COLUMNS($AD$1006:AQ1006),$AD$1006:$AU$1006,0)))),"Fix")))</f>
        <v xml:space="preserve"> </v>
      </c>
      <c r="P25" s="4" t="str">
        <f ca="1">IF(OR(INDEX($X$2:$X$1001,MATCH(ROWS($W$2:W25),$W$2:$W$1001,0),1)&gt;=100000,INDEX($AD$1005:$AU$1005,1,MATCH(COLUMNS($AD$1006:AR1006),$AD$1006:$AU$1006,0))&gt;=100000), " ",IF(INDEX($AD$2:$AU$1001,MATCH(ROWS($W$2:W25),$W$2:$W$1001,0),MATCH(COLUMNS($AD$1006:AR1006),$AD$1006:$AU$1006,0)), HYPERLINK("#",""), HYPERLINK(CONCATENATE("#metadata!", ADDRESS(INDEX($Y$2:$Y$1001,MATCH(ROWS($W$2:W25),$W$2:$W$1001,0),0), INDEX($AD$1004:$AU$1004,1,MATCH(COLUMNS($AD$1006:AR1006),$AD$1006:$AU$1006,0)))),"Fix")))</f>
        <v xml:space="preserve"> </v>
      </c>
      <c r="Q25" s="4" t="str">
        <f ca="1">IF(OR(INDEX($X$2:$X$1001,MATCH(ROWS($W$2:W25),$W$2:$W$1001,0),1)&gt;=100000,INDEX($AD$1005:$AU$1005,1,MATCH(COLUMNS($AD$1006:AS1006),$AD$1006:$AU$1006,0))&gt;=100000), " ",IF(INDEX($AD$2:$AU$1001,MATCH(ROWS($W$2:W25),$W$2:$W$1001,0),MATCH(COLUMNS($AD$1006:AS1006),$AD$1006:$AU$1006,0)), HYPERLINK("#",""), HYPERLINK(CONCATENATE("#metadata!", ADDRESS(INDEX($Y$2:$Y$1001,MATCH(ROWS($W$2:W25),$W$2:$W$1001,0),0), INDEX($AD$1004:$AU$1004,1,MATCH(COLUMNS($AD$1006:AS1006),$AD$1006:$AU$1006,0)))),"Fix")))</f>
        <v xml:space="preserve"> </v>
      </c>
      <c r="R25" s="4" t="str">
        <f ca="1">IF(OR(INDEX($X$2:$X$1001,MATCH(ROWS($W$2:W25),$W$2:$W$1001,0),1)&gt;=100000,INDEX($AD$1005:$AU$1005,1,MATCH(COLUMNS($AD$1006:AT1006),$AD$1006:$AU$1006,0))&gt;=100000), " ",IF(INDEX($AD$2:$AU$1001,MATCH(ROWS($W$2:W25),$W$2:$W$1001,0),MATCH(COLUMNS($AD$1006:AT1006),$AD$1006:$AU$1006,0)), HYPERLINK("#",""), HYPERLINK(CONCATENATE("#metadata!", ADDRESS(INDEX($Y$2:$Y$1001,MATCH(ROWS($W$2:W25),$W$2:$W$1001,0),0), INDEX($AD$1004:$AU$1004,1,MATCH(COLUMNS($AD$1006:AT1006),$AD$1006:$AU$1006,0)))),"Fix")))</f>
        <v xml:space="preserve"> </v>
      </c>
      <c r="S25" s="4" t="str">
        <f ca="1">IF(OR(INDEX($X$2:$X$1001,MATCH(ROWS($W$2:W25),$W$2:$W$1001,0),1)&gt;=100000,INDEX($AD$1005:$AU$1005,1,MATCH(COLUMNS($AD$1006:AU1006),$AD$1006:$AU$1006,0))&gt;=100000), " ",IF(INDEX($AD$2:$AU$1001,MATCH(ROWS($W$2:W25),$W$2:$W$1001,0),MATCH(COLUMNS($AD$1006:AU1006),$AD$1006:$AU$1006,0)), HYPERLINK("#",""), HYPERLINK(CONCATENATE("#metadata!", ADDRESS(INDEX($Y$2:$Y$1001,MATCH(ROWS($W$2:W25),$W$2:$W$1001,0),0), INDEX($AD$1004:$AU$1004,1,MATCH(COLUMNS($AD$1006:AU1006),$AD$1006:$AU$1006,0)))),"Fix")))</f>
        <v xml:space="preserve"> </v>
      </c>
      <c r="W25">
        <v>24</v>
      </c>
      <c r="X25">
        <v>100025</v>
      </c>
      <c r="Y25">
        <v>25</v>
      </c>
      <c r="Z25" t="b">
        <f t="shared" si="0"/>
        <v>1</v>
      </c>
      <c r="AA25" t="b">
        <f>COUNTBLANK(metadata!B25:S25)=COLUMNS(metadata!B25:S25)</f>
        <v>1</v>
      </c>
      <c r="AB25" t="str">
        <v/>
      </c>
      <c r="AD25" t="b">
        <f ca="1">AND(IF(metadata!B25="",FALSE,TRUE),COUNTIF(metadata!B:B, metadata!B25) = 1,NOT(ISERROR(SUMPRODUCT(SEARCH(MID(metadata!B25,ROW(INDIRECT("1:"&amp;LEN(metadata!B25))), 1),"0123456789abcdefghijklmnopqrstuvwxyzABCDEFGHIJKLMNOPQRSTUVWXYZ.")))))</f>
        <v>0</v>
      </c>
      <c r="AE25" t="b">
        <f>OR(AND(IF(metadata!C25="",FALSE,TRUE),OR(EXACT(metadata!C25,"not applicable"),EXACT(metadata!C25,"missing: not collected"),EXACT(metadata!C25,"missing: not provided"),EXACT(metadata!C25,"missing: restricted access"))),AND(IF(metadata!C25="",FALSE,ISNUMBER(VALUE(metadata!C25))),metadata!C25&gt;0))</f>
        <v>0</v>
      </c>
      <c r="AF25" t="b">
        <f>AND(IF(metadata!D25="",FALSE,TRUE),EXACT(metadata!D25,"missing: not provided"))</f>
        <v>0</v>
      </c>
      <c r="AG25" t="b">
        <f>AND(IF(metadata!E25="",FALSE,TRUE),EXACT(metadata!E25,"Host-associated"))</f>
        <v>0</v>
      </c>
      <c r="AH25" t="b">
        <f>AND(IF(metadata!F25="",FALSE,TRUE),OR(EXACT(metadata!F25,"Animal"),EXACT(metadata!F25,"Fungus"),EXACT(metadata!F25,"Plant")))</f>
        <v>0</v>
      </c>
      <c r="AI25" t="b">
        <f>AND(IF(metadata!G25="",FALSE,TRUE),OR(EXACT(metadata!G25,"Plant secretion"),EXACT(metadata!G25,"Plant rhizosphere"),EXACT(metadata!G25,"Plant surface"),EXACT(metadata!G25,"Plant corpus"),EXACT(metadata!G25,"Fungus surface"),EXACT(metadata!G25,"Fungus corpus"),EXACT(metadata!G25,"Animal surface"),EXACT(metadata!G25,"Animal proximal gut"),EXACT(metadata!G25,"Animal corpus"),EXACT(metadata!G25,"Animal distal gut"),EXACT(metadata!G25,"Animal secretion")))</f>
        <v>0</v>
      </c>
      <c r="AJ25" t="b">
        <f>OR(AND(IF(metadata!H25="",FALSE,TRUE),OR(EXACT(metadata!H25,"missing: not collected"),EXACT(metadata!H25,"missing: not provided"),EXACT(metadata!H25,"missing: restricted access"))),AND(IF(metadata!H25="",FALSE,TRUE),OR(EXACT(metadata!H25,"organism-associated habitat"),EXACT(metadata!H25,"plant-associated habitat"),EXACT(metadata!H25,"animal-associated habitat"),EXACT(metadata!H25,"insecta-associated habitat"),EXACT(metadata!H25,"mammalia-associated habitat"),EXACT(metadata!H25,"human-associated habitat"),EXACT(metadata!H25,"livestock-associated habitat"))))</f>
        <v>0</v>
      </c>
      <c r="AK25" t="b">
        <f>AND(IF(metadata!I25="",FALSE,TRUE),EXACT(metadata!I25,"host-associated"))</f>
        <v>0</v>
      </c>
      <c r="AL25" t="b">
        <f>OR(AND(IF(metadata!J25="",FALSE,TRUE),OR(EXACT(metadata!J25,"not applicable"),EXACT(metadata!J25,"missing: not collected"),EXACT(metadata!J25,"missing: not provided"),EXACT(metadata!J25,"missing: restricted access"))),AND(IF(metadata!J25="",FALSE,ISNUMBER(VALUE(metadata!J25))),metadata!J25&gt;0))</f>
        <v>0</v>
      </c>
      <c r="AM25" t="b">
        <f>AND(IF(metadata!K25="",FALSE,TRUE),EXACT(metadata!K25,"missing: not provided"))</f>
        <v>0</v>
      </c>
      <c r="AN25" t="b">
        <f>IF(metadata!L25="",FALSE,TRUE)</f>
        <v>0</v>
      </c>
      <c r="AO25" t="b">
        <f>IF(metadata!M25="",FALSE,TRUE)</f>
        <v>0</v>
      </c>
      <c r="AP25" t="b">
        <f>OR(AND(IF(metadata!N25="",FALSE,TRUE),OR(EXACT(metadata!N25,"not applicable"),EXACT(metadata!N25,"missing: not collected"),EXACT(metadata!N25,"missing: not provided"))),AND(IF(metadata!N25="",FALSE,IF(ISERROR(INT(metadata!N25)),FALSE,INT(metadata!N25)=metadata!N25)),metadata!N25&gt;0))</f>
        <v>0</v>
      </c>
      <c r="AQ25" t="b">
        <f>AND(IF(metadata!O25="",FALSE,TRUE),EXACT(metadata!O25,"Not applicable"))</f>
        <v>0</v>
      </c>
      <c r="AR25" t="b">
        <f>OR(AND(IF(metadata!P25="",FALSE,TRUE),OR(EXACT(metadata!P25,"not applicable"),EXACT(metadata!P25,"missing: not collected"),EXACT(metadata!P25,"missing: not provided"),EXACT(metadata!P25,"missing: restricted access"))),IF(metadata!P25="",FALSE,IF(ISERROR(INT(metadata!P25)),FALSE,INT(metadata!P25)=metadata!P25)))</f>
        <v>0</v>
      </c>
      <c r="AS25" t="b">
        <f>AND(IF(metadata!Q25="",FALSE,TRUE),EXACT(metadata!Q25,"Not applicable"))</f>
        <v>0</v>
      </c>
      <c r="AT25" t="b">
        <f>OR(AND(IF(metadata!R25="",FALSE,TRUE),OR(EXACT(metadata!R25,"not applicable"),EXACT(metadata!R25,"missing: not collected"),EXACT(metadata!R25,"missing: not provided"),EXACT(metadata!R25,"missing: restricted access"))),AND(IF(metadata!R25="",FALSE,ISNUMBER(VALUE(metadata!R25))),metadata!R25&gt;0))</f>
        <v>0</v>
      </c>
      <c r="AU25" t="b">
        <f>AND(IF(metadata!S25="",FALSE,TRUE),EXACT(metadata!S25,"missing: not provided"))</f>
        <v>0</v>
      </c>
    </row>
    <row r="26" spans="1:47" x14ac:dyDescent="0.2">
      <c r="A26" s="5" t="str">
        <f ca="1">IF(B26=" "," ",HYPERLINK(CONCATENATE("#metadata!",ADDRESS(INDEX($Y$2:$Y$1001,MATCH(ROWS($W$2:W26),$W$2:$W$1001,0),0),1)),INDEX($AB$2:$AB$1001,MATCH(ROWS($W$2:W26),$W$2:$W$1001,0),0)))</f>
        <v xml:space="preserve"> </v>
      </c>
      <c r="B26" s="4" t="str">
        <f ca="1">IF(OR(INDEX($X$2:$X$1001,MATCH(ROWS($W$2:W26),$W$2:$W$1001,0),1)&gt;=100000,INDEX($AD$1005:$AU$1005,1,MATCH(COLUMNS($AD$1006:AD1006),$AD$1006:$AU$1006,0))&gt;=100000), " ",IF(INDEX($AD$2:$AU$1001,MATCH(ROWS($W$2:W26),$W$2:$W$1001,0),MATCH(COLUMNS($AD$1006:AD1006),$AD$1006:$AU$1006,0)), HYPERLINK("#",""), HYPERLINK(CONCATENATE("#metadata!", ADDRESS(INDEX($Y$2:$Y$1001,MATCH(ROWS($W$2:W26),$W$2:$W$1001,0),0), INDEX($AD$1004:$AU$1004,1,MATCH(COLUMNS($AD$1006:AD1006),$AD$1006:$AU$1006,0)))),"Fix")))</f>
        <v xml:space="preserve"> </v>
      </c>
      <c r="C26" s="4" t="str">
        <f ca="1">IF(OR(INDEX($X$2:$X$1001,MATCH(ROWS($W$2:W26),$W$2:$W$1001,0),1)&gt;=100000,INDEX($AD$1005:$AU$1005,1,MATCH(COLUMNS($AD$1006:AE1006),$AD$1006:$AU$1006,0))&gt;=100000), " ",IF(INDEX($AD$2:$AU$1001,MATCH(ROWS($W$2:W26),$W$2:$W$1001,0),MATCH(COLUMNS($AD$1006:AE1006),$AD$1006:$AU$1006,0)), HYPERLINK("#",""), HYPERLINK(CONCATENATE("#metadata!", ADDRESS(INDEX($Y$2:$Y$1001,MATCH(ROWS($W$2:W26),$W$2:$W$1001,0),0), INDEX($AD$1004:$AU$1004,1,MATCH(COLUMNS($AD$1006:AE1006),$AD$1006:$AU$1006,0)))),"Fix")))</f>
        <v xml:space="preserve"> </v>
      </c>
      <c r="D26" s="4" t="str">
        <f ca="1">IF(OR(INDEX($X$2:$X$1001,MATCH(ROWS($W$2:W26),$W$2:$W$1001,0),1)&gt;=100000,INDEX($AD$1005:$AU$1005,1,MATCH(COLUMNS($AD$1006:AF1006),$AD$1006:$AU$1006,0))&gt;=100000), " ",IF(INDEX($AD$2:$AU$1001,MATCH(ROWS($W$2:W26),$W$2:$W$1001,0),MATCH(COLUMNS($AD$1006:AF1006),$AD$1006:$AU$1006,0)), HYPERLINK("#",""), HYPERLINK(CONCATENATE("#metadata!", ADDRESS(INDEX($Y$2:$Y$1001,MATCH(ROWS($W$2:W26),$W$2:$W$1001,0),0), INDEX($AD$1004:$AU$1004,1,MATCH(COLUMNS($AD$1006:AF1006),$AD$1006:$AU$1006,0)))),"Fix")))</f>
        <v xml:space="preserve"> </v>
      </c>
      <c r="E26" s="4" t="str">
        <f ca="1">IF(OR(INDEX($X$2:$X$1001,MATCH(ROWS($W$2:W26),$W$2:$W$1001,0),1)&gt;=100000,INDEX($AD$1005:$AU$1005,1,MATCH(COLUMNS($AD$1006:AG1006),$AD$1006:$AU$1006,0))&gt;=100000), " ",IF(INDEX($AD$2:$AU$1001,MATCH(ROWS($W$2:W26),$W$2:$W$1001,0),MATCH(COLUMNS($AD$1006:AG1006),$AD$1006:$AU$1006,0)), HYPERLINK("#",""), HYPERLINK(CONCATENATE("#metadata!", ADDRESS(INDEX($Y$2:$Y$1001,MATCH(ROWS($W$2:W26),$W$2:$W$1001,0),0), INDEX($AD$1004:$AU$1004,1,MATCH(COLUMNS($AD$1006:AG1006),$AD$1006:$AU$1006,0)))),"Fix")))</f>
        <v xml:space="preserve"> </v>
      </c>
      <c r="F26" s="4" t="str">
        <f ca="1">IF(OR(INDEX($X$2:$X$1001,MATCH(ROWS($W$2:W26),$W$2:$W$1001,0),1)&gt;=100000,INDEX($AD$1005:$AU$1005,1,MATCH(COLUMNS($AD$1006:AH1006),$AD$1006:$AU$1006,0))&gt;=100000), " ",IF(INDEX($AD$2:$AU$1001,MATCH(ROWS($W$2:W26),$W$2:$W$1001,0),MATCH(COLUMNS($AD$1006:AH1006),$AD$1006:$AU$1006,0)), HYPERLINK("#",""), HYPERLINK(CONCATENATE("#metadata!", ADDRESS(INDEX($Y$2:$Y$1001,MATCH(ROWS($W$2:W26),$W$2:$W$1001,0),0), INDEX($AD$1004:$AU$1004,1,MATCH(COLUMNS($AD$1006:AH1006),$AD$1006:$AU$1006,0)))),"Fix")))</f>
        <v xml:space="preserve"> </v>
      </c>
      <c r="G26" s="4" t="str">
        <f ca="1">IF(OR(INDEX($X$2:$X$1001,MATCH(ROWS($W$2:W26),$W$2:$W$1001,0),1)&gt;=100000,INDEX($AD$1005:$AU$1005,1,MATCH(COLUMNS($AD$1006:AI1006),$AD$1006:$AU$1006,0))&gt;=100000), " ",IF(INDEX($AD$2:$AU$1001,MATCH(ROWS($W$2:W26),$W$2:$W$1001,0),MATCH(COLUMNS($AD$1006:AI1006),$AD$1006:$AU$1006,0)), HYPERLINK("#",""), HYPERLINK(CONCATENATE("#metadata!", ADDRESS(INDEX($Y$2:$Y$1001,MATCH(ROWS($W$2:W26),$W$2:$W$1001,0),0), INDEX($AD$1004:$AU$1004,1,MATCH(COLUMNS($AD$1006:AI1006),$AD$1006:$AU$1006,0)))),"Fix")))</f>
        <v xml:space="preserve"> </v>
      </c>
      <c r="H26" s="4" t="str">
        <f ca="1">IF(OR(INDEX($X$2:$X$1001,MATCH(ROWS($W$2:W26),$W$2:$W$1001,0),1)&gt;=100000,INDEX($AD$1005:$AU$1005,1,MATCH(COLUMNS($AD$1006:AJ1006),$AD$1006:$AU$1006,0))&gt;=100000), " ",IF(INDEX($AD$2:$AU$1001,MATCH(ROWS($W$2:W26),$W$2:$W$1001,0),MATCH(COLUMNS($AD$1006:AJ1006),$AD$1006:$AU$1006,0)), HYPERLINK("#",""), HYPERLINK(CONCATENATE("#metadata!", ADDRESS(INDEX($Y$2:$Y$1001,MATCH(ROWS($W$2:W26),$W$2:$W$1001,0),0), INDEX($AD$1004:$AU$1004,1,MATCH(COLUMNS($AD$1006:AJ1006),$AD$1006:$AU$1006,0)))),"Fix")))</f>
        <v xml:space="preserve"> </v>
      </c>
      <c r="I26" s="4" t="str">
        <f ca="1">IF(OR(INDEX($X$2:$X$1001,MATCH(ROWS($W$2:W26),$W$2:$W$1001,0),1)&gt;=100000,INDEX($AD$1005:$AU$1005,1,MATCH(COLUMNS($AD$1006:AK1006),$AD$1006:$AU$1006,0))&gt;=100000), " ",IF(INDEX($AD$2:$AU$1001,MATCH(ROWS($W$2:W26),$W$2:$W$1001,0),MATCH(COLUMNS($AD$1006:AK1006),$AD$1006:$AU$1006,0)), HYPERLINK("#",""), HYPERLINK(CONCATENATE("#metadata!", ADDRESS(INDEX($Y$2:$Y$1001,MATCH(ROWS($W$2:W26),$W$2:$W$1001,0),0), INDEX($AD$1004:$AU$1004,1,MATCH(COLUMNS($AD$1006:AK1006),$AD$1006:$AU$1006,0)))),"Fix")))</f>
        <v xml:space="preserve"> </v>
      </c>
      <c r="J26" s="4" t="str">
        <f ca="1">IF(OR(INDEX($X$2:$X$1001,MATCH(ROWS($W$2:W26),$W$2:$W$1001,0),1)&gt;=100000,INDEX($AD$1005:$AU$1005,1,MATCH(COLUMNS($AD$1006:AL1006),$AD$1006:$AU$1006,0))&gt;=100000), " ",IF(INDEX($AD$2:$AU$1001,MATCH(ROWS($W$2:W26),$W$2:$W$1001,0),MATCH(COLUMNS($AD$1006:AL1006),$AD$1006:$AU$1006,0)), HYPERLINK("#",""), HYPERLINK(CONCATENATE("#metadata!", ADDRESS(INDEX($Y$2:$Y$1001,MATCH(ROWS($W$2:W26),$W$2:$W$1001,0),0), INDEX($AD$1004:$AU$1004,1,MATCH(COLUMNS($AD$1006:AL1006),$AD$1006:$AU$1006,0)))),"Fix")))</f>
        <v xml:space="preserve"> </v>
      </c>
      <c r="K26" s="4" t="str">
        <f ca="1">IF(OR(INDEX($X$2:$X$1001,MATCH(ROWS($W$2:W26),$W$2:$W$1001,0),1)&gt;=100000,INDEX($AD$1005:$AU$1005,1,MATCH(COLUMNS($AD$1006:AM1006),$AD$1006:$AU$1006,0))&gt;=100000), " ",IF(INDEX($AD$2:$AU$1001,MATCH(ROWS($W$2:W26),$W$2:$W$1001,0),MATCH(COLUMNS($AD$1006:AM1006),$AD$1006:$AU$1006,0)), HYPERLINK("#",""), HYPERLINK(CONCATENATE("#metadata!", ADDRESS(INDEX($Y$2:$Y$1001,MATCH(ROWS($W$2:W26),$W$2:$W$1001,0),0), INDEX($AD$1004:$AU$1004,1,MATCH(COLUMNS($AD$1006:AM1006),$AD$1006:$AU$1006,0)))),"Fix")))</f>
        <v xml:space="preserve"> </v>
      </c>
      <c r="L26" s="4" t="str">
        <f ca="1">IF(OR(INDEX($X$2:$X$1001,MATCH(ROWS($W$2:W26),$W$2:$W$1001,0),1)&gt;=100000,INDEX($AD$1005:$AU$1005,1,MATCH(COLUMNS($AD$1006:AN1006),$AD$1006:$AU$1006,0))&gt;=100000), " ",IF(INDEX($AD$2:$AU$1001,MATCH(ROWS($W$2:W26),$W$2:$W$1001,0),MATCH(COLUMNS($AD$1006:AN1006),$AD$1006:$AU$1006,0)), HYPERLINK("#",""), HYPERLINK(CONCATENATE("#metadata!", ADDRESS(INDEX($Y$2:$Y$1001,MATCH(ROWS($W$2:W26),$W$2:$W$1001,0),0), INDEX($AD$1004:$AU$1004,1,MATCH(COLUMNS($AD$1006:AN1006),$AD$1006:$AU$1006,0)))),"Fix")))</f>
        <v xml:space="preserve"> </v>
      </c>
      <c r="M26" s="4" t="str">
        <f ca="1">IF(OR(INDEX($X$2:$X$1001,MATCH(ROWS($W$2:W26),$W$2:$W$1001,0),1)&gt;=100000,INDEX($AD$1005:$AU$1005,1,MATCH(COLUMNS($AD$1006:AO1006),$AD$1006:$AU$1006,0))&gt;=100000), " ",IF(INDEX($AD$2:$AU$1001,MATCH(ROWS($W$2:W26),$W$2:$W$1001,0),MATCH(COLUMNS($AD$1006:AO1006),$AD$1006:$AU$1006,0)), HYPERLINK("#",""), HYPERLINK(CONCATENATE("#metadata!", ADDRESS(INDEX($Y$2:$Y$1001,MATCH(ROWS($W$2:W26),$W$2:$W$1001,0),0), INDEX($AD$1004:$AU$1004,1,MATCH(COLUMNS($AD$1006:AO1006),$AD$1006:$AU$1006,0)))),"Fix")))</f>
        <v xml:space="preserve"> </v>
      </c>
      <c r="N26" s="4" t="str">
        <f ca="1">IF(OR(INDEX($X$2:$X$1001,MATCH(ROWS($W$2:W26),$W$2:$W$1001,0),1)&gt;=100000,INDEX($AD$1005:$AU$1005,1,MATCH(COLUMNS($AD$1006:AP1006),$AD$1006:$AU$1006,0))&gt;=100000), " ",IF(INDEX($AD$2:$AU$1001,MATCH(ROWS($W$2:W26),$W$2:$W$1001,0),MATCH(COLUMNS($AD$1006:AP1006),$AD$1006:$AU$1006,0)), HYPERLINK("#",""), HYPERLINK(CONCATENATE("#metadata!", ADDRESS(INDEX($Y$2:$Y$1001,MATCH(ROWS($W$2:W26),$W$2:$W$1001,0),0), INDEX($AD$1004:$AU$1004,1,MATCH(COLUMNS($AD$1006:AP1006),$AD$1006:$AU$1006,0)))),"Fix")))</f>
        <v xml:space="preserve"> </v>
      </c>
      <c r="O26" s="4" t="str">
        <f ca="1">IF(OR(INDEX($X$2:$X$1001,MATCH(ROWS($W$2:W26),$W$2:$W$1001,0),1)&gt;=100000,INDEX($AD$1005:$AU$1005,1,MATCH(COLUMNS($AD$1006:AQ1006),$AD$1006:$AU$1006,0))&gt;=100000), " ",IF(INDEX($AD$2:$AU$1001,MATCH(ROWS($W$2:W26),$W$2:$W$1001,0),MATCH(COLUMNS($AD$1006:AQ1006),$AD$1006:$AU$1006,0)), HYPERLINK("#",""), HYPERLINK(CONCATENATE("#metadata!", ADDRESS(INDEX($Y$2:$Y$1001,MATCH(ROWS($W$2:W26),$W$2:$W$1001,0),0), INDEX($AD$1004:$AU$1004,1,MATCH(COLUMNS($AD$1006:AQ1006),$AD$1006:$AU$1006,0)))),"Fix")))</f>
        <v xml:space="preserve"> </v>
      </c>
      <c r="P26" s="4" t="str">
        <f ca="1">IF(OR(INDEX($X$2:$X$1001,MATCH(ROWS($W$2:W26),$W$2:$W$1001,0),1)&gt;=100000,INDEX($AD$1005:$AU$1005,1,MATCH(COLUMNS($AD$1006:AR1006),$AD$1006:$AU$1006,0))&gt;=100000), " ",IF(INDEX($AD$2:$AU$1001,MATCH(ROWS($W$2:W26),$W$2:$W$1001,0),MATCH(COLUMNS($AD$1006:AR1006),$AD$1006:$AU$1006,0)), HYPERLINK("#",""), HYPERLINK(CONCATENATE("#metadata!", ADDRESS(INDEX($Y$2:$Y$1001,MATCH(ROWS($W$2:W26),$W$2:$W$1001,0),0), INDEX($AD$1004:$AU$1004,1,MATCH(COLUMNS($AD$1006:AR1006),$AD$1006:$AU$1006,0)))),"Fix")))</f>
        <v xml:space="preserve"> </v>
      </c>
      <c r="Q26" s="4" t="str">
        <f ca="1">IF(OR(INDEX($X$2:$X$1001,MATCH(ROWS($W$2:W26),$W$2:$W$1001,0),1)&gt;=100000,INDEX($AD$1005:$AU$1005,1,MATCH(COLUMNS($AD$1006:AS1006),$AD$1006:$AU$1006,0))&gt;=100000), " ",IF(INDEX($AD$2:$AU$1001,MATCH(ROWS($W$2:W26),$W$2:$W$1001,0),MATCH(COLUMNS($AD$1006:AS1006),$AD$1006:$AU$1006,0)), HYPERLINK("#",""), HYPERLINK(CONCATENATE("#metadata!", ADDRESS(INDEX($Y$2:$Y$1001,MATCH(ROWS($W$2:W26),$W$2:$W$1001,0),0), INDEX($AD$1004:$AU$1004,1,MATCH(COLUMNS($AD$1006:AS1006),$AD$1006:$AU$1006,0)))),"Fix")))</f>
        <v xml:space="preserve"> </v>
      </c>
      <c r="R26" s="4" t="str">
        <f ca="1">IF(OR(INDEX($X$2:$X$1001,MATCH(ROWS($W$2:W26),$W$2:$W$1001,0),1)&gt;=100000,INDEX($AD$1005:$AU$1005,1,MATCH(COLUMNS($AD$1006:AT1006),$AD$1006:$AU$1006,0))&gt;=100000), " ",IF(INDEX($AD$2:$AU$1001,MATCH(ROWS($W$2:W26),$W$2:$W$1001,0),MATCH(COLUMNS($AD$1006:AT1006),$AD$1006:$AU$1006,0)), HYPERLINK("#",""), HYPERLINK(CONCATENATE("#metadata!", ADDRESS(INDEX($Y$2:$Y$1001,MATCH(ROWS($W$2:W26),$W$2:$W$1001,0),0), INDEX($AD$1004:$AU$1004,1,MATCH(COLUMNS($AD$1006:AT1006),$AD$1006:$AU$1006,0)))),"Fix")))</f>
        <v xml:space="preserve"> </v>
      </c>
      <c r="S26" s="4" t="str">
        <f ca="1">IF(OR(INDEX($X$2:$X$1001,MATCH(ROWS($W$2:W26),$W$2:$W$1001,0),1)&gt;=100000,INDEX($AD$1005:$AU$1005,1,MATCH(COLUMNS($AD$1006:AU1006),$AD$1006:$AU$1006,0))&gt;=100000), " ",IF(INDEX($AD$2:$AU$1001,MATCH(ROWS($W$2:W26),$W$2:$W$1001,0),MATCH(COLUMNS($AD$1006:AU1006),$AD$1006:$AU$1006,0)), HYPERLINK("#",""), HYPERLINK(CONCATENATE("#metadata!", ADDRESS(INDEX($Y$2:$Y$1001,MATCH(ROWS($W$2:W26),$W$2:$W$1001,0),0), INDEX($AD$1004:$AU$1004,1,MATCH(COLUMNS($AD$1006:AU1006),$AD$1006:$AU$1006,0)))),"Fix")))</f>
        <v xml:space="preserve"> </v>
      </c>
      <c r="W26">
        <v>25</v>
      </c>
      <c r="X26">
        <v>100026</v>
      </c>
      <c r="Y26">
        <v>26</v>
      </c>
      <c r="Z26" t="b">
        <f t="shared" si="0"/>
        <v>1</v>
      </c>
      <c r="AA26" t="b">
        <f>COUNTBLANK(metadata!B26:S26)=COLUMNS(metadata!B26:S26)</f>
        <v>1</v>
      </c>
      <c r="AB26" t="str">
        <v/>
      </c>
      <c r="AD26" t="b">
        <f ca="1">AND(IF(metadata!B26="",FALSE,TRUE),COUNTIF(metadata!B:B, metadata!B26) = 1,NOT(ISERROR(SUMPRODUCT(SEARCH(MID(metadata!B26,ROW(INDIRECT("1:"&amp;LEN(metadata!B26))), 1),"0123456789abcdefghijklmnopqrstuvwxyzABCDEFGHIJKLMNOPQRSTUVWXYZ.")))))</f>
        <v>0</v>
      </c>
      <c r="AE26" t="b">
        <f>OR(AND(IF(metadata!C26="",FALSE,TRUE),OR(EXACT(metadata!C26,"not applicable"),EXACT(metadata!C26,"missing: not collected"),EXACT(metadata!C26,"missing: not provided"),EXACT(metadata!C26,"missing: restricted access"))),AND(IF(metadata!C26="",FALSE,ISNUMBER(VALUE(metadata!C26))),metadata!C26&gt;0))</f>
        <v>0</v>
      </c>
      <c r="AF26" t="b">
        <f>AND(IF(metadata!D26="",FALSE,TRUE),EXACT(metadata!D26,"missing: not provided"))</f>
        <v>0</v>
      </c>
      <c r="AG26" t="b">
        <f>AND(IF(metadata!E26="",FALSE,TRUE),EXACT(metadata!E26,"Host-associated"))</f>
        <v>0</v>
      </c>
      <c r="AH26" t="b">
        <f>AND(IF(metadata!F26="",FALSE,TRUE),OR(EXACT(metadata!F26,"Animal"),EXACT(metadata!F26,"Fungus"),EXACT(metadata!F26,"Plant")))</f>
        <v>0</v>
      </c>
      <c r="AI26" t="b">
        <f>AND(IF(metadata!G26="",FALSE,TRUE),OR(EXACT(metadata!G26,"Plant secretion"),EXACT(metadata!G26,"Plant rhizosphere"),EXACT(metadata!G26,"Plant surface"),EXACT(metadata!G26,"Plant corpus"),EXACT(metadata!G26,"Fungus surface"),EXACT(metadata!G26,"Fungus corpus"),EXACT(metadata!G26,"Animal surface"),EXACT(metadata!G26,"Animal proximal gut"),EXACT(metadata!G26,"Animal corpus"),EXACT(metadata!G26,"Animal distal gut"),EXACT(metadata!G26,"Animal secretion")))</f>
        <v>0</v>
      </c>
      <c r="AJ26" t="b">
        <f>OR(AND(IF(metadata!H26="",FALSE,TRUE),OR(EXACT(metadata!H26,"missing: not collected"),EXACT(metadata!H26,"missing: not provided"),EXACT(metadata!H26,"missing: restricted access"))),AND(IF(metadata!H26="",FALSE,TRUE),OR(EXACT(metadata!H26,"organism-associated habitat"),EXACT(metadata!H26,"plant-associated habitat"),EXACT(metadata!H26,"animal-associated habitat"),EXACT(metadata!H26,"insecta-associated habitat"),EXACT(metadata!H26,"mammalia-associated habitat"),EXACT(metadata!H26,"human-associated habitat"),EXACT(metadata!H26,"livestock-associated habitat"))))</f>
        <v>0</v>
      </c>
      <c r="AK26" t="b">
        <f>AND(IF(metadata!I26="",FALSE,TRUE),EXACT(metadata!I26,"host-associated"))</f>
        <v>0</v>
      </c>
      <c r="AL26" t="b">
        <f>OR(AND(IF(metadata!J26="",FALSE,TRUE),OR(EXACT(metadata!J26,"not applicable"),EXACT(metadata!J26,"missing: not collected"),EXACT(metadata!J26,"missing: not provided"),EXACT(metadata!J26,"missing: restricted access"))),AND(IF(metadata!J26="",FALSE,ISNUMBER(VALUE(metadata!J26))),metadata!J26&gt;0))</f>
        <v>0</v>
      </c>
      <c r="AM26" t="b">
        <f>AND(IF(metadata!K26="",FALSE,TRUE),EXACT(metadata!K26,"missing: not provided"))</f>
        <v>0</v>
      </c>
      <c r="AN26" t="b">
        <f>IF(metadata!L26="",FALSE,TRUE)</f>
        <v>0</v>
      </c>
      <c r="AO26" t="b">
        <f>IF(metadata!M26="",FALSE,TRUE)</f>
        <v>0</v>
      </c>
      <c r="AP26" t="b">
        <f>OR(AND(IF(metadata!N26="",FALSE,TRUE),OR(EXACT(metadata!N26,"not applicable"),EXACT(metadata!N26,"missing: not collected"),EXACT(metadata!N26,"missing: not provided"))),AND(IF(metadata!N26="",FALSE,IF(ISERROR(INT(metadata!N26)),FALSE,INT(metadata!N26)=metadata!N26)),metadata!N26&gt;0))</f>
        <v>0</v>
      </c>
      <c r="AQ26" t="b">
        <f>AND(IF(metadata!O26="",FALSE,TRUE),EXACT(metadata!O26,"Not applicable"))</f>
        <v>0</v>
      </c>
      <c r="AR26" t="b">
        <f>OR(AND(IF(metadata!P26="",FALSE,TRUE),OR(EXACT(metadata!P26,"not applicable"),EXACT(metadata!P26,"missing: not collected"),EXACT(metadata!P26,"missing: not provided"),EXACT(metadata!P26,"missing: restricted access"))),IF(metadata!P26="",FALSE,IF(ISERROR(INT(metadata!P26)),FALSE,INT(metadata!P26)=metadata!P26)))</f>
        <v>0</v>
      </c>
      <c r="AS26" t="b">
        <f>AND(IF(metadata!Q26="",FALSE,TRUE),EXACT(metadata!Q26,"Not applicable"))</f>
        <v>0</v>
      </c>
      <c r="AT26" t="b">
        <f>OR(AND(IF(metadata!R26="",FALSE,TRUE),OR(EXACT(metadata!R26,"not applicable"),EXACT(metadata!R26,"missing: not collected"),EXACT(metadata!R26,"missing: not provided"),EXACT(metadata!R26,"missing: restricted access"))),AND(IF(metadata!R26="",FALSE,ISNUMBER(VALUE(metadata!R26))),metadata!R26&gt;0))</f>
        <v>0</v>
      </c>
      <c r="AU26" t="b">
        <f>AND(IF(metadata!S26="",FALSE,TRUE),EXACT(metadata!S26,"missing: not provided"))</f>
        <v>0</v>
      </c>
    </row>
    <row r="27" spans="1:47" x14ac:dyDescent="0.2">
      <c r="A27" s="5" t="str">
        <f ca="1">IF(B27=" "," ",HYPERLINK(CONCATENATE("#metadata!",ADDRESS(INDEX($Y$2:$Y$1001,MATCH(ROWS($W$2:W27),$W$2:$W$1001,0),0),1)),INDEX($AB$2:$AB$1001,MATCH(ROWS($W$2:W27),$W$2:$W$1001,0),0)))</f>
        <v xml:space="preserve"> </v>
      </c>
      <c r="B27" s="4" t="str">
        <f ca="1">IF(OR(INDEX($X$2:$X$1001,MATCH(ROWS($W$2:W27),$W$2:$W$1001,0),1)&gt;=100000,INDEX($AD$1005:$AU$1005,1,MATCH(COLUMNS($AD$1006:AD1006),$AD$1006:$AU$1006,0))&gt;=100000), " ",IF(INDEX($AD$2:$AU$1001,MATCH(ROWS($W$2:W27),$W$2:$W$1001,0),MATCH(COLUMNS($AD$1006:AD1006),$AD$1006:$AU$1006,0)), HYPERLINK("#",""), HYPERLINK(CONCATENATE("#metadata!", ADDRESS(INDEX($Y$2:$Y$1001,MATCH(ROWS($W$2:W27),$W$2:$W$1001,0),0), INDEX($AD$1004:$AU$1004,1,MATCH(COLUMNS($AD$1006:AD1006),$AD$1006:$AU$1006,0)))),"Fix")))</f>
        <v xml:space="preserve"> </v>
      </c>
      <c r="C27" s="4" t="str">
        <f ca="1">IF(OR(INDEX($X$2:$X$1001,MATCH(ROWS($W$2:W27),$W$2:$W$1001,0),1)&gt;=100000,INDEX($AD$1005:$AU$1005,1,MATCH(COLUMNS($AD$1006:AE1006),$AD$1006:$AU$1006,0))&gt;=100000), " ",IF(INDEX($AD$2:$AU$1001,MATCH(ROWS($W$2:W27),$W$2:$W$1001,0),MATCH(COLUMNS($AD$1006:AE1006),$AD$1006:$AU$1006,0)), HYPERLINK("#",""), HYPERLINK(CONCATENATE("#metadata!", ADDRESS(INDEX($Y$2:$Y$1001,MATCH(ROWS($W$2:W27),$W$2:$W$1001,0),0), INDEX($AD$1004:$AU$1004,1,MATCH(COLUMNS($AD$1006:AE1006),$AD$1006:$AU$1006,0)))),"Fix")))</f>
        <v xml:space="preserve"> </v>
      </c>
      <c r="D27" s="4" t="str">
        <f ca="1">IF(OR(INDEX($X$2:$X$1001,MATCH(ROWS($W$2:W27),$W$2:$W$1001,0),1)&gt;=100000,INDEX($AD$1005:$AU$1005,1,MATCH(COLUMNS($AD$1006:AF1006),$AD$1006:$AU$1006,0))&gt;=100000), " ",IF(INDEX($AD$2:$AU$1001,MATCH(ROWS($W$2:W27),$W$2:$W$1001,0),MATCH(COLUMNS($AD$1006:AF1006),$AD$1006:$AU$1006,0)), HYPERLINK("#",""), HYPERLINK(CONCATENATE("#metadata!", ADDRESS(INDEX($Y$2:$Y$1001,MATCH(ROWS($W$2:W27),$W$2:$W$1001,0),0), INDEX($AD$1004:$AU$1004,1,MATCH(COLUMNS($AD$1006:AF1006),$AD$1006:$AU$1006,0)))),"Fix")))</f>
        <v xml:space="preserve"> </v>
      </c>
      <c r="E27" s="4" t="str">
        <f ca="1">IF(OR(INDEX($X$2:$X$1001,MATCH(ROWS($W$2:W27),$W$2:$W$1001,0),1)&gt;=100000,INDEX($AD$1005:$AU$1005,1,MATCH(COLUMNS($AD$1006:AG1006),$AD$1006:$AU$1006,0))&gt;=100000), " ",IF(INDEX($AD$2:$AU$1001,MATCH(ROWS($W$2:W27),$W$2:$W$1001,0),MATCH(COLUMNS($AD$1006:AG1006),$AD$1006:$AU$1006,0)), HYPERLINK("#",""), HYPERLINK(CONCATENATE("#metadata!", ADDRESS(INDEX($Y$2:$Y$1001,MATCH(ROWS($W$2:W27),$W$2:$W$1001,0),0), INDEX($AD$1004:$AU$1004,1,MATCH(COLUMNS($AD$1006:AG1006),$AD$1006:$AU$1006,0)))),"Fix")))</f>
        <v xml:space="preserve"> </v>
      </c>
      <c r="F27" s="4" t="str">
        <f ca="1">IF(OR(INDEX($X$2:$X$1001,MATCH(ROWS($W$2:W27),$W$2:$W$1001,0),1)&gt;=100000,INDEX($AD$1005:$AU$1005,1,MATCH(COLUMNS($AD$1006:AH1006),$AD$1006:$AU$1006,0))&gt;=100000), " ",IF(INDEX($AD$2:$AU$1001,MATCH(ROWS($W$2:W27),$W$2:$W$1001,0),MATCH(COLUMNS($AD$1006:AH1006),$AD$1006:$AU$1006,0)), HYPERLINK("#",""), HYPERLINK(CONCATENATE("#metadata!", ADDRESS(INDEX($Y$2:$Y$1001,MATCH(ROWS($W$2:W27),$W$2:$W$1001,0),0), INDEX($AD$1004:$AU$1004,1,MATCH(COLUMNS($AD$1006:AH1006),$AD$1006:$AU$1006,0)))),"Fix")))</f>
        <v xml:space="preserve"> </v>
      </c>
      <c r="G27" s="4" t="str">
        <f ca="1">IF(OR(INDEX($X$2:$X$1001,MATCH(ROWS($W$2:W27),$W$2:$W$1001,0),1)&gt;=100000,INDEX($AD$1005:$AU$1005,1,MATCH(COLUMNS($AD$1006:AI1006),$AD$1006:$AU$1006,0))&gt;=100000), " ",IF(INDEX($AD$2:$AU$1001,MATCH(ROWS($W$2:W27),$W$2:$W$1001,0),MATCH(COLUMNS($AD$1006:AI1006),$AD$1006:$AU$1006,0)), HYPERLINK("#",""), HYPERLINK(CONCATENATE("#metadata!", ADDRESS(INDEX($Y$2:$Y$1001,MATCH(ROWS($W$2:W27),$W$2:$W$1001,0),0), INDEX($AD$1004:$AU$1004,1,MATCH(COLUMNS($AD$1006:AI1006),$AD$1006:$AU$1006,0)))),"Fix")))</f>
        <v xml:space="preserve"> </v>
      </c>
      <c r="H27" s="4" t="str">
        <f ca="1">IF(OR(INDEX($X$2:$X$1001,MATCH(ROWS($W$2:W27),$W$2:$W$1001,0),1)&gt;=100000,INDEX($AD$1005:$AU$1005,1,MATCH(COLUMNS($AD$1006:AJ1006),$AD$1006:$AU$1006,0))&gt;=100000), " ",IF(INDEX($AD$2:$AU$1001,MATCH(ROWS($W$2:W27),$W$2:$W$1001,0),MATCH(COLUMNS($AD$1006:AJ1006),$AD$1006:$AU$1006,0)), HYPERLINK("#",""), HYPERLINK(CONCATENATE("#metadata!", ADDRESS(INDEX($Y$2:$Y$1001,MATCH(ROWS($W$2:W27),$W$2:$W$1001,0),0), INDEX($AD$1004:$AU$1004,1,MATCH(COLUMNS($AD$1006:AJ1006),$AD$1006:$AU$1006,0)))),"Fix")))</f>
        <v xml:space="preserve"> </v>
      </c>
      <c r="I27" s="4" t="str">
        <f ca="1">IF(OR(INDEX($X$2:$X$1001,MATCH(ROWS($W$2:W27),$W$2:$W$1001,0),1)&gt;=100000,INDEX($AD$1005:$AU$1005,1,MATCH(COLUMNS($AD$1006:AK1006),$AD$1006:$AU$1006,0))&gt;=100000), " ",IF(INDEX($AD$2:$AU$1001,MATCH(ROWS($W$2:W27),$W$2:$W$1001,0),MATCH(COLUMNS($AD$1006:AK1006),$AD$1006:$AU$1006,0)), HYPERLINK("#",""), HYPERLINK(CONCATENATE("#metadata!", ADDRESS(INDEX($Y$2:$Y$1001,MATCH(ROWS($W$2:W27),$W$2:$W$1001,0),0), INDEX($AD$1004:$AU$1004,1,MATCH(COLUMNS($AD$1006:AK1006),$AD$1006:$AU$1006,0)))),"Fix")))</f>
        <v xml:space="preserve"> </v>
      </c>
      <c r="J27" s="4" t="str">
        <f ca="1">IF(OR(INDEX($X$2:$X$1001,MATCH(ROWS($W$2:W27),$W$2:$W$1001,0),1)&gt;=100000,INDEX($AD$1005:$AU$1005,1,MATCH(COLUMNS($AD$1006:AL1006),$AD$1006:$AU$1006,0))&gt;=100000), " ",IF(INDEX($AD$2:$AU$1001,MATCH(ROWS($W$2:W27),$W$2:$W$1001,0),MATCH(COLUMNS($AD$1006:AL1006),$AD$1006:$AU$1006,0)), HYPERLINK("#",""), HYPERLINK(CONCATENATE("#metadata!", ADDRESS(INDEX($Y$2:$Y$1001,MATCH(ROWS($W$2:W27),$W$2:$W$1001,0),0), INDEX($AD$1004:$AU$1004,1,MATCH(COLUMNS($AD$1006:AL1006),$AD$1006:$AU$1006,0)))),"Fix")))</f>
        <v xml:space="preserve"> </v>
      </c>
      <c r="K27" s="4" t="str">
        <f ca="1">IF(OR(INDEX($X$2:$X$1001,MATCH(ROWS($W$2:W27),$W$2:$W$1001,0),1)&gt;=100000,INDEX($AD$1005:$AU$1005,1,MATCH(COLUMNS($AD$1006:AM1006),$AD$1006:$AU$1006,0))&gt;=100000), " ",IF(INDEX($AD$2:$AU$1001,MATCH(ROWS($W$2:W27),$W$2:$W$1001,0),MATCH(COLUMNS($AD$1006:AM1006),$AD$1006:$AU$1006,0)), HYPERLINK("#",""), HYPERLINK(CONCATENATE("#metadata!", ADDRESS(INDEX($Y$2:$Y$1001,MATCH(ROWS($W$2:W27),$W$2:$W$1001,0),0), INDEX($AD$1004:$AU$1004,1,MATCH(COLUMNS($AD$1006:AM1006),$AD$1006:$AU$1006,0)))),"Fix")))</f>
        <v xml:space="preserve"> </v>
      </c>
      <c r="L27" s="4" t="str">
        <f ca="1">IF(OR(INDEX($X$2:$X$1001,MATCH(ROWS($W$2:W27),$W$2:$W$1001,0),1)&gt;=100000,INDEX($AD$1005:$AU$1005,1,MATCH(COLUMNS($AD$1006:AN1006),$AD$1006:$AU$1006,0))&gt;=100000), " ",IF(INDEX($AD$2:$AU$1001,MATCH(ROWS($W$2:W27),$W$2:$W$1001,0),MATCH(COLUMNS($AD$1006:AN1006),$AD$1006:$AU$1006,0)), HYPERLINK("#",""), HYPERLINK(CONCATENATE("#metadata!", ADDRESS(INDEX($Y$2:$Y$1001,MATCH(ROWS($W$2:W27),$W$2:$W$1001,0),0), INDEX($AD$1004:$AU$1004,1,MATCH(COLUMNS($AD$1006:AN1006),$AD$1006:$AU$1006,0)))),"Fix")))</f>
        <v xml:space="preserve"> </v>
      </c>
      <c r="M27" s="4" t="str">
        <f ca="1">IF(OR(INDEX($X$2:$X$1001,MATCH(ROWS($W$2:W27),$W$2:$W$1001,0),1)&gt;=100000,INDEX($AD$1005:$AU$1005,1,MATCH(COLUMNS($AD$1006:AO1006),$AD$1006:$AU$1006,0))&gt;=100000), " ",IF(INDEX($AD$2:$AU$1001,MATCH(ROWS($W$2:W27),$W$2:$W$1001,0),MATCH(COLUMNS($AD$1006:AO1006),$AD$1006:$AU$1006,0)), HYPERLINK("#",""), HYPERLINK(CONCATENATE("#metadata!", ADDRESS(INDEX($Y$2:$Y$1001,MATCH(ROWS($W$2:W27),$W$2:$W$1001,0),0), INDEX($AD$1004:$AU$1004,1,MATCH(COLUMNS($AD$1006:AO1006),$AD$1006:$AU$1006,0)))),"Fix")))</f>
        <v xml:space="preserve"> </v>
      </c>
      <c r="N27" s="4" t="str">
        <f ca="1">IF(OR(INDEX($X$2:$X$1001,MATCH(ROWS($W$2:W27),$W$2:$W$1001,0),1)&gt;=100000,INDEX($AD$1005:$AU$1005,1,MATCH(COLUMNS($AD$1006:AP1006),$AD$1006:$AU$1006,0))&gt;=100000), " ",IF(INDEX($AD$2:$AU$1001,MATCH(ROWS($W$2:W27),$W$2:$W$1001,0),MATCH(COLUMNS($AD$1006:AP1006),$AD$1006:$AU$1006,0)), HYPERLINK("#",""), HYPERLINK(CONCATENATE("#metadata!", ADDRESS(INDEX($Y$2:$Y$1001,MATCH(ROWS($W$2:W27),$W$2:$W$1001,0),0), INDEX($AD$1004:$AU$1004,1,MATCH(COLUMNS($AD$1006:AP1006),$AD$1006:$AU$1006,0)))),"Fix")))</f>
        <v xml:space="preserve"> </v>
      </c>
      <c r="O27" s="4" t="str">
        <f ca="1">IF(OR(INDEX($X$2:$X$1001,MATCH(ROWS($W$2:W27),$W$2:$W$1001,0),1)&gt;=100000,INDEX($AD$1005:$AU$1005,1,MATCH(COLUMNS($AD$1006:AQ1006),$AD$1006:$AU$1006,0))&gt;=100000), " ",IF(INDEX($AD$2:$AU$1001,MATCH(ROWS($W$2:W27),$W$2:$W$1001,0),MATCH(COLUMNS($AD$1006:AQ1006),$AD$1006:$AU$1006,0)), HYPERLINK("#",""), HYPERLINK(CONCATENATE("#metadata!", ADDRESS(INDEX($Y$2:$Y$1001,MATCH(ROWS($W$2:W27),$W$2:$W$1001,0),0), INDEX($AD$1004:$AU$1004,1,MATCH(COLUMNS($AD$1006:AQ1006),$AD$1006:$AU$1006,0)))),"Fix")))</f>
        <v xml:space="preserve"> </v>
      </c>
      <c r="P27" s="4" t="str">
        <f ca="1">IF(OR(INDEX($X$2:$X$1001,MATCH(ROWS($W$2:W27),$W$2:$W$1001,0),1)&gt;=100000,INDEX($AD$1005:$AU$1005,1,MATCH(COLUMNS($AD$1006:AR1006),$AD$1006:$AU$1006,0))&gt;=100000), " ",IF(INDEX($AD$2:$AU$1001,MATCH(ROWS($W$2:W27),$W$2:$W$1001,0),MATCH(COLUMNS($AD$1006:AR1006),$AD$1006:$AU$1006,0)), HYPERLINK("#",""), HYPERLINK(CONCATENATE("#metadata!", ADDRESS(INDEX($Y$2:$Y$1001,MATCH(ROWS($W$2:W27),$W$2:$W$1001,0),0), INDEX($AD$1004:$AU$1004,1,MATCH(COLUMNS($AD$1006:AR1006),$AD$1006:$AU$1006,0)))),"Fix")))</f>
        <v xml:space="preserve"> </v>
      </c>
      <c r="Q27" s="4" t="str">
        <f ca="1">IF(OR(INDEX($X$2:$X$1001,MATCH(ROWS($W$2:W27),$W$2:$W$1001,0),1)&gt;=100000,INDEX($AD$1005:$AU$1005,1,MATCH(COLUMNS($AD$1006:AS1006),$AD$1006:$AU$1006,0))&gt;=100000), " ",IF(INDEX($AD$2:$AU$1001,MATCH(ROWS($W$2:W27),$W$2:$W$1001,0),MATCH(COLUMNS($AD$1006:AS1006),$AD$1006:$AU$1006,0)), HYPERLINK("#",""), HYPERLINK(CONCATENATE("#metadata!", ADDRESS(INDEX($Y$2:$Y$1001,MATCH(ROWS($W$2:W27),$W$2:$W$1001,0),0), INDEX($AD$1004:$AU$1004,1,MATCH(COLUMNS($AD$1006:AS1006),$AD$1006:$AU$1006,0)))),"Fix")))</f>
        <v xml:space="preserve"> </v>
      </c>
      <c r="R27" s="4" t="str">
        <f ca="1">IF(OR(INDEX($X$2:$X$1001,MATCH(ROWS($W$2:W27),$W$2:$W$1001,0),1)&gt;=100000,INDEX($AD$1005:$AU$1005,1,MATCH(COLUMNS($AD$1006:AT1006),$AD$1006:$AU$1006,0))&gt;=100000), " ",IF(INDEX($AD$2:$AU$1001,MATCH(ROWS($W$2:W27),$W$2:$W$1001,0),MATCH(COLUMNS($AD$1006:AT1006),$AD$1006:$AU$1006,0)), HYPERLINK("#",""), HYPERLINK(CONCATENATE("#metadata!", ADDRESS(INDEX($Y$2:$Y$1001,MATCH(ROWS($W$2:W27),$W$2:$W$1001,0),0), INDEX($AD$1004:$AU$1004,1,MATCH(COLUMNS($AD$1006:AT1006),$AD$1006:$AU$1006,0)))),"Fix")))</f>
        <v xml:space="preserve"> </v>
      </c>
      <c r="S27" s="4" t="str">
        <f ca="1">IF(OR(INDEX($X$2:$X$1001,MATCH(ROWS($W$2:W27),$W$2:$W$1001,0),1)&gt;=100000,INDEX($AD$1005:$AU$1005,1,MATCH(COLUMNS($AD$1006:AU1006),$AD$1006:$AU$1006,0))&gt;=100000), " ",IF(INDEX($AD$2:$AU$1001,MATCH(ROWS($W$2:W27),$W$2:$W$1001,0),MATCH(COLUMNS($AD$1006:AU1006),$AD$1006:$AU$1006,0)), HYPERLINK("#",""), HYPERLINK(CONCATENATE("#metadata!", ADDRESS(INDEX($Y$2:$Y$1001,MATCH(ROWS($W$2:W27),$W$2:$W$1001,0),0), INDEX($AD$1004:$AU$1004,1,MATCH(COLUMNS($AD$1006:AU1006),$AD$1006:$AU$1006,0)))),"Fix")))</f>
        <v xml:space="preserve"> </v>
      </c>
      <c r="W27">
        <v>26</v>
      </c>
      <c r="X27">
        <v>100027</v>
      </c>
      <c r="Y27">
        <v>27</v>
      </c>
      <c r="Z27" t="b">
        <f t="shared" si="0"/>
        <v>1</v>
      </c>
      <c r="AA27" t="b">
        <f>COUNTBLANK(metadata!B27:S27)=COLUMNS(metadata!B27:S27)</f>
        <v>1</v>
      </c>
      <c r="AB27" t="str">
        <v/>
      </c>
      <c r="AD27" t="b">
        <f ca="1">AND(IF(metadata!B27="",FALSE,TRUE),COUNTIF(metadata!B:B, metadata!B27) = 1,NOT(ISERROR(SUMPRODUCT(SEARCH(MID(metadata!B27,ROW(INDIRECT("1:"&amp;LEN(metadata!B27))), 1),"0123456789abcdefghijklmnopqrstuvwxyzABCDEFGHIJKLMNOPQRSTUVWXYZ.")))))</f>
        <v>0</v>
      </c>
      <c r="AE27" t="b">
        <f>OR(AND(IF(metadata!C27="",FALSE,TRUE),OR(EXACT(metadata!C27,"not applicable"),EXACT(metadata!C27,"missing: not collected"),EXACT(metadata!C27,"missing: not provided"),EXACT(metadata!C27,"missing: restricted access"))),AND(IF(metadata!C27="",FALSE,ISNUMBER(VALUE(metadata!C27))),metadata!C27&gt;0))</f>
        <v>0</v>
      </c>
      <c r="AF27" t="b">
        <f>AND(IF(metadata!D27="",FALSE,TRUE),EXACT(metadata!D27,"missing: not provided"))</f>
        <v>0</v>
      </c>
      <c r="AG27" t="b">
        <f>AND(IF(metadata!E27="",FALSE,TRUE),EXACT(metadata!E27,"Host-associated"))</f>
        <v>0</v>
      </c>
      <c r="AH27" t="b">
        <f>AND(IF(metadata!F27="",FALSE,TRUE),OR(EXACT(metadata!F27,"Animal"),EXACT(metadata!F27,"Fungus"),EXACT(metadata!F27,"Plant")))</f>
        <v>0</v>
      </c>
      <c r="AI27" t="b">
        <f>AND(IF(metadata!G27="",FALSE,TRUE),OR(EXACT(metadata!G27,"Plant secretion"),EXACT(metadata!G27,"Plant rhizosphere"),EXACT(metadata!G27,"Plant surface"),EXACT(metadata!G27,"Plant corpus"),EXACT(metadata!G27,"Fungus surface"),EXACT(metadata!G27,"Fungus corpus"),EXACT(metadata!G27,"Animal surface"),EXACT(metadata!G27,"Animal proximal gut"),EXACT(metadata!G27,"Animal corpus"),EXACT(metadata!G27,"Animal distal gut"),EXACT(metadata!G27,"Animal secretion")))</f>
        <v>0</v>
      </c>
      <c r="AJ27" t="b">
        <f>OR(AND(IF(metadata!H27="",FALSE,TRUE),OR(EXACT(metadata!H27,"missing: not collected"),EXACT(metadata!H27,"missing: not provided"),EXACT(metadata!H27,"missing: restricted access"))),AND(IF(metadata!H27="",FALSE,TRUE),OR(EXACT(metadata!H27,"organism-associated habitat"),EXACT(metadata!H27,"plant-associated habitat"),EXACT(metadata!H27,"animal-associated habitat"),EXACT(metadata!H27,"insecta-associated habitat"),EXACT(metadata!H27,"mammalia-associated habitat"),EXACT(metadata!H27,"human-associated habitat"),EXACT(metadata!H27,"livestock-associated habitat"))))</f>
        <v>0</v>
      </c>
      <c r="AK27" t="b">
        <f>AND(IF(metadata!I27="",FALSE,TRUE),EXACT(metadata!I27,"host-associated"))</f>
        <v>0</v>
      </c>
      <c r="AL27" t="b">
        <f>OR(AND(IF(metadata!J27="",FALSE,TRUE),OR(EXACT(metadata!J27,"not applicable"),EXACT(metadata!J27,"missing: not collected"),EXACT(metadata!J27,"missing: not provided"),EXACT(metadata!J27,"missing: restricted access"))),AND(IF(metadata!J27="",FALSE,ISNUMBER(VALUE(metadata!J27))),metadata!J27&gt;0))</f>
        <v>0</v>
      </c>
      <c r="AM27" t="b">
        <f>AND(IF(metadata!K27="",FALSE,TRUE),EXACT(metadata!K27,"missing: not provided"))</f>
        <v>0</v>
      </c>
      <c r="AN27" t="b">
        <f>IF(metadata!L27="",FALSE,TRUE)</f>
        <v>0</v>
      </c>
      <c r="AO27" t="b">
        <f>IF(metadata!M27="",FALSE,TRUE)</f>
        <v>0</v>
      </c>
      <c r="AP27" t="b">
        <f>OR(AND(IF(metadata!N27="",FALSE,TRUE),OR(EXACT(metadata!N27,"not applicable"),EXACT(metadata!N27,"missing: not collected"),EXACT(metadata!N27,"missing: not provided"))),AND(IF(metadata!N27="",FALSE,IF(ISERROR(INT(metadata!N27)),FALSE,INT(metadata!N27)=metadata!N27)),metadata!N27&gt;0))</f>
        <v>0</v>
      </c>
      <c r="AQ27" t="b">
        <f>AND(IF(metadata!O27="",FALSE,TRUE),EXACT(metadata!O27,"Not applicable"))</f>
        <v>0</v>
      </c>
      <c r="AR27" t="b">
        <f>OR(AND(IF(metadata!P27="",FALSE,TRUE),OR(EXACT(metadata!P27,"not applicable"),EXACT(metadata!P27,"missing: not collected"),EXACT(metadata!P27,"missing: not provided"),EXACT(metadata!P27,"missing: restricted access"))),IF(metadata!P27="",FALSE,IF(ISERROR(INT(metadata!P27)),FALSE,INT(metadata!P27)=metadata!P27)))</f>
        <v>0</v>
      </c>
      <c r="AS27" t="b">
        <f>AND(IF(metadata!Q27="",FALSE,TRUE),EXACT(metadata!Q27,"Not applicable"))</f>
        <v>0</v>
      </c>
      <c r="AT27" t="b">
        <f>OR(AND(IF(metadata!R27="",FALSE,TRUE),OR(EXACT(metadata!R27,"not applicable"),EXACT(metadata!R27,"missing: not collected"),EXACT(metadata!R27,"missing: not provided"),EXACT(metadata!R27,"missing: restricted access"))),AND(IF(metadata!R27="",FALSE,ISNUMBER(VALUE(metadata!R27))),metadata!R27&gt;0))</f>
        <v>0</v>
      </c>
      <c r="AU27" t="b">
        <f>AND(IF(metadata!S27="",FALSE,TRUE),EXACT(metadata!S27,"missing: not provided"))</f>
        <v>0</v>
      </c>
    </row>
    <row r="28" spans="1:47" x14ac:dyDescent="0.2">
      <c r="A28" s="5" t="str">
        <f ca="1">IF(B28=" "," ",HYPERLINK(CONCATENATE("#metadata!",ADDRESS(INDEX($Y$2:$Y$1001,MATCH(ROWS($W$2:W28),$W$2:$W$1001,0),0),1)),INDEX($AB$2:$AB$1001,MATCH(ROWS($W$2:W28),$W$2:$W$1001,0),0)))</f>
        <v xml:space="preserve"> </v>
      </c>
      <c r="B28" s="4" t="str">
        <f ca="1">IF(OR(INDEX($X$2:$X$1001,MATCH(ROWS($W$2:W28),$W$2:$W$1001,0),1)&gt;=100000,INDEX($AD$1005:$AU$1005,1,MATCH(COLUMNS($AD$1006:AD1006),$AD$1006:$AU$1006,0))&gt;=100000), " ",IF(INDEX($AD$2:$AU$1001,MATCH(ROWS($W$2:W28),$W$2:$W$1001,0),MATCH(COLUMNS($AD$1006:AD1006),$AD$1006:$AU$1006,0)), HYPERLINK("#",""), HYPERLINK(CONCATENATE("#metadata!", ADDRESS(INDEX($Y$2:$Y$1001,MATCH(ROWS($W$2:W28),$W$2:$W$1001,0),0), INDEX($AD$1004:$AU$1004,1,MATCH(COLUMNS($AD$1006:AD1006),$AD$1006:$AU$1006,0)))),"Fix")))</f>
        <v xml:space="preserve"> </v>
      </c>
      <c r="C28" s="4" t="str">
        <f ca="1">IF(OR(INDEX($X$2:$X$1001,MATCH(ROWS($W$2:W28),$W$2:$W$1001,0),1)&gt;=100000,INDEX($AD$1005:$AU$1005,1,MATCH(COLUMNS($AD$1006:AE1006),$AD$1006:$AU$1006,0))&gt;=100000), " ",IF(INDEX($AD$2:$AU$1001,MATCH(ROWS($W$2:W28),$W$2:$W$1001,0),MATCH(COLUMNS($AD$1006:AE1006),$AD$1006:$AU$1006,0)), HYPERLINK("#",""), HYPERLINK(CONCATENATE("#metadata!", ADDRESS(INDEX($Y$2:$Y$1001,MATCH(ROWS($W$2:W28),$W$2:$W$1001,0),0), INDEX($AD$1004:$AU$1004,1,MATCH(COLUMNS($AD$1006:AE1006),$AD$1006:$AU$1006,0)))),"Fix")))</f>
        <v xml:space="preserve"> </v>
      </c>
      <c r="D28" s="4" t="str">
        <f ca="1">IF(OR(INDEX($X$2:$X$1001,MATCH(ROWS($W$2:W28),$W$2:$W$1001,0),1)&gt;=100000,INDEX($AD$1005:$AU$1005,1,MATCH(COLUMNS($AD$1006:AF1006),$AD$1006:$AU$1006,0))&gt;=100000), " ",IF(INDEX($AD$2:$AU$1001,MATCH(ROWS($W$2:W28),$W$2:$W$1001,0),MATCH(COLUMNS($AD$1006:AF1006),$AD$1006:$AU$1006,0)), HYPERLINK("#",""), HYPERLINK(CONCATENATE("#metadata!", ADDRESS(INDEX($Y$2:$Y$1001,MATCH(ROWS($W$2:W28),$W$2:$W$1001,0),0), INDEX($AD$1004:$AU$1004,1,MATCH(COLUMNS($AD$1006:AF1006),$AD$1006:$AU$1006,0)))),"Fix")))</f>
        <v xml:space="preserve"> </v>
      </c>
      <c r="E28" s="4" t="str">
        <f ca="1">IF(OR(INDEX($X$2:$X$1001,MATCH(ROWS($W$2:W28),$W$2:$W$1001,0),1)&gt;=100000,INDEX($AD$1005:$AU$1005,1,MATCH(COLUMNS($AD$1006:AG1006),$AD$1006:$AU$1006,0))&gt;=100000), " ",IF(INDEX($AD$2:$AU$1001,MATCH(ROWS($W$2:W28),$W$2:$W$1001,0),MATCH(COLUMNS($AD$1006:AG1006),$AD$1006:$AU$1006,0)), HYPERLINK("#",""), HYPERLINK(CONCATENATE("#metadata!", ADDRESS(INDEX($Y$2:$Y$1001,MATCH(ROWS($W$2:W28),$W$2:$W$1001,0),0), INDEX($AD$1004:$AU$1004,1,MATCH(COLUMNS($AD$1006:AG1006),$AD$1006:$AU$1006,0)))),"Fix")))</f>
        <v xml:space="preserve"> </v>
      </c>
      <c r="F28" s="4" t="str">
        <f ca="1">IF(OR(INDEX($X$2:$X$1001,MATCH(ROWS($W$2:W28),$W$2:$W$1001,0),1)&gt;=100000,INDEX($AD$1005:$AU$1005,1,MATCH(COLUMNS($AD$1006:AH1006),$AD$1006:$AU$1006,0))&gt;=100000), " ",IF(INDEX($AD$2:$AU$1001,MATCH(ROWS($W$2:W28),$W$2:$W$1001,0),MATCH(COLUMNS($AD$1006:AH1006),$AD$1006:$AU$1006,0)), HYPERLINK("#",""), HYPERLINK(CONCATENATE("#metadata!", ADDRESS(INDEX($Y$2:$Y$1001,MATCH(ROWS($W$2:W28),$W$2:$W$1001,0),0), INDEX($AD$1004:$AU$1004,1,MATCH(COLUMNS($AD$1006:AH1006),$AD$1006:$AU$1006,0)))),"Fix")))</f>
        <v xml:space="preserve"> </v>
      </c>
      <c r="G28" s="4" t="str">
        <f ca="1">IF(OR(INDEX($X$2:$X$1001,MATCH(ROWS($W$2:W28),$W$2:$W$1001,0),1)&gt;=100000,INDEX($AD$1005:$AU$1005,1,MATCH(COLUMNS($AD$1006:AI1006),$AD$1006:$AU$1006,0))&gt;=100000), " ",IF(INDEX($AD$2:$AU$1001,MATCH(ROWS($W$2:W28),$W$2:$W$1001,0),MATCH(COLUMNS($AD$1006:AI1006),$AD$1006:$AU$1006,0)), HYPERLINK("#",""), HYPERLINK(CONCATENATE("#metadata!", ADDRESS(INDEX($Y$2:$Y$1001,MATCH(ROWS($W$2:W28),$W$2:$W$1001,0),0), INDEX($AD$1004:$AU$1004,1,MATCH(COLUMNS($AD$1006:AI1006),$AD$1006:$AU$1006,0)))),"Fix")))</f>
        <v xml:space="preserve"> </v>
      </c>
      <c r="H28" s="4" t="str">
        <f ca="1">IF(OR(INDEX($X$2:$X$1001,MATCH(ROWS($W$2:W28),$W$2:$W$1001,0),1)&gt;=100000,INDEX($AD$1005:$AU$1005,1,MATCH(COLUMNS($AD$1006:AJ1006),$AD$1006:$AU$1006,0))&gt;=100000), " ",IF(INDEX($AD$2:$AU$1001,MATCH(ROWS($W$2:W28),$W$2:$W$1001,0),MATCH(COLUMNS($AD$1006:AJ1006),$AD$1006:$AU$1006,0)), HYPERLINK("#",""), HYPERLINK(CONCATENATE("#metadata!", ADDRESS(INDEX($Y$2:$Y$1001,MATCH(ROWS($W$2:W28),$W$2:$W$1001,0),0), INDEX($AD$1004:$AU$1004,1,MATCH(COLUMNS($AD$1006:AJ1006),$AD$1006:$AU$1006,0)))),"Fix")))</f>
        <v xml:space="preserve"> </v>
      </c>
      <c r="I28" s="4" t="str">
        <f ca="1">IF(OR(INDEX($X$2:$X$1001,MATCH(ROWS($W$2:W28),$W$2:$W$1001,0),1)&gt;=100000,INDEX($AD$1005:$AU$1005,1,MATCH(COLUMNS($AD$1006:AK1006),$AD$1006:$AU$1006,0))&gt;=100000), " ",IF(INDEX($AD$2:$AU$1001,MATCH(ROWS($W$2:W28),$W$2:$W$1001,0),MATCH(COLUMNS($AD$1006:AK1006),$AD$1006:$AU$1006,0)), HYPERLINK("#",""), HYPERLINK(CONCATENATE("#metadata!", ADDRESS(INDEX($Y$2:$Y$1001,MATCH(ROWS($W$2:W28),$W$2:$W$1001,0),0), INDEX($AD$1004:$AU$1004,1,MATCH(COLUMNS($AD$1006:AK1006),$AD$1006:$AU$1006,0)))),"Fix")))</f>
        <v xml:space="preserve"> </v>
      </c>
      <c r="J28" s="4" t="str">
        <f ca="1">IF(OR(INDEX($X$2:$X$1001,MATCH(ROWS($W$2:W28),$W$2:$W$1001,0),1)&gt;=100000,INDEX($AD$1005:$AU$1005,1,MATCH(COLUMNS($AD$1006:AL1006),$AD$1006:$AU$1006,0))&gt;=100000), " ",IF(INDEX($AD$2:$AU$1001,MATCH(ROWS($W$2:W28),$W$2:$W$1001,0),MATCH(COLUMNS($AD$1006:AL1006),$AD$1006:$AU$1006,0)), HYPERLINK("#",""), HYPERLINK(CONCATENATE("#metadata!", ADDRESS(INDEX($Y$2:$Y$1001,MATCH(ROWS($W$2:W28),$W$2:$W$1001,0),0), INDEX($AD$1004:$AU$1004,1,MATCH(COLUMNS($AD$1006:AL1006),$AD$1006:$AU$1006,0)))),"Fix")))</f>
        <v xml:space="preserve"> </v>
      </c>
      <c r="K28" s="4" t="str">
        <f ca="1">IF(OR(INDEX($X$2:$X$1001,MATCH(ROWS($W$2:W28),$W$2:$W$1001,0),1)&gt;=100000,INDEX($AD$1005:$AU$1005,1,MATCH(COLUMNS($AD$1006:AM1006),$AD$1006:$AU$1006,0))&gt;=100000), " ",IF(INDEX($AD$2:$AU$1001,MATCH(ROWS($W$2:W28),$W$2:$W$1001,0),MATCH(COLUMNS($AD$1006:AM1006),$AD$1006:$AU$1006,0)), HYPERLINK("#",""), HYPERLINK(CONCATENATE("#metadata!", ADDRESS(INDEX($Y$2:$Y$1001,MATCH(ROWS($W$2:W28),$W$2:$W$1001,0),0), INDEX($AD$1004:$AU$1004,1,MATCH(COLUMNS($AD$1006:AM1006),$AD$1006:$AU$1006,0)))),"Fix")))</f>
        <v xml:space="preserve"> </v>
      </c>
      <c r="L28" s="4" t="str">
        <f ca="1">IF(OR(INDEX($X$2:$X$1001,MATCH(ROWS($W$2:W28),$W$2:$W$1001,0),1)&gt;=100000,INDEX($AD$1005:$AU$1005,1,MATCH(COLUMNS($AD$1006:AN1006),$AD$1006:$AU$1006,0))&gt;=100000), " ",IF(INDEX($AD$2:$AU$1001,MATCH(ROWS($W$2:W28),$W$2:$W$1001,0),MATCH(COLUMNS($AD$1006:AN1006),$AD$1006:$AU$1006,0)), HYPERLINK("#",""), HYPERLINK(CONCATENATE("#metadata!", ADDRESS(INDEX($Y$2:$Y$1001,MATCH(ROWS($W$2:W28),$W$2:$W$1001,0),0), INDEX($AD$1004:$AU$1004,1,MATCH(COLUMNS($AD$1006:AN1006),$AD$1006:$AU$1006,0)))),"Fix")))</f>
        <v xml:space="preserve"> </v>
      </c>
      <c r="M28" s="4" t="str">
        <f ca="1">IF(OR(INDEX($X$2:$X$1001,MATCH(ROWS($W$2:W28),$W$2:$W$1001,0),1)&gt;=100000,INDEX($AD$1005:$AU$1005,1,MATCH(COLUMNS($AD$1006:AO1006),$AD$1006:$AU$1006,0))&gt;=100000), " ",IF(INDEX($AD$2:$AU$1001,MATCH(ROWS($W$2:W28),$W$2:$W$1001,0),MATCH(COLUMNS($AD$1006:AO1006),$AD$1006:$AU$1006,0)), HYPERLINK("#",""), HYPERLINK(CONCATENATE("#metadata!", ADDRESS(INDEX($Y$2:$Y$1001,MATCH(ROWS($W$2:W28),$W$2:$W$1001,0),0), INDEX($AD$1004:$AU$1004,1,MATCH(COLUMNS($AD$1006:AO1006),$AD$1006:$AU$1006,0)))),"Fix")))</f>
        <v xml:space="preserve"> </v>
      </c>
      <c r="N28" s="4" t="str">
        <f ca="1">IF(OR(INDEX($X$2:$X$1001,MATCH(ROWS($W$2:W28),$W$2:$W$1001,0),1)&gt;=100000,INDEX($AD$1005:$AU$1005,1,MATCH(COLUMNS($AD$1006:AP1006),$AD$1006:$AU$1006,0))&gt;=100000), " ",IF(INDEX($AD$2:$AU$1001,MATCH(ROWS($W$2:W28),$W$2:$W$1001,0),MATCH(COLUMNS($AD$1006:AP1006),$AD$1006:$AU$1006,0)), HYPERLINK("#",""), HYPERLINK(CONCATENATE("#metadata!", ADDRESS(INDEX($Y$2:$Y$1001,MATCH(ROWS($W$2:W28),$W$2:$W$1001,0),0), INDEX($AD$1004:$AU$1004,1,MATCH(COLUMNS($AD$1006:AP1006),$AD$1006:$AU$1006,0)))),"Fix")))</f>
        <v xml:space="preserve"> </v>
      </c>
      <c r="O28" s="4" t="str">
        <f ca="1">IF(OR(INDEX($X$2:$X$1001,MATCH(ROWS($W$2:W28),$W$2:$W$1001,0),1)&gt;=100000,INDEX($AD$1005:$AU$1005,1,MATCH(COLUMNS($AD$1006:AQ1006),$AD$1006:$AU$1006,0))&gt;=100000), " ",IF(INDEX($AD$2:$AU$1001,MATCH(ROWS($W$2:W28),$W$2:$W$1001,0),MATCH(COLUMNS($AD$1006:AQ1006),$AD$1006:$AU$1006,0)), HYPERLINK("#",""), HYPERLINK(CONCATENATE("#metadata!", ADDRESS(INDEX($Y$2:$Y$1001,MATCH(ROWS($W$2:W28),$W$2:$W$1001,0),0), INDEX($AD$1004:$AU$1004,1,MATCH(COLUMNS($AD$1006:AQ1006),$AD$1006:$AU$1006,0)))),"Fix")))</f>
        <v xml:space="preserve"> </v>
      </c>
      <c r="P28" s="4" t="str">
        <f ca="1">IF(OR(INDEX($X$2:$X$1001,MATCH(ROWS($W$2:W28),$W$2:$W$1001,0),1)&gt;=100000,INDEX($AD$1005:$AU$1005,1,MATCH(COLUMNS($AD$1006:AR1006),$AD$1006:$AU$1006,0))&gt;=100000), " ",IF(INDEX($AD$2:$AU$1001,MATCH(ROWS($W$2:W28),$W$2:$W$1001,0),MATCH(COLUMNS($AD$1006:AR1006),$AD$1006:$AU$1006,0)), HYPERLINK("#",""), HYPERLINK(CONCATENATE("#metadata!", ADDRESS(INDEX($Y$2:$Y$1001,MATCH(ROWS($W$2:W28),$W$2:$W$1001,0),0), INDEX($AD$1004:$AU$1004,1,MATCH(COLUMNS($AD$1006:AR1006),$AD$1006:$AU$1006,0)))),"Fix")))</f>
        <v xml:space="preserve"> </v>
      </c>
      <c r="Q28" s="4" t="str">
        <f ca="1">IF(OR(INDEX($X$2:$X$1001,MATCH(ROWS($W$2:W28),$W$2:$W$1001,0),1)&gt;=100000,INDEX($AD$1005:$AU$1005,1,MATCH(COLUMNS($AD$1006:AS1006),$AD$1006:$AU$1006,0))&gt;=100000), " ",IF(INDEX($AD$2:$AU$1001,MATCH(ROWS($W$2:W28),$W$2:$W$1001,0),MATCH(COLUMNS($AD$1006:AS1006),$AD$1006:$AU$1006,0)), HYPERLINK("#",""), HYPERLINK(CONCATENATE("#metadata!", ADDRESS(INDEX($Y$2:$Y$1001,MATCH(ROWS($W$2:W28),$W$2:$W$1001,0),0), INDEX($AD$1004:$AU$1004,1,MATCH(COLUMNS($AD$1006:AS1006),$AD$1006:$AU$1006,0)))),"Fix")))</f>
        <v xml:space="preserve"> </v>
      </c>
      <c r="R28" s="4" t="str">
        <f ca="1">IF(OR(INDEX($X$2:$X$1001,MATCH(ROWS($W$2:W28),$W$2:$W$1001,0),1)&gt;=100000,INDEX($AD$1005:$AU$1005,1,MATCH(COLUMNS($AD$1006:AT1006),$AD$1006:$AU$1006,0))&gt;=100000), " ",IF(INDEX($AD$2:$AU$1001,MATCH(ROWS($W$2:W28),$W$2:$W$1001,0),MATCH(COLUMNS($AD$1006:AT1006),$AD$1006:$AU$1006,0)), HYPERLINK("#",""), HYPERLINK(CONCATENATE("#metadata!", ADDRESS(INDEX($Y$2:$Y$1001,MATCH(ROWS($W$2:W28),$W$2:$W$1001,0),0), INDEX($AD$1004:$AU$1004,1,MATCH(COLUMNS($AD$1006:AT1006),$AD$1006:$AU$1006,0)))),"Fix")))</f>
        <v xml:space="preserve"> </v>
      </c>
      <c r="S28" s="4" t="str">
        <f ca="1">IF(OR(INDEX($X$2:$X$1001,MATCH(ROWS($W$2:W28),$W$2:$W$1001,0),1)&gt;=100000,INDEX($AD$1005:$AU$1005,1,MATCH(COLUMNS($AD$1006:AU1006),$AD$1006:$AU$1006,0))&gt;=100000), " ",IF(INDEX($AD$2:$AU$1001,MATCH(ROWS($W$2:W28),$W$2:$W$1001,0),MATCH(COLUMNS($AD$1006:AU1006),$AD$1006:$AU$1006,0)), HYPERLINK("#",""), HYPERLINK(CONCATENATE("#metadata!", ADDRESS(INDEX($Y$2:$Y$1001,MATCH(ROWS($W$2:W28),$W$2:$W$1001,0),0), INDEX($AD$1004:$AU$1004,1,MATCH(COLUMNS($AD$1006:AU1006),$AD$1006:$AU$1006,0)))),"Fix")))</f>
        <v xml:space="preserve"> </v>
      </c>
      <c r="W28">
        <v>27</v>
      </c>
      <c r="X28">
        <v>100028</v>
      </c>
      <c r="Y28">
        <v>28</v>
      </c>
      <c r="Z28" t="b">
        <f t="shared" si="0"/>
        <v>1</v>
      </c>
      <c r="AA28" t="b">
        <f>COUNTBLANK(metadata!B28:S28)=COLUMNS(metadata!B28:S28)</f>
        <v>1</v>
      </c>
      <c r="AB28" t="str">
        <v/>
      </c>
      <c r="AD28" t="b">
        <f ca="1">AND(IF(metadata!B28="",FALSE,TRUE),COUNTIF(metadata!B:B, metadata!B28) = 1,NOT(ISERROR(SUMPRODUCT(SEARCH(MID(metadata!B28,ROW(INDIRECT("1:"&amp;LEN(metadata!B28))), 1),"0123456789abcdefghijklmnopqrstuvwxyzABCDEFGHIJKLMNOPQRSTUVWXYZ.")))))</f>
        <v>0</v>
      </c>
      <c r="AE28" t="b">
        <f>OR(AND(IF(metadata!C28="",FALSE,TRUE),OR(EXACT(metadata!C28,"not applicable"),EXACT(metadata!C28,"missing: not collected"),EXACT(metadata!C28,"missing: not provided"),EXACT(metadata!C28,"missing: restricted access"))),AND(IF(metadata!C28="",FALSE,ISNUMBER(VALUE(metadata!C28))),metadata!C28&gt;0))</f>
        <v>0</v>
      </c>
      <c r="AF28" t="b">
        <f>AND(IF(metadata!D28="",FALSE,TRUE),EXACT(metadata!D28,"missing: not provided"))</f>
        <v>0</v>
      </c>
      <c r="AG28" t="b">
        <f>AND(IF(metadata!E28="",FALSE,TRUE),EXACT(metadata!E28,"Host-associated"))</f>
        <v>0</v>
      </c>
      <c r="AH28" t="b">
        <f>AND(IF(metadata!F28="",FALSE,TRUE),OR(EXACT(metadata!F28,"Animal"),EXACT(metadata!F28,"Fungus"),EXACT(metadata!F28,"Plant")))</f>
        <v>0</v>
      </c>
      <c r="AI28" t="b">
        <f>AND(IF(metadata!G28="",FALSE,TRUE),OR(EXACT(metadata!G28,"Plant secretion"),EXACT(metadata!G28,"Plant rhizosphere"),EXACT(metadata!G28,"Plant surface"),EXACT(metadata!G28,"Plant corpus"),EXACT(metadata!G28,"Fungus surface"),EXACT(metadata!G28,"Fungus corpus"),EXACT(metadata!G28,"Animal surface"),EXACT(metadata!G28,"Animal proximal gut"),EXACT(metadata!G28,"Animal corpus"),EXACT(metadata!G28,"Animal distal gut"),EXACT(metadata!G28,"Animal secretion")))</f>
        <v>0</v>
      </c>
      <c r="AJ28" t="b">
        <f>OR(AND(IF(metadata!H28="",FALSE,TRUE),OR(EXACT(metadata!H28,"missing: not collected"),EXACT(metadata!H28,"missing: not provided"),EXACT(metadata!H28,"missing: restricted access"))),AND(IF(metadata!H28="",FALSE,TRUE),OR(EXACT(metadata!H28,"organism-associated habitat"),EXACT(metadata!H28,"plant-associated habitat"),EXACT(metadata!H28,"animal-associated habitat"),EXACT(metadata!H28,"insecta-associated habitat"),EXACT(metadata!H28,"mammalia-associated habitat"),EXACT(metadata!H28,"human-associated habitat"),EXACT(metadata!H28,"livestock-associated habitat"))))</f>
        <v>0</v>
      </c>
      <c r="AK28" t="b">
        <f>AND(IF(metadata!I28="",FALSE,TRUE),EXACT(metadata!I28,"host-associated"))</f>
        <v>0</v>
      </c>
      <c r="AL28" t="b">
        <f>OR(AND(IF(metadata!J28="",FALSE,TRUE),OR(EXACT(metadata!J28,"not applicable"),EXACT(metadata!J28,"missing: not collected"),EXACT(metadata!J28,"missing: not provided"),EXACT(metadata!J28,"missing: restricted access"))),AND(IF(metadata!J28="",FALSE,ISNUMBER(VALUE(metadata!J28))),metadata!J28&gt;0))</f>
        <v>0</v>
      </c>
      <c r="AM28" t="b">
        <f>AND(IF(metadata!K28="",FALSE,TRUE),EXACT(metadata!K28,"missing: not provided"))</f>
        <v>0</v>
      </c>
      <c r="AN28" t="b">
        <f>IF(metadata!L28="",FALSE,TRUE)</f>
        <v>0</v>
      </c>
      <c r="AO28" t="b">
        <f>IF(metadata!M28="",FALSE,TRUE)</f>
        <v>0</v>
      </c>
      <c r="AP28" t="b">
        <f>OR(AND(IF(metadata!N28="",FALSE,TRUE),OR(EXACT(metadata!N28,"not applicable"),EXACT(metadata!N28,"missing: not collected"),EXACT(metadata!N28,"missing: not provided"))),AND(IF(metadata!N28="",FALSE,IF(ISERROR(INT(metadata!N28)),FALSE,INT(metadata!N28)=metadata!N28)),metadata!N28&gt;0))</f>
        <v>0</v>
      </c>
      <c r="AQ28" t="b">
        <f>AND(IF(metadata!O28="",FALSE,TRUE),EXACT(metadata!O28,"Not applicable"))</f>
        <v>0</v>
      </c>
      <c r="AR28" t="b">
        <f>OR(AND(IF(metadata!P28="",FALSE,TRUE),OR(EXACT(metadata!P28,"not applicable"),EXACT(metadata!P28,"missing: not collected"),EXACT(metadata!P28,"missing: not provided"),EXACT(metadata!P28,"missing: restricted access"))),IF(metadata!P28="",FALSE,IF(ISERROR(INT(metadata!P28)),FALSE,INT(metadata!P28)=metadata!P28)))</f>
        <v>0</v>
      </c>
      <c r="AS28" t="b">
        <f>AND(IF(metadata!Q28="",FALSE,TRUE),EXACT(metadata!Q28,"Not applicable"))</f>
        <v>0</v>
      </c>
      <c r="AT28" t="b">
        <f>OR(AND(IF(metadata!R28="",FALSE,TRUE),OR(EXACT(metadata!R28,"not applicable"),EXACT(metadata!R28,"missing: not collected"),EXACT(metadata!R28,"missing: not provided"),EXACT(metadata!R28,"missing: restricted access"))),AND(IF(metadata!R28="",FALSE,ISNUMBER(VALUE(metadata!R28))),metadata!R28&gt;0))</f>
        <v>0</v>
      </c>
      <c r="AU28" t="b">
        <f>AND(IF(metadata!S28="",FALSE,TRUE),EXACT(metadata!S28,"missing: not provided"))</f>
        <v>0</v>
      </c>
    </row>
    <row r="29" spans="1:47" x14ac:dyDescent="0.2">
      <c r="A29" s="5" t="str">
        <f ca="1">IF(B29=" "," ",HYPERLINK(CONCATENATE("#metadata!",ADDRESS(INDEX($Y$2:$Y$1001,MATCH(ROWS($W$2:W29),$W$2:$W$1001,0),0),1)),INDEX($AB$2:$AB$1001,MATCH(ROWS($W$2:W29),$W$2:$W$1001,0),0)))</f>
        <v xml:space="preserve"> </v>
      </c>
      <c r="B29" s="4" t="str">
        <f ca="1">IF(OR(INDEX($X$2:$X$1001,MATCH(ROWS($W$2:W29),$W$2:$W$1001,0),1)&gt;=100000,INDEX($AD$1005:$AU$1005,1,MATCH(COLUMNS($AD$1006:AD1006),$AD$1006:$AU$1006,0))&gt;=100000), " ",IF(INDEX($AD$2:$AU$1001,MATCH(ROWS($W$2:W29),$W$2:$W$1001,0),MATCH(COLUMNS($AD$1006:AD1006),$AD$1006:$AU$1006,0)), HYPERLINK("#",""), HYPERLINK(CONCATENATE("#metadata!", ADDRESS(INDEX($Y$2:$Y$1001,MATCH(ROWS($W$2:W29),$W$2:$W$1001,0),0), INDEX($AD$1004:$AU$1004,1,MATCH(COLUMNS($AD$1006:AD1006),$AD$1006:$AU$1006,0)))),"Fix")))</f>
        <v xml:space="preserve"> </v>
      </c>
      <c r="C29" s="4" t="str">
        <f ca="1">IF(OR(INDEX($X$2:$X$1001,MATCH(ROWS($W$2:W29),$W$2:$W$1001,0),1)&gt;=100000,INDEX($AD$1005:$AU$1005,1,MATCH(COLUMNS($AD$1006:AE1006),$AD$1006:$AU$1006,0))&gt;=100000), " ",IF(INDEX($AD$2:$AU$1001,MATCH(ROWS($W$2:W29),$W$2:$W$1001,0),MATCH(COLUMNS($AD$1006:AE1006),$AD$1006:$AU$1006,0)), HYPERLINK("#",""), HYPERLINK(CONCATENATE("#metadata!", ADDRESS(INDEX($Y$2:$Y$1001,MATCH(ROWS($W$2:W29),$W$2:$W$1001,0),0), INDEX($AD$1004:$AU$1004,1,MATCH(COLUMNS($AD$1006:AE1006),$AD$1006:$AU$1006,0)))),"Fix")))</f>
        <v xml:space="preserve"> </v>
      </c>
      <c r="D29" s="4" t="str">
        <f ca="1">IF(OR(INDEX($X$2:$X$1001,MATCH(ROWS($W$2:W29),$W$2:$W$1001,0),1)&gt;=100000,INDEX($AD$1005:$AU$1005,1,MATCH(COLUMNS($AD$1006:AF1006),$AD$1006:$AU$1006,0))&gt;=100000), " ",IF(INDEX($AD$2:$AU$1001,MATCH(ROWS($W$2:W29),$W$2:$W$1001,0),MATCH(COLUMNS($AD$1006:AF1006),$AD$1006:$AU$1006,0)), HYPERLINK("#",""), HYPERLINK(CONCATENATE("#metadata!", ADDRESS(INDEX($Y$2:$Y$1001,MATCH(ROWS($W$2:W29),$W$2:$W$1001,0),0), INDEX($AD$1004:$AU$1004,1,MATCH(COLUMNS($AD$1006:AF1006),$AD$1006:$AU$1006,0)))),"Fix")))</f>
        <v xml:space="preserve"> </v>
      </c>
      <c r="E29" s="4" t="str">
        <f ca="1">IF(OR(INDEX($X$2:$X$1001,MATCH(ROWS($W$2:W29),$W$2:$W$1001,0),1)&gt;=100000,INDEX($AD$1005:$AU$1005,1,MATCH(COLUMNS($AD$1006:AG1006),$AD$1006:$AU$1006,0))&gt;=100000), " ",IF(INDEX($AD$2:$AU$1001,MATCH(ROWS($W$2:W29),$W$2:$W$1001,0),MATCH(COLUMNS($AD$1006:AG1006),$AD$1006:$AU$1006,0)), HYPERLINK("#",""), HYPERLINK(CONCATENATE("#metadata!", ADDRESS(INDEX($Y$2:$Y$1001,MATCH(ROWS($W$2:W29),$W$2:$W$1001,0),0), INDEX($AD$1004:$AU$1004,1,MATCH(COLUMNS($AD$1006:AG1006),$AD$1006:$AU$1006,0)))),"Fix")))</f>
        <v xml:space="preserve"> </v>
      </c>
      <c r="F29" s="4" t="str">
        <f ca="1">IF(OR(INDEX($X$2:$X$1001,MATCH(ROWS($W$2:W29),$W$2:$W$1001,0),1)&gt;=100000,INDEX($AD$1005:$AU$1005,1,MATCH(COLUMNS($AD$1006:AH1006),$AD$1006:$AU$1006,0))&gt;=100000), " ",IF(INDEX($AD$2:$AU$1001,MATCH(ROWS($W$2:W29),$W$2:$W$1001,0),MATCH(COLUMNS($AD$1006:AH1006),$AD$1006:$AU$1006,0)), HYPERLINK("#",""), HYPERLINK(CONCATENATE("#metadata!", ADDRESS(INDEX($Y$2:$Y$1001,MATCH(ROWS($W$2:W29),$W$2:$W$1001,0),0), INDEX($AD$1004:$AU$1004,1,MATCH(COLUMNS($AD$1006:AH1006),$AD$1006:$AU$1006,0)))),"Fix")))</f>
        <v xml:space="preserve"> </v>
      </c>
      <c r="G29" s="4" t="str">
        <f ca="1">IF(OR(INDEX($X$2:$X$1001,MATCH(ROWS($W$2:W29),$W$2:$W$1001,0),1)&gt;=100000,INDEX($AD$1005:$AU$1005,1,MATCH(COLUMNS($AD$1006:AI1006),$AD$1006:$AU$1006,0))&gt;=100000), " ",IF(INDEX($AD$2:$AU$1001,MATCH(ROWS($W$2:W29),$W$2:$W$1001,0),MATCH(COLUMNS($AD$1006:AI1006),$AD$1006:$AU$1006,0)), HYPERLINK("#",""), HYPERLINK(CONCATENATE("#metadata!", ADDRESS(INDEX($Y$2:$Y$1001,MATCH(ROWS($W$2:W29),$W$2:$W$1001,0),0), INDEX($AD$1004:$AU$1004,1,MATCH(COLUMNS($AD$1006:AI1006),$AD$1006:$AU$1006,0)))),"Fix")))</f>
        <v xml:space="preserve"> </v>
      </c>
      <c r="H29" s="4" t="str">
        <f ca="1">IF(OR(INDEX($X$2:$X$1001,MATCH(ROWS($W$2:W29),$W$2:$W$1001,0),1)&gt;=100000,INDEX($AD$1005:$AU$1005,1,MATCH(COLUMNS($AD$1006:AJ1006),$AD$1006:$AU$1006,0))&gt;=100000), " ",IF(INDEX($AD$2:$AU$1001,MATCH(ROWS($W$2:W29),$W$2:$W$1001,0),MATCH(COLUMNS($AD$1006:AJ1006),$AD$1006:$AU$1006,0)), HYPERLINK("#",""), HYPERLINK(CONCATENATE("#metadata!", ADDRESS(INDEX($Y$2:$Y$1001,MATCH(ROWS($W$2:W29),$W$2:$W$1001,0),0), INDEX($AD$1004:$AU$1004,1,MATCH(COLUMNS($AD$1006:AJ1006),$AD$1006:$AU$1006,0)))),"Fix")))</f>
        <v xml:space="preserve"> </v>
      </c>
      <c r="I29" s="4" t="str">
        <f ca="1">IF(OR(INDEX($X$2:$X$1001,MATCH(ROWS($W$2:W29),$W$2:$W$1001,0),1)&gt;=100000,INDEX($AD$1005:$AU$1005,1,MATCH(COLUMNS($AD$1006:AK1006),$AD$1006:$AU$1006,0))&gt;=100000), " ",IF(INDEX($AD$2:$AU$1001,MATCH(ROWS($W$2:W29),$W$2:$W$1001,0),MATCH(COLUMNS($AD$1006:AK1006),$AD$1006:$AU$1006,0)), HYPERLINK("#",""), HYPERLINK(CONCATENATE("#metadata!", ADDRESS(INDEX($Y$2:$Y$1001,MATCH(ROWS($W$2:W29),$W$2:$W$1001,0),0), INDEX($AD$1004:$AU$1004,1,MATCH(COLUMNS($AD$1006:AK1006),$AD$1006:$AU$1006,0)))),"Fix")))</f>
        <v xml:space="preserve"> </v>
      </c>
      <c r="J29" s="4" t="str">
        <f ca="1">IF(OR(INDEX($X$2:$X$1001,MATCH(ROWS($W$2:W29),$W$2:$W$1001,0),1)&gt;=100000,INDEX($AD$1005:$AU$1005,1,MATCH(COLUMNS($AD$1006:AL1006),$AD$1006:$AU$1006,0))&gt;=100000), " ",IF(INDEX($AD$2:$AU$1001,MATCH(ROWS($W$2:W29),$W$2:$W$1001,0),MATCH(COLUMNS($AD$1006:AL1006),$AD$1006:$AU$1006,0)), HYPERLINK("#",""), HYPERLINK(CONCATENATE("#metadata!", ADDRESS(INDEX($Y$2:$Y$1001,MATCH(ROWS($W$2:W29),$W$2:$W$1001,0),0), INDEX($AD$1004:$AU$1004,1,MATCH(COLUMNS($AD$1006:AL1006),$AD$1006:$AU$1006,0)))),"Fix")))</f>
        <v xml:space="preserve"> </v>
      </c>
      <c r="K29" s="4" t="str">
        <f ca="1">IF(OR(INDEX($X$2:$X$1001,MATCH(ROWS($W$2:W29),$W$2:$W$1001,0),1)&gt;=100000,INDEX($AD$1005:$AU$1005,1,MATCH(COLUMNS($AD$1006:AM1006),$AD$1006:$AU$1006,0))&gt;=100000), " ",IF(INDEX($AD$2:$AU$1001,MATCH(ROWS($W$2:W29),$W$2:$W$1001,0),MATCH(COLUMNS($AD$1006:AM1006),$AD$1006:$AU$1006,0)), HYPERLINK("#",""), HYPERLINK(CONCATENATE("#metadata!", ADDRESS(INDEX($Y$2:$Y$1001,MATCH(ROWS($W$2:W29),$W$2:$W$1001,0),0), INDEX($AD$1004:$AU$1004,1,MATCH(COLUMNS($AD$1006:AM1006),$AD$1006:$AU$1006,0)))),"Fix")))</f>
        <v xml:space="preserve"> </v>
      </c>
      <c r="L29" s="4" t="str">
        <f ca="1">IF(OR(INDEX($X$2:$X$1001,MATCH(ROWS($W$2:W29),$W$2:$W$1001,0),1)&gt;=100000,INDEX($AD$1005:$AU$1005,1,MATCH(COLUMNS($AD$1006:AN1006),$AD$1006:$AU$1006,0))&gt;=100000), " ",IF(INDEX($AD$2:$AU$1001,MATCH(ROWS($W$2:W29),$W$2:$W$1001,0),MATCH(COLUMNS($AD$1006:AN1006),$AD$1006:$AU$1006,0)), HYPERLINK("#",""), HYPERLINK(CONCATENATE("#metadata!", ADDRESS(INDEX($Y$2:$Y$1001,MATCH(ROWS($W$2:W29),$W$2:$W$1001,0),0), INDEX($AD$1004:$AU$1004,1,MATCH(COLUMNS($AD$1006:AN1006),$AD$1006:$AU$1006,0)))),"Fix")))</f>
        <v xml:space="preserve"> </v>
      </c>
      <c r="M29" s="4" t="str">
        <f ca="1">IF(OR(INDEX($X$2:$X$1001,MATCH(ROWS($W$2:W29),$W$2:$W$1001,0),1)&gt;=100000,INDEX($AD$1005:$AU$1005,1,MATCH(COLUMNS($AD$1006:AO1006),$AD$1006:$AU$1006,0))&gt;=100000), " ",IF(INDEX($AD$2:$AU$1001,MATCH(ROWS($W$2:W29),$W$2:$W$1001,0),MATCH(COLUMNS($AD$1006:AO1006),$AD$1006:$AU$1006,0)), HYPERLINK("#",""), HYPERLINK(CONCATENATE("#metadata!", ADDRESS(INDEX($Y$2:$Y$1001,MATCH(ROWS($W$2:W29),$W$2:$W$1001,0),0), INDEX($AD$1004:$AU$1004,1,MATCH(COLUMNS($AD$1006:AO1006),$AD$1006:$AU$1006,0)))),"Fix")))</f>
        <v xml:space="preserve"> </v>
      </c>
      <c r="N29" s="4" t="str">
        <f ca="1">IF(OR(INDEX($X$2:$X$1001,MATCH(ROWS($W$2:W29),$W$2:$W$1001,0),1)&gt;=100000,INDEX($AD$1005:$AU$1005,1,MATCH(COLUMNS($AD$1006:AP1006),$AD$1006:$AU$1006,0))&gt;=100000), " ",IF(INDEX($AD$2:$AU$1001,MATCH(ROWS($W$2:W29),$W$2:$W$1001,0),MATCH(COLUMNS($AD$1006:AP1006),$AD$1006:$AU$1006,0)), HYPERLINK("#",""), HYPERLINK(CONCATENATE("#metadata!", ADDRESS(INDEX($Y$2:$Y$1001,MATCH(ROWS($W$2:W29),$W$2:$W$1001,0),0), INDEX($AD$1004:$AU$1004,1,MATCH(COLUMNS($AD$1006:AP1006),$AD$1006:$AU$1006,0)))),"Fix")))</f>
        <v xml:space="preserve"> </v>
      </c>
      <c r="O29" s="4" t="str">
        <f ca="1">IF(OR(INDEX($X$2:$X$1001,MATCH(ROWS($W$2:W29),$W$2:$W$1001,0),1)&gt;=100000,INDEX($AD$1005:$AU$1005,1,MATCH(COLUMNS($AD$1006:AQ1006),$AD$1006:$AU$1006,0))&gt;=100000), " ",IF(INDEX($AD$2:$AU$1001,MATCH(ROWS($W$2:W29),$W$2:$W$1001,0),MATCH(COLUMNS($AD$1006:AQ1006),$AD$1006:$AU$1006,0)), HYPERLINK("#",""), HYPERLINK(CONCATENATE("#metadata!", ADDRESS(INDEX($Y$2:$Y$1001,MATCH(ROWS($W$2:W29),$W$2:$W$1001,0),0), INDEX($AD$1004:$AU$1004,1,MATCH(COLUMNS($AD$1006:AQ1006),$AD$1006:$AU$1006,0)))),"Fix")))</f>
        <v xml:space="preserve"> </v>
      </c>
      <c r="P29" s="4" t="str">
        <f ca="1">IF(OR(INDEX($X$2:$X$1001,MATCH(ROWS($W$2:W29),$W$2:$W$1001,0),1)&gt;=100000,INDEX($AD$1005:$AU$1005,1,MATCH(COLUMNS($AD$1006:AR1006),$AD$1006:$AU$1006,0))&gt;=100000), " ",IF(INDEX($AD$2:$AU$1001,MATCH(ROWS($W$2:W29),$W$2:$W$1001,0),MATCH(COLUMNS($AD$1006:AR1006),$AD$1006:$AU$1006,0)), HYPERLINK("#",""), HYPERLINK(CONCATENATE("#metadata!", ADDRESS(INDEX($Y$2:$Y$1001,MATCH(ROWS($W$2:W29),$W$2:$W$1001,0),0), INDEX($AD$1004:$AU$1004,1,MATCH(COLUMNS($AD$1006:AR1006),$AD$1006:$AU$1006,0)))),"Fix")))</f>
        <v xml:space="preserve"> </v>
      </c>
      <c r="Q29" s="4" t="str">
        <f ca="1">IF(OR(INDEX($X$2:$X$1001,MATCH(ROWS($W$2:W29),$W$2:$W$1001,0),1)&gt;=100000,INDEX($AD$1005:$AU$1005,1,MATCH(COLUMNS($AD$1006:AS1006),$AD$1006:$AU$1006,0))&gt;=100000), " ",IF(INDEX($AD$2:$AU$1001,MATCH(ROWS($W$2:W29),$W$2:$W$1001,0),MATCH(COLUMNS($AD$1006:AS1006),$AD$1006:$AU$1006,0)), HYPERLINK("#",""), HYPERLINK(CONCATENATE("#metadata!", ADDRESS(INDEX($Y$2:$Y$1001,MATCH(ROWS($W$2:W29),$W$2:$W$1001,0),0), INDEX($AD$1004:$AU$1004,1,MATCH(COLUMNS($AD$1006:AS1006),$AD$1006:$AU$1006,0)))),"Fix")))</f>
        <v xml:space="preserve"> </v>
      </c>
      <c r="R29" s="4" t="str">
        <f ca="1">IF(OR(INDEX($X$2:$X$1001,MATCH(ROWS($W$2:W29),$W$2:$W$1001,0),1)&gt;=100000,INDEX($AD$1005:$AU$1005,1,MATCH(COLUMNS($AD$1006:AT1006),$AD$1006:$AU$1006,0))&gt;=100000), " ",IF(INDEX($AD$2:$AU$1001,MATCH(ROWS($W$2:W29),$W$2:$W$1001,0),MATCH(COLUMNS($AD$1006:AT1006),$AD$1006:$AU$1006,0)), HYPERLINK("#",""), HYPERLINK(CONCATENATE("#metadata!", ADDRESS(INDEX($Y$2:$Y$1001,MATCH(ROWS($W$2:W29),$W$2:$W$1001,0),0), INDEX($AD$1004:$AU$1004,1,MATCH(COLUMNS($AD$1006:AT1006),$AD$1006:$AU$1006,0)))),"Fix")))</f>
        <v xml:space="preserve"> </v>
      </c>
      <c r="S29" s="4" t="str">
        <f ca="1">IF(OR(INDEX($X$2:$X$1001,MATCH(ROWS($W$2:W29),$W$2:$W$1001,0),1)&gt;=100000,INDEX($AD$1005:$AU$1005,1,MATCH(COLUMNS($AD$1006:AU1006),$AD$1006:$AU$1006,0))&gt;=100000), " ",IF(INDEX($AD$2:$AU$1001,MATCH(ROWS($W$2:W29),$W$2:$W$1001,0),MATCH(COLUMNS($AD$1006:AU1006),$AD$1006:$AU$1006,0)), HYPERLINK("#",""), HYPERLINK(CONCATENATE("#metadata!", ADDRESS(INDEX($Y$2:$Y$1001,MATCH(ROWS($W$2:W29),$W$2:$W$1001,0),0), INDEX($AD$1004:$AU$1004,1,MATCH(COLUMNS($AD$1006:AU1006),$AD$1006:$AU$1006,0)))),"Fix")))</f>
        <v xml:space="preserve"> </v>
      </c>
      <c r="W29">
        <v>28</v>
      </c>
      <c r="X29">
        <v>100029</v>
      </c>
      <c r="Y29">
        <v>29</v>
      </c>
      <c r="Z29" t="b">
        <f t="shared" si="0"/>
        <v>1</v>
      </c>
      <c r="AA29" t="b">
        <f>COUNTBLANK(metadata!B29:S29)=COLUMNS(metadata!B29:S29)</f>
        <v>1</v>
      </c>
      <c r="AB29" t="str">
        <v/>
      </c>
      <c r="AD29" t="b">
        <f ca="1">AND(IF(metadata!B29="",FALSE,TRUE),COUNTIF(metadata!B:B, metadata!B29) = 1,NOT(ISERROR(SUMPRODUCT(SEARCH(MID(metadata!B29,ROW(INDIRECT("1:"&amp;LEN(metadata!B29))), 1),"0123456789abcdefghijklmnopqrstuvwxyzABCDEFGHIJKLMNOPQRSTUVWXYZ.")))))</f>
        <v>0</v>
      </c>
      <c r="AE29" t="b">
        <f>OR(AND(IF(metadata!C29="",FALSE,TRUE),OR(EXACT(metadata!C29,"not applicable"),EXACT(metadata!C29,"missing: not collected"),EXACT(metadata!C29,"missing: not provided"),EXACT(metadata!C29,"missing: restricted access"))),AND(IF(metadata!C29="",FALSE,ISNUMBER(VALUE(metadata!C29))),metadata!C29&gt;0))</f>
        <v>0</v>
      </c>
      <c r="AF29" t="b">
        <f>AND(IF(metadata!D29="",FALSE,TRUE),EXACT(metadata!D29,"missing: not provided"))</f>
        <v>0</v>
      </c>
      <c r="AG29" t="b">
        <f>AND(IF(metadata!E29="",FALSE,TRUE),EXACT(metadata!E29,"Host-associated"))</f>
        <v>0</v>
      </c>
      <c r="AH29" t="b">
        <f>AND(IF(metadata!F29="",FALSE,TRUE),OR(EXACT(metadata!F29,"Animal"),EXACT(metadata!F29,"Fungus"),EXACT(metadata!F29,"Plant")))</f>
        <v>0</v>
      </c>
      <c r="AI29" t="b">
        <f>AND(IF(metadata!G29="",FALSE,TRUE),OR(EXACT(metadata!G29,"Plant secretion"),EXACT(metadata!G29,"Plant rhizosphere"),EXACT(metadata!G29,"Plant surface"),EXACT(metadata!G29,"Plant corpus"),EXACT(metadata!G29,"Fungus surface"),EXACT(metadata!G29,"Fungus corpus"),EXACT(metadata!G29,"Animal surface"),EXACT(metadata!G29,"Animal proximal gut"),EXACT(metadata!G29,"Animal corpus"),EXACT(metadata!G29,"Animal distal gut"),EXACT(metadata!G29,"Animal secretion")))</f>
        <v>0</v>
      </c>
      <c r="AJ29" t="b">
        <f>OR(AND(IF(metadata!H29="",FALSE,TRUE),OR(EXACT(metadata!H29,"missing: not collected"),EXACT(metadata!H29,"missing: not provided"),EXACT(metadata!H29,"missing: restricted access"))),AND(IF(metadata!H29="",FALSE,TRUE),OR(EXACT(metadata!H29,"organism-associated habitat"),EXACT(metadata!H29,"plant-associated habitat"),EXACT(metadata!H29,"animal-associated habitat"),EXACT(metadata!H29,"insecta-associated habitat"),EXACT(metadata!H29,"mammalia-associated habitat"),EXACT(metadata!H29,"human-associated habitat"),EXACT(metadata!H29,"livestock-associated habitat"))))</f>
        <v>0</v>
      </c>
      <c r="AK29" t="b">
        <f>AND(IF(metadata!I29="",FALSE,TRUE),EXACT(metadata!I29,"host-associated"))</f>
        <v>0</v>
      </c>
      <c r="AL29" t="b">
        <f>OR(AND(IF(metadata!J29="",FALSE,TRUE),OR(EXACT(metadata!J29,"not applicable"),EXACT(metadata!J29,"missing: not collected"),EXACT(metadata!J29,"missing: not provided"),EXACT(metadata!J29,"missing: restricted access"))),AND(IF(metadata!J29="",FALSE,ISNUMBER(VALUE(metadata!J29))),metadata!J29&gt;0))</f>
        <v>0</v>
      </c>
      <c r="AM29" t="b">
        <f>AND(IF(metadata!K29="",FALSE,TRUE),EXACT(metadata!K29,"missing: not provided"))</f>
        <v>0</v>
      </c>
      <c r="AN29" t="b">
        <f>IF(metadata!L29="",FALSE,TRUE)</f>
        <v>0</v>
      </c>
      <c r="AO29" t="b">
        <f>IF(metadata!M29="",FALSE,TRUE)</f>
        <v>0</v>
      </c>
      <c r="AP29" t="b">
        <f>OR(AND(IF(metadata!N29="",FALSE,TRUE),OR(EXACT(metadata!N29,"not applicable"),EXACT(metadata!N29,"missing: not collected"),EXACT(metadata!N29,"missing: not provided"))),AND(IF(metadata!N29="",FALSE,IF(ISERROR(INT(metadata!N29)),FALSE,INT(metadata!N29)=metadata!N29)),metadata!N29&gt;0))</f>
        <v>0</v>
      </c>
      <c r="AQ29" t="b">
        <f>AND(IF(metadata!O29="",FALSE,TRUE),EXACT(metadata!O29,"Not applicable"))</f>
        <v>0</v>
      </c>
      <c r="AR29" t="b">
        <f>OR(AND(IF(metadata!P29="",FALSE,TRUE),OR(EXACT(metadata!P29,"not applicable"),EXACT(metadata!P29,"missing: not collected"),EXACT(metadata!P29,"missing: not provided"),EXACT(metadata!P29,"missing: restricted access"))),IF(metadata!P29="",FALSE,IF(ISERROR(INT(metadata!P29)),FALSE,INT(metadata!P29)=metadata!P29)))</f>
        <v>0</v>
      </c>
      <c r="AS29" t="b">
        <f>AND(IF(metadata!Q29="",FALSE,TRUE),EXACT(metadata!Q29,"Not applicable"))</f>
        <v>0</v>
      </c>
      <c r="AT29" t="b">
        <f>OR(AND(IF(metadata!R29="",FALSE,TRUE),OR(EXACT(metadata!R29,"not applicable"),EXACT(metadata!R29,"missing: not collected"),EXACT(metadata!R29,"missing: not provided"),EXACT(metadata!R29,"missing: restricted access"))),AND(IF(metadata!R29="",FALSE,ISNUMBER(VALUE(metadata!R29))),metadata!R29&gt;0))</f>
        <v>0</v>
      </c>
      <c r="AU29" t="b">
        <f>AND(IF(metadata!S29="",FALSE,TRUE),EXACT(metadata!S29,"missing: not provided"))</f>
        <v>0</v>
      </c>
    </row>
    <row r="30" spans="1:47" x14ac:dyDescent="0.2">
      <c r="A30" s="5" t="str">
        <f ca="1">IF(B30=" "," ",HYPERLINK(CONCATENATE("#metadata!",ADDRESS(INDEX($Y$2:$Y$1001,MATCH(ROWS($W$2:W30),$W$2:$W$1001,0),0),1)),INDEX($AB$2:$AB$1001,MATCH(ROWS($W$2:W30),$W$2:$W$1001,0),0)))</f>
        <v xml:space="preserve"> </v>
      </c>
      <c r="B30" s="4" t="str">
        <f ca="1">IF(OR(INDEX($X$2:$X$1001,MATCH(ROWS($W$2:W30),$W$2:$W$1001,0),1)&gt;=100000,INDEX($AD$1005:$AU$1005,1,MATCH(COLUMNS($AD$1006:AD1006),$AD$1006:$AU$1006,0))&gt;=100000), " ",IF(INDEX($AD$2:$AU$1001,MATCH(ROWS($W$2:W30),$W$2:$W$1001,0),MATCH(COLUMNS($AD$1006:AD1006),$AD$1006:$AU$1006,0)), HYPERLINK("#",""), HYPERLINK(CONCATENATE("#metadata!", ADDRESS(INDEX($Y$2:$Y$1001,MATCH(ROWS($W$2:W30),$W$2:$W$1001,0),0), INDEX($AD$1004:$AU$1004,1,MATCH(COLUMNS($AD$1006:AD1006),$AD$1006:$AU$1006,0)))),"Fix")))</f>
        <v xml:space="preserve"> </v>
      </c>
      <c r="C30" s="4" t="str">
        <f ca="1">IF(OR(INDEX($X$2:$X$1001,MATCH(ROWS($W$2:W30),$W$2:$W$1001,0),1)&gt;=100000,INDEX($AD$1005:$AU$1005,1,MATCH(COLUMNS($AD$1006:AE1006),$AD$1006:$AU$1006,0))&gt;=100000), " ",IF(INDEX($AD$2:$AU$1001,MATCH(ROWS($W$2:W30),$W$2:$W$1001,0),MATCH(COLUMNS($AD$1006:AE1006),$AD$1006:$AU$1006,0)), HYPERLINK("#",""), HYPERLINK(CONCATENATE("#metadata!", ADDRESS(INDEX($Y$2:$Y$1001,MATCH(ROWS($W$2:W30),$W$2:$W$1001,0),0), INDEX($AD$1004:$AU$1004,1,MATCH(COLUMNS($AD$1006:AE1006),$AD$1006:$AU$1006,0)))),"Fix")))</f>
        <v xml:space="preserve"> </v>
      </c>
      <c r="D30" s="4" t="str">
        <f ca="1">IF(OR(INDEX($X$2:$X$1001,MATCH(ROWS($W$2:W30),$W$2:$W$1001,0),1)&gt;=100000,INDEX($AD$1005:$AU$1005,1,MATCH(COLUMNS($AD$1006:AF1006),$AD$1006:$AU$1006,0))&gt;=100000), " ",IF(INDEX($AD$2:$AU$1001,MATCH(ROWS($W$2:W30),$W$2:$W$1001,0),MATCH(COLUMNS($AD$1006:AF1006),$AD$1006:$AU$1006,0)), HYPERLINK("#",""), HYPERLINK(CONCATENATE("#metadata!", ADDRESS(INDEX($Y$2:$Y$1001,MATCH(ROWS($W$2:W30),$W$2:$W$1001,0),0), INDEX($AD$1004:$AU$1004,1,MATCH(COLUMNS($AD$1006:AF1006),$AD$1006:$AU$1006,0)))),"Fix")))</f>
        <v xml:space="preserve"> </v>
      </c>
      <c r="E30" s="4" t="str">
        <f ca="1">IF(OR(INDEX($X$2:$X$1001,MATCH(ROWS($W$2:W30),$W$2:$W$1001,0),1)&gt;=100000,INDEX($AD$1005:$AU$1005,1,MATCH(COLUMNS($AD$1006:AG1006),$AD$1006:$AU$1006,0))&gt;=100000), " ",IF(INDEX($AD$2:$AU$1001,MATCH(ROWS($W$2:W30),$W$2:$W$1001,0),MATCH(COLUMNS($AD$1006:AG1006),$AD$1006:$AU$1006,0)), HYPERLINK("#",""), HYPERLINK(CONCATENATE("#metadata!", ADDRESS(INDEX($Y$2:$Y$1001,MATCH(ROWS($W$2:W30),$W$2:$W$1001,0),0), INDEX($AD$1004:$AU$1004,1,MATCH(COLUMNS($AD$1006:AG1006),$AD$1006:$AU$1006,0)))),"Fix")))</f>
        <v xml:space="preserve"> </v>
      </c>
      <c r="F30" s="4" t="str">
        <f ca="1">IF(OR(INDEX($X$2:$X$1001,MATCH(ROWS($W$2:W30),$W$2:$W$1001,0),1)&gt;=100000,INDEX($AD$1005:$AU$1005,1,MATCH(COLUMNS($AD$1006:AH1006),$AD$1006:$AU$1006,0))&gt;=100000), " ",IF(INDEX($AD$2:$AU$1001,MATCH(ROWS($W$2:W30),$W$2:$W$1001,0),MATCH(COLUMNS($AD$1006:AH1006),$AD$1006:$AU$1006,0)), HYPERLINK("#",""), HYPERLINK(CONCATENATE("#metadata!", ADDRESS(INDEX($Y$2:$Y$1001,MATCH(ROWS($W$2:W30),$W$2:$W$1001,0),0), INDEX($AD$1004:$AU$1004,1,MATCH(COLUMNS($AD$1006:AH1006),$AD$1006:$AU$1006,0)))),"Fix")))</f>
        <v xml:space="preserve"> </v>
      </c>
      <c r="G30" s="4" t="str">
        <f ca="1">IF(OR(INDEX($X$2:$X$1001,MATCH(ROWS($W$2:W30),$W$2:$W$1001,0),1)&gt;=100000,INDEX($AD$1005:$AU$1005,1,MATCH(COLUMNS($AD$1006:AI1006),$AD$1006:$AU$1006,0))&gt;=100000), " ",IF(INDEX($AD$2:$AU$1001,MATCH(ROWS($W$2:W30),$W$2:$W$1001,0),MATCH(COLUMNS($AD$1006:AI1006),$AD$1006:$AU$1006,0)), HYPERLINK("#",""), HYPERLINK(CONCATENATE("#metadata!", ADDRESS(INDEX($Y$2:$Y$1001,MATCH(ROWS($W$2:W30),$W$2:$W$1001,0),0), INDEX($AD$1004:$AU$1004,1,MATCH(COLUMNS($AD$1006:AI1006),$AD$1006:$AU$1006,0)))),"Fix")))</f>
        <v xml:space="preserve"> </v>
      </c>
      <c r="H30" s="4" t="str">
        <f ca="1">IF(OR(INDEX($X$2:$X$1001,MATCH(ROWS($W$2:W30),$W$2:$W$1001,0),1)&gt;=100000,INDEX($AD$1005:$AU$1005,1,MATCH(COLUMNS($AD$1006:AJ1006),$AD$1006:$AU$1006,0))&gt;=100000), " ",IF(INDEX($AD$2:$AU$1001,MATCH(ROWS($W$2:W30),$W$2:$W$1001,0),MATCH(COLUMNS($AD$1006:AJ1006),$AD$1006:$AU$1006,0)), HYPERLINK("#",""), HYPERLINK(CONCATENATE("#metadata!", ADDRESS(INDEX($Y$2:$Y$1001,MATCH(ROWS($W$2:W30),$W$2:$W$1001,0),0), INDEX($AD$1004:$AU$1004,1,MATCH(COLUMNS($AD$1006:AJ1006),$AD$1006:$AU$1006,0)))),"Fix")))</f>
        <v xml:space="preserve"> </v>
      </c>
      <c r="I30" s="4" t="str">
        <f ca="1">IF(OR(INDEX($X$2:$X$1001,MATCH(ROWS($W$2:W30),$W$2:$W$1001,0),1)&gt;=100000,INDEX($AD$1005:$AU$1005,1,MATCH(COLUMNS($AD$1006:AK1006),$AD$1006:$AU$1006,0))&gt;=100000), " ",IF(INDEX($AD$2:$AU$1001,MATCH(ROWS($W$2:W30),$W$2:$W$1001,0),MATCH(COLUMNS($AD$1006:AK1006),$AD$1006:$AU$1006,0)), HYPERLINK("#",""), HYPERLINK(CONCATENATE("#metadata!", ADDRESS(INDEX($Y$2:$Y$1001,MATCH(ROWS($W$2:W30),$W$2:$W$1001,0),0), INDEX($AD$1004:$AU$1004,1,MATCH(COLUMNS($AD$1006:AK1006),$AD$1006:$AU$1006,0)))),"Fix")))</f>
        <v xml:space="preserve"> </v>
      </c>
      <c r="J30" s="4" t="str">
        <f ca="1">IF(OR(INDEX($X$2:$X$1001,MATCH(ROWS($W$2:W30),$W$2:$W$1001,0),1)&gt;=100000,INDEX($AD$1005:$AU$1005,1,MATCH(COLUMNS($AD$1006:AL1006),$AD$1006:$AU$1006,0))&gt;=100000), " ",IF(INDEX($AD$2:$AU$1001,MATCH(ROWS($W$2:W30),$W$2:$W$1001,0),MATCH(COLUMNS($AD$1006:AL1006),$AD$1006:$AU$1006,0)), HYPERLINK("#",""), HYPERLINK(CONCATENATE("#metadata!", ADDRESS(INDEX($Y$2:$Y$1001,MATCH(ROWS($W$2:W30),$W$2:$W$1001,0),0), INDEX($AD$1004:$AU$1004,1,MATCH(COLUMNS($AD$1006:AL1006),$AD$1006:$AU$1006,0)))),"Fix")))</f>
        <v xml:space="preserve"> </v>
      </c>
      <c r="K30" s="4" t="str">
        <f ca="1">IF(OR(INDEX($X$2:$X$1001,MATCH(ROWS($W$2:W30),$W$2:$W$1001,0),1)&gt;=100000,INDEX($AD$1005:$AU$1005,1,MATCH(COLUMNS($AD$1006:AM1006),$AD$1006:$AU$1006,0))&gt;=100000), " ",IF(INDEX($AD$2:$AU$1001,MATCH(ROWS($W$2:W30),$W$2:$W$1001,0),MATCH(COLUMNS($AD$1006:AM1006),$AD$1006:$AU$1006,0)), HYPERLINK("#",""), HYPERLINK(CONCATENATE("#metadata!", ADDRESS(INDEX($Y$2:$Y$1001,MATCH(ROWS($W$2:W30),$W$2:$W$1001,0),0), INDEX($AD$1004:$AU$1004,1,MATCH(COLUMNS($AD$1006:AM1006),$AD$1006:$AU$1006,0)))),"Fix")))</f>
        <v xml:space="preserve"> </v>
      </c>
      <c r="L30" s="4" t="str">
        <f ca="1">IF(OR(INDEX($X$2:$X$1001,MATCH(ROWS($W$2:W30),$W$2:$W$1001,0),1)&gt;=100000,INDEX($AD$1005:$AU$1005,1,MATCH(COLUMNS($AD$1006:AN1006),$AD$1006:$AU$1006,0))&gt;=100000), " ",IF(INDEX($AD$2:$AU$1001,MATCH(ROWS($W$2:W30),$W$2:$W$1001,0),MATCH(COLUMNS($AD$1006:AN1006),$AD$1006:$AU$1006,0)), HYPERLINK("#",""), HYPERLINK(CONCATENATE("#metadata!", ADDRESS(INDEX($Y$2:$Y$1001,MATCH(ROWS($W$2:W30),$W$2:$W$1001,0),0), INDEX($AD$1004:$AU$1004,1,MATCH(COLUMNS($AD$1006:AN1006),$AD$1006:$AU$1006,0)))),"Fix")))</f>
        <v xml:space="preserve"> </v>
      </c>
      <c r="M30" s="4" t="str">
        <f ca="1">IF(OR(INDEX($X$2:$X$1001,MATCH(ROWS($W$2:W30),$W$2:$W$1001,0),1)&gt;=100000,INDEX($AD$1005:$AU$1005,1,MATCH(COLUMNS($AD$1006:AO1006),$AD$1006:$AU$1006,0))&gt;=100000), " ",IF(INDEX($AD$2:$AU$1001,MATCH(ROWS($W$2:W30),$W$2:$W$1001,0),MATCH(COLUMNS($AD$1006:AO1006),$AD$1006:$AU$1006,0)), HYPERLINK("#",""), HYPERLINK(CONCATENATE("#metadata!", ADDRESS(INDEX($Y$2:$Y$1001,MATCH(ROWS($W$2:W30),$W$2:$W$1001,0),0), INDEX($AD$1004:$AU$1004,1,MATCH(COLUMNS($AD$1006:AO1006),$AD$1006:$AU$1006,0)))),"Fix")))</f>
        <v xml:space="preserve"> </v>
      </c>
      <c r="N30" s="4" t="str">
        <f ca="1">IF(OR(INDEX($X$2:$X$1001,MATCH(ROWS($W$2:W30),$W$2:$W$1001,0),1)&gt;=100000,INDEX($AD$1005:$AU$1005,1,MATCH(COLUMNS($AD$1006:AP1006),$AD$1006:$AU$1006,0))&gt;=100000), " ",IF(INDEX($AD$2:$AU$1001,MATCH(ROWS($W$2:W30),$W$2:$W$1001,0),MATCH(COLUMNS($AD$1006:AP1006),$AD$1006:$AU$1006,0)), HYPERLINK("#",""), HYPERLINK(CONCATENATE("#metadata!", ADDRESS(INDEX($Y$2:$Y$1001,MATCH(ROWS($W$2:W30),$W$2:$W$1001,0),0), INDEX($AD$1004:$AU$1004,1,MATCH(COLUMNS($AD$1006:AP1006),$AD$1006:$AU$1006,0)))),"Fix")))</f>
        <v xml:space="preserve"> </v>
      </c>
      <c r="O30" s="4" t="str">
        <f ca="1">IF(OR(INDEX($X$2:$X$1001,MATCH(ROWS($W$2:W30),$W$2:$W$1001,0),1)&gt;=100000,INDEX($AD$1005:$AU$1005,1,MATCH(COLUMNS($AD$1006:AQ1006),$AD$1006:$AU$1006,0))&gt;=100000), " ",IF(INDEX($AD$2:$AU$1001,MATCH(ROWS($W$2:W30),$W$2:$W$1001,0),MATCH(COLUMNS($AD$1006:AQ1006),$AD$1006:$AU$1006,0)), HYPERLINK("#",""), HYPERLINK(CONCATENATE("#metadata!", ADDRESS(INDEX($Y$2:$Y$1001,MATCH(ROWS($W$2:W30),$W$2:$W$1001,0),0), INDEX($AD$1004:$AU$1004,1,MATCH(COLUMNS($AD$1006:AQ1006),$AD$1006:$AU$1006,0)))),"Fix")))</f>
        <v xml:space="preserve"> </v>
      </c>
      <c r="P30" s="4" t="str">
        <f ca="1">IF(OR(INDEX($X$2:$X$1001,MATCH(ROWS($W$2:W30),$W$2:$W$1001,0),1)&gt;=100000,INDEX($AD$1005:$AU$1005,1,MATCH(COLUMNS($AD$1006:AR1006),$AD$1006:$AU$1006,0))&gt;=100000), " ",IF(INDEX($AD$2:$AU$1001,MATCH(ROWS($W$2:W30),$W$2:$W$1001,0),MATCH(COLUMNS($AD$1006:AR1006),$AD$1006:$AU$1006,0)), HYPERLINK("#",""), HYPERLINK(CONCATENATE("#metadata!", ADDRESS(INDEX($Y$2:$Y$1001,MATCH(ROWS($W$2:W30),$W$2:$W$1001,0),0), INDEX($AD$1004:$AU$1004,1,MATCH(COLUMNS($AD$1006:AR1006),$AD$1006:$AU$1006,0)))),"Fix")))</f>
        <v xml:space="preserve"> </v>
      </c>
      <c r="Q30" s="4" t="str">
        <f ca="1">IF(OR(INDEX($X$2:$X$1001,MATCH(ROWS($W$2:W30),$W$2:$W$1001,0),1)&gt;=100000,INDEX($AD$1005:$AU$1005,1,MATCH(COLUMNS($AD$1006:AS1006),$AD$1006:$AU$1006,0))&gt;=100000), " ",IF(INDEX($AD$2:$AU$1001,MATCH(ROWS($W$2:W30),$W$2:$W$1001,0),MATCH(COLUMNS($AD$1006:AS1006),$AD$1006:$AU$1006,0)), HYPERLINK("#",""), HYPERLINK(CONCATENATE("#metadata!", ADDRESS(INDEX($Y$2:$Y$1001,MATCH(ROWS($W$2:W30),$W$2:$W$1001,0),0), INDEX($AD$1004:$AU$1004,1,MATCH(COLUMNS($AD$1006:AS1006),$AD$1006:$AU$1006,0)))),"Fix")))</f>
        <v xml:space="preserve"> </v>
      </c>
      <c r="R30" s="4" t="str">
        <f ca="1">IF(OR(INDEX($X$2:$X$1001,MATCH(ROWS($W$2:W30),$W$2:$W$1001,0),1)&gt;=100000,INDEX($AD$1005:$AU$1005,1,MATCH(COLUMNS($AD$1006:AT1006),$AD$1006:$AU$1006,0))&gt;=100000), " ",IF(INDEX($AD$2:$AU$1001,MATCH(ROWS($W$2:W30),$W$2:$W$1001,0),MATCH(COLUMNS($AD$1006:AT1006),$AD$1006:$AU$1006,0)), HYPERLINK("#",""), HYPERLINK(CONCATENATE("#metadata!", ADDRESS(INDEX($Y$2:$Y$1001,MATCH(ROWS($W$2:W30),$W$2:$W$1001,0),0), INDEX($AD$1004:$AU$1004,1,MATCH(COLUMNS($AD$1006:AT1006),$AD$1006:$AU$1006,0)))),"Fix")))</f>
        <v xml:space="preserve"> </v>
      </c>
      <c r="S30" s="4" t="str">
        <f ca="1">IF(OR(INDEX($X$2:$X$1001,MATCH(ROWS($W$2:W30),$W$2:$W$1001,0),1)&gt;=100000,INDEX($AD$1005:$AU$1005,1,MATCH(COLUMNS($AD$1006:AU1006),$AD$1006:$AU$1006,0))&gt;=100000), " ",IF(INDEX($AD$2:$AU$1001,MATCH(ROWS($W$2:W30),$W$2:$W$1001,0),MATCH(COLUMNS($AD$1006:AU1006),$AD$1006:$AU$1006,0)), HYPERLINK("#",""), HYPERLINK(CONCATENATE("#metadata!", ADDRESS(INDEX($Y$2:$Y$1001,MATCH(ROWS($W$2:W30),$W$2:$W$1001,0),0), INDEX($AD$1004:$AU$1004,1,MATCH(COLUMNS($AD$1006:AU1006),$AD$1006:$AU$1006,0)))),"Fix")))</f>
        <v xml:space="preserve"> </v>
      </c>
      <c r="W30">
        <v>29</v>
      </c>
      <c r="X30">
        <v>100030</v>
      </c>
      <c r="Y30">
        <v>30</v>
      </c>
      <c r="Z30" t="b">
        <f t="shared" si="0"/>
        <v>1</v>
      </c>
      <c r="AA30" t="b">
        <f>COUNTBLANK(metadata!B30:S30)=COLUMNS(metadata!B30:S30)</f>
        <v>1</v>
      </c>
      <c r="AB30" t="str">
        <v/>
      </c>
      <c r="AD30" t="b">
        <f ca="1">AND(IF(metadata!B30="",FALSE,TRUE),COUNTIF(metadata!B:B, metadata!B30) = 1,NOT(ISERROR(SUMPRODUCT(SEARCH(MID(metadata!B30,ROW(INDIRECT("1:"&amp;LEN(metadata!B30))), 1),"0123456789abcdefghijklmnopqrstuvwxyzABCDEFGHIJKLMNOPQRSTUVWXYZ.")))))</f>
        <v>0</v>
      </c>
      <c r="AE30" t="b">
        <f>OR(AND(IF(metadata!C30="",FALSE,TRUE),OR(EXACT(metadata!C30,"not applicable"),EXACT(metadata!C30,"missing: not collected"),EXACT(metadata!C30,"missing: not provided"),EXACT(metadata!C30,"missing: restricted access"))),AND(IF(metadata!C30="",FALSE,ISNUMBER(VALUE(metadata!C30))),metadata!C30&gt;0))</f>
        <v>0</v>
      </c>
      <c r="AF30" t="b">
        <f>AND(IF(metadata!D30="",FALSE,TRUE),EXACT(metadata!D30,"missing: not provided"))</f>
        <v>0</v>
      </c>
      <c r="AG30" t="b">
        <f>AND(IF(metadata!E30="",FALSE,TRUE),EXACT(metadata!E30,"Host-associated"))</f>
        <v>0</v>
      </c>
      <c r="AH30" t="b">
        <f>AND(IF(metadata!F30="",FALSE,TRUE),OR(EXACT(metadata!F30,"Animal"),EXACT(metadata!F30,"Fungus"),EXACT(metadata!F30,"Plant")))</f>
        <v>0</v>
      </c>
      <c r="AI30" t="b">
        <f>AND(IF(metadata!G30="",FALSE,TRUE),OR(EXACT(metadata!G30,"Plant secretion"),EXACT(metadata!G30,"Plant rhizosphere"),EXACT(metadata!G30,"Plant surface"),EXACT(metadata!G30,"Plant corpus"),EXACT(metadata!G30,"Fungus surface"),EXACT(metadata!G30,"Fungus corpus"),EXACT(metadata!G30,"Animal surface"),EXACT(metadata!G30,"Animal proximal gut"),EXACT(metadata!G30,"Animal corpus"),EXACT(metadata!G30,"Animal distal gut"),EXACT(metadata!G30,"Animal secretion")))</f>
        <v>0</v>
      </c>
      <c r="AJ30" t="b">
        <f>OR(AND(IF(metadata!H30="",FALSE,TRUE),OR(EXACT(metadata!H30,"missing: not collected"),EXACT(metadata!H30,"missing: not provided"),EXACT(metadata!H30,"missing: restricted access"))),AND(IF(metadata!H30="",FALSE,TRUE),OR(EXACT(metadata!H30,"organism-associated habitat"),EXACT(metadata!H30,"plant-associated habitat"),EXACT(metadata!H30,"animal-associated habitat"),EXACT(metadata!H30,"insecta-associated habitat"),EXACT(metadata!H30,"mammalia-associated habitat"),EXACT(metadata!H30,"human-associated habitat"),EXACT(metadata!H30,"livestock-associated habitat"))))</f>
        <v>0</v>
      </c>
      <c r="AK30" t="b">
        <f>AND(IF(metadata!I30="",FALSE,TRUE),EXACT(metadata!I30,"host-associated"))</f>
        <v>0</v>
      </c>
      <c r="AL30" t="b">
        <f>OR(AND(IF(metadata!J30="",FALSE,TRUE),OR(EXACT(metadata!J30,"not applicable"),EXACT(metadata!J30,"missing: not collected"),EXACT(metadata!J30,"missing: not provided"),EXACT(metadata!J30,"missing: restricted access"))),AND(IF(metadata!J30="",FALSE,ISNUMBER(VALUE(metadata!J30))),metadata!J30&gt;0))</f>
        <v>0</v>
      </c>
      <c r="AM30" t="b">
        <f>AND(IF(metadata!K30="",FALSE,TRUE),EXACT(metadata!K30,"missing: not provided"))</f>
        <v>0</v>
      </c>
      <c r="AN30" t="b">
        <f>IF(metadata!L30="",FALSE,TRUE)</f>
        <v>0</v>
      </c>
      <c r="AO30" t="b">
        <f>IF(metadata!M30="",FALSE,TRUE)</f>
        <v>0</v>
      </c>
      <c r="AP30" t="b">
        <f>OR(AND(IF(metadata!N30="",FALSE,TRUE),OR(EXACT(metadata!N30,"not applicable"),EXACT(metadata!N30,"missing: not collected"),EXACT(metadata!N30,"missing: not provided"))),AND(IF(metadata!N30="",FALSE,IF(ISERROR(INT(metadata!N30)),FALSE,INT(metadata!N30)=metadata!N30)),metadata!N30&gt;0))</f>
        <v>0</v>
      </c>
      <c r="AQ30" t="b">
        <f>AND(IF(metadata!O30="",FALSE,TRUE),EXACT(metadata!O30,"Not applicable"))</f>
        <v>0</v>
      </c>
      <c r="AR30" t="b">
        <f>OR(AND(IF(metadata!P30="",FALSE,TRUE),OR(EXACT(metadata!P30,"not applicable"),EXACT(metadata!P30,"missing: not collected"),EXACT(metadata!P30,"missing: not provided"),EXACT(metadata!P30,"missing: restricted access"))),IF(metadata!P30="",FALSE,IF(ISERROR(INT(metadata!P30)),FALSE,INT(metadata!P30)=metadata!P30)))</f>
        <v>0</v>
      </c>
      <c r="AS30" t="b">
        <f>AND(IF(metadata!Q30="",FALSE,TRUE),EXACT(metadata!Q30,"Not applicable"))</f>
        <v>0</v>
      </c>
      <c r="AT30" t="b">
        <f>OR(AND(IF(metadata!R30="",FALSE,TRUE),OR(EXACT(metadata!R30,"not applicable"),EXACT(metadata!R30,"missing: not collected"),EXACT(metadata!R30,"missing: not provided"),EXACT(metadata!R30,"missing: restricted access"))),AND(IF(metadata!R30="",FALSE,ISNUMBER(VALUE(metadata!R30))),metadata!R30&gt;0))</f>
        <v>0</v>
      </c>
      <c r="AU30" t="b">
        <f>AND(IF(metadata!S30="",FALSE,TRUE),EXACT(metadata!S30,"missing: not provided"))</f>
        <v>0</v>
      </c>
    </row>
    <row r="31" spans="1:47" x14ac:dyDescent="0.2">
      <c r="A31" s="5" t="str">
        <f ca="1">IF(B31=" "," ",HYPERLINK(CONCATENATE("#metadata!",ADDRESS(INDEX($Y$2:$Y$1001,MATCH(ROWS($W$2:W31),$W$2:$W$1001,0),0),1)),INDEX($AB$2:$AB$1001,MATCH(ROWS($W$2:W31),$W$2:$W$1001,0),0)))</f>
        <v xml:space="preserve"> </v>
      </c>
      <c r="B31" s="4" t="str">
        <f ca="1">IF(OR(INDEX($X$2:$X$1001,MATCH(ROWS($W$2:W31),$W$2:$W$1001,0),1)&gt;=100000,INDEX($AD$1005:$AU$1005,1,MATCH(COLUMNS($AD$1006:AD1006),$AD$1006:$AU$1006,0))&gt;=100000), " ",IF(INDEX($AD$2:$AU$1001,MATCH(ROWS($W$2:W31),$W$2:$W$1001,0),MATCH(COLUMNS($AD$1006:AD1006),$AD$1006:$AU$1006,0)), HYPERLINK("#",""), HYPERLINK(CONCATENATE("#metadata!", ADDRESS(INDEX($Y$2:$Y$1001,MATCH(ROWS($W$2:W31),$W$2:$W$1001,0),0), INDEX($AD$1004:$AU$1004,1,MATCH(COLUMNS($AD$1006:AD1006),$AD$1006:$AU$1006,0)))),"Fix")))</f>
        <v xml:space="preserve"> </v>
      </c>
      <c r="C31" s="4" t="str">
        <f ca="1">IF(OR(INDEX($X$2:$X$1001,MATCH(ROWS($W$2:W31),$W$2:$W$1001,0),1)&gt;=100000,INDEX($AD$1005:$AU$1005,1,MATCH(COLUMNS($AD$1006:AE1006),$AD$1006:$AU$1006,0))&gt;=100000), " ",IF(INDEX($AD$2:$AU$1001,MATCH(ROWS($W$2:W31),$W$2:$W$1001,0),MATCH(COLUMNS($AD$1006:AE1006),$AD$1006:$AU$1006,0)), HYPERLINK("#",""), HYPERLINK(CONCATENATE("#metadata!", ADDRESS(INDEX($Y$2:$Y$1001,MATCH(ROWS($W$2:W31),$W$2:$W$1001,0),0), INDEX($AD$1004:$AU$1004,1,MATCH(COLUMNS($AD$1006:AE1006),$AD$1006:$AU$1006,0)))),"Fix")))</f>
        <v xml:space="preserve"> </v>
      </c>
      <c r="D31" s="4" t="str">
        <f ca="1">IF(OR(INDEX($X$2:$X$1001,MATCH(ROWS($W$2:W31),$W$2:$W$1001,0),1)&gt;=100000,INDEX($AD$1005:$AU$1005,1,MATCH(COLUMNS($AD$1006:AF1006),$AD$1006:$AU$1006,0))&gt;=100000), " ",IF(INDEX($AD$2:$AU$1001,MATCH(ROWS($W$2:W31),$W$2:$W$1001,0),MATCH(COLUMNS($AD$1006:AF1006),$AD$1006:$AU$1006,0)), HYPERLINK("#",""), HYPERLINK(CONCATENATE("#metadata!", ADDRESS(INDEX($Y$2:$Y$1001,MATCH(ROWS($W$2:W31),$W$2:$W$1001,0),0), INDEX($AD$1004:$AU$1004,1,MATCH(COLUMNS($AD$1006:AF1006),$AD$1006:$AU$1006,0)))),"Fix")))</f>
        <v xml:space="preserve"> </v>
      </c>
      <c r="E31" s="4" t="str">
        <f ca="1">IF(OR(INDEX($X$2:$X$1001,MATCH(ROWS($W$2:W31),$W$2:$W$1001,0),1)&gt;=100000,INDEX($AD$1005:$AU$1005,1,MATCH(COLUMNS($AD$1006:AG1006),$AD$1006:$AU$1006,0))&gt;=100000), " ",IF(INDEX($AD$2:$AU$1001,MATCH(ROWS($W$2:W31),$W$2:$W$1001,0),MATCH(COLUMNS($AD$1006:AG1006),$AD$1006:$AU$1006,0)), HYPERLINK("#",""), HYPERLINK(CONCATENATE("#metadata!", ADDRESS(INDEX($Y$2:$Y$1001,MATCH(ROWS($W$2:W31),$W$2:$W$1001,0),0), INDEX($AD$1004:$AU$1004,1,MATCH(COLUMNS($AD$1006:AG1006),$AD$1006:$AU$1006,0)))),"Fix")))</f>
        <v xml:space="preserve"> </v>
      </c>
      <c r="F31" s="4" t="str">
        <f ca="1">IF(OR(INDEX($X$2:$X$1001,MATCH(ROWS($W$2:W31),$W$2:$W$1001,0),1)&gt;=100000,INDEX($AD$1005:$AU$1005,1,MATCH(COLUMNS($AD$1006:AH1006),$AD$1006:$AU$1006,0))&gt;=100000), " ",IF(INDEX($AD$2:$AU$1001,MATCH(ROWS($W$2:W31),$W$2:$W$1001,0),MATCH(COLUMNS($AD$1006:AH1006),$AD$1006:$AU$1006,0)), HYPERLINK("#",""), HYPERLINK(CONCATENATE("#metadata!", ADDRESS(INDEX($Y$2:$Y$1001,MATCH(ROWS($W$2:W31),$W$2:$W$1001,0),0), INDEX($AD$1004:$AU$1004,1,MATCH(COLUMNS($AD$1006:AH1006),$AD$1006:$AU$1006,0)))),"Fix")))</f>
        <v xml:space="preserve"> </v>
      </c>
      <c r="G31" s="4" t="str">
        <f ca="1">IF(OR(INDEX($X$2:$X$1001,MATCH(ROWS($W$2:W31),$W$2:$W$1001,0),1)&gt;=100000,INDEX($AD$1005:$AU$1005,1,MATCH(COLUMNS($AD$1006:AI1006),$AD$1006:$AU$1006,0))&gt;=100000), " ",IF(INDEX($AD$2:$AU$1001,MATCH(ROWS($W$2:W31),$W$2:$W$1001,0),MATCH(COLUMNS($AD$1006:AI1006),$AD$1006:$AU$1006,0)), HYPERLINK("#",""), HYPERLINK(CONCATENATE("#metadata!", ADDRESS(INDEX($Y$2:$Y$1001,MATCH(ROWS($W$2:W31),$W$2:$W$1001,0),0), INDEX($AD$1004:$AU$1004,1,MATCH(COLUMNS($AD$1006:AI1006),$AD$1006:$AU$1006,0)))),"Fix")))</f>
        <v xml:space="preserve"> </v>
      </c>
      <c r="H31" s="4" t="str">
        <f ca="1">IF(OR(INDEX($X$2:$X$1001,MATCH(ROWS($W$2:W31),$W$2:$W$1001,0),1)&gt;=100000,INDEX($AD$1005:$AU$1005,1,MATCH(COLUMNS($AD$1006:AJ1006),$AD$1006:$AU$1006,0))&gt;=100000), " ",IF(INDEX($AD$2:$AU$1001,MATCH(ROWS($W$2:W31),$W$2:$W$1001,0),MATCH(COLUMNS($AD$1006:AJ1006),$AD$1006:$AU$1006,0)), HYPERLINK("#",""), HYPERLINK(CONCATENATE("#metadata!", ADDRESS(INDEX($Y$2:$Y$1001,MATCH(ROWS($W$2:W31),$W$2:$W$1001,0),0), INDEX($AD$1004:$AU$1004,1,MATCH(COLUMNS($AD$1006:AJ1006),$AD$1006:$AU$1006,0)))),"Fix")))</f>
        <v xml:space="preserve"> </v>
      </c>
      <c r="I31" s="4" t="str">
        <f ca="1">IF(OR(INDEX($X$2:$X$1001,MATCH(ROWS($W$2:W31),$W$2:$W$1001,0),1)&gt;=100000,INDEX($AD$1005:$AU$1005,1,MATCH(COLUMNS($AD$1006:AK1006),$AD$1006:$AU$1006,0))&gt;=100000), " ",IF(INDEX($AD$2:$AU$1001,MATCH(ROWS($W$2:W31),$W$2:$W$1001,0),MATCH(COLUMNS($AD$1006:AK1006),$AD$1006:$AU$1006,0)), HYPERLINK("#",""), HYPERLINK(CONCATENATE("#metadata!", ADDRESS(INDEX($Y$2:$Y$1001,MATCH(ROWS($W$2:W31),$W$2:$W$1001,0),0), INDEX($AD$1004:$AU$1004,1,MATCH(COLUMNS($AD$1006:AK1006),$AD$1006:$AU$1006,0)))),"Fix")))</f>
        <v xml:space="preserve"> </v>
      </c>
      <c r="J31" s="4" t="str">
        <f ca="1">IF(OR(INDEX($X$2:$X$1001,MATCH(ROWS($W$2:W31),$W$2:$W$1001,0),1)&gt;=100000,INDEX($AD$1005:$AU$1005,1,MATCH(COLUMNS($AD$1006:AL1006),$AD$1006:$AU$1006,0))&gt;=100000), " ",IF(INDEX($AD$2:$AU$1001,MATCH(ROWS($W$2:W31),$W$2:$W$1001,0),MATCH(COLUMNS($AD$1006:AL1006),$AD$1006:$AU$1006,0)), HYPERLINK("#",""), HYPERLINK(CONCATENATE("#metadata!", ADDRESS(INDEX($Y$2:$Y$1001,MATCH(ROWS($W$2:W31),$W$2:$W$1001,0),0), INDEX($AD$1004:$AU$1004,1,MATCH(COLUMNS($AD$1006:AL1006),$AD$1006:$AU$1006,0)))),"Fix")))</f>
        <v xml:space="preserve"> </v>
      </c>
      <c r="K31" s="4" t="str">
        <f ca="1">IF(OR(INDEX($X$2:$X$1001,MATCH(ROWS($W$2:W31),$W$2:$W$1001,0),1)&gt;=100000,INDEX($AD$1005:$AU$1005,1,MATCH(COLUMNS($AD$1006:AM1006),$AD$1006:$AU$1006,0))&gt;=100000), " ",IF(INDEX($AD$2:$AU$1001,MATCH(ROWS($W$2:W31),$W$2:$W$1001,0),MATCH(COLUMNS($AD$1006:AM1006),$AD$1006:$AU$1006,0)), HYPERLINK("#",""), HYPERLINK(CONCATENATE("#metadata!", ADDRESS(INDEX($Y$2:$Y$1001,MATCH(ROWS($W$2:W31),$W$2:$W$1001,0),0), INDEX($AD$1004:$AU$1004,1,MATCH(COLUMNS($AD$1006:AM1006),$AD$1006:$AU$1006,0)))),"Fix")))</f>
        <v xml:space="preserve"> </v>
      </c>
      <c r="L31" s="4" t="str">
        <f ca="1">IF(OR(INDEX($X$2:$X$1001,MATCH(ROWS($W$2:W31),$W$2:$W$1001,0),1)&gt;=100000,INDEX($AD$1005:$AU$1005,1,MATCH(COLUMNS($AD$1006:AN1006),$AD$1006:$AU$1006,0))&gt;=100000), " ",IF(INDEX($AD$2:$AU$1001,MATCH(ROWS($W$2:W31),$W$2:$W$1001,0),MATCH(COLUMNS($AD$1006:AN1006),$AD$1006:$AU$1006,0)), HYPERLINK("#",""), HYPERLINK(CONCATENATE("#metadata!", ADDRESS(INDEX($Y$2:$Y$1001,MATCH(ROWS($W$2:W31),$W$2:$W$1001,0),0), INDEX($AD$1004:$AU$1004,1,MATCH(COLUMNS($AD$1006:AN1006),$AD$1006:$AU$1006,0)))),"Fix")))</f>
        <v xml:space="preserve"> </v>
      </c>
      <c r="M31" s="4" t="str">
        <f ca="1">IF(OR(INDEX($X$2:$X$1001,MATCH(ROWS($W$2:W31),$W$2:$W$1001,0),1)&gt;=100000,INDEX($AD$1005:$AU$1005,1,MATCH(COLUMNS($AD$1006:AO1006),$AD$1006:$AU$1006,0))&gt;=100000), " ",IF(INDEX($AD$2:$AU$1001,MATCH(ROWS($W$2:W31),$W$2:$W$1001,0),MATCH(COLUMNS($AD$1006:AO1006),$AD$1006:$AU$1006,0)), HYPERLINK("#",""), HYPERLINK(CONCATENATE("#metadata!", ADDRESS(INDEX($Y$2:$Y$1001,MATCH(ROWS($W$2:W31),$W$2:$W$1001,0),0), INDEX($AD$1004:$AU$1004,1,MATCH(COLUMNS($AD$1006:AO1006),$AD$1006:$AU$1006,0)))),"Fix")))</f>
        <v xml:space="preserve"> </v>
      </c>
      <c r="N31" s="4" t="str">
        <f ca="1">IF(OR(INDEX($X$2:$X$1001,MATCH(ROWS($W$2:W31),$W$2:$W$1001,0),1)&gt;=100000,INDEX($AD$1005:$AU$1005,1,MATCH(COLUMNS($AD$1006:AP1006),$AD$1006:$AU$1006,0))&gt;=100000), " ",IF(INDEX($AD$2:$AU$1001,MATCH(ROWS($W$2:W31),$W$2:$W$1001,0),MATCH(COLUMNS($AD$1006:AP1006),$AD$1006:$AU$1006,0)), HYPERLINK("#",""), HYPERLINK(CONCATENATE("#metadata!", ADDRESS(INDEX($Y$2:$Y$1001,MATCH(ROWS($W$2:W31),$W$2:$W$1001,0),0), INDEX($AD$1004:$AU$1004,1,MATCH(COLUMNS($AD$1006:AP1006),$AD$1006:$AU$1006,0)))),"Fix")))</f>
        <v xml:space="preserve"> </v>
      </c>
      <c r="O31" s="4" t="str">
        <f ca="1">IF(OR(INDEX($X$2:$X$1001,MATCH(ROWS($W$2:W31),$W$2:$W$1001,0),1)&gt;=100000,INDEX($AD$1005:$AU$1005,1,MATCH(COLUMNS($AD$1006:AQ1006),$AD$1006:$AU$1006,0))&gt;=100000), " ",IF(INDEX($AD$2:$AU$1001,MATCH(ROWS($W$2:W31),$W$2:$W$1001,0),MATCH(COLUMNS($AD$1006:AQ1006),$AD$1006:$AU$1006,0)), HYPERLINK("#",""), HYPERLINK(CONCATENATE("#metadata!", ADDRESS(INDEX($Y$2:$Y$1001,MATCH(ROWS($W$2:W31),$W$2:$W$1001,0),0), INDEX($AD$1004:$AU$1004,1,MATCH(COLUMNS($AD$1006:AQ1006),$AD$1006:$AU$1006,0)))),"Fix")))</f>
        <v xml:space="preserve"> </v>
      </c>
      <c r="P31" s="4" t="str">
        <f ca="1">IF(OR(INDEX($X$2:$X$1001,MATCH(ROWS($W$2:W31),$W$2:$W$1001,0),1)&gt;=100000,INDEX($AD$1005:$AU$1005,1,MATCH(COLUMNS($AD$1006:AR1006),$AD$1006:$AU$1006,0))&gt;=100000), " ",IF(INDEX($AD$2:$AU$1001,MATCH(ROWS($W$2:W31),$W$2:$W$1001,0),MATCH(COLUMNS($AD$1006:AR1006),$AD$1006:$AU$1006,0)), HYPERLINK("#",""), HYPERLINK(CONCATENATE("#metadata!", ADDRESS(INDEX($Y$2:$Y$1001,MATCH(ROWS($W$2:W31),$W$2:$W$1001,0),0), INDEX($AD$1004:$AU$1004,1,MATCH(COLUMNS($AD$1006:AR1006),$AD$1006:$AU$1006,0)))),"Fix")))</f>
        <v xml:space="preserve"> </v>
      </c>
      <c r="Q31" s="4" t="str">
        <f ca="1">IF(OR(INDEX($X$2:$X$1001,MATCH(ROWS($W$2:W31),$W$2:$W$1001,0),1)&gt;=100000,INDEX($AD$1005:$AU$1005,1,MATCH(COLUMNS($AD$1006:AS1006),$AD$1006:$AU$1006,0))&gt;=100000), " ",IF(INDEX($AD$2:$AU$1001,MATCH(ROWS($W$2:W31),$W$2:$W$1001,0),MATCH(COLUMNS($AD$1006:AS1006),$AD$1006:$AU$1006,0)), HYPERLINK("#",""), HYPERLINK(CONCATENATE("#metadata!", ADDRESS(INDEX($Y$2:$Y$1001,MATCH(ROWS($W$2:W31),$W$2:$W$1001,0),0), INDEX($AD$1004:$AU$1004,1,MATCH(COLUMNS($AD$1006:AS1006),$AD$1006:$AU$1006,0)))),"Fix")))</f>
        <v xml:space="preserve"> </v>
      </c>
      <c r="R31" s="4" t="str">
        <f ca="1">IF(OR(INDEX($X$2:$X$1001,MATCH(ROWS($W$2:W31),$W$2:$W$1001,0),1)&gt;=100000,INDEX($AD$1005:$AU$1005,1,MATCH(COLUMNS($AD$1006:AT1006),$AD$1006:$AU$1006,0))&gt;=100000), " ",IF(INDEX($AD$2:$AU$1001,MATCH(ROWS($W$2:W31),$W$2:$W$1001,0),MATCH(COLUMNS($AD$1006:AT1006),$AD$1006:$AU$1006,0)), HYPERLINK("#",""), HYPERLINK(CONCATENATE("#metadata!", ADDRESS(INDEX($Y$2:$Y$1001,MATCH(ROWS($W$2:W31),$W$2:$W$1001,0),0), INDEX($AD$1004:$AU$1004,1,MATCH(COLUMNS($AD$1006:AT1006),$AD$1006:$AU$1006,0)))),"Fix")))</f>
        <v xml:space="preserve"> </v>
      </c>
      <c r="S31" s="4" t="str">
        <f ca="1">IF(OR(INDEX($X$2:$X$1001,MATCH(ROWS($W$2:W31),$W$2:$W$1001,0),1)&gt;=100000,INDEX($AD$1005:$AU$1005,1,MATCH(COLUMNS($AD$1006:AU1006),$AD$1006:$AU$1006,0))&gt;=100000), " ",IF(INDEX($AD$2:$AU$1001,MATCH(ROWS($W$2:W31),$W$2:$W$1001,0),MATCH(COLUMNS($AD$1006:AU1006),$AD$1006:$AU$1006,0)), HYPERLINK("#",""), HYPERLINK(CONCATENATE("#metadata!", ADDRESS(INDEX($Y$2:$Y$1001,MATCH(ROWS($W$2:W31),$W$2:$W$1001,0),0), INDEX($AD$1004:$AU$1004,1,MATCH(COLUMNS($AD$1006:AU1006),$AD$1006:$AU$1006,0)))),"Fix")))</f>
        <v xml:space="preserve"> </v>
      </c>
      <c r="W31">
        <v>30</v>
      </c>
      <c r="X31">
        <v>100031</v>
      </c>
      <c r="Y31">
        <v>31</v>
      </c>
      <c r="Z31" t="b">
        <f t="shared" si="0"/>
        <v>1</v>
      </c>
      <c r="AA31" t="b">
        <f>COUNTBLANK(metadata!B31:S31)=COLUMNS(metadata!B31:S31)</f>
        <v>1</v>
      </c>
      <c r="AB31" t="str">
        <v/>
      </c>
      <c r="AD31" t="b">
        <f ca="1">AND(IF(metadata!B31="",FALSE,TRUE),COUNTIF(metadata!B:B, metadata!B31) = 1,NOT(ISERROR(SUMPRODUCT(SEARCH(MID(metadata!B31,ROW(INDIRECT("1:"&amp;LEN(metadata!B31))), 1),"0123456789abcdefghijklmnopqrstuvwxyzABCDEFGHIJKLMNOPQRSTUVWXYZ.")))))</f>
        <v>0</v>
      </c>
      <c r="AE31" t="b">
        <f>OR(AND(IF(metadata!C31="",FALSE,TRUE),OR(EXACT(metadata!C31,"not applicable"),EXACT(metadata!C31,"missing: not collected"),EXACT(metadata!C31,"missing: not provided"),EXACT(metadata!C31,"missing: restricted access"))),AND(IF(metadata!C31="",FALSE,ISNUMBER(VALUE(metadata!C31))),metadata!C31&gt;0))</f>
        <v>0</v>
      </c>
      <c r="AF31" t="b">
        <f>AND(IF(metadata!D31="",FALSE,TRUE),EXACT(metadata!D31,"missing: not provided"))</f>
        <v>0</v>
      </c>
      <c r="AG31" t="b">
        <f>AND(IF(metadata!E31="",FALSE,TRUE),EXACT(metadata!E31,"Host-associated"))</f>
        <v>0</v>
      </c>
      <c r="AH31" t="b">
        <f>AND(IF(metadata!F31="",FALSE,TRUE),OR(EXACT(metadata!F31,"Animal"),EXACT(metadata!F31,"Fungus"),EXACT(metadata!F31,"Plant")))</f>
        <v>0</v>
      </c>
      <c r="AI31" t="b">
        <f>AND(IF(metadata!G31="",FALSE,TRUE),OR(EXACT(metadata!G31,"Plant secretion"),EXACT(metadata!G31,"Plant rhizosphere"),EXACT(metadata!G31,"Plant surface"),EXACT(metadata!G31,"Plant corpus"),EXACT(metadata!G31,"Fungus surface"),EXACT(metadata!G31,"Fungus corpus"),EXACT(metadata!G31,"Animal surface"),EXACT(metadata!G31,"Animal proximal gut"),EXACT(metadata!G31,"Animal corpus"),EXACT(metadata!G31,"Animal distal gut"),EXACT(metadata!G31,"Animal secretion")))</f>
        <v>0</v>
      </c>
      <c r="AJ31" t="b">
        <f>OR(AND(IF(metadata!H31="",FALSE,TRUE),OR(EXACT(metadata!H31,"missing: not collected"),EXACT(metadata!H31,"missing: not provided"),EXACT(metadata!H31,"missing: restricted access"))),AND(IF(metadata!H31="",FALSE,TRUE),OR(EXACT(metadata!H31,"organism-associated habitat"),EXACT(metadata!H31,"plant-associated habitat"),EXACT(metadata!H31,"animal-associated habitat"),EXACT(metadata!H31,"insecta-associated habitat"),EXACT(metadata!H31,"mammalia-associated habitat"),EXACT(metadata!H31,"human-associated habitat"),EXACT(metadata!H31,"livestock-associated habitat"))))</f>
        <v>0</v>
      </c>
      <c r="AK31" t="b">
        <f>AND(IF(metadata!I31="",FALSE,TRUE),EXACT(metadata!I31,"host-associated"))</f>
        <v>0</v>
      </c>
      <c r="AL31" t="b">
        <f>OR(AND(IF(metadata!J31="",FALSE,TRUE),OR(EXACT(metadata!J31,"not applicable"),EXACT(metadata!J31,"missing: not collected"),EXACT(metadata!J31,"missing: not provided"),EXACT(metadata!J31,"missing: restricted access"))),AND(IF(metadata!J31="",FALSE,ISNUMBER(VALUE(metadata!J31))),metadata!J31&gt;0))</f>
        <v>0</v>
      </c>
      <c r="AM31" t="b">
        <f>AND(IF(metadata!K31="",FALSE,TRUE),EXACT(metadata!K31,"missing: not provided"))</f>
        <v>0</v>
      </c>
      <c r="AN31" t="b">
        <f>IF(metadata!L31="",FALSE,TRUE)</f>
        <v>0</v>
      </c>
      <c r="AO31" t="b">
        <f>IF(metadata!M31="",FALSE,TRUE)</f>
        <v>0</v>
      </c>
      <c r="AP31" t="b">
        <f>OR(AND(IF(metadata!N31="",FALSE,TRUE),OR(EXACT(metadata!N31,"not applicable"),EXACT(metadata!N31,"missing: not collected"),EXACT(metadata!N31,"missing: not provided"))),AND(IF(metadata!N31="",FALSE,IF(ISERROR(INT(metadata!N31)),FALSE,INT(metadata!N31)=metadata!N31)),metadata!N31&gt;0))</f>
        <v>0</v>
      </c>
      <c r="AQ31" t="b">
        <f>AND(IF(metadata!O31="",FALSE,TRUE),EXACT(metadata!O31,"Not applicable"))</f>
        <v>0</v>
      </c>
      <c r="AR31" t="b">
        <f>OR(AND(IF(metadata!P31="",FALSE,TRUE),OR(EXACT(metadata!P31,"not applicable"),EXACT(metadata!P31,"missing: not collected"),EXACT(metadata!P31,"missing: not provided"),EXACT(metadata!P31,"missing: restricted access"))),IF(metadata!P31="",FALSE,IF(ISERROR(INT(metadata!P31)),FALSE,INT(metadata!P31)=metadata!P31)))</f>
        <v>0</v>
      </c>
      <c r="AS31" t="b">
        <f>AND(IF(metadata!Q31="",FALSE,TRUE),EXACT(metadata!Q31,"Not applicable"))</f>
        <v>0</v>
      </c>
      <c r="AT31" t="b">
        <f>OR(AND(IF(metadata!R31="",FALSE,TRUE),OR(EXACT(metadata!R31,"not applicable"),EXACT(metadata!R31,"missing: not collected"),EXACT(metadata!R31,"missing: not provided"),EXACT(metadata!R31,"missing: restricted access"))),AND(IF(metadata!R31="",FALSE,ISNUMBER(VALUE(metadata!R31))),metadata!R31&gt;0))</f>
        <v>0</v>
      </c>
      <c r="AU31" t="b">
        <f>AND(IF(metadata!S31="",FALSE,TRUE),EXACT(metadata!S31,"missing: not provided"))</f>
        <v>0</v>
      </c>
    </row>
    <row r="32" spans="1:47" x14ac:dyDescent="0.2">
      <c r="A32" s="5" t="str">
        <f ca="1">IF(B32=" "," ",HYPERLINK(CONCATENATE("#metadata!",ADDRESS(INDEX($Y$2:$Y$1001,MATCH(ROWS($W$2:W32),$W$2:$W$1001,0),0),1)),INDEX($AB$2:$AB$1001,MATCH(ROWS($W$2:W32),$W$2:$W$1001,0),0)))</f>
        <v xml:space="preserve"> </v>
      </c>
      <c r="B32" s="4" t="str">
        <f ca="1">IF(OR(INDEX($X$2:$X$1001,MATCH(ROWS($W$2:W32),$W$2:$W$1001,0),1)&gt;=100000,INDEX($AD$1005:$AU$1005,1,MATCH(COLUMNS($AD$1006:AD1006),$AD$1006:$AU$1006,0))&gt;=100000), " ",IF(INDEX($AD$2:$AU$1001,MATCH(ROWS($W$2:W32),$W$2:$W$1001,0),MATCH(COLUMNS($AD$1006:AD1006),$AD$1006:$AU$1006,0)), HYPERLINK("#",""), HYPERLINK(CONCATENATE("#metadata!", ADDRESS(INDEX($Y$2:$Y$1001,MATCH(ROWS($W$2:W32),$W$2:$W$1001,0),0), INDEX($AD$1004:$AU$1004,1,MATCH(COLUMNS($AD$1006:AD1006),$AD$1006:$AU$1006,0)))),"Fix")))</f>
        <v xml:space="preserve"> </v>
      </c>
      <c r="C32" s="4" t="str">
        <f ca="1">IF(OR(INDEX($X$2:$X$1001,MATCH(ROWS($W$2:W32),$W$2:$W$1001,0),1)&gt;=100000,INDEX($AD$1005:$AU$1005,1,MATCH(COLUMNS($AD$1006:AE1006),$AD$1006:$AU$1006,0))&gt;=100000), " ",IF(INDEX($AD$2:$AU$1001,MATCH(ROWS($W$2:W32),$W$2:$W$1001,0),MATCH(COLUMNS($AD$1006:AE1006),$AD$1006:$AU$1006,0)), HYPERLINK("#",""), HYPERLINK(CONCATENATE("#metadata!", ADDRESS(INDEX($Y$2:$Y$1001,MATCH(ROWS($W$2:W32),$W$2:$W$1001,0),0), INDEX($AD$1004:$AU$1004,1,MATCH(COLUMNS($AD$1006:AE1006),$AD$1006:$AU$1006,0)))),"Fix")))</f>
        <v xml:space="preserve"> </v>
      </c>
      <c r="D32" s="4" t="str">
        <f ca="1">IF(OR(INDEX($X$2:$X$1001,MATCH(ROWS($W$2:W32),$W$2:$W$1001,0),1)&gt;=100000,INDEX($AD$1005:$AU$1005,1,MATCH(COLUMNS($AD$1006:AF1006),$AD$1006:$AU$1006,0))&gt;=100000), " ",IF(INDEX($AD$2:$AU$1001,MATCH(ROWS($W$2:W32),$W$2:$W$1001,0),MATCH(COLUMNS($AD$1006:AF1006),$AD$1006:$AU$1006,0)), HYPERLINK("#",""), HYPERLINK(CONCATENATE("#metadata!", ADDRESS(INDEX($Y$2:$Y$1001,MATCH(ROWS($W$2:W32),$W$2:$W$1001,0),0), INDEX($AD$1004:$AU$1004,1,MATCH(COLUMNS($AD$1006:AF1006),$AD$1006:$AU$1006,0)))),"Fix")))</f>
        <v xml:space="preserve"> </v>
      </c>
      <c r="E32" s="4" t="str">
        <f ca="1">IF(OR(INDEX($X$2:$X$1001,MATCH(ROWS($W$2:W32),$W$2:$W$1001,0),1)&gt;=100000,INDEX($AD$1005:$AU$1005,1,MATCH(COLUMNS($AD$1006:AG1006),$AD$1006:$AU$1006,0))&gt;=100000), " ",IF(INDEX($AD$2:$AU$1001,MATCH(ROWS($W$2:W32),$W$2:$W$1001,0),MATCH(COLUMNS($AD$1006:AG1006),$AD$1006:$AU$1006,0)), HYPERLINK("#",""), HYPERLINK(CONCATENATE("#metadata!", ADDRESS(INDEX($Y$2:$Y$1001,MATCH(ROWS($W$2:W32),$W$2:$W$1001,0),0), INDEX($AD$1004:$AU$1004,1,MATCH(COLUMNS($AD$1006:AG1006),$AD$1006:$AU$1006,0)))),"Fix")))</f>
        <v xml:space="preserve"> </v>
      </c>
      <c r="F32" s="4" t="str">
        <f ca="1">IF(OR(INDEX($X$2:$X$1001,MATCH(ROWS($W$2:W32),$W$2:$W$1001,0),1)&gt;=100000,INDEX($AD$1005:$AU$1005,1,MATCH(COLUMNS($AD$1006:AH1006),$AD$1006:$AU$1006,0))&gt;=100000), " ",IF(INDEX($AD$2:$AU$1001,MATCH(ROWS($W$2:W32),$W$2:$W$1001,0),MATCH(COLUMNS($AD$1006:AH1006),$AD$1006:$AU$1006,0)), HYPERLINK("#",""), HYPERLINK(CONCATENATE("#metadata!", ADDRESS(INDEX($Y$2:$Y$1001,MATCH(ROWS($W$2:W32),$W$2:$W$1001,0),0), INDEX($AD$1004:$AU$1004,1,MATCH(COLUMNS($AD$1006:AH1006),$AD$1006:$AU$1006,0)))),"Fix")))</f>
        <v xml:space="preserve"> </v>
      </c>
      <c r="G32" s="4" t="str">
        <f ca="1">IF(OR(INDEX($X$2:$X$1001,MATCH(ROWS($W$2:W32),$W$2:$W$1001,0),1)&gt;=100000,INDEX($AD$1005:$AU$1005,1,MATCH(COLUMNS($AD$1006:AI1006),$AD$1006:$AU$1006,0))&gt;=100000), " ",IF(INDEX($AD$2:$AU$1001,MATCH(ROWS($W$2:W32),$W$2:$W$1001,0),MATCH(COLUMNS($AD$1006:AI1006),$AD$1006:$AU$1006,0)), HYPERLINK("#",""), HYPERLINK(CONCATENATE("#metadata!", ADDRESS(INDEX($Y$2:$Y$1001,MATCH(ROWS($W$2:W32),$W$2:$W$1001,0),0), INDEX($AD$1004:$AU$1004,1,MATCH(COLUMNS($AD$1006:AI1006),$AD$1006:$AU$1006,0)))),"Fix")))</f>
        <v xml:space="preserve"> </v>
      </c>
      <c r="H32" s="4" t="str">
        <f ca="1">IF(OR(INDEX($X$2:$X$1001,MATCH(ROWS($W$2:W32),$W$2:$W$1001,0),1)&gt;=100000,INDEX($AD$1005:$AU$1005,1,MATCH(COLUMNS($AD$1006:AJ1006),$AD$1006:$AU$1006,0))&gt;=100000), " ",IF(INDEX($AD$2:$AU$1001,MATCH(ROWS($W$2:W32),$W$2:$W$1001,0),MATCH(COLUMNS($AD$1006:AJ1006),$AD$1006:$AU$1006,0)), HYPERLINK("#",""), HYPERLINK(CONCATENATE("#metadata!", ADDRESS(INDEX($Y$2:$Y$1001,MATCH(ROWS($W$2:W32),$W$2:$W$1001,0),0), INDEX($AD$1004:$AU$1004,1,MATCH(COLUMNS($AD$1006:AJ1006),$AD$1006:$AU$1006,0)))),"Fix")))</f>
        <v xml:space="preserve"> </v>
      </c>
      <c r="I32" s="4" t="str">
        <f ca="1">IF(OR(INDEX($X$2:$X$1001,MATCH(ROWS($W$2:W32),$W$2:$W$1001,0),1)&gt;=100000,INDEX($AD$1005:$AU$1005,1,MATCH(COLUMNS($AD$1006:AK1006),$AD$1006:$AU$1006,0))&gt;=100000), " ",IF(INDEX($AD$2:$AU$1001,MATCH(ROWS($W$2:W32),$W$2:$W$1001,0),MATCH(COLUMNS($AD$1006:AK1006),$AD$1006:$AU$1006,0)), HYPERLINK("#",""), HYPERLINK(CONCATENATE("#metadata!", ADDRESS(INDEX($Y$2:$Y$1001,MATCH(ROWS($W$2:W32),$W$2:$W$1001,0),0), INDEX($AD$1004:$AU$1004,1,MATCH(COLUMNS($AD$1006:AK1006),$AD$1006:$AU$1006,0)))),"Fix")))</f>
        <v xml:space="preserve"> </v>
      </c>
      <c r="J32" s="4" t="str">
        <f ca="1">IF(OR(INDEX($X$2:$X$1001,MATCH(ROWS($W$2:W32),$W$2:$W$1001,0),1)&gt;=100000,INDEX($AD$1005:$AU$1005,1,MATCH(COLUMNS($AD$1006:AL1006),$AD$1006:$AU$1006,0))&gt;=100000), " ",IF(INDEX($AD$2:$AU$1001,MATCH(ROWS($W$2:W32),$W$2:$W$1001,0),MATCH(COLUMNS($AD$1006:AL1006),$AD$1006:$AU$1006,0)), HYPERLINK("#",""), HYPERLINK(CONCATENATE("#metadata!", ADDRESS(INDEX($Y$2:$Y$1001,MATCH(ROWS($W$2:W32),$W$2:$W$1001,0),0), INDEX($AD$1004:$AU$1004,1,MATCH(COLUMNS($AD$1006:AL1006),$AD$1006:$AU$1006,0)))),"Fix")))</f>
        <v xml:space="preserve"> </v>
      </c>
      <c r="K32" s="4" t="str">
        <f ca="1">IF(OR(INDEX($X$2:$X$1001,MATCH(ROWS($W$2:W32),$W$2:$W$1001,0),1)&gt;=100000,INDEX($AD$1005:$AU$1005,1,MATCH(COLUMNS($AD$1006:AM1006),$AD$1006:$AU$1006,0))&gt;=100000), " ",IF(INDEX($AD$2:$AU$1001,MATCH(ROWS($W$2:W32),$W$2:$W$1001,0),MATCH(COLUMNS($AD$1006:AM1006),$AD$1006:$AU$1006,0)), HYPERLINK("#",""), HYPERLINK(CONCATENATE("#metadata!", ADDRESS(INDEX($Y$2:$Y$1001,MATCH(ROWS($W$2:W32),$W$2:$W$1001,0),0), INDEX($AD$1004:$AU$1004,1,MATCH(COLUMNS($AD$1006:AM1006),$AD$1006:$AU$1006,0)))),"Fix")))</f>
        <v xml:space="preserve"> </v>
      </c>
      <c r="L32" s="4" t="str">
        <f ca="1">IF(OR(INDEX($X$2:$X$1001,MATCH(ROWS($W$2:W32),$W$2:$W$1001,0),1)&gt;=100000,INDEX($AD$1005:$AU$1005,1,MATCH(COLUMNS($AD$1006:AN1006),$AD$1006:$AU$1006,0))&gt;=100000), " ",IF(INDEX($AD$2:$AU$1001,MATCH(ROWS($W$2:W32),$W$2:$W$1001,0),MATCH(COLUMNS($AD$1006:AN1006),$AD$1006:$AU$1006,0)), HYPERLINK("#",""), HYPERLINK(CONCATENATE("#metadata!", ADDRESS(INDEX($Y$2:$Y$1001,MATCH(ROWS($W$2:W32),$W$2:$W$1001,0),0), INDEX($AD$1004:$AU$1004,1,MATCH(COLUMNS($AD$1006:AN1006),$AD$1006:$AU$1006,0)))),"Fix")))</f>
        <v xml:space="preserve"> </v>
      </c>
      <c r="M32" s="4" t="str">
        <f ca="1">IF(OR(INDEX($X$2:$X$1001,MATCH(ROWS($W$2:W32),$W$2:$W$1001,0),1)&gt;=100000,INDEX($AD$1005:$AU$1005,1,MATCH(COLUMNS($AD$1006:AO1006),$AD$1006:$AU$1006,0))&gt;=100000), " ",IF(INDEX($AD$2:$AU$1001,MATCH(ROWS($W$2:W32),$W$2:$W$1001,0),MATCH(COLUMNS($AD$1006:AO1006),$AD$1006:$AU$1006,0)), HYPERLINK("#",""), HYPERLINK(CONCATENATE("#metadata!", ADDRESS(INDEX($Y$2:$Y$1001,MATCH(ROWS($W$2:W32),$W$2:$W$1001,0),0), INDEX($AD$1004:$AU$1004,1,MATCH(COLUMNS($AD$1006:AO1006),$AD$1006:$AU$1006,0)))),"Fix")))</f>
        <v xml:space="preserve"> </v>
      </c>
      <c r="N32" s="4" t="str">
        <f ca="1">IF(OR(INDEX($X$2:$X$1001,MATCH(ROWS($W$2:W32),$W$2:$W$1001,0),1)&gt;=100000,INDEX($AD$1005:$AU$1005,1,MATCH(COLUMNS($AD$1006:AP1006),$AD$1006:$AU$1006,0))&gt;=100000), " ",IF(INDEX($AD$2:$AU$1001,MATCH(ROWS($W$2:W32),$W$2:$W$1001,0),MATCH(COLUMNS($AD$1006:AP1006),$AD$1006:$AU$1006,0)), HYPERLINK("#",""), HYPERLINK(CONCATENATE("#metadata!", ADDRESS(INDEX($Y$2:$Y$1001,MATCH(ROWS($W$2:W32),$W$2:$W$1001,0),0), INDEX($AD$1004:$AU$1004,1,MATCH(COLUMNS($AD$1006:AP1006),$AD$1006:$AU$1006,0)))),"Fix")))</f>
        <v xml:space="preserve"> </v>
      </c>
      <c r="O32" s="4" t="str">
        <f ca="1">IF(OR(INDEX($X$2:$X$1001,MATCH(ROWS($W$2:W32),$W$2:$W$1001,0),1)&gt;=100000,INDEX($AD$1005:$AU$1005,1,MATCH(COLUMNS($AD$1006:AQ1006),$AD$1006:$AU$1006,0))&gt;=100000), " ",IF(INDEX($AD$2:$AU$1001,MATCH(ROWS($W$2:W32),$W$2:$W$1001,0),MATCH(COLUMNS($AD$1006:AQ1006),$AD$1006:$AU$1006,0)), HYPERLINK("#",""), HYPERLINK(CONCATENATE("#metadata!", ADDRESS(INDEX($Y$2:$Y$1001,MATCH(ROWS($W$2:W32),$W$2:$W$1001,0),0), INDEX($AD$1004:$AU$1004,1,MATCH(COLUMNS($AD$1006:AQ1006),$AD$1006:$AU$1006,0)))),"Fix")))</f>
        <v xml:space="preserve"> </v>
      </c>
      <c r="P32" s="4" t="str">
        <f ca="1">IF(OR(INDEX($X$2:$X$1001,MATCH(ROWS($W$2:W32),$W$2:$W$1001,0),1)&gt;=100000,INDEX($AD$1005:$AU$1005,1,MATCH(COLUMNS($AD$1006:AR1006),$AD$1006:$AU$1006,0))&gt;=100000), " ",IF(INDEX($AD$2:$AU$1001,MATCH(ROWS($W$2:W32),$W$2:$W$1001,0),MATCH(COLUMNS($AD$1006:AR1006),$AD$1006:$AU$1006,0)), HYPERLINK("#",""), HYPERLINK(CONCATENATE("#metadata!", ADDRESS(INDEX($Y$2:$Y$1001,MATCH(ROWS($W$2:W32),$W$2:$W$1001,0),0), INDEX($AD$1004:$AU$1004,1,MATCH(COLUMNS($AD$1006:AR1006),$AD$1006:$AU$1006,0)))),"Fix")))</f>
        <v xml:space="preserve"> </v>
      </c>
      <c r="Q32" s="4" t="str">
        <f ca="1">IF(OR(INDEX($X$2:$X$1001,MATCH(ROWS($W$2:W32),$W$2:$W$1001,0),1)&gt;=100000,INDEX($AD$1005:$AU$1005,1,MATCH(COLUMNS($AD$1006:AS1006),$AD$1006:$AU$1006,0))&gt;=100000), " ",IF(INDEX($AD$2:$AU$1001,MATCH(ROWS($W$2:W32),$W$2:$W$1001,0),MATCH(COLUMNS($AD$1006:AS1006),$AD$1006:$AU$1006,0)), HYPERLINK("#",""), HYPERLINK(CONCATENATE("#metadata!", ADDRESS(INDEX($Y$2:$Y$1001,MATCH(ROWS($W$2:W32),$W$2:$W$1001,0),0), INDEX($AD$1004:$AU$1004,1,MATCH(COLUMNS($AD$1006:AS1006),$AD$1006:$AU$1006,0)))),"Fix")))</f>
        <v xml:space="preserve"> </v>
      </c>
      <c r="R32" s="4" t="str">
        <f ca="1">IF(OR(INDEX($X$2:$X$1001,MATCH(ROWS($W$2:W32),$W$2:$W$1001,0),1)&gt;=100000,INDEX($AD$1005:$AU$1005,1,MATCH(COLUMNS($AD$1006:AT1006),$AD$1006:$AU$1006,0))&gt;=100000), " ",IF(INDEX($AD$2:$AU$1001,MATCH(ROWS($W$2:W32),$W$2:$W$1001,0),MATCH(COLUMNS($AD$1006:AT1006),$AD$1006:$AU$1006,0)), HYPERLINK("#",""), HYPERLINK(CONCATENATE("#metadata!", ADDRESS(INDEX($Y$2:$Y$1001,MATCH(ROWS($W$2:W32),$W$2:$W$1001,0),0), INDEX($AD$1004:$AU$1004,1,MATCH(COLUMNS($AD$1006:AT1006),$AD$1006:$AU$1006,0)))),"Fix")))</f>
        <v xml:space="preserve"> </v>
      </c>
      <c r="S32" s="4" t="str">
        <f ca="1">IF(OR(INDEX($X$2:$X$1001,MATCH(ROWS($W$2:W32),$W$2:$W$1001,0),1)&gt;=100000,INDEX($AD$1005:$AU$1005,1,MATCH(COLUMNS($AD$1006:AU1006),$AD$1006:$AU$1006,0))&gt;=100000), " ",IF(INDEX($AD$2:$AU$1001,MATCH(ROWS($W$2:W32),$W$2:$W$1001,0),MATCH(COLUMNS($AD$1006:AU1006),$AD$1006:$AU$1006,0)), HYPERLINK("#",""), HYPERLINK(CONCATENATE("#metadata!", ADDRESS(INDEX($Y$2:$Y$1001,MATCH(ROWS($W$2:W32),$W$2:$W$1001,0),0), INDEX($AD$1004:$AU$1004,1,MATCH(COLUMNS($AD$1006:AU1006),$AD$1006:$AU$1006,0)))),"Fix")))</f>
        <v xml:space="preserve"> </v>
      </c>
      <c r="W32">
        <v>31</v>
      </c>
      <c r="X32">
        <v>100032</v>
      </c>
      <c r="Y32">
        <v>32</v>
      </c>
      <c r="Z32" t="b">
        <f t="shared" si="0"/>
        <v>1</v>
      </c>
      <c r="AA32" t="b">
        <f>COUNTBLANK(metadata!B32:S32)=COLUMNS(metadata!B32:S32)</f>
        <v>1</v>
      </c>
      <c r="AB32" t="str">
        <v/>
      </c>
      <c r="AD32" t="b">
        <f ca="1">AND(IF(metadata!B32="",FALSE,TRUE),COUNTIF(metadata!B:B, metadata!B32) = 1,NOT(ISERROR(SUMPRODUCT(SEARCH(MID(metadata!B32,ROW(INDIRECT("1:"&amp;LEN(metadata!B32))), 1),"0123456789abcdefghijklmnopqrstuvwxyzABCDEFGHIJKLMNOPQRSTUVWXYZ.")))))</f>
        <v>0</v>
      </c>
      <c r="AE32" t="b">
        <f>OR(AND(IF(metadata!C32="",FALSE,TRUE),OR(EXACT(metadata!C32,"not applicable"),EXACT(metadata!C32,"missing: not collected"),EXACT(metadata!C32,"missing: not provided"),EXACT(metadata!C32,"missing: restricted access"))),AND(IF(metadata!C32="",FALSE,ISNUMBER(VALUE(metadata!C32))),metadata!C32&gt;0))</f>
        <v>0</v>
      </c>
      <c r="AF32" t="b">
        <f>AND(IF(metadata!D32="",FALSE,TRUE),EXACT(metadata!D32,"missing: not provided"))</f>
        <v>0</v>
      </c>
      <c r="AG32" t="b">
        <f>AND(IF(metadata!E32="",FALSE,TRUE),EXACT(metadata!E32,"Host-associated"))</f>
        <v>0</v>
      </c>
      <c r="AH32" t="b">
        <f>AND(IF(metadata!F32="",FALSE,TRUE),OR(EXACT(metadata!F32,"Animal"),EXACT(metadata!F32,"Fungus"),EXACT(metadata!F32,"Plant")))</f>
        <v>0</v>
      </c>
      <c r="AI32" t="b">
        <f>AND(IF(metadata!G32="",FALSE,TRUE),OR(EXACT(metadata!G32,"Plant secretion"),EXACT(metadata!G32,"Plant rhizosphere"),EXACT(metadata!G32,"Plant surface"),EXACT(metadata!G32,"Plant corpus"),EXACT(metadata!G32,"Fungus surface"),EXACT(metadata!G32,"Fungus corpus"),EXACT(metadata!G32,"Animal surface"),EXACT(metadata!G32,"Animal proximal gut"),EXACT(metadata!G32,"Animal corpus"),EXACT(metadata!G32,"Animal distal gut"),EXACT(metadata!G32,"Animal secretion")))</f>
        <v>0</v>
      </c>
      <c r="AJ32" t="b">
        <f>OR(AND(IF(metadata!H32="",FALSE,TRUE),OR(EXACT(metadata!H32,"missing: not collected"),EXACT(metadata!H32,"missing: not provided"),EXACT(metadata!H32,"missing: restricted access"))),AND(IF(metadata!H32="",FALSE,TRUE),OR(EXACT(metadata!H32,"organism-associated habitat"),EXACT(metadata!H32,"plant-associated habitat"),EXACT(metadata!H32,"animal-associated habitat"),EXACT(metadata!H32,"insecta-associated habitat"),EXACT(metadata!H32,"mammalia-associated habitat"),EXACT(metadata!H32,"human-associated habitat"),EXACT(metadata!H32,"livestock-associated habitat"))))</f>
        <v>0</v>
      </c>
      <c r="AK32" t="b">
        <f>AND(IF(metadata!I32="",FALSE,TRUE),EXACT(metadata!I32,"host-associated"))</f>
        <v>0</v>
      </c>
      <c r="AL32" t="b">
        <f>OR(AND(IF(metadata!J32="",FALSE,TRUE),OR(EXACT(metadata!J32,"not applicable"),EXACT(metadata!J32,"missing: not collected"),EXACT(metadata!J32,"missing: not provided"),EXACT(metadata!J32,"missing: restricted access"))),AND(IF(metadata!J32="",FALSE,ISNUMBER(VALUE(metadata!J32))),metadata!J32&gt;0))</f>
        <v>0</v>
      </c>
      <c r="AM32" t="b">
        <f>AND(IF(metadata!K32="",FALSE,TRUE),EXACT(metadata!K32,"missing: not provided"))</f>
        <v>0</v>
      </c>
      <c r="AN32" t="b">
        <f>IF(metadata!L32="",FALSE,TRUE)</f>
        <v>0</v>
      </c>
      <c r="AO32" t="b">
        <f>IF(metadata!M32="",FALSE,TRUE)</f>
        <v>0</v>
      </c>
      <c r="AP32" t="b">
        <f>OR(AND(IF(metadata!N32="",FALSE,TRUE),OR(EXACT(metadata!N32,"not applicable"),EXACT(metadata!N32,"missing: not collected"),EXACT(metadata!N32,"missing: not provided"))),AND(IF(metadata!N32="",FALSE,IF(ISERROR(INT(metadata!N32)),FALSE,INT(metadata!N32)=metadata!N32)),metadata!N32&gt;0))</f>
        <v>0</v>
      </c>
      <c r="AQ32" t="b">
        <f>AND(IF(metadata!O32="",FALSE,TRUE),EXACT(metadata!O32,"Not applicable"))</f>
        <v>0</v>
      </c>
      <c r="AR32" t="b">
        <f>OR(AND(IF(metadata!P32="",FALSE,TRUE),OR(EXACT(metadata!P32,"not applicable"),EXACT(metadata!P32,"missing: not collected"),EXACT(metadata!P32,"missing: not provided"),EXACT(metadata!P32,"missing: restricted access"))),IF(metadata!P32="",FALSE,IF(ISERROR(INT(metadata!P32)),FALSE,INT(metadata!P32)=metadata!P32)))</f>
        <v>0</v>
      </c>
      <c r="AS32" t="b">
        <f>AND(IF(metadata!Q32="",FALSE,TRUE),EXACT(metadata!Q32,"Not applicable"))</f>
        <v>0</v>
      </c>
      <c r="AT32" t="b">
        <f>OR(AND(IF(metadata!R32="",FALSE,TRUE),OR(EXACT(metadata!R32,"not applicable"),EXACT(metadata!R32,"missing: not collected"),EXACT(metadata!R32,"missing: not provided"),EXACT(metadata!R32,"missing: restricted access"))),AND(IF(metadata!R32="",FALSE,ISNUMBER(VALUE(metadata!R32))),metadata!R32&gt;0))</f>
        <v>0</v>
      </c>
      <c r="AU32" t="b">
        <f>AND(IF(metadata!S32="",FALSE,TRUE),EXACT(metadata!S32,"missing: not provided"))</f>
        <v>0</v>
      </c>
    </row>
    <row r="33" spans="1:47" x14ac:dyDescent="0.2">
      <c r="A33" s="5" t="str">
        <f ca="1">IF(B33=" "," ",HYPERLINK(CONCATENATE("#metadata!",ADDRESS(INDEX($Y$2:$Y$1001,MATCH(ROWS($W$2:W33),$W$2:$W$1001,0),0),1)),INDEX($AB$2:$AB$1001,MATCH(ROWS($W$2:W33),$W$2:$W$1001,0),0)))</f>
        <v xml:space="preserve"> </v>
      </c>
      <c r="B33" s="4" t="str">
        <f ca="1">IF(OR(INDEX($X$2:$X$1001,MATCH(ROWS($W$2:W33),$W$2:$W$1001,0),1)&gt;=100000,INDEX($AD$1005:$AU$1005,1,MATCH(COLUMNS($AD$1006:AD1006),$AD$1006:$AU$1006,0))&gt;=100000), " ",IF(INDEX($AD$2:$AU$1001,MATCH(ROWS($W$2:W33),$W$2:$W$1001,0),MATCH(COLUMNS($AD$1006:AD1006),$AD$1006:$AU$1006,0)), HYPERLINK("#",""), HYPERLINK(CONCATENATE("#metadata!", ADDRESS(INDEX($Y$2:$Y$1001,MATCH(ROWS($W$2:W33),$W$2:$W$1001,0),0), INDEX($AD$1004:$AU$1004,1,MATCH(COLUMNS($AD$1006:AD1006),$AD$1006:$AU$1006,0)))),"Fix")))</f>
        <v xml:space="preserve"> </v>
      </c>
      <c r="C33" s="4" t="str">
        <f ca="1">IF(OR(INDEX($X$2:$X$1001,MATCH(ROWS($W$2:W33),$W$2:$W$1001,0),1)&gt;=100000,INDEX($AD$1005:$AU$1005,1,MATCH(COLUMNS($AD$1006:AE1006),$AD$1006:$AU$1006,0))&gt;=100000), " ",IF(INDEX($AD$2:$AU$1001,MATCH(ROWS($W$2:W33),$W$2:$W$1001,0),MATCH(COLUMNS($AD$1006:AE1006),$AD$1006:$AU$1006,0)), HYPERLINK("#",""), HYPERLINK(CONCATENATE("#metadata!", ADDRESS(INDEX($Y$2:$Y$1001,MATCH(ROWS($W$2:W33),$W$2:$W$1001,0),0), INDEX($AD$1004:$AU$1004,1,MATCH(COLUMNS($AD$1006:AE1006),$AD$1006:$AU$1006,0)))),"Fix")))</f>
        <v xml:space="preserve"> </v>
      </c>
      <c r="D33" s="4" t="str">
        <f ca="1">IF(OR(INDEX($X$2:$X$1001,MATCH(ROWS($W$2:W33),$W$2:$W$1001,0),1)&gt;=100000,INDEX($AD$1005:$AU$1005,1,MATCH(COLUMNS($AD$1006:AF1006),$AD$1006:$AU$1006,0))&gt;=100000), " ",IF(INDEX($AD$2:$AU$1001,MATCH(ROWS($W$2:W33),$W$2:$W$1001,0),MATCH(COLUMNS($AD$1006:AF1006),$AD$1006:$AU$1006,0)), HYPERLINK("#",""), HYPERLINK(CONCATENATE("#metadata!", ADDRESS(INDEX($Y$2:$Y$1001,MATCH(ROWS($W$2:W33),$W$2:$W$1001,0),0), INDEX($AD$1004:$AU$1004,1,MATCH(COLUMNS($AD$1006:AF1006),$AD$1006:$AU$1006,0)))),"Fix")))</f>
        <v xml:space="preserve"> </v>
      </c>
      <c r="E33" s="4" t="str">
        <f ca="1">IF(OR(INDEX($X$2:$X$1001,MATCH(ROWS($W$2:W33),$W$2:$W$1001,0),1)&gt;=100000,INDEX($AD$1005:$AU$1005,1,MATCH(COLUMNS($AD$1006:AG1006),$AD$1006:$AU$1006,0))&gt;=100000), " ",IF(INDEX($AD$2:$AU$1001,MATCH(ROWS($W$2:W33),$W$2:$W$1001,0),MATCH(COLUMNS($AD$1006:AG1006),$AD$1006:$AU$1006,0)), HYPERLINK("#",""), HYPERLINK(CONCATENATE("#metadata!", ADDRESS(INDEX($Y$2:$Y$1001,MATCH(ROWS($W$2:W33),$W$2:$W$1001,0),0), INDEX($AD$1004:$AU$1004,1,MATCH(COLUMNS($AD$1006:AG1006),$AD$1006:$AU$1006,0)))),"Fix")))</f>
        <v xml:space="preserve"> </v>
      </c>
      <c r="F33" s="4" t="str">
        <f ca="1">IF(OR(INDEX($X$2:$X$1001,MATCH(ROWS($W$2:W33),$W$2:$W$1001,0),1)&gt;=100000,INDEX($AD$1005:$AU$1005,1,MATCH(COLUMNS($AD$1006:AH1006),$AD$1006:$AU$1006,0))&gt;=100000), " ",IF(INDEX($AD$2:$AU$1001,MATCH(ROWS($W$2:W33),$W$2:$W$1001,0),MATCH(COLUMNS($AD$1006:AH1006),$AD$1006:$AU$1006,0)), HYPERLINK("#",""), HYPERLINK(CONCATENATE("#metadata!", ADDRESS(INDEX($Y$2:$Y$1001,MATCH(ROWS($W$2:W33),$W$2:$W$1001,0),0), INDEX($AD$1004:$AU$1004,1,MATCH(COLUMNS($AD$1006:AH1006),$AD$1006:$AU$1006,0)))),"Fix")))</f>
        <v xml:space="preserve"> </v>
      </c>
      <c r="G33" s="4" t="str">
        <f ca="1">IF(OR(INDEX($X$2:$X$1001,MATCH(ROWS($W$2:W33),$W$2:$W$1001,0),1)&gt;=100000,INDEX($AD$1005:$AU$1005,1,MATCH(COLUMNS($AD$1006:AI1006),$AD$1006:$AU$1006,0))&gt;=100000), " ",IF(INDEX($AD$2:$AU$1001,MATCH(ROWS($W$2:W33),$W$2:$W$1001,0),MATCH(COLUMNS($AD$1006:AI1006),$AD$1006:$AU$1006,0)), HYPERLINK("#",""), HYPERLINK(CONCATENATE("#metadata!", ADDRESS(INDEX($Y$2:$Y$1001,MATCH(ROWS($W$2:W33),$W$2:$W$1001,0),0), INDEX($AD$1004:$AU$1004,1,MATCH(COLUMNS($AD$1006:AI1006),$AD$1006:$AU$1006,0)))),"Fix")))</f>
        <v xml:space="preserve"> </v>
      </c>
      <c r="H33" s="4" t="str">
        <f ca="1">IF(OR(INDEX($X$2:$X$1001,MATCH(ROWS($W$2:W33),$W$2:$W$1001,0),1)&gt;=100000,INDEX($AD$1005:$AU$1005,1,MATCH(COLUMNS($AD$1006:AJ1006),$AD$1006:$AU$1006,0))&gt;=100000), " ",IF(INDEX($AD$2:$AU$1001,MATCH(ROWS($W$2:W33),$W$2:$W$1001,0),MATCH(COLUMNS($AD$1006:AJ1006),$AD$1006:$AU$1006,0)), HYPERLINK("#",""), HYPERLINK(CONCATENATE("#metadata!", ADDRESS(INDEX($Y$2:$Y$1001,MATCH(ROWS($W$2:W33),$W$2:$W$1001,0),0), INDEX($AD$1004:$AU$1004,1,MATCH(COLUMNS($AD$1006:AJ1006),$AD$1006:$AU$1006,0)))),"Fix")))</f>
        <v xml:space="preserve"> </v>
      </c>
      <c r="I33" s="4" t="str">
        <f ca="1">IF(OR(INDEX($X$2:$X$1001,MATCH(ROWS($W$2:W33),$W$2:$W$1001,0),1)&gt;=100000,INDEX($AD$1005:$AU$1005,1,MATCH(COLUMNS($AD$1006:AK1006),$AD$1006:$AU$1006,0))&gt;=100000), " ",IF(INDEX($AD$2:$AU$1001,MATCH(ROWS($W$2:W33),$W$2:$W$1001,0),MATCH(COLUMNS($AD$1006:AK1006),$AD$1006:$AU$1006,0)), HYPERLINK("#",""), HYPERLINK(CONCATENATE("#metadata!", ADDRESS(INDEX($Y$2:$Y$1001,MATCH(ROWS($W$2:W33),$W$2:$W$1001,0),0), INDEX($AD$1004:$AU$1004,1,MATCH(COLUMNS($AD$1006:AK1006),$AD$1006:$AU$1006,0)))),"Fix")))</f>
        <v xml:space="preserve"> </v>
      </c>
      <c r="J33" s="4" t="str">
        <f ca="1">IF(OR(INDEX($X$2:$X$1001,MATCH(ROWS($W$2:W33),$W$2:$W$1001,0),1)&gt;=100000,INDEX($AD$1005:$AU$1005,1,MATCH(COLUMNS($AD$1006:AL1006),$AD$1006:$AU$1006,0))&gt;=100000), " ",IF(INDEX($AD$2:$AU$1001,MATCH(ROWS($W$2:W33),$W$2:$W$1001,0),MATCH(COLUMNS($AD$1006:AL1006),$AD$1006:$AU$1006,0)), HYPERLINK("#",""), HYPERLINK(CONCATENATE("#metadata!", ADDRESS(INDEX($Y$2:$Y$1001,MATCH(ROWS($W$2:W33),$W$2:$W$1001,0),0), INDEX($AD$1004:$AU$1004,1,MATCH(COLUMNS($AD$1006:AL1006),$AD$1006:$AU$1006,0)))),"Fix")))</f>
        <v xml:space="preserve"> </v>
      </c>
      <c r="K33" s="4" t="str">
        <f ca="1">IF(OR(INDEX($X$2:$X$1001,MATCH(ROWS($W$2:W33),$W$2:$W$1001,0),1)&gt;=100000,INDEX($AD$1005:$AU$1005,1,MATCH(COLUMNS($AD$1006:AM1006),$AD$1006:$AU$1006,0))&gt;=100000), " ",IF(INDEX($AD$2:$AU$1001,MATCH(ROWS($W$2:W33),$W$2:$W$1001,0),MATCH(COLUMNS($AD$1006:AM1006),$AD$1006:$AU$1006,0)), HYPERLINK("#",""), HYPERLINK(CONCATENATE("#metadata!", ADDRESS(INDEX($Y$2:$Y$1001,MATCH(ROWS($W$2:W33),$W$2:$W$1001,0),0), INDEX($AD$1004:$AU$1004,1,MATCH(COLUMNS($AD$1006:AM1006),$AD$1006:$AU$1006,0)))),"Fix")))</f>
        <v xml:space="preserve"> </v>
      </c>
      <c r="L33" s="4" t="str">
        <f ca="1">IF(OR(INDEX($X$2:$X$1001,MATCH(ROWS($W$2:W33),$W$2:$W$1001,0),1)&gt;=100000,INDEX($AD$1005:$AU$1005,1,MATCH(COLUMNS($AD$1006:AN1006),$AD$1006:$AU$1006,0))&gt;=100000), " ",IF(INDEX($AD$2:$AU$1001,MATCH(ROWS($W$2:W33),$W$2:$W$1001,0),MATCH(COLUMNS($AD$1006:AN1006),$AD$1006:$AU$1006,0)), HYPERLINK("#",""), HYPERLINK(CONCATENATE("#metadata!", ADDRESS(INDEX($Y$2:$Y$1001,MATCH(ROWS($W$2:W33),$W$2:$W$1001,0),0), INDEX($AD$1004:$AU$1004,1,MATCH(COLUMNS($AD$1006:AN1006),$AD$1006:$AU$1006,0)))),"Fix")))</f>
        <v xml:space="preserve"> </v>
      </c>
      <c r="M33" s="4" t="str">
        <f ca="1">IF(OR(INDEX($X$2:$X$1001,MATCH(ROWS($W$2:W33),$W$2:$W$1001,0),1)&gt;=100000,INDEX($AD$1005:$AU$1005,1,MATCH(COLUMNS($AD$1006:AO1006),$AD$1006:$AU$1006,0))&gt;=100000), " ",IF(INDEX($AD$2:$AU$1001,MATCH(ROWS($W$2:W33),$W$2:$W$1001,0),MATCH(COLUMNS($AD$1006:AO1006),$AD$1006:$AU$1006,0)), HYPERLINK("#",""), HYPERLINK(CONCATENATE("#metadata!", ADDRESS(INDEX($Y$2:$Y$1001,MATCH(ROWS($W$2:W33),$W$2:$W$1001,0),0), INDEX($AD$1004:$AU$1004,1,MATCH(COLUMNS($AD$1006:AO1006),$AD$1006:$AU$1006,0)))),"Fix")))</f>
        <v xml:space="preserve"> </v>
      </c>
      <c r="N33" s="4" t="str">
        <f ca="1">IF(OR(INDEX($X$2:$X$1001,MATCH(ROWS($W$2:W33),$W$2:$W$1001,0),1)&gt;=100000,INDEX($AD$1005:$AU$1005,1,MATCH(COLUMNS($AD$1006:AP1006),$AD$1006:$AU$1006,0))&gt;=100000), " ",IF(INDEX($AD$2:$AU$1001,MATCH(ROWS($W$2:W33),$W$2:$W$1001,0),MATCH(COLUMNS($AD$1006:AP1006),$AD$1006:$AU$1006,0)), HYPERLINK("#",""), HYPERLINK(CONCATENATE("#metadata!", ADDRESS(INDEX($Y$2:$Y$1001,MATCH(ROWS($W$2:W33),$W$2:$W$1001,0),0), INDEX($AD$1004:$AU$1004,1,MATCH(COLUMNS($AD$1006:AP1006),$AD$1006:$AU$1006,0)))),"Fix")))</f>
        <v xml:space="preserve"> </v>
      </c>
      <c r="O33" s="4" t="str">
        <f ca="1">IF(OR(INDEX($X$2:$X$1001,MATCH(ROWS($W$2:W33),$W$2:$W$1001,0),1)&gt;=100000,INDEX($AD$1005:$AU$1005,1,MATCH(COLUMNS($AD$1006:AQ1006),$AD$1006:$AU$1006,0))&gt;=100000), " ",IF(INDEX($AD$2:$AU$1001,MATCH(ROWS($W$2:W33),$W$2:$W$1001,0),MATCH(COLUMNS($AD$1006:AQ1006),$AD$1006:$AU$1006,0)), HYPERLINK("#",""), HYPERLINK(CONCATENATE("#metadata!", ADDRESS(INDEX($Y$2:$Y$1001,MATCH(ROWS($W$2:W33),$W$2:$W$1001,0),0), INDEX($AD$1004:$AU$1004,1,MATCH(COLUMNS($AD$1006:AQ1006),$AD$1006:$AU$1006,0)))),"Fix")))</f>
        <v xml:space="preserve"> </v>
      </c>
      <c r="P33" s="4" t="str">
        <f ca="1">IF(OR(INDEX($X$2:$X$1001,MATCH(ROWS($W$2:W33),$W$2:$W$1001,0),1)&gt;=100000,INDEX($AD$1005:$AU$1005,1,MATCH(COLUMNS($AD$1006:AR1006),$AD$1006:$AU$1006,0))&gt;=100000), " ",IF(INDEX($AD$2:$AU$1001,MATCH(ROWS($W$2:W33),$W$2:$W$1001,0),MATCH(COLUMNS($AD$1006:AR1006),$AD$1006:$AU$1006,0)), HYPERLINK("#",""), HYPERLINK(CONCATENATE("#metadata!", ADDRESS(INDEX($Y$2:$Y$1001,MATCH(ROWS($W$2:W33),$W$2:$W$1001,0),0), INDEX($AD$1004:$AU$1004,1,MATCH(COLUMNS($AD$1006:AR1006),$AD$1006:$AU$1006,0)))),"Fix")))</f>
        <v xml:space="preserve"> </v>
      </c>
      <c r="Q33" s="4" t="str">
        <f ca="1">IF(OR(INDEX($X$2:$X$1001,MATCH(ROWS($W$2:W33),$W$2:$W$1001,0),1)&gt;=100000,INDEX($AD$1005:$AU$1005,1,MATCH(COLUMNS($AD$1006:AS1006),$AD$1006:$AU$1006,0))&gt;=100000), " ",IF(INDEX($AD$2:$AU$1001,MATCH(ROWS($W$2:W33),$W$2:$W$1001,0),MATCH(COLUMNS($AD$1006:AS1006),$AD$1006:$AU$1006,0)), HYPERLINK("#",""), HYPERLINK(CONCATENATE("#metadata!", ADDRESS(INDEX($Y$2:$Y$1001,MATCH(ROWS($W$2:W33),$W$2:$W$1001,0),0), INDEX($AD$1004:$AU$1004,1,MATCH(COLUMNS($AD$1006:AS1006),$AD$1006:$AU$1006,0)))),"Fix")))</f>
        <v xml:space="preserve"> </v>
      </c>
      <c r="R33" s="4" t="str">
        <f ca="1">IF(OR(INDEX($X$2:$X$1001,MATCH(ROWS($W$2:W33),$W$2:$W$1001,0),1)&gt;=100000,INDEX($AD$1005:$AU$1005,1,MATCH(COLUMNS($AD$1006:AT1006),$AD$1006:$AU$1006,0))&gt;=100000), " ",IF(INDEX($AD$2:$AU$1001,MATCH(ROWS($W$2:W33),$W$2:$W$1001,0),MATCH(COLUMNS($AD$1006:AT1006),$AD$1006:$AU$1006,0)), HYPERLINK("#",""), HYPERLINK(CONCATENATE("#metadata!", ADDRESS(INDEX($Y$2:$Y$1001,MATCH(ROWS($W$2:W33),$W$2:$W$1001,0),0), INDEX($AD$1004:$AU$1004,1,MATCH(COLUMNS($AD$1006:AT1006),$AD$1006:$AU$1006,0)))),"Fix")))</f>
        <v xml:space="preserve"> </v>
      </c>
      <c r="S33" s="4" t="str">
        <f ca="1">IF(OR(INDEX($X$2:$X$1001,MATCH(ROWS($W$2:W33),$W$2:$W$1001,0),1)&gt;=100000,INDEX($AD$1005:$AU$1005,1,MATCH(COLUMNS($AD$1006:AU1006),$AD$1006:$AU$1006,0))&gt;=100000), " ",IF(INDEX($AD$2:$AU$1001,MATCH(ROWS($W$2:W33),$W$2:$W$1001,0),MATCH(COLUMNS($AD$1006:AU1006),$AD$1006:$AU$1006,0)), HYPERLINK("#",""), HYPERLINK(CONCATENATE("#metadata!", ADDRESS(INDEX($Y$2:$Y$1001,MATCH(ROWS($W$2:W33),$W$2:$W$1001,0),0), INDEX($AD$1004:$AU$1004,1,MATCH(COLUMNS($AD$1006:AU1006),$AD$1006:$AU$1006,0)))),"Fix")))</f>
        <v xml:space="preserve"> </v>
      </c>
      <c r="W33">
        <v>32</v>
      </c>
      <c r="X33">
        <v>100033</v>
      </c>
      <c r="Y33">
        <v>33</v>
      </c>
      <c r="Z33" t="b">
        <f t="shared" si="0"/>
        <v>1</v>
      </c>
      <c r="AA33" t="b">
        <f>COUNTBLANK(metadata!B33:S33)=COLUMNS(metadata!B33:S33)</f>
        <v>1</v>
      </c>
      <c r="AB33" t="str">
        <v/>
      </c>
      <c r="AD33" t="b">
        <f ca="1">AND(IF(metadata!B33="",FALSE,TRUE),COUNTIF(metadata!B:B, metadata!B33) = 1,NOT(ISERROR(SUMPRODUCT(SEARCH(MID(metadata!B33,ROW(INDIRECT("1:"&amp;LEN(metadata!B33))), 1),"0123456789abcdefghijklmnopqrstuvwxyzABCDEFGHIJKLMNOPQRSTUVWXYZ.")))))</f>
        <v>0</v>
      </c>
      <c r="AE33" t="b">
        <f>OR(AND(IF(metadata!C33="",FALSE,TRUE),OR(EXACT(metadata!C33,"not applicable"),EXACT(metadata!C33,"missing: not collected"),EXACT(metadata!C33,"missing: not provided"),EXACT(metadata!C33,"missing: restricted access"))),AND(IF(metadata!C33="",FALSE,ISNUMBER(VALUE(metadata!C33))),metadata!C33&gt;0))</f>
        <v>0</v>
      </c>
      <c r="AF33" t="b">
        <f>AND(IF(metadata!D33="",FALSE,TRUE),EXACT(metadata!D33,"missing: not provided"))</f>
        <v>0</v>
      </c>
      <c r="AG33" t="b">
        <f>AND(IF(metadata!E33="",FALSE,TRUE),EXACT(metadata!E33,"Host-associated"))</f>
        <v>0</v>
      </c>
      <c r="AH33" t="b">
        <f>AND(IF(metadata!F33="",FALSE,TRUE),OR(EXACT(metadata!F33,"Animal"),EXACT(metadata!F33,"Fungus"),EXACT(metadata!F33,"Plant")))</f>
        <v>0</v>
      </c>
      <c r="AI33" t="b">
        <f>AND(IF(metadata!G33="",FALSE,TRUE),OR(EXACT(metadata!G33,"Plant secretion"),EXACT(metadata!G33,"Plant rhizosphere"),EXACT(metadata!G33,"Plant surface"),EXACT(metadata!G33,"Plant corpus"),EXACT(metadata!G33,"Fungus surface"),EXACT(metadata!G33,"Fungus corpus"),EXACT(metadata!G33,"Animal surface"),EXACT(metadata!G33,"Animal proximal gut"),EXACT(metadata!G33,"Animal corpus"),EXACT(metadata!G33,"Animal distal gut"),EXACT(metadata!G33,"Animal secretion")))</f>
        <v>0</v>
      </c>
      <c r="AJ33" t="b">
        <f>OR(AND(IF(metadata!H33="",FALSE,TRUE),OR(EXACT(metadata!H33,"missing: not collected"),EXACT(metadata!H33,"missing: not provided"),EXACT(metadata!H33,"missing: restricted access"))),AND(IF(metadata!H33="",FALSE,TRUE),OR(EXACT(metadata!H33,"organism-associated habitat"),EXACT(metadata!H33,"plant-associated habitat"),EXACT(metadata!H33,"animal-associated habitat"),EXACT(metadata!H33,"insecta-associated habitat"),EXACT(metadata!H33,"mammalia-associated habitat"),EXACT(metadata!H33,"human-associated habitat"),EXACT(metadata!H33,"livestock-associated habitat"))))</f>
        <v>0</v>
      </c>
      <c r="AK33" t="b">
        <f>AND(IF(metadata!I33="",FALSE,TRUE),EXACT(metadata!I33,"host-associated"))</f>
        <v>0</v>
      </c>
      <c r="AL33" t="b">
        <f>OR(AND(IF(metadata!J33="",FALSE,TRUE),OR(EXACT(metadata!J33,"not applicable"),EXACT(metadata!J33,"missing: not collected"),EXACT(metadata!J33,"missing: not provided"),EXACT(metadata!J33,"missing: restricted access"))),AND(IF(metadata!J33="",FALSE,ISNUMBER(VALUE(metadata!J33))),metadata!J33&gt;0))</f>
        <v>0</v>
      </c>
      <c r="AM33" t="b">
        <f>AND(IF(metadata!K33="",FALSE,TRUE),EXACT(metadata!K33,"missing: not provided"))</f>
        <v>0</v>
      </c>
      <c r="AN33" t="b">
        <f>IF(metadata!L33="",FALSE,TRUE)</f>
        <v>0</v>
      </c>
      <c r="AO33" t="b">
        <f>IF(metadata!M33="",FALSE,TRUE)</f>
        <v>0</v>
      </c>
      <c r="AP33" t="b">
        <f>OR(AND(IF(metadata!N33="",FALSE,TRUE),OR(EXACT(metadata!N33,"not applicable"),EXACT(metadata!N33,"missing: not collected"),EXACT(metadata!N33,"missing: not provided"))),AND(IF(metadata!N33="",FALSE,IF(ISERROR(INT(metadata!N33)),FALSE,INT(metadata!N33)=metadata!N33)),metadata!N33&gt;0))</f>
        <v>0</v>
      </c>
      <c r="AQ33" t="b">
        <f>AND(IF(metadata!O33="",FALSE,TRUE),EXACT(metadata!O33,"Not applicable"))</f>
        <v>0</v>
      </c>
      <c r="AR33" t="b">
        <f>OR(AND(IF(metadata!P33="",FALSE,TRUE),OR(EXACT(metadata!P33,"not applicable"),EXACT(metadata!P33,"missing: not collected"),EXACT(metadata!P33,"missing: not provided"),EXACT(metadata!P33,"missing: restricted access"))),IF(metadata!P33="",FALSE,IF(ISERROR(INT(metadata!P33)),FALSE,INT(metadata!P33)=metadata!P33)))</f>
        <v>0</v>
      </c>
      <c r="AS33" t="b">
        <f>AND(IF(metadata!Q33="",FALSE,TRUE),EXACT(metadata!Q33,"Not applicable"))</f>
        <v>0</v>
      </c>
      <c r="AT33" t="b">
        <f>OR(AND(IF(metadata!R33="",FALSE,TRUE),OR(EXACT(metadata!R33,"not applicable"),EXACT(metadata!R33,"missing: not collected"),EXACT(metadata!R33,"missing: not provided"),EXACT(metadata!R33,"missing: restricted access"))),AND(IF(metadata!R33="",FALSE,ISNUMBER(VALUE(metadata!R33))),metadata!R33&gt;0))</f>
        <v>0</v>
      </c>
      <c r="AU33" t="b">
        <f>AND(IF(metadata!S33="",FALSE,TRUE),EXACT(metadata!S33,"missing: not provided"))</f>
        <v>0</v>
      </c>
    </row>
    <row r="34" spans="1:47" x14ac:dyDescent="0.2">
      <c r="A34" s="5" t="str">
        <f ca="1">IF(B34=" "," ",HYPERLINK(CONCATENATE("#metadata!",ADDRESS(INDEX($Y$2:$Y$1001,MATCH(ROWS($W$2:W34),$W$2:$W$1001,0),0),1)),INDEX($AB$2:$AB$1001,MATCH(ROWS($W$2:W34),$W$2:$W$1001,0),0)))</f>
        <v xml:space="preserve"> </v>
      </c>
      <c r="B34" s="4" t="str">
        <f ca="1">IF(OR(INDEX($X$2:$X$1001,MATCH(ROWS($W$2:W34),$W$2:$W$1001,0),1)&gt;=100000,INDEX($AD$1005:$AU$1005,1,MATCH(COLUMNS($AD$1006:AD1006),$AD$1006:$AU$1006,0))&gt;=100000), " ",IF(INDEX($AD$2:$AU$1001,MATCH(ROWS($W$2:W34),$W$2:$W$1001,0),MATCH(COLUMNS($AD$1006:AD1006),$AD$1006:$AU$1006,0)), HYPERLINK("#",""), HYPERLINK(CONCATENATE("#metadata!", ADDRESS(INDEX($Y$2:$Y$1001,MATCH(ROWS($W$2:W34),$W$2:$W$1001,0),0), INDEX($AD$1004:$AU$1004,1,MATCH(COLUMNS($AD$1006:AD1006),$AD$1006:$AU$1006,0)))),"Fix")))</f>
        <v xml:space="preserve"> </v>
      </c>
      <c r="C34" s="4" t="str">
        <f ca="1">IF(OR(INDEX($X$2:$X$1001,MATCH(ROWS($W$2:W34),$W$2:$W$1001,0),1)&gt;=100000,INDEX($AD$1005:$AU$1005,1,MATCH(COLUMNS($AD$1006:AE1006),$AD$1006:$AU$1006,0))&gt;=100000), " ",IF(INDEX($AD$2:$AU$1001,MATCH(ROWS($W$2:W34),$W$2:$W$1001,0),MATCH(COLUMNS($AD$1006:AE1006),$AD$1006:$AU$1006,0)), HYPERLINK("#",""), HYPERLINK(CONCATENATE("#metadata!", ADDRESS(INDEX($Y$2:$Y$1001,MATCH(ROWS($W$2:W34),$W$2:$W$1001,0),0), INDEX($AD$1004:$AU$1004,1,MATCH(COLUMNS($AD$1006:AE1006),$AD$1006:$AU$1006,0)))),"Fix")))</f>
        <v xml:space="preserve"> </v>
      </c>
      <c r="D34" s="4" t="str">
        <f ca="1">IF(OR(INDEX($X$2:$X$1001,MATCH(ROWS($W$2:W34),$W$2:$W$1001,0),1)&gt;=100000,INDEX($AD$1005:$AU$1005,1,MATCH(COLUMNS($AD$1006:AF1006),$AD$1006:$AU$1006,0))&gt;=100000), " ",IF(INDEX($AD$2:$AU$1001,MATCH(ROWS($W$2:W34),$W$2:$W$1001,0),MATCH(COLUMNS($AD$1006:AF1006),$AD$1006:$AU$1006,0)), HYPERLINK("#",""), HYPERLINK(CONCATENATE("#metadata!", ADDRESS(INDEX($Y$2:$Y$1001,MATCH(ROWS($W$2:W34),$W$2:$W$1001,0),0), INDEX($AD$1004:$AU$1004,1,MATCH(COLUMNS($AD$1006:AF1006),$AD$1006:$AU$1006,0)))),"Fix")))</f>
        <v xml:space="preserve"> </v>
      </c>
      <c r="E34" s="4" t="str">
        <f ca="1">IF(OR(INDEX($X$2:$X$1001,MATCH(ROWS($W$2:W34),$W$2:$W$1001,0),1)&gt;=100000,INDEX($AD$1005:$AU$1005,1,MATCH(COLUMNS($AD$1006:AG1006),$AD$1006:$AU$1006,0))&gt;=100000), " ",IF(INDEX($AD$2:$AU$1001,MATCH(ROWS($W$2:W34),$W$2:$W$1001,0),MATCH(COLUMNS($AD$1006:AG1006),$AD$1006:$AU$1006,0)), HYPERLINK("#",""), HYPERLINK(CONCATENATE("#metadata!", ADDRESS(INDEX($Y$2:$Y$1001,MATCH(ROWS($W$2:W34),$W$2:$W$1001,0),0), INDEX($AD$1004:$AU$1004,1,MATCH(COLUMNS($AD$1006:AG1006),$AD$1006:$AU$1006,0)))),"Fix")))</f>
        <v xml:space="preserve"> </v>
      </c>
      <c r="F34" s="4" t="str">
        <f ca="1">IF(OR(INDEX($X$2:$X$1001,MATCH(ROWS($W$2:W34),$W$2:$W$1001,0),1)&gt;=100000,INDEX($AD$1005:$AU$1005,1,MATCH(COLUMNS($AD$1006:AH1006),$AD$1006:$AU$1006,0))&gt;=100000), " ",IF(INDEX($AD$2:$AU$1001,MATCH(ROWS($W$2:W34),$W$2:$W$1001,0),MATCH(COLUMNS($AD$1006:AH1006),$AD$1006:$AU$1006,0)), HYPERLINK("#",""), HYPERLINK(CONCATENATE("#metadata!", ADDRESS(INDEX($Y$2:$Y$1001,MATCH(ROWS($W$2:W34),$W$2:$W$1001,0),0), INDEX($AD$1004:$AU$1004,1,MATCH(COLUMNS($AD$1006:AH1006),$AD$1006:$AU$1006,0)))),"Fix")))</f>
        <v xml:space="preserve"> </v>
      </c>
      <c r="G34" s="4" t="str">
        <f ca="1">IF(OR(INDEX($X$2:$X$1001,MATCH(ROWS($W$2:W34),$W$2:$W$1001,0),1)&gt;=100000,INDEX($AD$1005:$AU$1005,1,MATCH(COLUMNS($AD$1006:AI1006),$AD$1006:$AU$1006,0))&gt;=100000), " ",IF(INDEX($AD$2:$AU$1001,MATCH(ROWS($W$2:W34),$W$2:$W$1001,0),MATCH(COLUMNS($AD$1006:AI1006),$AD$1006:$AU$1006,0)), HYPERLINK("#",""), HYPERLINK(CONCATENATE("#metadata!", ADDRESS(INDEX($Y$2:$Y$1001,MATCH(ROWS($W$2:W34),$W$2:$W$1001,0),0), INDEX($AD$1004:$AU$1004,1,MATCH(COLUMNS($AD$1006:AI1006),$AD$1006:$AU$1006,0)))),"Fix")))</f>
        <v xml:space="preserve"> </v>
      </c>
      <c r="H34" s="4" t="str">
        <f ca="1">IF(OR(INDEX($X$2:$X$1001,MATCH(ROWS($W$2:W34),$W$2:$W$1001,0),1)&gt;=100000,INDEX($AD$1005:$AU$1005,1,MATCH(COLUMNS($AD$1006:AJ1006),$AD$1006:$AU$1006,0))&gt;=100000), " ",IF(INDEX($AD$2:$AU$1001,MATCH(ROWS($W$2:W34),$W$2:$W$1001,0),MATCH(COLUMNS($AD$1006:AJ1006),$AD$1006:$AU$1006,0)), HYPERLINK("#",""), HYPERLINK(CONCATENATE("#metadata!", ADDRESS(INDEX($Y$2:$Y$1001,MATCH(ROWS($W$2:W34),$W$2:$W$1001,0),0), INDEX($AD$1004:$AU$1004,1,MATCH(COLUMNS($AD$1006:AJ1006),$AD$1006:$AU$1006,0)))),"Fix")))</f>
        <v xml:space="preserve"> </v>
      </c>
      <c r="I34" s="4" t="str">
        <f ca="1">IF(OR(INDEX($X$2:$X$1001,MATCH(ROWS($W$2:W34),$W$2:$W$1001,0),1)&gt;=100000,INDEX($AD$1005:$AU$1005,1,MATCH(COLUMNS($AD$1006:AK1006),$AD$1006:$AU$1006,0))&gt;=100000), " ",IF(INDEX($AD$2:$AU$1001,MATCH(ROWS($W$2:W34),$W$2:$W$1001,0),MATCH(COLUMNS($AD$1006:AK1006),$AD$1006:$AU$1006,0)), HYPERLINK("#",""), HYPERLINK(CONCATENATE("#metadata!", ADDRESS(INDEX($Y$2:$Y$1001,MATCH(ROWS($W$2:W34),$W$2:$W$1001,0),0), INDEX($AD$1004:$AU$1004,1,MATCH(COLUMNS($AD$1006:AK1006),$AD$1006:$AU$1006,0)))),"Fix")))</f>
        <v xml:space="preserve"> </v>
      </c>
      <c r="J34" s="4" t="str">
        <f ca="1">IF(OR(INDEX($X$2:$X$1001,MATCH(ROWS($W$2:W34),$W$2:$W$1001,0),1)&gt;=100000,INDEX($AD$1005:$AU$1005,1,MATCH(COLUMNS($AD$1006:AL1006),$AD$1006:$AU$1006,0))&gt;=100000), " ",IF(INDEX($AD$2:$AU$1001,MATCH(ROWS($W$2:W34),$W$2:$W$1001,0),MATCH(COLUMNS($AD$1006:AL1006),$AD$1006:$AU$1006,0)), HYPERLINK("#",""), HYPERLINK(CONCATENATE("#metadata!", ADDRESS(INDEX($Y$2:$Y$1001,MATCH(ROWS($W$2:W34),$W$2:$W$1001,0),0), INDEX($AD$1004:$AU$1004,1,MATCH(COLUMNS($AD$1006:AL1006),$AD$1006:$AU$1006,0)))),"Fix")))</f>
        <v xml:space="preserve"> </v>
      </c>
      <c r="K34" s="4" t="str">
        <f ca="1">IF(OR(INDEX($X$2:$X$1001,MATCH(ROWS($W$2:W34),$W$2:$W$1001,0),1)&gt;=100000,INDEX($AD$1005:$AU$1005,1,MATCH(COLUMNS($AD$1006:AM1006),$AD$1006:$AU$1006,0))&gt;=100000), " ",IF(INDEX($AD$2:$AU$1001,MATCH(ROWS($W$2:W34),$W$2:$W$1001,0),MATCH(COLUMNS($AD$1006:AM1006),$AD$1006:$AU$1006,0)), HYPERLINK("#",""), HYPERLINK(CONCATENATE("#metadata!", ADDRESS(INDEX($Y$2:$Y$1001,MATCH(ROWS($W$2:W34),$W$2:$W$1001,0),0), INDEX($AD$1004:$AU$1004,1,MATCH(COLUMNS($AD$1006:AM1006),$AD$1006:$AU$1006,0)))),"Fix")))</f>
        <v xml:space="preserve"> </v>
      </c>
      <c r="L34" s="4" t="str">
        <f ca="1">IF(OR(INDEX($X$2:$X$1001,MATCH(ROWS($W$2:W34),$W$2:$W$1001,0),1)&gt;=100000,INDEX($AD$1005:$AU$1005,1,MATCH(COLUMNS($AD$1006:AN1006),$AD$1006:$AU$1006,0))&gt;=100000), " ",IF(INDEX($AD$2:$AU$1001,MATCH(ROWS($W$2:W34),$W$2:$W$1001,0),MATCH(COLUMNS($AD$1006:AN1006),$AD$1006:$AU$1006,0)), HYPERLINK("#",""), HYPERLINK(CONCATENATE("#metadata!", ADDRESS(INDEX($Y$2:$Y$1001,MATCH(ROWS($W$2:W34),$W$2:$W$1001,0),0), INDEX($AD$1004:$AU$1004,1,MATCH(COLUMNS($AD$1006:AN1006),$AD$1006:$AU$1006,0)))),"Fix")))</f>
        <v xml:space="preserve"> </v>
      </c>
      <c r="M34" s="4" t="str">
        <f ca="1">IF(OR(INDEX($X$2:$X$1001,MATCH(ROWS($W$2:W34),$W$2:$W$1001,0),1)&gt;=100000,INDEX($AD$1005:$AU$1005,1,MATCH(COLUMNS($AD$1006:AO1006),$AD$1006:$AU$1006,0))&gt;=100000), " ",IF(INDEX($AD$2:$AU$1001,MATCH(ROWS($W$2:W34),$W$2:$W$1001,0),MATCH(COLUMNS($AD$1006:AO1006),$AD$1006:$AU$1006,0)), HYPERLINK("#",""), HYPERLINK(CONCATENATE("#metadata!", ADDRESS(INDEX($Y$2:$Y$1001,MATCH(ROWS($W$2:W34),$W$2:$W$1001,0),0), INDEX($AD$1004:$AU$1004,1,MATCH(COLUMNS($AD$1006:AO1006),$AD$1006:$AU$1006,0)))),"Fix")))</f>
        <v xml:space="preserve"> </v>
      </c>
      <c r="N34" s="4" t="str">
        <f ca="1">IF(OR(INDEX($X$2:$X$1001,MATCH(ROWS($W$2:W34),$W$2:$W$1001,0),1)&gt;=100000,INDEX($AD$1005:$AU$1005,1,MATCH(COLUMNS($AD$1006:AP1006),$AD$1006:$AU$1006,0))&gt;=100000), " ",IF(INDEX($AD$2:$AU$1001,MATCH(ROWS($W$2:W34),$W$2:$W$1001,0),MATCH(COLUMNS($AD$1006:AP1006),$AD$1006:$AU$1006,0)), HYPERLINK("#",""), HYPERLINK(CONCATENATE("#metadata!", ADDRESS(INDEX($Y$2:$Y$1001,MATCH(ROWS($W$2:W34),$W$2:$W$1001,0),0), INDEX($AD$1004:$AU$1004,1,MATCH(COLUMNS($AD$1006:AP1006),$AD$1006:$AU$1006,0)))),"Fix")))</f>
        <v xml:space="preserve"> </v>
      </c>
      <c r="O34" s="4" t="str">
        <f ca="1">IF(OR(INDEX($X$2:$X$1001,MATCH(ROWS($W$2:W34),$W$2:$W$1001,0),1)&gt;=100000,INDEX($AD$1005:$AU$1005,1,MATCH(COLUMNS($AD$1006:AQ1006),$AD$1006:$AU$1006,0))&gt;=100000), " ",IF(INDEX($AD$2:$AU$1001,MATCH(ROWS($W$2:W34),$W$2:$W$1001,0),MATCH(COLUMNS($AD$1006:AQ1006),$AD$1006:$AU$1006,0)), HYPERLINK("#",""), HYPERLINK(CONCATENATE("#metadata!", ADDRESS(INDEX($Y$2:$Y$1001,MATCH(ROWS($W$2:W34),$W$2:$W$1001,0),0), INDEX($AD$1004:$AU$1004,1,MATCH(COLUMNS($AD$1006:AQ1006),$AD$1006:$AU$1006,0)))),"Fix")))</f>
        <v xml:space="preserve"> </v>
      </c>
      <c r="P34" s="4" t="str">
        <f ca="1">IF(OR(INDEX($X$2:$X$1001,MATCH(ROWS($W$2:W34),$W$2:$W$1001,0),1)&gt;=100000,INDEX($AD$1005:$AU$1005,1,MATCH(COLUMNS($AD$1006:AR1006),$AD$1006:$AU$1006,0))&gt;=100000), " ",IF(INDEX($AD$2:$AU$1001,MATCH(ROWS($W$2:W34),$W$2:$W$1001,0),MATCH(COLUMNS($AD$1006:AR1006),$AD$1006:$AU$1006,0)), HYPERLINK("#",""), HYPERLINK(CONCATENATE("#metadata!", ADDRESS(INDEX($Y$2:$Y$1001,MATCH(ROWS($W$2:W34),$W$2:$W$1001,0),0), INDEX($AD$1004:$AU$1004,1,MATCH(COLUMNS($AD$1006:AR1006),$AD$1006:$AU$1006,0)))),"Fix")))</f>
        <v xml:space="preserve"> </v>
      </c>
      <c r="Q34" s="4" t="str">
        <f ca="1">IF(OR(INDEX($X$2:$X$1001,MATCH(ROWS($W$2:W34),$W$2:$W$1001,0),1)&gt;=100000,INDEX($AD$1005:$AU$1005,1,MATCH(COLUMNS($AD$1006:AS1006),$AD$1006:$AU$1006,0))&gt;=100000), " ",IF(INDEX($AD$2:$AU$1001,MATCH(ROWS($W$2:W34),$W$2:$W$1001,0),MATCH(COLUMNS($AD$1006:AS1006),$AD$1006:$AU$1006,0)), HYPERLINK("#",""), HYPERLINK(CONCATENATE("#metadata!", ADDRESS(INDEX($Y$2:$Y$1001,MATCH(ROWS($W$2:W34),$W$2:$W$1001,0),0), INDEX($AD$1004:$AU$1004,1,MATCH(COLUMNS($AD$1006:AS1006),$AD$1006:$AU$1006,0)))),"Fix")))</f>
        <v xml:space="preserve"> </v>
      </c>
      <c r="R34" s="4" t="str">
        <f ca="1">IF(OR(INDEX($X$2:$X$1001,MATCH(ROWS($W$2:W34),$W$2:$W$1001,0),1)&gt;=100000,INDEX($AD$1005:$AU$1005,1,MATCH(COLUMNS($AD$1006:AT1006),$AD$1006:$AU$1006,0))&gt;=100000), " ",IF(INDEX($AD$2:$AU$1001,MATCH(ROWS($W$2:W34),$W$2:$W$1001,0),MATCH(COLUMNS($AD$1006:AT1006),$AD$1006:$AU$1006,0)), HYPERLINK("#",""), HYPERLINK(CONCATENATE("#metadata!", ADDRESS(INDEX($Y$2:$Y$1001,MATCH(ROWS($W$2:W34),$W$2:$W$1001,0),0), INDEX($AD$1004:$AU$1004,1,MATCH(COLUMNS($AD$1006:AT1006),$AD$1006:$AU$1006,0)))),"Fix")))</f>
        <v xml:space="preserve"> </v>
      </c>
      <c r="S34" s="4" t="str">
        <f ca="1">IF(OR(INDEX($X$2:$X$1001,MATCH(ROWS($W$2:W34),$W$2:$W$1001,0),1)&gt;=100000,INDEX($AD$1005:$AU$1005,1,MATCH(COLUMNS($AD$1006:AU1006),$AD$1006:$AU$1006,0))&gt;=100000), " ",IF(INDEX($AD$2:$AU$1001,MATCH(ROWS($W$2:W34),$W$2:$W$1001,0),MATCH(COLUMNS($AD$1006:AU1006),$AD$1006:$AU$1006,0)), HYPERLINK("#",""), HYPERLINK(CONCATENATE("#metadata!", ADDRESS(INDEX($Y$2:$Y$1001,MATCH(ROWS($W$2:W34),$W$2:$W$1001,0),0), INDEX($AD$1004:$AU$1004,1,MATCH(COLUMNS($AD$1006:AU1006),$AD$1006:$AU$1006,0)))),"Fix")))</f>
        <v xml:space="preserve"> </v>
      </c>
      <c r="W34">
        <v>33</v>
      </c>
      <c r="X34">
        <v>100034</v>
      </c>
      <c r="Y34">
        <v>34</v>
      </c>
      <c r="Z34" t="b">
        <f t="shared" si="0"/>
        <v>1</v>
      </c>
      <c r="AA34" t="b">
        <f>COUNTBLANK(metadata!B34:S34)=COLUMNS(metadata!B34:S34)</f>
        <v>1</v>
      </c>
      <c r="AB34" t="str">
        <v/>
      </c>
      <c r="AD34" t="b">
        <f ca="1">AND(IF(metadata!B34="",FALSE,TRUE),COUNTIF(metadata!B:B, metadata!B34) = 1,NOT(ISERROR(SUMPRODUCT(SEARCH(MID(metadata!B34,ROW(INDIRECT("1:"&amp;LEN(metadata!B34))), 1),"0123456789abcdefghijklmnopqrstuvwxyzABCDEFGHIJKLMNOPQRSTUVWXYZ.")))))</f>
        <v>0</v>
      </c>
      <c r="AE34" t="b">
        <f>OR(AND(IF(metadata!C34="",FALSE,TRUE),OR(EXACT(metadata!C34,"not applicable"),EXACT(metadata!C34,"missing: not collected"),EXACT(metadata!C34,"missing: not provided"),EXACT(metadata!C34,"missing: restricted access"))),AND(IF(metadata!C34="",FALSE,ISNUMBER(VALUE(metadata!C34))),metadata!C34&gt;0))</f>
        <v>0</v>
      </c>
      <c r="AF34" t="b">
        <f>AND(IF(metadata!D34="",FALSE,TRUE),EXACT(metadata!D34,"missing: not provided"))</f>
        <v>0</v>
      </c>
      <c r="AG34" t="b">
        <f>AND(IF(metadata!E34="",FALSE,TRUE),EXACT(metadata!E34,"Host-associated"))</f>
        <v>0</v>
      </c>
      <c r="AH34" t="b">
        <f>AND(IF(metadata!F34="",FALSE,TRUE),OR(EXACT(metadata!F34,"Animal"),EXACT(metadata!F34,"Fungus"),EXACT(metadata!F34,"Plant")))</f>
        <v>0</v>
      </c>
      <c r="AI34" t="b">
        <f>AND(IF(metadata!G34="",FALSE,TRUE),OR(EXACT(metadata!G34,"Plant secretion"),EXACT(metadata!G34,"Plant rhizosphere"),EXACT(metadata!G34,"Plant surface"),EXACT(metadata!G34,"Plant corpus"),EXACT(metadata!G34,"Fungus surface"),EXACT(metadata!G34,"Fungus corpus"),EXACT(metadata!G34,"Animal surface"),EXACT(metadata!G34,"Animal proximal gut"),EXACT(metadata!G34,"Animal corpus"),EXACT(metadata!G34,"Animal distal gut"),EXACT(metadata!G34,"Animal secretion")))</f>
        <v>0</v>
      </c>
      <c r="AJ34" t="b">
        <f>OR(AND(IF(metadata!H34="",FALSE,TRUE),OR(EXACT(metadata!H34,"missing: not collected"),EXACT(metadata!H34,"missing: not provided"),EXACT(metadata!H34,"missing: restricted access"))),AND(IF(metadata!H34="",FALSE,TRUE),OR(EXACT(metadata!H34,"organism-associated habitat"),EXACT(metadata!H34,"plant-associated habitat"),EXACT(metadata!H34,"animal-associated habitat"),EXACT(metadata!H34,"insecta-associated habitat"),EXACT(metadata!H34,"mammalia-associated habitat"),EXACT(metadata!H34,"human-associated habitat"),EXACT(metadata!H34,"livestock-associated habitat"))))</f>
        <v>0</v>
      </c>
      <c r="AK34" t="b">
        <f>AND(IF(metadata!I34="",FALSE,TRUE),EXACT(metadata!I34,"host-associated"))</f>
        <v>0</v>
      </c>
      <c r="AL34" t="b">
        <f>OR(AND(IF(metadata!J34="",FALSE,TRUE),OR(EXACT(metadata!J34,"not applicable"),EXACT(metadata!J34,"missing: not collected"),EXACT(metadata!J34,"missing: not provided"),EXACT(metadata!J34,"missing: restricted access"))),AND(IF(metadata!J34="",FALSE,ISNUMBER(VALUE(metadata!J34))),metadata!J34&gt;0))</f>
        <v>0</v>
      </c>
      <c r="AM34" t="b">
        <f>AND(IF(metadata!K34="",FALSE,TRUE),EXACT(metadata!K34,"missing: not provided"))</f>
        <v>0</v>
      </c>
      <c r="AN34" t="b">
        <f>IF(metadata!L34="",FALSE,TRUE)</f>
        <v>0</v>
      </c>
      <c r="AO34" t="b">
        <f>IF(metadata!M34="",FALSE,TRUE)</f>
        <v>0</v>
      </c>
      <c r="AP34" t="b">
        <f>OR(AND(IF(metadata!N34="",FALSE,TRUE),OR(EXACT(metadata!N34,"not applicable"),EXACT(metadata!N34,"missing: not collected"),EXACT(metadata!N34,"missing: not provided"))),AND(IF(metadata!N34="",FALSE,IF(ISERROR(INT(metadata!N34)),FALSE,INT(metadata!N34)=metadata!N34)),metadata!N34&gt;0))</f>
        <v>0</v>
      </c>
      <c r="AQ34" t="b">
        <f>AND(IF(metadata!O34="",FALSE,TRUE),EXACT(metadata!O34,"Not applicable"))</f>
        <v>0</v>
      </c>
      <c r="AR34" t="b">
        <f>OR(AND(IF(metadata!P34="",FALSE,TRUE),OR(EXACT(metadata!P34,"not applicable"),EXACT(metadata!P34,"missing: not collected"),EXACT(metadata!P34,"missing: not provided"),EXACT(metadata!P34,"missing: restricted access"))),IF(metadata!P34="",FALSE,IF(ISERROR(INT(metadata!P34)),FALSE,INT(metadata!P34)=metadata!P34)))</f>
        <v>0</v>
      </c>
      <c r="AS34" t="b">
        <f>AND(IF(metadata!Q34="",FALSE,TRUE),EXACT(metadata!Q34,"Not applicable"))</f>
        <v>0</v>
      </c>
      <c r="AT34" t="b">
        <f>OR(AND(IF(metadata!R34="",FALSE,TRUE),OR(EXACT(metadata!R34,"not applicable"),EXACT(metadata!R34,"missing: not collected"),EXACT(metadata!R34,"missing: not provided"),EXACT(metadata!R34,"missing: restricted access"))),AND(IF(metadata!R34="",FALSE,ISNUMBER(VALUE(metadata!R34))),metadata!R34&gt;0))</f>
        <v>0</v>
      </c>
      <c r="AU34" t="b">
        <f>AND(IF(metadata!S34="",FALSE,TRUE),EXACT(metadata!S34,"missing: not provided"))</f>
        <v>0</v>
      </c>
    </row>
    <row r="35" spans="1:47" x14ac:dyDescent="0.2">
      <c r="A35" s="5" t="str">
        <f ca="1">IF(B35=" "," ",HYPERLINK(CONCATENATE("#metadata!",ADDRESS(INDEX($Y$2:$Y$1001,MATCH(ROWS($W$2:W35),$W$2:$W$1001,0),0),1)),INDEX($AB$2:$AB$1001,MATCH(ROWS($W$2:W35),$W$2:$W$1001,0),0)))</f>
        <v xml:space="preserve"> </v>
      </c>
      <c r="B35" s="4" t="str">
        <f ca="1">IF(OR(INDEX($X$2:$X$1001,MATCH(ROWS($W$2:W35),$W$2:$W$1001,0),1)&gt;=100000,INDEX($AD$1005:$AU$1005,1,MATCH(COLUMNS($AD$1006:AD1006),$AD$1006:$AU$1006,0))&gt;=100000), " ",IF(INDEX($AD$2:$AU$1001,MATCH(ROWS($W$2:W35),$W$2:$W$1001,0),MATCH(COLUMNS($AD$1006:AD1006),$AD$1006:$AU$1006,0)), HYPERLINK("#",""), HYPERLINK(CONCATENATE("#metadata!", ADDRESS(INDEX($Y$2:$Y$1001,MATCH(ROWS($W$2:W35),$W$2:$W$1001,0),0), INDEX($AD$1004:$AU$1004,1,MATCH(COLUMNS($AD$1006:AD1006),$AD$1006:$AU$1006,0)))),"Fix")))</f>
        <v xml:space="preserve"> </v>
      </c>
      <c r="C35" s="4" t="str">
        <f ca="1">IF(OR(INDEX($X$2:$X$1001,MATCH(ROWS($W$2:W35),$W$2:$W$1001,0),1)&gt;=100000,INDEX($AD$1005:$AU$1005,1,MATCH(COLUMNS($AD$1006:AE1006),$AD$1006:$AU$1006,0))&gt;=100000), " ",IF(INDEX($AD$2:$AU$1001,MATCH(ROWS($W$2:W35),$W$2:$W$1001,0),MATCH(COLUMNS($AD$1006:AE1006),$AD$1006:$AU$1006,0)), HYPERLINK("#",""), HYPERLINK(CONCATENATE("#metadata!", ADDRESS(INDEX($Y$2:$Y$1001,MATCH(ROWS($W$2:W35),$W$2:$W$1001,0),0), INDEX($AD$1004:$AU$1004,1,MATCH(COLUMNS($AD$1006:AE1006),$AD$1006:$AU$1006,0)))),"Fix")))</f>
        <v xml:space="preserve"> </v>
      </c>
      <c r="D35" s="4" t="str">
        <f ca="1">IF(OR(INDEX($X$2:$X$1001,MATCH(ROWS($W$2:W35),$W$2:$W$1001,0),1)&gt;=100000,INDEX($AD$1005:$AU$1005,1,MATCH(COLUMNS($AD$1006:AF1006),$AD$1006:$AU$1006,0))&gt;=100000), " ",IF(INDEX($AD$2:$AU$1001,MATCH(ROWS($W$2:W35),$W$2:$W$1001,0),MATCH(COLUMNS($AD$1006:AF1006),$AD$1006:$AU$1006,0)), HYPERLINK("#",""), HYPERLINK(CONCATENATE("#metadata!", ADDRESS(INDEX($Y$2:$Y$1001,MATCH(ROWS($W$2:W35),$W$2:$W$1001,0),0), INDEX($AD$1004:$AU$1004,1,MATCH(COLUMNS($AD$1006:AF1006),$AD$1006:$AU$1006,0)))),"Fix")))</f>
        <v xml:space="preserve"> </v>
      </c>
      <c r="E35" s="4" t="str">
        <f ca="1">IF(OR(INDEX($X$2:$X$1001,MATCH(ROWS($W$2:W35),$W$2:$W$1001,0),1)&gt;=100000,INDEX($AD$1005:$AU$1005,1,MATCH(COLUMNS($AD$1006:AG1006),$AD$1006:$AU$1006,0))&gt;=100000), " ",IF(INDEX($AD$2:$AU$1001,MATCH(ROWS($W$2:W35),$W$2:$W$1001,0),MATCH(COLUMNS($AD$1006:AG1006),$AD$1006:$AU$1006,0)), HYPERLINK("#",""), HYPERLINK(CONCATENATE("#metadata!", ADDRESS(INDEX($Y$2:$Y$1001,MATCH(ROWS($W$2:W35),$W$2:$W$1001,0),0), INDEX($AD$1004:$AU$1004,1,MATCH(COLUMNS($AD$1006:AG1006),$AD$1006:$AU$1006,0)))),"Fix")))</f>
        <v xml:space="preserve"> </v>
      </c>
      <c r="F35" s="4" t="str">
        <f ca="1">IF(OR(INDEX($X$2:$X$1001,MATCH(ROWS($W$2:W35),$W$2:$W$1001,0),1)&gt;=100000,INDEX($AD$1005:$AU$1005,1,MATCH(COLUMNS($AD$1006:AH1006),$AD$1006:$AU$1006,0))&gt;=100000), " ",IF(INDEX($AD$2:$AU$1001,MATCH(ROWS($W$2:W35),$W$2:$W$1001,0),MATCH(COLUMNS($AD$1006:AH1006),$AD$1006:$AU$1006,0)), HYPERLINK("#",""), HYPERLINK(CONCATENATE("#metadata!", ADDRESS(INDEX($Y$2:$Y$1001,MATCH(ROWS($W$2:W35),$W$2:$W$1001,0),0), INDEX($AD$1004:$AU$1004,1,MATCH(COLUMNS($AD$1006:AH1006),$AD$1006:$AU$1006,0)))),"Fix")))</f>
        <v xml:space="preserve"> </v>
      </c>
      <c r="G35" s="4" t="str">
        <f ca="1">IF(OR(INDEX($X$2:$X$1001,MATCH(ROWS($W$2:W35),$W$2:$W$1001,0),1)&gt;=100000,INDEX($AD$1005:$AU$1005,1,MATCH(COLUMNS($AD$1006:AI1006),$AD$1006:$AU$1006,0))&gt;=100000), " ",IF(INDEX($AD$2:$AU$1001,MATCH(ROWS($W$2:W35),$W$2:$W$1001,0),MATCH(COLUMNS($AD$1006:AI1006),$AD$1006:$AU$1006,0)), HYPERLINK("#",""), HYPERLINK(CONCATENATE("#metadata!", ADDRESS(INDEX($Y$2:$Y$1001,MATCH(ROWS($W$2:W35),$W$2:$W$1001,0),0), INDEX($AD$1004:$AU$1004,1,MATCH(COLUMNS($AD$1006:AI1006),$AD$1006:$AU$1006,0)))),"Fix")))</f>
        <v xml:space="preserve"> </v>
      </c>
      <c r="H35" s="4" t="str">
        <f ca="1">IF(OR(INDEX($X$2:$X$1001,MATCH(ROWS($W$2:W35),$W$2:$W$1001,0),1)&gt;=100000,INDEX($AD$1005:$AU$1005,1,MATCH(COLUMNS($AD$1006:AJ1006),$AD$1006:$AU$1006,0))&gt;=100000), " ",IF(INDEX($AD$2:$AU$1001,MATCH(ROWS($W$2:W35),$W$2:$W$1001,0),MATCH(COLUMNS($AD$1006:AJ1006),$AD$1006:$AU$1006,0)), HYPERLINK("#",""), HYPERLINK(CONCATENATE("#metadata!", ADDRESS(INDEX($Y$2:$Y$1001,MATCH(ROWS($W$2:W35),$W$2:$W$1001,0),0), INDEX($AD$1004:$AU$1004,1,MATCH(COLUMNS($AD$1006:AJ1006),$AD$1006:$AU$1006,0)))),"Fix")))</f>
        <v xml:space="preserve"> </v>
      </c>
      <c r="I35" s="4" t="str">
        <f ca="1">IF(OR(INDEX($X$2:$X$1001,MATCH(ROWS($W$2:W35),$W$2:$W$1001,0),1)&gt;=100000,INDEX($AD$1005:$AU$1005,1,MATCH(COLUMNS($AD$1006:AK1006),$AD$1006:$AU$1006,0))&gt;=100000), " ",IF(INDEX($AD$2:$AU$1001,MATCH(ROWS($W$2:W35),$W$2:$W$1001,0),MATCH(COLUMNS($AD$1006:AK1006),$AD$1006:$AU$1006,0)), HYPERLINK("#",""), HYPERLINK(CONCATENATE("#metadata!", ADDRESS(INDEX($Y$2:$Y$1001,MATCH(ROWS($W$2:W35),$W$2:$W$1001,0),0), INDEX($AD$1004:$AU$1004,1,MATCH(COLUMNS($AD$1006:AK1006),$AD$1006:$AU$1006,0)))),"Fix")))</f>
        <v xml:space="preserve"> </v>
      </c>
      <c r="J35" s="4" t="str">
        <f ca="1">IF(OR(INDEX($X$2:$X$1001,MATCH(ROWS($W$2:W35),$W$2:$W$1001,0),1)&gt;=100000,INDEX($AD$1005:$AU$1005,1,MATCH(COLUMNS($AD$1006:AL1006),$AD$1006:$AU$1006,0))&gt;=100000), " ",IF(INDEX($AD$2:$AU$1001,MATCH(ROWS($W$2:W35),$W$2:$W$1001,0),MATCH(COLUMNS($AD$1006:AL1006),$AD$1006:$AU$1006,0)), HYPERLINK("#",""), HYPERLINK(CONCATENATE("#metadata!", ADDRESS(INDEX($Y$2:$Y$1001,MATCH(ROWS($W$2:W35),$W$2:$W$1001,0),0), INDEX($AD$1004:$AU$1004,1,MATCH(COLUMNS($AD$1006:AL1006),$AD$1006:$AU$1006,0)))),"Fix")))</f>
        <v xml:space="preserve"> </v>
      </c>
      <c r="K35" s="4" t="str">
        <f ca="1">IF(OR(INDEX($X$2:$X$1001,MATCH(ROWS($W$2:W35),$W$2:$W$1001,0),1)&gt;=100000,INDEX($AD$1005:$AU$1005,1,MATCH(COLUMNS($AD$1006:AM1006),$AD$1006:$AU$1006,0))&gt;=100000), " ",IF(INDEX($AD$2:$AU$1001,MATCH(ROWS($W$2:W35),$W$2:$W$1001,0),MATCH(COLUMNS($AD$1006:AM1006),$AD$1006:$AU$1006,0)), HYPERLINK("#",""), HYPERLINK(CONCATENATE("#metadata!", ADDRESS(INDEX($Y$2:$Y$1001,MATCH(ROWS($W$2:W35),$W$2:$W$1001,0),0), INDEX($AD$1004:$AU$1004,1,MATCH(COLUMNS($AD$1006:AM1006),$AD$1006:$AU$1006,0)))),"Fix")))</f>
        <v xml:space="preserve"> </v>
      </c>
      <c r="L35" s="4" t="str">
        <f ca="1">IF(OR(INDEX($X$2:$X$1001,MATCH(ROWS($W$2:W35),$W$2:$W$1001,0),1)&gt;=100000,INDEX($AD$1005:$AU$1005,1,MATCH(COLUMNS($AD$1006:AN1006),$AD$1006:$AU$1006,0))&gt;=100000), " ",IF(INDEX($AD$2:$AU$1001,MATCH(ROWS($W$2:W35),$W$2:$W$1001,0),MATCH(COLUMNS($AD$1006:AN1006),$AD$1006:$AU$1006,0)), HYPERLINK("#",""), HYPERLINK(CONCATENATE("#metadata!", ADDRESS(INDEX($Y$2:$Y$1001,MATCH(ROWS($W$2:W35),$W$2:$W$1001,0),0), INDEX($AD$1004:$AU$1004,1,MATCH(COLUMNS($AD$1006:AN1006),$AD$1006:$AU$1006,0)))),"Fix")))</f>
        <v xml:space="preserve"> </v>
      </c>
      <c r="M35" s="4" t="str">
        <f ca="1">IF(OR(INDEX($X$2:$X$1001,MATCH(ROWS($W$2:W35),$W$2:$W$1001,0),1)&gt;=100000,INDEX($AD$1005:$AU$1005,1,MATCH(COLUMNS($AD$1006:AO1006),$AD$1006:$AU$1006,0))&gt;=100000), " ",IF(INDEX($AD$2:$AU$1001,MATCH(ROWS($W$2:W35),$W$2:$W$1001,0),MATCH(COLUMNS($AD$1006:AO1006),$AD$1006:$AU$1006,0)), HYPERLINK("#",""), HYPERLINK(CONCATENATE("#metadata!", ADDRESS(INDEX($Y$2:$Y$1001,MATCH(ROWS($W$2:W35),$W$2:$W$1001,0),0), INDEX($AD$1004:$AU$1004,1,MATCH(COLUMNS($AD$1006:AO1006),$AD$1006:$AU$1006,0)))),"Fix")))</f>
        <v xml:space="preserve"> </v>
      </c>
      <c r="N35" s="4" t="str">
        <f ca="1">IF(OR(INDEX($X$2:$X$1001,MATCH(ROWS($W$2:W35),$W$2:$W$1001,0),1)&gt;=100000,INDEX($AD$1005:$AU$1005,1,MATCH(COLUMNS($AD$1006:AP1006),$AD$1006:$AU$1006,0))&gt;=100000), " ",IF(INDEX($AD$2:$AU$1001,MATCH(ROWS($W$2:W35),$W$2:$W$1001,0),MATCH(COLUMNS($AD$1006:AP1006),$AD$1006:$AU$1006,0)), HYPERLINK("#",""), HYPERLINK(CONCATENATE("#metadata!", ADDRESS(INDEX($Y$2:$Y$1001,MATCH(ROWS($W$2:W35),$W$2:$W$1001,0),0), INDEX($AD$1004:$AU$1004,1,MATCH(COLUMNS($AD$1006:AP1006),$AD$1006:$AU$1006,0)))),"Fix")))</f>
        <v xml:space="preserve"> </v>
      </c>
      <c r="O35" s="4" t="str">
        <f ca="1">IF(OR(INDEX($X$2:$X$1001,MATCH(ROWS($W$2:W35),$W$2:$W$1001,0),1)&gt;=100000,INDEX($AD$1005:$AU$1005,1,MATCH(COLUMNS($AD$1006:AQ1006),$AD$1006:$AU$1006,0))&gt;=100000), " ",IF(INDEX($AD$2:$AU$1001,MATCH(ROWS($W$2:W35),$W$2:$W$1001,0),MATCH(COLUMNS($AD$1006:AQ1006),$AD$1006:$AU$1006,0)), HYPERLINK("#",""), HYPERLINK(CONCATENATE("#metadata!", ADDRESS(INDEX($Y$2:$Y$1001,MATCH(ROWS($W$2:W35),$W$2:$W$1001,0),0), INDEX($AD$1004:$AU$1004,1,MATCH(COLUMNS($AD$1006:AQ1006),$AD$1006:$AU$1006,0)))),"Fix")))</f>
        <v xml:space="preserve"> </v>
      </c>
      <c r="P35" s="4" t="str">
        <f ca="1">IF(OR(INDEX($X$2:$X$1001,MATCH(ROWS($W$2:W35),$W$2:$W$1001,0),1)&gt;=100000,INDEX($AD$1005:$AU$1005,1,MATCH(COLUMNS($AD$1006:AR1006),$AD$1006:$AU$1006,0))&gt;=100000), " ",IF(INDEX($AD$2:$AU$1001,MATCH(ROWS($W$2:W35),$W$2:$W$1001,0),MATCH(COLUMNS($AD$1006:AR1006),$AD$1006:$AU$1006,0)), HYPERLINK("#",""), HYPERLINK(CONCATENATE("#metadata!", ADDRESS(INDEX($Y$2:$Y$1001,MATCH(ROWS($W$2:W35),$W$2:$W$1001,0),0), INDEX($AD$1004:$AU$1004,1,MATCH(COLUMNS($AD$1006:AR1006),$AD$1006:$AU$1006,0)))),"Fix")))</f>
        <v xml:space="preserve"> </v>
      </c>
      <c r="Q35" s="4" t="str">
        <f ca="1">IF(OR(INDEX($X$2:$X$1001,MATCH(ROWS($W$2:W35),$W$2:$W$1001,0),1)&gt;=100000,INDEX($AD$1005:$AU$1005,1,MATCH(COLUMNS($AD$1006:AS1006),$AD$1006:$AU$1006,0))&gt;=100000), " ",IF(INDEX($AD$2:$AU$1001,MATCH(ROWS($W$2:W35),$W$2:$W$1001,0),MATCH(COLUMNS($AD$1006:AS1006),$AD$1006:$AU$1006,0)), HYPERLINK("#",""), HYPERLINK(CONCATENATE("#metadata!", ADDRESS(INDEX($Y$2:$Y$1001,MATCH(ROWS($W$2:W35),$W$2:$W$1001,0),0), INDEX($AD$1004:$AU$1004,1,MATCH(COLUMNS($AD$1006:AS1006),$AD$1006:$AU$1006,0)))),"Fix")))</f>
        <v xml:space="preserve"> </v>
      </c>
      <c r="R35" s="4" t="str">
        <f ca="1">IF(OR(INDEX($X$2:$X$1001,MATCH(ROWS($W$2:W35),$W$2:$W$1001,0),1)&gt;=100000,INDEX($AD$1005:$AU$1005,1,MATCH(COLUMNS($AD$1006:AT1006),$AD$1006:$AU$1006,0))&gt;=100000), " ",IF(INDEX($AD$2:$AU$1001,MATCH(ROWS($W$2:W35),$W$2:$W$1001,0),MATCH(COLUMNS($AD$1006:AT1006),$AD$1006:$AU$1006,0)), HYPERLINK("#",""), HYPERLINK(CONCATENATE("#metadata!", ADDRESS(INDEX($Y$2:$Y$1001,MATCH(ROWS($W$2:W35),$W$2:$W$1001,0),0), INDEX($AD$1004:$AU$1004,1,MATCH(COLUMNS($AD$1006:AT1006),$AD$1006:$AU$1006,0)))),"Fix")))</f>
        <v xml:space="preserve"> </v>
      </c>
      <c r="S35" s="4" t="str">
        <f ca="1">IF(OR(INDEX($X$2:$X$1001,MATCH(ROWS($W$2:W35),$W$2:$W$1001,0),1)&gt;=100000,INDEX($AD$1005:$AU$1005,1,MATCH(COLUMNS($AD$1006:AU1006),$AD$1006:$AU$1006,0))&gt;=100000), " ",IF(INDEX($AD$2:$AU$1001,MATCH(ROWS($W$2:W35),$W$2:$W$1001,0),MATCH(COLUMNS($AD$1006:AU1006),$AD$1006:$AU$1006,0)), HYPERLINK("#",""), HYPERLINK(CONCATENATE("#metadata!", ADDRESS(INDEX($Y$2:$Y$1001,MATCH(ROWS($W$2:W35),$W$2:$W$1001,0),0), INDEX($AD$1004:$AU$1004,1,MATCH(COLUMNS($AD$1006:AU1006),$AD$1006:$AU$1006,0)))),"Fix")))</f>
        <v xml:space="preserve"> </v>
      </c>
      <c r="W35">
        <v>34</v>
      </c>
      <c r="X35">
        <v>100035</v>
      </c>
      <c r="Y35">
        <v>35</v>
      </c>
      <c r="Z35" t="b">
        <f t="shared" si="0"/>
        <v>1</v>
      </c>
      <c r="AA35" t="b">
        <f>COUNTBLANK(metadata!B35:S35)=COLUMNS(metadata!B35:S35)</f>
        <v>1</v>
      </c>
      <c r="AB35" t="str">
        <v/>
      </c>
      <c r="AD35" t="b">
        <f ca="1">AND(IF(metadata!B35="",FALSE,TRUE),COUNTIF(metadata!B:B, metadata!B35) = 1,NOT(ISERROR(SUMPRODUCT(SEARCH(MID(metadata!B35,ROW(INDIRECT("1:"&amp;LEN(metadata!B35))), 1),"0123456789abcdefghijklmnopqrstuvwxyzABCDEFGHIJKLMNOPQRSTUVWXYZ.")))))</f>
        <v>0</v>
      </c>
      <c r="AE35" t="b">
        <f>OR(AND(IF(metadata!C35="",FALSE,TRUE),OR(EXACT(metadata!C35,"not applicable"),EXACT(metadata!C35,"missing: not collected"),EXACT(metadata!C35,"missing: not provided"),EXACT(metadata!C35,"missing: restricted access"))),AND(IF(metadata!C35="",FALSE,ISNUMBER(VALUE(metadata!C35))),metadata!C35&gt;0))</f>
        <v>0</v>
      </c>
      <c r="AF35" t="b">
        <f>AND(IF(metadata!D35="",FALSE,TRUE),EXACT(metadata!D35,"missing: not provided"))</f>
        <v>0</v>
      </c>
      <c r="AG35" t="b">
        <f>AND(IF(metadata!E35="",FALSE,TRUE),EXACT(metadata!E35,"Host-associated"))</f>
        <v>0</v>
      </c>
      <c r="AH35" t="b">
        <f>AND(IF(metadata!F35="",FALSE,TRUE),OR(EXACT(metadata!F35,"Animal"),EXACT(metadata!F35,"Fungus"),EXACT(metadata!F35,"Plant")))</f>
        <v>0</v>
      </c>
      <c r="AI35" t="b">
        <f>AND(IF(metadata!G35="",FALSE,TRUE),OR(EXACT(metadata!G35,"Plant secretion"),EXACT(metadata!G35,"Plant rhizosphere"),EXACT(metadata!G35,"Plant surface"),EXACT(metadata!G35,"Plant corpus"),EXACT(metadata!G35,"Fungus surface"),EXACT(metadata!G35,"Fungus corpus"),EXACT(metadata!G35,"Animal surface"),EXACT(metadata!G35,"Animal proximal gut"),EXACT(metadata!G35,"Animal corpus"),EXACT(metadata!G35,"Animal distal gut"),EXACT(metadata!G35,"Animal secretion")))</f>
        <v>0</v>
      </c>
      <c r="AJ35" t="b">
        <f>OR(AND(IF(metadata!H35="",FALSE,TRUE),OR(EXACT(metadata!H35,"missing: not collected"),EXACT(metadata!H35,"missing: not provided"),EXACT(metadata!H35,"missing: restricted access"))),AND(IF(metadata!H35="",FALSE,TRUE),OR(EXACT(metadata!H35,"organism-associated habitat"),EXACT(metadata!H35,"plant-associated habitat"),EXACT(metadata!H35,"animal-associated habitat"),EXACT(metadata!H35,"insecta-associated habitat"),EXACT(metadata!H35,"mammalia-associated habitat"),EXACT(metadata!H35,"human-associated habitat"),EXACT(metadata!H35,"livestock-associated habitat"))))</f>
        <v>0</v>
      </c>
      <c r="AK35" t="b">
        <f>AND(IF(metadata!I35="",FALSE,TRUE),EXACT(metadata!I35,"host-associated"))</f>
        <v>0</v>
      </c>
      <c r="AL35" t="b">
        <f>OR(AND(IF(metadata!J35="",FALSE,TRUE),OR(EXACT(metadata!J35,"not applicable"),EXACT(metadata!J35,"missing: not collected"),EXACT(metadata!J35,"missing: not provided"),EXACT(metadata!J35,"missing: restricted access"))),AND(IF(metadata!J35="",FALSE,ISNUMBER(VALUE(metadata!J35))),metadata!J35&gt;0))</f>
        <v>0</v>
      </c>
      <c r="AM35" t="b">
        <f>AND(IF(metadata!K35="",FALSE,TRUE),EXACT(metadata!K35,"missing: not provided"))</f>
        <v>0</v>
      </c>
      <c r="AN35" t="b">
        <f>IF(metadata!L35="",FALSE,TRUE)</f>
        <v>0</v>
      </c>
      <c r="AO35" t="b">
        <f>IF(metadata!M35="",FALSE,TRUE)</f>
        <v>0</v>
      </c>
      <c r="AP35" t="b">
        <f>OR(AND(IF(metadata!N35="",FALSE,TRUE),OR(EXACT(metadata!N35,"not applicable"),EXACT(metadata!N35,"missing: not collected"),EXACT(metadata!N35,"missing: not provided"))),AND(IF(metadata!N35="",FALSE,IF(ISERROR(INT(metadata!N35)),FALSE,INT(metadata!N35)=metadata!N35)),metadata!N35&gt;0))</f>
        <v>0</v>
      </c>
      <c r="AQ35" t="b">
        <f>AND(IF(metadata!O35="",FALSE,TRUE),EXACT(metadata!O35,"Not applicable"))</f>
        <v>0</v>
      </c>
      <c r="AR35" t="b">
        <f>OR(AND(IF(metadata!P35="",FALSE,TRUE),OR(EXACT(metadata!P35,"not applicable"),EXACT(metadata!P35,"missing: not collected"),EXACT(metadata!P35,"missing: not provided"),EXACT(metadata!P35,"missing: restricted access"))),IF(metadata!P35="",FALSE,IF(ISERROR(INT(metadata!P35)),FALSE,INT(metadata!P35)=metadata!P35)))</f>
        <v>0</v>
      </c>
      <c r="AS35" t="b">
        <f>AND(IF(metadata!Q35="",FALSE,TRUE),EXACT(metadata!Q35,"Not applicable"))</f>
        <v>0</v>
      </c>
      <c r="AT35" t="b">
        <f>OR(AND(IF(metadata!R35="",FALSE,TRUE),OR(EXACT(metadata!R35,"not applicable"),EXACT(metadata!R35,"missing: not collected"),EXACT(metadata!R35,"missing: not provided"),EXACT(metadata!R35,"missing: restricted access"))),AND(IF(metadata!R35="",FALSE,ISNUMBER(VALUE(metadata!R35))),metadata!R35&gt;0))</f>
        <v>0</v>
      </c>
      <c r="AU35" t="b">
        <f>AND(IF(metadata!S35="",FALSE,TRUE),EXACT(metadata!S35,"missing: not provided"))</f>
        <v>0</v>
      </c>
    </row>
    <row r="36" spans="1:47" x14ac:dyDescent="0.2">
      <c r="A36" s="5" t="str">
        <f ca="1">IF(B36=" "," ",HYPERLINK(CONCATENATE("#metadata!",ADDRESS(INDEX($Y$2:$Y$1001,MATCH(ROWS($W$2:W36),$W$2:$W$1001,0),0),1)),INDEX($AB$2:$AB$1001,MATCH(ROWS($W$2:W36),$W$2:$W$1001,0),0)))</f>
        <v xml:space="preserve"> </v>
      </c>
      <c r="B36" s="4" t="str">
        <f ca="1">IF(OR(INDEX($X$2:$X$1001,MATCH(ROWS($W$2:W36),$W$2:$W$1001,0),1)&gt;=100000,INDEX($AD$1005:$AU$1005,1,MATCH(COLUMNS($AD$1006:AD1006),$AD$1006:$AU$1006,0))&gt;=100000), " ",IF(INDEX($AD$2:$AU$1001,MATCH(ROWS($W$2:W36),$W$2:$W$1001,0),MATCH(COLUMNS($AD$1006:AD1006),$AD$1006:$AU$1006,0)), HYPERLINK("#",""), HYPERLINK(CONCATENATE("#metadata!", ADDRESS(INDEX($Y$2:$Y$1001,MATCH(ROWS($W$2:W36),$W$2:$W$1001,0),0), INDEX($AD$1004:$AU$1004,1,MATCH(COLUMNS($AD$1006:AD1006),$AD$1006:$AU$1006,0)))),"Fix")))</f>
        <v xml:space="preserve"> </v>
      </c>
      <c r="C36" s="4" t="str">
        <f ca="1">IF(OR(INDEX($X$2:$X$1001,MATCH(ROWS($W$2:W36),$W$2:$W$1001,0),1)&gt;=100000,INDEX($AD$1005:$AU$1005,1,MATCH(COLUMNS($AD$1006:AE1006),$AD$1006:$AU$1006,0))&gt;=100000), " ",IF(INDEX($AD$2:$AU$1001,MATCH(ROWS($W$2:W36),$W$2:$W$1001,0),MATCH(COLUMNS($AD$1006:AE1006),$AD$1006:$AU$1006,0)), HYPERLINK("#",""), HYPERLINK(CONCATENATE("#metadata!", ADDRESS(INDEX($Y$2:$Y$1001,MATCH(ROWS($W$2:W36),$W$2:$W$1001,0),0), INDEX($AD$1004:$AU$1004,1,MATCH(COLUMNS($AD$1006:AE1006),$AD$1006:$AU$1006,0)))),"Fix")))</f>
        <v xml:space="preserve"> </v>
      </c>
      <c r="D36" s="4" t="str">
        <f ca="1">IF(OR(INDEX($X$2:$X$1001,MATCH(ROWS($W$2:W36),$W$2:$W$1001,0),1)&gt;=100000,INDEX($AD$1005:$AU$1005,1,MATCH(COLUMNS($AD$1006:AF1006),$AD$1006:$AU$1006,0))&gt;=100000), " ",IF(INDEX($AD$2:$AU$1001,MATCH(ROWS($W$2:W36),$W$2:$W$1001,0),MATCH(COLUMNS($AD$1006:AF1006),$AD$1006:$AU$1006,0)), HYPERLINK("#",""), HYPERLINK(CONCATENATE("#metadata!", ADDRESS(INDEX($Y$2:$Y$1001,MATCH(ROWS($W$2:W36),$W$2:$W$1001,0),0), INDEX($AD$1004:$AU$1004,1,MATCH(COLUMNS($AD$1006:AF1006),$AD$1006:$AU$1006,0)))),"Fix")))</f>
        <v xml:space="preserve"> </v>
      </c>
      <c r="E36" s="4" t="str">
        <f ca="1">IF(OR(INDEX($X$2:$X$1001,MATCH(ROWS($W$2:W36),$W$2:$W$1001,0),1)&gt;=100000,INDEX($AD$1005:$AU$1005,1,MATCH(COLUMNS($AD$1006:AG1006),$AD$1006:$AU$1006,0))&gt;=100000), " ",IF(INDEX($AD$2:$AU$1001,MATCH(ROWS($W$2:W36),$W$2:$W$1001,0),MATCH(COLUMNS($AD$1006:AG1006),$AD$1006:$AU$1006,0)), HYPERLINK("#",""), HYPERLINK(CONCATENATE("#metadata!", ADDRESS(INDEX($Y$2:$Y$1001,MATCH(ROWS($W$2:W36),$W$2:$W$1001,0),0), INDEX($AD$1004:$AU$1004,1,MATCH(COLUMNS($AD$1006:AG1006),$AD$1006:$AU$1006,0)))),"Fix")))</f>
        <v xml:space="preserve"> </v>
      </c>
      <c r="F36" s="4" t="str">
        <f ca="1">IF(OR(INDEX($X$2:$X$1001,MATCH(ROWS($W$2:W36),$W$2:$W$1001,0),1)&gt;=100000,INDEX($AD$1005:$AU$1005,1,MATCH(COLUMNS($AD$1006:AH1006),$AD$1006:$AU$1006,0))&gt;=100000), " ",IF(INDEX($AD$2:$AU$1001,MATCH(ROWS($W$2:W36),$W$2:$W$1001,0),MATCH(COLUMNS($AD$1006:AH1006),$AD$1006:$AU$1006,0)), HYPERLINK("#",""), HYPERLINK(CONCATENATE("#metadata!", ADDRESS(INDEX($Y$2:$Y$1001,MATCH(ROWS($W$2:W36),$W$2:$W$1001,0),0), INDEX($AD$1004:$AU$1004,1,MATCH(COLUMNS($AD$1006:AH1006),$AD$1006:$AU$1006,0)))),"Fix")))</f>
        <v xml:space="preserve"> </v>
      </c>
      <c r="G36" s="4" t="str">
        <f ca="1">IF(OR(INDEX($X$2:$X$1001,MATCH(ROWS($W$2:W36),$W$2:$W$1001,0),1)&gt;=100000,INDEX($AD$1005:$AU$1005,1,MATCH(COLUMNS($AD$1006:AI1006),$AD$1006:$AU$1006,0))&gt;=100000), " ",IF(INDEX($AD$2:$AU$1001,MATCH(ROWS($W$2:W36),$W$2:$W$1001,0),MATCH(COLUMNS($AD$1006:AI1006),$AD$1006:$AU$1006,0)), HYPERLINK("#",""), HYPERLINK(CONCATENATE("#metadata!", ADDRESS(INDEX($Y$2:$Y$1001,MATCH(ROWS($W$2:W36),$W$2:$W$1001,0),0), INDEX($AD$1004:$AU$1004,1,MATCH(COLUMNS($AD$1006:AI1006),$AD$1006:$AU$1006,0)))),"Fix")))</f>
        <v xml:space="preserve"> </v>
      </c>
      <c r="H36" s="4" t="str">
        <f ca="1">IF(OR(INDEX($X$2:$X$1001,MATCH(ROWS($W$2:W36),$W$2:$W$1001,0),1)&gt;=100000,INDEX($AD$1005:$AU$1005,1,MATCH(COLUMNS($AD$1006:AJ1006),$AD$1006:$AU$1006,0))&gt;=100000), " ",IF(INDEX($AD$2:$AU$1001,MATCH(ROWS($W$2:W36),$W$2:$W$1001,0),MATCH(COLUMNS($AD$1006:AJ1006),$AD$1006:$AU$1006,0)), HYPERLINK("#",""), HYPERLINK(CONCATENATE("#metadata!", ADDRESS(INDEX($Y$2:$Y$1001,MATCH(ROWS($W$2:W36),$W$2:$W$1001,0),0), INDEX($AD$1004:$AU$1004,1,MATCH(COLUMNS($AD$1006:AJ1006),$AD$1006:$AU$1006,0)))),"Fix")))</f>
        <v xml:space="preserve"> </v>
      </c>
      <c r="I36" s="4" t="str">
        <f ca="1">IF(OR(INDEX($X$2:$X$1001,MATCH(ROWS($W$2:W36),$W$2:$W$1001,0),1)&gt;=100000,INDEX($AD$1005:$AU$1005,1,MATCH(COLUMNS($AD$1006:AK1006),$AD$1006:$AU$1006,0))&gt;=100000), " ",IF(INDEX($AD$2:$AU$1001,MATCH(ROWS($W$2:W36),$W$2:$W$1001,0),MATCH(COLUMNS($AD$1006:AK1006),$AD$1006:$AU$1006,0)), HYPERLINK("#",""), HYPERLINK(CONCATENATE("#metadata!", ADDRESS(INDEX($Y$2:$Y$1001,MATCH(ROWS($W$2:W36),$W$2:$W$1001,0),0), INDEX($AD$1004:$AU$1004,1,MATCH(COLUMNS($AD$1006:AK1006),$AD$1006:$AU$1006,0)))),"Fix")))</f>
        <v xml:space="preserve"> </v>
      </c>
      <c r="J36" s="4" t="str">
        <f ca="1">IF(OR(INDEX($X$2:$X$1001,MATCH(ROWS($W$2:W36),$W$2:$W$1001,0),1)&gt;=100000,INDEX($AD$1005:$AU$1005,1,MATCH(COLUMNS($AD$1006:AL1006),$AD$1006:$AU$1006,0))&gt;=100000), " ",IF(INDEX($AD$2:$AU$1001,MATCH(ROWS($W$2:W36),$W$2:$W$1001,0),MATCH(COLUMNS($AD$1006:AL1006),$AD$1006:$AU$1006,0)), HYPERLINK("#",""), HYPERLINK(CONCATENATE("#metadata!", ADDRESS(INDEX($Y$2:$Y$1001,MATCH(ROWS($W$2:W36),$W$2:$W$1001,0),0), INDEX($AD$1004:$AU$1004,1,MATCH(COLUMNS($AD$1006:AL1006),$AD$1006:$AU$1006,0)))),"Fix")))</f>
        <v xml:space="preserve"> </v>
      </c>
      <c r="K36" s="4" t="str">
        <f ca="1">IF(OR(INDEX($X$2:$X$1001,MATCH(ROWS($W$2:W36),$W$2:$W$1001,0),1)&gt;=100000,INDEX($AD$1005:$AU$1005,1,MATCH(COLUMNS($AD$1006:AM1006),$AD$1006:$AU$1006,0))&gt;=100000), " ",IF(INDEX($AD$2:$AU$1001,MATCH(ROWS($W$2:W36),$W$2:$W$1001,0),MATCH(COLUMNS($AD$1006:AM1006),$AD$1006:$AU$1006,0)), HYPERLINK("#",""), HYPERLINK(CONCATENATE("#metadata!", ADDRESS(INDEX($Y$2:$Y$1001,MATCH(ROWS($W$2:W36),$W$2:$W$1001,0),0), INDEX($AD$1004:$AU$1004,1,MATCH(COLUMNS($AD$1006:AM1006),$AD$1006:$AU$1006,0)))),"Fix")))</f>
        <v xml:space="preserve"> </v>
      </c>
      <c r="L36" s="4" t="str">
        <f ca="1">IF(OR(INDEX($X$2:$X$1001,MATCH(ROWS($W$2:W36),$W$2:$W$1001,0),1)&gt;=100000,INDEX($AD$1005:$AU$1005,1,MATCH(COLUMNS($AD$1006:AN1006),$AD$1006:$AU$1006,0))&gt;=100000), " ",IF(INDEX($AD$2:$AU$1001,MATCH(ROWS($W$2:W36),$W$2:$W$1001,0),MATCH(COLUMNS($AD$1006:AN1006),$AD$1006:$AU$1006,0)), HYPERLINK("#",""), HYPERLINK(CONCATENATE("#metadata!", ADDRESS(INDEX($Y$2:$Y$1001,MATCH(ROWS($W$2:W36),$W$2:$W$1001,0),0), INDEX($AD$1004:$AU$1004,1,MATCH(COLUMNS($AD$1006:AN1006),$AD$1006:$AU$1006,0)))),"Fix")))</f>
        <v xml:space="preserve"> </v>
      </c>
      <c r="M36" s="4" t="str">
        <f ca="1">IF(OR(INDEX($X$2:$X$1001,MATCH(ROWS($W$2:W36),$W$2:$W$1001,0),1)&gt;=100000,INDEX($AD$1005:$AU$1005,1,MATCH(COLUMNS($AD$1006:AO1006),$AD$1006:$AU$1006,0))&gt;=100000), " ",IF(INDEX($AD$2:$AU$1001,MATCH(ROWS($W$2:W36),$W$2:$W$1001,0),MATCH(COLUMNS($AD$1006:AO1006),$AD$1006:$AU$1006,0)), HYPERLINK("#",""), HYPERLINK(CONCATENATE("#metadata!", ADDRESS(INDEX($Y$2:$Y$1001,MATCH(ROWS($W$2:W36),$W$2:$W$1001,0),0), INDEX($AD$1004:$AU$1004,1,MATCH(COLUMNS($AD$1006:AO1006),$AD$1006:$AU$1006,0)))),"Fix")))</f>
        <v xml:space="preserve"> </v>
      </c>
      <c r="N36" s="4" t="str">
        <f ca="1">IF(OR(INDEX($X$2:$X$1001,MATCH(ROWS($W$2:W36),$W$2:$W$1001,0),1)&gt;=100000,INDEX($AD$1005:$AU$1005,1,MATCH(COLUMNS($AD$1006:AP1006),$AD$1006:$AU$1006,0))&gt;=100000), " ",IF(INDEX($AD$2:$AU$1001,MATCH(ROWS($W$2:W36),$W$2:$W$1001,0),MATCH(COLUMNS($AD$1006:AP1006),$AD$1006:$AU$1006,0)), HYPERLINK("#",""), HYPERLINK(CONCATENATE("#metadata!", ADDRESS(INDEX($Y$2:$Y$1001,MATCH(ROWS($W$2:W36),$W$2:$W$1001,0),0), INDEX($AD$1004:$AU$1004,1,MATCH(COLUMNS($AD$1006:AP1006),$AD$1006:$AU$1006,0)))),"Fix")))</f>
        <v xml:space="preserve"> </v>
      </c>
      <c r="O36" s="4" t="str">
        <f ca="1">IF(OR(INDEX($X$2:$X$1001,MATCH(ROWS($W$2:W36),$W$2:$W$1001,0),1)&gt;=100000,INDEX($AD$1005:$AU$1005,1,MATCH(COLUMNS($AD$1006:AQ1006),$AD$1006:$AU$1006,0))&gt;=100000), " ",IF(INDEX($AD$2:$AU$1001,MATCH(ROWS($W$2:W36),$W$2:$W$1001,0),MATCH(COLUMNS($AD$1006:AQ1006),$AD$1006:$AU$1006,0)), HYPERLINK("#",""), HYPERLINK(CONCATENATE("#metadata!", ADDRESS(INDEX($Y$2:$Y$1001,MATCH(ROWS($W$2:W36),$W$2:$W$1001,0),0), INDEX($AD$1004:$AU$1004,1,MATCH(COLUMNS($AD$1006:AQ1006),$AD$1006:$AU$1006,0)))),"Fix")))</f>
        <v xml:space="preserve"> </v>
      </c>
      <c r="P36" s="4" t="str">
        <f ca="1">IF(OR(INDEX($X$2:$X$1001,MATCH(ROWS($W$2:W36),$W$2:$W$1001,0),1)&gt;=100000,INDEX($AD$1005:$AU$1005,1,MATCH(COLUMNS($AD$1006:AR1006),$AD$1006:$AU$1006,0))&gt;=100000), " ",IF(INDEX($AD$2:$AU$1001,MATCH(ROWS($W$2:W36),$W$2:$W$1001,0),MATCH(COLUMNS($AD$1006:AR1006),$AD$1006:$AU$1006,0)), HYPERLINK("#",""), HYPERLINK(CONCATENATE("#metadata!", ADDRESS(INDEX($Y$2:$Y$1001,MATCH(ROWS($W$2:W36),$W$2:$W$1001,0),0), INDEX($AD$1004:$AU$1004,1,MATCH(COLUMNS($AD$1006:AR1006),$AD$1006:$AU$1006,0)))),"Fix")))</f>
        <v xml:space="preserve"> </v>
      </c>
      <c r="Q36" s="4" t="str">
        <f ca="1">IF(OR(INDEX($X$2:$X$1001,MATCH(ROWS($W$2:W36),$W$2:$W$1001,0),1)&gt;=100000,INDEX($AD$1005:$AU$1005,1,MATCH(COLUMNS($AD$1006:AS1006),$AD$1006:$AU$1006,0))&gt;=100000), " ",IF(INDEX($AD$2:$AU$1001,MATCH(ROWS($W$2:W36),$W$2:$W$1001,0),MATCH(COLUMNS($AD$1006:AS1006),$AD$1006:$AU$1006,0)), HYPERLINK("#",""), HYPERLINK(CONCATENATE("#metadata!", ADDRESS(INDEX($Y$2:$Y$1001,MATCH(ROWS($W$2:W36),$W$2:$W$1001,0),0), INDEX($AD$1004:$AU$1004,1,MATCH(COLUMNS($AD$1006:AS1006),$AD$1006:$AU$1006,0)))),"Fix")))</f>
        <v xml:space="preserve"> </v>
      </c>
      <c r="R36" s="4" t="str">
        <f ca="1">IF(OR(INDEX($X$2:$X$1001,MATCH(ROWS($W$2:W36),$W$2:$W$1001,0),1)&gt;=100000,INDEX($AD$1005:$AU$1005,1,MATCH(COLUMNS($AD$1006:AT1006),$AD$1006:$AU$1006,0))&gt;=100000), " ",IF(INDEX($AD$2:$AU$1001,MATCH(ROWS($W$2:W36),$W$2:$W$1001,0),MATCH(COLUMNS($AD$1006:AT1006),$AD$1006:$AU$1006,0)), HYPERLINK("#",""), HYPERLINK(CONCATENATE("#metadata!", ADDRESS(INDEX($Y$2:$Y$1001,MATCH(ROWS($W$2:W36),$W$2:$W$1001,0),0), INDEX($AD$1004:$AU$1004,1,MATCH(COLUMNS($AD$1006:AT1006),$AD$1006:$AU$1006,0)))),"Fix")))</f>
        <v xml:space="preserve"> </v>
      </c>
      <c r="S36" s="4" t="str">
        <f ca="1">IF(OR(INDEX($X$2:$X$1001,MATCH(ROWS($W$2:W36),$W$2:$W$1001,0),1)&gt;=100000,INDEX($AD$1005:$AU$1005,1,MATCH(COLUMNS($AD$1006:AU1006),$AD$1006:$AU$1006,0))&gt;=100000), " ",IF(INDEX($AD$2:$AU$1001,MATCH(ROWS($W$2:W36),$W$2:$W$1001,0),MATCH(COLUMNS($AD$1006:AU1006),$AD$1006:$AU$1006,0)), HYPERLINK("#",""), HYPERLINK(CONCATENATE("#metadata!", ADDRESS(INDEX($Y$2:$Y$1001,MATCH(ROWS($W$2:W36),$W$2:$W$1001,0),0), INDEX($AD$1004:$AU$1004,1,MATCH(COLUMNS($AD$1006:AU1006),$AD$1006:$AU$1006,0)))),"Fix")))</f>
        <v xml:space="preserve"> </v>
      </c>
      <c r="W36">
        <v>35</v>
      </c>
      <c r="X36">
        <v>100036</v>
      </c>
      <c r="Y36">
        <v>36</v>
      </c>
      <c r="Z36" t="b">
        <f t="shared" si="0"/>
        <v>1</v>
      </c>
      <c r="AA36" t="b">
        <f>COUNTBLANK(metadata!B36:S36)=COLUMNS(metadata!B36:S36)</f>
        <v>1</v>
      </c>
      <c r="AB36" t="str">
        <v/>
      </c>
      <c r="AD36" t="b">
        <f ca="1">AND(IF(metadata!B36="",FALSE,TRUE),COUNTIF(metadata!B:B, metadata!B36) = 1,NOT(ISERROR(SUMPRODUCT(SEARCH(MID(metadata!B36,ROW(INDIRECT("1:"&amp;LEN(metadata!B36))), 1),"0123456789abcdefghijklmnopqrstuvwxyzABCDEFGHIJKLMNOPQRSTUVWXYZ.")))))</f>
        <v>0</v>
      </c>
      <c r="AE36" t="b">
        <f>OR(AND(IF(metadata!C36="",FALSE,TRUE),OR(EXACT(metadata!C36,"not applicable"),EXACT(metadata!C36,"missing: not collected"),EXACT(metadata!C36,"missing: not provided"),EXACT(metadata!C36,"missing: restricted access"))),AND(IF(metadata!C36="",FALSE,ISNUMBER(VALUE(metadata!C36))),metadata!C36&gt;0))</f>
        <v>0</v>
      </c>
      <c r="AF36" t="b">
        <f>AND(IF(metadata!D36="",FALSE,TRUE),EXACT(metadata!D36,"missing: not provided"))</f>
        <v>0</v>
      </c>
      <c r="AG36" t="b">
        <f>AND(IF(metadata!E36="",FALSE,TRUE),EXACT(metadata!E36,"Host-associated"))</f>
        <v>0</v>
      </c>
      <c r="AH36" t="b">
        <f>AND(IF(metadata!F36="",FALSE,TRUE),OR(EXACT(metadata!F36,"Animal"),EXACT(metadata!F36,"Fungus"),EXACT(metadata!F36,"Plant")))</f>
        <v>0</v>
      </c>
      <c r="AI36" t="b">
        <f>AND(IF(metadata!G36="",FALSE,TRUE),OR(EXACT(metadata!G36,"Plant secretion"),EXACT(metadata!G36,"Plant rhizosphere"),EXACT(metadata!G36,"Plant surface"),EXACT(metadata!G36,"Plant corpus"),EXACT(metadata!G36,"Fungus surface"),EXACT(metadata!G36,"Fungus corpus"),EXACT(metadata!G36,"Animal surface"),EXACT(metadata!G36,"Animal proximal gut"),EXACT(metadata!G36,"Animal corpus"),EXACT(metadata!G36,"Animal distal gut"),EXACT(metadata!G36,"Animal secretion")))</f>
        <v>0</v>
      </c>
      <c r="AJ36" t="b">
        <f>OR(AND(IF(metadata!H36="",FALSE,TRUE),OR(EXACT(metadata!H36,"missing: not collected"),EXACT(metadata!H36,"missing: not provided"),EXACT(metadata!H36,"missing: restricted access"))),AND(IF(metadata!H36="",FALSE,TRUE),OR(EXACT(metadata!H36,"organism-associated habitat"),EXACT(metadata!H36,"plant-associated habitat"),EXACT(metadata!H36,"animal-associated habitat"),EXACT(metadata!H36,"insecta-associated habitat"),EXACT(metadata!H36,"mammalia-associated habitat"),EXACT(metadata!H36,"human-associated habitat"),EXACT(metadata!H36,"livestock-associated habitat"))))</f>
        <v>0</v>
      </c>
      <c r="AK36" t="b">
        <f>AND(IF(metadata!I36="",FALSE,TRUE),EXACT(metadata!I36,"host-associated"))</f>
        <v>0</v>
      </c>
      <c r="AL36" t="b">
        <f>OR(AND(IF(metadata!J36="",FALSE,TRUE),OR(EXACT(metadata!J36,"not applicable"),EXACT(metadata!J36,"missing: not collected"),EXACT(metadata!J36,"missing: not provided"),EXACT(metadata!J36,"missing: restricted access"))),AND(IF(metadata!J36="",FALSE,ISNUMBER(VALUE(metadata!J36))),metadata!J36&gt;0))</f>
        <v>0</v>
      </c>
      <c r="AM36" t="b">
        <f>AND(IF(metadata!K36="",FALSE,TRUE),EXACT(metadata!K36,"missing: not provided"))</f>
        <v>0</v>
      </c>
      <c r="AN36" t="b">
        <f>IF(metadata!L36="",FALSE,TRUE)</f>
        <v>0</v>
      </c>
      <c r="AO36" t="b">
        <f>IF(metadata!M36="",FALSE,TRUE)</f>
        <v>0</v>
      </c>
      <c r="AP36" t="b">
        <f>OR(AND(IF(metadata!N36="",FALSE,TRUE),OR(EXACT(metadata!N36,"not applicable"),EXACT(metadata!N36,"missing: not collected"),EXACT(metadata!N36,"missing: not provided"))),AND(IF(metadata!N36="",FALSE,IF(ISERROR(INT(metadata!N36)),FALSE,INT(metadata!N36)=metadata!N36)),metadata!N36&gt;0))</f>
        <v>0</v>
      </c>
      <c r="AQ36" t="b">
        <f>AND(IF(metadata!O36="",FALSE,TRUE),EXACT(metadata!O36,"Not applicable"))</f>
        <v>0</v>
      </c>
      <c r="AR36" t="b">
        <f>OR(AND(IF(metadata!P36="",FALSE,TRUE),OR(EXACT(metadata!P36,"not applicable"),EXACT(metadata!P36,"missing: not collected"),EXACT(metadata!P36,"missing: not provided"),EXACT(metadata!P36,"missing: restricted access"))),IF(metadata!P36="",FALSE,IF(ISERROR(INT(metadata!P36)),FALSE,INT(metadata!P36)=metadata!P36)))</f>
        <v>0</v>
      </c>
      <c r="AS36" t="b">
        <f>AND(IF(metadata!Q36="",FALSE,TRUE),EXACT(metadata!Q36,"Not applicable"))</f>
        <v>0</v>
      </c>
      <c r="AT36" t="b">
        <f>OR(AND(IF(metadata!R36="",FALSE,TRUE),OR(EXACT(metadata!R36,"not applicable"),EXACT(metadata!R36,"missing: not collected"),EXACT(metadata!R36,"missing: not provided"),EXACT(metadata!R36,"missing: restricted access"))),AND(IF(metadata!R36="",FALSE,ISNUMBER(VALUE(metadata!R36))),metadata!R36&gt;0))</f>
        <v>0</v>
      </c>
      <c r="AU36" t="b">
        <f>AND(IF(metadata!S36="",FALSE,TRUE),EXACT(metadata!S36,"missing: not provided"))</f>
        <v>0</v>
      </c>
    </row>
    <row r="37" spans="1:47" x14ac:dyDescent="0.2">
      <c r="A37" s="5" t="str">
        <f ca="1">IF(B37=" "," ",HYPERLINK(CONCATENATE("#metadata!",ADDRESS(INDEX($Y$2:$Y$1001,MATCH(ROWS($W$2:W37),$W$2:$W$1001,0),0),1)),INDEX($AB$2:$AB$1001,MATCH(ROWS($W$2:W37),$W$2:$W$1001,0),0)))</f>
        <v xml:space="preserve"> </v>
      </c>
      <c r="B37" s="4" t="str">
        <f ca="1">IF(OR(INDEX($X$2:$X$1001,MATCH(ROWS($W$2:W37),$W$2:$W$1001,0),1)&gt;=100000,INDEX($AD$1005:$AU$1005,1,MATCH(COLUMNS($AD$1006:AD1006),$AD$1006:$AU$1006,0))&gt;=100000), " ",IF(INDEX($AD$2:$AU$1001,MATCH(ROWS($W$2:W37),$W$2:$W$1001,0),MATCH(COLUMNS($AD$1006:AD1006),$AD$1006:$AU$1006,0)), HYPERLINK("#",""), HYPERLINK(CONCATENATE("#metadata!", ADDRESS(INDEX($Y$2:$Y$1001,MATCH(ROWS($W$2:W37),$W$2:$W$1001,0),0), INDEX($AD$1004:$AU$1004,1,MATCH(COLUMNS($AD$1006:AD1006),$AD$1006:$AU$1006,0)))),"Fix")))</f>
        <v xml:space="preserve"> </v>
      </c>
      <c r="C37" s="4" t="str">
        <f ca="1">IF(OR(INDEX($X$2:$X$1001,MATCH(ROWS($W$2:W37),$W$2:$W$1001,0),1)&gt;=100000,INDEX($AD$1005:$AU$1005,1,MATCH(COLUMNS($AD$1006:AE1006),$AD$1006:$AU$1006,0))&gt;=100000), " ",IF(INDEX($AD$2:$AU$1001,MATCH(ROWS($W$2:W37),$W$2:$W$1001,0),MATCH(COLUMNS($AD$1006:AE1006),$AD$1006:$AU$1006,0)), HYPERLINK("#",""), HYPERLINK(CONCATENATE("#metadata!", ADDRESS(INDEX($Y$2:$Y$1001,MATCH(ROWS($W$2:W37),$W$2:$W$1001,0),0), INDEX($AD$1004:$AU$1004,1,MATCH(COLUMNS($AD$1006:AE1006),$AD$1006:$AU$1006,0)))),"Fix")))</f>
        <v xml:space="preserve"> </v>
      </c>
      <c r="D37" s="4" t="str">
        <f ca="1">IF(OR(INDEX($X$2:$X$1001,MATCH(ROWS($W$2:W37),$W$2:$W$1001,0),1)&gt;=100000,INDEX($AD$1005:$AU$1005,1,MATCH(COLUMNS($AD$1006:AF1006),$AD$1006:$AU$1006,0))&gt;=100000), " ",IF(INDEX($AD$2:$AU$1001,MATCH(ROWS($W$2:W37),$W$2:$W$1001,0),MATCH(COLUMNS($AD$1006:AF1006),$AD$1006:$AU$1006,0)), HYPERLINK("#",""), HYPERLINK(CONCATENATE("#metadata!", ADDRESS(INDEX($Y$2:$Y$1001,MATCH(ROWS($W$2:W37),$W$2:$W$1001,0),0), INDEX($AD$1004:$AU$1004,1,MATCH(COLUMNS($AD$1006:AF1006),$AD$1006:$AU$1006,0)))),"Fix")))</f>
        <v xml:space="preserve"> </v>
      </c>
      <c r="E37" s="4" t="str">
        <f ca="1">IF(OR(INDEX($X$2:$X$1001,MATCH(ROWS($W$2:W37),$W$2:$W$1001,0),1)&gt;=100000,INDEX($AD$1005:$AU$1005,1,MATCH(COLUMNS($AD$1006:AG1006),$AD$1006:$AU$1006,0))&gt;=100000), " ",IF(INDEX($AD$2:$AU$1001,MATCH(ROWS($W$2:W37),$W$2:$W$1001,0),MATCH(COLUMNS($AD$1006:AG1006),$AD$1006:$AU$1006,0)), HYPERLINK("#",""), HYPERLINK(CONCATENATE("#metadata!", ADDRESS(INDEX($Y$2:$Y$1001,MATCH(ROWS($W$2:W37),$W$2:$W$1001,0),0), INDEX($AD$1004:$AU$1004,1,MATCH(COLUMNS($AD$1006:AG1006),$AD$1006:$AU$1006,0)))),"Fix")))</f>
        <v xml:space="preserve"> </v>
      </c>
      <c r="F37" s="4" t="str">
        <f ca="1">IF(OR(INDEX($X$2:$X$1001,MATCH(ROWS($W$2:W37),$W$2:$W$1001,0),1)&gt;=100000,INDEX($AD$1005:$AU$1005,1,MATCH(COLUMNS($AD$1006:AH1006),$AD$1006:$AU$1006,0))&gt;=100000), " ",IF(INDEX($AD$2:$AU$1001,MATCH(ROWS($W$2:W37),$W$2:$W$1001,0),MATCH(COLUMNS($AD$1006:AH1006),$AD$1006:$AU$1006,0)), HYPERLINK("#",""), HYPERLINK(CONCATENATE("#metadata!", ADDRESS(INDEX($Y$2:$Y$1001,MATCH(ROWS($W$2:W37),$W$2:$W$1001,0),0), INDEX($AD$1004:$AU$1004,1,MATCH(COLUMNS($AD$1006:AH1006),$AD$1006:$AU$1006,0)))),"Fix")))</f>
        <v xml:space="preserve"> </v>
      </c>
      <c r="G37" s="4" t="str">
        <f ca="1">IF(OR(INDEX($X$2:$X$1001,MATCH(ROWS($W$2:W37),$W$2:$W$1001,0),1)&gt;=100000,INDEX($AD$1005:$AU$1005,1,MATCH(COLUMNS($AD$1006:AI1006),$AD$1006:$AU$1006,0))&gt;=100000), " ",IF(INDEX($AD$2:$AU$1001,MATCH(ROWS($W$2:W37),$W$2:$W$1001,0),MATCH(COLUMNS($AD$1006:AI1006),$AD$1006:$AU$1006,0)), HYPERLINK("#",""), HYPERLINK(CONCATENATE("#metadata!", ADDRESS(INDEX($Y$2:$Y$1001,MATCH(ROWS($W$2:W37),$W$2:$W$1001,0),0), INDEX($AD$1004:$AU$1004,1,MATCH(COLUMNS($AD$1006:AI1006),$AD$1006:$AU$1006,0)))),"Fix")))</f>
        <v xml:space="preserve"> </v>
      </c>
      <c r="H37" s="4" t="str">
        <f ca="1">IF(OR(INDEX($X$2:$X$1001,MATCH(ROWS($W$2:W37),$W$2:$W$1001,0),1)&gt;=100000,INDEX($AD$1005:$AU$1005,1,MATCH(COLUMNS($AD$1006:AJ1006),$AD$1006:$AU$1006,0))&gt;=100000), " ",IF(INDEX($AD$2:$AU$1001,MATCH(ROWS($W$2:W37),$W$2:$W$1001,0),MATCH(COLUMNS($AD$1006:AJ1006),$AD$1006:$AU$1006,0)), HYPERLINK("#",""), HYPERLINK(CONCATENATE("#metadata!", ADDRESS(INDEX($Y$2:$Y$1001,MATCH(ROWS($W$2:W37),$W$2:$W$1001,0),0), INDEX($AD$1004:$AU$1004,1,MATCH(COLUMNS($AD$1006:AJ1006),$AD$1006:$AU$1006,0)))),"Fix")))</f>
        <v xml:space="preserve"> </v>
      </c>
      <c r="I37" s="4" t="str">
        <f ca="1">IF(OR(INDEX($X$2:$X$1001,MATCH(ROWS($W$2:W37),$W$2:$W$1001,0),1)&gt;=100000,INDEX($AD$1005:$AU$1005,1,MATCH(COLUMNS($AD$1006:AK1006),$AD$1006:$AU$1006,0))&gt;=100000), " ",IF(INDEX($AD$2:$AU$1001,MATCH(ROWS($W$2:W37),$W$2:$W$1001,0),MATCH(COLUMNS($AD$1006:AK1006),$AD$1006:$AU$1006,0)), HYPERLINK("#",""), HYPERLINK(CONCATENATE("#metadata!", ADDRESS(INDEX($Y$2:$Y$1001,MATCH(ROWS($W$2:W37),$W$2:$W$1001,0),0), INDEX($AD$1004:$AU$1004,1,MATCH(COLUMNS($AD$1006:AK1006),$AD$1006:$AU$1006,0)))),"Fix")))</f>
        <v xml:space="preserve"> </v>
      </c>
      <c r="J37" s="4" t="str">
        <f ca="1">IF(OR(INDEX($X$2:$X$1001,MATCH(ROWS($W$2:W37),$W$2:$W$1001,0),1)&gt;=100000,INDEX($AD$1005:$AU$1005,1,MATCH(COLUMNS($AD$1006:AL1006),$AD$1006:$AU$1006,0))&gt;=100000), " ",IF(INDEX($AD$2:$AU$1001,MATCH(ROWS($W$2:W37),$W$2:$W$1001,0),MATCH(COLUMNS($AD$1006:AL1006),$AD$1006:$AU$1006,0)), HYPERLINK("#",""), HYPERLINK(CONCATENATE("#metadata!", ADDRESS(INDEX($Y$2:$Y$1001,MATCH(ROWS($W$2:W37),$W$2:$W$1001,0),0), INDEX($AD$1004:$AU$1004,1,MATCH(COLUMNS($AD$1006:AL1006),$AD$1006:$AU$1006,0)))),"Fix")))</f>
        <v xml:space="preserve"> </v>
      </c>
      <c r="K37" s="4" t="str">
        <f ca="1">IF(OR(INDEX($X$2:$X$1001,MATCH(ROWS($W$2:W37),$W$2:$W$1001,0),1)&gt;=100000,INDEX($AD$1005:$AU$1005,1,MATCH(COLUMNS($AD$1006:AM1006),$AD$1006:$AU$1006,0))&gt;=100000), " ",IF(INDEX($AD$2:$AU$1001,MATCH(ROWS($W$2:W37),$W$2:$W$1001,0),MATCH(COLUMNS($AD$1006:AM1006),$AD$1006:$AU$1006,0)), HYPERLINK("#",""), HYPERLINK(CONCATENATE("#metadata!", ADDRESS(INDEX($Y$2:$Y$1001,MATCH(ROWS($W$2:W37),$W$2:$W$1001,0),0), INDEX($AD$1004:$AU$1004,1,MATCH(COLUMNS($AD$1006:AM1006),$AD$1006:$AU$1006,0)))),"Fix")))</f>
        <v xml:space="preserve"> </v>
      </c>
      <c r="L37" s="4" t="str">
        <f ca="1">IF(OR(INDEX($X$2:$X$1001,MATCH(ROWS($W$2:W37),$W$2:$W$1001,0),1)&gt;=100000,INDEX($AD$1005:$AU$1005,1,MATCH(COLUMNS($AD$1006:AN1006),$AD$1006:$AU$1006,0))&gt;=100000), " ",IF(INDEX($AD$2:$AU$1001,MATCH(ROWS($W$2:W37),$W$2:$W$1001,0),MATCH(COLUMNS($AD$1006:AN1006),$AD$1006:$AU$1006,0)), HYPERLINK("#",""), HYPERLINK(CONCATENATE("#metadata!", ADDRESS(INDEX($Y$2:$Y$1001,MATCH(ROWS($W$2:W37),$W$2:$W$1001,0),0), INDEX($AD$1004:$AU$1004,1,MATCH(COLUMNS($AD$1006:AN1006),$AD$1006:$AU$1006,0)))),"Fix")))</f>
        <v xml:space="preserve"> </v>
      </c>
      <c r="M37" s="4" t="str">
        <f ca="1">IF(OR(INDEX($X$2:$X$1001,MATCH(ROWS($W$2:W37),$W$2:$W$1001,0),1)&gt;=100000,INDEX($AD$1005:$AU$1005,1,MATCH(COLUMNS($AD$1006:AO1006),$AD$1006:$AU$1006,0))&gt;=100000), " ",IF(INDEX($AD$2:$AU$1001,MATCH(ROWS($W$2:W37),$W$2:$W$1001,0),MATCH(COLUMNS($AD$1006:AO1006),$AD$1006:$AU$1006,0)), HYPERLINK("#",""), HYPERLINK(CONCATENATE("#metadata!", ADDRESS(INDEX($Y$2:$Y$1001,MATCH(ROWS($W$2:W37),$W$2:$W$1001,0),0), INDEX($AD$1004:$AU$1004,1,MATCH(COLUMNS($AD$1006:AO1006),$AD$1006:$AU$1006,0)))),"Fix")))</f>
        <v xml:space="preserve"> </v>
      </c>
      <c r="N37" s="4" t="str">
        <f ca="1">IF(OR(INDEX($X$2:$X$1001,MATCH(ROWS($W$2:W37),$W$2:$W$1001,0),1)&gt;=100000,INDEX($AD$1005:$AU$1005,1,MATCH(COLUMNS($AD$1006:AP1006),$AD$1006:$AU$1006,0))&gt;=100000), " ",IF(INDEX($AD$2:$AU$1001,MATCH(ROWS($W$2:W37),$W$2:$W$1001,0),MATCH(COLUMNS($AD$1006:AP1006),$AD$1006:$AU$1006,0)), HYPERLINK("#",""), HYPERLINK(CONCATENATE("#metadata!", ADDRESS(INDEX($Y$2:$Y$1001,MATCH(ROWS($W$2:W37),$W$2:$W$1001,0),0), INDEX($AD$1004:$AU$1004,1,MATCH(COLUMNS($AD$1006:AP1006),$AD$1006:$AU$1006,0)))),"Fix")))</f>
        <v xml:space="preserve"> </v>
      </c>
      <c r="O37" s="4" t="str">
        <f ca="1">IF(OR(INDEX($X$2:$X$1001,MATCH(ROWS($W$2:W37),$W$2:$W$1001,0),1)&gt;=100000,INDEX($AD$1005:$AU$1005,1,MATCH(COLUMNS($AD$1006:AQ1006),$AD$1006:$AU$1006,0))&gt;=100000), " ",IF(INDEX($AD$2:$AU$1001,MATCH(ROWS($W$2:W37),$W$2:$W$1001,0),MATCH(COLUMNS($AD$1006:AQ1006),$AD$1006:$AU$1006,0)), HYPERLINK("#",""), HYPERLINK(CONCATENATE("#metadata!", ADDRESS(INDEX($Y$2:$Y$1001,MATCH(ROWS($W$2:W37),$W$2:$W$1001,0),0), INDEX($AD$1004:$AU$1004,1,MATCH(COLUMNS($AD$1006:AQ1006),$AD$1006:$AU$1006,0)))),"Fix")))</f>
        <v xml:space="preserve"> </v>
      </c>
      <c r="P37" s="4" t="str">
        <f ca="1">IF(OR(INDEX($X$2:$X$1001,MATCH(ROWS($W$2:W37),$W$2:$W$1001,0),1)&gt;=100000,INDEX($AD$1005:$AU$1005,1,MATCH(COLUMNS($AD$1006:AR1006),$AD$1006:$AU$1006,0))&gt;=100000), " ",IF(INDEX($AD$2:$AU$1001,MATCH(ROWS($W$2:W37),$W$2:$W$1001,0),MATCH(COLUMNS($AD$1006:AR1006),$AD$1006:$AU$1006,0)), HYPERLINK("#",""), HYPERLINK(CONCATENATE("#metadata!", ADDRESS(INDEX($Y$2:$Y$1001,MATCH(ROWS($W$2:W37),$W$2:$W$1001,0),0), INDEX($AD$1004:$AU$1004,1,MATCH(COLUMNS($AD$1006:AR1006),$AD$1006:$AU$1006,0)))),"Fix")))</f>
        <v xml:space="preserve"> </v>
      </c>
      <c r="Q37" s="4" t="str">
        <f ca="1">IF(OR(INDEX($X$2:$X$1001,MATCH(ROWS($W$2:W37),$W$2:$W$1001,0),1)&gt;=100000,INDEX($AD$1005:$AU$1005,1,MATCH(COLUMNS($AD$1006:AS1006),$AD$1006:$AU$1006,0))&gt;=100000), " ",IF(INDEX($AD$2:$AU$1001,MATCH(ROWS($W$2:W37),$W$2:$W$1001,0),MATCH(COLUMNS($AD$1006:AS1006),$AD$1006:$AU$1006,0)), HYPERLINK("#",""), HYPERLINK(CONCATENATE("#metadata!", ADDRESS(INDEX($Y$2:$Y$1001,MATCH(ROWS($W$2:W37),$W$2:$W$1001,0),0), INDEX($AD$1004:$AU$1004,1,MATCH(COLUMNS($AD$1006:AS1006),$AD$1006:$AU$1006,0)))),"Fix")))</f>
        <v xml:space="preserve"> </v>
      </c>
      <c r="R37" s="4" t="str">
        <f ca="1">IF(OR(INDEX($X$2:$X$1001,MATCH(ROWS($W$2:W37),$W$2:$W$1001,0),1)&gt;=100000,INDEX($AD$1005:$AU$1005,1,MATCH(COLUMNS($AD$1006:AT1006),$AD$1006:$AU$1006,0))&gt;=100000), " ",IF(INDEX($AD$2:$AU$1001,MATCH(ROWS($W$2:W37),$W$2:$W$1001,0),MATCH(COLUMNS($AD$1006:AT1006),$AD$1006:$AU$1006,0)), HYPERLINK("#",""), HYPERLINK(CONCATENATE("#metadata!", ADDRESS(INDEX($Y$2:$Y$1001,MATCH(ROWS($W$2:W37),$W$2:$W$1001,0),0), INDEX($AD$1004:$AU$1004,1,MATCH(COLUMNS($AD$1006:AT1006),$AD$1006:$AU$1006,0)))),"Fix")))</f>
        <v xml:space="preserve"> </v>
      </c>
      <c r="S37" s="4" t="str">
        <f ca="1">IF(OR(INDEX($X$2:$X$1001,MATCH(ROWS($W$2:W37),$W$2:$W$1001,0),1)&gt;=100000,INDEX($AD$1005:$AU$1005,1,MATCH(COLUMNS($AD$1006:AU1006),$AD$1006:$AU$1006,0))&gt;=100000), " ",IF(INDEX($AD$2:$AU$1001,MATCH(ROWS($W$2:W37),$W$2:$W$1001,0),MATCH(COLUMNS($AD$1006:AU1006),$AD$1006:$AU$1006,0)), HYPERLINK("#",""), HYPERLINK(CONCATENATE("#metadata!", ADDRESS(INDEX($Y$2:$Y$1001,MATCH(ROWS($W$2:W37),$W$2:$W$1001,0),0), INDEX($AD$1004:$AU$1004,1,MATCH(COLUMNS($AD$1006:AU1006),$AD$1006:$AU$1006,0)))),"Fix")))</f>
        <v xml:space="preserve"> </v>
      </c>
      <c r="W37">
        <v>36</v>
      </c>
      <c r="X37">
        <v>100037</v>
      </c>
      <c r="Y37">
        <v>37</v>
      </c>
      <c r="Z37" t="b">
        <f t="shared" si="0"/>
        <v>1</v>
      </c>
      <c r="AA37" t="b">
        <f>COUNTBLANK(metadata!B37:S37)=COLUMNS(metadata!B37:S37)</f>
        <v>1</v>
      </c>
      <c r="AB37" t="str">
        <v/>
      </c>
      <c r="AD37" t="b">
        <f ca="1">AND(IF(metadata!B37="",FALSE,TRUE),COUNTIF(metadata!B:B, metadata!B37) = 1,NOT(ISERROR(SUMPRODUCT(SEARCH(MID(metadata!B37,ROW(INDIRECT("1:"&amp;LEN(metadata!B37))), 1),"0123456789abcdefghijklmnopqrstuvwxyzABCDEFGHIJKLMNOPQRSTUVWXYZ.")))))</f>
        <v>0</v>
      </c>
      <c r="AE37" t="b">
        <f>OR(AND(IF(metadata!C37="",FALSE,TRUE),OR(EXACT(metadata!C37,"not applicable"),EXACT(metadata!C37,"missing: not collected"),EXACT(metadata!C37,"missing: not provided"),EXACT(metadata!C37,"missing: restricted access"))),AND(IF(metadata!C37="",FALSE,ISNUMBER(VALUE(metadata!C37))),metadata!C37&gt;0))</f>
        <v>0</v>
      </c>
      <c r="AF37" t="b">
        <f>AND(IF(metadata!D37="",FALSE,TRUE),EXACT(metadata!D37,"missing: not provided"))</f>
        <v>0</v>
      </c>
      <c r="AG37" t="b">
        <f>AND(IF(metadata!E37="",FALSE,TRUE),EXACT(metadata!E37,"Host-associated"))</f>
        <v>0</v>
      </c>
      <c r="AH37" t="b">
        <f>AND(IF(metadata!F37="",FALSE,TRUE),OR(EXACT(metadata!F37,"Animal"),EXACT(metadata!F37,"Fungus"),EXACT(metadata!F37,"Plant")))</f>
        <v>0</v>
      </c>
      <c r="AI37" t="b">
        <f>AND(IF(metadata!G37="",FALSE,TRUE),OR(EXACT(metadata!G37,"Plant secretion"),EXACT(metadata!G37,"Plant rhizosphere"),EXACT(metadata!G37,"Plant surface"),EXACT(metadata!G37,"Plant corpus"),EXACT(metadata!G37,"Fungus surface"),EXACT(metadata!G37,"Fungus corpus"),EXACT(metadata!G37,"Animal surface"),EXACT(metadata!G37,"Animal proximal gut"),EXACT(metadata!G37,"Animal corpus"),EXACT(metadata!G37,"Animal distal gut"),EXACT(metadata!G37,"Animal secretion")))</f>
        <v>0</v>
      </c>
      <c r="AJ37" t="b">
        <f>OR(AND(IF(metadata!H37="",FALSE,TRUE),OR(EXACT(metadata!H37,"missing: not collected"),EXACT(metadata!H37,"missing: not provided"),EXACT(metadata!H37,"missing: restricted access"))),AND(IF(metadata!H37="",FALSE,TRUE),OR(EXACT(metadata!H37,"organism-associated habitat"),EXACT(metadata!H37,"plant-associated habitat"),EXACT(metadata!H37,"animal-associated habitat"),EXACT(metadata!H37,"insecta-associated habitat"),EXACT(metadata!H37,"mammalia-associated habitat"),EXACT(metadata!H37,"human-associated habitat"),EXACT(metadata!H37,"livestock-associated habitat"))))</f>
        <v>0</v>
      </c>
      <c r="AK37" t="b">
        <f>AND(IF(metadata!I37="",FALSE,TRUE),EXACT(metadata!I37,"host-associated"))</f>
        <v>0</v>
      </c>
      <c r="AL37" t="b">
        <f>OR(AND(IF(metadata!J37="",FALSE,TRUE),OR(EXACT(metadata!J37,"not applicable"),EXACT(metadata!J37,"missing: not collected"),EXACT(metadata!J37,"missing: not provided"),EXACT(metadata!J37,"missing: restricted access"))),AND(IF(metadata!J37="",FALSE,ISNUMBER(VALUE(metadata!J37))),metadata!J37&gt;0))</f>
        <v>0</v>
      </c>
      <c r="AM37" t="b">
        <f>AND(IF(metadata!K37="",FALSE,TRUE),EXACT(metadata!K37,"missing: not provided"))</f>
        <v>0</v>
      </c>
      <c r="AN37" t="b">
        <f>IF(metadata!L37="",FALSE,TRUE)</f>
        <v>0</v>
      </c>
      <c r="AO37" t="b">
        <f>IF(metadata!M37="",FALSE,TRUE)</f>
        <v>0</v>
      </c>
      <c r="AP37" t="b">
        <f>OR(AND(IF(metadata!N37="",FALSE,TRUE),OR(EXACT(metadata!N37,"not applicable"),EXACT(metadata!N37,"missing: not collected"),EXACT(metadata!N37,"missing: not provided"))),AND(IF(metadata!N37="",FALSE,IF(ISERROR(INT(metadata!N37)),FALSE,INT(metadata!N37)=metadata!N37)),metadata!N37&gt;0))</f>
        <v>0</v>
      </c>
      <c r="AQ37" t="b">
        <f>AND(IF(metadata!O37="",FALSE,TRUE),EXACT(metadata!O37,"Not applicable"))</f>
        <v>0</v>
      </c>
      <c r="AR37" t="b">
        <f>OR(AND(IF(metadata!P37="",FALSE,TRUE),OR(EXACT(metadata!P37,"not applicable"),EXACT(metadata!P37,"missing: not collected"),EXACT(metadata!P37,"missing: not provided"),EXACT(metadata!P37,"missing: restricted access"))),IF(metadata!P37="",FALSE,IF(ISERROR(INT(metadata!P37)),FALSE,INT(metadata!P37)=metadata!P37)))</f>
        <v>0</v>
      </c>
      <c r="AS37" t="b">
        <f>AND(IF(metadata!Q37="",FALSE,TRUE),EXACT(metadata!Q37,"Not applicable"))</f>
        <v>0</v>
      </c>
      <c r="AT37" t="b">
        <f>OR(AND(IF(metadata!R37="",FALSE,TRUE),OR(EXACT(metadata!R37,"not applicable"),EXACT(metadata!R37,"missing: not collected"),EXACT(metadata!R37,"missing: not provided"),EXACT(metadata!R37,"missing: restricted access"))),AND(IF(metadata!R37="",FALSE,ISNUMBER(VALUE(metadata!R37))),metadata!R37&gt;0))</f>
        <v>0</v>
      </c>
      <c r="AU37" t="b">
        <f>AND(IF(metadata!S37="",FALSE,TRUE),EXACT(metadata!S37,"missing: not provided"))</f>
        <v>0</v>
      </c>
    </row>
    <row r="38" spans="1:47" x14ac:dyDescent="0.2">
      <c r="A38" s="5" t="str">
        <f ca="1">IF(B38=" "," ",HYPERLINK(CONCATENATE("#metadata!",ADDRESS(INDEX($Y$2:$Y$1001,MATCH(ROWS($W$2:W38),$W$2:$W$1001,0),0),1)),INDEX($AB$2:$AB$1001,MATCH(ROWS($W$2:W38),$W$2:$W$1001,0),0)))</f>
        <v xml:space="preserve"> </v>
      </c>
      <c r="B38" s="4" t="str">
        <f ca="1">IF(OR(INDEX($X$2:$X$1001,MATCH(ROWS($W$2:W38),$W$2:$W$1001,0),1)&gt;=100000,INDEX($AD$1005:$AU$1005,1,MATCH(COLUMNS($AD$1006:AD1006),$AD$1006:$AU$1006,0))&gt;=100000), " ",IF(INDEX($AD$2:$AU$1001,MATCH(ROWS($W$2:W38),$W$2:$W$1001,0),MATCH(COLUMNS($AD$1006:AD1006),$AD$1006:$AU$1006,0)), HYPERLINK("#",""), HYPERLINK(CONCATENATE("#metadata!", ADDRESS(INDEX($Y$2:$Y$1001,MATCH(ROWS($W$2:W38),$W$2:$W$1001,0),0), INDEX($AD$1004:$AU$1004,1,MATCH(COLUMNS($AD$1006:AD1006),$AD$1006:$AU$1006,0)))),"Fix")))</f>
        <v xml:space="preserve"> </v>
      </c>
      <c r="C38" s="4" t="str">
        <f ca="1">IF(OR(INDEX($X$2:$X$1001,MATCH(ROWS($W$2:W38),$W$2:$W$1001,0),1)&gt;=100000,INDEX($AD$1005:$AU$1005,1,MATCH(COLUMNS($AD$1006:AE1006),$AD$1006:$AU$1006,0))&gt;=100000), " ",IF(INDEX($AD$2:$AU$1001,MATCH(ROWS($W$2:W38),$W$2:$W$1001,0),MATCH(COLUMNS($AD$1006:AE1006),$AD$1006:$AU$1006,0)), HYPERLINK("#",""), HYPERLINK(CONCATENATE("#metadata!", ADDRESS(INDEX($Y$2:$Y$1001,MATCH(ROWS($W$2:W38),$W$2:$W$1001,0),0), INDEX($AD$1004:$AU$1004,1,MATCH(COLUMNS($AD$1006:AE1006),$AD$1006:$AU$1006,0)))),"Fix")))</f>
        <v xml:space="preserve"> </v>
      </c>
      <c r="D38" s="4" t="str">
        <f ca="1">IF(OR(INDEX($X$2:$X$1001,MATCH(ROWS($W$2:W38),$W$2:$W$1001,0),1)&gt;=100000,INDEX($AD$1005:$AU$1005,1,MATCH(COLUMNS($AD$1006:AF1006),$AD$1006:$AU$1006,0))&gt;=100000), " ",IF(INDEX($AD$2:$AU$1001,MATCH(ROWS($W$2:W38),$W$2:$W$1001,0),MATCH(COLUMNS($AD$1006:AF1006),$AD$1006:$AU$1006,0)), HYPERLINK("#",""), HYPERLINK(CONCATENATE("#metadata!", ADDRESS(INDEX($Y$2:$Y$1001,MATCH(ROWS($W$2:W38),$W$2:$W$1001,0),0), INDEX($AD$1004:$AU$1004,1,MATCH(COLUMNS($AD$1006:AF1006),$AD$1006:$AU$1006,0)))),"Fix")))</f>
        <v xml:space="preserve"> </v>
      </c>
      <c r="E38" s="4" t="str">
        <f ca="1">IF(OR(INDEX($X$2:$X$1001,MATCH(ROWS($W$2:W38),$W$2:$W$1001,0),1)&gt;=100000,INDEX($AD$1005:$AU$1005,1,MATCH(COLUMNS($AD$1006:AG1006),$AD$1006:$AU$1006,0))&gt;=100000), " ",IF(INDEX($AD$2:$AU$1001,MATCH(ROWS($W$2:W38),$W$2:$W$1001,0),MATCH(COLUMNS($AD$1006:AG1006),$AD$1006:$AU$1006,0)), HYPERLINK("#",""), HYPERLINK(CONCATENATE("#metadata!", ADDRESS(INDEX($Y$2:$Y$1001,MATCH(ROWS($W$2:W38),$W$2:$W$1001,0),0), INDEX($AD$1004:$AU$1004,1,MATCH(COLUMNS($AD$1006:AG1006),$AD$1006:$AU$1006,0)))),"Fix")))</f>
        <v xml:space="preserve"> </v>
      </c>
      <c r="F38" s="4" t="str">
        <f ca="1">IF(OR(INDEX($X$2:$X$1001,MATCH(ROWS($W$2:W38),$W$2:$W$1001,0),1)&gt;=100000,INDEX($AD$1005:$AU$1005,1,MATCH(COLUMNS($AD$1006:AH1006),$AD$1006:$AU$1006,0))&gt;=100000), " ",IF(INDEX($AD$2:$AU$1001,MATCH(ROWS($W$2:W38),$W$2:$W$1001,0),MATCH(COLUMNS($AD$1006:AH1006),$AD$1006:$AU$1006,0)), HYPERLINK("#",""), HYPERLINK(CONCATENATE("#metadata!", ADDRESS(INDEX($Y$2:$Y$1001,MATCH(ROWS($W$2:W38),$W$2:$W$1001,0),0), INDEX($AD$1004:$AU$1004,1,MATCH(COLUMNS($AD$1006:AH1006),$AD$1006:$AU$1006,0)))),"Fix")))</f>
        <v xml:space="preserve"> </v>
      </c>
      <c r="G38" s="4" t="str">
        <f ca="1">IF(OR(INDEX($X$2:$X$1001,MATCH(ROWS($W$2:W38),$W$2:$W$1001,0),1)&gt;=100000,INDEX($AD$1005:$AU$1005,1,MATCH(COLUMNS($AD$1006:AI1006),$AD$1006:$AU$1006,0))&gt;=100000), " ",IF(INDEX($AD$2:$AU$1001,MATCH(ROWS($W$2:W38),$W$2:$W$1001,0),MATCH(COLUMNS($AD$1006:AI1006),$AD$1006:$AU$1006,0)), HYPERLINK("#",""), HYPERLINK(CONCATENATE("#metadata!", ADDRESS(INDEX($Y$2:$Y$1001,MATCH(ROWS($W$2:W38),$W$2:$W$1001,0),0), INDEX($AD$1004:$AU$1004,1,MATCH(COLUMNS($AD$1006:AI1006),$AD$1006:$AU$1006,0)))),"Fix")))</f>
        <v xml:space="preserve"> </v>
      </c>
      <c r="H38" s="4" t="str">
        <f ca="1">IF(OR(INDEX($X$2:$X$1001,MATCH(ROWS($W$2:W38),$W$2:$W$1001,0),1)&gt;=100000,INDEX($AD$1005:$AU$1005,1,MATCH(COLUMNS($AD$1006:AJ1006),$AD$1006:$AU$1006,0))&gt;=100000), " ",IF(INDEX($AD$2:$AU$1001,MATCH(ROWS($W$2:W38),$W$2:$W$1001,0),MATCH(COLUMNS($AD$1006:AJ1006),$AD$1006:$AU$1006,0)), HYPERLINK("#",""), HYPERLINK(CONCATENATE("#metadata!", ADDRESS(INDEX($Y$2:$Y$1001,MATCH(ROWS($W$2:W38),$W$2:$W$1001,0),0), INDEX($AD$1004:$AU$1004,1,MATCH(COLUMNS($AD$1006:AJ1006),$AD$1006:$AU$1006,0)))),"Fix")))</f>
        <v xml:space="preserve"> </v>
      </c>
      <c r="I38" s="4" t="str">
        <f ca="1">IF(OR(INDEX($X$2:$X$1001,MATCH(ROWS($W$2:W38),$W$2:$W$1001,0),1)&gt;=100000,INDEX($AD$1005:$AU$1005,1,MATCH(COLUMNS($AD$1006:AK1006),$AD$1006:$AU$1006,0))&gt;=100000), " ",IF(INDEX($AD$2:$AU$1001,MATCH(ROWS($W$2:W38),$W$2:$W$1001,0),MATCH(COLUMNS($AD$1006:AK1006),$AD$1006:$AU$1006,0)), HYPERLINK("#",""), HYPERLINK(CONCATENATE("#metadata!", ADDRESS(INDEX($Y$2:$Y$1001,MATCH(ROWS($W$2:W38),$W$2:$W$1001,0),0), INDEX($AD$1004:$AU$1004,1,MATCH(COLUMNS($AD$1006:AK1006),$AD$1006:$AU$1006,0)))),"Fix")))</f>
        <v xml:space="preserve"> </v>
      </c>
      <c r="J38" s="4" t="str">
        <f ca="1">IF(OR(INDEX($X$2:$X$1001,MATCH(ROWS($W$2:W38),$W$2:$W$1001,0),1)&gt;=100000,INDEX($AD$1005:$AU$1005,1,MATCH(COLUMNS($AD$1006:AL1006),$AD$1006:$AU$1006,0))&gt;=100000), " ",IF(INDEX($AD$2:$AU$1001,MATCH(ROWS($W$2:W38),$W$2:$W$1001,0),MATCH(COLUMNS($AD$1006:AL1006),$AD$1006:$AU$1006,0)), HYPERLINK("#",""), HYPERLINK(CONCATENATE("#metadata!", ADDRESS(INDEX($Y$2:$Y$1001,MATCH(ROWS($W$2:W38),$W$2:$W$1001,0),0), INDEX($AD$1004:$AU$1004,1,MATCH(COLUMNS($AD$1006:AL1006),$AD$1006:$AU$1006,0)))),"Fix")))</f>
        <v xml:space="preserve"> </v>
      </c>
      <c r="K38" s="4" t="str">
        <f ca="1">IF(OR(INDEX($X$2:$X$1001,MATCH(ROWS($W$2:W38),$W$2:$W$1001,0),1)&gt;=100000,INDEX($AD$1005:$AU$1005,1,MATCH(COLUMNS($AD$1006:AM1006),$AD$1006:$AU$1006,0))&gt;=100000), " ",IF(INDEX($AD$2:$AU$1001,MATCH(ROWS($W$2:W38),$W$2:$W$1001,0),MATCH(COLUMNS($AD$1006:AM1006),$AD$1006:$AU$1006,0)), HYPERLINK("#",""), HYPERLINK(CONCATENATE("#metadata!", ADDRESS(INDEX($Y$2:$Y$1001,MATCH(ROWS($W$2:W38),$W$2:$W$1001,0),0), INDEX($AD$1004:$AU$1004,1,MATCH(COLUMNS($AD$1006:AM1006),$AD$1006:$AU$1006,0)))),"Fix")))</f>
        <v xml:space="preserve"> </v>
      </c>
      <c r="L38" s="4" t="str">
        <f ca="1">IF(OR(INDEX($X$2:$X$1001,MATCH(ROWS($W$2:W38),$W$2:$W$1001,0),1)&gt;=100000,INDEX($AD$1005:$AU$1005,1,MATCH(COLUMNS($AD$1006:AN1006),$AD$1006:$AU$1006,0))&gt;=100000), " ",IF(INDEX($AD$2:$AU$1001,MATCH(ROWS($W$2:W38),$W$2:$W$1001,0),MATCH(COLUMNS($AD$1006:AN1006),$AD$1006:$AU$1006,0)), HYPERLINK("#",""), HYPERLINK(CONCATENATE("#metadata!", ADDRESS(INDEX($Y$2:$Y$1001,MATCH(ROWS($W$2:W38),$W$2:$W$1001,0),0), INDEX($AD$1004:$AU$1004,1,MATCH(COLUMNS($AD$1006:AN1006),$AD$1006:$AU$1006,0)))),"Fix")))</f>
        <v xml:space="preserve"> </v>
      </c>
      <c r="M38" s="4" t="str">
        <f ca="1">IF(OR(INDEX($X$2:$X$1001,MATCH(ROWS($W$2:W38),$W$2:$W$1001,0),1)&gt;=100000,INDEX($AD$1005:$AU$1005,1,MATCH(COLUMNS($AD$1006:AO1006),$AD$1006:$AU$1006,0))&gt;=100000), " ",IF(INDEX($AD$2:$AU$1001,MATCH(ROWS($W$2:W38),$W$2:$W$1001,0),MATCH(COLUMNS($AD$1006:AO1006),$AD$1006:$AU$1006,0)), HYPERLINK("#",""), HYPERLINK(CONCATENATE("#metadata!", ADDRESS(INDEX($Y$2:$Y$1001,MATCH(ROWS($W$2:W38),$W$2:$W$1001,0),0), INDEX($AD$1004:$AU$1004,1,MATCH(COLUMNS($AD$1006:AO1006),$AD$1006:$AU$1006,0)))),"Fix")))</f>
        <v xml:space="preserve"> </v>
      </c>
      <c r="N38" s="4" t="str">
        <f ca="1">IF(OR(INDEX($X$2:$X$1001,MATCH(ROWS($W$2:W38),$W$2:$W$1001,0),1)&gt;=100000,INDEX($AD$1005:$AU$1005,1,MATCH(COLUMNS($AD$1006:AP1006),$AD$1006:$AU$1006,0))&gt;=100000), " ",IF(INDEX($AD$2:$AU$1001,MATCH(ROWS($W$2:W38),$W$2:$W$1001,0),MATCH(COLUMNS($AD$1006:AP1006),$AD$1006:$AU$1006,0)), HYPERLINK("#",""), HYPERLINK(CONCATENATE("#metadata!", ADDRESS(INDEX($Y$2:$Y$1001,MATCH(ROWS($W$2:W38),$W$2:$W$1001,0),0), INDEX($AD$1004:$AU$1004,1,MATCH(COLUMNS($AD$1006:AP1006),$AD$1006:$AU$1006,0)))),"Fix")))</f>
        <v xml:space="preserve"> </v>
      </c>
      <c r="O38" s="4" t="str">
        <f ca="1">IF(OR(INDEX($X$2:$X$1001,MATCH(ROWS($W$2:W38),$W$2:$W$1001,0),1)&gt;=100000,INDEX($AD$1005:$AU$1005,1,MATCH(COLUMNS($AD$1006:AQ1006),$AD$1006:$AU$1006,0))&gt;=100000), " ",IF(INDEX($AD$2:$AU$1001,MATCH(ROWS($W$2:W38),$W$2:$W$1001,0),MATCH(COLUMNS($AD$1006:AQ1006),$AD$1006:$AU$1006,0)), HYPERLINK("#",""), HYPERLINK(CONCATENATE("#metadata!", ADDRESS(INDEX($Y$2:$Y$1001,MATCH(ROWS($W$2:W38),$W$2:$W$1001,0),0), INDEX($AD$1004:$AU$1004,1,MATCH(COLUMNS($AD$1006:AQ1006),$AD$1006:$AU$1006,0)))),"Fix")))</f>
        <v xml:space="preserve"> </v>
      </c>
      <c r="P38" s="4" t="str">
        <f ca="1">IF(OR(INDEX($X$2:$X$1001,MATCH(ROWS($W$2:W38),$W$2:$W$1001,0),1)&gt;=100000,INDEX($AD$1005:$AU$1005,1,MATCH(COLUMNS($AD$1006:AR1006),$AD$1006:$AU$1006,0))&gt;=100000), " ",IF(INDEX($AD$2:$AU$1001,MATCH(ROWS($W$2:W38),$W$2:$W$1001,0),MATCH(COLUMNS($AD$1006:AR1006),$AD$1006:$AU$1006,0)), HYPERLINK("#",""), HYPERLINK(CONCATENATE("#metadata!", ADDRESS(INDEX($Y$2:$Y$1001,MATCH(ROWS($W$2:W38),$W$2:$W$1001,0),0), INDEX($AD$1004:$AU$1004,1,MATCH(COLUMNS($AD$1006:AR1006),$AD$1006:$AU$1006,0)))),"Fix")))</f>
        <v xml:space="preserve"> </v>
      </c>
      <c r="Q38" s="4" t="str">
        <f ca="1">IF(OR(INDEX($X$2:$X$1001,MATCH(ROWS($W$2:W38),$W$2:$W$1001,0),1)&gt;=100000,INDEX($AD$1005:$AU$1005,1,MATCH(COLUMNS($AD$1006:AS1006),$AD$1006:$AU$1006,0))&gt;=100000), " ",IF(INDEX($AD$2:$AU$1001,MATCH(ROWS($W$2:W38),$W$2:$W$1001,0),MATCH(COLUMNS($AD$1006:AS1006),$AD$1006:$AU$1006,0)), HYPERLINK("#",""), HYPERLINK(CONCATENATE("#metadata!", ADDRESS(INDEX($Y$2:$Y$1001,MATCH(ROWS($W$2:W38),$W$2:$W$1001,0),0), INDEX($AD$1004:$AU$1004,1,MATCH(COLUMNS($AD$1006:AS1006),$AD$1006:$AU$1006,0)))),"Fix")))</f>
        <v xml:space="preserve"> </v>
      </c>
      <c r="R38" s="4" t="str">
        <f ca="1">IF(OR(INDEX($X$2:$X$1001,MATCH(ROWS($W$2:W38),$W$2:$W$1001,0),1)&gt;=100000,INDEX($AD$1005:$AU$1005,1,MATCH(COLUMNS($AD$1006:AT1006),$AD$1006:$AU$1006,0))&gt;=100000), " ",IF(INDEX($AD$2:$AU$1001,MATCH(ROWS($W$2:W38),$W$2:$W$1001,0),MATCH(COLUMNS($AD$1006:AT1006),$AD$1006:$AU$1006,0)), HYPERLINK("#",""), HYPERLINK(CONCATENATE("#metadata!", ADDRESS(INDEX($Y$2:$Y$1001,MATCH(ROWS($W$2:W38),$W$2:$W$1001,0),0), INDEX($AD$1004:$AU$1004,1,MATCH(COLUMNS($AD$1006:AT1006),$AD$1006:$AU$1006,0)))),"Fix")))</f>
        <v xml:space="preserve"> </v>
      </c>
      <c r="S38" s="4" t="str">
        <f ca="1">IF(OR(INDEX($X$2:$X$1001,MATCH(ROWS($W$2:W38),$W$2:$W$1001,0),1)&gt;=100000,INDEX($AD$1005:$AU$1005,1,MATCH(COLUMNS($AD$1006:AU1006),$AD$1006:$AU$1006,0))&gt;=100000), " ",IF(INDEX($AD$2:$AU$1001,MATCH(ROWS($W$2:W38),$W$2:$W$1001,0),MATCH(COLUMNS($AD$1006:AU1006),$AD$1006:$AU$1006,0)), HYPERLINK("#",""), HYPERLINK(CONCATENATE("#metadata!", ADDRESS(INDEX($Y$2:$Y$1001,MATCH(ROWS($W$2:W38),$W$2:$W$1001,0),0), INDEX($AD$1004:$AU$1004,1,MATCH(COLUMNS($AD$1006:AU1006),$AD$1006:$AU$1006,0)))),"Fix")))</f>
        <v xml:space="preserve"> </v>
      </c>
      <c r="W38">
        <v>37</v>
      </c>
      <c r="X38">
        <v>100038</v>
      </c>
      <c r="Y38">
        <v>38</v>
      </c>
      <c r="Z38" t="b">
        <f t="shared" si="0"/>
        <v>1</v>
      </c>
      <c r="AA38" t="b">
        <f>COUNTBLANK(metadata!B38:S38)=COLUMNS(metadata!B38:S38)</f>
        <v>1</v>
      </c>
      <c r="AB38" t="str">
        <v/>
      </c>
      <c r="AD38" t="b">
        <f ca="1">AND(IF(metadata!B38="",FALSE,TRUE),COUNTIF(metadata!B:B, metadata!B38) = 1,NOT(ISERROR(SUMPRODUCT(SEARCH(MID(metadata!B38,ROW(INDIRECT("1:"&amp;LEN(metadata!B38))), 1),"0123456789abcdefghijklmnopqrstuvwxyzABCDEFGHIJKLMNOPQRSTUVWXYZ.")))))</f>
        <v>0</v>
      </c>
      <c r="AE38" t="b">
        <f>OR(AND(IF(metadata!C38="",FALSE,TRUE),OR(EXACT(metadata!C38,"not applicable"),EXACT(metadata!C38,"missing: not collected"),EXACT(metadata!C38,"missing: not provided"),EXACT(metadata!C38,"missing: restricted access"))),AND(IF(metadata!C38="",FALSE,ISNUMBER(VALUE(metadata!C38))),metadata!C38&gt;0))</f>
        <v>0</v>
      </c>
      <c r="AF38" t="b">
        <f>AND(IF(metadata!D38="",FALSE,TRUE),EXACT(metadata!D38,"missing: not provided"))</f>
        <v>0</v>
      </c>
      <c r="AG38" t="b">
        <f>AND(IF(metadata!E38="",FALSE,TRUE),EXACT(metadata!E38,"Host-associated"))</f>
        <v>0</v>
      </c>
      <c r="AH38" t="b">
        <f>AND(IF(metadata!F38="",FALSE,TRUE),OR(EXACT(metadata!F38,"Animal"),EXACT(metadata!F38,"Fungus"),EXACT(metadata!F38,"Plant")))</f>
        <v>0</v>
      </c>
      <c r="AI38" t="b">
        <f>AND(IF(metadata!G38="",FALSE,TRUE),OR(EXACT(metadata!G38,"Plant secretion"),EXACT(metadata!G38,"Plant rhizosphere"),EXACT(metadata!G38,"Plant surface"),EXACT(metadata!G38,"Plant corpus"),EXACT(metadata!G38,"Fungus surface"),EXACT(metadata!G38,"Fungus corpus"),EXACT(metadata!G38,"Animal surface"),EXACT(metadata!G38,"Animal proximal gut"),EXACT(metadata!G38,"Animal corpus"),EXACT(metadata!G38,"Animal distal gut"),EXACT(metadata!G38,"Animal secretion")))</f>
        <v>0</v>
      </c>
      <c r="AJ38" t="b">
        <f>OR(AND(IF(metadata!H38="",FALSE,TRUE),OR(EXACT(metadata!H38,"missing: not collected"),EXACT(metadata!H38,"missing: not provided"),EXACT(metadata!H38,"missing: restricted access"))),AND(IF(metadata!H38="",FALSE,TRUE),OR(EXACT(metadata!H38,"organism-associated habitat"),EXACT(metadata!H38,"plant-associated habitat"),EXACT(metadata!H38,"animal-associated habitat"),EXACT(metadata!H38,"insecta-associated habitat"),EXACT(metadata!H38,"mammalia-associated habitat"),EXACT(metadata!H38,"human-associated habitat"),EXACT(metadata!H38,"livestock-associated habitat"))))</f>
        <v>0</v>
      </c>
      <c r="AK38" t="b">
        <f>AND(IF(metadata!I38="",FALSE,TRUE),EXACT(metadata!I38,"host-associated"))</f>
        <v>0</v>
      </c>
      <c r="AL38" t="b">
        <f>OR(AND(IF(metadata!J38="",FALSE,TRUE),OR(EXACT(metadata!J38,"not applicable"),EXACT(metadata!J38,"missing: not collected"),EXACT(metadata!J38,"missing: not provided"),EXACT(metadata!J38,"missing: restricted access"))),AND(IF(metadata!J38="",FALSE,ISNUMBER(VALUE(metadata!J38))),metadata!J38&gt;0))</f>
        <v>0</v>
      </c>
      <c r="AM38" t="b">
        <f>AND(IF(metadata!K38="",FALSE,TRUE),EXACT(metadata!K38,"missing: not provided"))</f>
        <v>0</v>
      </c>
      <c r="AN38" t="b">
        <f>IF(metadata!L38="",FALSE,TRUE)</f>
        <v>0</v>
      </c>
      <c r="AO38" t="b">
        <f>IF(metadata!M38="",FALSE,TRUE)</f>
        <v>0</v>
      </c>
      <c r="AP38" t="b">
        <f>OR(AND(IF(metadata!N38="",FALSE,TRUE),OR(EXACT(metadata!N38,"not applicable"),EXACT(metadata!N38,"missing: not collected"),EXACT(metadata!N38,"missing: not provided"))),AND(IF(metadata!N38="",FALSE,IF(ISERROR(INT(metadata!N38)),FALSE,INT(metadata!N38)=metadata!N38)),metadata!N38&gt;0))</f>
        <v>0</v>
      </c>
      <c r="AQ38" t="b">
        <f>AND(IF(metadata!O38="",FALSE,TRUE),EXACT(metadata!O38,"Not applicable"))</f>
        <v>0</v>
      </c>
      <c r="AR38" t="b">
        <f>OR(AND(IF(metadata!P38="",FALSE,TRUE),OR(EXACT(metadata!P38,"not applicable"),EXACT(metadata!P38,"missing: not collected"),EXACT(metadata!P38,"missing: not provided"),EXACT(metadata!P38,"missing: restricted access"))),IF(metadata!P38="",FALSE,IF(ISERROR(INT(metadata!P38)),FALSE,INT(metadata!P38)=metadata!P38)))</f>
        <v>0</v>
      </c>
      <c r="AS38" t="b">
        <f>AND(IF(metadata!Q38="",FALSE,TRUE),EXACT(metadata!Q38,"Not applicable"))</f>
        <v>0</v>
      </c>
      <c r="AT38" t="b">
        <f>OR(AND(IF(metadata!R38="",FALSE,TRUE),OR(EXACT(metadata!R38,"not applicable"),EXACT(metadata!R38,"missing: not collected"),EXACT(metadata!R38,"missing: not provided"),EXACT(metadata!R38,"missing: restricted access"))),AND(IF(metadata!R38="",FALSE,ISNUMBER(VALUE(metadata!R38))),metadata!R38&gt;0))</f>
        <v>0</v>
      </c>
      <c r="AU38" t="b">
        <f>AND(IF(metadata!S38="",FALSE,TRUE),EXACT(metadata!S38,"missing: not provided"))</f>
        <v>0</v>
      </c>
    </row>
    <row r="39" spans="1:47" x14ac:dyDescent="0.2">
      <c r="A39" s="5" t="str">
        <f ca="1">IF(B39=" "," ",HYPERLINK(CONCATENATE("#metadata!",ADDRESS(INDEX($Y$2:$Y$1001,MATCH(ROWS($W$2:W39),$W$2:$W$1001,0),0),1)),INDEX($AB$2:$AB$1001,MATCH(ROWS($W$2:W39),$W$2:$W$1001,0),0)))</f>
        <v xml:space="preserve"> </v>
      </c>
      <c r="B39" s="4" t="str">
        <f ca="1">IF(OR(INDEX($X$2:$X$1001,MATCH(ROWS($W$2:W39),$W$2:$W$1001,0),1)&gt;=100000,INDEX($AD$1005:$AU$1005,1,MATCH(COLUMNS($AD$1006:AD1006),$AD$1006:$AU$1006,0))&gt;=100000), " ",IF(INDEX($AD$2:$AU$1001,MATCH(ROWS($W$2:W39),$W$2:$W$1001,0),MATCH(COLUMNS($AD$1006:AD1006),$AD$1006:$AU$1006,0)), HYPERLINK("#",""), HYPERLINK(CONCATENATE("#metadata!", ADDRESS(INDEX($Y$2:$Y$1001,MATCH(ROWS($W$2:W39),$W$2:$W$1001,0),0), INDEX($AD$1004:$AU$1004,1,MATCH(COLUMNS($AD$1006:AD1006),$AD$1006:$AU$1006,0)))),"Fix")))</f>
        <v xml:space="preserve"> </v>
      </c>
      <c r="C39" s="4" t="str">
        <f ca="1">IF(OR(INDEX($X$2:$X$1001,MATCH(ROWS($W$2:W39),$W$2:$W$1001,0),1)&gt;=100000,INDEX($AD$1005:$AU$1005,1,MATCH(COLUMNS($AD$1006:AE1006),$AD$1006:$AU$1006,0))&gt;=100000), " ",IF(INDEX($AD$2:$AU$1001,MATCH(ROWS($W$2:W39),$W$2:$W$1001,0),MATCH(COLUMNS($AD$1006:AE1006),$AD$1006:$AU$1006,0)), HYPERLINK("#",""), HYPERLINK(CONCATENATE("#metadata!", ADDRESS(INDEX($Y$2:$Y$1001,MATCH(ROWS($W$2:W39),$W$2:$W$1001,0),0), INDEX($AD$1004:$AU$1004,1,MATCH(COLUMNS($AD$1006:AE1006),$AD$1006:$AU$1006,0)))),"Fix")))</f>
        <v xml:space="preserve"> </v>
      </c>
      <c r="D39" s="4" t="str">
        <f ca="1">IF(OR(INDEX($X$2:$X$1001,MATCH(ROWS($W$2:W39),$W$2:$W$1001,0),1)&gt;=100000,INDEX($AD$1005:$AU$1005,1,MATCH(COLUMNS($AD$1006:AF1006),$AD$1006:$AU$1006,0))&gt;=100000), " ",IF(INDEX($AD$2:$AU$1001,MATCH(ROWS($W$2:W39),$W$2:$W$1001,0),MATCH(COLUMNS($AD$1006:AF1006),$AD$1006:$AU$1006,0)), HYPERLINK("#",""), HYPERLINK(CONCATENATE("#metadata!", ADDRESS(INDEX($Y$2:$Y$1001,MATCH(ROWS($W$2:W39),$W$2:$W$1001,0),0), INDEX($AD$1004:$AU$1004,1,MATCH(COLUMNS($AD$1006:AF1006),$AD$1006:$AU$1006,0)))),"Fix")))</f>
        <v xml:space="preserve"> </v>
      </c>
      <c r="E39" s="4" t="str">
        <f ca="1">IF(OR(INDEX($X$2:$X$1001,MATCH(ROWS($W$2:W39),$W$2:$W$1001,0),1)&gt;=100000,INDEX($AD$1005:$AU$1005,1,MATCH(COLUMNS($AD$1006:AG1006),$AD$1006:$AU$1006,0))&gt;=100000), " ",IF(INDEX($AD$2:$AU$1001,MATCH(ROWS($W$2:W39),$W$2:$W$1001,0),MATCH(COLUMNS($AD$1006:AG1006),$AD$1006:$AU$1006,0)), HYPERLINK("#",""), HYPERLINK(CONCATENATE("#metadata!", ADDRESS(INDEX($Y$2:$Y$1001,MATCH(ROWS($W$2:W39),$W$2:$W$1001,0),0), INDEX($AD$1004:$AU$1004,1,MATCH(COLUMNS($AD$1006:AG1006),$AD$1006:$AU$1006,0)))),"Fix")))</f>
        <v xml:space="preserve"> </v>
      </c>
      <c r="F39" s="4" t="str">
        <f ca="1">IF(OR(INDEX($X$2:$X$1001,MATCH(ROWS($W$2:W39),$W$2:$W$1001,0),1)&gt;=100000,INDEX($AD$1005:$AU$1005,1,MATCH(COLUMNS($AD$1006:AH1006),$AD$1006:$AU$1006,0))&gt;=100000), " ",IF(INDEX($AD$2:$AU$1001,MATCH(ROWS($W$2:W39),$W$2:$W$1001,0),MATCH(COLUMNS($AD$1006:AH1006),$AD$1006:$AU$1006,0)), HYPERLINK("#",""), HYPERLINK(CONCATENATE("#metadata!", ADDRESS(INDEX($Y$2:$Y$1001,MATCH(ROWS($W$2:W39),$W$2:$W$1001,0),0), INDEX($AD$1004:$AU$1004,1,MATCH(COLUMNS($AD$1006:AH1006),$AD$1006:$AU$1006,0)))),"Fix")))</f>
        <v xml:space="preserve"> </v>
      </c>
      <c r="G39" s="4" t="str">
        <f ca="1">IF(OR(INDEX($X$2:$X$1001,MATCH(ROWS($W$2:W39),$W$2:$W$1001,0),1)&gt;=100000,INDEX($AD$1005:$AU$1005,1,MATCH(COLUMNS($AD$1006:AI1006),$AD$1006:$AU$1006,0))&gt;=100000), " ",IF(INDEX($AD$2:$AU$1001,MATCH(ROWS($W$2:W39),$W$2:$W$1001,0),MATCH(COLUMNS($AD$1006:AI1006),$AD$1006:$AU$1006,0)), HYPERLINK("#",""), HYPERLINK(CONCATENATE("#metadata!", ADDRESS(INDEX($Y$2:$Y$1001,MATCH(ROWS($W$2:W39),$W$2:$W$1001,0),0), INDEX($AD$1004:$AU$1004,1,MATCH(COLUMNS($AD$1006:AI1006),$AD$1006:$AU$1006,0)))),"Fix")))</f>
        <v xml:space="preserve"> </v>
      </c>
      <c r="H39" s="4" t="str">
        <f ca="1">IF(OR(INDEX($X$2:$X$1001,MATCH(ROWS($W$2:W39),$W$2:$W$1001,0),1)&gt;=100000,INDEX($AD$1005:$AU$1005,1,MATCH(COLUMNS($AD$1006:AJ1006),$AD$1006:$AU$1006,0))&gt;=100000), " ",IF(INDEX($AD$2:$AU$1001,MATCH(ROWS($W$2:W39),$W$2:$W$1001,0),MATCH(COLUMNS($AD$1006:AJ1006),$AD$1006:$AU$1006,0)), HYPERLINK("#",""), HYPERLINK(CONCATENATE("#metadata!", ADDRESS(INDEX($Y$2:$Y$1001,MATCH(ROWS($W$2:W39),$W$2:$W$1001,0),0), INDEX($AD$1004:$AU$1004,1,MATCH(COLUMNS($AD$1006:AJ1006),$AD$1006:$AU$1006,0)))),"Fix")))</f>
        <v xml:space="preserve"> </v>
      </c>
      <c r="I39" s="4" t="str">
        <f ca="1">IF(OR(INDEX($X$2:$X$1001,MATCH(ROWS($W$2:W39),$W$2:$W$1001,0),1)&gt;=100000,INDEX($AD$1005:$AU$1005,1,MATCH(COLUMNS($AD$1006:AK1006),$AD$1006:$AU$1006,0))&gt;=100000), " ",IF(INDEX($AD$2:$AU$1001,MATCH(ROWS($W$2:W39),$W$2:$W$1001,0),MATCH(COLUMNS($AD$1006:AK1006),$AD$1006:$AU$1006,0)), HYPERLINK("#",""), HYPERLINK(CONCATENATE("#metadata!", ADDRESS(INDEX($Y$2:$Y$1001,MATCH(ROWS($W$2:W39),$W$2:$W$1001,0),0), INDEX($AD$1004:$AU$1004,1,MATCH(COLUMNS($AD$1006:AK1006),$AD$1006:$AU$1006,0)))),"Fix")))</f>
        <v xml:space="preserve"> </v>
      </c>
      <c r="J39" s="4" t="str">
        <f ca="1">IF(OR(INDEX($X$2:$X$1001,MATCH(ROWS($W$2:W39),$W$2:$W$1001,0),1)&gt;=100000,INDEX($AD$1005:$AU$1005,1,MATCH(COLUMNS($AD$1006:AL1006),$AD$1006:$AU$1006,0))&gt;=100000), " ",IF(INDEX($AD$2:$AU$1001,MATCH(ROWS($W$2:W39),$W$2:$W$1001,0),MATCH(COLUMNS($AD$1006:AL1006),$AD$1006:$AU$1006,0)), HYPERLINK("#",""), HYPERLINK(CONCATENATE("#metadata!", ADDRESS(INDEX($Y$2:$Y$1001,MATCH(ROWS($W$2:W39),$W$2:$W$1001,0),0), INDEX($AD$1004:$AU$1004,1,MATCH(COLUMNS($AD$1006:AL1006),$AD$1006:$AU$1006,0)))),"Fix")))</f>
        <v xml:space="preserve"> </v>
      </c>
      <c r="K39" s="4" t="str">
        <f ca="1">IF(OR(INDEX($X$2:$X$1001,MATCH(ROWS($W$2:W39),$W$2:$W$1001,0),1)&gt;=100000,INDEX($AD$1005:$AU$1005,1,MATCH(COLUMNS($AD$1006:AM1006),$AD$1006:$AU$1006,0))&gt;=100000), " ",IF(INDEX($AD$2:$AU$1001,MATCH(ROWS($W$2:W39),$W$2:$W$1001,0),MATCH(COLUMNS($AD$1006:AM1006),$AD$1006:$AU$1006,0)), HYPERLINK("#",""), HYPERLINK(CONCATENATE("#metadata!", ADDRESS(INDEX($Y$2:$Y$1001,MATCH(ROWS($W$2:W39),$W$2:$W$1001,0),0), INDEX($AD$1004:$AU$1004,1,MATCH(COLUMNS($AD$1006:AM1006),$AD$1006:$AU$1006,0)))),"Fix")))</f>
        <v xml:space="preserve"> </v>
      </c>
      <c r="L39" s="4" t="str">
        <f ca="1">IF(OR(INDEX($X$2:$X$1001,MATCH(ROWS($W$2:W39),$W$2:$W$1001,0),1)&gt;=100000,INDEX($AD$1005:$AU$1005,1,MATCH(COLUMNS($AD$1006:AN1006),$AD$1006:$AU$1006,0))&gt;=100000), " ",IF(INDEX($AD$2:$AU$1001,MATCH(ROWS($W$2:W39),$W$2:$W$1001,0),MATCH(COLUMNS($AD$1006:AN1006),$AD$1006:$AU$1006,0)), HYPERLINK("#",""), HYPERLINK(CONCATENATE("#metadata!", ADDRESS(INDEX($Y$2:$Y$1001,MATCH(ROWS($W$2:W39),$W$2:$W$1001,0),0), INDEX($AD$1004:$AU$1004,1,MATCH(COLUMNS($AD$1006:AN1006),$AD$1006:$AU$1006,0)))),"Fix")))</f>
        <v xml:space="preserve"> </v>
      </c>
      <c r="M39" s="4" t="str">
        <f ca="1">IF(OR(INDEX($X$2:$X$1001,MATCH(ROWS($W$2:W39),$W$2:$W$1001,0),1)&gt;=100000,INDEX($AD$1005:$AU$1005,1,MATCH(COLUMNS($AD$1006:AO1006),$AD$1006:$AU$1006,0))&gt;=100000), " ",IF(INDEX($AD$2:$AU$1001,MATCH(ROWS($W$2:W39),$W$2:$W$1001,0),MATCH(COLUMNS($AD$1006:AO1006),$AD$1006:$AU$1006,0)), HYPERLINK("#",""), HYPERLINK(CONCATENATE("#metadata!", ADDRESS(INDEX($Y$2:$Y$1001,MATCH(ROWS($W$2:W39),$W$2:$W$1001,0),0), INDEX($AD$1004:$AU$1004,1,MATCH(COLUMNS($AD$1006:AO1006),$AD$1006:$AU$1006,0)))),"Fix")))</f>
        <v xml:space="preserve"> </v>
      </c>
      <c r="N39" s="4" t="str">
        <f ca="1">IF(OR(INDEX($X$2:$X$1001,MATCH(ROWS($W$2:W39),$W$2:$W$1001,0),1)&gt;=100000,INDEX($AD$1005:$AU$1005,1,MATCH(COLUMNS($AD$1006:AP1006),$AD$1006:$AU$1006,0))&gt;=100000), " ",IF(INDEX($AD$2:$AU$1001,MATCH(ROWS($W$2:W39),$W$2:$W$1001,0),MATCH(COLUMNS($AD$1006:AP1006),$AD$1006:$AU$1006,0)), HYPERLINK("#",""), HYPERLINK(CONCATENATE("#metadata!", ADDRESS(INDEX($Y$2:$Y$1001,MATCH(ROWS($W$2:W39),$W$2:$W$1001,0),0), INDEX($AD$1004:$AU$1004,1,MATCH(COLUMNS($AD$1006:AP1006),$AD$1006:$AU$1006,0)))),"Fix")))</f>
        <v xml:space="preserve"> </v>
      </c>
      <c r="O39" s="4" t="str">
        <f ca="1">IF(OR(INDEX($X$2:$X$1001,MATCH(ROWS($W$2:W39),$W$2:$W$1001,0),1)&gt;=100000,INDEX($AD$1005:$AU$1005,1,MATCH(COLUMNS($AD$1006:AQ1006),$AD$1006:$AU$1006,0))&gt;=100000), " ",IF(INDEX($AD$2:$AU$1001,MATCH(ROWS($W$2:W39),$W$2:$W$1001,0),MATCH(COLUMNS($AD$1006:AQ1006),$AD$1006:$AU$1006,0)), HYPERLINK("#",""), HYPERLINK(CONCATENATE("#metadata!", ADDRESS(INDEX($Y$2:$Y$1001,MATCH(ROWS($W$2:W39),$W$2:$W$1001,0),0), INDEX($AD$1004:$AU$1004,1,MATCH(COLUMNS($AD$1006:AQ1006),$AD$1006:$AU$1006,0)))),"Fix")))</f>
        <v xml:space="preserve"> </v>
      </c>
      <c r="P39" s="4" t="str">
        <f ca="1">IF(OR(INDEX($X$2:$X$1001,MATCH(ROWS($W$2:W39),$W$2:$W$1001,0),1)&gt;=100000,INDEX($AD$1005:$AU$1005,1,MATCH(COLUMNS($AD$1006:AR1006),$AD$1006:$AU$1006,0))&gt;=100000), " ",IF(INDEX($AD$2:$AU$1001,MATCH(ROWS($W$2:W39),$W$2:$W$1001,0),MATCH(COLUMNS($AD$1006:AR1006),$AD$1006:$AU$1006,0)), HYPERLINK("#",""), HYPERLINK(CONCATENATE("#metadata!", ADDRESS(INDEX($Y$2:$Y$1001,MATCH(ROWS($W$2:W39),$W$2:$W$1001,0),0), INDEX($AD$1004:$AU$1004,1,MATCH(COLUMNS($AD$1006:AR1006),$AD$1006:$AU$1006,0)))),"Fix")))</f>
        <v xml:space="preserve"> </v>
      </c>
      <c r="Q39" s="4" t="str">
        <f ca="1">IF(OR(INDEX($X$2:$X$1001,MATCH(ROWS($W$2:W39),$W$2:$W$1001,0),1)&gt;=100000,INDEX($AD$1005:$AU$1005,1,MATCH(COLUMNS($AD$1006:AS1006),$AD$1006:$AU$1006,0))&gt;=100000), " ",IF(INDEX($AD$2:$AU$1001,MATCH(ROWS($W$2:W39),$W$2:$W$1001,0),MATCH(COLUMNS($AD$1006:AS1006),$AD$1006:$AU$1006,0)), HYPERLINK("#",""), HYPERLINK(CONCATENATE("#metadata!", ADDRESS(INDEX($Y$2:$Y$1001,MATCH(ROWS($W$2:W39),$W$2:$W$1001,0),0), INDEX($AD$1004:$AU$1004,1,MATCH(COLUMNS($AD$1006:AS1006),$AD$1006:$AU$1006,0)))),"Fix")))</f>
        <v xml:space="preserve"> </v>
      </c>
      <c r="R39" s="4" t="str">
        <f ca="1">IF(OR(INDEX($X$2:$X$1001,MATCH(ROWS($W$2:W39),$W$2:$W$1001,0),1)&gt;=100000,INDEX($AD$1005:$AU$1005,1,MATCH(COLUMNS($AD$1006:AT1006),$AD$1006:$AU$1006,0))&gt;=100000), " ",IF(INDEX($AD$2:$AU$1001,MATCH(ROWS($W$2:W39),$W$2:$W$1001,0),MATCH(COLUMNS($AD$1006:AT1006),$AD$1006:$AU$1006,0)), HYPERLINK("#",""), HYPERLINK(CONCATENATE("#metadata!", ADDRESS(INDEX($Y$2:$Y$1001,MATCH(ROWS($W$2:W39),$W$2:$W$1001,0),0), INDEX($AD$1004:$AU$1004,1,MATCH(COLUMNS($AD$1006:AT1006),$AD$1006:$AU$1006,0)))),"Fix")))</f>
        <v xml:space="preserve"> </v>
      </c>
      <c r="S39" s="4" t="str">
        <f ca="1">IF(OR(INDEX($X$2:$X$1001,MATCH(ROWS($W$2:W39),$W$2:$W$1001,0),1)&gt;=100000,INDEX($AD$1005:$AU$1005,1,MATCH(COLUMNS($AD$1006:AU1006),$AD$1006:$AU$1006,0))&gt;=100000), " ",IF(INDEX($AD$2:$AU$1001,MATCH(ROWS($W$2:W39),$W$2:$W$1001,0),MATCH(COLUMNS($AD$1006:AU1006),$AD$1006:$AU$1006,0)), HYPERLINK("#",""), HYPERLINK(CONCATENATE("#metadata!", ADDRESS(INDEX($Y$2:$Y$1001,MATCH(ROWS($W$2:W39),$W$2:$W$1001,0),0), INDEX($AD$1004:$AU$1004,1,MATCH(COLUMNS($AD$1006:AU1006),$AD$1006:$AU$1006,0)))),"Fix")))</f>
        <v xml:space="preserve"> </v>
      </c>
      <c r="W39">
        <v>38</v>
      </c>
      <c r="X39">
        <v>100039</v>
      </c>
      <c r="Y39">
        <v>39</v>
      </c>
      <c r="Z39" t="b">
        <f t="shared" si="0"/>
        <v>1</v>
      </c>
      <c r="AA39" t="b">
        <f>COUNTBLANK(metadata!B39:S39)=COLUMNS(metadata!B39:S39)</f>
        <v>1</v>
      </c>
      <c r="AB39" t="str">
        <v/>
      </c>
      <c r="AD39" t="b">
        <f ca="1">AND(IF(metadata!B39="",FALSE,TRUE),COUNTIF(metadata!B:B, metadata!B39) = 1,NOT(ISERROR(SUMPRODUCT(SEARCH(MID(metadata!B39,ROW(INDIRECT("1:"&amp;LEN(metadata!B39))), 1),"0123456789abcdefghijklmnopqrstuvwxyzABCDEFGHIJKLMNOPQRSTUVWXYZ.")))))</f>
        <v>0</v>
      </c>
      <c r="AE39" t="b">
        <f>OR(AND(IF(metadata!C39="",FALSE,TRUE),OR(EXACT(metadata!C39,"not applicable"),EXACT(metadata!C39,"missing: not collected"),EXACT(metadata!C39,"missing: not provided"),EXACT(metadata!C39,"missing: restricted access"))),AND(IF(metadata!C39="",FALSE,ISNUMBER(VALUE(metadata!C39))),metadata!C39&gt;0))</f>
        <v>0</v>
      </c>
      <c r="AF39" t="b">
        <f>AND(IF(metadata!D39="",FALSE,TRUE),EXACT(metadata!D39,"missing: not provided"))</f>
        <v>0</v>
      </c>
      <c r="AG39" t="b">
        <f>AND(IF(metadata!E39="",FALSE,TRUE),EXACT(metadata!E39,"Host-associated"))</f>
        <v>0</v>
      </c>
      <c r="AH39" t="b">
        <f>AND(IF(metadata!F39="",FALSE,TRUE),OR(EXACT(metadata!F39,"Animal"),EXACT(metadata!F39,"Fungus"),EXACT(metadata!F39,"Plant")))</f>
        <v>0</v>
      </c>
      <c r="AI39" t="b">
        <f>AND(IF(metadata!G39="",FALSE,TRUE),OR(EXACT(metadata!G39,"Plant secretion"),EXACT(metadata!G39,"Plant rhizosphere"),EXACT(metadata!G39,"Plant surface"),EXACT(metadata!G39,"Plant corpus"),EXACT(metadata!G39,"Fungus surface"),EXACT(metadata!G39,"Fungus corpus"),EXACT(metadata!G39,"Animal surface"),EXACT(metadata!G39,"Animal proximal gut"),EXACT(metadata!G39,"Animal corpus"),EXACT(metadata!G39,"Animal distal gut"),EXACT(metadata!G39,"Animal secretion")))</f>
        <v>0</v>
      </c>
      <c r="AJ39" t="b">
        <f>OR(AND(IF(metadata!H39="",FALSE,TRUE),OR(EXACT(metadata!H39,"missing: not collected"),EXACT(metadata!H39,"missing: not provided"),EXACT(metadata!H39,"missing: restricted access"))),AND(IF(metadata!H39="",FALSE,TRUE),OR(EXACT(metadata!H39,"organism-associated habitat"),EXACT(metadata!H39,"plant-associated habitat"),EXACT(metadata!H39,"animal-associated habitat"),EXACT(metadata!H39,"insecta-associated habitat"),EXACT(metadata!H39,"mammalia-associated habitat"),EXACT(metadata!H39,"human-associated habitat"),EXACT(metadata!H39,"livestock-associated habitat"))))</f>
        <v>0</v>
      </c>
      <c r="AK39" t="b">
        <f>AND(IF(metadata!I39="",FALSE,TRUE),EXACT(metadata!I39,"host-associated"))</f>
        <v>0</v>
      </c>
      <c r="AL39" t="b">
        <f>OR(AND(IF(metadata!J39="",FALSE,TRUE),OR(EXACT(metadata!J39,"not applicable"),EXACT(metadata!J39,"missing: not collected"),EXACT(metadata!J39,"missing: not provided"),EXACT(metadata!J39,"missing: restricted access"))),AND(IF(metadata!J39="",FALSE,ISNUMBER(VALUE(metadata!J39))),metadata!J39&gt;0))</f>
        <v>0</v>
      </c>
      <c r="AM39" t="b">
        <f>AND(IF(metadata!K39="",FALSE,TRUE),EXACT(metadata!K39,"missing: not provided"))</f>
        <v>0</v>
      </c>
      <c r="AN39" t="b">
        <f>IF(metadata!L39="",FALSE,TRUE)</f>
        <v>0</v>
      </c>
      <c r="AO39" t="b">
        <f>IF(metadata!M39="",FALSE,TRUE)</f>
        <v>0</v>
      </c>
      <c r="AP39" t="b">
        <f>OR(AND(IF(metadata!N39="",FALSE,TRUE),OR(EXACT(metadata!N39,"not applicable"),EXACT(metadata!N39,"missing: not collected"),EXACT(metadata!N39,"missing: not provided"))),AND(IF(metadata!N39="",FALSE,IF(ISERROR(INT(metadata!N39)),FALSE,INT(metadata!N39)=metadata!N39)),metadata!N39&gt;0))</f>
        <v>0</v>
      </c>
      <c r="AQ39" t="b">
        <f>AND(IF(metadata!O39="",FALSE,TRUE),EXACT(metadata!O39,"Not applicable"))</f>
        <v>0</v>
      </c>
      <c r="AR39" t="b">
        <f>OR(AND(IF(metadata!P39="",FALSE,TRUE),OR(EXACT(metadata!P39,"not applicable"),EXACT(metadata!P39,"missing: not collected"),EXACT(metadata!P39,"missing: not provided"),EXACT(metadata!P39,"missing: restricted access"))),IF(metadata!P39="",FALSE,IF(ISERROR(INT(metadata!P39)),FALSE,INT(metadata!P39)=metadata!P39)))</f>
        <v>0</v>
      </c>
      <c r="AS39" t="b">
        <f>AND(IF(metadata!Q39="",FALSE,TRUE),EXACT(metadata!Q39,"Not applicable"))</f>
        <v>0</v>
      </c>
      <c r="AT39" t="b">
        <f>OR(AND(IF(metadata!R39="",FALSE,TRUE),OR(EXACT(metadata!R39,"not applicable"),EXACT(metadata!R39,"missing: not collected"),EXACT(metadata!R39,"missing: not provided"),EXACT(metadata!R39,"missing: restricted access"))),AND(IF(metadata!R39="",FALSE,ISNUMBER(VALUE(metadata!R39))),metadata!R39&gt;0))</f>
        <v>0</v>
      </c>
      <c r="AU39" t="b">
        <f>AND(IF(metadata!S39="",FALSE,TRUE),EXACT(metadata!S39,"missing: not provided"))</f>
        <v>0</v>
      </c>
    </row>
    <row r="40" spans="1:47" x14ac:dyDescent="0.2">
      <c r="A40" s="5" t="str">
        <f ca="1">IF(B40=" "," ",HYPERLINK(CONCATENATE("#metadata!",ADDRESS(INDEX($Y$2:$Y$1001,MATCH(ROWS($W$2:W40),$W$2:$W$1001,0),0),1)),INDEX($AB$2:$AB$1001,MATCH(ROWS($W$2:W40),$W$2:$W$1001,0),0)))</f>
        <v xml:space="preserve"> </v>
      </c>
      <c r="B40" s="4" t="str">
        <f ca="1">IF(OR(INDEX($X$2:$X$1001,MATCH(ROWS($W$2:W40),$W$2:$W$1001,0),1)&gt;=100000,INDEX($AD$1005:$AU$1005,1,MATCH(COLUMNS($AD$1006:AD1006),$AD$1006:$AU$1006,0))&gt;=100000), " ",IF(INDEX($AD$2:$AU$1001,MATCH(ROWS($W$2:W40),$W$2:$W$1001,0),MATCH(COLUMNS($AD$1006:AD1006),$AD$1006:$AU$1006,0)), HYPERLINK("#",""), HYPERLINK(CONCATENATE("#metadata!", ADDRESS(INDEX($Y$2:$Y$1001,MATCH(ROWS($W$2:W40),$W$2:$W$1001,0),0), INDEX($AD$1004:$AU$1004,1,MATCH(COLUMNS($AD$1006:AD1006),$AD$1006:$AU$1006,0)))),"Fix")))</f>
        <v xml:space="preserve"> </v>
      </c>
      <c r="C40" s="4" t="str">
        <f ca="1">IF(OR(INDEX($X$2:$X$1001,MATCH(ROWS($W$2:W40),$W$2:$W$1001,0),1)&gt;=100000,INDEX($AD$1005:$AU$1005,1,MATCH(COLUMNS($AD$1006:AE1006),$AD$1006:$AU$1006,0))&gt;=100000), " ",IF(INDEX($AD$2:$AU$1001,MATCH(ROWS($W$2:W40),$W$2:$W$1001,0),MATCH(COLUMNS($AD$1006:AE1006),$AD$1006:$AU$1006,0)), HYPERLINK("#",""), HYPERLINK(CONCATENATE("#metadata!", ADDRESS(INDEX($Y$2:$Y$1001,MATCH(ROWS($W$2:W40),$W$2:$W$1001,0),0), INDEX($AD$1004:$AU$1004,1,MATCH(COLUMNS($AD$1006:AE1006),$AD$1006:$AU$1006,0)))),"Fix")))</f>
        <v xml:space="preserve"> </v>
      </c>
      <c r="D40" s="4" t="str">
        <f ca="1">IF(OR(INDEX($X$2:$X$1001,MATCH(ROWS($W$2:W40),$W$2:$W$1001,0),1)&gt;=100000,INDEX($AD$1005:$AU$1005,1,MATCH(COLUMNS($AD$1006:AF1006),$AD$1006:$AU$1006,0))&gt;=100000), " ",IF(INDEX($AD$2:$AU$1001,MATCH(ROWS($W$2:W40),$W$2:$W$1001,0),MATCH(COLUMNS($AD$1006:AF1006),$AD$1006:$AU$1006,0)), HYPERLINK("#",""), HYPERLINK(CONCATENATE("#metadata!", ADDRESS(INDEX($Y$2:$Y$1001,MATCH(ROWS($W$2:W40),$W$2:$W$1001,0),0), INDEX($AD$1004:$AU$1004,1,MATCH(COLUMNS($AD$1006:AF1006),$AD$1006:$AU$1006,0)))),"Fix")))</f>
        <v xml:space="preserve"> </v>
      </c>
      <c r="E40" s="4" t="str">
        <f ca="1">IF(OR(INDEX($X$2:$X$1001,MATCH(ROWS($W$2:W40),$W$2:$W$1001,0),1)&gt;=100000,INDEX($AD$1005:$AU$1005,1,MATCH(COLUMNS($AD$1006:AG1006),$AD$1006:$AU$1006,0))&gt;=100000), " ",IF(INDEX($AD$2:$AU$1001,MATCH(ROWS($W$2:W40),$W$2:$W$1001,0),MATCH(COLUMNS($AD$1006:AG1006),$AD$1006:$AU$1006,0)), HYPERLINK("#",""), HYPERLINK(CONCATENATE("#metadata!", ADDRESS(INDEX($Y$2:$Y$1001,MATCH(ROWS($W$2:W40),$W$2:$W$1001,0),0), INDEX($AD$1004:$AU$1004,1,MATCH(COLUMNS($AD$1006:AG1006),$AD$1006:$AU$1006,0)))),"Fix")))</f>
        <v xml:space="preserve"> </v>
      </c>
      <c r="F40" s="4" t="str">
        <f ca="1">IF(OR(INDEX($X$2:$X$1001,MATCH(ROWS($W$2:W40),$W$2:$W$1001,0),1)&gt;=100000,INDEX($AD$1005:$AU$1005,1,MATCH(COLUMNS($AD$1006:AH1006),$AD$1006:$AU$1006,0))&gt;=100000), " ",IF(INDEX($AD$2:$AU$1001,MATCH(ROWS($W$2:W40),$W$2:$W$1001,0),MATCH(COLUMNS($AD$1006:AH1006),$AD$1006:$AU$1006,0)), HYPERLINK("#",""), HYPERLINK(CONCATENATE("#metadata!", ADDRESS(INDEX($Y$2:$Y$1001,MATCH(ROWS($W$2:W40),$W$2:$W$1001,0),0), INDEX($AD$1004:$AU$1004,1,MATCH(COLUMNS($AD$1006:AH1006),$AD$1006:$AU$1006,0)))),"Fix")))</f>
        <v xml:space="preserve"> </v>
      </c>
      <c r="G40" s="4" t="str">
        <f ca="1">IF(OR(INDEX($X$2:$X$1001,MATCH(ROWS($W$2:W40),$W$2:$W$1001,0),1)&gt;=100000,INDEX($AD$1005:$AU$1005,1,MATCH(COLUMNS($AD$1006:AI1006),$AD$1006:$AU$1006,0))&gt;=100000), " ",IF(INDEX($AD$2:$AU$1001,MATCH(ROWS($W$2:W40),$W$2:$W$1001,0),MATCH(COLUMNS($AD$1006:AI1006),$AD$1006:$AU$1006,0)), HYPERLINK("#",""), HYPERLINK(CONCATENATE("#metadata!", ADDRESS(INDEX($Y$2:$Y$1001,MATCH(ROWS($W$2:W40),$W$2:$W$1001,0),0), INDEX($AD$1004:$AU$1004,1,MATCH(COLUMNS($AD$1006:AI1006),$AD$1006:$AU$1006,0)))),"Fix")))</f>
        <v xml:space="preserve"> </v>
      </c>
      <c r="H40" s="4" t="str">
        <f ca="1">IF(OR(INDEX($X$2:$X$1001,MATCH(ROWS($W$2:W40),$W$2:$W$1001,0),1)&gt;=100000,INDEX($AD$1005:$AU$1005,1,MATCH(COLUMNS($AD$1006:AJ1006),$AD$1006:$AU$1006,0))&gt;=100000), " ",IF(INDEX($AD$2:$AU$1001,MATCH(ROWS($W$2:W40),$W$2:$W$1001,0),MATCH(COLUMNS($AD$1006:AJ1006),$AD$1006:$AU$1006,0)), HYPERLINK("#",""), HYPERLINK(CONCATENATE("#metadata!", ADDRESS(INDEX($Y$2:$Y$1001,MATCH(ROWS($W$2:W40),$W$2:$W$1001,0),0), INDEX($AD$1004:$AU$1004,1,MATCH(COLUMNS($AD$1006:AJ1006),$AD$1006:$AU$1006,0)))),"Fix")))</f>
        <v xml:space="preserve"> </v>
      </c>
      <c r="I40" s="4" t="str">
        <f ca="1">IF(OR(INDEX($X$2:$X$1001,MATCH(ROWS($W$2:W40),$W$2:$W$1001,0),1)&gt;=100000,INDEX($AD$1005:$AU$1005,1,MATCH(COLUMNS($AD$1006:AK1006),$AD$1006:$AU$1006,0))&gt;=100000), " ",IF(INDEX($AD$2:$AU$1001,MATCH(ROWS($W$2:W40),$W$2:$W$1001,0),MATCH(COLUMNS($AD$1006:AK1006),$AD$1006:$AU$1006,0)), HYPERLINK("#",""), HYPERLINK(CONCATENATE("#metadata!", ADDRESS(INDEX($Y$2:$Y$1001,MATCH(ROWS($W$2:W40),$W$2:$W$1001,0),0), INDEX($AD$1004:$AU$1004,1,MATCH(COLUMNS($AD$1006:AK1006),$AD$1006:$AU$1006,0)))),"Fix")))</f>
        <v xml:space="preserve"> </v>
      </c>
      <c r="J40" s="4" t="str">
        <f ca="1">IF(OR(INDEX($X$2:$X$1001,MATCH(ROWS($W$2:W40),$W$2:$W$1001,0),1)&gt;=100000,INDEX($AD$1005:$AU$1005,1,MATCH(COLUMNS($AD$1006:AL1006),$AD$1006:$AU$1006,0))&gt;=100000), " ",IF(INDEX($AD$2:$AU$1001,MATCH(ROWS($W$2:W40),$W$2:$W$1001,0),MATCH(COLUMNS($AD$1006:AL1006),$AD$1006:$AU$1006,0)), HYPERLINK("#",""), HYPERLINK(CONCATENATE("#metadata!", ADDRESS(INDEX($Y$2:$Y$1001,MATCH(ROWS($W$2:W40),$W$2:$W$1001,0),0), INDEX($AD$1004:$AU$1004,1,MATCH(COLUMNS($AD$1006:AL1006),$AD$1006:$AU$1006,0)))),"Fix")))</f>
        <v xml:space="preserve"> </v>
      </c>
      <c r="K40" s="4" t="str">
        <f ca="1">IF(OR(INDEX($X$2:$X$1001,MATCH(ROWS($W$2:W40),$W$2:$W$1001,0),1)&gt;=100000,INDEX($AD$1005:$AU$1005,1,MATCH(COLUMNS($AD$1006:AM1006),$AD$1006:$AU$1006,0))&gt;=100000), " ",IF(INDEX($AD$2:$AU$1001,MATCH(ROWS($W$2:W40),$W$2:$W$1001,0),MATCH(COLUMNS($AD$1006:AM1006),$AD$1006:$AU$1006,0)), HYPERLINK("#",""), HYPERLINK(CONCATENATE("#metadata!", ADDRESS(INDEX($Y$2:$Y$1001,MATCH(ROWS($W$2:W40),$W$2:$W$1001,0),0), INDEX($AD$1004:$AU$1004,1,MATCH(COLUMNS($AD$1006:AM1006),$AD$1006:$AU$1006,0)))),"Fix")))</f>
        <v xml:space="preserve"> </v>
      </c>
      <c r="L40" s="4" t="str">
        <f ca="1">IF(OR(INDEX($X$2:$X$1001,MATCH(ROWS($W$2:W40),$W$2:$W$1001,0),1)&gt;=100000,INDEX($AD$1005:$AU$1005,1,MATCH(COLUMNS($AD$1006:AN1006),$AD$1006:$AU$1006,0))&gt;=100000), " ",IF(INDEX($AD$2:$AU$1001,MATCH(ROWS($W$2:W40),$W$2:$W$1001,0),MATCH(COLUMNS($AD$1006:AN1006),$AD$1006:$AU$1006,0)), HYPERLINK("#",""), HYPERLINK(CONCATENATE("#metadata!", ADDRESS(INDEX($Y$2:$Y$1001,MATCH(ROWS($W$2:W40),$W$2:$W$1001,0),0), INDEX($AD$1004:$AU$1004,1,MATCH(COLUMNS($AD$1006:AN1006),$AD$1006:$AU$1006,0)))),"Fix")))</f>
        <v xml:space="preserve"> </v>
      </c>
      <c r="M40" s="4" t="str">
        <f ca="1">IF(OR(INDEX($X$2:$X$1001,MATCH(ROWS($W$2:W40),$W$2:$W$1001,0),1)&gt;=100000,INDEX($AD$1005:$AU$1005,1,MATCH(COLUMNS($AD$1006:AO1006),$AD$1006:$AU$1006,0))&gt;=100000), " ",IF(INDEX($AD$2:$AU$1001,MATCH(ROWS($W$2:W40),$W$2:$W$1001,0),MATCH(COLUMNS($AD$1006:AO1006),$AD$1006:$AU$1006,0)), HYPERLINK("#",""), HYPERLINK(CONCATENATE("#metadata!", ADDRESS(INDEX($Y$2:$Y$1001,MATCH(ROWS($W$2:W40),$W$2:$W$1001,0),0), INDEX($AD$1004:$AU$1004,1,MATCH(COLUMNS($AD$1006:AO1006),$AD$1006:$AU$1006,0)))),"Fix")))</f>
        <v xml:space="preserve"> </v>
      </c>
      <c r="N40" s="4" t="str">
        <f ca="1">IF(OR(INDEX($X$2:$X$1001,MATCH(ROWS($W$2:W40),$W$2:$W$1001,0),1)&gt;=100000,INDEX($AD$1005:$AU$1005,1,MATCH(COLUMNS($AD$1006:AP1006),$AD$1006:$AU$1006,0))&gt;=100000), " ",IF(INDEX($AD$2:$AU$1001,MATCH(ROWS($W$2:W40),$W$2:$W$1001,0),MATCH(COLUMNS($AD$1006:AP1006),$AD$1006:$AU$1006,0)), HYPERLINK("#",""), HYPERLINK(CONCATENATE("#metadata!", ADDRESS(INDEX($Y$2:$Y$1001,MATCH(ROWS($W$2:W40),$W$2:$W$1001,0),0), INDEX($AD$1004:$AU$1004,1,MATCH(COLUMNS($AD$1006:AP1006),$AD$1006:$AU$1006,0)))),"Fix")))</f>
        <v xml:space="preserve"> </v>
      </c>
      <c r="O40" s="4" t="str">
        <f ca="1">IF(OR(INDEX($X$2:$X$1001,MATCH(ROWS($W$2:W40),$W$2:$W$1001,0),1)&gt;=100000,INDEX($AD$1005:$AU$1005,1,MATCH(COLUMNS($AD$1006:AQ1006),$AD$1006:$AU$1006,0))&gt;=100000), " ",IF(INDEX($AD$2:$AU$1001,MATCH(ROWS($W$2:W40),$W$2:$W$1001,0),MATCH(COLUMNS($AD$1006:AQ1006),$AD$1006:$AU$1006,0)), HYPERLINK("#",""), HYPERLINK(CONCATENATE("#metadata!", ADDRESS(INDEX($Y$2:$Y$1001,MATCH(ROWS($W$2:W40),$W$2:$W$1001,0),0), INDEX($AD$1004:$AU$1004,1,MATCH(COLUMNS($AD$1006:AQ1006),$AD$1006:$AU$1006,0)))),"Fix")))</f>
        <v xml:space="preserve"> </v>
      </c>
      <c r="P40" s="4" t="str">
        <f ca="1">IF(OR(INDEX($X$2:$X$1001,MATCH(ROWS($W$2:W40),$W$2:$W$1001,0),1)&gt;=100000,INDEX($AD$1005:$AU$1005,1,MATCH(COLUMNS($AD$1006:AR1006),$AD$1006:$AU$1006,0))&gt;=100000), " ",IF(INDEX($AD$2:$AU$1001,MATCH(ROWS($W$2:W40),$W$2:$W$1001,0),MATCH(COLUMNS($AD$1006:AR1006),$AD$1006:$AU$1006,0)), HYPERLINK("#",""), HYPERLINK(CONCATENATE("#metadata!", ADDRESS(INDEX($Y$2:$Y$1001,MATCH(ROWS($W$2:W40),$W$2:$W$1001,0),0), INDEX($AD$1004:$AU$1004,1,MATCH(COLUMNS($AD$1006:AR1006),$AD$1006:$AU$1006,0)))),"Fix")))</f>
        <v xml:space="preserve"> </v>
      </c>
      <c r="Q40" s="4" t="str">
        <f ca="1">IF(OR(INDEX($X$2:$X$1001,MATCH(ROWS($W$2:W40),$W$2:$W$1001,0),1)&gt;=100000,INDEX($AD$1005:$AU$1005,1,MATCH(COLUMNS($AD$1006:AS1006),$AD$1006:$AU$1006,0))&gt;=100000), " ",IF(INDEX($AD$2:$AU$1001,MATCH(ROWS($W$2:W40),$W$2:$W$1001,0),MATCH(COLUMNS($AD$1006:AS1006),$AD$1006:$AU$1006,0)), HYPERLINK("#",""), HYPERLINK(CONCATENATE("#metadata!", ADDRESS(INDEX($Y$2:$Y$1001,MATCH(ROWS($W$2:W40),$W$2:$W$1001,0),0), INDEX($AD$1004:$AU$1004,1,MATCH(COLUMNS($AD$1006:AS1006),$AD$1006:$AU$1006,0)))),"Fix")))</f>
        <v xml:space="preserve"> </v>
      </c>
      <c r="R40" s="4" t="str">
        <f ca="1">IF(OR(INDEX($X$2:$X$1001,MATCH(ROWS($W$2:W40),$W$2:$W$1001,0),1)&gt;=100000,INDEX($AD$1005:$AU$1005,1,MATCH(COLUMNS($AD$1006:AT1006),$AD$1006:$AU$1006,0))&gt;=100000), " ",IF(INDEX($AD$2:$AU$1001,MATCH(ROWS($W$2:W40),$W$2:$W$1001,0),MATCH(COLUMNS($AD$1006:AT1006),$AD$1006:$AU$1006,0)), HYPERLINK("#",""), HYPERLINK(CONCATENATE("#metadata!", ADDRESS(INDEX($Y$2:$Y$1001,MATCH(ROWS($W$2:W40),$W$2:$W$1001,0),0), INDEX($AD$1004:$AU$1004,1,MATCH(COLUMNS($AD$1006:AT1006),$AD$1006:$AU$1006,0)))),"Fix")))</f>
        <v xml:space="preserve"> </v>
      </c>
      <c r="S40" s="4" t="str">
        <f ca="1">IF(OR(INDEX($X$2:$X$1001,MATCH(ROWS($W$2:W40),$W$2:$W$1001,0),1)&gt;=100000,INDEX($AD$1005:$AU$1005,1,MATCH(COLUMNS($AD$1006:AU1006),$AD$1006:$AU$1006,0))&gt;=100000), " ",IF(INDEX($AD$2:$AU$1001,MATCH(ROWS($W$2:W40),$W$2:$W$1001,0),MATCH(COLUMNS($AD$1006:AU1006),$AD$1006:$AU$1006,0)), HYPERLINK("#",""), HYPERLINK(CONCATENATE("#metadata!", ADDRESS(INDEX($Y$2:$Y$1001,MATCH(ROWS($W$2:W40),$W$2:$W$1001,0),0), INDEX($AD$1004:$AU$1004,1,MATCH(COLUMNS($AD$1006:AU1006),$AD$1006:$AU$1006,0)))),"Fix")))</f>
        <v xml:space="preserve"> </v>
      </c>
      <c r="W40">
        <v>39</v>
      </c>
      <c r="X40">
        <v>100040</v>
      </c>
      <c r="Y40">
        <v>40</v>
      </c>
      <c r="Z40" t="b">
        <f t="shared" si="0"/>
        <v>1</v>
      </c>
      <c r="AA40" t="b">
        <f>COUNTBLANK(metadata!B40:S40)=COLUMNS(metadata!B40:S40)</f>
        <v>1</v>
      </c>
      <c r="AB40" t="str">
        <v/>
      </c>
      <c r="AD40" t="b">
        <f ca="1">AND(IF(metadata!B40="",FALSE,TRUE),COUNTIF(metadata!B:B, metadata!B40) = 1,NOT(ISERROR(SUMPRODUCT(SEARCH(MID(metadata!B40,ROW(INDIRECT("1:"&amp;LEN(metadata!B40))), 1),"0123456789abcdefghijklmnopqrstuvwxyzABCDEFGHIJKLMNOPQRSTUVWXYZ.")))))</f>
        <v>0</v>
      </c>
      <c r="AE40" t="b">
        <f>OR(AND(IF(metadata!C40="",FALSE,TRUE),OR(EXACT(metadata!C40,"not applicable"),EXACT(metadata!C40,"missing: not collected"),EXACT(metadata!C40,"missing: not provided"),EXACT(metadata!C40,"missing: restricted access"))),AND(IF(metadata!C40="",FALSE,ISNUMBER(VALUE(metadata!C40))),metadata!C40&gt;0))</f>
        <v>0</v>
      </c>
      <c r="AF40" t="b">
        <f>AND(IF(metadata!D40="",FALSE,TRUE),EXACT(metadata!D40,"missing: not provided"))</f>
        <v>0</v>
      </c>
      <c r="AG40" t="b">
        <f>AND(IF(metadata!E40="",FALSE,TRUE),EXACT(metadata!E40,"Host-associated"))</f>
        <v>0</v>
      </c>
      <c r="AH40" t="b">
        <f>AND(IF(metadata!F40="",FALSE,TRUE),OR(EXACT(metadata!F40,"Animal"),EXACT(metadata!F40,"Fungus"),EXACT(metadata!F40,"Plant")))</f>
        <v>0</v>
      </c>
      <c r="AI40" t="b">
        <f>AND(IF(metadata!G40="",FALSE,TRUE),OR(EXACT(metadata!G40,"Plant secretion"),EXACT(metadata!G40,"Plant rhizosphere"),EXACT(metadata!G40,"Plant surface"),EXACT(metadata!G40,"Plant corpus"),EXACT(metadata!G40,"Fungus surface"),EXACT(metadata!G40,"Fungus corpus"),EXACT(metadata!G40,"Animal surface"),EXACT(metadata!G40,"Animal proximal gut"),EXACT(metadata!G40,"Animal corpus"),EXACT(metadata!G40,"Animal distal gut"),EXACT(metadata!G40,"Animal secretion")))</f>
        <v>0</v>
      </c>
      <c r="AJ40" t="b">
        <f>OR(AND(IF(metadata!H40="",FALSE,TRUE),OR(EXACT(metadata!H40,"missing: not collected"),EXACT(metadata!H40,"missing: not provided"),EXACT(metadata!H40,"missing: restricted access"))),AND(IF(metadata!H40="",FALSE,TRUE),OR(EXACT(metadata!H40,"organism-associated habitat"),EXACT(metadata!H40,"plant-associated habitat"),EXACT(metadata!H40,"animal-associated habitat"),EXACT(metadata!H40,"insecta-associated habitat"),EXACT(metadata!H40,"mammalia-associated habitat"),EXACT(metadata!H40,"human-associated habitat"),EXACT(metadata!H40,"livestock-associated habitat"))))</f>
        <v>0</v>
      </c>
      <c r="AK40" t="b">
        <f>AND(IF(metadata!I40="",FALSE,TRUE),EXACT(metadata!I40,"host-associated"))</f>
        <v>0</v>
      </c>
      <c r="AL40" t="b">
        <f>OR(AND(IF(metadata!J40="",FALSE,TRUE),OR(EXACT(metadata!J40,"not applicable"),EXACT(metadata!J40,"missing: not collected"),EXACT(metadata!J40,"missing: not provided"),EXACT(metadata!J40,"missing: restricted access"))),AND(IF(metadata!J40="",FALSE,ISNUMBER(VALUE(metadata!J40))),metadata!J40&gt;0))</f>
        <v>0</v>
      </c>
      <c r="AM40" t="b">
        <f>AND(IF(metadata!K40="",FALSE,TRUE),EXACT(metadata!K40,"missing: not provided"))</f>
        <v>0</v>
      </c>
      <c r="AN40" t="b">
        <f>IF(metadata!L40="",FALSE,TRUE)</f>
        <v>0</v>
      </c>
      <c r="AO40" t="b">
        <f>IF(metadata!M40="",FALSE,TRUE)</f>
        <v>0</v>
      </c>
      <c r="AP40" t="b">
        <f>OR(AND(IF(metadata!N40="",FALSE,TRUE),OR(EXACT(metadata!N40,"not applicable"),EXACT(metadata!N40,"missing: not collected"),EXACT(metadata!N40,"missing: not provided"))),AND(IF(metadata!N40="",FALSE,IF(ISERROR(INT(metadata!N40)),FALSE,INT(metadata!N40)=metadata!N40)),metadata!N40&gt;0))</f>
        <v>0</v>
      </c>
      <c r="AQ40" t="b">
        <f>AND(IF(metadata!O40="",FALSE,TRUE),EXACT(metadata!O40,"Not applicable"))</f>
        <v>0</v>
      </c>
      <c r="AR40" t="b">
        <f>OR(AND(IF(metadata!P40="",FALSE,TRUE),OR(EXACT(metadata!P40,"not applicable"),EXACT(metadata!P40,"missing: not collected"),EXACT(metadata!P40,"missing: not provided"),EXACT(metadata!P40,"missing: restricted access"))),IF(metadata!P40="",FALSE,IF(ISERROR(INT(metadata!P40)),FALSE,INT(metadata!P40)=metadata!P40)))</f>
        <v>0</v>
      </c>
      <c r="AS40" t="b">
        <f>AND(IF(metadata!Q40="",FALSE,TRUE),EXACT(metadata!Q40,"Not applicable"))</f>
        <v>0</v>
      </c>
      <c r="AT40" t="b">
        <f>OR(AND(IF(metadata!R40="",FALSE,TRUE),OR(EXACT(metadata!R40,"not applicable"),EXACT(metadata!R40,"missing: not collected"),EXACT(metadata!R40,"missing: not provided"),EXACT(metadata!R40,"missing: restricted access"))),AND(IF(metadata!R40="",FALSE,ISNUMBER(VALUE(metadata!R40))),metadata!R40&gt;0))</f>
        <v>0</v>
      </c>
      <c r="AU40" t="b">
        <f>AND(IF(metadata!S40="",FALSE,TRUE),EXACT(metadata!S40,"missing: not provided"))</f>
        <v>0</v>
      </c>
    </row>
    <row r="41" spans="1:47" x14ac:dyDescent="0.2">
      <c r="A41" s="5" t="str">
        <f ca="1">IF(B41=" "," ",HYPERLINK(CONCATENATE("#metadata!",ADDRESS(INDEX($Y$2:$Y$1001,MATCH(ROWS($W$2:W41),$W$2:$W$1001,0),0),1)),INDEX($AB$2:$AB$1001,MATCH(ROWS($W$2:W41),$W$2:$W$1001,0),0)))</f>
        <v xml:space="preserve"> </v>
      </c>
      <c r="B41" s="4" t="str">
        <f ca="1">IF(OR(INDEX($X$2:$X$1001,MATCH(ROWS($W$2:W41),$W$2:$W$1001,0),1)&gt;=100000,INDEX($AD$1005:$AU$1005,1,MATCH(COLUMNS($AD$1006:AD1006),$AD$1006:$AU$1006,0))&gt;=100000), " ",IF(INDEX($AD$2:$AU$1001,MATCH(ROWS($W$2:W41),$W$2:$W$1001,0),MATCH(COLUMNS($AD$1006:AD1006),$AD$1006:$AU$1006,0)), HYPERLINK("#",""), HYPERLINK(CONCATENATE("#metadata!", ADDRESS(INDEX($Y$2:$Y$1001,MATCH(ROWS($W$2:W41),$W$2:$W$1001,0),0), INDEX($AD$1004:$AU$1004,1,MATCH(COLUMNS($AD$1006:AD1006),$AD$1006:$AU$1006,0)))),"Fix")))</f>
        <v xml:space="preserve"> </v>
      </c>
      <c r="C41" s="4" t="str">
        <f ca="1">IF(OR(INDEX($X$2:$X$1001,MATCH(ROWS($W$2:W41),$W$2:$W$1001,0),1)&gt;=100000,INDEX($AD$1005:$AU$1005,1,MATCH(COLUMNS($AD$1006:AE1006),$AD$1006:$AU$1006,0))&gt;=100000), " ",IF(INDEX($AD$2:$AU$1001,MATCH(ROWS($W$2:W41),$W$2:$W$1001,0),MATCH(COLUMNS($AD$1006:AE1006),$AD$1006:$AU$1006,0)), HYPERLINK("#",""), HYPERLINK(CONCATENATE("#metadata!", ADDRESS(INDEX($Y$2:$Y$1001,MATCH(ROWS($W$2:W41),$W$2:$W$1001,0),0), INDEX($AD$1004:$AU$1004,1,MATCH(COLUMNS($AD$1006:AE1006),$AD$1006:$AU$1006,0)))),"Fix")))</f>
        <v xml:space="preserve"> </v>
      </c>
      <c r="D41" s="4" t="str">
        <f ca="1">IF(OR(INDEX($X$2:$X$1001,MATCH(ROWS($W$2:W41),$W$2:$W$1001,0),1)&gt;=100000,INDEX($AD$1005:$AU$1005,1,MATCH(COLUMNS($AD$1006:AF1006),$AD$1006:$AU$1006,0))&gt;=100000), " ",IF(INDEX($AD$2:$AU$1001,MATCH(ROWS($W$2:W41),$W$2:$W$1001,0),MATCH(COLUMNS($AD$1006:AF1006),$AD$1006:$AU$1006,0)), HYPERLINK("#",""), HYPERLINK(CONCATENATE("#metadata!", ADDRESS(INDEX($Y$2:$Y$1001,MATCH(ROWS($W$2:W41),$W$2:$W$1001,0),0), INDEX($AD$1004:$AU$1004,1,MATCH(COLUMNS($AD$1006:AF1006),$AD$1006:$AU$1006,0)))),"Fix")))</f>
        <v xml:space="preserve"> </v>
      </c>
      <c r="E41" s="4" t="str">
        <f ca="1">IF(OR(INDEX($X$2:$X$1001,MATCH(ROWS($W$2:W41),$W$2:$W$1001,0),1)&gt;=100000,INDEX($AD$1005:$AU$1005,1,MATCH(COLUMNS($AD$1006:AG1006),$AD$1006:$AU$1006,0))&gt;=100000), " ",IF(INDEX($AD$2:$AU$1001,MATCH(ROWS($W$2:W41),$W$2:$W$1001,0),MATCH(COLUMNS($AD$1006:AG1006),$AD$1006:$AU$1006,0)), HYPERLINK("#",""), HYPERLINK(CONCATENATE("#metadata!", ADDRESS(INDEX($Y$2:$Y$1001,MATCH(ROWS($W$2:W41),$W$2:$W$1001,0),0), INDEX($AD$1004:$AU$1004,1,MATCH(COLUMNS($AD$1006:AG1006),$AD$1006:$AU$1006,0)))),"Fix")))</f>
        <v xml:space="preserve"> </v>
      </c>
      <c r="F41" s="4" t="str">
        <f ca="1">IF(OR(INDEX($X$2:$X$1001,MATCH(ROWS($W$2:W41),$W$2:$W$1001,0),1)&gt;=100000,INDEX($AD$1005:$AU$1005,1,MATCH(COLUMNS($AD$1006:AH1006),$AD$1006:$AU$1006,0))&gt;=100000), " ",IF(INDEX($AD$2:$AU$1001,MATCH(ROWS($W$2:W41),$W$2:$W$1001,0),MATCH(COLUMNS($AD$1006:AH1006),$AD$1006:$AU$1006,0)), HYPERLINK("#",""), HYPERLINK(CONCATENATE("#metadata!", ADDRESS(INDEX($Y$2:$Y$1001,MATCH(ROWS($W$2:W41),$W$2:$W$1001,0),0), INDEX($AD$1004:$AU$1004,1,MATCH(COLUMNS($AD$1006:AH1006),$AD$1006:$AU$1006,0)))),"Fix")))</f>
        <v xml:space="preserve"> </v>
      </c>
      <c r="G41" s="4" t="str">
        <f ca="1">IF(OR(INDEX($X$2:$X$1001,MATCH(ROWS($W$2:W41),$W$2:$W$1001,0),1)&gt;=100000,INDEX($AD$1005:$AU$1005,1,MATCH(COLUMNS($AD$1006:AI1006),$AD$1006:$AU$1006,0))&gt;=100000), " ",IF(INDEX($AD$2:$AU$1001,MATCH(ROWS($W$2:W41),$W$2:$W$1001,0),MATCH(COLUMNS($AD$1006:AI1006),$AD$1006:$AU$1006,0)), HYPERLINK("#",""), HYPERLINK(CONCATENATE("#metadata!", ADDRESS(INDEX($Y$2:$Y$1001,MATCH(ROWS($W$2:W41),$W$2:$W$1001,0),0), INDEX($AD$1004:$AU$1004,1,MATCH(COLUMNS($AD$1006:AI1006),$AD$1006:$AU$1006,0)))),"Fix")))</f>
        <v xml:space="preserve"> </v>
      </c>
      <c r="H41" s="4" t="str">
        <f ca="1">IF(OR(INDEX($X$2:$X$1001,MATCH(ROWS($W$2:W41),$W$2:$W$1001,0),1)&gt;=100000,INDEX($AD$1005:$AU$1005,1,MATCH(COLUMNS($AD$1006:AJ1006),$AD$1006:$AU$1006,0))&gt;=100000), " ",IF(INDEX($AD$2:$AU$1001,MATCH(ROWS($W$2:W41),$W$2:$W$1001,0),MATCH(COLUMNS($AD$1006:AJ1006),$AD$1006:$AU$1006,0)), HYPERLINK("#",""), HYPERLINK(CONCATENATE("#metadata!", ADDRESS(INDEX($Y$2:$Y$1001,MATCH(ROWS($W$2:W41),$W$2:$W$1001,0),0), INDEX($AD$1004:$AU$1004,1,MATCH(COLUMNS($AD$1006:AJ1006),$AD$1006:$AU$1006,0)))),"Fix")))</f>
        <v xml:space="preserve"> </v>
      </c>
      <c r="I41" s="4" t="str">
        <f ca="1">IF(OR(INDEX($X$2:$X$1001,MATCH(ROWS($W$2:W41),$W$2:$W$1001,0),1)&gt;=100000,INDEX($AD$1005:$AU$1005,1,MATCH(COLUMNS($AD$1006:AK1006),$AD$1006:$AU$1006,0))&gt;=100000), " ",IF(INDEX($AD$2:$AU$1001,MATCH(ROWS($W$2:W41),$W$2:$W$1001,0),MATCH(COLUMNS($AD$1006:AK1006),$AD$1006:$AU$1006,0)), HYPERLINK("#",""), HYPERLINK(CONCATENATE("#metadata!", ADDRESS(INDEX($Y$2:$Y$1001,MATCH(ROWS($W$2:W41),$W$2:$W$1001,0),0), INDEX($AD$1004:$AU$1004,1,MATCH(COLUMNS($AD$1006:AK1006),$AD$1006:$AU$1006,0)))),"Fix")))</f>
        <v xml:space="preserve"> </v>
      </c>
      <c r="J41" s="4" t="str">
        <f ca="1">IF(OR(INDEX($X$2:$X$1001,MATCH(ROWS($W$2:W41),$W$2:$W$1001,0),1)&gt;=100000,INDEX($AD$1005:$AU$1005,1,MATCH(COLUMNS($AD$1006:AL1006),$AD$1006:$AU$1006,0))&gt;=100000), " ",IF(INDEX($AD$2:$AU$1001,MATCH(ROWS($W$2:W41),$W$2:$W$1001,0),MATCH(COLUMNS($AD$1006:AL1006),$AD$1006:$AU$1006,0)), HYPERLINK("#",""), HYPERLINK(CONCATENATE("#metadata!", ADDRESS(INDEX($Y$2:$Y$1001,MATCH(ROWS($W$2:W41),$W$2:$W$1001,0),0), INDEX($AD$1004:$AU$1004,1,MATCH(COLUMNS($AD$1006:AL1006),$AD$1006:$AU$1006,0)))),"Fix")))</f>
        <v xml:space="preserve"> </v>
      </c>
      <c r="K41" s="4" t="str">
        <f ca="1">IF(OR(INDEX($X$2:$X$1001,MATCH(ROWS($W$2:W41),$W$2:$W$1001,0),1)&gt;=100000,INDEX($AD$1005:$AU$1005,1,MATCH(COLUMNS($AD$1006:AM1006),$AD$1006:$AU$1006,0))&gt;=100000), " ",IF(INDEX($AD$2:$AU$1001,MATCH(ROWS($W$2:W41),$W$2:$W$1001,0),MATCH(COLUMNS($AD$1006:AM1006),$AD$1006:$AU$1006,0)), HYPERLINK("#",""), HYPERLINK(CONCATENATE("#metadata!", ADDRESS(INDEX($Y$2:$Y$1001,MATCH(ROWS($W$2:W41),$W$2:$W$1001,0),0), INDEX($AD$1004:$AU$1004,1,MATCH(COLUMNS($AD$1006:AM1006),$AD$1006:$AU$1006,0)))),"Fix")))</f>
        <v xml:space="preserve"> </v>
      </c>
      <c r="L41" s="4" t="str">
        <f ca="1">IF(OR(INDEX($X$2:$X$1001,MATCH(ROWS($W$2:W41),$W$2:$W$1001,0),1)&gt;=100000,INDEX($AD$1005:$AU$1005,1,MATCH(COLUMNS($AD$1006:AN1006),$AD$1006:$AU$1006,0))&gt;=100000), " ",IF(INDEX($AD$2:$AU$1001,MATCH(ROWS($W$2:W41),$W$2:$W$1001,0),MATCH(COLUMNS($AD$1006:AN1006),$AD$1006:$AU$1006,0)), HYPERLINK("#",""), HYPERLINK(CONCATENATE("#metadata!", ADDRESS(INDEX($Y$2:$Y$1001,MATCH(ROWS($W$2:W41),$W$2:$W$1001,0),0), INDEX($AD$1004:$AU$1004,1,MATCH(COLUMNS($AD$1006:AN1006),$AD$1006:$AU$1006,0)))),"Fix")))</f>
        <v xml:space="preserve"> </v>
      </c>
      <c r="M41" s="4" t="str">
        <f ca="1">IF(OR(INDEX($X$2:$X$1001,MATCH(ROWS($W$2:W41),$W$2:$W$1001,0),1)&gt;=100000,INDEX($AD$1005:$AU$1005,1,MATCH(COLUMNS($AD$1006:AO1006),$AD$1006:$AU$1006,0))&gt;=100000), " ",IF(INDEX($AD$2:$AU$1001,MATCH(ROWS($W$2:W41),$W$2:$W$1001,0),MATCH(COLUMNS($AD$1006:AO1006),$AD$1006:$AU$1006,0)), HYPERLINK("#",""), HYPERLINK(CONCATENATE("#metadata!", ADDRESS(INDEX($Y$2:$Y$1001,MATCH(ROWS($W$2:W41),$W$2:$W$1001,0),0), INDEX($AD$1004:$AU$1004,1,MATCH(COLUMNS($AD$1006:AO1006),$AD$1006:$AU$1006,0)))),"Fix")))</f>
        <v xml:space="preserve"> </v>
      </c>
      <c r="N41" s="4" t="str">
        <f ca="1">IF(OR(INDEX($X$2:$X$1001,MATCH(ROWS($W$2:W41),$W$2:$W$1001,0),1)&gt;=100000,INDEX($AD$1005:$AU$1005,1,MATCH(COLUMNS($AD$1006:AP1006),$AD$1006:$AU$1006,0))&gt;=100000), " ",IF(INDEX($AD$2:$AU$1001,MATCH(ROWS($W$2:W41),$W$2:$W$1001,0),MATCH(COLUMNS($AD$1006:AP1006),$AD$1006:$AU$1006,0)), HYPERLINK("#",""), HYPERLINK(CONCATENATE("#metadata!", ADDRESS(INDEX($Y$2:$Y$1001,MATCH(ROWS($W$2:W41),$W$2:$W$1001,0),0), INDEX($AD$1004:$AU$1004,1,MATCH(COLUMNS($AD$1006:AP1006),$AD$1006:$AU$1006,0)))),"Fix")))</f>
        <v xml:space="preserve"> </v>
      </c>
      <c r="O41" s="4" t="str">
        <f ca="1">IF(OR(INDEX($X$2:$X$1001,MATCH(ROWS($W$2:W41),$W$2:$W$1001,0),1)&gt;=100000,INDEX($AD$1005:$AU$1005,1,MATCH(COLUMNS($AD$1006:AQ1006),$AD$1006:$AU$1006,0))&gt;=100000), " ",IF(INDEX($AD$2:$AU$1001,MATCH(ROWS($W$2:W41),$W$2:$W$1001,0),MATCH(COLUMNS($AD$1006:AQ1006),$AD$1006:$AU$1006,0)), HYPERLINK("#",""), HYPERLINK(CONCATENATE("#metadata!", ADDRESS(INDEX($Y$2:$Y$1001,MATCH(ROWS($W$2:W41),$W$2:$W$1001,0),0), INDEX($AD$1004:$AU$1004,1,MATCH(COLUMNS($AD$1006:AQ1006),$AD$1006:$AU$1006,0)))),"Fix")))</f>
        <v xml:space="preserve"> </v>
      </c>
      <c r="P41" s="4" t="str">
        <f ca="1">IF(OR(INDEX($X$2:$X$1001,MATCH(ROWS($W$2:W41),$W$2:$W$1001,0),1)&gt;=100000,INDEX($AD$1005:$AU$1005,1,MATCH(COLUMNS($AD$1006:AR1006),$AD$1006:$AU$1006,0))&gt;=100000), " ",IF(INDEX($AD$2:$AU$1001,MATCH(ROWS($W$2:W41),$W$2:$W$1001,0),MATCH(COLUMNS($AD$1006:AR1006),$AD$1006:$AU$1006,0)), HYPERLINK("#",""), HYPERLINK(CONCATENATE("#metadata!", ADDRESS(INDEX($Y$2:$Y$1001,MATCH(ROWS($W$2:W41),$W$2:$W$1001,0),0), INDEX($AD$1004:$AU$1004,1,MATCH(COLUMNS($AD$1006:AR1006),$AD$1006:$AU$1006,0)))),"Fix")))</f>
        <v xml:space="preserve"> </v>
      </c>
      <c r="Q41" s="4" t="str">
        <f ca="1">IF(OR(INDEX($X$2:$X$1001,MATCH(ROWS($W$2:W41),$W$2:$W$1001,0),1)&gt;=100000,INDEX($AD$1005:$AU$1005,1,MATCH(COLUMNS($AD$1006:AS1006),$AD$1006:$AU$1006,0))&gt;=100000), " ",IF(INDEX($AD$2:$AU$1001,MATCH(ROWS($W$2:W41),$W$2:$W$1001,0),MATCH(COLUMNS($AD$1006:AS1006),$AD$1006:$AU$1006,0)), HYPERLINK("#",""), HYPERLINK(CONCATENATE("#metadata!", ADDRESS(INDEX($Y$2:$Y$1001,MATCH(ROWS($W$2:W41),$W$2:$W$1001,0),0), INDEX($AD$1004:$AU$1004,1,MATCH(COLUMNS($AD$1006:AS1006),$AD$1006:$AU$1006,0)))),"Fix")))</f>
        <v xml:space="preserve"> </v>
      </c>
      <c r="R41" s="4" t="str">
        <f ca="1">IF(OR(INDEX($X$2:$X$1001,MATCH(ROWS($W$2:W41),$W$2:$W$1001,0),1)&gt;=100000,INDEX($AD$1005:$AU$1005,1,MATCH(COLUMNS($AD$1006:AT1006),$AD$1006:$AU$1006,0))&gt;=100000), " ",IF(INDEX($AD$2:$AU$1001,MATCH(ROWS($W$2:W41),$W$2:$W$1001,0),MATCH(COLUMNS($AD$1006:AT1006),$AD$1006:$AU$1006,0)), HYPERLINK("#",""), HYPERLINK(CONCATENATE("#metadata!", ADDRESS(INDEX($Y$2:$Y$1001,MATCH(ROWS($W$2:W41),$W$2:$W$1001,0),0), INDEX($AD$1004:$AU$1004,1,MATCH(COLUMNS($AD$1006:AT1006),$AD$1006:$AU$1006,0)))),"Fix")))</f>
        <v xml:space="preserve"> </v>
      </c>
      <c r="S41" s="4" t="str">
        <f ca="1">IF(OR(INDEX($X$2:$X$1001,MATCH(ROWS($W$2:W41),$W$2:$W$1001,0),1)&gt;=100000,INDEX($AD$1005:$AU$1005,1,MATCH(COLUMNS($AD$1006:AU1006),$AD$1006:$AU$1006,0))&gt;=100000), " ",IF(INDEX($AD$2:$AU$1001,MATCH(ROWS($W$2:W41),$W$2:$W$1001,0),MATCH(COLUMNS($AD$1006:AU1006),$AD$1006:$AU$1006,0)), HYPERLINK("#",""), HYPERLINK(CONCATENATE("#metadata!", ADDRESS(INDEX($Y$2:$Y$1001,MATCH(ROWS($W$2:W41),$W$2:$W$1001,0),0), INDEX($AD$1004:$AU$1004,1,MATCH(COLUMNS($AD$1006:AU1006),$AD$1006:$AU$1006,0)))),"Fix")))</f>
        <v xml:space="preserve"> </v>
      </c>
      <c r="W41">
        <v>40</v>
      </c>
      <c r="X41">
        <v>100041</v>
      </c>
      <c r="Y41">
        <v>41</v>
      </c>
      <c r="Z41" t="b">
        <f t="shared" si="0"/>
        <v>1</v>
      </c>
      <c r="AA41" t="b">
        <f>COUNTBLANK(metadata!B41:S41)=COLUMNS(metadata!B41:S41)</f>
        <v>1</v>
      </c>
      <c r="AB41" t="str">
        <v/>
      </c>
      <c r="AD41" t="b">
        <f ca="1">AND(IF(metadata!B41="",FALSE,TRUE),COUNTIF(metadata!B:B, metadata!B41) = 1,NOT(ISERROR(SUMPRODUCT(SEARCH(MID(metadata!B41,ROW(INDIRECT("1:"&amp;LEN(metadata!B41))), 1),"0123456789abcdefghijklmnopqrstuvwxyzABCDEFGHIJKLMNOPQRSTUVWXYZ.")))))</f>
        <v>0</v>
      </c>
      <c r="AE41" t="b">
        <f>OR(AND(IF(metadata!C41="",FALSE,TRUE),OR(EXACT(metadata!C41,"not applicable"),EXACT(metadata!C41,"missing: not collected"),EXACT(metadata!C41,"missing: not provided"),EXACT(metadata!C41,"missing: restricted access"))),AND(IF(metadata!C41="",FALSE,ISNUMBER(VALUE(metadata!C41))),metadata!C41&gt;0))</f>
        <v>0</v>
      </c>
      <c r="AF41" t="b">
        <f>AND(IF(metadata!D41="",FALSE,TRUE),EXACT(metadata!D41,"missing: not provided"))</f>
        <v>0</v>
      </c>
      <c r="AG41" t="b">
        <f>AND(IF(metadata!E41="",FALSE,TRUE),EXACT(metadata!E41,"Host-associated"))</f>
        <v>0</v>
      </c>
      <c r="AH41" t="b">
        <f>AND(IF(metadata!F41="",FALSE,TRUE),OR(EXACT(metadata!F41,"Animal"),EXACT(metadata!F41,"Fungus"),EXACT(metadata!F41,"Plant")))</f>
        <v>0</v>
      </c>
      <c r="AI41" t="b">
        <f>AND(IF(metadata!G41="",FALSE,TRUE),OR(EXACT(metadata!G41,"Plant secretion"),EXACT(metadata!G41,"Plant rhizosphere"),EXACT(metadata!G41,"Plant surface"),EXACT(metadata!G41,"Plant corpus"),EXACT(metadata!G41,"Fungus surface"),EXACT(metadata!G41,"Fungus corpus"),EXACT(metadata!G41,"Animal surface"),EXACT(metadata!G41,"Animal proximal gut"),EXACT(metadata!G41,"Animal corpus"),EXACT(metadata!G41,"Animal distal gut"),EXACT(metadata!G41,"Animal secretion")))</f>
        <v>0</v>
      </c>
      <c r="AJ41" t="b">
        <f>OR(AND(IF(metadata!H41="",FALSE,TRUE),OR(EXACT(metadata!H41,"missing: not collected"),EXACT(metadata!H41,"missing: not provided"),EXACT(metadata!H41,"missing: restricted access"))),AND(IF(metadata!H41="",FALSE,TRUE),OR(EXACT(metadata!H41,"organism-associated habitat"),EXACT(metadata!H41,"plant-associated habitat"),EXACT(metadata!H41,"animal-associated habitat"),EXACT(metadata!H41,"insecta-associated habitat"),EXACT(metadata!H41,"mammalia-associated habitat"),EXACT(metadata!H41,"human-associated habitat"),EXACT(metadata!H41,"livestock-associated habitat"))))</f>
        <v>0</v>
      </c>
      <c r="AK41" t="b">
        <f>AND(IF(metadata!I41="",FALSE,TRUE),EXACT(metadata!I41,"host-associated"))</f>
        <v>0</v>
      </c>
      <c r="AL41" t="b">
        <f>OR(AND(IF(metadata!J41="",FALSE,TRUE),OR(EXACT(metadata!J41,"not applicable"),EXACT(metadata!J41,"missing: not collected"),EXACT(metadata!J41,"missing: not provided"),EXACT(metadata!J41,"missing: restricted access"))),AND(IF(metadata!J41="",FALSE,ISNUMBER(VALUE(metadata!J41))),metadata!J41&gt;0))</f>
        <v>0</v>
      </c>
      <c r="AM41" t="b">
        <f>AND(IF(metadata!K41="",FALSE,TRUE),EXACT(metadata!K41,"missing: not provided"))</f>
        <v>0</v>
      </c>
      <c r="AN41" t="b">
        <f>IF(metadata!L41="",FALSE,TRUE)</f>
        <v>0</v>
      </c>
      <c r="AO41" t="b">
        <f>IF(metadata!M41="",FALSE,TRUE)</f>
        <v>0</v>
      </c>
      <c r="AP41" t="b">
        <f>OR(AND(IF(metadata!N41="",FALSE,TRUE),OR(EXACT(metadata!N41,"not applicable"),EXACT(metadata!N41,"missing: not collected"),EXACT(metadata!N41,"missing: not provided"))),AND(IF(metadata!N41="",FALSE,IF(ISERROR(INT(metadata!N41)),FALSE,INT(metadata!N41)=metadata!N41)),metadata!N41&gt;0))</f>
        <v>0</v>
      </c>
      <c r="AQ41" t="b">
        <f>AND(IF(metadata!O41="",FALSE,TRUE),EXACT(metadata!O41,"Not applicable"))</f>
        <v>0</v>
      </c>
      <c r="AR41" t="b">
        <f>OR(AND(IF(metadata!P41="",FALSE,TRUE),OR(EXACT(metadata!P41,"not applicable"),EXACT(metadata!P41,"missing: not collected"),EXACT(metadata!P41,"missing: not provided"),EXACT(metadata!P41,"missing: restricted access"))),IF(metadata!P41="",FALSE,IF(ISERROR(INT(metadata!P41)),FALSE,INT(metadata!P41)=metadata!P41)))</f>
        <v>0</v>
      </c>
      <c r="AS41" t="b">
        <f>AND(IF(metadata!Q41="",FALSE,TRUE),EXACT(metadata!Q41,"Not applicable"))</f>
        <v>0</v>
      </c>
      <c r="AT41" t="b">
        <f>OR(AND(IF(metadata!R41="",FALSE,TRUE),OR(EXACT(metadata!R41,"not applicable"),EXACT(metadata!R41,"missing: not collected"),EXACT(metadata!R41,"missing: not provided"),EXACT(metadata!R41,"missing: restricted access"))),AND(IF(metadata!R41="",FALSE,ISNUMBER(VALUE(metadata!R41))),metadata!R41&gt;0))</f>
        <v>0</v>
      </c>
      <c r="AU41" t="b">
        <f>AND(IF(metadata!S41="",FALSE,TRUE),EXACT(metadata!S41,"missing: not provided"))</f>
        <v>0</v>
      </c>
    </row>
    <row r="42" spans="1:47" x14ac:dyDescent="0.2">
      <c r="A42" s="5" t="str">
        <f ca="1">IF(B42=" "," ",HYPERLINK(CONCATENATE("#metadata!",ADDRESS(INDEX($Y$2:$Y$1001,MATCH(ROWS($W$2:W42),$W$2:$W$1001,0),0),1)),INDEX($AB$2:$AB$1001,MATCH(ROWS($W$2:W42),$W$2:$W$1001,0),0)))</f>
        <v xml:space="preserve"> </v>
      </c>
      <c r="B42" s="4" t="str">
        <f ca="1">IF(OR(INDEX($X$2:$X$1001,MATCH(ROWS($W$2:W42),$W$2:$W$1001,0),1)&gt;=100000,INDEX($AD$1005:$AU$1005,1,MATCH(COLUMNS($AD$1006:AD1006),$AD$1006:$AU$1006,0))&gt;=100000), " ",IF(INDEX($AD$2:$AU$1001,MATCH(ROWS($W$2:W42),$W$2:$W$1001,0),MATCH(COLUMNS($AD$1006:AD1006),$AD$1006:$AU$1006,0)), HYPERLINK("#",""), HYPERLINK(CONCATENATE("#metadata!", ADDRESS(INDEX($Y$2:$Y$1001,MATCH(ROWS($W$2:W42),$W$2:$W$1001,0),0), INDEX($AD$1004:$AU$1004,1,MATCH(COLUMNS($AD$1006:AD1006),$AD$1006:$AU$1006,0)))),"Fix")))</f>
        <v xml:space="preserve"> </v>
      </c>
      <c r="C42" s="4" t="str">
        <f ca="1">IF(OR(INDEX($X$2:$X$1001,MATCH(ROWS($W$2:W42),$W$2:$W$1001,0),1)&gt;=100000,INDEX($AD$1005:$AU$1005,1,MATCH(COLUMNS($AD$1006:AE1006),$AD$1006:$AU$1006,0))&gt;=100000), " ",IF(INDEX($AD$2:$AU$1001,MATCH(ROWS($W$2:W42),$W$2:$W$1001,0),MATCH(COLUMNS($AD$1006:AE1006),$AD$1006:$AU$1006,0)), HYPERLINK("#",""), HYPERLINK(CONCATENATE("#metadata!", ADDRESS(INDEX($Y$2:$Y$1001,MATCH(ROWS($W$2:W42),$W$2:$W$1001,0),0), INDEX($AD$1004:$AU$1004,1,MATCH(COLUMNS($AD$1006:AE1006),$AD$1006:$AU$1006,0)))),"Fix")))</f>
        <v xml:space="preserve"> </v>
      </c>
      <c r="D42" s="4" t="str">
        <f ca="1">IF(OR(INDEX($X$2:$X$1001,MATCH(ROWS($W$2:W42),$W$2:$W$1001,0),1)&gt;=100000,INDEX($AD$1005:$AU$1005,1,MATCH(COLUMNS($AD$1006:AF1006),$AD$1006:$AU$1006,0))&gt;=100000), " ",IF(INDEX($AD$2:$AU$1001,MATCH(ROWS($W$2:W42),$W$2:$W$1001,0),MATCH(COLUMNS($AD$1006:AF1006),$AD$1006:$AU$1006,0)), HYPERLINK("#",""), HYPERLINK(CONCATENATE("#metadata!", ADDRESS(INDEX($Y$2:$Y$1001,MATCH(ROWS($W$2:W42),$W$2:$W$1001,0),0), INDEX($AD$1004:$AU$1004,1,MATCH(COLUMNS($AD$1006:AF1006),$AD$1006:$AU$1006,0)))),"Fix")))</f>
        <v xml:space="preserve"> </v>
      </c>
      <c r="E42" s="4" t="str">
        <f ca="1">IF(OR(INDEX($X$2:$X$1001,MATCH(ROWS($W$2:W42),$W$2:$W$1001,0),1)&gt;=100000,INDEX($AD$1005:$AU$1005,1,MATCH(COLUMNS($AD$1006:AG1006),$AD$1006:$AU$1006,0))&gt;=100000), " ",IF(INDEX($AD$2:$AU$1001,MATCH(ROWS($W$2:W42),$W$2:$W$1001,0),MATCH(COLUMNS($AD$1006:AG1006),$AD$1006:$AU$1006,0)), HYPERLINK("#",""), HYPERLINK(CONCATENATE("#metadata!", ADDRESS(INDEX($Y$2:$Y$1001,MATCH(ROWS($W$2:W42),$W$2:$W$1001,0),0), INDEX($AD$1004:$AU$1004,1,MATCH(COLUMNS($AD$1006:AG1006),$AD$1006:$AU$1006,0)))),"Fix")))</f>
        <v xml:space="preserve"> </v>
      </c>
      <c r="F42" s="4" t="str">
        <f ca="1">IF(OR(INDEX($X$2:$X$1001,MATCH(ROWS($W$2:W42),$W$2:$W$1001,0),1)&gt;=100000,INDEX($AD$1005:$AU$1005,1,MATCH(COLUMNS($AD$1006:AH1006),$AD$1006:$AU$1006,0))&gt;=100000), " ",IF(INDEX($AD$2:$AU$1001,MATCH(ROWS($W$2:W42),$W$2:$W$1001,0),MATCH(COLUMNS($AD$1006:AH1006),$AD$1006:$AU$1006,0)), HYPERLINK("#",""), HYPERLINK(CONCATENATE("#metadata!", ADDRESS(INDEX($Y$2:$Y$1001,MATCH(ROWS($W$2:W42),$W$2:$W$1001,0),0), INDEX($AD$1004:$AU$1004,1,MATCH(COLUMNS($AD$1006:AH1006),$AD$1006:$AU$1006,0)))),"Fix")))</f>
        <v xml:space="preserve"> </v>
      </c>
      <c r="G42" s="4" t="str">
        <f ca="1">IF(OR(INDEX($X$2:$X$1001,MATCH(ROWS($W$2:W42),$W$2:$W$1001,0),1)&gt;=100000,INDEX($AD$1005:$AU$1005,1,MATCH(COLUMNS($AD$1006:AI1006),$AD$1006:$AU$1006,0))&gt;=100000), " ",IF(INDEX($AD$2:$AU$1001,MATCH(ROWS($W$2:W42),$W$2:$W$1001,0),MATCH(COLUMNS($AD$1006:AI1006),$AD$1006:$AU$1006,0)), HYPERLINK("#",""), HYPERLINK(CONCATENATE("#metadata!", ADDRESS(INDEX($Y$2:$Y$1001,MATCH(ROWS($W$2:W42),$W$2:$W$1001,0),0), INDEX($AD$1004:$AU$1004,1,MATCH(COLUMNS($AD$1006:AI1006),$AD$1006:$AU$1006,0)))),"Fix")))</f>
        <v xml:space="preserve"> </v>
      </c>
      <c r="H42" s="4" t="str">
        <f ca="1">IF(OR(INDEX($X$2:$X$1001,MATCH(ROWS($W$2:W42),$W$2:$W$1001,0),1)&gt;=100000,INDEX($AD$1005:$AU$1005,1,MATCH(COLUMNS($AD$1006:AJ1006),$AD$1006:$AU$1006,0))&gt;=100000), " ",IF(INDEX($AD$2:$AU$1001,MATCH(ROWS($W$2:W42),$W$2:$W$1001,0),MATCH(COLUMNS($AD$1006:AJ1006),$AD$1006:$AU$1006,0)), HYPERLINK("#",""), HYPERLINK(CONCATENATE("#metadata!", ADDRESS(INDEX($Y$2:$Y$1001,MATCH(ROWS($W$2:W42),$W$2:$W$1001,0),0), INDEX($AD$1004:$AU$1004,1,MATCH(COLUMNS($AD$1006:AJ1006),$AD$1006:$AU$1006,0)))),"Fix")))</f>
        <v xml:space="preserve"> </v>
      </c>
      <c r="I42" s="4" t="str">
        <f ca="1">IF(OR(INDEX($X$2:$X$1001,MATCH(ROWS($W$2:W42),$W$2:$W$1001,0),1)&gt;=100000,INDEX($AD$1005:$AU$1005,1,MATCH(COLUMNS($AD$1006:AK1006),$AD$1006:$AU$1006,0))&gt;=100000), " ",IF(INDEX($AD$2:$AU$1001,MATCH(ROWS($W$2:W42),$W$2:$W$1001,0),MATCH(COLUMNS($AD$1006:AK1006),$AD$1006:$AU$1006,0)), HYPERLINK("#",""), HYPERLINK(CONCATENATE("#metadata!", ADDRESS(INDEX($Y$2:$Y$1001,MATCH(ROWS($W$2:W42),$W$2:$W$1001,0),0), INDEX($AD$1004:$AU$1004,1,MATCH(COLUMNS($AD$1006:AK1006),$AD$1006:$AU$1006,0)))),"Fix")))</f>
        <v xml:space="preserve"> </v>
      </c>
      <c r="J42" s="4" t="str">
        <f ca="1">IF(OR(INDEX($X$2:$X$1001,MATCH(ROWS($W$2:W42),$W$2:$W$1001,0),1)&gt;=100000,INDEX($AD$1005:$AU$1005,1,MATCH(COLUMNS($AD$1006:AL1006),$AD$1006:$AU$1006,0))&gt;=100000), " ",IF(INDEX($AD$2:$AU$1001,MATCH(ROWS($W$2:W42),$W$2:$W$1001,0),MATCH(COLUMNS($AD$1006:AL1006),$AD$1006:$AU$1006,0)), HYPERLINK("#",""), HYPERLINK(CONCATENATE("#metadata!", ADDRESS(INDEX($Y$2:$Y$1001,MATCH(ROWS($W$2:W42),$W$2:$W$1001,0),0), INDEX($AD$1004:$AU$1004,1,MATCH(COLUMNS($AD$1006:AL1006),$AD$1006:$AU$1006,0)))),"Fix")))</f>
        <v xml:space="preserve"> </v>
      </c>
      <c r="K42" s="4" t="str">
        <f ca="1">IF(OR(INDEX($X$2:$X$1001,MATCH(ROWS($W$2:W42),$W$2:$W$1001,0),1)&gt;=100000,INDEX($AD$1005:$AU$1005,1,MATCH(COLUMNS($AD$1006:AM1006),$AD$1006:$AU$1006,0))&gt;=100000), " ",IF(INDEX($AD$2:$AU$1001,MATCH(ROWS($W$2:W42),$W$2:$W$1001,0),MATCH(COLUMNS($AD$1006:AM1006),$AD$1006:$AU$1006,0)), HYPERLINK("#",""), HYPERLINK(CONCATENATE("#metadata!", ADDRESS(INDEX($Y$2:$Y$1001,MATCH(ROWS($W$2:W42),$W$2:$W$1001,0),0), INDEX($AD$1004:$AU$1004,1,MATCH(COLUMNS($AD$1006:AM1006),$AD$1006:$AU$1006,0)))),"Fix")))</f>
        <v xml:space="preserve"> </v>
      </c>
      <c r="L42" s="4" t="str">
        <f ca="1">IF(OR(INDEX($X$2:$X$1001,MATCH(ROWS($W$2:W42),$W$2:$W$1001,0),1)&gt;=100000,INDEX($AD$1005:$AU$1005,1,MATCH(COLUMNS($AD$1006:AN1006),$AD$1006:$AU$1006,0))&gt;=100000), " ",IF(INDEX($AD$2:$AU$1001,MATCH(ROWS($W$2:W42),$W$2:$W$1001,0),MATCH(COLUMNS($AD$1006:AN1006),$AD$1006:$AU$1006,0)), HYPERLINK("#",""), HYPERLINK(CONCATENATE("#metadata!", ADDRESS(INDEX($Y$2:$Y$1001,MATCH(ROWS($W$2:W42),$W$2:$W$1001,0),0), INDEX($AD$1004:$AU$1004,1,MATCH(COLUMNS($AD$1006:AN1006),$AD$1006:$AU$1006,0)))),"Fix")))</f>
        <v xml:space="preserve"> </v>
      </c>
      <c r="M42" s="4" t="str">
        <f ca="1">IF(OR(INDEX($X$2:$X$1001,MATCH(ROWS($W$2:W42),$W$2:$W$1001,0),1)&gt;=100000,INDEX($AD$1005:$AU$1005,1,MATCH(COLUMNS($AD$1006:AO1006),$AD$1006:$AU$1006,0))&gt;=100000), " ",IF(INDEX($AD$2:$AU$1001,MATCH(ROWS($W$2:W42),$W$2:$W$1001,0),MATCH(COLUMNS($AD$1006:AO1006),$AD$1006:$AU$1006,0)), HYPERLINK("#",""), HYPERLINK(CONCATENATE("#metadata!", ADDRESS(INDEX($Y$2:$Y$1001,MATCH(ROWS($W$2:W42),$W$2:$W$1001,0),0), INDEX($AD$1004:$AU$1004,1,MATCH(COLUMNS($AD$1006:AO1006),$AD$1006:$AU$1006,0)))),"Fix")))</f>
        <v xml:space="preserve"> </v>
      </c>
      <c r="N42" s="4" t="str">
        <f ca="1">IF(OR(INDEX($X$2:$X$1001,MATCH(ROWS($W$2:W42),$W$2:$W$1001,0),1)&gt;=100000,INDEX($AD$1005:$AU$1005,1,MATCH(COLUMNS($AD$1006:AP1006),$AD$1006:$AU$1006,0))&gt;=100000), " ",IF(INDEX($AD$2:$AU$1001,MATCH(ROWS($W$2:W42),$W$2:$W$1001,0),MATCH(COLUMNS($AD$1006:AP1006),$AD$1006:$AU$1006,0)), HYPERLINK("#",""), HYPERLINK(CONCATENATE("#metadata!", ADDRESS(INDEX($Y$2:$Y$1001,MATCH(ROWS($W$2:W42),$W$2:$W$1001,0),0), INDEX($AD$1004:$AU$1004,1,MATCH(COLUMNS($AD$1006:AP1006),$AD$1006:$AU$1006,0)))),"Fix")))</f>
        <v xml:space="preserve"> </v>
      </c>
      <c r="O42" s="4" t="str">
        <f ca="1">IF(OR(INDEX($X$2:$X$1001,MATCH(ROWS($W$2:W42),$W$2:$W$1001,0),1)&gt;=100000,INDEX($AD$1005:$AU$1005,1,MATCH(COLUMNS($AD$1006:AQ1006),$AD$1006:$AU$1006,0))&gt;=100000), " ",IF(INDEX($AD$2:$AU$1001,MATCH(ROWS($W$2:W42),$W$2:$W$1001,0),MATCH(COLUMNS($AD$1006:AQ1006),$AD$1006:$AU$1006,0)), HYPERLINK("#",""), HYPERLINK(CONCATENATE("#metadata!", ADDRESS(INDEX($Y$2:$Y$1001,MATCH(ROWS($W$2:W42),$W$2:$W$1001,0),0), INDEX($AD$1004:$AU$1004,1,MATCH(COLUMNS($AD$1006:AQ1006),$AD$1006:$AU$1006,0)))),"Fix")))</f>
        <v xml:space="preserve"> </v>
      </c>
      <c r="P42" s="4" t="str">
        <f ca="1">IF(OR(INDEX($X$2:$X$1001,MATCH(ROWS($W$2:W42),$W$2:$W$1001,0),1)&gt;=100000,INDEX($AD$1005:$AU$1005,1,MATCH(COLUMNS($AD$1006:AR1006),$AD$1006:$AU$1006,0))&gt;=100000), " ",IF(INDEX($AD$2:$AU$1001,MATCH(ROWS($W$2:W42),$W$2:$W$1001,0),MATCH(COLUMNS($AD$1006:AR1006),$AD$1006:$AU$1006,0)), HYPERLINK("#",""), HYPERLINK(CONCATENATE("#metadata!", ADDRESS(INDEX($Y$2:$Y$1001,MATCH(ROWS($W$2:W42),$W$2:$W$1001,0),0), INDEX($AD$1004:$AU$1004,1,MATCH(COLUMNS($AD$1006:AR1006),$AD$1006:$AU$1006,0)))),"Fix")))</f>
        <v xml:space="preserve"> </v>
      </c>
      <c r="Q42" s="4" t="str">
        <f ca="1">IF(OR(INDEX($X$2:$X$1001,MATCH(ROWS($W$2:W42),$W$2:$W$1001,0),1)&gt;=100000,INDEX($AD$1005:$AU$1005,1,MATCH(COLUMNS($AD$1006:AS1006),$AD$1006:$AU$1006,0))&gt;=100000), " ",IF(INDEX($AD$2:$AU$1001,MATCH(ROWS($W$2:W42),$W$2:$W$1001,0),MATCH(COLUMNS($AD$1006:AS1006),$AD$1006:$AU$1006,0)), HYPERLINK("#",""), HYPERLINK(CONCATENATE("#metadata!", ADDRESS(INDEX($Y$2:$Y$1001,MATCH(ROWS($W$2:W42),$W$2:$W$1001,0),0), INDEX($AD$1004:$AU$1004,1,MATCH(COLUMNS($AD$1006:AS1006),$AD$1006:$AU$1006,0)))),"Fix")))</f>
        <v xml:space="preserve"> </v>
      </c>
      <c r="R42" s="4" t="str">
        <f ca="1">IF(OR(INDEX($X$2:$X$1001,MATCH(ROWS($W$2:W42),$W$2:$W$1001,0),1)&gt;=100000,INDEX($AD$1005:$AU$1005,1,MATCH(COLUMNS($AD$1006:AT1006),$AD$1006:$AU$1006,0))&gt;=100000), " ",IF(INDEX($AD$2:$AU$1001,MATCH(ROWS($W$2:W42),$W$2:$W$1001,0),MATCH(COLUMNS($AD$1006:AT1006),$AD$1006:$AU$1006,0)), HYPERLINK("#",""), HYPERLINK(CONCATENATE("#metadata!", ADDRESS(INDEX($Y$2:$Y$1001,MATCH(ROWS($W$2:W42),$W$2:$W$1001,0),0), INDEX($AD$1004:$AU$1004,1,MATCH(COLUMNS($AD$1006:AT1006),$AD$1006:$AU$1006,0)))),"Fix")))</f>
        <v xml:space="preserve"> </v>
      </c>
      <c r="S42" s="4" t="str">
        <f ca="1">IF(OR(INDEX($X$2:$X$1001,MATCH(ROWS($W$2:W42),$W$2:$W$1001,0),1)&gt;=100000,INDEX($AD$1005:$AU$1005,1,MATCH(COLUMNS($AD$1006:AU1006),$AD$1006:$AU$1006,0))&gt;=100000), " ",IF(INDEX($AD$2:$AU$1001,MATCH(ROWS($W$2:W42),$W$2:$W$1001,0),MATCH(COLUMNS($AD$1006:AU1006),$AD$1006:$AU$1006,0)), HYPERLINK("#",""), HYPERLINK(CONCATENATE("#metadata!", ADDRESS(INDEX($Y$2:$Y$1001,MATCH(ROWS($W$2:W42),$W$2:$W$1001,0),0), INDEX($AD$1004:$AU$1004,1,MATCH(COLUMNS($AD$1006:AU1006),$AD$1006:$AU$1006,0)))),"Fix")))</f>
        <v xml:space="preserve"> </v>
      </c>
      <c r="W42">
        <v>41</v>
      </c>
      <c r="X42">
        <v>100042</v>
      </c>
      <c r="Y42">
        <v>42</v>
      </c>
      <c r="Z42" t="b">
        <f t="shared" si="0"/>
        <v>1</v>
      </c>
      <c r="AA42" t="b">
        <f>COUNTBLANK(metadata!B42:S42)=COLUMNS(metadata!B42:S42)</f>
        <v>1</v>
      </c>
      <c r="AB42" t="str">
        <v/>
      </c>
      <c r="AD42" t="b">
        <f ca="1">AND(IF(metadata!B42="",FALSE,TRUE),COUNTIF(metadata!B:B, metadata!B42) = 1,NOT(ISERROR(SUMPRODUCT(SEARCH(MID(metadata!B42,ROW(INDIRECT("1:"&amp;LEN(metadata!B42))), 1),"0123456789abcdefghijklmnopqrstuvwxyzABCDEFGHIJKLMNOPQRSTUVWXYZ.")))))</f>
        <v>0</v>
      </c>
      <c r="AE42" t="b">
        <f>OR(AND(IF(metadata!C42="",FALSE,TRUE),OR(EXACT(metadata!C42,"not applicable"),EXACT(metadata!C42,"missing: not collected"),EXACT(metadata!C42,"missing: not provided"),EXACT(metadata!C42,"missing: restricted access"))),AND(IF(metadata!C42="",FALSE,ISNUMBER(VALUE(metadata!C42))),metadata!C42&gt;0))</f>
        <v>0</v>
      </c>
      <c r="AF42" t="b">
        <f>AND(IF(metadata!D42="",FALSE,TRUE),EXACT(metadata!D42,"missing: not provided"))</f>
        <v>0</v>
      </c>
      <c r="AG42" t="b">
        <f>AND(IF(metadata!E42="",FALSE,TRUE),EXACT(metadata!E42,"Host-associated"))</f>
        <v>0</v>
      </c>
      <c r="AH42" t="b">
        <f>AND(IF(metadata!F42="",FALSE,TRUE),OR(EXACT(metadata!F42,"Animal"),EXACT(metadata!F42,"Fungus"),EXACT(metadata!F42,"Plant")))</f>
        <v>0</v>
      </c>
      <c r="AI42" t="b">
        <f>AND(IF(metadata!G42="",FALSE,TRUE),OR(EXACT(metadata!G42,"Plant secretion"),EXACT(metadata!G42,"Plant rhizosphere"),EXACT(metadata!G42,"Plant surface"),EXACT(metadata!G42,"Plant corpus"),EXACT(metadata!G42,"Fungus surface"),EXACT(metadata!G42,"Fungus corpus"),EXACT(metadata!G42,"Animal surface"),EXACT(metadata!G42,"Animal proximal gut"),EXACT(metadata!G42,"Animal corpus"),EXACT(metadata!G42,"Animal distal gut"),EXACT(metadata!G42,"Animal secretion")))</f>
        <v>0</v>
      </c>
      <c r="AJ42" t="b">
        <f>OR(AND(IF(metadata!H42="",FALSE,TRUE),OR(EXACT(metadata!H42,"missing: not collected"),EXACT(metadata!H42,"missing: not provided"),EXACT(metadata!H42,"missing: restricted access"))),AND(IF(metadata!H42="",FALSE,TRUE),OR(EXACT(metadata!H42,"organism-associated habitat"),EXACT(metadata!H42,"plant-associated habitat"),EXACT(metadata!H42,"animal-associated habitat"),EXACT(metadata!H42,"insecta-associated habitat"),EXACT(metadata!H42,"mammalia-associated habitat"),EXACT(metadata!H42,"human-associated habitat"),EXACT(metadata!H42,"livestock-associated habitat"))))</f>
        <v>0</v>
      </c>
      <c r="AK42" t="b">
        <f>AND(IF(metadata!I42="",FALSE,TRUE),EXACT(metadata!I42,"host-associated"))</f>
        <v>0</v>
      </c>
      <c r="AL42" t="b">
        <f>OR(AND(IF(metadata!J42="",FALSE,TRUE),OR(EXACT(metadata!J42,"not applicable"),EXACT(metadata!J42,"missing: not collected"),EXACT(metadata!J42,"missing: not provided"),EXACT(metadata!J42,"missing: restricted access"))),AND(IF(metadata!J42="",FALSE,ISNUMBER(VALUE(metadata!J42))),metadata!J42&gt;0))</f>
        <v>0</v>
      </c>
      <c r="AM42" t="b">
        <f>AND(IF(metadata!K42="",FALSE,TRUE),EXACT(metadata!K42,"missing: not provided"))</f>
        <v>0</v>
      </c>
      <c r="AN42" t="b">
        <f>IF(metadata!L42="",FALSE,TRUE)</f>
        <v>0</v>
      </c>
      <c r="AO42" t="b">
        <f>IF(metadata!M42="",FALSE,TRUE)</f>
        <v>0</v>
      </c>
      <c r="AP42" t="b">
        <f>OR(AND(IF(metadata!N42="",FALSE,TRUE),OR(EXACT(metadata!N42,"not applicable"),EXACT(metadata!N42,"missing: not collected"),EXACT(metadata!N42,"missing: not provided"))),AND(IF(metadata!N42="",FALSE,IF(ISERROR(INT(metadata!N42)),FALSE,INT(metadata!N42)=metadata!N42)),metadata!N42&gt;0))</f>
        <v>0</v>
      </c>
      <c r="AQ42" t="b">
        <f>AND(IF(metadata!O42="",FALSE,TRUE),EXACT(metadata!O42,"Not applicable"))</f>
        <v>0</v>
      </c>
      <c r="AR42" t="b">
        <f>OR(AND(IF(metadata!P42="",FALSE,TRUE),OR(EXACT(metadata!P42,"not applicable"),EXACT(metadata!P42,"missing: not collected"),EXACT(metadata!P42,"missing: not provided"),EXACT(metadata!P42,"missing: restricted access"))),IF(metadata!P42="",FALSE,IF(ISERROR(INT(metadata!P42)),FALSE,INT(metadata!P42)=metadata!P42)))</f>
        <v>0</v>
      </c>
      <c r="AS42" t="b">
        <f>AND(IF(metadata!Q42="",FALSE,TRUE),EXACT(metadata!Q42,"Not applicable"))</f>
        <v>0</v>
      </c>
      <c r="AT42" t="b">
        <f>OR(AND(IF(metadata!R42="",FALSE,TRUE),OR(EXACT(metadata!R42,"not applicable"),EXACT(metadata!R42,"missing: not collected"),EXACT(metadata!R42,"missing: not provided"),EXACT(metadata!R42,"missing: restricted access"))),AND(IF(metadata!R42="",FALSE,ISNUMBER(VALUE(metadata!R42))),metadata!R42&gt;0))</f>
        <v>0</v>
      </c>
      <c r="AU42" t="b">
        <f>AND(IF(metadata!S42="",FALSE,TRUE),EXACT(metadata!S42,"missing: not provided"))</f>
        <v>0</v>
      </c>
    </row>
    <row r="43" spans="1:47" x14ac:dyDescent="0.2">
      <c r="A43" s="5" t="str">
        <f ca="1">IF(B43=" "," ",HYPERLINK(CONCATENATE("#metadata!",ADDRESS(INDEX($Y$2:$Y$1001,MATCH(ROWS($W$2:W43),$W$2:$W$1001,0),0),1)),INDEX($AB$2:$AB$1001,MATCH(ROWS($W$2:W43),$W$2:$W$1001,0),0)))</f>
        <v xml:space="preserve"> </v>
      </c>
      <c r="B43" s="4" t="str">
        <f ca="1">IF(OR(INDEX($X$2:$X$1001,MATCH(ROWS($W$2:W43),$W$2:$W$1001,0),1)&gt;=100000,INDEX($AD$1005:$AU$1005,1,MATCH(COLUMNS($AD$1006:AD1006),$AD$1006:$AU$1006,0))&gt;=100000), " ",IF(INDEX($AD$2:$AU$1001,MATCH(ROWS($W$2:W43),$W$2:$W$1001,0),MATCH(COLUMNS($AD$1006:AD1006),$AD$1006:$AU$1006,0)), HYPERLINK("#",""), HYPERLINK(CONCATENATE("#metadata!", ADDRESS(INDEX($Y$2:$Y$1001,MATCH(ROWS($W$2:W43),$W$2:$W$1001,0),0), INDEX($AD$1004:$AU$1004,1,MATCH(COLUMNS($AD$1006:AD1006),$AD$1006:$AU$1006,0)))),"Fix")))</f>
        <v xml:space="preserve"> </v>
      </c>
      <c r="C43" s="4" t="str">
        <f ca="1">IF(OR(INDEX($X$2:$X$1001,MATCH(ROWS($W$2:W43),$W$2:$W$1001,0),1)&gt;=100000,INDEX($AD$1005:$AU$1005,1,MATCH(COLUMNS($AD$1006:AE1006),$AD$1006:$AU$1006,0))&gt;=100000), " ",IF(INDEX($AD$2:$AU$1001,MATCH(ROWS($W$2:W43),$W$2:$W$1001,0),MATCH(COLUMNS($AD$1006:AE1006),$AD$1006:$AU$1006,0)), HYPERLINK("#",""), HYPERLINK(CONCATENATE("#metadata!", ADDRESS(INDEX($Y$2:$Y$1001,MATCH(ROWS($W$2:W43),$W$2:$W$1001,0),0), INDEX($AD$1004:$AU$1004,1,MATCH(COLUMNS($AD$1006:AE1006),$AD$1006:$AU$1006,0)))),"Fix")))</f>
        <v xml:space="preserve"> </v>
      </c>
      <c r="D43" s="4" t="str">
        <f ca="1">IF(OR(INDEX($X$2:$X$1001,MATCH(ROWS($W$2:W43),$W$2:$W$1001,0),1)&gt;=100000,INDEX($AD$1005:$AU$1005,1,MATCH(COLUMNS($AD$1006:AF1006),$AD$1006:$AU$1006,0))&gt;=100000), " ",IF(INDEX($AD$2:$AU$1001,MATCH(ROWS($W$2:W43),$W$2:$W$1001,0),MATCH(COLUMNS($AD$1006:AF1006),$AD$1006:$AU$1006,0)), HYPERLINK("#",""), HYPERLINK(CONCATENATE("#metadata!", ADDRESS(INDEX($Y$2:$Y$1001,MATCH(ROWS($W$2:W43),$W$2:$W$1001,0),0), INDEX($AD$1004:$AU$1004,1,MATCH(COLUMNS($AD$1006:AF1006),$AD$1006:$AU$1006,0)))),"Fix")))</f>
        <v xml:space="preserve"> </v>
      </c>
      <c r="E43" s="4" t="str">
        <f ca="1">IF(OR(INDEX($X$2:$X$1001,MATCH(ROWS($W$2:W43),$W$2:$W$1001,0),1)&gt;=100000,INDEX($AD$1005:$AU$1005,1,MATCH(COLUMNS($AD$1006:AG1006),$AD$1006:$AU$1006,0))&gt;=100000), " ",IF(INDEX($AD$2:$AU$1001,MATCH(ROWS($W$2:W43),$W$2:$W$1001,0),MATCH(COLUMNS($AD$1006:AG1006),$AD$1006:$AU$1006,0)), HYPERLINK("#",""), HYPERLINK(CONCATENATE("#metadata!", ADDRESS(INDEX($Y$2:$Y$1001,MATCH(ROWS($W$2:W43),$W$2:$W$1001,0),0), INDEX($AD$1004:$AU$1004,1,MATCH(COLUMNS($AD$1006:AG1006),$AD$1006:$AU$1006,0)))),"Fix")))</f>
        <v xml:space="preserve"> </v>
      </c>
      <c r="F43" s="4" t="str">
        <f ca="1">IF(OR(INDEX($X$2:$X$1001,MATCH(ROWS($W$2:W43),$W$2:$W$1001,0),1)&gt;=100000,INDEX($AD$1005:$AU$1005,1,MATCH(COLUMNS($AD$1006:AH1006),$AD$1006:$AU$1006,0))&gt;=100000), " ",IF(INDEX($AD$2:$AU$1001,MATCH(ROWS($W$2:W43),$W$2:$W$1001,0),MATCH(COLUMNS($AD$1006:AH1006),$AD$1006:$AU$1006,0)), HYPERLINK("#",""), HYPERLINK(CONCATENATE("#metadata!", ADDRESS(INDEX($Y$2:$Y$1001,MATCH(ROWS($W$2:W43),$W$2:$W$1001,0),0), INDEX($AD$1004:$AU$1004,1,MATCH(COLUMNS($AD$1006:AH1006),$AD$1006:$AU$1006,0)))),"Fix")))</f>
        <v xml:space="preserve"> </v>
      </c>
      <c r="G43" s="4" t="str">
        <f ca="1">IF(OR(INDEX($X$2:$X$1001,MATCH(ROWS($W$2:W43),$W$2:$W$1001,0),1)&gt;=100000,INDEX($AD$1005:$AU$1005,1,MATCH(COLUMNS($AD$1006:AI1006),$AD$1006:$AU$1006,0))&gt;=100000), " ",IF(INDEX($AD$2:$AU$1001,MATCH(ROWS($W$2:W43),$W$2:$W$1001,0),MATCH(COLUMNS($AD$1006:AI1006),$AD$1006:$AU$1006,0)), HYPERLINK("#",""), HYPERLINK(CONCATENATE("#metadata!", ADDRESS(INDEX($Y$2:$Y$1001,MATCH(ROWS($W$2:W43),$W$2:$W$1001,0),0), INDEX($AD$1004:$AU$1004,1,MATCH(COLUMNS($AD$1006:AI1006),$AD$1006:$AU$1006,0)))),"Fix")))</f>
        <v xml:space="preserve"> </v>
      </c>
      <c r="H43" s="4" t="str">
        <f ca="1">IF(OR(INDEX($X$2:$X$1001,MATCH(ROWS($W$2:W43),$W$2:$W$1001,0),1)&gt;=100000,INDEX($AD$1005:$AU$1005,1,MATCH(COLUMNS($AD$1006:AJ1006),$AD$1006:$AU$1006,0))&gt;=100000), " ",IF(INDEX($AD$2:$AU$1001,MATCH(ROWS($W$2:W43),$W$2:$W$1001,0),MATCH(COLUMNS($AD$1006:AJ1006),$AD$1006:$AU$1006,0)), HYPERLINK("#",""), HYPERLINK(CONCATENATE("#metadata!", ADDRESS(INDEX($Y$2:$Y$1001,MATCH(ROWS($W$2:W43),$W$2:$W$1001,0),0), INDEX($AD$1004:$AU$1004,1,MATCH(COLUMNS($AD$1006:AJ1006),$AD$1006:$AU$1006,0)))),"Fix")))</f>
        <v xml:space="preserve"> </v>
      </c>
      <c r="I43" s="4" t="str">
        <f ca="1">IF(OR(INDEX($X$2:$X$1001,MATCH(ROWS($W$2:W43),$W$2:$W$1001,0),1)&gt;=100000,INDEX($AD$1005:$AU$1005,1,MATCH(COLUMNS($AD$1006:AK1006),$AD$1006:$AU$1006,0))&gt;=100000), " ",IF(INDEX($AD$2:$AU$1001,MATCH(ROWS($W$2:W43),$W$2:$W$1001,0),MATCH(COLUMNS($AD$1006:AK1006),$AD$1006:$AU$1006,0)), HYPERLINK("#",""), HYPERLINK(CONCATENATE("#metadata!", ADDRESS(INDEX($Y$2:$Y$1001,MATCH(ROWS($W$2:W43),$W$2:$W$1001,0),0), INDEX($AD$1004:$AU$1004,1,MATCH(COLUMNS($AD$1006:AK1006),$AD$1006:$AU$1006,0)))),"Fix")))</f>
        <v xml:space="preserve"> </v>
      </c>
      <c r="J43" s="4" t="str">
        <f ca="1">IF(OR(INDEX($X$2:$X$1001,MATCH(ROWS($W$2:W43),$W$2:$W$1001,0),1)&gt;=100000,INDEX($AD$1005:$AU$1005,1,MATCH(COLUMNS($AD$1006:AL1006),$AD$1006:$AU$1006,0))&gt;=100000), " ",IF(INDEX($AD$2:$AU$1001,MATCH(ROWS($W$2:W43),$W$2:$W$1001,0),MATCH(COLUMNS($AD$1006:AL1006),$AD$1006:$AU$1006,0)), HYPERLINK("#",""), HYPERLINK(CONCATENATE("#metadata!", ADDRESS(INDEX($Y$2:$Y$1001,MATCH(ROWS($W$2:W43),$W$2:$W$1001,0),0), INDEX($AD$1004:$AU$1004,1,MATCH(COLUMNS($AD$1006:AL1006),$AD$1006:$AU$1006,0)))),"Fix")))</f>
        <v xml:space="preserve"> </v>
      </c>
      <c r="K43" s="4" t="str">
        <f ca="1">IF(OR(INDEX($X$2:$X$1001,MATCH(ROWS($W$2:W43),$W$2:$W$1001,0),1)&gt;=100000,INDEX($AD$1005:$AU$1005,1,MATCH(COLUMNS($AD$1006:AM1006),$AD$1006:$AU$1006,0))&gt;=100000), " ",IF(INDEX($AD$2:$AU$1001,MATCH(ROWS($W$2:W43),$W$2:$W$1001,0),MATCH(COLUMNS($AD$1006:AM1006),$AD$1006:$AU$1006,0)), HYPERLINK("#",""), HYPERLINK(CONCATENATE("#metadata!", ADDRESS(INDEX($Y$2:$Y$1001,MATCH(ROWS($W$2:W43),$W$2:$W$1001,0),0), INDEX($AD$1004:$AU$1004,1,MATCH(COLUMNS($AD$1006:AM1006),$AD$1006:$AU$1006,0)))),"Fix")))</f>
        <v xml:space="preserve"> </v>
      </c>
      <c r="L43" s="4" t="str">
        <f ca="1">IF(OR(INDEX($X$2:$X$1001,MATCH(ROWS($W$2:W43),$W$2:$W$1001,0),1)&gt;=100000,INDEX($AD$1005:$AU$1005,1,MATCH(COLUMNS($AD$1006:AN1006),$AD$1006:$AU$1006,0))&gt;=100000), " ",IF(INDEX($AD$2:$AU$1001,MATCH(ROWS($W$2:W43),$W$2:$W$1001,0),MATCH(COLUMNS($AD$1006:AN1006),$AD$1006:$AU$1006,0)), HYPERLINK("#",""), HYPERLINK(CONCATENATE("#metadata!", ADDRESS(INDEX($Y$2:$Y$1001,MATCH(ROWS($W$2:W43),$W$2:$W$1001,0),0), INDEX($AD$1004:$AU$1004,1,MATCH(COLUMNS($AD$1006:AN1006),$AD$1006:$AU$1006,0)))),"Fix")))</f>
        <v xml:space="preserve"> </v>
      </c>
      <c r="M43" s="4" t="str">
        <f ca="1">IF(OR(INDEX($X$2:$X$1001,MATCH(ROWS($W$2:W43),$W$2:$W$1001,0),1)&gt;=100000,INDEX($AD$1005:$AU$1005,1,MATCH(COLUMNS($AD$1006:AO1006),$AD$1006:$AU$1006,0))&gt;=100000), " ",IF(INDEX($AD$2:$AU$1001,MATCH(ROWS($W$2:W43),$W$2:$W$1001,0),MATCH(COLUMNS($AD$1006:AO1006),$AD$1006:$AU$1006,0)), HYPERLINK("#",""), HYPERLINK(CONCATENATE("#metadata!", ADDRESS(INDEX($Y$2:$Y$1001,MATCH(ROWS($W$2:W43),$W$2:$W$1001,0),0), INDEX($AD$1004:$AU$1004,1,MATCH(COLUMNS($AD$1006:AO1006),$AD$1006:$AU$1006,0)))),"Fix")))</f>
        <v xml:space="preserve"> </v>
      </c>
      <c r="N43" s="4" t="str">
        <f ca="1">IF(OR(INDEX($X$2:$X$1001,MATCH(ROWS($W$2:W43),$W$2:$W$1001,0),1)&gt;=100000,INDEX($AD$1005:$AU$1005,1,MATCH(COLUMNS($AD$1006:AP1006),$AD$1006:$AU$1006,0))&gt;=100000), " ",IF(INDEX($AD$2:$AU$1001,MATCH(ROWS($W$2:W43),$W$2:$W$1001,0),MATCH(COLUMNS($AD$1006:AP1006),$AD$1006:$AU$1006,0)), HYPERLINK("#",""), HYPERLINK(CONCATENATE("#metadata!", ADDRESS(INDEX($Y$2:$Y$1001,MATCH(ROWS($W$2:W43),$W$2:$W$1001,0),0), INDEX($AD$1004:$AU$1004,1,MATCH(COLUMNS($AD$1006:AP1006),$AD$1006:$AU$1006,0)))),"Fix")))</f>
        <v xml:space="preserve"> </v>
      </c>
      <c r="O43" s="4" t="str">
        <f ca="1">IF(OR(INDEX($X$2:$X$1001,MATCH(ROWS($W$2:W43),$W$2:$W$1001,0),1)&gt;=100000,INDEX($AD$1005:$AU$1005,1,MATCH(COLUMNS($AD$1006:AQ1006),$AD$1006:$AU$1006,0))&gt;=100000), " ",IF(INDEX($AD$2:$AU$1001,MATCH(ROWS($W$2:W43),$W$2:$W$1001,0),MATCH(COLUMNS($AD$1006:AQ1006),$AD$1006:$AU$1006,0)), HYPERLINK("#",""), HYPERLINK(CONCATENATE("#metadata!", ADDRESS(INDEX($Y$2:$Y$1001,MATCH(ROWS($W$2:W43),$W$2:$W$1001,0),0), INDEX($AD$1004:$AU$1004,1,MATCH(COLUMNS($AD$1006:AQ1006),$AD$1006:$AU$1006,0)))),"Fix")))</f>
        <v xml:space="preserve"> </v>
      </c>
      <c r="P43" s="4" t="str">
        <f ca="1">IF(OR(INDEX($X$2:$X$1001,MATCH(ROWS($W$2:W43),$W$2:$W$1001,0),1)&gt;=100000,INDEX($AD$1005:$AU$1005,1,MATCH(COLUMNS($AD$1006:AR1006),$AD$1006:$AU$1006,0))&gt;=100000), " ",IF(INDEX($AD$2:$AU$1001,MATCH(ROWS($W$2:W43),$W$2:$W$1001,0),MATCH(COLUMNS($AD$1006:AR1006),$AD$1006:$AU$1006,0)), HYPERLINK("#",""), HYPERLINK(CONCATENATE("#metadata!", ADDRESS(INDEX($Y$2:$Y$1001,MATCH(ROWS($W$2:W43),$W$2:$W$1001,0),0), INDEX($AD$1004:$AU$1004,1,MATCH(COLUMNS($AD$1006:AR1006),$AD$1006:$AU$1006,0)))),"Fix")))</f>
        <v xml:space="preserve"> </v>
      </c>
      <c r="Q43" s="4" t="str">
        <f ca="1">IF(OR(INDEX($X$2:$X$1001,MATCH(ROWS($W$2:W43),$W$2:$W$1001,0),1)&gt;=100000,INDEX($AD$1005:$AU$1005,1,MATCH(COLUMNS($AD$1006:AS1006),$AD$1006:$AU$1006,0))&gt;=100000), " ",IF(INDEX($AD$2:$AU$1001,MATCH(ROWS($W$2:W43),$W$2:$W$1001,0),MATCH(COLUMNS($AD$1006:AS1006),$AD$1006:$AU$1006,0)), HYPERLINK("#",""), HYPERLINK(CONCATENATE("#metadata!", ADDRESS(INDEX($Y$2:$Y$1001,MATCH(ROWS($W$2:W43),$W$2:$W$1001,0),0), INDEX($AD$1004:$AU$1004,1,MATCH(COLUMNS($AD$1006:AS1006),$AD$1006:$AU$1006,0)))),"Fix")))</f>
        <v xml:space="preserve"> </v>
      </c>
      <c r="R43" s="4" t="str">
        <f ca="1">IF(OR(INDEX($X$2:$X$1001,MATCH(ROWS($W$2:W43),$W$2:$W$1001,0),1)&gt;=100000,INDEX($AD$1005:$AU$1005,1,MATCH(COLUMNS($AD$1006:AT1006),$AD$1006:$AU$1006,0))&gt;=100000), " ",IF(INDEX($AD$2:$AU$1001,MATCH(ROWS($W$2:W43),$W$2:$W$1001,0),MATCH(COLUMNS($AD$1006:AT1006),$AD$1006:$AU$1006,0)), HYPERLINK("#",""), HYPERLINK(CONCATENATE("#metadata!", ADDRESS(INDEX($Y$2:$Y$1001,MATCH(ROWS($W$2:W43),$W$2:$W$1001,0),0), INDEX($AD$1004:$AU$1004,1,MATCH(COLUMNS($AD$1006:AT1006),$AD$1006:$AU$1006,0)))),"Fix")))</f>
        <v xml:space="preserve"> </v>
      </c>
      <c r="S43" s="4" t="str">
        <f ca="1">IF(OR(INDEX($X$2:$X$1001,MATCH(ROWS($W$2:W43),$W$2:$W$1001,0),1)&gt;=100000,INDEX($AD$1005:$AU$1005,1,MATCH(COLUMNS($AD$1006:AU1006),$AD$1006:$AU$1006,0))&gt;=100000), " ",IF(INDEX($AD$2:$AU$1001,MATCH(ROWS($W$2:W43),$W$2:$W$1001,0),MATCH(COLUMNS($AD$1006:AU1006),$AD$1006:$AU$1006,0)), HYPERLINK("#",""), HYPERLINK(CONCATENATE("#metadata!", ADDRESS(INDEX($Y$2:$Y$1001,MATCH(ROWS($W$2:W43),$W$2:$W$1001,0),0), INDEX($AD$1004:$AU$1004,1,MATCH(COLUMNS($AD$1006:AU1006),$AD$1006:$AU$1006,0)))),"Fix")))</f>
        <v xml:space="preserve"> </v>
      </c>
      <c r="W43">
        <v>42</v>
      </c>
      <c r="X43">
        <v>100043</v>
      </c>
      <c r="Y43">
        <v>43</v>
      </c>
      <c r="Z43" t="b">
        <f t="shared" si="0"/>
        <v>1</v>
      </c>
      <c r="AA43" t="b">
        <f>COUNTBLANK(metadata!B43:S43)=COLUMNS(metadata!B43:S43)</f>
        <v>1</v>
      </c>
      <c r="AB43" t="str">
        <v/>
      </c>
      <c r="AD43" t="b">
        <f ca="1">AND(IF(metadata!B43="",FALSE,TRUE),COUNTIF(metadata!B:B, metadata!B43) = 1,NOT(ISERROR(SUMPRODUCT(SEARCH(MID(metadata!B43,ROW(INDIRECT("1:"&amp;LEN(metadata!B43))), 1),"0123456789abcdefghijklmnopqrstuvwxyzABCDEFGHIJKLMNOPQRSTUVWXYZ.")))))</f>
        <v>0</v>
      </c>
      <c r="AE43" t="b">
        <f>OR(AND(IF(metadata!C43="",FALSE,TRUE),OR(EXACT(metadata!C43,"not applicable"),EXACT(metadata!C43,"missing: not collected"),EXACT(metadata!C43,"missing: not provided"),EXACT(metadata!C43,"missing: restricted access"))),AND(IF(metadata!C43="",FALSE,ISNUMBER(VALUE(metadata!C43))),metadata!C43&gt;0))</f>
        <v>0</v>
      </c>
      <c r="AF43" t="b">
        <f>AND(IF(metadata!D43="",FALSE,TRUE),EXACT(metadata!D43,"missing: not provided"))</f>
        <v>0</v>
      </c>
      <c r="AG43" t="b">
        <f>AND(IF(metadata!E43="",FALSE,TRUE),EXACT(metadata!E43,"Host-associated"))</f>
        <v>0</v>
      </c>
      <c r="AH43" t="b">
        <f>AND(IF(metadata!F43="",FALSE,TRUE),OR(EXACT(metadata!F43,"Animal"),EXACT(metadata!F43,"Fungus"),EXACT(metadata!F43,"Plant")))</f>
        <v>0</v>
      </c>
      <c r="AI43" t="b">
        <f>AND(IF(metadata!G43="",FALSE,TRUE),OR(EXACT(metadata!G43,"Plant secretion"),EXACT(metadata!G43,"Plant rhizosphere"),EXACT(metadata!G43,"Plant surface"),EXACT(metadata!G43,"Plant corpus"),EXACT(metadata!G43,"Fungus surface"),EXACT(metadata!G43,"Fungus corpus"),EXACT(metadata!G43,"Animal surface"),EXACT(metadata!G43,"Animal proximal gut"),EXACT(metadata!G43,"Animal corpus"),EXACT(metadata!G43,"Animal distal gut"),EXACT(metadata!G43,"Animal secretion")))</f>
        <v>0</v>
      </c>
      <c r="AJ43" t="b">
        <f>OR(AND(IF(metadata!H43="",FALSE,TRUE),OR(EXACT(metadata!H43,"missing: not collected"),EXACT(metadata!H43,"missing: not provided"),EXACT(metadata!H43,"missing: restricted access"))),AND(IF(metadata!H43="",FALSE,TRUE),OR(EXACT(metadata!H43,"organism-associated habitat"),EXACT(metadata!H43,"plant-associated habitat"),EXACT(metadata!H43,"animal-associated habitat"),EXACT(metadata!H43,"insecta-associated habitat"),EXACT(metadata!H43,"mammalia-associated habitat"),EXACT(metadata!H43,"human-associated habitat"),EXACT(metadata!H43,"livestock-associated habitat"))))</f>
        <v>0</v>
      </c>
      <c r="AK43" t="b">
        <f>AND(IF(metadata!I43="",FALSE,TRUE),EXACT(metadata!I43,"host-associated"))</f>
        <v>0</v>
      </c>
      <c r="AL43" t="b">
        <f>OR(AND(IF(metadata!J43="",FALSE,TRUE),OR(EXACT(metadata!J43,"not applicable"),EXACT(metadata!J43,"missing: not collected"),EXACT(metadata!J43,"missing: not provided"),EXACT(metadata!J43,"missing: restricted access"))),AND(IF(metadata!J43="",FALSE,ISNUMBER(VALUE(metadata!J43))),metadata!J43&gt;0))</f>
        <v>0</v>
      </c>
      <c r="AM43" t="b">
        <f>AND(IF(metadata!K43="",FALSE,TRUE),EXACT(metadata!K43,"missing: not provided"))</f>
        <v>0</v>
      </c>
      <c r="AN43" t="b">
        <f>IF(metadata!L43="",FALSE,TRUE)</f>
        <v>0</v>
      </c>
      <c r="AO43" t="b">
        <f>IF(metadata!M43="",FALSE,TRUE)</f>
        <v>0</v>
      </c>
      <c r="AP43" t="b">
        <f>OR(AND(IF(metadata!N43="",FALSE,TRUE),OR(EXACT(metadata!N43,"not applicable"),EXACT(metadata!N43,"missing: not collected"),EXACT(metadata!N43,"missing: not provided"))),AND(IF(metadata!N43="",FALSE,IF(ISERROR(INT(metadata!N43)),FALSE,INT(metadata!N43)=metadata!N43)),metadata!N43&gt;0))</f>
        <v>0</v>
      </c>
      <c r="AQ43" t="b">
        <f>AND(IF(metadata!O43="",FALSE,TRUE),EXACT(metadata!O43,"Not applicable"))</f>
        <v>0</v>
      </c>
      <c r="AR43" t="b">
        <f>OR(AND(IF(metadata!P43="",FALSE,TRUE),OR(EXACT(metadata!P43,"not applicable"),EXACT(metadata!P43,"missing: not collected"),EXACT(metadata!P43,"missing: not provided"),EXACT(metadata!P43,"missing: restricted access"))),IF(metadata!P43="",FALSE,IF(ISERROR(INT(metadata!P43)),FALSE,INT(metadata!P43)=metadata!P43)))</f>
        <v>0</v>
      </c>
      <c r="AS43" t="b">
        <f>AND(IF(metadata!Q43="",FALSE,TRUE),EXACT(metadata!Q43,"Not applicable"))</f>
        <v>0</v>
      </c>
      <c r="AT43" t="b">
        <f>OR(AND(IF(metadata!R43="",FALSE,TRUE),OR(EXACT(metadata!R43,"not applicable"),EXACT(metadata!R43,"missing: not collected"),EXACT(metadata!R43,"missing: not provided"),EXACT(metadata!R43,"missing: restricted access"))),AND(IF(metadata!R43="",FALSE,ISNUMBER(VALUE(metadata!R43))),metadata!R43&gt;0))</f>
        <v>0</v>
      </c>
      <c r="AU43" t="b">
        <f>AND(IF(metadata!S43="",FALSE,TRUE),EXACT(metadata!S43,"missing: not provided"))</f>
        <v>0</v>
      </c>
    </row>
    <row r="44" spans="1:47" x14ac:dyDescent="0.2">
      <c r="A44" s="5" t="str">
        <f ca="1">IF(B44=" "," ",HYPERLINK(CONCATENATE("#metadata!",ADDRESS(INDEX($Y$2:$Y$1001,MATCH(ROWS($W$2:W44),$W$2:$W$1001,0),0),1)),INDEX($AB$2:$AB$1001,MATCH(ROWS($W$2:W44),$W$2:$W$1001,0),0)))</f>
        <v xml:space="preserve"> </v>
      </c>
      <c r="B44" s="4" t="str">
        <f ca="1">IF(OR(INDEX($X$2:$X$1001,MATCH(ROWS($W$2:W44),$W$2:$W$1001,0),1)&gt;=100000,INDEX($AD$1005:$AU$1005,1,MATCH(COLUMNS($AD$1006:AD1006),$AD$1006:$AU$1006,0))&gt;=100000), " ",IF(INDEX($AD$2:$AU$1001,MATCH(ROWS($W$2:W44),$W$2:$W$1001,0),MATCH(COLUMNS($AD$1006:AD1006),$AD$1006:$AU$1006,0)), HYPERLINK("#",""), HYPERLINK(CONCATENATE("#metadata!", ADDRESS(INDEX($Y$2:$Y$1001,MATCH(ROWS($W$2:W44),$W$2:$W$1001,0),0), INDEX($AD$1004:$AU$1004,1,MATCH(COLUMNS($AD$1006:AD1006),$AD$1006:$AU$1006,0)))),"Fix")))</f>
        <v xml:space="preserve"> </v>
      </c>
      <c r="C44" s="4" t="str">
        <f ca="1">IF(OR(INDEX($X$2:$X$1001,MATCH(ROWS($W$2:W44),$W$2:$W$1001,0),1)&gt;=100000,INDEX($AD$1005:$AU$1005,1,MATCH(COLUMNS($AD$1006:AE1006),$AD$1006:$AU$1006,0))&gt;=100000), " ",IF(INDEX($AD$2:$AU$1001,MATCH(ROWS($W$2:W44),$W$2:$W$1001,0),MATCH(COLUMNS($AD$1006:AE1006),$AD$1006:$AU$1006,0)), HYPERLINK("#",""), HYPERLINK(CONCATENATE("#metadata!", ADDRESS(INDEX($Y$2:$Y$1001,MATCH(ROWS($W$2:W44),$W$2:$W$1001,0),0), INDEX($AD$1004:$AU$1004,1,MATCH(COLUMNS($AD$1006:AE1006),$AD$1006:$AU$1006,0)))),"Fix")))</f>
        <v xml:space="preserve"> </v>
      </c>
      <c r="D44" s="4" t="str">
        <f ca="1">IF(OR(INDEX($X$2:$X$1001,MATCH(ROWS($W$2:W44),$W$2:$W$1001,0),1)&gt;=100000,INDEX($AD$1005:$AU$1005,1,MATCH(COLUMNS($AD$1006:AF1006),$AD$1006:$AU$1006,0))&gt;=100000), " ",IF(INDEX($AD$2:$AU$1001,MATCH(ROWS($W$2:W44),$W$2:$W$1001,0),MATCH(COLUMNS($AD$1006:AF1006),$AD$1006:$AU$1006,0)), HYPERLINK("#",""), HYPERLINK(CONCATENATE("#metadata!", ADDRESS(INDEX($Y$2:$Y$1001,MATCH(ROWS($W$2:W44),$W$2:$W$1001,0),0), INDEX($AD$1004:$AU$1004,1,MATCH(COLUMNS($AD$1006:AF1006),$AD$1006:$AU$1006,0)))),"Fix")))</f>
        <v xml:space="preserve"> </v>
      </c>
      <c r="E44" s="4" t="str">
        <f ca="1">IF(OR(INDEX($X$2:$X$1001,MATCH(ROWS($W$2:W44),$W$2:$W$1001,0),1)&gt;=100000,INDEX($AD$1005:$AU$1005,1,MATCH(COLUMNS($AD$1006:AG1006),$AD$1006:$AU$1006,0))&gt;=100000), " ",IF(INDEX($AD$2:$AU$1001,MATCH(ROWS($W$2:W44),$W$2:$W$1001,0),MATCH(COLUMNS($AD$1006:AG1006),$AD$1006:$AU$1006,0)), HYPERLINK("#",""), HYPERLINK(CONCATENATE("#metadata!", ADDRESS(INDEX($Y$2:$Y$1001,MATCH(ROWS($W$2:W44),$W$2:$W$1001,0),0), INDEX($AD$1004:$AU$1004,1,MATCH(COLUMNS($AD$1006:AG1006),$AD$1006:$AU$1006,0)))),"Fix")))</f>
        <v xml:space="preserve"> </v>
      </c>
      <c r="F44" s="4" t="str">
        <f ca="1">IF(OR(INDEX($X$2:$X$1001,MATCH(ROWS($W$2:W44),$W$2:$W$1001,0),1)&gt;=100000,INDEX($AD$1005:$AU$1005,1,MATCH(COLUMNS($AD$1006:AH1006),$AD$1006:$AU$1006,0))&gt;=100000), " ",IF(INDEX($AD$2:$AU$1001,MATCH(ROWS($W$2:W44),$W$2:$W$1001,0),MATCH(COLUMNS($AD$1006:AH1006),$AD$1006:$AU$1006,0)), HYPERLINK("#",""), HYPERLINK(CONCATENATE("#metadata!", ADDRESS(INDEX($Y$2:$Y$1001,MATCH(ROWS($W$2:W44),$W$2:$W$1001,0),0), INDEX($AD$1004:$AU$1004,1,MATCH(COLUMNS($AD$1006:AH1006),$AD$1006:$AU$1006,0)))),"Fix")))</f>
        <v xml:space="preserve"> </v>
      </c>
      <c r="G44" s="4" t="str">
        <f ca="1">IF(OR(INDEX($X$2:$X$1001,MATCH(ROWS($W$2:W44),$W$2:$W$1001,0),1)&gt;=100000,INDEX($AD$1005:$AU$1005,1,MATCH(COLUMNS($AD$1006:AI1006),$AD$1006:$AU$1006,0))&gt;=100000), " ",IF(INDEX($AD$2:$AU$1001,MATCH(ROWS($W$2:W44),$W$2:$W$1001,0),MATCH(COLUMNS($AD$1006:AI1006),$AD$1006:$AU$1006,0)), HYPERLINK("#",""), HYPERLINK(CONCATENATE("#metadata!", ADDRESS(INDEX($Y$2:$Y$1001,MATCH(ROWS($W$2:W44),$W$2:$W$1001,0),0), INDEX($AD$1004:$AU$1004,1,MATCH(COLUMNS($AD$1006:AI1006),$AD$1006:$AU$1006,0)))),"Fix")))</f>
        <v xml:space="preserve"> </v>
      </c>
      <c r="H44" s="4" t="str">
        <f ca="1">IF(OR(INDEX($X$2:$X$1001,MATCH(ROWS($W$2:W44),$W$2:$W$1001,0),1)&gt;=100000,INDEX($AD$1005:$AU$1005,1,MATCH(COLUMNS($AD$1006:AJ1006),$AD$1006:$AU$1006,0))&gt;=100000), " ",IF(INDEX($AD$2:$AU$1001,MATCH(ROWS($W$2:W44),$W$2:$W$1001,0),MATCH(COLUMNS($AD$1006:AJ1006),$AD$1006:$AU$1006,0)), HYPERLINK("#",""), HYPERLINK(CONCATENATE("#metadata!", ADDRESS(INDEX($Y$2:$Y$1001,MATCH(ROWS($W$2:W44),$W$2:$W$1001,0),0), INDEX($AD$1004:$AU$1004,1,MATCH(COLUMNS($AD$1006:AJ1006),$AD$1006:$AU$1006,0)))),"Fix")))</f>
        <v xml:space="preserve"> </v>
      </c>
      <c r="I44" s="4" t="str">
        <f ca="1">IF(OR(INDEX($X$2:$X$1001,MATCH(ROWS($W$2:W44),$W$2:$W$1001,0),1)&gt;=100000,INDEX($AD$1005:$AU$1005,1,MATCH(COLUMNS($AD$1006:AK1006),$AD$1006:$AU$1006,0))&gt;=100000), " ",IF(INDEX($AD$2:$AU$1001,MATCH(ROWS($W$2:W44),$W$2:$W$1001,0),MATCH(COLUMNS($AD$1006:AK1006),$AD$1006:$AU$1006,0)), HYPERLINK("#",""), HYPERLINK(CONCATENATE("#metadata!", ADDRESS(INDEX($Y$2:$Y$1001,MATCH(ROWS($W$2:W44),$W$2:$W$1001,0),0), INDEX($AD$1004:$AU$1004,1,MATCH(COLUMNS($AD$1006:AK1006),$AD$1006:$AU$1006,0)))),"Fix")))</f>
        <v xml:space="preserve"> </v>
      </c>
      <c r="J44" s="4" t="str">
        <f ca="1">IF(OR(INDEX($X$2:$X$1001,MATCH(ROWS($W$2:W44),$W$2:$W$1001,0),1)&gt;=100000,INDEX($AD$1005:$AU$1005,1,MATCH(COLUMNS($AD$1006:AL1006),$AD$1006:$AU$1006,0))&gt;=100000), " ",IF(INDEX($AD$2:$AU$1001,MATCH(ROWS($W$2:W44),$W$2:$W$1001,0),MATCH(COLUMNS($AD$1006:AL1006),$AD$1006:$AU$1006,0)), HYPERLINK("#",""), HYPERLINK(CONCATENATE("#metadata!", ADDRESS(INDEX($Y$2:$Y$1001,MATCH(ROWS($W$2:W44),$W$2:$W$1001,0),0), INDEX($AD$1004:$AU$1004,1,MATCH(COLUMNS($AD$1006:AL1006),$AD$1006:$AU$1006,0)))),"Fix")))</f>
        <v xml:space="preserve"> </v>
      </c>
      <c r="K44" s="4" t="str">
        <f ca="1">IF(OR(INDEX($X$2:$X$1001,MATCH(ROWS($W$2:W44),$W$2:$W$1001,0),1)&gt;=100000,INDEX($AD$1005:$AU$1005,1,MATCH(COLUMNS($AD$1006:AM1006),$AD$1006:$AU$1006,0))&gt;=100000), " ",IF(INDEX($AD$2:$AU$1001,MATCH(ROWS($W$2:W44),$W$2:$W$1001,0),MATCH(COLUMNS($AD$1006:AM1006),$AD$1006:$AU$1006,0)), HYPERLINK("#",""), HYPERLINK(CONCATENATE("#metadata!", ADDRESS(INDEX($Y$2:$Y$1001,MATCH(ROWS($W$2:W44),$W$2:$W$1001,0),0), INDEX($AD$1004:$AU$1004,1,MATCH(COLUMNS($AD$1006:AM1006),$AD$1006:$AU$1006,0)))),"Fix")))</f>
        <v xml:space="preserve"> </v>
      </c>
      <c r="L44" s="4" t="str">
        <f ca="1">IF(OR(INDEX($X$2:$X$1001,MATCH(ROWS($W$2:W44),$W$2:$W$1001,0),1)&gt;=100000,INDEX($AD$1005:$AU$1005,1,MATCH(COLUMNS($AD$1006:AN1006),$AD$1006:$AU$1006,0))&gt;=100000), " ",IF(INDEX($AD$2:$AU$1001,MATCH(ROWS($W$2:W44),$W$2:$W$1001,0),MATCH(COLUMNS($AD$1006:AN1006),$AD$1006:$AU$1006,0)), HYPERLINK("#",""), HYPERLINK(CONCATENATE("#metadata!", ADDRESS(INDEX($Y$2:$Y$1001,MATCH(ROWS($W$2:W44),$W$2:$W$1001,0),0), INDEX($AD$1004:$AU$1004,1,MATCH(COLUMNS($AD$1006:AN1006),$AD$1006:$AU$1006,0)))),"Fix")))</f>
        <v xml:space="preserve"> </v>
      </c>
      <c r="M44" s="4" t="str">
        <f ca="1">IF(OR(INDEX($X$2:$X$1001,MATCH(ROWS($W$2:W44),$W$2:$W$1001,0),1)&gt;=100000,INDEX($AD$1005:$AU$1005,1,MATCH(COLUMNS($AD$1006:AO1006),$AD$1006:$AU$1006,0))&gt;=100000), " ",IF(INDEX($AD$2:$AU$1001,MATCH(ROWS($W$2:W44),$W$2:$W$1001,0),MATCH(COLUMNS($AD$1006:AO1006),$AD$1006:$AU$1006,0)), HYPERLINK("#",""), HYPERLINK(CONCATENATE("#metadata!", ADDRESS(INDEX($Y$2:$Y$1001,MATCH(ROWS($W$2:W44),$W$2:$W$1001,0),0), INDEX($AD$1004:$AU$1004,1,MATCH(COLUMNS($AD$1006:AO1006),$AD$1006:$AU$1006,0)))),"Fix")))</f>
        <v xml:space="preserve"> </v>
      </c>
      <c r="N44" s="4" t="str">
        <f ca="1">IF(OR(INDEX($X$2:$X$1001,MATCH(ROWS($W$2:W44),$W$2:$W$1001,0),1)&gt;=100000,INDEX($AD$1005:$AU$1005,1,MATCH(COLUMNS($AD$1006:AP1006),$AD$1006:$AU$1006,0))&gt;=100000), " ",IF(INDEX($AD$2:$AU$1001,MATCH(ROWS($W$2:W44),$W$2:$W$1001,0),MATCH(COLUMNS($AD$1006:AP1006),$AD$1006:$AU$1006,0)), HYPERLINK("#",""), HYPERLINK(CONCATENATE("#metadata!", ADDRESS(INDEX($Y$2:$Y$1001,MATCH(ROWS($W$2:W44),$W$2:$W$1001,0),0), INDEX($AD$1004:$AU$1004,1,MATCH(COLUMNS($AD$1006:AP1006),$AD$1006:$AU$1006,0)))),"Fix")))</f>
        <v xml:space="preserve"> </v>
      </c>
      <c r="O44" s="4" t="str">
        <f ca="1">IF(OR(INDEX($X$2:$X$1001,MATCH(ROWS($W$2:W44),$W$2:$W$1001,0),1)&gt;=100000,INDEX($AD$1005:$AU$1005,1,MATCH(COLUMNS($AD$1006:AQ1006),$AD$1006:$AU$1006,0))&gt;=100000), " ",IF(INDEX($AD$2:$AU$1001,MATCH(ROWS($W$2:W44),$W$2:$W$1001,0),MATCH(COLUMNS($AD$1006:AQ1006),$AD$1006:$AU$1006,0)), HYPERLINK("#",""), HYPERLINK(CONCATENATE("#metadata!", ADDRESS(INDEX($Y$2:$Y$1001,MATCH(ROWS($W$2:W44),$W$2:$W$1001,0),0), INDEX($AD$1004:$AU$1004,1,MATCH(COLUMNS($AD$1006:AQ1006),$AD$1006:$AU$1006,0)))),"Fix")))</f>
        <v xml:space="preserve"> </v>
      </c>
      <c r="P44" s="4" t="str">
        <f ca="1">IF(OR(INDEX($X$2:$X$1001,MATCH(ROWS($W$2:W44),$W$2:$W$1001,0),1)&gt;=100000,INDEX($AD$1005:$AU$1005,1,MATCH(COLUMNS($AD$1006:AR1006),$AD$1006:$AU$1006,0))&gt;=100000), " ",IF(INDEX($AD$2:$AU$1001,MATCH(ROWS($W$2:W44),$W$2:$W$1001,0),MATCH(COLUMNS($AD$1006:AR1006),$AD$1006:$AU$1006,0)), HYPERLINK("#",""), HYPERLINK(CONCATENATE("#metadata!", ADDRESS(INDEX($Y$2:$Y$1001,MATCH(ROWS($W$2:W44),$W$2:$W$1001,0),0), INDEX($AD$1004:$AU$1004,1,MATCH(COLUMNS($AD$1006:AR1006),$AD$1006:$AU$1006,0)))),"Fix")))</f>
        <v xml:space="preserve"> </v>
      </c>
      <c r="Q44" s="4" t="str">
        <f ca="1">IF(OR(INDEX($X$2:$X$1001,MATCH(ROWS($W$2:W44),$W$2:$W$1001,0),1)&gt;=100000,INDEX($AD$1005:$AU$1005,1,MATCH(COLUMNS($AD$1006:AS1006),$AD$1006:$AU$1006,0))&gt;=100000), " ",IF(INDEX($AD$2:$AU$1001,MATCH(ROWS($W$2:W44),$W$2:$W$1001,0),MATCH(COLUMNS($AD$1006:AS1006),$AD$1006:$AU$1006,0)), HYPERLINK("#",""), HYPERLINK(CONCATENATE("#metadata!", ADDRESS(INDEX($Y$2:$Y$1001,MATCH(ROWS($W$2:W44),$W$2:$W$1001,0),0), INDEX($AD$1004:$AU$1004,1,MATCH(COLUMNS($AD$1006:AS1006),$AD$1006:$AU$1006,0)))),"Fix")))</f>
        <v xml:space="preserve"> </v>
      </c>
      <c r="R44" s="4" t="str">
        <f ca="1">IF(OR(INDEX($X$2:$X$1001,MATCH(ROWS($W$2:W44),$W$2:$W$1001,0),1)&gt;=100000,INDEX($AD$1005:$AU$1005,1,MATCH(COLUMNS($AD$1006:AT1006),$AD$1006:$AU$1006,0))&gt;=100000), " ",IF(INDEX($AD$2:$AU$1001,MATCH(ROWS($W$2:W44),$W$2:$W$1001,0),MATCH(COLUMNS($AD$1006:AT1006),$AD$1006:$AU$1006,0)), HYPERLINK("#",""), HYPERLINK(CONCATENATE("#metadata!", ADDRESS(INDEX($Y$2:$Y$1001,MATCH(ROWS($W$2:W44),$W$2:$W$1001,0),0), INDEX($AD$1004:$AU$1004,1,MATCH(COLUMNS($AD$1006:AT1006),$AD$1006:$AU$1006,0)))),"Fix")))</f>
        <v xml:space="preserve"> </v>
      </c>
      <c r="S44" s="4" t="str">
        <f ca="1">IF(OR(INDEX($X$2:$X$1001,MATCH(ROWS($W$2:W44),$W$2:$W$1001,0),1)&gt;=100000,INDEX($AD$1005:$AU$1005,1,MATCH(COLUMNS($AD$1006:AU1006),$AD$1006:$AU$1006,0))&gt;=100000), " ",IF(INDEX($AD$2:$AU$1001,MATCH(ROWS($W$2:W44),$W$2:$W$1001,0),MATCH(COLUMNS($AD$1006:AU1006),$AD$1006:$AU$1006,0)), HYPERLINK("#",""), HYPERLINK(CONCATENATE("#metadata!", ADDRESS(INDEX($Y$2:$Y$1001,MATCH(ROWS($W$2:W44),$W$2:$W$1001,0),0), INDEX($AD$1004:$AU$1004,1,MATCH(COLUMNS($AD$1006:AU1006),$AD$1006:$AU$1006,0)))),"Fix")))</f>
        <v xml:space="preserve"> </v>
      </c>
      <c r="W44">
        <v>43</v>
      </c>
      <c r="X44">
        <v>100044</v>
      </c>
      <c r="Y44">
        <v>44</v>
      </c>
      <c r="Z44" t="b">
        <f t="shared" si="0"/>
        <v>1</v>
      </c>
      <c r="AA44" t="b">
        <f>COUNTBLANK(metadata!B44:S44)=COLUMNS(metadata!B44:S44)</f>
        <v>1</v>
      </c>
      <c r="AB44" t="str">
        <v/>
      </c>
      <c r="AD44" t="b">
        <f ca="1">AND(IF(metadata!B44="",FALSE,TRUE),COUNTIF(metadata!B:B, metadata!B44) = 1,NOT(ISERROR(SUMPRODUCT(SEARCH(MID(metadata!B44,ROW(INDIRECT("1:"&amp;LEN(metadata!B44))), 1),"0123456789abcdefghijklmnopqrstuvwxyzABCDEFGHIJKLMNOPQRSTUVWXYZ.")))))</f>
        <v>0</v>
      </c>
      <c r="AE44" t="b">
        <f>OR(AND(IF(metadata!C44="",FALSE,TRUE),OR(EXACT(metadata!C44,"not applicable"),EXACT(metadata!C44,"missing: not collected"),EXACT(metadata!C44,"missing: not provided"),EXACT(metadata!C44,"missing: restricted access"))),AND(IF(metadata!C44="",FALSE,ISNUMBER(VALUE(metadata!C44))),metadata!C44&gt;0))</f>
        <v>0</v>
      </c>
      <c r="AF44" t="b">
        <f>AND(IF(metadata!D44="",FALSE,TRUE),EXACT(metadata!D44,"missing: not provided"))</f>
        <v>0</v>
      </c>
      <c r="AG44" t="b">
        <f>AND(IF(metadata!E44="",FALSE,TRUE),EXACT(metadata!E44,"Host-associated"))</f>
        <v>0</v>
      </c>
      <c r="AH44" t="b">
        <f>AND(IF(metadata!F44="",FALSE,TRUE),OR(EXACT(metadata!F44,"Animal"),EXACT(metadata!F44,"Fungus"),EXACT(metadata!F44,"Plant")))</f>
        <v>0</v>
      </c>
      <c r="AI44" t="b">
        <f>AND(IF(metadata!G44="",FALSE,TRUE),OR(EXACT(metadata!G44,"Plant secretion"),EXACT(metadata!G44,"Plant rhizosphere"),EXACT(metadata!G44,"Plant surface"),EXACT(metadata!G44,"Plant corpus"),EXACT(metadata!G44,"Fungus surface"),EXACT(metadata!G44,"Fungus corpus"),EXACT(metadata!G44,"Animal surface"),EXACT(metadata!G44,"Animal proximal gut"),EXACT(metadata!G44,"Animal corpus"),EXACT(metadata!G44,"Animal distal gut"),EXACT(metadata!G44,"Animal secretion")))</f>
        <v>0</v>
      </c>
      <c r="AJ44" t="b">
        <f>OR(AND(IF(metadata!H44="",FALSE,TRUE),OR(EXACT(metadata!H44,"missing: not collected"),EXACT(metadata!H44,"missing: not provided"),EXACT(metadata!H44,"missing: restricted access"))),AND(IF(metadata!H44="",FALSE,TRUE),OR(EXACT(metadata!H44,"organism-associated habitat"),EXACT(metadata!H44,"plant-associated habitat"),EXACT(metadata!H44,"animal-associated habitat"),EXACT(metadata!H44,"insecta-associated habitat"),EXACT(metadata!H44,"mammalia-associated habitat"),EXACT(metadata!H44,"human-associated habitat"),EXACT(metadata!H44,"livestock-associated habitat"))))</f>
        <v>0</v>
      </c>
      <c r="AK44" t="b">
        <f>AND(IF(metadata!I44="",FALSE,TRUE),EXACT(metadata!I44,"host-associated"))</f>
        <v>0</v>
      </c>
      <c r="AL44" t="b">
        <f>OR(AND(IF(metadata!J44="",FALSE,TRUE),OR(EXACT(metadata!J44,"not applicable"),EXACT(metadata!J44,"missing: not collected"),EXACT(metadata!J44,"missing: not provided"),EXACT(metadata!J44,"missing: restricted access"))),AND(IF(metadata!J44="",FALSE,ISNUMBER(VALUE(metadata!J44))),metadata!J44&gt;0))</f>
        <v>0</v>
      </c>
      <c r="AM44" t="b">
        <f>AND(IF(metadata!K44="",FALSE,TRUE),EXACT(metadata!K44,"missing: not provided"))</f>
        <v>0</v>
      </c>
      <c r="AN44" t="b">
        <f>IF(metadata!L44="",FALSE,TRUE)</f>
        <v>0</v>
      </c>
      <c r="AO44" t="b">
        <f>IF(metadata!M44="",FALSE,TRUE)</f>
        <v>0</v>
      </c>
      <c r="AP44" t="b">
        <f>OR(AND(IF(metadata!N44="",FALSE,TRUE),OR(EXACT(metadata!N44,"not applicable"),EXACT(metadata!N44,"missing: not collected"),EXACT(metadata!N44,"missing: not provided"))),AND(IF(metadata!N44="",FALSE,IF(ISERROR(INT(metadata!N44)),FALSE,INT(metadata!N44)=metadata!N44)),metadata!N44&gt;0))</f>
        <v>0</v>
      </c>
      <c r="AQ44" t="b">
        <f>AND(IF(metadata!O44="",FALSE,TRUE),EXACT(metadata!O44,"Not applicable"))</f>
        <v>0</v>
      </c>
      <c r="AR44" t="b">
        <f>OR(AND(IF(metadata!P44="",FALSE,TRUE),OR(EXACT(metadata!P44,"not applicable"),EXACT(metadata!P44,"missing: not collected"),EXACT(metadata!P44,"missing: not provided"),EXACT(metadata!P44,"missing: restricted access"))),IF(metadata!P44="",FALSE,IF(ISERROR(INT(metadata!P44)),FALSE,INT(metadata!P44)=metadata!P44)))</f>
        <v>0</v>
      </c>
      <c r="AS44" t="b">
        <f>AND(IF(metadata!Q44="",FALSE,TRUE),EXACT(metadata!Q44,"Not applicable"))</f>
        <v>0</v>
      </c>
      <c r="AT44" t="b">
        <f>OR(AND(IF(metadata!R44="",FALSE,TRUE),OR(EXACT(metadata!R44,"not applicable"),EXACT(metadata!R44,"missing: not collected"),EXACT(metadata!R44,"missing: not provided"),EXACT(metadata!R44,"missing: restricted access"))),AND(IF(metadata!R44="",FALSE,ISNUMBER(VALUE(metadata!R44))),metadata!R44&gt;0))</f>
        <v>0</v>
      </c>
      <c r="AU44" t="b">
        <f>AND(IF(metadata!S44="",FALSE,TRUE),EXACT(metadata!S44,"missing: not provided"))</f>
        <v>0</v>
      </c>
    </row>
    <row r="45" spans="1:47" x14ac:dyDescent="0.2">
      <c r="A45" s="5" t="str">
        <f ca="1">IF(B45=" "," ",HYPERLINK(CONCATENATE("#metadata!",ADDRESS(INDEX($Y$2:$Y$1001,MATCH(ROWS($W$2:W45),$W$2:$W$1001,0),0),1)),INDEX($AB$2:$AB$1001,MATCH(ROWS($W$2:W45),$W$2:$W$1001,0),0)))</f>
        <v xml:space="preserve"> </v>
      </c>
      <c r="B45" s="4" t="str">
        <f ca="1">IF(OR(INDEX($X$2:$X$1001,MATCH(ROWS($W$2:W45),$W$2:$W$1001,0),1)&gt;=100000,INDEX($AD$1005:$AU$1005,1,MATCH(COLUMNS($AD$1006:AD1006),$AD$1006:$AU$1006,0))&gt;=100000), " ",IF(INDEX($AD$2:$AU$1001,MATCH(ROWS($W$2:W45),$W$2:$W$1001,0),MATCH(COLUMNS($AD$1006:AD1006),$AD$1006:$AU$1006,0)), HYPERLINK("#",""), HYPERLINK(CONCATENATE("#metadata!", ADDRESS(INDEX($Y$2:$Y$1001,MATCH(ROWS($W$2:W45),$W$2:$W$1001,0),0), INDEX($AD$1004:$AU$1004,1,MATCH(COLUMNS($AD$1006:AD1006),$AD$1006:$AU$1006,0)))),"Fix")))</f>
        <v xml:space="preserve"> </v>
      </c>
      <c r="C45" s="4" t="str">
        <f ca="1">IF(OR(INDEX($X$2:$X$1001,MATCH(ROWS($W$2:W45),$W$2:$W$1001,0),1)&gt;=100000,INDEX($AD$1005:$AU$1005,1,MATCH(COLUMNS($AD$1006:AE1006),$AD$1006:$AU$1006,0))&gt;=100000), " ",IF(INDEX($AD$2:$AU$1001,MATCH(ROWS($W$2:W45),$W$2:$W$1001,0),MATCH(COLUMNS($AD$1006:AE1006),$AD$1006:$AU$1006,0)), HYPERLINK("#",""), HYPERLINK(CONCATENATE("#metadata!", ADDRESS(INDEX($Y$2:$Y$1001,MATCH(ROWS($W$2:W45),$W$2:$W$1001,0),0), INDEX($AD$1004:$AU$1004,1,MATCH(COLUMNS($AD$1006:AE1006),$AD$1006:$AU$1006,0)))),"Fix")))</f>
        <v xml:space="preserve"> </v>
      </c>
      <c r="D45" s="4" t="str">
        <f ca="1">IF(OR(INDEX($X$2:$X$1001,MATCH(ROWS($W$2:W45),$W$2:$W$1001,0),1)&gt;=100000,INDEX($AD$1005:$AU$1005,1,MATCH(COLUMNS($AD$1006:AF1006),$AD$1006:$AU$1006,0))&gt;=100000), " ",IF(INDEX($AD$2:$AU$1001,MATCH(ROWS($W$2:W45),$W$2:$W$1001,0),MATCH(COLUMNS($AD$1006:AF1006),$AD$1006:$AU$1006,0)), HYPERLINK("#",""), HYPERLINK(CONCATENATE("#metadata!", ADDRESS(INDEX($Y$2:$Y$1001,MATCH(ROWS($W$2:W45),$W$2:$W$1001,0),0), INDEX($AD$1004:$AU$1004,1,MATCH(COLUMNS($AD$1006:AF1006),$AD$1006:$AU$1006,0)))),"Fix")))</f>
        <v xml:space="preserve"> </v>
      </c>
      <c r="E45" s="4" t="str">
        <f ca="1">IF(OR(INDEX($X$2:$X$1001,MATCH(ROWS($W$2:W45),$W$2:$W$1001,0),1)&gt;=100000,INDEX($AD$1005:$AU$1005,1,MATCH(COLUMNS($AD$1006:AG1006),$AD$1006:$AU$1006,0))&gt;=100000), " ",IF(INDEX($AD$2:$AU$1001,MATCH(ROWS($W$2:W45),$W$2:$W$1001,0),MATCH(COLUMNS($AD$1006:AG1006),$AD$1006:$AU$1006,0)), HYPERLINK("#",""), HYPERLINK(CONCATENATE("#metadata!", ADDRESS(INDEX($Y$2:$Y$1001,MATCH(ROWS($W$2:W45),$W$2:$W$1001,0),0), INDEX($AD$1004:$AU$1004,1,MATCH(COLUMNS($AD$1006:AG1006),$AD$1006:$AU$1006,0)))),"Fix")))</f>
        <v xml:space="preserve"> </v>
      </c>
      <c r="F45" s="4" t="str">
        <f ca="1">IF(OR(INDEX($X$2:$X$1001,MATCH(ROWS($W$2:W45),$W$2:$W$1001,0),1)&gt;=100000,INDEX($AD$1005:$AU$1005,1,MATCH(COLUMNS($AD$1006:AH1006),$AD$1006:$AU$1006,0))&gt;=100000), " ",IF(INDEX($AD$2:$AU$1001,MATCH(ROWS($W$2:W45),$W$2:$W$1001,0),MATCH(COLUMNS($AD$1006:AH1006),$AD$1006:$AU$1006,0)), HYPERLINK("#",""), HYPERLINK(CONCATENATE("#metadata!", ADDRESS(INDEX($Y$2:$Y$1001,MATCH(ROWS($W$2:W45),$W$2:$W$1001,0),0), INDEX($AD$1004:$AU$1004,1,MATCH(COLUMNS($AD$1006:AH1006),$AD$1006:$AU$1006,0)))),"Fix")))</f>
        <v xml:space="preserve"> </v>
      </c>
      <c r="G45" s="4" t="str">
        <f ca="1">IF(OR(INDEX($X$2:$X$1001,MATCH(ROWS($W$2:W45),$W$2:$W$1001,0),1)&gt;=100000,INDEX($AD$1005:$AU$1005,1,MATCH(COLUMNS($AD$1006:AI1006),$AD$1006:$AU$1006,0))&gt;=100000), " ",IF(INDEX($AD$2:$AU$1001,MATCH(ROWS($W$2:W45),$W$2:$W$1001,0),MATCH(COLUMNS($AD$1006:AI1006),$AD$1006:$AU$1006,0)), HYPERLINK("#",""), HYPERLINK(CONCATENATE("#metadata!", ADDRESS(INDEX($Y$2:$Y$1001,MATCH(ROWS($W$2:W45),$W$2:$W$1001,0),0), INDEX($AD$1004:$AU$1004,1,MATCH(COLUMNS($AD$1006:AI1006),$AD$1006:$AU$1006,0)))),"Fix")))</f>
        <v xml:space="preserve"> </v>
      </c>
      <c r="H45" s="4" t="str">
        <f ca="1">IF(OR(INDEX($X$2:$X$1001,MATCH(ROWS($W$2:W45),$W$2:$W$1001,0),1)&gt;=100000,INDEX($AD$1005:$AU$1005,1,MATCH(COLUMNS($AD$1006:AJ1006),$AD$1006:$AU$1006,0))&gt;=100000), " ",IF(INDEX($AD$2:$AU$1001,MATCH(ROWS($W$2:W45),$W$2:$W$1001,0),MATCH(COLUMNS($AD$1006:AJ1006),$AD$1006:$AU$1006,0)), HYPERLINK("#",""), HYPERLINK(CONCATENATE("#metadata!", ADDRESS(INDEX($Y$2:$Y$1001,MATCH(ROWS($W$2:W45),$W$2:$W$1001,0),0), INDEX($AD$1004:$AU$1004,1,MATCH(COLUMNS($AD$1006:AJ1006),$AD$1006:$AU$1006,0)))),"Fix")))</f>
        <v xml:space="preserve"> </v>
      </c>
      <c r="I45" s="4" t="str">
        <f ca="1">IF(OR(INDEX($X$2:$X$1001,MATCH(ROWS($W$2:W45),$W$2:$W$1001,0),1)&gt;=100000,INDEX($AD$1005:$AU$1005,1,MATCH(COLUMNS($AD$1006:AK1006),$AD$1006:$AU$1006,0))&gt;=100000), " ",IF(INDEX($AD$2:$AU$1001,MATCH(ROWS($W$2:W45),$W$2:$W$1001,0),MATCH(COLUMNS($AD$1006:AK1006),$AD$1006:$AU$1006,0)), HYPERLINK("#",""), HYPERLINK(CONCATENATE("#metadata!", ADDRESS(INDEX($Y$2:$Y$1001,MATCH(ROWS($W$2:W45),$W$2:$W$1001,0),0), INDEX($AD$1004:$AU$1004,1,MATCH(COLUMNS($AD$1006:AK1006),$AD$1006:$AU$1006,0)))),"Fix")))</f>
        <v xml:space="preserve"> </v>
      </c>
      <c r="J45" s="4" t="str">
        <f ca="1">IF(OR(INDEX($X$2:$X$1001,MATCH(ROWS($W$2:W45),$W$2:$W$1001,0),1)&gt;=100000,INDEX($AD$1005:$AU$1005,1,MATCH(COLUMNS($AD$1006:AL1006),$AD$1006:$AU$1006,0))&gt;=100000), " ",IF(INDEX($AD$2:$AU$1001,MATCH(ROWS($W$2:W45),$W$2:$W$1001,0),MATCH(COLUMNS($AD$1006:AL1006),$AD$1006:$AU$1006,0)), HYPERLINK("#",""), HYPERLINK(CONCATENATE("#metadata!", ADDRESS(INDEX($Y$2:$Y$1001,MATCH(ROWS($W$2:W45),$W$2:$W$1001,0),0), INDEX($AD$1004:$AU$1004,1,MATCH(COLUMNS($AD$1006:AL1006),$AD$1006:$AU$1006,0)))),"Fix")))</f>
        <v xml:space="preserve"> </v>
      </c>
      <c r="K45" s="4" t="str">
        <f ca="1">IF(OR(INDEX($X$2:$X$1001,MATCH(ROWS($W$2:W45),$W$2:$W$1001,0),1)&gt;=100000,INDEX($AD$1005:$AU$1005,1,MATCH(COLUMNS($AD$1006:AM1006),$AD$1006:$AU$1006,0))&gt;=100000), " ",IF(INDEX($AD$2:$AU$1001,MATCH(ROWS($W$2:W45),$W$2:$W$1001,0),MATCH(COLUMNS($AD$1006:AM1006),$AD$1006:$AU$1006,0)), HYPERLINK("#",""), HYPERLINK(CONCATENATE("#metadata!", ADDRESS(INDEX($Y$2:$Y$1001,MATCH(ROWS($W$2:W45),$W$2:$W$1001,0),0), INDEX($AD$1004:$AU$1004,1,MATCH(COLUMNS($AD$1006:AM1006),$AD$1006:$AU$1006,0)))),"Fix")))</f>
        <v xml:space="preserve"> </v>
      </c>
      <c r="L45" s="4" t="str">
        <f ca="1">IF(OR(INDEX($X$2:$X$1001,MATCH(ROWS($W$2:W45),$W$2:$W$1001,0),1)&gt;=100000,INDEX($AD$1005:$AU$1005,1,MATCH(COLUMNS($AD$1006:AN1006),$AD$1006:$AU$1006,0))&gt;=100000), " ",IF(INDEX($AD$2:$AU$1001,MATCH(ROWS($W$2:W45),$W$2:$W$1001,0),MATCH(COLUMNS($AD$1006:AN1006),$AD$1006:$AU$1006,0)), HYPERLINK("#",""), HYPERLINK(CONCATENATE("#metadata!", ADDRESS(INDEX($Y$2:$Y$1001,MATCH(ROWS($W$2:W45),$W$2:$W$1001,0),0), INDEX($AD$1004:$AU$1004,1,MATCH(COLUMNS($AD$1006:AN1006),$AD$1006:$AU$1006,0)))),"Fix")))</f>
        <v xml:space="preserve"> </v>
      </c>
      <c r="M45" s="4" t="str">
        <f ca="1">IF(OR(INDEX($X$2:$X$1001,MATCH(ROWS($W$2:W45),$W$2:$W$1001,0),1)&gt;=100000,INDEX($AD$1005:$AU$1005,1,MATCH(COLUMNS($AD$1006:AO1006),$AD$1006:$AU$1006,0))&gt;=100000), " ",IF(INDEX($AD$2:$AU$1001,MATCH(ROWS($W$2:W45),$W$2:$W$1001,0),MATCH(COLUMNS($AD$1006:AO1006),$AD$1006:$AU$1006,0)), HYPERLINK("#",""), HYPERLINK(CONCATENATE("#metadata!", ADDRESS(INDEX($Y$2:$Y$1001,MATCH(ROWS($W$2:W45),$W$2:$W$1001,0),0), INDEX($AD$1004:$AU$1004,1,MATCH(COLUMNS($AD$1006:AO1006),$AD$1006:$AU$1006,0)))),"Fix")))</f>
        <v xml:space="preserve"> </v>
      </c>
      <c r="N45" s="4" t="str">
        <f ca="1">IF(OR(INDEX($X$2:$X$1001,MATCH(ROWS($W$2:W45),$W$2:$W$1001,0),1)&gt;=100000,INDEX($AD$1005:$AU$1005,1,MATCH(COLUMNS($AD$1006:AP1006),$AD$1006:$AU$1006,0))&gt;=100000), " ",IF(INDEX($AD$2:$AU$1001,MATCH(ROWS($W$2:W45),$W$2:$W$1001,0),MATCH(COLUMNS($AD$1006:AP1006),$AD$1006:$AU$1006,0)), HYPERLINK("#",""), HYPERLINK(CONCATENATE("#metadata!", ADDRESS(INDEX($Y$2:$Y$1001,MATCH(ROWS($W$2:W45),$W$2:$W$1001,0),0), INDEX($AD$1004:$AU$1004,1,MATCH(COLUMNS($AD$1006:AP1006),$AD$1006:$AU$1006,0)))),"Fix")))</f>
        <v xml:space="preserve"> </v>
      </c>
      <c r="O45" s="4" t="str">
        <f ca="1">IF(OR(INDEX($X$2:$X$1001,MATCH(ROWS($W$2:W45),$W$2:$W$1001,0),1)&gt;=100000,INDEX($AD$1005:$AU$1005,1,MATCH(COLUMNS($AD$1006:AQ1006),$AD$1006:$AU$1006,0))&gt;=100000), " ",IF(INDEX($AD$2:$AU$1001,MATCH(ROWS($W$2:W45),$W$2:$W$1001,0),MATCH(COLUMNS($AD$1006:AQ1006),$AD$1006:$AU$1006,0)), HYPERLINK("#",""), HYPERLINK(CONCATENATE("#metadata!", ADDRESS(INDEX($Y$2:$Y$1001,MATCH(ROWS($W$2:W45),$W$2:$W$1001,0),0), INDEX($AD$1004:$AU$1004,1,MATCH(COLUMNS($AD$1006:AQ1006),$AD$1006:$AU$1006,0)))),"Fix")))</f>
        <v xml:space="preserve"> </v>
      </c>
      <c r="P45" s="4" t="str">
        <f ca="1">IF(OR(INDEX($X$2:$X$1001,MATCH(ROWS($W$2:W45),$W$2:$W$1001,0),1)&gt;=100000,INDEX($AD$1005:$AU$1005,1,MATCH(COLUMNS($AD$1006:AR1006),$AD$1006:$AU$1006,0))&gt;=100000), " ",IF(INDEX($AD$2:$AU$1001,MATCH(ROWS($W$2:W45),$W$2:$W$1001,0),MATCH(COLUMNS($AD$1006:AR1006),$AD$1006:$AU$1006,0)), HYPERLINK("#",""), HYPERLINK(CONCATENATE("#metadata!", ADDRESS(INDEX($Y$2:$Y$1001,MATCH(ROWS($W$2:W45),$W$2:$W$1001,0),0), INDEX($AD$1004:$AU$1004,1,MATCH(COLUMNS($AD$1006:AR1006),$AD$1006:$AU$1006,0)))),"Fix")))</f>
        <v xml:space="preserve"> </v>
      </c>
      <c r="Q45" s="4" t="str">
        <f ca="1">IF(OR(INDEX($X$2:$X$1001,MATCH(ROWS($W$2:W45),$W$2:$W$1001,0),1)&gt;=100000,INDEX($AD$1005:$AU$1005,1,MATCH(COLUMNS($AD$1006:AS1006),$AD$1006:$AU$1006,0))&gt;=100000), " ",IF(INDEX($AD$2:$AU$1001,MATCH(ROWS($W$2:W45),$W$2:$W$1001,0),MATCH(COLUMNS($AD$1006:AS1006),$AD$1006:$AU$1006,0)), HYPERLINK("#",""), HYPERLINK(CONCATENATE("#metadata!", ADDRESS(INDEX($Y$2:$Y$1001,MATCH(ROWS($W$2:W45),$W$2:$W$1001,0),0), INDEX($AD$1004:$AU$1004,1,MATCH(COLUMNS($AD$1006:AS1006),$AD$1006:$AU$1006,0)))),"Fix")))</f>
        <v xml:space="preserve"> </v>
      </c>
      <c r="R45" s="4" t="str">
        <f ca="1">IF(OR(INDEX($X$2:$X$1001,MATCH(ROWS($W$2:W45),$W$2:$W$1001,0),1)&gt;=100000,INDEX($AD$1005:$AU$1005,1,MATCH(COLUMNS($AD$1006:AT1006),$AD$1006:$AU$1006,0))&gt;=100000), " ",IF(INDEX($AD$2:$AU$1001,MATCH(ROWS($W$2:W45),$W$2:$W$1001,0),MATCH(COLUMNS($AD$1006:AT1006),$AD$1006:$AU$1006,0)), HYPERLINK("#",""), HYPERLINK(CONCATENATE("#metadata!", ADDRESS(INDEX($Y$2:$Y$1001,MATCH(ROWS($W$2:W45),$W$2:$W$1001,0),0), INDEX($AD$1004:$AU$1004,1,MATCH(COLUMNS($AD$1006:AT1006),$AD$1006:$AU$1006,0)))),"Fix")))</f>
        <v xml:space="preserve"> </v>
      </c>
      <c r="S45" s="4" t="str">
        <f ca="1">IF(OR(INDEX($X$2:$X$1001,MATCH(ROWS($W$2:W45),$W$2:$W$1001,0),1)&gt;=100000,INDEX($AD$1005:$AU$1005,1,MATCH(COLUMNS($AD$1006:AU1006),$AD$1006:$AU$1006,0))&gt;=100000), " ",IF(INDEX($AD$2:$AU$1001,MATCH(ROWS($W$2:W45),$W$2:$W$1001,0),MATCH(COLUMNS($AD$1006:AU1006),$AD$1006:$AU$1006,0)), HYPERLINK("#",""), HYPERLINK(CONCATENATE("#metadata!", ADDRESS(INDEX($Y$2:$Y$1001,MATCH(ROWS($W$2:W45),$W$2:$W$1001,0),0), INDEX($AD$1004:$AU$1004,1,MATCH(COLUMNS($AD$1006:AU1006),$AD$1006:$AU$1006,0)))),"Fix")))</f>
        <v xml:space="preserve"> </v>
      </c>
      <c r="W45">
        <v>44</v>
      </c>
      <c r="X45">
        <v>100045</v>
      </c>
      <c r="Y45">
        <v>45</v>
      </c>
      <c r="Z45" t="b">
        <f t="shared" si="0"/>
        <v>1</v>
      </c>
      <c r="AA45" t="b">
        <f>COUNTBLANK(metadata!B45:S45)=COLUMNS(metadata!B45:S45)</f>
        <v>1</v>
      </c>
      <c r="AB45" t="str">
        <v/>
      </c>
      <c r="AD45" t="b">
        <f ca="1">AND(IF(metadata!B45="",FALSE,TRUE),COUNTIF(metadata!B:B, metadata!B45) = 1,NOT(ISERROR(SUMPRODUCT(SEARCH(MID(metadata!B45,ROW(INDIRECT("1:"&amp;LEN(metadata!B45))), 1),"0123456789abcdefghijklmnopqrstuvwxyzABCDEFGHIJKLMNOPQRSTUVWXYZ.")))))</f>
        <v>0</v>
      </c>
      <c r="AE45" t="b">
        <f>OR(AND(IF(metadata!C45="",FALSE,TRUE),OR(EXACT(metadata!C45,"not applicable"),EXACT(metadata!C45,"missing: not collected"),EXACT(metadata!C45,"missing: not provided"),EXACT(metadata!C45,"missing: restricted access"))),AND(IF(metadata!C45="",FALSE,ISNUMBER(VALUE(metadata!C45))),metadata!C45&gt;0))</f>
        <v>0</v>
      </c>
      <c r="AF45" t="b">
        <f>AND(IF(metadata!D45="",FALSE,TRUE),EXACT(metadata!D45,"missing: not provided"))</f>
        <v>0</v>
      </c>
      <c r="AG45" t="b">
        <f>AND(IF(metadata!E45="",FALSE,TRUE),EXACT(metadata!E45,"Host-associated"))</f>
        <v>0</v>
      </c>
      <c r="AH45" t="b">
        <f>AND(IF(metadata!F45="",FALSE,TRUE),OR(EXACT(metadata!F45,"Animal"),EXACT(metadata!F45,"Fungus"),EXACT(metadata!F45,"Plant")))</f>
        <v>0</v>
      </c>
      <c r="AI45" t="b">
        <f>AND(IF(metadata!G45="",FALSE,TRUE),OR(EXACT(metadata!G45,"Plant secretion"),EXACT(metadata!G45,"Plant rhizosphere"),EXACT(metadata!G45,"Plant surface"),EXACT(metadata!G45,"Plant corpus"),EXACT(metadata!G45,"Fungus surface"),EXACT(metadata!G45,"Fungus corpus"),EXACT(metadata!G45,"Animal surface"),EXACT(metadata!G45,"Animal proximal gut"),EXACT(metadata!G45,"Animal corpus"),EXACT(metadata!G45,"Animal distal gut"),EXACT(metadata!G45,"Animal secretion")))</f>
        <v>0</v>
      </c>
      <c r="AJ45" t="b">
        <f>OR(AND(IF(metadata!H45="",FALSE,TRUE),OR(EXACT(metadata!H45,"missing: not collected"),EXACT(metadata!H45,"missing: not provided"),EXACT(metadata!H45,"missing: restricted access"))),AND(IF(metadata!H45="",FALSE,TRUE),OR(EXACT(metadata!H45,"organism-associated habitat"),EXACT(metadata!H45,"plant-associated habitat"),EXACT(metadata!H45,"animal-associated habitat"),EXACT(metadata!H45,"insecta-associated habitat"),EXACT(metadata!H45,"mammalia-associated habitat"),EXACT(metadata!H45,"human-associated habitat"),EXACT(metadata!H45,"livestock-associated habitat"))))</f>
        <v>0</v>
      </c>
      <c r="AK45" t="b">
        <f>AND(IF(metadata!I45="",FALSE,TRUE),EXACT(metadata!I45,"host-associated"))</f>
        <v>0</v>
      </c>
      <c r="AL45" t="b">
        <f>OR(AND(IF(metadata!J45="",FALSE,TRUE),OR(EXACT(metadata!J45,"not applicable"),EXACT(metadata!J45,"missing: not collected"),EXACT(metadata!J45,"missing: not provided"),EXACT(metadata!J45,"missing: restricted access"))),AND(IF(metadata!J45="",FALSE,ISNUMBER(VALUE(metadata!J45))),metadata!J45&gt;0))</f>
        <v>0</v>
      </c>
      <c r="AM45" t="b">
        <f>AND(IF(metadata!K45="",FALSE,TRUE),EXACT(metadata!K45,"missing: not provided"))</f>
        <v>0</v>
      </c>
      <c r="AN45" t="b">
        <f>IF(metadata!L45="",FALSE,TRUE)</f>
        <v>0</v>
      </c>
      <c r="AO45" t="b">
        <f>IF(metadata!M45="",FALSE,TRUE)</f>
        <v>0</v>
      </c>
      <c r="AP45" t="b">
        <f>OR(AND(IF(metadata!N45="",FALSE,TRUE),OR(EXACT(metadata!N45,"not applicable"),EXACT(metadata!N45,"missing: not collected"),EXACT(metadata!N45,"missing: not provided"))),AND(IF(metadata!N45="",FALSE,IF(ISERROR(INT(metadata!N45)),FALSE,INT(metadata!N45)=metadata!N45)),metadata!N45&gt;0))</f>
        <v>0</v>
      </c>
      <c r="AQ45" t="b">
        <f>AND(IF(metadata!O45="",FALSE,TRUE),EXACT(metadata!O45,"Not applicable"))</f>
        <v>0</v>
      </c>
      <c r="AR45" t="b">
        <f>OR(AND(IF(metadata!P45="",FALSE,TRUE),OR(EXACT(metadata!P45,"not applicable"),EXACT(metadata!P45,"missing: not collected"),EXACT(metadata!P45,"missing: not provided"),EXACT(metadata!P45,"missing: restricted access"))),IF(metadata!P45="",FALSE,IF(ISERROR(INT(metadata!P45)),FALSE,INT(metadata!P45)=metadata!P45)))</f>
        <v>0</v>
      </c>
      <c r="AS45" t="b">
        <f>AND(IF(metadata!Q45="",FALSE,TRUE),EXACT(metadata!Q45,"Not applicable"))</f>
        <v>0</v>
      </c>
      <c r="AT45" t="b">
        <f>OR(AND(IF(metadata!R45="",FALSE,TRUE),OR(EXACT(metadata!R45,"not applicable"),EXACT(metadata!R45,"missing: not collected"),EXACT(metadata!R45,"missing: not provided"),EXACT(metadata!R45,"missing: restricted access"))),AND(IF(metadata!R45="",FALSE,ISNUMBER(VALUE(metadata!R45))),metadata!R45&gt;0))</f>
        <v>0</v>
      </c>
      <c r="AU45" t="b">
        <f>AND(IF(metadata!S45="",FALSE,TRUE),EXACT(metadata!S45,"missing: not provided"))</f>
        <v>0</v>
      </c>
    </row>
    <row r="46" spans="1:47" x14ac:dyDescent="0.2">
      <c r="A46" s="5" t="str">
        <f ca="1">IF(B46=" "," ",HYPERLINK(CONCATENATE("#metadata!",ADDRESS(INDEX($Y$2:$Y$1001,MATCH(ROWS($W$2:W46),$W$2:$W$1001,0),0),1)),INDEX($AB$2:$AB$1001,MATCH(ROWS($W$2:W46),$W$2:$W$1001,0),0)))</f>
        <v xml:space="preserve"> </v>
      </c>
      <c r="B46" s="4" t="str">
        <f ca="1">IF(OR(INDEX($X$2:$X$1001,MATCH(ROWS($W$2:W46),$W$2:$W$1001,0),1)&gt;=100000,INDEX($AD$1005:$AU$1005,1,MATCH(COLUMNS($AD$1006:AD1006),$AD$1006:$AU$1006,0))&gt;=100000), " ",IF(INDEX($AD$2:$AU$1001,MATCH(ROWS($W$2:W46),$W$2:$W$1001,0),MATCH(COLUMNS($AD$1006:AD1006),$AD$1006:$AU$1006,0)), HYPERLINK("#",""), HYPERLINK(CONCATENATE("#metadata!", ADDRESS(INDEX($Y$2:$Y$1001,MATCH(ROWS($W$2:W46),$W$2:$W$1001,0),0), INDEX($AD$1004:$AU$1004,1,MATCH(COLUMNS($AD$1006:AD1006),$AD$1006:$AU$1006,0)))),"Fix")))</f>
        <v xml:space="preserve"> </v>
      </c>
      <c r="C46" s="4" t="str">
        <f ca="1">IF(OR(INDEX($X$2:$X$1001,MATCH(ROWS($W$2:W46),$W$2:$W$1001,0),1)&gt;=100000,INDEX($AD$1005:$AU$1005,1,MATCH(COLUMNS($AD$1006:AE1006),$AD$1006:$AU$1006,0))&gt;=100000), " ",IF(INDEX($AD$2:$AU$1001,MATCH(ROWS($W$2:W46),$W$2:$W$1001,0),MATCH(COLUMNS($AD$1006:AE1006),$AD$1006:$AU$1006,0)), HYPERLINK("#",""), HYPERLINK(CONCATENATE("#metadata!", ADDRESS(INDEX($Y$2:$Y$1001,MATCH(ROWS($W$2:W46),$W$2:$W$1001,0),0), INDEX($AD$1004:$AU$1004,1,MATCH(COLUMNS($AD$1006:AE1006),$AD$1006:$AU$1006,0)))),"Fix")))</f>
        <v xml:space="preserve"> </v>
      </c>
      <c r="D46" s="4" t="str">
        <f ca="1">IF(OR(INDEX($X$2:$X$1001,MATCH(ROWS($W$2:W46),$W$2:$W$1001,0),1)&gt;=100000,INDEX($AD$1005:$AU$1005,1,MATCH(COLUMNS($AD$1006:AF1006),$AD$1006:$AU$1006,0))&gt;=100000), " ",IF(INDEX($AD$2:$AU$1001,MATCH(ROWS($W$2:W46),$W$2:$W$1001,0),MATCH(COLUMNS($AD$1006:AF1006),$AD$1006:$AU$1006,0)), HYPERLINK("#",""), HYPERLINK(CONCATENATE("#metadata!", ADDRESS(INDEX($Y$2:$Y$1001,MATCH(ROWS($W$2:W46),$W$2:$W$1001,0),0), INDEX($AD$1004:$AU$1004,1,MATCH(COLUMNS($AD$1006:AF1006),$AD$1006:$AU$1006,0)))),"Fix")))</f>
        <v xml:space="preserve"> </v>
      </c>
      <c r="E46" s="4" t="str">
        <f ca="1">IF(OR(INDEX($X$2:$X$1001,MATCH(ROWS($W$2:W46),$W$2:$W$1001,0),1)&gt;=100000,INDEX($AD$1005:$AU$1005,1,MATCH(COLUMNS($AD$1006:AG1006),$AD$1006:$AU$1006,0))&gt;=100000), " ",IF(INDEX($AD$2:$AU$1001,MATCH(ROWS($W$2:W46),$W$2:$W$1001,0),MATCH(COLUMNS($AD$1006:AG1006),$AD$1006:$AU$1006,0)), HYPERLINK("#",""), HYPERLINK(CONCATENATE("#metadata!", ADDRESS(INDEX($Y$2:$Y$1001,MATCH(ROWS($W$2:W46),$W$2:$W$1001,0),0), INDEX($AD$1004:$AU$1004,1,MATCH(COLUMNS($AD$1006:AG1006),$AD$1006:$AU$1006,0)))),"Fix")))</f>
        <v xml:space="preserve"> </v>
      </c>
      <c r="F46" s="4" t="str">
        <f ca="1">IF(OR(INDEX($X$2:$X$1001,MATCH(ROWS($W$2:W46),$W$2:$W$1001,0),1)&gt;=100000,INDEX($AD$1005:$AU$1005,1,MATCH(COLUMNS($AD$1006:AH1006),$AD$1006:$AU$1006,0))&gt;=100000), " ",IF(INDEX($AD$2:$AU$1001,MATCH(ROWS($W$2:W46),$W$2:$W$1001,0),MATCH(COLUMNS($AD$1006:AH1006),$AD$1006:$AU$1006,0)), HYPERLINK("#",""), HYPERLINK(CONCATENATE("#metadata!", ADDRESS(INDEX($Y$2:$Y$1001,MATCH(ROWS($W$2:W46),$W$2:$W$1001,0),0), INDEX($AD$1004:$AU$1004,1,MATCH(COLUMNS($AD$1006:AH1006),$AD$1006:$AU$1006,0)))),"Fix")))</f>
        <v xml:space="preserve"> </v>
      </c>
      <c r="G46" s="4" t="str">
        <f ca="1">IF(OR(INDEX($X$2:$X$1001,MATCH(ROWS($W$2:W46),$W$2:$W$1001,0),1)&gt;=100000,INDEX($AD$1005:$AU$1005,1,MATCH(COLUMNS($AD$1006:AI1006),$AD$1006:$AU$1006,0))&gt;=100000), " ",IF(INDEX($AD$2:$AU$1001,MATCH(ROWS($W$2:W46),$W$2:$W$1001,0),MATCH(COLUMNS($AD$1006:AI1006),$AD$1006:$AU$1006,0)), HYPERLINK("#",""), HYPERLINK(CONCATENATE("#metadata!", ADDRESS(INDEX($Y$2:$Y$1001,MATCH(ROWS($W$2:W46),$W$2:$W$1001,0),0), INDEX($AD$1004:$AU$1004,1,MATCH(COLUMNS($AD$1006:AI1006),$AD$1006:$AU$1006,0)))),"Fix")))</f>
        <v xml:space="preserve"> </v>
      </c>
      <c r="H46" s="4" t="str">
        <f ca="1">IF(OR(INDEX($X$2:$X$1001,MATCH(ROWS($W$2:W46),$W$2:$W$1001,0),1)&gt;=100000,INDEX($AD$1005:$AU$1005,1,MATCH(COLUMNS($AD$1006:AJ1006),$AD$1006:$AU$1006,0))&gt;=100000), " ",IF(INDEX($AD$2:$AU$1001,MATCH(ROWS($W$2:W46),$W$2:$W$1001,0),MATCH(COLUMNS($AD$1006:AJ1006),$AD$1006:$AU$1006,0)), HYPERLINK("#",""), HYPERLINK(CONCATENATE("#metadata!", ADDRESS(INDEX($Y$2:$Y$1001,MATCH(ROWS($W$2:W46),$W$2:$W$1001,0),0), INDEX($AD$1004:$AU$1004,1,MATCH(COLUMNS($AD$1006:AJ1006),$AD$1006:$AU$1006,0)))),"Fix")))</f>
        <v xml:space="preserve"> </v>
      </c>
      <c r="I46" s="4" t="str">
        <f ca="1">IF(OR(INDEX($X$2:$X$1001,MATCH(ROWS($W$2:W46),$W$2:$W$1001,0),1)&gt;=100000,INDEX($AD$1005:$AU$1005,1,MATCH(COLUMNS($AD$1006:AK1006),$AD$1006:$AU$1006,0))&gt;=100000), " ",IF(INDEX($AD$2:$AU$1001,MATCH(ROWS($W$2:W46),$W$2:$W$1001,0),MATCH(COLUMNS($AD$1006:AK1006),$AD$1006:$AU$1006,0)), HYPERLINK("#",""), HYPERLINK(CONCATENATE("#metadata!", ADDRESS(INDEX($Y$2:$Y$1001,MATCH(ROWS($W$2:W46),$W$2:$W$1001,0),0), INDEX($AD$1004:$AU$1004,1,MATCH(COLUMNS($AD$1006:AK1006),$AD$1006:$AU$1006,0)))),"Fix")))</f>
        <v xml:space="preserve"> </v>
      </c>
      <c r="J46" s="4" t="str">
        <f ca="1">IF(OR(INDEX($X$2:$X$1001,MATCH(ROWS($W$2:W46),$W$2:$W$1001,0),1)&gt;=100000,INDEX($AD$1005:$AU$1005,1,MATCH(COLUMNS($AD$1006:AL1006),$AD$1006:$AU$1006,0))&gt;=100000), " ",IF(INDEX($AD$2:$AU$1001,MATCH(ROWS($W$2:W46),$W$2:$W$1001,0),MATCH(COLUMNS($AD$1006:AL1006),$AD$1006:$AU$1006,0)), HYPERLINK("#",""), HYPERLINK(CONCATENATE("#metadata!", ADDRESS(INDEX($Y$2:$Y$1001,MATCH(ROWS($W$2:W46),$W$2:$W$1001,0),0), INDEX($AD$1004:$AU$1004,1,MATCH(COLUMNS($AD$1006:AL1006),$AD$1006:$AU$1006,0)))),"Fix")))</f>
        <v xml:space="preserve"> </v>
      </c>
      <c r="K46" s="4" t="str">
        <f ca="1">IF(OR(INDEX($X$2:$X$1001,MATCH(ROWS($W$2:W46),$W$2:$W$1001,0),1)&gt;=100000,INDEX($AD$1005:$AU$1005,1,MATCH(COLUMNS($AD$1006:AM1006),$AD$1006:$AU$1006,0))&gt;=100000), " ",IF(INDEX($AD$2:$AU$1001,MATCH(ROWS($W$2:W46),$W$2:$W$1001,0),MATCH(COLUMNS($AD$1006:AM1006),$AD$1006:$AU$1006,0)), HYPERLINK("#",""), HYPERLINK(CONCATENATE("#metadata!", ADDRESS(INDEX($Y$2:$Y$1001,MATCH(ROWS($W$2:W46),$W$2:$W$1001,0),0), INDEX($AD$1004:$AU$1004,1,MATCH(COLUMNS($AD$1006:AM1006),$AD$1006:$AU$1006,0)))),"Fix")))</f>
        <v xml:space="preserve"> </v>
      </c>
      <c r="L46" s="4" t="str">
        <f ca="1">IF(OR(INDEX($X$2:$X$1001,MATCH(ROWS($W$2:W46),$W$2:$W$1001,0),1)&gt;=100000,INDEX($AD$1005:$AU$1005,1,MATCH(COLUMNS($AD$1006:AN1006),$AD$1006:$AU$1006,0))&gt;=100000), " ",IF(INDEX($AD$2:$AU$1001,MATCH(ROWS($W$2:W46),$W$2:$W$1001,0),MATCH(COLUMNS($AD$1006:AN1006),$AD$1006:$AU$1006,0)), HYPERLINK("#",""), HYPERLINK(CONCATENATE("#metadata!", ADDRESS(INDEX($Y$2:$Y$1001,MATCH(ROWS($W$2:W46),$W$2:$W$1001,0),0), INDEX($AD$1004:$AU$1004,1,MATCH(COLUMNS($AD$1006:AN1006),$AD$1006:$AU$1006,0)))),"Fix")))</f>
        <v xml:space="preserve"> </v>
      </c>
      <c r="M46" s="4" t="str">
        <f ca="1">IF(OR(INDEX($X$2:$X$1001,MATCH(ROWS($W$2:W46),$W$2:$W$1001,0),1)&gt;=100000,INDEX($AD$1005:$AU$1005,1,MATCH(COLUMNS($AD$1006:AO1006),$AD$1006:$AU$1006,0))&gt;=100000), " ",IF(INDEX($AD$2:$AU$1001,MATCH(ROWS($W$2:W46),$W$2:$W$1001,0),MATCH(COLUMNS($AD$1006:AO1006),$AD$1006:$AU$1006,0)), HYPERLINK("#",""), HYPERLINK(CONCATENATE("#metadata!", ADDRESS(INDEX($Y$2:$Y$1001,MATCH(ROWS($W$2:W46),$W$2:$W$1001,0),0), INDEX($AD$1004:$AU$1004,1,MATCH(COLUMNS($AD$1006:AO1006),$AD$1006:$AU$1006,0)))),"Fix")))</f>
        <v xml:space="preserve"> </v>
      </c>
      <c r="N46" s="4" t="str">
        <f ca="1">IF(OR(INDEX($X$2:$X$1001,MATCH(ROWS($W$2:W46),$W$2:$W$1001,0),1)&gt;=100000,INDEX($AD$1005:$AU$1005,1,MATCH(COLUMNS($AD$1006:AP1006),$AD$1006:$AU$1006,0))&gt;=100000), " ",IF(INDEX($AD$2:$AU$1001,MATCH(ROWS($W$2:W46),$W$2:$W$1001,0),MATCH(COLUMNS($AD$1006:AP1006),$AD$1006:$AU$1006,0)), HYPERLINK("#",""), HYPERLINK(CONCATENATE("#metadata!", ADDRESS(INDEX($Y$2:$Y$1001,MATCH(ROWS($W$2:W46),$W$2:$W$1001,0),0), INDEX($AD$1004:$AU$1004,1,MATCH(COLUMNS($AD$1006:AP1006),$AD$1006:$AU$1006,0)))),"Fix")))</f>
        <v xml:space="preserve"> </v>
      </c>
      <c r="O46" s="4" t="str">
        <f ca="1">IF(OR(INDEX($X$2:$X$1001,MATCH(ROWS($W$2:W46),$W$2:$W$1001,0),1)&gt;=100000,INDEX($AD$1005:$AU$1005,1,MATCH(COLUMNS($AD$1006:AQ1006),$AD$1006:$AU$1006,0))&gt;=100000), " ",IF(INDEX($AD$2:$AU$1001,MATCH(ROWS($W$2:W46),$W$2:$W$1001,0),MATCH(COLUMNS($AD$1006:AQ1006),$AD$1006:$AU$1006,0)), HYPERLINK("#",""), HYPERLINK(CONCATENATE("#metadata!", ADDRESS(INDEX($Y$2:$Y$1001,MATCH(ROWS($W$2:W46),$W$2:$W$1001,0),0), INDEX($AD$1004:$AU$1004,1,MATCH(COLUMNS($AD$1006:AQ1006),$AD$1006:$AU$1006,0)))),"Fix")))</f>
        <v xml:space="preserve"> </v>
      </c>
      <c r="P46" s="4" t="str">
        <f ca="1">IF(OR(INDEX($X$2:$X$1001,MATCH(ROWS($W$2:W46),$W$2:$W$1001,0),1)&gt;=100000,INDEX($AD$1005:$AU$1005,1,MATCH(COLUMNS($AD$1006:AR1006),$AD$1006:$AU$1006,0))&gt;=100000), " ",IF(INDEX($AD$2:$AU$1001,MATCH(ROWS($W$2:W46),$W$2:$W$1001,0),MATCH(COLUMNS($AD$1006:AR1006),$AD$1006:$AU$1006,0)), HYPERLINK("#",""), HYPERLINK(CONCATENATE("#metadata!", ADDRESS(INDEX($Y$2:$Y$1001,MATCH(ROWS($W$2:W46),$W$2:$W$1001,0),0), INDEX($AD$1004:$AU$1004,1,MATCH(COLUMNS($AD$1006:AR1006),$AD$1006:$AU$1006,0)))),"Fix")))</f>
        <v xml:space="preserve"> </v>
      </c>
      <c r="Q46" s="4" t="str">
        <f ca="1">IF(OR(INDEX($X$2:$X$1001,MATCH(ROWS($W$2:W46),$W$2:$W$1001,0),1)&gt;=100000,INDEX($AD$1005:$AU$1005,1,MATCH(COLUMNS($AD$1006:AS1006),$AD$1006:$AU$1006,0))&gt;=100000), " ",IF(INDEX($AD$2:$AU$1001,MATCH(ROWS($W$2:W46),$W$2:$W$1001,0),MATCH(COLUMNS($AD$1006:AS1006),$AD$1006:$AU$1006,0)), HYPERLINK("#",""), HYPERLINK(CONCATENATE("#metadata!", ADDRESS(INDEX($Y$2:$Y$1001,MATCH(ROWS($W$2:W46),$W$2:$W$1001,0),0), INDEX($AD$1004:$AU$1004,1,MATCH(COLUMNS($AD$1006:AS1006),$AD$1006:$AU$1006,0)))),"Fix")))</f>
        <v xml:space="preserve"> </v>
      </c>
      <c r="R46" s="4" t="str">
        <f ca="1">IF(OR(INDEX($X$2:$X$1001,MATCH(ROWS($W$2:W46),$W$2:$W$1001,0),1)&gt;=100000,INDEX($AD$1005:$AU$1005,1,MATCH(COLUMNS($AD$1006:AT1006),$AD$1006:$AU$1006,0))&gt;=100000), " ",IF(INDEX($AD$2:$AU$1001,MATCH(ROWS($W$2:W46),$W$2:$W$1001,0),MATCH(COLUMNS($AD$1006:AT1006),$AD$1006:$AU$1006,0)), HYPERLINK("#",""), HYPERLINK(CONCATENATE("#metadata!", ADDRESS(INDEX($Y$2:$Y$1001,MATCH(ROWS($W$2:W46),$W$2:$W$1001,0),0), INDEX($AD$1004:$AU$1004,1,MATCH(COLUMNS($AD$1006:AT1006),$AD$1006:$AU$1006,0)))),"Fix")))</f>
        <v xml:space="preserve"> </v>
      </c>
      <c r="S46" s="4" t="str">
        <f ca="1">IF(OR(INDEX($X$2:$X$1001,MATCH(ROWS($W$2:W46),$W$2:$W$1001,0),1)&gt;=100000,INDEX($AD$1005:$AU$1005,1,MATCH(COLUMNS($AD$1006:AU1006),$AD$1006:$AU$1006,0))&gt;=100000), " ",IF(INDEX($AD$2:$AU$1001,MATCH(ROWS($W$2:W46),$W$2:$W$1001,0),MATCH(COLUMNS($AD$1006:AU1006),$AD$1006:$AU$1006,0)), HYPERLINK("#",""), HYPERLINK(CONCATENATE("#metadata!", ADDRESS(INDEX($Y$2:$Y$1001,MATCH(ROWS($W$2:W46),$W$2:$W$1001,0),0), INDEX($AD$1004:$AU$1004,1,MATCH(COLUMNS($AD$1006:AU1006),$AD$1006:$AU$1006,0)))),"Fix")))</f>
        <v xml:space="preserve"> </v>
      </c>
      <c r="W46">
        <v>45</v>
      </c>
      <c r="X46">
        <v>100046</v>
      </c>
      <c r="Y46">
        <v>46</v>
      </c>
      <c r="Z46" t="b">
        <f t="shared" si="0"/>
        <v>1</v>
      </c>
      <c r="AA46" t="b">
        <f>COUNTBLANK(metadata!B46:S46)=COLUMNS(metadata!B46:S46)</f>
        <v>1</v>
      </c>
      <c r="AB46" t="str">
        <v/>
      </c>
      <c r="AD46" t="b">
        <f ca="1">AND(IF(metadata!B46="",FALSE,TRUE),COUNTIF(metadata!B:B, metadata!B46) = 1,NOT(ISERROR(SUMPRODUCT(SEARCH(MID(metadata!B46,ROW(INDIRECT("1:"&amp;LEN(metadata!B46))), 1),"0123456789abcdefghijklmnopqrstuvwxyzABCDEFGHIJKLMNOPQRSTUVWXYZ.")))))</f>
        <v>0</v>
      </c>
      <c r="AE46" t="b">
        <f>OR(AND(IF(metadata!C46="",FALSE,TRUE),OR(EXACT(metadata!C46,"not applicable"),EXACT(metadata!C46,"missing: not collected"),EXACT(metadata!C46,"missing: not provided"),EXACT(metadata!C46,"missing: restricted access"))),AND(IF(metadata!C46="",FALSE,ISNUMBER(VALUE(metadata!C46))),metadata!C46&gt;0))</f>
        <v>0</v>
      </c>
      <c r="AF46" t="b">
        <f>AND(IF(metadata!D46="",FALSE,TRUE),EXACT(metadata!D46,"missing: not provided"))</f>
        <v>0</v>
      </c>
      <c r="AG46" t="b">
        <f>AND(IF(metadata!E46="",FALSE,TRUE),EXACT(metadata!E46,"Host-associated"))</f>
        <v>0</v>
      </c>
      <c r="AH46" t="b">
        <f>AND(IF(metadata!F46="",FALSE,TRUE),OR(EXACT(metadata!F46,"Animal"),EXACT(metadata!F46,"Fungus"),EXACT(metadata!F46,"Plant")))</f>
        <v>0</v>
      </c>
      <c r="AI46" t="b">
        <f>AND(IF(metadata!G46="",FALSE,TRUE),OR(EXACT(metadata!G46,"Plant secretion"),EXACT(metadata!G46,"Plant rhizosphere"),EXACT(metadata!G46,"Plant surface"),EXACT(metadata!G46,"Plant corpus"),EXACT(metadata!G46,"Fungus surface"),EXACT(metadata!G46,"Fungus corpus"),EXACT(metadata!G46,"Animal surface"),EXACT(metadata!G46,"Animal proximal gut"),EXACT(metadata!G46,"Animal corpus"),EXACT(metadata!G46,"Animal distal gut"),EXACT(metadata!G46,"Animal secretion")))</f>
        <v>0</v>
      </c>
      <c r="AJ46" t="b">
        <f>OR(AND(IF(metadata!H46="",FALSE,TRUE),OR(EXACT(metadata!H46,"missing: not collected"),EXACT(metadata!H46,"missing: not provided"),EXACT(metadata!H46,"missing: restricted access"))),AND(IF(metadata!H46="",FALSE,TRUE),OR(EXACT(metadata!H46,"organism-associated habitat"),EXACT(metadata!H46,"plant-associated habitat"),EXACT(metadata!H46,"animal-associated habitat"),EXACT(metadata!H46,"insecta-associated habitat"),EXACT(metadata!H46,"mammalia-associated habitat"),EXACT(metadata!H46,"human-associated habitat"),EXACT(metadata!H46,"livestock-associated habitat"))))</f>
        <v>0</v>
      </c>
      <c r="AK46" t="b">
        <f>AND(IF(metadata!I46="",FALSE,TRUE),EXACT(metadata!I46,"host-associated"))</f>
        <v>0</v>
      </c>
      <c r="AL46" t="b">
        <f>OR(AND(IF(metadata!J46="",FALSE,TRUE),OR(EXACT(metadata!J46,"not applicable"),EXACT(metadata!J46,"missing: not collected"),EXACT(metadata!J46,"missing: not provided"),EXACT(metadata!J46,"missing: restricted access"))),AND(IF(metadata!J46="",FALSE,ISNUMBER(VALUE(metadata!J46))),metadata!J46&gt;0))</f>
        <v>0</v>
      </c>
      <c r="AM46" t="b">
        <f>AND(IF(metadata!K46="",FALSE,TRUE),EXACT(metadata!K46,"missing: not provided"))</f>
        <v>0</v>
      </c>
      <c r="AN46" t="b">
        <f>IF(metadata!L46="",FALSE,TRUE)</f>
        <v>0</v>
      </c>
      <c r="AO46" t="b">
        <f>IF(metadata!M46="",FALSE,TRUE)</f>
        <v>0</v>
      </c>
      <c r="AP46" t="b">
        <f>OR(AND(IF(metadata!N46="",FALSE,TRUE),OR(EXACT(metadata!N46,"not applicable"),EXACT(metadata!N46,"missing: not collected"),EXACT(metadata!N46,"missing: not provided"))),AND(IF(metadata!N46="",FALSE,IF(ISERROR(INT(metadata!N46)),FALSE,INT(metadata!N46)=metadata!N46)),metadata!N46&gt;0))</f>
        <v>0</v>
      </c>
      <c r="AQ46" t="b">
        <f>AND(IF(metadata!O46="",FALSE,TRUE),EXACT(metadata!O46,"Not applicable"))</f>
        <v>0</v>
      </c>
      <c r="AR46" t="b">
        <f>OR(AND(IF(metadata!P46="",FALSE,TRUE),OR(EXACT(metadata!P46,"not applicable"),EXACT(metadata!P46,"missing: not collected"),EXACT(metadata!P46,"missing: not provided"),EXACT(metadata!P46,"missing: restricted access"))),IF(metadata!P46="",FALSE,IF(ISERROR(INT(metadata!P46)),FALSE,INT(metadata!P46)=metadata!P46)))</f>
        <v>0</v>
      </c>
      <c r="AS46" t="b">
        <f>AND(IF(metadata!Q46="",FALSE,TRUE),EXACT(metadata!Q46,"Not applicable"))</f>
        <v>0</v>
      </c>
      <c r="AT46" t="b">
        <f>OR(AND(IF(metadata!R46="",FALSE,TRUE),OR(EXACT(metadata!R46,"not applicable"),EXACT(metadata!R46,"missing: not collected"),EXACT(metadata!R46,"missing: not provided"),EXACT(metadata!R46,"missing: restricted access"))),AND(IF(metadata!R46="",FALSE,ISNUMBER(VALUE(metadata!R46))),metadata!R46&gt;0))</f>
        <v>0</v>
      </c>
      <c r="AU46" t="b">
        <f>AND(IF(metadata!S46="",FALSE,TRUE),EXACT(metadata!S46,"missing: not provided"))</f>
        <v>0</v>
      </c>
    </row>
    <row r="47" spans="1:47" x14ac:dyDescent="0.2">
      <c r="A47" s="5" t="str">
        <f ca="1">IF(B47=" "," ",HYPERLINK(CONCATENATE("#metadata!",ADDRESS(INDEX($Y$2:$Y$1001,MATCH(ROWS($W$2:W47),$W$2:$W$1001,0),0),1)),INDEX($AB$2:$AB$1001,MATCH(ROWS($W$2:W47),$W$2:$W$1001,0),0)))</f>
        <v xml:space="preserve"> </v>
      </c>
      <c r="B47" s="4" t="str">
        <f ca="1">IF(OR(INDEX($X$2:$X$1001,MATCH(ROWS($W$2:W47),$W$2:$W$1001,0),1)&gt;=100000,INDEX($AD$1005:$AU$1005,1,MATCH(COLUMNS($AD$1006:AD1006),$AD$1006:$AU$1006,0))&gt;=100000), " ",IF(INDEX($AD$2:$AU$1001,MATCH(ROWS($W$2:W47),$W$2:$W$1001,0),MATCH(COLUMNS($AD$1006:AD1006),$AD$1006:$AU$1006,0)), HYPERLINK("#",""), HYPERLINK(CONCATENATE("#metadata!", ADDRESS(INDEX($Y$2:$Y$1001,MATCH(ROWS($W$2:W47),$W$2:$W$1001,0),0), INDEX($AD$1004:$AU$1004,1,MATCH(COLUMNS($AD$1006:AD1006),$AD$1006:$AU$1006,0)))),"Fix")))</f>
        <v xml:space="preserve"> </v>
      </c>
      <c r="C47" s="4" t="str">
        <f ca="1">IF(OR(INDEX($X$2:$X$1001,MATCH(ROWS($W$2:W47),$W$2:$W$1001,0),1)&gt;=100000,INDEX($AD$1005:$AU$1005,1,MATCH(COLUMNS($AD$1006:AE1006),$AD$1006:$AU$1006,0))&gt;=100000), " ",IF(INDEX($AD$2:$AU$1001,MATCH(ROWS($W$2:W47),$W$2:$W$1001,0),MATCH(COLUMNS($AD$1006:AE1006),$AD$1006:$AU$1006,0)), HYPERLINK("#",""), HYPERLINK(CONCATENATE("#metadata!", ADDRESS(INDEX($Y$2:$Y$1001,MATCH(ROWS($W$2:W47),$W$2:$W$1001,0),0), INDEX($AD$1004:$AU$1004,1,MATCH(COLUMNS($AD$1006:AE1006),$AD$1006:$AU$1006,0)))),"Fix")))</f>
        <v xml:space="preserve"> </v>
      </c>
      <c r="D47" s="4" t="str">
        <f ca="1">IF(OR(INDEX($X$2:$X$1001,MATCH(ROWS($W$2:W47),$W$2:$W$1001,0),1)&gt;=100000,INDEX($AD$1005:$AU$1005,1,MATCH(COLUMNS($AD$1006:AF1006),$AD$1006:$AU$1006,0))&gt;=100000), " ",IF(INDEX($AD$2:$AU$1001,MATCH(ROWS($W$2:W47),$W$2:$W$1001,0),MATCH(COLUMNS($AD$1006:AF1006),$AD$1006:$AU$1006,0)), HYPERLINK("#",""), HYPERLINK(CONCATENATE("#metadata!", ADDRESS(INDEX($Y$2:$Y$1001,MATCH(ROWS($W$2:W47),$W$2:$W$1001,0),0), INDEX($AD$1004:$AU$1004,1,MATCH(COLUMNS($AD$1006:AF1006),$AD$1006:$AU$1006,0)))),"Fix")))</f>
        <v xml:space="preserve"> </v>
      </c>
      <c r="E47" s="4" t="str">
        <f ca="1">IF(OR(INDEX($X$2:$X$1001,MATCH(ROWS($W$2:W47),$W$2:$W$1001,0),1)&gt;=100000,INDEX($AD$1005:$AU$1005,1,MATCH(COLUMNS($AD$1006:AG1006),$AD$1006:$AU$1006,0))&gt;=100000), " ",IF(INDEX($AD$2:$AU$1001,MATCH(ROWS($W$2:W47),$W$2:$W$1001,0),MATCH(COLUMNS($AD$1006:AG1006),$AD$1006:$AU$1006,0)), HYPERLINK("#",""), HYPERLINK(CONCATENATE("#metadata!", ADDRESS(INDEX($Y$2:$Y$1001,MATCH(ROWS($W$2:W47),$W$2:$W$1001,0),0), INDEX($AD$1004:$AU$1004,1,MATCH(COLUMNS($AD$1006:AG1006),$AD$1006:$AU$1006,0)))),"Fix")))</f>
        <v xml:space="preserve"> </v>
      </c>
      <c r="F47" s="4" t="str">
        <f ca="1">IF(OR(INDEX($X$2:$X$1001,MATCH(ROWS($W$2:W47),$W$2:$W$1001,0),1)&gt;=100000,INDEX($AD$1005:$AU$1005,1,MATCH(COLUMNS($AD$1006:AH1006),$AD$1006:$AU$1006,0))&gt;=100000), " ",IF(INDEX($AD$2:$AU$1001,MATCH(ROWS($W$2:W47),$W$2:$W$1001,0),MATCH(COLUMNS($AD$1006:AH1006),$AD$1006:$AU$1006,0)), HYPERLINK("#",""), HYPERLINK(CONCATENATE("#metadata!", ADDRESS(INDEX($Y$2:$Y$1001,MATCH(ROWS($W$2:W47),$W$2:$W$1001,0),0), INDEX($AD$1004:$AU$1004,1,MATCH(COLUMNS($AD$1006:AH1006),$AD$1006:$AU$1006,0)))),"Fix")))</f>
        <v xml:space="preserve"> </v>
      </c>
      <c r="G47" s="4" t="str">
        <f ca="1">IF(OR(INDEX($X$2:$X$1001,MATCH(ROWS($W$2:W47),$W$2:$W$1001,0),1)&gt;=100000,INDEX($AD$1005:$AU$1005,1,MATCH(COLUMNS($AD$1006:AI1006),$AD$1006:$AU$1006,0))&gt;=100000), " ",IF(INDEX($AD$2:$AU$1001,MATCH(ROWS($W$2:W47),$W$2:$W$1001,0),MATCH(COLUMNS($AD$1006:AI1006),$AD$1006:$AU$1006,0)), HYPERLINK("#",""), HYPERLINK(CONCATENATE("#metadata!", ADDRESS(INDEX($Y$2:$Y$1001,MATCH(ROWS($W$2:W47),$W$2:$W$1001,0),0), INDEX($AD$1004:$AU$1004,1,MATCH(COLUMNS($AD$1006:AI1006),$AD$1006:$AU$1006,0)))),"Fix")))</f>
        <v xml:space="preserve"> </v>
      </c>
      <c r="H47" s="4" t="str">
        <f ca="1">IF(OR(INDEX($X$2:$X$1001,MATCH(ROWS($W$2:W47),$W$2:$W$1001,0),1)&gt;=100000,INDEX($AD$1005:$AU$1005,1,MATCH(COLUMNS($AD$1006:AJ1006),$AD$1006:$AU$1006,0))&gt;=100000), " ",IF(INDEX($AD$2:$AU$1001,MATCH(ROWS($W$2:W47),$W$2:$W$1001,0),MATCH(COLUMNS($AD$1006:AJ1006),$AD$1006:$AU$1006,0)), HYPERLINK("#",""), HYPERLINK(CONCATENATE("#metadata!", ADDRESS(INDEX($Y$2:$Y$1001,MATCH(ROWS($W$2:W47),$W$2:$W$1001,0),0), INDEX($AD$1004:$AU$1004,1,MATCH(COLUMNS($AD$1006:AJ1006),$AD$1006:$AU$1006,0)))),"Fix")))</f>
        <v xml:space="preserve"> </v>
      </c>
      <c r="I47" s="4" t="str">
        <f ca="1">IF(OR(INDEX($X$2:$X$1001,MATCH(ROWS($W$2:W47),$W$2:$W$1001,0),1)&gt;=100000,INDEX($AD$1005:$AU$1005,1,MATCH(COLUMNS($AD$1006:AK1006),$AD$1006:$AU$1006,0))&gt;=100000), " ",IF(INDEX($AD$2:$AU$1001,MATCH(ROWS($W$2:W47),$W$2:$W$1001,0),MATCH(COLUMNS($AD$1006:AK1006),$AD$1006:$AU$1006,0)), HYPERLINK("#",""), HYPERLINK(CONCATENATE("#metadata!", ADDRESS(INDEX($Y$2:$Y$1001,MATCH(ROWS($W$2:W47),$W$2:$W$1001,0),0), INDEX($AD$1004:$AU$1004,1,MATCH(COLUMNS($AD$1006:AK1006),$AD$1006:$AU$1006,0)))),"Fix")))</f>
        <v xml:space="preserve"> </v>
      </c>
      <c r="J47" s="4" t="str">
        <f ca="1">IF(OR(INDEX($X$2:$X$1001,MATCH(ROWS($W$2:W47),$W$2:$W$1001,0),1)&gt;=100000,INDEX($AD$1005:$AU$1005,1,MATCH(COLUMNS($AD$1006:AL1006),$AD$1006:$AU$1006,0))&gt;=100000), " ",IF(INDEX($AD$2:$AU$1001,MATCH(ROWS($W$2:W47),$W$2:$W$1001,0),MATCH(COLUMNS($AD$1006:AL1006),$AD$1006:$AU$1006,0)), HYPERLINK("#",""), HYPERLINK(CONCATENATE("#metadata!", ADDRESS(INDEX($Y$2:$Y$1001,MATCH(ROWS($W$2:W47),$W$2:$W$1001,0),0), INDEX($AD$1004:$AU$1004,1,MATCH(COLUMNS($AD$1006:AL1006),$AD$1006:$AU$1006,0)))),"Fix")))</f>
        <v xml:space="preserve"> </v>
      </c>
      <c r="K47" s="4" t="str">
        <f ca="1">IF(OR(INDEX($X$2:$X$1001,MATCH(ROWS($W$2:W47),$W$2:$W$1001,0),1)&gt;=100000,INDEX($AD$1005:$AU$1005,1,MATCH(COLUMNS($AD$1006:AM1006),$AD$1006:$AU$1006,0))&gt;=100000), " ",IF(INDEX($AD$2:$AU$1001,MATCH(ROWS($W$2:W47),$W$2:$W$1001,0),MATCH(COLUMNS($AD$1006:AM1006),$AD$1006:$AU$1006,0)), HYPERLINK("#",""), HYPERLINK(CONCATENATE("#metadata!", ADDRESS(INDEX($Y$2:$Y$1001,MATCH(ROWS($W$2:W47),$W$2:$W$1001,0),0), INDEX($AD$1004:$AU$1004,1,MATCH(COLUMNS($AD$1006:AM1006),$AD$1006:$AU$1006,0)))),"Fix")))</f>
        <v xml:space="preserve"> </v>
      </c>
      <c r="L47" s="4" t="str">
        <f ca="1">IF(OR(INDEX($X$2:$X$1001,MATCH(ROWS($W$2:W47),$W$2:$W$1001,0),1)&gt;=100000,INDEX($AD$1005:$AU$1005,1,MATCH(COLUMNS($AD$1006:AN1006),$AD$1006:$AU$1006,0))&gt;=100000), " ",IF(INDEX($AD$2:$AU$1001,MATCH(ROWS($W$2:W47),$W$2:$W$1001,0),MATCH(COLUMNS($AD$1006:AN1006),$AD$1006:$AU$1006,0)), HYPERLINK("#",""), HYPERLINK(CONCATENATE("#metadata!", ADDRESS(INDEX($Y$2:$Y$1001,MATCH(ROWS($W$2:W47),$W$2:$W$1001,0),0), INDEX($AD$1004:$AU$1004,1,MATCH(COLUMNS($AD$1006:AN1006),$AD$1006:$AU$1006,0)))),"Fix")))</f>
        <v xml:space="preserve"> </v>
      </c>
      <c r="M47" s="4" t="str">
        <f ca="1">IF(OR(INDEX($X$2:$X$1001,MATCH(ROWS($W$2:W47),$W$2:$W$1001,0),1)&gt;=100000,INDEX($AD$1005:$AU$1005,1,MATCH(COLUMNS($AD$1006:AO1006),$AD$1006:$AU$1006,0))&gt;=100000), " ",IF(INDEX($AD$2:$AU$1001,MATCH(ROWS($W$2:W47),$W$2:$W$1001,0),MATCH(COLUMNS($AD$1006:AO1006),$AD$1006:$AU$1006,0)), HYPERLINK("#",""), HYPERLINK(CONCATENATE("#metadata!", ADDRESS(INDEX($Y$2:$Y$1001,MATCH(ROWS($W$2:W47),$W$2:$W$1001,0),0), INDEX($AD$1004:$AU$1004,1,MATCH(COLUMNS($AD$1006:AO1006),$AD$1006:$AU$1006,0)))),"Fix")))</f>
        <v xml:space="preserve"> </v>
      </c>
      <c r="N47" s="4" t="str">
        <f ca="1">IF(OR(INDEX($X$2:$X$1001,MATCH(ROWS($W$2:W47),$W$2:$W$1001,0),1)&gt;=100000,INDEX($AD$1005:$AU$1005,1,MATCH(COLUMNS($AD$1006:AP1006),$AD$1006:$AU$1006,0))&gt;=100000), " ",IF(INDEX($AD$2:$AU$1001,MATCH(ROWS($W$2:W47),$W$2:$W$1001,0),MATCH(COLUMNS($AD$1006:AP1006),$AD$1006:$AU$1006,0)), HYPERLINK("#",""), HYPERLINK(CONCATENATE("#metadata!", ADDRESS(INDEX($Y$2:$Y$1001,MATCH(ROWS($W$2:W47),$W$2:$W$1001,0),0), INDEX($AD$1004:$AU$1004,1,MATCH(COLUMNS($AD$1006:AP1006),$AD$1006:$AU$1006,0)))),"Fix")))</f>
        <v xml:space="preserve"> </v>
      </c>
      <c r="O47" s="4" t="str">
        <f ca="1">IF(OR(INDEX($X$2:$X$1001,MATCH(ROWS($W$2:W47),$W$2:$W$1001,0),1)&gt;=100000,INDEX($AD$1005:$AU$1005,1,MATCH(COLUMNS($AD$1006:AQ1006),$AD$1006:$AU$1006,0))&gt;=100000), " ",IF(INDEX($AD$2:$AU$1001,MATCH(ROWS($W$2:W47),$W$2:$W$1001,0),MATCH(COLUMNS($AD$1006:AQ1006),$AD$1006:$AU$1006,0)), HYPERLINK("#",""), HYPERLINK(CONCATENATE("#metadata!", ADDRESS(INDEX($Y$2:$Y$1001,MATCH(ROWS($W$2:W47),$W$2:$W$1001,0),0), INDEX($AD$1004:$AU$1004,1,MATCH(COLUMNS($AD$1006:AQ1006),$AD$1006:$AU$1006,0)))),"Fix")))</f>
        <v xml:space="preserve"> </v>
      </c>
      <c r="P47" s="4" t="str">
        <f ca="1">IF(OR(INDEX($X$2:$X$1001,MATCH(ROWS($W$2:W47),$W$2:$W$1001,0),1)&gt;=100000,INDEX($AD$1005:$AU$1005,1,MATCH(COLUMNS($AD$1006:AR1006),$AD$1006:$AU$1006,0))&gt;=100000), " ",IF(INDEX($AD$2:$AU$1001,MATCH(ROWS($W$2:W47),$W$2:$W$1001,0),MATCH(COLUMNS($AD$1006:AR1006),$AD$1006:$AU$1006,0)), HYPERLINK("#",""), HYPERLINK(CONCATENATE("#metadata!", ADDRESS(INDEX($Y$2:$Y$1001,MATCH(ROWS($W$2:W47),$W$2:$W$1001,0),0), INDEX($AD$1004:$AU$1004,1,MATCH(COLUMNS($AD$1006:AR1006),$AD$1006:$AU$1006,0)))),"Fix")))</f>
        <v xml:space="preserve"> </v>
      </c>
      <c r="Q47" s="4" t="str">
        <f ca="1">IF(OR(INDEX($X$2:$X$1001,MATCH(ROWS($W$2:W47),$W$2:$W$1001,0),1)&gt;=100000,INDEX($AD$1005:$AU$1005,1,MATCH(COLUMNS($AD$1006:AS1006),$AD$1006:$AU$1006,0))&gt;=100000), " ",IF(INDEX($AD$2:$AU$1001,MATCH(ROWS($W$2:W47),$W$2:$W$1001,0),MATCH(COLUMNS($AD$1006:AS1006),$AD$1006:$AU$1006,0)), HYPERLINK("#",""), HYPERLINK(CONCATENATE("#metadata!", ADDRESS(INDEX($Y$2:$Y$1001,MATCH(ROWS($W$2:W47),$W$2:$W$1001,0),0), INDEX($AD$1004:$AU$1004,1,MATCH(COLUMNS($AD$1006:AS1006),$AD$1006:$AU$1006,0)))),"Fix")))</f>
        <v xml:space="preserve"> </v>
      </c>
      <c r="R47" s="4" t="str">
        <f ca="1">IF(OR(INDEX($X$2:$X$1001,MATCH(ROWS($W$2:W47),$W$2:$W$1001,0),1)&gt;=100000,INDEX($AD$1005:$AU$1005,1,MATCH(COLUMNS($AD$1006:AT1006),$AD$1006:$AU$1006,0))&gt;=100000), " ",IF(INDEX($AD$2:$AU$1001,MATCH(ROWS($W$2:W47),$W$2:$W$1001,0),MATCH(COLUMNS($AD$1006:AT1006),$AD$1006:$AU$1006,0)), HYPERLINK("#",""), HYPERLINK(CONCATENATE("#metadata!", ADDRESS(INDEX($Y$2:$Y$1001,MATCH(ROWS($W$2:W47),$W$2:$W$1001,0),0), INDEX($AD$1004:$AU$1004,1,MATCH(COLUMNS($AD$1006:AT1006),$AD$1006:$AU$1006,0)))),"Fix")))</f>
        <v xml:space="preserve"> </v>
      </c>
      <c r="S47" s="4" t="str">
        <f ca="1">IF(OR(INDEX($X$2:$X$1001,MATCH(ROWS($W$2:W47),$W$2:$W$1001,0),1)&gt;=100000,INDEX($AD$1005:$AU$1005,1,MATCH(COLUMNS($AD$1006:AU1006),$AD$1006:$AU$1006,0))&gt;=100000), " ",IF(INDEX($AD$2:$AU$1001,MATCH(ROWS($W$2:W47),$W$2:$W$1001,0),MATCH(COLUMNS($AD$1006:AU1006),$AD$1006:$AU$1006,0)), HYPERLINK("#",""), HYPERLINK(CONCATENATE("#metadata!", ADDRESS(INDEX($Y$2:$Y$1001,MATCH(ROWS($W$2:W47),$W$2:$W$1001,0),0), INDEX($AD$1004:$AU$1004,1,MATCH(COLUMNS($AD$1006:AU1006),$AD$1006:$AU$1006,0)))),"Fix")))</f>
        <v xml:space="preserve"> </v>
      </c>
      <c r="W47">
        <v>46</v>
      </c>
      <c r="X47">
        <v>100047</v>
      </c>
      <c r="Y47">
        <v>47</v>
      </c>
      <c r="Z47" t="b">
        <f t="shared" si="0"/>
        <v>1</v>
      </c>
      <c r="AA47" t="b">
        <f>COUNTBLANK(metadata!B47:S47)=COLUMNS(metadata!B47:S47)</f>
        <v>1</v>
      </c>
      <c r="AB47" t="str">
        <v/>
      </c>
      <c r="AD47" t="b">
        <f ca="1">AND(IF(metadata!B47="",FALSE,TRUE),COUNTIF(metadata!B:B, metadata!B47) = 1,NOT(ISERROR(SUMPRODUCT(SEARCH(MID(metadata!B47,ROW(INDIRECT("1:"&amp;LEN(metadata!B47))), 1),"0123456789abcdefghijklmnopqrstuvwxyzABCDEFGHIJKLMNOPQRSTUVWXYZ.")))))</f>
        <v>0</v>
      </c>
      <c r="AE47" t="b">
        <f>OR(AND(IF(metadata!C47="",FALSE,TRUE),OR(EXACT(metadata!C47,"not applicable"),EXACT(metadata!C47,"missing: not collected"),EXACT(metadata!C47,"missing: not provided"),EXACT(metadata!C47,"missing: restricted access"))),AND(IF(metadata!C47="",FALSE,ISNUMBER(VALUE(metadata!C47))),metadata!C47&gt;0))</f>
        <v>0</v>
      </c>
      <c r="AF47" t="b">
        <f>AND(IF(metadata!D47="",FALSE,TRUE),EXACT(metadata!D47,"missing: not provided"))</f>
        <v>0</v>
      </c>
      <c r="AG47" t="b">
        <f>AND(IF(metadata!E47="",FALSE,TRUE),EXACT(metadata!E47,"Host-associated"))</f>
        <v>0</v>
      </c>
      <c r="AH47" t="b">
        <f>AND(IF(metadata!F47="",FALSE,TRUE),OR(EXACT(metadata!F47,"Animal"),EXACT(metadata!F47,"Fungus"),EXACT(metadata!F47,"Plant")))</f>
        <v>0</v>
      </c>
      <c r="AI47" t="b">
        <f>AND(IF(metadata!G47="",FALSE,TRUE),OR(EXACT(metadata!G47,"Plant secretion"),EXACT(metadata!G47,"Plant rhizosphere"),EXACT(metadata!G47,"Plant surface"),EXACT(metadata!G47,"Plant corpus"),EXACT(metadata!G47,"Fungus surface"),EXACT(metadata!G47,"Fungus corpus"),EXACT(metadata!G47,"Animal surface"),EXACT(metadata!G47,"Animal proximal gut"),EXACT(metadata!G47,"Animal corpus"),EXACT(metadata!G47,"Animal distal gut"),EXACT(metadata!G47,"Animal secretion")))</f>
        <v>0</v>
      </c>
      <c r="AJ47" t="b">
        <f>OR(AND(IF(metadata!H47="",FALSE,TRUE),OR(EXACT(metadata!H47,"missing: not collected"),EXACT(metadata!H47,"missing: not provided"),EXACT(metadata!H47,"missing: restricted access"))),AND(IF(metadata!H47="",FALSE,TRUE),OR(EXACT(metadata!H47,"organism-associated habitat"),EXACT(metadata!H47,"plant-associated habitat"),EXACT(metadata!H47,"animal-associated habitat"),EXACT(metadata!H47,"insecta-associated habitat"),EXACT(metadata!H47,"mammalia-associated habitat"),EXACT(metadata!H47,"human-associated habitat"),EXACT(metadata!H47,"livestock-associated habitat"))))</f>
        <v>0</v>
      </c>
      <c r="AK47" t="b">
        <f>AND(IF(metadata!I47="",FALSE,TRUE),EXACT(metadata!I47,"host-associated"))</f>
        <v>0</v>
      </c>
      <c r="AL47" t="b">
        <f>OR(AND(IF(metadata!J47="",FALSE,TRUE),OR(EXACT(metadata!J47,"not applicable"),EXACT(metadata!J47,"missing: not collected"),EXACT(metadata!J47,"missing: not provided"),EXACT(metadata!J47,"missing: restricted access"))),AND(IF(metadata!J47="",FALSE,ISNUMBER(VALUE(metadata!J47))),metadata!J47&gt;0))</f>
        <v>0</v>
      </c>
      <c r="AM47" t="b">
        <f>AND(IF(metadata!K47="",FALSE,TRUE),EXACT(metadata!K47,"missing: not provided"))</f>
        <v>0</v>
      </c>
      <c r="AN47" t="b">
        <f>IF(metadata!L47="",FALSE,TRUE)</f>
        <v>0</v>
      </c>
      <c r="AO47" t="b">
        <f>IF(metadata!M47="",FALSE,TRUE)</f>
        <v>0</v>
      </c>
      <c r="AP47" t="b">
        <f>OR(AND(IF(metadata!N47="",FALSE,TRUE),OR(EXACT(metadata!N47,"not applicable"),EXACT(metadata!N47,"missing: not collected"),EXACT(metadata!N47,"missing: not provided"))),AND(IF(metadata!N47="",FALSE,IF(ISERROR(INT(metadata!N47)),FALSE,INT(metadata!N47)=metadata!N47)),metadata!N47&gt;0))</f>
        <v>0</v>
      </c>
      <c r="AQ47" t="b">
        <f>AND(IF(metadata!O47="",FALSE,TRUE),EXACT(metadata!O47,"Not applicable"))</f>
        <v>0</v>
      </c>
      <c r="AR47" t="b">
        <f>OR(AND(IF(metadata!P47="",FALSE,TRUE),OR(EXACT(metadata!P47,"not applicable"),EXACT(metadata!P47,"missing: not collected"),EXACT(metadata!P47,"missing: not provided"),EXACT(metadata!P47,"missing: restricted access"))),IF(metadata!P47="",FALSE,IF(ISERROR(INT(metadata!P47)),FALSE,INT(metadata!P47)=metadata!P47)))</f>
        <v>0</v>
      </c>
      <c r="AS47" t="b">
        <f>AND(IF(metadata!Q47="",FALSE,TRUE),EXACT(metadata!Q47,"Not applicable"))</f>
        <v>0</v>
      </c>
      <c r="AT47" t="b">
        <f>OR(AND(IF(metadata!R47="",FALSE,TRUE),OR(EXACT(metadata!R47,"not applicable"),EXACT(metadata!R47,"missing: not collected"),EXACT(metadata!R47,"missing: not provided"),EXACT(metadata!R47,"missing: restricted access"))),AND(IF(metadata!R47="",FALSE,ISNUMBER(VALUE(metadata!R47))),metadata!R47&gt;0))</f>
        <v>0</v>
      </c>
      <c r="AU47" t="b">
        <f>AND(IF(metadata!S47="",FALSE,TRUE),EXACT(metadata!S47,"missing: not provided"))</f>
        <v>0</v>
      </c>
    </row>
    <row r="48" spans="1:47" x14ac:dyDescent="0.2">
      <c r="A48" s="5" t="str">
        <f ca="1">IF(B48=" "," ",HYPERLINK(CONCATENATE("#metadata!",ADDRESS(INDEX($Y$2:$Y$1001,MATCH(ROWS($W$2:W48),$W$2:$W$1001,0),0),1)),INDEX($AB$2:$AB$1001,MATCH(ROWS($W$2:W48),$W$2:$W$1001,0),0)))</f>
        <v xml:space="preserve"> </v>
      </c>
      <c r="B48" s="4" t="str">
        <f ca="1">IF(OR(INDEX($X$2:$X$1001,MATCH(ROWS($W$2:W48),$W$2:$W$1001,0),1)&gt;=100000,INDEX($AD$1005:$AU$1005,1,MATCH(COLUMNS($AD$1006:AD1006),$AD$1006:$AU$1006,0))&gt;=100000), " ",IF(INDEX($AD$2:$AU$1001,MATCH(ROWS($W$2:W48),$W$2:$W$1001,0),MATCH(COLUMNS($AD$1006:AD1006),$AD$1006:$AU$1006,0)), HYPERLINK("#",""), HYPERLINK(CONCATENATE("#metadata!", ADDRESS(INDEX($Y$2:$Y$1001,MATCH(ROWS($W$2:W48),$W$2:$W$1001,0),0), INDEX($AD$1004:$AU$1004,1,MATCH(COLUMNS($AD$1006:AD1006),$AD$1006:$AU$1006,0)))),"Fix")))</f>
        <v xml:space="preserve"> </v>
      </c>
      <c r="C48" s="4" t="str">
        <f ca="1">IF(OR(INDEX($X$2:$X$1001,MATCH(ROWS($W$2:W48),$W$2:$W$1001,0),1)&gt;=100000,INDEX($AD$1005:$AU$1005,1,MATCH(COLUMNS($AD$1006:AE1006),$AD$1006:$AU$1006,0))&gt;=100000), " ",IF(INDEX($AD$2:$AU$1001,MATCH(ROWS($W$2:W48),$W$2:$W$1001,0),MATCH(COLUMNS($AD$1006:AE1006),$AD$1006:$AU$1006,0)), HYPERLINK("#",""), HYPERLINK(CONCATENATE("#metadata!", ADDRESS(INDEX($Y$2:$Y$1001,MATCH(ROWS($W$2:W48),$W$2:$W$1001,0),0), INDEX($AD$1004:$AU$1004,1,MATCH(COLUMNS($AD$1006:AE1006),$AD$1006:$AU$1006,0)))),"Fix")))</f>
        <v xml:space="preserve"> </v>
      </c>
      <c r="D48" s="4" t="str">
        <f ca="1">IF(OR(INDEX($X$2:$X$1001,MATCH(ROWS($W$2:W48),$W$2:$W$1001,0),1)&gt;=100000,INDEX($AD$1005:$AU$1005,1,MATCH(COLUMNS($AD$1006:AF1006),$AD$1006:$AU$1006,0))&gt;=100000), " ",IF(INDEX($AD$2:$AU$1001,MATCH(ROWS($W$2:W48),$W$2:$W$1001,0),MATCH(COLUMNS($AD$1006:AF1006),$AD$1006:$AU$1006,0)), HYPERLINK("#",""), HYPERLINK(CONCATENATE("#metadata!", ADDRESS(INDEX($Y$2:$Y$1001,MATCH(ROWS($W$2:W48),$W$2:$W$1001,0),0), INDEX($AD$1004:$AU$1004,1,MATCH(COLUMNS($AD$1006:AF1006),$AD$1006:$AU$1006,0)))),"Fix")))</f>
        <v xml:space="preserve"> </v>
      </c>
      <c r="E48" s="4" t="str">
        <f ca="1">IF(OR(INDEX($X$2:$X$1001,MATCH(ROWS($W$2:W48),$W$2:$W$1001,0),1)&gt;=100000,INDEX($AD$1005:$AU$1005,1,MATCH(COLUMNS($AD$1006:AG1006),$AD$1006:$AU$1006,0))&gt;=100000), " ",IF(INDEX($AD$2:$AU$1001,MATCH(ROWS($W$2:W48),$W$2:$W$1001,0),MATCH(COLUMNS($AD$1006:AG1006),$AD$1006:$AU$1006,0)), HYPERLINK("#",""), HYPERLINK(CONCATENATE("#metadata!", ADDRESS(INDEX($Y$2:$Y$1001,MATCH(ROWS($W$2:W48),$W$2:$W$1001,0),0), INDEX($AD$1004:$AU$1004,1,MATCH(COLUMNS($AD$1006:AG1006),$AD$1006:$AU$1006,0)))),"Fix")))</f>
        <v xml:space="preserve"> </v>
      </c>
      <c r="F48" s="4" t="str">
        <f ca="1">IF(OR(INDEX($X$2:$X$1001,MATCH(ROWS($W$2:W48),$W$2:$W$1001,0),1)&gt;=100000,INDEX($AD$1005:$AU$1005,1,MATCH(COLUMNS($AD$1006:AH1006),$AD$1006:$AU$1006,0))&gt;=100000), " ",IF(INDEX($AD$2:$AU$1001,MATCH(ROWS($W$2:W48),$W$2:$W$1001,0),MATCH(COLUMNS($AD$1006:AH1006),$AD$1006:$AU$1006,0)), HYPERLINK("#",""), HYPERLINK(CONCATENATE("#metadata!", ADDRESS(INDEX($Y$2:$Y$1001,MATCH(ROWS($W$2:W48),$W$2:$W$1001,0),0), INDEX($AD$1004:$AU$1004,1,MATCH(COLUMNS($AD$1006:AH1006),$AD$1006:$AU$1006,0)))),"Fix")))</f>
        <v xml:space="preserve"> </v>
      </c>
      <c r="G48" s="4" t="str">
        <f ca="1">IF(OR(INDEX($X$2:$X$1001,MATCH(ROWS($W$2:W48),$W$2:$W$1001,0),1)&gt;=100000,INDEX($AD$1005:$AU$1005,1,MATCH(COLUMNS($AD$1006:AI1006),$AD$1006:$AU$1006,0))&gt;=100000), " ",IF(INDEX($AD$2:$AU$1001,MATCH(ROWS($W$2:W48),$W$2:$W$1001,0),MATCH(COLUMNS($AD$1006:AI1006),$AD$1006:$AU$1006,0)), HYPERLINK("#",""), HYPERLINK(CONCATENATE("#metadata!", ADDRESS(INDEX($Y$2:$Y$1001,MATCH(ROWS($W$2:W48),$W$2:$W$1001,0),0), INDEX($AD$1004:$AU$1004,1,MATCH(COLUMNS($AD$1006:AI1006),$AD$1006:$AU$1006,0)))),"Fix")))</f>
        <v xml:space="preserve"> </v>
      </c>
      <c r="H48" s="4" t="str">
        <f ca="1">IF(OR(INDEX($X$2:$X$1001,MATCH(ROWS($W$2:W48),$W$2:$W$1001,0),1)&gt;=100000,INDEX($AD$1005:$AU$1005,1,MATCH(COLUMNS($AD$1006:AJ1006),$AD$1006:$AU$1006,0))&gt;=100000), " ",IF(INDEX($AD$2:$AU$1001,MATCH(ROWS($W$2:W48),$W$2:$W$1001,0),MATCH(COLUMNS($AD$1006:AJ1006),$AD$1006:$AU$1006,0)), HYPERLINK("#",""), HYPERLINK(CONCATENATE("#metadata!", ADDRESS(INDEX($Y$2:$Y$1001,MATCH(ROWS($W$2:W48),$W$2:$W$1001,0),0), INDEX($AD$1004:$AU$1004,1,MATCH(COLUMNS($AD$1006:AJ1006),$AD$1006:$AU$1006,0)))),"Fix")))</f>
        <v xml:space="preserve"> </v>
      </c>
      <c r="I48" s="4" t="str">
        <f ca="1">IF(OR(INDEX($X$2:$X$1001,MATCH(ROWS($W$2:W48),$W$2:$W$1001,0),1)&gt;=100000,INDEX($AD$1005:$AU$1005,1,MATCH(COLUMNS($AD$1006:AK1006),$AD$1006:$AU$1006,0))&gt;=100000), " ",IF(INDEX($AD$2:$AU$1001,MATCH(ROWS($W$2:W48),$W$2:$W$1001,0),MATCH(COLUMNS($AD$1006:AK1006),$AD$1006:$AU$1006,0)), HYPERLINK("#",""), HYPERLINK(CONCATENATE("#metadata!", ADDRESS(INDEX($Y$2:$Y$1001,MATCH(ROWS($W$2:W48),$W$2:$W$1001,0),0), INDEX($AD$1004:$AU$1004,1,MATCH(COLUMNS($AD$1006:AK1006),$AD$1006:$AU$1006,0)))),"Fix")))</f>
        <v xml:space="preserve"> </v>
      </c>
      <c r="J48" s="4" t="str">
        <f ca="1">IF(OR(INDEX($X$2:$X$1001,MATCH(ROWS($W$2:W48),$W$2:$W$1001,0),1)&gt;=100000,INDEX($AD$1005:$AU$1005,1,MATCH(COLUMNS($AD$1006:AL1006),$AD$1006:$AU$1006,0))&gt;=100000), " ",IF(INDEX($AD$2:$AU$1001,MATCH(ROWS($W$2:W48),$W$2:$W$1001,0),MATCH(COLUMNS($AD$1006:AL1006),$AD$1006:$AU$1006,0)), HYPERLINK("#",""), HYPERLINK(CONCATENATE("#metadata!", ADDRESS(INDEX($Y$2:$Y$1001,MATCH(ROWS($W$2:W48),$W$2:$W$1001,0),0), INDEX($AD$1004:$AU$1004,1,MATCH(COLUMNS($AD$1006:AL1006),$AD$1006:$AU$1006,0)))),"Fix")))</f>
        <v xml:space="preserve"> </v>
      </c>
      <c r="K48" s="4" t="str">
        <f ca="1">IF(OR(INDEX($X$2:$X$1001,MATCH(ROWS($W$2:W48),$W$2:$W$1001,0),1)&gt;=100000,INDEX($AD$1005:$AU$1005,1,MATCH(COLUMNS($AD$1006:AM1006),$AD$1006:$AU$1006,0))&gt;=100000), " ",IF(INDEX($AD$2:$AU$1001,MATCH(ROWS($W$2:W48),$W$2:$W$1001,0),MATCH(COLUMNS($AD$1006:AM1006),$AD$1006:$AU$1006,0)), HYPERLINK("#",""), HYPERLINK(CONCATENATE("#metadata!", ADDRESS(INDEX($Y$2:$Y$1001,MATCH(ROWS($W$2:W48),$W$2:$W$1001,0),0), INDEX($AD$1004:$AU$1004,1,MATCH(COLUMNS($AD$1006:AM1006),$AD$1006:$AU$1006,0)))),"Fix")))</f>
        <v xml:space="preserve"> </v>
      </c>
      <c r="L48" s="4" t="str">
        <f ca="1">IF(OR(INDEX($X$2:$X$1001,MATCH(ROWS($W$2:W48),$W$2:$W$1001,0),1)&gt;=100000,INDEX($AD$1005:$AU$1005,1,MATCH(COLUMNS($AD$1006:AN1006),$AD$1006:$AU$1006,0))&gt;=100000), " ",IF(INDEX($AD$2:$AU$1001,MATCH(ROWS($W$2:W48),$W$2:$W$1001,0),MATCH(COLUMNS($AD$1006:AN1006),$AD$1006:$AU$1006,0)), HYPERLINK("#",""), HYPERLINK(CONCATENATE("#metadata!", ADDRESS(INDEX($Y$2:$Y$1001,MATCH(ROWS($W$2:W48),$W$2:$W$1001,0),0), INDEX($AD$1004:$AU$1004,1,MATCH(COLUMNS($AD$1006:AN1006),$AD$1006:$AU$1006,0)))),"Fix")))</f>
        <v xml:space="preserve"> </v>
      </c>
      <c r="M48" s="4" t="str">
        <f ca="1">IF(OR(INDEX($X$2:$X$1001,MATCH(ROWS($W$2:W48),$W$2:$W$1001,0),1)&gt;=100000,INDEX($AD$1005:$AU$1005,1,MATCH(COLUMNS($AD$1006:AO1006),$AD$1006:$AU$1006,0))&gt;=100000), " ",IF(INDEX($AD$2:$AU$1001,MATCH(ROWS($W$2:W48),$W$2:$W$1001,0),MATCH(COLUMNS($AD$1006:AO1006),$AD$1006:$AU$1006,0)), HYPERLINK("#",""), HYPERLINK(CONCATENATE("#metadata!", ADDRESS(INDEX($Y$2:$Y$1001,MATCH(ROWS($W$2:W48),$W$2:$W$1001,0),0), INDEX($AD$1004:$AU$1004,1,MATCH(COLUMNS($AD$1006:AO1006),$AD$1006:$AU$1006,0)))),"Fix")))</f>
        <v xml:space="preserve"> </v>
      </c>
      <c r="N48" s="4" t="str">
        <f ca="1">IF(OR(INDEX($X$2:$X$1001,MATCH(ROWS($W$2:W48),$W$2:$W$1001,0),1)&gt;=100000,INDEX($AD$1005:$AU$1005,1,MATCH(COLUMNS($AD$1006:AP1006),$AD$1006:$AU$1006,0))&gt;=100000), " ",IF(INDEX($AD$2:$AU$1001,MATCH(ROWS($W$2:W48),$W$2:$W$1001,0),MATCH(COLUMNS($AD$1006:AP1006),$AD$1006:$AU$1006,0)), HYPERLINK("#",""), HYPERLINK(CONCATENATE("#metadata!", ADDRESS(INDEX($Y$2:$Y$1001,MATCH(ROWS($W$2:W48),$W$2:$W$1001,0),0), INDEX($AD$1004:$AU$1004,1,MATCH(COLUMNS($AD$1006:AP1006),$AD$1006:$AU$1006,0)))),"Fix")))</f>
        <v xml:space="preserve"> </v>
      </c>
      <c r="O48" s="4" t="str">
        <f ca="1">IF(OR(INDEX($X$2:$X$1001,MATCH(ROWS($W$2:W48),$W$2:$W$1001,0),1)&gt;=100000,INDEX($AD$1005:$AU$1005,1,MATCH(COLUMNS($AD$1006:AQ1006),$AD$1006:$AU$1006,0))&gt;=100000), " ",IF(INDEX($AD$2:$AU$1001,MATCH(ROWS($W$2:W48),$W$2:$W$1001,0),MATCH(COLUMNS($AD$1006:AQ1006),$AD$1006:$AU$1006,0)), HYPERLINK("#",""), HYPERLINK(CONCATENATE("#metadata!", ADDRESS(INDEX($Y$2:$Y$1001,MATCH(ROWS($W$2:W48),$W$2:$W$1001,0),0), INDEX($AD$1004:$AU$1004,1,MATCH(COLUMNS($AD$1006:AQ1006),$AD$1006:$AU$1006,0)))),"Fix")))</f>
        <v xml:space="preserve"> </v>
      </c>
      <c r="P48" s="4" t="str">
        <f ca="1">IF(OR(INDEX($X$2:$X$1001,MATCH(ROWS($W$2:W48),$W$2:$W$1001,0),1)&gt;=100000,INDEX($AD$1005:$AU$1005,1,MATCH(COLUMNS($AD$1006:AR1006),$AD$1006:$AU$1006,0))&gt;=100000), " ",IF(INDEX($AD$2:$AU$1001,MATCH(ROWS($W$2:W48),$W$2:$W$1001,0),MATCH(COLUMNS($AD$1006:AR1006),$AD$1006:$AU$1006,0)), HYPERLINK("#",""), HYPERLINK(CONCATENATE("#metadata!", ADDRESS(INDEX($Y$2:$Y$1001,MATCH(ROWS($W$2:W48),$W$2:$W$1001,0),0), INDEX($AD$1004:$AU$1004,1,MATCH(COLUMNS($AD$1006:AR1006),$AD$1006:$AU$1006,0)))),"Fix")))</f>
        <v xml:space="preserve"> </v>
      </c>
      <c r="Q48" s="4" t="str">
        <f ca="1">IF(OR(INDEX($X$2:$X$1001,MATCH(ROWS($W$2:W48),$W$2:$W$1001,0),1)&gt;=100000,INDEX($AD$1005:$AU$1005,1,MATCH(COLUMNS($AD$1006:AS1006),$AD$1006:$AU$1006,0))&gt;=100000), " ",IF(INDEX($AD$2:$AU$1001,MATCH(ROWS($W$2:W48),$W$2:$W$1001,0),MATCH(COLUMNS($AD$1006:AS1006),$AD$1006:$AU$1006,0)), HYPERLINK("#",""), HYPERLINK(CONCATENATE("#metadata!", ADDRESS(INDEX($Y$2:$Y$1001,MATCH(ROWS($W$2:W48),$W$2:$W$1001,0),0), INDEX($AD$1004:$AU$1004,1,MATCH(COLUMNS($AD$1006:AS1006),$AD$1006:$AU$1006,0)))),"Fix")))</f>
        <v xml:space="preserve"> </v>
      </c>
      <c r="R48" s="4" t="str">
        <f ca="1">IF(OR(INDEX($X$2:$X$1001,MATCH(ROWS($W$2:W48),$W$2:$W$1001,0),1)&gt;=100000,INDEX($AD$1005:$AU$1005,1,MATCH(COLUMNS($AD$1006:AT1006),$AD$1006:$AU$1006,0))&gt;=100000), " ",IF(INDEX($AD$2:$AU$1001,MATCH(ROWS($W$2:W48),$W$2:$W$1001,0),MATCH(COLUMNS($AD$1006:AT1006),$AD$1006:$AU$1006,0)), HYPERLINK("#",""), HYPERLINK(CONCATENATE("#metadata!", ADDRESS(INDEX($Y$2:$Y$1001,MATCH(ROWS($W$2:W48),$W$2:$W$1001,0),0), INDEX($AD$1004:$AU$1004,1,MATCH(COLUMNS($AD$1006:AT1006),$AD$1006:$AU$1006,0)))),"Fix")))</f>
        <v xml:space="preserve"> </v>
      </c>
      <c r="S48" s="4" t="str">
        <f ca="1">IF(OR(INDEX($X$2:$X$1001,MATCH(ROWS($W$2:W48),$W$2:$W$1001,0),1)&gt;=100000,INDEX($AD$1005:$AU$1005,1,MATCH(COLUMNS($AD$1006:AU1006),$AD$1006:$AU$1006,0))&gt;=100000), " ",IF(INDEX($AD$2:$AU$1001,MATCH(ROWS($W$2:W48),$W$2:$W$1001,0),MATCH(COLUMNS($AD$1006:AU1006),$AD$1006:$AU$1006,0)), HYPERLINK("#",""), HYPERLINK(CONCATENATE("#metadata!", ADDRESS(INDEX($Y$2:$Y$1001,MATCH(ROWS($W$2:W48),$W$2:$W$1001,0),0), INDEX($AD$1004:$AU$1004,1,MATCH(COLUMNS($AD$1006:AU1006),$AD$1006:$AU$1006,0)))),"Fix")))</f>
        <v xml:space="preserve"> </v>
      </c>
      <c r="W48">
        <v>47</v>
      </c>
      <c r="X48">
        <v>100048</v>
      </c>
      <c r="Y48">
        <v>48</v>
      </c>
      <c r="Z48" t="b">
        <f t="shared" si="0"/>
        <v>1</v>
      </c>
      <c r="AA48" t="b">
        <f>COUNTBLANK(metadata!B48:S48)=COLUMNS(metadata!B48:S48)</f>
        <v>1</v>
      </c>
      <c r="AB48" t="str">
        <v/>
      </c>
      <c r="AD48" t="b">
        <f ca="1">AND(IF(metadata!B48="",FALSE,TRUE),COUNTIF(metadata!B:B, metadata!B48) = 1,NOT(ISERROR(SUMPRODUCT(SEARCH(MID(metadata!B48,ROW(INDIRECT("1:"&amp;LEN(metadata!B48))), 1),"0123456789abcdefghijklmnopqrstuvwxyzABCDEFGHIJKLMNOPQRSTUVWXYZ.")))))</f>
        <v>0</v>
      </c>
      <c r="AE48" t="b">
        <f>OR(AND(IF(metadata!C48="",FALSE,TRUE),OR(EXACT(metadata!C48,"not applicable"),EXACT(metadata!C48,"missing: not collected"),EXACT(metadata!C48,"missing: not provided"),EXACT(metadata!C48,"missing: restricted access"))),AND(IF(metadata!C48="",FALSE,ISNUMBER(VALUE(metadata!C48))),metadata!C48&gt;0))</f>
        <v>0</v>
      </c>
      <c r="AF48" t="b">
        <f>AND(IF(metadata!D48="",FALSE,TRUE),EXACT(metadata!D48,"missing: not provided"))</f>
        <v>0</v>
      </c>
      <c r="AG48" t="b">
        <f>AND(IF(metadata!E48="",FALSE,TRUE),EXACT(metadata!E48,"Host-associated"))</f>
        <v>0</v>
      </c>
      <c r="AH48" t="b">
        <f>AND(IF(metadata!F48="",FALSE,TRUE),OR(EXACT(metadata!F48,"Animal"),EXACT(metadata!F48,"Fungus"),EXACT(metadata!F48,"Plant")))</f>
        <v>0</v>
      </c>
      <c r="AI48" t="b">
        <f>AND(IF(metadata!G48="",FALSE,TRUE),OR(EXACT(metadata!G48,"Plant secretion"),EXACT(metadata!G48,"Plant rhizosphere"),EXACT(metadata!G48,"Plant surface"),EXACT(metadata!G48,"Plant corpus"),EXACT(metadata!G48,"Fungus surface"),EXACT(metadata!G48,"Fungus corpus"),EXACT(metadata!G48,"Animal surface"),EXACT(metadata!G48,"Animal proximal gut"),EXACT(metadata!G48,"Animal corpus"),EXACT(metadata!G48,"Animal distal gut"),EXACT(metadata!G48,"Animal secretion")))</f>
        <v>0</v>
      </c>
      <c r="AJ48" t="b">
        <f>OR(AND(IF(metadata!H48="",FALSE,TRUE),OR(EXACT(metadata!H48,"missing: not collected"),EXACT(metadata!H48,"missing: not provided"),EXACT(metadata!H48,"missing: restricted access"))),AND(IF(metadata!H48="",FALSE,TRUE),OR(EXACT(metadata!H48,"organism-associated habitat"),EXACT(metadata!H48,"plant-associated habitat"),EXACT(metadata!H48,"animal-associated habitat"),EXACT(metadata!H48,"insecta-associated habitat"),EXACT(metadata!H48,"mammalia-associated habitat"),EXACT(metadata!H48,"human-associated habitat"),EXACT(metadata!H48,"livestock-associated habitat"))))</f>
        <v>0</v>
      </c>
      <c r="AK48" t="b">
        <f>AND(IF(metadata!I48="",FALSE,TRUE),EXACT(metadata!I48,"host-associated"))</f>
        <v>0</v>
      </c>
      <c r="AL48" t="b">
        <f>OR(AND(IF(metadata!J48="",FALSE,TRUE),OR(EXACT(metadata!J48,"not applicable"),EXACT(metadata!J48,"missing: not collected"),EXACT(metadata!J48,"missing: not provided"),EXACT(metadata!J48,"missing: restricted access"))),AND(IF(metadata!J48="",FALSE,ISNUMBER(VALUE(metadata!J48))),metadata!J48&gt;0))</f>
        <v>0</v>
      </c>
      <c r="AM48" t="b">
        <f>AND(IF(metadata!K48="",FALSE,TRUE),EXACT(metadata!K48,"missing: not provided"))</f>
        <v>0</v>
      </c>
      <c r="AN48" t="b">
        <f>IF(metadata!L48="",FALSE,TRUE)</f>
        <v>0</v>
      </c>
      <c r="AO48" t="b">
        <f>IF(metadata!M48="",FALSE,TRUE)</f>
        <v>0</v>
      </c>
      <c r="AP48" t="b">
        <f>OR(AND(IF(metadata!N48="",FALSE,TRUE),OR(EXACT(metadata!N48,"not applicable"),EXACT(metadata!N48,"missing: not collected"),EXACT(metadata!N48,"missing: not provided"))),AND(IF(metadata!N48="",FALSE,IF(ISERROR(INT(metadata!N48)),FALSE,INT(metadata!N48)=metadata!N48)),metadata!N48&gt;0))</f>
        <v>0</v>
      </c>
      <c r="AQ48" t="b">
        <f>AND(IF(metadata!O48="",FALSE,TRUE),EXACT(metadata!O48,"Not applicable"))</f>
        <v>0</v>
      </c>
      <c r="AR48" t="b">
        <f>OR(AND(IF(metadata!P48="",FALSE,TRUE),OR(EXACT(metadata!P48,"not applicable"),EXACT(metadata!P48,"missing: not collected"),EXACT(metadata!P48,"missing: not provided"),EXACT(metadata!P48,"missing: restricted access"))),IF(metadata!P48="",FALSE,IF(ISERROR(INT(metadata!P48)),FALSE,INT(metadata!P48)=metadata!P48)))</f>
        <v>0</v>
      </c>
      <c r="AS48" t="b">
        <f>AND(IF(metadata!Q48="",FALSE,TRUE),EXACT(metadata!Q48,"Not applicable"))</f>
        <v>0</v>
      </c>
      <c r="AT48" t="b">
        <f>OR(AND(IF(metadata!R48="",FALSE,TRUE),OR(EXACT(metadata!R48,"not applicable"),EXACT(metadata!R48,"missing: not collected"),EXACT(metadata!R48,"missing: not provided"),EXACT(metadata!R48,"missing: restricted access"))),AND(IF(metadata!R48="",FALSE,ISNUMBER(VALUE(metadata!R48))),metadata!R48&gt;0))</f>
        <v>0</v>
      </c>
      <c r="AU48" t="b">
        <f>AND(IF(metadata!S48="",FALSE,TRUE),EXACT(metadata!S48,"missing: not provided"))</f>
        <v>0</v>
      </c>
    </row>
    <row r="49" spans="1:47" x14ac:dyDescent="0.2">
      <c r="A49" s="5" t="str">
        <f ca="1">IF(B49=" "," ",HYPERLINK(CONCATENATE("#metadata!",ADDRESS(INDEX($Y$2:$Y$1001,MATCH(ROWS($W$2:W49),$W$2:$W$1001,0),0),1)),INDEX($AB$2:$AB$1001,MATCH(ROWS($W$2:W49),$W$2:$W$1001,0),0)))</f>
        <v xml:space="preserve"> </v>
      </c>
      <c r="B49" s="4" t="str">
        <f ca="1">IF(OR(INDEX($X$2:$X$1001,MATCH(ROWS($W$2:W49),$W$2:$W$1001,0),1)&gt;=100000,INDEX($AD$1005:$AU$1005,1,MATCH(COLUMNS($AD$1006:AD1006),$AD$1006:$AU$1006,0))&gt;=100000), " ",IF(INDEX($AD$2:$AU$1001,MATCH(ROWS($W$2:W49),$W$2:$W$1001,0),MATCH(COLUMNS($AD$1006:AD1006),$AD$1006:$AU$1006,0)), HYPERLINK("#",""), HYPERLINK(CONCATENATE("#metadata!", ADDRESS(INDEX($Y$2:$Y$1001,MATCH(ROWS($W$2:W49),$W$2:$W$1001,0),0), INDEX($AD$1004:$AU$1004,1,MATCH(COLUMNS($AD$1006:AD1006),$AD$1006:$AU$1006,0)))),"Fix")))</f>
        <v xml:space="preserve"> </v>
      </c>
      <c r="C49" s="4" t="str">
        <f ca="1">IF(OR(INDEX($X$2:$X$1001,MATCH(ROWS($W$2:W49),$W$2:$W$1001,0),1)&gt;=100000,INDEX($AD$1005:$AU$1005,1,MATCH(COLUMNS($AD$1006:AE1006),$AD$1006:$AU$1006,0))&gt;=100000), " ",IF(INDEX($AD$2:$AU$1001,MATCH(ROWS($W$2:W49),$W$2:$W$1001,0),MATCH(COLUMNS($AD$1006:AE1006),$AD$1006:$AU$1006,0)), HYPERLINK("#",""), HYPERLINK(CONCATENATE("#metadata!", ADDRESS(INDEX($Y$2:$Y$1001,MATCH(ROWS($W$2:W49),$W$2:$W$1001,0),0), INDEX($AD$1004:$AU$1004,1,MATCH(COLUMNS($AD$1006:AE1006),$AD$1006:$AU$1006,0)))),"Fix")))</f>
        <v xml:space="preserve"> </v>
      </c>
      <c r="D49" s="4" t="str">
        <f ca="1">IF(OR(INDEX($X$2:$X$1001,MATCH(ROWS($W$2:W49),$W$2:$W$1001,0),1)&gt;=100000,INDEX($AD$1005:$AU$1005,1,MATCH(COLUMNS($AD$1006:AF1006),$AD$1006:$AU$1006,0))&gt;=100000), " ",IF(INDEX($AD$2:$AU$1001,MATCH(ROWS($W$2:W49),$W$2:$W$1001,0),MATCH(COLUMNS($AD$1006:AF1006),$AD$1006:$AU$1006,0)), HYPERLINK("#",""), HYPERLINK(CONCATENATE("#metadata!", ADDRESS(INDEX($Y$2:$Y$1001,MATCH(ROWS($W$2:W49),$W$2:$W$1001,0),0), INDEX($AD$1004:$AU$1004,1,MATCH(COLUMNS($AD$1006:AF1006),$AD$1006:$AU$1006,0)))),"Fix")))</f>
        <v xml:space="preserve"> </v>
      </c>
      <c r="E49" s="4" t="str">
        <f ca="1">IF(OR(INDEX($X$2:$X$1001,MATCH(ROWS($W$2:W49),$W$2:$W$1001,0),1)&gt;=100000,INDEX($AD$1005:$AU$1005,1,MATCH(COLUMNS($AD$1006:AG1006),$AD$1006:$AU$1006,0))&gt;=100000), " ",IF(INDEX($AD$2:$AU$1001,MATCH(ROWS($W$2:W49),$W$2:$W$1001,0),MATCH(COLUMNS($AD$1006:AG1006),$AD$1006:$AU$1006,0)), HYPERLINK("#",""), HYPERLINK(CONCATENATE("#metadata!", ADDRESS(INDEX($Y$2:$Y$1001,MATCH(ROWS($W$2:W49),$W$2:$W$1001,0),0), INDEX($AD$1004:$AU$1004,1,MATCH(COLUMNS($AD$1006:AG1006),$AD$1006:$AU$1006,0)))),"Fix")))</f>
        <v xml:space="preserve"> </v>
      </c>
      <c r="F49" s="4" t="str">
        <f ca="1">IF(OR(INDEX($X$2:$X$1001,MATCH(ROWS($W$2:W49),$W$2:$W$1001,0),1)&gt;=100000,INDEX($AD$1005:$AU$1005,1,MATCH(COLUMNS($AD$1006:AH1006),$AD$1006:$AU$1006,0))&gt;=100000), " ",IF(INDEX($AD$2:$AU$1001,MATCH(ROWS($W$2:W49),$W$2:$W$1001,0),MATCH(COLUMNS($AD$1006:AH1006),$AD$1006:$AU$1006,0)), HYPERLINK("#",""), HYPERLINK(CONCATENATE("#metadata!", ADDRESS(INDEX($Y$2:$Y$1001,MATCH(ROWS($W$2:W49),$W$2:$W$1001,0),0), INDEX($AD$1004:$AU$1004,1,MATCH(COLUMNS($AD$1006:AH1006),$AD$1006:$AU$1006,0)))),"Fix")))</f>
        <v xml:space="preserve"> </v>
      </c>
      <c r="G49" s="4" t="str">
        <f ca="1">IF(OR(INDEX($X$2:$X$1001,MATCH(ROWS($W$2:W49),$W$2:$W$1001,0),1)&gt;=100000,INDEX($AD$1005:$AU$1005,1,MATCH(COLUMNS($AD$1006:AI1006),$AD$1006:$AU$1006,0))&gt;=100000), " ",IF(INDEX($AD$2:$AU$1001,MATCH(ROWS($W$2:W49),$W$2:$W$1001,0),MATCH(COLUMNS($AD$1006:AI1006),$AD$1006:$AU$1006,0)), HYPERLINK("#",""), HYPERLINK(CONCATENATE("#metadata!", ADDRESS(INDEX($Y$2:$Y$1001,MATCH(ROWS($W$2:W49),$W$2:$W$1001,0),0), INDEX($AD$1004:$AU$1004,1,MATCH(COLUMNS($AD$1006:AI1006),$AD$1006:$AU$1006,0)))),"Fix")))</f>
        <v xml:space="preserve"> </v>
      </c>
      <c r="H49" s="4" t="str">
        <f ca="1">IF(OR(INDEX($X$2:$X$1001,MATCH(ROWS($W$2:W49),$W$2:$W$1001,0),1)&gt;=100000,INDEX($AD$1005:$AU$1005,1,MATCH(COLUMNS($AD$1006:AJ1006),$AD$1006:$AU$1006,0))&gt;=100000), " ",IF(INDEX($AD$2:$AU$1001,MATCH(ROWS($W$2:W49),$W$2:$W$1001,0),MATCH(COLUMNS($AD$1006:AJ1006),$AD$1006:$AU$1006,0)), HYPERLINK("#",""), HYPERLINK(CONCATENATE("#metadata!", ADDRESS(INDEX($Y$2:$Y$1001,MATCH(ROWS($W$2:W49),$W$2:$W$1001,0),0), INDEX($AD$1004:$AU$1004,1,MATCH(COLUMNS($AD$1006:AJ1006),$AD$1006:$AU$1006,0)))),"Fix")))</f>
        <v xml:space="preserve"> </v>
      </c>
      <c r="I49" s="4" t="str">
        <f ca="1">IF(OR(INDEX($X$2:$X$1001,MATCH(ROWS($W$2:W49),$W$2:$W$1001,0),1)&gt;=100000,INDEX($AD$1005:$AU$1005,1,MATCH(COLUMNS($AD$1006:AK1006),$AD$1006:$AU$1006,0))&gt;=100000), " ",IF(INDEX($AD$2:$AU$1001,MATCH(ROWS($W$2:W49),$W$2:$W$1001,0),MATCH(COLUMNS($AD$1006:AK1006),$AD$1006:$AU$1006,0)), HYPERLINK("#",""), HYPERLINK(CONCATENATE("#metadata!", ADDRESS(INDEX($Y$2:$Y$1001,MATCH(ROWS($W$2:W49),$W$2:$W$1001,0),0), INDEX($AD$1004:$AU$1004,1,MATCH(COLUMNS($AD$1006:AK1006),$AD$1006:$AU$1006,0)))),"Fix")))</f>
        <v xml:space="preserve"> </v>
      </c>
      <c r="J49" s="4" t="str">
        <f ca="1">IF(OR(INDEX($X$2:$X$1001,MATCH(ROWS($W$2:W49),$W$2:$W$1001,0),1)&gt;=100000,INDEX($AD$1005:$AU$1005,1,MATCH(COLUMNS($AD$1006:AL1006),$AD$1006:$AU$1006,0))&gt;=100000), " ",IF(INDEX($AD$2:$AU$1001,MATCH(ROWS($W$2:W49),$W$2:$W$1001,0),MATCH(COLUMNS($AD$1006:AL1006),$AD$1006:$AU$1006,0)), HYPERLINK("#",""), HYPERLINK(CONCATENATE("#metadata!", ADDRESS(INDEX($Y$2:$Y$1001,MATCH(ROWS($W$2:W49),$W$2:$W$1001,0),0), INDEX($AD$1004:$AU$1004,1,MATCH(COLUMNS($AD$1006:AL1006),$AD$1006:$AU$1006,0)))),"Fix")))</f>
        <v xml:space="preserve"> </v>
      </c>
      <c r="K49" s="4" t="str">
        <f ca="1">IF(OR(INDEX($X$2:$X$1001,MATCH(ROWS($W$2:W49),$W$2:$W$1001,0),1)&gt;=100000,INDEX($AD$1005:$AU$1005,1,MATCH(COLUMNS($AD$1006:AM1006),$AD$1006:$AU$1006,0))&gt;=100000), " ",IF(INDEX($AD$2:$AU$1001,MATCH(ROWS($W$2:W49),$W$2:$W$1001,0),MATCH(COLUMNS($AD$1006:AM1006),$AD$1006:$AU$1006,0)), HYPERLINK("#",""), HYPERLINK(CONCATENATE("#metadata!", ADDRESS(INDEX($Y$2:$Y$1001,MATCH(ROWS($W$2:W49),$W$2:$W$1001,0),0), INDEX($AD$1004:$AU$1004,1,MATCH(COLUMNS($AD$1006:AM1006),$AD$1006:$AU$1006,0)))),"Fix")))</f>
        <v xml:space="preserve"> </v>
      </c>
      <c r="L49" s="4" t="str">
        <f ca="1">IF(OR(INDEX($X$2:$X$1001,MATCH(ROWS($W$2:W49),$W$2:$W$1001,0),1)&gt;=100000,INDEX($AD$1005:$AU$1005,1,MATCH(COLUMNS($AD$1006:AN1006),$AD$1006:$AU$1006,0))&gt;=100000), " ",IF(INDEX($AD$2:$AU$1001,MATCH(ROWS($W$2:W49),$W$2:$W$1001,0),MATCH(COLUMNS($AD$1006:AN1006),$AD$1006:$AU$1006,0)), HYPERLINK("#",""), HYPERLINK(CONCATENATE("#metadata!", ADDRESS(INDEX($Y$2:$Y$1001,MATCH(ROWS($W$2:W49),$W$2:$W$1001,0),0), INDEX($AD$1004:$AU$1004,1,MATCH(COLUMNS($AD$1006:AN1006),$AD$1006:$AU$1006,0)))),"Fix")))</f>
        <v xml:space="preserve"> </v>
      </c>
      <c r="M49" s="4" t="str">
        <f ca="1">IF(OR(INDEX($X$2:$X$1001,MATCH(ROWS($W$2:W49),$W$2:$W$1001,0),1)&gt;=100000,INDEX($AD$1005:$AU$1005,1,MATCH(COLUMNS($AD$1006:AO1006),$AD$1006:$AU$1006,0))&gt;=100000), " ",IF(INDEX($AD$2:$AU$1001,MATCH(ROWS($W$2:W49),$W$2:$W$1001,0),MATCH(COLUMNS($AD$1006:AO1006),$AD$1006:$AU$1006,0)), HYPERLINK("#",""), HYPERLINK(CONCATENATE("#metadata!", ADDRESS(INDEX($Y$2:$Y$1001,MATCH(ROWS($W$2:W49),$W$2:$W$1001,0),0), INDEX($AD$1004:$AU$1004,1,MATCH(COLUMNS($AD$1006:AO1006),$AD$1006:$AU$1006,0)))),"Fix")))</f>
        <v xml:space="preserve"> </v>
      </c>
      <c r="N49" s="4" t="str">
        <f ca="1">IF(OR(INDEX($X$2:$X$1001,MATCH(ROWS($W$2:W49),$W$2:$W$1001,0),1)&gt;=100000,INDEX($AD$1005:$AU$1005,1,MATCH(COLUMNS($AD$1006:AP1006),$AD$1006:$AU$1006,0))&gt;=100000), " ",IF(INDEX($AD$2:$AU$1001,MATCH(ROWS($W$2:W49),$W$2:$W$1001,0),MATCH(COLUMNS($AD$1006:AP1006),$AD$1006:$AU$1006,0)), HYPERLINK("#",""), HYPERLINK(CONCATENATE("#metadata!", ADDRESS(INDEX($Y$2:$Y$1001,MATCH(ROWS($W$2:W49),$W$2:$W$1001,0),0), INDEX($AD$1004:$AU$1004,1,MATCH(COLUMNS($AD$1006:AP1006),$AD$1006:$AU$1006,0)))),"Fix")))</f>
        <v xml:space="preserve"> </v>
      </c>
      <c r="O49" s="4" t="str">
        <f ca="1">IF(OR(INDEX($X$2:$X$1001,MATCH(ROWS($W$2:W49),$W$2:$W$1001,0),1)&gt;=100000,INDEX($AD$1005:$AU$1005,1,MATCH(COLUMNS($AD$1006:AQ1006),$AD$1006:$AU$1006,0))&gt;=100000), " ",IF(INDEX($AD$2:$AU$1001,MATCH(ROWS($W$2:W49),$W$2:$W$1001,0),MATCH(COLUMNS($AD$1006:AQ1006),$AD$1006:$AU$1006,0)), HYPERLINK("#",""), HYPERLINK(CONCATENATE("#metadata!", ADDRESS(INDEX($Y$2:$Y$1001,MATCH(ROWS($W$2:W49),$W$2:$W$1001,0),0), INDEX($AD$1004:$AU$1004,1,MATCH(COLUMNS($AD$1006:AQ1006),$AD$1006:$AU$1006,0)))),"Fix")))</f>
        <v xml:space="preserve"> </v>
      </c>
      <c r="P49" s="4" t="str">
        <f ca="1">IF(OR(INDEX($X$2:$X$1001,MATCH(ROWS($W$2:W49),$W$2:$W$1001,0),1)&gt;=100000,INDEX($AD$1005:$AU$1005,1,MATCH(COLUMNS($AD$1006:AR1006),$AD$1006:$AU$1006,0))&gt;=100000), " ",IF(INDEX($AD$2:$AU$1001,MATCH(ROWS($W$2:W49),$W$2:$W$1001,0),MATCH(COLUMNS($AD$1006:AR1006),$AD$1006:$AU$1006,0)), HYPERLINK("#",""), HYPERLINK(CONCATENATE("#metadata!", ADDRESS(INDEX($Y$2:$Y$1001,MATCH(ROWS($W$2:W49),$W$2:$W$1001,0),0), INDEX($AD$1004:$AU$1004,1,MATCH(COLUMNS($AD$1006:AR1006),$AD$1006:$AU$1006,0)))),"Fix")))</f>
        <v xml:space="preserve"> </v>
      </c>
      <c r="Q49" s="4" t="str">
        <f ca="1">IF(OR(INDEX($X$2:$X$1001,MATCH(ROWS($W$2:W49),$W$2:$W$1001,0),1)&gt;=100000,INDEX($AD$1005:$AU$1005,1,MATCH(COLUMNS($AD$1006:AS1006),$AD$1006:$AU$1006,0))&gt;=100000), " ",IF(INDEX($AD$2:$AU$1001,MATCH(ROWS($W$2:W49),$W$2:$W$1001,0),MATCH(COLUMNS($AD$1006:AS1006),$AD$1006:$AU$1006,0)), HYPERLINK("#",""), HYPERLINK(CONCATENATE("#metadata!", ADDRESS(INDEX($Y$2:$Y$1001,MATCH(ROWS($W$2:W49),$W$2:$W$1001,0),0), INDEX($AD$1004:$AU$1004,1,MATCH(COLUMNS($AD$1006:AS1006),$AD$1006:$AU$1006,0)))),"Fix")))</f>
        <v xml:space="preserve"> </v>
      </c>
      <c r="R49" s="4" t="str">
        <f ca="1">IF(OR(INDEX($X$2:$X$1001,MATCH(ROWS($W$2:W49),$W$2:$W$1001,0),1)&gt;=100000,INDEX($AD$1005:$AU$1005,1,MATCH(COLUMNS($AD$1006:AT1006),$AD$1006:$AU$1006,0))&gt;=100000), " ",IF(INDEX($AD$2:$AU$1001,MATCH(ROWS($W$2:W49),$W$2:$W$1001,0),MATCH(COLUMNS($AD$1006:AT1006),$AD$1006:$AU$1006,0)), HYPERLINK("#",""), HYPERLINK(CONCATENATE("#metadata!", ADDRESS(INDEX($Y$2:$Y$1001,MATCH(ROWS($W$2:W49),$W$2:$W$1001,0),0), INDEX($AD$1004:$AU$1004,1,MATCH(COLUMNS($AD$1006:AT1006),$AD$1006:$AU$1006,0)))),"Fix")))</f>
        <v xml:space="preserve"> </v>
      </c>
      <c r="S49" s="4" t="str">
        <f ca="1">IF(OR(INDEX($X$2:$X$1001,MATCH(ROWS($W$2:W49),$W$2:$W$1001,0),1)&gt;=100000,INDEX($AD$1005:$AU$1005,1,MATCH(COLUMNS($AD$1006:AU1006),$AD$1006:$AU$1006,0))&gt;=100000), " ",IF(INDEX($AD$2:$AU$1001,MATCH(ROWS($W$2:W49),$W$2:$W$1001,0),MATCH(COLUMNS($AD$1006:AU1006),$AD$1006:$AU$1006,0)), HYPERLINK("#",""), HYPERLINK(CONCATENATE("#metadata!", ADDRESS(INDEX($Y$2:$Y$1001,MATCH(ROWS($W$2:W49),$W$2:$W$1001,0),0), INDEX($AD$1004:$AU$1004,1,MATCH(COLUMNS($AD$1006:AU1006),$AD$1006:$AU$1006,0)))),"Fix")))</f>
        <v xml:space="preserve"> </v>
      </c>
      <c r="W49">
        <v>48</v>
      </c>
      <c r="X49">
        <v>100049</v>
      </c>
      <c r="Y49">
        <v>49</v>
      </c>
      <c r="Z49" t="b">
        <f t="shared" si="0"/>
        <v>1</v>
      </c>
      <c r="AA49" t="b">
        <f>COUNTBLANK(metadata!B49:S49)=COLUMNS(metadata!B49:S49)</f>
        <v>1</v>
      </c>
      <c r="AB49" t="str">
        <v/>
      </c>
      <c r="AD49" t="b">
        <f ca="1">AND(IF(metadata!B49="",FALSE,TRUE),COUNTIF(metadata!B:B, metadata!B49) = 1,NOT(ISERROR(SUMPRODUCT(SEARCH(MID(metadata!B49,ROW(INDIRECT("1:"&amp;LEN(metadata!B49))), 1),"0123456789abcdefghijklmnopqrstuvwxyzABCDEFGHIJKLMNOPQRSTUVWXYZ.")))))</f>
        <v>0</v>
      </c>
      <c r="AE49" t="b">
        <f>OR(AND(IF(metadata!C49="",FALSE,TRUE),OR(EXACT(metadata!C49,"not applicable"),EXACT(metadata!C49,"missing: not collected"),EXACT(metadata!C49,"missing: not provided"),EXACT(metadata!C49,"missing: restricted access"))),AND(IF(metadata!C49="",FALSE,ISNUMBER(VALUE(metadata!C49))),metadata!C49&gt;0))</f>
        <v>0</v>
      </c>
      <c r="AF49" t="b">
        <f>AND(IF(metadata!D49="",FALSE,TRUE),EXACT(metadata!D49,"missing: not provided"))</f>
        <v>0</v>
      </c>
      <c r="AG49" t="b">
        <f>AND(IF(metadata!E49="",FALSE,TRUE),EXACT(metadata!E49,"Host-associated"))</f>
        <v>0</v>
      </c>
      <c r="AH49" t="b">
        <f>AND(IF(metadata!F49="",FALSE,TRUE),OR(EXACT(metadata!F49,"Animal"),EXACT(metadata!F49,"Fungus"),EXACT(metadata!F49,"Plant")))</f>
        <v>0</v>
      </c>
      <c r="AI49" t="b">
        <f>AND(IF(metadata!G49="",FALSE,TRUE),OR(EXACT(metadata!G49,"Plant secretion"),EXACT(metadata!G49,"Plant rhizosphere"),EXACT(metadata!G49,"Plant surface"),EXACT(metadata!G49,"Plant corpus"),EXACT(metadata!G49,"Fungus surface"),EXACT(metadata!G49,"Fungus corpus"),EXACT(metadata!G49,"Animal surface"),EXACT(metadata!G49,"Animal proximal gut"),EXACT(metadata!G49,"Animal corpus"),EXACT(metadata!G49,"Animal distal gut"),EXACT(metadata!G49,"Animal secretion")))</f>
        <v>0</v>
      </c>
      <c r="AJ49" t="b">
        <f>OR(AND(IF(metadata!H49="",FALSE,TRUE),OR(EXACT(metadata!H49,"missing: not collected"),EXACT(metadata!H49,"missing: not provided"),EXACT(metadata!H49,"missing: restricted access"))),AND(IF(metadata!H49="",FALSE,TRUE),OR(EXACT(metadata!H49,"organism-associated habitat"),EXACT(metadata!H49,"plant-associated habitat"),EXACT(metadata!H49,"animal-associated habitat"),EXACT(metadata!H49,"insecta-associated habitat"),EXACT(metadata!H49,"mammalia-associated habitat"),EXACT(metadata!H49,"human-associated habitat"),EXACT(metadata!H49,"livestock-associated habitat"))))</f>
        <v>0</v>
      </c>
      <c r="AK49" t="b">
        <f>AND(IF(metadata!I49="",FALSE,TRUE),EXACT(metadata!I49,"host-associated"))</f>
        <v>0</v>
      </c>
      <c r="AL49" t="b">
        <f>OR(AND(IF(metadata!J49="",FALSE,TRUE),OR(EXACT(metadata!J49,"not applicable"),EXACT(metadata!J49,"missing: not collected"),EXACT(metadata!J49,"missing: not provided"),EXACT(metadata!J49,"missing: restricted access"))),AND(IF(metadata!J49="",FALSE,ISNUMBER(VALUE(metadata!J49))),metadata!J49&gt;0))</f>
        <v>0</v>
      </c>
      <c r="AM49" t="b">
        <f>AND(IF(metadata!K49="",FALSE,TRUE),EXACT(metadata!K49,"missing: not provided"))</f>
        <v>0</v>
      </c>
      <c r="AN49" t="b">
        <f>IF(metadata!L49="",FALSE,TRUE)</f>
        <v>0</v>
      </c>
      <c r="AO49" t="b">
        <f>IF(metadata!M49="",FALSE,TRUE)</f>
        <v>0</v>
      </c>
      <c r="AP49" t="b">
        <f>OR(AND(IF(metadata!N49="",FALSE,TRUE),OR(EXACT(metadata!N49,"not applicable"),EXACT(metadata!N49,"missing: not collected"),EXACT(metadata!N49,"missing: not provided"))),AND(IF(metadata!N49="",FALSE,IF(ISERROR(INT(metadata!N49)),FALSE,INT(metadata!N49)=metadata!N49)),metadata!N49&gt;0))</f>
        <v>0</v>
      </c>
      <c r="AQ49" t="b">
        <f>AND(IF(metadata!O49="",FALSE,TRUE),EXACT(metadata!O49,"Not applicable"))</f>
        <v>0</v>
      </c>
      <c r="AR49" t="b">
        <f>OR(AND(IF(metadata!P49="",FALSE,TRUE),OR(EXACT(metadata!P49,"not applicable"),EXACT(metadata!P49,"missing: not collected"),EXACT(metadata!P49,"missing: not provided"),EXACT(metadata!P49,"missing: restricted access"))),IF(metadata!P49="",FALSE,IF(ISERROR(INT(metadata!P49)),FALSE,INT(metadata!P49)=metadata!P49)))</f>
        <v>0</v>
      </c>
      <c r="AS49" t="b">
        <f>AND(IF(metadata!Q49="",FALSE,TRUE),EXACT(metadata!Q49,"Not applicable"))</f>
        <v>0</v>
      </c>
      <c r="AT49" t="b">
        <f>OR(AND(IF(metadata!R49="",FALSE,TRUE),OR(EXACT(metadata!R49,"not applicable"),EXACT(metadata!R49,"missing: not collected"),EXACT(metadata!R49,"missing: not provided"),EXACT(metadata!R49,"missing: restricted access"))),AND(IF(metadata!R49="",FALSE,ISNUMBER(VALUE(metadata!R49))),metadata!R49&gt;0))</f>
        <v>0</v>
      </c>
      <c r="AU49" t="b">
        <f>AND(IF(metadata!S49="",FALSE,TRUE),EXACT(metadata!S49,"missing: not provided"))</f>
        <v>0</v>
      </c>
    </row>
    <row r="50" spans="1:47" x14ac:dyDescent="0.2">
      <c r="A50" s="5" t="str">
        <f ca="1">IF(B50=" "," ",HYPERLINK(CONCATENATE("#metadata!",ADDRESS(INDEX($Y$2:$Y$1001,MATCH(ROWS($W$2:W50),$W$2:$W$1001,0),0),1)),INDEX($AB$2:$AB$1001,MATCH(ROWS($W$2:W50),$W$2:$W$1001,0),0)))</f>
        <v xml:space="preserve"> </v>
      </c>
      <c r="B50" s="4" t="str">
        <f ca="1">IF(OR(INDEX($X$2:$X$1001,MATCH(ROWS($W$2:W50),$W$2:$W$1001,0),1)&gt;=100000,INDEX($AD$1005:$AU$1005,1,MATCH(COLUMNS($AD$1006:AD1006),$AD$1006:$AU$1006,0))&gt;=100000), " ",IF(INDEX($AD$2:$AU$1001,MATCH(ROWS($W$2:W50),$W$2:$W$1001,0),MATCH(COLUMNS($AD$1006:AD1006),$AD$1006:$AU$1006,0)), HYPERLINK("#",""), HYPERLINK(CONCATENATE("#metadata!", ADDRESS(INDEX($Y$2:$Y$1001,MATCH(ROWS($W$2:W50),$W$2:$W$1001,0),0), INDEX($AD$1004:$AU$1004,1,MATCH(COLUMNS($AD$1006:AD1006),$AD$1006:$AU$1006,0)))),"Fix")))</f>
        <v xml:space="preserve"> </v>
      </c>
      <c r="C50" s="4" t="str">
        <f ca="1">IF(OR(INDEX($X$2:$X$1001,MATCH(ROWS($W$2:W50),$W$2:$W$1001,0),1)&gt;=100000,INDEX($AD$1005:$AU$1005,1,MATCH(COLUMNS($AD$1006:AE1006),$AD$1006:$AU$1006,0))&gt;=100000), " ",IF(INDEX($AD$2:$AU$1001,MATCH(ROWS($W$2:W50),$W$2:$W$1001,0),MATCH(COLUMNS($AD$1006:AE1006),$AD$1006:$AU$1006,0)), HYPERLINK("#",""), HYPERLINK(CONCATENATE("#metadata!", ADDRESS(INDEX($Y$2:$Y$1001,MATCH(ROWS($W$2:W50),$W$2:$W$1001,0),0), INDEX($AD$1004:$AU$1004,1,MATCH(COLUMNS($AD$1006:AE1006),$AD$1006:$AU$1006,0)))),"Fix")))</f>
        <v xml:space="preserve"> </v>
      </c>
      <c r="D50" s="4" t="str">
        <f ca="1">IF(OR(INDEX($X$2:$X$1001,MATCH(ROWS($W$2:W50),$W$2:$W$1001,0),1)&gt;=100000,INDEX($AD$1005:$AU$1005,1,MATCH(COLUMNS($AD$1006:AF1006),$AD$1006:$AU$1006,0))&gt;=100000), " ",IF(INDEX($AD$2:$AU$1001,MATCH(ROWS($W$2:W50),$W$2:$W$1001,0),MATCH(COLUMNS($AD$1006:AF1006),$AD$1006:$AU$1006,0)), HYPERLINK("#",""), HYPERLINK(CONCATENATE("#metadata!", ADDRESS(INDEX($Y$2:$Y$1001,MATCH(ROWS($W$2:W50),$W$2:$W$1001,0),0), INDEX($AD$1004:$AU$1004,1,MATCH(COLUMNS($AD$1006:AF1006),$AD$1006:$AU$1006,0)))),"Fix")))</f>
        <v xml:space="preserve"> </v>
      </c>
      <c r="E50" s="4" t="str">
        <f ca="1">IF(OR(INDEX($X$2:$X$1001,MATCH(ROWS($W$2:W50),$W$2:$W$1001,0),1)&gt;=100000,INDEX($AD$1005:$AU$1005,1,MATCH(COLUMNS($AD$1006:AG1006),$AD$1006:$AU$1006,0))&gt;=100000), " ",IF(INDEX($AD$2:$AU$1001,MATCH(ROWS($W$2:W50),$W$2:$W$1001,0),MATCH(COLUMNS($AD$1006:AG1006),$AD$1006:$AU$1006,0)), HYPERLINK("#",""), HYPERLINK(CONCATENATE("#metadata!", ADDRESS(INDEX($Y$2:$Y$1001,MATCH(ROWS($W$2:W50),$W$2:$W$1001,0),0), INDEX($AD$1004:$AU$1004,1,MATCH(COLUMNS($AD$1006:AG1006),$AD$1006:$AU$1006,0)))),"Fix")))</f>
        <v xml:space="preserve"> </v>
      </c>
      <c r="F50" s="4" t="str">
        <f ca="1">IF(OR(INDEX($X$2:$X$1001,MATCH(ROWS($W$2:W50),$W$2:$W$1001,0),1)&gt;=100000,INDEX($AD$1005:$AU$1005,1,MATCH(COLUMNS($AD$1006:AH1006),$AD$1006:$AU$1006,0))&gt;=100000), " ",IF(INDEX($AD$2:$AU$1001,MATCH(ROWS($W$2:W50),$W$2:$W$1001,0),MATCH(COLUMNS($AD$1006:AH1006),$AD$1006:$AU$1006,0)), HYPERLINK("#",""), HYPERLINK(CONCATENATE("#metadata!", ADDRESS(INDEX($Y$2:$Y$1001,MATCH(ROWS($W$2:W50),$W$2:$W$1001,0),0), INDEX($AD$1004:$AU$1004,1,MATCH(COLUMNS($AD$1006:AH1006),$AD$1006:$AU$1006,0)))),"Fix")))</f>
        <v xml:space="preserve"> </v>
      </c>
      <c r="G50" s="4" t="str">
        <f ca="1">IF(OR(INDEX($X$2:$X$1001,MATCH(ROWS($W$2:W50),$W$2:$W$1001,0),1)&gt;=100000,INDEX($AD$1005:$AU$1005,1,MATCH(COLUMNS($AD$1006:AI1006),$AD$1006:$AU$1006,0))&gt;=100000), " ",IF(INDEX($AD$2:$AU$1001,MATCH(ROWS($W$2:W50),$W$2:$W$1001,0),MATCH(COLUMNS($AD$1006:AI1006),$AD$1006:$AU$1006,0)), HYPERLINK("#",""), HYPERLINK(CONCATENATE("#metadata!", ADDRESS(INDEX($Y$2:$Y$1001,MATCH(ROWS($W$2:W50),$W$2:$W$1001,0),0), INDEX($AD$1004:$AU$1004,1,MATCH(COLUMNS($AD$1006:AI1006),$AD$1006:$AU$1006,0)))),"Fix")))</f>
        <v xml:space="preserve"> </v>
      </c>
      <c r="H50" s="4" t="str">
        <f ca="1">IF(OR(INDEX($X$2:$X$1001,MATCH(ROWS($W$2:W50),$W$2:$W$1001,0),1)&gt;=100000,INDEX($AD$1005:$AU$1005,1,MATCH(COLUMNS($AD$1006:AJ1006),$AD$1006:$AU$1006,0))&gt;=100000), " ",IF(INDEX($AD$2:$AU$1001,MATCH(ROWS($W$2:W50),$W$2:$W$1001,0),MATCH(COLUMNS($AD$1006:AJ1006),$AD$1006:$AU$1006,0)), HYPERLINK("#",""), HYPERLINK(CONCATENATE("#metadata!", ADDRESS(INDEX($Y$2:$Y$1001,MATCH(ROWS($W$2:W50),$W$2:$W$1001,0),0), INDEX($AD$1004:$AU$1004,1,MATCH(COLUMNS($AD$1006:AJ1006),$AD$1006:$AU$1006,0)))),"Fix")))</f>
        <v xml:space="preserve"> </v>
      </c>
      <c r="I50" s="4" t="str">
        <f ca="1">IF(OR(INDEX($X$2:$X$1001,MATCH(ROWS($W$2:W50),$W$2:$W$1001,0),1)&gt;=100000,INDEX($AD$1005:$AU$1005,1,MATCH(COLUMNS($AD$1006:AK1006),$AD$1006:$AU$1006,0))&gt;=100000), " ",IF(INDEX($AD$2:$AU$1001,MATCH(ROWS($W$2:W50),$W$2:$W$1001,0),MATCH(COLUMNS($AD$1006:AK1006),$AD$1006:$AU$1006,0)), HYPERLINK("#",""), HYPERLINK(CONCATENATE("#metadata!", ADDRESS(INDEX($Y$2:$Y$1001,MATCH(ROWS($W$2:W50),$W$2:$W$1001,0),0), INDEX($AD$1004:$AU$1004,1,MATCH(COLUMNS($AD$1006:AK1006),$AD$1006:$AU$1006,0)))),"Fix")))</f>
        <v xml:space="preserve"> </v>
      </c>
      <c r="J50" s="4" t="str">
        <f ca="1">IF(OR(INDEX($X$2:$X$1001,MATCH(ROWS($W$2:W50),$W$2:$W$1001,0),1)&gt;=100000,INDEX($AD$1005:$AU$1005,1,MATCH(COLUMNS($AD$1006:AL1006),$AD$1006:$AU$1006,0))&gt;=100000), " ",IF(INDEX($AD$2:$AU$1001,MATCH(ROWS($W$2:W50),$W$2:$W$1001,0),MATCH(COLUMNS($AD$1006:AL1006),$AD$1006:$AU$1006,0)), HYPERLINK("#",""), HYPERLINK(CONCATENATE("#metadata!", ADDRESS(INDEX($Y$2:$Y$1001,MATCH(ROWS($W$2:W50),$W$2:$W$1001,0),0), INDEX($AD$1004:$AU$1004,1,MATCH(COLUMNS($AD$1006:AL1006),$AD$1006:$AU$1006,0)))),"Fix")))</f>
        <v xml:space="preserve"> </v>
      </c>
      <c r="K50" s="4" t="str">
        <f ca="1">IF(OR(INDEX($X$2:$X$1001,MATCH(ROWS($W$2:W50),$W$2:$W$1001,0),1)&gt;=100000,INDEX($AD$1005:$AU$1005,1,MATCH(COLUMNS($AD$1006:AM1006),$AD$1006:$AU$1006,0))&gt;=100000), " ",IF(INDEX($AD$2:$AU$1001,MATCH(ROWS($W$2:W50),$W$2:$W$1001,0),MATCH(COLUMNS($AD$1006:AM1006),$AD$1006:$AU$1006,0)), HYPERLINK("#",""), HYPERLINK(CONCATENATE("#metadata!", ADDRESS(INDEX($Y$2:$Y$1001,MATCH(ROWS($W$2:W50),$W$2:$W$1001,0),0), INDEX($AD$1004:$AU$1004,1,MATCH(COLUMNS($AD$1006:AM1006),$AD$1006:$AU$1006,0)))),"Fix")))</f>
        <v xml:space="preserve"> </v>
      </c>
      <c r="L50" s="4" t="str">
        <f ca="1">IF(OR(INDEX($X$2:$X$1001,MATCH(ROWS($W$2:W50),$W$2:$W$1001,0),1)&gt;=100000,INDEX($AD$1005:$AU$1005,1,MATCH(COLUMNS($AD$1006:AN1006),$AD$1006:$AU$1006,0))&gt;=100000), " ",IF(INDEX($AD$2:$AU$1001,MATCH(ROWS($W$2:W50),$W$2:$W$1001,0),MATCH(COLUMNS($AD$1006:AN1006),$AD$1006:$AU$1006,0)), HYPERLINK("#",""), HYPERLINK(CONCATENATE("#metadata!", ADDRESS(INDEX($Y$2:$Y$1001,MATCH(ROWS($W$2:W50),$W$2:$W$1001,0),0), INDEX($AD$1004:$AU$1004,1,MATCH(COLUMNS($AD$1006:AN1006),$AD$1006:$AU$1006,0)))),"Fix")))</f>
        <v xml:space="preserve"> </v>
      </c>
      <c r="M50" s="4" t="str">
        <f ca="1">IF(OR(INDEX($X$2:$X$1001,MATCH(ROWS($W$2:W50),$W$2:$W$1001,0),1)&gt;=100000,INDEX($AD$1005:$AU$1005,1,MATCH(COLUMNS($AD$1006:AO1006),$AD$1006:$AU$1006,0))&gt;=100000), " ",IF(INDEX($AD$2:$AU$1001,MATCH(ROWS($W$2:W50),$W$2:$W$1001,0),MATCH(COLUMNS($AD$1006:AO1006),$AD$1006:$AU$1006,0)), HYPERLINK("#",""), HYPERLINK(CONCATENATE("#metadata!", ADDRESS(INDEX($Y$2:$Y$1001,MATCH(ROWS($W$2:W50),$W$2:$W$1001,0),0), INDEX($AD$1004:$AU$1004,1,MATCH(COLUMNS($AD$1006:AO1006),$AD$1006:$AU$1006,0)))),"Fix")))</f>
        <v xml:space="preserve"> </v>
      </c>
      <c r="N50" s="4" t="str">
        <f ca="1">IF(OR(INDEX($X$2:$X$1001,MATCH(ROWS($W$2:W50),$W$2:$W$1001,0),1)&gt;=100000,INDEX($AD$1005:$AU$1005,1,MATCH(COLUMNS($AD$1006:AP1006),$AD$1006:$AU$1006,0))&gt;=100000), " ",IF(INDEX($AD$2:$AU$1001,MATCH(ROWS($W$2:W50),$W$2:$W$1001,0),MATCH(COLUMNS($AD$1006:AP1006),$AD$1006:$AU$1006,0)), HYPERLINK("#",""), HYPERLINK(CONCATENATE("#metadata!", ADDRESS(INDEX($Y$2:$Y$1001,MATCH(ROWS($W$2:W50),$W$2:$W$1001,0),0), INDEX($AD$1004:$AU$1004,1,MATCH(COLUMNS($AD$1006:AP1006),$AD$1006:$AU$1006,0)))),"Fix")))</f>
        <v xml:space="preserve"> </v>
      </c>
      <c r="O50" s="4" t="str">
        <f ca="1">IF(OR(INDEX($X$2:$X$1001,MATCH(ROWS($W$2:W50),$W$2:$W$1001,0),1)&gt;=100000,INDEX($AD$1005:$AU$1005,1,MATCH(COLUMNS($AD$1006:AQ1006),$AD$1006:$AU$1006,0))&gt;=100000), " ",IF(INDEX($AD$2:$AU$1001,MATCH(ROWS($W$2:W50),$W$2:$W$1001,0),MATCH(COLUMNS($AD$1006:AQ1006),$AD$1006:$AU$1006,0)), HYPERLINK("#",""), HYPERLINK(CONCATENATE("#metadata!", ADDRESS(INDEX($Y$2:$Y$1001,MATCH(ROWS($W$2:W50),$W$2:$W$1001,0),0), INDEX($AD$1004:$AU$1004,1,MATCH(COLUMNS($AD$1006:AQ1006),$AD$1006:$AU$1006,0)))),"Fix")))</f>
        <v xml:space="preserve"> </v>
      </c>
      <c r="P50" s="4" t="str">
        <f ca="1">IF(OR(INDEX($X$2:$X$1001,MATCH(ROWS($W$2:W50),$W$2:$W$1001,0),1)&gt;=100000,INDEX($AD$1005:$AU$1005,1,MATCH(COLUMNS($AD$1006:AR1006),$AD$1006:$AU$1006,0))&gt;=100000), " ",IF(INDEX($AD$2:$AU$1001,MATCH(ROWS($W$2:W50),$W$2:$W$1001,0),MATCH(COLUMNS($AD$1006:AR1006),$AD$1006:$AU$1006,0)), HYPERLINK("#",""), HYPERLINK(CONCATENATE("#metadata!", ADDRESS(INDEX($Y$2:$Y$1001,MATCH(ROWS($W$2:W50),$W$2:$W$1001,0),0), INDEX($AD$1004:$AU$1004,1,MATCH(COLUMNS($AD$1006:AR1006),$AD$1006:$AU$1006,0)))),"Fix")))</f>
        <v xml:space="preserve"> </v>
      </c>
      <c r="Q50" s="4" t="str">
        <f ca="1">IF(OR(INDEX($X$2:$X$1001,MATCH(ROWS($W$2:W50),$W$2:$W$1001,0),1)&gt;=100000,INDEX($AD$1005:$AU$1005,1,MATCH(COLUMNS($AD$1006:AS1006),$AD$1006:$AU$1006,0))&gt;=100000), " ",IF(INDEX($AD$2:$AU$1001,MATCH(ROWS($W$2:W50),$W$2:$W$1001,0),MATCH(COLUMNS($AD$1006:AS1006),$AD$1006:$AU$1006,0)), HYPERLINK("#",""), HYPERLINK(CONCATENATE("#metadata!", ADDRESS(INDEX($Y$2:$Y$1001,MATCH(ROWS($W$2:W50),$W$2:$W$1001,0),0), INDEX($AD$1004:$AU$1004,1,MATCH(COLUMNS($AD$1006:AS1006),$AD$1006:$AU$1006,0)))),"Fix")))</f>
        <v xml:space="preserve"> </v>
      </c>
      <c r="R50" s="4" t="str">
        <f ca="1">IF(OR(INDEX($X$2:$X$1001,MATCH(ROWS($W$2:W50),$W$2:$W$1001,0),1)&gt;=100000,INDEX($AD$1005:$AU$1005,1,MATCH(COLUMNS($AD$1006:AT1006),$AD$1006:$AU$1006,0))&gt;=100000), " ",IF(INDEX($AD$2:$AU$1001,MATCH(ROWS($W$2:W50),$W$2:$W$1001,0),MATCH(COLUMNS($AD$1006:AT1006),$AD$1006:$AU$1006,0)), HYPERLINK("#",""), HYPERLINK(CONCATENATE("#metadata!", ADDRESS(INDEX($Y$2:$Y$1001,MATCH(ROWS($W$2:W50),$W$2:$W$1001,0),0), INDEX($AD$1004:$AU$1004,1,MATCH(COLUMNS($AD$1006:AT1006),$AD$1006:$AU$1006,0)))),"Fix")))</f>
        <v xml:space="preserve"> </v>
      </c>
      <c r="S50" s="4" t="str">
        <f ca="1">IF(OR(INDEX($X$2:$X$1001,MATCH(ROWS($W$2:W50),$W$2:$W$1001,0),1)&gt;=100000,INDEX($AD$1005:$AU$1005,1,MATCH(COLUMNS($AD$1006:AU1006),$AD$1006:$AU$1006,0))&gt;=100000), " ",IF(INDEX($AD$2:$AU$1001,MATCH(ROWS($W$2:W50),$W$2:$W$1001,0),MATCH(COLUMNS($AD$1006:AU1006),$AD$1006:$AU$1006,0)), HYPERLINK("#",""), HYPERLINK(CONCATENATE("#metadata!", ADDRESS(INDEX($Y$2:$Y$1001,MATCH(ROWS($W$2:W50),$W$2:$W$1001,0),0), INDEX($AD$1004:$AU$1004,1,MATCH(COLUMNS($AD$1006:AU1006),$AD$1006:$AU$1006,0)))),"Fix")))</f>
        <v xml:space="preserve"> </v>
      </c>
      <c r="W50">
        <v>49</v>
      </c>
      <c r="X50">
        <v>100050</v>
      </c>
      <c r="Y50">
        <v>50</v>
      </c>
      <c r="Z50" t="b">
        <f t="shared" si="0"/>
        <v>1</v>
      </c>
      <c r="AA50" t="b">
        <f>COUNTBLANK(metadata!B50:S50)=COLUMNS(metadata!B50:S50)</f>
        <v>1</v>
      </c>
      <c r="AB50" t="str">
        <v/>
      </c>
      <c r="AD50" t="b">
        <f ca="1">AND(IF(metadata!B50="",FALSE,TRUE),COUNTIF(metadata!B:B, metadata!B50) = 1,NOT(ISERROR(SUMPRODUCT(SEARCH(MID(metadata!B50,ROW(INDIRECT("1:"&amp;LEN(metadata!B50))), 1),"0123456789abcdefghijklmnopqrstuvwxyzABCDEFGHIJKLMNOPQRSTUVWXYZ.")))))</f>
        <v>0</v>
      </c>
      <c r="AE50" t="b">
        <f>OR(AND(IF(metadata!C50="",FALSE,TRUE),OR(EXACT(metadata!C50,"not applicable"),EXACT(metadata!C50,"missing: not collected"),EXACT(metadata!C50,"missing: not provided"),EXACT(metadata!C50,"missing: restricted access"))),AND(IF(metadata!C50="",FALSE,ISNUMBER(VALUE(metadata!C50))),metadata!C50&gt;0))</f>
        <v>0</v>
      </c>
      <c r="AF50" t="b">
        <f>AND(IF(metadata!D50="",FALSE,TRUE),EXACT(metadata!D50,"missing: not provided"))</f>
        <v>0</v>
      </c>
      <c r="AG50" t="b">
        <f>AND(IF(metadata!E50="",FALSE,TRUE),EXACT(metadata!E50,"Host-associated"))</f>
        <v>0</v>
      </c>
      <c r="AH50" t="b">
        <f>AND(IF(metadata!F50="",FALSE,TRUE),OR(EXACT(metadata!F50,"Animal"),EXACT(metadata!F50,"Fungus"),EXACT(metadata!F50,"Plant")))</f>
        <v>0</v>
      </c>
      <c r="AI50" t="b">
        <f>AND(IF(metadata!G50="",FALSE,TRUE),OR(EXACT(metadata!G50,"Plant secretion"),EXACT(metadata!G50,"Plant rhizosphere"),EXACT(metadata!G50,"Plant surface"),EXACT(metadata!G50,"Plant corpus"),EXACT(metadata!G50,"Fungus surface"),EXACT(metadata!G50,"Fungus corpus"),EXACT(metadata!G50,"Animal surface"),EXACT(metadata!G50,"Animal proximal gut"),EXACT(metadata!G50,"Animal corpus"),EXACT(metadata!G50,"Animal distal gut"),EXACT(metadata!G50,"Animal secretion")))</f>
        <v>0</v>
      </c>
      <c r="AJ50" t="b">
        <f>OR(AND(IF(metadata!H50="",FALSE,TRUE),OR(EXACT(metadata!H50,"missing: not collected"),EXACT(metadata!H50,"missing: not provided"),EXACT(metadata!H50,"missing: restricted access"))),AND(IF(metadata!H50="",FALSE,TRUE),OR(EXACT(metadata!H50,"organism-associated habitat"),EXACT(metadata!H50,"plant-associated habitat"),EXACT(metadata!H50,"animal-associated habitat"),EXACT(metadata!H50,"insecta-associated habitat"),EXACT(metadata!H50,"mammalia-associated habitat"),EXACT(metadata!H50,"human-associated habitat"),EXACT(metadata!H50,"livestock-associated habitat"))))</f>
        <v>0</v>
      </c>
      <c r="AK50" t="b">
        <f>AND(IF(metadata!I50="",FALSE,TRUE),EXACT(metadata!I50,"host-associated"))</f>
        <v>0</v>
      </c>
      <c r="AL50" t="b">
        <f>OR(AND(IF(metadata!J50="",FALSE,TRUE),OR(EXACT(metadata!J50,"not applicable"),EXACT(metadata!J50,"missing: not collected"),EXACT(metadata!J50,"missing: not provided"),EXACT(metadata!J50,"missing: restricted access"))),AND(IF(metadata!J50="",FALSE,ISNUMBER(VALUE(metadata!J50))),metadata!J50&gt;0))</f>
        <v>0</v>
      </c>
      <c r="AM50" t="b">
        <f>AND(IF(metadata!K50="",FALSE,TRUE),EXACT(metadata!K50,"missing: not provided"))</f>
        <v>0</v>
      </c>
      <c r="AN50" t="b">
        <f>IF(metadata!L50="",FALSE,TRUE)</f>
        <v>0</v>
      </c>
      <c r="AO50" t="b">
        <f>IF(metadata!M50="",FALSE,TRUE)</f>
        <v>0</v>
      </c>
      <c r="AP50" t="b">
        <f>OR(AND(IF(metadata!N50="",FALSE,TRUE),OR(EXACT(metadata!N50,"not applicable"),EXACT(metadata!N50,"missing: not collected"),EXACT(metadata!N50,"missing: not provided"))),AND(IF(metadata!N50="",FALSE,IF(ISERROR(INT(metadata!N50)),FALSE,INT(metadata!N50)=metadata!N50)),metadata!N50&gt;0))</f>
        <v>0</v>
      </c>
      <c r="AQ50" t="b">
        <f>AND(IF(metadata!O50="",FALSE,TRUE),EXACT(metadata!O50,"Not applicable"))</f>
        <v>0</v>
      </c>
      <c r="AR50" t="b">
        <f>OR(AND(IF(metadata!P50="",FALSE,TRUE),OR(EXACT(metadata!P50,"not applicable"),EXACT(metadata!P50,"missing: not collected"),EXACT(metadata!P50,"missing: not provided"),EXACT(metadata!P50,"missing: restricted access"))),IF(metadata!P50="",FALSE,IF(ISERROR(INT(metadata!P50)),FALSE,INT(metadata!P50)=metadata!P50)))</f>
        <v>0</v>
      </c>
      <c r="AS50" t="b">
        <f>AND(IF(metadata!Q50="",FALSE,TRUE),EXACT(metadata!Q50,"Not applicable"))</f>
        <v>0</v>
      </c>
      <c r="AT50" t="b">
        <f>OR(AND(IF(metadata!R50="",FALSE,TRUE),OR(EXACT(metadata!R50,"not applicable"),EXACT(metadata!R50,"missing: not collected"),EXACT(metadata!R50,"missing: not provided"),EXACT(metadata!R50,"missing: restricted access"))),AND(IF(metadata!R50="",FALSE,ISNUMBER(VALUE(metadata!R50))),metadata!R50&gt;0))</f>
        <v>0</v>
      </c>
      <c r="AU50" t="b">
        <f>AND(IF(metadata!S50="",FALSE,TRUE),EXACT(metadata!S50,"missing: not provided"))</f>
        <v>0</v>
      </c>
    </row>
    <row r="51" spans="1:47" x14ac:dyDescent="0.2">
      <c r="A51" s="5" t="str">
        <f ca="1">IF(B51=" "," ",HYPERLINK(CONCATENATE("#metadata!",ADDRESS(INDEX($Y$2:$Y$1001,MATCH(ROWS($W$2:W51),$W$2:$W$1001,0),0),1)),INDEX($AB$2:$AB$1001,MATCH(ROWS($W$2:W51),$W$2:$W$1001,0),0)))</f>
        <v xml:space="preserve"> </v>
      </c>
      <c r="B51" s="4" t="str">
        <f ca="1">IF(OR(INDEX($X$2:$X$1001,MATCH(ROWS($W$2:W51),$W$2:$W$1001,0),1)&gt;=100000,INDEX($AD$1005:$AU$1005,1,MATCH(COLUMNS($AD$1006:AD1006),$AD$1006:$AU$1006,0))&gt;=100000), " ",IF(INDEX($AD$2:$AU$1001,MATCH(ROWS($W$2:W51),$W$2:$W$1001,0),MATCH(COLUMNS($AD$1006:AD1006),$AD$1006:$AU$1006,0)), HYPERLINK("#",""), HYPERLINK(CONCATENATE("#metadata!", ADDRESS(INDEX($Y$2:$Y$1001,MATCH(ROWS($W$2:W51),$W$2:$W$1001,0),0), INDEX($AD$1004:$AU$1004,1,MATCH(COLUMNS($AD$1006:AD1006),$AD$1006:$AU$1006,0)))),"Fix")))</f>
        <v xml:space="preserve"> </v>
      </c>
      <c r="C51" s="4" t="str">
        <f ca="1">IF(OR(INDEX($X$2:$X$1001,MATCH(ROWS($W$2:W51),$W$2:$W$1001,0),1)&gt;=100000,INDEX($AD$1005:$AU$1005,1,MATCH(COLUMNS($AD$1006:AE1006),$AD$1006:$AU$1006,0))&gt;=100000), " ",IF(INDEX($AD$2:$AU$1001,MATCH(ROWS($W$2:W51),$W$2:$W$1001,0),MATCH(COLUMNS($AD$1006:AE1006),$AD$1006:$AU$1006,0)), HYPERLINK("#",""), HYPERLINK(CONCATENATE("#metadata!", ADDRESS(INDEX($Y$2:$Y$1001,MATCH(ROWS($W$2:W51),$W$2:$W$1001,0),0), INDEX($AD$1004:$AU$1004,1,MATCH(COLUMNS($AD$1006:AE1006),$AD$1006:$AU$1006,0)))),"Fix")))</f>
        <v xml:space="preserve"> </v>
      </c>
      <c r="D51" s="4" t="str">
        <f ca="1">IF(OR(INDEX($X$2:$X$1001,MATCH(ROWS($W$2:W51),$W$2:$W$1001,0),1)&gt;=100000,INDEX($AD$1005:$AU$1005,1,MATCH(COLUMNS($AD$1006:AF1006),$AD$1006:$AU$1006,0))&gt;=100000), " ",IF(INDEX($AD$2:$AU$1001,MATCH(ROWS($W$2:W51),$W$2:$W$1001,0),MATCH(COLUMNS($AD$1006:AF1006),$AD$1006:$AU$1006,0)), HYPERLINK("#",""), HYPERLINK(CONCATENATE("#metadata!", ADDRESS(INDEX($Y$2:$Y$1001,MATCH(ROWS($W$2:W51),$W$2:$W$1001,0),0), INDEX($AD$1004:$AU$1004,1,MATCH(COLUMNS($AD$1006:AF1006),$AD$1006:$AU$1006,0)))),"Fix")))</f>
        <v xml:space="preserve"> </v>
      </c>
      <c r="E51" s="4" t="str">
        <f ca="1">IF(OR(INDEX($X$2:$X$1001,MATCH(ROWS($W$2:W51),$W$2:$W$1001,0),1)&gt;=100000,INDEX($AD$1005:$AU$1005,1,MATCH(COLUMNS($AD$1006:AG1006),$AD$1006:$AU$1006,0))&gt;=100000), " ",IF(INDEX($AD$2:$AU$1001,MATCH(ROWS($W$2:W51),$W$2:$W$1001,0),MATCH(COLUMNS($AD$1006:AG1006),$AD$1006:$AU$1006,0)), HYPERLINK("#",""), HYPERLINK(CONCATENATE("#metadata!", ADDRESS(INDEX($Y$2:$Y$1001,MATCH(ROWS($W$2:W51),$W$2:$W$1001,0),0), INDEX($AD$1004:$AU$1004,1,MATCH(COLUMNS($AD$1006:AG1006),$AD$1006:$AU$1006,0)))),"Fix")))</f>
        <v xml:space="preserve"> </v>
      </c>
      <c r="F51" s="4" t="str">
        <f ca="1">IF(OR(INDEX($X$2:$X$1001,MATCH(ROWS($W$2:W51),$W$2:$W$1001,0),1)&gt;=100000,INDEX($AD$1005:$AU$1005,1,MATCH(COLUMNS($AD$1006:AH1006),$AD$1006:$AU$1006,0))&gt;=100000), " ",IF(INDEX($AD$2:$AU$1001,MATCH(ROWS($W$2:W51),$W$2:$W$1001,0),MATCH(COLUMNS($AD$1006:AH1006),$AD$1006:$AU$1006,0)), HYPERLINK("#",""), HYPERLINK(CONCATENATE("#metadata!", ADDRESS(INDEX($Y$2:$Y$1001,MATCH(ROWS($W$2:W51),$W$2:$W$1001,0),0), INDEX($AD$1004:$AU$1004,1,MATCH(COLUMNS($AD$1006:AH1006),$AD$1006:$AU$1006,0)))),"Fix")))</f>
        <v xml:space="preserve"> </v>
      </c>
      <c r="G51" s="4" t="str">
        <f ca="1">IF(OR(INDEX($X$2:$X$1001,MATCH(ROWS($W$2:W51),$W$2:$W$1001,0),1)&gt;=100000,INDEX($AD$1005:$AU$1005,1,MATCH(COLUMNS($AD$1006:AI1006),$AD$1006:$AU$1006,0))&gt;=100000), " ",IF(INDEX($AD$2:$AU$1001,MATCH(ROWS($W$2:W51),$W$2:$W$1001,0),MATCH(COLUMNS($AD$1006:AI1006),$AD$1006:$AU$1006,0)), HYPERLINK("#",""), HYPERLINK(CONCATENATE("#metadata!", ADDRESS(INDEX($Y$2:$Y$1001,MATCH(ROWS($W$2:W51),$W$2:$W$1001,0),0), INDEX($AD$1004:$AU$1004,1,MATCH(COLUMNS($AD$1006:AI1006),$AD$1006:$AU$1006,0)))),"Fix")))</f>
        <v xml:space="preserve"> </v>
      </c>
      <c r="H51" s="4" t="str">
        <f ca="1">IF(OR(INDEX($X$2:$X$1001,MATCH(ROWS($W$2:W51),$W$2:$W$1001,0),1)&gt;=100000,INDEX($AD$1005:$AU$1005,1,MATCH(COLUMNS($AD$1006:AJ1006),$AD$1006:$AU$1006,0))&gt;=100000), " ",IF(INDEX($AD$2:$AU$1001,MATCH(ROWS($W$2:W51),$W$2:$W$1001,0),MATCH(COLUMNS($AD$1006:AJ1006),$AD$1006:$AU$1006,0)), HYPERLINK("#",""), HYPERLINK(CONCATENATE("#metadata!", ADDRESS(INDEX($Y$2:$Y$1001,MATCH(ROWS($W$2:W51),$W$2:$W$1001,0),0), INDEX($AD$1004:$AU$1004,1,MATCH(COLUMNS($AD$1006:AJ1006),$AD$1006:$AU$1006,0)))),"Fix")))</f>
        <v xml:space="preserve"> </v>
      </c>
      <c r="I51" s="4" t="str">
        <f ca="1">IF(OR(INDEX($X$2:$X$1001,MATCH(ROWS($W$2:W51),$W$2:$W$1001,0),1)&gt;=100000,INDEX($AD$1005:$AU$1005,1,MATCH(COLUMNS($AD$1006:AK1006),$AD$1006:$AU$1006,0))&gt;=100000), " ",IF(INDEX($AD$2:$AU$1001,MATCH(ROWS($W$2:W51),$W$2:$W$1001,0),MATCH(COLUMNS($AD$1006:AK1006),$AD$1006:$AU$1006,0)), HYPERLINK("#",""), HYPERLINK(CONCATENATE("#metadata!", ADDRESS(INDEX($Y$2:$Y$1001,MATCH(ROWS($W$2:W51),$W$2:$W$1001,0),0), INDEX($AD$1004:$AU$1004,1,MATCH(COLUMNS($AD$1006:AK1006),$AD$1006:$AU$1006,0)))),"Fix")))</f>
        <v xml:space="preserve"> </v>
      </c>
      <c r="J51" s="4" t="str">
        <f ca="1">IF(OR(INDEX($X$2:$X$1001,MATCH(ROWS($W$2:W51),$W$2:$W$1001,0),1)&gt;=100000,INDEX($AD$1005:$AU$1005,1,MATCH(COLUMNS($AD$1006:AL1006),$AD$1006:$AU$1006,0))&gt;=100000), " ",IF(INDEX($AD$2:$AU$1001,MATCH(ROWS($W$2:W51),$W$2:$W$1001,0),MATCH(COLUMNS($AD$1006:AL1006),$AD$1006:$AU$1006,0)), HYPERLINK("#",""), HYPERLINK(CONCATENATE("#metadata!", ADDRESS(INDEX($Y$2:$Y$1001,MATCH(ROWS($W$2:W51),$W$2:$W$1001,0),0), INDEX($AD$1004:$AU$1004,1,MATCH(COLUMNS($AD$1006:AL1006),$AD$1006:$AU$1006,0)))),"Fix")))</f>
        <v xml:space="preserve"> </v>
      </c>
      <c r="K51" s="4" t="str">
        <f ca="1">IF(OR(INDEX($X$2:$X$1001,MATCH(ROWS($W$2:W51),$W$2:$W$1001,0),1)&gt;=100000,INDEX($AD$1005:$AU$1005,1,MATCH(COLUMNS($AD$1006:AM1006),$AD$1006:$AU$1006,0))&gt;=100000), " ",IF(INDEX($AD$2:$AU$1001,MATCH(ROWS($W$2:W51),$W$2:$W$1001,0),MATCH(COLUMNS($AD$1006:AM1006),$AD$1006:$AU$1006,0)), HYPERLINK("#",""), HYPERLINK(CONCATENATE("#metadata!", ADDRESS(INDEX($Y$2:$Y$1001,MATCH(ROWS($W$2:W51),$W$2:$W$1001,0),0), INDEX($AD$1004:$AU$1004,1,MATCH(COLUMNS($AD$1006:AM1006),$AD$1006:$AU$1006,0)))),"Fix")))</f>
        <v xml:space="preserve"> </v>
      </c>
      <c r="L51" s="4" t="str">
        <f ca="1">IF(OR(INDEX($X$2:$X$1001,MATCH(ROWS($W$2:W51),$W$2:$W$1001,0),1)&gt;=100000,INDEX($AD$1005:$AU$1005,1,MATCH(COLUMNS($AD$1006:AN1006),$AD$1006:$AU$1006,0))&gt;=100000), " ",IF(INDEX($AD$2:$AU$1001,MATCH(ROWS($W$2:W51),$W$2:$W$1001,0),MATCH(COLUMNS($AD$1006:AN1006),$AD$1006:$AU$1006,0)), HYPERLINK("#",""), HYPERLINK(CONCATENATE("#metadata!", ADDRESS(INDEX($Y$2:$Y$1001,MATCH(ROWS($W$2:W51),$W$2:$W$1001,0),0), INDEX($AD$1004:$AU$1004,1,MATCH(COLUMNS($AD$1006:AN1006),$AD$1006:$AU$1006,0)))),"Fix")))</f>
        <v xml:space="preserve"> </v>
      </c>
      <c r="M51" s="4" t="str">
        <f ca="1">IF(OR(INDEX($X$2:$X$1001,MATCH(ROWS($W$2:W51),$W$2:$W$1001,0),1)&gt;=100000,INDEX($AD$1005:$AU$1005,1,MATCH(COLUMNS($AD$1006:AO1006),$AD$1006:$AU$1006,0))&gt;=100000), " ",IF(INDEX($AD$2:$AU$1001,MATCH(ROWS($W$2:W51),$W$2:$W$1001,0),MATCH(COLUMNS($AD$1006:AO1006),$AD$1006:$AU$1006,0)), HYPERLINK("#",""), HYPERLINK(CONCATENATE("#metadata!", ADDRESS(INDEX($Y$2:$Y$1001,MATCH(ROWS($W$2:W51),$W$2:$W$1001,0),0), INDEX($AD$1004:$AU$1004,1,MATCH(COLUMNS($AD$1006:AO1006),$AD$1006:$AU$1006,0)))),"Fix")))</f>
        <v xml:space="preserve"> </v>
      </c>
      <c r="N51" s="4" t="str">
        <f ca="1">IF(OR(INDEX($X$2:$X$1001,MATCH(ROWS($W$2:W51),$W$2:$W$1001,0),1)&gt;=100000,INDEX($AD$1005:$AU$1005,1,MATCH(COLUMNS($AD$1006:AP1006),$AD$1006:$AU$1006,0))&gt;=100000), " ",IF(INDEX($AD$2:$AU$1001,MATCH(ROWS($W$2:W51),$W$2:$W$1001,0),MATCH(COLUMNS($AD$1006:AP1006),$AD$1006:$AU$1006,0)), HYPERLINK("#",""), HYPERLINK(CONCATENATE("#metadata!", ADDRESS(INDEX($Y$2:$Y$1001,MATCH(ROWS($W$2:W51),$W$2:$W$1001,0),0), INDEX($AD$1004:$AU$1004,1,MATCH(COLUMNS($AD$1006:AP1006),$AD$1006:$AU$1006,0)))),"Fix")))</f>
        <v xml:space="preserve"> </v>
      </c>
      <c r="O51" s="4" t="str">
        <f ca="1">IF(OR(INDEX($X$2:$X$1001,MATCH(ROWS($W$2:W51),$W$2:$W$1001,0),1)&gt;=100000,INDEX($AD$1005:$AU$1005,1,MATCH(COLUMNS($AD$1006:AQ1006),$AD$1006:$AU$1006,0))&gt;=100000), " ",IF(INDEX($AD$2:$AU$1001,MATCH(ROWS($W$2:W51),$W$2:$W$1001,0),MATCH(COLUMNS($AD$1006:AQ1006),$AD$1006:$AU$1006,0)), HYPERLINK("#",""), HYPERLINK(CONCATENATE("#metadata!", ADDRESS(INDEX($Y$2:$Y$1001,MATCH(ROWS($W$2:W51),$W$2:$W$1001,0),0), INDEX($AD$1004:$AU$1004,1,MATCH(COLUMNS($AD$1006:AQ1006),$AD$1006:$AU$1006,0)))),"Fix")))</f>
        <v xml:space="preserve"> </v>
      </c>
      <c r="P51" s="4" t="str">
        <f ca="1">IF(OR(INDEX($X$2:$X$1001,MATCH(ROWS($W$2:W51),$W$2:$W$1001,0),1)&gt;=100000,INDEX($AD$1005:$AU$1005,1,MATCH(COLUMNS($AD$1006:AR1006),$AD$1006:$AU$1006,0))&gt;=100000), " ",IF(INDEX($AD$2:$AU$1001,MATCH(ROWS($W$2:W51),$W$2:$W$1001,0),MATCH(COLUMNS($AD$1006:AR1006),$AD$1006:$AU$1006,0)), HYPERLINK("#",""), HYPERLINK(CONCATENATE("#metadata!", ADDRESS(INDEX($Y$2:$Y$1001,MATCH(ROWS($W$2:W51),$W$2:$W$1001,0),0), INDEX($AD$1004:$AU$1004,1,MATCH(COLUMNS($AD$1006:AR1006),$AD$1006:$AU$1006,0)))),"Fix")))</f>
        <v xml:space="preserve"> </v>
      </c>
      <c r="Q51" s="4" t="str">
        <f ca="1">IF(OR(INDEX($X$2:$X$1001,MATCH(ROWS($W$2:W51),$W$2:$W$1001,0),1)&gt;=100000,INDEX($AD$1005:$AU$1005,1,MATCH(COLUMNS($AD$1006:AS1006),$AD$1006:$AU$1006,0))&gt;=100000), " ",IF(INDEX($AD$2:$AU$1001,MATCH(ROWS($W$2:W51),$W$2:$W$1001,0),MATCH(COLUMNS($AD$1006:AS1006),$AD$1006:$AU$1006,0)), HYPERLINK("#",""), HYPERLINK(CONCATENATE("#metadata!", ADDRESS(INDEX($Y$2:$Y$1001,MATCH(ROWS($W$2:W51),$W$2:$W$1001,0),0), INDEX($AD$1004:$AU$1004,1,MATCH(COLUMNS($AD$1006:AS1006),$AD$1006:$AU$1006,0)))),"Fix")))</f>
        <v xml:space="preserve"> </v>
      </c>
      <c r="R51" s="4" t="str">
        <f ca="1">IF(OR(INDEX($X$2:$X$1001,MATCH(ROWS($W$2:W51),$W$2:$W$1001,0),1)&gt;=100000,INDEX($AD$1005:$AU$1005,1,MATCH(COLUMNS($AD$1006:AT1006),$AD$1006:$AU$1006,0))&gt;=100000), " ",IF(INDEX($AD$2:$AU$1001,MATCH(ROWS($W$2:W51),$W$2:$W$1001,0),MATCH(COLUMNS($AD$1006:AT1006),$AD$1006:$AU$1006,0)), HYPERLINK("#",""), HYPERLINK(CONCATENATE("#metadata!", ADDRESS(INDEX($Y$2:$Y$1001,MATCH(ROWS($W$2:W51),$W$2:$W$1001,0),0), INDEX($AD$1004:$AU$1004,1,MATCH(COLUMNS($AD$1006:AT1006),$AD$1006:$AU$1006,0)))),"Fix")))</f>
        <v xml:space="preserve"> </v>
      </c>
      <c r="S51" s="4" t="str">
        <f ca="1">IF(OR(INDEX($X$2:$X$1001,MATCH(ROWS($W$2:W51),$W$2:$W$1001,0),1)&gt;=100000,INDEX($AD$1005:$AU$1005,1,MATCH(COLUMNS($AD$1006:AU1006),$AD$1006:$AU$1006,0))&gt;=100000), " ",IF(INDEX($AD$2:$AU$1001,MATCH(ROWS($W$2:W51),$W$2:$W$1001,0),MATCH(COLUMNS($AD$1006:AU1006),$AD$1006:$AU$1006,0)), HYPERLINK("#",""), HYPERLINK(CONCATENATE("#metadata!", ADDRESS(INDEX($Y$2:$Y$1001,MATCH(ROWS($W$2:W51),$W$2:$W$1001,0),0), INDEX($AD$1004:$AU$1004,1,MATCH(COLUMNS($AD$1006:AU1006),$AD$1006:$AU$1006,0)))),"Fix")))</f>
        <v xml:space="preserve"> </v>
      </c>
      <c r="W51">
        <v>50</v>
      </c>
      <c r="X51">
        <v>100051</v>
      </c>
      <c r="Y51">
        <v>51</v>
      </c>
      <c r="Z51" t="b">
        <f t="shared" si="0"/>
        <v>1</v>
      </c>
      <c r="AA51" t="b">
        <f>COUNTBLANK(metadata!B51:S51)=COLUMNS(metadata!B51:S51)</f>
        <v>1</v>
      </c>
      <c r="AB51" t="str">
        <v/>
      </c>
      <c r="AD51" t="b">
        <f ca="1">AND(IF(metadata!B51="",FALSE,TRUE),COUNTIF(metadata!B:B, metadata!B51) = 1,NOT(ISERROR(SUMPRODUCT(SEARCH(MID(metadata!B51,ROW(INDIRECT("1:"&amp;LEN(metadata!B51))), 1),"0123456789abcdefghijklmnopqrstuvwxyzABCDEFGHIJKLMNOPQRSTUVWXYZ.")))))</f>
        <v>0</v>
      </c>
      <c r="AE51" t="b">
        <f>OR(AND(IF(metadata!C51="",FALSE,TRUE),OR(EXACT(metadata!C51,"not applicable"),EXACT(metadata!C51,"missing: not collected"),EXACT(metadata!C51,"missing: not provided"),EXACT(metadata!C51,"missing: restricted access"))),AND(IF(metadata!C51="",FALSE,ISNUMBER(VALUE(metadata!C51))),metadata!C51&gt;0))</f>
        <v>0</v>
      </c>
      <c r="AF51" t="b">
        <f>AND(IF(metadata!D51="",FALSE,TRUE),EXACT(metadata!D51,"missing: not provided"))</f>
        <v>0</v>
      </c>
      <c r="AG51" t="b">
        <f>AND(IF(metadata!E51="",FALSE,TRUE),EXACT(metadata!E51,"Host-associated"))</f>
        <v>0</v>
      </c>
      <c r="AH51" t="b">
        <f>AND(IF(metadata!F51="",FALSE,TRUE),OR(EXACT(metadata!F51,"Animal"),EXACT(metadata!F51,"Fungus"),EXACT(metadata!F51,"Plant")))</f>
        <v>0</v>
      </c>
      <c r="AI51" t="b">
        <f>AND(IF(metadata!G51="",FALSE,TRUE),OR(EXACT(metadata!G51,"Plant secretion"),EXACT(metadata!G51,"Plant rhizosphere"),EXACT(metadata!G51,"Plant surface"),EXACT(metadata!G51,"Plant corpus"),EXACT(metadata!G51,"Fungus surface"),EXACT(metadata!G51,"Fungus corpus"),EXACT(metadata!G51,"Animal surface"),EXACT(metadata!G51,"Animal proximal gut"),EXACT(metadata!G51,"Animal corpus"),EXACT(metadata!G51,"Animal distal gut"),EXACT(metadata!G51,"Animal secretion")))</f>
        <v>0</v>
      </c>
      <c r="AJ51" t="b">
        <f>OR(AND(IF(metadata!H51="",FALSE,TRUE),OR(EXACT(metadata!H51,"missing: not collected"),EXACT(metadata!H51,"missing: not provided"),EXACT(metadata!H51,"missing: restricted access"))),AND(IF(metadata!H51="",FALSE,TRUE),OR(EXACT(metadata!H51,"organism-associated habitat"),EXACT(metadata!H51,"plant-associated habitat"),EXACT(metadata!H51,"animal-associated habitat"),EXACT(metadata!H51,"insecta-associated habitat"),EXACT(metadata!H51,"mammalia-associated habitat"),EXACT(metadata!H51,"human-associated habitat"),EXACT(metadata!H51,"livestock-associated habitat"))))</f>
        <v>0</v>
      </c>
      <c r="AK51" t="b">
        <f>AND(IF(metadata!I51="",FALSE,TRUE),EXACT(metadata!I51,"host-associated"))</f>
        <v>0</v>
      </c>
      <c r="AL51" t="b">
        <f>OR(AND(IF(metadata!J51="",FALSE,TRUE),OR(EXACT(metadata!J51,"not applicable"),EXACT(metadata!J51,"missing: not collected"),EXACT(metadata!J51,"missing: not provided"),EXACT(metadata!J51,"missing: restricted access"))),AND(IF(metadata!J51="",FALSE,ISNUMBER(VALUE(metadata!J51))),metadata!J51&gt;0))</f>
        <v>0</v>
      </c>
      <c r="AM51" t="b">
        <f>AND(IF(metadata!K51="",FALSE,TRUE),EXACT(metadata!K51,"missing: not provided"))</f>
        <v>0</v>
      </c>
      <c r="AN51" t="b">
        <f>IF(metadata!L51="",FALSE,TRUE)</f>
        <v>0</v>
      </c>
      <c r="AO51" t="b">
        <f>IF(metadata!M51="",FALSE,TRUE)</f>
        <v>0</v>
      </c>
      <c r="AP51" t="b">
        <f>OR(AND(IF(metadata!N51="",FALSE,TRUE),OR(EXACT(metadata!N51,"not applicable"),EXACT(metadata!N51,"missing: not collected"),EXACT(metadata!N51,"missing: not provided"))),AND(IF(metadata!N51="",FALSE,IF(ISERROR(INT(metadata!N51)),FALSE,INT(metadata!N51)=metadata!N51)),metadata!N51&gt;0))</f>
        <v>0</v>
      </c>
      <c r="AQ51" t="b">
        <f>AND(IF(metadata!O51="",FALSE,TRUE),EXACT(metadata!O51,"Not applicable"))</f>
        <v>0</v>
      </c>
      <c r="AR51" t="b">
        <f>OR(AND(IF(metadata!P51="",FALSE,TRUE),OR(EXACT(metadata!P51,"not applicable"),EXACT(metadata!P51,"missing: not collected"),EXACT(metadata!P51,"missing: not provided"),EXACT(metadata!P51,"missing: restricted access"))),IF(metadata!P51="",FALSE,IF(ISERROR(INT(metadata!P51)),FALSE,INT(metadata!P51)=metadata!P51)))</f>
        <v>0</v>
      </c>
      <c r="AS51" t="b">
        <f>AND(IF(metadata!Q51="",FALSE,TRUE),EXACT(metadata!Q51,"Not applicable"))</f>
        <v>0</v>
      </c>
      <c r="AT51" t="b">
        <f>OR(AND(IF(metadata!R51="",FALSE,TRUE),OR(EXACT(metadata!R51,"not applicable"),EXACT(metadata!R51,"missing: not collected"),EXACT(metadata!R51,"missing: not provided"),EXACT(metadata!R51,"missing: restricted access"))),AND(IF(metadata!R51="",FALSE,ISNUMBER(VALUE(metadata!R51))),metadata!R51&gt;0))</f>
        <v>0</v>
      </c>
      <c r="AU51" t="b">
        <f>AND(IF(metadata!S51="",FALSE,TRUE),EXACT(metadata!S51,"missing: not provided"))</f>
        <v>0</v>
      </c>
    </row>
    <row r="52" spans="1:47" x14ac:dyDescent="0.2">
      <c r="A52" s="5" t="str">
        <f ca="1">IF(B52=" "," ",HYPERLINK(CONCATENATE("#metadata!",ADDRESS(INDEX($Y$2:$Y$1001,MATCH(ROWS($W$2:W52),$W$2:$W$1001,0),0),1)),INDEX($AB$2:$AB$1001,MATCH(ROWS($W$2:W52),$W$2:$W$1001,0),0)))</f>
        <v xml:space="preserve"> </v>
      </c>
      <c r="B52" s="4" t="str">
        <f ca="1">IF(OR(INDEX($X$2:$X$1001,MATCH(ROWS($W$2:W52),$W$2:$W$1001,0),1)&gt;=100000,INDEX($AD$1005:$AU$1005,1,MATCH(COLUMNS($AD$1006:AD1006),$AD$1006:$AU$1006,0))&gt;=100000), " ",IF(INDEX($AD$2:$AU$1001,MATCH(ROWS($W$2:W52),$W$2:$W$1001,0),MATCH(COLUMNS($AD$1006:AD1006),$AD$1006:$AU$1006,0)), HYPERLINK("#",""), HYPERLINK(CONCATENATE("#metadata!", ADDRESS(INDEX($Y$2:$Y$1001,MATCH(ROWS($W$2:W52),$W$2:$W$1001,0),0), INDEX($AD$1004:$AU$1004,1,MATCH(COLUMNS($AD$1006:AD1006),$AD$1006:$AU$1006,0)))),"Fix")))</f>
        <v xml:space="preserve"> </v>
      </c>
      <c r="C52" s="4" t="str">
        <f ca="1">IF(OR(INDEX($X$2:$X$1001,MATCH(ROWS($W$2:W52),$W$2:$W$1001,0),1)&gt;=100000,INDEX($AD$1005:$AU$1005,1,MATCH(COLUMNS($AD$1006:AE1006),$AD$1006:$AU$1006,0))&gt;=100000), " ",IF(INDEX($AD$2:$AU$1001,MATCH(ROWS($W$2:W52),$W$2:$W$1001,0),MATCH(COLUMNS($AD$1006:AE1006),$AD$1006:$AU$1006,0)), HYPERLINK("#",""), HYPERLINK(CONCATENATE("#metadata!", ADDRESS(INDEX($Y$2:$Y$1001,MATCH(ROWS($W$2:W52),$W$2:$W$1001,0),0), INDEX($AD$1004:$AU$1004,1,MATCH(COLUMNS($AD$1006:AE1006),$AD$1006:$AU$1006,0)))),"Fix")))</f>
        <v xml:space="preserve"> </v>
      </c>
      <c r="D52" s="4" t="str">
        <f ca="1">IF(OR(INDEX($X$2:$X$1001,MATCH(ROWS($W$2:W52),$W$2:$W$1001,0),1)&gt;=100000,INDEX($AD$1005:$AU$1005,1,MATCH(COLUMNS($AD$1006:AF1006),$AD$1006:$AU$1006,0))&gt;=100000), " ",IF(INDEX($AD$2:$AU$1001,MATCH(ROWS($W$2:W52),$W$2:$W$1001,0),MATCH(COLUMNS($AD$1006:AF1006),$AD$1006:$AU$1006,0)), HYPERLINK("#",""), HYPERLINK(CONCATENATE("#metadata!", ADDRESS(INDEX($Y$2:$Y$1001,MATCH(ROWS($W$2:W52),$W$2:$W$1001,0),0), INDEX($AD$1004:$AU$1004,1,MATCH(COLUMNS($AD$1006:AF1006),$AD$1006:$AU$1006,0)))),"Fix")))</f>
        <v xml:space="preserve"> </v>
      </c>
      <c r="E52" s="4" t="str">
        <f ca="1">IF(OR(INDEX($X$2:$X$1001,MATCH(ROWS($W$2:W52),$W$2:$W$1001,0),1)&gt;=100000,INDEX($AD$1005:$AU$1005,1,MATCH(COLUMNS($AD$1006:AG1006),$AD$1006:$AU$1006,0))&gt;=100000), " ",IF(INDEX($AD$2:$AU$1001,MATCH(ROWS($W$2:W52),$W$2:$W$1001,0),MATCH(COLUMNS($AD$1006:AG1006),$AD$1006:$AU$1006,0)), HYPERLINK("#",""), HYPERLINK(CONCATENATE("#metadata!", ADDRESS(INDEX($Y$2:$Y$1001,MATCH(ROWS($W$2:W52),$W$2:$W$1001,0),0), INDEX($AD$1004:$AU$1004,1,MATCH(COLUMNS($AD$1006:AG1006),$AD$1006:$AU$1006,0)))),"Fix")))</f>
        <v xml:space="preserve"> </v>
      </c>
      <c r="F52" s="4" t="str">
        <f ca="1">IF(OR(INDEX($X$2:$X$1001,MATCH(ROWS($W$2:W52),$W$2:$W$1001,0),1)&gt;=100000,INDEX($AD$1005:$AU$1005,1,MATCH(COLUMNS($AD$1006:AH1006),$AD$1006:$AU$1006,0))&gt;=100000), " ",IF(INDEX($AD$2:$AU$1001,MATCH(ROWS($W$2:W52),$W$2:$W$1001,0),MATCH(COLUMNS($AD$1006:AH1006),$AD$1006:$AU$1006,0)), HYPERLINK("#",""), HYPERLINK(CONCATENATE("#metadata!", ADDRESS(INDEX($Y$2:$Y$1001,MATCH(ROWS($W$2:W52),$W$2:$W$1001,0),0), INDEX($AD$1004:$AU$1004,1,MATCH(COLUMNS($AD$1006:AH1006),$AD$1006:$AU$1006,0)))),"Fix")))</f>
        <v xml:space="preserve"> </v>
      </c>
      <c r="G52" s="4" t="str">
        <f ca="1">IF(OR(INDEX($X$2:$X$1001,MATCH(ROWS($W$2:W52),$W$2:$W$1001,0),1)&gt;=100000,INDEX($AD$1005:$AU$1005,1,MATCH(COLUMNS($AD$1006:AI1006),$AD$1006:$AU$1006,0))&gt;=100000), " ",IF(INDEX($AD$2:$AU$1001,MATCH(ROWS($W$2:W52),$W$2:$W$1001,0),MATCH(COLUMNS($AD$1006:AI1006),$AD$1006:$AU$1006,0)), HYPERLINK("#",""), HYPERLINK(CONCATENATE("#metadata!", ADDRESS(INDEX($Y$2:$Y$1001,MATCH(ROWS($W$2:W52),$W$2:$W$1001,0),0), INDEX($AD$1004:$AU$1004,1,MATCH(COLUMNS($AD$1006:AI1006),$AD$1006:$AU$1006,0)))),"Fix")))</f>
        <v xml:space="preserve"> </v>
      </c>
      <c r="H52" s="4" t="str">
        <f ca="1">IF(OR(INDEX($X$2:$X$1001,MATCH(ROWS($W$2:W52),$W$2:$W$1001,0),1)&gt;=100000,INDEX($AD$1005:$AU$1005,1,MATCH(COLUMNS($AD$1006:AJ1006),$AD$1006:$AU$1006,0))&gt;=100000), " ",IF(INDEX($AD$2:$AU$1001,MATCH(ROWS($W$2:W52),$W$2:$W$1001,0),MATCH(COLUMNS($AD$1006:AJ1006),$AD$1006:$AU$1006,0)), HYPERLINK("#",""), HYPERLINK(CONCATENATE("#metadata!", ADDRESS(INDEX($Y$2:$Y$1001,MATCH(ROWS($W$2:W52),$W$2:$W$1001,0),0), INDEX($AD$1004:$AU$1004,1,MATCH(COLUMNS($AD$1006:AJ1006),$AD$1006:$AU$1006,0)))),"Fix")))</f>
        <v xml:space="preserve"> </v>
      </c>
      <c r="I52" s="4" t="str">
        <f ca="1">IF(OR(INDEX($X$2:$X$1001,MATCH(ROWS($W$2:W52),$W$2:$W$1001,0),1)&gt;=100000,INDEX($AD$1005:$AU$1005,1,MATCH(COLUMNS($AD$1006:AK1006),$AD$1006:$AU$1006,0))&gt;=100000), " ",IF(INDEX($AD$2:$AU$1001,MATCH(ROWS($W$2:W52),$W$2:$W$1001,0),MATCH(COLUMNS($AD$1006:AK1006),$AD$1006:$AU$1006,0)), HYPERLINK("#",""), HYPERLINK(CONCATENATE("#metadata!", ADDRESS(INDEX($Y$2:$Y$1001,MATCH(ROWS($W$2:W52),$W$2:$W$1001,0),0), INDEX($AD$1004:$AU$1004,1,MATCH(COLUMNS($AD$1006:AK1006),$AD$1006:$AU$1006,0)))),"Fix")))</f>
        <v xml:space="preserve"> </v>
      </c>
      <c r="J52" s="4" t="str">
        <f ca="1">IF(OR(INDEX($X$2:$X$1001,MATCH(ROWS($W$2:W52),$W$2:$W$1001,0),1)&gt;=100000,INDEX($AD$1005:$AU$1005,1,MATCH(COLUMNS($AD$1006:AL1006),$AD$1006:$AU$1006,0))&gt;=100000), " ",IF(INDEX($AD$2:$AU$1001,MATCH(ROWS($W$2:W52),$W$2:$W$1001,0),MATCH(COLUMNS($AD$1006:AL1006),$AD$1006:$AU$1006,0)), HYPERLINK("#",""), HYPERLINK(CONCATENATE("#metadata!", ADDRESS(INDEX($Y$2:$Y$1001,MATCH(ROWS($W$2:W52),$W$2:$W$1001,0),0), INDEX($AD$1004:$AU$1004,1,MATCH(COLUMNS($AD$1006:AL1006),$AD$1006:$AU$1006,0)))),"Fix")))</f>
        <v xml:space="preserve"> </v>
      </c>
      <c r="K52" s="4" t="str">
        <f ca="1">IF(OR(INDEX($X$2:$X$1001,MATCH(ROWS($W$2:W52),$W$2:$W$1001,0),1)&gt;=100000,INDEX($AD$1005:$AU$1005,1,MATCH(COLUMNS($AD$1006:AM1006),$AD$1006:$AU$1006,0))&gt;=100000), " ",IF(INDEX($AD$2:$AU$1001,MATCH(ROWS($W$2:W52),$W$2:$W$1001,0),MATCH(COLUMNS($AD$1006:AM1006),$AD$1006:$AU$1006,0)), HYPERLINK("#",""), HYPERLINK(CONCATENATE("#metadata!", ADDRESS(INDEX($Y$2:$Y$1001,MATCH(ROWS($W$2:W52),$W$2:$W$1001,0),0), INDEX($AD$1004:$AU$1004,1,MATCH(COLUMNS($AD$1006:AM1006),$AD$1006:$AU$1006,0)))),"Fix")))</f>
        <v xml:space="preserve"> </v>
      </c>
      <c r="L52" s="4" t="str">
        <f ca="1">IF(OR(INDEX($X$2:$X$1001,MATCH(ROWS($W$2:W52),$W$2:$W$1001,0),1)&gt;=100000,INDEX($AD$1005:$AU$1005,1,MATCH(COLUMNS($AD$1006:AN1006),$AD$1006:$AU$1006,0))&gt;=100000), " ",IF(INDEX($AD$2:$AU$1001,MATCH(ROWS($W$2:W52),$W$2:$W$1001,0),MATCH(COLUMNS($AD$1006:AN1006),$AD$1006:$AU$1006,0)), HYPERLINK("#",""), HYPERLINK(CONCATENATE("#metadata!", ADDRESS(INDEX($Y$2:$Y$1001,MATCH(ROWS($W$2:W52),$W$2:$W$1001,0),0), INDEX($AD$1004:$AU$1004,1,MATCH(COLUMNS($AD$1006:AN1006),$AD$1006:$AU$1006,0)))),"Fix")))</f>
        <v xml:space="preserve"> </v>
      </c>
      <c r="M52" s="4" t="str">
        <f ca="1">IF(OR(INDEX($X$2:$X$1001,MATCH(ROWS($W$2:W52),$W$2:$W$1001,0),1)&gt;=100000,INDEX($AD$1005:$AU$1005,1,MATCH(COLUMNS($AD$1006:AO1006),$AD$1006:$AU$1006,0))&gt;=100000), " ",IF(INDEX($AD$2:$AU$1001,MATCH(ROWS($W$2:W52),$W$2:$W$1001,0),MATCH(COLUMNS($AD$1006:AO1006),$AD$1006:$AU$1006,0)), HYPERLINK("#",""), HYPERLINK(CONCATENATE("#metadata!", ADDRESS(INDEX($Y$2:$Y$1001,MATCH(ROWS($W$2:W52),$W$2:$W$1001,0),0), INDEX($AD$1004:$AU$1004,1,MATCH(COLUMNS($AD$1006:AO1006),$AD$1006:$AU$1006,0)))),"Fix")))</f>
        <v xml:space="preserve"> </v>
      </c>
      <c r="N52" s="4" t="str">
        <f ca="1">IF(OR(INDEX($X$2:$X$1001,MATCH(ROWS($W$2:W52),$W$2:$W$1001,0),1)&gt;=100000,INDEX($AD$1005:$AU$1005,1,MATCH(COLUMNS($AD$1006:AP1006),$AD$1006:$AU$1006,0))&gt;=100000), " ",IF(INDEX($AD$2:$AU$1001,MATCH(ROWS($W$2:W52),$W$2:$W$1001,0),MATCH(COLUMNS($AD$1006:AP1006),$AD$1006:$AU$1006,0)), HYPERLINK("#",""), HYPERLINK(CONCATENATE("#metadata!", ADDRESS(INDEX($Y$2:$Y$1001,MATCH(ROWS($W$2:W52),$W$2:$W$1001,0),0), INDEX($AD$1004:$AU$1004,1,MATCH(COLUMNS($AD$1006:AP1006),$AD$1006:$AU$1006,0)))),"Fix")))</f>
        <v xml:space="preserve"> </v>
      </c>
      <c r="O52" s="4" t="str">
        <f ca="1">IF(OR(INDEX($X$2:$X$1001,MATCH(ROWS($W$2:W52),$W$2:$W$1001,0),1)&gt;=100000,INDEX($AD$1005:$AU$1005,1,MATCH(COLUMNS($AD$1006:AQ1006),$AD$1006:$AU$1006,0))&gt;=100000), " ",IF(INDEX($AD$2:$AU$1001,MATCH(ROWS($W$2:W52),$W$2:$W$1001,0),MATCH(COLUMNS($AD$1006:AQ1006),$AD$1006:$AU$1006,0)), HYPERLINK("#",""), HYPERLINK(CONCATENATE("#metadata!", ADDRESS(INDEX($Y$2:$Y$1001,MATCH(ROWS($W$2:W52),$W$2:$W$1001,0),0), INDEX($AD$1004:$AU$1004,1,MATCH(COLUMNS($AD$1006:AQ1006),$AD$1006:$AU$1006,0)))),"Fix")))</f>
        <v xml:space="preserve"> </v>
      </c>
      <c r="P52" s="4" t="str">
        <f ca="1">IF(OR(INDEX($X$2:$X$1001,MATCH(ROWS($W$2:W52),$W$2:$W$1001,0),1)&gt;=100000,INDEX($AD$1005:$AU$1005,1,MATCH(COLUMNS($AD$1006:AR1006),$AD$1006:$AU$1006,0))&gt;=100000), " ",IF(INDEX($AD$2:$AU$1001,MATCH(ROWS($W$2:W52),$W$2:$W$1001,0),MATCH(COLUMNS($AD$1006:AR1006),$AD$1006:$AU$1006,0)), HYPERLINK("#",""), HYPERLINK(CONCATENATE("#metadata!", ADDRESS(INDEX($Y$2:$Y$1001,MATCH(ROWS($W$2:W52),$W$2:$W$1001,0),0), INDEX($AD$1004:$AU$1004,1,MATCH(COLUMNS($AD$1006:AR1006),$AD$1006:$AU$1006,0)))),"Fix")))</f>
        <v xml:space="preserve"> </v>
      </c>
      <c r="Q52" s="4" t="str">
        <f ca="1">IF(OR(INDEX($X$2:$X$1001,MATCH(ROWS($W$2:W52),$W$2:$W$1001,0),1)&gt;=100000,INDEX($AD$1005:$AU$1005,1,MATCH(COLUMNS($AD$1006:AS1006),$AD$1006:$AU$1006,0))&gt;=100000), " ",IF(INDEX($AD$2:$AU$1001,MATCH(ROWS($W$2:W52),$W$2:$W$1001,0),MATCH(COLUMNS($AD$1006:AS1006),$AD$1006:$AU$1006,0)), HYPERLINK("#",""), HYPERLINK(CONCATENATE("#metadata!", ADDRESS(INDEX($Y$2:$Y$1001,MATCH(ROWS($W$2:W52),$W$2:$W$1001,0),0), INDEX($AD$1004:$AU$1004,1,MATCH(COLUMNS($AD$1006:AS1006),$AD$1006:$AU$1006,0)))),"Fix")))</f>
        <v xml:space="preserve"> </v>
      </c>
      <c r="R52" s="4" t="str">
        <f ca="1">IF(OR(INDEX($X$2:$X$1001,MATCH(ROWS($W$2:W52),$W$2:$W$1001,0),1)&gt;=100000,INDEX($AD$1005:$AU$1005,1,MATCH(COLUMNS($AD$1006:AT1006),$AD$1006:$AU$1006,0))&gt;=100000), " ",IF(INDEX($AD$2:$AU$1001,MATCH(ROWS($W$2:W52),$W$2:$W$1001,0),MATCH(COLUMNS($AD$1006:AT1006),$AD$1006:$AU$1006,0)), HYPERLINK("#",""), HYPERLINK(CONCATENATE("#metadata!", ADDRESS(INDEX($Y$2:$Y$1001,MATCH(ROWS($W$2:W52),$W$2:$W$1001,0),0), INDEX($AD$1004:$AU$1004,1,MATCH(COLUMNS($AD$1006:AT1006),$AD$1006:$AU$1006,0)))),"Fix")))</f>
        <v xml:space="preserve"> </v>
      </c>
      <c r="S52" s="4" t="str">
        <f ca="1">IF(OR(INDEX($X$2:$X$1001,MATCH(ROWS($W$2:W52),$W$2:$W$1001,0),1)&gt;=100000,INDEX($AD$1005:$AU$1005,1,MATCH(COLUMNS($AD$1006:AU1006),$AD$1006:$AU$1006,0))&gt;=100000), " ",IF(INDEX($AD$2:$AU$1001,MATCH(ROWS($W$2:W52),$W$2:$W$1001,0),MATCH(COLUMNS($AD$1006:AU1006),$AD$1006:$AU$1006,0)), HYPERLINK("#",""), HYPERLINK(CONCATENATE("#metadata!", ADDRESS(INDEX($Y$2:$Y$1001,MATCH(ROWS($W$2:W52),$W$2:$W$1001,0),0), INDEX($AD$1004:$AU$1004,1,MATCH(COLUMNS($AD$1006:AU1006),$AD$1006:$AU$1006,0)))),"Fix")))</f>
        <v xml:space="preserve"> </v>
      </c>
      <c r="W52">
        <v>51</v>
      </c>
      <c r="X52">
        <v>100052</v>
      </c>
      <c r="Y52">
        <v>52</v>
      </c>
      <c r="Z52" t="b">
        <f t="shared" si="0"/>
        <v>1</v>
      </c>
      <c r="AA52" t="b">
        <f>COUNTBLANK(metadata!B52:S52)=COLUMNS(metadata!B52:S52)</f>
        <v>1</v>
      </c>
      <c r="AB52" t="str">
        <v/>
      </c>
      <c r="AD52" t="b">
        <f ca="1">AND(IF(metadata!B52="",FALSE,TRUE),COUNTIF(metadata!B:B, metadata!B52) = 1,NOT(ISERROR(SUMPRODUCT(SEARCH(MID(metadata!B52,ROW(INDIRECT("1:"&amp;LEN(metadata!B52))), 1),"0123456789abcdefghijklmnopqrstuvwxyzABCDEFGHIJKLMNOPQRSTUVWXYZ.")))))</f>
        <v>0</v>
      </c>
      <c r="AE52" t="b">
        <f>OR(AND(IF(metadata!C52="",FALSE,TRUE),OR(EXACT(metadata!C52,"not applicable"),EXACT(metadata!C52,"missing: not collected"),EXACT(metadata!C52,"missing: not provided"),EXACT(metadata!C52,"missing: restricted access"))),AND(IF(metadata!C52="",FALSE,ISNUMBER(VALUE(metadata!C52))),metadata!C52&gt;0))</f>
        <v>0</v>
      </c>
      <c r="AF52" t="b">
        <f>AND(IF(metadata!D52="",FALSE,TRUE),EXACT(metadata!D52,"missing: not provided"))</f>
        <v>0</v>
      </c>
      <c r="AG52" t="b">
        <f>AND(IF(metadata!E52="",FALSE,TRUE),EXACT(metadata!E52,"Host-associated"))</f>
        <v>0</v>
      </c>
      <c r="AH52" t="b">
        <f>AND(IF(metadata!F52="",FALSE,TRUE),OR(EXACT(metadata!F52,"Animal"),EXACT(metadata!F52,"Fungus"),EXACT(metadata!F52,"Plant")))</f>
        <v>0</v>
      </c>
      <c r="AI52" t="b">
        <f>AND(IF(metadata!G52="",FALSE,TRUE),OR(EXACT(metadata!G52,"Plant secretion"),EXACT(metadata!G52,"Plant rhizosphere"),EXACT(metadata!G52,"Plant surface"),EXACT(metadata!G52,"Plant corpus"),EXACT(metadata!G52,"Fungus surface"),EXACT(metadata!G52,"Fungus corpus"),EXACT(metadata!G52,"Animal surface"),EXACT(metadata!G52,"Animal proximal gut"),EXACT(metadata!G52,"Animal corpus"),EXACT(metadata!G52,"Animal distal gut"),EXACT(metadata!G52,"Animal secretion")))</f>
        <v>0</v>
      </c>
      <c r="AJ52" t="b">
        <f>OR(AND(IF(metadata!H52="",FALSE,TRUE),OR(EXACT(metadata!H52,"missing: not collected"),EXACT(metadata!H52,"missing: not provided"),EXACT(metadata!H52,"missing: restricted access"))),AND(IF(metadata!H52="",FALSE,TRUE),OR(EXACT(metadata!H52,"organism-associated habitat"),EXACT(metadata!H52,"plant-associated habitat"),EXACT(metadata!H52,"animal-associated habitat"),EXACT(metadata!H52,"insecta-associated habitat"),EXACT(metadata!H52,"mammalia-associated habitat"),EXACT(metadata!H52,"human-associated habitat"),EXACT(metadata!H52,"livestock-associated habitat"))))</f>
        <v>0</v>
      </c>
      <c r="AK52" t="b">
        <f>AND(IF(metadata!I52="",FALSE,TRUE),EXACT(metadata!I52,"host-associated"))</f>
        <v>0</v>
      </c>
      <c r="AL52" t="b">
        <f>OR(AND(IF(metadata!J52="",FALSE,TRUE),OR(EXACT(metadata!J52,"not applicable"),EXACT(metadata!J52,"missing: not collected"),EXACT(metadata!J52,"missing: not provided"),EXACT(metadata!J52,"missing: restricted access"))),AND(IF(metadata!J52="",FALSE,ISNUMBER(VALUE(metadata!J52))),metadata!J52&gt;0))</f>
        <v>0</v>
      </c>
      <c r="AM52" t="b">
        <f>AND(IF(metadata!K52="",FALSE,TRUE),EXACT(metadata!K52,"missing: not provided"))</f>
        <v>0</v>
      </c>
      <c r="AN52" t="b">
        <f>IF(metadata!L52="",FALSE,TRUE)</f>
        <v>0</v>
      </c>
      <c r="AO52" t="b">
        <f>IF(metadata!M52="",FALSE,TRUE)</f>
        <v>0</v>
      </c>
      <c r="AP52" t="b">
        <f>OR(AND(IF(metadata!N52="",FALSE,TRUE),OR(EXACT(metadata!N52,"not applicable"),EXACT(metadata!N52,"missing: not collected"),EXACT(metadata!N52,"missing: not provided"))),AND(IF(metadata!N52="",FALSE,IF(ISERROR(INT(metadata!N52)),FALSE,INT(metadata!N52)=metadata!N52)),metadata!N52&gt;0))</f>
        <v>0</v>
      </c>
      <c r="AQ52" t="b">
        <f>AND(IF(metadata!O52="",FALSE,TRUE),EXACT(metadata!O52,"Not applicable"))</f>
        <v>0</v>
      </c>
      <c r="AR52" t="b">
        <f>OR(AND(IF(metadata!P52="",FALSE,TRUE),OR(EXACT(metadata!P52,"not applicable"),EXACT(metadata!P52,"missing: not collected"),EXACT(metadata!P52,"missing: not provided"),EXACT(metadata!P52,"missing: restricted access"))),IF(metadata!P52="",FALSE,IF(ISERROR(INT(metadata!P52)),FALSE,INT(metadata!P52)=metadata!P52)))</f>
        <v>0</v>
      </c>
      <c r="AS52" t="b">
        <f>AND(IF(metadata!Q52="",FALSE,TRUE),EXACT(metadata!Q52,"Not applicable"))</f>
        <v>0</v>
      </c>
      <c r="AT52" t="b">
        <f>OR(AND(IF(metadata!R52="",FALSE,TRUE),OR(EXACT(metadata!R52,"not applicable"),EXACT(metadata!R52,"missing: not collected"),EXACT(metadata!R52,"missing: not provided"),EXACT(metadata!R52,"missing: restricted access"))),AND(IF(metadata!R52="",FALSE,ISNUMBER(VALUE(metadata!R52))),metadata!R52&gt;0))</f>
        <v>0</v>
      </c>
      <c r="AU52" t="b">
        <f>AND(IF(metadata!S52="",FALSE,TRUE),EXACT(metadata!S52,"missing: not provided"))</f>
        <v>0</v>
      </c>
    </row>
    <row r="53" spans="1:47" x14ac:dyDescent="0.2">
      <c r="A53" s="5" t="str">
        <f ca="1">IF(B53=" "," ",HYPERLINK(CONCATENATE("#metadata!",ADDRESS(INDEX($Y$2:$Y$1001,MATCH(ROWS($W$2:W53),$W$2:$W$1001,0),0),1)),INDEX($AB$2:$AB$1001,MATCH(ROWS($W$2:W53),$W$2:$W$1001,0),0)))</f>
        <v xml:space="preserve"> </v>
      </c>
      <c r="B53" s="4" t="str">
        <f ca="1">IF(OR(INDEX($X$2:$X$1001,MATCH(ROWS($W$2:W53),$W$2:$W$1001,0),1)&gt;=100000,INDEX($AD$1005:$AU$1005,1,MATCH(COLUMNS($AD$1006:AD1006),$AD$1006:$AU$1006,0))&gt;=100000), " ",IF(INDEX($AD$2:$AU$1001,MATCH(ROWS($W$2:W53),$W$2:$W$1001,0),MATCH(COLUMNS($AD$1006:AD1006),$AD$1006:$AU$1006,0)), HYPERLINK("#",""), HYPERLINK(CONCATENATE("#metadata!", ADDRESS(INDEX($Y$2:$Y$1001,MATCH(ROWS($W$2:W53),$W$2:$W$1001,0),0), INDEX($AD$1004:$AU$1004,1,MATCH(COLUMNS($AD$1006:AD1006),$AD$1006:$AU$1006,0)))),"Fix")))</f>
        <v xml:space="preserve"> </v>
      </c>
      <c r="C53" s="4" t="str">
        <f ca="1">IF(OR(INDEX($X$2:$X$1001,MATCH(ROWS($W$2:W53),$W$2:$W$1001,0),1)&gt;=100000,INDEX($AD$1005:$AU$1005,1,MATCH(COLUMNS($AD$1006:AE1006),$AD$1006:$AU$1006,0))&gt;=100000), " ",IF(INDEX($AD$2:$AU$1001,MATCH(ROWS($W$2:W53),$W$2:$W$1001,0),MATCH(COLUMNS($AD$1006:AE1006),$AD$1006:$AU$1006,0)), HYPERLINK("#",""), HYPERLINK(CONCATENATE("#metadata!", ADDRESS(INDEX($Y$2:$Y$1001,MATCH(ROWS($W$2:W53),$W$2:$W$1001,0),0), INDEX($AD$1004:$AU$1004,1,MATCH(COLUMNS($AD$1006:AE1006),$AD$1006:$AU$1006,0)))),"Fix")))</f>
        <v xml:space="preserve"> </v>
      </c>
      <c r="D53" s="4" t="str">
        <f ca="1">IF(OR(INDEX($X$2:$X$1001,MATCH(ROWS($W$2:W53),$W$2:$W$1001,0),1)&gt;=100000,INDEX($AD$1005:$AU$1005,1,MATCH(COLUMNS($AD$1006:AF1006),$AD$1006:$AU$1006,0))&gt;=100000), " ",IF(INDEX($AD$2:$AU$1001,MATCH(ROWS($W$2:W53),$W$2:$W$1001,0),MATCH(COLUMNS($AD$1006:AF1006),$AD$1006:$AU$1006,0)), HYPERLINK("#",""), HYPERLINK(CONCATENATE("#metadata!", ADDRESS(INDEX($Y$2:$Y$1001,MATCH(ROWS($W$2:W53),$W$2:$W$1001,0),0), INDEX($AD$1004:$AU$1004,1,MATCH(COLUMNS($AD$1006:AF1006),$AD$1006:$AU$1006,0)))),"Fix")))</f>
        <v xml:space="preserve"> </v>
      </c>
      <c r="E53" s="4" t="str">
        <f ca="1">IF(OR(INDEX($X$2:$X$1001,MATCH(ROWS($W$2:W53),$W$2:$W$1001,0),1)&gt;=100000,INDEX($AD$1005:$AU$1005,1,MATCH(COLUMNS($AD$1006:AG1006),$AD$1006:$AU$1006,0))&gt;=100000), " ",IF(INDEX($AD$2:$AU$1001,MATCH(ROWS($W$2:W53),$W$2:$W$1001,0),MATCH(COLUMNS($AD$1006:AG1006),$AD$1006:$AU$1006,0)), HYPERLINK("#",""), HYPERLINK(CONCATENATE("#metadata!", ADDRESS(INDEX($Y$2:$Y$1001,MATCH(ROWS($W$2:W53),$W$2:$W$1001,0),0), INDEX($AD$1004:$AU$1004,1,MATCH(COLUMNS($AD$1006:AG1006),$AD$1006:$AU$1006,0)))),"Fix")))</f>
        <v xml:space="preserve"> </v>
      </c>
      <c r="F53" s="4" t="str">
        <f ca="1">IF(OR(INDEX($X$2:$X$1001,MATCH(ROWS($W$2:W53),$W$2:$W$1001,0),1)&gt;=100000,INDEX($AD$1005:$AU$1005,1,MATCH(COLUMNS($AD$1006:AH1006),$AD$1006:$AU$1006,0))&gt;=100000), " ",IF(INDEX($AD$2:$AU$1001,MATCH(ROWS($W$2:W53),$W$2:$W$1001,0),MATCH(COLUMNS($AD$1006:AH1006),$AD$1006:$AU$1006,0)), HYPERLINK("#",""), HYPERLINK(CONCATENATE("#metadata!", ADDRESS(INDEX($Y$2:$Y$1001,MATCH(ROWS($W$2:W53),$W$2:$W$1001,0),0), INDEX($AD$1004:$AU$1004,1,MATCH(COLUMNS($AD$1006:AH1006),$AD$1006:$AU$1006,0)))),"Fix")))</f>
        <v xml:space="preserve"> </v>
      </c>
      <c r="G53" s="4" t="str">
        <f ca="1">IF(OR(INDEX($X$2:$X$1001,MATCH(ROWS($W$2:W53),$W$2:$W$1001,0),1)&gt;=100000,INDEX($AD$1005:$AU$1005,1,MATCH(COLUMNS($AD$1006:AI1006),$AD$1006:$AU$1006,0))&gt;=100000), " ",IF(INDEX($AD$2:$AU$1001,MATCH(ROWS($W$2:W53),$W$2:$W$1001,0),MATCH(COLUMNS($AD$1006:AI1006),$AD$1006:$AU$1006,0)), HYPERLINK("#",""), HYPERLINK(CONCATENATE("#metadata!", ADDRESS(INDEX($Y$2:$Y$1001,MATCH(ROWS($W$2:W53),$W$2:$W$1001,0),0), INDEX($AD$1004:$AU$1004,1,MATCH(COLUMNS($AD$1006:AI1006),$AD$1006:$AU$1006,0)))),"Fix")))</f>
        <v xml:space="preserve"> </v>
      </c>
      <c r="H53" s="4" t="str">
        <f ca="1">IF(OR(INDEX($X$2:$X$1001,MATCH(ROWS($W$2:W53),$W$2:$W$1001,0),1)&gt;=100000,INDEX($AD$1005:$AU$1005,1,MATCH(COLUMNS($AD$1006:AJ1006),$AD$1006:$AU$1006,0))&gt;=100000), " ",IF(INDEX($AD$2:$AU$1001,MATCH(ROWS($W$2:W53),$W$2:$W$1001,0),MATCH(COLUMNS($AD$1006:AJ1006),$AD$1006:$AU$1006,0)), HYPERLINK("#",""), HYPERLINK(CONCATENATE("#metadata!", ADDRESS(INDEX($Y$2:$Y$1001,MATCH(ROWS($W$2:W53),$W$2:$W$1001,0),0), INDEX($AD$1004:$AU$1004,1,MATCH(COLUMNS($AD$1006:AJ1006),$AD$1006:$AU$1006,0)))),"Fix")))</f>
        <v xml:space="preserve"> </v>
      </c>
      <c r="I53" s="4" t="str">
        <f ca="1">IF(OR(INDEX($X$2:$X$1001,MATCH(ROWS($W$2:W53),$W$2:$W$1001,0),1)&gt;=100000,INDEX($AD$1005:$AU$1005,1,MATCH(COLUMNS($AD$1006:AK1006),$AD$1006:$AU$1006,0))&gt;=100000), " ",IF(INDEX($AD$2:$AU$1001,MATCH(ROWS($W$2:W53),$W$2:$W$1001,0),MATCH(COLUMNS($AD$1006:AK1006),$AD$1006:$AU$1006,0)), HYPERLINK("#",""), HYPERLINK(CONCATENATE("#metadata!", ADDRESS(INDEX($Y$2:$Y$1001,MATCH(ROWS($W$2:W53),$W$2:$W$1001,0),0), INDEX($AD$1004:$AU$1004,1,MATCH(COLUMNS($AD$1006:AK1006),$AD$1006:$AU$1006,0)))),"Fix")))</f>
        <v xml:space="preserve"> </v>
      </c>
      <c r="J53" s="4" t="str">
        <f ca="1">IF(OR(INDEX($X$2:$X$1001,MATCH(ROWS($W$2:W53),$W$2:$W$1001,0),1)&gt;=100000,INDEX($AD$1005:$AU$1005,1,MATCH(COLUMNS($AD$1006:AL1006),$AD$1006:$AU$1006,0))&gt;=100000), " ",IF(INDEX($AD$2:$AU$1001,MATCH(ROWS($W$2:W53),$W$2:$W$1001,0),MATCH(COLUMNS($AD$1006:AL1006),$AD$1006:$AU$1006,0)), HYPERLINK("#",""), HYPERLINK(CONCATENATE("#metadata!", ADDRESS(INDEX($Y$2:$Y$1001,MATCH(ROWS($W$2:W53),$W$2:$W$1001,0),0), INDEX($AD$1004:$AU$1004,1,MATCH(COLUMNS($AD$1006:AL1006),$AD$1006:$AU$1006,0)))),"Fix")))</f>
        <v xml:space="preserve"> </v>
      </c>
      <c r="K53" s="4" t="str">
        <f ca="1">IF(OR(INDEX($X$2:$X$1001,MATCH(ROWS($W$2:W53),$W$2:$W$1001,0),1)&gt;=100000,INDEX($AD$1005:$AU$1005,1,MATCH(COLUMNS($AD$1006:AM1006),$AD$1006:$AU$1006,0))&gt;=100000), " ",IF(INDEX($AD$2:$AU$1001,MATCH(ROWS($W$2:W53),$W$2:$W$1001,0),MATCH(COLUMNS($AD$1006:AM1006),$AD$1006:$AU$1006,0)), HYPERLINK("#",""), HYPERLINK(CONCATENATE("#metadata!", ADDRESS(INDEX($Y$2:$Y$1001,MATCH(ROWS($W$2:W53),$W$2:$W$1001,0),0), INDEX($AD$1004:$AU$1004,1,MATCH(COLUMNS($AD$1006:AM1006),$AD$1006:$AU$1006,0)))),"Fix")))</f>
        <v xml:space="preserve"> </v>
      </c>
      <c r="L53" s="4" t="str">
        <f ca="1">IF(OR(INDEX($X$2:$X$1001,MATCH(ROWS($W$2:W53),$W$2:$W$1001,0),1)&gt;=100000,INDEX($AD$1005:$AU$1005,1,MATCH(COLUMNS($AD$1006:AN1006),$AD$1006:$AU$1006,0))&gt;=100000), " ",IF(INDEX($AD$2:$AU$1001,MATCH(ROWS($W$2:W53),$W$2:$W$1001,0),MATCH(COLUMNS($AD$1006:AN1006),$AD$1006:$AU$1006,0)), HYPERLINK("#",""), HYPERLINK(CONCATENATE("#metadata!", ADDRESS(INDEX($Y$2:$Y$1001,MATCH(ROWS($W$2:W53),$W$2:$W$1001,0),0), INDEX($AD$1004:$AU$1004,1,MATCH(COLUMNS($AD$1006:AN1006),$AD$1006:$AU$1006,0)))),"Fix")))</f>
        <v xml:space="preserve"> </v>
      </c>
      <c r="M53" s="4" t="str">
        <f ca="1">IF(OR(INDEX($X$2:$X$1001,MATCH(ROWS($W$2:W53),$W$2:$W$1001,0),1)&gt;=100000,INDEX($AD$1005:$AU$1005,1,MATCH(COLUMNS($AD$1006:AO1006),$AD$1006:$AU$1006,0))&gt;=100000), " ",IF(INDEX($AD$2:$AU$1001,MATCH(ROWS($W$2:W53),$W$2:$W$1001,0),MATCH(COLUMNS($AD$1006:AO1006),$AD$1006:$AU$1006,0)), HYPERLINK("#",""), HYPERLINK(CONCATENATE("#metadata!", ADDRESS(INDEX($Y$2:$Y$1001,MATCH(ROWS($W$2:W53),$W$2:$W$1001,0),0), INDEX($AD$1004:$AU$1004,1,MATCH(COLUMNS($AD$1006:AO1006),$AD$1006:$AU$1006,0)))),"Fix")))</f>
        <v xml:space="preserve"> </v>
      </c>
      <c r="N53" s="4" t="str">
        <f ca="1">IF(OR(INDEX($X$2:$X$1001,MATCH(ROWS($W$2:W53),$W$2:$W$1001,0),1)&gt;=100000,INDEX($AD$1005:$AU$1005,1,MATCH(COLUMNS($AD$1006:AP1006),$AD$1006:$AU$1006,0))&gt;=100000), " ",IF(INDEX($AD$2:$AU$1001,MATCH(ROWS($W$2:W53),$W$2:$W$1001,0),MATCH(COLUMNS($AD$1006:AP1006),$AD$1006:$AU$1006,0)), HYPERLINK("#",""), HYPERLINK(CONCATENATE("#metadata!", ADDRESS(INDEX($Y$2:$Y$1001,MATCH(ROWS($W$2:W53),$W$2:$W$1001,0),0), INDEX($AD$1004:$AU$1004,1,MATCH(COLUMNS($AD$1006:AP1006),$AD$1006:$AU$1006,0)))),"Fix")))</f>
        <v xml:space="preserve"> </v>
      </c>
      <c r="O53" s="4" t="str">
        <f ca="1">IF(OR(INDEX($X$2:$X$1001,MATCH(ROWS($W$2:W53),$W$2:$W$1001,0),1)&gt;=100000,INDEX($AD$1005:$AU$1005,1,MATCH(COLUMNS($AD$1006:AQ1006),$AD$1006:$AU$1006,0))&gt;=100000), " ",IF(INDEX($AD$2:$AU$1001,MATCH(ROWS($W$2:W53),$W$2:$W$1001,0),MATCH(COLUMNS($AD$1006:AQ1006),$AD$1006:$AU$1006,0)), HYPERLINK("#",""), HYPERLINK(CONCATENATE("#metadata!", ADDRESS(INDEX($Y$2:$Y$1001,MATCH(ROWS($W$2:W53),$W$2:$W$1001,0),0), INDEX($AD$1004:$AU$1004,1,MATCH(COLUMNS($AD$1006:AQ1006),$AD$1006:$AU$1006,0)))),"Fix")))</f>
        <v xml:space="preserve"> </v>
      </c>
      <c r="P53" s="4" t="str">
        <f ca="1">IF(OR(INDEX($X$2:$X$1001,MATCH(ROWS($W$2:W53),$W$2:$W$1001,0),1)&gt;=100000,INDEX($AD$1005:$AU$1005,1,MATCH(COLUMNS($AD$1006:AR1006),$AD$1006:$AU$1006,0))&gt;=100000), " ",IF(INDEX($AD$2:$AU$1001,MATCH(ROWS($W$2:W53),$W$2:$W$1001,0),MATCH(COLUMNS($AD$1006:AR1006),$AD$1006:$AU$1006,0)), HYPERLINK("#",""), HYPERLINK(CONCATENATE("#metadata!", ADDRESS(INDEX($Y$2:$Y$1001,MATCH(ROWS($W$2:W53),$W$2:$W$1001,0),0), INDEX($AD$1004:$AU$1004,1,MATCH(COLUMNS($AD$1006:AR1006),$AD$1006:$AU$1006,0)))),"Fix")))</f>
        <v xml:space="preserve"> </v>
      </c>
      <c r="Q53" s="4" t="str">
        <f ca="1">IF(OR(INDEX($X$2:$X$1001,MATCH(ROWS($W$2:W53),$W$2:$W$1001,0),1)&gt;=100000,INDEX($AD$1005:$AU$1005,1,MATCH(COLUMNS($AD$1006:AS1006),$AD$1006:$AU$1006,0))&gt;=100000), " ",IF(INDEX($AD$2:$AU$1001,MATCH(ROWS($W$2:W53),$W$2:$W$1001,0),MATCH(COLUMNS($AD$1006:AS1006),$AD$1006:$AU$1006,0)), HYPERLINK("#",""), HYPERLINK(CONCATENATE("#metadata!", ADDRESS(INDEX($Y$2:$Y$1001,MATCH(ROWS($W$2:W53),$W$2:$W$1001,0),0), INDEX($AD$1004:$AU$1004,1,MATCH(COLUMNS($AD$1006:AS1006),$AD$1006:$AU$1006,0)))),"Fix")))</f>
        <v xml:space="preserve"> </v>
      </c>
      <c r="R53" s="4" t="str">
        <f ca="1">IF(OR(INDEX($X$2:$X$1001,MATCH(ROWS($W$2:W53),$W$2:$W$1001,0),1)&gt;=100000,INDEX($AD$1005:$AU$1005,1,MATCH(COLUMNS($AD$1006:AT1006),$AD$1006:$AU$1006,0))&gt;=100000), " ",IF(INDEX($AD$2:$AU$1001,MATCH(ROWS($W$2:W53),$W$2:$W$1001,0),MATCH(COLUMNS($AD$1006:AT1006),$AD$1006:$AU$1006,0)), HYPERLINK("#",""), HYPERLINK(CONCATENATE("#metadata!", ADDRESS(INDEX($Y$2:$Y$1001,MATCH(ROWS($W$2:W53),$W$2:$W$1001,0),0), INDEX($AD$1004:$AU$1004,1,MATCH(COLUMNS($AD$1006:AT1006),$AD$1006:$AU$1006,0)))),"Fix")))</f>
        <v xml:space="preserve"> </v>
      </c>
      <c r="S53" s="4" t="str">
        <f ca="1">IF(OR(INDEX($X$2:$X$1001,MATCH(ROWS($W$2:W53),$W$2:$W$1001,0),1)&gt;=100000,INDEX($AD$1005:$AU$1005,1,MATCH(COLUMNS($AD$1006:AU1006),$AD$1006:$AU$1006,0))&gt;=100000), " ",IF(INDEX($AD$2:$AU$1001,MATCH(ROWS($W$2:W53),$W$2:$W$1001,0),MATCH(COLUMNS($AD$1006:AU1006),$AD$1006:$AU$1006,0)), HYPERLINK("#",""), HYPERLINK(CONCATENATE("#metadata!", ADDRESS(INDEX($Y$2:$Y$1001,MATCH(ROWS($W$2:W53),$W$2:$W$1001,0),0), INDEX($AD$1004:$AU$1004,1,MATCH(COLUMNS($AD$1006:AU1006),$AD$1006:$AU$1006,0)))),"Fix")))</f>
        <v xml:space="preserve"> </v>
      </c>
      <c r="W53">
        <v>52</v>
      </c>
      <c r="X53">
        <v>100053</v>
      </c>
      <c r="Y53">
        <v>53</v>
      </c>
      <c r="Z53" t="b">
        <f t="shared" si="0"/>
        <v>1</v>
      </c>
      <c r="AA53" t="b">
        <f>COUNTBLANK(metadata!B53:S53)=COLUMNS(metadata!B53:S53)</f>
        <v>1</v>
      </c>
      <c r="AB53" t="str">
        <v/>
      </c>
      <c r="AD53" t="b">
        <f ca="1">AND(IF(metadata!B53="",FALSE,TRUE),COUNTIF(metadata!B:B, metadata!B53) = 1,NOT(ISERROR(SUMPRODUCT(SEARCH(MID(metadata!B53,ROW(INDIRECT("1:"&amp;LEN(metadata!B53))), 1),"0123456789abcdefghijklmnopqrstuvwxyzABCDEFGHIJKLMNOPQRSTUVWXYZ.")))))</f>
        <v>0</v>
      </c>
      <c r="AE53" t="b">
        <f>OR(AND(IF(metadata!C53="",FALSE,TRUE),OR(EXACT(metadata!C53,"not applicable"),EXACT(metadata!C53,"missing: not collected"),EXACT(metadata!C53,"missing: not provided"),EXACT(metadata!C53,"missing: restricted access"))),AND(IF(metadata!C53="",FALSE,ISNUMBER(VALUE(metadata!C53))),metadata!C53&gt;0))</f>
        <v>0</v>
      </c>
      <c r="AF53" t="b">
        <f>AND(IF(metadata!D53="",FALSE,TRUE),EXACT(metadata!D53,"missing: not provided"))</f>
        <v>0</v>
      </c>
      <c r="AG53" t="b">
        <f>AND(IF(metadata!E53="",FALSE,TRUE),EXACT(metadata!E53,"Host-associated"))</f>
        <v>0</v>
      </c>
      <c r="AH53" t="b">
        <f>AND(IF(metadata!F53="",FALSE,TRUE),OR(EXACT(metadata!F53,"Animal"),EXACT(metadata!F53,"Fungus"),EXACT(metadata!F53,"Plant")))</f>
        <v>0</v>
      </c>
      <c r="AI53" t="b">
        <f>AND(IF(metadata!G53="",FALSE,TRUE),OR(EXACT(metadata!G53,"Plant secretion"),EXACT(metadata!G53,"Plant rhizosphere"),EXACT(metadata!G53,"Plant surface"),EXACT(metadata!G53,"Plant corpus"),EXACT(metadata!G53,"Fungus surface"),EXACT(metadata!G53,"Fungus corpus"),EXACT(metadata!G53,"Animal surface"),EXACT(metadata!G53,"Animal proximal gut"),EXACT(metadata!G53,"Animal corpus"),EXACT(metadata!G53,"Animal distal gut"),EXACT(metadata!G53,"Animal secretion")))</f>
        <v>0</v>
      </c>
      <c r="AJ53" t="b">
        <f>OR(AND(IF(metadata!H53="",FALSE,TRUE),OR(EXACT(metadata!H53,"missing: not collected"),EXACT(metadata!H53,"missing: not provided"),EXACT(metadata!H53,"missing: restricted access"))),AND(IF(metadata!H53="",FALSE,TRUE),OR(EXACT(metadata!H53,"organism-associated habitat"),EXACT(metadata!H53,"plant-associated habitat"),EXACT(metadata!H53,"animal-associated habitat"),EXACT(metadata!H53,"insecta-associated habitat"),EXACT(metadata!H53,"mammalia-associated habitat"),EXACT(metadata!H53,"human-associated habitat"),EXACT(metadata!H53,"livestock-associated habitat"))))</f>
        <v>0</v>
      </c>
      <c r="AK53" t="b">
        <f>AND(IF(metadata!I53="",FALSE,TRUE),EXACT(metadata!I53,"host-associated"))</f>
        <v>0</v>
      </c>
      <c r="AL53" t="b">
        <f>OR(AND(IF(metadata!J53="",FALSE,TRUE),OR(EXACT(metadata!J53,"not applicable"),EXACT(metadata!J53,"missing: not collected"),EXACT(metadata!J53,"missing: not provided"),EXACT(metadata!J53,"missing: restricted access"))),AND(IF(metadata!J53="",FALSE,ISNUMBER(VALUE(metadata!J53))),metadata!J53&gt;0))</f>
        <v>0</v>
      </c>
      <c r="AM53" t="b">
        <f>AND(IF(metadata!K53="",FALSE,TRUE),EXACT(metadata!K53,"missing: not provided"))</f>
        <v>0</v>
      </c>
      <c r="AN53" t="b">
        <f>IF(metadata!L53="",FALSE,TRUE)</f>
        <v>0</v>
      </c>
      <c r="AO53" t="b">
        <f>IF(metadata!M53="",FALSE,TRUE)</f>
        <v>0</v>
      </c>
      <c r="AP53" t="b">
        <f>OR(AND(IF(metadata!N53="",FALSE,TRUE),OR(EXACT(metadata!N53,"not applicable"),EXACT(metadata!N53,"missing: not collected"),EXACT(metadata!N53,"missing: not provided"))),AND(IF(metadata!N53="",FALSE,IF(ISERROR(INT(metadata!N53)),FALSE,INT(metadata!N53)=metadata!N53)),metadata!N53&gt;0))</f>
        <v>0</v>
      </c>
      <c r="AQ53" t="b">
        <f>AND(IF(metadata!O53="",FALSE,TRUE),EXACT(metadata!O53,"Not applicable"))</f>
        <v>0</v>
      </c>
      <c r="AR53" t="b">
        <f>OR(AND(IF(metadata!P53="",FALSE,TRUE),OR(EXACT(metadata!P53,"not applicable"),EXACT(metadata!P53,"missing: not collected"),EXACT(metadata!P53,"missing: not provided"),EXACT(metadata!P53,"missing: restricted access"))),IF(metadata!P53="",FALSE,IF(ISERROR(INT(metadata!P53)),FALSE,INT(metadata!P53)=metadata!P53)))</f>
        <v>0</v>
      </c>
      <c r="AS53" t="b">
        <f>AND(IF(metadata!Q53="",FALSE,TRUE),EXACT(metadata!Q53,"Not applicable"))</f>
        <v>0</v>
      </c>
      <c r="AT53" t="b">
        <f>OR(AND(IF(metadata!R53="",FALSE,TRUE),OR(EXACT(metadata!R53,"not applicable"),EXACT(metadata!R53,"missing: not collected"),EXACT(metadata!R53,"missing: not provided"),EXACT(metadata!R53,"missing: restricted access"))),AND(IF(metadata!R53="",FALSE,ISNUMBER(VALUE(metadata!R53))),metadata!R53&gt;0))</f>
        <v>0</v>
      </c>
      <c r="AU53" t="b">
        <f>AND(IF(metadata!S53="",FALSE,TRUE),EXACT(metadata!S53,"missing: not provided"))</f>
        <v>0</v>
      </c>
    </row>
    <row r="54" spans="1:47" x14ac:dyDescent="0.2">
      <c r="A54" s="5" t="str">
        <f ca="1">IF(B54=" "," ",HYPERLINK(CONCATENATE("#metadata!",ADDRESS(INDEX($Y$2:$Y$1001,MATCH(ROWS($W$2:W54),$W$2:$W$1001,0),0),1)),INDEX($AB$2:$AB$1001,MATCH(ROWS($W$2:W54),$W$2:$W$1001,0),0)))</f>
        <v xml:space="preserve"> </v>
      </c>
      <c r="B54" s="4" t="str">
        <f ca="1">IF(OR(INDEX($X$2:$X$1001,MATCH(ROWS($W$2:W54),$W$2:$W$1001,0),1)&gt;=100000,INDEX($AD$1005:$AU$1005,1,MATCH(COLUMNS($AD$1006:AD1006),$AD$1006:$AU$1006,0))&gt;=100000), " ",IF(INDEX($AD$2:$AU$1001,MATCH(ROWS($W$2:W54),$W$2:$W$1001,0),MATCH(COLUMNS($AD$1006:AD1006),$AD$1006:$AU$1006,0)), HYPERLINK("#",""), HYPERLINK(CONCATENATE("#metadata!", ADDRESS(INDEX($Y$2:$Y$1001,MATCH(ROWS($W$2:W54),$W$2:$W$1001,0),0), INDEX($AD$1004:$AU$1004,1,MATCH(COLUMNS($AD$1006:AD1006),$AD$1006:$AU$1006,0)))),"Fix")))</f>
        <v xml:space="preserve"> </v>
      </c>
      <c r="C54" s="4" t="str">
        <f ca="1">IF(OR(INDEX($X$2:$X$1001,MATCH(ROWS($W$2:W54),$W$2:$W$1001,0),1)&gt;=100000,INDEX($AD$1005:$AU$1005,1,MATCH(COLUMNS($AD$1006:AE1006),$AD$1006:$AU$1006,0))&gt;=100000), " ",IF(INDEX($AD$2:$AU$1001,MATCH(ROWS($W$2:W54),$W$2:$W$1001,0),MATCH(COLUMNS($AD$1006:AE1006),$AD$1006:$AU$1006,0)), HYPERLINK("#",""), HYPERLINK(CONCATENATE("#metadata!", ADDRESS(INDEX($Y$2:$Y$1001,MATCH(ROWS($W$2:W54),$W$2:$W$1001,0),0), INDEX($AD$1004:$AU$1004,1,MATCH(COLUMNS($AD$1006:AE1006),$AD$1006:$AU$1006,0)))),"Fix")))</f>
        <v xml:space="preserve"> </v>
      </c>
      <c r="D54" s="4" t="str">
        <f ca="1">IF(OR(INDEX($X$2:$X$1001,MATCH(ROWS($W$2:W54),$W$2:$W$1001,0),1)&gt;=100000,INDEX($AD$1005:$AU$1005,1,MATCH(COLUMNS($AD$1006:AF1006),$AD$1006:$AU$1006,0))&gt;=100000), " ",IF(INDEX($AD$2:$AU$1001,MATCH(ROWS($W$2:W54),$W$2:$W$1001,0),MATCH(COLUMNS($AD$1006:AF1006),$AD$1006:$AU$1006,0)), HYPERLINK("#",""), HYPERLINK(CONCATENATE("#metadata!", ADDRESS(INDEX($Y$2:$Y$1001,MATCH(ROWS($W$2:W54),$W$2:$W$1001,0),0), INDEX($AD$1004:$AU$1004,1,MATCH(COLUMNS($AD$1006:AF1006),$AD$1006:$AU$1006,0)))),"Fix")))</f>
        <v xml:space="preserve"> </v>
      </c>
      <c r="E54" s="4" t="str">
        <f ca="1">IF(OR(INDEX($X$2:$X$1001,MATCH(ROWS($W$2:W54),$W$2:$W$1001,0),1)&gt;=100000,INDEX($AD$1005:$AU$1005,1,MATCH(COLUMNS($AD$1006:AG1006),$AD$1006:$AU$1006,0))&gt;=100000), " ",IF(INDEX($AD$2:$AU$1001,MATCH(ROWS($W$2:W54),$W$2:$W$1001,0),MATCH(COLUMNS($AD$1006:AG1006),$AD$1006:$AU$1006,0)), HYPERLINK("#",""), HYPERLINK(CONCATENATE("#metadata!", ADDRESS(INDEX($Y$2:$Y$1001,MATCH(ROWS($W$2:W54),$W$2:$W$1001,0),0), INDEX($AD$1004:$AU$1004,1,MATCH(COLUMNS($AD$1006:AG1006),$AD$1006:$AU$1006,0)))),"Fix")))</f>
        <v xml:space="preserve"> </v>
      </c>
      <c r="F54" s="4" t="str">
        <f ca="1">IF(OR(INDEX($X$2:$X$1001,MATCH(ROWS($W$2:W54),$W$2:$W$1001,0),1)&gt;=100000,INDEX($AD$1005:$AU$1005,1,MATCH(COLUMNS($AD$1006:AH1006),$AD$1006:$AU$1006,0))&gt;=100000), " ",IF(INDEX($AD$2:$AU$1001,MATCH(ROWS($W$2:W54),$W$2:$W$1001,0),MATCH(COLUMNS($AD$1006:AH1006),$AD$1006:$AU$1006,0)), HYPERLINK("#",""), HYPERLINK(CONCATENATE("#metadata!", ADDRESS(INDEX($Y$2:$Y$1001,MATCH(ROWS($W$2:W54),$W$2:$W$1001,0),0), INDEX($AD$1004:$AU$1004,1,MATCH(COLUMNS($AD$1006:AH1006),$AD$1006:$AU$1006,0)))),"Fix")))</f>
        <v xml:space="preserve"> </v>
      </c>
      <c r="G54" s="4" t="str">
        <f ca="1">IF(OR(INDEX($X$2:$X$1001,MATCH(ROWS($W$2:W54),$W$2:$W$1001,0),1)&gt;=100000,INDEX($AD$1005:$AU$1005,1,MATCH(COLUMNS($AD$1006:AI1006),$AD$1006:$AU$1006,0))&gt;=100000), " ",IF(INDEX($AD$2:$AU$1001,MATCH(ROWS($W$2:W54),$W$2:$W$1001,0),MATCH(COLUMNS($AD$1006:AI1006),$AD$1006:$AU$1006,0)), HYPERLINK("#",""), HYPERLINK(CONCATENATE("#metadata!", ADDRESS(INDEX($Y$2:$Y$1001,MATCH(ROWS($W$2:W54),$W$2:$W$1001,0),0), INDEX($AD$1004:$AU$1004,1,MATCH(COLUMNS($AD$1006:AI1006),$AD$1006:$AU$1006,0)))),"Fix")))</f>
        <v xml:space="preserve"> </v>
      </c>
      <c r="H54" s="4" t="str">
        <f ca="1">IF(OR(INDEX($X$2:$X$1001,MATCH(ROWS($W$2:W54),$W$2:$W$1001,0),1)&gt;=100000,INDEX($AD$1005:$AU$1005,1,MATCH(COLUMNS($AD$1006:AJ1006),$AD$1006:$AU$1006,0))&gt;=100000), " ",IF(INDEX($AD$2:$AU$1001,MATCH(ROWS($W$2:W54),$W$2:$W$1001,0),MATCH(COLUMNS($AD$1006:AJ1006),$AD$1006:$AU$1006,0)), HYPERLINK("#",""), HYPERLINK(CONCATENATE("#metadata!", ADDRESS(INDEX($Y$2:$Y$1001,MATCH(ROWS($W$2:W54),$W$2:$W$1001,0),0), INDEX($AD$1004:$AU$1004,1,MATCH(COLUMNS($AD$1006:AJ1006),$AD$1006:$AU$1006,0)))),"Fix")))</f>
        <v xml:space="preserve"> </v>
      </c>
      <c r="I54" s="4" t="str">
        <f ca="1">IF(OR(INDEX($X$2:$X$1001,MATCH(ROWS($W$2:W54),$W$2:$W$1001,0),1)&gt;=100000,INDEX($AD$1005:$AU$1005,1,MATCH(COLUMNS($AD$1006:AK1006),$AD$1006:$AU$1006,0))&gt;=100000), " ",IF(INDEX($AD$2:$AU$1001,MATCH(ROWS($W$2:W54),$W$2:$W$1001,0),MATCH(COLUMNS($AD$1006:AK1006),$AD$1006:$AU$1006,0)), HYPERLINK("#",""), HYPERLINK(CONCATENATE("#metadata!", ADDRESS(INDEX($Y$2:$Y$1001,MATCH(ROWS($W$2:W54),$W$2:$W$1001,0),0), INDEX($AD$1004:$AU$1004,1,MATCH(COLUMNS($AD$1006:AK1006),$AD$1006:$AU$1006,0)))),"Fix")))</f>
        <v xml:space="preserve"> </v>
      </c>
      <c r="J54" s="4" t="str">
        <f ca="1">IF(OR(INDEX($X$2:$X$1001,MATCH(ROWS($W$2:W54),$W$2:$W$1001,0),1)&gt;=100000,INDEX($AD$1005:$AU$1005,1,MATCH(COLUMNS($AD$1006:AL1006),$AD$1006:$AU$1006,0))&gt;=100000), " ",IF(INDEX($AD$2:$AU$1001,MATCH(ROWS($W$2:W54),$W$2:$W$1001,0),MATCH(COLUMNS($AD$1006:AL1006),$AD$1006:$AU$1006,0)), HYPERLINK("#",""), HYPERLINK(CONCATENATE("#metadata!", ADDRESS(INDEX($Y$2:$Y$1001,MATCH(ROWS($W$2:W54),$W$2:$W$1001,0),0), INDEX($AD$1004:$AU$1004,1,MATCH(COLUMNS($AD$1006:AL1006),$AD$1006:$AU$1006,0)))),"Fix")))</f>
        <v xml:space="preserve"> </v>
      </c>
      <c r="K54" s="4" t="str">
        <f ca="1">IF(OR(INDEX($X$2:$X$1001,MATCH(ROWS($W$2:W54),$W$2:$W$1001,0),1)&gt;=100000,INDEX($AD$1005:$AU$1005,1,MATCH(COLUMNS($AD$1006:AM1006),$AD$1006:$AU$1006,0))&gt;=100000), " ",IF(INDEX($AD$2:$AU$1001,MATCH(ROWS($W$2:W54),$W$2:$W$1001,0),MATCH(COLUMNS($AD$1006:AM1006),$AD$1006:$AU$1006,0)), HYPERLINK("#",""), HYPERLINK(CONCATENATE("#metadata!", ADDRESS(INDEX($Y$2:$Y$1001,MATCH(ROWS($W$2:W54),$W$2:$W$1001,0),0), INDEX($AD$1004:$AU$1004,1,MATCH(COLUMNS($AD$1006:AM1006),$AD$1006:$AU$1006,0)))),"Fix")))</f>
        <v xml:space="preserve"> </v>
      </c>
      <c r="L54" s="4" t="str">
        <f ca="1">IF(OR(INDEX($X$2:$X$1001,MATCH(ROWS($W$2:W54),$W$2:$W$1001,0),1)&gt;=100000,INDEX($AD$1005:$AU$1005,1,MATCH(COLUMNS($AD$1006:AN1006),$AD$1006:$AU$1006,0))&gt;=100000), " ",IF(INDEX($AD$2:$AU$1001,MATCH(ROWS($W$2:W54),$W$2:$W$1001,0),MATCH(COLUMNS($AD$1006:AN1006),$AD$1006:$AU$1006,0)), HYPERLINK("#",""), HYPERLINK(CONCATENATE("#metadata!", ADDRESS(INDEX($Y$2:$Y$1001,MATCH(ROWS($W$2:W54),$W$2:$W$1001,0),0), INDEX($AD$1004:$AU$1004,1,MATCH(COLUMNS($AD$1006:AN1006),$AD$1006:$AU$1006,0)))),"Fix")))</f>
        <v xml:space="preserve"> </v>
      </c>
      <c r="M54" s="4" t="str">
        <f ca="1">IF(OR(INDEX($X$2:$X$1001,MATCH(ROWS($W$2:W54),$W$2:$W$1001,0),1)&gt;=100000,INDEX($AD$1005:$AU$1005,1,MATCH(COLUMNS($AD$1006:AO1006),$AD$1006:$AU$1006,0))&gt;=100000), " ",IF(INDEX($AD$2:$AU$1001,MATCH(ROWS($W$2:W54),$W$2:$W$1001,0),MATCH(COLUMNS($AD$1006:AO1006),$AD$1006:$AU$1006,0)), HYPERLINK("#",""), HYPERLINK(CONCATENATE("#metadata!", ADDRESS(INDEX($Y$2:$Y$1001,MATCH(ROWS($W$2:W54),$W$2:$W$1001,0),0), INDEX($AD$1004:$AU$1004,1,MATCH(COLUMNS($AD$1006:AO1006),$AD$1006:$AU$1006,0)))),"Fix")))</f>
        <v xml:space="preserve"> </v>
      </c>
      <c r="N54" s="4" t="str">
        <f ca="1">IF(OR(INDEX($X$2:$X$1001,MATCH(ROWS($W$2:W54),$W$2:$W$1001,0),1)&gt;=100000,INDEX($AD$1005:$AU$1005,1,MATCH(COLUMNS($AD$1006:AP1006),$AD$1006:$AU$1006,0))&gt;=100000), " ",IF(INDEX($AD$2:$AU$1001,MATCH(ROWS($W$2:W54),$W$2:$W$1001,0),MATCH(COLUMNS($AD$1006:AP1006),$AD$1006:$AU$1006,0)), HYPERLINK("#",""), HYPERLINK(CONCATENATE("#metadata!", ADDRESS(INDEX($Y$2:$Y$1001,MATCH(ROWS($W$2:W54),$W$2:$W$1001,0),0), INDEX($AD$1004:$AU$1004,1,MATCH(COLUMNS($AD$1006:AP1006),$AD$1006:$AU$1006,0)))),"Fix")))</f>
        <v xml:space="preserve"> </v>
      </c>
      <c r="O54" s="4" t="str">
        <f ca="1">IF(OR(INDEX($X$2:$X$1001,MATCH(ROWS($W$2:W54),$W$2:$W$1001,0),1)&gt;=100000,INDEX($AD$1005:$AU$1005,1,MATCH(COLUMNS($AD$1006:AQ1006),$AD$1006:$AU$1006,0))&gt;=100000), " ",IF(INDEX($AD$2:$AU$1001,MATCH(ROWS($W$2:W54),$W$2:$W$1001,0),MATCH(COLUMNS($AD$1006:AQ1006),$AD$1006:$AU$1006,0)), HYPERLINK("#",""), HYPERLINK(CONCATENATE("#metadata!", ADDRESS(INDEX($Y$2:$Y$1001,MATCH(ROWS($W$2:W54),$W$2:$W$1001,0),0), INDEX($AD$1004:$AU$1004,1,MATCH(COLUMNS($AD$1006:AQ1006),$AD$1006:$AU$1006,0)))),"Fix")))</f>
        <v xml:space="preserve"> </v>
      </c>
      <c r="P54" s="4" t="str">
        <f ca="1">IF(OR(INDEX($X$2:$X$1001,MATCH(ROWS($W$2:W54),$W$2:$W$1001,0),1)&gt;=100000,INDEX($AD$1005:$AU$1005,1,MATCH(COLUMNS($AD$1006:AR1006),$AD$1006:$AU$1006,0))&gt;=100000), " ",IF(INDEX($AD$2:$AU$1001,MATCH(ROWS($W$2:W54),$W$2:$W$1001,0),MATCH(COLUMNS($AD$1006:AR1006),$AD$1006:$AU$1006,0)), HYPERLINK("#",""), HYPERLINK(CONCATENATE("#metadata!", ADDRESS(INDEX($Y$2:$Y$1001,MATCH(ROWS($W$2:W54),$W$2:$W$1001,0),0), INDEX($AD$1004:$AU$1004,1,MATCH(COLUMNS($AD$1006:AR1006),$AD$1006:$AU$1006,0)))),"Fix")))</f>
        <v xml:space="preserve"> </v>
      </c>
      <c r="Q54" s="4" t="str">
        <f ca="1">IF(OR(INDEX($X$2:$X$1001,MATCH(ROWS($W$2:W54),$W$2:$W$1001,0),1)&gt;=100000,INDEX($AD$1005:$AU$1005,1,MATCH(COLUMNS($AD$1006:AS1006),$AD$1006:$AU$1006,0))&gt;=100000), " ",IF(INDEX($AD$2:$AU$1001,MATCH(ROWS($W$2:W54),$W$2:$W$1001,0),MATCH(COLUMNS($AD$1006:AS1006),$AD$1006:$AU$1006,0)), HYPERLINK("#",""), HYPERLINK(CONCATENATE("#metadata!", ADDRESS(INDEX($Y$2:$Y$1001,MATCH(ROWS($W$2:W54),$W$2:$W$1001,0),0), INDEX($AD$1004:$AU$1004,1,MATCH(COLUMNS($AD$1006:AS1006),$AD$1006:$AU$1006,0)))),"Fix")))</f>
        <v xml:space="preserve"> </v>
      </c>
      <c r="R54" s="4" t="str">
        <f ca="1">IF(OR(INDEX($X$2:$X$1001,MATCH(ROWS($W$2:W54),$W$2:$W$1001,0),1)&gt;=100000,INDEX($AD$1005:$AU$1005,1,MATCH(COLUMNS($AD$1006:AT1006),$AD$1006:$AU$1006,0))&gt;=100000), " ",IF(INDEX($AD$2:$AU$1001,MATCH(ROWS($W$2:W54),$W$2:$W$1001,0),MATCH(COLUMNS($AD$1006:AT1006),$AD$1006:$AU$1006,0)), HYPERLINK("#",""), HYPERLINK(CONCATENATE("#metadata!", ADDRESS(INDEX($Y$2:$Y$1001,MATCH(ROWS($W$2:W54),$W$2:$W$1001,0),0), INDEX($AD$1004:$AU$1004,1,MATCH(COLUMNS($AD$1006:AT1006),$AD$1006:$AU$1006,0)))),"Fix")))</f>
        <v xml:space="preserve"> </v>
      </c>
      <c r="S54" s="4" t="str">
        <f ca="1">IF(OR(INDEX($X$2:$X$1001,MATCH(ROWS($W$2:W54),$W$2:$W$1001,0),1)&gt;=100000,INDEX($AD$1005:$AU$1005,1,MATCH(COLUMNS($AD$1006:AU1006),$AD$1006:$AU$1006,0))&gt;=100000), " ",IF(INDEX($AD$2:$AU$1001,MATCH(ROWS($W$2:W54),$W$2:$W$1001,0),MATCH(COLUMNS($AD$1006:AU1006),$AD$1006:$AU$1006,0)), HYPERLINK("#",""), HYPERLINK(CONCATENATE("#metadata!", ADDRESS(INDEX($Y$2:$Y$1001,MATCH(ROWS($W$2:W54),$W$2:$W$1001,0),0), INDEX($AD$1004:$AU$1004,1,MATCH(COLUMNS($AD$1006:AU1006),$AD$1006:$AU$1006,0)))),"Fix")))</f>
        <v xml:space="preserve"> </v>
      </c>
      <c r="W54">
        <v>53</v>
      </c>
      <c r="X54">
        <v>100054</v>
      </c>
      <c r="Y54">
        <v>54</v>
      </c>
      <c r="Z54" t="b">
        <f t="shared" si="0"/>
        <v>1</v>
      </c>
      <c r="AA54" t="b">
        <f>COUNTBLANK(metadata!B54:S54)=COLUMNS(metadata!B54:S54)</f>
        <v>1</v>
      </c>
      <c r="AB54" t="str">
        <v/>
      </c>
      <c r="AD54" t="b">
        <f ca="1">AND(IF(metadata!B54="",FALSE,TRUE),COUNTIF(metadata!B:B, metadata!B54) = 1,NOT(ISERROR(SUMPRODUCT(SEARCH(MID(metadata!B54,ROW(INDIRECT("1:"&amp;LEN(metadata!B54))), 1),"0123456789abcdefghijklmnopqrstuvwxyzABCDEFGHIJKLMNOPQRSTUVWXYZ.")))))</f>
        <v>0</v>
      </c>
      <c r="AE54" t="b">
        <f>OR(AND(IF(metadata!C54="",FALSE,TRUE),OR(EXACT(metadata!C54,"not applicable"),EXACT(metadata!C54,"missing: not collected"),EXACT(metadata!C54,"missing: not provided"),EXACT(metadata!C54,"missing: restricted access"))),AND(IF(metadata!C54="",FALSE,ISNUMBER(VALUE(metadata!C54))),metadata!C54&gt;0))</f>
        <v>0</v>
      </c>
      <c r="AF54" t="b">
        <f>AND(IF(metadata!D54="",FALSE,TRUE),EXACT(metadata!D54,"missing: not provided"))</f>
        <v>0</v>
      </c>
      <c r="AG54" t="b">
        <f>AND(IF(metadata!E54="",FALSE,TRUE),EXACT(metadata!E54,"Host-associated"))</f>
        <v>0</v>
      </c>
      <c r="AH54" t="b">
        <f>AND(IF(metadata!F54="",FALSE,TRUE),OR(EXACT(metadata!F54,"Animal"),EXACT(metadata!F54,"Fungus"),EXACT(metadata!F54,"Plant")))</f>
        <v>0</v>
      </c>
      <c r="AI54" t="b">
        <f>AND(IF(metadata!G54="",FALSE,TRUE),OR(EXACT(metadata!G54,"Plant secretion"),EXACT(metadata!G54,"Plant rhizosphere"),EXACT(metadata!G54,"Plant surface"),EXACT(metadata!G54,"Plant corpus"),EXACT(metadata!G54,"Fungus surface"),EXACT(metadata!G54,"Fungus corpus"),EXACT(metadata!G54,"Animal surface"),EXACT(metadata!G54,"Animal proximal gut"),EXACT(metadata!G54,"Animal corpus"),EXACT(metadata!G54,"Animal distal gut"),EXACT(metadata!G54,"Animal secretion")))</f>
        <v>0</v>
      </c>
      <c r="AJ54" t="b">
        <f>OR(AND(IF(metadata!H54="",FALSE,TRUE),OR(EXACT(metadata!H54,"missing: not collected"),EXACT(metadata!H54,"missing: not provided"),EXACT(metadata!H54,"missing: restricted access"))),AND(IF(metadata!H54="",FALSE,TRUE),OR(EXACT(metadata!H54,"organism-associated habitat"),EXACT(metadata!H54,"plant-associated habitat"),EXACT(metadata!H54,"animal-associated habitat"),EXACT(metadata!H54,"insecta-associated habitat"),EXACT(metadata!H54,"mammalia-associated habitat"),EXACT(metadata!H54,"human-associated habitat"),EXACT(metadata!H54,"livestock-associated habitat"))))</f>
        <v>0</v>
      </c>
      <c r="AK54" t="b">
        <f>AND(IF(metadata!I54="",FALSE,TRUE),EXACT(metadata!I54,"host-associated"))</f>
        <v>0</v>
      </c>
      <c r="AL54" t="b">
        <f>OR(AND(IF(metadata!J54="",FALSE,TRUE),OR(EXACT(metadata!J54,"not applicable"),EXACT(metadata!J54,"missing: not collected"),EXACT(metadata!J54,"missing: not provided"),EXACT(metadata!J54,"missing: restricted access"))),AND(IF(metadata!J54="",FALSE,ISNUMBER(VALUE(metadata!J54))),metadata!J54&gt;0))</f>
        <v>0</v>
      </c>
      <c r="AM54" t="b">
        <f>AND(IF(metadata!K54="",FALSE,TRUE),EXACT(metadata!K54,"missing: not provided"))</f>
        <v>0</v>
      </c>
      <c r="AN54" t="b">
        <f>IF(metadata!L54="",FALSE,TRUE)</f>
        <v>0</v>
      </c>
      <c r="AO54" t="b">
        <f>IF(metadata!M54="",FALSE,TRUE)</f>
        <v>0</v>
      </c>
      <c r="AP54" t="b">
        <f>OR(AND(IF(metadata!N54="",FALSE,TRUE),OR(EXACT(metadata!N54,"not applicable"),EXACT(metadata!N54,"missing: not collected"),EXACT(metadata!N54,"missing: not provided"))),AND(IF(metadata!N54="",FALSE,IF(ISERROR(INT(metadata!N54)),FALSE,INT(metadata!N54)=metadata!N54)),metadata!N54&gt;0))</f>
        <v>0</v>
      </c>
      <c r="AQ54" t="b">
        <f>AND(IF(metadata!O54="",FALSE,TRUE),EXACT(metadata!O54,"Not applicable"))</f>
        <v>0</v>
      </c>
      <c r="AR54" t="b">
        <f>OR(AND(IF(metadata!P54="",FALSE,TRUE),OR(EXACT(metadata!P54,"not applicable"),EXACT(metadata!P54,"missing: not collected"),EXACT(metadata!P54,"missing: not provided"),EXACT(metadata!P54,"missing: restricted access"))),IF(metadata!P54="",FALSE,IF(ISERROR(INT(metadata!P54)),FALSE,INT(metadata!P54)=metadata!P54)))</f>
        <v>0</v>
      </c>
      <c r="AS54" t="b">
        <f>AND(IF(metadata!Q54="",FALSE,TRUE),EXACT(metadata!Q54,"Not applicable"))</f>
        <v>0</v>
      </c>
      <c r="AT54" t="b">
        <f>OR(AND(IF(metadata!R54="",FALSE,TRUE),OR(EXACT(metadata!R54,"not applicable"),EXACT(metadata!R54,"missing: not collected"),EXACT(metadata!R54,"missing: not provided"),EXACT(metadata!R54,"missing: restricted access"))),AND(IF(metadata!R54="",FALSE,ISNUMBER(VALUE(metadata!R54))),metadata!R54&gt;0))</f>
        <v>0</v>
      </c>
      <c r="AU54" t="b">
        <f>AND(IF(metadata!S54="",FALSE,TRUE),EXACT(metadata!S54,"missing: not provided"))</f>
        <v>0</v>
      </c>
    </row>
    <row r="55" spans="1:47" x14ac:dyDescent="0.2">
      <c r="A55" s="5" t="str">
        <f ca="1">IF(B55=" "," ",HYPERLINK(CONCATENATE("#metadata!",ADDRESS(INDEX($Y$2:$Y$1001,MATCH(ROWS($W$2:W55),$W$2:$W$1001,0),0),1)),INDEX($AB$2:$AB$1001,MATCH(ROWS($W$2:W55),$W$2:$W$1001,0),0)))</f>
        <v xml:space="preserve"> </v>
      </c>
      <c r="B55" s="4" t="str">
        <f ca="1">IF(OR(INDEX($X$2:$X$1001,MATCH(ROWS($W$2:W55),$W$2:$W$1001,0),1)&gt;=100000,INDEX($AD$1005:$AU$1005,1,MATCH(COLUMNS($AD$1006:AD1006),$AD$1006:$AU$1006,0))&gt;=100000), " ",IF(INDEX($AD$2:$AU$1001,MATCH(ROWS($W$2:W55),$W$2:$W$1001,0),MATCH(COLUMNS($AD$1006:AD1006),$AD$1006:$AU$1006,0)), HYPERLINK("#",""), HYPERLINK(CONCATENATE("#metadata!", ADDRESS(INDEX($Y$2:$Y$1001,MATCH(ROWS($W$2:W55),$W$2:$W$1001,0),0), INDEX($AD$1004:$AU$1004,1,MATCH(COLUMNS($AD$1006:AD1006),$AD$1006:$AU$1006,0)))),"Fix")))</f>
        <v xml:space="preserve"> </v>
      </c>
      <c r="C55" s="4" t="str">
        <f ca="1">IF(OR(INDEX($X$2:$X$1001,MATCH(ROWS($W$2:W55),$W$2:$W$1001,0),1)&gt;=100000,INDEX($AD$1005:$AU$1005,1,MATCH(COLUMNS($AD$1006:AE1006),$AD$1006:$AU$1006,0))&gt;=100000), " ",IF(INDEX($AD$2:$AU$1001,MATCH(ROWS($W$2:W55),$W$2:$W$1001,0),MATCH(COLUMNS($AD$1006:AE1006),$AD$1006:$AU$1006,0)), HYPERLINK("#",""), HYPERLINK(CONCATENATE("#metadata!", ADDRESS(INDEX($Y$2:$Y$1001,MATCH(ROWS($W$2:W55),$W$2:$W$1001,0),0), INDEX($AD$1004:$AU$1004,1,MATCH(COLUMNS($AD$1006:AE1006),$AD$1006:$AU$1006,0)))),"Fix")))</f>
        <v xml:space="preserve"> </v>
      </c>
      <c r="D55" s="4" t="str">
        <f ca="1">IF(OR(INDEX($X$2:$X$1001,MATCH(ROWS($W$2:W55),$W$2:$W$1001,0),1)&gt;=100000,INDEX($AD$1005:$AU$1005,1,MATCH(COLUMNS($AD$1006:AF1006),$AD$1006:$AU$1006,0))&gt;=100000), " ",IF(INDEX($AD$2:$AU$1001,MATCH(ROWS($W$2:W55),$W$2:$W$1001,0),MATCH(COLUMNS($AD$1006:AF1006),$AD$1006:$AU$1006,0)), HYPERLINK("#",""), HYPERLINK(CONCATENATE("#metadata!", ADDRESS(INDEX($Y$2:$Y$1001,MATCH(ROWS($W$2:W55),$W$2:$W$1001,0),0), INDEX($AD$1004:$AU$1004,1,MATCH(COLUMNS($AD$1006:AF1006),$AD$1006:$AU$1006,0)))),"Fix")))</f>
        <v xml:space="preserve"> </v>
      </c>
      <c r="E55" s="4" t="str">
        <f ca="1">IF(OR(INDEX($X$2:$X$1001,MATCH(ROWS($W$2:W55),$W$2:$W$1001,0),1)&gt;=100000,INDEX($AD$1005:$AU$1005,1,MATCH(COLUMNS($AD$1006:AG1006),$AD$1006:$AU$1006,0))&gt;=100000), " ",IF(INDEX($AD$2:$AU$1001,MATCH(ROWS($W$2:W55),$W$2:$W$1001,0),MATCH(COLUMNS($AD$1006:AG1006),$AD$1006:$AU$1006,0)), HYPERLINK("#",""), HYPERLINK(CONCATENATE("#metadata!", ADDRESS(INDEX($Y$2:$Y$1001,MATCH(ROWS($W$2:W55),$W$2:$W$1001,0),0), INDEX($AD$1004:$AU$1004,1,MATCH(COLUMNS($AD$1006:AG1006),$AD$1006:$AU$1006,0)))),"Fix")))</f>
        <v xml:space="preserve"> </v>
      </c>
      <c r="F55" s="4" t="str">
        <f ca="1">IF(OR(INDEX($X$2:$X$1001,MATCH(ROWS($W$2:W55),$W$2:$W$1001,0),1)&gt;=100000,INDEX($AD$1005:$AU$1005,1,MATCH(COLUMNS($AD$1006:AH1006),$AD$1006:$AU$1006,0))&gt;=100000), " ",IF(INDEX($AD$2:$AU$1001,MATCH(ROWS($W$2:W55),$W$2:$W$1001,0),MATCH(COLUMNS($AD$1006:AH1006),$AD$1006:$AU$1006,0)), HYPERLINK("#",""), HYPERLINK(CONCATENATE("#metadata!", ADDRESS(INDEX($Y$2:$Y$1001,MATCH(ROWS($W$2:W55),$W$2:$W$1001,0),0), INDEX($AD$1004:$AU$1004,1,MATCH(COLUMNS($AD$1006:AH1006),$AD$1006:$AU$1006,0)))),"Fix")))</f>
        <v xml:space="preserve"> </v>
      </c>
      <c r="G55" s="4" t="str">
        <f ca="1">IF(OR(INDEX($X$2:$X$1001,MATCH(ROWS($W$2:W55),$W$2:$W$1001,0),1)&gt;=100000,INDEX($AD$1005:$AU$1005,1,MATCH(COLUMNS($AD$1006:AI1006),$AD$1006:$AU$1006,0))&gt;=100000), " ",IF(INDEX($AD$2:$AU$1001,MATCH(ROWS($W$2:W55),$W$2:$W$1001,0),MATCH(COLUMNS($AD$1006:AI1006),$AD$1006:$AU$1006,0)), HYPERLINK("#",""), HYPERLINK(CONCATENATE("#metadata!", ADDRESS(INDEX($Y$2:$Y$1001,MATCH(ROWS($W$2:W55),$W$2:$W$1001,0),0), INDEX($AD$1004:$AU$1004,1,MATCH(COLUMNS($AD$1006:AI1006),$AD$1006:$AU$1006,0)))),"Fix")))</f>
        <v xml:space="preserve"> </v>
      </c>
      <c r="H55" s="4" t="str">
        <f ca="1">IF(OR(INDEX($X$2:$X$1001,MATCH(ROWS($W$2:W55),$W$2:$W$1001,0),1)&gt;=100000,INDEX($AD$1005:$AU$1005,1,MATCH(COLUMNS($AD$1006:AJ1006),$AD$1006:$AU$1006,0))&gt;=100000), " ",IF(INDEX($AD$2:$AU$1001,MATCH(ROWS($W$2:W55),$W$2:$W$1001,0),MATCH(COLUMNS($AD$1006:AJ1006),$AD$1006:$AU$1006,0)), HYPERLINK("#",""), HYPERLINK(CONCATENATE("#metadata!", ADDRESS(INDEX($Y$2:$Y$1001,MATCH(ROWS($W$2:W55),$W$2:$W$1001,0),0), INDEX($AD$1004:$AU$1004,1,MATCH(COLUMNS($AD$1006:AJ1006),$AD$1006:$AU$1006,0)))),"Fix")))</f>
        <v xml:space="preserve"> </v>
      </c>
      <c r="I55" s="4" t="str">
        <f ca="1">IF(OR(INDEX($X$2:$X$1001,MATCH(ROWS($W$2:W55),$W$2:$W$1001,0),1)&gt;=100000,INDEX($AD$1005:$AU$1005,1,MATCH(COLUMNS($AD$1006:AK1006),$AD$1006:$AU$1006,0))&gt;=100000), " ",IF(INDEX($AD$2:$AU$1001,MATCH(ROWS($W$2:W55),$W$2:$W$1001,0),MATCH(COLUMNS($AD$1006:AK1006),$AD$1006:$AU$1006,0)), HYPERLINK("#",""), HYPERLINK(CONCATENATE("#metadata!", ADDRESS(INDEX($Y$2:$Y$1001,MATCH(ROWS($W$2:W55),$W$2:$W$1001,0),0), INDEX($AD$1004:$AU$1004,1,MATCH(COLUMNS($AD$1006:AK1006),$AD$1006:$AU$1006,0)))),"Fix")))</f>
        <v xml:space="preserve"> </v>
      </c>
      <c r="J55" s="4" t="str">
        <f ca="1">IF(OR(INDEX($X$2:$X$1001,MATCH(ROWS($W$2:W55),$W$2:$W$1001,0),1)&gt;=100000,INDEX($AD$1005:$AU$1005,1,MATCH(COLUMNS($AD$1006:AL1006),$AD$1006:$AU$1006,0))&gt;=100000), " ",IF(INDEX($AD$2:$AU$1001,MATCH(ROWS($W$2:W55),$W$2:$W$1001,0),MATCH(COLUMNS($AD$1006:AL1006),$AD$1006:$AU$1006,0)), HYPERLINK("#",""), HYPERLINK(CONCATENATE("#metadata!", ADDRESS(INDEX($Y$2:$Y$1001,MATCH(ROWS($W$2:W55),$W$2:$W$1001,0),0), INDEX($AD$1004:$AU$1004,1,MATCH(COLUMNS($AD$1006:AL1006),$AD$1006:$AU$1006,0)))),"Fix")))</f>
        <v xml:space="preserve"> </v>
      </c>
      <c r="K55" s="4" t="str">
        <f ca="1">IF(OR(INDEX($X$2:$X$1001,MATCH(ROWS($W$2:W55),$W$2:$W$1001,0),1)&gt;=100000,INDEX($AD$1005:$AU$1005,1,MATCH(COLUMNS($AD$1006:AM1006),$AD$1006:$AU$1006,0))&gt;=100000), " ",IF(INDEX($AD$2:$AU$1001,MATCH(ROWS($W$2:W55),$W$2:$W$1001,0),MATCH(COLUMNS($AD$1006:AM1006),$AD$1006:$AU$1006,0)), HYPERLINK("#",""), HYPERLINK(CONCATENATE("#metadata!", ADDRESS(INDEX($Y$2:$Y$1001,MATCH(ROWS($W$2:W55),$W$2:$W$1001,0),0), INDEX($AD$1004:$AU$1004,1,MATCH(COLUMNS($AD$1006:AM1006),$AD$1006:$AU$1006,0)))),"Fix")))</f>
        <v xml:space="preserve"> </v>
      </c>
      <c r="L55" s="4" t="str">
        <f ca="1">IF(OR(INDEX($X$2:$X$1001,MATCH(ROWS($W$2:W55),$W$2:$W$1001,0),1)&gt;=100000,INDEX($AD$1005:$AU$1005,1,MATCH(COLUMNS($AD$1006:AN1006),$AD$1006:$AU$1006,0))&gt;=100000), " ",IF(INDEX($AD$2:$AU$1001,MATCH(ROWS($W$2:W55),$W$2:$W$1001,0),MATCH(COLUMNS($AD$1006:AN1006),$AD$1006:$AU$1006,0)), HYPERLINK("#",""), HYPERLINK(CONCATENATE("#metadata!", ADDRESS(INDEX($Y$2:$Y$1001,MATCH(ROWS($W$2:W55),$W$2:$W$1001,0),0), INDEX($AD$1004:$AU$1004,1,MATCH(COLUMNS($AD$1006:AN1006),$AD$1006:$AU$1006,0)))),"Fix")))</f>
        <v xml:space="preserve"> </v>
      </c>
      <c r="M55" s="4" t="str">
        <f ca="1">IF(OR(INDEX($X$2:$X$1001,MATCH(ROWS($W$2:W55),$W$2:$W$1001,0),1)&gt;=100000,INDEX($AD$1005:$AU$1005,1,MATCH(COLUMNS($AD$1006:AO1006),$AD$1006:$AU$1006,0))&gt;=100000), " ",IF(INDEX($AD$2:$AU$1001,MATCH(ROWS($W$2:W55),$W$2:$W$1001,0),MATCH(COLUMNS($AD$1006:AO1006),$AD$1006:$AU$1006,0)), HYPERLINK("#",""), HYPERLINK(CONCATENATE("#metadata!", ADDRESS(INDEX($Y$2:$Y$1001,MATCH(ROWS($W$2:W55),$W$2:$W$1001,0),0), INDEX($AD$1004:$AU$1004,1,MATCH(COLUMNS($AD$1006:AO1006),$AD$1006:$AU$1006,0)))),"Fix")))</f>
        <v xml:space="preserve"> </v>
      </c>
      <c r="N55" s="4" t="str">
        <f ca="1">IF(OR(INDEX($X$2:$X$1001,MATCH(ROWS($W$2:W55),$W$2:$W$1001,0),1)&gt;=100000,INDEX($AD$1005:$AU$1005,1,MATCH(COLUMNS($AD$1006:AP1006),$AD$1006:$AU$1006,0))&gt;=100000), " ",IF(INDEX($AD$2:$AU$1001,MATCH(ROWS($W$2:W55),$W$2:$W$1001,0),MATCH(COLUMNS($AD$1006:AP1006),$AD$1006:$AU$1006,0)), HYPERLINK("#",""), HYPERLINK(CONCATENATE("#metadata!", ADDRESS(INDEX($Y$2:$Y$1001,MATCH(ROWS($W$2:W55),$W$2:$W$1001,0),0), INDEX($AD$1004:$AU$1004,1,MATCH(COLUMNS($AD$1006:AP1006),$AD$1006:$AU$1006,0)))),"Fix")))</f>
        <v xml:space="preserve"> </v>
      </c>
      <c r="O55" s="4" t="str">
        <f ca="1">IF(OR(INDEX($X$2:$X$1001,MATCH(ROWS($W$2:W55),$W$2:$W$1001,0),1)&gt;=100000,INDEX($AD$1005:$AU$1005,1,MATCH(COLUMNS($AD$1006:AQ1006),$AD$1006:$AU$1006,0))&gt;=100000), " ",IF(INDEX($AD$2:$AU$1001,MATCH(ROWS($W$2:W55),$W$2:$W$1001,0),MATCH(COLUMNS($AD$1006:AQ1006),$AD$1006:$AU$1006,0)), HYPERLINK("#",""), HYPERLINK(CONCATENATE("#metadata!", ADDRESS(INDEX($Y$2:$Y$1001,MATCH(ROWS($W$2:W55),$W$2:$W$1001,0),0), INDEX($AD$1004:$AU$1004,1,MATCH(COLUMNS($AD$1006:AQ1006),$AD$1006:$AU$1006,0)))),"Fix")))</f>
        <v xml:space="preserve"> </v>
      </c>
      <c r="P55" s="4" t="str">
        <f ca="1">IF(OR(INDEX($X$2:$X$1001,MATCH(ROWS($W$2:W55),$W$2:$W$1001,0),1)&gt;=100000,INDEX($AD$1005:$AU$1005,1,MATCH(COLUMNS($AD$1006:AR1006),$AD$1006:$AU$1006,0))&gt;=100000), " ",IF(INDEX($AD$2:$AU$1001,MATCH(ROWS($W$2:W55),$W$2:$W$1001,0),MATCH(COLUMNS($AD$1006:AR1006),$AD$1006:$AU$1006,0)), HYPERLINK("#",""), HYPERLINK(CONCATENATE("#metadata!", ADDRESS(INDEX($Y$2:$Y$1001,MATCH(ROWS($W$2:W55),$W$2:$W$1001,0),0), INDEX($AD$1004:$AU$1004,1,MATCH(COLUMNS($AD$1006:AR1006),$AD$1006:$AU$1006,0)))),"Fix")))</f>
        <v xml:space="preserve"> </v>
      </c>
      <c r="Q55" s="4" t="str">
        <f ca="1">IF(OR(INDEX($X$2:$X$1001,MATCH(ROWS($W$2:W55),$W$2:$W$1001,0),1)&gt;=100000,INDEX($AD$1005:$AU$1005,1,MATCH(COLUMNS($AD$1006:AS1006),$AD$1006:$AU$1006,0))&gt;=100000), " ",IF(INDEX($AD$2:$AU$1001,MATCH(ROWS($W$2:W55),$W$2:$W$1001,0),MATCH(COLUMNS($AD$1006:AS1006),$AD$1006:$AU$1006,0)), HYPERLINK("#",""), HYPERLINK(CONCATENATE("#metadata!", ADDRESS(INDEX($Y$2:$Y$1001,MATCH(ROWS($W$2:W55),$W$2:$W$1001,0),0), INDEX($AD$1004:$AU$1004,1,MATCH(COLUMNS($AD$1006:AS1006),$AD$1006:$AU$1006,0)))),"Fix")))</f>
        <v xml:space="preserve"> </v>
      </c>
      <c r="R55" s="4" t="str">
        <f ca="1">IF(OR(INDEX($X$2:$X$1001,MATCH(ROWS($W$2:W55),$W$2:$W$1001,0),1)&gt;=100000,INDEX($AD$1005:$AU$1005,1,MATCH(COLUMNS($AD$1006:AT1006),$AD$1006:$AU$1006,0))&gt;=100000), " ",IF(INDEX($AD$2:$AU$1001,MATCH(ROWS($W$2:W55),$W$2:$W$1001,0),MATCH(COLUMNS($AD$1006:AT1006),$AD$1006:$AU$1006,0)), HYPERLINK("#",""), HYPERLINK(CONCATENATE("#metadata!", ADDRESS(INDEX($Y$2:$Y$1001,MATCH(ROWS($W$2:W55),$W$2:$W$1001,0),0), INDEX($AD$1004:$AU$1004,1,MATCH(COLUMNS($AD$1006:AT1006),$AD$1006:$AU$1006,0)))),"Fix")))</f>
        <v xml:space="preserve"> </v>
      </c>
      <c r="S55" s="4" t="str">
        <f ca="1">IF(OR(INDEX($X$2:$X$1001,MATCH(ROWS($W$2:W55),$W$2:$W$1001,0),1)&gt;=100000,INDEX($AD$1005:$AU$1005,1,MATCH(COLUMNS($AD$1006:AU1006),$AD$1006:$AU$1006,0))&gt;=100000), " ",IF(INDEX($AD$2:$AU$1001,MATCH(ROWS($W$2:W55),$W$2:$W$1001,0),MATCH(COLUMNS($AD$1006:AU1006),$AD$1006:$AU$1006,0)), HYPERLINK("#",""), HYPERLINK(CONCATENATE("#metadata!", ADDRESS(INDEX($Y$2:$Y$1001,MATCH(ROWS($W$2:W55),$W$2:$W$1001,0),0), INDEX($AD$1004:$AU$1004,1,MATCH(COLUMNS($AD$1006:AU1006),$AD$1006:$AU$1006,0)))),"Fix")))</f>
        <v xml:space="preserve"> </v>
      </c>
      <c r="W55">
        <v>54</v>
      </c>
      <c r="X55">
        <v>100055</v>
      </c>
      <c r="Y55">
        <v>55</v>
      </c>
      <c r="Z55" t="b">
        <f t="shared" si="0"/>
        <v>1</v>
      </c>
      <c r="AA55" t="b">
        <f>COUNTBLANK(metadata!B55:S55)=COLUMNS(metadata!B55:S55)</f>
        <v>1</v>
      </c>
      <c r="AB55" t="str">
        <v/>
      </c>
      <c r="AD55" t="b">
        <f ca="1">AND(IF(metadata!B55="",FALSE,TRUE),COUNTIF(metadata!B:B, metadata!B55) = 1,NOT(ISERROR(SUMPRODUCT(SEARCH(MID(metadata!B55,ROW(INDIRECT("1:"&amp;LEN(metadata!B55))), 1),"0123456789abcdefghijklmnopqrstuvwxyzABCDEFGHIJKLMNOPQRSTUVWXYZ.")))))</f>
        <v>0</v>
      </c>
      <c r="AE55" t="b">
        <f>OR(AND(IF(metadata!C55="",FALSE,TRUE),OR(EXACT(metadata!C55,"not applicable"),EXACT(metadata!C55,"missing: not collected"),EXACT(metadata!C55,"missing: not provided"),EXACT(metadata!C55,"missing: restricted access"))),AND(IF(metadata!C55="",FALSE,ISNUMBER(VALUE(metadata!C55))),metadata!C55&gt;0))</f>
        <v>0</v>
      </c>
      <c r="AF55" t="b">
        <f>AND(IF(metadata!D55="",FALSE,TRUE),EXACT(metadata!D55,"missing: not provided"))</f>
        <v>0</v>
      </c>
      <c r="AG55" t="b">
        <f>AND(IF(metadata!E55="",FALSE,TRUE),EXACT(metadata!E55,"Host-associated"))</f>
        <v>0</v>
      </c>
      <c r="AH55" t="b">
        <f>AND(IF(metadata!F55="",FALSE,TRUE),OR(EXACT(metadata!F55,"Animal"),EXACT(metadata!F55,"Fungus"),EXACT(metadata!F55,"Plant")))</f>
        <v>0</v>
      </c>
      <c r="AI55" t="b">
        <f>AND(IF(metadata!G55="",FALSE,TRUE),OR(EXACT(metadata!G55,"Plant secretion"),EXACT(metadata!G55,"Plant rhizosphere"),EXACT(metadata!G55,"Plant surface"),EXACT(metadata!G55,"Plant corpus"),EXACT(metadata!G55,"Fungus surface"),EXACT(metadata!G55,"Fungus corpus"),EXACT(metadata!G55,"Animal surface"),EXACT(metadata!G55,"Animal proximal gut"),EXACT(metadata!G55,"Animal corpus"),EXACT(metadata!G55,"Animal distal gut"),EXACT(metadata!G55,"Animal secretion")))</f>
        <v>0</v>
      </c>
      <c r="AJ55" t="b">
        <f>OR(AND(IF(metadata!H55="",FALSE,TRUE),OR(EXACT(metadata!H55,"missing: not collected"),EXACT(metadata!H55,"missing: not provided"),EXACT(metadata!H55,"missing: restricted access"))),AND(IF(metadata!H55="",FALSE,TRUE),OR(EXACT(metadata!H55,"organism-associated habitat"),EXACT(metadata!H55,"plant-associated habitat"),EXACT(metadata!H55,"animal-associated habitat"),EXACT(metadata!H55,"insecta-associated habitat"),EXACT(metadata!H55,"mammalia-associated habitat"),EXACT(metadata!H55,"human-associated habitat"),EXACT(metadata!H55,"livestock-associated habitat"))))</f>
        <v>0</v>
      </c>
      <c r="AK55" t="b">
        <f>AND(IF(metadata!I55="",FALSE,TRUE),EXACT(metadata!I55,"host-associated"))</f>
        <v>0</v>
      </c>
      <c r="AL55" t="b">
        <f>OR(AND(IF(metadata!J55="",FALSE,TRUE),OR(EXACT(metadata!J55,"not applicable"),EXACT(metadata!J55,"missing: not collected"),EXACT(metadata!J55,"missing: not provided"),EXACT(metadata!J55,"missing: restricted access"))),AND(IF(metadata!J55="",FALSE,ISNUMBER(VALUE(metadata!J55))),metadata!J55&gt;0))</f>
        <v>0</v>
      </c>
      <c r="AM55" t="b">
        <f>AND(IF(metadata!K55="",FALSE,TRUE),EXACT(metadata!K55,"missing: not provided"))</f>
        <v>0</v>
      </c>
      <c r="AN55" t="b">
        <f>IF(metadata!L55="",FALSE,TRUE)</f>
        <v>0</v>
      </c>
      <c r="AO55" t="b">
        <f>IF(metadata!M55="",FALSE,TRUE)</f>
        <v>0</v>
      </c>
      <c r="AP55" t="b">
        <f>OR(AND(IF(metadata!N55="",FALSE,TRUE),OR(EXACT(metadata!N55,"not applicable"),EXACT(metadata!N55,"missing: not collected"),EXACT(metadata!N55,"missing: not provided"))),AND(IF(metadata!N55="",FALSE,IF(ISERROR(INT(metadata!N55)),FALSE,INT(metadata!N55)=metadata!N55)),metadata!N55&gt;0))</f>
        <v>0</v>
      </c>
      <c r="AQ55" t="b">
        <f>AND(IF(metadata!O55="",FALSE,TRUE),EXACT(metadata!O55,"Not applicable"))</f>
        <v>0</v>
      </c>
      <c r="AR55" t="b">
        <f>OR(AND(IF(metadata!P55="",FALSE,TRUE),OR(EXACT(metadata!P55,"not applicable"),EXACT(metadata!P55,"missing: not collected"),EXACT(metadata!P55,"missing: not provided"),EXACT(metadata!P55,"missing: restricted access"))),IF(metadata!P55="",FALSE,IF(ISERROR(INT(metadata!P55)),FALSE,INT(metadata!P55)=metadata!P55)))</f>
        <v>0</v>
      </c>
      <c r="AS55" t="b">
        <f>AND(IF(metadata!Q55="",FALSE,TRUE),EXACT(metadata!Q55,"Not applicable"))</f>
        <v>0</v>
      </c>
      <c r="AT55" t="b">
        <f>OR(AND(IF(metadata!R55="",FALSE,TRUE),OR(EXACT(metadata!R55,"not applicable"),EXACT(metadata!R55,"missing: not collected"),EXACT(metadata!R55,"missing: not provided"),EXACT(metadata!R55,"missing: restricted access"))),AND(IF(metadata!R55="",FALSE,ISNUMBER(VALUE(metadata!R55))),metadata!R55&gt;0))</f>
        <v>0</v>
      </c>
      <c r="AU55" t="b">
        <f>AND(IF(metadata!S55="",FALSE,TRUE),EXACT(metadata!S55,"missing: not provided"))</f>
        <v>0</v>
      </c>
    </row>
    <row r="56" spans="1:47" x14ac:dyDescent="0.2">
      <c r="A56" s="5" t="str">
        <f ca="1">IF(B56=" "," ",HYPERLINK(CONCATENATE("#metadata!",ADDRESS(INDEX($Y$2:$Y$1001,MATCH(ROWS($W$2:W56),$W$2:$W$1001,0),0),1)),INDEX($AB$2:$AB$1001,MATCH(ROWS($W$2:W56),$W$2:$W$1001,0),0)))</f>
        <v xml:space="preserve"> </v>
      </c>
      <c r="B56" s="4" t="str">
        <f ca="1">IF(OR(INDEX($X$2:$X$1001,MATCH(ROWS($W$2:W56),$W$2:$W$1001,0),1)&gt;=100000,INDEX($AD$1005:$AU$1005,1,MATCH(COLUMNS($AD$1006:AD1006),$AD$1006:$AU$1006,0))&gt;=100000), " ",IF(INDEX($AD$2:$AU$1001,MATCH(ROWS($W$2:W56),$W$2:$W$1001,0),MATCH(COLUMNS($AD$1006:AD1006),$AD$1006:$AU$1006,0)), HYPERLINK("#",""), HYPERLINK(CONCATENATE("#metadata!", ADDRESS(INDEX($Y$2:$Y$1001,MATCH(ROWS($W$2:W56),$W$2:$W$1001,0),0), INDEX($AD$1004:$AU$1004,1,MATCH(COLUMNS($AD$1006:AD1006),$AD$1006:$AU$1006,0)))),"Fix")))</f>
        <v xml:space="preserve"> </v>
      </c>
      <c r="C56" s="4" t="str">
        <f ca="1">IF(OR(INDEX($X$2:$X$1001,MATCH(ROWS($W$2:W56),$W$2:$W$1001,0),1)&gt;=100000,INDEX($AD$1005:$AU$1005,1,MATCH(COLUMNS($AD$1006:AE1006),$AD$1006:$AU$1006,0))&gt;=100000), " ",IF(INDEX($AD$2:$AU$1001,MATCH(ROWS($W$2:W56),$W$2:$W$1001,0),MATCH(COLUMNS($AD$1006:AE1006),$AD$1006:$AU$1006,0)), HYPERLINK("#",""), HYPERLINK(CONCATENATE("#metadata!", ADDRESS(INDEX($Y$2:$Y$1001,MATCH(ROWS($W$2:W56),$W$2:$W$1001,0),0), INDEX($AD$1004:$AU$1004,1,MATCH(COLUMNS($AD$1006:AE1006),$AD$1006:$AU$1006,0)))),"Fix")))</f>
        <v xml:space="preserve"> </v>
      </c>
      <c r="D56" s="4" t="str">
        <f ca="1">IF(OR(INDEX($X$2:$X$1001,MATCH(ROWS($W$2:W56),$W$2:$W$1001,0),1)&gt;=100000,INDEX($AD$1005:$AU$1005,1,MATCH(COLUMNS($AD$1006:AF1006),$AD$1006:$AU$1006,0))&gt;=100000), " ",IF(INDEX($AD$2:$AU$1001,MATCH(ROWS($W$2:W56),$W$2:$W$1001,0),MATCH(COLUMNS($AD$1006:AF1006),$AD$1006:$AU$1006,0)), HYPERLINK("#",""), HYPERLINK(CONCATENATE("#metadata!", ADDRESS(INDEX($Y$2:$Y$1001,MATCH(ROWS($W$2:W56),$W$2:$W$1001,0),0), INDEX($AD$1004:$AU$1004,1,MATCH(COLUMNS($AD$1006:AF1006),$AD$1006:$AU$1006,0)))),"Fix")))</f>
        <v xml:space="preserve"> </v>
      </c>
      <c r="E56" s="4" t="str">
        <f ca="1">IF(OR(INDEX($X$2:$X$1001,MATCH(ROWS($W$2:W56),$W$2:$W$1001,0),1)&gt;=100000,INDEX($AD$1005:$AU$1005,1,MATCH(COLUMNS($AD$1006:AG1006),$AD$1006:$AU$1006,0))&gt;=100000), " ",IF(INDEX($AD$2:$AU$1001,MATCH(ROWS($W$2:W56),$W$2:$W$1001,0),MATCH(COLUMNS($AD$1006:AG1006),$AD$1006:$AU$1006,0)), HYPERLINK("#",""), HYPERLINK(CONCATENATE("#metadata!", ADDRESS(INDEX($Y$2:$Y$1001,MATCH(ROWS($W$2:W56),$W$2:$W$1001,0),0), INDEX($AD$1004:$AU$1004,1,MATCH(COLUMNS($AD$1006:AG1006),$AD$1006:$AU$1006,0)))),"Fix")))</f>
        <v xml:space="preserve"> </v>
      </c>
      <c r="F56" s="4" t="str">
        <f ca="1">IF(OR(INDEX($X$2:$X$1001,MATCH(ROWS($W$2:W56),$W$2:$W$1001,0),1)&gt;=100000,INDEX($AD$1005:$AU$1005,1,MATCH(COLUMNS($AD$1006:AH1006),$AD$1006:$AU$1006,0))&gt;=100000), " ",IF(INDEX($AD$2:$AU$1001,MATCH(ROWS($W$2:W56),$W$2:$W$1001,0),MATCH(COLUMNS($AD$1006:AH1006),$AD$1006:$AU$1006,0)), HYPERLINK("#",""), HYPERLINK(CONCATENATE("#metadata!", ADDRESS(INDEX($Y$2:$Y$1001,MATCH(ROWS($W$2:W56),$W$2:$W$1001,0),0), INDEX($AD$1004:$AU$1004,1,MATCH(COLUMNS($AD$1006:AH1006),$AD$1006:$AU$1006,0)))),"Fix")))</f>
        <v xml:space="preserve"> </v>
      </c>
      <c r="G56" s="4" t="str">
        <f ca="1">IF(OR(INDEX($X$2:$X$1001,MATCH(ROWS($W$2:W56),$W$2:$W$1001,0),1)&gt;=100000,INDEX($AD$1005:$AU$1005,1,MATCH(COLUMNS($AD$1006:AI1006),$AD$1006:$AU$1006,0))&gt;=100000), " ",IF(INDEX($AD$2:$AU$1001,MATCH(ROWS($W$2:W56),$W$2:$W$1001,0),MATCH(COLUMNS($AD$1006:AI1006),$AD$1006:$AU$1006,0)), HYPERLINK("#",""), HYPERLINK(CONCATENATE("#metadata!", ADDRESS(INDEX($Y$2:$Y$1001,MATCH(ROWS($W$2:W56),$W$2:$W$1001,0),0), INDEX($AD$1004:$AU$1004,1,MATCH(COLUMNS($AD$1006:AI1006),$AD$1006:$AU$1006,0)))),"Fix")))</f>
        <v xml:space="preserve"> </v>
      </c>
      <c r="H56" s="4" t="str">
        <f ca="1">IF(OR(INDEX($X$2:$X$1001,MATCH(ROWS($W$2:W56),$W$2:$W$1001,0),1)&gt;=100000,INDEX($AD$1005:$AU$1005,1,MATCH(COLUMNS($AD$1006:AJ1006),$AD$1006:$AU$1006,0))&gt;=100000), " ",IF(INDEX($AD$2:$AU$1001,MATCH(ROWS($W$2:W56),$W$2:$W$1001,0),MATCH(COLUMNS($AD$1006:AJ1006),$AD$1006:$AU$1006,0)), HYPERLINK("#",""), HYPERLINK(CONCATENATE("#metadata!", ADDRESS(INDEX($Y$2:$Y$1001,MATCH(ROWS($W$2:W56),$W$2:$W$1001,0),0), INDEX($AD$1004:$AU$1004,1,MATCH(COLUMNS($AD$1006:AJ1006),$AD$1006:$AU$1006,0)))),"Fix")))</f>
        <v xml:space="preserve"> </v>
      </c>
      <c r="I56" s="4" t="str">
        <f ca="1">IF(OR(INDEX($X$2:$X$1001,MATCH(ROWS($W$2:W56),$W$2:$W$1001,0),1)&gt;=100000,INDEX($AD$1005:$AU$1005,1,MATCH(COLUMNS($AD$1006:AK1006),$AD$1006:$AU$1006,0))&gt;=100000), " ",IF(INDEX($AD$2:$AU$1001,MATCH(ROWS($W$2:W56),$W$2:$W$1001,0),MATCH(COLUMNS($AD$1006:AK1006),$AD$1006:$AU$1006,0)), HYPERLINK("#",""), HYPERLINK(CONCATENATE("#metadata!", ADDRESS(INDEX($Y$2:$Y$1001,MATCH(ROWS($W$2:W56),$W$2:$W$1001,0),0), INDEX($AD$1004:$AU$1004,1,MATCH(COLUMNS($AD$1006:AK1006),$AD$1006:$AU$1006,0)))),"Fix")))</f>
        <v xml:space="preserve"> </v>
      </c>
      <c r="J56" s="4" t="str">
        <f ca="1">IF(OR(INDEX($X$2:$X$1001,MATCH(ROWS($W$2:W56),$W$2:$W$1001,0),1)&gt;=100000,INDEX($AD$1005:$AU$1005,1,MATCH(COLUMNS($AD$1006:AL1006),$AD$1006:$AU$1006,0))&gt;=100000), " ",IF(INDEX($AD$2:$AU$1001,MATCH(ROWS($W$2:W56),$W$2:$W$1001,0),MATCH(COLUMNS($AD$1006:AL1006),$AD$1006:$AU$1006,0)), HYPERLINK("#",""), HYPERLINK(CONCATENATE("#metadata!", ADDRESS(INDEX($Y$2:$Y$1001,MATCH(ROWS($W$2:W56),$W$2:$W$1001,0),0), INDEX($AD$1004:$AU$1004,1,MATCH(COLUMNS($AD$1006:AL1006),$AD$1006:$AU$1006,0)))),"Fix")))</f>
        <v xml:space="preserve"> </v>
      </c>
      <c r="K56" s="4" t="str">
        <f ca="1">IF(OR(INDEX($X$2:$X$1001,MATCH(ROWS($W$2:W56),$W$2:$W$1001,0),1)&gt;=100000,INDEX($AD$1005:$AU$1005,1,MATCH(COLUMNS($AD$1006:AM1006),$AD$1006:$AU$1006,0))&gt;=100000), " ",IF(INDEX($AD$2:$AU$1001,MATCH(ROWS($W$2:W56),$W$2:$W$1001,0),MATCH(COLUMNS($AD$1006:AM1006),$AD$1006:$AU$1006,0)), HYPERLINK("#",""), HYPERLINK(CONCATENATE("#metadata!", ADDRESS(INDEX($Y$2:$Y$1001,MATCH(ROWS($W$2:W56),$W$2:$W$1001,0),0), INDEX($AD$1004:$AU$1004,1,MATCH(COLUMNS($AD$1006:AM1006),$AD$1006:$AU$1006,0)))),"Fix")))</f>
        <v xml:space="preserve"> </v>
      </c>
      <c r="L56" s="4" t="str">
        <f ca="1">IF(OR(INDEX($X$2:$X$1001,MATCH(ROWS($W$2:W56),$W$2:$W$1001,0),1)&gt;=100000,INDEX($AD$1005:$AU$1005,1,MATCH(COLUMNS($AD$1006:AN1006),$AD$1006:$AU$1006,0))&gt;=100000), " ",IF(INDEX($AD$2:$AU$1001,MATCH(ROWS($W$2:W56),$W$2:$W$1001,0),MATCH(COLUMNS($AD$1006:AN1006),$AD$1006:$AU$1006,0)), HYPERLINK("#",""), HYPERLINK(CONCATENATE("#metadata!", ADDRESS(INDEX($Y$2:$Y$1001,MATCH(ROWS($W$2:W56),$W$2:$W$1001,0),0), INDEX($AD$1004:$AU$1004,1,MATCH(COLUMNS($AD$1006:AN1006),$AD$1006:$AU$1006,0)))),"Fix")))</f>
        <v xml:space="preserve"> </v>
      </c>
      <c r="M56" s="4" t="str">
        <f ca="1">IF(OR(INDEX($X$2:$X$1001,MATCH(ROWS($W$2:W56),$W$2:$W$1001,0),1)&gt;=100000,INDEX($AD$1005:$AU$1005,1,MATCH(COLUMNS($AD$1006:AO1006),$AD$1006:$AU$1006,0))&gt;=100000), " ",IF(INDEX($AD$2:$AU$1001,MATCH(ROWS($W$2:W56),$W$2:$W$1001,0),MATCH(COLUMNS($AD$1006:AO1006),$AD$1006:$AU$1006,0)), HYPERLINK("#",""), HYPERLINK(CONCATENATE("#metadata!", ADDRESS(INDEX($Y$2:$Y$1001,MATCH(ROWS($W$2:W56),$W$2:$W$1001,0),0), INDEX($AD$1004:$AU$1004,1,MATCH(COLUMNS($AD$1006:AO1006),$AD$1006:$AU$1006,0)))),"Fix")))</f>
        <v xml:space="preserve"> </v>
      </c>
      <c r="N56" s="4" t="str">
        <f ca="1">IF(OR(INDEX($X$2:$X$1001,MATCH(ROWS($W$2:W56),$W$2:$W$1001,0),1)&gt;=100000,INDEX($AD$1005:$AU$1005,1,MATCH(COLUMNS($AD$1006:AP1006),$AD$1006:$AU$1006,0))&gt;=100000), " ",IF(INDEX($AD$2:$AU$1001,MATCH(ROWS($W$2:W56),$W$2:$W$1001,0),MATCH(COLUMNS($AD$1006:AP1006),$AD$1006:$AU$1006,0)), HYPERLINK("#",""), HYPERLINK(CONCATENATE("#metadata!", ADDRESS(INDEX($Y$2:$Y$1001,MATCH(ROWS($W$2:W56),$W$2:$W$1001,0),0), INDEX($AD$1004:$AU$1004,1,MATCH(COLUMNS($AD$1006:AP1006),$AD$1006:$AU$1006,0)))),"Fix")))</f>
        <v xml:space="preserve"> </v>
      </c>
      <c r="O56" s="4" t="str">
        <f ca="1">IF(OR(INDEX($X$2:$X$1001,MATCH(ROWS($W$2:W56),$W$2:$W$1001,0),1)&gt;=100000,INDEX($AD$1005:$AU$1005,1,MATCH(COLUMNS($AD$1006:AQ1006),$AD$1006:$AU$1006,0))&gt;=100000), " ",IF(INDEX($AD$2:$AU$1001,MATCH(ROWS($W$2:W56),$W$2:$W$1001,0),MATCH(COLUMNS($AD$1006:AQ1006),$AD$1006:$AU$1006,0)), HYPERLINK("#",""), HYPERLINK(CONCATENATE("#metadata!", ADDRESS(INDEX($Y$2:$Y$1001,MATCH(ROWS($W$2:W56),$W$2:$W$1001,0),0), INDEX($AD$1004:$AU$1004,1,MATCH(COLUMNS($AD$1006:AQ1006),$AD$1006:$AU$1006,0)))),"Fix")))</f>
        <v xml:space="preserve"> </v>
      </c>
      <c r="P56" s="4" t="str">
        <f ca="1">IF(OR(INDEX($X$2:$X$1001,MATCH(ROWS($W$2:W56),$W$2:$W$1001,0),1)&gt;=100000,INDEX($AD$1005:$AU$1005,1,MATCH(COLUMNS($AD$1006:AR1006),$AD$1006:$AU$1006,0))&gt;=100000), " ",IF(INDEX($AD$2:$AU$1001,MATCH(ROWS($W$2:W56),$W$2:$W$1001,0),MATCH(COLUMNS($AD$1006:AR1006),$AD$1006:$AU$1006,0)), HYPERLINK("#",""), HYPERLINK(CONCATENATE("#metadata!", ADDRESS(INDEX($Y$2:$Y$1001,MATCH(ROWS($W$2:W56),$W$2:$W$1001,0),0), INDEX($AD$1004:$AU$1004,1,MATCH(COLUMNS($AD$1006:AR1006),$AD$1006:$AU$1006,0)))),"Fix")))</f>
        <v xml:space="preserve"> </v>
      </c>
      <c r="Q56" s="4" t="str">
        <f ca="1">IF(OR(INDEX($X$2:$X$1001,MATCH(ROWS($W$2:W56),$W$2:$W$1001,0),1)&gt;=100000,INDEX($AD$1005:$AU$1005,1,MATCH(COLUMNS($AD$1006:AS1006),$AD$1006:$AU$1006,0))&gt;=100000), " ",IF(INDEX($AD$2:$AU$1001,MATCH(ROWS($W$2:W56),$W$2:$W$1001,0),MATCH(COLUMNS($AD$1006:AS1006),$AD$1006:$AU$1006,0)), HYPERLINK("#",""), HYPERLINK(CONCATENATE("#metadata!", ADDRESS(INDEX($Y$2:$Y$1001,MATCH(ROWS($W$2:W56),$W$2:$W$1001,0),0), INDEX($AD$1004:$AU$1004,1,MATCH(COLUMNS($AD$1006:AS1006),$AD$1006:$AU$1006,0)))),"Fix")))</f>
        <v xml:space="preserve"> </v>
      </c>
      <c r="R56" s="4" t="str">
        <f ca="1">IF(OR(INDEX($X$2:$X$1001,MATCH(ROWS($W$2:W56),$W$2:$W$1001,0),1)&gt;=100000,INDEX($AD$1005:$AU$1005,1,MATCH(COLUMNS($AD$1006:AT1006),$AD$1006:$AU$1006,0))&gt;=100000), " ",IF(INDEX($AD$2:$AU$1001,MATCH(ROWS($W$2:W56),$W$2:$W$1001,0),MATCH(COLUMNS($AD$1006:AT1006),$AD$1006:$AU$1006,0)), HYPERLINK("#",""), HYPERLINK(CONCATENATE("#metadata!", ADDRESS(INDEX($Y$2:$Y$1001,MATCH(ROWS($W$2:W56),$W$2:$W$1001,0),0), INDEX($AD$1004:$AU$1004,1,MATCH(COLUMNS($AD$1006:AT1006),$AD$1006:$AU$1006,0)))),"Fix")))</f>
        <v xml:space="preserve"> </v>
      </c>
      <c r="S56" s="4" t="str">
        <f ca="1">IF(OR(INDEX($X$2:$X$1001,MATCH(ROWS($W$2:W56),$W$2:$W$1001,0),1)&gt;=100000,INDEX($AD$1005:$AU$1005,1,MATCH(COLUMNS($AD$1006:AU1006),$AD$1006:$AU$1006,0))&gt;=100000), " ",IF(INDEX($AD$2:$AU$1001,MATCH(ROWS($W$2:W56),$W$2:$W$1001,0),MATCH(COLUMNS($AD$1006:AU1006),$AD$1006:$AU$1006,0)), HYPERLINK("#",""), HYPERLINK(CONCATENATE("#metadata!", ADDRESS(INDEX($Y$2:$Y$1001,MATCH(ROWS($W$2:W56),$W$2:$W$1001,0),0), INDEX($AD$1004:$AU$1004,1,MATCH(COLUMNS($AD$1006:AU1006),$AD$1006:$AU$1006,0)))),"Fix")))</f>
        <v xml:space="preserve"> </v>
      </c>
      <c r="W56">
        <v>55</v>
      </c>
      <c r="X56">
        <v>100056</v>
      </c>
      <c r="Y56">
        <v>56</v>
      </c>
      <c r="Z56" t="b">
        <f t="shared" si="0"/>
        <v>1</v>
      </c>
      <c r="AA56" t="b">
        <f>COUNTBLANK(metadata!B56:S56)=COLUMNS(metadata!B56:S56)</f>
        <v>1</v>
      </c>
      <c r="AB56" t="str">
        <v/>
      </c>
      <c r="AD56" t="b">
        <f ca="1">AND(IF(metadata!B56="",FALSE,TRUE),COUNTIF(metadata!B:B, metadata!B56) = 1,NOT(ISERROR(SUMPRODUCT(SEARCH(MID(metadata!B56,ROW(INDIRECT("1:"&amp;LEN(metadata!B56))), 1),"0123456789abcdefghijklmnopqrstuvwxyzABCDEFGHIJKLMNOPQRSTUVWXYZ.")))))</f>
        <v>0</v>
      </c>
      <c r="AE56" t="b">
        <f>OR(AND(IF(metadata!C56="",FALSE,TRUE),OR(EXACT(metadata!C56,"not applicable"),EXACT(metadata!C56,"missing: not collected"),EXACT(metadata!C56,"missing: not provided"),EXACT(metadata!C56,"missing: restricted access"))),AND(IF(metadata!C56="",FALSE,ISNUMBER(VALUE(metadata!C56))),metadata!C56&gt;0))</f>
        <v>0</v>
      </c>
      <c r="AF56" t="b">
        <f>AND(IF(metadata!D56="",FALSE,TRUE),EXACT(metadata!D56,"missing: not provided"))</f>
        <v>0</v>
      </c>
      <c r="AG56" t="b">
        <f>AND(IF(metadata!E56="",FALSE,TRUE),EXACT(metadata!E56,"Host-associated"))</f>
        <v>0</v>
      </c>
      <c r="AH56" t="b">
        <f>AND(IF(metadata!F56="",FALSE,TRUE),OR(EXACT(metadata!F56,"Animal"),EXACT(metadata!F56,"Fungus"),EXACT(metadata!F56,"Plant")))</f>
        <v>0</v>
      </c>
      <c r="AI56" t="b">
        <f>AND(IF(metadata!G56="",FALSE,TRUE),OR(EXACT(metadata!G56,"Plant secretion"),EXACT(metadata!G56,"Plant rhizosphere"),EXACT(metadata!G56,"Plant surface"),EXACT(metadata!G56,"Plant corpus"),EXACT(metadata!G56,"Fungus surface"),EXACT(metadata!G56,"Fungus corpus"),EXACT(metadata!G56,"Animal surface"),EXACT(metadata!G56,"Animal proximal gut"),EXACT(metadata!G56,"Animal corpus"),EXACT(metadata!G56,"Animal distal gut"),EXACT(metadata!G56,"Animal secretion")))</f>
        <v>0</v>
      </c>
      <c r="AJ56" t="b">
        <f>OR(AND(IF(metadata!H56="",FALSE,TRUE),OR(EXACT(metadata!H56,"missing: not collected"),EXACT(metadata!H56,"missing: not provided"),EXACT(metadata!H56,"missing: restricted access"))),AND(IF(metadata!H56="",FALSE,TRUE),OR(EXACT(metadata!H56,"organism-associated habitat"),EXACT(metadata!H56,"plant-associated habitat"),EXACT(metadata!H56,"animal-associated habitat"),EXACT(metadata!H56,"insecta-associated habitat"),EXACT(metadata!H56,"mammalia-associated habitat"),EXACT(metadata!H56,"human-associated habitat"),EXACT(metadata!H56,"livestock-associated habitat"))))</f>
        <v>0</v>
      </c>
      <c r="AK56" t="b">
        <f>AND(IF(metadata!I56="",FALSE,TRUE),EXACT(metadata!I56,"host-associated"))</f>
        <v>0</v>
      </c>
      <c r="AL56" t="b">
        <f>OR(AND(IF(metadata!J56="",FALSE,TRUE),OR(EXACT(metadata!J56,"not applicable"),EXACT(metadata!J56,"missing: not collected"),EXACT(metadata!J56,"missing: not provided"),EXACT(metadata!J56,"missing: restricted access"))),AND(IF(metadata!J56="",FALSE,ISNUMBER(VALUE(metadata!J56))),metadata!J56&gt;0))</f>
        <v>0</v>
      </c>
      <c r="AM56" t="b">
        <f>AND(IF(metadata!K56="",FALSE,TRUE),EXACT(metadata!K56,"missing: not provided"))</f>
        <v>0</v>
      </c>
      <c r="AN56" t="b">
        <f>IF(metadata!L56="",FALSE,TRUE)</f>
        <v>0</v>
      </c>
      <c r="AO56" t="b">
        <f>IF(metadata!M56="",FALSE,TRUE)</f>
        <v>0</v>
      </c>
      <c r="AP56" t="b">
        <f>OR(AND(IF(metadata!N56="",FALSE,TRUE),OR(EXACT(metadata!N56,"not applicable"),EXACT(metadata!N56,"missing: not collected"),EXACT(metadata!N56,"missing: not provided"))),AND(IF(metadata!N56="",FALSE,IF(ISERROR(INT(metadata!N56)),FALSE,INT(metadata!N56)=metadata!N56)),metadata!N56&gt;0))</f>
        <v>0</v>
      </c>
      <c r="AQ56" t="b">
        <f>AND(IF(metadata!O56="",FALSE,TRUE),EXACT(metadata!O56,"Not applicable"))</f>
        <v>0</v>
      </c>
      <c r="AR56" t="b">
        <f>OR(AND(IF(metadata!P56="",FALSE,TRUE),OR(EXACT(metadata!P56,"not applicable"),EXACT(metadata!P56,"missing: not collected"),EXACT(metadata!P56,"missing: not provided"),EXACT(metadata!P56,"missing: restricted access"))),IF(metadata!P56="",FALSE,IF(ISERROR(INT(metadata!P56)),FALSE,INT(metadata!P56)=metadata!P56)))</f>
        <v>0</v>
      </c>
      <c r="AS56" t="b">
        <f>AND(IF(metadata!Q56="",FALSE,TRUE),EXACT(metadata!Q56,"Not applicable"))</f>
        <v>0</v>
      </c>
      <c r="AT56" t="b">
        <f>OR(AND(IF(metadata!R56="",FALSE,TRUE),OR(EXACT(metadata!R56,"not applicable"),EXACT(metadata!R56,"missing: not collected"),EXACT(metadata!R56,"missing: not provided"),EXACT(metadata!R56,"missing: restricted access"))),AND(IF(metadata!R56="",FALSE,ISNUMBER(VALUE(metadata!R56))),metadata!R56&gt;0))</f>
        <v>0</v>
      </c>
      <c r="AU56" t="b">
        <f>AND(IF(metadata!S56="",FALSE,TRUE),EXACT(metadata!S56,"missing: not provided"))</f>
        <v>0</v>
      </c>
    </row>
    <row r="57" spans="1:47" x14ac:dyDescent="0.2">
      <c r="A57" s="5" t="str">
        <f ca="1">IF(B57=" "," ",HYPERLINK(CONCATENATE("#metadata!",ADDRESS(INDEX($Y$2:$Y$1001,MATCH(ROWS($W$2:W57),$W$2:$W$1001,0),0),1)),INDEX($AB$2:$AB$1001,MATCH(ROWS($W$2:W57),$W$2:$W$1001,0),0)))</f>
        <v xml:space="preserve"> </v>
      </c>
      <c r="B57" s="4" t="str">
        <f ca="1">IF(OR(INDEX($X$2:$X$1001,MATCH(ROWS($W$2:W57),$W$2:$W$1001,0),1)&gt;=100000,INDEX($AD$1005:$AU$1005,1,MATCH(COLUMNS($AD$1006:AD1006),$AD$1006:$AU$1006,0))&gt;=100000), " ",IF(INDEX($AD$2:$AU$1001,MATCH(ROWS($W$2:W57),$W$2:$W$1001,0),MATCH(COLUMNS($AD$1006:AD1006),$AD$1006:$AU$1006,0)), HYPERLINK("#",""), HYPERLINK(CONCATENATE("#metadata!", ADDRESS(INDEX($Y$2:$Y$1001,MATCH(ROWS($W$2:W57),$W$2:$W$1001,0),0), INDEX($AD$1004:$AU$1004,1,MATCH(COLUMNS($AD$1006:AD1006),$AD$1006:$AU$1006,0)))),"Fix")))</f>
        <v xml:space="preserve"> </v>
      </c>
      <c r="C57" s="4" t="str">
        <f ca="1">IF(OR(INDEX($X$2:$X$1001,MATCH(ROWS($W$2:W57),$W$2:$W$1001,0),1)&gt;=100000,INDEX($AD$1005:$AU$1005,1,MATCH(COLUMNS($AD$1006:AE1006),$AD$1006:$AU$1006,0))&gt;=100000), " ",IF(INDEX($AD$2:$AU$1001,MATCH(ROWS($W$2:W57),$W$2:$W$1001,0),MATCH(COLUMNS($AD$1006:AE1006),$AD$1006:$AU$1006,0)), HYPERLINK("#",""), HYPERLINK(CONCATENATE("#metadata!", ADDRESS(INDEX($Y$2:$Y$1001,MATCH(ROWS($W$2:W57),$W$2:$W$1001,0),0), INDEX($AD$1004:$AU$1004,1,MATCH(COLUMNS($AD$1006:AE1006),$AD$1006:$AU$1006,0)))),"Fix")))</f>
        <v xml:space="preserve"> </v>
      </c>
      <c r="D57" s="4" t="str">
        <f ca="1">IF(OR(INDEX($X$2:$X$1001,MATCH(ROWS($W$2:W57),$W$2:$W$1001,0),1)&gt;=100000,INDEX($AD$1005:$AU$1005,1,MATCH(COLUMNS($AD$1006:AF1006),$AD$1006:$AU$1006,0))&gt;=100000), " ",IF(INDEX($AD$2:$AU$1001,MATCH(ROWS($W$2:W57),$W$2:$W$1001,0),MATCH(COLUMNS($AD$1006:AF1006),$AD$1006:$AU$1006,0)), HYPERLINK("#",""), HYPERLINK(CONCATENATE("#metadata!", ADDRESS(INDEX($Y$2:$Y$1001,MATCH(ROWS($W$2:W57),$W$2:$W$1001,0),0), INDEX($AD$1004:$AU$1004,1,MATCH(COLUMNS($AD$1006:AF1006),$AD$1006:$AU$1006,0)))),"Fix")))</f>
        <v xml:space="preserve"> </v>
      </c>
      <c r="E57" s="4" t="str">
        <f ca="1">IF(OR(INDEX($X$2:$X$1001,MATCH(ROWS($W$2:W57),$W$2:$W$1001,0),1)&gt;=100000,INDEX($AD$1005:$AU$1005,1,MATCH(COLUMNS($AD$1006:AG1006),$AD$1006:$AU$1006,0))&gt;=100000), " ",IF(INDEX($AD$2:$AU$1001,MATCH(ROWS($W$2:W57),$W$2:$W$1001,0),MATCH(COLUMNS($AD$1006:AG1006),$AD$1006:$AU$1006,0)), HYPERLINK("#",""), HYPERLINK(CONCATENATE("#metadata!", ADDRESS(INDEX($Y$2:$Y$1001,MATCH(ROWS($W$2:W57),$W$2:$W$1001,0),0), INDEX($AD$1004:$AU$1004,1,MATCH(COLUMNS($AD$1006:AG1006),$AD$1006:$AU$1006,0)))),"Fix")))</f>
        <v xml:space="preserve"> </v>
      </c>
      <c r="F57" s="4" t="str">
        <f ca="1">IF(OR(INDEX($X$2:$X$1001,MATCH(ROWS($W$2:W57),$W$2:$W$1001,0),1)&gt;=100000,INDEX($AD$1005:$AU$1005,1,MATCH(COLUMNS($AD$1006:AH1006),$AD$1006:$AU$1006,0))&gt;=100000), " ",IF(INDEX($AD$2:$AU$1001,MATCH(ROWS($W$2:W57),$W$2:$W$1001,0),MATCH(COLUMNS($AD$1006:AH1006),$AD$1006:$AU$1006,0)), HYPERLINK("#",""), HYPERLINK(CONCATENATE("#metadata!", ADDRESS(INDEX($Y$2:$Y$1001,MATCH(ROWS($W$2:W57),$W$2:$W$1001,0),0), INDEX($AD$1004:$AU$1004,1,MATCH(COLUMNS($AD$1006:AH1006),$AD$1006:$AU$1006,0)))),"Fix")))</f>
        <v xml:space="preserve"> </v>
      </c>
      <c r="G57" s="4" t="str">
        <f ca="1">IF(OR(INDEX($X$2:$X$1001,MATCH(ROWS($W$2:W57),$W$2:$W$1001,0),1)&gt;=100000,INDEX($AD$1005:$AU$1005,1,MATCH(COLUMNS($AD$1006:AI1006),$AD$1006:$AU$1006,0))&gt;=100000), " ",IF(INDEX($AD$2:$AU$1001,MATCH(ROWS($W$2:W57),$W$2:$W$1001,0),MATCH(COLUMNS($AD$1006:AI1006),$AD$1006:$AU$1006,0)), HYPERLINK("#",""), HYPERLINK(CONCATENATE("#metadata!", ADDRESS(INDEX($Y$2:$Y$1001,MATCH(ROWS($W$2:W57),$W$2:$W$1001,0),0), INDEX($AD$1004:$AU$1004,1,MATCH(COLUMNS($AD$1006:AI1006),$AD$1006:$AU$1006,0)))),"Fix")))</f>
        <v xml:space="preserve"> </v>
      </c>
      <c r="H57" s="4" t="str">
        <f ca="1">IF(OR(INDEX($X$2:$X$1001,MATCH(ROWS($W$2:W57),$W$2:$W$1001,0),1)&gt;=100000,INDEX($AD$1005:$AU$1005,1,MATCH(COLUMNS($AD$1006:AJ1006),$AD$1006:$AU$1006,0))&gt;=100000), " ",IF(INDEX($AD$2:$AU$1001,MATCH(ROWS($W$2:W57),$W$2:$W$1001,0),MATCH(COLUMNS($AD$1006:AJ1006),$AD$1006:$AU$1006,0)), HYPERLINK("#",""), HYPERLINK(CONCATENATE("#metadata!", ADDRESS(INDEX($Y$2:$Y$1001,MATCH(ROWS($W$2:W57),$W$2:$W$1001,0),0), INDEX($AD$1004:$AU$1004,1,MATCH(COLUMNS($AD$1006:AJ1006),$AD$1006:$AU$1006,0)))),"Fix")))</f>
        <v xml:space="preserve"> </v>
      </c>
      <c r="I57" s="4" t="str">
        <f ca="1">IF(OR(INDEX($X$2:$X$1001,MATCH(ROWS($W$2:W57),$W$2:$W$1001,0),1)&gt;=100000,INDEX($AD$1005:$AU$1005,1,MATCH(COLUMNS($AD$1006:AK1006),$AD$1006:$AU$1006,0))&gt;=100000), " ",IF(INDEX($AD$2:$AU$1001,MATCH(ROWS($W$2:W57),$W$2:$W$1001,0),MATCH(COLUMNS($AD$1006:AK1006),$AD$1006:$AU$1006,0)), HYPERLINK("#",""), HYPERLINK(CONCATENATE("#metadata!", ADDRESS(INDEX($Y$2:$Y$1001,MATCH(ROWS($W$2:W57),$W$2:$W$1001,0),0), INDEX($AD$1004:$AU$1004,1,MATCH(COLUMNS($AD$1006:AK1006),$AD$1006:$AU$1006,0)))),"Fix")))</f>
        <v xml:space="preserve"> </v>
      </c>
      <c r="J57" s="4" t="str">
        <f ca="1">IF(OR(INDEX($X$2:$X$1001,MATCH(ROWS($W$2:W57),$W$2:$W$1001,0),1)&gt;=100000,INDEX($AD$1005:$AU$1005,1,MATCH(COLUMNS($AD$1006:AL1006),$AD$1006:$AU$1006,0))&gt;=100000), " ",IF(INDEX($AD$2:$AU$1001,MATCH(ROWS($W$2:W57),$W$2:$W$1001,0),MATCH(COLUMNS($AD$1006:AL1006),$AD$1006:$AU$1006,0)), HYPERLINK("#",""), HYPERLINK(CONCATENATE("#metadata!", ADDRESS(INDEX($Y$2:$Y$1001,MATCH(ROWS($W$2:W57),$W$2:$W$1001,0),0), INDEX($AD$1004:$AU$1004,1,MATCH(COLUMNS($AD$1006:AL1006),$AD$1006:$AU$1006,0)))),"Fix")))</f>
        <v xml:space="preserve"> </v>
      </c>
      <c r="K57" s="4" t="str">
        <f ca="1">IF(OR(INDEX($X$2:$X$1001,MATCH(ROWS($W$2:W57),$W$2:$W$1001,0),1)&gt;=100000,INDEX($AD$1005:$AU$1005,1,MATCH(COLUMNS($AD$1006:AM1006),$AD$1006:$AU$1006,0))&gt;=100000), " ",IF(INDEX($AD$2:$AU$1001,MATCH(ROWS($W$2:W57),$W$2:$W$1001,0),MATCH(COLUMNS($AD$1006:AM1006),$AD$1006:$AU$1006,0)), HYPERLINK("#",""), HYPERLINK(CONCATENATE("#metadata!", ADDRESS(INDEX($Y$2:$Y$1001,MATCH(ROWS($W$2:W57),$W$2:$W$1001,0),0), INDEX($AD$1004:$AU$1004,1,MATCH(COLUMNS($AD$1006:AM1006),$AD$1006:$AU$1006,0)))),"Fix")))</f>
        <v xml:space="preserve"> </v>
      </c>
      <c r="L57" s="4" t="str">
        <f ca="1">IF(OR(INDEX($X$2:$X$1001,MATCH(ROWS($W$2:W57),$W$2:$W$1001,0),1)&gt;=100000,INDEX($AD$1005:$AU$1005,1,MATCH(COLUMNS($AD$1006:AN1006),$AD$1006:$AU$1006,0))&gt;=100000), " ",IF(INDEX($AD$2:$AU$1001,MATCH(ROWS($W$2:W57),$W$2:$W$1001,0),MATCH(COLUMNS($AD$1006:AN1006),$AD$1006:$AU$1006,0)), HYPERLINK("#",""), HYPERLINK(CONCATENATE("#metadata!", ADDRESS(INDEX($Y$2:$Y$1001,MATCH(ROWS($W$2:W57),$W$2:$W$1001,0),0), INDEX($AD$1004:$AU$1004,1,MATCH(COLUMNS($AD$1006:AN1006),$AD$1006:$AU$1006,0)))),"Fix")))</f>
        <v xml:space="preserve"> </v>
      </c>
      <c r="M57" s="4" t="str">
        <f ca="1">IF(OR(INDEX($X$2:$X$1001,MATCH(ROWS($W$2:W57),$W$2:$W$1001,0),1)&gt;=100000,INDEX($AD$1005:$AU$1005,1,MATCH(COLUMNS($AD$1006:AO1006),$AD$1006:$AU$1006,0))&gt;=100000), " ",IF(INDEX($AD$2:$AU$1001,MATCH(ROWS($W$2:W57),$W$2:$W$1001,0),MATCH(COLUMNS($AD$1006:AO1006),$AD$1006:$AU$1006,0)), HYPERLINK("#",""), HYPERLINK(CONCATENATE("#metadata!", ADDRESS(INDEX($Y$2:$Y$1001,MATCH(ROWS($W$2:W57),$W$2:$W$1001,0),0), INDEX($AD$1004:$AU$1004,1,MATCH(COLUMNS($AD$1006:AO1006),$AD$1006:$AU$1006,0)))),"Fix")))</f>
        <v xml:space="preserve"> </v>
      </c>
      <c r="N57" s="4" t="str">
        <f ca="1">IF(OR(INDEX($X$2:$X$1001,MATCH(ROWS($W$2:W57),$W$2:$W$1001,0),1)&gt;=100000,INDEX($AD$1005:$AU$1005,1,MATCH(COLUMNS($AD$1006:AP1006),$AD$1006:$AU$1006,0))&gt;=100000), " ",IF(INDEX($AD$2:$AU$1001,MATCH(ROWS($W$2:W57),$W$2:$W$1001,0),MATCH(COLUMNS($AD$1006:AP1006),$AD$1006:$AU$1006,0)), HYPERLINK("#",""), HYPERLINK(CONCATENATE("#metadata!", ADDRESS(INDEX($Y$2:$Y$1001,MATCH(ROWS($W$2:W57),$W$2:$W$1001,0),0), INDEX($AD$1004:$AU$1004,1,MATCH(COLUMNS($AD$1006:AP1006),$AD$1006:$AU$1006,0)))),"Fix")))</f>
        <v xml:space="preserve"> </v>
      </c>
      <c r="O57" s="4" t="str">
        <f ca="1">IF(OR(INDEX($X$2:$X$1001,MATCH(ROWS($W$2:W57),$W$2:$W$1001,0),1)&gt;=100000,INDEX($AD$1005:$AU$1005,1,MATCH(COLUMNS($AD$1006:AQ1006),$AD$1006:$AU$1006,0))&gt;=100000), " ",IF(INDEX($AD$2:$AU$1001,MATCH(ROWS($W$2:W57),$W$2:$W$1001,0),MATCH(COLUMNS($AD$1006:AQ1006),$AD$1006:$AU$1006,0)), HYPERLINK("#",""), HYPERLINK(CONCATENATE("#metadata!", ADDRESS(INDEX($Y$2:$Y$1001,MATCH(ROWS($W$2:W57),$W$2:$W$1001,0),0), INDEX($AD$1004:$AU$1004,1,MATCH(COLUMNS($AD$1006:AQ1006),$AD$1006:$AU$1006,0)))),"Fix")))</f>
        <v xml:space="preserve"> </v>
      </c>
      <c r="P57" s="4" t="str">
        <f ca="1">IF(OR(INDEX($X$2:$X$1001,MATCH(ROWS($W$2:W57),$W$2:$W$1001,0),1)&gt;=100000,INDEX($AD$1005:$AU$1005,1,MATCH(COLUMNS($AD$1006:AR1006),$AD$1006:$AU$1006,0))&gt;=100000), " ",IF(INDEX($AD$2:$AU$1001,MATCH(ROWS($W$2:W57),$W$2:$W$1001,0),MATCH(COLUMNS($AD$1006:AR1006),$AD$1006:$AU$1006,0)), HYPERLINK("#",""), HYPERLINK(CONCATENATE("#metadata!", ADDRESS(INDEX($Y$2:$Y$1001,MATCH(ROWS($W$2:W57),$W$2:$W$1001,0),0), INDEX($AD$1004:$AU$1004,1,MATCH(COLUMNS($AD$1006:AR1006),$AD$1006:$AU$1006,0)))),"Fix")))</f>
        <v xml:space="preserve"> </v>
      </c>
      <c r="Q57" s="4" t="str">
        <f ca="1">IF(OR(INDEX($X$2:$X$1001,MATCH(ROWS($W$2:W57),$W$2:$W$1001,0),1)&gt;=100000,INDEX($AD$1005:$AU$1005,1,MATCH(COLUMNS($AD$1006:AS1006),$AD$1006:$AU$1006,0))&gt;=100000), " ",IF(INDEX($AD$2:$AU$1001,MATCH(ROWS($W$2:W57),$W$2:$W$1001,0),MATCH(COLUMNS($AD$1006:AS1006),$AD$1006:$AU$1006,0)), HYPERLINK("#",""), HYPERLINK(CONCATENATE("#metadata!", ADDRESS(INDEX($Y$2:$Y$1001,MATCH(ROWS($W$2:W57),$W$2:$W$1001,0),0), INDEX($AD$1004:$AU$1004,1,MATCH(COLUMNS($AD$1006:AS1006),$AD$1006:$AU$1006,0)))),"Fix")))</f>
        <v xml:space="preserve"> </v>
      </c>
      <c r="R57" s="4" t="str">
        <f ca="1">IF(OR(INDEX($X$2:$X$1001,MATCH(ROWS($W$2:W57),$W$2:$W$1001,0),1)&gt;=100000,INDEX($AD$1005:$AU$1005,1,MATCH(COLUMNS($AD$1006:AT1006),$AD$1006:$AU$1006,0))&gt;=100000), " ",IF(INDEX($AD$2:$AU$1001,MATCH(ROWS($W$2:W57),$W$2:$W$1001,0),MATCH(COLUMNS($AD$1006:AT1006),$AD$1006:$AU$1006,0)), HYPERLINK("#",""), HYPERLINK(CONCATENATE("#metadata!", ADDRESS(INDEX($Y$2:$Y$1001,MATCH(ROWS($W$2:W57),$W$2:$W$1001,0),0), INDEX($AD$1004:$AU$1004,1,MATCH(COLUMNS($AD$1006:AT1006),$AD$1006:$AU$1006,0)))),"Fix")))</f>
        <v xml:space="preserve"> </v>
      </c>
      <c r="S57" s="4" t="str">
        <f ca="1">IF(OR(INDEX($X$2:$X$1001,MATCH(ROWS($W$2:W57),$W$2:$W$1001,0),1)&gt;=100000,INDEX($AD$1005:$AU$1005,1,MATCH(COLUMNS($AD$1006:AU1006),$AD$1006:$AU$1006,0))&gt;=100000), " ",IF(INDEX($AD$2:$AU$1001,MATCH(ROWS($W$2:W57),$W$2:$W$1001,0),MATCH(COLUMNS($AD$1006:AU1006),$AD$1006:$AU$1006,0)), HYPERLINK("#",""), HYPERLINK(CONCATENATE("#metadata!", ADDRESS(INDEX($Y$2:$Y$1001,MATCH(ROWS($W$2:W57),$W$2:$W$1001,0),0), INDEX($AD$1004:$AU$1004,1,MATCH(COLUMNS($AD$1006:AU1006),$AD$1006:$AU$1006,0)))),"Fix")))</f>
        <v xml:space="preserve"> </v>
      </c>
      <c r="W57">
        <v>56</v>
      </c>
      <c r="X57">
        <v>100057</v>
      </c>
      <c r="Y57">
        <v>57</v>
      </c>
      <c r="Z57" t="b">
        <f t="shared" si="0"/>
        <v>1</v>
      </c>
      <c r="AA57" t="b">
        <f>COUNTBLANK(metadata!B57:S57)=COLUMNS(metadata!B57:S57)</f>
        <v>1</v>
      </c>
      <c r="AB57" t="str">
        <v/>
      </c>
      <c r="AD57" t="b">
        <f ca="1">AND(IF(metadata!B57="",FALSE,TRUE),COUNTIF(metadata!B:B, metadata!B57) = 1,NOT(ISERROR(SUMPRODUCT(SEARCH(MID(metadata!B57,ROW(INDIRECT("1:"&amp;LEN(metadata!B57))), 1),"0123456789abcdefghijklmnopqrstuvwxyzABCDEFGHIJKLMNOPQRSTUVWXYZ.")))))</f>
        <v>0</v>
      </c>
      <c r="AE57" t="b">
        <f>OR(AND(IF(metadata!C57="",FALSE,TRUE),OR(EXACT(metadata!C57,"not applicable"),EXACT(metadata!C57,"missing: not collected"),EXACT(metadata!C57,"missing: not provided"),EXACT(metadata!C57,"missing: restricted access"))),AND(IF(metadata!C57="",FALSE,ISNUMBER(VALUE(metadata!C57))),metadata!C57&gt;0))</f>
        <v>0</v>
      </c>
      <c r="AF57" t="b">
        <f>AND(IF(metadata!D57="",FALSE,TRUE),EXACT(metadata!D57,"missing: not provided"))</f>
        <v>0</v>
      </c>
      <c r="AG57" t="b">
        <f>AND(IF(metadata!E57="",FALSE,TRUE),EXACT(metadata!E57,"Host-associated"))</f>
        <v>0</v>
      </c>
      <c r="AH57" t="b">
        <f>AND(IF(metadata!F57="",FALSE,TRUE),OR(EXACT(metadata!F57,"Animal"),EXACT(metadata!F57,"Fungus"),EXACT(metadata!F57,"Plant")))</f>
        <v>0</v>
      </c>
      <c r="AI57" t="b">
        <f>AND(IF(metadata!G57="",FALSE,TRUE),OR(EXACT(metadata!G57,"Plant secretion"),EXACT(metadata!G57,"Plant rhizosphere"),EXACT(metadata!G57,"Plant surface"),EXACT(metadata!G57,"Plant corpus"),EXACT(metadata!G57,"Fungus surface"),EXACT(metadata!G57,"Fungus corpus"),EXACT(metadata!G57,"Animal surface"),EXACT(metadata!G57,"Animal proximal gut"),EXACT(metadata!G57,"Animal corpus"),EXACT(metadata!G57,"Animal distal gut"),EXACT(metadata!G57,"Animal secretion")))</f>
        <v>0</v>
      </c>
      <c r="AJ57" t="b">
        <f>OR(AND(IF(metadata!H57="",FALSE,TRUE),OR(EXACT(metadata!H57,"missing: not collected"),EXACT(metadata!H57,"missing: not provided"),EXACT(metadata!H57,"missing: restricted access"))),AND(IF(metadata!H57="",FALSE,TRUE),OR(EXACT(metadata!H57,"organism-associated habitat"),EXACT(metadata!H57,"plant-associated habitat"),EXACT(metadata!H57,"animal-associated habitat"),EXACT(metadata!H57,"insecta-associated habitat"),EXACT(metadata!H57,"mammalia-associated habitat"),EXACT(metadata!H57,"human-associated habitat"),EXACT(metadata!H57,"livestock-associated habitat"))))</f>
        <v>0</v>
      </c>
      <c r="AK57" t="b">
        <f>AND(IF(metadata!I57="",FALSE,TRUE),EXACT(metadata!I57,"host-associated"))</f>
        <v>0</v>
      </c>
      <c r="AL57" t="b">
        <f>OR(AND(IF(metadata!J57="",FALSE,TRUE),OR(EXACT(metadata!J57,"not applicable"),EXACT(metadata!J57,"missing: not collected"),EXACT(metadata!J57,"missing: not provided"),EXACT(metadata!J57,"missing: restricted access"))),AND(IF(metadata!J57="",FALSE,ISNUMBER(VALUE(metadata!J57))),metadata!J57&gt;0))</f>
        <v>0</v>
      </c>
      <c r="AM57" t="b">
        <f>AND(IF(metadata!K57="",FALSE,TRUE),EXACT(metadata!K57,"missing: not provided"))</f>
        <v>0</v>
      </c>
      <c r="AN57" t="b">
        <f>IF(metadata!L57="",FALSE,TRUE)</f>
        <v>0</v>
      </c>
      <c r="AO57" t="b">
        <f>IF(metadata!M57="",FALSE,TRUE)</f>
        <v>0</v>
      </c>
      <c r="AP57" t="b">
        <f>OR(AND(IF(metadata!N57="",FALSE,TRUE),OR(EXACT(metadata!N57,"not applicable"),EXACT(metadata!N57,"missing: not collected"),EXACT(metadata!N57,"missing: not provided"))),AND(IF(metadata!N57="",FALSE,IF(ISERROR(INT(metadata!N57)),FALSE,INT(metadata!N57)=metadata!N57)),metadata!N57&gt;0))</f>
        <v>0</v>
      </c>
      <c r="AQ57" t="b">
        <f>AND(IF(metadata!O57="",FALSE,TRUE),EXACT(metadata!O57,"Not applicable"))</f>
        <v>0</v>
      </c>
      <c r="AR57" t="b">
        <f>OR(AND(IF(metadata!P57="",FALSE,TRUE),OR(EXACT(metadata!P57,"not applicable"),EXACT(metadata!P57,"missing: not collected"),EXACT(metadata!P57,"missing: not provided"),EXACT(metadata!P57,"missing: restricted access"))),IF(metadata!P57="",FALSE,IF(ISERROR(INT(metadata!P57)),FALSE,INT(metadata!P57)=metadata!P57)))</f>
        <v>0</v>
      </c>
      <c r="AS57" t="b">
        <f>AND(IF(metadata!Q57="",FALSE,TRUE),EXACT(metadata!Q57,"Not applicable"))</f>
        <v>0</v>
      </c>
      <c r="AT57" t="b">
        <f>OR(AND(IF(metadata!R57="",FALSE,TRUE),OR(EXACT(metadata!R57,"not applicable"),EXACT(metadata!R57,"missing: not collected"),EXACT(metadata!R57,"missing: not provided"),EXACT(metadata!R57,"missing: restricted access"))),AND(IF(metadata!R57="",FALSE,ISNUMBER(VALUE(metadata!R57))),metadata!R57&gt;0))</f>
        <v>0</v>
      </c>
      <c r="AU57" t="b">
        <f>AND(IF(metadata!S57="",FALSE,TRUE),EXACT(metadata!S57,"missing: not provided"))</f>
        <v>0</v>
      </c>
    </row>
    <row r="58" spans="1:47" x14ac:dyDescent="0.2">
      <c r="A58" s="5" t="str">
        <f ca="1">IF(B58=" "," ",HYPERLINK(CONCATENATE("#metadata!",ADDRESS(INDEX($Y$2:$Y$1001,MATCH(ROWS($W$2:W58),$W$2:$W$1001,0),0),1)),INDEX($AB$2:$AB$1001,MATCH(ROWS($W$2:W58),$W$2:$W$1001,0),0)))</f>
        <v xml:space="preserve"> </v>
      </c>
      <c r="B58" s="4" t="str">
        <f ca="1">IF(OR(INDEX($X$2:$X$1001,MATCH(ROWS($W$2:W58),$W$2:$W$1001,0),1)&gt;=100000,INDEX($AD$1005:$AU$1005,1,MATCH(COLUMNS($AD$1006:AD1006),$AD$1006:$AU$1006,0))&gt;=100000), " ",IF(INDEX($AD$2:$AU$1001,MATCH(ROWS($W$2:W58),$W$2:$W$1001,0),MATCH(COLUMNS($AD$1006:AD1006),$AD$1006:$AU$1006,0)), HYPERLINK("#",""), HYPERLINK(CONCATENATE("#metadata!", ADDRESS(INDEX($Y$2:$Y$1001,MATCH(ROWS($W$2:W58),$W$2:$W$1001,0),0), INDEX($AD$1004:$AU$1004,1,MATCH(COLUMNS($AD$1006:AD1006),$AD$1006:$AU$1006,0)))),"Fix")))</f>
        <v xml:space="preserve"> </v>
      </c>
      <c r="C58" s="4" t="str">
        <f ca="1">IF(OR(INDEX($X$2:$X$1001,MATCH(ROWS($W$2:W58),$W$2:$W$1001,0),1)&gt;=100000,INDEX($AD$1005:$AU$1005,1,MATCH(COLUMNS($AD$1006:AE1006),$AD$1006:$AU$1006,0))&gt;=100000), " ",IF(INDEX($AD$2:$AU$1001,MATCH(ROWS($W$2:W58),$W$2:$W$1001,0),MATCH(COLUMNS($AD$1006:AE1006),$AD$1006:$AU$1006,0)), HYPERLINK("#",""), HYPERLINK(CONCATENATE("#metadata!", ADDRESS(INDEX($Y$2:$Y$1001,MATCH(ROWS($W$2:W58),$W$2:$W$1001,0),0), INDEX($AD$1004:$AU$1004,1,MATCH(COLUMNS($AD$1006:AE1006),$AD$1006:$AU$1006,0)))),"Fix")))</f>
        <v xml:space="preserve"> </v>
      </c>
      <c r="D58" s="4" t="str">
        <f ca="1">IF(OR(INDEX($X$2:$X$1001,MATCH(ROWS($W$2:W58),$W$2:$W$1001,0),1)&gt;=100000,INDEX($AD$1005:$AU$1005,1,MATCH(COLUMNS($AD$1006:AF1006),$AD$1006:$AU$1006,0))&gt;=100000), " ",IF(INDEX($AD$2:$AU$1001,MATCH(ROWS($W$2:W58),$W$2:$W$1001,0),MATCH(COLUMNS($AD$1006:AF1006),$AD$1006:$AU$1006,0)), HYPERLINK("#",""), HYPERLINK(CONCATENATE("#metadata!", ADDRESS(INDEX($Y$2:$Y$1001,MATCH(ROWS($W$2:W58),$W$2:$W$1001,0),0), INDEX($AD$1004:$AU$1004,1,MATCH(COLUMNS($AD$1006:AF1006),$AD$1006:$AU$1006,0)))),"Fix")))</f>
        <v xml:space="preserve"> </v>
      </c>
      <c r="E58" s="4" t="str">
        <f ca="1">IF(OR(INDEX($X$2:$X$1001,MATCH(ROWS($W$2:W58),$W$2:$W$1001,0),1)&gt;=100000,INDEX($AD$1005:$AU$1005,1,MATCH(COLUMNS($AD$1006:AG1006),$AD$1006:$AU$1006,0))&gt;=100000), " ",IF(INDEX($AD$2:$AU$1001,MATCH(ROWS($W$2:W58),$W$2:$W$1001,0),MATCH(COLUMNS($AD$1006:AG1006),$AD$1006:$AU$1006,0)), HYPERLINK("#",""), HYPERLINK(CONCATENATE("#metadata!", ADDRESS(INDEX($Y$2:$Y$1001,MATCH(ROWS($W$2:W58),$W$2:$W$1001,0),0), INDEX($AD$1004:$AU$1004,1,MATCH(COLUMNS($AD$1006:AG1006),$AD$1006:$AU$1006,0)))),"Fix")))</f>
        <v xml:space="preserve"> </v>
      </c>
      <c r="F58" s="4" t="str">
        <f ca="1">IF(OR(INDEX($X$2:$X$1001,MATCH(ROWS($W$2:W58),$W$2:$W$1001,0),1)&gt;=100000,INDEX($AD$1005:$AU$1005,1,MATCH(COLUMNS($AD$1006:AH1006),$AD$1006:$AU$1006,0))&gt;=100000), " ",IF(INDEX($AD$2:$AU$1001,MATCH(ROWS($W$2:W58),$W$2:$W$1001,0),MATCH(COLUMNS($AD$1006:AH1006),$AD$1006:$AU$1006,0)), HYPERLINK("#",""), HYPERLINK(CONCATENATE("#metadata!", ADDRESS(INDEX($Y$2:$Y$1001,MATCH(ROWS($W$2:W58),$W$2:$W$1001,0),0), INDEX($AD$1004:$AU$1004,1,MATCH(COLUMNS($AD$1006:AH1006),$AD$1006:$AU$1006,0)))),"Fix")))</f>
        <v xml:space="preserve"> </v>
      </c>
      <c r="G58" s="4" t="str">
        <f ca="1">IF(OR(INDEX($X$2:$X$1001,MATCH(ROWS($W$2:W58),$W$2:$W$1001,0),1)&gt;=100000,INDEX($AD$1005:$AU$1005,1,MATCH(COLUMNS($AD$1006:AI1006),$AD$1006:$AU$1006,0))&gt;=100000), " ",IF(INDEX($AD$2:$AU$1001,MATCH(ROWS($W$2:W58),$W$2:$W$1001,0),MATCH(COLUMNS($AD$1006:AI1006),$AD$1006:$AU$1006,0)), HYPERLINK("#",""), HYPERLINK(CONCATENATE("#metadata!", ADDRESS(INDEX($Y$2:$Y$1001,MATCH(ROWS($W$2:W58),$W$2:$W$1001,0),0), INDEX($AD$1004:$AU$1004,1,MATCH(COLUMNS($AD$1006:AI1006),$AD$1006:$AU$1006,0)))),"Fix")))</f>
        <v xml:space="preserve"> </v>
      </c>
      <c r="H58" s="4" t="str">
        <f ca="1">IF(OR(INDEX($X$2:$X$1001,MATCH(ROWS($W$2:W58),$W$2:$W$1001,0),1)&gt;=100000,INDEX($AD$1005:$AU$1005,1,MATCH(COLUMNS($AD$1006:AJ1006),$AD$1006:$AU$1006,0))&gt;=100000), " ",IF(INDEX($AD$2:$AU$1001,MATCH(ROWS($W$2:W58),$W$2:$W$1001,0),MATCH(COLUMNS($AD$1006:AJ1006),$AD$1006:$AU$1006,0)), HYPERLINK("#",""), HYPERLINK(CONCATENATE("#metadata!", ADDRESS(INDEX($Y$2:$Y$1001,MATCH(ROWS($W$2:W58),$W$2:$W$1001,0),0), INDEX($AD$1004:$AU$1004,1,MATCH(COLUMNS($AD$1006:AJ1006),$AD$1006:$AU$1006,0)))),"Fix")))</f>
        <v xml:space="preserve"> </v>
      </c>
      <c r="I58" s="4" t="str">
        <f ca="1">IF(OR(INDEX($X$2:$X$1001,MATCH(ROWS($W$2:W58),$W$2:$W$1001,0),1)&gt;=100000,INDEX($AD$1005:$AU$1005,1,MATCH(COLUMNS($AD$1006:AK1006),$AD$1006:$AU$1006,0))&gt;=100000), " ",IF(INDEX($AD$2:$AU$1001,MATCH(ROWS($W$2:W58),$W$2:$W$1001,0),MATCH(COLUMNS($AD$1006:AK1006),$AD$1006:$AU$1006,0)), HYPERLINK("#",""), HYPERLINK(CONCATENATE("#metadata!", ADDRESS(INDEX($Y$2:$Y$1001,MATCH(ROWS($W$2:W58),$W$2:$W$1001,0),0), INDEX($AD$1004:$AU$1004,1,MATCH(COLUMNS($AD$1006:AK1006),$AD$1006:$AU$1006,0)))),"Fix")))</f>
        <v xml:space="preserve"> </v>
      </c>
      <c r="J58" s="4" t="str">
        <f ca="1">IF(OR(INDEX($X$2:$X$1001,MATCH(ROWS($W$2:W58),$W$2:$W$1001,0),1)&gt;=100000,INDEX($AD$1005:$AU$1005,1,MATCH(COLUMNS($AD$1006:AL1006),$AD$1006:$AU$1006,0))&gt;=100000), " ",IF(INDEX($AD$2:$AU$1001,MATCH(ROWS($W$2:W58),$W$2:$W$1001,0),MATCH(COLUMNS($AD$1006:AL1006),$AD$1006:$AU$1006,0)), HYPERLINK("#",""), HYPERLINK(CONCATENATE("#metadata!", ADDRESS(INDEX($Y$2:$Y$1001,MATCH(ROWS($W$2:W58),$W$2:$W$1001,0),0), INDEX($AD$1004:$AU$1004,1,MATCH(COLUMNS($AD$1006:AL1006),$AD$1006:$AU$1006,0)))),"Fix")))</f>
        <v xml:space="preserve"> </v>
      </c>
      <c r="K58" s="4" t="str">
        <f ca="1">IF(OR(INDEX($X$2:$X$1001,MATCH(ROWS($W$2:W58),$W$2:$W$1001,0),1)&gt;=100000,INDEX($AD$1005:$AU$1005,1,MATCH(COLUMNS($AD$1006:AM1006),$AD$1006:$AU$1006,0))&gt;=100000), " ",IF(INDEX($AD$2:$AU$1001,MATCH(ROWS($W$2:W58),$W$2:$W$1001,0),MATCH(COLUMNS($AD$1006:AM1006),$AD$1006:$AU$1006,0)), HYPERLINK("#",""), HYPERLINK(CONCATENATE("#metadata!", ADDRESS(INDEX($Y$2:$Y$1001,MATCH(ROWS($W$2:W58),$W$2:$W$1001,0),0), INDEX($AD$1004:$AU$1004,1,MATCH(COLUMNS($AD$1006:AM1006),$AD$1006:$AU$1006,0)))),"Fix")))</f>
        <v xml:space="preserve"> </v>
      </c>
      <c r="L58" s="4" t="str">
        <f ca="1">IF(OR(INDEX($X$2:$X$1001,MATCH(ROWS($W$2:W58),$W$2:$W$1001,0),1)&gt;=100000,INDEX($AD$1005:$AU$1005,1,MATCH(COLUMNS($AD$1006:AN1006),$AD$1006:$AU$1006,0))&gt;=100000), " ",IF(INDEX($AD$2:$AU$1001,MATCH(ROWS($W$2:W58),$W$2:$W$1001,0),MATCH(COLUMNS($AD$1006:AN1006),$AD$1006:$AU$1006,0)), HYPERLINK("#",""), HYPERLINK(CONCATENATE("#metadata!", ADDRESS(INDEX($Y$2:$Y$1001,MATCH(ROWS($W$2:W58),$W$2:$W$1001,0),0), INDEX($AD$1004:$AU$1004,1,MATCH(COLUMNS($AD$1006:AN1006),$AD$1006:$AU$1006,0)))),"Fix")))</f>
        <v xml:space="preserve"> </v>
      </c>
      <c r="M58" s="4" t="str">
        <f ca="1">IF(OR(INDEX($X$2:$X$1001,MATCH(ROWS($W$2:W58),$W$2:$W$1001,0),1)&gt;=100000,INDEX($AD$1005:$AU$1005,1,MATCH(COLUMNS($AD$1006:AO1006),$AD$1006:$AU$1006,0))&gt;=100000), " ",IF(INDEX($AD$2:$AU$1001,MATCH(ROWS($W$2:W58),$W$2:$W$1001,0),MATCH(COLUMNS($AD$1006:AO1006),$AD$1006:$AU$1006,0)), HYPERLINK("#",""), HYPERLINK(CONCATENATE("#metadata!", ADDRESS(INDEX($Y$2:$Y$1001,MATCH(ROWS($W$2:W58),$W$2:$W$1001,0),0), INDEX($AD$1004:$AU$1004,1,MATCH(COLUMNS($AD$1006:AO1006),$AD$1006:$AU$1006,0)))),"Fix")))</f>
        <v xml:space="preserve"> </v>
      </c>
      <c r="N58" s="4" t="str">
        <f ca="1">IF(OR(INDEX($X$2:$X$1001,MATCH(ROWS($W$2:W58),$W$2:$W$1001,0),1)&gt;=100000,INDEX($AD$1005:$AU$1005,1,MATCH(COLUMNS($AD$1006:AP1006),$AD$1006:$AU$1006,0))&gt;=100000), " ",IF(INDEX($AD$2:$AU$1001,MATCH(ROWS($W$2:W58),$W$2:$W$1001,0),MATCH(COLUMNS($AD$1006:AP1006),$AD$1006:$AU$1006,0)), HYPERLINK("#",""), HYPERLINK(CONCATENATE("#metadata!", ADDRESS(INDEX($Y$2:$Y$1001,MATCH(ROWS($W$2:W58),$W$2:$W$1001,0),0), INDEX($AD$1004:$AU$1004,1,MATCH(COLUMNS($AD$1006:AP1006),$AD$1006:$AU$1006,0)))),"Fix")))</f>
        <v xml:space="preserve"> </v>
      </c>
      <c r="O58" s="4" t="str">
        <f ca="1">IF(OR(INDEX($X$2:$X$1001,MATCH(ROWS($W$2:W58),$W$2:$W$1001,0),1)&gt;=100000,INDEX($AD$1005:$AU$1005,1,MATCH(COLUMNS($AD$1006:AQ1006),$AD$1006:$AU$1006,0))&gt;=100000), " ",IF(INDEX($AD$2:$AU$1001,MATCH(ROWS($W$2:W58),$W$2:$W$1001,0),MATCH(COLUMNS($AD$1006:AQ1006),$AD$1006:$AU$1006,0)), HYPERLINK("#",""), HYPERLINK(CONCATENATE("#metadata!", ADDRESS(INDEX($Y$2:$Y$1001,MATCH(ROWS($W$2:W58),$W$2:$W$1001,0),0), INDEX($AD$1004:$AU$1004,1,MATCH(COLUMNS($AD$1006:AQ1006),$AD$1006:$AU$1006,0)))),"Fix")))</f>
        <v xml:space="preserve"> </v>
      </c>
      <c r="P58" s="4" t="str">
        <f ca="1">IF(OR(INDEX($X$2:$X$1001,MATCH(ROWS($W$2:W58),$W$2:$W$1001,0),1)&gt;=100000,INDEX($AD$1005:$AU$1005,1,MATCH(COLUMNS($AD$1006:AR1006),$AD$1006:$AU$1006,0))&gt;=100000), " ",IF(INDEX($AD$2:$AU$1001,MATCH(ROWS($W$2:W58),$W$2:$W$1001,0),MATCH(COLUMNS($AD$1006:AR1006),$AD$1006:$AU$1006,0)), HYPERLINK("#",""), HYPERLINK(CONCATENATE("#metadata!", ADDRESS(INDEX($Y$2:$Y$1001,MATCH(ROWS($W$2:W58),$W$2:$W$1001,0),0), INDEX($AD$1004:$AU$1004,1,MATCH(COLUMNS($AD$1006:AR1006),$AD$1006:$AU$1006,0)))),"Fix")))</f>
        <v xml:space="preserve"> </v>
      </c>
      <c r="Q58" s="4" t="str">
        <f ca="1">IF(OR(INDEX($X$2:$X$1001,MATCH(ROWS($W$2:W58),$W$2:$W$1001,0),1)&gt;=100000,INDEX($AD$1005:$AU$1005,1,MATCH(COLUMNS($AD$1006:AS1006),$AD$1006:$AU$1006,0))&gt;=100000), " ",IF(INDEX($AD$2:$AU$1001,MATCH(ROWS($W$2:W58),$W$2:$W$1001,0),MATCH(COLUMNS($AD$1006:AS1006),$AD$1006:$AU$1006,0)), HYPERLINK("#",""), HYPERLINK(CONCATENATE("#metadata!", ADDRESS(INDEX($Y$2:$Y$1001,MATCH(ROWS($W$2:W58),$W$2:$W$1001,0),0), INDEX($AD$1004:$AU$1004,1,MATCH(COLUMNS($AD$1006:AS1006),$AD$1006:$AU$1006,0)))),"Fix")))</f>
        <v xml:space="preserve"> </v>
      </c>
      <c r="R58" s="4" t="str">
        <f ca="1">IF(OR(INDEX($X$2:$X$1001,MATCH(ROWS($W$2:W58),$W$2:$W$1001,0),1)&gt;=100000,INDEX($AD$1005:$AU$1005,1,MATCH(COLUMNS($AD$1006:AT1006),$AD$1006:$AU$1006,0))&gt;=100000), " ",IF(INDEX($AD$2:$AU$1001,MATCH(ROWS($W$2:W58),$W$2:$W$1001,0),MATCH(COLUMNS($AD$1006:AT1006),$AD$1006:$AU$1006,0)), HYPERLINK("#",""), HYPERLINK(CONCATENATE("#metadata!", ADDRESS(INDEX($Y$2:$Y$1001,MATCH(ROWS($W$2:W58),$W$2:$W$1001,0),0), INDEX($AD$1004:$AU$1004,1,MATCH(COLUMNS($AD$1006:AT1006),$AD$1006:$AU$1006,0)))),"Fix")))</f>
        <v xml:space="preserve"> </v>
      </c>
      <c r="S58" s="4" t="str">
        <f ca="1">IF(OR(INDEX($X$2:$X$1001,MATCH(ROWS($W$2:W58),$W$2:$W$1001,0),1)&gt;=100000,INDEX($AD$1005:$AU$1005,1,MATCH(COLUMNS($AD$1006:AU1006),$AD$1006:$AU$1006,0))&gt;=100000), " ",IF(INDEX($AD$2:$AU$1001,MATCH(ROWS($W$2:W58),$W$2:$W$1001,0),MATCH(COLUMNS($AD$1006:AU1006),$AD$1006:$AU$1006,0)), HYPERLINK("#",""), HYPERLINK(CONCATENATE("#metadata!", ADDRESS(INDEX($Y$2:$Y$1001,MATCH(ROWS($W$2:W58),$W$2:$W$1001,0),0), INDEX($AD$1004:$AU$1004,1,MATCH(COLUMNS($AD$1006:AU1006),$AD$1006:$AU$1006,0)))),"Fix")))</f>
        <v xml:space="preserve"> </v>
      </c>
      <c r="W58">
        <v>57</v>
      </c>
      <c r="X58">
        <v>100058</v>
      </c>
      <c r="Y58">
        <v>58</v>
      </c>
      <c r="Z58" t="b">
        <f t="shared" si="0"/>
        <v>1</v>
      </c>
      <c r="AA58" t="b">
        <f>COUNTBLANK(metadata!B58:S58)=COLUMNS(metadata!B58:S58)</f>
        <v>1</v>
      </c>
      <c r="AB58" t="str">
        <v/>
      </c>
      <c r="AD58" t="b">
        <f ca="1">AND(IF(metadata!B58="",FALSE,TRUE),COUNTIF(metadata!B:B, metadata!B58) = 1,NOT(ISERROR(SUMPRODUCT(SEARCH(MID(metadata!B58,ROW(INDIRECT("1:"&amp;LEN(metadata!B58))), 1),"0123456789abcdefghijklmnopqrstuvwxyzABCDEFGHIJKLMNOPQRSTUVWXYZ.")))))</f>
        <v>0</v>
      </c>
      <c r="AE58" t="b">
        <f>OR(AND(IF(metadata!C58="",FALSE,TRUE),OR(EXACT(metadata!C58,"not applicable"),EXACT(metadata!C58,"missing: not collected"),EXACT(metadata!C58,"missing: not provided"),EXACT(metadata!C58,"missing: restricted access"))),AND(IF(metadata!C58="",FALSE,ISNUMBER(VALUE(metadata!C58))),metadata!C58&gt;0))</f>
        <v>0</v>
      </c>
      <c r="AF58" t="b">
        <f>AND(IF(metadata!D58="",FALSE,TRUE),EXACT(metadata!D58,"missing: not provided"))</f>
        <v>0</v>
      </c>
      <c r="AG58" t="b">
        <f>AND(IF(metadata!E58="",FALSE,TRUE),EXACT(metadata!E58,"Host-associated"))</f>
        <v>0</v>
      </c>
      <c r="AH58" t="b">
        <f>AND(IF(metadata!F58="",FALSE,TRUE),OR(EXACT(metadata!F58,"Animal"),EXACT(metadata!F58,"Fungus"),EXACT(metadata!F58,"Plant")))</f>
        <v>0</v>
      </c>
      <c r="AI58" t="b">
        <f>AND(IF(metadata!G58="",FALSE,TRUE),OR(EXACT(metadata!G58,"Plant secretion"),EXACT(metadata!G58,"Plant rhizosphere"),EXACT(metadata!G58,"Plant surface"),EXACT(metadata!G58,"Plant corpus"),EXACT(metadata!G58,"Fungus surface"),EXACT(metadata!G58,"Fungus corpus"),EXACT(metadata!G58,"Animal surface"),EXACT(metadata!G58,"Animal proximal gut"),EXACT(metadata!G58,"Animal corpus"),EXACT(metadata!G58,"Animal distal gut"),EXACT(metadata!G58,"Animal secretion")))</f>
        <v>0</v>
      </c>
      <c r="AJ58" t="b">
        <f>OR(AND(IF(metadata!H58="",FALSE,TRUE),OR(EXACT(metadata!H58,"missing: not collected"),EXACT(metadata!H58,"missing: not provided"),EXACT(metadata!H58,"missing: restricted access"))),AND(IF(metadata!H58="",FALSE,TRUE),OR(EXACT(metadata!H58,"organism-associated habitat"),EXACT(metadata!H58,"plant-associated habitat"),EXACT(metadata!H58,"animal-associated habitat"),EXACT(metadata!H58,"insecta-associated habitat"),EXACT(metadata!H58,"mammalia-associated habitat"),EXACT(metadata!H58,"human-associated habitat"),EXACT(metadata!H58,"livestock-associated habitat"))))</f>
        <v>0</v>
      </c>
      <c r="AK58" t="b">
        <f>AND(IF(metadata!I58="",FALSE,TRUE),EXACT(metadata!I58,"host-associated"))</f>
        <v>0</v>
      </c>
      <c r="AL58" t="b">
        <f>OR(AND(IF(metadata!J58="",FALSE,TRUE),OR(EXACT(metadata!J58,"not applicable"),EXACT(metadata!J58,"missing: not collected"),EXACT(metadata!J58,"missing: not provided"),EXACT(metadata!J58,"missing: restricted access"))),AND(IF(metadata!J58="",FALSE,ISNUMBER(VALUE(metadata!J58))),metadata!J58&gt;0))</f>
        <v>0</v>
      </c>
      <c r="AM58" t="b">
        <f>AND(IF(metadata!K58="",FALSE,TRUE),EXACT(metadata!K58,"missing: not provided"))</f>
        <v>0</v>
      </c>
      <c r="AN58" t="b">
        <f>IF(metadata!L58="",FALSE,TRUE)</f>
        <v>0</v>
      </c>
      <c r="AO58" t="b">
        <f>IF(metadata!M58="",FALSE,TRUE)</f>
        <v>0</v>
      </c>
      <c r="AP58" t="b">
        <f>OR(AND(IF(metadata!N58="",FALSE,TRUE),OR(EXACT(metadata!N58,"not applicable"),EXACT(metadata!N58,"missing: not collected"),EXACT(metadata!N58,"missing: not provided"))),AND(IF(metadata!N58="",FALSE,IF(ISERROR(INT(metadata!N58)),FALSE,INT(metadata!N58)=metadata!N58)),metadata!N58&gt;0))</f>
        <v>0</v>
      </c>
      <c r="AQ58" t="b">
        <f>AND(IF(metadata!O58="",FALSE,TRUE),EXACT(metadata!O58,"Not applicable"))</f>
        <v>0</v>
      </c>
      <c r="AR58" t="b">
        <f>OR(AND(IF(metadata!P58="",FALSE,TRUE),OR(EXACT(metadata!P58,"not applicable"),EXACT(metadata!P58,"missing: not collected"),EXACT(metadata!P58,"missing: not provided"),EXACT(metadata!P58,"missing: restricted access"))),IF(metadata!P58="",FALSE,IF(ISERROR(INT(metadata!P58)),FALSE,INT(metadata!P58)=metadata!P58)))</f>
        <v>0</v>
      </c>
      <c r="AS58" t="b">
        <f>AND(IF(metadata!Q58="",FALSE,TRUE),EXACT(metadata!Q58,"Not applicable"))</f>
        <v>0</v>
      </c>
      <c r="AT58" t="b">
        <f>OR(AND(IF(metadata!R58="",FALSE,TRUE),OR(EXACT(metadata!R58,"not applicable"),EXACT(metadata!R58,"missing: not collected"),EXACT(metadata!R58,"missing: not provided"),EXACT(metadata!R58,"missing: restricted access"))),AND(IF(metadata!R58="",FALSE,ISNUMBER(VALUE(metadata!R58))),metadata!R58&gt;0))</f>
        <v>0</v>
      </c>
      <c r="AU58" t="b">
        <f>AND(IF(metadata!S58="",FALSE,TRUE),EXACT(metadata!S58,"missing: not provided"))</f>
        <v>0</v>
      </c>
    </row>
    <row r="59" spans="1:47" x14ac:dyDescent="0.2">
      <c r="A59" s="5" t="str">
        <f ca="1">IF(B59=" "," ",HYPERLINK(CONCATENATE("#metadata!",ADDRESS(INDEX($Y$2:$Y$1001,MATCH(ROWS($W$2:W59),$W$2:$W$1001,0),0),1)),INDEX($AB$2:$AB$1001,MATCH(ROWS($W$2:W59),$W$2:$W$1001,0),0)))</f>
        <v xml:space="preserve"> </v>
      </c>
      <c r="B59" s="4" t="str">
        <f ca="1">IF(OR(INDEX($X$2:$X$1001,MATCH(ROWS($W$2:W59),$W$2:$W$1001,0),1)&gt;=100000,INDEX($AD$1005:$AU$1005,1,MATCH(COLUMNS($AD$1006:AD1006),$AD$1006:$AU$1006,0))&gt;=100000), " ",IF(INDEX($AD$2:$AU$1001,MATCH(ROWS($W$2:W59),$W$2:$W$1001,0),MATCH(COLUMNS($AD$1006:AD1006),$AD$1006:$AU$1006,0)), HYPERLINK("#",""), HYPERLINK(CONCATENATE("#metadata!", ADDRESS(INDEX($Y$2:$Y$1001,MATCH(ROWS($W$2:W59),$W$2:$W$1001,0),0), INDEX($AD$1004:$AU$1004,1,MATCH(COLUMNS($AD$1006:AD1006),$AD$1006:$AU$1006,0)))),"Fix")))</f>
        <v xml:space="preserve"> </v>
      </c>
      <c r="C59" s="4" t="str">
        <f ca="1">IF(OR(INDEX($X$2:$X$1001,MATCH(ROWS($W$2:W59),$W$2:$W$1001,0),1)&gt;=100000,INDEX($AD$1005:$AU$1005,1,MATCH(COLUMNS($AD$1006:AE1006),$AD$1006:$AU$1006,0))&gt;=100000), " ",IF(INDEX($AD$2:$AU$1001,MATCH(ROWS($W$2:W59),$W$2:$W$1001,0),MATCH(COLUMNS($AD$1006:AE1006),$AD$1006:$AU$1006,0)), HYPERLINK("#",""), HYPERLINK(CONCATENATE("#metadata!", ADDRESS(INDEX($Y$2:$Y$1001,MATCH(ROWS($W$2:W59),$W$2:$W$1001,0),0), INDEX($AD$1004:$AU$1004,1,MATCH(COLUMNS($AD$1006:AE1006),$AD$1006:$AU$1006,0)))),"Fix")))</f>
        <v xml:space="preserve"> </v>
      </c>
      <c r="D59" s="4" t="str">
        <f ca="1">IF(OR(INDEX($X$2:$X$1001,MATCH(ROWS($W$2:W59),$W$2:$W$1001,0),1)&gt;=100000,INDEX($AD$1005:$AU$1005,1,MATCH(COLUMNS($AD$1006:AF1006),$AD$1006:$AU$1006,0))&gt;=100000), " ",IF(INDEX($AD$2:$AU$1001,MATCH(ROWS($W$2:W59),$W$2:$W$1001,0),MATCH(COLUMNS($AD$1006:AF1006),$AD$1006:$AU$1006,0)), HYPERLINK("#",""), HYPERLINK(CONCATENATE("#metadata!", ADDRESS(INDEX($Y$2:$Y$1001,MATCH(ROWS($W$2:W59),$W$2:$W$1001,0),0), INDEX($AD$1004:$AU$1004,1,MATCH(COLUMNS($AD$1006:AF1006),$AD$1006:$AU$1006,0)))),"Fix")))</f>
        <v xml:space="preserve"> </v>
      </c>
      <c r="E59" s="4" t="str">
        <f ca="1">IF(OR(INDEX($X$2:$X$1001,MATCH(ROWS($W$2:W59),$W$2:$W$1001,0),1)&gt;=100000,INDEX($AD$1005:$AU$1005,1,MATCH(COLUMNS($AD$1006:AG1006),$AD$1006:$AU$1006,0))&gt;=100000), " ",IF(INDEX($AD$2:$AU$1001,MATCH(ROWS($W$2:W59),$W$2:$W$1001,0),MATCH(COLUMNS($AD$1006:AG1006),$AD$1006:$AU$1006,0)), HYPERLINK("#",""), HYPERLINK(CONCATENATE("#metadata!", ADDRESS(INDEX($Y$2:$Y$1001,MATCH(ROWS($W$2:W59),$W$2:$W$1001,0),0), INDEX($AD$1004:$AU$1004,1,MATCH(COLUMNS($AD$1006:AG1006),$AD$1006:$AU$1006,0)))),"Fix")))</f>
        <v xml:space="preserve"> </v>
      </c>
      <c r="F59" s="4" t="str">
        <f ca="1">IF(OR(INDEX($X$2:$X$1001,MATCH(ROWS($W$2:W59),$W$2:$W$1001,0),1)&gt;=100000,INDEX($AD$1005:$AU$1005,1,MATCH(COLUMNS($AD$1006:AH1006),$AD$1006:$AU$1006,0))&gt;=100000), " ",IF(INDEX($AD$2:$AU$1001,MATCH(ROWS($W$2:W59),$W$2:$W$1001,0),MATCH(COLUMNS($AD$1006:AH1006),$AD$1006:$AU$1006,0)), HYPERLINK("#",""), HYPERLINK(CONCATENATE("#metadata!", ADDRESS(INDEX($Y$2:$Y$1001,MATCH(ROWS($W$2:W59),$W$2:$W$1001,0),0), INDEX($AD$1004:$AU$1004,1,MATCH(COLUMNS($AD$1006:AH1006),$AD$1006:$AU$1006,0)))),"Fix")))</f>
        <v xml:space="preserve"> </v>
      </c>
      <c r="G59" s="4" t="str">
        <f ca="1">IF(OR(INDEX($X$2:$X$1001,MATCH(ROWS($W$2:W59),$W$2:$W$1001,0),1)&gt;=100000,INDEX($AD$1005:$AU$1005,1,MATCH(COLUMNS($AD$1006:AI1006),$AD$1006:$AU$1006,0))&gt;=100000), " ",IF(INDEX($AD$2:$AU$1001,MATCH(ROWS($W$2:W59),$W$2:$W$1001,0),MATCH(COLUMNS($AD$1006:AI1006),$AD$1006:$AU$1006,0)), HYPERLINK("#",""), HYPERLINK(CONCATENATE("#metadata!", ADDRESS(INDEX($Y$2:$Y$1001,MATCH(ROWS($W$2:W59),$W$2:$W$1001,0),0), INDEX($AD$1004:$AU$1004,1,MATCH(COLUMNS($AD$1006:AI1006),$AD$1006:$AU$1006,0)))),"Fix")))</f>
        <v xml:space="preserve"> </v>
      </c>
      <c r="H59" s="4" t="str">
        <f ca="1">IF(OR(INDEX($X$2:$X$1001,MATCH(ROWS($W$2:W59),$W$2:$W$1001,0),1)&gt;=100000,INDEX($AD$1005:$AU$1005,1,MATCH(COLUMNS($AD$1006:AJ1006),$AD$1006:$AU$1006,0))&gt;=100000), " ",IF(INDEX($AD$2:$AU$1001,MATCH(ROWS($W$2:W59),$W$2:$W$1001,0),MATCH(COLUMNS($AD$1006:AJ1006),$AD$1006:$AU$1006,0)), HYPERLINK("#",""), HYPERLINK(CONCATENATE("#metadata!", ADDRESS(INDEX($Y$2:$Y$1001,MATCH(ROWS($W$2:W59),$W$2:$W$1001,0),0), INDEX($AD$1004:$AU$1004,1,MATCH(COLUMNS($AD$1006:AJ1006),$AD$1006:$AU$1006,0)))),"Fix")))</f>
        <v xml:space="preserve"> </v>
      </c>
      <c r="I59" s="4" t="str">
        <f ca="1">IF(OR(INDEX($X$2:$X$1001,MATCH(ROWS($W$2:W59),$W$2:$W$1001,0),1)&gt;=100000,INDEX($AD$1005:$AU$1005,1,MATCH(COLUMNS($AD$1006:AK1006),$AD$1006:$AU$1006,0))&gt;=100000), " ",IF(INDEX($AD$2:$AU$1001,MATCH(ROWS($W$2:W59),$W$2:$W$1001,0),MATCH(COLUMNS($AD$1006:AK1006),$AD$1006:$AU$1006,0)), HYPERLINK("#",""), HYPERLINK(CONCATENATE("#metadata!", ADDRESS(INDEX($Y$2:$Y$1001,MATCH(ROWS($W$2:W59),$W$2:$W$1001,0),0), INDEX($AD$1004:$AU$1004,1,MATCH(COLUMNS($AD$1006:AK1006),$AD$1006:$AU$1006,0)))),"Fix")))</f>
        <v xml:space="preserve"> </v>
      </c>
      <c r="J59" s="4" t="str">
        <f ca="1">IF(OR(INDEX($X$2:$X$1001,MATCH(ROWS($W$2:W59),$W$2:$W$1001,0),1)&gt;=100000,INDEX($AD$1005:$AU$1005,1,MATCH(COLUMNS($AD$1006:AL1006),$AD$1006:$AU$1006,0))&gt;=100000), " ",IF(INDEX($AD$2:$AU$1001,MATCH(ROWS($W$2:W59),$W$2:$W$1001,0),MATCH(COLUMNS($AD$1006:AL1006),$AD$1006:$AU$1006,0)), HYPERLINK("#",""), HYPERLINK(CONCATENATE("#metadata!", ADDRESS(INDEX($Y$2:$Y$1001,MATCH(ROWS($W$2:W59),$W$2:$W$1001,0),0), INDEX($AD$1004:$AU$1004,1,MATCH(COLUMNS($AD$1006:AL1006),$AD$1006:$AU$1006,0)))),"Fix")))</f>
        <v xml:space="preserve"> </v>
      </c>
      <c r="K59" s="4" t="str">
        <f ca="1">IF(OR(INDEX($X$2:$X$1001,MATCH(ROWS($W$2:W59),$W$2:$W$1001,0),1)&gt;=100000,INDEX($AD$1005:$AU$1005,1,MATCH(COLUMNS($AD$1006:AM1006),$AD$1006:$AU$1006,0))&gt;=100000), " ",IF(INDEX($AD$2:$AU$1001,MATCH(ROWS($W$2:W59),$W$2:$W$1001,0),MATCH(COLUMNS($AD$1006:AM1006),$AD$1006:$AU$1006,0)), HYPERLINK("#",""), HYPERLINK(CONCATENATE("#metadata!", ADDRESS(INDEX($Y$2:$Y$1001,MATCH(ROWS($W$2:W59),$W$2:$W$1001,0),0), INDEX($AD$1004:$AU$1004,1,MATCH(COLUMNS($AD$1006:AM1006),$AD$1006:$AU$1006,0)))),"Fix")))</f>
        <v xml:space="preserve"> </v>
      </c>
      <c r="L59" s="4" t="str">
        <f ca="1">IF(OR(INDEX($X$2:$X$1001,MATCH(ROWS($W$2:W59),$W$2:$W$1001,0),1)&gt;=100000,INDEX($AD$1005:$AU$1005,1,MATCH(COLUMNS($AD$1006:AN1006),$AD$1006:$AU$1006,0))&gt;=100000), " ",IF(INDEX($AD$2:$AU$1001,MATCH(ROWS($W$2:W59),$W$2:$W$1001,0),MATCH(COLUMNS($AD$1006:AN1006),$AD$1006:$AU$1006,0)), HYPERLINK("#",""), HYPERLINK(CONCATENATE("#metadata!", ADDRESS(INDEX($Y$2:$Y$1001,MATCH(ROWS($W$2:W59),$W$2:$W$1001,0),0), INDEX($AD$1004:$AU$1004,1,MATCH(COLUMNS($AD$1006:AN1006),$AD$1006:$AU$1006,0)))),"Fix")))</f>
        <v xml:space="preserve"> </v>
      </c>
      <c r="M59" s="4" t="str">
        <f ca="1">IF(OR(INDEX($X$2:$X$1001,MATCH(ROWS($W$2:W59),$W$2:$W$1001,0),1)&gt;=100000,INDEX($AD$1005:$AU$1005,1,MATCH(COLUMNS($AD$1006:AO1006),$AD$1006:$AU$1006,0))&gt;=100000), " ",IF(INDEX($AD$2:$AU$1001,MATCH(ROWS($W$2:W59),$W$2:$W$1001,0),MATCH(COLUMNS($AD$1006:AO1006),$AD$1006:$AU$1006,0)), HYPERLINK("#",""), HYPERLINK(CONCATENATE("#metadata!", ADDRESS(INDEX($Y$2:$Y$1001,MATCH(ROWS($W$2:W59),$W$2:$W$1001,0),0), INDEX($AD$1004:$AU$1004,1,MATCH(COLUMNS($AD$1006:AO1006),$AD$1006:$AU$1006,0)))),"Fix")))</f>
        <v xml:space="preserve"> </v>
      </c>
      <c r="N59" s="4" t="str">
        <f ca="1">IF(OR(INDEX($X$2:$X$1001,MATCH(ROWS($W$2:W59),$W$2:$W$1001,0),1)&gt;=100000,INDEX($AD$1005:$AU$1005,1,MATCH(COLUMNS($AD$1006:AP1006),$AD$1006:$AU$1006,0))&gt;=100000), " ",IF(INDEX($AD$2:$AU$1001,MATCH(ROWS($W$2:W59),$W$2:$W$1001,0),MATCH(COLUMNS($AD$1006:AP1006),$AD$1006:$AU$1006,0)), HYPERLINK("#",""), HYPERLINK(CONCATENATE("#metadata!", ADDRESS(INDEX($Y$2:$Y$1001,MATCH(ROWS($W$2:W59),$W$2:$W$1001,0),0), INDEX($AD$1004:$AU$1004,1,MATCH(COLUMNS($AD$1006:AP1006),$AD$1006:$AU$1006,0)))),"Fix")))</f>
        <v xml:space="preserve"> </v>
      </c>
      <c r="O59" s="4" t="str">
        <f ca="1">IF(OR(INDEX($X$2:$X$1001,MATCH(ROWS($W$2:W59),$W$2:$W$1001,0),1)&gt;=100000,INDEX($AD$1005:$AU$1005,1,MATCH(COLUMNS($AD$1006:AQ1006),$AD$1006:$AU$1006,0))&gt;=100000), " ",IF(INDEX($AD$2:$AU$1001,MATCH(ROWS($W$2:W59),$W$2:$W$1001,0),MATCH(COLUMNS($AD$1006:AQ1006),$AD$1006:$AU$1006,0)), HYPERLINK("#",""), HYPERLINK(CONCATENATE("#metadata!", ADDRESS(INDEX($Y$2:$Y$1001,MATCH(ROWS($W$2:W59),$W$2:$W$1001,0),0), INDEX($AD$1004:$AU$1004,1,MATCH(COLUMNS($AD$1006:AQ1006),$AD$1006:$AU$1006,0)))),"Fix")))</f>
        <v xml:space="preserve"> </v>
      </c>
      <c r="P59" s="4" t="str">
        <f ca="1">IF(OR(INDEX($X$2:$X$1001,MATCH(ROWS($W$2:W59),$W$2:$W$1001,0),1)&gt;=100000,INDEX($AD$1005:$AU$1005,1,MATCH(COLUMNS($AD$1006:AR1006),$AD$1006:$AU$1006,0))&gt;=100000), " ",IF(INDEX($AD$2:$AU$1001,MATCH(ROWS($W$2:W59),$W$2:$W$1001,0),MATCH(COLUMNS($AD$1006:AR1006),$AD$1006:$AU$1006,0)), HYPERLINK("#",""), HYPERLINK(CONCATENATE("#metadata!", ADDRESS(INDEX($Y$2:$Y$1001,MATCH(ROWS($W$2:W59),$W$2:$W$1001,0),0), INDEX($AD$1004:$AU$1004,1,MATCH(COLUMNS($AD$1006:AR1006),$AD$1006:$AU$1006,0)))),"Fix")))</f>
        <v xml:space="preserve"> </v>
      </c>
      <c r="Q59" s="4" t="str">
        <f ca="1">IF(OR(INDEX($X$2:$X$1001,MATCH(ROWS($W$2:W59),$W$2:$W$1001,0),1)&gt;=100000,INDEX($AD$1005:$AU$1005,1,MATCH(COLUMNS($AD$1006:AS1006),$AD$1006:$AU$1006,0))&gt;=100000), " ",IF(INDEX($AD$2:$AU$1001,MATCH(ROWS($W$2:W59),$W$2:$W$1001,0),MATCH(COLUMNS($AD$1006:AS1006),$AD$1006:$AU$1006,0)), HYPERLINK("#",""), HYPERLINK(CONCATENATE("#metadata!", ADDRESS(INDEX($Y$2:$Y$1001,MATCH(ROWS($W$2:W59),$W$2:$W$1001,0),0), INDEX($AD$1004:$AU$1004,1,MATCH(COLUMNS($AD$1006:AS1006),$AD$1006:$AU$1006,0)))),"Fix")))</f>
        <v xml:space="preserve"> </v>
      </c>
      <c r="R59" s="4" t="str">
        <f ca="1">IF(OR(INDEX($X$2:$X$1001,MATCH(ROWS($W$2:W59),$W$2:$W$1001,0),1)&gt;=100000,INDEX($AD$1005:$AU$1005,1,MATCH(COLUMNS($AD$1006:AT1006),$AD$1006:$AU$1006,0))&gt;=100000), " ",IF(INDEX($AD$2:$AU$1001,MATCH(ROWS($W$2:W59),$W$2:$W$1001,0),MATCH(COLUMNS($AD$1006:AT1006),$AD$1006:$AU$1006,0)), HYPERLINK("#",""), HYPERLINK(CONCATENATE("#metadata!", ADDRESS(INDEX($Y$2:$Y$1001,MATCH(ROWS($W$2:W59),$W$2:$W$1001,0),0), INDEX($AD$1004:$AU$1004,1,MATCH(COLUMNS($AD$1006:AT1006),$AD$1006:$AU$1006,0)))),"Fix")))</f>
        <v xml:space="preserve"> </v>
      </c>
      <c r="S59" s="4" t="str">
        <f ca="1">IF(OR(INDEX($X$2:$X$1001,MATCH(ROWS($W$2:W59),$W$2:$W$1001,0),1)&gt;=100000,INDEX($AD$1005:$AU$1005,1,MATCH(COLUMNS($AD$1006:AU1006),$AD$1006:$AU$1006,0))&gt;=100000), " ",IF(INDEX($AD$2:$AU$1001,MATCH(ROWS($W$2:W59),$W$2:$W$1001,0),MATCH(COLUMNS($AD$1006:AU1006),$AD$1006:$AU$1006,0)), HYPERLINK("#",""), HYPERLINK(CONCATENATE("#metadata!", ADDRESS(INDEX($Y$2:$Y$1001,MATCH(ROWS($W$2:W59),$W$2:$W$1001,0),0), INDEX($AD$1004:$AU$1004,1,MATCH(COLUMNS($AD$1006:AU1006),$AD$1006:$AU$1006,0)))),"Fix")))</f>
        <v xml:space="preserve"> </v>
      </c>
      <c r="W59">
        <v>58</v>
      </c>
      <c r="X59">
        <v>100059</v>
      </c>
      <c r="Y59">
        <v>59</v>
      </c>
      <c r="Z59" t="b">
        <f t="shared" si="0"/>
        <v>1</v>
      </c>
      <c r="AA59" t="b">
        <f>COUNTBLANK(metadata!B59:S59)=COLUMNS(metadata!B59:S59)</f>
        <v>1</v>
      </c>
      <c r="AB59" t="str">
        <v/>
      </c>
      <c r="AD59" t="b">
        <f ca="1">AND(IF(metadata!B59="",FALSE,TRUE),COUNTIF(metadata!B:B, metadata!B59) = 1,NOT(ISERROR(SUMPRODUCT(SEARCH(MID(metadata!B59,ROW(INDIRECT("1:"&amp;LEN(metadata!B59))), 1),"0123456789abcdefghijklmnopqrstuvwxyzABCDEFGHIJKLMNOPQRSTUVWXYZ.")))))</f>
        <v>0</v>
      </c>
      <c r="AE59" t="b">
        <f>OR(AND(IF(metadata!C59="",FALSE,TRUE),OR(EXACT(metadata!C59,"not applicable"),EXACT(metadata!C59,"missing: not collected"),EXACT(metadata!C59,"missing: not provided"),EXACT(metadata!C59,"missing: restricted access"))),AND(IF(metadata!C59="",FALSE,ISNUMBER(VALUE(metadata!C59))),metadata!C59&gt;0))</f>
        <v>0</v>
      </c>
      <c r="AF59" t="b">
        <f>AND(IF(metadata!D59="",FALSE,TRUE),EXACT(metadata!D59,"missing: not provided"))</f>
        <v>0</v>
      </c>
      <c r="AG59" t="b">
        <f>AND(IF(metadata!E59="",FALSE,TRUE),EXACT(metadata!E59,"Host-associated"))</f>
        <v>0</v>
      </c>
      <c r="AH59" t="b">
        <f>AND(IF(metadata!F59="",FALSE,TRUE),OR(EXACT(metadata!F59,"Animal"),EXACT(metadata!F59,"Fungus"),EXACT(metadata!F59,"Plant")))</f>
        <v>0</v>
      </c>
      <c r="AI59" t="b">
        <f>AND(IF(metadata!G59="",FALSE,TRUE),OR(EXACT(metadata!G59,"Plant secretion"),EXACT(metadata!G59,"Plant rhizosphere"),EXACT(metadata!G59,"Plant surface"),EXACT(metadata!G59,"Plant corpus"),EXACT(metadata!G59,"Fungus surface"),EXACT(metadata!G59,"Fungus corpus"),EXACT(metadata!G59,"Animal surface"),EXACT(metadata!G59,"Animal proximal gut"),EXACT(metadata!G59,"Animal corpus"),EXACT(metadata!G59,"Animal distal gut"),EXACT(metadata!G59,"Animal secretion")))</f>
        <v>0</v>
      </c>
      <c r="AJ59" t="b">
        <f>OR(AND(IF(metadata!H59="",FALSE,TRUE),OR(EXACT(metadata!H59,"missing: not collected"),EXACT(metadata!H59,"missing: not provided"),EXACT(metadata!H59,"missing: restricted access"))),AND(IF(metadata!H59="",FALSE,TRUE),OR(EXACT(metadata!H59,"organism-associated habitat"),EXACT(metadata!H59,"plant-associated habitat"),EXACT(metadata!H59,"animal-associated habitat"),EXACT(metadata!H59,"insecta-associated habitat"),EXACT(metadata!H59,"mammalia-associated habitat"),EXACT(metadata!H59,"human-associated habitat"),EXACT(metadata!H59,"livestock-associated habitat"))))</f>
        <v>0</v>
      </c>
      <c r="AK59" t="b">
        <f>AND(IF(metadata!I59="",FALSE,TRUE),EXACT(metadata!I59,"host-associated"))</f>
        <v>0</v>
      </c>
      <c r="AL59" t="b">
        <f>OR(AND(IF(metadata!J59="",FALSE,TRUE),OR(EXACT(metadata!J59,"not applicable"),EXACT(metadata!J59,"missing: not collected"),EXACT(metadata!J59,"missing: not provided"),EXACT(metadata!J59,"missing: restricted access"))),AND(IF(metadata!J59="",FALSE,ISNUMBER(VALUE(metadata!J59))),metadata!J59&gt;0))</f>
        <v>0</v>
      </c>
      <c r="AM59" t="b">
        <f>AND(IF(metadata!K59="",FALSE,TRUE),EXACT(metadata!K59,"missing: not provided"))</f>
        <v>0</v>
      </c>
      <c r="AN59" t="b">
        <f>IF(metadata!L59="",FALSE,TRUE)</f>
        <v>0</v>
      </c>
      <c r="AO59" t="b">
        <f>IF(metadata!M59="",FALSE,TRUE)</f>
        <v>0</v>
      </c>
      <c r="AP59" t="b">
        <f>OR(AND(IF(metadata!N59="",FALSE,TRUE),OR(EXACT(metadata!N59,"not applicable"),EXACT(metadata!N59,"missing: not collected"),EXACT(metadata!N59,"missing: not provided"))),AND(IF(metadata!N59="",FALSE,IF(ISERROR(INT(metadata!N59)),FALSE,INT(metadata!N59)=metadata!N59)),metadata!N59&gt;0))</f>
        <v>0</v>
      </c>
      <c r="AQ59" t="b">
        <f>AND(IF(metadata!O59="",FALSE,TRUE),EXACT(metadata!O59,"Not applicable"))</f>
        <v>0</v>
      </c>
      <c r="AR59" t="b">
        <f>OR(AND(IF(metadata!P59="",FALSE,TRUE),OR(EXACT(metadata!P59,"not applicable"),EXACT(metadata!P59,"missing: not collected"),EXACT(metadata!P59,"missing: not provided"),EXACT(metadata!P59,"missing: restricted access"))),IF(metadata!P59="",FALSE,IF(ISERROR(INT(metadata!P59)),FALSE,INT(metadata!P59)=metadata!P59)))</f>
        <v>0</v>
      </c>
      <c r="AS59" t="b">
        <f>AND(IF(metadata!Q59="",FALSE,TRUE),EXACT(metadata!Q59,"Not applicable"))</f>
        <v>0</v>
      </c>
      <c r="AT59" t="b">
        <f>OR(AND(IF(metadata!R59="",FALSE,TRUE),OR(EXACT(metadata!R59,"not applicable"),EXACT(metadata!R59,"missing: not collected"),EXACT(metadata!R59,"missing: not provided"),EXACT(metadata!R59,"missing: restricted access"))),AND(IF(metadata!R59="",FALSE,ISNUMBER(VALUE(metadata!R59))),metadata!R59&gt;0))</f>
        <v>0</v>
      </c>
      <c r="AU59" t="b">
        <f>AND(IF(metadata!S59="",FALSE,TRUE),EXACT(metadata!S59,"missing: not provided"))</f>
        <v>0</v>
      </c>
    </row>
    <row r="60" spans="1:47" x14ac:dyDescent="0.2">
      <c r="A60" s="5" t="str">
        <f ca="1">IF(B60=" "," ",HYPERLINK(CONCATENATE("#metadata!",ADDRESS(INDEX($Y$2:$Y$1001,MATCH(ROWS($W$2:W60),$W$2:$W$1001,0),0),1)),INDEX($AB$2:$AB$1001,MATCH(ROWS($W$2:W60),$W$2:$W$1001,0),0)))</f>
        <v xml:space="preserve"> </v>
      </c>
      <c r="B60" s="4" t="str">
        <f ca="1">IF(OR(INDEX($X$2:$X$1001,MATCH(ROWS($W$2:W60),$W$2:$W$1001,0),1)&gt;=100000,INDEX($AD$1005:$AU$1005,1,MATCH(COLUMNS($AD$1006:AD1006),$AD$1006:$AU$1006,0))&gt;=100000), " ",IF(INDEX($AD$2:$AU$1001,MATCH(ROWS($W$2:W60),$W$2:$W$1001,0),MATCH(COLUMNS($AD$1006:AD1006),$AD$1006:$AU$1006,0)), HYPERLINK("#",""), HYPERLINK(CONCATENATE("#metadata!", ADDRESS(INDEX($Y$2:$Y$1001,MATCH(ROWS($W$2:W60),$W$2:$W$1001,0),0), INDEX($AD$1004:$AU$1004,1,MATCH(COLUMNS($AD$1006:AD1006),$AD$1006:$AU$1006,0)))),"Fix")))</f>
        <v xml:space="preserve"> </v>
      </c>
      <c r="C60" s="4" t="str">
        <f ca="1">IF(OR(INDEX($X$2:$X$1001,MATCH(ROWS($W$2:W60),$W$2:$W$1001,0),1)&gt;=100000,INDEX($AD$1005:$AU$1005,1,MATCH(COLUMNS($AD$1006:AE1006),$AD$1006:$AU$1006,0))&gt;=100000), " ",IF(INDEX($AD$2:$AU$1001,MATCH(ROWS($W$2:W60),$W$2:$W$1001,0),MATCH(COLUMNS($AD$1006:AE1006),$AD$1006:$AU$1006,0)), HYPERLINK("#",""), HYPERLINK(CONCATENATE("#metadata!", ADDRESS(INDEX($Y$2:$Y$1001,MATCH(ROWS($W$2:W60),$W$2:$W$1001,0),0), INDEX($AD$1004:$AU$1004,1,MATCH(COLUMNS($AD$1006:AE1006),$AD$1006:$AU$1006,0)))),"Fix")))</f>
        <v xml:space="preserve"> </v>
      </c>
      <c r="D60" s="4" t="str">
        <f ca="1">IF(OR(INDEX($X$2:$X$1001,MATCH(ROWS($W$2:W60),$W$2:$W$1001,0),1)&gt;=100000,INDEX($AD$1005:$AU$1005,1,MATCH(COLUMNS($AD$1006:AF1006),$AD$1006:$AU$1006,0))&gt;=100000), " ",IF(INDEX($AD$2:$AU$1001,MATCH(ROWS($W$2:W60),$W$2:$W$1001,0),MATCH(COLUMNS($AD$1006:AF1006),$AD$1006:$AU$1006,0)), HYPERLINK("#",""), HYPERLINK(CONCATENATE("#metadata!", ADDRESS(INDEX($Y$2:$Y$1001,MATCH(ROWS($W$2:W60),$W$2:$W$1001,0),0), INDEX($AD$1004:$AU$1004,1,MATCH(COLUMNS($AD$1006:AF1006),$AD$1006:$AU$1006,0)))),"Fix")))</f>
        <v xml:space="preserve"> </v>
      </c>
      <c r="E60" s="4" t="str">
        <f ca="1">IF(OR(INDEX($X$2:$X$1001,MATCH(ROWS($W$2:W60),$W$2:$W$1001,0),1)&gt;=100000,INDEX($AD$1005:$AU$1005,1,MATCH(COLUMNS($AD$1006:AG1006),$AD$1006:$AU$1006,0))&gt;=100000), " ",IF(INDEX($AD$2:$AU$1001,MATCH(ROWS($W$2:W60),$W$2:$W$1001,0),MATCH(COLUMNS($AD$1006:AG1006),$AD$1006:$AU$1006,0)), HYPERLINK("#",""), HYPERLINK(CONCATENATE("#metadata!", ADDRESS(INDEX($Y$2:$Y$1001,MATCH(ROWS($W$2:W60),$W$2:$W$1001,0),0), INDEX($AD$1004:$AU$1004,1,MATCH(COLUMNS($AD$1006:AG1006),$AD$1006:$AU$1006,0)))),"Fix")))</f>
        <v xml:space="preserve"> </v>
      </c>
      <c r="F60" s="4" t="str">
        <f ca="1">IF(OR(INDEX($X$2:$X$1001,MATCH(ROWS($W$2:W60),$W$2:$W$1001,0),1)&gt;=100000,INDEX($AD$1005:$AU$1005,1,MATCH(COLUMNS($AD$1006:AH1006),$AD$1006:$AU$1006,0))&gt;=100000), " ",IF(INDEX($AD$2:$AU$1001,MATCH(ROWS($W$2:W60),$W$2:$W$1001,0),MATCH(COLUMNS($AD$1006:AH1006),$AD$1006:$AU$1006,0)), HYPERLINK("#",""), HYPERLINK(CONCATENATE("#metadata!", ADDRESS(INDEX($Y$2:$Y$1001,MATCH(ROWS($W$2:W60),$W$2:$W$1001,0),0), INDEX($AD$1004:$AU$1004,1,MATCH(COLUMNS($AD$1006:AH1006),$AD$1006:$AU$1006,0)))),"Fix")))</f>
        <v xml:space="preserve"> </v>
      </c>
      <c r="G60" s="4" t="str">
        <f ca="1">IF(OR(INDEX($X$2:$X$1001,MATCH(ROWS($W$2:W60),$W$2:$W$1001,0),1)&gt;=100000,INDEX($AD$1005:$AU$1005,1,MATCH(COLUMNS($AD$1006:AI1006),$AD$1006:$AU$1006,0))&gt;=100000), " ",IF(INDEX($AD$2:$AU$1001,MATCH(ROWS($W$2:W60),$W$2:$W$1001,0),MATCH(COLUMNS($AD$1006:AI1006),$AD$1006:$AU$1006,0)), HYPERLINK("#",""), HYPERLINK(CONCATENATE("#metadata!", ADDRESS(INDEX($Y$2:$Y$1001,MATCH(ROWS($W$2:W60),$W$2:$W$1001,0),0), INDEX($AD$1004:$AU$1004,1,MATCH(COLUMNS($AD$1006:AI1006),$AD$1006:$AU$1006,0)))),"Fix")))</f>
        <v xml:space="preserve"> </v>
      </c>
      <c r="H60" s="4" t="str">
        <f ca="1">IF(OR(INDEX($X$2:$X$1001,MATCH(ROWS($W$2:W60),$W$2:$W$1001,0),1)&gt;=100000,INDEX($AD$1005:$AU$1005,1,MATCH(COLUMNS($AD$1006:AJ1006),$AD$1006:$AU$1006,0))&gt;=100000), " ",IF(INDEX($AD$2:$AU$1001,MATCH(ROWS($W$2:W60),$W$2:$W$1001,0),MATCH(COLUMNS($AD$1006:AJ1006),$AD$1006:$AU$1006,0)), HYPERLINK("#",""), HYPERLINK(CONCATENATE("#metadata!", ADDRESS(INDEX($Y$2:$Y$1001,MATCH(ROWS($W$2:W60),$W$2:$W$1001,0),0), INDEX($AD$1004:$AU$1004,1,MATCH(COLUMNS($AD$1006:AJ1006),$AD$1006:$AU$1006,0)))),"Fix")))</f>
        <v xml:space="preserve"> </v>
      </c>
      <c r="I60" s="4" t="str">
        <f ca="1">IF(OR(INDEX($X$2:$X$1001,MATCH(ROWS($W$2:W60),$W$2:$W$1001,0),1)&gt;=100000,INDEX($AD$1005:$AU$1005,1,MATCH(COLUMNS($AD$1006:AK1006),$AD$1006:$AU$1006,0))&gt;=100000), " ",IF(INDEX($AD$2:$AU$1001,MATCH(ROWS($W$2:W60),$W$2:$W$1001,0),MATCH(COLUMNS($AD$1006:AK1006),$AD$1006:$AU$1006,0)), HYPERLINK("#",""), HYPERLINK(CONCATENATE("#metadata!", ADDRESS(INDEX($Y$2:$Y$1001,MATCH(ROWS($W$2:W60),$W$2:$W$1001,0),0), INDEX($AD$1004:$AU$1004,1,MATCH(COLUMNS($AD$1006:AK1006),$AD$1006:$AU$1006,0)))),"Fix")))</f>
        <v xml:space="preserve"> </v>
      </c>
      <c r="J60" s="4" t="str">
        <f ca="1">IF(OR(INDEX($X$2:$X$1001,MATCH(ROWS($W$2:W60),$W$2:$W$1001,0),1)&gt;=100000,INDEX($AD$1005:$AU$1005,1,MATCH(COLUMNS($AD$1006:AL1006),$AD$1006:$AU$1006,0))&gt;=100000), " ",IF(INDEX($AD$2:$AU$1001,MATCH(ROWS($W$2:W60),$W$2:$W$1001,0),MATCH(COLUMNS($AD$1006:AL1006),$AD$1006:$AU$1006,0)), HYPERLINK("#",""), HYPERLINK(CONCATENATE("#metadata!", ADDRESS(INDEX($Y$2:$Y$1001,MATCH(ROWS($W$2:W60),$W$2:$W$1001,0),0), INDEX($AD$1004:$AU$1004,1,MATCH(COLUMNS($AD$1006:AL1006),$AD$1006:$AU$1006,0)))),"Fix")))</f>
        <v xml:space="preserve"> </v>
      </c>
      <c r="K60" s="4" t="str">
        <f ca="1">IF(OR(INDEX($X$2:$X$1001,MATCH(ROWS($W$2:W60),$W$2:$W$1001,0),1)&gt;=100000,INDEX($AD$1005:$AU$1005,1,MATCH(COLUMNS($AD$1006:AM1006),$AD$1006:$AU$1006,0))&gt;=100000), " ",IF(INDEX($AD$2:$AU$1001,MATCH(ROWS($W$2:W60),$W$2:$W$1001,0),MATCH(COLUMNS($AD$1006:AM1006),$AD$1006:$AU$1006,0)), HYPERLINK("#",""), HYPERLINK(CONCATENATE("#metadata!", ADDRESS(INDEX($Y$2:$Y$1001,MATCH(ROWS($W$2:W60),$W$2:$W$1001,0),0), INDEX($AD$1004:$AU$1004,1,MATCH(COLUMNS($AD$1006:AM1006),$AD$1006:$AU$1006,0)))),"Fix")))</f>
        <v xml:space="preserve"> </v>
      </c>
      <c r="L60" s="4" t="str">
        <f ca="1">IF(OR(INDEX($X$2:$X$1001,MATCH(ROWS($W$2:W60),$W$2:$W$1001,0),1)&gt;=100000,INDEX($AD$1005:$AU$1005,1,MATCH(COLUMNS($AD$1006:AN1006),$AD$1006:$AU$1006,0))&gt;=100000), " ",IF(INDEX($AD$2:$AU$1001,MATCH(ROWS($W$2:W60),$W$2:$W$1001,0),MATCH(COLUMNS($AD$1006:AN1006),$AD$1006:$AU$1006,0)), HYPERLINK("#",""), HYPERLINK(CONCATENATE("#metadata!", ADDRESS(INDEX($Y$2:$Y$1001,MATCH(ROWS($W$2:W60),$W$2:$W$1001,0),0), INDEX($AD$1004:$AU$1004,1,MATCH(COLUMNS($AD$1006:AN1006),$AD$1006:$AU$1006,0)))),"Fix")))</f>
        <v xml:space="preserve"> </v>
      </c>
      <c r="M60" s="4" t="str">
        <f ca="1">IF(OR(INDEX($X$2:$X$1001,MATCH(ROWS($W$2:W60),$W$2:$W$1001,0),1)&gt;=100000,INDEX($AD$1005:$AU$1005,1,MATCH(COLUMNS($AD$1006:AO1006),$AD$1006:$AU$1006,0))&gt;=100000), " ",IF(INDEX($AD$2:$AU$1001,MATCH(ROWS($W$2:W60),$W$2:$W$1001,0),MATCH(COLUMNS($AD$1006:AO1006),$AD$1006:$AU$1006,0)), HYPERLINK("#",""), HYPERLINK(CONCATENATE("#metadata!", ADDRESS(INDEX($Y$2:$Y$1001,MATCH(ROWS($W$2:W60),$W$2:$W$1001,0),0), INDEX($AD$1004:$AU$1004,1,MATCH(COLUMNS($AD$1006:AO1006),$AD$1006:$AU$1006,0)))),"Fix")))</f>
        <v xml:space="preserve"> </v>
      </c>
      <c r="N60" s="4" t="str">
        <f ca="1">IF(OR(INDEX($X$2:$X$1001,MATCH(ROWS($W$2:W60),$W$2:$W$1001,0),1)&gt;=100000,INDEX($AD$1005:$AU$1005,1,MATCH(COLUMNS($AD$1006:AP1006),$AD$1006:$AU$1006,0))&gt;=100000), " ",IF(INDEX($AD$2:$AU$1001,MATCH(ROWS($W$2:W60),$W$2:$W$1001,0),MATCH(COLUMNS($AD$1006:AP1006),$AD$1006:$AU$1006,0)), HYPERLINK("#",""), HYPERLINK(CONCATENATE("#metadata!", ADDRESS(INDEX($Y$2:$Y$1001,MATCH(ROWS($W$2:W60),$W$2:$W$1001,0),0), INDEX($AD$1004:$AU$1004,1,MATCH(COLUMNS($AD$1006:AP1006),$AD$1006:$AU$1006,0)))),"Fix")))</f>
        <v xml:space="preserve"> </v>
      </c>
      <c r="O60" s="4" t="str">
        <f ca="1">IF(OR(INDEX($X$2:$X$1001,MATCH(ROWS($W$2:W60),$W$2:$W$1001,0),1)&gt;=100000,INDEX($AD$1005:$AU$1005,1,MATCH(COLUMNS($AD$1006:AQ1006),$AD$1006:$AU$1006,0))&gt;=100000), " ",IF(INDEX($AD$2:$AU$1001,MATCH(ROWS($W$2:W60),$W$2:$W$1001,0),MATCH(COLUMNS($AD$1006:AQ1006),$AD$1006:$AU$1006,0)), HYPERLINK("#",""), HYPERLINK(CONCATENATE("#metadata!", ADDRESS(INDEX($Y$2:$Y$1001,MATCH(ROWS($W$2:W60),$W$2:$W$1001,0),0), INDEX($AD$1004:$AU$1004,1,MATCH(COLUMNS($AD$1006:AQ1006),$AD$1006:$AU$1006,0)))),"Fix")))</f>
        <v xml:space="preserve"> </v>
      </c>
      <c r="P60" s="4" t="str">
        <f ca="1">IF(OR(INDEX($X$2:$X$1001,MATCH(ROWS($W$2:W60),$W$2:$W$1001,0),1)&gt;=100000,INDEX($AD$1005:$AU$1005,1,MATCH(COLUMNS($AD$1006:AR1006),$AD$1006:$AU$1006,0))&gt;=100000), " ",IF(INDEX($AD$2:$AU$1001,MATCH(ROWS($W$2:W60),$W$2:$W$1001,0),MATCH(COLUMNS($AD$1006:AR1006),$AD$1006:$AU$1006,0)), HYPERLINK("#",""), HYPERLINK(CONCATENATE("#metadata!", ADDRESS(INDEX($Y$2:$Y$1001,MATCH(ROWS($W$2:W60),$W$2:$W$1001,0),0), INDEX($AD$1004:$AU$1004,1,MATCH(COLUMNS($AD$1006:AR1006),$AD$1006:$AU$1006,0)))),"Fix")))</f>
        <v xml:space="preserve"> </v>
      </c>
      <c r="Q60" s="4" t="str">
        <f ca="1">IF(OR(INDEX($X$2:$X$1001,MATCH(ROWS($W$2:W60),$W$2:$W$1001,0),1)&gt;=100000,INDEX($AD$1005:$AU$1005,1,MATCH(COLUMNS($AD$1006:AS1006),$AD$1006:$AU$1006,0))&gt;=100000), " ",IF(INDEX($AD$2:$AU$1001,MATCH(ROWS($W$2:W60),$W$2:$W$1001,0),MATCH(COLUMNS($AD$1006:AS1006),$AD$1006:$AU$1006,0)), HYPERLINK("#",""), HYPERLINK(CONCATENATE("#metadata!", ADDRESS(INDEX($Y$2:$Y$1001,MATCH(ROWS($W$2:W60),$W$2:$W$1001,0),0), INDEX($AD$1004:$AU$1004,1,MATCH(COLUMNS($AD$1006:AS1006),$AD$1006:$AU$1006,0)))),"Fix")))</f>
        <v xml:space="preserve"> </v>
      </c>
      <c r="R60" s="4" t="str">
        <f ca="1">IF(OR(INDEX($X$2:$X$1001,MATCH(ROWS($W$2:W60),$W$2:$W$1001,0),1)&gt;=100000,INDEX($AD$1005:$AU$1005,1,MATCH(COLUMNS($AD$1006:AT1006),$AD$1006:$AU$1006,0))&gt;=100000), " ",IF(INDEX($AD$2:$AU$1001,MATCH(ROWS($W$2:W60),$W$2:$W$1001,0),MATCH(COLUMNS($AD$1006:AT1006),$AD$1006:$AU$1006,0)), HYPERLINK("#",""), HYPERLINK(CONCATENATE("#metadata!", ADDRESS(INDEX($Y$2:$Y$1001,MATCH(ROWS($W$2:W60),$W$2:$W$1001,0),0), INDEX($AD$1004:$AU$1004,1,MATCH(COLUMNS($AD$1006:AT1006),$AD$1006:$AU$1006,0)))),"Fix")))</f>
        <v xml:space="preserve"> </v>
      </c>
      <c r="S60" s="4" t="str">
        <f ca="1">IF(OR(INDEX($X$2:$X$1001,MATCH(ROWS($W$2:W60),$W$2:$W$1001,0),1)&gt;=100000,INDEX($AD$1005:$AU$1005,1,MATCH(COLUMNS($AD$1006:AU1006),$AD$1006:$AU$1006,0))&gt;=100000), " ",IF(INDEX($AD$2:$AU$1001,MATCH(ROWS($W$2:W60),$W$2:$W$1001,0),MATCH(COLUMNS($AD$1006:AU1006),$AD$1006:$AU$1006,0)), HYPERLINK("#",""), HYPERLINK(CONCATENATE("#metadata!", ADDRESS(INDEX($Y$2:$Y$1001,MATCH(ROWS($W$2:W60),$W$2:$W$1001,0),0), INDEX($AD$1004:$AU$1004,1,MATCH(COLUMNS($AD$1006:AU1006),$AD$1006:$AU$1006,0)))),"Fix")))</f>
        <v xml:space="preserve"> </v>
      </c>
      <c r="W60">
        <v>59</v>
      </c>
      <c r="X60">
        <v>100060</v>
      </c>
      <c r="Y60">
        <v>60</v>
      </c>
      <c r="Z60" t="b">
        <f t="shared" si="0"/>
        <v>1</v>
      </c>
      <c r="AA60" t="b">
        <f>COUNTBLANK(metadata!B60:S60)=COLUMNS(metadata!B60:S60)</f>
        <v>1</v>
      </c>
      <c r="AB60" t="str">
        <v/>
      </c>
      <c r="AD60" t="b">
        <f ca="1">AND(IF(metadata!B60="",FALSE,TRUE),COUNTIF(metadata!B:B, metadata!B60) = 1,NOT(ISERROR(SUMPRODUCT(SEARCH(MID(metadata!B60,ROW(INDIRECT("1:"&amp;LEN(metadata!B60))), 1),"0123456789abcdefghijklmnopqrstuvwxyzABCDEFGHIJKLMNOPQRSTUVWXYZ.")))))</f>
        <v>0</v>
      </c>
      <c r="AE60" t="b">
        <f>OR(AND(IF(metadata!C60="",FALSE,TRUE),OR(EXACT(metadata!C60,"not applicable"),EXACT(metadata!C60,"missing: not collected"),EXACT(metadata!C60,"missing: not provided"),EXACT(metadata!C60,"missing: restricted access"))),AND(IF(metadata!C60="",FALSE,ISNUMBER(VALUE(metadata!C60))),metadata!C60&gt;0))</f>
        <v>0</v>
      </c>
      <c r="AF60" t="b">
        <f>AND(IF(metadata!D60="",FALSE,TRUE),EXACT(metadata!D60,"missing: not provided"))</f>
        <v>0</v>
      </c>
      <c r="AG60" t="b">
        <f>AND(IF(metadata!E60="",FALSE,TRUE),EXACT(metadata!E60,"Host-associated"))</f>
        <v>0</v>
      </c>
      <c r="AH60" t="b">
        <f>AND(IF(metadata!F60="",FALSE,TRUE),OR(EXACT(metadata!F60,"Animal"),EXACT(metadata!F60,"Fungus"),EXACT(metadata!F60,"Plant")))</f>
        <v>0</v>
      </c>
      <c r="AI60" t="b">
        <f>AND(IF(metadata!G60="",FALSE,TRUE),OR(EXACT(metadata!G60,"Plant secretion"),EXACT(metadata!G60,"Plant rhizosphere"),EXACT(metadata!G60,"Plant surface"),EXACT(metadata!G60,"Plant corpus"),EXACT(metadata!G60,"Fungus surface"),EXACT(metadata!G60,"Fungus corpus"),EXACT(metadata!G60,"Animal surface"),EXACT(metadata!G60,"Animal proximal gut"),EXACT(metadata!G60,"Animal corpus"),EXACT(metadata!G60,"Animal distal gut"),EXACT(metadata!G60,"Animal secretion")))</f>
        <v>0</v>
      </c>
      <c r="AJ60" t="b">
        <f>OR(AND(IF(metadata!H60="",FALSE,TRUE),OR(EXACT(metadata!H60,"missing: not collected"),EXACT(metadata!H60,"missing: not provided"),EXACT(metadata!H60,"missing: restricted access"))),AND(IF(metadata!H60="",FALSE,TRUE),OR(EXACT(metadata!H60,"organism-associated habitat"),EXACT(metadata!H60,"plant-associated habitat"),EXACT(metadata!H60,"animal-associated habitat"),EXACT(metadata!H60,"insecta-associated habitat"),EXACT(metadata!H60,"mammalia-associated habitat"),EXACT(metadata!H60,"human-associated habitat"),EXACT(metadata!H60,"livestock-associated habitat"))))</f>
        <v>0</v>
      </c>
      <c r="AK60" t="b">
        <f>AND(IF(metadata!I60="",FALSE,TRUE),EXACT(metadata!I60,"host-associated"))</f>
        <v>0</v>
      </c>
      <c r="AL60" t="b">
        <f>OR(AND(IF(metadata!J60="",FALSE,TRUE),OR(EXACT(metadata!J60,"not applicable"),EXACT(metadata!J60,"missing: not collected"),EXACT(metadata!J60,"missing: not provided"),EXACT(metadata!J60,"missing: restricted access"))),AND(IF(metadata!J60="",FALSE,ISNUMBER(VALUE(metadata!J60))),metadata!J60&gt;0))</f>
        <v>0</v>
      </c>
      <c r="AM60" t="b">
        <f>AND(IF(metadata!K60="",FALSE,TRUE),EXACT(metadata!K60,"missing: not provided"))</f>
        <v>0</v>
      </c>
      <c r="AN60" t="b">
        <f>IF(metadata!L60="",FALSE,TRUE)</f>
        <v>0</v>
      </c>
      <c r="AO60" t="b">
        <f>IF(metadata!M60="",FALSE,TRUE)</f>
        <v>0</v>
      </c>
      <c r="AP60" t="b">
        <f>OR(AND(IF(metadata!N60="",FALSE,TRUE),OR(EXACT(metadata!N60,"not applicable"),EXACT(metadata!N60,"missing: not collected"),EXACT(metadata!N60,"missing: not provided"))),AND(IF(metadata!N60="",FALSE,IF(ISERROR(INT(metadata!N60)),FALSE,INT(metadata!N60)=metadata!N60)),metadata!N60&gt;0))</f>
        <v>0</v>
      </c>
      <c r="AQ60" t="b">
        <f>AND(IF(metadata!O60="",FALSE,TRUE),EXACT(metadata!O60,"Not applicable"))</f>
        <v>0</v>
      </c>
      <c r="AR60" t="b">
        <f>OR(AND(IF(metadata!P60="",FALSE,TRUE),OR(EXACT(metadata!P60,"not applicable"),EXACT(metadata!P60,"missing: not collected"),EXACT(metadata!P60,"missing: not provided"),EXACT(metadata!P60,"missing: restricted access"))),IF(metadata!P60="",FALSE,IF(ISERROR(INT(metadata!P60)),FALSE,INT(metadata!P60)=metadata!P60)))</f>
        <v>0</v>
      </c>
      <c r="AS60" t="b">
        <f>AND(IF(metadata!Q60="",FALSE,TRUE),EXACT(metadata!Q60,"Not applicable"))</f>
        <v>0</v>
      </c>
      <c r="AT60" t="b">
        <f>OR(AND(IF(metadata!R60="",FALSE,TRUE),OR(EXACT(metadata!R60,"not applicable"),EXACT(metadata!R60,"missing: not collected"),EXACT(metadata!R60,"missing: not provided"),EXACT(metadata!R60,"missing: restricted access"))),AND(IF(metadata!R60="",FALSE,ISNUMBER(VALUE(metadata!R60))),metadata!R60&gt;0))</f>
        <v>0</v>
      </c>
      <c r="AU60" t="b">
        <f>AND(IF(metadata!S60="",FALSE,TRUE),EXACT(metadata!S60,"missing: not provided"))</f>
        <v>0</v>
      </c>
    </row>
    <row r="61" spans="1:47" x14ac:dyDescent="0.2">
      <c r="A61" s="5" t="str">
        <f ca="1">IF(B61=" "," ",HYPERLINK(CONCATENATE("#metadata!",ADDRESS(INDEX($Y$2:$Y$1001,MATCH(ROWS($W$2:W61),$W$2:$W$1001,0),0),1)),INDEX($AB$2:$AB$1001,MATCH(ROWS($W$2:W61),$W$2:$W$1001,0),0)))</f>
        <v xml:space="preserve"> </v>
      </c>
      <c r="B61" s="4" t="str">
        <f ca="1">IF(OR(INDEX($X$2:$X$1001,MATCH(ROWS($W$2:W61),$W$2:$W$1001,0),1)&gt;=100000,INDEX($AD$1005:$AU$1005,1,MATCH(COLUMNS($AD$1006:AD1006),$AD$1006:$AU$1006,0))&gt;=100000), " ",IF(INDEX($AD$2:$AU$1001,MATCH(ROWS($W$2:W61),$W$2:$W$1001,0),MATCH(COLUMNS($AD$1006:AD1006),$AD$1006:$AU$1006,0)), HYPERLINK("#",""), HYPERLINK(CONCATENATE("#metadata!", ADDRESS(INDEX($Y$2:$Y$1001,MATCH(ROWS($W$2:W61),$W$2:$W$1001,0),0), INDEX($AD$1004:$AU$1004,1,MATCH(COLUMNS($AD$1006:AD1006),$AD$1006:$AU$1006,0)))),"Fix")))</f>
        <v xml:space="preserve"> </v>
      </c>
      <c r="C61" s="4" t="str">
        <f ca="1">IF(OR(INDEX($X$2:$X$1001,MATCH(ROWS($W$2:W61),$W$2:$W$1001,0),1)&gt;=100000,INDEX($AD$1005:$AU$1005,1,MATCH(COLUMNS($AD$1006:AE1006),$AD$1006:$AU$1006,0))&gt;=100000), " ",IF(INDEX($AD$2:$AU$1001,MATCH(ROWS($W$2:W61),$W$2:$W$1001,0),MATCH(COLUMNS($AD$1006:AE1006),$AD$1006:$AU$1006,0)), HYPERLINK("#",""), HYPERLINK(CONCATENATE("#metadata!", ADDRESS(INDEX($Y$2:$Y$1001,MATCH(ROWS($W$2:W61),$W$2:$W$1001,0),0), INDEX($AD$1004:$AU$1004,1,MATCH(COLUMNS($AD$1006:AE1006),$AD$1006:$AU$1006,0)))),"Fix")))</f>
        <v xml:space="preserve"> </v>
      </c>
      <c r="D61" s="4" t="str">
        <f ca="1">IF(OR(INDEX($X$2:$X$1001,MATCH(ROWS($W$2:W61),$W$2:$W$1001,0),1)&gt;=100000,INDEX($AD$1005:$AU$1005,1,MATCH(COLUMNS($AD$1006:AF1006),$AD$1006:$AU$1006,0))&gt;=100000), " ",IF(INDEX($AD$2:$AU$1001,MATCH(ROWS($W$2:W61),$W$2:$W$1001,0),MATCH(COLUMNS($AD$1006:AF1006),$AD$1006:$AU$1006,0)), HYPERLINK("#",""), HYPERLINK(CONCATENATE("#metadata!", ADDRESS(INDEX($Y$2:$Y$1001,MATCH(ROWS($W$2:W61),$W$2:$W$1001,0),0), INDEX($AD$1004:$AU$1004,1,MATCH(COLUMNS($AD$1006:AF1006),$AD$1006:$AU$1006,0)))),"Fix")))</f>
        <v xml:space="preserve"> </v>
      </c>
      <c r="E61" s="4" t="str">
        <f ca="1">IF(OR(INDEX($X$2:$X$1001,MATCH(ROWS($W$2:W61),$W$2:$W$1001,0),1)&gt;=100000,INDEX($AD$1005:$AU$1005,1,MATCH(COLUMNS($AD$1006:AG1006),$AD$1006:$AU$1006,0))&gt;=100000), " ",IF(INDEX($AD$2:$AU$1001,MATCH(ROWS($W$2:W61),$W$2:$W$1001,0),MATCH(COLUMNS($AD$1006:AG1006),$AD$1006:$AU$1006,0)), HYPERLINK("#",""), HYPERLINK(CONCATENATE("#metadata!", ADDRESS(INDEX($Y$2:$Y$1001,MATCH(ROWS($W$2:W61),$W$2:$W$1001,0),0), INDEX($AD$1004:$AU$1004,1,MATCH(COLUMNS($AD$1006:AG1006),$AD$1006:$AU$1006,0)))),"Fix")))</f>
        <v xml:space="preserve"> </v>
      </c>
      <c r="F61" s="4" t="str">
        <f ca="1">IF(OR(INDEX($X$2:$X$1001,MATCH(ROWS($W$2:W61),$W$2:$W$1001,0),1)&gt;=100000,INDEX($AD$1005:$AU$1005,1,MATCH(COLUMNS($AD$1006:AH1006),$AD$1006:$AU$1006,0))&gt;=100000), " ",IF(INDEX($AD$2:$AU$1001,MATCH(ROWS($W$2:W61),$W$2:$W$1001,0),MATCH(COLUMNS($AD$1006:AH1006),$AD$1006:$AU$1006,0)), HYPERLINK("#",""), HYPERLINK(CONCATENATE("#metadata!", ADDRESS(INDEX($Y$2:$Y$1001,MATCH(ROWS($W$2:W61),$W$2:$W$1001,0),0), INDEX($AD$1004:$AU$1004,1,MATCH(COLUMNS($AD$1006:AH1006),$AD$1006:$AU$1006,0)))),"Fix")))</f>
        <v xml:space="preserve"> </v>
      </c>
      <c r="G61" s="4" t="str">
        <f ca="1">IF(OR(INDEX($X$2:$X$1001,MATCH(ROWS($W$2:W61),$W$2:$W$1001,0),1)&gt;=100000,INDEX($AD$1005:$AU$1005,1,MATCH(COLUMNS($AD$1006:AI1006),$AD$1006:$AU$1006,0))&gt;=100000), " ",IF(INDEX($AD$2:$AU$1001,MATCH(ROWS($W$2:W61),$W$2:$W$1001,0),MATCH(COLUMNS($AD$1006:AI1006),$AD$1006:$AU$1006,0)), HYPERLINK("#",""), HYPERLINK(CONCATENATE("#metadata!", ADDRESS(INDEX($Y$2:$Y$1001,MATCH(ROWS($W$2:W61),$W$2:$W$1001,0),0), INDEX($AD$1004:$AU$1004,1,MATCH(COLUMNS($AD$1006:AI1006),$AD$1006:$AU$1006,0)))),"Fix")))</f>
        <v xml:space="preserve"> </v>
      </c>
      <c r="H61" s="4" t="str">
        <f ca="1">IF(OR(INDEX($X$2:$X$1001,MATCH(ROWS($W$2:W61),$W$2:$W$1001,0),1)&gt;=100000,INDEX($AD$1005:$AU$1005,1,MATCH(COLUMNS($AD$1006:AJ1006),$AD$1006:$AU$1006,0))&gt;=100000), " ",IF(INDEX($AD$2:$AU$1001,MATCH(ROWS($W$2:W61),$W$2:$W$1001,0),MATCH(COLUMNS($AD$1006:AJ1006),$AD$1006:$AU$1006,0)), HYPERLINK("#",""), HYPERLINK(CONCATENATE("#metadata!", ADDRESS(INDEX($Y$2:$Y$1001,MATCH(ROWS($W$2:W61),$W$2:$W$1001,0),0), INDEX($AD$1004:$AU$1004,1,MATCH(COLUMNS($AD$1006:AJ1006),$AD$1006:$AU$1006,0)))),"Fix")))</f>
        <v xml:space="preserve"> </v>
      </c>
      <c r="I61" s="4" t="str">
        <f ca="1">IF(OR(INDEX($X$2:$X$1001,MATCH(ROWS($W$2:W61),$W$2:$W$1001,0),1)&gt;=100000,INDEX($AD$1005:$AU$1005,1,MATCH(COLUMNS($AD$1006:AK1006),$AD$1006:$AU$1006,0))&gt;=100000), " ",IF(INDEX($AD$2:$AU$1001,MATCH(ROWS($W$2:W61),$W$2:$W$1001,0),MATCH(COLUMNS($AD$1006:AK1006),$AD$1006:$AU$1006,0)), HYPERLINK("#",""), HYPERLINK(CONCATENATE("#metadata!", ADDRESS(INDEX($Y$2:$Y$1001,MATCH(ROWS($W$2:W61),$W$2:$W$1001,0),0), INDEX($AD$1004:$AU$1004,1,MATCH(COLUMNS($AD$1006:AK1006),$AD$1006:$AU$1006,0)))),"Fix")))</f>
        <v xml:space="preserve"> </v>
      </c>
      <c r="J61" s="4" t="str">
        <f ca="1">IF(OR(INDEX($X$2:$X$1001,MATCH(ROWS($W$2:W61),$W$2:$W$1001,0),1)&gt;=100000,INDEX($AD$1005:$AU$1005,1,MATCH(COLUMNS($AD$1006:AL1006),$AD$1006:$AU$1006,0))&gt;=100000), " ",IF(INDEX($AD$2:$AU$1001,MATCH(ROWS($W$2:W61),$W$2:$W$1001,0),MATCH(COLUMNS($AD$1006:AL1006),$AD$1006:$AU$1006,0)), HYPERLINK("#",""), HYPERLINK(CONCATENATE("#metadata!", ADDRESS(INDEX($Y$2:$Y$1001,MATCH(ROWS($W$2:W61),$W$2:$W$1001,0),0), INDEX($AD$1004:$AU$1004,1,MATCH(COLUMNS($AD$1006:AL1006),$AD$1006:$AU$1006,0)))),"Fix")))</f>
        <v xml:space="preserve"> </v>
      </c>
      <c r="K61" s="4" t="str">
        <f ca="1">IF(OR(INDEX($X$2:$X$1001,MATCH(ROWS($W$2:W61),$W$2:$W$1001,0),1)&gt;=100000,INDEX($AD$1005:$AU$1005,1,MATCH(COLUMNS($AD$1006:AM1006),$AD$1006:$AU$1006,0))&gt;=100000), " ",IF(INDEX($AD$2:$AU$1001,MATCH(ROWS($W$2:W61),$W$2:$W$1001,0),MATCH(COLUMNS($AD$1006:AM1006),$AD$1006:$AU$1006,0)), HYPERLINK("#",""), HYPERLINK(CONCATENATE("#metadata!", ADDRESS(INDEX($Y$2:$Y$1001,MATCH(ROWS($W$2:W61),$W$2:$W$1001,0),0), INDEX($AD$1004:$AU$1004,1,MATCH(COLUMNS($AD$1006:AM1006),$AD$1006:$AU$1006,0)))),"Fix")))</f>
        <v xml:space="preserve"> </v>
      </c>
      <c r="L61" s="4" t="str">
        <f ca="1">IF(OR(INDEX($X$2:$X$1001,MATCH(ROWS($W$2:W61),$W$2:$W$1001,0),1)&gt;=100000,INDEX($AD$1005:$AU$1005,1,MATCH(COLUMNS($AD$1006:AN1006),$AD$1006:$AU$1006,0))&gt;=100000), " ",IF(INDEX($AD$2:$AU$1001,MATCH(ROWS($W$2:W61),$W$2:$W$1001,0),MATCH(COLUMNS($AD$1006:AN1006),$AD$1006:$AU$1006,0)), HYPERLINK("#",""), HYPERLINK(CONCATENATE("#metadata!", ADDRESS(INDEX($Y$2:$Y$1001,MATCH(ROWS($W$2:W61),$W$2:$W$1001,0),0), INDEX($AD$1004:$AU$1004,1,MATCH(COLUMNS($AD$1006:AN1006),$AD$1006:$AU$1006,0)))),"Fix")))</f>
        <v xml:space="preserve"> </v>
      </c>
      <c r="M61" s="4" t="str">
        <f ca="1">IF(OR(INDEX($X$2:$X$1001,MATCH(ROWS($W$2:W61),$W$2:$W$1001,0),1)&gt;=100000,INDEX($AD$1005:$AU$1005,1,MATCH(COLUMNS($AD$1006:AO1006),$AD$1006:$AU$1006,0))&gt;=100000), " ",IF(INDEX($AD$2:$AU$1001,MATCH(ROWS($W$2:W61),$W$2:$W$1001,0),MATCH(COLUMNS($AD$1006:AO1006),$AD$1006:$AU$1006,0)), HYPERLINK("#",""), HYPERLINK(CONCATENATE("#metadata!", ADDRESS(INDEX($Y$2:$Y$1001,MATCH(ROWS($W$2:W61),$W$2:$W$1001,0),0), INDEX($AD$1004:$AU$1004,1,MATCH(COLUMNS($AD$1006:AO1006),$AD$1006:$AU$1006,0)))),"Fix")))</f>
        <v xml:space="preserve"> </v>
      </c>
      <c r="N61" s="4" t="str">
        <f ca="1">IF(OR(INDEX($X$2:$X$1001,MATCH(ROWS($W$2:W61),$W$2:$W$1001,0),1)&gt;=100000,INDEX($AD$1005:$AU$1005,1,MATCH(COLUMNS($AD$1006:AP1006),$AD$1006:$AU$1006,0))&gt;=100000), " ",IF(INDEX($AD$2:$AU$1001,MATCH(ROWS($W$2:W61),$W$2:$W$1001,0),MATCH(COLUMNS($AD$1006:AP1006),$AD$1006:$AU$1006,0)), HYPERLINK("#",""), HYPERLINK(CONCATENATE("#metadata!", ADDRESS(INDEX($Y$2:$Y$1001,MATCH(ROWS($W$2:W61),$W$2:$W$1001,0),0), INDEX($AD$1004:$AU$1004,1,MATCH(COLUMNS($AD$1006:AP1006),$AD$1006:$AU$1006,0)))),"Fix")))</f>
        <v xml:space="preserve"> </v>
      </c>
      <c r="O61" s="4" t="str">
        <f ca="1">IF(OR(INDEX($X$2:$X$1001,MATCH(ROWS($W$2:W61),$W$2:$W$1001,0),1)&gt;=100000,INDEX($AD$1005:$AU$1005,1,MATCH(COLUMNS($AD$1006:AQ1006),$AD$1006:$AU$1006,0))&gt;=100000), " ",IF(INDEX($AD$2:$AU$1001,MATCH(ROWS($W$2:W61),$W$2:$W$1001,0),MATCH(COLUMNS($AD$1006:AQ1006),$AD$1006:$AU$1006,0)), HYPERLINK("#",""), HYPERLINK(CONCATENATE("#metadata!", ADDRESS(INDEX($Y$2:$Y$1001,MATCH(ROWS($W$2:W61),$W$2:$W$1001,0),0), INDEX($AD$1004:$AU$1004,1,MATCH(COLUMNS($AD$1006:AQ1006),$AD$1006:$AU$1006,0)))),"Fix")))</f>
        <v xml:space="preserve"> </v>
      </c>
      <c r="P61" s="4" t="str">
        <f ca="1">IF(OR(INDEX($X$2:$X$1001,MATCH(ROWS($W$2:W61),$W$2:$W$1001,0),1)&gt;=100000,INDEX($AD$1005:$AU$1005,1,MATCH(COLUMNS($AD$1006:AR1006),$AD$1006:$AU$1006,0))&gt;=100000), " ",IF(INDEX($AD$2:$AU$1001,MATCH(ROWS($W$2:W61),$W$2:$W$1001,0),MATCH(COLUMNS($AD$1006:AR1006),$AD$1006:$AU$1006,0)), HYPERLINK("#",""), HYPERLINK(CONCATENATE("#metadata!", ADDRESS(INDEX($Y$2:$Y$1001,MATCH(ROWS($W$2:W61),$W$2:$W$1001,0),0), INDEX($AD$1004:$AU$1004,1,MATCH(COLUMNS($AD$1006:AR1006),$AD$1006:$AU$1006,0)))),"Fix")))</f>
        <v xml:space="preserve"> </v>
      </c>
      <c r="Q61" s="4" t="str">
        <f ca="1">IF(OR(INDEX($X$2:$X$1001,MATCH(ROWS($W$2:W61),$W$2:$W$1001,0),1)&gt;=100000,INDEX($AD$1005:$AU$1005,1,MATCH(COLUMNS($AD$1006:AS1006),$AD$1006:$AU$1006,0))&gt;=100000), " ",IF(INDEX($AD$2:$AU$1001,MATCH(ROWS($W$2:W61),$W$2:$W$1001,0),MATCH(COLUMNS($AD$1006:AS1006),$AD$1006:$AU$1006,0)), HYPERLINK("#",""), HYPERLINK(CONCATENATE("#metadata!", ADDRESS(INDEX($Y$2:$Y$1001,MATCH(ROWS($W$2:W61),$W$2:$W$1001,0),0), INDEX($AD$1004:$AU$1004,1,MATCH(COLUMNS($AD$1006:AS1006),$AD$1006:$AU$1006,0)))),"Fix")))</f>
        <v xml:space="preserve"> </v>
      </c>
      <c r="R61" s="4" t="str">
        <f ca="1">IF(OR(INDEX($X$2:$X$1001,MATCH(ROWS($W$2:W61),$W$2:$W$1001,0),1)&gt;=100000,INDEX($AD$1005:$AU$1005,1,MATCH(COLUMNS($AD$1006:AT1006),$AD$1006:$AU$1006,0))&gt;=100000), " ",IF(INDEX($AD$2:$AU$1001,MATCH(ROWS($W$2:W61),$W$2:$W$1001,0),MATCH(COLUMNS($AD$1006:AT1006),$AD$1006:$AU$1006,0)), HYPERLINK("#",""), HYPERLINK(CONCATENATE("#metadata!", ADDRESS(INDEX($Y$2:$Y$1001,MATCH(ROWS($W$2:W61),$W$2:$W$1001,0),0), INDEX($AD$1004:$AU$1004,1,MATCH(COLUMNS($AD$1006:AT1006),$AD$1006:$AU$1006,0)))),"Fix")))</f>
        <v xml:space="preserve"> </v>
      </c>
      <c r="S61" s="4" t="str">
        <f ca="1">IF(OR(INDEX($X$2:$X$1001,MATCH(ROWS($W$2:W61),$W$2:$W$1001,0),1)&gt;=100000,INDEX($AD$1005:$AU$1005,1,MATCH(COLUMNS($AD$1006:AU1006),$AD$1006:$AU$1006,0))&gt;=100000), " ",IF(INDEX($AD$2:$AU$1001,MATCH(ROWS($W$2:W61),$W$2:$W$1001,0),MATCH(COLUMNS($AD$1006:AU1006),$AD$1006:$AU$1006,0)), HYPERLINK("#",""), HYPERLINK(CONCATENATE("#metadata!", ADDRESS(INDEX($Y$2:$Y$1001,MATCH(ROWS($W$2:W61),$W$2:$W$1001,0),0), INDEX($AD$1004:$AU$1004,1,MATCH(COLUMNS($AD$1006:AU1006),$AD$1006:$AU$1006,0)))),"Fix")))</f>
        <v xml:space="preserve"> </v>
      </c>
      <c r="W61">
        <v>60</v>
      </c>
      <c r="X61">
        <v>100061</v>
      </c>
      <c r="Y61">
        <v>61</v>
      </c>
      <c r="Z61" t="b">
        <f t="shared" si="0"/>
        <v>1</v>
      </c>
      <c r="AA61" t="b">
        <f>COUNTBLANK(metadata!B61:S61)=COLUMNS(metadata!B61:S61)</f>
        <v>1</v>
      </c>
      <c r="AB61" t="str">
        <v/>
      </c>
      <c r="AD61" t="b">
        <f ca="1">AND(IF(metadata!B61="",FALSE,TRUE),COUNTIF(metadata!B:B, metadata!B61) = 1,NOT(ISERROR(SUMPRODUCT(SEARCH(MID(metadata!B61,ROW(INDIRECT("1:"&amp;LEN(metadata!B61))), 1),"0123456789abcdefghijklmnopqrstuvwxyzABCDEFGHIJKLMNOPQRSTUVWXYZ.")))))</f>
        <v>0</v>
      </c>
      <c r="AE61" t="b">
        <f>OR(AND(IF(metadata!C61="",FALSE,TRUE),OR(EXACT(metadata!C61,"not applicable"),EXACT(metadata!C61,"missing: not collected"),EXACT(metadata!C61,"missing: not provided"),EXACT(metadata!C61,"missing: restricted access"))),AND(IF(metadata!C61="",FALSE,ISNUMBER(VALUE(metadata!C61))),metadata!C61&gt;0))</f>
        <v>0</v>
      </c>
      <c r="AF61" t="b">
        <f>AND(IF(metadata!D61="",FALSE,TRUE),EXACT(metadata!D61,"missing: not provided"))</f>
        <v>0</v>
      </c>
      <c r="AG61" t="b">
        <f>AND(IF(metadata!E61="",FALSE,TRUE),EXACT(metadata!E61,"Host-associated"))</f>
        <v>0</v>
      </c>
      <c r="AH61" t="b">
        <f>AND(IF(metadata!F61="",FALSE,TRUE),OR(EXACT(metadata!F61,"Animal"),EXACT(metadata!F61,"Fungus"),EXACT(metadata!F61,"Plant")))</f>
        <v>0</v>
      </c>
      <c r="AI61" t="b">
        <f>AND(IF(metadata!G61="",FALSE,TRUE),OR(EXACT(metadata!G61,"Plant secretion"),EXACT(metadata!G61,"Plant rhizosphere"),EXACT(metadata!G61,"Plant surface"),EXACT(metadata!G61,"Plant corpus"),EXACT(metadata!G61,"Fungus surface"),EXACT(metadata!G61,"Fungus corpus"),EXACT(metadata!G61,"Animal surface"),EXACT(metadata!G61,"Animal proximal gut"),EXACT(metadata!G61,"Animal corpus"),EXACT(metadata!G61,"Animal distal gut"),EXACT(metadata!G61,"Animal secretion")))</f>
        <v>0</v>
      </c>
      <c r="AJ61" t="b">
        <f>OR(AND(IF(metadata!H61="",FALSE,TRUE),OR(EXACT(metadata!H61,"missing: not collected"),EXACT(metadata!H61,"missing: not provided"),EXACT(metadata!H61,"missing: restricted access"))),AND(IF(metadata!H61="",FALSE,TRUE),OR(EXACT(metadata!H61,"organism-associated habitat"),EXACT(metadata!H61,"plant-associated habitat"),EXACT(metadata!H61,"animal-associated habitat"),EXACT(metadata!H61,"insecta-associated habitat"),EXACT(metadata!H61,"mammalia-associated habitat"),EXACT(metadata!H61,"human-associated habitat"),EXACT(metadata!H61,"livestock-associated habitat"))))</f>
        <v>0</v>
      </c>
      <c r="AK61" t="b">
        <f>AND(IF(metadata!I61="",FALSE,TRUE),EXACT(metadata!I61,"host-associated"))</f>
        <v>0</v>
      </c>
      <c r="AL61" t="b">
        <f>OR(AND(IF(metadata!J61="",FALSE,TRUE),OR(EXACT(metadata!J61,"not applicable"),EXACT(metadata!J61,"missing: not collected"),EXACT(metadata!J61,"missing: not provided"),EXACT(metadata!J61,"missing: restricted access"))),AND(IF(metadata!J61="",FALSE,ISNUMBER(VALUE(metadata!J61))),metadata!J61&gt;0))</f>
        <v>0</v>
      </c>
      <c r="AM61" t="b">
        <f>AND(IF(metadata!K61="",FALSE,TRUE),EXACT(metadata!K61,"missing: not provided"))</f>
        <v>0</v>
      </c>
      <c r="AN61" t="b">
        <f>IF(metadata!L61="",FALSE,TRUE)</f>
        <v>0</v>
      </c>
      <c r="AO61" t="b">
        <f>IF(metadata!M61="",FALSE,TRUE)</f>
        <v>0</v>
      </c>
      <c r="AP61" t="b">
        <f>OR(AND(IF(metadata!N61="",FALSE,TRUE),OR(EXACT(metadata!N61,"not applicable"),EXACT(metadata!N61,"missing: not collected"),EXACT(metadata!N61,"missing: not provided"))),AND(IF(metadata!N61="",FALSE,IF(ISERROR(INT(metadata!N61)),FALSE,INT(metadata!N61)=metadata!N61)),metadata!N61&gt;0))</f>
        <v>0</v>
      </c>
      <c r="AQ61" t="b">
        <f>AND(IF(metadata!O61="",FALSE,TRUE),EXACT(metadata!O61,"Not applicable"))</f>
        <v>0</v>
      </c>
      <c r="AR61" t="b">
        <f>OR(AND(IF(metadata!P61="",FALSE,TRUE),OR(EXACT(metadata!P61,"not applicable"),EXACT(metadata!P61,"missing: not collected"),EXACT(metadata!P61,"missing: not provided"),EXACT(metadata!P61,"missing: restricted access"))),IF(metadata!P61="",FALSE,IF(ISERROR(INT(metadata!P61)),FALSE,INT(metadata!P61)=metadata!P61)))</f>
        <v>0</v>
      </c>
      <c r="AS61" t="b">
        <f>AND(IF(metadata!Q61="",FALSE,TRUE),EXACT(metadata!Q61,"Not applicable"))</f>
        <v>0</v>
      </c>
      <c r="AT61" t="b">
        <f>OR(AND(IF(metadata!R61="",FALSE,TRUE),OR(EXACT(metadata!R61,"not applicable"),EXACT(metadata!R61,"missing: not collected"),EXACT(metadata!R61,"missing: not provided"),EXACT(metadata!R61,"missing: restricted access"))),AND(IF(metadata!R61="",FALSE,ISNUMBER(VALUE(metadata!R61))),metadata!R61&gt;0))</f>
        <v>0</v>
      </c>
      <c r="AU61" t="b">
        <f>AND(IF(metadata!S61="",FALSE,TRUE),EXACT(metadata!S61,"missing: not provided"))</f>
        <v>0</v>
      </c>
    </row>
    <row r="62" spans="1:47" x14ac:dyDescent="0.2">
      <c r="A62" s="5" t="str">
        <f ca="1">IF(B62=" "," ",HYPERLINK(CONCATENATE("#metadata!",ADDRESS(INDEX($Y$2:$Y$1001,MATCH(ROWS($W$2:W62),$W$2:$W$1001,0),0),1)),INDEX($AB$2:$AB$1001,MATCH(ROWS($W$2:W62),$W$2:$W$1001,0),0)))</f>
        <v xml:space="preserve"> </v>
      </c>
      <c r="B62" s="4" t="str">
        <f ca="1">IF(OR(INDEX($X$2:$X$1001,MATCH(ROWS($W$2:W62),$W$2:$W$1001,0),1)&gt;=100000,INDEX($AD$1005:$AU$1005,1,MATCH(COLUMNS($AD$1006:AD1006),$AD$1006:$AU$1006,0))&gt;=100000), " ",IF(INDEX($AD$2:$AU$1001,MATCH(ROWS($W$2:W62),$W$2:$W$1001,0),MATCH(COLUMNS($AD$1006:AD1006),$AD$1006:$AU$1006,0)), HYPERLINK("#",""), HYPERLINK(CONCATENATE("#metadata!", ADDRESS(INDEX($Y$2:$Y$1001,MATCH(ROWS($W$2:W62),$W$2:$W$1001,0),0), INDEX($AD$1004:$AU$1004,1,MATCH(COLUMNS($AD$1006:AD1006),$AD$1006:$AU$1006,0)))),"Fix")))</f>
        <v xml:space="preserve"> </v>
      </c>
      <c r="C62" s="4" t="str">
        <f ca="1">IF(OR(INDEX($X$2:$X$1001,MATCH(ROWS($W$2:W62),$W$2:$W$1001,0),1)&gt;=100000,INDEX($AD$1005:$AU$1005,1,MATCH(COLUMNS($AD$1006:AE1006),$AD$1006:$AU$1006,0))&gt;=100000), " ",IF(INDEX($AD$2:$AU$1001,MATCH(ROWS($W$2:W62),$W$2:$W$1001,0),MATCH(COLUMNS($AD$1006:AE1006),$AD$1006:$AU$1006,0)), HYPERLINK("#",""), HYPERLINK(CONCATENATE("#metadata!", ADDRESS(INDEX($Y$2:$Y$1001,MATCH(ROWS($W$2:W62),$W$2:$W$1001,0),0), INDEX($AD$1004:$AU$1004,1,MATCH(COLUMNS($AD$1006:AE1006),$AD$1006:$AU$1006,0)))),"Fix")))</f>
        <v xml:space="preserve"> </v>
      </c>
      <c r="D62" s="4" t="str">
        <f ca="1">IF(OR(INDEX($X$2:$X$1001,MATCH(ROWS($W$2:W62),$W$2:$W$1001,0),1)&gt;=100000,INDEX($AD$1005:$AU$1005,1,MATCH(COLUMNS($AD$1006:AF1006),$AD$1006:$AU$1006,0))&gt;=100000), " ",IF(INDEX($AD$2:$AU$1001,MATCH(ROWS($W$2:W62),$W$2:$W$1001,0),MATCH(COLUMNS($AD$1006:AF1006),$AD$1006:$AU$1006,0)), HYPERLINK("#",""), HYPERLINK(CONCATENATE("#metadata!", ADDRESS(INDEX($Y$2:$Y$1001,MATCH(ROWS($W$2:W62),$W$2:$W$1001,0),0), INDEX($AD$1004:$AU$1004,1,MATCH(COLUMNS($AD$1006:AF1006),$AD$1006:$AU$1006,0)))),"Fix")))</f>
        <v xml:space="preserve"> </v>
      </c>
      <c r="E62" s="4" t="str">
        <f ca="1">IF(OR(INDEX($X$2:$X$1001,MATCH(ROWS($W$2:W62),$W$2:$W$1001,0),1)&gt;=100000,INDEX($AD$1005:$AU$1005,1,MATCH(COLUMNS($AD$1006:AG1006),$AD$1006:$AU$1006,0))&gt;=100000), " ",IF(INDEX($AD$2:$AU$1001,MATCH(ROWS($W$2:W62),$W$2:$W$1001,0),MATCH(COLUMNS($AD$1006:AG1006),$AD$1006:$AU$1006,0)), HYPERLINK("#",""), HYPERLINK(CONCATENATE("#metadata!", ADDRESS(INDEX($Y$2:$Y$1001,MATCH(ROWS($W$2:W62),$W$2:$W$1001,0),0), INDEX($AD$1004:$AU$1004,1,MATCH(COLUMNS($AD$1006:AG1006),$AD$1006:$AU$1006,0)))),"Fix")))</f>
        <v xml:space="preserve"> </v>
      </c>
      <c r="F62" s="4" t="str">
        <f ca="1">IF(OR(INDEX($X$2:$X$1001,MATCH(ROWS($W$2:W62),$W$2:$W$1001,0),1)&gt;=100000,INDEX($AD$1005:$AU$1005,1,MATCH(COLUMNS($AD$1006:AH1006),$AD$1006:$AU$1006,0))&gt;=100000), " ",IF(INDEX($AD$2:$AU$1001,MATCH(ROWS($W$2:W62),$W$2:$W$1001,0),MATCH(COLUMNS($AD$1006:AH1006),$AD$1006:$AU$1006,0)), HYPERLINK("#",""), HYPERLINK(CONCATENATE("#metadata!", ADDRESS(INDEX($Y$2:$Y$1001,MATCH(ROWS($W$2:W62),$W$2:$W$1001,0),0), INDEX($AD$1004:$AU$1004,1,MATCH(COLUMNS($AD$1006:AH1006),$AD$1006:$AU$1006,0)))),"Fix")))</f>
        <v xml:space="preserve"> </v>
      </c>
      <c r="G62" s="4" t="str">
        <f ca="1">IF(OR(INDEX($X$2:$X$1001,MATCH(ROWS($W$2:W62),$W$2:$W$1001,0),1)&gt;=100000,INDEX($AD$1005:$AU$1005,1,MATCH(COLUMNS($AD$1006:AI1006),$AD$1006:$AU$1006,0))&gt;=100000), " ",IF(INDEX($AD$2:$AU$1001,MATCH(ROWS($W$2:W62),$W$2:$W$1001,0),MATCH(COLUMNS($AD$1006:AI1006),$AD$1006:$AU$1006,0)), HYPERLINK("#",""), HYPERLINK(CONCATENATE("#metadata!", ADDRESS(INDEX($Y$2:$Y$1001,MATCH(ROWS($W$2:W62),$W$2:$W$1001,0),0), INDEX($AD$1004:$AU$1004,1,MATCH(COLUMNS($AD$1006:AI1006),$AD$1006:$AU$1006,0)))),"Fix")))</f>
        <v xml:space="preserve"> </v>
      </c>
      <c r="H62" s="4" t="str">
        <f ca="1">IF(OR(INDEX($X$2:$X$1001,MATCH(ROWS($W$2:W62),$W$2:$W$1001,0),1)&gt;=100000,INDEX($AD$1005:$AU$1005,1,MATCH(COLUMNS($AD$1006:AJ1006),$AD$1006:$AU$1006,0))&gt;=100000), " ",IF(INDEX($AD$2:$AU$1001,MATCH(ROWS($W$2:W62),$W$2:$W$1001,0),MATCH(COLUMNS($AD$1006:AJ1006),$AD$1006:$AU$1006,0)), HYPERLINK("#",""), HYPERLINK(CONCATENATE("#metadata!", ADDRESS(INDEX($Y$2:$Y$1001,MATCH(ROWS($W$2:W62),$W$2:$W$1001,0),0), INDEX($AD$1004:$AU$1004,1,MATCH(COLUMNS($AD$1006:AJ1006),$AD$1006:$AU$1006,0)))),"Fix")))</f>
        <v xml:space="preserve"> </v>
      </c>
      <c r="I62" s="4" t="str">
        <f ca="1">IF(OR(INDEX($X$2:$X$1001,MATCH(ROWS($W$2:W62),$W$2:$W$1001,0),1)&gt;=100000,INDEX($AD$1005:$AU$1005,1,MATCH(COLUMNS($AD$1006:AK1006),$AD$1006:$AU$1006,0))&gt;=100000), " ",IF(INDEX($AD$2:$AU$1001,MATCH(ROWS($W$2:W62),$W$2:$W$1001,0),MATCH(COLUMNS($AD$1006:AK1006),$AD$1006:$AU$1006,0)), HYPERLINK("#",""), HYPERLINK(CONCATENATE("#metadata!", ADDRESS(INDEX($Y$2:$Y$1001,MATCH(ROWS($W$2:W62),$W$2:$W$1001,0),0), INDEX($AD$1004:$AU$1004,1,MATCH(COLUMNS($AD$1006:AK1006),$AD$1006:$AU$1006,0)))),"Fix")))</f>
        <v xml:space="preserve"> </v>
      </c>
      <c r="J62" s="4" t="str">
        <f ca="1">IF(OR(INDEX($X$2:$X$1001,MATCH(ROWS($W$2:W62),$W$2:$W$1001,0),1)&gt;=100000,INDEX($AD$1005:$AU$1005,1,MATCH(COLUMNS($AD$1006:AL1006),$AD$1006:$AU$1006,0))&gt;=100000), " ",IF(INDEX($AD$2:$AU$1001,MATCH(ROWS($W$2:W62),$W$2:$W$1001,0),MATCH(COLUMNS($AD$1006:AL1006),$AD$1006:$AU$1006,0)), HYPERLINK("#",""), HYPERLINK(CONCATENATE("#metadata!", ADDRESS(INDEX($Y$2:$Y$1001,MATCH(ROWS($W$2:W62),$W$2:$W$1001,0),0), INDEX($AD$1004:$AU$1004,1,MATCH(COLUMNS($AD$1006:AL1006),$AD$1006:$AU$1006,0)))),"Fix")))</f>
        <v xml:space="preserve"> </v>
      </c>
      <c r="K62" s="4" t="str">
        <f ca="1">IF(OR(INDEX($X$2:$X$1001,MATCH(ROWS($W$2:W62),$W$2:$W$1001,0),1)&gt;=100000,INDEX($AD$1005:$AU$1005,1,MATCH(COLUMNS($AD$1006:AM1006),$AD$1006:$AU$1006,0))&gt;=100000), " ",IF(INDEX($AD$2:$AU$1001,MATCH(ROWS($W$2:W62),$W$2:$W$1001,0),MATCH(COLUMNS($AD$1006:AM1006),$AD$1006:$AU$1006,0)), HYPERLINK("#",""), HYPERLINK(CONCATENATE("#metadata!", ADDRESS(INDEX($Y$2:$Y$1001,MATCH(ROWS($W$2:W62),$W$2:$W$1001,0),0), INDEX($AD$1004:$AU$1004,1,MATCH(COLUMNS($AD$1006:AM1006),$AD$1006:$AU$1006,0)))),"Fix")))</f>
        <v xml:space="preserve"> </v>
      </c>
      <c r="L62" s="4" t="str">
        <f ca="1">IF(OR(INDEX($X$2:$X$1001,MATCH(ROWS($W$2:W62),$W$2:$W$1001,0),1)&gt;=100000,INDEX($AD$1005:$AU$1005,1,MATCH(COLUMNS($AD$1006:AN1006),$AD$1006:$AU$1006,0))&gt;=100000), " ",IF(INDEX($AD$2:$AU$1001,MATCH(ROWS($W$2:W62),$W$2:$W$1001,0),MATCH(COLUMNS($AD$1006:AN1006),$AD$1006:$AU$1006,0)), HYPERLINK("#",""), HYPERLINK(CONCATENATE("#metadata!", ADDRESS(INDEX($Y$2:$Y$1001,MATCH(ROWS($W$2:W62),$W$2:$W$1001,0),0), INDEX($AD$1004:$AU$1004,1,MATCH(COLUMNS($AD$1006:AN1006),$AD$1006:$AU$1006,0)))),"Fix")))</f>
        <v xml:space="preserve"> </v>
      </c>
      <c r="M62" s="4" t="str">
        <f ca="1">IF(OR(INDEX($X$2:$X$1001,MATCH(ROWS($W$2:W62),$W$2:$W$1001,0),1)&gt;=100000,INDEX($AD$1005:$AU$1005,1,MATCH(COLUMNS($AD$1006:AO1006),$AD$1006:$AU$1006,0))&gt;=100000), " ",IF(INDEX($AD$2:$AU$1001,MATCH(ROWS($W$2:W62),$W$2:$W$1001,0),MATCH(COLUMNS($AD$1006:AO1006),$AD$1006:$AU$1006,0)), HYPERLINK("#",""), HYPERLINK(CONCATENATE("#metadata!", ADDRESS(INDEX($Y$2:$Y$1001,MATCH(ROWS($W$2:W62),$W$2:$W$1001,0),0), INDEX($AD$1004:$AU$1004,1,MATCH(COLUMNS($AD$1006:AO1006),$AD$1006:$AU$1006,0)))),"Fix")))</f>
        <v xml:space="preserve"> </v>
      </c>
      <c r="N62" s="4" t="str">
        <f ca="1">IF(OR(INDEX($X$2:$X$1001,MATCH(ROWS($W$2:W62),$W$2:$W$1001,0),1)&gt;=100000,INDEX($AD$1005:$AU$1005,1,MATCH(COLUMNS($AD$1006:AP1006),$AD$1006:$AU$1006,0))&gt;=100000), " ",IF(INDEX($AD$2:$AU$1001,MATCH(ROWS($W$2:W62),$W$2:$W$1001,0),MATCH(COLUMNS($AD$1006:AP1006),$AD$1006:$AU$1006,0)), HYPERLINK("#",""), HYPERLINK(CONCATENATE("#metadata!", ADDRESS(INDEX($Y$2:$Y$1001,MATCH(ROWS($W$2:W62),$W$2:$W$1001,0),0), INDEX($AD$1004:$AU$1004,1,MATCH(COLUMNS($AD$1006:AP1006),$AD$1006:$AU$1006,0)))),"Fix")))</f>
        <v xml:space="preserve"> </v>
      </c>
      <c r="O62" s="4" t="str">
        <f ca="1">IF(OR(INDEX($X$2:$X$1001,MATCH(ROWS($W$2:W62),$W$2:$W$1001,0),1)&gt;=100000,INDEX($AD$1005:$AU$1005,1,MATCH(COLUMNS($AD$1006:AQ1006),$AD$1006:$AU$1006,0))&gt;=100000), " ",IF(INDEX($AD$2:$AU$1001,MATCH(ROWS($W$2:W62),$W$2:$W$1001,0),MATCH(COLUMNS($AD$1006:AQ1006),$AD$1006:$AU$1006,0)), HYPERLINK("#",""), HYPERLINK(CONCATENATE("#metadata!", ADDRESS(INDEX($Y$2:$Y$1001,MATCH(ROWS($W$2:W62),$W$2:$W$1001,0),0), INDEX($AD$1004:$AU$1004,1,MATCH(COLUMNS($AD$1006:AQ1006),$AD$1006:$AU$1006,0)))),"Fix")))</f>
        <v xml:space="preserve"> </v>
      </c>
      <c r="P62" s="4" t="str">
        <f ca="1">IF(OR(INDEX($X$2:$X$1001,MATCH(ROWS($W$2:W62),$W$2:$W$1001,0),1)&gt;=100000,INDEX($AD$1005:$AU$1005,1,MATCH(COLUMNS($AD$1006:AR1006),$AD$1006:$AU$1006,0))&gt;=100000), " ",IF(INDEX($AD$2:$AU$1001,MATCH(ROWS($W$2:W62),$W$2:$W$1001,0),MATCH(COLUMNS($AD$1006:AR1006),$AD$1006:$AU$1006,0)), HYPERLINK("#",""), HYPERLINK(CONCATENATE("#metadata!", ADDRESS(INDEX($Y$2:$Y$1001,MATCH(ROWS($W$2:W62),$W$2:$W$1001,0),0), INDEX($AD$1004:$AU$1004,1,MATCH(COLUMNS($AD$1006:AR1006),$AD$1006:$AU$1006,0)))),"Fix")))</f>
        <v xml:space="preserve"> </v>
      </c>
      <c r="Q62" s="4" t="str">
        <f ca="1">IF(OR(INDEX($X$2:$X$1001,MATCH(ROWS($W$2:W62),$W$2:$W$1001,0),1)&gt;=100000,INDEX($AD$1005:$AU$1005,1,MATCH(COLUMNS($AD$1006:AS1006),$AD$1006:$AU$1006,0))&gt;=100000), " ",IF(INDEX($AD$2:$AU$1001,MATCH(ROWS($W$2:W62),$W$2:$W$1001,0),MATCH(COLUMNS($AD$1006:AS1006),$AD$1006:$AU$1006,0)), HYPERLINK("#",""), HYPERLINK(CONCATENATE("#metadata!", ADDRESS(INDEX($Y$2:$Y$1001,MATCH(ROWS($W$2:W62),$W$2:$W$1001,0),0), INDEX($AD$1004:$AU$1004,1,MATCH(COLUMNS($AD$1006:AS1006),$AD$1006:$AU$1006,0)))),"Fix")))</f>
        <v xml:space="preserve"> </v>
      </c>
      <c r="R62" s="4" t="str">
        <f ca="1">IF(OR(INDEX($X$2:$X$1001,MATCH(ROWS($W$2:W62),$W$2:$W$1001,0),1)&gt;=100000,INDEX($AD$1005:$AU$1005,1,MATCH(COLUMNS($AD$1006:AT1006),$AD$1006:$AU$1006,0))&gt;=100000), " ",IF(INDEX($AD$2:$AU$1001,MATCH(ROWS($W$2:W62),$W$2:$W$1001,0),MATCH(COLUMNS($AD$1006:AT1006),$AD$1006:$AU$1006,0)), HYPERLINK("#",""), HYPERLINK(CONCATENATE("#metadata!", ADDRESS(INDEX($Y$2:$Y$1001,MATCH(ROWS($W$2:W62),$W$2:$W$1001,0),0), INDEX($AD$1004:$AU$1004,1,MATCH(COLUMNS($AD$1006:AT1006),$AD$1006:$AU$1006,0)))),"Fix")))</f>
        <v xml:space="preserve"> </v>
      </c>
      <c r="S62" s="4" t="str">
        <f ca="1">IF(OR(INDEX($X$2:$X$1001,MATCH(ROWS($W$2:W62),$W$2:$W$1001,0),1)&gt;=100000,INDEX($AD$1005:$AU$1005,1,MATCH(COLUMNS($AD$1006:AU1006),$AD$1006:$AU$1006,0))&gt;=100000), " ",IF(INDEX($AD$2:$AU$1001,MATCH(ROWS($W$2:W62),$W$2:$W$1001,0),MATCH(COLUMNS($AD$1006:AU1006),$AD$1006:$AU$1006,0)), HYPERLINK("#",""), HYPERLINK(CONCATENATE("#metadata!", ADDRESS(INDEX($Y$2:$Y$1001,MATCH(ROWS($W$2:W62),$W$2:$W$1001,0),0), INDEX($AD$1004:$AU$1004,1,MATCH(COLUMNS($AD$1006:AU1006),$AD$1006:$AU$1006,0)))),"Fix")))</f>
        <v xml:space="preserve"> </v>
      </c>
      <c r="W62">
        <v>61</v>
      </c>
      <c r="X62">
        <v>100062</v>
      </c>
      <c r="Y62">
        <v>62</v>
      </c>
      <c r="Z62" t="b">
        <f t="shared" si="0"/>
        <v>1</v>
      </c>
      <c r="AA62" t="b">
        <f>COUNTBLANK(metadata!B62:S62)=COLUMNS(metadata!B62:S62)</f>
        <v>1</v>
      </c>
      <c r="AB62" t="str">
        <v/>
      </c>
      <c r="AD62" t="b">
        <f ca="1">AND(IF(metadata!B62="",FALSE,TRUE),COUNTIF(metadata!B:B, metadata!B62) = 1,NOT(ISERROR(SUMPRODUCT(SEARCH(MID(metadata!B62,ROW(INDIRECT("1:"&amp;LEN(metadata!B62))), 1),"0123456789abcdefghijklmnopqrstuvwxyzABCDEFGHIJKLMNOPQRSTUVWXYZ.")))))</f>
        <v>0</v>
      </c>
      <c r="AE62" t="b">
        <f>OR(AND(IF(metadata!C62="",FALSE,TRUE),OR(EXACT(metadata!C62,"not applicable"),EXACT(metadata!C62,"missing: not collected"),EXACT(metadata!C62,"missing: not provided"),EXACT(metadata!C62,"missing: restricted access"))),AND(IF(metadata!C62="",FALSE,ISNUMBER(VALUE(metadata!C62))),metadata!C62&gt;0))</f>
        <v>0</v>
      </c>
      <c r="AF62" t="b">
        <f>AND(IF(metadata!D62="",FALSE,TRUE),EXACT(metadata!D62,"missing: not provided"))</f>
        <v>0</v>
      </c>
      <c r="AG62" t="b">
        <f>AND(IF(metadata!E62="",FALSE,TRUE),EXACT(metadata!E62,"Host-associated"))</f>
        <v>0</v>
      </c>
      <c r="AH62" t="b">
        <f>AND(IF(metadata!F62="",FALSE,TRUE),OR(EXACT(metadata!F62,"Animal"),EXACT(metadata!F62,"Fungus"),EXACT(metadata!F62,"Plant")))</f>
        <v>0</v>
      </c>
      <c r="AI62" t="b">
        <f>AND(IF(metadata!G62="",FALSE,TRUE),OR(EXACT(metadata!G62,"Plant secretion"),EXACT(metadata!G62,"Plant rhizosphere"),EXACT(metadata!G62,"Plant surface"),EXACT(metadata!G62,"Plant corpus"),EXACT(metadata!G62,"Fungus surface"),EXACT(metadata!G62,"Fungus corpus"),EXACT(metadata!G62,"Animal surface"),EXACT(metadata!G62,"Animal proximal gut"),EXACT(metadata!G62,"Animal corpus"),EXACT(metadata!G62,"Animal distal gut"),EXACT(metadata!G62,"Animal secretion")))</f>
        <v>0</v>
      </c>
      <c r="AJ62" t="b">
        <f>OR(AND(IF(metadata!H62="",FALSE,TRUE),OR(EXACT(metadata!H62,"missing: not collected"),EXACT(metadata!H62,"missing: not provided"),EXACT(metadata!H62,"missing: restricted access"))),AND(IF(metadata!H62="",FALSE,TRUE),OR(EXACT(metadata!H62,"organism-associated habitat"),EXACT(metadata!H62,"plant-associated habitat"),EXACT(metadata!H62,"animal-associated habitat"),EXACT(metadata!H62,"insecta-associated habitat"),EXACT(metadata!H62,"mammalia-associated habitat"),EXACT(metadata!H62,"human-associated habitat"),EXACT(metadata!H62,"livestock-associated habitat"))))</f>
        <v>0</v>
      </c>
      <c r="AK62" t="b">
        <f>AND(IF(metadata!I62="",FALSE,TRUE),EXACT(metadata!I62,"host-associated"))</f>
        <v>0</v>
      </c>
      <c r="AL62" t="b">
        <f>OR(AND(IF(metadata!J62="",FALSE,TRUE),OR(EXACT(metadata!J62,"not applicable"),EXACT(metadata!J62,"missing: not collected"),EXACT(metadata!J62,"missing: not provided"),EXACT(metadata!J62,"missing: restricted access"))),AND(IF(metadata!J62="",FALSE,ISNUMBER(VALUE(metadata!J62))),metadata!J62&gt;0))</f>
        <v>0</v>
      </c>
      <c r="AM62" t="b">
        <f>AND(IF(metadata!K62="",FALSE,TRUE),EXACT(metadata!K62,"missing: not provided"))</f>
        <v>0</v>
      </c>
      <c r="AN62" t="b">
        <f>IF(metadata!L62="",FALSE,TRUE)</f>
        <v>0</v>
      </c>
      <c r="AO62" t="b">
        <f>IF(metadata!M62="",FALSE,TRUE)</f>
        <v>0</v>
      </c>
      <c r="AP62" t="b">
        <f>OR(AND(IF(metadata!N62="",FALSE,TRUE),OR(EXACT(metadata!N62,"not applicable"),EXACT(metadata!N62,"missing: not collected"),EXACT(metadata!N62,"missing: not provided"))),AND(IF(metadata!N62="",FALSE,IF(ISERROR(INT(metadata!N62)),FALSE,INT(metadata!N62)=metadata!N62)),metadata!N62&gt;0))</f>
        <v>0</v>
      </c>
      <c r="AQ62" t="b">
        <f>AND(IF(metadata!O62="",FALSE,TRUE),EXACT(metadata!O62,"Not applicable"))</f>
        <v>0</v>
      </c>
      <c r="AR62" t="b">
        <f>OR(AND(IF(metadata!P62="",FALSE,TRUE),OR(EXACT(metadata!P62,"not applicable"),EXACT(metadata!P62,"missing: not collected"),EXACT(metadata!P62,"missing: not provided"),EXACT(metadata!P62,"missing: restricted access"))),IF(metadata!P62="",FALSE,IF(ISERROR(INT(metadata!P62)),FALSE,INT(metadata!P62)=metadata!P62)))</f>
        <v>0</v>
      </c>
      <c r="AS62" t="b">
        <f>AND(IF(metadata!Q62="",FALSE,TRUE),EXACT(metadata!Q62,"Not applicable"))</f>
        <v>0</v>
      </c>
      <c r="AT62" t="b">
        <f>OR(AND(IF(metadata!R62="",FALSE,TRUE),OR(EXACT(metadata!R62,"not applicable"),EXACT(metadata!R62,"missing: not collected"),EXACT(metadata!R62,"missing: not provided"),EXACT(metadata!R62,"missing: restricted access"))),AND(IF(metadata!R62="",FALSE,ISNUMBER(VALUE(metadata!R62))),metadata!R62&gt;0))</f>
        <v>0</v>
      </c>
      <c r="AU62" t="b">
        <f>AND(IF(metadata!S62="",FALSE,TRUE),EXACT(metadata!S62,"missing: not provided"))</f>
        <v>0</v>
      </c>
    </row>
    <row r="63" spans="1:47" x14ac:dyDescent="0.2">
      <c r="A63" s="5" t="str">
        <f ca="1">IF(B63=" "," ",HYPERLINK(CONCATENATE("#metadata!",ADDRESS(INDEX($Y$2:$Y$1001,MATCH(ROWS($W$2:W63),$W$2:$W$1001,0),0),1)),INDEX($AB$2:$AB$1001,MATCH(ROWS($W$2:W63),$W$2:$W$1001,0),0)))</f>
        <v xml:space="preserve"> </v>
      </c>
      <c r="B63" s="4" t="str">
        <f ca="1">IF(OR(INDEX($X$2:$X$1001,MATCH(ROWS($W$2:W63),$W$2:$W$1001,0),1)&gt;=100000,INDEX($AD$1005:$AU$1005,1,MATCH(COLUMNS($AD$1006:AD1006),$AD$1006:$AU$1006,0))&gt;=100000), " ",IF(INDEX($AD$2:$AU$1001,MATCH(ROWS($W$2:W63),$W$2:$W$1001,0),MATCH(COLUMNS($AD$1006:AD1006),$AD$1006:$AU$1006,0)), HYPERLINK("#",""), HYPERLINK(CONCATENATE("#metadata!", ADDRESS(INDEX($Y$2:$Y$1001,MATCH(ROWS($W$2:W63),$W$2:$W$1001,0),0), INDEX($AD$1004:$AU$1004,1,MATCH(COLUMNS($AD$1006:AD1006),$AD$1006:$AU$1006,0)))),"Fix")))</f>
        <v xml:space="preserve"> </v>
      </c>
      <c r="C63" s="4" t="str">
        <f ca="1">IF(OR(INDEX($X$2:$X$1001,MATCH(ROWS($W$2:W63),$W$2:$W$1001,0),1)&gt;=100000,INDEX($AD$1005:$AU$1005,1,MATCH(COLUMNS($AD$1006:AE1006),$AD$1006:$AU$1006,0))&gt;=100000), " ",IF(INDEX($AD$2:$AU$1001,MATCH(ROWS($W$2:W63),$W$2:$W$1001,0),MATCH(COLUMNS($AD$1006:AE1006),$AD$1006:$AU$1006,0)), HYPERLINK("#",""), HYPERLINK(CONCATENATE("#metadata!", ADDRESS(INDEX($Y$2:$Y$1001,MATCH(ROWS($W$2:W63),$W$2:$W$1001,0),0), INDEX($AD$1004:$AU$1004,1,MATCH(COLUMNS($AD$1006:AE1006),$AD$1006:$AU$1006,0)))),"Fix")))</f>
        <v xml:space="preserve"> </v>
      </c>
      <c r="D63" s="4" t="str">
        <f ca="1">IF(OR(INDEX($X$2:$X$1001,MATCH(ROWS($W$2:W63),$W$2:$W$1001,0),1)&gt;=100000,INDEX($AD$1005:$AU$1005,1,MATCH(COLUMNS($AD$1006:AF1006),$AD$1006:$AU$1006,0))&gt;=100000), " ",IF(INDEX($AD$2:$AU$1001,MATCH(ROWS($W$2:W63),$W$2:$W$1001,0),MATCH(COLUMNS($AD$1006:AF1006),$AD$1006:$AU$1006,0)), HYPERLINK("#",""), HYPERLINK(CONCATENATE("#metadata!", ADDRESS(INDEX($Y$2:$Y$1001,MATCH(ROWS($W$2:W63),$W$2:$W$1001,0),0), INDEX($AD$1004:$AU$1004,1,MATCH(COLUMNS($AD$1006:AF1006),$AD$1006:$AU$1006,0)))),"Fix")))</f>
        <v xml:space="preserve"> </v>
      </c>
      <c r="E63" s="4" t="str">
        <f ca="1">IF(OR(INDEX($X$2:$X$1001,MATCH(ROWS($W$2:W63),$W$2:$W$1001,0),1)&gt;=100000,INDEX($AD$1005:$AU$1005,1,MATCH(COLUMNS($AD$1006:AG1006),$AD$1006:$AU$1006,0))&gt;=100000), " ",IF(INDEX($AD$2:$AU$1001,MATCH(ROWS($W$2:W63),$W$2:$W$1001,0),MATCH(COLUMNS($AD$1006:AG1006),$AD$1006:$AU$1006,0)), HYPERLINK("#",""), HYPERLINK(CONCATENATE("#metadata!", ADDRESS(INDEX($Y$2:$Y$1001,MATCH(ROWS($W$2:W63),$W$2:$W$1001,0),0), INDEX($AD$1004:$AU$1004,1,MATCH(COLUMNS($AD$1006:AG1006),$AD$1006:$AU$1006,0)))),"Fix")))</f>
        <v xml:space="preserve"> </v>
      </c>
      <c r="F63" s="4" t="str">
        <f ca="1">IF(OR(INDEX($X$2:$X$1001,MATCH(ROWS($W$2:W63),$W$2:$W$1001,0),1)&gt;=100000,INDEX($AD$1005:$AU$1005,1,MATCH(COLUMNS($AD$1006:AH1006),$AD$1006:$AU$1006,0))&gt;=100000), " ",IF(INDEX($AD$2:$AU$1001,MATCH(ROWS($W$2:W63),$W$2:$W$1001,0),MATCH(COLUMNS($AD$1006:AH1006),$AD$1006:$AU$1006,0)), HYPERLINK("#",""), HYPERLINK(CONCATENATE("#metadata!", ADDRESS(INDEX($Y$2:$Y$1001,MATCH(ROWS($W$2:W63),$W$2:$W$1001,0),0), INDEX($AD$1004:$AU$1004,1,MATCH(COLUMNS($AD$1006:AH1006),$AD$1006:$AU$1006,0)))),"Fix")))</f>
        <v xml:space="preserve"> </v>
      </c>
      <c r="G63" s="4" t="str">
        <f ca="1">IF(OR(INDEX($X$2:$X$1001,MATCH(ROWS($W$2:W63),$W$2:$W$1001,0),1)&gt;=100000,INDEX($AD$1005:$AU$1005,1,MATCH(COLUMNS($AD$1006:AI1006),$AD$1006:$AU$1006,0))&gt;=100000), " ",IF(INDEX($AD$2:$AU$1001,MATCH(ROWS($W$2:W63),$W$2:$W$1001,0),MATCH(COLUMNS($AD$1006:AI1006),$AD$1006:$AU$1006,0)), HYPERLINK("#",""), HYPERLINK(CONCATENATE("#metadata!", ADDRESS(INDEX($Y$2:$Y$1001,MATCH(ROWS($W$2:W63),$W$2:$W$1001,0),0), INDEX($AD$1004:$AU$1004,1,MATCH(COLUMNS($AD$1006:AI1006),$AD$1006:$AU$1006,0)))),"Fix")))</f>
        <v xml:space="preserve"> </v>
      </c>
      <c r="H63" s="4" t="str">
        <f ca="1">IF(OR(INDEX($X$2:$X$1001,MATCH(ROWS($W$2:W63),$W$2:$W$1001,0),1)&gt;=100000,INDEX($AD$1005:$AU$1005,1,MATCH(COLUMNS($AD$1006:AJ1006),$AD$1006:$AU$1006,0))&gt;=100000), " ",IF(INDEX($AD$2:$AU$1001,MATCH(ROWS($W$2:W63),$W$2:$W$1001,0),MATCH(COLUMNS($AD$1006:AJ1006),$AD$1006:$AU$1006,0)), HYPERLINK("#",""), HYPERLINK(CONCATENATE("#metadata!", ADDRESS(INDEX($Y$2:$Y$1001,MATCH(ROWS($W$2:W63),$W$2:$W$1001,0),0), INDEX($AD$1004:$AU$1004,1,MATCH(COLUMNS($AD$1006:AJ1006),$AD$1006:$AU$1006,0)))),"Fix")))</f>
        <v xml:space="preserve"> </v>
      </c>
      <c r="I63" s="4" t="str">
        <f ca="1">IF(OR(INDEX($X$2:$X$1001,MATCH(ROWS($W$2:W63),$W$2:$W$1001,0),1)&gt;=100000,INDEX($AD$1005:$AU$1005,1,MATCH(COLUMNS($AD$1006:AK1006),$AD$1006:$AU$1006,0))&gt;=100000), " ",IF(INDEX($AD$2:$AU$1001,MATCH(ROWS($W$2:W63),$W$2:$W$1001,0),MATCH(COLUMNS($AD$1006:AK1006),$AD$1006:$AU$1006,0)), HYPERLINK("#",""), HYPERLINK(CONCATENATE("#metadata!", ADDRESS(INDEX($Y$2:$Y$1001,MATCH(ROWS($W$2:W63),$W$2:$W$1001,0),0), INDEX($AD$1004:$AU$1004,1,MATCH(COLUMNS($AD$1006:AK1006),$AD$1006:$AU$1006,0)))),"Fix")))</f>
        <v xml:space="preserve"> </v>
      </c>
      <c r="J63" s="4" t="str">
        <f ca="1">IF(OR(INDEX($X$2:$X$1001,MATCH(ROWS($W$2:W63),$W$2:$W$1001,0),1)&gt;=100000,INDEX($AD$1005:$AU$1005,1,MATCH(COLUMNS($AD$1006:AL1006),$AD$1006:$AU$1006,0))&gt;=100000), " ",IF(INDEX($AD$2:$AU$1001,MATCH(ROWS($W$2:W63),$W$2:$W$1001,0),MATCH(COLUMNS($AD$1006:AL1006),$AD$1006:$AU$1006,0)), HYPERLINK("#",""), HYPERLINK(CONCATENATE("#metadata!", ADDRESS(INDEX($Y$2:$Y$1001,MATCH(ROWS($W$2:W63),$W$2:$W$1001,0),0), INDEX($AD$1004:$AU$1004,1,MATCH(COLUMNS($AD$1006:AL1006),$AD$1006:$AU$1006,0)))),"Fix")))</f>
        <v xml:space="preserve"> </v>
      </c>
      <c r="K63" s="4" t="str">
        <f ca="1">IF(OR(INDEX($X$2:$X$1001,MATCH(ROWS($W$2:W63),$W$2:$W$1001,0),1)&gt;=100000,INDEX($AD$1005:$AU$1005,1,MATCH(COLUMNS($AD$1006:AM1006),$AD$1006:$AU$1006,0))&gt;=100000), " ",IF(INDEX($AD$2:$AU$1001,MATCH(ROWS($W$2:W63),$W$2:$W$1001,0),MATCH(COLUMNS($AD$1006:AM1006),$AD$1006:$AU$1006,0)), HYPERLINK("#",""), HYPERLINK(CONCATENATE("#metadata!", ADDRESS(INDEX($Y$2:$Y$1001,MATCH(ROWS($W$2:W63),$W$2:$W$1001,0),0), INDEX($AD$1004:$AU$1004,1,MATCH(COLUMNS($AD$1006:AM1006),$AD$1006:$AU$1006,0)))),"Fix")))</f>
        <v xml:space="preserve"> </v>
      </c>
      <c r="L63" s="4" t="str">
        <f ca="1">IF(OR(INDEX($X$2:$X$1001,MATCH(ROWS($W$2:W63),$W$2:$W$1001,0),1)&gt;=100000,INDEX($AD$1005:$AU$1005,1,MATCH(COLUMNS($AD$1006:AN1006),$AD$1006:$AU$1006,0))&gt;=100000), " ",IF(INDEX($AD$2:$AU$1001,MATCH(ROWS($W$2:W63),$W$2:$W$1001,0),MATCH(COLUMNS($AD$1006:AN1006),$AD$1006:$AU$1006,0)), HYPERLINK("#",""), HYPERLINK(CONCATENATE("#metadata!", ADDRESS(INDEX($Y$2:$Y$1001,MATCH(ROWS($W$2:W63),$W$2:$W$1001,0),0), INDEX($AD$1004:$AU$1004,1,MATCH(COLUMNS($AD$1006:AN1006),$AD$1006:$AU$1006,0)))),"Fix")))</f>
        <v xml:space="preserve"> </v>
      </c>
      <c r="M63" s="4" t="str">
        <f ca="1">IF(OR(INDEX($X$2:$X$1001,MATCH(ROWS($W$2:W63),$W$2:$W$1001,0),1)&gt;=100000,INDEX($AD$1005:$AU$1005,1,MATCH(COLUMNS($AD$1006:AO1006),$AD$1006:$AU$1006,0))&gt;=100000), " ",IF(INDEX($AD$2:$AU$1001,MATCH(ROWS($W$2:W63),$W$2:$W$1001,0),MATCH(COLUMNS($AD$1006:AO1006),$AD$1006:$AU$1006,0)), HYPERLINK("#",""), HYPERLINK(CONCATENATE("#metadata!", ADDRESS(INDEX($Y$2:$Y$1001,MATCH(ROWS($W$2:W63),$W$2:$W$1001,0),0), INDEX($AD$1004:$AU$1004,1,MATCH(COLUMNS($AD$1006:AO1006),$AD$1006:$AU$1006,0)))),"Fix")))</f>
        <v xml:space="preserve"> </v>
      </c>
      <c r="N63" s="4" t="str">
        <f ca="1">IF(OR(INDEX($X$2:$X$1001,MATCH(ROWS($W$2:W63),$W$2:$W$1001,0),1)&gt;=100000,INDEX($AD$1005:$AU$1005,1,MATCH(COLUMNS($AD$1006:AP1006),$AD$1006:$AU$1006,0))&gt;=100000), " ",IF(INDEX($AD$2:$AU$1001,MATCH(ROWS($W$2:W63),$W$2:$W$1001,0),MATCH(COLUMNS($AD$1006:AP1006),$AD$1006:$AU$1006,0)), HYPERLINK("#",""), HYPERLINK(CONCATENATE("#metadata!", ADDRESS(INDEX($Y$2:$Y$1001,MATCH(ROWS($W$2:W63),$W$2:$W$1001,0),0), INDEX($AD$1004:$AU$1004,1,MATCH(COLUMNS($AD$1006:AP1006),$AD$1006:$AU$1006,0)))),"Fix")))</f>
        <v xml:space="preserve"> </v>
      </c>
      <c r="O63" s="4" t="str">
        <f ca="1">IF(OR(INDEX($X$2:$X$1001,MATCH(ROWS($W$2:W63),$W$2:$W$1001,0),1)&gt;=100000,INDEX($AD$1005:$AU$1005,1,MATCH(COLUMNS($AD$1006:AQ1006),$AD$1006:$AU$1006,0))&gt;=100000), " ",IF(INDEX($AD$2:$AU$1001,MATCH(ROWS($W$2:W63),$W$2:$W$1001,0),MATCH(COLUMNS($AD$1006:AQ1006),$AD$1006:$AU$1006,0)), HYPERLINK("#",""), HYPERLINK(CONCATENATE("#metadata!", ADDRESS(INDEX($Y$2:$Y$1001,MATCH(ROWS($W$2:W63),$W$2:$W$1001,0),0), INDEX($AD$1004:$AU$1004,1,MATCH(COLUMNS($AD$1006:AQ1006),$AD$1006:$AU$1006,0)))),"Fix")))</f>
        <v xml:space="preserve"> </v>
      </c>
      <c r="P63" s="4" t="str">
        <f ca="1">IF(OR(INDEX($X$2:$X$1001,MATCH(ROWS($W$2:W63),$W$2:$W$1001,0),1)&gt;=100000,INDEX($AD$1005:$AU$1005,1,MATCH(COLUMNS($AD$1006:AR1006),$AD$1006:$AU$1006,0))&gt;=100000), " ",IF(INDEX($AD$2:$AU$1001,MATCH(ROWS($W$2:W63),$W$2:$W$1001,0),MATCH(COLUMNS($AD$1006:AR1006),$AD$1006:$AU$1006,0)), HYPERLINK("#",""), HYPERLINK(CONCATENATE("#metadata!", ADDRESS(INDEX($Y$2:$Y$1001,MATCH(ROWS($W$2:W63),$W$2:$W$1001,0),0), INDEX($AD$1004:$AU$1004,1,MATCH(COLUMNS($AD$1006:AR1006),$AD$1006:$AU$1006,0)))),"Fix")))</f>
        <v xml:space="preserve"> </v>
      </c>
      <c r="Q63" s="4" t="str">
        <f ca="1">IF(OR(INDEX($X$2:$X$1001,MATCH(ROWS($W$2:W63),$W$2:$W$1001,0),1)&gt;=100000,INDEX($AD$1005:$AU$1005,1,MATCH(COLUMNS($AD$1006:AS1006),$AD$1006:$AU$1006,0))&gt;=100000), " ",IF(INDEX($AD$2:$AU$1001,MATCH(ROWS($W$2:W63),$W$2:$W$1001,0),MATCH(COLUMNS($AD$1006:AS1006),$AD$1006:$AU$1006,0)), HYPERLINK("#",""), HYPERLINK(CONCATENATE("#metadata!", ADDRESS(INDEX($Y$2:$Y$1001,MATCH(ROWS($W$2:W63),$W$2:$W$1001,0),0), INDEX($AD$1004:$AU$1004,1,MATCH(COLUMNS($AD$1006:AS1006),$AD$1006:$AU$1006,0)))),"Fix")))</f>
        <v xml:space="preserve"> </v>
      </c>
      <c r="R63" s="4" t="str">
        <f ca="1">IF(OR(INDEX($X$2:$X$1001,MATCH(ROWS($W$2:W63),$W$2:$W$1001,0),1)&gt;=100000,INDEX($AD$1005:$AU$1005,1,MATCH(COLUMNS($AD$1006:AT1006),$AD$1006:$AU$1006,0))&gt;=100000), " ",IF(INDEX($AD$2:$AU$1001,MATCH(ROWS($W$2:W63),$W$2:$W$1001,0),MATCH(COLUMNS($AD$1006:AT1006),$AD$1006:$AU$1006,0)), HYPERLINK("#",""), HYPERLINK(CONCATENATE("#metadata!", ADDRESS(INDEX($Y$2:$Y$1001,MATCH(ROWS($W$2:W63),$W$2:$W$1001,0),0), INDEX($AD$1004:$AU$1004,1,MATCH(COLUMNS($AD$1006:AT1006),$AD$1006:$AU$1006,0)))),"Fix")))</f>
        <v xml:space="preserve"> </v>
      </c>
      <c r="S63" s="4" t="str">
        <f ca="1">IF(OR(INDEX($X$2:$X$1001,MATCH(ROWS($W$2:W63),$W$2:$W$1001,0),1)&gt;=100000,INDEX($AD$1005:$AU$1005,1,MATCH(COLUMNS($AD$1006:AU1006),$AD$1006:$AU$1006,0))&gt;=100000), " ",IF(INDEX($AD$2:$AU$1001,MATCH(ROWS($W$2:W63),$W$2:$W$1001,0),MATCH(COLUMNS($AD$1006:AU1006),$AD$1006:$AU$1006,0)), HYPERLINK("#",""), HYPERLINK(CONCATENATE("#metadata!", ADDRESS(INDEX($Y$2:$Y$1001,MATCH(ROWS($W$2:W63),$W$2:$W$1001,0),0), INDEX($AD$1004:$AU$1004,1,MATCH(COLUMNS($AD$1006:AU1006),$AD$1006:$AU$1006,0)))),"Fix")))</f>
        <v xml:space="preserve"> </v>
      </c>
      <c r="W63">
        <v>62</v>
      </c>
      <c r="X63">
        <v>100063</v>
      </c>
      <c r="Y63">
        <v>63</v>
      </c>
      <c r="Z63" t="b">
        <f t="shared" si="0"/>
        <v>1</v>
      </c>
      <c r="AA63" t="b">
        <f>COUNTBLANK(metadata!B63:S63)=COLUMNS(metadata!B63:S63)</f>
        <v>1</v>
      </c>
      <c r="AB63" t="str">
        <v/>
      </c>
      <c r="AD63" t="b">
        <f ca="1">AND(IF(metadata!B63="",FALSE,TRUE),COUNTIF(metadata!B:B, metadata!B63) = 1,NOT(ISERROR(SUMPRODUCT(SEARCH(MID(metadata!B63,ROW(INDIRECT("1:"&amp;LEN(metadata!B63))), 1),"0123456789abcdefghijklmnopqrstuvwxyzABCDEFGHIJKLMNOPQRSTUVWXYZ.")))))</f>
        <v>0</v>
      </c>
      <c r="AE63" t="b">
        <f>OR(AND(IF(metadata!C63="",FALSE,TRUE),OR(EXACT(metadata!C63,"not applicable"),EXACT(metadata!C63,"missing: not collected"),EXACT(metadata!C63,"missing: not provided"),EXACT(metadata!C63,"missing: restricted access"))),AND(IF(metadata!C63="",FALSE,ISNUMBER(VALUE(metadata!C63))),metadata!C63&gt;0))</f>
        <v>0</v>
      </c>
      <c r="AF63" t="b">
        <f>AND(IF(metadata!D63="",FALSE,TRUE),EXACT(metadata!D63,"missing: not provided"))</f>
        <v>0</v>
      </c>
      <c r="AG63" t="b">
        <f>AND(IF(metadata!E63="",FALSE,TRUE),EXACT(metadata!E63,"Host-associated"))</f>
        <v>0</v>
      </c>
      <c r="AH63" t="b">
        <f>AND(IF(metadata!F63="",FALSE,TRUE),OR(EXACT(metadata!F63,"Animal"),EXACT(metadata!F63,"Fungus"),EXACT(metadata!F63,"Plant")))</f>
        <v>0</v>
      </c>
      <c r="AI63" t="b">
        <f>AND(IF(metadata!G63="",FALSE,TRUE),OR(EXACT(metadata!G63,"Plant secretion"),EXACT(metadata!G63,"Plant rhizosphere"),EXACT(metadata!G63,"Plant surface"),EXACT(metadata!G63,"Plant corpus"),EXACT(metadata!G63,"Fungus surface"),EXACT(metadata!G63,"Fungus corpus"),EXACT(metadata!G63,"Animal surface"),EXACT(metadata!G63,"Animal proximal gut"),EXACT(metadata!G63,"Animal corpus"),EXACT(metadata!G63,"Animal distal gut"),EXACT(metadata!G63,"Animal secretion")))</f>
        <v>0</v>
      </c>
      <c r="AJ63" t="b">
        <f>OR(AND(IF(metadata!H63="",FALSE,TRUE),OR(EXACT(metadata!H63,"missing: not collected"),EXACT(metadata!H63,"missing: not provided"),EXACT(metadata!H63,"missing: restricted access"))),AND(IF(metadata!H63="",FALSE,TRUE),OR(EXACT(metadata!H63,"organism-associated habitat"),EXACT(metadata!H63,"plant-associated habitat"),EXACT(metadata!H63,"animal-associated habitat"),EXACT(metadata!H63,"insecta-associated habitat"),EXACT(metadata!H63,"mammalia-associated habitat"),EXACT(metadata!H63,"human-associated habitat"),EXACT(metadata!H63,"livestock-associated habitat"))))</f>
        <v>0</v>
      </c>
      <c r="AK63" t="b">
        <f>AND(IF(metadata!I63="",FALSE,TRUE),EXACT(metadata!I63,"host-associated"))</f>
        <v>0</v>
      </c>
      <c r="AL63" t="b">
        <f>OR(AND(IF(metadata!J63="",FALSE,TRUE),OR(EXACT(metadata!J63,"not applicable"),EXACT(metadata!J63,"missing: not collected"),EXACT(metadata!J63,"missing: not provided"),EXACT(metadata!J63,"missing: restricted access"))),AND(IF(metadata!J63="",FALSE,ISNUMBER(VALUE(metadata!J63))),metadata!J63&gt;0))</f>
        <v>0</v>
      </c>
      <c r="AM63" t="b">
        <f>AND(IF(metadata!K63="",FALSE,TRUE),EXACT(metadata!K63,"missing: not provided"))</f>
        <v>0</v>
      </c>
      <c r="AN63" t="b">
        <f>IF(metadata!L63="",FALSE,TRUE)</f>
        <v>0</v>
      </c>
      <c r="AO63" t="b">
        <f>IF(metadata!M63="",FALSE,TRUE)</f>
        <v>0</v>
      </c>
      <c r="AP63" t="b">
        <f>OR(AND(IF(metadata!N63="",FALSE,TRUE),OR(EXACT(metadata!N63,"not applicable"),EXACT(metadata!N63,"missing: not collected"),EXACT(metadata!N63,"missing: not provided"))),AND(IF(metadata!N63="",FALSE,IF(ISERROR(INT(metadata!N63)),FALSE,INT(metadata!N63)=metadata!N63)),metadata!N63&gt;0))</f>
        <v>0</v>
      </c>
      <c r="AQ63" t="b">
        <f>AND(IF(metadata!O63="",FALSE,TRUE),EXACT(metadata!O63,"Not applicable"))</f>
        <v>0</v>
      </c>
      <c r="AR63" t="b">
        <f>OR(AND(IF(metadata!P63="",FALSE,TRUE),OR(EXACT(metadata!P63,"not applicable"),EXACT(metadata!P63,"missing: not collected"),EXACT(metadata!P63,"missing: not provided"),EXACT(metadata!P63,"missing: restricted access"))),IF(metadata!P63="",FALSE,IF(ISERROR(INT(metadata!P63)),FALSE,INT(metadata!P63)=metadata!P63)))</f>
        <v>0</v>
      </c>
      <c r="AS63" t="b">
        <f>AND(IF(metadata!Q63="",FALSE,TRUE),EXACT(metadata!Q63,"Not applicable"))</f>
        <v>0</v>
      </c>
      <c r="AT63" t="b">
        <f>OR(AND(IF(metadata!R63="",FALSE,TRUE),OR(EXACT(metadata!R63,"not applicable"),EXACT(metadata!R63,"missing: not collected"),EXACT(metadata!R63,"missing: not provided"),EXACT(metadata!R63,"missing: restricted access"))),AND(IF(metadata!R63="",FALSE,ISNUMBER(VALUE(metadata!R63))),metadata!R63&gt;0))</f>
        <v>0</v>
      </c>
      <c r="AU63" t="b">
        <f>AND(IF(metadata!S63="",FALSE,TRUE),EXACT(metadata!S63,"missing: not provided"))</f>
        <v>0</v>
      </c>
    </row>
    <row r="64" spans="1:47" x14ac:dyDescent="0.2">
      <c r="A64" s="5" t="str">
        <f ca="1">IF(B64=" "," ",HYPERLINK(CONCATENATE("#metadata!",ADDRESS(INDEX($Y$2:$Y$1001,MATCH(ROWS($W$2:W64),$W$2:$W$1001,0),0),1)),INDEX($AB$2:$AB$1001,MATCH(ROWS($W$2:W64),$W$2:$W$1001,0),0)))</f>
        <v xml:space="preserve"> </v>
      </c>
      <c r="B64" s="4" t="str">
        <f ca="1">IF(OR(INDEX($X$2:$X$1001,MATCH(ROWS($W$2:W64),$W$2:$W$1001,0),1)&gt;=100000,INDEX($AD$1005:$AU$1005,1,MATCH(COLUMNS($AD$1006:AD1006),$AD$1006:$AU$1006,0))&gt;=100000), " ",IF(INDEX($AD$2:$AU$1001,MATCH(ROWS($W$2:W64),$W$2:$W$1001,0),MATCH(COLUMNS($AD$1006:AD1006),$AD$1006:$AU$1006,0)), HYPERLINK("#",""), HYPERLINK(CONCATENATE("#metadata!", ADDRESS(INDEX($Y$2:$Y$1001,MATCH(ROWS($W$2:W64),$W$2:$W$1001,0),0), INDEX($AD$1004:$AU$1004,1,MATCH(COLUMNS($AD$1006:AD1006),$AD$1006:$AU$1006,0)))),"Fix")))</f>
        <v xml:space="preserve"> </v>
      </c>
      <c r="C64" s="4" t="str">
        <f ca="1">IF(OR(INDEX($X$2:$X$1001,MATCH(ROWS($W$2:W64),$W$2:$W$1001,0),1)&gt;=100000,INDEX($AD$1005:$AU$1005,1,MATCH(COLUMNS($AD$1006:AE1006),$AD$1006:$AU$1006,0))&gt;=100000), " ",IF(INDEX($AD$2:$AU$1001,MATCH(ROWS($W$2:W64),$W$2:$W$1001,0),MATCH(COLUMNS($AD$1006:AE1006),$AD$1006:$AU$1006,0)), HYPERLINK("#",""), HYPERLINK(CONCATENATE("#metadata!", ADDRESS(INDEX($Y$2:$Y$1001,MATCH(ROWS($W$2:W64),$W$2:$W$1001,0),0), INDEX($AD$1004:$AU$1004,1,MATCH(COLUMNS($AD$1006:AE1006),$AD$1006:$AU$1006,0)))),"Fix")))</f>
        <v xml:space="preserve"> </v>
      </c>
      <c r="D64" s="4" t="str">
        <f ca="1">IF(OR(INDEX($X$2:$X$1001,MATCH(ROWS($W$2:W64),$W$2:$W$1001,0),1)&gt;=100000,INDEX($AD$1005:$AU$1005,1,MATCH(COLUMNS($AD$1006:AF1006),$AD$1006:$AU$1006,0))&gt;=100000), " ",IF(INDEX($AD$2:$AU$1001,MATCH(ROWS($W$2:W64),$W$2:$W$1001,0),MATCH(COLUMNS($AD$1006:AF1006),$AD$1006:$AU$1006,0)), HYPERLINK("#",""), HYPERLINK(CONCATENATE("#metadata!", ADDRESS(INDEX($Y$2:$Y$1001,MATCH(ROWS($W$2:W64),$W$2:$W$1001,0),0), INDEX($AD$1004:$AU$1004,1,MATCH(COLUMNS($AD$1006:AF1006),$AD$1006:$AU$1006,0)))),"Fix")))</f>
        <v xml:space="preserve"> </v>
      </c>
      <c r="E64" s="4" t="str">
        <f ca="1">IF(OR(INDEX($X$2:$X$1001,MATCH(ROWS($W$2:W64),$W$2:$W$1001,0),1)&gt;=100000,INDEX($AD$1005:$AU$1005,1,MATCH(COLUMNS($AD$1006:AG1006),$AD$1006:$AU$1006,0))&gt;=100000), " ",IF(INDEX($AD$2:$AU$1001,MATCH(ROWS($W$2:W64),$W$2:$W$1001,0),MATCH(COLUMNS($AD$1006:AG1006),$AD$1006:$AU$1006,0)), HYPERLINK("#",""), HYPERLINK(CONCATENATE("#metadata!", ADDRESS(INDEX($Y$2:$Y$1001,MATCH(ROWS($W$2:W64),$W$2:$W$1001,0),0), INDEX($AD$1004:$AU$1004,1,MATCH(COLUMNS($AD$1006:AG1006),$AD$1006:$AU$1006,0)))),"Fix")))</f>
        <v xml:space="preserve"> </v>
      </c>
      <c r="F64" s="4" t="str">
        <f ca="1">IF(OR(INDEX($X$2:$X$1001,MATCH(ROWS($W$2:W64),$W$2:$W$1001,0),1)&gt;=100000,INDEX($AD$1005:$AU$1005,1,MATCH(COLUMNS($AD$1006:AH1006),$AD$1006:$AU$1006,0))&gt;=100000), " ",IF(INDEX($AD$2:$AU$1001,MATCH(ROWS($W$2:W64),$W$2:$W$1001,0),MATCH(COLUMNS($AD$1006:AH1006),$AD$1006:$AU$1006,0)), HYPERLINK("#",""), HYPERLINK(CONCATENATE("#metadata!", ADDRESS(INDEX($Y$2:$Y$1001,MATCH(ROWS($W$2:W64),$W$2:$W$1001,0),0), INDEX($AD$1004:$AU$1004,1,MATCH(COLUMNS($AD$1006:AH1006),$AD$1006:$AU$1006,0)))),"Fix")))</f>
        <v xml:space="preserve"> </v>
      </c>
      <c r="G64" s="4" t="str">
        <f ca="1">IF(OR(INDEX($X$2:$X$1001,MATCH(ROWS($W$2:W64),$W$2:$W$1001,0),1)&gt;=100000,INDEX($AD$1005:$AU$1005,1,MATCH(COLUMNS($AD$1006:AI1006),$AD$1006:$AU$1006,0))&gt;=100000), " ",IF(INDEX($AD$2:$AU$1001,MATCH(ROWS($W$2:W64),$W$2:$W$1001,0),MATCH(COLUMNS($AD$1006:AI1006),$AD$1006:$AU$1006,0)), HYPERLINK("#",""), HYPERLINK(CONCATENATE("#metadata!", ADDRESS(INDEX($Y$2:$Y$1001,MATCH(ROWS($W$2:W64),$W$2:$W$1001,0),0), INDEX($AD$1004:$AU$1004,1,MATCH(COLUMNS($AD$1006:AI1006),$AD$1006:$AU$1006,0)))),"Fix")))</f>
        <v xml:space="preserve"> </v>
      </c>
      <c r="H64" s="4" t="str">
        <f ca="1">IF(OR(INDEX($X$2:$X$1001,MATCH(ROWS($W$2:W64),$W$2:$W$1001,0),1)&gt;=100000,INDEX($AD$1005:$AU$1005,1,MATCH(COLUMNS($AD$1006:AJ1006),$AD$1006:$AU$1006,0))&gt;=100000), " ",IF(INDEX($AD$2:$AU$1001,MATCH(ROWS($W$2:W64),$W$2:$W$1001,0),MATCH(COLUMNS($AD$1006:AJ1006),$AD$1006:$AU$1006,0)), HYPERLINK("#",""), HYPERLINK(CONCATENATE("#metadata!", ADDRESS(INDEX($Y$2:$Y$1001,MATCH(ROWS($W$2:W64),$W$2:$W$1001,0),0), INDEX($AD$1004:$AU$1004,1,MATCH(COLUMNS($AD$1006:AJ1006),$AD$1006:$AU$1006,0)))),"Fix")))</f>
        <v xml:space="preserve"> </v>
      </c>
      <c r="I64" s="4" t="str">
        <f ca="1">IF(OR(INDEX($X$2:$X$1001,MATCH(ROWS($W$2:W64),$W$2:$W$1001,0),1)&gt;=100000,INDEX($AD$1005:$AU$1005,1,MATCH(COLUMNS($AD$1006:AK1006),$AD$1006:$AU$1006,0))&gt;=100000), " ",IF(INDEX($AD$2:$AU$1001,MATCH(ROWS($W$2:W64),$W$2:$W$1001,0),MATCH(COLUMNS($AD$1006:AK1006),$AD$1006:$AU$1006,0)), HYPERLINK("#",""), HYPERLINK(CONCATENATE("#metadata!", ADDRESS(INDEX($Y$2:$Y$1001,MATCH(ROWS($W$2:W64),$W$2:$W$1001,0),0), INDEX($AD$1004:$AU$1004,1,MATCH(COLUMNS($AD$1006:AK1006),$AD$1006:$AU$1006,0)))),"Fix")))</f>
        <v xml:space="preserve"> </v>
      </c>
      <c r="J64" s="4" t="str">
        <f ca="1">IF(OR(INDEX($X$2:$X$1001,MATCH(ROWS($W$2:W64),$W$2:$W$1001,0),1)&gt;=100000,INDEX($AD$1005:$AU$1005,1,MATCH(COLUMNS($AD$1006:AL1006),$AD$1006:$AU$1006,0))&gt;=100000), " ",IF(INDEX($AD$2:$AU$1001,MATCH(ROWS($W$2:W64),$W$2:$W$1001,0),MATCH(COLUMNS($AD$1006:AL1006),$AD$1006:$AU$1006,0)), HYPERLINK("#",""), HYPERLINK(CONCATENATE("#metadata!", ADDRESS(INDEX($Y$2:$Y$1001,MATCH(ROWS($W$2:W64),$W$2:$W$1001,0),0), INDEX($AD$1004:$AU$1004,1,MATCH(COLUMNS($AD$1006:AL1006),$AD$1006:$AU$1006,0)))),"Fix")))</f>
        <v xml:space="preserve"> </v>
      </c>
      <c r="K64" s="4" t="str">
        <f ca="1">IF(OR(INDEX($X$2:$X$1001,MATCH(ROWS($W$2:W64),$W$2:$W$1001,0),1)&gt;=100000,INDEX($AD$1005:$AU$1005,1,MATCH(COLUMNS($AD$1006:AM1006),$AD$1006:$AU$1006,0))&gt;=100000), " ",IF(INDEX($AD$2:$AU$1001,MATCH(ROWS($W$2:W64),$W$2:$W$1001,0),MATCH(COLUMNS($AD$1006:AM1006),$AD$1006:$AU$1006,0)), HYPERLINK("#",""), HYPERLINK(CONCATENATE("#metadata!", ADDRESS(INDEX($Y$2:$Y$1001,MATCH(ROWS($W$2:W64),$W$2:$W$1001,0),0), INDEX($AD$1004:$AU$1004,1,MATCH(COLUMNS($AD$1006:AM1006),$AD$1006:$AU$1006,0)))),"Fix")))</f>
        <v xml:space="preserve"> </v>
      </c>
      <c r="L64" s="4" t="str">
        <f ca="1">IF(OR(INDEX($X$2:$X$1001,MATCH(ROWS($W$2:W64),$W$2:$W$1001,0),1)&gt;=100000,INDEX($AD$1005:$AU$1005,1,MATCH(COLUMNS($AD$1006:AN1006),$AD$1006:$AU$1006,0))&gt;=100000), " ",IF(INDEX($AD$2:$AU$1001,MATCH(ROWS($W$2:W64),$W$2:$W$1001,0),MATCH(COLUMNS($AD$1006:AN1006),$AD$1006:$AU$1006,0)), HYPERLINK("#",""), HYPERLINK(CONCATENATE("#metadata!", ADDRESS(INDEX($Y$2:$Y$1001,MATCH(ROWS($W$2:W64),$W$2:$W$1001,0),0), INDEX($AD$1004:$AU$1004,1,MATCH(COLUMNS($AD$1006:AN1006),$AD$1006:$AU$1006,0)))),"Fix")))</f>
        <v xml:space="preserve"> </v>
      </c>
      <c r="M64" s="4" t="str">
        <f ca="1">IF(OR(INDEX($X$2:$X$1001,MATCH(ROWS($W$2:W64),$W$2:$W$1001,0),1)&gt;=100000,INDEX($AD$1005:$AU$1005,1,MATCH(COLUMNS($AD$1006:AO1006),$AD$1006:$AU$1006,0))&gt;=100000), " ",IF(INDEX($AD$2:$AU$1001,MATCH(ROWS($W$2:W64),$W$2:$W$1001,0),MATCH(COLUMNS($AD$1006:AO1006),$AD$1006:$AU$1006,0)), HYPERLINK("#",""), HYPERLINK(CONCATENATE("#metadata!", ADDRESS(INDEX($Y$2:$Y$1001,MATCH(ROWS($W$2:W64),$W$2:$W$1001,0),0), INDEX($AD$1004:$AU$1004,1,MATCH(COLUMNS($AD$1006:AO1006),$AD$1006:$AU$1006,0)))),"Fix")))</f>
        <v xml:space="preserve"> </v>
      </c>
      <c r="N64" s="4" t="str">
        <f ca="1">IF(OR(INDEX($X$2:$X$1001,MATCH(ROWS($W$2:W64),$W$2:$W$1001,0),1)&gt;=100000,INDEX($AD$1005:$AU$1005,1,MATCH(COLUMNS($AD$1006:AP1006),$AD$1006:$AU$1006,0))&gt;=100000), " ",IF(INDEX($AD$2:$AU$1001,MATCH(ROWS($W$2:W64),$W$2:$W$1001,0),MATCH(COLUMNS($AD$1006:AP1006),$AD$1006:$AU$1006,0)), HYPERLINK("#",""), HYPERLINK(CONCATENATE("#metadata!", ADDRESS(INDEX($Y$2:$Y$1001,MATCH(ROWS($W$2:W64),$W$2:$W$1001,0),0), INDEX($AD$1004:$AU$1004,1,MATCH(COLUMNS($AD$1006:AP1006),$AD$1006:$AU$1006,0)))),"Fix")))</f>
        <v xml:space="preserve"> </v>
      </c>
      <c r="O64" s="4" t="str">
        <f ca="1">IF(OR(INDEX($X$2:$X$1001,MATCH(ROWS($W$2:W64),$W$2:$W$1001,0),1)&gt;=100000,INDEX($AD$1005:$AU$1005,1,MATCH(COLUMNS($AD$1006:AQ1006),$AD$1006:$AU$1006,0))&gt;=100000), " ",IF(INDEX($AD$2:$AU$1001,MATCH(ROWS($W$2:W64),$W$2:$W$1001,0),MATCH(COLUMNS($AD$1006:AQ1006),$AD$1006:$AU$1006,0)), HYPERLINK("#",""), HYPERLINK(CONCATENATE("#metadata!", ADDRESS(INDEX($Y$2:$Y$1001,MATCH(ROWS($W$2:W64),$W$2:$W$1001,0),0), INDEX($AD$1004:$AU$1004,1,MATCH(COLUMNS($AD$1006:AQ1006),$AD$1006:$AU$1006,0)))),"Fix")))</f>
        <v xml:space="preserve"> </v>
      </c>
      <c r="P64" s="4" t="str">
        <f ca="1">IF(OR(INDEX($X$2:$X$1001,MATCH(ROWS($W$2:W64),$W$2:$W$1001,0),1)&gt;=100000,INDEX($AD$1005:$AU$1005,1,MATCH(COLUMNS($AD$1006:AR1006),$AD$1006:$AU$1006,0))&gt;=100000), " ",IF(INDEX($AD$2:$AU$1001,MATCH(ROWS($W$2:W64),$W$2:$W$1001,0),MATCH(COLUMNS($AD$1006:AR1006),$AD$1006:$AU$1006,0)), HYPERLINK("#",""), HYPERLINK(CONCATENATE("#metadata!", ADDRESS(INDEX($Y$2:$Y$1001,MATCH(ROWS($W$2:W64),$W$2:$W$1001,0),0), INDEX($AD$1004:$AU$1004,1,MATCH(COLUMNS($AD$1006:AR1006),$AD$1006:$AU$1006,0)))),"Fix")))</f>
        <v xml:space="preserve"> </v>
      </c>
      <c r="Q64" s="4" t="str">
        <f ca="1">IF(OR(INDEX($X$2:$X$1001,MATCH(ROWS($W$2:W64),$W$2:$W$1001,0),1)&gt;=100000,INDEX($AD$1005:$AU$1005,1,MATCH(COLUMNS($AD$1006:AS1006),$AD$1006:$AU$1006,0))&gt;=100000), " ",IF(INDEX($AD$2:$AU$1001,MATCH(ROWS($W$2:W64),$W$2:$W$1001,0),MATCH(COLUMNS($AD$1006:AS1006),$AD$1006:$AU$1006,0)), HYPERLINK("#",""), HYPERLINK(CONCATENATE("#metadata!", ADDRESS(INDEX($Y$2:$Y$1001,MATCH(ROWS($W$2:W64),$W$2:$W$1001,0),0), INDEX($AD$1004:$AU$1004,1,MATCH(COLUMNS($AD$1006:AS1006),$AD$1006:$AU$1006,0)))),"Fix")))</f>
        <v xml:space="preserve"> </v>
      </c>
      <c r="R64" s="4" t="str">
        <f ca="1">IF(OR(INDEX($X$2:$X$1001,MATCH(ROWS($W$2:W64),$W$2:$W$1001,0),1)&gt;=100000,INDEX($AD$1005:$AU$1005,1,MATCH(COLUMNS($AD$1006:AT1006),$AD$1006:$AU$1006,0))&gt;=100000), " ",IF(INDEX($AD$2:$AU$1001,MATCH(ROWS($W$2:W64),$W$2:$W$1001,0),MATCH(COLUMNS($AD$1006:AT1006),$AD$1006:$AU$1006,0)), HYPERLINK("#",""), HYPERLINK(CONCATENATE("#metadata!", ADDRESS(INDEX($Y$2:$Y$1001,MATCH(ROWS($W$2:W64),$W$2:$W$1001,0),0), INDEX($AD$1004:$AU$1004,1,MATCH(COLUMNS($AD$1006:AT1006),$AD$1006:$AU$1006,0)))),"Fix")))</f>
        <v xml:space="preserve"> </v>
      </c>
      <c r="S64" s="4" t="str">
        <f ca="1">IF(OR(INDEX($X$2:$X$1001,MATCH(ROWS($W$2:W64),$W$2:$W$1001,0),1)&gt;=100000,INDEX($AD$1005:$AU$1005,1,MATCH(COLUMNS($AD$1006:AU1006),$AD$1006:$AU$1006,0))&gt;=100000), " ",IF(INDEX($AD$2:$AU$1001,MATCH(ROWS($W$2:W64),$W$2:$W$1001,0),MATCH(COLUMNS($AD$1006:AU1006),$AD$1006:$AU$1006,0)), HYPERLINK("#",""), HYPERLINK(CONCATENATE("#metadata!", ADDRESS(INDEX($Y$2:$Y$1001,MATCH(ROWS($W$2:W64),$W$2:$W$1001,0),0), INDEX($AD$1004:$AU$1004,1,MATCH(COLUMNS($AD$1006:AU1006),$AD$1006:$AU$1006,0)))),"Fix")))</f>
        <v xml:space="preserve"> </v>
      </c>
      <c r="W64">
        <v>63</v>
      </c>
      <c r="X64">
        <v>100064</v>
      </c>
      <c r="Y64">
        <v>64</v>
      </c>
      <c r="Z64" t="b">
        <f t="shared" si="0"/>
        <v>1</v>
      </c>
      <c r="AA64" t="b">
        <f>COUNTBLANK(metadata!B64:S64)=COLUMNS(metadata!B64:S64)</f>
        <v>1</v>
      </c>
      <c r="AB64" t="str">
        <v/>
      </c>
      <c r="AD64" t="b">
        <f ca="1">AND(IF(metadata!B64="",FALSE,TRUE),COUNTIF(metadata!B:B, metadata!B64) = 1,NOT(ISERROR(SUMPRODUCT(SEARCH(MID(metadata!B64,ROW(INDIRECT("1:"&amp;LEN(metadata!B64))), 1),"0123456789abcdefghijklmnopqrstuvwxyzABCDEFGHIJKLMNOPQRSTUVWXYZ.")))))</f>
        <v>0</v>
      </c>
      <c r="AE64" t="b">
        <f>OR(AND(IF(metadata!C64="",FALSE,TRUE),OR(EXACT(metadata!C64,"not applicable"),EXACT(metadata!C64,"missing: not collected"),EXACT(metadata!C64,"missing: not provided"),EXACT(metadata!C64,"missing: restricted access"))),AND(IF(metadata!C64="",FALSE,ISNUMBER(VALUE(metadata!C64))),metadata!C64&gt;0))</f>
        <v>0</v>
      </c>
      <c r="AF64" t="b">
        <f>AND(IF(metadata!D64="",FALSE,TRUE),EXACT(metadata!D64,"missing: not provided"))</f>
        <v>0</v>
      </c>
      <c r="AG64" t="b">
        <f>AND(IF(metadata!E64="",FALSE,TRUE),EXACT(metadata!E64,"Host-associated"))</f>
        <v>0</v>
      </c>
      <c r="AH64" t="b">
        <f>AND(IF(metadata!F64="",FALSE,TRUE),OR(EXACT(metadata!F64,"Animal"),EXACT(metadata!F64,"Fungus"),EXACT(metadata!F64,"Plant")))</f>
        <v>0</v>
      </c>
      <c r="AI64" t="b">
        <f>AND(IF(metadata!G64="",FALSE,TRUE),OR(EXACT(metadata!G64,"Plant secretion"),EXACT(metadata!G64,"Plant rhizosphere"),EXACT(metadata!G64,"Plant surface"),EXACT(metadata!G64,"Plant corpus"),EXACT(metadata!G64,"Fungus surface"),EXACT(metadata!G64,"Fungus corpus"),EXACT(metadata!G64,"Animal surface"),EXACT(metadata!G64,"Animal proximal gut"),EXACT(metadata!G64,"Animal corpus"),EXACT(metadata!G64,"Animal distal gut"),EXACT(metadata!G64,"Animal secretion")))</f>
        <v>0</v>
      </c>
      <c r="AJ64" t="b">
        <f>OR(AND(IF(metadata!H64="",FALSE,TRUE),OR(EXACT(metadata!H64,"missing: not collected"),EXACT(metadata!H64,"missing: not provided"),EXACT(metadata!H64,"missing: restricted access"))),AND(IF(metadata!H64="",FALSE,TRUE),OR(EXACT(metadata!H64,"organism-associated habitat"),EXACT(metadata!H64,"plant-associated habitat"),EXACT(metadata!H64,"animal-associated habitat"),EXACT(metadata!H64,"insecta-associated habitat"),EXACT(metadata!H64,"mammalia-associated habitat"),EXACT(metadata!H64,"human-associated habitat"),EXACT(metadata!H64,"livestock-associated habitat"))))</f>
        <v>0</v>
      </c>
      <c r="AK64" t="b">
        <f>AND(IF(metadata!I64="",FALSE,TRUE),EXACT(metadata!I64,"host-associated"))</f>
        <v>0</v>
      </c>
      <c r="AL64" t="b">
        <f>OR(AND(IF(metadata!J64="",FALSE,TRUE),OR(EXACT(metadata!J64,"not applicable"),EXACT(metadata!J64,"missing: not collected"),EXACT(metadata!J64,"missing: not provided"),EXACT(metadata!J64,"missing: restricted access"))),AND(IF(metadata!J64="",FALSE,ISNUMBER(VALUE(metadata!J64))),metadata!J64&gt;0))</f>
        <v>0</v>
      </c>
      <c r="AM64" t="b">
        <f>AND(IF(metadata!K64="",FALSE,TRUE),EXACT(metadata!K64,"missing: not provided"))</f>
        <v>0</v>
      </c>
      <c r="AN64" t="b">
        <f>IF(metadata!L64="",FALSE,TRUE)</f>
        <v>0</v>
      </c>
      <c r="AO64" t="b">
        <f>IF(metadata!M64="",FALSE,TRUE)</f>
        <v>0</v>
      </c>
      <c r="AP64" t="b">
        <f>OR(AND(IF(metadata!N64="",FALSE,TRUE),OR(EXACT(metadata!N64,"not applicable"),EXACT(metadata!N64,"missing: not collected"),EXACT(metadata!N64,"missing: not provided"))),AND(IF(metadata!N64="",FALSE,IF(ISERROR(INT(metadata!N64)),FALSE,INT(metadata!N64)=metadata!N64)),metadata!N64&gt;0))</f>
        <v>0</v>
      </c>
      <c r="AQ64" t="b">
        <f>AND(IF(metadata!O64="",FALSE,TRUE),EXACT(metadata!O64,"Not applicable"))</f>
        <v>0</v>
      </c>
      <c r="AR64" t="b">
        <f>OR(AND(IF(metadata!P64="",FALSE,TRUE),OR(EXACT(metadata!P64,"not applicable"),EXACT(metadata!P64,"missing: not collected"),EXACT(metadata!P64,"missing: not provided"),EXACT(metadata!P64,"missing: restricted access"))),IF(metadata!P64="",FALSE,IF(ISERROR(INT(metadata!P64)),FALSE,INT(metadata!P64)=metadata!P64)))</f>
        <v>0</v>
      </c>
      <c r="AS64" t="b">
        <f>AND(IF(metadata!Q64="",FALSE,TRUE),EXACT(metadata!Q64,"Not applicable"))</f>
        <v>0</v>
      </c>
      <c r="AT64" t="b">
        <f>OR(AND(IF(metadata!R64="",FALSE,TRUE),OR(EXACT(metadata!R64,"not applicable"),EXACT(metadata!R64,"missing: not collected"),EXACT(metadata!R64,"missing: not provided"),EXACT(metadata!R64,"missing: restricted access"))),AND(IF(metadata!R64="",FALSE,ISNUMBER(VALUE(metadata!R64))),metadata!R64&gt;0))</f>
        <v>0</v>
      </c>
      <c r="AU64" t="b">
        <f>AND(IF(metadata!S64="",FALSE,TRUE),EXACT(metadata!S64,"missing: not provided"))</f>
        <v>0</v>
      </c>
    </row>
    <row r="65" spans="1:47" x14ac:dyDescent="0.2">
      <c r="A65" s="5" t="str">
        <f ca="1">IF(B65=" "," ",HYPERLINK(CONCATENATE("#metadata!",ADDRESS(INDEX($Y$2:$Y$1001,MATCH(ROWS($W$2:W65),$W$2:$W$1001,0),0),1)),INDEX($AB$2:$AB$1001,MATCH(ROWS($W$2:W65),$W$2:$W$1001,0),0)))</f>
        <v xml:space="preserve"> </v>
      </c>
      <c r="B65" s="4" t="str">
        <f ca="1">IF(OR(INDEX($X$2:$X$1001,MATCH(ROWS($W$2:W65),$W$2:$W$1001,0),1)&gt;=100000,INDEX($AD$1005:$AU$1005,1,MATCH(COLUMNS($AD$1006:AD1006),$AD$1006:$AU$1006,0))&gt;=100000), " ",IF(INDEX($AD$2:$AU$1001,MATCH(ROWS($W$2:W65),$W$2:$W$1001,0),MATCH(COLUMNS($AD$1006:AD1006),$AD$1006:$AU$1006,0)), HYPERLINK("#",""), HYPERLINK(CONCATENATE("#metadata!", ADDRESS(INDEX($Y$2:$Y$1001,MATCH(ROWS($W$2:W65),$W$2:$W$1001,0),0), INDEX($AD$1004:$AU$1004,1,MATCH(COLUMNS($AD$1006:AD1006),$AD$1006:$AU$1006,0)))),"Fix")))</f>
        <v xml:space="preserve"> </v>
      </c>
      <c r="C65" s="4" t="str">
        <f ca="1">IF(OR(INDEX($X$2:$X$1001,MATCH(ROWS($W$2:W65),$W$2:$W$1001,0),1)&gt;=100000,INDEX($AD$1005:$AU$1005,1,MATCH(COLUMNS($AD$1006:AE1006),$AD$1006:$AU$1006,0))&gt;=100000), " ",IF(INDEX($AD$2:$AU$1001,MATCH(ROWS($W$2:W65),$W$2:$W$1001,0),MATCH(COLUMNS($AD$1006:AE1006),$AD$1006:$AU$1006,0)), HYPERLINK("#",""), HYPERLINK(CONCATENATE("#metadata!", ADDRESS(INDEX($Y$2:$Y$1001,MATCH(ROWS($W$2:W65),$W$2:$W$1001,0),0), INDEX($AD$1004:$AU$1004,1,MATCH(COLUMNS($AD$1006:AE1006),$AD$1006:$AU$1006,0)))),"Fix")))</f>
        <v xml:space="preserve"> </v>
      </c>
      <c r="D65" s="4" t="str">
        <f ca="1">IF(OR(INDEX($X$2:$X$1001,MATCH(ROWS($W$2:W65),$W$2:$W$1001,0),1)&gt;=100000,INDEX($AD$1005:$AU$1005,1,MATCH(COLUMNS($AD$1006:AF1006),$AD$1006:$AU$1006,0))&gt;=100000), " ",IF(INDEX($AD$2:$AU$1001,MATCH(ROWS($W$2:W65),$W$2:$W$1001,0),MATCH(COLUMNS($AD$1006:AF1006),$AD$1006:$AU$1006,0)), HYPERLINK("#",""), HYPERLINK(CONCATENATE("#metadata!", ADDRESS(INDEX($Y$2:$Y$1001,MATCH(ROWS($W$2:W65),$W$2:$W$1001,0),0), INDEX($AD$1004:$AU$1004,1,MATCH(COLUMNS($AD$1006:AF1006),$AD$1006:$AU$1006,0)))),"Fix")))</f>
        <v xml:space="preserve"> </v>
      </c>
      <c r="E65" s="4" t="str">
        <f ca="1">IF(OR(INDEX($X$2:$X$1001,MATCH(ROWS($W$2:W65),$W$2:$W$1001,0),1)&gt;=100000,INDEX($AD$1005:$AU$1005,1,MATCH(COLUMNS($AD$1006:AG1006),$AD$1006:$AU$1006,0))&gt;=100000), " ",IF(INDEX($AD$2:$AU$1001,MATCH(ROWS($W$2:W65),$W$2:$W$1001,0),MATCH(COLUMNS($AD$1006:AG1006),$AD$1006:$AU$1006,0)), HYPERLINK("#",""), HYPERLINK(CONCATENATE("#metadata!", ADDRESS(INDEX($Y$2:$Y$1001,MATCH(ROWS($W$2:W65),$W$2:$W$1001,0),0), INDEX($AD$1004:$AU$1004,1,MATCH(COLUMNS($AD$1006:AG1006),$AD$1006:$AU$1006,0)))),"Fix")))</f>
        <v xml:space="preserve"> </v>
      </c>
      <c r="F65" s="4" t="str">
        <f ca="1">IF(OR(INDEX($X$2:$X$1001,MATCH(ROWS($W$2:W65),$W$2:$W$1001,0),1)&gt;=100000,INDEX($AD$1005:$AU$1005,1,MATCH(COLUMNS($AD$1006:AH1006),$AD$1006:$AU$1006,0))&gt;=100000), " ",IF(INDEX($AD$2:$AU$1001,MATCH(ROWS($W$2:W65),$W$2:$W$1001,0),MATCH(COLUMNS($AD$1006:AH1006),$AD$1006:$AU$1006,0)), HYPERLINK("#",""), HYPERLINK(CONCATENATE("#metadata!", ADDRESS(INDEX($Y$2:$Y$1001,MATCH(ROWS($W$2:W65),$W$2:$W$1001,0),0), INDEX($AD$1004:$AU$1004,1,MATCH(COLUMNS($AD$1006:AH1006),$AD$1006:$AU$1006,0)))),"Fix")))</f>
        <v xml:space="preserve"> </v>
      </c>
      <c r="G65" s="4" t="str">
        <f ca="1">IF(OR(INDEX($X$2:$X$1001,MATCH(ROWS($W$2:W65),$W$2:$W$1001,0),1)&gt;=100000,INDEX($AD$1005:$AU$1005,1,MATCH(COLUMNS($AD$1006:AI1006),$AD$1006:$AU$1006,0))&gt;=100000), " ",IF(INDEX($AD$2:$AU$1001,MATCH(ROWS($W$2:W65),$W$2:$W$1001,0),MATCH(COLUMNS($AD$1006:AI1006),$AD$1006:$AU$1006,0)), HYPERLINK("#",""), HYPERLINK(CONCATENATE("#metadata!", ADDRESS(INDEX($Y$2:$Y$1001,MATCH(ROWS($W$2:W65),$W$2:$W$1001,0),0), INDEX($AD$1004:$AU$1004,1,MATCH(COLUMNS($AD$1006:AI1006),$AD$1006:$AU$1006,0)))),"Fix")))</f>
        <v xml:space="preserve"> </v>
      </c>
      <c r="H65" s="4" t="str">
        <f ca="1">IF(OR(INDEX($X$2:$X$1001,MATCH(ROWS($W$2:W65),$W$2:$W$1001,0),1)&gt;=100000,INDEX($AD$1005:$AU$1005,1,MATCH(COLUMNS($AD$1006:AJ1006),$AD$1006:$AU$1006,0))&gt;=100000), " ",IF(INDEX($AD$2:$AU$1001,MATCH(ROWS($W$2:W65),$W$2:$W$1001,0),MATCH(COLUMNS($AD$1006:AJ1006),$AD$1006:$AU$1006,0)), HYPERLINK("#",""), HYPERLINK(CONCATENATE("#metadata!", ADDRESS(INDEX($Y$2:$Y$1001,MATCH(ROWS($W$2:W65),$W$2:$W$1001,0),0), INDEX($AD$1004:$AU$1004,1,MATCH(COLUMNS($AD$1006:AJ1006),$AD$1006:$AU$1006,0)))),"Fix")))</f>
        <v xml:space="preserve"> </v>
      </c>
      <c r="I65" s="4" t="str">
        <f ca="1">IF(OR(INDEX($X$2:$X$1001,MATCH(ROWS($W$2:W65),$W$2:$W$1001,0),1)&gt;=100000,INDEX($AD$1005:$AU$1005,1,MATCH(COLUMNS($AD$1006:AK1006),$AD$1006:$AU$1006,0))&gt;=100000), " ",IF(INDEX($AD$2:$AU$1001,MATCH(ROWS($W$2:W65),$W$2:$W$1001,0),MATCH(COLUMNS($AD$1006:AK1006),$AD$1006:$AU$1006,0)), HYPERLINK("#",""), HYPERLINK(CONCATENATE("#metadata!", ADDRESS(INDEX($Y$2:$Y$1001,MATCH(ROWS($W$2:W65),$W$2:$W$1001,0),0), INDEX($AD$1004:$AU$1004,1,MATCH(COLUMNS($AD$1006:AK1006),$AD$1006:$AU$1006,0)))),"Fix")))</f>
        <v xml:space="preserve"> </v>
      </c>
      <c r="J65" s="4" t="str">
        <f ca="1">IF(OR(INDEX($X$2:$X$1001,MATCH(ROWS($W$2:W65),$W$2:$W$1001,0),1)&gt;=100000,INDEX($AD$1005:$AU$1005,1,MATCH(COLUMNS($AD$1006:AL1006),$AD$1006:$AU$1006,0))&gt;=100000), " ",IF(INDEX($AD$2:$AU$1001,MATCH(ROWS($W$2:W65),$W$2:$W$1001,0),MATCH(COLUMNS($AD$1006:AL1006),$AD$1006:$AU$1006,0)), HYPERLINK("#",""), HYPERLINK(CONCATENATE("#metadata!", ADDRESS(INDEX($Y$2:$Y$1001,MATCH(ROWS($W$2:W65),$W$2:$W$1001,0),0), INDEX($AD$1004:$AU$1004,1,MATCH(COLUMNS($AD$1006:AL1006),$AD$1006:$AU$1006,0)))),"Fix")))</f>
        <v xml:space="preserve"> </v>
      </c>
      <c r="K65" s="4" t="str">
        <f ca="1">IF(OR(INDEX($X$2:$X$1001,MATCH(ROWS($W$2:W65),$W$2:$W$1001,0),1)&gt;=100000,INDEX($AD$1005:$AU$1005,1,MATCH(COLUMNS($AD$1006:AM1006),$AD$1006:$AU$1006,0))&gt;=100000), " ",IF(INDEX($AD$2:$AU$1001,MATCH(ROWS($W$2:W65),$W$2:$W$1001,0),MATCH(COLUMNS($AD$1006:AM1006),$AD$1006:$AU$1006,0)), HYPERLINK("#",""), HYPERLINK(CONCATENATE("#metadata!", ADDRESS(INDEX($Y$2:$Y$1001,MATCH(ROWS($W$2:W65),$W$2:$W$1001,0),0), INDEX($AD$1004:$AU$1004,1,MATCH(COLUMNS($AD$1006:AM1006),$AD$1006:$AU$1006,0)))),"Fix")))</f>
        <v xml:space="preserve"> </v>
      </c>
      <c r="L65" s="4" t="str">
        <f ca="1">IF(OR(INDEX($X$2:$X$1001,MATCH(ROWS($W$2:W65),$W$2:$W$1001,0),1)&gt;=100000,INDEX($AD$1005:$AU$1005,1,MATCH(COLUMNS($AD$1006:AN1006),$AD$1006:$AU$1006,0))&gt;=100000), " ",IF(INDEX($AD$2:$AU$1001,MATCH(ROWS($W$2:W65),$W$2:$W$1001,0),MATCH(COLUMNS($AD$1006:AN1006),$AD$1006:$AU$1006,0)), HYPERLINK("#",""), HYPERLINK(CONCATENATE("#metadata!", ADDRESS(INDEX($Y$2:$Y$1001,MATCH(ROWS($W$2:W65),$W$2:$W$1001,0),0), INDEX($AD$1004:$AU$1004,1,MATCH(COLUMNS($AD$1006:AN1006),$AD$1006:$AU$1006,0)))),"Fix")))</f>
        <v xml:space="preserve"> </v>
      </c>
      <c r="M65" s="4" t="str">
        <f ca="1">IF(OR(INDEX($X$2:$X$1001,MATCH(ROWS($W$2:W65),$W$2:$W$1001,0),1)&gt;=100000,INDEX($AD$1005:$AU$1005,1,MATCH(COLUMNS($AD$1006:AO1006),$AD$1006:$AU$1006,0))&gt;=100000), " ",IF(INDEX($AD$2:$AU$1001,MATCH(ROWS($W$2:W65),$W$2:$W$1001,0),MATCH(COLUMNS($AD$1006:AO1006),$AD$1006:$AU$1006,0)), HYPERLINK("#",""), HYPERLINK(CONCATENATE("#metadata!", ADDRESS(INDEX($Y$2:$Y$1001,MATCH(ROWS($W$2:W65),$W$2:$W$1001,0),0), INDEX($AD$1004:$AU$1004,1,MATCH(COLUMNS($AD$1006:AO1006),$AD$1006:$AU$1006,0)))),"Fix")))</f>
        <v xml:space="preserve"> </v>
      </c>
      <c r="N65" s="4" t="str">
        <f ca="1">IF(OR(INDEX($X$2:$X$1001,MATCH(ROWS($W$2:W65),$W$2:$W$1001,0),1)&gt;=100000,INDEX($AD$1005:$AU$1005,1,MATCH(COLUMNS($AD$1006:AP1006),$AD$1006:$AU$1006,0))&gt;=100000), " ",IF(INDEX($AD$2:$AU$1001,MATCH(ROWS($W$2:W65),$W$2:$W$1001,0),MATCH(COLUMNS($AD$1006:AP1006),$AD$1006:$AU$1006,0)), HYPERLINK("#",""), HYPERLINK(CONCATENATE("#metadata!", ADDRESS(INDEX($Y$2:$Y$1001,MATCH(ROWS($W$2:W65),$W$2:$W$1001,0),0), INDEX($AD$1004:$AU$1004,1,MATCH(COLUMNS($AD$1006:AP1006),$AD$1006:$AU$1006,0)))),"Fix")))</f>
        <v xml:space="preserve"> </v>
      </c>
      <c r="O65" s="4" t="str">
        <f ca="1">IF(OR(INDEX($X$2:$X$1001,MATCH(ROWS($W$2:W65),$W$2:$W$1001,0),1)&gt;=100000,INDEX($AD$1005:$AU$1005,1,MATCH(COLUMNS($AD$1006:AQ1006),$AD$1006:$AU$1006,0))&gt;=100000), " ",IF(INDEX($AD$2:$AU$1001,MATCH(ROWS($W$2:W65),$W$2:$W$1001,0),MATCH(COLUMNS($AD$1006:AQ1006),$AD$1006:$AU$1006,0)), HYPERLINK("#",""), HYPERLINK(CONCATENATE("#metadata!", ADDRESS(INDEX($Y$2:$Y$1001,MATCH(ROWS($W$2:W65),$W$2:$W$1001,0),0), INDEX($AD$1004:$AU$1004,1,MATCH(COLUMNS($AD$1006:AQ1006),$AD$1006:$AU$1006,0)))),"Fix")))</f>
        <v xml:space="preserve"> </v>
      </c>
      <c r="P65" s="4" t="str">
        <f ca="1">IF(OR(INDEX($X$2:$X$1001,MATCH(ROWS($W$2:W65),$W$2:$W$1001,0),1)&gt;=100000,INDEX($AD$1005:$AU$1005,1,MATCH(COLUMNS($AD$1006:AR1006),$AD$1006:$AU$1006,0))&gt;=100000), " ",IF(INDEX($AD$2:$AU$1001,MATCH(ROWS($W$2:W65),$W$2:$W$1001,0),MATCH(COLUMNS($AD$1006:AR1006),$AD$1006:$AU$1006,0)), HYPERLINK("#",""), HYPERLINK(CONCATENATE("#metadata!", ADDRESS(INDEX($Y$2:$Y$1001,MATCH(ROWS($W$2:W65),$W$2:$W$1001,0),0), INDEX($AD$1004:$AU$1004,1,MATCH(COLUMNS($AD$1006:AR1006),$AD$1006:$AU$1006,0)))),"Fix")))</f>
        <v xml:space="preserve"> </v>
      </c>
      <c r="Q65" s="4" t="str">
        <f ca="1">IF(OR(INDEX($X$2:$X$1001,MATCH(ROWS($W$2:W65),$W$2:$W$1001,0),1)&gt;=100000,INDEX($AD$1005:$AU$1005,1,MATCH(COLUMNS($AD$1006:AS1006),$AD$1006:$AU$1006,0))&gt;=100000), " ",IF(INDEX($AD$2:$AU$1001,MATCH(ROWS($W$2:W65),$W$2:$W$1001,0),MATCH(COLUMNS($AD$1006:AS1006),$AD$1006:$AU$1006,0)), HYPERLINK("#",""), HYPERLINK(CONCATENATE("#metadata!", ADDRESS(INDEX($Y$2:$Y$1001,MATCH(ROWS($W$2:W65),$W$2:$W$1001,0),0), INDEX($AD$1004:$AU$1004,1,MATCH(COLUMNS($AD$1006:AS1006),$AD$1006:$AU$1006,0)))),"Fix")))</f>
        <v xml:space="preserve"> </v>
      </c>
      <c r="R65" s="4" t="str">
        <f ca="1">IF(OR(INDEX($X$2:$X$1001,MATCH(ROWS($W$2:W65),$W$2:$W$1001,0),1)&gt;=100000,INDEX($AD$1005:$AU$1005,1,MATCH(COLUMNS($AD$1006:AT1006),$AD$1006:$AU$1006,0))&gt;=100000), " ",IF(INDEX($AD$2:$AU$1001,MATCH(ROWS($W$2:W65),$W$2:$W$1001,0),MATCH(COLUMNS($AD$1006:AT1006),$AD$1006:$AU$1006,0)), HYPERLINK("#",""), HYPERLINK(CONCATENATE("#metadata!", ADDRESS(INDEX($Y$2:$Y$1001,MATCH(ROWS($W$2:W65),$W$2:$W$1001,0),0), INDEX($AD$1004:$AU$1004,1,MATCH(COLUMNS($AD$1006:AT1006),$AD$1006:$AU$1006,0)))),"Fix")))</f>
        <v xml:space="preserve"> </v>
      </c>
      <c r="S65" s="4" t="str">
        <f ca="1">IF(OR(INDEX($X$2:$X$1001,MATCH(ROWS($W$2:W65),$W$2:$W$1001,0),1)&gt;=100000,INDEX($AD$1005:$AU$1005,1,MATCH(COLUMNS($AD$1006:AU1006),$AD$1006:$AU$1006,0))&gt;=100000), " ",IF(INDEX($AD$2:$AU$1001,MATCH(ROWS($W$2:W65),$W$2:$W$1001,0),MATCH(COLUMNS($AD$1006:AU1006),$AD$1006:$AU$1006,0)), HYPERLINK("#",""), HYPERLINK(CONCATENATE("#metadata!", ADDRESS(INDEX($Y$2:$Y$1001,MATCH(ROWS($W$2:W65),$W$2:$W$1001,0),0), INDEX($AD$1004:$AU$1004,1,MATCH(COLUMNS($AD$1006:AU1006),$AD$1006:$AU$1006,0)))),"Fix")))</f>
        <v xml:space="preserve"> </v>
      </c>
      <c r="W65">
        <v>64</v>
      </c>
      <c r="X65">
        <v>100065</v>
      </c>
      <c r="Y65">
        <v>65</v>
      </c>
      <c r="Z65" t="b">
        <f t="shared" si="0"/>
        <v>1</v>
      </c>
      <c r="AA65" t="b">
        <f>COUNTBLANK(metadata!B65:S65)=COLUMNS(metadata!B65:S65)</f>
        <v>1</v>
      </c>
      <c r="AB65" t="str">
        <v/>
      </c>
      <c r="AD65" t="b">
        <f ca="1">AND(IF(metadata!B65="",FALSE,TRUE),COUNTIF(metadata!B:B, metadata!B65) = 1,NOT(ISERROR(SUMPRODUCT(SEARCH(MID(metadata!B65,ROW(INDIRECT("1:"&amp;LEN(metadata!B65))), 1),"0123456789abcdefghijklmnopqrstuvwxyzABCDEFGHIJKLMNOPQRSTUVWXYZ.")))))</f>
        <v>0</v>
      </c>
      <c r="AE65" t="b">
        <f>OR(AND(IF(metadata!C65="",FALSE,TRUE),OR(EXACT(metadata!C65,"not applicable"),EXACT(metadata!C65,"missing: not collected"),EXACT(metadata!C65,"missing: not provided"),EXACT(metadata!C65,"missing: restricted access"))),AND(IF(metadata!C65="",FALSE,ISNUMBER(VALUE(metadata!C65))),metadata!C65&gt;0))</f>
        <v>0</v>
      </c>
      <c r="AF65" t="b">
        <f>AND(IF(metadata!D65="",FALSE,TRUE),EXACT(metadata!D65,"missing: not provided"))</f>
        <v>0</v>
      </c>
      <c r="AG65" t="b">
        <f>AND(IF(metadata!E65="",FALSE,TRUE),EXACT(metadata!E65,"Host-associated"))</f>
        <v>0</v>
      </c>
      <c r="AH65" t="b">
        <f>AND(IF(metadata!F65="",FALSE,TRUE),OR(EXACT(metadata!F65,"Animal"),EXACT(metadata!F65,"Fungus"),EXACT(metadata!F65,"Plant")))</f>
        <v>0</v>
      </c>
      <c r="AI65" t="b">
        <f>AND(IF(metadata!G65="",FALSE,TRUE),OR(EXACT(metadata!G65,"Plant secretion"),EXACT(metadata!G65,"Plant rhizosphere"),EXACT(metadata!G65,"Plant surface"),EXACT(metadata!G65,"Plant corpus"),EXACT(metadata!G65,"Fungus surface"),EXACT(metadata!G65,"Fungus corpus"),EXACT(metadata!G65,"Animal surface"),EXACT(metadata!G65,"Animal proximal gut"),EXACT(metadata!G65,"Animal corpus"),EXACT(metadata!G65,"Animal distal gut"),EXACT(metadata!G65,"Animal secretion")))</f>
        <v>0</v>
      </c>
      <c r="AJ65" t="b">
        <f>OR(AND(IF(metadata!H65="",FALSE,TRUE),OR(EXACT(metadata!H65,"missing: not collected"),EXACT(metadata!H65,"missing: not provided"),EXACT(metadata!H65,"missing: restricted access"))),AND(IF(metadata!H65="",FALSE,TRUE),OR(EXACT(metadata!H65,"organism-associated habitat"),EXACT(metadata!H65,"plant-associated habitat"),EXACT(metadata!H65,"animal-associated habitat"),EXACT(metadata!H65,"insecta-associated habitat"),EXACT(metadata!H65,"mammalia-associated habitat"),EXACT(metadata!H65,"human-associated habitat"),EXACT(metadata!H65,"livestock-associated habitat"))))</f>
        <v>0</v>
      </c>
      <c r="AK65" t="b">
        <f>AND(IF(metadata!I65="",FALSE,TRUE),EXACT(metadata!I65,"host-associated"))</f>
        <v>0</v>
      </c>
      <c r="AL65" t="b">
        <f>OR(AND(IF(metadata!J65="",FALSE,TRUE),OR(EXACT(metadata!J65,"not applicable"),EXACT(metadata!J65,"missing: not collected"),EXACT(metadata!J65,"missing: not provided"),EXACT(metadata!J65,"missing: restricted access"))),AND(IF(metadata!J65="",FALSE,ISNUMBER(VALUE(metadata!J65))),metadata!J65&gt;0))</f>
        <v>0</v>
      </c>
      <c r="AM65" t="b">
        <f>AND(IF(metadata!K65="",FALSE,TRUE),EXACT(metadata!K65,"missing: not provided"))</f>
        <v>0</v>
      </c>
      <c r="AN65" t="b">
        <f>IF(metadata!L65="",FALSE,TRUE)</f>
        <v>0</v>
      </c>
      <c r="AO65" t="b">
        <f>IF(metadata!M65="",FALSE,TRUE)</f>
        <v>0</v>
      </c>
      <c r="AP65" t="b">
        <f>OR(AND(IF(metadata!N65="",FALSE,TRUE),OR(EXACT(metadata!N65,"not applicable"),EXACT(metadata!N65,"missing: not collected"),EXACT(metadata!N65,"missing: not provided"))),AND(IF(metadata!N65="",FALSE,IF(ISERROR(INT(metadata!N65)),FALSE,INT(metadata!N65)=metadata!N65)),metadata!N65&gt;0))</f>
        <v>0</v>
      </c>
      <c r="AQ65" t="b">
        <f>AND(IF(metadata!O65="",FALSE,TRUE),EXACT(metadata!O65,"Not applicable"))</f>
        <v>0</v>
      </c>
      <c r="AR65" t="b">
        <f>OR(AND(IF(metadata!P65="",FALSE,TRUE),OR(EXACT(metadata!P65,"not applicable"),EXACT(metadata!P65,"missing: not collected"),EXACT(metadata!P65,"missing: not provided"),EXACT(metadata!P65,"missing: restricted access"))),IF(metadata!P65="",FALSE,IF(ISERROR(INT(metadata!P65)),FALSE,INT(metadata!P65)=metadata!P65)))</f>
        <v>0</v>
      </c>
      <c r="AS65" t="b">
        <f>AND(IF(metadata!Q65="",FALSE,TRUE),EXACT(metadata!Q65,"Not applicable"))</f>
        <v>0</v>
      </c>
      <c r="AT65" t="b">
        <f>OR(AND(IF(metadata!R65="",FALSE,TRUE),OR(EXACT(metadata!R65,"not applicable"),EXACT(metadata!R65,"missing: not collected"),EXACT(metadata!R65,"missing: not provided"),EXACT(metadata!R65,"missing: restricted access"))),AND(IF(metadata!R65="",FALSE,ISNUMBER(VALUE(metadata!R65))),metadata!R65&gt;0))</f>
        <v>0</v>
      </c>
      <c r="AU65" t="b">
        <f>AND(IF(metadata!S65="",FALSE,TRUE),EXACT(metadata!S65,"missing: not provided"))</f>
        <v>0</v>
      </c>
    </row>
    <row r="66" spans="1:47" x14ac:dyDescent="0.2">
      <c r="A66" s="5" t="str">
        <f ca="1">IF(B66=" "," ",HYPERLINK(CONCATENATE("#metadata!",ADDRESS(INDEX($Y$2:$Y$1001,MATCH(ROWS($W$2:W66),$W$2:$W$1001,0),0),1)),INDEX($AB$2:$AB$1001,MATCH(ROWS($W$2:W66),$W$2:$W$1001,0),0)))</f>
        <v xml:space="preserve"> </v>
      </c>
      <c r="B66" s="4" t="str">
        <f ca="1">IF(OR(INDEX($X$2:$X$1001,MATCH(ROWS($W$2:W66),$W$2:$W$1001,0),1)&gt;=100000,INDEX($AD$1005:$AU$1005,1,MATCH(COLUMNS($AD$1006:AD1006),$AD$1006:$AU$1006,0))&gt;=100000), " ",IF(INDEX($AD$2:$AU$1001,MATCH(ROWS($W$2:W66),$W$2:$W$1001,0),MATCH(COLUMNS($AD$1006:AD1006),$AD$1006:$AU$1006,0)), HYPERLINK("#",""), HYPERLINK(CONCATENATE("#metadata!", ADDRESS(INDEX($Y$2:$Y$1001,MATCH(ROWS($W$2:W66),$W$2:$W$1001,0),0), INDEX($AD$1004:$AU$1004,1,MATCH(COLUMNS($AD$1006:AD1006),$AD$1006:$AU$1006,0)))),"Fix")))</f>
        <v xml:space="preserve"> </v>
      </c>
      <c r="C66" s="4" t="str">
        <f ca="1">IF(OR(INDEX($X$2:$X$1001,MATCH(ROWS($W$2:W66),$W$2:$W$1001,0),1)&gt;=100000,INDEX($AD$1005:$AU$1005,1,MATCH(COLUMNS($AD$1006:AE1006),$AD$1006:$AU$1006,0))&gt;=100000), " ",IF(INDEX($AD$2:$AU$1001,MATCH(ROWS($W$2:W66),$W$2:$W$1001,0),MATCH(COLUMNS($AD$1006:AE1006),$AD$1006:$AU$1006,0)), HYPERLINK("#",""), HYPERLINK(CONCATENATE("#metadata!", ADDRESS(INDEX($Y$2:$Y$1001,MATCH(ROWS($W$2:W66),$W$2:$W$1001,0),0), INDEX($AD$1004:$AU$1004,1,MATCH(COLUMNS($AD$1006:AE1006),$AD$1006:$AU$1006,0)))),"Fix")))</f>
        <v xml:space="preserve"> </v>
      </c>
      <c r="D66" s="4" t="str">
        <f ca="1">IF(OR(INDEX($X$2:$X$1001,MATCH(ROWS($W$2:W66),$W$2:$W$1001,0),1)&gt;=100000,INDEX($AD$1005:$AU$1005,1,MATCH(COLUMNS($AD$1006:AF1006),$AD$1006:$AU$1006,0))&gt;=100000), " ",IF(INDEX($AD$2:$AU$1001,MATCH(ROWS($W$2:W66),$W$2:$W$1001,0),MATCH(COLUMNS($AD$1006:AF1006),$AD$1006:$AU$1006,0)), HYPERLINK("#",""), HYPERLINK(CONCATENATE("#metadata!", ADDRESS(INDEX($Y$2:$Y$1001,MATCH(ROWS($W$2:W66),$W$2:$W$1001,0),0), INDEX($AD$1004:$AU$1004,1,MATCH(COLUMNS($AD$1006:AF1006),$AD$1006:$AU$1006,0)))),"Fix")))</f>
        <v xml:space="preserve"> </v>
      </c>
      <c r="E66" s="4" t="str">
        <f ca="1">IF(OR(INDEX($X$2:$X$1001,MATCH(ROWS($W$2:W66),$W$2:$W$1001,0),1)&gt;=100000,INDEX($AD$1005:$AU$1005,1,MATCH(COLUMNS($AD$1006:AG1006),$AD$1006:$AU$1006,0))&gt;=100000), " ",IF(INDEX($AD$2:$AU$1001,MATCH(ROWS($W$2:W66),$W$2:$W$1001,0),MATCH(COLUMNS($AD$1006:AG1006),$AD$1006:$AU$1006,0)), HYPERLINK("#",""), HYPERLINK(CONCATENATE("#metadata!", ADDRESS(INDEX($Y$2:$Y$1001,MATCH(ROWS($W$2:W66),$W$2:$W$1001,0),0), INDEX($AD$1004:$AU$1004,1,MATCH(COLUMNS($AD$1006:AG1006),$AD$1006:$AU$1006,0)))),"Fix")))</f>
        <v xml:space="preserve"> </v>
      </c>
      <c r="F66" s="4" t="str">
        <f ca="1">IF(OR(INDEX($X$2:$X$1001,MATCH(ROWS($W$2:W66),$W$2:$W$1001,0),1)&gt;=100000,INDEX($AD$1005:$AU$1005,1,MATCH(COLUMNS($AD$1006:AH1006),$AD$1006:$AU$1006,0))&gt;=100000), " ",IF(INDEX($AD$2:$AU$1001,MATCH(ROWS($W$2:W66),$W$2:$W$1001,0),MATCH(COLUMNS($AD$1006:AH1006),$AD$1006:$AU$1006,0)), HYPERLINK("#",""), HYPERLINK(CONCATENATE("#metadata!", ADDRESS(INDEX($Y$2:$Y$1001,MATCH(ROWS($W$2:W66),$W$2:$W$1001,0),0), INDEX($AD$1004:$AU$1004,1,MATCH(COLUMNS($AD$1006:AH1006),$AD$1006:$AU$1006,0)))),"Fix")))</f>
        <v xml:space="preserve"> </v>
      </c>
      <c r="G66" s="4" t="str">
        <f ca="1">IF(OR(INDEX($X$2:$X$1001,MATCH(ROWS($W$2:W66),$W$2:$W$1001,0),1)&gt;=100000,INDEX($AD$1005:$AU$1005,1,MATCH(COLUMNS($AD$1006:AI1006),$AD$1006:$AU$1006,0))&gt;=100000), " ",IF(INDEX($AD$2:$AU$1001,MATCH(ROWS($W$2:W66),$W$2:$W$1001,0),MATCH(COLUMNS($AD$1006:AI1006),$AD$1006:$AU$1006,0)), HYPERLINK("#",""), HYPERLINK(CONCATENATE("#metadata!", ADDRESS(INDEX($Y$2:$Y$1001,MATCH(ROWS($W$2:W66),$W$2:$W$1001,0),0), INDEX($AD$1004:$AU$1004,1,MATCH(COLUMNS($AD$1006:AI1006),$AD$1006:$AU$1006,0)))),"Fix")))</f>
        <v xml:space="preserve"> </v>
      </c>
      <c r="H66" s="4" t="str">
        <f ca="1">IF(OR(INDEX($X$2:$X$1001,MATCH(ROWS($W$2:W66),$W$2:$W$1001,0),1)&gt;=100000,INDEX($AD$1005:$AU$1005,1,MATCH(COLUMNS($AD$1006:AJ1006),$AD$1006:$AU$1006,0))&gt;=100000), " ",IF(INDEX($AD$2:$AU$1001,MATCH(ROWS($W$2:W66),$W$2:$W$1001,0),MATCH(COLUMNS($AD$1006:AJ1006),$AD$1006:$AU$1006,0)), HYPERLINK("#",""), HYPERLINK(CONCATENATE("#metadata!", ADDRESS(INDEX($Y$2:$Y$1001,MATCH(ROWS($W$2:W66),$W$2:$W$1001,0),0), INDEX($AD$1004:$AU$1004,1,MATCH(COLUMNS($AD$1006:AJ1006),$AD$1006:$AU$1006,0)))),"Fix")))</f>
        <v xml:space="preserve"> </v>
      </c>
      <c r="I66" s="4" t="str">
        <f ca="1">IF(OR(INDEX($X$2:$X$1001,MATCH(ROWS($W$2:W66),$W$2:$W$1001,0),1)&gt;=100000,INDEX($AD$1005:$AU$1005,1,MATCH(COLUMNS($AD$1006:AK1006),$AD$1006:$AU$1006,0))&gt;=100000), " ",IF(INDEX($AD$2:$AU$1001,MATCH(ROWS($W$2:W66),$W$2:$W$1001,0),MATCH(COLUMNS($AD$1006:AK1006),$AD$1006:$AU$1006,0)), HYPERLINK("#",""), HYPERLINK(CONCATENATE("#metadata!", ADDRESS(INDEX($Y$2:$Y$1001,MATCH(ROWS($W$2:W66),$W$2:$W$1001,0),0), INDEX($AD$1004:$AU$1004,1,MATCH(COLUMNS($AD$1006:AK1006),$AD$1006:$AU$1006,0)))),"Fix")))</f>
        <v xml:space="preserve"> </v>
      </c>
      <c r="J66" s="4" t="str">
        <f ca="1">IF(OR(INDEX($X$2:$X$1001,MATCH(ROWS($W$2:W66),$W$2:$W$1001,0),1)&gt;=100000,INDEX($AD$1005:$AU$1005,1,MATCH(COLUMNS($AD$1006:AL1006),$AD$1006:$AU$1006,0))&gt;=100000), " ",IF(INDEX($AD$2:$AU$1001,MATCH(ROWS($W$2:W66),$W$2:$W$1001,0),MATCH(COLUMNS($AD$1006:AL1006),$AD$1006:$AU$1006,0)), HYPERLINK("#",""), HYPERLINK(CONCATENATE("#metadata!", ADDRESS(INDEX($Y$2:$Y$1001,MATCH(ROWS($W$2:W66),$W$2:$W$1001,0),0), INDEX($AD$1004:$AU$1004,1,MATCH(COLUMNS($AD$1006:AL1006),$AD$1006:$AU$1006,0)))),"Fix")))</f>
        <v xml:space="preserve"> </v>
      </c>
      <c r="K66" s="4" t="str">
        <f ca="1">IF(OR(INDEX($X$2:$X$1001,MATCH(ROWS($W$2:W66),$W$2:$W$1001,0),1)&gt;=100000,INDEX($AD$1005:$AU$1005,1,MATCH(COLUMNS($AD$1006:AM1006),$AD$1006:$AU$1006,0))&gt;=100000), " ",IF(INDEX($AD$2:$AU$1001,MATCH(ROWS($W$2:W66),$W$2:$W$1001,0),MATCH(COLUMNS($AD$1006:AM1006),$AD$1006:$AU$1006,0)), HYPERLINK("#",""), HYPERLINK(CONCATENATE("#metadata!", ADDRESS(INDEX($Y$2:$Y$1001,MATCH(ROWS($W$2:W66),$W$2:$W$1001,0),0), INDEX($AD$1004:$AU$1004,1,MATCH(COLUMNS($AD$1006:AM1006),$AD$1006:$AU$1006,0)))),"Fix")))</f>
        <v xml:space="preserve"> </v>
      </c>
      <c r="L66" s="4" t="str">
        <f ca="1">IF(OR(INDEX($X$2:$X$1001,MATCH(ROWS($W$2:W66),$W$2:$W$1001,0),1)&gt;=100000,INDEX($AD$1005:$AU$1005,1,MATCH(COLUMNS($AD$1006:AN1006),$AD$1006:$AU$1006,0))&gt;=100000), " ",IF(INDEX($AD$2:$AU$1001,MATCH(ROWS($W$2:W66),$W$2:$W$1001,0),MATCH(COLUMNS($AD$1006:AN1006),$AD$1006:$AU$1006,0)), HYPERLINK("#",""), HYPERLINK(CONCATENATE("#metadata!", ADDRESS(INDEX($Y$2:$Y$1001,MATCH(ROWS($W$2:W66),$W$2:$W$1001,0),0), INDEX($AD$1004:$AU$1004,1,MATCH(COLUMNS($AD$1006:AN1006),$AD$1006:$AU$1006,0)))),"Fix")))</f>
        <v xml:space="preserve"> </v>
      </c>
      <c r="M66" s="4" t="str">
        <f ca="1">IF(OR(INDEX($X$2:$X$1001,MATCH(ROWS($W$2:W66),$W$2:$W$1001,0),1)&gt;=100000,INDEX($AD$1005:$AU$1005,1,MATCH(COLUMNS($AD$1006:AO1006),$AD$1006:$AU$1006,0))&gt;=100000), " ",IF(INDEX($AD$2:$AU$1001,MATCH(ROWS($W$2:W66),$W$2:$W$1001,0),MATCH(COLUMNS($AD$1006:AO1006),$AD$1006:$AU$1006,0)), HYPERLINK("#",""), HYPERLINK(CONCATENATE("#metadata!", ADDRESS(INDEX($Y$2:$Y$1001,MATCH(ROWS($W$2:W66),$W$2:$W$1001,0),0), INDEX($AD$1004:$AU$1004,1,MATCH(COLUMNS($AD$1006:AO1006),$AD$1006:$AU$1006,0)))),"Fix")))</f>
        <v xml:space="preserve"> </v>
      </c>
      <c r="N66" s="4" t="str">
        <f ca="1">IF(OR(INDEX($X$2:$X$1001,MATCH(ROWS($W$2:W66),$W$2:$W$1001,0),1)&gt;=100000,INDEX($AD$1005:$AU$1005,1,MATCH(COLUMNS($AD$1006:AP1006),$AD$1006:$AU$1006,0))&gt;=100000), " ",IF(INDEX($AD$2:$AU$1001,MATCH(ROWS($W$2:W66),$W$2:$W$1001,0),MATCH(COLUMNS($AD$1006:AP1006),$AD$1006:$AU$1006,0)), HYPERLINK("#",""), HYPERLINK(CONCATENATE("#metadata!", ADDRESS(INDEX($Y$2:$Y$1001,MATCH(ROWS($W$2:W66),$W$2:$W$1001,0),0), INDEX($AD$1004:$AU$1004,1,MATCH(COLUMNS($AD$1006:AP1006),$AD$1006:$AU$1006,0)))),"Fix")))</f>
        <v xml:space="preserve"> </v>
      </c>
      <c r="O66" s="4" t="str">
        <f ca="1">IF(OR(INDEX($X$2:$X$1001,MATCH(ROWS($W$2:W66),$W$2:$W$1001,0),1)&gt;=100000,INDEX($AD$1005:$AU$1005,1,MATCH(COLUMNS($AD$1006:AQ1006),$AD$1006:$AU$1006,0))&gt;=100000), " ",IF(INDEX($AD$2:$AU$1001,MATCH(ROWS($W$2:W66),$W$2:$W$1001,0),MATCH(COLUMNS($AD$1006:AQ1006),$AD$1006:$AU$1006,0)), HYPERLINK("#",""), HYPERLINK(CONCATENATE("#metadata!", ADDRESS(INDEX($Y$2:$Y$1001,MATCH(ROWS($W$2:W66),$W$2:$W$1001,0),0), INDEX($AD$1004:$AU$1004,1,MATCH(COLUMNS($AD$1006:AQ1006),$AD$1006:$AU$1006,0)))),"Fix")))</f>
        <v xml:space="preserve"> </v>
      </c>
      <c r="P66" s="4" t="str">
        <f ca="1">IF(OR(INDEX($X$2:$X$1001,MATCH(ROWS($W$2:W66),$W$2:$W$1001,0),1)&gt;=100000,INDEX($AD$1005:$AU$1005,1,MATCH(COLUMNS($AD$1006:AR1006),$AD$1006:$AU$1006,0))&gt;=100000), " ",IF(INDEX($AD$2:$AU$1001,MATCH(ROWS($W$2:W66),$W$2:$W$1001,0),MATCH(COLUMNS($AD$1006:AR1006),$AD$1006:$AU$1006,0)), HYPERLINK("#",""), HYPERLINK(CONCATENATE("#metadata!", ADDRESS(INDEX($Y$2:$Y$1001,MATCH(ROWS($W$2:W66),$W$2:$W$1001,0),0), INDEX($AD$1004:$AU$1004,1,MATCH(COLUMNS($AD$1006:AR1006),$AD$1006:$AU$1006,0)))),"Fix")))</f>
        <v xml:space="preserve"> </v>
      </c>
      <c r="Q66" s="4" t="str">
        <f ca="1">IF(OR(INDEX($X$2:$X$1001,MATCH(ROWS($W$2:W66),$W$2:$W$1001,0),1)&gt;=100000,INDEX($AD$1005:$AU$1005,1,MATCH(COLUMNS($AD$1006:AS1006),$AD$1006:$AU$1006,0))&gt;=100000), " ",IF(INDEX($AD$2:$AU$1001,MATCH(ROWS($W$2:W66),$W$2:$W$1001,0),MATCH(COLUMNS($AD$1006:AS1006),$AD$1006:$AU$1006,0)), HYPERLINK("#",""), HYPERLINK(CONCATENATE("#metadata!", ADDRESS(INDEX($Y$2:$Y$1001,MATCH(ROWS($W$2:W66),$W$2:$W$1001,0),0), INDEX($AD$1004:$AU$1004,1,MATCH(COLUMNS($AD$1006:AS1006),$AD$1006:$AU$1006,0)))),"Fix")))</f>
        <v xml:space="preserve"> </v>
      </c>
      <c r="R66" s="4" t="str">
        <f ca="1">IF(OR(INDEX($X$2:$X$1001,MATCH(ROWS($W$2:W66),$W$2:$W$1001,0),1)&gt;=100000,INDEX($AD$1005:$AU$1005,1,MATCH(COLUMNS($AD$1006:AT1006),$AD$1006:$AU$1006,0))&gt;=100000), " ",IF(INDEX($AD$2:$AU$1001,MATCH(ROWS($W$2:W66),$W$2:$W$1001,0),MATCH(COLUMNS($AD$1006:AT1006),$AD$1006:$AU$1006,0)), HYPERLINK("#",""), HYPERLINK(CONCATENATE("#metadata!", ADDRESS(INDEX($Y$2:$Y$1001,MATCH(ROWS($W$2:W66),$W$2:$W$1001,0),0), INDEX($AD$1004:$AU$1004,1,MATCH(COLUMNS($AD$1006:AT1006),$AD$1006:$AU$1006,0)))),"Fix")))</f>
        <v xml:space="preserve"> </v>
      </c>
      <c r="S66" s="4" t="str">
        <f ca="1">IF(OR(INDEX($X$2:$X$1001,MATCH(ROWS($W$2:W66),$W$2:$W$1001,0),1)&gt;=100000,INDEX($AD$1005:$AU$1005,1,MATCH(COLUMNS($AD$1006:AU1006),$AD$1006:$AU$1006,0))&gt;=100000), " ",IF(INDEX($AD$2:$AU$1001,MATCH(ROWS($W$2:W66),$W$2:$W$1001,0),MATCH(COLUMNS($AD$1006:AU1006),$AD$1006:$AU$1006,0)), HYPERLINK("#",""), HYPERLINK(CONCATENATE("#metadata!", ADDRESS(INDEX($Y$2:$Y$1001,MATCH(ROWS($W$2:W66),$W$2:$W$1001,0),0), INDEX($AD$1004:$AU$1004,1,MATCH(COLUMNS($AD$1006:AU1006),$AD$1006:$AU$1006,0)))),"Fix")))</f>
        <v xml:space="preserve"> </v>
      </c>
      <c r="W66">
        <v>65</v>
      </c>
      <c r="X66">
        <v>100066</v>
      </c>
      <c r="Y66">
        <v>66</v>
      </c>
      <c r="Z66" t="b">
        <f t="shared" ref="Z66:Z129" si="1">IF(AA66,TRUE,AND(AD66:AU66))</f>
        <v>1</v>
      </c>
      <c r="AA66" t="b">
        <f>COUNTBLANK(metadata!B66:S66)=COLUMNS(metadata!B66:S66)</f>
        <v>1</v>
      </c>
      <c r="AB66" t="str">
        <v/>
      </c>
      <c r="AD66" t="b">
        <f ca="1">AND(IF(metadata!B66="",FALSE,TRUE),COUNTIF(metadata!B:B, metadata!B66) = 1,NOT(ISERROR(SUMPRODUCT(SEARCH(MID(metadata!B66,ROW(INDIRECT("1:"&amp;LEN(metadata!B66))), 1),"0123456789abcdefghijklmnopqrstuvwxyzABCDEFGHIJKLMNOPQRSTUVWXYZ.")))))</f>
        <v>0</v>
      </c>
      <c r="AE66" t="b">
        <f>OR(AND(IF(metadata!C66="",FALSE,TRUE),OR(EXACT(metadata!C66,"not applicable"),EXACT(metadata!C66,"missing: not collected"),EXACT(metadata!C66,"missing: not provided"),EXACT(metadata!C66,"missing: restricted access"))),AND(IF(metadata!C66="",FALSE,ISNUMBER(VALUE(metadata!C66))),metadata!C66&gt;0))</f>
        <v>0</v>
      </c>
      <c r="AF66" t="b">
        <f>AND(IF(metadata!D66="",FALSE,TRUE),EXACT(metadata!D66,"missing: not provided"))</f>
        <v>0</v>
      </c>
      <c r="AG66" t="b">
        <f>AND(IF(metadata!E66="",FALSE,TRUE),EXACT(metadata!E66,"Host-associated"))</f>
        <v>0</v>
      </c>
      <c r="AH66" t="b">
        <f>AND(IF(metadata!F66="",FALSE,TRUE),OR(EXACT(metadata!F66,"Animal"),EXACT(metadata!F66,"Fungus"),EXACT(metadata!F66,"Plant")))</f>
        <v>0</v>
      </c>
      <c r="AI66" t="b">
        <f>AND(IF(metadata!G66="",FALSE,TRUE),OR(EXACT(metadata!G66,"Plant secretion"),EXACT(metadata!G66,"Plant rhizosphere"),EXACT(metadata!G66,"Plant surface"),EXACT(metadata!G66,"Plant corpus"),EXACT(metadata!G66,"Fungus surface"),EXACT(metadata!G66,"Fungus corpus"),EXACT(metadata!G66,"Animal surface"),EXACT(metadata!G66,"Animal proximal gut"),EXACT(metadata!G66,"Animal corpus"),EXACT(metadata!G66,"Animal distal gut"),EXACT(metadata!G66,"Animal secretion")))</f>
        <v>0</v>
      </c>
      <c r="AJ66" t="b">
        <f>OR(AND(IF(metadata!H66="",FALSE,TRUE),OR(EXACT(metadata!H66,"missing: not collected"),EXACT(metadata!H66,"missing: not provided"),EXACT(metadata!H66,"missing: restricted access"))),AND(IF(metadata!H66="",FALSE,TRUE),OR(EXACT(metadata!H66,"organism-associated habitat"),EXACT(metadata!H66,"plant-associated habitat"),EXACT(metadata!H66,"animal-associated habitat"),EXACT(metadata!H66,"insecta-associated habitat"),EXACT(metadata!H66,"mammalia-associated habitat"),EXACT(metadata!H66,"human-associated habitat"),EXACT(metadata!H66,"livestock-associated habitat"))))</f>
        <v>0</v>
      </c>
      <c r="AK66" t="b">
        <f>AND(IF(metadata!I66="",FALSE,TRUE),EXACT(metadata!I66,"host-associated"))</f>
        <v>0</v>
      </c>
      <c r="AL66" t="b">
        <f>OR(AND(IF(metadata!J66="",FALSE,TRUE),OR(EXACT(metadata!J66,"not applicable"),EXACT(metadata!J66,"missing: not collected"),EXACT(metadata!J66,"missing: not provided"),EXACT(metadata!J66,"missing: restricted access"))),AND(IF(metadata!J66="",FALSE,ISNUMBER(VALUE(metadata!J66))),metadata!J66&gt;0))</f>
        <v>0</v>
      </c>
      <c r="AM66" t="b">
        <f>AND(IF(metadata!K66="",FALSE,TRUE),EXACT(metadata!K66,"missing: not provided"))</f>
        <v>0</v>
      </c>
      <c r="AN66" t="b">
        <f>IF(metadata!L66="",FALSE,TRUE)</f>
        <v>0</v>
      </c>
      <c r="AO66" t="b">
        <f>IF(metadata!M66="",FALSE,TRUE)</f>
        <v>0</v>
      </c>
      <c r="AP66" t="b">
        <f>OR(AND(IF(metadata!N66="",FALSE,TRUE),OR(EXACT(metadata!N66,"not applicable"),EXACT(metadata!N66,"missing: not collected"),EXACT(metadata!N66,"missing: not provided"))),AND(IF(metadata!N66="",FALSE,IF(ISERROR(INT(metadata!N66)),FALSE,INT(metadata!N66)=metadata!N66)),metadata!N66&gt;0))</f>
        <v>0</v>
      </c>
      <c r="AQ66" t="b">
        <f>AND(IF(metadata!O66="",FALSE,TRUE),EXACT(metadata!O66,"Not applicable"))</f>
        <v>0</v>
      </c>
      <c r="AR66" t="b">
        <f>OR(AND(IF(metadata!P66="",FALSE,TRUE),OR(EXACT(metadata!P66,"not applicable"),EXACT(metadata!P66,"missing: not collected"),EXACT(metadata!P66,"missing: not provided"),EXACT(metadata!P66,"missing: restricted access"))),IF(metadata!P66="",FALSE,IF(ISERROR(INT(metadata!P66)),FALSE,INT(metadata!P66)=metadata!P66)))</f>
        <v>0</v>
      </c>
      <c r="AS66" t="b">
        <f>AND(IF(metadata!Q66="",FALSE,TRUE),EXACT(metadata!Q66,"Not applicable"))</f>
        <v>0</v>
      </c>
      <c r="AT66" t="b">
        <f>OR(AND(IF(metadata!R66="",FALSE,TRUE),OR(EXACT(metadata!R66,"not applicable"),EXACT(metadata!R66,"missing: not collected"),EXACT(metadata!R66,"missing: not provided"),EXACT(metadata!R66,"missing: restricted access"))),AND(IF(metadata!R66="",FALSE,ISNUMBER(VALUE(metadata!R66))),metadata!R66&gt;0))</f>
        <v>0</v>
      </c>
      <c r="AU66" t="b">
        <f>AND(IF(metadata!S66="",FALSE,TRUE),EXACT(metadata!S66,"missing: not provided"))</f>
        <v>0</v>
      </c>
    </row>
    <row r="67" spans="1:47" x14ac:dyDescent="0.2">
      <c r="A67" s="5" t="str">
        <f ca="1">IF(B67=" "," ",HYPERLINK(CONCATENATE("#metadata!",ADDRESS(INDEX($Y$2:$Y$1001,MATCH(ROWS($W$2:W67),$W$2:$W$1001,0),0),1)),INDEX($AB$2:$AB$1001,MATCH(ROWS($W$2:W67),$W$2:$W$1001,0),0)))</f>
        <v xml:space="preserve"> </v>
      </c>
      <c r="B67" s="4" t="str">
        <f ca="1">IF(OR(INDEX($X$2:$X$1001,MATCH(ROWS($W$2:W67),$W$2:$W$1001,0),1)&gt;=100000,INDEX($AD$1005:$AU$1005,1,MATCH(COLUMNS($AD$1006:AD1006),$AD$1006:$AU$1006,0))&gt;=100000), " ",IF(INDEX($AD$2:$AU$1001,MATCH(ROWS($W$2:W67),$W$2:$W$1001,0),MATCH(COLUMNS($AD$1006:AD1006),$AD$1006:$AU$1006,0)), HYPERLINK("#",""), HYPERLINK(CONCATENATE("#metadata!", ADDRESS(INDEX($Y$2:$Y$1001,MATCH(ROWS($W$2:W67),$W$2:$W$1001,0),0), INDEX($AD$1004:$AU$1004,1,MATCH(COLUMNS($AD$1006:AD1006),$AD$1006:$AU$1006,0)))),"Fix")))</f>
        <v xml:space="preserve"> </v>
      </c>
      <c r="C67" s="4" t="str">
        <f ca="1">IF(OR(INDEX($X$2:$X$1001,MATCH(ROWS($W$2:W67),$W$2:$W$1001,0),1)&gt;=100000,INDEX($AD$1005:$AU$1005,1,MATCH(COLUMNS($AD$1006:AE1006),$AD$1006:$AU$1006,0))&gt;=100000), " ",IF(INDEX($AD$2:$AU$1001,MATCH(ROWS($W$2:W67),$W$2:$W$1001,0),MATCH(COLUMNS($AD$1006:AE1006),$AD$1006:$AU$1006,0)), HYPERLINK("#",""), HYPERLINK(CONCATENATE("#metadata!", ADDRESS(INDEX($Y$2:$Y$1001,MATCH(ROWS($W$2:W67),$W$2:$W$1001,0),0), INDEX($AD$1004:$AU$1004,1,MATCH(COLUMNS($AD$1006:AE1006),$AD$1006:$AU$1006,0)))),"Fix")))</f>
        <v xml:space="preserve"> </v>
      </c>
      <c r="D67" s="4" t="str">
        <f ca="1">IF(OR(INDEX($X$2:$X$1001,MATCH(ROWS($W$2:W67),$W$2:$W$1001,0),1)&gt;=100000,INDEX($AD$1005:$AU$1005,1,MATCH(COLUMNS($AD$1006:AF1006),$AD$1006:$AU$1006,0))&gt;=100000), " ",IF(INDEX($AD$2:$AU$1001,MATCH(ROWS($W$2:W67),$W$2:$W$1001,0),MATCH(COLUMNS($AD$1006:AF1006),$AD$1006:$AU$1006,0)), HYPERLINK("#",""), HYPERLINK(CONCATENATE("#metadata!", ADDRESS(INDEX($Y$2:$Y$1001,MATCH(ROWS($W$2:W67),$W$2:$W$1001,0),0), INDEX($AD$1004:$AU$1004,1,MATCH(COLUMNS($AD$1006:AF1006),$AD$1006:$AU$1006,0)))),"Fix")))</f>
        <v xml:space="preserve"> </v>
      </c>
      <c r="E67" s="4" t="str">
        <f ca="1">IF(OR(INDEX($X$2:$X$1001,MATCH(ROWS($W$2:W67),$W$2:$W$1001,0),1)&gt;=100000,INDEX($AD$1005:$AU$1005,1,MATCH(COLUMNS($AD$1006:AG1006),$AD$1006:$AU$1006,0))&gt;=100000), " ",IF(INDEX($AD$2:$AU$1001,MATCH(ROWS($W$2:W67),$W$2:$W$1001,0),MATCH(COLUMNS($AD$1006:AG1006),$AD$1006:$AU$1006,0)), HYPERLINK("#",""), HYPERLINK(CONCATENATE("#metadata!", ADDRESS(INDEX($Y$2:$Y$1001,MATCH(ROWS($W$2:W67),$W$2:$W$1001,0),0), INDEX($AD$1004:$AU$1004,1,MATCH(COLUMNS($AD$1006:AG1006),$AD$1006:$AU$1006,0)))),"Fix")))</f>
        <v xml:space="preserve"> </v>
      </c>
      <c r="F67" s="4" t="str">
        <f ca="1">IF(OR(INDEX($X$2:$X$1001,MATCH(ROWS($W$2:W67),$W$2:$W$1001,0),1)&gt;=100000,INDEX($AD$1005:$AU$1005,1,MATCH(COLUMNS($AD$1006:AH1006),$AD$1006:$AU$1006,0))&gt;=100000), " ",IF(INDEX($AD$2:$AU$1001,MATCH(ROWS($W$2:W67),$W$2:$W$1001,0),MATCH(COLUMNS($AD$1006:AH1006),$AD$1006:$AU$1006,0)), HYPERLINK("#",""), HYPERLINK(CONCATENATE("#metadata!", ADDRESS(INDEX($Y$2:$Y$1001,MATCH(ROWS($W$2:W67),$W$2:$W$1001,0),0), INDEX($AD$1004:$AU$1004,1,MATCH(COLUMNS($AD$1006:AH1006),$AD$1006:$AU$1006,0)))),"Fix")))</f>
        <v xml:space="preserve"> </v>
      </c>
      <c r="G67" s="4" t="str">
        <f ca="1">IF(OR(INDEX($X$2:$X$1001,MATCH(ROWS($W$2:W67),$W$2:$W$1001,0),1)&gt;=100000,INDEX($AD$1005:$AU$1005,1,MATCH(COLUMNS($AD$1006:AI1006),$AD$1006:$AU$1006,0))&gt;=100000), " ",IF(INDEX($AD$2:$AU$1001,MATCH(ROWS($W$2:W67),$W$2:$W$1001,0),MATCH(COLUMNS($AD$1006:AI1006),$AD$1006:$AU$1006,0)), HYPERLINK("#",""), HYPERLINK(CONCATENATE("#metadata!", ADDRESS(INDEX($Y$2:$Y$1001,MATCH(ROWS($W$2:W67),$W$2:$W$1001,0),0), INDEX($AD$1004:$AU$1004,1,MATCH(COLUMNS($AD$1006:AI1006),$AD$1006:$AU$1006,0)))),"Fix")))</f>
        <v xml:space="preserve"> </v>
      </c>
      <c r="H67" s="4" t="str">
        <f ca="1">IF(OR(INDEX($X$2:$X$1001,MATCH(ROWS($W$2:W67),$W$2:$W$1001,0),1)&gt;=100000,INDEX($AD$1005:$AU$1005,1,MATCH(COLUMNS($AD$1006:AJ1006),$AD$1006:$AU$1006,0))&gt;=100000), " ",IF(INDEX($AD$2:$AU$1001,MATCH(ROWS($W$2:W67),$W$2:$W$1001,0),MATCH(COLUMNS($AD$1006:AJ1006),$AD$1006:$AU$1006,0)), HYPERLINK("#",""), HYPERLINK(CONCATENATE("#metadata!", ADDRESS(INDEX($Y$2:$Y$1001,MATCH(ROWS($W$2:W67),$W$2:$W$1001,0),0), INDEX($AD$1004:$AU$1004,1,MATCH(COLUMNS($AD$1006:AJ1006),$AD$1006:$AU$1006,0)))),"Fix")))</f>
        <v xml:space="preserve"> </v>
      </c>
      <c r="I67" s="4" t="str">
        <f ca="1">IF(OR(INDEX($X$2:$X$1001,MATCH(ROWS($W$2:W67),$W$2:$W$1001,0),1)&gt;=100000,INDEX($AD$1005:$AU$1005,1,MATCH(COLUMNS($AD$1006:AK1006),$AD$1006:$AU$1006,0))&gt;=100000), " ",IF(INDEX($AD$2:$AU$1001,MATCH(ROWS($W$2:W67),$W$2:$W$1001,0),MATCH(COLUMNS($AD$1006:AK1006),$AD$1006:$AU$1006,0)), HYPERLINK("#",""), HYPERLINK(CONCATENATE("#metadata!", ADDRESS(INDEX($Y$2:$Y$1001,MATCH(ROWS($W$2:W67),$W$2:$W$1001,0),0), INDEX($AD$1004:$AU$1004,1,MATCH(COLUMNS($AD$1006:AK1006),$AD$1006:$AU$1006,0)))),"Fix")))</f>
        <v xml:space="preserve"> </v>
      </c>
      <c r="J67" s="4" t="str">
        <f ca="1">IF(OR(INDEX($X$2:$X$1001,MATCH(ROWS($W$2:W67),$W$2:$W$1001,0),1)&gt;=100000,INDEX($AD$1005:$AU$1005,1,MATCH(COLUMNS($AD$1006:AL1006),$AD$1006:$AU$1006,0))&gt;=100000), " ",IF(INDEX($AD$2:$AU$1001,MATCH(ROWS($W$2:W67),$W$2:$W$1001,0),MATCH(COLUMNS($AD$1006:AL1006),$AD$1006:$AU$1006,0)), HYPERLINK("#",""), HYPERLINK(CONCATENATE("#metadata!", ADDRESS(INDEX($Y$2:$Y$1001,MATCH(ROWS($W$2:W67),$W$2:$W$1001,0),0), INDEX($AD$1004:$AU$1004,1,MATCH(COLUMNS($AD$1006:AL1006),$AD$1006:$AU$1006,0)))),"Fix")))</f>
        <v xml:space="preserve"> </v>
      </c>
      <c r="K67" s="4" t="str">
        <f ca="1">IF(OR(INDEX($X$2:$X$1001,MATCH(ROWS($W$2:W67),$W$2:$W$1001,0),1)&gt;=100000,INDEX($AD$1005:$AU$1005,1,MATCH(COLUMNS($AD$1006:AM1006),$AD$1006:$AU$1006,0))&gt;=100000), " ",IF(INDEX($AD$2:$AU$1001,MATCH(ROWS($W$2:W67),$W$2:$W$1001,0),MATCH(COLUMNS($AD$1006:AM1006),$AD$1006:$AU$1006,0)), HYPERLINK("#",""), HYPERLINK(CONCATENATE("#metadata!", ADDRESS(INDEX($Y$2:$Y$1001,MATCH(ROWS($W$2:W67),$W$2:$W$1001,0),0), INDEX($AD$1004:$AU$1004,1,MATCH(COLUMNS($AD$1006:AM1006),$AD$1006:$AU$1006,0)))),"Fix")))</f>
        <v xml:space="preserve"> </v>
      </c>
      <c r="L67" s="4" t="str">
        <f ca="1">IF(OR(INDEX($X$2:$X$1001,MATCH(ROWS($W$2:W67),$W$2:$W$1001,0),1)&gt;=100000,INDEX($AD$1005:$AU$1005,1,MATCH(COLUMNS($AD$1006:AN1006),$AD$1006:$AU$1006,0))&gt;=100000), " ",IF(INDEX($AD$2:$AU$1001,MATCH(ROWS($W$2:W67),$W$2:$W$1001,0),MATCH(COLUMNS($AD$1006:AN1006),$AD$1006:$AU$1006,0)), HYPERLINK("#",""), HYPERLINK(CONCATENATE("#metadata!", ADDRESS(INDEX($Y$2:$Y$1001,MATCH(ROWS($W$2:W67),$W$2:$W$1001,0),0), INDEX($AD$1004:$AU$1004,1,MATCH(COLUMNS($AD$1006:AN1006),$AD$1006:$AU$1006,0)))),"Fix")))</f>
        <v xml:space="preserve"> </v>
      </c>
      <c r="M67" s="4" t="str">
        <f ca="1">IF(OR(INDEX($X$2:$X$1001,MATCH(ROWS($W$2:W67),$W$2:$W$1001,0),1)&gt;=100000,INDEX($AD$1005:$AU$1005,1,MATCH(COLUMNS($AD$1006:AO1006),$AD$1006:$AU$1006,0))&gt;=100000), " ",IF(INDEX($AD$2:$AU$1001,MATCH(ROWS($W$2:W67),$W$2:$W$1001,0),MATCH(COLUMNS($AD$1006:AO1006),$AD$1006:$AU$1006,0)), HYPERLINK("#",""), HYPERLINK(CONCATENATE("#metadata!", ADDRESS(INDEX($Y$2:$Y$1001,MATCH(ROWS($W$2:W67),$W$2:$W$1001,0),0), INDEX($AD$1004:$AU$1004,1,MATCH(COLUMNS($AD$1006:AO1006),$AD$1006:$AU$1006,0)))),"Fix")))</f>
        <v xml:space="preserve"> </v>
      </c>
      <c r="N67" s="4" t="str">
        <f ca="1">IF(OR(INDEX($X$2:$X$1001,MATCH(ROWS($W$2:W67),$W$2:$W$1001,0),1)&gt;=100000,INDEX($AD$1005:$AU$1005,1,MATCH(COLUMNS($AD$1006:AP1006),$AD$1006:$AU$1006,0))&gt;=100000), " ",IF(INDEX($AD$2:$AU$1001,MATCH(ROWS($W$2:W67),$W$2:$W$1001,0),MATCH(COLUMNS($AD$1006:AP1006),$AD$1006:$AU$1006,0)), HYPERLINK("#",""), HYPERLINK(CONCATENATE("#metadata!", ADDRESS(INDEX($Y$2:$Y$1001,MATCH(ROWS($W$2:W67),$W$2:$W$1001,0),0), INDEX($AD$1004:$AU$1004,1,MATCH(COLUMNS($AD$1006:AP1006),$AD$1006:$AU$1006,0)))),"Fix")))</f>
        <v xml:space="preserve"> </v>
      </c>
      <c r="O67" s="4" t="str">
        <f ca="1">IF(OR(INDEX($X$2:$X$1001,MATCH(ROWS($W$2:W67),$W$2:$W$1001,0),1)&gt;=100000,INDEX($AD$1005:$AU$1005,1,MATCH(COLUMNS($AD$1006:AQ1006),$AD$1006:$AU$1006,0))&gt;=100000), " ",IF(INDEX($AD$2:$AU$1001,MATCH(ROWS($W$2:W67),$W$2:$W$1001,0),MATCH(COLUMNS($AD$1006:AQ1006),$AD$1006:$AU$1006,0)), HYPERLINK("#",""), HYPERLINK(CONCATENATE("#metadata!", ADDRESS(INDEX($Y$2:$Y$1001,MATCH(ROWS($W$2:W67),$W$2:$W$1001,0),0), INDEX($AD$1004:$AU$1004,1,MATCH(COLUMNS($AD$1006:AQ1006),$AD$1006:$AU$1006,0)))),"Fix")))</f>
        <v xml:space="preserve"> </v>
      </c>
      <c r="P67" s="4" t="str">
        <f ca="1">IF(OR(INDEX($X$2:$X$1001,MATCH(ROWS($W$2:W67),$W$2:$W$1001,0),1)&gt;=100000,INDEX($AD$1005:$AU$1005,1,MATCH(COLUMNS($AD$1006:AR1006),$AD$1006:$AU$1006,0))&gt;=100000), " ",IF(INDEX($AD$2:$AU$1001,MATCH(ROWS($W$2:W67),$W$2:$W$1001,0),MATCH(COLUMNS($AD$1006:AR1006),$AD$1006:$AU$1006,0)), HYPERLINK("#",""), HYPERLINK(CONCATENATE("#metadata!", ADDRESS(INDEX($Y$2:$Y$1001,MATCH(ROWS($W$2:W67),$W$2:$W$1001,0),0), INDEX($AD$1004:$AU$1004,1,MATCH(COLUMNS($AD$1006:AR1006),$AD$1006:$AU$1006,0)))),"Fix")))</f>
        <v xml:space="preserve"> </v>
      </c>
      <c r="Q67" s="4" t="str">
        <f ca="1">IF(OR(INDEX($X$2:$X$1001,MATCH(ROWS($W$2:W67),$W$2:$W$1001,0),1)&gt;=100000,INDEX($AD$1005:$AU$1005,1,MATCH(COLUMNS($AD$1006:AS1006),$AD$1006:$AU$1006,0))&gt;=100000), " ",IF(INDEX($AD$2:$AU$1001,MATCH(ROWS($W$2:W67),$W$2:$W$1001,0),MATCH(COLUMNS($AD$1006:AS1006),$AD$1006:$AU$1006,0)), HYPERLINK("#",""), HYPERLINK(CONCATENATE("#metadata!", ADDRESS(INDEX($Y$2:$Y$1001,MATCH(ROWS($W$2:W67),$W$2:$W$1001,0),0), INDEX($AD$1004:$AU$1004,1,MATCH(COLUMNS($AD$1006:AS1006),$AD$1006:$AU$1006,0)))),"Fix")))</f>
        <v xml:space="preserve"> </v>
      </c>
      <c r="R67" s="4" t="str">
        <f ca="1">IF(OR(INDEX($X$2:$X$1001,MATCH(ROWS($W$2:W67),$W$2:$W$1001,0),1)&gt;=100000,INDEX($AD$1005:$AU$1005,1,MATCH(COLUMNS($AD$1006:AT1006),$AD$1006:$AU$1006,0))&gt;=100000), " ",IF(INDEX($AD$2:$AU$1001,MATCH(ROWS($W$2:W67),$W$2:$W$1001,0),MATCH(COLUMNS($AD$1006:AT1006),$AD$1006:$AU$1006,0)), HYPERLINK("#",""), HYPERLINK(CONCATENATE("#metadata!", ADDRESS(INDEX($Y$2:$Y$1001,MATCH(ROWS($W$2:W67),$W$2:$W$1001,0),0), INDEX($AD$1004:$AU$1004,1,MATCH(COLUMNS($AD$1006:AT1006),$AD$1006:$AU$1006,0)))),"Fix")))</f>
        <v xml:space="preserve"> </v>
      </c>
      <c r="S67" s="4" t="str">
        <f ca="1">IF(OR(INDEX($X$2:$X$1001,MATCH(ROWS($W$2:W67),$W$2:$W$1001,0),1)&gt;=100000,INDEX($AD$1005:$AU$1005,1,MATCH(COLUMNS($AD$1006:AU1006),$AD$1006:$AU$1006,0))&gt;=100000), " ",IF(INDEX($AD$2:$AU$1001,MATCH(ROWS($W$2:W67),$W$2:$W$1001,0),MATCH(COLUMNS($AD$1006:AU1006),$AD$1006:$AU$1006,0)), HYPERLINK("#",""), HYPERLINK(CONCATENATE("#metadata!", ADDRESS(INDEX($Y$2:$Y$1001,MATCH(ROWS($W$2:W67),$W$2:$W$1001,0),0), INDEX($AD$1004:$AU$1004,1,MATCH(COLUMNS($AD$1006:AU1006),$AD$1006:$AU$1006,0)))),"Fix")))</f>
        <v xml:space="preserve"> </v>
      </c>
      <c r="W67">
        <v>66</v>
      </c>
      <c r="X67">
        <v>100067</v>
      </c>
      <c r="Y67">
        <v>67</v>
      </c>
      <c r="Z67" t="b">
        <f t="shared" si="1"/>
        <v>1</v>
      </c>
      <c r="AA67" t="b">
        <f>COUNTBLANK(metadata!B67:S67)=COLUMNS(metadata!B67:S67)</f>
        <v>1</v>
      </c>
      <c r="AB67" t="str">
        <v/>
      </c>
      <c r="AD67" t="b">
        <f ca="1">AND(IF(metadata!B67="",FALSE,TRUE),COUNTIF(metadata!B:B, metadata!B67) = 1,NOT(ISERROR(SUMPRODUCT(SEARCH(MID(metadata!B67,ROW(INDIRECT("1:"&amp;LEN(metadata!B67))), 1),"0123456789abcdefghijklmnopqrstuvwxyzABCDEFGHIJKLMNOPQRSTUVWXYZ.")))))</f>
        <v>0</v>
      </c>
      <c r="AE67" t="b">
        <f>OR(AND(IF(metadata!C67="",FALSE,TRUE),OR(EXACT(metadata!C67,"not applicable"),EXACT(metadata!C67,"missing: not collected"),EXACT(metadata!C67,"missing: not provided"),EXACT(metadata!C67,"missing: restricted access"))),AND(IF(metadata!C67="",FALSE,ISNUMBER(VALUE(metadata!C67))),metadata!C67&gt;0))</f>
        <v>0</v>
      </c>
      <c r="AF67" t="b">
        <f>AND(IF(metadata!D67="",FALSE,TRUE),EXACT(metadata!D67,"missing: not provided"))</f>
        <v>0</v>
      </c>
      <c r="AG67" t="b">
        <f>AND(IF(metadata!E67="",FALSE,TRUE),EXACT(metadata!E67,"Host-associated"))</f>
        <v>0</v>
      </c>
      <c r="AH67" t="b">
        <f>AND(IF(metadata!F67="",FALSE,TRUE),OR(EXACT(metadata!F67,"Animal"),EXACT(metadata!F67,"Fungus"),EXACT(metadata!F67,"Plant")))</f>
        <v>0</v>
      </c>
      <c r="AI67" t="b">
        <f>AND(IF(metadata!G67="",FALSE,TRUE),OR(EXACT(metadata!G67,"Plant secretion"),EXACT(metadata!G67,"Plant rhizosphere"),EXACT(metadata!G67,"Plant surface"),EXACT(metadata!G67,"Plant corpus"),EXACT(metadata!G67,"Fungus surface"),EXACT(metadata!G67,"Fungus corpus"),EXACT(metadata!G67,"Animal surface"),EXACT(metadata!G67,"Animal proximal gut"),EXACT(metadata!G67,"Animal corpus"),EXACT(metadata!G67,"Animal distal gut"),EXACT(metadata!G67,"Animal secretion")))</f>
        <v>0</v>
      </c>
      <c r="AJ67" t="b">
        <f>OR(AND(IF(metadata!H67="",FALSE,TRUE),OR(EXACT(metadata!H67,"missing: not collected"),EXACT(metadata!H67,"missing: not provided"),EXACT(metadata!H67,"missing: restricted access"))),AND(IF(metadata!H67="",FALSE,TRUE),OR(EXACT(metadata!H67,"organism-associated habitat"),EXACT(metadata!H67,"plant-associated habitat"),EXACT(metadata!H67,"animal-associated habitat"),EXACT(metadata!H67,"insecta-associated habitat"),EXACT(metadata!H67,"mammalia-associated habitat"),EXACT(metadata!H67,"human-associated habitat"),EXACT(metadata!H67,"livestock-associated habitat"))))</f>
        <v>0</v>
      </c>
      <c r="AK67" t="b">
        <f>AND(IF(metadata!I67="",FALSE,TRUE),EXACT(metadata!I67,"host-associated"))</f>
        <v>0</v>
      </c>
      <c r="AL67" t="b">
        <f>OR(AND(IF(metadata!J67="",FALSE,TRUE),OR(EXACT(metadata!J67,"not applicable"),EXACT(metadata!J67,"missing: not collected"),EXACT(metadata!J67,"missing: not provided"),EXACT(metadata!J67,"missing: restricted access"))),AND(IF(metadata!J67="",FALSE,ISNUMBER(VALUE(metadata!J67))),metadata!J67&gt;0))</f>
        <v>0</v>
      </c>
      <c r="AM67" t="b">
        <f>AND(IF(metadata!K67="",FALSE,TRUE),EXACT(metadata!K67,"missing: not provided"))</f>
        <v>0</v>
      </c>
      <c r="AN67" t="b">
        <f>IF(metadata!L67="",FALSE,TRUE)</f>
        <v>0</v>
      </c>
      <c r="AO67" t="b">
        <f>IF(metadata!M67="",FALSE,TRUE)</f>
        <v>0</v>
      </c>
      <c r="AP67" t="b">
        <f>OR(AND(IF(metadata!N67="",FALSE,TRUE),OR(EXACT(metadata!N67,"not applicable"),EXACT(metadata!N67,"missing: not collected"),EXACT(metadata!N67,"missing: not provided"))),AND(IF(metadata!N67="",FALSE,IF(ISERROR(INT(metadata!N67)),FALSE,INT(metadata!N67)=metadata!N67)),metadata!N67&gt;0))</f>
        <v>0</v>
      </c>
      <c r="AQ67" t="b">
        <f>AND(IF(metadata!O67="",FALSE,TRUE),EXACT(metadata!O67,"Not applicable"))</f>
        <v>0</v>
      </c>
      <c r="AR67" t="b">
        <f>OR(AND(IF(metadata!P67="",FALSE,TRUE),OR(EXACT(metadata!P67,"not applicable"),EXACT(metadata!P67,"missing: not collected"),EXACT(metadata!P67,"missing: not provided"),EXACT(metadata!P67,"missing: restricted access"))),IF(metadata!P67="",FALSE,IF(ISERROR(INT(metadata!P67)),FALSE,INT(metadata!P67)=metadata!P67)))</f>
        <v>0</v>
      </c>
      <c r="AS67" t="b">
        <f>AND(IF(metadata!Q67="",FALSE,TRUE),EXACT(metadata!Q67,"Not applicable"))</f>
        <v>0</v>
      </c>
      <c r="AT67" t="b">
        <f>OR(AND(IF(metadata!R67="",FALSE,TRUE),OR(EXACT(metadata!R67,"not applicable"),EXACT(metadata!R67,"missing: not collected"),EXACT(metadata!R67,"missing: not provided"),EXACT(metadata!R67,"missing: restricted access"))),AND(IF(metadata!R67="",FALSE,ISNUMBER(VALUE(metadata!R67))),metadata!R67&gt;0))</f>
        <v>0</v>
      </c>
      <c r="AU67" t="b">
        <f>AND(IF(metadata!S67="",FALSE,TRUE),EXACT(metadata!S67,"missing: not provided"))</f>
        <v>0</v>
      </c>
    </row>
    <row r="68" spans="1:47" x14ac:dyDescent="0.2">
      <c r="A68" s="5" t="str">
        <f ca="1">IF(B68=" "," ",HYPERLINK(CONCATENATE("#metadata!",ADDRESS(INDEX($Y$2:$Y$1001,MATCH(ROWS($W$2:W68),$W$2:$W$1001,0),0),1)),INDEX($AB$2:$AB$1001,MATCH(ROWS($W$2:W68),$W$2:$W$1001,0),0)))</f>
        <v xml:space="preserve"> </v>
      </c>
      <c r="B68" s="4" t="str">
        <f ca="1">IF(OR(INDEX($X$2:$X$1001,MATCH(ROWS($W$2:W68),$W$2:$W$1001,0),1)&gt;=100000,INDEX($AD$1005:$AU$1005,1,MATCH(COLUMNS($AD$1006:AD1006),$AD$1006:$AU$1006,0))&gt;=100000), " ",IF(INDEX($AD$2:$AU$1001,MATCH(ROWS($W$2:W68),$W$2:$W$1001,0),MATCH(COLUMNS($AD$1006:AD1006),$AD$1006:$AU$1006,0)), HYPERLINK("#",""), HYPERLINK(CONCATENATE("#metadata!", ADDRESS(INDEX($Y$2:$Y$1001,MATCH(ROWS($W$2:W68),$W$2:$W$1001,0),0), INDEX($AD$1004:$AU$1004,1,MATCH(COLUMNS($AD$1006:AD1006),$AD$1006:$AU$1006,0)))),"Fix")))</f>
        <v xml:space="preserve"> </v>
      </c>
      <c r="C68" s="4" t="str">
        <f ca="1">IF(OR(INDEX($X$2:$X$1001,MATCH(ROWS($W$2:W68),$W$2:$W$1001,0),1)&gt;=100000,INDEX($AD$1005:$AU$1005,1,MATCH(COLUMNS($AD$1006:AE1006),$AD$1006:$AU$1006,0))&gt;=100000), " ",IF(INDEX($AD$2:$AU$1001,MATCH(ROWS($W$2:W68),$W$2:$W$1001,0),MATCH(COLUMNS($AD$1006:AE1006),$AD$1006:$AU$1006,0)), HYPERLINK("#",""), HYPERLINK(CONCATENATE("#metadata!", ADDRESS(INDEX($Y$2:$Y$1001,MATCH(ROWS($W$2:W68),$W$2:$W$1001,0),0), INDEX($AD$1004:$AU$1004,1,MATCH(COLUMNS($AD$1006:AE1006),$AD$1006:$AU$1006,0)))),"Fix")))</f>
        <v xml:space="preserve"> </v>
      </c>
      <c r="D68" s="4" t="str">
        <f ca="1">IF(OR(INDEX($X$2:$X$1001,MATCH(ROWS($W$2:W68),$W$2:$W$1001,0),1)&gt;=100000,INDEX($AD$1005:$AU$1005,1,MATCH(COLUMNS($AD$1006:AF1006),$AD$1006:$AU$1006,0))&gt;=100000), " ",IF(INDEX($AD$2:$AU$1001,MATCH(ROWS($W$2:W68),$W$2:$W$1001,0),MATCH(COLUMNS($AD$1006:AF1006),$AD$1006:$AU$1006,0)), HYPERLINK("#",""), HYPERLINK(CONCATENATE("#metadata!", ADDRESS(INDEX($Y$2:$Y$1001,MATCH(ROWS($W$2:W68),$W$2:$W$1001,0),0), INDEX($AD$1004:$AU$1004,1,MATCH(COLUMNS($AD$1006:AF1006),$AD$1006:$AU$1006,0)))),"Fix")))</f>
        <v xml:space="preserve"> </v>
      </c>
      <c r="E68" s="4" t="str">
        <f ca="1">IF(OR(INDEX($X$2:$X$1001,MATCH(ROWS($W$2:W68),$W$2:$W$1001,0),1)&gt;=100000,INDEX($AD$1005:$AU$1005,1,MATCH(COLUMNS($AD$1006:AG1006),$AD$1006:$AU$1006,0))&gt;=100000), " ",IF(INDEX($AD$2:$AU$1001,MATCH(ROWS($W$2:W68),$W$2:$W$1001,0),MATCH(COLUMNS($AD$1006:AG1006),$AD$1006:$AU$1006,0)), HYPERLINK("#",""), HYPERLINK(CONCATENATE("#metadata!", ADDRESS(INDEX($Y$2:$Y$1001,MATCH(ROWS($W$2:W68),$W$2:$W$1001,0),0), INDEX($AD$1004:$AU$1004,1,MATCH(COLUMNS($AD$1006:AG1006),$AD$1006:$AU$1006,0)))),"Fix")))</f>
        <v xml:space="preserve"> </v>
      </c>
      <c r="F68" s="4" t="str">
        <f ca="1">IF(OR(INDEX($X$2:$X$1001,MATCH(ROWS($W$2:W68),$W$2:$W$1001,0),1)&gt;=100000,INDEX($AD$1005:$AU$1005,1,MATCH(COLUMNS($AD$1006:AH1006),$AD$1006:$AU$1006,0))&gt;=100000), " ",IF(INDEX($AD$2:$AU$1001,MATCH(ROWS($W$2:W68),$W$2:$W$1001,0),MATCH(COLUMNS($AD$1006:AH1006),$AD$1006:$AU$1006,0)), HYPERLINK("#",""), HYPERLINK(CONCATENATE("#metadata!", ADDRESS(INDEX($Y$2:$Y$1001,MATCH(ROWS($W$2:W68),$W$2:$W$1001,0),0), INDEX($AD$1004:$AU$1004,1,MATCH(COLUMNS($AD$1006:AH1006),$AD$1006:$AU$1006,0)))),"Fix")))</f>
        <v xml:space="preserve"> </v>
      </c>
      <c r="G68" s="4" t="str">
        <f ca="1">IF(OR(INDEX($X$2:$X$1001,MATCH(ROWS($W$2:W68),$W$2:$W$1001,0),1)&gt;=100000,INDEX($AD$1005:$AU$1005,1,MATCH(COLUMNS($AD$1006:AI1006),$AD$1006:$AU$1006,0))&gt;=100000), " ",IF(INDEX($AD$2:$AU$1001,MATCH(ROWS($W$2:W68),$W$2:$W$1001,0),MATCH(COLUMNS($AD$1006:AI1006),$AD$1006:$AU$1006,0)), HYPERLINK("#",""), HYPERLINK(CONCATENATE("#metadata!", ADDRESS(INDEX($Y$2:$Y$1001,MATCH(ROWS($W$2:W68),$W$2:$W$1001,0),0), INDEX($AD$1004:$AU$1004,1,MATCH(COLUMNS($AD$1006:AI1006),$AD$1006:$AU$1006,0)))),"Fix")))</f>
        <v xml:space="preserve"> </v>
      </c>
      <c r="H68" s="4" t="str">
        <f ca="1">IF(OR(INDEX($X$2:$X$1001,MATCH(ROWS($W$2:W68),$W$2:$W$1001,0),1)&gt;=100000,INDEX($AD$1005:$AU$1005,1,MATCH(COLUMNS($AD$1006:AJ1006),$AD$1006:$AU$1006,0))&gt;=100000), " ",IF(INDEX($AD$2:$AU$1001,MATCH(ROWS($W$2:W68),$W$2:$W$1001,0),MATCH(COLUMNS($AD$1006:AJ1006),$AD$1006:$AU$1006,0)), HYPERLINK("#",""), HYPERLINK(CONCATENATE("#metadata!", ADDRESS(INDEX($Y$2:$Y$1001,MATCH(ROWS($W$2:W68),$W$2:$W$1001,0),0), INDEX($AD$1004:$AU$1004,1,MATCH(COLUMNS($AD$1006:AJ1006),$AD$1006:$AU$1006,0)))),"Fix")))</f>
        <v xml:space="preserve"> </v>
      </c>
      <c r="I68" s="4" t="str">
        <f ca="1">IF(OR(INDEX($X$2:$X$1001,MATCH(ROWS($W$2:W68),$W$2:$W$1001,0),1)&gt;=100000,INDEX($AD$1005:$AU$1005,1,MATCH(COLUMNS($AD$1006:AK1006),$AD$1006:$AU$1006,0))&gt;=100000), " ",IF(INDEX($AD$2:$AU$1001,MATCH(ROWS($W$2:W68),$W$2:$W$1001,0),MATCH(COLUMNS($AD$1006:AK1006),$AD$1006:$AU$1006,0)), HYPERLINK("#",""), HYPERLINK(CONCATENATE("#metadata!", ADDRESS(INDEX($Y$2:$Y$1001,MATCH(ROWS($W$2:W68),$W$2:$W$1001,0),0), INDEX($AD$1004:$AU$1004,1,MATCH(COLUMNS($AD$1006:AK1006),$AD$1006:$AU$1006,0)))),"Fix")))</f>
        <v xml:space="preserve"> </v>
      </c>
      <c r="J68" s="4" t="str">
        <f ca="1">IF(OR(INDEX($X$2:$X$1001,MATCH(ROWS($W$2:W68),$W$2:$W$1001,0),1)&gt;=100000,INDEX($AD$1005:$AU$1005,1,MATCH(COLUMNS($AD$1006:AL1006),$AD$1006:$AU$1006,0))&gt;=100000), " ",IF(INDEX($AD$2:$AU$1001,MATCH(ROWS($W$2:W68),$W$2:$W$1001,0),MATCH(COLUMNS($AD$1006:AL1006),$AD$1006:$AU$1006,0)), HYPERLINK("#",""), HYPERLINK(CONCATENATE("#metadata!", ADDRESS(INDEX($Y$2:$Y$1001,MATCH(ROWS($W$2:W68),$W$2:$W$1001,0),0), INDEX($AD$1004:$AU$1004,1,MATCH(COLUMNS($AD$1006:AL1006),$AD$1006:$AU$1006,0)))),"Fix")))</f>
        <v xml:space="preserve"> </v>
      </c>
      <c r="K68" s="4" t="str">
        <f ca="1">IF(OR(INDEX($X$2:$X$1001,MATCH(ROWS($W$2:W68),$W$2:$W$1001,0),1)&gt;=100000,INDEX($AD$1005:$AU$1005,1,MATCH(COLUMNS($AD$1006:AM1006),$AD$1006:$AU$1006,0))&gt;=100000), " ",IF(INDEX($AD$2:$AU$1001,MATCH(ROWS($W$2:W68),$W$2:$W$1001,0),MATCH(COLUMNS($AD$1006:AM1006),$AD$1006:$AU$1006,0)), HYPERLINK("#",""), HYPERLINK(CONCATENATE("#metadata!", ADDRESS(INDEX($Y$2:$Y$1001,MATCH(ROWS($W$2:W68),$W$2:$W$1001,0),0), INDEX($AD$1004:$AU$1004,1,MATCH(COLUMNS($AD$1006:AM1006),$AD$1006:$AU$1006,0)))),"Fix")))</f>
        <v xml:space="preserve"> </v>
      </c>
      <c r="L68" s="4" t="str">
        <f ca="1">IF(OR(INDEX($X$2:$X$1001,MATCH(ROWS($W$2:W68),$W$2:$W$1001,0),1)&gt;=100000,INDEX($AD$1005:$AU$1005,1,MATCH(COLUMNS($AD$1006:AN1006),$AD$1006:$AU$1006,0))&gt;=100000), " ",IF(INDEX($AD$2:$AU$1001,MATCH(ROWS($W$2:W68),$W$2:$W$1001,0),MATCH(COLUMNS($AD$1006:AN1006),$AD$1006:$AU$1006,0)), HYPERLINK("#",""), HYPERLINK(CONCATENATE("#metadata!", ADDRESS(INDEX($Y$2:$Y$1001,MATCH(ROWS($W$2:W68),$W$2:$W$1001,0),0), INDEX($AD$1004:$AU$1004,1,MATCH(COLUMNS($AD$1006:AN1006),$AD$1006:$AU$1006,0)))),"Fix")))</f>
        <v xml:space="preserve"> </v>
      </c>
      <c r="M68" s="4" t="str">
        <f ca="1">IF(OR(INDEX($X$2:$X$1001,MATCH(ROWS($W$2:W68),$W$2:$W$1001,0),1)&gt;=100000,INDEX($AD$1005:$AU$1005,1,MATCH(COLUMNS($AD$1006:AO1006),$AD$1006:$AU$1006,0))&gt;=100000), " ",IF(INDEX($AD$2:$AU$1001,MATCH(ROWS($W$2:W68),$W$2:$W$1001,0),MATCH(COLUMNS($AD$1006:AO1006),$AD$1006:$AU$1006,0)), HYPERLINK("#",""), HYPERLINK(CONCATENATE("#metadata!", ADDRESS(INDEX($Y$2:$Y$1001,MATCH(ROWS($W$2:W68),$W$2:$W$1001,0),0), INDEX($AD$1004:$AU$1004,1,MATCH(COLUMNS($AD$1006:AO1006),$AD$1006:$AU$1006,0)))),"Fix")))</f>
        <v xml:space="preserve"> </v>
      </c>
      <c r="N68" s="4" t="str">
        <f ca="1">IF(OR(INDEX($X$2:$X$1001,MATCH(ROWS($W$2:W68),$W$2:$W$1001,0),1)&gt;=100000,INDEX($AD$1005:$AU$1005,1,MATCH(COLUMNS($AD$1006:AP1006),$AD$1006:$AU$1006,0))&gt;=100000), " ",IF(INDEX($AD$2:$AU$1001,MATCH(ROWS($W$2:W68),$W$2:$W$1001,0),MATCH(COLUMNS($AD$1006:AP1006),$AD$1006:$AU$1006,0)), HYPERLINK("#",""), HYPERLINK(CONCATENATE("#metadata!", ADDRESS(INDEX($Y$2:$Y$1001,MATCH(ROWS($W$2:W68),$W$2:$W$1001,0),0), INDEX($AD$1004:$AU$1004,1,MATCH(COLUMNS($AD$1006:AP1006),$AD$1006:$AU$1006,0)))),"Fix")))</f>
        <v xml:space="preserve"> </v>
      </c>
      <c r="O68" s="4" t="str">
        <f ca="1">IF(OR(INDEX($X$2:$X$1001,MATCH(ROWS($W$2:W68),$W$2:$W$1001,0),1)&gt;=100000,INDEX($AD$1005:$AU$1005,1,MATCH(COLUMNS($AD$1006:AQ1006),$AD$1006:$AU$1006,0))&gt;=100000), " ",IF(INDEX($AD$2:$AU$1001,MATCH(ROWS($W$2:W68),$W$2:$W$1001,0),MATCH(COLUMNS($AD$1006:AQ1006),$AD$1006:$AU$1006,0)), HYPERLINK("#",""), HYPERLINK(CONCATENATE("#metadata!", ADDRESS(INDEX($Y$2:$Y$1001,MATCH(ROWS($W$2:W68),$W$2:$W$1001,0),0), INDEX($AD$1004:$AU$1004,1,MATCH(COLUMNS($AD$1006:AQ1006),$AD$1006:$AU$1006,0)))),"Fix")))</f>
        <v xml:space="preserve"> </v>
      </c>
      <c r="P68" s="4" t="str">
        <f ca="1">IF(OR(INDEX($X$2:$X$1001,MATCH(ROWS($W$2:W68),$W$2:$W$1001,0),1)&gt;=100000,INDEX($AD$1005:$AU$1005,1,MATCH(COLUMNS($AD$1006:AR1006),$AD$1006:$AU$1006,0))&gt;=100000), " ",IF(INDEX($AD$2:$AU$1001,MATCH(ROWS($W$2:W68),$W$2:$W$1001,0),MATCH(COLUMNS($AD$1006:AR1006),$AD$1006:$AU$1006,0)), HYPERLINK("#",""), HYPERLINK(CONCATENATE("#metadata!", ADDRESS(INDEX($Y$2:$Y$1001,MATCH(ROWS($W$2:W68),$W$2:$W$1001,0),0), INDEX($AD$1004:$AU$1004,1,MATCH(COLUMNS($AD$1006:AR1006),$AD$1006:$AU$1006,0)))),"Fix")))</f>
        <v xml:space="preserve"> </v>
      </c>
      <c r="Q68" s="4" t="str">
        <f ca="1">IF(OR(INDEX($X$2:$X$1001,MATCH(ROWS($W$2:W68),$W$2:$W$1001,0),1)&gt;=100000,INDEX($AD$1005:$AU$1005,1,MATCH(COLUMNS($AD$1006:AS1006),$AD$1006:$AU$1006,0))&gt;=100000), " ",IF(INDEX($AD$2:$AU$1001,MATCH(ROWS($W$2:W68),$W$2:$W$1001,0),MATCH(COLUMNS($AD$1006:AS1006),$AD$1006:$AU$1006,0)), HYPERLINK("#",""), HYPERLINK(CONCATENATE("#metadata!", ADDRESS(INDEX($Y$2:$Y$1001,MATCH(ROWS($W$2:W68),$W$2:$W$1001,0),0), INDEX($AD$1004:$AU$1004,1,MATCH(COLUMNS($AD$1006:AS1006),$AD$1006:$AU$1006,0)))),"Fix")))</f>
        <v xml:space="preserve"> </v>
      </c>
      <c r="R68" s="4" t="str">
        <f ca="1">IF(OR(INDEX($X$2:$X$1001,MATCH(ROWS($W$2:W68),$W$2:$W$1001,0),1)&gt;=100000,INDEX($AD$1005:$AU$1005,1,MATCH(COLUMNS($AD$1006:AT1006),$AD$1006:$AU$1006,0))&gt;=100000), " ",IF(INDEX($AD$2:$AU$1001,MATCH(ROWS($W$2:W68),$W$2:$W$1001,0),MATCH(COLUMNS($AD$1006:AT1006),$AD$1006:$AU$1006,0)), HYPERLINK("#",""), HYPERLINK(CONCATENATE("#metadata!", ADDRESS(INDEX($Y$2:$Y$1001,MATCH(ROWS($W$2:W68),$W$2:$W$1001,0),0), INDEX($AD$1004:$AU$1004,1,MATCH(COLUMNS($AD$1006:AT1006),$AD$1006:$AU$1006,0)))),"Fix")))</f>
        <v xml:space="preserve"> </v>
      </c>
      <c r="S68" s="4" t="str">
        <f ca="1">IF(OR(INDEX($X$2:$X$1001,MATCH(ROWS($W$2:W68),$W$2:$W$1001,0),1)&gt;=100000,INDEX($AD$1005:$AU$1005,1,MATCH(COLUMNS($AD$1006:AU1006),$AD$1006:$AU$1006,0))&gt;=100000), " ",IF(INDEX($AD$2:$AU$1001,MATCH(ROWS($W$2:W68),$W$2:$W$1001,0),MATCH(COLUMNS($AD$1006:AU1006),$AD$1006:$AU$1006,0)), HYPERLINK("#",""), HYPERLINK(CONCATENATE("#metadata!", ADDRESS(INDEX($Y$2:$Y$1001,MATCH(ROWS($W$2:W68),$W$2:$W$1001,0),0), INDEX($AD$1004:$AU$1004,1,MATCH(COLUMNS($AD$1006:AU1006),$AD$1006:$AU$1006,0)))),"Fix")))</f>
        <v xml:space="preserve"> </v>
      </c>
      <c r="W68">
        <v>67</v>
      </c>
      <c r="X68">
        <v>100068</v>
      </c>
      <c r="Y68">
        <v>68</v>
      </c>
      <c r="Z68" t="b">
        <f t="shared" si="1"/>
        <v>1</v>
      </c>
      <c r="AA68" t="b">
        <f>COUNTBLANK(metadata!B68:S68)=COLUMNS(metadata!B68:S68)</f>
        <v>1</v>
      </c>
      <c r="AB68" t="str">
        <v/>
      </c>
      <c r="AD68" t="b">
        <f ca="1">AND(IF(metadata!B68="",FALSE,TRUE),COUNTIF(metadata!B:B, metadata!B68) = 1,NOT(ISERROR(SUMPRODUCT(SEARCH(MID(metadata!B68,ROW(INDIRECT("1:"&amp;LEN(metadata!B68))), 1),"0123456789abcdefghijklmnopqrstuvwxyzABCDEFGHIJKLMNOPQRSTUVWXYZ.")))))</f>
        <v>0</v>
      </c>
      <c r="AE68" t="b">
        <f>OR(AND(IF(metadata!C68="",FALSE,TRUE),OR(EXACT(metadata!C68,"not applicable"),EXACT(metadata!C68,"missing: not collected"),EXACT(metadata!C68,"missing: not provided"),EXACT(metadata!C68,"missing: restricted access"))),AND(IF(metadata!C68="",FALSE,ISNUMBER(VALUE(metadata!C68))),metadata!C68&gt;0))</f>
        <v>0</v>
      </c>
      <c r="AF68" t="b">
        <f>AND(IF(metadata!D68="",FALSE,TRUE),EXACT(metadata!D68,"missing: not provided"))</f>
        <v>0</v>
      </c>
      <c r="AG68" t="b">
        <f>AND(IF(metadata!E68="",FALSE,TRUE),EXACT(metadata!E68,"Host-associated"))</f>
        <v>0</v>
      </c>
      <c r="AH68" t="b">
        <f>AND(IF(metadata!F68="",FALSE,TRUE),OR(EXACT(metadata!F68,"Animal"),EXACT(metadata!F68,"Fungus"),EXACT(metadata!F68,"Plant")))</f>
        <v>0</v>
      </c>
      <c r="AI68" t="b">
        <f>AND(IF(metadata!G68="",FALSE,TRUE),OR(EXACT(metadata!G68,"Plant secretion"),EXACT(metadata!G68,"Plant rhizosphere"),EXACT(metadata!G68,"Plant surface"),EXACT(metadata!G68,"Plant corpus"),EXACT(metadata!G68,"Fungus surface"),EXACT(metadata!G68,"Fungus corpus"),EXACT(metadata!G68,"Animal surface"),EXACT(metadata!G68,"Animal proximal gut"),EXACT(metadata!G68,"Animal corpus"),EXACT(metadata!G68,"Animal distal gut"),EXACT(metadata!G68,"Animal secretion")))</f>
        <v>0</v>
      </c>
      <c r="AJ68" t="b">
        <f>OR(AND(IF(metadata!H68="",FALSE,TRUE),OR(EXACT(metadata!H68,"missing: not collected"),EXACT(metadata!H68,"missing: not provided"),EXACT(metadata!H68,"missing: restricted access"))),AND(IF(metadata!H68="",FALSE,TRUE),OR(EXACT(metadata!H68,"organism-associated habitat"),EXACT(metadata!H68,"plant-associated habitat"),EXACT(metadata!H68,"animal-associated habitat"),EXACT(metadata!H68,"insecta-associated habitat"),EXACT(metadata!H68,"mammalia-associated habitat"),EXACT(metadata!H68,"human-associated habitat"),EXACT(metadata!H68,"livestock-associated habitat"))))</f>
        <v>0</v>
      </c>
      <c r="AK68" t="b">
        <f>AND(IF(metadata!I68="",FALSE,TRUE),EXACT(metadata!I68,"host-associated"))</f>
        <v>0</v>
      </c>
      <c r="AL68" t="b">
        <f>OR(AND(IF(metadata!J68="",FALSE,TRUE),OR(EXACT(metadata!J68,"not applicable"),EXACT(metadata!J68,"missing: not collected"),EXACT(metadata!J68,"missing: not provided"),EXACT(metadata!J68,"missing: restricted access"))),AND(IF(metadata!J68="",FALSE,ISNUMBER(VALUE(metadata!J68))),metadata!J68&gt;0))</f>
        <v>0</v>
      </c>
      <c r="AM68" t="b">
        <f>AND(IF(metadata!K68="",FALSE,TRUE),EXACT(metadata!K68,"missing: not provided"))</f>
        <v>0</v>
      </c>
      <c r="AN68" t="b">
        <f>IF(metadata!L68="",FALSE,TRUE)</f>
        <v>0</v>
      </c>
      <c r="AO68" t="b">
        <f>IF(metadata!M68="",FALSE,TRUE)</f>
        <v>0</v>
      </c>
      <c r="AP68" t="b">
        <f>OR(AND(IF(metadata!N68="",FALSE,TRUE),OR(EXACT(metadata!N68,"not applicable"),EXACT(metadata!N68,"missing: not collected"),EXACT(metadata!N68,"missing: not provided"))),AND(IF(metadata!N68="",FALSE,IF(ISERROR(INT(metadata!N68)),FALSE,INT(metadata!N68)=metadata!N68)),metadata!N68&gt;0))</f>
        <v>0</v>
      </c>
      <c r="AQ68" t="b">
        <f>AND(IF(metadata!O68="",FALSE,TRUE),EXACT(metadata!O68,"Not applicable"))</f>
        <v>0</v>
      </c>
      <c r="AR68" t="b">
        <f>OR(AND(IF(metadata!P68="",FALSE,TRUE),OR(EXACT(metadata!P68,"not applicable"),EXACT(metadata!P68,"missing: not collected"),EXACT(metadata!P68,"missing: not provided"),EXACT(metadata!P68,"missing: restricted access"))),IF(metadata!P68="",FALSE,IF(ISERROR(INT(metadata!P68)),FALSE,INT(metadata!P68)=metadata!P68)))</f>
        <v>0</v>
      </c>
      <c r="AS68" t="b">
        <f>AND(IF(metadata!Q68="",FALSE,TRUE),EXACT(metadata!Q68,"Not applicable"))</f>
        <v>0</v>
      </c>
      <c r="AT68" t="b">
        <f>OR(AND(IF(metadata!R68="",FALSE,TRUE),OR(EXACT(metadata!R68,"not applicable"),EXACT(metadata!R68,"missing: not collected"),EXACT(metadata!R68,"missing: not provided"),EXACT(metadata!R68,"missing: restricted access"))),AND(IF(metadata!R68="",FALSE,ISNUMBER(VALUE(metadata!R68))),metadata!R68&gt;0))</f>
        <v>0</v>
      </c>
      <c r="AU68" t="b">
        <f>AND(IF(metadata!S68="",FALSE,TRUE),EXACT(metadata!S68,"missing: not provided"))</f>
        <v>0</v>
      </c>
    </row>
    <row r="69" spans="1:47" x14ac:dyDescent="0.2">
      <c r="A69" s="5" t="str">
        <f ca="1">IF(B69=" "," ",HYPERLINK(CONCATENATE("#metadata!",ADDRESS(INDEX($Y$2:$Y$1001,MATCH(ROWS($W$2:W69),$W$2:$W$1001,0),0),1)),INDEX($AB$2:$AB$1001,MATCH(ROWS($W$2:W69),$W$2:$W$1001,0),0)))</f>
        <v xml:space="preserve"> </v>
      </c>
      <c r="B69" s="4" t="str">
        <f ca="1">IF(OR(INDEX($X$2:$X$1001,MATCH(ROWS($W$2:W69),$W$2:$W$1001,0),1)&gt;=100000,INDEX($AD$1005:$AU$1005,1,MATCH(COLUMNS($AD$1006:AD1006),$AD$1006:$AU$1006,0))&gt;=100000), " ",IF(INDEX($AD$2:$AU$1001,MATCH(ROWS($W$2:W69),$W$2:$W$1001,0),MATCH(COLUMNS($AD$1006:AD1006),$AD$1006:$AU$1006,0)), HYPERLINK("#",""), HYPERLINK(CONCATENATE("#metadata!", ADDRESS(INDEX($Y$2:$Y$1001,MATCH(ROWS($W$2:W69),$W$2:$W$1001,0),0), INDEX($AD$1004:$AU$1004,1,MATCH(COLUMNS($AD$1006:AD1006),$AD$1006:$AU$1006,0)))),"Fix")))</f>
        <v xml:space="preserve"> </v>
      </c>
      <c r="C69" s="4" t="str">
        <f ca="1">IF(OR(INDEX($X$2:$X$1001,MATCH(ROWS($W$2:W69),$W$2:$W$1001,0),1)&gt;=100000,INDEX($AD$1005:$AU$1005,1,MATCH(COLUMNS($AD$1006:AE1006),$AD$1006:$AU$1006,0))&gt;=100000), " ",IF(INDEX($AD$2:$AU$1001,MATCH(ROWS($W$2:W69),$W$2:$W$1001,0),MATCH(COLUMNS($AD$1006:AE1006),$AD$1006:$AU$1006,0)), HYPERLINK("#",""), HYPERLINK(CONCATENATE("#metadata!", ADDRESS(INDEX($Y$2:$Y$1001,MATCH(ROWS($W$2:W69),$W$2:$W$1001,0),0), INDEX($AD$1004:$AU$1004,1,MATCH(COLUMNS($AD$1006:AE1006),$AD$1006:$AU$1006,0)))),"Fix")))</f>
        <v xml:space="preserve"> </v>
      </c>
      <c r="D69" s="4" t="str">
        <f ca="1">IF(OR(INDEX($X$2:$X$1001,MATCH(ROWS($W$2:W69),$W$2:$W$1001,0),1)&gt;=100000,INDEX($AD$1005:$AU$1005,1,MATCH(COLUMNS($AD$1006:AF1006),$AD$1006:$AU$1006,0))&gt;=100000), " ",IF(INDEX($AD$2:$AU$1001,MATCH(ROWS($W$2:W69),$W$2:$W$1001,0),MATCH(COLUMNS($AD$1006:AF1006),$AD$1006:$AU$1006,0)), HYPERLINK("#",""), HYPERLINK(CONCATENATE("#metadata!", ADDRESS(INDEX($Y$2:$Y$1001,MATCH(ROWS($W$2:W69),$W$2:$W$1001,0),0), INDEX($AD$1004:$AU$1004,1,MATCH(COLUMNS($AD$1006:AF1006),$AD$1006:$AU$1006,0)))),"Fix")))</f>
        <v xml:space="preserve"> </v>
      </c>
      <c r="E69" s="4" t="str">
        <f ca="1">IF(OR(INDEX($X$2:$X$1001,MATCH(ROWS($W$2:W69),$W$2:$W$1001,0),1)&gt;=100000,INDEX($AD$1005:$AU$1005,1,MATCH(COLUMNS($AD$1006:AG1006),$AD$1006:$AU$1006,0))&gt;=100000), " ",IF(INDEX($AD$2:$AU$1001,MATCH(ROWS($W$2:W69),$W$2:$W$1001,0),MATCH(COLUMNS($AD$1006:AG1006),$AD$1006:$AU$1006,0)), HYPERLINK("#",""), HYPERLINK(CONCATENATE("#metadata!", ADDRESS(INDEX($Y$2:$Y$1001,MATCH(ROWS($W$2:W69),$W$2:$W$1001,0),0), INDEX($AD$1004:$AU$1004,1,MATCH(COLUMNS($AD$1006:AG1006),$AD$1006:$AU$1006,0)))),"Fix")))</f>
        <v xml:space="preserve"> </v>
      </c>
      <c r="F69" s="4" t="str">
        <f ca="1">IF(OR(INDEX($X$2:$X$1001,MATCH(ROWS($W$2:W69),$W$2:$W$1001,0),1)&gt;=100000,INDEX($AD$1005:$AU$1005,1,MATCH(COLUMNS($AD$1006:AH1006),$AD$1006:$AU$1006,0))&gt;=100000), " ",IF(INDEX($AD$2:$AU$1001,MATCH(ROWS($W$2:W69),$W$2:$W$1001,0),MATCH(COLUMNS($AD$1006:AH1006),$AD$1006:$AU$1006,0)), HYPERLINK("#",""), HYPERLINK(CONCATENATE("#metadata!", ADDRESS(INDEX($Y$2:$Y$1001,MATCH(ROWS($W$2:W69),$W$2:$W$1001,0),0), INDEX($AD$1004:$AU$1004,1,MATCH(COLUMNS($AD$1006:AH1006),$AD$1006:$AU$1006,0)))),"Fix")))</f>
        <v xml:space="preserve"> </v>
      </c>
      <c r="G69" s="4" t="str">
        <f ca="1">IF(OR(INDEX($X$2:$X$1001,MATCH(ROWS($W$2:W69),$W$2:$W$1001,0),1)&gt;=100000,INDEX($AD$1005:$AU$1005,1,MATCH(COLUMNS($AD$1006:AI1006),$AD$1006:$AU$1006,0))&gt;=100000), " ",IF(INDEX($AD$2:$AU$1001,MATCH(ROWS($W$2:W69),$W$2:$W$1001,0),MATCH(COLUMNS($AD$1006:AI1006),$AD$1006:$AU$1006,0)), HYPERLINK("#",""), HYPERLINK(CONCATENATE("#metadata!", ADDRESS(INDEX($Y$2:$Y$1001,MATCH(ROWS($W$2:W69),$W$2:$W$1001,0),0), INDEX($AD$1004:$AU$1004,1,MATCH(COLUMNS($AD$1006:AI1006),$AD$1006:$AU$1006,0)))),"Fix")))</f>
        <v xml:space="preserve"> </v>
      </c>
      <c r="H69" s="4" t="str">
        <f ca="1">IF(OR(INDEX($X$2:$X$1001,MATCH(ROWS($W$2:W69),$W$2:$W$1001,0),1)&gt;=100000,INDEX($AD$1005:$AU$1005,1,MATCH(COLUMNS($AD$1006:AJ1006),$AD$1006:$AU$1006,0))&gt;=100000), " ",IF(INDEX($AD$2:$AU$1001,MATCH(ROWS($W$2:W69),$W$2:$W$1001,0),MATCH(COLUMNS($AD$1006:AJ1006),$AD$1006:$AU$1006,0)), HYPERLINK("#",""), HYPERLINK(CONCATENATE("#metadata!", ADDRESS(INDEX($Y$2:$Y$1001,MATCH(ROWS($W$2:W69),$W$2:$W$1001,0),0), INDEX($AD$1004:$AU$1004,1,MATCH(COLUMNS($AD$1006:AJ1006),$AD$1006:$AU$1006,0)))),"Fix")))</f>
        <v xml:space="preserve"> </v>
      </c>
      <c r="I69" s="4" t="str">
        <f ca="1">IF(OR(INDEX($X$2:$X$1001,MATCH(ROWS($W$2:W69),$W$2:$W$1001,0),1)&gt;=100000,INDEX($AD$1005:$AU$1005,1,MATCH(COLUMNS($AD$1006:AK1006),$AD$1006:$AU$1006,0))&gt;=100000), " ",IF(INDEX($AD$2:$AU$1001,MATCH(ROWS($W$2:W69),$W$2:$W$1001,0),MATCH(COLUMNS($AD$1006:AK1006),$AD$1006:$AU$1006,0)), HYPERLINK("#",""), HYPERLINK(CONCATENATE("#metadata!", ADDRESS(INDEX($Y$2:$Y$1001,MATCH(ROWS($W$2:W69),$W$2:$W$1001,0),0), INDEX($AD$1004:$AU$1004,1,MATCH(COLUMNS($AD$1006:AK1006),$AD$1006:$AU$1006,0)))),"Fix")))</f>
        <v xml:space="preserve"> </v>
      </c>
      <c r="J69" s="4" t="str">
        <f ca="1">IF(OR(INDEX($X$2:$X$1001,MATCH(ROWS($W$2:W69),$W$2:$W$1001,0),1)&gt;=100000,INDEX($AD$1005:$AU$1005,1,MATCH(COLUMNS($AD$1006:AL1006),$AD$1006:$AU$1006,0))&gt;=100000), " ",IF(INDEX($AD$2:$AU$1001,MATCH(ROWS($W$2:W69),$W$2:$W$1001,0),MATCH(COLUMNS($AD$1006:AL1006),$AD$1006:$AU$1006,0)), HYPERLINK("#",""), HYPERLINK(CONCATENATE("#metadata!", ADDRESS(INDEX($Y$2:$Y$1001,MATCH(ROWS($W$2:W69),$W$2:$W$1001,0),0), INDEX($AD$1004:$AU$1004,1,MATCH(COLUMNS($AD$1006:AL1006),$AD$1006:$AU$1006,0)))),"Fix")))</f>
        <v xml:space="preserve"> </v>
      </c>
      <c r="K69" s="4" t="str">
        <f ca="1">IF(OR(INDEX($X$2:$X$1001,MATCH(ROWS($W$2:W69),$W$2:$W$1001,0),1)&gt;=100000,INDEX($AD$1005:$AU$1005,1,MATCH(COLUMNS($AD$1006:AM1006),$AD$1006:$AU$1006,0))&gt;=100000), " ",IF(INDEX($AD$2:$AU$1001,MATCH(ROWS($W$2:W69),$W$2:$W$1001,0),MATCH(COLUMNS($AD$1006:AM1006),$AD$1006:$AU$1006,0)), HYPERLINK("#",""), HYPERLINK(CONCATENATE("#metadata!", ADDRESS(INDEX($Y$2:$Y$1001,MATCH(ROWS($W$2:W69),$W$2:$W$1001,0),0), INDEX($AD$1004:$AU$1004,1,MATCH(COLUMNS($AD$1006:AM1006),$AD$1006:$AU$1006,0)))),"Fix")))</f>
        <v xml:space="preserve"> </v>
      </c>
      <c r="L69" s="4" t="str">
        <f ca="1">IF(OR(INDEX($X$2:$X$1001,MATCH(ROWS($W$2:W69),$W$2:$W$1001,0),1)&gt;=100000,INDEX($AD$1005:$AU$1005,1,MATCH(COLUMNS($AD$1006:AN1006),$AD$1006:$AU$1006,0))&gt;=100000), " ",IF(INDEX($AD$2:$AU$1001,MATCH(ROWS($W$2:W69),$W$2:$W$1001,0),MATCH(COLUMNS($AD$1006:AN1006),$AD$1006:$AU$1006,0)), HYPERLINK("#",""), HYPERLINK(CONCATENATE("#metadata!", ADDRESS(INDEX($Y$2:$Y$1001,MATCH(ROWS($W$2:W69),$W$2:$W$1001,0),0), INDEX($AD$1004:$AU$1004,1,MATCH(COLUMNS($AD$1006:AN1006),$AD$1006:$AU$1006,0)))),"Fix")))</f>
        <v xml:space="preserve"> </v>
      </c>
      <c r="M69" s="4" t="str">
        <f ca="1">IF(OR(INDEX($X$2:$X$1001,MATCH(ROWS($W$2:W69),$W$2:$W$1001,0),1)&gt;=100000,INDEX($AD$1005:$AU$1005,1,MATCH(COLUMNS($AD$1006:AO1006),$AD$1006:$AU$1006,0))&gt;=100000), " ",IF(INDEX($AD$2:$AU$1001,MATCH(ROWS($W$2:W69),$W$2:$W$1001,0),MATCH(COLUMNS($AD$1006:AO1006),$AD$1006:$AU$1006,0)), HYPERLINK("#",""), HYPERLINK(CONCATENATE("#metadata!", ADDRESS(INDEX($Y$2:$Y$1001,MATCH(ROWS($W$2:W69),$W$2:$W$1001,0),0), INDEX($AD$1004:$AU$1004,1,MATCH(COLUMNS($AD$1006:AO1006),$AD$1006:$AU$1006,0)))),"Fix")))</f>
        <v xml:space="preserve"> </v>
      </c>
      <c r="N69" s="4" t="str">
        <f ca="1">IF(OR(INDEX($X$2:$X$1001,MATCH(ROWS($W$2:W69),$W$2:$W$1001,0),1)&gt;=100000,INDEX($AD$1005:$AU$1005,1,MATCH(COLUMNS($AD$1006:AP1006),$AD$1006:$AU$1006,0))&gt;=100000), " ",IF(INDEX($AD$2:$AU$1001,MATCH(ROWS($W$2:W69),$W$2:$W$1001,0),MATCH(COLUMNS($AD$1006:AP1006),$AD$1006:$AU$1006,0)), HYPERLINK("#",""), HYPERLINK(CONCATENATE("#metadata!", ADDRESS(INDEX($Y$2:$Y$1001,MATCH(ROWS($W$2:W69),$W$2:$W$1001,0),0), INDEX($AD$1004:$AU$1004,1,MATCH(COLUMNS($AD$1006:AP1006),$AD$1006:$AU$1006,0)))),"Fix")))</f>
        <v xml:space="preserve"> </v>
      </c>
      <c r="O69" s="4" t="str">
        <f ca="1">IF(OR(INDEX($X$2:$X$1001,MATCH(ROWS($W$2:W69),$W$2:$W$1001,0),1)&gt;=100000,INDEX($AD$1005:$AU$1005,1,MATCH(COLUMNS($AD$1006:AQ1006),$AD$1006:$AU$1006,0))&gt;=100000), " ",IF(INDEX($AD$2:$AU$1001,MATCH(ROWS($W$2:W69),$W$2:$W$1001,0),MATCH(COLUMNS($AD$1006:AQ1006),$AD$1006:$AU$1006,0)), HYPERLINK("#",""), HYPERLINK(CONCATENATE("#metadata!", ADDRESS(INDEX($Y$2:$Y$1001,MATCH(ROWS($W$2:W69),$W$2:$W$1001,0),0), INDEX($AD$1004:$AU$1004,1,MATCH(COLUMNS($AD$1006:AQ1006),$AD$1006:$AU$1006,0)))),"Fix")))</f>
        <v xml:space="preserve"> </v>
      </c>
      <c r="P69" s="4" t="str">
        <f ca="1">IF(OR(INDEX($X$2:$X$1001,MATCH(ROWS($W$2:W69),$W$2:$W$1001,0),1)&gt;=100000,INDEX($AD$1005:$AU$1005,1,MATCH(COLUMNS($AD$1006:AR1006),$AD$1006:$AU$1006,0))&gt;=100000), " ",IF(INDEX($AD$2:$AU$1001,MATCH(ROWS($W$2:W69),$W$2:$W$1001,0),MATCH(COLUMNS($AD$1006:AR1006),$AD$1006:$AU$1006,0)), HYPERLINK("#",""), HYPERLINK(CONCATENATE("#metadata!", ADDRESS(INDEX($Y$2:$Y$1001,MATCH(ROWS($W$2:W69),$W$2:$W$1001,0),0), INDEX($AD$1004:$AU$1004,1,MATCH(COLUMNS($AD$1006:AR1006),$AD$1006:$AU$1006,0)))),"Fix")))</f>
        <v xml:space="preserve"> </v>
      </c>
      <c r="Q69" s="4" t="str">
        <f ca="1">IF(OR(INDEX($X$2:$X$1001,MATCH(ROWS($W$2:W69),$W$2:$W$1001,0),1)&gt;=100000,INDEX($AD$1005:$AU$1005,1,MATCH(COLUMNS($AD$1006:AS1006),$AD$1006:$AU$1006,0))&gt;=100000), " ",IF(INDEX($AD$2:$AU$1001,MATCH(ROWS($W$2:W69),$W$2:$W$1001,0),MATCH(COLUMNS($AD$1006:AS1006),$AD$1006:$AU$1006,0)), HYPERLINK("#",""), HYPERLINK(CONCATENATE("#metadata!", ADDRESS(INDEX($Y$2:$Y$1001,MATCH(ROWS($W$2:W69),$W$2:$W$1001,0),0), INDEX($AD$1004:$AU$1004,1,MATCH(COLUMNS($AD$1006:AS1006),$AD$1006:$AU$1006,0)))),"Fix")))</f>
        <v xml:space="preserve"> </v>
      </c>
      <c r="R69" s="4" t="str">
        <f ca="1">IF(OR(INDEX($X$2:$X$1001,MATCH(ROWS($W$2:W69),$W$2:$W$1001,0),1)&gt;=100000,INDEX($AD$1005:$AU$1005,1,MATCH(COLUMNS($AD$1006:AT1006),$AD$1006:$AU$1006,0))&gt;=100000), " ",IF(INDEX($AD$2:$AU$1001,MATCH(ROWS($W$2:W69),$W$2:$W$1001,0),MATCH(COLUMNS($AD$1006:AT1006),$AD$1006:$AU$1006,0)), HYPERLINK("#",""), HYPERLINK(CONCATENATE("#metadata!", ADDRESS(INDEX($Y$2:$Y$1001,MATCH(ROWS($W$2:W69),$W$2:$W$1001,0),0), INDEX($AD$1004:$AU$1004,1,MATCH(COLUMNS($AD$1006:AT1006),$AD$1006:$AU$1006,0)))),"Fix")))</f>
        <v xml:space="preserve"> </v>
      </c>
      <c r="S69" s="4" t="str">
        <f ca="1">IF(OR(INDEX($X$2:$X$1001,MATCH(ROWS($W$2:W69),$W$2:$W$1001,0),1)&gt;=100000,INDEX($AD$1005:$AU$1005,1,MATCH(COLUMNS($AD$1006:AU1006),$AD$1006:$AU$1006,0))&gt;=100000), " ",IF(INDEX($AD$2:$AU$1001,MATCH(ROWS($W$2:W69),$W$2:$W$1001,0),MATCH(COLUMNS($AD$1006:AU1006),$AD$1006:$AU$1006,0)), HYPERLINK("#",""), HYPERLINK(CONCATENATE("#metadata!", ADDRESS(INDEX($Y$2:$Y$1001,MATCH(ROWS($W$2:W69),$W$2:$W$1001,0),0), INDEX($AD$1004:$AU$1004,1,MATCH(COLUMNS($AD$1006:AU1006),$AD$1006:$AU$1006,0)))),"Fix")))</f>
        <v xml:space="preserve"> </v>
      </c>
      <c r="W69">
        <v>68</v>
      </c>
      <c r="X69">
        <v>100069</v>
      </c>
      <c r="Y69">
        <v>69</v>
      </c>
      <c r="Z69" t="b">
        <f t="shared" si="1"/>
        <v>1</v>
      </c>
      <c r="AA69" t="b">
        <f>COUNTBLANK(metadata!B69:S69)=COLUMNS(metadata!B69:S69)</f>
        <v>1</v>
      </c>
      <c r="AB69" t="str">
        <v/>
      </c>
      <c r="AD69" t="b">
        <f ca="1">AND(IF(metadata!B69="",FALSE,TRUE),COUNTIF(metadata!B:B, metadata!B69) = 1,NOT(ISERROR(SUMPRODUCT(SEARCH(MID(metadata!B69,ROW(INDIRECT("1:"&amp;LEN(metadata!B69))), 1),"0123456789abcdefghijklmnopqrstuvwxyzABCDEFGHIJKLMNOPQRSTUVWXYZ.")))))</f>
        <v>0</v>
      </c>
      <c r="AE69" t="b">
        <f>OR(AND(IF(metadata!C69="",FALSE,TRUE),OR(EXACT(metadata!C69,"not applicable"),EXACT(metadata!C69,"missing: not collected"),EXACT(metadata!C69,"missing: not provided"),EXACT(metadata!C69,"missing: restricted access"))),AND(IF(metadata!C69="",FALSE,ISNUMBER(VALUE(metadata!C69))),metadata!C69&gt;0))</f>
        <v>0</v>
      </c>
      <c r="AF69" t="b">
        <f>AND(IF(metadata!D69="",FALSE,TRUE),EXACT(metadata!D69,"missing: not provided"))</f>
        <v>0</v>
      </c>
      <c r="AG69" t="b">
        <f>AND(IF(metadata!E69="",FALSE,TRUE),EXACT(metadata!E69,"Host-associated"))</f>
        <v>0</v>
      </c>
      <c r="AH69" t="b">
        <f>AND(IF(metadata!F69="",FALSE,TRUE),OR(EXACT(metadata!F69,"Animal"),EXACT(metadata!F69,"Fungus"),EXACT(metadata!F69,"Plant")))</f>
        <v>0</v>
      </c>
      <c r="AI69" t="b">
        <f>AND(IF(metadata!G69="",FALSE,TRUE),OR(EXACT(metadata!G69,"Plant secretion"),EXACT(metadata!G69,"Plant rhizosphere"),EXACT(metadata!G69,"Plant surface"),EXACT(metadata!G69,"Plant corpus"),EXACT(metadata!G69,"Fungus surface"),EXACT(metadata!G69,"Fungus corpus"),EXACT(metadata!G69,"Animal surface"),EXACT(metadata!G69,"Animal proximal gut"),EXACT(metadata!G69,"Animal corpus"),EXACT(metadata!G69,"Animal distal gut"),EXACT(metadata!G69,"Animal secretion")))</f>
        <v>0</v>
      </c>
      <c r="AJ69" t="b">
        <f>OR(AND(IF(metadata!H69="",FALSE,TRUE),OR(EXACT(metadata!H69,"missing: not collected"),EXACT(metadata!H69,"missing: not provided"),EXACT(metadata!H69,"missing: restricted access"))),AND(IF(metadata!H69="",FALSE,TRUE),OR(EXACT(metadata!H69,"organism-associated habitat"),EXACT(metadata!H69,"plant-associated habitat"),EXACT(metadata!H69,"animal-associated habitat"),EXACT(metadata!H69,"insecta-associated habitat"),EXACT(metadata!H69,"mammalia-associated habitat"),EXACT(metadata!H69,"human-associated habitat"),EXACT(metadata!H69,"livestock-associated habitat"))))</f>
        <v>0</v>
      </c>
      <c r="AK69" t="b">
        <f>AND(IF(metadata!I69="",FALSE,TRUE),EXACT(metadata!I69,"host-associated"))</f>
        <v>0</v>
      </c>
      <c r="AL69" t="b">
        <f>OR(AND(IF(metadata!J69="",FALSE,TRUE),OR(EXACT(metadata!J69,"not applicable"),EXACT(metadata!J69,"missing: not collected"),EXACT(metadata!J69,"missing: not provided"),EXACT(metadata!J69,"missing: restricted access"))),AND(IF(metadata!J69="",FALSE,ISNUMBER(VALUE(metadata!J69))),metadata!J69&gt;0))</f>
        <v>0</v>
      </c>
      <c r="AM69" t="b">
        <f>AND(IF(metadata!K69="",FALSE,TRUE),EXACT(metadata!K69,"missing: not provided"))</f>
        <v>0</v>
      </c>
      <c r="AN69" t="b">
        <f>IF(metadata!L69="",FALSE,TRUE)</f>
        <v>0</v>
      </c>
      <c r="AO69" t="b">
        <f>IF(metadata!M69="",FALSE,TRUE)</f>
        <v>0</v>
      </c>
      <c r="AP69" t="b">
        <f>OR(AND(IF(metadata!N69="",FALSE,TRUE),OR(EXACT(metadata!N69,"not applicable"),EXACT(metadata!N69,"missing: not collected"),EXACT(metadata!N69,"missing: not provided"))),AND(IF(metadata!N69="",FALSE,IF(ISERROR(INT(metadata!N69)),FALSE,INT(metadata!N69)=metadata!N69)),metadata!N69&gt;0))</f>
        <v>0</v>
      </c>
      <c r="AQ69" t="b">
        <f>AND(IF(metadata!O69="",FALSE,TRUE),EXACT(metadata!O69,"Not applicable"))</f>
        <v>0</v>
      </c>
      <c r="AR69" t="b">
        <f>OR(AND(IF(metadata!P69="",FALSE,TRUE),OR(EXACT(metadata!P69,"not applicable"),EXACT(metadata!P69,"missing: not collected"),EXACT(metadata!P69,"missing: not provided"),EXACT(metadata!P69,"missing: restricted access"))),IF(metadata!P69="",FALSE,IF(ISERROR(INT(metadata!P69)),FALSE,INT(metadata!P69)=metadata!P69)))</f>
        <v>0</v>
      </c>
      <c r="AS69" t="b">
        <f>AND(IF(metadata!Q69="",FALSE,TRUE),EXACT(metadata!Q69,"Not applicable"))</f>
        <v>0</v>
      </c>
      <c r="AT69" t="b">
        <f>OR(AND(IF(metadata!R69="",FALSE,TRUE),OR(EXACT(metadata!R69,"not applicable"),EXACT(metadata!R69,"missing: not collected"),EXACT(metadata!R69,"missing: not provided"),EXACT(metadata!R69,"missing: restricted access"))),AND(IF(metadata!R69="",FALSE,ISNUMBER(VALUE(metadata!R69))),metadata!R69&gt;0))</f>
        <v>0</v>
      </c>
      <c r="AU69" t="b">
        <f>AND(IF(metadata!S69="",FALSE,TRUE),EXACT(metadata!S69,"missing: not provided"))</f>
        <v>0</v>
      </c>
    </row>
    <row r="70" spans="1:47" x14ac:dyDescent="0.2">
      <c r="A70" s="5" t="str">
        <f ca="1">IF(B70=" "," ",HYPERLINK(CONCATENATE("#metadata!",ADDRESS(INDEX($Y$2:$Y$1001,MATCH(ROWS($W$2:W70),$W$2:$W$1001,0),0),1)),INDEX($AB$2:$AB$1001,MATCH(ROWS($W$2:W70),$W$2:$W$1001,0),0)))</f>
        <v xml:space="preserve"> </v>
      </c>
      <c r="B70" s="4" t="str">
        <f ca="1">IF(OR(INDEX($X$2:$X$1001,MATCH(ROWS($W$2:W70),$W$2:$W$1001,0),1)&gt;=100000,INDEX($AD$1005:$AU$1005,1,MATCH(COLUMNS($AD$1006:AD1006),$AD$1006:$AU$1006,0))&gt;=100000), " ",IF(INDEX($AD$2:$AU$1001,MATCH(ROWS($W$2:W70),$W$2:$W$1001,0),MATCH(COLUMNS($AD$1006:AD1006),$AD$1006:$AU$1006,0)), HYPERLINK("#",""), HYPERLINK(CONCATENATE("#metadata!", ADDRESS(INDEX($Y$2:$Y$1001,MATCH(ROWS($W$2:W70),$W$2:$W$1001,0),0), INDEX($AD$1004:$AU$1004,1,MATCH(COLUMNS($AD$1006:AD1006),$AD$1006:$AU$1006,0)))),"Fix")))</f>
        <v xml:space="preserve"> </v>
      </c>
      <c r="C70" s="4" t="str">
        <f ca="1">IF(OR(INDEX($X$2:$X$1001,MATCH(ROWS($W$2:W70),$W$2:$W$1001,0),1)&gt;=100000,INDEX($AD$1005:$AU$1005,1,MATCH(COLUMNS($AD$1006:AE1006),$AD$1006:$AU$1006,0))&gt;=100000), " ",IF(INDEX($AD$2:$AU$1001,MATCH(ROWS($W$2:W70),$W$2:$W$1001,0),MATCH(COLUMNS($AD$1006:AE1006),$AD$1006:$AU$1006,0)), HYPERLINK("#",""), HYPERLINK(CONCATENATE("#metadata!", ADDRESS(INDEX($Y$2:$Y$1001,MATCH(ROWS($W$2:W70),$W$2:$W$1001,0),0), INDEX($AD$1004:$AU$1004,1,MATCH(COLUMNS($AD$1006:AE1006),$AD$1006:$AU$1006,0)))),"Fix")))</f>
        <v xml:space="preserve"> </v>
      </c>
      <c r="D70" s="4" t="str">
        <f ca="1">IF(OR(INDEX($X$2:$X$1001,MATCH(ROWS($W$2:W70),$W$2:$W$1001,0),1)&gt;=100000,INDEX($AD$1005:$AU$1005,1,MATCH(COLUMNS($AD$1006:AF1006),$AD$1006:$AU$1006,0))&gt;=100000), " ",IF(INDEX($AD$2:$AU$1001,MATCH(ROWS($W$2:W70),$W$2:$W$1001,0),MATCH(COLUMNS($AD$1006:AF1006),$AD$1006:$AU$1006,0)), HYPERLINK("#",""), HYPERLINK(CONCATENATE("#metadata!", ADDRESS(INDEX($Y$2:$Y$1001,MATCH(ROWS($W$2:W70),$W$2:$W$1001,0),0), INDEX($AD$1004:$AU$1004,1,MATCH(COLUMNS($AD$1006:AF1006),$AD$1006:$AU$1006,0)))),"Fix")))</f>
        <v xml:space="preserve"> </v>
      </c>
      <c r="E70" s="4" t="str">
        <f ca="1">IF(OR(INDEX($X$2:$X$1001,MATCH(ROWS($W$2:W70),$W$2:$W$1001,0),1)&gt;=100000,INDEX($AD$1005:$AU$1005,1,MATCH(COLUMNS($AD$1006:AG1006),$AD$1006:$AU$1006,0))&gt;=100000), " ",IF(INDEX($AD$2:$AU$1001,MATCH(ROWS($W$2:W70),$W$2:$W$1001,0),MATCH(COLUMNS($AD$1006:AG1006),$AD$1006:$AU$1006,0)), HYPERLINK("#",""), HYPERLINK(CONCATENATE("#metadata!", ADDRESS(INDEX($Y$2:$Y$1001,MATCH(ROWS($W$2:W70),$W$2:$W$1001,0),0), INDEX($AD$1004:$AU$1004,1,MATCH(COLUMNS($AD$1006:AG1006),$AD$1006:$AU$1006,0)))),"Fix")))</f>
        <v xml:space="preserve"> </v>
      </c>
      <c r="F70" s="4" t="str">
        <f ca="1">IF(OR(INDEX($X$2:$X$1001,MATCH(ROWS($W$2:W70),$W$2:$W$1001,0),1)&gt;=100000,INDEX($AD$1005:$AU$1005,1,MATCH(COLUMNS($AD$1006:AH1006),$AD$1006:$AU$1006,0))&gt;=100000), " ",IF(INDEX($AD$2:$AU$1001,MATCH(ROWS($W$2:W70),$W$2:$W$1001,0),MATCH(COLUMNS($AD$1006:AH1006),$AD$1006:$AU$1006,0)), HYPERLINK("#",""), HYPERLINK(CONCATENATE("#metadata!", ADDRESS(INDEX($Y$2:$Y$1001,MATCH(ROWS($W$2:W70),$W$2:$W$1001,0),0), INDEX($AD$1004:$AU$1004,1,MATCH(COLUMNS($AD$1006:AH1006),$AD$1006:$AU$1006,0)))),"Fix")))</f>
        <v xml:space="preserve"> </v>
      </c>
      <c r="G70" s="4" t="str">
        <f ca="1">IF(OR(INDEX($X$2:$X$1001,MATCH(ROWS($W$2:W70),$W$2:$W$1001,0),1)&gt;=100000,INDEX($AD$1005:$AU$1005,1,MATCH(COLUMNS($AD$1006:AI1006),$AD$1006:$AU$1006,0))&gt;=100000), " ",IF(INDEX($AD$2:$AU$1001,MATCH(ROWS($W$2:W70),$W$2:$W$1001,0),MATCH(COLUMNS($AD$1006:AI1006),$AD$1006:$AU$1006,0)), HYPERLINK("#",""), HYPERLINK(CONCATENATE("#metadata!", ADDRESS(INDEX($Y$2:$Y$1001,MATCH(ROWS($W$2:W70),$W$2:$W$1001,0),0), INDEX($AD$1004:$AU$1004,1,MATCH(COLUMNS($AD$1006:AI1006),$AD$1006:$AU$1006,0)))),"Fix")))</f>
        <v xml:space="preserve"> </v>
      </c>
      <c r="H70" s="4" t="str">
        <f ca="1">IF(OR(INDEX($X$2:$X$1001,MATCH(ROWS($W$2:W70),$W$2:$W$1001,0),1)&gt;=100000,INDEX($AD$1005:$AU$1005,1,MATCH(COLUMNS($AD$1006:AJ1006),$AD$1006:$AU$1006,0))&gt;=100000), " ",IF(INDEX($AD$2:$AU$1001,MATCH(ROWS($W$2:W70),$W$2:$W$1001,0),MATCH(COLUMNS($AD$1006:AJ1006),$AD$1006:$AU$1006,0)), HYPERLINK("#",""), HYPERLINK(CONCATENATE("#metadata!", ADDRESS(INDEX($Y$2:$Y$1001,MATCH(ROWS($W$2:W70),$W$2:$W$1001,0),0), INDEX($AD$1004:$AU$1004,1,MATCH(COLUMNS($AD$1006:AJ1006),$AD$1006:$AU$1006,0)))),"Fix")))</f>
        <v xml:space="preserve"> </v>
      </c>
      <c r="I70" s="4" t="str">
        <f ca="1">IF(OR(INDEX($X$2:$X$1001,MATCH(ROWS($W$2:W70),$W$2:$W$1001,0),1)&gt;=100000,INDEX($AD$1005:$AU$1005,1,MATCH(COLUMNS($AD$1006:AK1006),$AD$1006:$AU$1006,0))&gt;=100000), " ",IF(INDEX($AD$2:$AU$1001,MATCH(ROWS($W$2:W70),$W$2:$W$1001,0),MATCH(COLUMNS($AD$1006:AK1006),$AD$1006:$AU$1006,0)), HYPERLINK("#",""), HYPERLINK(CONCATENATE("#metadata!", ADDRESS(INDEX($Y$2:$Y$1001,MATCH(ROWS($W$2:W70),$W$2:$W$1001,0),0), INDEX($AD$1004:$AU$1004,1,MATCH(COLUMNS($AD$1006:AK1006),$AD$1006:$AU$1006,0)))),"Fix")))</f>
        <v xml:space="preserve"> </v>
      </c>
      <c r="J70" s="4" t="str">
        <f ca="1">IF(OR(INDEX($X$2:$X$1001,MATCH(ROWS($W$2:W70),$W$2:$W$1001,0),1)&gt;=100000,INDEX($AD$1005:$AU$1005,1,MATCH(COLUMNS($AD$1006:AL1006),$AD$1006:$AU$1006,0))&gt;=100000), " ",IF(INDEX($AD$2:$AU$1001,MATCH(ROWS($W$2:W70),$W$2:$W$1001,0),MATCH(COLUMNS($AD$1006:AL1006),$AD$1006:$AU$1006,0)), HYPERLINK("#",""), HYPERLINK(CONCATENATE("#metadata!", ADDRESS(INDEX($Y$2:$Y$1001,MATCH(ROWS($W$2:W70),$W$2:$W$1001,0),0), INDEX($AD$1004:$AU$1004,1,MATCH(COLUMNS($AD$1006:AL1006),$AD$1006:$AU$1006,0)))),"Fix")))</f>
        <v xml:space="preserve"> </v>
      </c>
      <c r="K70" s="4" t="str">
        <f ca="1">IF(OR(INDEX($X$2:$X$1001,MATCH(ROWS($W$2:W70),$W$2:$W$1001,0),1)&gt;=100000,INDEX($AD$1005:$AU$1005,1,MATCH(COLUMNS($AD$1006:AM1006),$AD$1006:$AU$1006,0))&gt;=100000), " ",IF(INDEX($AD$2:$AU$1001,MATCH(ROWS($W$2:W70),$W$2:$W$1001,0),MATCH(COLUMNS($AD$1006:AM1006),$AD$1006:$AU$1006,0)), HYPERLINK("#",""), HYPERLINK(CONCATENATE("#metadata!", ADDRESS(INDEX($Y$2:$Y$1001,MATCH(ROWS($W$2:W70),$W$2:$W$1001,0),0), INDEX($AD$1004:$AU$1004,1,MATCH(COLUMNS($AD$1006:AM1006),$AD$1006:$AU$1006,0)))),"Fix")))</f>
        <v xml:space="preserve"> </v>
      </c>
      <c r="L70" s="4" t="str">
        <f ca="1">IF(OR(INDEX($X$2:$X$1001,MATCH(ROWS($W$2:W70),$W$2:$W$1001,0),1)&gt;=100000,INDEX($AD$1005:$AU$1005,1,MATCH(COLUMNS($AD$1006:AN1006),$AD$1006:$AU$1006,0))&gt;=100000), " ",IF(INDEX($AD$2:$AU$1001,MATCH(ROWS($W$2:W70),$W$2:$W$1001,0),MATCH(COLUMNS($AD$1006:AN1006),$AD$1006:$AU$1006,0)), HYPERLINK("#",""), HYPERLINK(CONCATENATE("#metadata!", ADDRESS(INDEX($Y$2:$Y$1001,MATCH(ROWS($W$2:W70),$W$2:$W$1001,0),0), INDEX($AD$1004:$AU$1004,1,MATCH(COLUMNS($AD$1006:AN1006),$AD$1006:$AU$1006,0)))),"Fix")))</f>
        <v xml:space="preserve"> </v>
      </c>
      <c r="M70" s="4" t="str">
        <f ca="1">IF(OR(INDEX($X$2:$X$1001,MATCH(ROWS($W$2:W70),$W$2:$W$1001,0),1)&gt;=100000,INDEX($AD$1005:$AU$1005,1,MATCH(COLUMNS($AD$1006:AO1006),$AD$1006:$AU$1006,0))&gt;=100000), " ",IF(INDEX($AD$2:$AU$1001,MATCH(ROWS($W$2:W70),$W$2:$W$1001,0),MATCH(COLUMNS($AD$1006:AO1006),$AD$1006:$AU$1006,0)), HYPERLINK("#",""), HYPERLINK(CONCATENATE("#metadata!", ADDRESS(INDEX($Y$2:$Y$1001,MATCH(ROWS($W$2:W70),$W$2:$W$1001,0),0), INDEX($AD$1004:$AU$1004,1,MATCH(COLUMNS($AD$1006:AO1006),$AD$1006:$AU$1006,0)))),"Fix")))</f>
        <v xml:space="preserve"> </v>
      </c>
      <c r="N70" s="4" t="str">
        <f ca="1">IF(OR(INDEX($X$2:$X$1001,MATCH(ROWS($W$2:W70),$W$2:$W$1001,0),1)&gt;=100000,INDEX($AD$1005:$AU$1005,1,MATCH(COLUMNS($AD$1006:AP1006),$AD$1006:$AU$1006,0))&gt;=100000), " ",IF(INDEX($AD$2:$AU$1001,MATCH(ROWS($W$2:W70),$W$2:$W$1001,0),MATCH(COLUMNS($AD$1006:AP1006),$AD$1006:$AU$1006,0)), HYPERLINK("#",""), HYPERLINK(CONCATENATE("#metadata!", ADDRESS(INDEX($Y$2:$Y$1001,MATCH(ROWS($W$2:W70),$W$2:$W$1001,0),0), INDEX($AD$1004:$AU$1004,1,MATCH(COLUMNS($AD$1006:AP1006),$AD$1006:$AU$1006,0)))),"Fix")))</f>
        <v xml:space="preserve"> </v>
      </c>
      <c r="O70" s="4" t="str">
        <f ca="1">IF(OR(INDEX($X$2:$X$1001,MATCH(ROWS($W$2:W70),$W$2:$W$1001,0),1)&gt;=100000,INDEX($AD$1005:$AU$1005,1,MATCH(COLUMNS($AD$1006:AQ1006),$AD$1006:$AU$1006,0))&gt;=100000), " ",IF(INDEX($AD$2:$AU$1001,MATCH(ROWS($W$2:W70),$W$2:$W$1001,0),MATCH(COLUMNS($AD$1006:AQ1006),$AD$1006:$AU$1006,0)), HYPERLINK("#",""), HYPERLINK(CONCATENATE("#metadata!", ADDRESS(INDEX($Y$2:$Y$1001,MATCH(ROWS($W$2:W70),$W$2:$W$1001,0),0), INDEX($AD$1004:$AU$1004,1,MATCH(COLUMNS($AD$1006:AQ1006),$AD$1006:$AU$1006,0)))),"Fix")))</f>
        <v xml:space="preserve"> </v>
      </c>
      <c r="P70" s="4" t="str">
        <f ca="1">IF(OR(INDEX($X$2:$X$1001,MATCH(ROWS($W$2:W70),$W$2:$W$1001,0),1)&gt;=100000,INDEX($AD$1005:$AU$1005,1,MATCH(COLUMNS($AD$1006:AR1006),$AD$1006:$AU$1006,0))&gt;=100000), " ",IF(INDEX($AD$2:$AU$1001,MATCH(ROWS($W$2:W70),$W$2:$W$1001,0),MATCH(COLUMNS($AD$1006:AR1006),$AD$1006:$AU$1006,0)), HYPERLINK("#",""), HYPERLINK(CONCATENATE("#metadata!", ADDRESS(INDEX($Y$2:$Y$1001,MATCH(ROWS($W$2:W70),$W$2:$W$1001,0),0), INDEX($AD$1004:$AU$1004,1,MATCH(COLUMNS($AD$1006:AR1006),$AD$1006:$AU$1006,0)))),"Fix")))</f>
        <v xml:space="preserve"> </v>
      </c>
      <c r="Q70" s="4" t="str">
        <f ca="1">IF(OR(INDEX($X$2:$X$1001,MATCH(ROWS($W$2:W70),$W$2:$W$1001,0),1)&gt;=100000,INDEX($AD$1005:$AU$1005,1,MATCH(COLUMNS($AD$1006:AS1006),$AD$1006:$AU$1006,0))&gt;=100000), " ",IF(INDEX($AD$2:$AU$1001,MATCH(ROWS($W$2:W70),$W$2:$W$1001,0),MATCH(COLUMNS($AD$1006:AS1006),$AD$1006:$AU$1006,0)), HYPERLINK("#",""), HYPERLINK(CONCATENATE("#metadata!", ADDRESS(INDEX($Y$2:$Y$1001,MATCH(ROWS($W$2:W70),$W$2:$W$1001,0),0), INDEX($AD$1004:$AU$1004,1,MATCH(COLUMNS($AD$1006:AS1006),$AD$1006:$AU$1006,0)))),"Fix")))</f>
        <v xml:space="preserve"> </v>
      </c>
      <c r="R70" s="4" t="str">
        <f ca="1">IF(OR(INDEX($X$2:$X$1001,MATCH(ROWS($W$2:W70),$W$2:$W$1001,0),1)&gt;=100000,INDEX($AD$1005:$AU$1005,1,MATCH(COLUMNS($AD$1006:AT1006),$AD$1006:$AU$1006,0))&gt;=100000), " ",IF(INDEX($AD$2:$AU$1001,MATCH(ROWS($W$2:W70),$W$2:$W$1001,0),MATCH(COLUMNS($AD$1006:AT1006),$AD$1006:$AU$1006,0)), HYPERLINK("#",""), HYPERLINK(CONCATENATE("#metadata!", ADDRESS(INDEX($Y$2:$Y$1001,MATCH(ROWS($W$2:W70),$W$2:$W$1001,0),0), INDEX($AD$1004:$AU$1004,1,MATCH(COLUMNS($AD$1006:AT1006),$AD$1006:$AU$1006,0)))),"Fix")))</f>
        <v xml:space="preserve"> </v>
      </c>
      <c r="S70" s="4" t="str">
        <f ca="1">IF(OR(INDEX($X$2:$X$1001,MATCH(ROWS($W$2:W70),$W$2:$W$1001,0),1)&gt;=100000,INDEX($AD$1005:$AU$1005,1,MATCH(COLUMNS($AD$1006:AU1006),$AD$1006:$AU$1006,0))&gt;=100000), " ",IF(INDEX($AD$2:$AU$1001,MATCH(ROWS($W$2:W70),$W$2:$W$1001,0),MATCH(COLUMNS($AD$1006:AU1006),$AD$1006:$AU$1006,0)), HYPERLINK("#",""), HYPERLINK(CONCATENATE("#metadata!", ADDRESS(INDEX($Y$2:$Y$1001,MATCH(ROWS($W$2:W70),$W$2:$W$1001,0),0), INDEX($AD$1004:$AU$1004,1,MATCH(COLUMNS($AD$1006:AU1006),$AD$1006:$AU$1006,0)))),"Fix")))</f>
        <v xml:space="preserve"> </v>
      </c>
      <c r="W70">
        <v>69</v>
      </c>
      <c r="X70">
        <v>100070</v>
      </c>
      <c r="Y70">
        <v>70</v>
      </c>
      <c r="Z70" t="b">
        <f t="shared" si="1"/>
        <v>1</v>
      </c>
      <c r="AA70" t="b">
        <f>COUNTBLANK(metadata!B70:S70)=COLUMNS(metadata!B70:S70)</f>
        <v>1</v>
      </c>
      <c r="AB70" t="str">
        <v/>
      </c>
      <c r="AD70" t="b">
        <f ca="1">AND(IF(metadata!B70="",FALSE,TRUE),COUNTIF(metadata!B:B, metadata!B70) = 1,NOT(ISERROR(SUMPRODUCT(SEARCH(MID(metadata!B70,ROW(INDIRECT("1:"&amp;LEN(metadata!B70))), 1),"0123456789abcdefghijklmnopqrstuvwxyzABCDEFGHIJKLMNOPQRSTUVWXYZ.")))))</f>
        <v>0</v>
      </c>
      <c r="AE70" t="b">
        <f>OR(AND(IF(metadata!C70="",FALSE,TRUE),OR(EXACT(metadata!C70,"not applicable"),EXACT(metadata!C70,"missing: not collected"),EXACT(metadata!C70,"missing: not provided"),EXACT(metadata!C70,"missing: restricted access"))),AND(IF(metadata!C70="",FALSE,ISNUMBER(VALUE(metadata!C70))),metadata!C70&gt;0))</f>
        <v>0</v>
      </c>
      <c r="AF70" t="b">
        <f>AND(IF(metadata!D70="",FALSE,TRUE),EXACT(metadata!D70,"missing: not provided"))</f>
        <v>0</v>
      </c>
      <c r="AG70" t="b">
        <f>AND(IF(metadata!E70="",FALSE,TRUE),EXACT(metadata!E70,"Host-associated"))</f>
        <v>0</v>
      </c>
      <c r="AH70" t="b">
        <f>AND(IF(metadata!F70="",FALSE,TRUE),OR(EXACT(metadata!F70,"Animal"),EXACT(metadata!F70,"Fungus"),EXACT(metadata!F70,"Plant")))</f>
        <v>0</v>
      </c>
      <c r="AI70" t="b">
        <f>AND(IF(metadata!G70="",FALSE,TRUE),OR(EXACT(metadata!G70,"Plant secretion"),EXACT(metadata!G70,"Plant rhizosphere"),EXACT(metadata!G70,"Plant surface"),EXACT(metadata!G70,"Plant corpus"),EXACT(metadata!G70,"Fungus surface"),EXACT(metadata!G70,"Fungus corpus"),EXACT(metadata!G70,"Animal surface"),EXACT(metadata!G70,"Animal proximal gut"),EXACT(metadata!G70,"Animal corpus"),EXACT(metadata!G70,"Animal distal gut"),EXACT(metadata!G70,"Animal secretion")))</f>
        <v>0</v>
      </c>
      <c r="AJ70" t="b">
        <f>OR(AND(IF(metadata!H70="",FALSE,TRUE),OR(EXACT(metadata!H70,"missing: not collected"),EXACT(metadata!H70,"missing: not provided"),EXACT(metadata!H70,"missing: restricted access"))),AND(IF(metadata!H70="",FALSE,TRUE),OR(EXACT(metadata!H70,"organism-associated habitat"),EXACT(metadata!H70,"plant-associated habitat"),EXACT(metadata!H70,"animal-associated habitat"),EXACT(metadata!H70,"insecta-associated habitat"),EXACT(metadata!H70,"mammalia-associated habitat"),EXACT(metadata!H70,"human-associated habitat"),EXACT(metadata!H70,"livestock-associated habitat"))))</f>
        <v>0</v>
      </c>
      <c r="AK70" t="b">
        <f>AND(IF(metadata!I70="",FALSE,TRUE),EXACT(metadata!I70,"host-associated"))</f>
        <v>0</v>
      </c>
      <c r="AL70" t="b">
        <f>OR(AND(IF(metadata!J70="",FALSE,TRUE),OR(EXACT(metadata!J70,"not applicable"),EXACT(metadata!J70,"missing: not collected"),EXACT(metadata!J70,"missing: not provided"),EXACT(metadata!J70,"missing: restricted access"))),AND(IF(metadata!J70="",FALSE,ISNUMBER(VALUE(metadata!J70))),metadata!J70&gt;0))</f>
        <v>0</v>
      </c>
      <c r="AM70" t="b">
        <f>AND(IF(metadata!K70="",FALSE,TRUE),EXACT(metadata!K70,"missing: not provided"))</f>
        <v>0</v>
      </c>
      <c r="AN70" t="b">
        <f>IF(metadata!L70="",FALSE,TRUE)</f>
        <v>0</v>
      </c>
      <c r="AO70" t="b">
        <f>IF(metadata!M70="",FALSE,TRUE)</f>
        <v>0</v>
      </c>
      <c r="AP70" t="b">
        <f>OR(AND(IF(metadata!N70="",FALSE,TRUE),OR(EXACT(metadata!N70,"not applicable"),EXACT(metadata!N70,"missing: not collected"),EXACT(metadata!N70,"missing: not provided"))),AND(IF(metadata!N70="",FALSE,IF(ISERROR(INT(metadata!N70)),FALSE,INT(metadata!N70)=metadata!N70)),metadata!N70&gt;0))</f>
        <v>0</v>
      </c>
      <c r="AQ70" t="b">
        <f>AND(IF(metadata!O70="",FALSE,TRUE),EXACT(metadata!O70,"Not applicable"))</f>
        <v>0</v>
      </c>
      <c r="AR70" t="b">
        <f>OR(AND(IF(metadata!P70="",FALSE,TRUE),OR(EXACT(metadata!P70,"not applicable"),EXACT(metadata!P70,"missing: not collected"),EXACT(metadata!P70,"missing: not provided"),EXACT(metadata!P70,"missing: restricted access"))),IF(metadata!P70="",FALSE,IF(ISERROR(INT(metadata!P70)),FALSE,INT(metadata!P70)=metadata!P70)))</f>
        <v>0</v>
      </c>
      <c r="AS70" t="b">
        <f>AND(IF(metadata!Q70="",FALSE,TRUE),EXACT(metadata!Q70,"Not applicable"))</f>
        <v>0</v>
      </c>
      <c r="AT70" t="b">
        <f>OR(AND(IF(metadata!R70="",FALSE,TRUE),OR(EXACT(metadata!R70,"not applicable"),EXACT(metadata!R70,"missing: not collected"),EXACT(metadata!R70,"missing: not provided"),EXACT(metadata!R70,"missing: restricted access"))),AND(IF(metadata!R70="",FALSE,ISNUMBER(VALUE(metadata!R70))),metadata!R70&gt;0))</f>
        <v>0</v>
      </c>
      <c r="AU70" t="b">
        <f>AND(IF(metadata!S70="",FALSE,TRUE),EXACT(metadata!S70,"missing: not provided"))</f>
        <v>0</v>
      </c>
    </row>
    <row r="71" spans="1:47" x14ac:dyDescent="0.2">
      <c r="A71" s="5" t="str">
        <f ca="1">IF(B71=" "," ",HYPERLINK(CONCATENATE("#metadata!",ADDRESS(INDEX($Y$2:$Y$1001,MATCH(ROWS($W$2:W71),$W$2:$W$1001,0),0),1)),INDEX($AB$2:$AB$1001,MATCH(ROWS($W$2:W71),$W$2:$W$1001,0),0)))</f>
        <v xml:space="preserve"> </v>
      </c>
      <c r="B71" s="4" t="str">
        <f ca="1">IF(OR(INDEX($X$2:$X$1001,MATCH(ROWS($W$2:W71),$W$2:$W$1001,0),1)&gt;=100000,INDEX($AD$1005:$AU$1005,1,MATCH(COLUMNS($AD$1006:AD1006),$AD$1006:$AU$1006,0))&gt;=100000), " ",IF(INDEX($AD$2:$AU$1001,MATCH(ROWS($W$2:W71),$W$2:$W$1001,0),MATCH(COLUMNS($AD$1006:AD1006),$AD$1006:$AU$1006,0)), HYPERLINK("#",""), HYPERLINK(CONCATENATE("#metadata!", ADDRESS(INDEX($Y$2:$Y$1001,MATCH(ROWS($W$2:W71),$W$2:$W$1001,0),0), INDEX($AD$1004:$AU$1004,1,MATCH(COLUMNS($AD$1006:AD1006),$AD$1006:$AU$1006,0)))),"Fix")))</f>
        <v xml:space="preserve"> </v>
      </c>
      <c r="C71" s="4" t="str">
        <f ca="1">IF(OR(INDEX($X$2:$X$1001,MATCH(ROWS($W$2:W71),$W$2:$W$1001,0),1)&gt;=100000,INDEX($AD$1005:$AU$1005,1,MATCH(COLUMNS($AD$1006:AE1006),$AD$1006:$AU$1006,0))&gt;=100000), " ",IF(INDEX($AD$2:$AU$1001,MATCH(ROWS($W$2:W71),$W$2:$W$1001,0),MATCH(COLUMNS($AD$1006:AE1006),$AD$1006:$AU$1006,0)), HYPERLINK("#",""), HYPERLINK(CONCATENATE("#metadata!", ADDRESS(INDEX($Y$2:$Y$1001,MATCH(ROWS($W$2:W71),$W$2:$W$1001,0),0), INDEX($AD$1004:$AU$1004,1,MATCH(COLUMNS($AD$1006:AE1006),$AD$1006:$AU$1006,0)))),"Fix")))</f>
        <v xml:space="preserve"> </v>
      </c>
      <c r="D71" s="4" t="str">
        <f ca="1">IF(OR(INDEX($X$2:$X$1001,MATCH(ROWS($W$2:W71),$W$2:$W$1001,0),1)&gt;=100000,INDEX($AD$1005:$AU$1005,1,MATCH(COLUMNS($AD$1006:AF1006),$AD$1006:$AU$1006,0))&gt;=100000), " ",IF(INDEX($AD$2:$AU$1001,MATCH(ROWS($W$2:W71),$W$2:$W$1001,0),MATCH(COLUMNS($AD$1006:AF1006),$AD$1006:$AU$1006,0)), HYPERLINK("#",""), HYPERLINK(CONCATENATE("#metadata!", ADDRESS(INDEX($Y$2:$Y$1001,MATCH(ROWS($W$2:W71),$W$2:$W$1001,0),0), INDEX($AD$1004:$AU$1004,1,MATCH(COLUMNS($AD$1006:AF1006),$AD$1006:$AU$1006,0)))),"Fix")))</f>
        <v xml:space="preserve"> </v>
      </c>
      <c r="E71" s="4" t="str">
        <f ca="1">IF(OR(INDEX($X$2:$X$1001,MATCH(ROWS($W$2:W71),$W$2:$W$1001,0),1)&gt;=100000,INDEX($AD$1005:$AU$1005,1,MATCH(COLUMNS($AD$1006:AG1006),$AD$1006:$AU$1006,0))&gt;=100000), " ",IF(INDEX($AD$2:$AU$1001,MATCH(ROWS($W$2:W71),$W$2:$W$1001,0),MATCH(COLUMNS($AD$1006:AG1006),$AD$1006:$AU$1006,0)), HYPERLINK("#",""), HYPERLINK(CONCATENATE("#metadata!", ADDRESS(INDEX($Y$2:$Y$1001,MATCH(ROWS($W$2:W71),$W$2:$W$1001,0),0), INDEX($AD$1004:$AU$1004,1,MATCH(COLUMNS($AD$1006:AG1006),$AD$1006:$AU$1006,0)))),"Fix")))</f>
        <v xml:space="preserve"> </v>
      </c>
      <c r="F71" s="4" t="str">
        <f ca="1">IF(OR(INDEX($X$2:$X$1001,MATCH(ROWS($W$2:W71),$W$2:$W$1001,0),1)&gt;=100000,INDEX($AD$1005:$AU$1005,1,MATCH(COLUMNS($AD$1006:AH1006),$AD$1006:$AU$1006,0))&gt;=100000), " ",IF(INDEX($AD$2:$AU$1001,MATCH(ROWS($W$2:W71),$W$2:$W$1001,0),MATCH(COLUMNS($AD$1006:AH1006),$AD$1006:$AU$1006,0)), HYPERLINK("#",""), HYPERLINK(CONCATENATE("#metadata!", ADDRESS(INDEX($Y$2:$Y$1001,MATCH(ROWS($W$2:W71),$W$2:$W$1001,0),0), INDEX($AD$1004:$AU$1004,1,MATCH(COLUMNS($AD$1006:AH1006),$AD$1006:$AU$1006,0)))),"Fix")))</f>
        <v xml:space="preserve"> </v>
      </c>
      <c r="G71" s="4" t="str">
        <f ca="1">IF(OR(INDEX($X$2:$X$1001,MATCH(ROWS($W$2:W71),$W$2:$W$1001,0),1)&gt;=100000,INDEX($AD$1005:$AU$1005,1,MATCH(COLUMNS($AD$1006:AI1006),$AD$1006:$AU$1006,0))&gt;=100000), " ",IF(INDEX($AD$2:$AU$1001,MATCH(ROWS($W$2:W71),$W$2:$W$1001,0),MATCH(COLUMNS($AD$1006:AI1006),$AD$1006:$AU$1006,0)), HYPERLINK("#",""), HYPERLINK(CONCATENATE("#metadata!", ADDRESS(INDEX($Y$2:$Y$1001,MATCH(ROWS($W$2:W71),$W$2:$W$1001,0),0), INDEX($AD$1004:$AU$1004,1,MATCH(COLUMNS($AD$1006:AI1006),$AD$1006:$AU$1006,0)))),"Fix")))</f>
        <v xml:space="preserve"> </v>
      </c>
      <c r="H71" s="4" t="str">
        <f ca="1">IF(OR(INDEX($X$2:$X$1001,MATCH(ROWS($W$2:W71),$W$2:$W$1001,0),1)&gt;=100000,INDEX($AD$1005:$AU$1005,1,MATCH(COLUMNS($AD$1006:AJ1006),$AD$1006:$AU$1006,0))&gt;=100000), " ",IF(INDEX($AD$2:$AU$1001,MATCH(ROWS($W$2:W71),$W$2:$W$1001,0),MATCH(COLUMNS($AD$1006:AJ1006),$AD$1006:$AU$1006,0)), HYPERLINK("#",""), HYPERLINK(CONCATENATE("#metadata!", ADDRESS(INDEX($Y$2:$Y$1001,MATCH(ROWS($W$2:W71),$W$2:$W$1001,0),0), INDEX($AD$1004:$AU$1004,1,MATCH(COLUMNS($AD$1006:AJ1006),$AD$1006:$AU$1006,0)))),"Fix")))</f>
        <v xml:space="preserve"> </v>
      </c>
      <c r="I71" s="4" t="str">
        <f ca="1">IF(OR(INDEX($X$2:$X$1001,MATCH(ROWS($W$2:W71),$W$2:$W$1001,0),1)&gt;=100000,INDEX($AD$1005:$AU$1005,1,MATCH(COLUMNS($AD$1006:AK1006),$AD$1006:$AU$1006,0))&gt;=100000), " ",IF(INDEX($AD$2:$AU$1001,MATCH(ROWS($W$2:W71),$W$2:$W$1001,0),MATCH(COLUMNS($AD$1006:AK1006),$AD$1006:$AU$1006,0)), HYPERLINK("#",""), HYPERLINK(CONCATENATE("#metadata!", ADDRESS(INDEX($Y$2:$Y$1001,MATCH(ROWS($W$2:W71),$W$2:$W$1001,0),0), INDEX($AD$1004:$AU$1004,1,MATCH(COLUMNS($AD$1006:AK1006),$AD$1006:$AU$1006,0)))),"Fix")))</f>
        <v xml:space="preserve"> </v>
      </c>
      <c r="J71" s="4" t="str">
        <f ca="1">IF(OR(INDEX($X$2:$X$1001,MATCH(ROWS($W$2:W71),$W$2:$W$1001,0),1)&gt;=100000,INDEX($AD$1005:$AU$1005,1,MATCH(COLUMNS($AD$1006:AL1006),$AD$1006:$AU$1006,0))&gt;=100000), " ",IF(INDEX($AD$2:$AU$1001,MATCH(ROWS($W$2:W71),$W$2:$W$1001,0),MATCH(COLUMNS($AD$1006:AL1006),$AD$1006:$AU$1006,0)), HYPERLINK("#",""), HYPERLINK(CONCATENATE("#metadata!", ADDRESS(INDEX($Y$2:$Y$1001,MATCH(ROWS($W$2:W71),$W$2:$W$1001,0),0), INDEX($AD$1004:$AU$1004,1,MATCH(COLUMNS($AD$1006:AL1006),$AD$1006:$AU$1006,0)))),"Fix")))</f>
        <v xml:space="preserve"> </v>
      </c>
      <c r="K71" s="4" t="str">
        <f ca="1">IF(OR(INDEX($X$2:$X$1001,MATCH(ROWS($W$2:W71),$W$2:$W$1001,0),1)&gt;=100000,INDEX($AD$1005:$AU$1005,1,MATCH(COLUMNS($AD$1006:AM1006),$AD$1006:$AU$1006,0))&gt;=100000), " ",IF(INDEX($AD$2:$AU$1001,MATCH(ROWS($W$2:W71),$W$2:$W$1001,0),MATCH(COLUMNS($AD$1006:AM1006),$AD$1006:$AU$1006,0)), HYPERLINK("#",""), HYPERLINK(CONCATENATE("#metadata!", ADDRESS(INDEX($Y$2:$Y$1001,MATCH(ROWS($W$2:W71),$W$2:$W$1001,0),0), INDEX($AD$1004:$AU$1004,1,MATCH(COLUMNS($AD$1006:AM1006),$AD$1006:$AU$1006,0)))),"Fix")))</f>
        <v xml:space="preserve"> </v>
      </c>
      <c r="L71" s="4" t="str">
        <f ca="1">IF(OR(INDEX($X$2:$X$1001,MATCH(ROWS($W$2:W71),$W$2:$W$1001,0),1)&gt;=100000,INDEX($AD$1005:$AU$1005,1,MATCH(COLUMNS($AD$1006:AN1006),$AD$1006:$AU$1006,0))&gt;=100000), " ",IF(INDEX($AD$2:$AU$1001,MATCH(ROWS($W$2:W71),$W$2:$W$1001,0),MATCH(COLUMNS($AD$1006:AN1006),$AD$1006:$AU$1006,0)), HYPERLINK("#",""), HYPERLINK(CONCATENATE("#metadata!", ADDRESS(INDEX($Y$2:$Y$1001,MATCH(ROWS($W$2:W71),$W$2:$W$1001,0),0), INDEX($AD$1004:$AU$1004,1,MATCH(COLUMNS($AD$1006:AN1006),$AD$1006:$AU$1006,0)))),"Fix")))</f>
        <v xml:space="preserve"> </v>
      </c>
      <c r="M71" s="4" t="str">
        <f ca="1">IF(OR(INDEX($X$2:$X$1001,MATCH(ROWS($W$2:W71),$W$2:$W$1001,0),1)&gt;=100000,INDEX($AD$1005:$AU$1005,1,MATCH(COLUMNS($AD$1006:AO1006),$AD$1006:$AU$1006,0))&gt;=100000), " ",IF(INDEX($AD$2:$AU$1001,MATCH(ROWS($W$2:W71),$W$2:$W$1001,0),MATCH(COLUMNS($AD$1006:AO1006),$AD$1006:$AU$1006,0)), HYPERLINK("#",""), HYPERLINK(CONCATENATE("#metadata!", ADDRESS(INDEX($Y$2:$Y$1001,MATCH(ROWS($W$2:W71),$W$2:$W$1001,0),0), INDEX($AD$1004:$AU$1004,1,MATCH(COLUMNS($AD$1006:AO1006),$AD$1006:$AU$1006,0)))),"Fix")))</f>
        <v xml:space="preserve"> </v>
      </c>
      <c r="N71" s="4" t="str">
        <f ca="1">IF(OR(INDEX($X$2:$X$1001,MATCH(ROWS($W$2:W71),$W$2:$W$1001,0),1)&gt;=100000,INDEX($AD$1005:$AU$1005,1,MATCH(COLUMNS($AD$1006:AP1006),$AD$1006:$AU$1006,0))&gt;=100000), " ",IF(INDEX($AD$2:$AU$1001,MATCH(ROWS($W$2:W71),$W$2:$W$1001,0),MATCH(COLUMNS($AD$1006:AP1006),$AD$1006:$AU$1006,0)), HYPERLINK("#",""), HYPERLINK(CONCATENATE("#metadata!", ADDRESS(INDEX($Y$2:$Y$1001,MATCH(ROWS($W$2:W71),$W$2:$W$1001,0),0), INDEX($AD$1004:$AU$1004,1,MATCH(COLUMNS($AD$1006:AP1006),$AD$1006:$AU$1006,0)))),"Fix")))</f>
        <v xml:space="preserve"> </v>
      </c>
      <c r="O71" s="4" t="str">
        <f ca="1">IF(OR(INDEX($X$2:$X$1001,MATCH(ROWS($W$2:W71),$W$2:$W$1001,0),1)&gt;=100000,INDEX($AD$1005:$AU$1005,1,MATCH(COLUMNS($AD$1006:AQ1006),$AD$1006:$AU$1006,0))&gt;=100000), " ",IF(INDEX($AD$2:$AU$1001,MATCH(ROWS($W$2:W71),$W$2:$W$1001,0),MATCH(COLUMNS($AD$1006:AQ1006),$AD$1006:$AU$1006,0)), HYPERLINK("#",""), HYPERLINK(CONCATENATE("#metadata!", ADDRESS(INDEX($Y$2:$Y$1001,MATCH(ROWS($W$2:W71),$W$2:$W$1001,0),0), INDEX($AD$1004:$AU$1004,1,MATCH(COLUMNS($AD$1006:AQ1006),$AD$1006:$AU$1006,0)))),"Fix")))</f>
        <v xml:space="preserve"> </v>
      </c>
      <c r="P71" s="4" t="str">
        <f ca="1">IF(OR(INDEX($X$2:$X$1001,MATCH(ROWS($W$2:W71),$W$2:$W$1001,0),1)&gt;=100000,INDEX($AD$1005:$AU$1005,1,MATCH(COLUMNS($AD$1006:AR1006),$AD$1006:$AU$1006,0))&gt;=100000), " ",IF(INDEX($AD$2:$AU$1001,MATCH(ROWS($W$2:W71),$W$2:$W$1001,0),MATCH(COLUMNS($AD$1006:AR1006),$AD$1006:$AU$1006,0)), HYPERLINK("#",""), HYPERLINK(CONCATENATE("#metadata!", ADDRESS(INDEX($Y$2:$Y$1001,MATCH(ROWS($W$2:W71),$W$2:$W$1001,0),0), INDEX($AD$1004:$AU$1004,1,MATCH(COLUMNS($AD$1006:AR1006),$AD$1006:$AU$1006,0)))),"Fix")))</f>
        <v xml:space="preserve"> </v>
      </c>
      <c r="Q71" s="4" t="str">
        <f ca="1">IF(OR(INDEX($X$2:$X$1001,MATCH(ROWS($W$2:W71),$W$2:$W$1001,0),1)&gt;=100000,INDEX($AD$1005:$AU$1005,1,MATCH(COLUMNS($AD$1006:AS1006),$AD$1006:$AU$1006,0))&gt;=100000), " ",IF(INDEX($AD$2:$AU$1001,MATCH(ROWS($W$2:W71),$W$2:$W$1001,0),MATCH(COLUMNS($AD$1006:AS1006),$AD$1006:$AU$1006,0)), HYPERLINK("#",""), HYPERLINK(CONCATENATE("#metadata!", ADDRESS(INDEX($Y$2:$Y$1001,MATCH(ROWS($W$2:W71),$W$2:$W$1001,0),0), INDEX($AD$1004:$AU$1004,1,MATCH(COLUMNS($AD$1006:AS1006),$AD$1006:$AU$1006,0)))),"Fix")))</f>
        <v xml:space="preserve"> </v>
      </c>
      <c r="R71" s="4" t="str">
        <f ca="1">IF(OR(INDEX($X$2:$X$1001,MATCH(ROWS($W$2:W71),$W$2:$W$1001,0),1)&gt;=100000,INDEX($AD$1005:$AU$1005,1,MATCH(COLUMNS($AD$1006:AT1006),$AD$1006:$AU$1006,0))&gt;=100000), " ",IF(INDEX($AD$2:$AU$1001,MATCH(ROWS($W$2:W71),$W$2:$W$1001,0),MATCH(COLUMNS($AD$1006:AT1006),$AD$1006:$AU$1006,0)), HYPERLINK("#",""), HYPERLINK(CONCATENATE("#metadata!", ADDRESS(INDEX($Y$2:$Y$1001,MATCH(ROWS($W$2:W71),$W$2:$W$1001,0),0), INDEX($AD$1004:$AU$1004,1,MATCH(COLUMNS($AD$1006:AT1006),$AD$1006:$AU$1006,0)))),"Fix")))</f>
        <v xml:space="preserve"> </v>
      </c>
      <c r="S71" s="4" t="str">
        <f ca="1">IF(OR(INDEX($X$2:$X$1001,MATCH(ROWS($W$2:W71),$W$2:$W$1001,0),1)&gt;=100000,INDEX($AD$1005:$AU$1005,1,MATCH(COLUMNS($AD$1006:AU1006),$AD$1006:$AU$1006,0))&gt;=100000), " ",IF(INDEX($AD$2:$AU$1001,MATCH(ROWS($W$2:W71),$W$2:$W$1001,0),MATCH(COLUMNS($AD$1006:AU1006),$AD$1006:$AU$1006,0)), HYPERLINK("#",""), HYPERLINK(CONCATENATE("#metadata!", ADDRESS(INDEX($Y$2:$Y$1001,MATCH(ROWS($W$2:W71),$W$2:$W$1001,0),0), INDEX($AD$1004:$AU$1004,1,MATCH(COLUMNS($AD$1006:AU1006),$AD$1006:$AU$1006,0)))),"Fix")))</f>
        <v xml:space="preserve"> </v>
      </c>
      <c r="W71">
        <v>70</v>
      </c>
      <c r="X71">
        <v>100071</v>
      </c>
      <c r="Y71">
        <v>71</v>
      </c>
      <c r="Z71" t="b">
        <f t="shared" si="1"/>
        <v>1</v>
      </c>
      <c r="AA71" t="b">
        <f>COUNTBLANK(metadata!B71:S71)=COLUMNS(metadata!B71:S71)</f>
        <v>1</v>
      </c>
      <c r="AB71" t="str">
        <v/>
      </c>
      <c r="AD71" t="b">
        <f ca="1">AND(IF(metadata!B71="",FALSE,TRUE),COUNTIF(metadata!B:B, metadata!B71) = 1,NOT(ISERROR(SUMPRODUCT(SEARCH(MID(metadata!B71,ROW(INDIRECT("1:"&amp;LEN(metadata!B71))), 1),"0123456789abcdefghijklmnopqrstuvwxyzABCDEFGHIJKLMNOPQRSTUVWXYZ.")))))</f>
        <v>0</v>
      </c>
      <c r="AE71" t="b">
        <f>OR(AND(IF(metadata!C71="",FALSE,TRUE),OR(EXACT(metadata!C71,"not applicable"),EXACT(metadata!C71,"missing: not collected"),EXACT(metadata!C71,"missing: not provided"),EXACT(metadata!C71,"missing: restricted access"))),AND(IF(metadata!C71="",FALSE,ISNUMBER(VALUE(metadata!C71))),metadata!C71&gt;0))</f>
        <v>0</v>
      </c>
      <c r="AF71" t="b">
        <f>AND(IF(metadata!D71="",FALSE,TRUE),EXACT(metadata!D71,"missing: not provided"))</f>
        <v>0</v>
      </c>
      <c r="AG71" t="b">
        <f>AND(IF(metadata!E71="",FALSE,TRUE),EXACT(metadata!E71,"Host-associated"))</f>
        <v>0</v>
      </c>
      <c r="AH71" t="b">
        <f>AND(IF(metadata!F71="",FALSE,TRUE),OR(EXACT(metadata!F71,"Animal"),EXACT(metadata!F71,"Fungus"),EXACT(metadata!F71,"Plant")))</f>
        <v>0</v>
      </c>
      <c r="AI71" t="b">
        <f>AND(IF(metadata!G71="",FALSE,TRUE),OR(EXACT(metadata!G71,"Plant secretion"),EXACT(metadata!G71,"Plant rhizosphere"),EXACT(metadata!G71,"Plant surface"),EXACT(metadata!G71,"Plant corpus"),EXACT(metadata!G71,"Fungus surface"),EXACT(metadata!G71,"Fungus corpus"),EXACT(metadata!G71,"Animal surface"),EXACT(metadata!G71,"Animal proximal gut"),EXACT(metadata!G71,"Animal corpus"),EXACT(metadata!G71,"Animal distal gut"),EXACT(metadata!G71,"Animal secretion")))</f>
        <v>0</v>
      </c>
      <c r="AJ71" t="b">
        <f>OR(AND(IF(metadata!H71="",FALSE,TRUE),OR(EXACT(metadata!H71,"missing: not collected"),EXACT(metadata!H71,"missing: not provided"),EXACT(metadata!H71,"missing: restricted access"))),AND(IF(metadata!H71="",FALSE,TRUE),OR(EXACT(metadata!H71,"organism-associated habitat"),EXACT(metadata!H71,"plant-associated habitat"),EXACT(metadata!H71,"animal-associated habitat"),EXACT(metadata!H71,"insecta-associated habitat"),EXACT(metadata!H71,"mammalia-associated habitat"),EXACT(metadata!H71,"human-associated habitat"),EXACT(metadata!H71,"livestock-associated habitat"))))</f>
        <v>0</v>
      </c>
      <c r="AK71" t="b">
        <f>AND(IF(metadata!I71="",FALSE,TRUE),EXACT(metadata!I71,"host-associated"))</f>
        <v>0</v>
      </c>
      <c r="AL71" t="b">
        <f>OR(AND(IF(metadata!J71="",FALSE,TRUE),OR(EXACT(metadata!J71,"not applicable"),EXACT(metadata!J71,"missing: not collected"),EXACT(metadata!J71,"missing: not provided"),EXACT(metadata!J71,"missing: restricted access"))),AND(IF(metadata!J71="",FALSE,ISNUMBER(VALUE(metadata!J71))),metadata!J71&gt;0))</f>
        <v>0</v>
      </c>
      <c r="AM71" t="b">
        <f>AND(IF(metadata!K71="",FALSE,TRUE),EXACT(metadata!K71,"missing: not provided"))</f>
        <v>0</v>
      </c>
      <c r="AN71" t="b">
        <f>IF(metadata!L71="",FALSE,TRUE)</f>
        <v>0</v>
      </c>
      <c r="AO71" t="b">
        <f>IF(metadata!M71="",FALSE,TRUE)</f>
        <v>0</v>
      </c>
      <c r="AP71" t="b">
        <f>OR(AND(IF(metadata!N71="",FALSE,TRUE),OR(EXACT(metadata!N71,"not applicable"),EXACT(metadata!N71,"missing: not collected"),EXACT(metadata!N71,"missing: not provided"))),AND(IF(metadata!N71="",FALSE,IF(ISERROR(INT(metadata!N71)),FALSE,INT(metadata!N71)=metadata!N71)),metadata!N71&gt;0))</f>
        <v>0</v>
      </c>
      <c r="AQ71" t="b">
        <f>AND(IF(metadata!O71="",FALSE,TRUE),EXACT(metadata!O71,"Not applicable"))</f>
        <v>0</v>
      </c>
      <c r="AR71" t="b">
        <f>OR(AND(IF(metadata!P71="",FALSE,TRUE),OR(EXACT(metadata!P71,"not applicable"),EXACT(metadata!P71,"missing: not collected"),EXACT(metadata!P71,"missing: not provided"),EXACT(metadata!P71,"missing: restricted access"))),IF(metadata!P71="",FALSE,IF(ISERROR(INT(metadata!P71)),FALSE,INT(metadata!P71)=metadata!P71)))</f>
        <v>0</v>
      </c>
      <c r="AS71" t="b">
        <f>AND(IF(metadata!Q71="",FALSE,TRUE),EXACT(metadata!Q71,"Not applicable"))</f>
        <v>0</v>
      </c>
      <c r="AT71" t="b">
        <f>OR(AND(IF(metadata!R71="",FALSE,TRUE),OR(EXACT(metadata!R71,"not applicable"),EXACT(metadata!R71,"missing: not collected"),EXACT(metadata!R71,"missing: not provided"),EXACT(metadata!R71,"missing: restricted access"))),AND(IF(metadata!R71="",FALSE,ISNUMBER(VALUE(metadata!R71))),metadata!R71&gt;0))</f>
        <v>0</v>
      </c>
      <c r="AU71" t="b">
        <f>AND(IF(metadata!S71="",FALSE,TRUE),EXACT(metadata!S71,"missing: not provided"))</f>
        <v>0</v>
      </c>
    </row>
    <row r="72" spans="1:47" x14ac:dyDescent="0.2">
      <c r="A72" s="5" t="str">
        <f ca="1">IF(B72=" "," ",HYPERLINK(CONCATENATE("#metadata!",ADDRESS(INDEX($Y$2:$Y$1001,MATCH(ROWS($W$2:W72),$W$2:$W$1001,0),0),1)),INDEX($AB$2:$AB$1001,MATCH(ROWS($W$2:W72),$W$2:$W$1001,0),0)))</f>
        <v xml:space="preserve"> </v>
      </c>
      <c r="B72" s="4" t="str">
        <f ca="1">IF(OR(INDEX($X$2:$X$1001,MATCH(ROWS($W$2:W72),$W$2:$W$1001,0),1)&gt;=100000,INDEX($AD$1005:$AU$1005,1,MATCH(COLUMNS($AD$1006:AD1006),$AD$1006:$AU$1006,0))&gt;=100000), " ",IF(INDEX($AD$2:$AU$1001,MATCH(ROWS($W$2:W72),$W$2:$W$1001,0),MATCH(COLUMNS($AD$1006:AD1006),$AD$1006:$AU$1006,0)), HYPERLINK("#",""), HYPERLINK(CONCATENATE("#metadata!", ADDRESS(INDEX($Y$2:$Y$1001,MATCH(ROWS($W$2:W72),$W$2:$W$1001,0),0), INDEX($AD$1004:$AU$1004,1,MATCH(COLUMNS($AD$1006:AD1006),$AD$1006:$AU$1006,0)))),"Fix")))</f>
        <v xml:space="preserve"> </v>
      </c>
      <c r="C72" s="4" t="str">
        <f ca="1">IF(OR(INDEX($X$2:$X$1001,MATCH(ROWS($W$2:W72),$W$2:$W$1001,0),1)&gt;=100000,INDEX($AD$1005:$AU$1005,1,MATCH(COLUMNS($AD$1006:AE1006),$AD$1006:$AU$1006,0))&gt;=100000), " ",IF(INDEX($AD$2:$AU$1001,MATCH(ROWS($W$2:W72),$W$2:$W$1001,0),MATCH(COLUMNS($AD$1006:AE1006),$AD$1006:$AU$1006,0)), HYPERLINK("#",""), HYPERLINK(CONCATENATE("#metadata!", ADDRESS(INDEX($Y$2:$Y$1001,MATCH(ROWS($W$2:W72),$W$2:$W$1001,0),0), INDEX($AD$1004:$AU$1004,1,MATCH(COLUMNS($AD$1006:AE1006),$AD$1006:$AU$1006,0)))),"Fix")))</f>
        <v xml:space="preserve"> </v>
      </c>
      <c r="D72" s="4" t="str">
        <f ca="1">IF(OR(INDEX($X$2:$X$1001,MATCH(ROWS($W$2:W72),$W$2:$W$1001,0),1)&gt;=100000,INDEX($AD$1005:$AU$1005,1,MATCH(COLUMNS($AD$1006:AF1006),$AD$1006:$AU$1006,0))&gt;=100000), " ",IF(INDEX($AD$2:$AU$1001,MATCH(ROWS($W$2:W72),$W$2:$W$1001,0),MATCH(COLUMNS($AD$1006:AF1006),$AD$1006:$AU$1006,0)), HYPERLINK("#",""), HYPERLINK(CONCATENATE("#metadata!", ADDRESS(INDEX($Y$2:$Y$1001,MATCH(ROWS($W$2:W72),$W$2:$W$1001,0),0), INDEX($AD$1004:$AU$1004,1,MATCH(COLUMNS($AD$1006:AF1006),$AD$1006:$AU$1006,0)))),"Fix")))</f>
        <v xml:space="preserve"> </v>
      </c>
      <c r="E72" s="4" t="str">
        <f ca="1">IF(OR(INDEX($X$2:$X$1001,MATCH(ROWS($W$2:W72),$W$2:$W$1001,0),1)&gt;=100000,INDEX($AD$1005:$AU$1005,1,MATCH(COLUMNS($AD$1006:AG1006),$AD$1006:$AU$1006,0))&gt;=100000), " ",IF(INDEX($AD$2:$AU$1001,MATCH(ROWS($W$2:W72),$W$2:$W$1001,0),MATCH(COLUMNS($AD$1006:AG1006),$AD$1006:$AU$1006,0)), HYPERLINK("#",""), HYPERLINK(CONCATENATE("#metadata!", ADDRESS(INDEX($Y$2:$Y$1001,MATCH(ROWS($W$2:W72),$W$2:$W$1001,0),0), INDEX($AD$1004:$AU$1004,1,MATCH(COLUMNS($AD$1006:AG1006),$AD$1006:$AU$1006,0)))),"Fix")))</f>
        <v xml:space="preserve"> </v>
      </c>
      <c r="F72" s="4" t="str">
        <f ca="1">IF(OR(INDEX($X$2:$X$1001,MATCH(ROWS($W$2:W72),$W$2:$W$1001,0),1)&gt;=100000,INDEX($AD$1005:$AU$1005,1,MATCH(COLUMNS($AD$1006:AH1006),$AD$1006:$AU$1006,0))&gt;=100000), " ",IF(INDEX($AD$2:$AU$1001,MATCH(ROWS($W$2:W72),$W$2:$W$1001,0),MATCH(COLUMNS($AD$1006:AH1006),$AD$1006:$AU$1006,0)), HYPERLINK("#",""), HYPERLINK(CONCATENATE("#metadata!", ADDRESS(INDEX($Y$2:$Y$1001,MATCH(ROWS($W$2:W72),$W$2:$W$1001,0),0), INDEX($AD$1004:$AU$1004,1,MATCH(COLUMNS($AD$1006:AH1006),$AD$1006:$AU$1006,0)))),"Fix")))</f>
        <v xml:space="preserve"> </v>
      </c>
      <c r="G72" s="4" t="str">
        <f ca="1">IF(OR(INDEX($X$2:$X$1001,MATCH(ROWS($W$2:W72),$W$2:$W$1001,0),1)&gt;=100000,INDEX($AD$1005:$AU$1005,1,MATCH(COLUMNS($AD$1006:AI1006),$AD$1006:$AU$1006,0))&gt;=100000), " ",IF(INDEX($AD$2:$AU$1001,MATCH(ROWS($W$2:W72),$W$2:$W$1001,0),MATCH(COLUMNS($AD$1006:AI1006),$AD$1006:$AU$1006,0)), HYPERLINK("#",""), HYPERLINK(CONCATENATE("#metadata!", ADDRESS(INDEX($Y$2:$Y$1001,MATCH(ROWS($W$2:W72),$W$2:$W$1001,0),0), INDEX($AD$1004:$AU$1004,1,MATCH(COLUMNS($AD$1006:AI1006),$AD$1006:$AU$1006,0)))),"Fix")))</f>
        <v xml:space="preserve"> </v>
      </c>
      <c r="H72" s="4" t="str">
        <f ca="1">IF(OR(INDEX($X$2:$X$1001,MATCH(ROWS($W$2:W72),$W$2:$W$1001,0),1)&gt;=100000,INDEX($AD$1005:$AU$1005,1,MATCH(COLUMNS($AD$1006:AJ1006),$AD$1006:$AU$1006,0))&gt;=100000), " ",IF(INDEX($AD$2:$AU$1001,MATCH(ROWS($W$2:W72),$W$2:$W$1001,0),MATCH(COLUMNS($AD$1006:AJ1006),$AD$1006:$AU$1006,0)), HYPERLINK("#",""), HYPERLINK(CONCATENATE("#metadata!", ADDRESS(INDEX($Y$2:$Y$1001,MATCH(ROWS($W$2:W72),$W$2:$W$1001,0),0), INDEX($AD$1004:$AU$1004,1,MATCH(COLUMNS($AD$1006:AJ1006),$AD$1006:$AU$1006,0)))),"Fix")))</f>
        <v xml:space="preserve"> </v>
      </c>
      <c r="I72" s="4" t="str">
        <f ca="1">IF(OR(INDEX($X$2:$X$1001,MATCH(ROWS($W$2:W72),$W$2:$W$1001,0),1)&gt;=100000,INDEX($AD$1005:$AU$1005,1,MATCH(COLUMNS($AD$1006:AK1006),$AD$1006:$AU$1006,0))&gt;=100000), " ",IF(INDEX($AD$2:$AU$1001,MATCH(ROWS($W$2:W72),$W$2:$W$1001,0),MATCH(COLUMNS($AD$1006:AK1006),$AD$1006:$AU$1006,0)), HYPERLINK("#",""), HYPERLINK(CONCATENATE("#metadata!", ADDRESS(INDEX($Y$2:$Y$1001,MATCH(ROWS($W$2:W72),$W$2:$W$1001,0),0), INDEX($AD$1004:$AU$1004,1,MATCH(COLUMNS($AD$1006:AK1006),$AD$1006:$AU$1006,0)))),"Fix")))</f>
        <v xml:space="preserve"> </v>
      </c>
      <c r="J72" s="4" t="str">
        <f ca="1">IF(OR(INDEX($X$2:$X$1001,MATCH(ROWS($W$2:W72),$W$2:$W$1001,0),1)&gt;=100000,INDEX($AD$1005:$AU$1005,1,MATCH(COLUMNS($AD$1006:AL1006),$AD$1006:$AU$1006,0))&gt;=100000), " ",IF(INDEX($AD$2:$AU$1001,MATCH(ROWS($W$2:W72),$W$2:$W$1001,0),MATCH(COLUMNS($AD$1006:AL1006),$AD$1006:$AU$1006,0)), HYPERLINK("#",""), HYPERLINK(CONCATENATE("#metadata!", ADDRESS(INDEX($Y$2:$Y$1001,MATCH(ROWS($W$2:W72),$W$2:$W$1001,0),0), INDEX($AD$1004:$AU$1004,1,MATCH(COLUMNS($AD$1006:AL1006),$AD$1006:$AU$1006,0)))),"Fix")))</f>
        <v xml:space="preserve"> </v>
      </c>
      <c r="K72" s="4" t="str">
        <f ca="1">IF(OR(INDEX($X$2:$X$1001,MATCH(ROWS($W$2:W72),$W$2:$W$1001,0),1)&gt;=100000,INDEX($AD$1005:$AU$1005,1,MATCH(COLUMNS($AD$1006:AM1006),$AD$1006:$AU$1006,0))&gt;=100000), " ",IF(INDEX($AD$2:$AU$1001,MATCH(ROWS($W$2:W72),$W$2:$W$1001,0),MATCH(COLUMNS($AD$1006:AM1006),$AD$1006:$AU$1006,0)), HYPERLINK("#",""), HYPERLINK(CONCATENATE("#metadata!", ADDRESS(INDEX($Y$2:$Y$1001,MATCH(ROWS($W$2:W72),$W$2:$W$1001,0),0), INDEX($AD$1004:$AU$1004,1,MATCH(COLUMNS($AD$1006:AM1006),$AD$1006:$AU$1006,0)))),"Fix")))</f>
        <v xml:space="preserve"> </v>
      </c>
      <c r="L72" s="4" t="str">
        <f ca="1">IF(OR(INDEX($X$2:$X$1001,MATCH(ROWS($W$2:W72),$W$2:$W$1001,0),1)&gt;=100000,INDEX($AD$1005:$AU$1005,1,MATCH(COLUMNS($AD$1006:AN1006),$AD$1006:$AU$1006,0))&gt;=100000), " ",IF(INDEX($AD$2:$AU$1001,MATCH(ROWS($W$2:W72),$W$2:$W$1001,0),MATCH(COLUMNS($AD$1006:AN1006),$AD$1006:$AU$1006,0)), HYPERLINK("#",""), HYPERLINK(CONCATENATE("#metadata!", ADDRESS(INDEX($Y$2:$Y$1001,MATCH(ROWS($W$2:W72),$W$2:$W$1001,0),0), INDEX($AD$1004:$AU$1004,1,MATCH(COLUMNS($AD$1006:AN1006),$AD$1006:$AU$1006,0)))),"Fix")))</f>
        <v xml:space="preserve"> </v>
      </c>
      <c r="M72" s="4" t="str">
        <f ca="1">IF(OR(INDEX($X$2:$X$1001,MATCH(ROWS($W$2:W72),$W$2:$W$1001,0),1)&gt;=100000,INDEX($AD$1005:$AU$1005,1,MATCH(COLUMNS($AD$1006:AO1006),$AD$1006:$AU$1006,0))&gt;=100000), " ",IF(INDEX($AD$2:$AU$1001,MATCH(ROWS($W$2:W72),$W$2:$W$1001,0),MATCH(COLUMNS($AD$1006:AO1006),$AD$1006:$AU$1006,0)), HYPERLINK("#",""), HYPERLINK(CONCATENATE("#metadata!", ADDRESS(INDEX($Y$2:$Y$1001,MATCH(ROWS($W$2:W72),$W$2:$W$1001,0),0), INDEX($AD$1004:$AU$1004,1,MATCH(COLUMNS($AD$1006:AO1006),$AD$1006:$AU$1006,0)))),"Fix")))</f>
        <v xml:space="preserve"> </v>
      </c>
      <c r="N72" s="4" t="str">
        <f ca="1">IF(OR(INDEX($X$2:$X$1001,MATCH(ROWS($W$2:W72),$W$2:$W$1001,0),1)&gt;=100000,INDEX($AD$1005:$AU$1005,1,MATCH(COLUMNS($AD$1006:AP1006),$AD$1006:$AU$1006,0))&gt;=100000), " ",IF(INDEX($AD$2:$AU$1001,MATCH(ROWS($W$2:W72),$W$2:$W$1001,0),MATCH(COLUMNS($AD$1006:AP1006),$AD$1006:$AU$1006,0)), HYPERLINK("#",""), HYPERLINK(CONCATENATE("#metadata!", ADDRESS(INDEX($Y$2:$Y$1001,MATCH(ROWS($W$2:W72),$W$2:$W$1001,0),0), INDEX($AD$1004:$AU$1004,1,MATCH(COLUMNS($AD$1006:AP1006),$AD$1006:$AU$1006,0)))),"Fix")))</f>
        <v xml:space="preserve"> </v>
      </c>
      <c r="O72" s="4" t="str">
        <f ca="1">IF(OR(INDEX($X$2:$X$1001,MATCH(ROWS($W$2:W72),$W$2:$W$1001,0),1)&gt;=100000,INDEX($AD$1005:$AU$1005,1,MATCH(COLUMNS($AD$1006:AQ1006),$AD$1006:$AU$1006,0))&gt;=100000), " ",IF(INDEX($AD$2:$AU$1001,MATCH(ROWS($W$2:W72),$W$2:$W$1001,0),MATCH(COLUMNS($AD$1006:AQ1006),$AD$1006:$AU$1006,0)), HYPERLINK("#",""), HYPERLINK(CONCATENATE("#metadata!", ADDRESS(INDEX($Y$2:$Y$1001,MATCH(ROWS($W$2:W72),$W$2:$W$1001,0),0), INDEX($AD$1004:$AU$1004,1,MATCH(COLUMNS($AD$1006:AQ1006),$AD$1006:$AU$1006,0)))),"Fix")))</f>
        <v xml:space="preserve"> </v>
      </c>
      <c r="P72" s="4" t="str">
        <f ca="1">IF(OR(INDEX($X$2:$X$1001,MATCH(ROWS($W$2:W72),$W$2:$W$1001,0),1)&gt;=100000,INDEX($AD$1005:$AU$1005,1,MATCH(COLUMNS($AD$1006:AR1006),$AD$1006:$AU$1006,0))&gt;=100000), " ",IF(INDEX($AD$2:$AU$1001,MATCH(ROWS($W$2:W72),$W$2:$W$1001,0),MATCH(COLUMNS($AD$1006:AR1006),$AD$1006:$AU$1006,0)), HYPERLINK("#",""), HYPERLINK(CONCATENATE("#metadata!", ADDRESS(INDEX($Y$2:$Y$1001,MATCH(ROWS($W$2:W72),$W$2:$W$1001,0),0), INDEX($AD$1004:$AU$1004,1,MATCH(COLUMNS($AD$1006:AR1006),$AD$1006:$AU$1006,0)))),"Fix")))</f>
        <v xml:space="preserve"> </v>
      </c>
      <c r="Q72" s="4" t="str">
        <f ca="1">IF(OR(INDEX($X$2:$X$1001,MATCH(ROWS($W$2:W72),$W$2:$W$1001,0),1)&gt;=100000,INDEX($AD$1005:$AU$1005,1,MATCH(COLUMNS($AD$1006:AS1006),$AD$1006:$AU$1006,0))&gt;=100000), " ",IF(INDEX($AD$2:$AU$1001,MATCH(ROWS($W$2:W72),$W$2:$W$1001,0),MATCH(COLUMNS($AD$1006:AS1006),$AD$1006:$AU$1006,0)), HYPERLINK("#",""), HYPERLINK(CONCATENATE("#metadata!", ADDRESS(INDEX($Y$2:$Y$1001,MATCH(ROWS($W$2:W72),$W$2:$W$1001,0),0), INDEX($AD$1004:$AU$1004,1,MATCH(COLUMNS($AD$1006:AS1006),$AD$1006:$AU$1006,0)))),"Fix")))</f>
        <v xml:space="preserve"> </v>
      </c>
      <c r="R72" s="4" t="str">
        <f ca="1">IF(OR(INDEX($X$2:$X$1001,MATCH(ROWS($W$2:W72),$W$2:$W$1001,0),1)&gt;=100000,INDEX($AD$1005:$AU$1005,1,MATCH(COLUMNS($AD$1006:AT1006),$AD$1006:$AU$1006,0))&gt;=100000), " ",IF(INDEX($AD$2:$AU$1001,MATCH(ROWS($W$2:W72),$W$2:$W$1001,0),MATCH(COLUMNS($AD$1006:AT1006),$AD$1006:$AU$1006,0)), HYPERLINK("#",""), HYPERLINK(CONCATENATE("#metadata!", ADDRESS(INDEX($Y$2:$Y$1001,MATCH(ROWS($W$2:W72),$W$2:$W$1001,0),0), INDEX($AD$1004:$AU$1004,1,MATCH(COLUMNS($AD$1006:AT1006),$AD$1006:$AU$1006,0)))),"Fix")))</f>
        <v xml:space="preserve"> </v>
      </c>
      <c r="S72" s="4" t="str">
        <f ca="1">IF(OR(INDEX($X$2:$X$1001,MATCH(ROWS($W$2:W72),$W$2:$W$1001,0),1)&gt;=100000,INDEX($AD$1005:$AU$1005,1,MATCH(COLUMNS($AD$1006:AU1006),$AD$1006:$AU$1006,0))&gt;=100000), " ",IF(INDEX($AD$2:$AU$1001,MATCH(ROWS($W$2:W72),$W$2:$W$1001,0),MATCH(COLUMNS($AD$1006:AU1006),$AD$1006:$AU$1006,0)), HYPERLINK("#",""), HYPERLINK(CONCATENATE("#metadata!", ADDRESS(INDEX($Y$2:$Y$1001,MATCH(ROWS($W$2:W72),$W$2:$W$1001,0),0), INDEX($AD$1004:$AU$1004,1,MATCH(COLUMNS($AD$1006:AU1006),$AD$1006:$AU$1006,0)))),"Fix")))</f>
        <v xml:space="preserve"> </v>
      </c>
      <c r="W72">
        <v>71</v>
      </c>
      <c r="X72">
        <v>100072</v>
      </c>
      <c r="Y72">
        <v>72</v>
      </c>
      <c r="Z72" t="b">
        <f t="shared" si="1"/>
        <v>1</v>
      </c>
      <c r="AA72" t="b">
        <f>COUNTBLANK(metadata!B72:S72)=COLUMNS(metadata!B72:S72)</f>
        <v>1</v>
      </c>
      <c r="AB72" t="str">
        <v/>
      </c>
      <c r="AD72" t="b">
        <f ca="1">AND(IF(metadata!B72="",FALSE,TRUE),COUNTIF(metadata!B:B, metadata!B72) = 1,NOT(ISERROR(SUMPRODUCT(SEARCH(MID(metadata!B72,ROW(INDIRECT("1:"&amp;LEN(metadata!B72))), 1),"0123456789abcdefghijklmnopqrstuvwxyzABCDEFGHIJKLMNOPQRSTUVWXYZ.")))))</f>
        <v>0</v>
      </c>
      <c r="AE72" t="b">
        <f>OR(AND(IF(metadata!C72="",FALSE,TRUE),OR(EXACT(metadata!C72,"not applicable"),EXACT(metadata!C72,"missing: not collected"),EXACT(metadata!C72,"missing: not provided"),EXACT(metadata!C72,"missing: restricted access"))),AND(IF(metadata!C72="",FALSE,ISNUMBER(VALUE(metadata!C72))),metadata!C72&gt;0))</f>
        <v>0</v>
      </c>
      <c r="AF72" t="b">
        <f>AND(IF(metadata!D72="",FALSE,TRUE),EXACT(metadata!D72,"missing: not provided"))</f>
        <v>0</v>
      </c>
      <c r="AG72" t="b">
        <f>AND(IF(metadata!E72="",FALSE,TRUE),EXACT(metadata!E72,"Host-associated"))</f>
        <v>0</v>
      </c>
      <c r="AH72" t="b">
        <f>AND(IF(metadata!F72="",FALSE,TRUE),OR(EXACT(metadata!F72,"Animal"),EXACT(metadata!F72,"Fungus"),EXACT(metadata!F72,"Plant")))</f>
        <v>0</v>
      </c>
      <c r="AI72" t="b">
        <f>AND(IF(metadata!G72="",FALSE,TRUE),OR(EXACT(metadata!G72,"Plant secretion"),EXACT(metadata!G72,"Plant rhizosphere"),EXACT(metadata!G72,"Plant surface"),EXACT(metadata!G72,"Plant corpus"),EXACT(metadata!G72,"Fungus surface"),EXACT(metadata!G72,"Fungus corpus"),EXACT(metadata!G72,"Animal surface"),EXACT(metadata!G72,"Animal proximal gut"),EXACT(metadata!G72,"Animal corpus"),EXACT(metadata!G72,"Animal distal gut"),EXACT(metadata!G72,"Animal secretion")))</f>
        <v>0</v>
      </c>
      <c r="AJ72" t="b">
        <f>OR(AND(IF(metadata!H72="",FALSE,TRUE),OR(EXACT(metadata!H72,"missing: not collected"),EXACT(metadata!H72,"missing: not provided"),EXACT(metadata!H72,"missing: restricted access"))),AND(IF(metadata!H72="",FALSE,TRUE),OR(EXACT(metadata!H72,"organism-associated habitat"),EXACT(metadata!H72,"plant-associated habitat"),EXACT(metadata!H72,"animal-associated habitat"),EXACT(metadata!H72,"insecta-associated habitat"),EXACT(metadata!H72,"mammalia-associated habitat"),EXACT(metadata!H72,"human-associated habitat"),EXACT(metadata!H72,"livestock-associated habitat"))))</f>
        <v>0</v>
      </c>
      <c r="AK72" t="b">
        <f>AND(IF(metadata!I72="",FALSE,TRUE),EXACT(metadata!I72,"host-associated"))</f>
        <v>0</v>
      </c>
      <c r="AL72" t="b">
        <f>OR(AND(IF(metadata!J72="",FALSE,TRUE),OR(EXACT(metadata!J72,"not applicable"),EXACT(metadata!J72,"missing: not collected"),EXACT(metadata!J72,"missing: not provided"),EXACT(metadata!J72,"missing: restricted access"))),AND(IF(metadata!J72="",FALSE,ISNUMBER(VALUE(metadata!J72))),metadata!J72&gt;0))</f>
        <v>0</v>
      </c>
      <c r="AM72" t="b">
        <f>AND(IF(metadata!K72="",FALSE,TRUE),EXACT(metadata!K72,"missing: not provided"))</f>
        <v>0</v>
      </c>
      <c r="AN72" t="b">
        <f>IF(metadata!L72="",FALSE,TRUE)</f>
        <v>0</v>
      </c>
      <c r="AO72" t="b">
        <f>IF(metadata!M72="",FALSE,TRUE)</f>
        <v>0</v>
      </c>
      <c r="AP72" t="b">
        <f>OR(AND(IF(metadata!N72="",FALSE,TRUE),OR(EXACT(metadata!N72,"not applicable"),EXACT(metadata!N72,"missing: not collected"),EXACT(metadata!N72,"missing: not provided"))),AND(IF(metadata!N72="",FALSE,IF(ISERROR(INT(metadata!N72)),FALSE,INT(metadata!N72)=metadata!N72)),metadata!N72&gt;0))</f>
        <v>0</v>
      </c>
      <c r="AQ72" t="b">
        <f>AND(IF(metadata!O72="",FALSE,TRUE),EXACT(metadata!O72,"Not applicable"))</f>
        <v>0</v>
      </c>
      <c r="AR72" t="b">
        <f>OR(AND(IF(metadata!P72="",FALSE,TRUE),OR(EXACT(metadata!P72,"not applicable"),EXACT(metadata!P72,"missing: not collected"),EXACT(metadata!P72,"missing: not provided"),EXACT(metadata!P72,"missing: restricted access"))),IF(metadata!P72="",FALSE,IF(ISERROR(INT(metadata!P72)),FALSE,INT(metadata!P72)=metadata!P72)))</f>
        <v>0</v>
      </c>
      <c r="AS72" t="b">
        <f>AND(IF(metadata!Q72="",FALSE,TRUE),EXACT(metadata!Q72,"Not applicable"))</f>
        <v>0</v>
      </c>
      <c r="AT72" t="b">
        <f>OR(AND(IF(metadata!R72="",FALSE,TRUE),OR(EXACT(metadata!R72,"not applicable"),EXACT(metadata!R72,"missing: not collected"),EXACT(metadata!R72,"missing: not provided"),EXACT(metadata!R72,"missing: restricted access"))),AND(IF(metadata!R72="",FALSE,ISNUMBER(VALUE(metadata!R72))),metadata!R72&gt;0))</f>
        <v>0</v>
      </c>
      <c r="AU72" t="b">
        <f>AND(IF(metadata!S72="",FALSE,TRUE),EXACT(metadata!S72,"missing: not provided"))</f>
        <v>0</v>
      </c>
    </row>
    <row r="73" spans="1:47" x14ac:dyDescent="0.2">
      <c r="A73" s="5" t="str">
        <f ca="1">IF(B73=" "," ",HYPERLINK(CONCATENATE("#metadata!",ADDRESS(INDEX($Y$2:$Y$1001,MATCH(ROWS($W$2:W73),$W$2:$W$1001,0),0),1)),INDEX($AB$2:$AB$1001,MATCH(ROWS($W$2:W73),$W$2:$W$1001,0),0)))</f>
        <v xml:space="preserve"> </v>
      </c>
      <c r="B73" s="4" t="str">
        <f ca="1">IF(OR(INDEX($X$2:$X$1001,MATCH(ROWS($W$2:W73),$W$2:$W$1001,0),1)&gt;=100000,INDEX($AD$1005:$AU$1005,1,MATCH(COLUMNS($AD$1006:AD1006),$AD$1006:$AU$1006,0))&gt;=100000), " ",IF(INDEX($AD$2:$AU$1001,MATCH(ROWS($W$2:W73),$W$2:$W$1001,0),MATCH(COLUMNS($AD$1006:AD1006),$AD$1006:$AU$1006,0)), HYPERLINK("#",""), HYPERLINK(CONCATENATE("#metadata!", ADDRESS(INDEX($Y$2:$Y$1001,MATCH(ROWS($W$2:W73),$W$2:$W$1001,0),0), INDEX($AD$1004:$AU$1004,1,MATCH(COLUMNS($AD$1006:AD1006),$AD$1006:$AU$1006,0)))),"Fix")))</f>
        <v xml:space="preserve"> </v>
      </c>
      <c r="C73" s="4" t="str">
        <f ca="1">IF(OR(INDEX($X$2:$X$1001,MATCH(ROWS($W$2:W73),$W$2:$W$1001,0),1)&gt;=100000,INDEX($AD$1005:$AU$1005,1,MATCH(COLUMNS($AD$1006:AE1006),$AD$1006:$AU$1006,0))&gt;=100000), " ",IF(INDEX($AD$2:$AU$1001,MATCH(ROWS($W$2:W73),$W$2:$W$1001,0),MATCH(COLUMNS($AD$1006:AE1006),$AD$1006:$AU$1006,0)), HYPERLINK("#",""), HYPERLINK(CONCATENATE("#metadata!", ADDRESS(INDEX($Y$2:$Y$1001,MATCH(ROWS($W$2:W73),$W$2:$W$1001,0),0), INDEX($AD$1004:$AU$1004,1,MATCH(COLUMNS($AD$1006:AE1006),$AD$1006:$AU$1006,0)))),"Fix")))</f>
        <v xml:space="preserve"> </v>
      </c>
      <c r="D73" s="4" t="str">
        <f ca="1">IF(OR(INDEX($X$2:$X$1001,MATCH(ROWS($W$2:W73),$W$2:$W$1001,0),1)&gt;=100000,INDEX($AD$1005:$AU$1005,1,MATCH(COLUMNS($AD$1006:AF1006),$AD$1006:$AU$1006,0))&gt;=100000), " ",IF(INDEX($AD$2:$AU$1001,MATCH(ROWS($W$2:W73),$W$2:$W$1001,0),MATCH(COLUMNS($AD$1006:AF1006),$AD$1006:$AU$1006,0)), HYPERLINK("#",""), HYPERLINK(CONCATENATE("#metadata!", ADDRESS(INDEX($Y$2:$Y$1001,MATCH(ROWS($W$2:W73),$W$2:$W$1001,0),0), INDEX($AD$1004:$AU$1004,1,MATCH(COLUMNS($AD$1006:AF1006),$AD$1006:$AU$1006,0)))),"Fix")))</f>
        <v xml:space="preserve"> </v>
      </c>
      <c r="E73" s="4" t="str">
        <f ca="1">IF(OR(INDEX($X$2:$X$1001,MATCH(ROWS($W$2:W73),$W$2:$W$1001,0),1)&gt;=100000,INDEX($AD$1005:$AU$1005,1,MATCH(COLUMNS($AD$1006:AG1006),$AD$1006:$AU$1006,0))&gt;=100000), " ",IF(INDEX($AD$2:$AU$1001,MATCH(ROWS($W$2:W73),$W$2:$W$1001,0),MATCH(COLUMNS($AD$1006:AG1006),$AD$1006:$AU$1006,0)), HYPERLINK("#",""), HYPERLINK(CONCATENATE("#metadata!", ADDRESS(INDEX($Y$2:$Y$1001,MATCH(ROWS($W$2:W73),$W$2:$W$1001,0),0), INDEX($AD$1004:$AU$1004,1,MATCH(COLUMNS($AD$1006:AG1006),$AD$1006:$AU$1006,0)))),"Fix")))</f>
        <v xml:space="preserve"> </v>
      </c>
      <c r="F73" s="4" t="str">
        <f ca="1">IF(OR(INDEX($X$2:$X$1001,MATCH(ROWS($W$2:W73),$W$2:$W$1001,0),1)&gt;=100000,INDEX($AD$1005:$AU$1005,1,MATCH(COLUMNS($AD$1006:AH1006),$AD$1006:$AU$1006,0))&gt;=100000), " ",IF(INDEX($AD$2:$AU$1001,MATCH(ROWS($W$2:W73),$W$2:$W$1001,0),MATCH(COLUMNS($AD$1006:AH1006),$AD$1006:$AU$1006,0)), HYPERLINK("#",""), HYPERLINK(CONCATENATE("#metadata!", ADDRESS(INDEX($Y$2:$Y$1001,MATCH(ROWS($W$2:W73),$W$2:$W$1001,0),0), INDEX($AD$1004:$AU$1004,1,MATCH(COLUMNS($AD$1006:AH1006),$AD$1006:$AU$1006,0)))),"Fix")))</f>
        <v xml:space="preserve"> </v>
      </c>
      <c r="G73" s="4" t="str">
        <f ca="1">IF(OR(INDEX($X$2:$X$1001,MATCH(ROWS($W$2:W73),$W$2:$W$1001,0),1)&gt;=100000,INDEX($AD$1005:$AU$1005,1,MATCH(COLUMNS($AD$1006:AI1006),$AD$1006:$AU$1006,0))&gt;=100000), " ",IF(INDEX($AD$2:$AU$1001,MATCH(ROWS($W$2:W73),$W$2:$W$1001,0),MATCH(COLUMNS($AD$1006:AI1006),$AD$1006:$AU$1006,0)), HYPERLINK("#",""), HYPERLINK(CONCATENATE("#metadata!", ADDRESS(INDEX($Y$2:$Y$1001,MATCH(ROWS($W$2:W73),$W$2:$W$1001,0),0), INDEX($AD$1004:$AU$1004,1,MATCH(COLUMNS($AD$1006:AI1006),$AD$1006:$AU$1006,0)))),"Fix")))</f>
        <v xml:space="preserve"> </v>
      </c>
      <c r="H73" s="4" t="str">
        <f ca="1">IF(OR(INDEX($X$2:$X$1001,MATCH(ROWS($W$2:W73),$W$2:$W$1001,0),1)&gt;=100000,INDEX($AD$1005:$AU$1005,1,MATCH(COLUMNS($AD$1006:AJ1006),$AD$1006:$AU$1006,0))&gt;=100000), " ",IF(INDEX($AD$2:$AU$1001,MATCH(ROWS($W$2:W73),$W$2:$W$1001,0),MATCH(COLUMNS($AD$1006:AJ1006),$AD$1006:$AU$1006,0)), HYPERLINK("#",""), HYPERLINK(CONCATENATE("#metadata!", ADDRESS(INDEX($Y$2:$Y$1001,MATCH(ROWS($W$2:W73),$W$2:$W$1001,0),0), INDEX($AD$1004:$AU$1004,1,MATCH(COLUMNS($AD$1006:AJ1006),$AD$1006:$AU$1006,0)))),"Fix")))</f>
        <v xml:space="preserve"> </v>
      </c>
      <c r="I73" s="4" t="str">
        <f ca="1">IF(OR(INDEX($X$2:$X$1001,MATCH(ROWS($W$2:W73),$W$2:$W$1001,0),1)&gt;=100000,INDEX($AD$1005:$AU$1005,1,MATCH(COLUMNS($AD$1006:AK1006),$AD$1006:$AU$1006,0))&gt;=100000), " ",IF(INDEX($AD$2:$AU$1001,MATCH(ROWS($W$2:W73),$W$2:$W$1001,0),MATCH(COLUMNS($AD$1006:AK1006),$AD$1006:$AU$1006,0)), HYPERLINK("#",""), HYPERLINK(CONCATENATE("#metadata!", ADDRESS(INDEX($Y$2:$Y$1001,MATCH(ROWS($W$2:W73),$W$2:$W$1001,0),0), INDEX($AD$1004:$AU$1004,1,MATCH(COLUMNS($AD$1006:AK1006),$AD$1006:$AU$1006,0)))),"Fix")))</f>
        <v xml:space="preserve"> </v>
      </c>
      <c r="J73" s="4" t="str">
        <f ca="1">IF(OR(INDEX($X$2:$X$1001,MATCH(ROWS($W$2:W73),$W$2:$W$1001,0),1)&gt;=100000,INDEX($AD$1005:$AU$1005,1,MATCH(COLUMNS($AD$1006:AL1006),$AD$1006:$AU$1006,0))&gt;=100000), " ",IF(INDEX($AD$2:$AU$1001,MATCH(ROWS($W$2:W73),$W$2:$W$1001,0),MATCH(COLUMNS($AD$1006:AL1006),$AD$1006:$AU$1006,0)), HYPERLINK("#",""), HYPERLINK(CONCATENATE("#metadata!", ADDRESS(INDEX($Y$2:$Y$1001,MATCH(ROWS($W$2:W73),$W$2:$W$1001,0),0), INDEX($AD$1004:$AU$1004,1,MATCH(COLUMNS($AD$1006:AL1006),$AD$1006:$AU$1006,0)))),"Fix")))</f>
        <v xml:space="preserve"> </v>
      </c>
      <c r="K73" s="4" t="str">
        <f ca="1">IF(OR(INDEX($X$2:$X$1001,MATCH(ROWS($W$2:W73),$W$2:$W$1001,0),1)&gt;=100000,INDEX($AD$1005:$AU$1005,1,MATCH(COLUMNS($AD$1006:AM1006),$AD$1006:$AU$1006,0))&gt;=100000), " ",IF(INDEX($AD$2:$AU$1001,MATCH(ROWS($W$2:W73),$W$2:$W$1001,0),MATCH(COLUMNS($AD$1006:AM1006),$AD$1006:$AU$1006,0)), HYPERLINK("#",""), HYPERLINK(CONCATENATE("#metadata!", ADDRESS(INDEX($Y$2:$Y$1001,MATCH(ROWS($W$2:W73),$W$2:$W$1001,0),0), INDEX($AD$1004:$AU$1004,1,MATCH(COLUMNS($AD$1006:AM1006),$AD$1006:$AU$1006,0)))),"Fix")))</f>
        <v xml:space="preserve"> </v>
      </c>
      <c r="L73" s="4" t="str">
        <f ca="1">IF(OR(INDEX($X$2:$X$1001,MATCH(ROWS($W$2:W73),$W$2:$W$1001,0),1)&gt;=100000,INDEX($AD$1005:$AU$1005,1,MATCH(COLUMNS($AD$1006:AN1006),$AD$1006:$AU$1006,0))&gt;=100000), " ",IF(INDEX($AD$2:$AU$1001,MATCH(ROWS($W$2:W73),$W$2:$W$1001,0),MATCH(COLUMNS($AD$1006:AN1006),$AD$1006:$AU$1006,0)), HYPERLINK("#",""), HYPERLINK(CONCATENATE("#metadata!", ADDRESS(INDEX($Y$2:$Y$1001,MATCH(ROWS($W$2:W73),$W$2:$W$1001,0),0), INDEX($AD$1004:$AU$1004,1,MATCH(COLUMNS($AD$1006:AN1006),$AD$1006:$AU$1006,0)))),"Fix")))</f>
        <v xml:space="preserve"> </v>
      </c>
      <c r="M73" s="4" t="str">
        <f ca="1">IF(OR(INDEX($X$2:$X$1001,MATCH(ROWS($W$2:W73),$W$2:$W$1001,0),1)&gt;=100000,INDEX($AD$1005:$AU$1005,1,MATCH(COLUMNS($AD$1006:AO1006),$AD$1006:$AU$1006,0))&gt;=100000), " ",IF(INDEX($AD$2:$AU$1001,MATCH(ROWS($W$2:W73),$W$2:$W$1001,0),MATCH(COLUMNS($AD$1006:AO1006),$AD$1006:$AU$1006,0)), HYPERLINK("#",""), HYPERLINK(CONCATENATE("#metadata!", ADDRESS(INDEX($Y$2:$Y$1001,MATCH(ROWS($W$2:W73),$W$2:$W$1001,0),0), INDEX($AD$1004:$AU$1004,1,MATCH(COLUMNS($AD$1006:AO1006),$AD$1006:$AU$1006,0)))),"Fix")))</f>
        <v xml:space="preserve"> </v>
      </c>
      <c r="N73" s="4" t="str">
        <f ca="1">IF(OR(INDEX($X$2:$X$1001,MATCH(ROWS($W$2:W73),$W$2:$W$1001,0),1)&gt;=100000,INDEX($AD$1005:$AU$1005,1,MATCH(COLUMNS($AD$1006:AP1006),$AD$1006:$AU$1006,0))&gt;=100000), " ",IF(INDEX($AD$2:$AU$1001,MATCH(ROWS($W$2:W73),$W$2:$W$1001,0),MATCH(COLUMNS($AD$1006:AP1006),$AD$1006:$AU$1006,0)), HYPERLINK("#",""), HYPERLINK(CONCATENATE("#metadata!", ADDRESS(INDEX($Y$2:$Y$1001,MATCH(ROWS($W$2:W73),$W$2:$W$1001,0),0), INDEX($AD$1004:$AU$1004,1,MATCH(COLUMNS($AD$1006:AP1006),$AD$1006:$AU$1006,0)))),"Fix")))</f>
        <v xml:space="preserve"> </v>
      </c>
      <c r="O73" s="4" t="str">
        <f ca="1">IF(OR(INDEX($X$2:$X$1001,MATCH(ROWS($W$2:W73),$W$2:$W$1001,0),1)&gt;=100000,INDEX($AD$1005:$AU$1005,1,MATCH(COLUMNS($AD$1006:AQ1006),$AD$1006:$AU$1006,0))&gt;=100000), " ",IF(INDEX($AD$2:$AU$1001,MATCH(ROWS($W$2:W73),$W$2:$W$1001,0),MATCH(COLUMNS($AD$1006:AQ1006),$AD$1006:$AU$1006,0)), HYPERLINK("#",""), HYPERLINK(CONCATENATE("#metadata!", ADDRESS(INDEX($Y$2:$Y$1001,MATCH(ROWS($W$2:W73),$W$2:$W$1001,0),0), INDEX($AD$1004:$AU$1004,1,MATCH(COLUMNS($AD$1006:AQ1006),$AD$1006:$AU$1006,0)))),"Fix")))</f>
        <v xml:space="preserve"> </v>
      </c>
      <c r="P73" s="4" t="str">
        <f ca="1">IF(OR(INDEX($X$2:$X$1001,MATCH(ROWS($W$2:W73),$W$2:$W$1001,0),1)&gt;=100000,INDEX($AD$1005:$AU$1005,1,MATCH(COLUMNS($AD$1006:AR1006),$AD$1006:$AU$1006,0))&gt;=100000), " ",IF(INDEX($AD$2:$AU$1001,MATCH(ROWS($W$2:W73),$W$2:$W$1001,0),MATCH(COLUMNS($AD$1006:AR1006),$AD$1006:$AU$1006,0)), HYPERLINK("#",""), HYPERLINK(CONCATENATE("#metadata!", ADDRESS(INDEX($Y$2:$Y$1001,MATCH(ROWS($W$2:W73),$W$2:$W$1001,0),0), INDEX($AD$1004:$AU$1004,1,MATCH(COLUMNS($AD$1006:AR1006),$AD$1006:$AU$1006,0)))),"Fix")))</f>
        <v xml:space="preserve"> </v>
      </c>
      <c r="Q73" s="4" t="str">
        <f ca="1">IF(OR(INDEX($X$2:$X$1001,MATCH(ROWS($W$2:W73),$W$2:$W$1001,0),1)&gt;=100000,INDEX($AD$1005:$AU$1005,1,MATCH(COLUMNS($AD$1006:AS1006),$AD$1006:$AU$1006,0))&gt;=100000), " ",IF(INDEX($AD$2:$AU$1001,MATCH(ROWS($W$2:W73),$W$2:$W$1001,0),MATCH(COLUMNS($AD$1006:AS1006),$AD$1006:$AU$1006,0)), HYPERLINK("#",""), HYPERLINK(CONCATENATE("#metadata!", ADDRESS(INDEX($Y$2:$Y$1001,MATCH(ROWS($W$2:W73),$W$2:$W$1001,0),0), INDEX($AD$1004:$AU$1004,1,MATCH(COLUMNS($AD$1006:AS1006),$AD$1006:$AU$1006,0)))),"Fix")))</f>
        <v xml:space="preserve"> </v>
      </c>
      <c r="R73" s="4" t="str">
        <f ca="1">IF(OR(INDEX($X$2:$X$1001,MATCH(ROWS($W$2:W73),$W$2:$W$1001,0),1)&gt;=100000,INDEX($AD$1005:$AU$1005,1,MATCH(COLUMNS($AD$1006:AT1006),$AD$1006:$AU$1006,0))&gt;=100000), " ",IF(INDEX($AD$2:$AU$1001,MATCH(ROWS($W$2:W73),$W$2:$W$1001,0),MATCH(COLUMNS($AD$1006:AT1006),$AD$1006:$AU$1006,0)), HYPERLINK("#",""), HYPERLINK(CONCATENATE("#metadata!", ADDRESS(INDEX($Y$2:$Y$1001,MATCH(ROWS($W$2:W73),$W$2:$W$1001,0),0), INDEX($AD$1004:$AU$1004,1,MATCH(COLUMNS($AD$1006:AT1006),$AD$1006:$AU$1006,0)))),"Fix")))</f>
        <v xml:space="preserve"> </v>
      </c>
      <c r="S73" s="4" t="str">
        <f ca="1">IF(OR(INDEX($X$2:$X$1001,MATCH(ROWS($W$2:W73),$W$2:$W$1001,0),1)&gt;=100000,INDEX($AD$1005:$AU$1005,1,MATCH(COLUMNS($AD$1006:AU1006),$AD$1006:$AU$1006,0))&gt;=100000), " ",IF(INDEX($AD$2:$AU$1001,MATCH(ROWS($W$2:W73),$W$2:$W$1001,0),MATCH(COLUMNS($AD$1006:AU1006),$AD$1006:$AU$1006,0)), HYPERLINK("#",""), HYPERLINK(CONCATENATE("#metadata!", ADDRESS(INDEX($Y$2:$Y$1001,MATCH(ROWS($W$2:W73),$W$2:$W$1001,0),0), INDEX($AD$1004:$AU$1004,1,MATCH(COLUMNS($AD$1006:AU1006),$AD$1006:$AU$1006,0)))),"Fix")))</f>
        <v xml:space="preserve"> </v>
      </c>
      <c r="W73">
        <v>72</v>
      </c>
      <c r="X73">
        <v>100073</v>
      </c>
      <c r="Y73">
        <v>73</v>
      </c>
      <c r="Z73" t="b">
        <f t="shared" si="1"/>
        <v>1</v>
      </c>
      <c r="AA73" t="b">
        <f>COUNTBLANK(metadata!B73:S73)=COLUMNS(metadata!B73:S73)</f>
        <v>1</v>
      </c>
      <c r="AB73" t="str">
        <v/>
      </c>
      <c r="AD73" t="b">
        <f ca="1">AND(IF(metadata!B73="",FALSE,TRUE),COUNTIF(metadata!B:B, metadata!B73) = 1,NOT(ISERROR(SUMPRODUCT(SEARCH(MID(metadata!B73,ROW(INDIRECT("1:"&amp;LEN(metadata!B73))), 1),"0123456789abcdefghijklmnopqrstuvwxyzABCDEFGHIJKLMNOPQRSTUVWXYZ.")))))</f>
        <v>0</v>
      </c>
      <c r="AE73" t="b">
        <f>OR(AND(IF(metadata!C73="",FALSE,TRUE),OR(EXACT(metadata!C73,"not applicable"),EXACT(metadata!C73,"missing: not collected"),EXACT(metadata!C73,"missing: not provided"),EXACT(metadata!C73,"missing: restricted access"))),AND(IF(metadata!C73="",FALSE,ISNUMBER(VALUE(metadata!C73))),metadata!C73&gt;0))</f>
        <v>0</v>
      </c>
      <c r="AF73" t="b">
        <f>AND(IF(metadata!D73="",FALSE,TRUE),EXACT(metadata!D73,"missing: not provided"))</f>
        <v>0</v>
      </c>
      <c r="AG73" t="b">
        <f>AND(IF(metadata!E73="",FALSE,TRUE),EXACT(metadata!E73,"Host-associated"))</f>
        <v>0</v>
      </c>
      <c r="AH73" t="b">
        <f>AND(IF(metadata!F73="",FALSE,TRUE),OR(EXACT(metadata!F73,"Animal"),EXACT(metadata!F73,"Fungus"),EXACT(metadata!F73,"Plant")))</f>
        <v>0</v>
      </c>
      <c r="AI73" t="b">
        <f>AND(IF(metadata!G73="",FALSE,TRUE),OR(EXACT(metadata!G73,"Plant secretion"),EXACT(metadata!G73,"Plant rhizosphere"),EXACT(metadata!G73,"Plant surface"),EXACT(metadata!G73,"Plant corpus"),EXACT(metadata!G73,"Fungus surface"),EXACT(metadata!G73,"Fungus corpus"),EXACT(metadata!G73,"Animal surface"),EXACT(metadata!G73,"Animal proximal gut"),EXACT(metadata!G73,"Animal corpus"),EXACT(metadata!G73,"Animal distal gut"),EXACT(metadata!G73,"Animal secretion")))</f>
        <v>0</v>
      </c>
      <c r="AJ73" t="b">
        <f>OR(AND(IF(metadata!H73="",FALSE,TRUE),OR(EXACT(metadata!H73,"missing: not collected"),EXACT(metadata!H73,"missing: not provided"),EXACT(metadata!H73,"missing: restricted access"))),AND(IF(metadata!H73="",FALSE,TRUE),OR(EXACT(metadata!H73,"organism-associated habitat"),EXACT(metadata!H73,"plant-associated habitat"),EXACT(metadata!H73,"animal-associated habitat"),EXACT(metadata!H73,"insecta-associated habitat"),EXACT(metadata!H73,"mammalia-associated habitat"),EXACT(metadata!H73,"human-associated habitat"),EXACT(metadata!H73,"livestock-associated habitat"))))</f>
        <v>0</v>
      </c>
      <c r="AK73" t="b">
        <f>AND(IF(metadata!I73="",FALSE,TRUE),EXACT(metadata!I73,"host-associated"))</f>
        <v>0</v>
      </c>
      <c r="AL73" t="b">
        <f>OR(AND(IF(metadata!J73="",FALSE,TRUE),OR(EXACT(metadata!J73,"not applicable"),EXACT(metadata!J73,"missing: not collected"),EXACT(metadata!J73,"missing: not provided"),EXACT(metadata!J73,"missing: restricted access"))),AND(IF(metadata!J73="",FALSE,ISNUMBER(VALUE(metadata!J73))),metadata!J73&gt;0))</f>
        <v>0</v>
      </c>
      <c r="AM73" t="b">
        <f>AND(IF(metadata!K73="",FALSE,TRUE),EXACT(metadata!K73,"missing: not provided"))</f>
        <v>0</v>
      </c>
      <c r="AN73" t="b">
        <f>IF(metadata!L73="",FALSE,TRUE)</f>
        <v>0</v>
      </c>
      <c r="AO73" t="b">
        <f>IF(metadata!M73="",FALSE,TRUE)</f>
        <v>0</v>
      </c>
      <c r="AP73" t="b">
        <f>OR(AND(IF(metadata!N73="",FALSE,TRUE),OR(EXACT(metadata!N73,"not applicable"),EXACT(metadata!N73,"missing: not collected"),EXACT(metadata!N73,"missing: not provided"))),AND(IF(metadata!N73="",FALSE,IF(ISERROR(INT(metadata!N73)),FALSE,INT(metadata!N73)=metadata!N73)),metadata!N73&gt;0))</f>
        <v>0</v>
      </c>
      <c r="AQ73" t="b">
        <f>AND(IF(metadata!O73="",FALSE,TRUE),EXACT(metadata!O73,"Not applicable"))</f>
        <v>0</v>
      </c>
      <c r="AR73" t="b">
        <f>OR(AND(IF(metadata!P73="",FALSE,TRUE),OR(EXACT(metadata!P73,"not applicable"),EXACT(metadata!P73,"missing: not collected"),EXACT(metadata!P73,"missing: not provided"),EXACT(metadata!P73,"missing: restricted access"))),IF(metadata!P73="",FALSE,IF(ISERROR(INT(metadata!P73)),FALSE,INT(metadata!P73)=metadata!P73)))</f>
        <v>0</v>
      </c>
      <c r="AS73" t="b">
        <f>AND(IF(metadata!Q73="",FALSE,TRUE),EXACT(metadata!Q73,"Not applicable"))</f>
        <v>0</v>
      </c>
      <c r="AT73" t="b">
        <f>OR(AND(IF(metadata!R73="",FALSE,TRUE),OR(EXACT(metadata!R73,"not applicable"),EXACT(metadata!R73,"missing: not collected"),EXACT(metadata!R73,"missing: not provided"),EXACT(metadata!R73,"missing: restricted access"))),AND(IF(metadata!R73="",FALSE,ISNUMBER(VALUE(metadata!R73))),metadata!R73&gt;0))</f>
        <v>0</v>
      </c>
      <c r="AU73" t="b">
        <f>AND(IF(metadata!S73="",FALSE,TRUE),EXACT(metadata!S73,"missing: not provided"))</f>
        <v>0</v>
      </c>
    </row>
    <row r="74" spans="1:47" x14ac:dyDescent="0.2">
      <c r="A74" s="5" t="str">
        <f ca="1">IF(B74=" "," ",HYPERLINK(CONCATENATE("#metadata!",ADDRESS(INDEX($Y$2:$Y$1001,MATCH(ROWS($W$2:W74),$W$2:$W$1001,0),0),1)),INDEX($AB$2:$AB$1001,MATCH(ROWS($W$2:W74),$W$2:$W$1001,0),0)))</f>
        <v xml:space="preserve"> </v>
      </c>
      <c r="B74" s="4" t="str">
        <f ca="1">IF(OR(INDEX($X$2:$X$1001,MATCH(ROWS($W$2:W74),$W$2:$W$1001,0),1)&gt;=100000,INDEX($AD$1005:$AU$1005,1,MATCH(COLUMNS($AD$1006:AD1006),$AD$1006:$AU$1006,0))&gt;=100000), " ",IF(INDEX($AD$2:$AU$1001,MATCH(ROWS($W$2:W74),$W$2:$W$1001,0),MATCH(COLUMNS($AD$1006:AD1006),$AD$1006:$AU$1006,0)), HYPERLINK("#",""), HYPERLINK(CONCATENATE("#metadata!", ADDRESS(INDEX($Y$2:$Y$1001,MATCH(ROWS($W$2:W74),$W$2:$W$1001,0),0), INDEX($AD$1004:$AU$1004,1,MATCH(COLUMNS($AD$1006:AD1006),$AD$1006:$AU$1006,0)))),"Fix")))</f>
        <v xml:space="preserve"> </v>
      </c>
      <c r="C74" s="4" t="str">
        <f ca="1">IF(OR(INDEX($X$2:$X$1001,MATCH(ROWS($W$2:W74),$W$2:$W$1001,0),1)&gt;=100000,INDEX($AD$1005:$AU$1005,1,MATCH(COLUMNS($AD$1006:AE1006),$AD$1006:$AU$1006,0))&gt;=100000), " ",IF(INDEX($AD$2:$AU$1001,MATCH(ROWS($W$2:W74),$W$2:$W$1001,0),MATCH(COLUMNS($AD$1006:AE1006),$AD$1006:$AU$1006,0)), HYPERLINK("#",""), HYPERLINK(CONCATENATE("#metadata!", ADDRESS(INDEX($Y$2:$Y$1001,MATCH(ROWS($W$2:W74),$W$2:$W$1001,0),0), INDEX($AD$1004:$AU$1004,1,MATCH(COLUMNS($AD$1006:AE1006),$AD$1006:$AU$1006,0)))),"Fix")))</f>
        <v xml:space="preserve"> </v>
      </c>
      <c r="D74" s="4" t="str">
        <f ca="1">IF(OR(INDEX($X$2:$X$1001,MATCH(ROWS($W$2:W74),$W$2:$W$1001,0),1)&gt;=100000,INDEX($AD$1005:$AU$1005,1,MATCH(COLUMNS($AD$1006:AF1006),$AD$1006:$AU$1006,0))&gt;=100000), " ",IF(INDEX($AD$2:$AU$1001,MATCH(ROWS($W$2:W74),$W$2:$W$1001,0),MATCH(COLUMNS($AD$1006:AF1006),$AD$1006:$AU$1006,0)), HYPERLINK("#",""), HYPERLINK(CONCATENATE("#metadata!", ADDRESS(INDEX($Y$2:$Y$1001,MATCH(ROWS($W$2:W74),$W$2:$W$1001,0),0), INDEX($AD$1004:$AU$1004,1,MATCH(COLUMNS($AD$1006:AF1006),$AD$1006:$AU$1006,0)))),"Fix")))</f>
        <v xml:space="preserve"> </v>
      </c>
      <c r="E74" s="4" t="str">
        <f ca="1">IF(OR(INDEX($X$2:$X$1001,MATCH(ROWS($W$2:W74),$W$2:$W$1001,0),1)&gt;=100000,INDEX($AD$1005:$AU$1005,1,MATCH(COLUMNS($AD$1006:AG1006),$AD$1006:$AU$1006,0))&gt;=100000), " ",IF(INDEX($AD$2:$AU$1001,MATCH(ROWS($W$2:W74),$W$2:$W$1001,0),MATCH(COLUMNS($AD$1006:AG1006),$AD$1006:$AU$1006,0)), HYPERLINK("#",""), HYPERLINK(CONCATENATE("#metadata!", ADDRESS(INDEX($Y$2:$Y$1001,MATCH(ROWS($W$2:W74),$W$2:$W$1001,0),0), INDEX($AD$1004:$AU$1004,1,MATCH(COLUMNS($AD$1006:AG1006),$AD$1006:$AU$1006,0)))),"Fix")))</f>
        <v xml:space="preserve"> </v>
      </c>
      <c r="F74" s="4" t="str">
        <f ca="1">IF(OR(INDEX($X$2:$X$1001,MATCH(ROWS($W$2:W74),$W$2:$W$1001,0),1)&gt;=100000,INDEX($AD$1005:$AU$1005,1,MATCH(COLUMNS($AD$1006:AH1006),$AD$1006:$AU$1006,0))&gt;=100000), " ",IF(INDEX($AD$2:$AU$1001,MATCH(ROWS($W$2:W74),$W$2:$W$1001,0),MATCH(COLUMNS($AD$1006:AH1006),$AD$1006:$AU$1006,0)), HYPERLINK("#",""), HYPERLINK(CONCATENATE("#metadata!", ADDRESS(INDEX($Y$2:$Y$1001,MATCH(ROWS($W$2:W74),$W$2:$W$1001,0),0), INDEX($AD$1004:$AU$1004,1,MATCH(COLUMNS($AD$1006:AH1006),$AD$1006:$AU$1006,0)))),"Fix")))</f>
        <v xml:space="preserve"> </v>
      </c>
      <c r="G74" s="4" t="str">
        <f ca="1">IF(OR(INDEX($X$2:$X$1001,MATCH(ROWS($W$2:W74),$W$2:$W$1001,0),1)&gt;=100000,INDEX($AD$1005:$AU$1005,1,MATCH(COLUMNS($AD$1006:AI1006),$AD$1006:$AU$1006,0))&gt;=100000), " ",IF(INDEX($AD$2:$AU$1001,MATCH(ROWS($W$2:W74),$W$2:$W$1001,0),MATCH(COLUMNS($AD$1006:AI1006),$AD$1006:$AU$1006,0)), HYPERLINK("#",""), HYPERLINK(CONCATENATE("#metadata!", ADDRESS(INDEX($Y$2:$Y$1001,MATCH(ROWS($W$2:W74),$W$2:$W$1001,0),0), INDEX($AD$1004:$AU$1004,1,MATCH(COLUMNS($AD$1006:AI1006),$AD$1006:$AU$1006,0)))),"Fix")))</f>
        <v xml:space="preserve"> </v>
      </c>
      <c r="H74" s="4" t="str">
        <f ca="1">IF(OR(INDEX($X$2:$X$1001,MATCH(ROWS($W$2:W74),$W$2:$W$1001,0),1)&gt;=100000,INDEX($AD$1005:$AU$1005,1,MATCH(COLUMNS($AD$1006:AJ1006),$AD$1006:$AU$1006,0))&gt;=100000), " ",IF(INDEX($AD$2:$AU$1001,MATCH(ROWS($W$2:W74),$W$2:$W$1001,0),MATCH(COLUMNS($AD$1006:AJ1006),$AD$1006:$AU$1006,0)), HYPERLINK("#",""), HYPERLINK(CONCATENATE("#metadata!", ADDRESS(INDEX($Y$2:$Y$1001,MATCH(ROWS($W$2:W74),$W$2:$W$1001,0),0), INDEX($AD$1004:$AU$1004,1,MATCH(COLUMNS($AD$1006:AJ1006),$AD$1006:$AU$1006,0)))),"Fix")))</f>
        <v xml:space="preserve"> </v>
      </c>
      <c r="I74" s="4" t="str">
        <f ca="1">IF(OR(INDEX($X$2:$X$1001,MATCH(ROWS($W$2:W74),$W$2:$W$1001,0),1)&gt;=100000,INDEX($AD$1005:$AU$1005,1,MATCH(COLUMNS($AD$1006:AK1006),$AD$1006:$AU$1006,0))&gt;=100000), " ",IF(INDEX($AD$2:$AU$1001,MATCH(ROWS($W$2:W74),$W$2:$W$1001,0),MATCH(COLUMNS($AD$1006:AK1006),$AD$1006:$AU$1006,0)), HYPERLINK("#",""), HYPERLINK(CONCATENATE("#metadata!", ADDRESS(INDEX($Y$2:$Y$1001,MATCH(ROWS($W$2:W74),$W$2:$W$1001,0),0), INDEX($AD$1004:$AU$1004,1,MATCH(COLUMNS($AD$1006:AK1006),$AD$1006:$AU$1006,0)))),"Fix")))</f>
        <v xml:space="preserve"> </v>
      </c>
      <c r="J74" s="4" t="str">
        <f ca="1">IF(OR(INDEX($X$2:$X$1001,MATCH(ROWS($W$2:W74),$W$2:$W$1001,0),1)&gt;=100000,INDEX($AD$1005:$AU$1005,1,MATCH(COLUMNS($AD$1006:AL1006),$AD$1006:$AU$1006,0))&gt;=100000), " ",IF(INDEX($AD$2:$AU$1001,MATCH(ROWS($W$2:W74),$W$2:$W$1001,0),MATCH(COLUMNS($AD$1006:AL1006),$AD$1006:$AU$1006,0)), HYPERLINK("#",""), HYPERLINK(CONCATENATE("#metadata!", ADDRESS(INDEX($Y$2:$Y$1001,MATCH(ROWS($W$2:W74),$W$2:$W$1001,0),0), INDEX($AD$1004:$AU$1004,1,MATCH(COLUMNS($AD$1006:AL1006),$AD$1006:$AU$1006,0)))),"Fix")))</f>
        <v xml:space="preserve"> </v>
      </c>
      <c r="K74" s="4" t="str">
        <f ca="1">IF(OR(INDEX($X$2:$X$1001,MATCH(ROWS($W$2:W74),$W$2:$W$1001,0),1)&gt;=100000,INDEX($AD$1005:$AU$1005,1,MATCH(COLUMNS($AD$1006:AM1006),$AD$1006:$AU$1006,0))&gt;=100000), " ",IF(INDEX($AD$2:$AU$1001,MATCH(ROWS($W$2:W74),$W$2:$W$1001,0),MATCH(COLUMNS($AD$1006:AM1006),$AD$1006:$AU$1006,0)), HYPERLINK("#",""), HYPERLINK(CONCATENATE("#metadata!", ADDRESS(INDEX($Y$2:$Y$1001,MATCH(ROWS($W$2:W74),$W$2:$W$1001,0),0), INDEX($AD$1004:$AU$1004,1,MATCH(COLUMNS($AD$1006:AM1006),$AD$1006:$AU$1006,0)))),"Fix")))</f>
        <v xml:space="preserve"> </v>
      </c>
      <c r="L74" s="4" t="str">
        <f ca="1">IF(OR(INDEX($X$2:$X$1001,MATCH(ROWS($W$2:W74),$W$2:$W$1001,0),1)&gt;=100000,INDEX($AD$1005:$AU$1005,1,MATCH(COLUMNS($AD$1006:AN1006),$AD$1006:$AU$1006,0))&gt;=100000), " ",IF(INDEX($AD$2:$AU$1001,MATCH(ROWS($W$2:W74),$W$2:$W$1001,0),MATCH(COLUMNS($AD$1006:AN1006),$AD$1006:$AU$1006,0)), HYPERLINK("#",""), HYPERLINK(CONCATENATE("#metadata!", ADDRESS(INDEX($Y$2:$Y$1001,MATCH(ROWS($W$2:W74),$W$2:$W$1001,0),0), INDEX($AD$1004:$AU$1004,1,MATCH(COLUMNS($AD$1006:AN1006),$AD$1006:$AU$1006,0)))),"Fix")))</f>
        <v xml:space="preserve"> </v>
      </c>
      <c r="M74" s="4" t="str">
        <f ca="1">IF(OR(INDEX($X$2:$X$1001,MATCH(ROWS($W$2:W74),$W$2:$W$1001,0),1)&gt;=100000,INDEX($AD$1005:$AU$1005,1,MATCH(COLUMNS($AD$1006:AO1006),$AD$1006:$AU$1006,0))&gt;=100000), " ",IF(INDEX($AD$2:$AU$1001,MATCH(ROWS($W$2:W74),$W$2:$W$1001,0),MATCH(COLUMNS($AD$1006:AO1006),$AD$1006:$AU$1006,0)), HYPERLINK("#",""), HYPERLINK(CONCATENATE("#metadata!", ADDRESS(INDEX($Y$2:$Y$1001,MATCH(ROWS($W$2:W74),$W$2:$W$1001,0),0), INDEX($AD$1004:$AU$1004,1,MATCH(COLUMNS($AD$1006:AO1006),$AD$1006:$AU$1006,0)))),"Fix")))</f>
        <v xml:space="preserve"> </v>
      </c>
      <c r="N74" s="4" t="str">
        <f ca="1">IF(OR(INDEX($X$2:$X$1001,MATCH(ROWS($W$2:W74),$W$2:$W$1001,0),1)&gt;=100000,INDEX($AD$1005:$AU$1005,1,MATCH(COLUMNS($AD$1006:AP1006),$AD$1006:$AU$1006,0))&gt;=100000), " ",IF(INDEX($AD$2:$AU$1001,MATCH(ROWS($W$2:W74),$W$2:$W$1001,0),MATCH(COLUMNS($AD$1006:AP1006),$AD$1006:$AU$1006,0)), HYPERLINK("#",""), HYPERLINK(CONCATENATE("#metadata!", ADDRESS(INDEX($Y$2:$Y$1001,MATCH(ROWS($W$2:W74),$W$2:$W$1001,0),0), INDEX($AD$1004:$AU$1004,1,MATCH(COLUMNS($AD$1006:AP1006),$AD$1006:$AU$1006,0)))),"Fix")))</f>
        <v xml:space="preserve"> </v>
      </c>
      <c r="O74" s="4" t="str">
        <f ca="1">IF(OR(INDEX($X$2:$X$1001,MATCH(ROWS($W$2:W74),$W$2:$W$1001,0),1)&gt;=100000,INDEX($AD$1005:$AU$1005,1,MATCH(COLUMNS($AD$1006:AQ1006),$AD$1006:$AU$1006,0))&gt;=100000), " ",IF(INDEX($AD$2:$AU$1001,MATCH(ROWS($W$2:W74),$W$2:$W$1001,0),MATCH(COLUMNS($AD$1006:AQ1006),$AD$1006:$AU$1006,0)), HYPERLINK("#",""), HYPERLINK(CONCATENATE("#metadata!", ADDRESS(INDEX($Y$2:$Y$1001,MATCH(ROWS($W$2:W74),$W$2:$W$1001,0),0), INDEX($AD$1004:$AU$1004,1,MATCH(COLUMNS($AD$1006:AQ1006),$AD$1006:$AU$1006,0)))),"Fix")))</f>
        <v xml:space="preserve"> </v>
      </c>
      <c r="P74" s="4" t="str">
        <f ca="1">IF(OR(INDEX($X$2:$X$1001,MATCH(ROWS($W$2:W74),$W$2:$W$1001,0),1)&gt;=100000,INDEX($AD$1005:$AU$1005,1,MATCH(COLUMNS($AD$1006:AR1006),$AD$1006:$AU$1006,0))&gt;=100000), " ",IF(INDEX($AD$2:$AU$1001,MATCH(ROWS($W$2:W74),$W$2:$W$1001,0),MATCH(COLUMNS($AD$1006:AR1006),$AD$1006:$AU$1006,0)), HYPERLINK("#",""), HYPERLINK(CONCATENATE("#metadata!", ADDRESS(INDEX($Y$2:$Y$1001,MATCH(ROWS($W$2:W74),$W$2:$W$1001,0),0), INDEX($AD$1004:$AU$1004,1,MATCH(COLUMNS($AD$1006:AR1006),$AD$1006:$AU$1006,0)))),"Fix")))</f>
        <v xml:space="preserve"> </v>
      </c>
      <c r="Q74" s="4" t="str">
        <f ca="1">IF(OR(INDEX($X$2:$X$1001,MATCH(ROWS($W$2:W74),$W$2:$W$1001,0),1)&gt;=100000,INDEX($AD$1005:$AU$1005,1,MATCH(COLUMNS($AD$1006:AS1006),$AD$1006:$AU$1006,0))&gt;=100000), " ",IF(INDEX($AD$2:$AU$1001,MATCH(ROWS($W$2:W74),$W$2:$W$1001,0),MATCH(COLUMNS($AD$1006:AS1006),$AD$1006:$AU$1006,0)), HYPERLINK("#",""), HYPERLINK(CONCATENATE("#metadata!", ADDRESS(INDEX($Y$2:$Y$1001,MATCH(ROWS($W$2:W74),$W$2:$W$1001,0),0), INDEX($AD$1004:$AU$1004,1,MATCH(COLUMNS($AD$1006:AS1006),$AD$1006:$AU$1006,0)))),"Fix")))</f>
        <v xml:space="preserve"> </v>
      </c>
      <c r="R74" s="4" t="str">
        <f ca="1">IF(OR(INDEX($X$2:$X$1001,MATCH(ROWS($W$2:W74),$W$2:$W$1001,0),1)&gt;=100000,INDEX($AD$1005:$AU$1005,1,MATCH(COLUMNS($AD$1006:AT1006),$AD$1006:$AU$1006,0))&gt;=100000), " ",IF(INDEX($AD$2:$AU$1001,MATCH(ROWS($W$2:W74),$W$2:$W$1001,0),MATCH(COLUMNS($AD$1006:AT1006),$AD$1006:$AU$1006,0)), HYPERLINK("#",""), HYPERLINK(CONCATENATE("#metadata!", ADDRESS(INDEX($Y$2:$Y$1001,MATCH(ROWS($W$2:W74),$W$2:$W$1001,0),0), INDEX($AD$1004:$AU$1004,1,MATCH(COLUMNS($AD$1006:AT1006),$AD$1006:$AU$1006,0)))),"Fix")))</f>
        <v xml:space="preserve"> </v>
      </c>
      <c r="S74" s="4" t="str">
        <f ca="1">IF(OR(INDEX($X$2:$X$1001,MATCH(ROWS($W$2:W74),$W$2:$W$1001,0),1)&gt;=100000,INDEX($AD$1005:$AU$1005,1,MATCH(COLUMNS($AD$1006:AU1006),$AD$1006:$AU$1006,0))&gt;=100000), " ",IF(INDEX($AD$2:$AU$1001,MATCH(ROWS($W$2:W74),$W$2:$W$1001,0),MATCH(COLUMNS($AD$1006:AU1006),$AD$1006:$AU$1006,0)), HYPERLINK("#",""), HYPERLINK(CONCATENATE("#metadata!", ADDRESS(INDEX($Y$2:$Y$1001,MATCH(ROWS($W$2:W74),$W$2:$W$1001,0),0), INDEX($AD$1004:$AU$1004,1,MATCH(COLUMNS($AD$1006:AU1006),$AD$1006:$AU$1006,0)))),"Fix")))</f>
        <v xml:space="preserve"> </v>
      </c>
      <c r="W74">
        <v>73</v>
      </c>
      <c r="X74">
        <v>100074</v>
      </c>
      <c r="Y74">
        <v>74</v>
      </c>
      <c r="Z74" t="b">
        <f t="shared" si="1"/>
        <v>1</v>
      </c>
      <c r="AA74" t="b">
        <f>COUNTBLANK(metadata!B74:S74)=COLUMNS(metadata!B74:S74)</f>
        <v>1</v>
      </c>
      <c r="AB74" t="str">
        <v/>
      </c>
      <c r="AD74" t="b">
        <f ca="1">AND(IF(metadata!B74="",FALSE,TRUE),COUNTIF(metadata!B:B, metadata!B74) = 1,NOT(ISERROR(SUMPRODUCT(SEARCH(MID(metadata!B74,ROW(INDIRECT("1:"&amp;LEN(metadata!B74))), 1),"0123456789abcdefghijklmnopqrstuvwxyzABCDEFGHIJKLMNOPQRSTUVWXYZ.")))))</f>
        <v>0</v>
      </c>
      <c r="AE74" t="b">
        <f>OR(AND(IF(metadata!C74="",FALSE,TRUE),OR(EXACT(metadata!C74,"not applicable"),EXACT(metadata!C74,"missing: not collected"),EXACT(metadata!C74,"missing: not provided"),EXACT(metadata!C74,"missing: restricted access"))),AND(IF(metadata!C74="",FALSE,ISNUMBER(VALUE(metadata!C74))),metadata!C74&gt;0))</f>
        <v>0</v>
      </c>
      <c r="AF74" t="b">
        <f>AND(IF(metadata!D74="",FALSE,TRUE),EXACT(metadata!D74,"missing: not provided"))</f>
        <v>0</v>
      </c>
      <c r="AG74" t="b">
        <f>AND(IF(metadata!E74="",FALSE,TRUE),EXACT(metadata!E74,"Host-associated"))</f>
        <v>0</v>
      </c>
      <c r="AH74" t="b">
        <f>AND(IF(metadata!F74="",FALSE,TRUE),OR(EXACT(metadata!F74,"Animal"),EXACT(metadata!F74,"Fungus"),EXACT(metadata!F74,"Plant")))</f>
        <v>0</v>
      </c>
      <c r="AI74" t="b">
        <f>AND(IF(metadata!G74="",FALSE,TRUE),OR(EXACT(metadata!G74,"Plant secretion"),EXACT(metadata!G74,"Plant rhizosphere"),EXACT(metadata!G74,"Plant surface"),EXACT(metadata!G74,"Plant corpus"),EXACT(metadata!G74,"Fungus surface"),EXACT(metadata!G74,"Fungus corpus"),EXACT(metadata!G74,"Animal surface"),EXACT(metadata!G74,"Animal proximal gut"),EXACT(metadata!G74,"Animal corpus"),EXACT(metadata!G74,"Animal distal gut"),EXACT(metadata!G74,"Animal secretion")))</f>
        <v>0</v>
      </c>
      <c r="AJ74" t="b">
        <f>OR(AND(IF(metadata!H74="",FALSE,TRUE),OR(EXACT(metadata!H74,"missing: not collected"),EXACT(metadata!H74,"missing: not provided"),EXACT(metadata!H74,"missing: restricted access"))),AND(IF(metadata!H74="",FALSE,TRUE),OR(EXACT(metadata!H74,"organism-associated habitat"),EXACT(metadata!H74,"plant-associated habitat"),EXACT(metadata!H74,"animal-associated habitat"),EXACT(metadata!H74,"insecta-associated habitat"),EXACT(metadata!H74,"mammalia-associated habitat"),EXACT(metadata!H74,"human-associated habitat"),EXACT(metadata!H74,"livestock-associated habitat"))))</f>
        <v>0</v>
      </c>
      <c r="AK74" t="b">
        <f>AND(IF(metadata!I74="",FALSE,TRUE),EXACT(metadata!I74,"host-associated"))</f>
        <v>0</v>
      </c>
      <c r="AL74" t="b">
        <f>OR(AND(IF(metadata!J74="",FALSE,TRUE),OR(EXACT(metadata!J74,"not applicable"),EXACT(metadata!J74,"missing: not collected"),EXACT(metadata!J74,"missing: not provided"),EXACT(metadata!J74,"missing: restricted access"))),AND(IF(metadata!J74="",FALSE,ISNUMBER(VALUE(metadata!J74))),metadata!J74&gt;0))</f>
        <v>0</v>
      </c>
      <c r="AM74" t="b">
        <f>AND(IF(metadata!K74="",FALSE,TRUE),EXACT(metadata!K74,"missing: not provided"))</f>
        <v>0</v>
      </c>
      <c r="AN74" t="b">
        <f>IF(metadata!L74="",FALSE,TRUE)</f>
        <v>0</v>
      </c>
      <c r="AO74" t="b">
        <f>IF(metadata!M74="",FALSE,TRUE)</f>
        <v>0</v>
      </c>
      <c r="AP74" t="b">
        <f>OR(AND(IF(metadata!N74="",FALSE,TRUE),OR(EXACT(metadata!N74,"not applicable"),EXACT(metadata!N74,"missing: not collected"),EXACT(metadata!N74,"missing: not provided"))),AND(IF(metadata!N74="",FALSE,IF(ISERROR(INT(metadata!N74)),FALSE,INT(metadata!N74)=metadata!N74)),metadata!N74&gt;0))</f>
        <v>0</v>
      </c>
      <c r="AQ74" t="b">
        <f>AND(IF(metadata!O74="",FALSE,TRUE),EXACT(metadata!O74,"Not applicable"))</f>
        <v>0</v>
      </c>
      <c r="AR74" t="b">
        <f>OR(AND(IF(metadata!P74="",FALSE,TRUE),OR(EXACT(metadata!P74,"not applicable"),EXACT(metadata!P74,"missing: not collected"),EXACT(metadata!P74,"missing: not provided"),EXACT(metadata!P74,"missing: restricted access"))),IF(metadata!P74="",FALSE,IF(ISERROR(INT(metadata!P74)),FALSE,INT(metadata!P74)=metadata!P74)))</f>
        <v>0</v>
      </c>
      <c r="AS74" t="b">
        <f>AND(IF(metadata!Q74="",FALSE,TRUE),EXACT(metadata!Q74,"Not applicable"))</f>
        <v>0</v>
      </c>
      <c r="AT74" t="b">
        <f>OR(AND(IF(metadata!R74="",FALSE,TRUE),OR(EXACT(metadata!R74,"not applicable"),EXACT(metadata!R74,"missing: not collected"),EXACT(metadata!R74,"missing: not provided"),EXACT(metadata!R74,"missing: restricted access"))),AND(IF(metadata!R74="",FALSE,ISNUMBER(VALUE(metadata!R74))),metadata!R74&gt;0))</f>
        <v>0</v>
      </c>
      <c r="AU74" t="b">
        <f>AND(IF(metadata!S74="",FALSE,TRUE),EXACT(metadata!S74,"missing: not provided"))</f>
        <v>0</v>
      </c>
    </row>
    <row r="75" spans="1:47" x14ac:dyDescent="0.2">
      <c r="A75" s="5" t="str">
        <f ca="1">IF(B75=" "," ",HYPERLINK(CONCATENATE("#metadata!",ADDRESS(INDEX($Y$2:$Y$1001,MATCH(ROWS($W$2:W75),$W$2:$W$1001,0),0),1)),INDEX($AB$2:$AB$1001,MATCH(ROWS($W$2:W75),$W$2:$W$1001,0),0)))</f>
        <v xml:space="preserve"> </v>
      </c>
      <c r="B75" s="4" t="str">
        <f ca="1">IF(OR(INDEX($X$2:$X$1001,MATCH(ROWS($W$2:W75),$W$2:$W$1001,0),1)&gt;=100000,INDEX($AD$1005:$AU$1005,1,MATCH(COLUMNS($AD$1006:AD1006),$AD$1006:$AU$1006,0))&gt;=100000), " ",IF(INDEX($AD$2:$AU$1001,MATCH(ROWS($W$2:W75),$W$2:$W$1001,0),MATCH(COLUMNS($AD$1006:AD1006),$AD$1006:$AU$1006,0)), HYPERLINK("#",""), HYPERLINK(CONCATENATE("#metadata!", ADDRESS(INDEX($Y$2:$Y$1001,MATCH(ROWS($W$2:W75),$W$2:$W$1001,0),0), INDEX($AD$1004:$AU$1004,1,MATCH(COLUMNS($AD$1006:AD1006),$AD$1006:$AU$1006,0)))),"Fix")))</f>
        <v xml:space="preserve"> </v>
      </c>
      <c r="C75" s="4" t="str">
        <f ca="1">IF(OR(INDEX($X$2:$X$1001,MATCH(ROWS($W$2:W75),$W$2:$W$1001,0),1)&gt;=100000,INDEX($AD$1005:$AU$1005,1,MATCH(COLUMNS($AD$1006:AE1006),$AD$1006:$AU$1006,0))&gt;=100000), " ",IF(INDEX($AD$2:$AU$1001,MATCH(ROWS($W$2:W75),$W$2:$W$1001,0),MATCH(COLUMNS($AD$1006:AE1006),$AD$1006:$AU$1006,0)), HYPERLINK("#",""), HYPERLINK(CONCATENATE("#metadata!", ADDRESS(INDEX($Y$2:$Y$1001,MATCH(ROWS($W$2:W75),$W$2:$W$1001,0),0), INDEX($AD$1004:$AU$1004,1,MATCH(COLUMNS($AD$1006:AE1006),$AD$1006:$AU$1006,0)))),"Fix")))</f>
        <v xml:space="preserve"> </v>
      </c>
      <c r="D75" s="4" t="str">
        <f ca="1">IF(OR(INDEX($X$2:$X$1001,MATCH(ROWS($W$2:W75),$W$2:$W$1001,0),1)&gt;=100000,INDEX($AD$1005:$AU$1005,1,MATCH(COLUMNS($AD$1006:AF1006),$AD$1006:$AU$1006,0))&gt;=100000), " ",IF(INDEX($AD$2:$AU$1001,MATCH(ROWS($W$2:W75),$W$2:$W$1001,0),MATCH(COLUMNS($AD$1006:AF1006),$AD$1006:$AU$1006,0)), HYPERLINK("#",""), HYPERLINK(CONCATENATE("#metadata!", ADDRESS(INDEX($Y$2:$Y$1001,MATCH(ROWS($W$2:W75),$W$2:$W$1001,0),0), INDEX($AD$1004:$AU$1004,1,MATCH(COLUMNS($AD$1006:AF1006),$AD$1006:$AU$1006,0)))),"Fix")))</f>
        <v xml:space="preserve"> </v>
      </c>
      <c r="E75" s="4" t="str">
        <f ca="1">IF(OR(INDEX($X$2:$X$1001,MATCH(ROWS($W$2:W75),$W$2:$W$1001,0),1)&gt;=100000,INDEX($AD$1005:$AU$1005,1,MATCH(COLUMNS($AD$1006:AG1006),$AD$1006:$AU$1006,0))&gt;=100000), " ",IF(INDEX($AD$2:$AU$1001,MATCH(ROWS($W$2:W75),$W$2:$W$1001,0),MATCH(COLUMNS($AD$1006:AG1006),$AD$1006:$AU$1006,0)), HYPERLINK("#",""), HYPERLINK(CONCATENATE("#metadata!", ADDRESS(INDEX($Y$2:$Y$1001,MATCH(ROWS($W$2:W75),$W$2:$W$1001,0),0), INDEX($AD$1004:$AU$1004,1,MATCH(COLUMNS($AD$1006:AG1006),$AD$1006:$AU$1006,0)))),"Fix")))</f>
        <v xml:space="preserve"> </v>
      </c>
      <c r="F75" s="4" t="str">
        <f ca="1">IF(OR(INDEX($X$2:$X$1001,MATCH(ROWS($W$2:W75),$W$2:$W$1001,0),1)&gt;=100000,INDEX($AD$1005:$AU$1005,1,MATCH(COLUMNS($AD$1006:AH1006),$AD$1006:$AU$1006,0))&gt;=100000), " ",IF(INDEX($AD$2:$AU$1001,MATCH(ROWS($W$2:W75),$W$2:$W$1001,0),MATCH(COLUMNS($AD$1006:AH1006),$AD$1006:$AU$1006,0)), HYPERLINK("#",""), HYPERLINK(CONCATENATE("#metadata!", ADDRESS(INDEX($Y$2:$Y$1001,MATCH(ROWS($W$2:W75),$W$2:$W$1001,0),0), INDEX($AD$1004:$AU$1004,1,MATCH(COLUMNS($AD$1006:AH1006),$AD$1006:$AU$1006,0)))),"Fix")))</f>
        <v xml:space="preserve"> </v>
      </c>
      <c r="G75" s="4" t="str">
        <f ca="1">IF(OR(INDEX($X$2:$X$1001,MATCH(ROWS($W$2:W75),$W$2:$W$1001,0),1)&gt;=100000,INDEX($AD$1005:$AU$1005,1,MATCH(COLUMNS($AD$1006:AI1006),$AD$1006:$AU$1006,0))&gt;=100000), " ",IF(INDEX($AD$2:$AU$1001,MATCH(ROWS($W$2:W75),$W$2:$W$1001,0),MATCH(COLUMNS($AD$1006:AI1006),$AD$1006:$AU$1006,0)), HYPERLINK("#",""), HYPERLINK(CONCATENATE("#metadata!", ADDRESS(INDEX($Y$2:$Y$1001,MATCH(ROWS($W$2:W75),$W$2:$W$1001,0),0), INDEX($AD$1004:$AU$1004,1,MATCH(COLUMNS($AD$1006:AI1006),$AD$1006:$AU$1006,0)))),"Fix")))</f>
        <v xml:space="preserve"> </v>
      </c>
      <c r="H75" s="4" t="str">
        <f ca="1">IF(OR(INDEX($X$2:$X$1001,MATCH(ROWS($W$2:W75),$W$2:$W$1001,0),1)&gt;=100000,INDEX($AD$1005:$AU$1005,1,MATCH(COLUMNS($AD$1006:AJ1006),$AD$1006:$AU$1006,0))&gt;=100000), " ",IF(INDEX($AD$2:$AU$1001,MATCH(ROWS($W$2:W75),$W$2:$W$1001,0),MATCH(COLUMNS($AD$1006:AJ1006),$AD$1006:$AU$1006,0)), HYPERLINK("#",""), HYPERLINK(CONCATENATE("#metadata!", ADDRESS(INDEX($Y$2:$Y$1001,MATCH(ROWS($W$2:W75),$W$2:$W$1001,0),0), INDEX($AD$1004:$AU$1004,1,MATCH(COLUMNS($AD$1006:AJ1006),$AD$1006:$AU$1006,0)))),"Fix")))</f>
        <v xml:space="preserve"> </v>
      </c>
      <c r="I75" s="4" t="str">
        <f ca="1">IF(OR(INDEX($X$2:$X$1001,MATCH(ROWS($W$2:W75),$W$2:$W$1001,0),1)&gt;=100000,INDEX($AD$1005:$AU$1005,1,MATCH(COLUMNS($AD$1006:AK1006),$AD$1006:$AU$1006,0))&gt;=100000), " ",IF(INDEX($AD$2:$AU$1001,MATCH(ROWS($W$2:W75),$W$2:$W$1001,0),MATCH(COLUMNS($AD$1006:AK1006),$AD$1006:$AU$1006,0)), HYPERLINK("#",""), HYPERLINK(CONCATENATE("#metadata!", ADDRESS(INDEX($Y$2:$Y$1001,MATCH(ROWS($W$2:W75),$W$2:$W$1001,0),0), INDEX($AD$1004:$AU$1004,1,MATCH(COLUMNS($AD$1006:AK1006),$AD$1006:$AU$1006,0)))),"Fix")))</f>
        <v xml:space="preserve"> </v>
      </c>
      <c r="J75" s="4" t="str">
        <f ca="1">IF(OR(INDEX($X$2:$X$1001,MATCH(ROWS($W$2:W75),$W$2:$W$1001,0),1)&gt;=100000,INDEX($AD$1005:$AU$1005,1,MATCH(COLUMNS($AD$1006:AL1006),$AD$1006:$AU$1006,0))&gt;=100000), " ",IF(INDEX($AD$2:$AU$1001,MATCH(ROWS($W$2:W75),$W$2:$W$1001,0),MATCH(COLUMNS($AD$1006:AL1006),$AD$1006:$AU$1006,0)), HYPERLINK("#",""), HYPERLINK(CONCATENATE("#metadata!", ADDRESS(INDEX($Y$2:$Y$1001,MATCH(ROWS($W$2:W75),$W$2:$W$1001,0),0), INDEX($AD$1004:$AU$1004,1,MATCH(COLUMNS($AD$1006:AL1006),$AD$1006:$AU$1006,0)))),"Fix")))</f>
        <v xml:space="preserve"> </v>
      </c>
      <c r="K75" s="4" t="str">
        <f ca="1">IF(OR(INDEX($X$2:$X$1001,MATCH(ROWS($W$2:W75),$W$2:$W$1001,0),1)&gt;=100000,INDEX($AD$1005:$AU$1005,1,MATCH(COLUMNS($AD$1006:AM1006),$AD$1006:$AU$1006,0))&gt;=100000), " ",IF(INDEX($AD$2:$AU$1001,MATCH(ROWS($W$2:W75),$W$2:$W$1001,0),MATCH(COLUMNS($AD$1006:AM1006),$AD$1006:$AU$1006,0)), HYPERLINK("#",""), HYPERLINK(CONCATENATE("#metadata!", ADDRESS(INDEX($Y$2:$Y$1001,MATCH(ROWS($W$2:W75),$W$2:$W$1001,0),0), INDEX($AD$1004:$AU$1004,1,MATCH(COLUMNS($AD$1006:AM1006),$AD$1006:$AU$1006,0)))),"Fix")))</f>
        <v xml:space="preserve"> </v>
      </c>
      <c r="L75" s="4" t="str">
        <f ca="1">IF(OR(INDEX($X$2:$X$1001,MATCH(ROWS($W$2:W75),$W$2:$W$1001,0),1)&gt;=100000,INDEX($AD$1005:$AU$1005,1,MATCH(COLUMNS($AD$1006:AN1006),$AD$1006:$AU$1006,0))&gt;=100000), " ",IF(INDEX($AD$2:$AU$1001,MATCH(ROWS($W$2:W75),$W$2:$W$1001,0),MATCH(COLUMNS($AD$1006:AN1006),$AD$1006:$AU$1006,0)), HYPERLINK("#",""), HYPERLINK(CONCATENATE("#metadata!", ADDRESS(INDEX($Y$2:$Y$1001,MATCH(ROWS($W$2:W75),$W$2:$W$1001,0),0), INDEX($AD$1004:$AU$1004,1,MATCH(COLUMNS($AD$1006:AN1006),$AD$1006:$AU$1006,0)))),"Fix")))</f>
        <v xml:space="preserve"> </v>
      </c>
      <c r="M75" s="4" t="str">
        <f ca="1">IF(OR(INDEX($X$2:$X$1001,MATCH(ROWS($W$2:W75),$W$2:$W$1001,0),1)&gt;=100000,INDEX($AD$1005:$AU$1005,1,MATCH(COLUMNS($AD$1006:AO1006),$AD$1006:$AU$1006,0))&gt;=100000), " ",IF(INDEX($AD$2:$AU$1001,MATCH(ROWS($W$2:W75),$W$2:$W$1001,0),MATCH(COLUMNS($AD$1006:AO1006),$AD$1006:$AU$1006,0)), HYPERLINK("#",""), HYPERLINK(CONCATENATE("#metadata!", ADDRESS(INDEX($Y$2:$Y$1001,MATCH(ROWS($W$2:W75),$W$2:$W$1001,0),0), INDEX($AD$1004:$AU$1004,1,MATCH(COLUMNS($AD$1006:AO1006),$AD$1006:$AU$1006,0)))),"Fix")))</f>
        <v xml:space="preserve"> </v>
      </c>
      <c r="N75" s="4" t="str">
        <f ca="1">IF(OR(INDEX($X$2:$X$1001,MATCH(ROWS($W$2:W75),$W$2:$W$1001,0),1)&gt;=100000,INDEX($AD$1005:$AU$1005,1,MATCH(COLUMNS($AD$1006:AP1006),$AD$1006:$AU$1006,0))&gt;=100000), " ",IF(INDEX($AD$2:$AU$1001,MATCH(ROWS($W$2:W75),$W$2:$W$1001,0),MATCH(COLUMNS($AD$1006:AP1006),$AD$1006:$AU$1006,0)), HYPERLINK("#",""), HYPERLINK(CONCATENATE("#metadata!", ADDRESS(INDEX($Y$2:$Y$1001,MATCH(ROWS($W$2:W75),$W$2:$W$1001,0),0), INDEX($AD$1004:$AU$1004,1,MATCH(COLUMNS($AD$1006:AP1006),$AD$1006:$AU$1006,0)))),"Fix")))</f>
        <v xml:space="preserve"> </v>
      </c>
      <c r="O75" s="4" t="str">
        <f ca="1">IF(OR(INDEX($X$2:$X$1001,MATCH(ROWS($W$2:W75),$W$2:$W$1001,0),1)&gt;=100000,INDEX($AD$1005:$AU$1005,1,MATCH(COLUMNS($AD$1006:AQ1006),$AD$1006:$AU$1006,0))&gt;=100000), " ",IF(INDEX($AD$2:$AU$1001,MATCH(ROWS($W$2:W75),$W$2:$W$1001,0),MATCH(COLUMNS($AD$1006:AQ1006),$AD$1006:$AU$1006,0)), HYPERLINK("#",""), HYPERLINK(CONCATENATE("#metadata!", ADDRESS(INDEX($Y$2:$Y$1001,MATCH(ROWS($W$2:W75),$W$2:$W$1001,0),0), INDEX($AD$1004:$AU$1004,1,MATCH(COLUMNS($AD$1006:AQ1006),$AD$1006:$AU$1006,0)))),"Fix")))</f>
        <v xml:space="preserve"> </v>
      </c>
      <c r="P75" s="4" t="str">
        <f ca="1">IF(OR(INDEX($X$2:$X$1001,MATCH(ROWS($W$2:W75),$W$2:$W$1001,0),1)&gt;=100000,INDEX($AD$1005:$AU$1005,1,MATCH(COLUMNS($AD$1006:AR1006),$AD$1006:$AU$1006,0))&gt;=100000), " ",IF(INDEX($AD$2:$AU$1001,MATCH(ROWS($W$2:W75),$W$2:$W$1001,0),MATCH(COLUMNS($AD$1006:AR1006),$AD$1006:$AU$1006,0)), HYPERLINK("#",""), HYPERLINK(CONCATENATE("#metadata!", ADDRESS(INDEX($Y$2:$Y$1001,MATCH(ROWS($W$2:W75),$W$2:$W$1001,0),0), INDEX($AD$1004:$AU$1004,1,MATCH(COLUMNS($AD$1006:AR1006),$AD$1006:$AU$1006,0)))),"Fix")))</f>
        <v xml:space="preserve"> </v>
      </c>
      <c r="Q75" s="4" t="str">
        <f ca="1">IF(OR(INDEX($X$2:$X$1001,MATCH(ROWS($W$2:W75),$W$2:$W$1001,0),1)&gt;=100000,INDEX($AD$1005:$AU$1005,1,MATCH(COLUMNS($AD$1006:AS1006),$AD$1006:$AU$1006,0))&gt;=100000), " ",IF(INDEX($AD$2:$AU$1001,MATCH(ROWS($W$2:W75),$W$2:$W$1001,0),MATCH(COLUMNS($AD$1006:AS1006),$AD$1006:$AU$1006,0)), HYPERLINK("#",""), HYPERLINK(CONCATENATE("#metadata!", ADDRESS(INDEX($Y$2:$Y$1001,MATCH(ROWS($W$2:W75),$W$2:$W$1001,0),0), INDEX($AD$1004:$AU$1004,1,MATCH(COLUMNS($AD$1006:AS1006),$AD$1006:$AU$1006,0)))),"Fix")))</f>
        <v xml:space="preserve"> </v>
      </c>
      <c r="R75" s="4" t="str">
        <f ca="1">IF(OR(INDEX($X$2:$X$1001,MATCH(ROWS($W$2:W75),$W$2:$W$1001,0),1)&gt;=100000,INDEX($AD$1005:$AU$1005,1,MATCH(COLUMNS($AD$1006:AT1006),$AD$1006:$AU$1006,0))&gt;=100000), " ",IF(INDEX($AD$2:$AU$1001,MATCH(ROWS($W$2:W75),$W$2:$W$1001,0),MATCH(COLUMNS($AD$1006:AT1006),$AD$1006:$AU$1006,0)), HYPERLINK("#",""), HYPERLINK(CONCATENATE("#metadata!", ADDRESS(INDEX($Y$2:$Y$1001,MATCH(ROWS($W$2:W75),$W$2:$W$1001,0),0), INDEX($AD$1004:$AU$1004,1,MATCH(COLUMNS($AD$1006:AT1006),$AD$1006:$AU$1006,0)))),"Fix")))</f>
        <v xml:space="preserve"> </v>
      </c>
      <c r="S75" s="4" t="str">
        <f ca="1">IF(OR(INDEX($X$2:$X$1001,MATCH(ROWS($W$2:W75),$W$2:$W$1001,0),1)&gt;=100000,INDEX($AD$1005:$AU$1005,1,MATCH(COLUMNS($AD$1006:AU1006),$AD$1006:$AU$1006,0))&gt;=100000), " ",IF(INDEX($AD$2:$AU$1001,MATCH(ROWS($W$2:W75),$W$2:$W$1001,0),MATCH(COLUMNS($AD$1006:AU1006),$AD$1006:$AU$1006,0)), HYPERLINK("#",""), HYPERLINK(CONCATENATE("#metadata!", ADDRESS(INDEX($Y$2:$Y$1001,MATCH(ROWS($W$2:W75),$W$2:$W$1001,0),0), INDEX($AD$1004:$AU$1004,1,MATCH(COLUMNS($AD$1006:AU1006),$AD$1006:$AU$1006,0)))),"Fix")))</f>
        <v xml:space="preserve"> </v>
      </c>
      <c r="W75">
        <v>74</v>
      </c>
      <c r="X75">
        <v>100075</v>
      </c>
      <c r="Y75">
        <v>75</v>
      </c>
      <c r="Z75" t="b">
        <f t="shared" si="1"/>
        <v>1</v>
      </c>
      <c r="AA75" t="b">
        <f>COUNTBLANK(metadata!B75:S75)=COLUMNS(metadata!B75:S75)</f>
        <v>1</v>
      </c>
      <c r="AB75" t="str">
        <v/>
      </c>
      <c r="AD75" t="b">
        <f ca="1">AND(IF(metadata!B75="",FALSE,TRUE),COUNTIF(metadata!B:B, metadata!B75) = 1,NOT(ISERROR(SUMPRODUCT(SEARCH(MID(metadata!B75,ROW(INDIRECT("1:"&amp;LEN(metadata!B75))), 1),"0123456789abcdefghijklmnopqrstuvwxyzABCDEFGHIJKLMNOPQRSTUVWXYZ.")))))</f>
        <v>0</v>
      </c>
      <c r="AE75" t="b">
        <f>OR(AND(IF(metadata!C75="",FALSE,TRUE),OR(EXACT(metadata!C75,"not applicable"),EXACT(metadata!C75,"missing: not collected"),EXACT(metadata!C75,"missing: not provided"),EXACT(metadata!C75,"missing: restricted access"))),AND(IF(metadata!C75="",FALSE,ISNUMBER(VALUE(metadata!C75))),metadata!C75&gt;0))</f>
        <v>0</v>
      </c>
      <c r="AF75" t="b">
        <f>AND(IF(metadata!D75="",FALSE,TRUE),EXACT(metadata!D75,"missing: not provided"))</f>
        <v>0</v>
      </c>
      <c r="AG75" t="b">
        <f>AND(IF(metadata!E75="",FALSE,TRUE),EXACT(metadata!E75,"Host-associated"))</f>
        <v>0</v>
      </c>
      <c r="AH75" t="b">
        <f>AND(IF(metadata!F75="",FALSE,TRUE),OR(EXACT(metadata!F75,"Animal"),EXACT(metadata!F75,"Fungus"),EXACT(metadata!F75,"Plant")))</f>
        <v>0</v>
      </c>
      <c r="AI75" t="b">
        <f>AND(IF(metadata!G75="",FALSE,TRUE),OR(EXACT(metadata!G75,"Plant secretion"),EXACT(metadata!G75,"Plant rhizosphere"),EXACT(metadata!G75,"Plant surface"),EXACT(metadata!G75,"Plant corpus"),EXACT(metadata!G75,"Fungus surface"),EXACT(metadata!G75,"Fungus corpus"),EXACT(metadata!G75,"Animal surface"),EXACT(metadata!G75,"Animal proximal gut"),EXACT(metadata!G75,"Animal corpus"),EXACT(metadata!G75,"Animal distal gut"),EXACT(metadata!G75,"Animal secretion")))</f>
        <v>0</v>
      </c>
      <c r="AJ75" t="b">
        <f>OR(AND(IF(metadata!H75="",FALSE,TRUE),OR(EXACT(metadata!H75,"missing: not collected"),EXACT(metadata!H75,"missing: not provided"),EXACT(metadata!H75,"missing: restricted access"))),AND(IF(metadata!H75="",FALSE,TRUE),OR(EXACT(metadata!H75,"organism-associated habitat"),EXACT(metadata!H75,"plant-associated habitat"),EXACT(metadata!H75,"animal-associated habitat"),EXACT(metadata!H75,"insecta-associated habitat"),EXACT(metadata!H75,"mammalia-associated habitat"),EXACT(metadata!H75,"human-associated habitat"),EXACT(metadata!H75,"livestock-associated habitat"))))</f>
        <v>0</v>
      </c>
      <c r="AK75" t="b">
        <f>AND(IF(metadata!I75="",FALSE,TRUE),EXACT(metadata!I75,"host-associated"))</f>
        <v>0</v>
      </c>
      <c r="AL75" t="b">
        <f>OR(AND(IF(metadata!J75="",FALSE,TRUE),OR(EXACT(metadata!J75,"not applicable"),EXACT(metadata!J75,"missing: not collected"),EXACT(metadata!J75,"missing: not provided"),EXACT(metadata!J75,"missing: restricted access"))),AND(IF(metadata!J75="",FALSE,ISNUMBER(VALUE(metadata!J75))),metadata!J75&gt;0))</f>
        <v>0</v>
      </c>
      <c r="AM75" t="b">
        <f>AND(IF(metadata!K75="",FALSE,TRUE),EXACT(metadata!K75,"missing: not provided"))</f>
        <v>0</v>
      </c>
      <c r="AN75" t="b">
        <f>IF(metadata!L75="",FALSE,TRUE)</f>
        <v>0</v>
      </c>
      <c r="AO75" t="b">
        <f>IF(metadata!M75="",FALSE,TRUE)</f>
        <v>0</v>
      </c>
      <c r="AP75" t="b">
        <f>OR(AND(IF(metadata!N75="",FALSE,TRUE),OR(EXACT(metadata!N75,"not applicable"),EXACT(metadata!N75,"missing: not collected"),EXACT(metadata!N75,"missing: not provided"))),AND(IF(metadata!N75="",FALSE,IF(ISERROR(INT(metadata!N75)),FALSE,INT(metadata!N75)=metadata!N75)),metadata!N75&gt;0))</f>
        <v>0</v>
      </c>
      <c r="AQ75" t="b">
        <f>AND(IF(metadata!O75="",FALSE,TRUE),EXACT(metadata!O75,"Not applicable"))</f>
        <v>0</v>
      </c>
      <c r="AR75" t="b">
        <f>OR(AND(IF(metadata!P75="",FALSE,TRUE),OR(EXACT(metadata!P75,"not applicable"),EXACT(metadata!P75,"missing: not collected"),EXACT(metadata!P75,"missing: not provided"),EXACT(metadata!P75,"missing: restricted access"))),IF(metadata!P75="",FALSE,IF(ISERROR(INT(metadata!P75)),FALSE,INT(metadata!P75)=metadata!P75)))</f>
        <v>0</v>
      </c>
      <c r="AS75" t="b">
        <f>AND(IF(metadata!Q75="",FALSE,TRUE),EXACT(metadata!Q75,"Not applicable"))</f>
        <v>0</v>
      </c>
      <c r="AT75" t="b">
        <f>OR(AND(IF(metadata!R75="",FALSE,TRUE),OR(EXACT(metadata!R75,"not applicable"),EXACT(metadata!R75,"missing: not collected"),EXACT(metadata!R75,"missing: not provided"),EXACT(metadata!R75,"missing: restricted access"))),AND(IF(metadata!R75="",FALSE,ISNUMBER(VALUE(metadata!R75))),metadata!R75&gt;0))</f>
        <v>0</v>
      </c>
      <c r="AU75" t="b">
        <f>AND(IF(metadata!S75="",FALSE,TRUE),EXACT(metadata!S75,"missing: not provided"))</f>
        <v>0</v>
      </c>
    </row>
    <row r="76" spans="1:47" x14ac:dyDescent="0.2">
      <c r="A76" s="5" t="str">
        <f ca="1">IF(B76=" "," ",HYPERLINK(CONCATENATE("#metadata!",ADDRESS(INDEX($Y$2:$Y$1001,MATCH(ROWS($W$2:W76),$W$2:$W$1001,0),0),1)),INDEX($AB$2:$AB$1001,MATCH(ROWS($W$2:W76),$W$2:$W$1001,0),0)))</f>
        <v xml:space="preserve"> </v>
      </c>
      <c r="B76" s="4" t="str">
        <f ca="1">IF(OR(INDEX($X$2:$X$1001,MATCH(ROWS($W$2:W76),$W$2:$W$1001,0),1)&gt;=100000,INDEX($AD$1005:$AU$1005,1,MATCH(COLUMNS($AD$1006:AD1006),$AD$1006:$AU$1006,0))&gt;=100000), " ",IF(INDEX($AD$2:$AU$1001,MATCH(ROWS($W$2:W76),$W$2:$W$1001,0),MATCH(COLUMNS($AD$1006:AD1006),$AD$1006:$AU$1006,0)), HYPERLINK("#",""), HYPERLINK(CONCATENATE("#metadata!", ADDRESS(INDEX($Y$2:$Y$1001,MATCH(ROWS($W$2:W76),$W$2:$W$1001,0),0), INDEX($AD$1004:$AU$1004,1,MATCH(COLUMNS($AD$1006:AD1006),$AD$1006:$AU$1006,0)))),"Fix")))</f>
        <v xml:space="preserve"> </v>
      </c>
      <c r="C76" s="4" t="str">
        <f ca="1">IF(OR(INDEX($X$2:$X$1001,MATCH(ROWS($W$2:W76),$W$2:$W$1001,0),1)&gt;=100000,INDEX($AD$1005:$AU$1005,1,MATCH(COLUMNS($AD$1006:AE1006),$AD$1006:$AU$1006,0))&gt;=100000), " ",IF(INDEX($AD$2:$AU$1001,MATCH(ROWS($W$2:W76),$W$2:$W$1001,0),MATCH(COLUMNS($AD$1006:AE1006),$AD$1006:$AU$1006,0)), HYPERLINK("#",""), HYPERLINK(CONCATENATE("#metadata!", ADDRESS(INDEX($Y$2:$Y$1001,MATCH(ROWS($W$2:W76),$W$2:$W$1001,0),0), INDEX($AD$1004:$AU$1004,1,MATCH(COLUMNS($AD$1006:AE1006),$AD$1006:$AU$1006,0)))),"Fix")))</f>
        <v xml:space="preserve"> </v>
      </c>
      <c r="D76" s="4" t="str">
        <f ca="1">IF(OR(INDEX($X$2:$X$1001,MATCH(ROWS($W$2:W76),$W$2:$W$1001,0),1)&gt;=100000,INDEX($AD$1005:$AU$1005,1,MATCH(COLUMNS($AD$1006:AF1006),$AD$1006:$AU$1006,0))&gt;=100000), " ",IF(INDEX($AD$2:$AU$1001,MATCH(ROWS($W$2:W76),$W$2:$W$1001,0),MATCH(COLUMNS($AD$1006:AF1006),$AD$1006:$AU$1006,0)), HYPERLINK("#",""), HYPERLINK(CONCATENATE("#metadata!", ADDRESS(INDEX($Y$2:$Y$1001,MATCH(ROWS($W$2:W76),$W$2:$W$1001,0),0), INDEX($AD$1004:$AU$1004,1,MATCH(COLUMNS($AD$1006:AF1006),$AD$1006:$AU$1006,0)))),"Fix")))</f>
        <v xml:space="preserve"> </v>
      </c>
      <c r="E76" s="4" t="str">
        <f ca="1">IF(OR(INDEX($X$2:$X$1001,MATCH(ROWS($W$2:W76),$W$2:$W$1001,0),1)&gt;=100000,INDEX($AD$1005:$AU$1005,1,MATCH(COLUMNS($AD$1006:AG1006),$AD$1006:$AU$1006,0))&gt;=100000), " ",IF(INDEX($AD$2:$AU$1001,MATCH(ROWS($W$2:W76),$W$2:$W$1001,0),MATCH(COLUMNS($AD$1006:AG1006),$AD$1006:$AU$1006,0)), HYPERLINK("#",""), HYPERLINK(CONCATENATE("#metadata!", ADDRESS(INDEX($Y$2:$Y$1001,MATCH(ROWS($W$2:W76),$W$2:$W$1001,0),0), INDEX($AD$1004:$AU$1004,1,MATCH(COLUMNS($AD$1006:AG1006),$AD$1006:$AU$1006,0)))),"Fix")))</f>
        <v xml:space="preserve"> </v>
      </c>
      <c r="F76" s="4" t="str">
        <f ca="1">IF(OR(INDEX($X$2:$X$1001,MATCH(ROWS($W$2:W76),$W$2:$W$1001,0),1)&gt;=100000,INDEX($AD$1005:$AU$1005,1,MATCH(COLUMNS($AD$1006:AH1006),$AD$1006:$AU$1006,0))&gt;=100000), " ",IF(INDEX($AD$2:$AU$1001,MATCH(ROWS($W$2:W76),$W$2:$W$1001,0),MATCH(COLUMNS($AD$1006:AH1006),$AD$1006:$AU$1006,0)), HYPERLINK("#",""), HYPERLINK(CONCATENATE("#metadata!", ADDRESS(INDEX($Y$2:$Y$1001,MATCH(ROWS($W$2:W76),$W$2:$W$1001,0),0), INDEX($AD$1004:$AU$1004,1,MATCH(COLUMNS($AD$1006:AH1006),$AD$1006:$AU$1006,0)))),"Fix")))</f>
        <v xml:space="preserve"> </v>
      </c>
      <c r="G76" s="4" t="str">
        <f ca="1">IF(OR(INDEX($X$2:$X$1001,MATCH(ROWS($W$2:W76),$W$2:$W$1001,0),1)&gt;=100000,INDEX($AD$1005:$AU$1005,1,MATCH(COLUMNS($AD$1006:AI1006),$AD$1006:$AU$1006,0))&gt;=100000), " ",IF(INDEX($AD$2:$AU$1001,MATCH(ROWS($W$2:W76),$W$2:$W$1001,0),MATCH(COLUMNS($AD$1006:AI1006),$AD$1006:$AU$1006,0)), HYPERLINK("#",""), HYPERLINK(CONCATENATE("#metadata!", ADDRESS(INDEX($Y$2:$Y$1001,MATCH(ROWS($W$2:W76),$W$2:$W$1001,0),0), INDEX($AD$1004:$AU$1004,1,MATCH(COLUMNS($AD$1006:AI1006),$AD$1006:$AU$1006,0)))),"Fix")))</f>
        <v xml:space="preserve"> </v>
      </c>
      <c r="H76" s="4" t="str">
        <f ca="1">IF(OR(INDEX($X$2:$X$1001,MATCH(ROWS($W$2:W76),$W$2:$W$1001,0),1)&gt;=100000,INDEX($AD$1005:$AU$1005,1,MATCH(COLUMNS($AD$1006:AJ1006),$AD$1006:$AU$1006,0))&gt;=100000), " ",IF(INDEX($AD$2:$AU$1001,MATCH(ROWS($W$2:W76),$W$2:$W$1001,0),MATCH(COLUMNS($AD$1006:AJ1006),$AD$1006:$AU$1006,0)), HYPERLINK("#",""), HYPERLINK(CONCATENATE("#metadata!", ADDRESS(INDEX($Y$2:$Y$1001,MATCH(ROWS($W$2:W76),$W$2:$W$1001,0),0), INDEX($AD$1004:$AU$1004,1,MATCH(COLUMNS($AD$1006:AJ1006),$AD$1006:$AU$1006,0)))),"Fix")))</f>
        <v xml:space="preserve"> </v>
      </c>
      <c r="I76" s="4" t="str">
        <f ca="1">IF(OR(INDEX($X$2:$X$1001,MATCH(ROWS($W$2:W76),$W$2:$W$1001,0),1)&gt;=100000,INDEX($AD$1005:$AU$1005,1,MATCH(COLUMNS($AD$1006:AK1006),$AD$1006:$AU$1006,0))&gt;=100000), " ",IF(INDEX($AD$2:$AU$1001,MATCH(ROWS($W$2:W76),$W$2:$W$1001,0),MATCH(COLUMNS($AD$1006:AK1006),$AD$1006:$AU$1006,0)), HYPERLINK("#",""), HYPERLINK(CONCATENATE("#metadata!", ADDRESS(INDEX($Y$2:$Y$1001,MATCH(ROWS($W$2:W76),$W$2:$W$1001,0),0), INDEX($AD$1004:$AU$1004,1,MATCH(COLUMNS($AD$1006:AK1006),$AD$1006:$AU$1006,0)))),"Fix")))</f>
        <v xml:space="preserve"> </v>
      </c>
      <c r="J76" s="4" t="str">
        <f ca="1">IF(OR(INDEX($X$2:$X$1001,MATCH(ROWS($W$2:W76),$W$2:$W$1001,0),1)&gt;=100000,INDEX($AD$1005:$AU$1005,1,MATCH(COLUMNS($AD$1006:AL1006),$AD$1006:$AU$1006,0))&gt;=100000), " ",IF(INDEX($AD$2:$AU$1001,MATCH(ROWS($W$2:W76),$W$2:$W$1001,0),MATCH(COLUMNS($AD$1006:AL1006),$AD$1006:$AU$1006,0)), HYPERLINK("#",""), HYPERLINK(CONCATENATE("#metadata!", ADDRESS(INDEX($Y$2:$Y$1001,MATCH(ROWS($W$2:W76),$W$2:$W$1001,0),0), INDEX($AD$1004:$AU$1004,1,MATCH(COLUMNS($AD$1006:AL1006),$AD$1006:$AU$1006,0)))),"Fix")))</f>
        <v xml:space="preserve"> </v>
      </c>
      <c r="K76" s="4" t="str">
        <f ca="1">IF(OR(INDEX($X$2:$X$1001,MATCH(ROWS($W$2:W76),$W$2:$W$1001,0),1)&gt;=100000,INDEX($AD$1005:$AU$1005,1,MATCH(COLUMNS($AD$1006:AM1006),$AD$1006:$AU$1006,0))&gt;=100000), " ",IF(INDEX($AD$2:$AU$1001,MATCH(ROWS($W$2:W76),$W$2:$W$1001,0),MATCH(COLUMNS($AD$1006:AM1006),$AD$1006:$AU$1006,0)), HYPERLINK("#",""), HYPERLINK(CONCATENATE("#metadata!", ADDRESS(INDEX($Y$2:$Y$1001,MATCH(ROWS($W$2:W76),$W$2:$W$1001,0),0), INDEX($AD$1004:$AU$1004,1,MATCH(COLUMNS($AD$1006:AM1006),$AD$1006:$AU$1006,0)))),"Fix")))</f>
        <v xml:space="preserve"> </v>
      </c>
      <c r="L76" s="4" t="str">
        <f ca="1">IF(OR(INDEX($X$2:$X$1001,MATCH(ROWS($W$2:W76),$W$2:$W$1001,0),1)&gt;=100000,INDEX($AD$1005:$AU$1005,1,MATCH(COLUMNS($AD$1006:AN1006),$AD$1006:$AU$1006,0))&gt;=100000), " ",IF(INDEX($AD$2:$AU$1001,MATCH(ROWS($W$2:W76),$W$2:$W$1001,0),MATCH(COLUMNS($AD$1006:AN1006),$AD$1006:$AU$1006,0)), HYPERLINK("#",""), HYPERLINK(CONCATENATE("#metadata!", ADDRESS(INDEX($Y$2:$Y$1001,MATCH(ROWS($W$2:W76),$W$2:$W$1001,0),0), INDEX($AD$1004:$AU$1004,1,MATCH(COLUMNS($AD$1006:AN1006),$AD$1006:$AU$1006,0)))),"Fix")))</f>
        <v xml:space="preserve"> </v>
      </c>
      <c r="M76" s="4" t="str">
        <f ca="1">IF(OR(INDEX($X$2:$X$1001,MATCH(ROWS($W$2:W76),$W$2:$W$1001,0),1)&gt;=100000,INDEX($AD$1005:$AU$1005,1,MATCH(COLUMNS($AD$1006:AO1006),$AD$1006:$AU$1006,0))&gt;=100000), " ",IF(INDEX($AD$2:$AU$1001,MATCH(ROWS($W$2:W76),$W$2:$W$1001,0),MATCH(COLUMNS($AD$1006:AO1006),$AD$1006:$AU$1006,0)), HYPERLINK("#",""), HYPERLINK(CONCATENATE("#metadata!", ADDRESS(INDEX($Y$2:$Y$1001,MATCH(ROWS($W$2:W76),$W$2:$W$1001,0),0), INDEX($AD$1004:$AU$1004,1,MATCH(COLUMNS($AD$1006:AO1006),$AD$1006:$AU$1006,0)))),"Fix")))</f>
        <v xml:space="preserve"> </v>
      </c>
      <c r="N76" s="4" t="str">
        <f ca="1">IF(OR(INDEX($X$2:$X$1001,MATCH(ROWS($W$2:W76),$W$2:$W$1001,0),1)&gt;=100000,INDEX($AD$1005:$AU$1005,1,MATCH(COLUMNS($AD$1006:AP1006),$AD$1006:$AU$1006,0))&gt;=100000), " ",IF(INDEX($AD$2:$AU$1001,MATCH(ROWS($W$2:W76),$W$2:$W$1001,0),MATCH(COLUMNS($AD$1006:AP1006),$AD$1006:$AU$1006,0)), HYPERLINK("#",""), HYPERLINK(CONCATENATE("#metadata!", ADDRESS(INDEX($Y$2:$Y$1001,MATCH(ROWS($W$2:W76),$W$2:$W$1001,0),0), INDEX($AD$1004:$AU$1004,1,MATCH(COLUMNS($AD$1006:AP1006),$AD$1006:$AU$1006,0)))),"Fix")))</f>
        <v xml:space="preserve"> </v>
      </c>
      <c r="O76" s="4" t="str">
        <f ca="1">IF(OR(INDEX($X$2:$X$1001,MATCH(ROWS($W$2:W76),$W$2:$W$1001,0),1)&gt;=100000,INDEX($AD$1005:$AU$1005,1,MATCH(COLUMNS($AD$1006:AQ1006),$AD$1006:$AU$1006,0))&gt;=100000), " ",IF(INDEX($AD$2:$AU$1001,MATCH(ROWS($W$2:W76),$W$2:$W$1001,0),MATCH(COLUMNS($AD$1006:AQ1006),$AD$1006:$AU$1006,0)), HYPERLINK("#",""), HYPERLINK(CONCATENATE("#metadata!", ADDRESS(INDEX($Y$2:$Y$1001,MATCH(ROWS($W$2:W76),$W$2:$W$1001,0),0), INDEX($AD$1004:$AU$1004,1,MATCH(COLUMNS($AD$1006:AQ1006),$AD$1006:$AU$1006,0)))),"Fix")))</f>
        <v xml:space="preserve"> </v>
      </c>
      <c r="P76" s="4" t="str">
        <f ca="1">IF(OR(INDEX($X$2:$X$1001,MATCH(ROWS($W$2:W76),$W$2:$W$1001,0),1)&gt;=100000,INDEX($AD$1005:$AU$1005,1,MATCH(COLUMNS($AD$1006:AR1006),$AD$1006:$AU$1006,0))&gt;=100000), " ",IF(INDEX($AD$2:$AU$1001,MATCH(ROWS($W$2:W76),$W$2:$W$1001,0),MATCH(COLUMNS($AD$1006:AR1006),$AD$1006:$AU$1006,0)), HYPERLINK("#",""), HYPERLINK(CONCATENATE("#metadata!", ADDRESS(INDEX($Y$2:$Y$1001,MATCH(ROWS($W$2:W76),$W$2:$W$1001,0),0), INDEX($AD$1004:$AU$1004,1,MATCH(COLUMNS($AD$1006:AR1006),$AD$1006:$AU$1006,0)))),"Fix")))</f>
        <v xml:space="preserve"> </v>
      </c>
      <c r="Q76" s="4" t="str">
        <f ca="1">IF(OR(INDEX($X$2:$X$1001,MATCH(ROWS($W$2:W76),$W$2:$W$1001,0),1)&gt;=100000,INDEX($AD$1005:$AU$1005,1,MATCH(COLUMNS($AD$1006:AS1006),$AD$1006:$AU$1006,0))&gt;=100000), " ",IF(INDEX($AD$2:$AU$1001,MATCH(ROWS($W$2:W76),$W$2:$W$1001,0),MATCH(COLUMNS($AD$1006:AS1006),$AD$1006:$AU$1006,0)), HYPERLINK("#",""), HYPERLINK(CONCATENATE("#metadata!", ADDRESS(INDEX($Y$2:$Y$1001,MATCH(ROWS($W$2:W76),$W$2:$W$1001,0),0), INDEX($AD$1004:$AU$1004,1,MATCH(COLUMNS($AD$1006:AS1006),$AD$1006:$AU$1006,0)))),"Fix")))</f>
        <v xml:space="preserve"> </v>
      </c>
      <c r="R76" s="4" t="str">
        <f ca="1">IF(OR(INDEX($X$2:$X$1001,MATCH(ROWS($W$2:W76),$W$2:$W$1001,0),1)&gt;=100000,INDEX($AD$1005:$AU$1005,1,MATCH(COLUMNS($AD$1006:AT1006),$AD$1006:$AU$1006,0))&gt;=100000), " ",IF(INDEX($AD$2:$AU$1001,MATCH(ROWS($W$2:W76),$W$2:$W$1001,0),MATCH(COLUMNS($AD$1006:AT1006),$AD$1006:$AU$1006,0)), HYPERLINK("#",""), HYPERLINK(CONCATENATE("#metadata!", ADDRESS(INDEX($Y$2:$Y$1001,MATCH(ROWS($W$2:W76),$W$2:$W$1001,0),0), INDEX($AD$1004:$AU$1004,1,MATCH(COLUMNS($AD$1006:AT1006),$AD$1006:$AU$1006,0)))),"Fix")))</f>
        <v xml:space="preserve"> </v>
      </c>
      <c r="S76" s="4" t="str">
        <f ca="1">IF(OR(INDEX($X$2:$X$1001,MATCH(ROWS($W$2:W76),$W$2:$W$1001,0),1)&gt;=100000,INDEX($AD$1005:$AU$1005,1,MATCH(COLUMNS($AD$1006:AU1006),$AD$1006:$AU$1006,0))&gt;=100000), " ",IF(INDEX($AD$2:$AU$1001,MATCH(ROWS($W$2:W76),$W$2:$W$1001,0),MATCH(COLUMNS($AD$1006:AU1006),$AD$1006:$AU$1006,0)), HYPERLINK("#",""), HYPERLINK(CONCATENATE("#metadata!", ADDRESS(INDEX($Y$2:$Y$1001,MATCH(ROWS($W$2:W76),$W$2:$W$1001,0),0), INDEX($AD$1004:$AU$1004,1,MATCH(COLUMNS($AD$1006:AU1006),$AD$1006:$AU$1006,0)))),"Fix")))</f>
        <v xml:space="preserve"> </v>
      </c>
      <c r="W76">
        <v>75</v>
      </c>
      <c r="X76">
        <v>100076</v>
      </c>
      <c r="Y76">
        <v>76</v>
      </c>
      <c r="Z76" t="b">
        <f t="shared" si="1"/>
        <v>1</v>
      </c>
      <c r="AA76" t="b">
        <f>COUNTBLANK(metadata!B76:S76)=COLUMNS(metadata!B76:S76)</f>
        <v>1</v>
      </c>
      <c r="AB76" t="str">
        <v/>
      </c>
      <c r="AD76" t="b">
        <f ca="1">AND(IF(metadata!B76="",FALSE,TRUE),COUNTIF(metadata!B:B, metadata!B76) = 1,NOT(ISERROR(SUMPRODUCT(SEARCH(MID(metadata!B76,ROW(INDIRECT("1:"&amp;LEN(metadata!B76))), 1),"0123456789abcdefghijklmnopqrstuvwxyzABCDEFGHIJKLMNOPQRSTUVWXYZ.")))))</f>
        <v>0</v>
      </c>
      <c r="AE76" t="b">
        <f>OR(AND(IF(metadata!C76="",FALSE,TRUE),OR(EXACT(metadata!C76,"not applicable"),EXACT(metadata!C76,"missing: not collected"),EXACT(metadata!C76,"missing: not provided"),EXACT(metadata!C76,"missing: restricted access"))),AND(IF(metadata!C76="",FALSE,ISNUMBER(VALUE(metadata!C76))),metadata!C76&gt;0))</f>
        <v>0</v>
      </c>
      <c r="AF76" t="b">
        <f>AND(IF(metadata!D76="",FALSE,TRUE),EXACT(metadata!D76,"missing: not provided"))</f>
        <v>0</v>
      </c>
      <c r="AG76" t="b">
        <f>AND(IF(metadata!E76="",FALSE,TRUE),EXACT(metadata!E76,"Host-associated"))</f>
        <v>0</v>
      </c>
      <c r="AH76" t="b">
        <f>AND(IF(metadata!F76="",FALSE,TRUE),OR(EXACT(metadata!F76,"Animal"),EXACT(metadata!F76,"Fungus"),EXACT(metadata!F76,"Plant")))</f>
        <v>0</v>
      </c>
      <c r="AI76" t="b">
        <f>AND(IF(metadata!G76="",FALSE,TRUE),OR(EXACT(metadata!G76,"Plant secretion"),EXACT(metadata!G76,"Plant rhizosphere"),EXACT(metadata!G76,"Plant surface"),EXACT(metadata!G76,"Plant corpus"),EXACT(metadata!G76,"Fungus surface"),EXACT(metadata!G76,"Fungus corpus"),EXACT(metadata!G76,"Animal surface"),EXACT(metadata!G76,"Animal proximal gut"),EXACT(metadata!G76,"Animal corpus"),EXACT(metadata!G76,"Animal distal gut"),EXACT(metadata!G76,"Animal secretion")))</f>
        <v>0</v>
      </c>
      <c r="AJ76" t="b">
        <f>OR(AND(IF(metadata!H76="",FALSE,TRUE),OR(EXACT(metadata!H76,"missing: not collected"),EXACT(metadata!H76,"missing: not provided"),EXACT(metadata!H76,"missing: restricted access"))),AND(IF(metadata!H76="",FALSE,TRUE),OR(EXACT(metadata!H76,"organism-associated habitat"),EXACT(metadata!H76,"plant-associated habitat"),EXACT(metadata!H76,"animal-associated habitat"),EXACT(metadata!H76,"insecta-associated habitat"),EXACT(metadata!H76,"mammalia-associated habitat"),EXACT(metadata!H76,"human-associated habitat"),EXACT(metadata!H76,"livestock-associated habitat"))))</f>
        <v>0</v>
      </c>
      <c r="AK76" t="b">
        <f>AND(IF(metadata!I76="",FALSE,TRUE),EXACT(metadata!I76,"host-associated"))</f>
        <v>0</v>
      </c>
      <c r="AL76" t="b">
        <f>OR(AND(IF(metadata!J76="",FALSE,TRUE),OR(EXACT(metadata!J76,"not applicable"),EXACT(metadata!J76,"missing: not collected"),EXACT(metadata!J76,"missing: not provided"),EXACT(metadata!J76,"missing: restricted access"))),AND(IF(metadata!J76="",FALSE,ISNUMBER(VALUE(metadata!J76))),metadata!J76&gt;0))</f>
        <v>0</v>
      </c>
      <c r="AM76" t="b">
        <f>AND(IF(metadata!K76="",FALSE,TRUE),EXACT(metadata!K76,"missing: not provided"))</f>
        <v>0</v>
      </c>
      <c r="AN76" t="b">
        <f>IF(metadata!L76="",FALSE,TRUE)</f>
        <v>0</v>
      </c>
      <c r="AO76" t="b">
        <f>IF(metadata!M76="",FALSE,TRUE)</f>
        <v>0</v>
      </c>
      <c r="AP76" t="b">
        <f>OR(AND(IF(metadata!N76="",FALSE,TRUE),OR(EXACT(metadata!N76,"not applicable"),EXACT(metadata!N76,"missing: not collected"),EXACT(metadata!N76,"missing: not provided"))),AND(IF(metadata!N76="",FALSE,IF(ISERROR(INT(metadata!N76)),FALSE,INT(metadata!N76)=metadata!N76)),metadata!N76&gt;0))</f>
        <v>0</v>
      </c>
      <c r="AQ76" t="b">
        <f>AND(IF(metadata!O76="",FALSE,TRUE),EXACT(metadata!O76,"Not applicable"))</f>
        <v>0</v>
      </c>
      <c r="AR76" t="b">
        <f>OR(AND(IF(metadata!P76="",FALSE,TRUE),OR(EXACT(metadata!P76,"not applicable"),EXACT(metadata!P76,"missing: not collected"),EXACT(metadata!P76,"missing: not provided"),EXACT(metadata!P76,"missing: restricted access"))),IF(metadata!P76="",FALSE,IF(ISERROR(INT(metadata!P76)),FALSE,INT(metadata!P76)=metadata!P76)))</f>
        <v>0</v>
      </c>
      <c r="AS76" t="b">
        <f>AND(IF(metadata!Q76="",FALSE,TRUE),EXACT(metadata!Q76,"Not applicable"))</f>
        <v>0</v>
      </c>
      <c r="AT76" t="b">
        <f>OR(AND(IF(metadata!R76="",FALSE,TRUE),OR(EXACT(metadata!R76,"not applicable"),EXACT(metadata!R76,"missing: not collected"),EXACT(metadata!R76,"missing: not provided"),EXACT(metadata!R76,"missing: restricted access"))),AND(IF(metadata!R76="",FALSE,ISNUMBER(VALUE(metadata!R76))),metadata!R76&gt;0))</f>
        <v>0</v>
      </c>
      <c r="AU76" t="b">
        <f>AND(IF(metadata!S76="",FALSE,TRUE),EXACT(metadata!S76,"missing: not provided"))</f>
        <v>0</v>
      </c>
    </row>
    <row r="77" spans="1:47" x14ac:dyDescent="0.2">
      <c r="A77" s="5" t="str">
        <f ca="1">IF(B77=" "," ",HYPERLINK(CONCATENATE("#metadata!",ADDRESS(INDEX($Y$2:$Y$1001,MATCH(ROWS($W$2:W77),$W$2:$W$1001,0),0),1)),INDEX($AB$2:$AB$1001,MATCH(ROWS($W$2:W77),$W$2:$W$1001,0),0)))</f>
        <v xml:space="preserve"> </v>
      </c>
      <c r="B77" s="4" t="str">
        <f ca="1">IF(OR(INDEX($X$2:$X$1001,MATCH(ROWS($W$2:W77),$W$2:$W$1001,0),1)&gt;=100000,INDEX($AD$1005:$AU$1005,1,MATCH(COLUMNS($AD$1006:AD1006),$AD$1006:$AU$1006,0))&gt;=100000), " ",IF(INDEX($AD$2:$AU$1001,MATCH(ROWS($W$2:W77),$W$2:$W$1001,0),MATCH(COLUMNS($AD$1006:AD1006),$AD$1006:$AU$1006,0)), HYPERLINK("#",""), HYPERLINK(CONCATENATE("#metadata!", ADDRESS(INDEX($Y$2:$Y$1001,MATCH(ROWS($W$2:W77),$W$2:$W$1001,0),0), INDEX($AD$1004:$AU$1004,1,MATCH(COLUMNS($AD$1006:AD1006),$AD$1006:$AU$1006,0)))),"Fix")))</f>
        <v xml:space="preserve"> </v>
      </c>
      <c r="C77" s="4" t="str">
        <f ca="1">IF(OR(INDEX($X$2:$X$1001,MATCH(ROWS($W$2:W77),$W$2:$W$1001,0),1)&gt;=100000,INDEX($AD$1005:$AU$1005,1,MATCH(COLUMNS($AD$1006:AE1006),$AD$1006:$AU$1006,0))&gt;=100000), " ",IF(INDEX($AD$2:$AU$1001,MATCH(ROWS($W$2:W77),$W$2:$W$1001,0),MATCH(COLUMNS($AD$1006:AE1006),$AD$1006:$AU$1006,0)), HYPERLINK("#",""), HYPERLINK(CONCATENATE("#metadata!", ADDRESS(INDEX($Y$2:$Y$1001,MATCH(ROWS($W$2:W77),$W$2:$W$1001,0),0), INDEX($AD$1004:$AU$1004,1,MATCH(COLUMNS($AD$1006:AE1006),$AD$1006:$AU$1006,0)))),"Fix")))</f>
        <v xml:space="preserve"> </v>
      </c>
      <c r="D77" s="4" t="str">
        <f ca="1">IF(OR(INDEX($X$2:$X$1001,MATCH(ROWS($W$2:W77),$W$2:$W$1001,0),1)&gt;=100000,INDEX($AD$1005:$AU$1005,1,MATCH(COLUMNS($AD$1006:AF1006),$AD$1006:$AU$1006,0))&gt;=100000), " ",IF(INDEX($AD$2:$AU$1001,MATCH(ROWS($W$2:W77),$W$2:$W$1001,0),MATCH(COLUMNS($AD$1006:AF1006),$AD$1006:$AU$1006,0)), HYPERLINK("#",""), HYPERLINK(CONCATENATE("#metadata!", ADDRESS(INDEX($Y$2:$Y$1001,MATCH(ROWS($W$2:W77),$W$2:$W$1001,0),0), INDEX($AD$1004:$AU$1004,1,MATCH(COLUMNS($AD$1006:AF1006),$AD$1006:$AU$1006,0)))),"Fix")))</f>
        <v xml:space="preserve"> </v>
      </c>
      <c r="E77" s="4" t="str">
        <f ca="1">IF(OR(INDEX($X$2:$X$1001,MATCH(ROWS($W$2:W77),$W$2:$W$1001,0),1)&gt;=100000,INDEX($AD$1005:$AU$1005,1,MATCH(COLUMNS($AD$1006:AG1006),$AD$1006:$AU$1006,0))&gt;=100000), " ",IF(INDEX($AD$2:$AU$1001,MATCH(ROWS($W$2:W77),$W$2:$W$1001,0),MATCH(COLUMNS($AD$1006:AG1006),$AD$1006:$AU$1006,0)), HYPERLINK("#",""), HYPERLINK(CONCATENATE("#metadata!", ADDRESS(INDEX($Y$2:$Y$1001,MATCH(ROWS($W$2:W77),$W$2:$W$1001,0),0), INDEX($AD$1004:$AU$1004,1,MATCH(COLUMNS($AD$1006:AG1006),$AD$1006:$AU$1006,0)))),"Fix")))</f>
        <v xml:space="preserve"> </v>
      </c>
      <c r="F77" s="4" t="str">
        <f ca="1">IF(OR(INDEX($X$2:$X$1001,MATCH(ROWS($W$2:W77),$W$2:$W$1001,0),1)&gt;=100000,INDEX($AD$1005:$AU$1005,1,MATCH(COLUMNS($AD$1006:AH1006),$AD$1006:$AU$1006,0))&gt;=100000), " ",IF(INDEX($AD$2:$AU$1001,MATCH(ROWS($W$2:W77),$W$2:$W$1001,0),MATCH(COLUMNS($AD$1006:AH1006),$AD$1006:$AU$1006,0)), HYPERLINK("#",""), HYPERLINK(CONCATENATE("#metadata!", ADDRESS(INDEX($Y$2:$Y$1001,MATCH(ROWS($W$2:W77),$W$2:$W$1001,0),0), INDEX($AD$1004:$AU$1004,1,MATCH(COLUMNS($AD$1006:AH1006),$AD$1006:$AU$1006,0)))),"Fix")))</f>
        <v xml:space="preserve"> </v>
      </c>
      <c r="G77" s="4" t="str">
        <f ca="1">IF(OR(INDEX($X$2:$X$1001,MATCH(ROWS($W$2:W77),$W$2:$W$1001,0),1)&gt;=100000,INDEX($AD$1005:$AU$1005,1,MATCH(COLUMNS($AD$1006:AI1006),$AD$1006:$AU$1006,0))&gt;=100000), " ",IF(INDEX($AD$2:$AU$1001,MATCH(ROWS($W$2:W77),$W$2:$W$1001,0),MATCH(COLUMNS($AD$1006:AI1006),$AD$1006:$AU$1006,0)), HYPERLINK("#",""), HYPERLINK(CONCATENATE("#metadata!", ADDRESS(INDEX($Y$2:$Y$1001,MATCH(ROWS($W$2:W77),$W$2:$W$1001,0),0), INDEX($AD$1004:$AU$1004,1,MATCH(COLUMNS($AD$1006:AI1006),$AD$1006:$AU$1006,0)))),"Fix")))</f>
        <v xml:space="preserve"> </v>
      </c>
      <c r="H77" s="4" t="str">
        <f ca="1">IF(OR(INDEX($X$2:$X$1001,MATCH(ROWS($W$2:W77),$W$2:$W$1001,0),1)&gt;=100000,INDEX($AD$1005:$AU$1005,1,MATCH(COLUMNS($AD$1006:AJ1006),$AD$1006:$AU$1006,0))&gt;=100000), " ",IF(INDEX($AD$2:$AU$1001,MATCH(ROWS($W$2:W77),$W$2:$W$1001,0),MATCH(COLUMNS($AD$1006:AJ1006),$AD$1006:$AU$1006,0)), HYPERLINK("#",""), HYPERLINK(CONCATENATE("#metadata!", ADDRESS(INDEX($Y$2:$Y$1001,MATCH(ROWS($W$2:W77),$W$2:$W$1001,0),0), INDEX($AD$1004:$AU$1004,1,MATCH(COLUMNS($AD$1006:AJ1006),$AD$1006:$AU$1006,0)))),"Fix")))</f>
        <v xml:space="preserve"> </v>
      </c>
      <c r="I77" s="4" t="str">
        <f ca="1">IF(OR(INDEX($X$2:$X$1001,MATCH(ROWS($W$2:W77),$W$2:$W$1001,0),1)&gt;=100000,INDEX($AD$1005:$AU$1005,1,MATCH(COLUMNS($AD$1006:AK1006),$AD$1006:$AU$1006,0))&gt;=100000), " ",IF(INDEX($AD$2:$AU$1001,MATCH(ROWS($W$2:W77),$W$2:$W$1001,0),MATCH(COLUMNS($AD$1006:AK1006),$AD$1006:$AU$1006,0)), HYPERLINK("#",""), HYPERLINK(CONCATENATE("#metadata!", ADDRESS(INDEX($Y$2:$Y$1001,MATCH(ROWS($W$2:W77),$W$2:$W$1001,0),0), INDEX($AD$1004:$AU$1004,1,MATCH(COLUMNS($AD$1006:AK1006),$AD$1006:$AU$1006,0)))),"Fix")))</f>
        <v xml:space="preserve"> </v>
      </c>
      <c r="J77" s="4" t="str">
        <f ca="1">IF(OR(INDEX($X$2:$X$1001,MATCH(ROWS($W$2:W77),$W$2:$W$1001,0),1)&gt;=100000,INDEX($AD$1005:$AU$1005,1,MATCH(COLUMNS($AD$1006:AL1006),$AD$1006:$AU$1006,0))&gt;=100000), " ",IF(INDEX($AD$2:$AU$1001,MATCH(ROWS($W$2:W77),$W$2:$W$1001,0),MATCH(COLUMNS($AD$1006:AL1006),$AD$1006:$AU$1006,0)), HYPERLINK("#",""), HYPERLINK(CONCATENATE("#metadata!", ADDRESS(INDEX($Y$2:$Y$1001,MATCH(ROWS($W$2:W77),$W$2:$W$1001,0),0), INDEX($AD$1004:$AU$1004,1,MATCH(COLUMNS($AD$1006:AL1006),$AD$1006:$AU$1006,0)))),"Fix")))</f>
        <v xml:space="preserve"> </v>
      </c>
      <c r="K77" s="4" t="str">
        <f ca="1">IF(OR(INDEX($X$2:$X$1001,MATCH(ROWS($W$2:W77),$W$2:$W$1001,0),1)&gt;=100000,INDEX($AD$1005:$AU$1005,1,MATCH(COLUMNS($AD$1006:AM1006),$AD$1006:$AU$1006,0))&gt;=100000), " ",IF(INDEX($AD$2:$AU$1001,MATCH(ROWS($W$2:W77),$W$2:$W$1001,0),MATCH(COLUMNS($AD$1006:AM1006),$AD$1006:$AU$1006,0)), HYPERLINK("#",""), HYPERLINK(CONCATENATE("#metadata!", ADDRESS(INDEX($Y$2:$Y$1001,MATCH(ROWS($W$2:W77),$W$2:$W$1001,0),0), INDEX($AD$1004:$AU$1004,1,MATCH(COLUMNS($AD$1006:AM1006),$AD$1006:$AU$1006,0)))),"Fix")))</f>
        <v xml:space="preserve"> </v>
      </c>
      <c r="L77" s="4" t="str">
        <f ca="1">IF(OR(INDEX($X$2:$X$1001,MATCH(ROWS($W$2:W77),$W$2:$W$1001,0),1)&gt;=100000,INDEX($AD$1005:$AU$1005,1,MATCH(COLUMNS($AD$1006:AN1006),$AD$1006:$AU$1006,0))&gt;=100000), " ",IF(INDEX($AD$2:$AU$1001,MATCH(ROWS($W$2:W77),$W$2:$W$1001,0),MATCH(COLUMNS($AD$1006:AN1006),$AD$1006:$AU$1006,0)), HYPERLINK("#",""), HYPERLINK(CONCATENATE("#metadata!", ADDRESS(INDEX($Y$2:$Y$1001,MATCH(ROWS($W$2:W77),$W$2:$W$1001,0),0), INDEX($AD$1004:$AU$1004,1,MATCH(COLUMNS($AD$1006:AN1006),$AD$1006:$AU$1006,0)))),"Fix")))</f>
        <v xml:space="preserve"> </v>
      </c>
      <c r="M77" s="4" t="str">
        <f ca="1">IF(OR(INDEX($X$2:$X$1001,MATCH(ROWS($W$2:W77),$W$2:$W$1001,0),1)&gt;=100000,INDEX($AD$1005:$AU$1005,1,MATCH(COLUMNS($AD$1006:AO1006),$AD$1006:$AU$1006,0))&gt;=100000), " ",IF(INDEX($AD$2:$AU$1001,MATCH(ROWS($W$2:W77),$W$2:$W$1001,0),MATCH(COLUMNS($AD$1006:AO1006),$AD$1006:$AU$1006,0)), HYPERLINK("#",""), HYPERLINK(CONCATENATE("#metadata!", ADDRESS(INDEX($Y$2:$Y$1001,MATCH(ROWS($W$2:W77),$W$2:$W$1001,0),0), INDEX($AD$1004:$AU$1004,1,MATCH(COLUMNS($AD$1006:AO1006),$AD$1006:$AU$1006,0)))),"Fix")))</f>
        <v xml:space="preserve"> </v>
      </c>
      <c r="N77" s="4" t="str">
        <f ca="1">IF(OR(INDEX($X$2:$X$1001,MATCH(ROWS($W$2:W77),$W$2:$W$1001,0),1)&gt;=100000,INDEX($AD$1005:$AU$1005,1,MATCH(COLUMNS($AD$1006:AP1006),$AD$1006:$AU$1006,0))&gt;=100000), " ",IF(INDEX($AD$2:$AU$1001,MATCH(ROWS($W$2:W77),$W$2:$W$1001,0),MATCH(COLUMNS($AD$1006:AP1006),$AD$1006:$AU$1006,0)), HYPERLINK("#",""), HYPERLINK(CONCATENATE("#metadata!", ADDRESS(INDEX($Y$2:$Y$1001,MATCH(ROWS($W$2:W77),$W$2:$W$1001,0),0), INDEX($AD$1004:$AU$1004,1,MATCH(COLUMNS($AD$1006:AP1006),$AD$1006:$AU$1006,0)))),"Fix")))</f>
        <v xml:space="preserve"> </v>
      </c>
      <c r="O77" s="4" t="str">
        <f ca="1">IF(OR(INDEX($X$2:$X$1001,MATCH(ROWS($W$2:W77),$W$2:$W$1001,0),1)&gt;=100000,INDEX($AD$1005:$AU$1005,1,MATCH(COLUMNS($AD$1006:AQ1006),$AD$1006:$AU$1006,0))&gt;=100000), " ",IF(INDEX($AD$2:$AU$1001,MATCH(ROWS($W$2:W77),$W$2:$W$1001,0),MATCH(COLUMNS($AD$1006:AQ1006),$AD$1006:$AU$1006,0)), HYPERLINK("#",""), HYPERLINK(CONCATENATE("#metadata!", ADDRESS(INDEX($Y$2:$Y$1001,MATCH(ROWS($W$2:W77),$W$2:$W$1001,0),0), INDEX($AD$1004:$AU$1004,1,MATCH(COLUMNS($AD$1006:AQ1006),$AD$1006:$AU$1006,0)))),"Fix")))</f>
        <v xml:space="preserve"> </v>
      </c>
      <c r="P77" s="4" t="str">
        <f ca="1">IF(OR(INDEX($X$2:$X$1001,MATCH(ROWS($W$2:W77),$W$2:$W$1001,0),1)&gt;=100000,INDEX($AD$1005:$AU$1005,1,MATCH(COLUMNS($AD$1006:AR1006),$AD$1006:$AU$1006,0))&gt;=100000), " ",IF(INDEX($AD$2:$AU$1001,MATCH(ROWS($W$2:W77),$W$2:$W$1001,0),MATCH(COLUMNS($AD$1006:AR1006),$AD$1006:$AU$1006,0)), HYPERLINK("#",""), HYPERLINK(CONCATENATE("#metadata!", ADDRESS(INDEX($Y$2:$Y$1001,MATCH(ROWS($W$2:W77),$W$2:$W$1001,0),0), INDEX($AD$1004:$AU$1004,1,MATCH(COLUMNS($AD$1006:AR1006),$AD$1006:$AU$1006,0)))),"Fix")))</f>
        <v xml:space="preserve"> </v>
      </c>
      <c r="Q77" s="4" t="str">
        <f ca="1">IF(OR(INDEX($X$2:$X$1001,MATCH(ROWS($W$2:W77),$W$2:$W$1001,0),1)&gt;=100000,INDEX($AD$1005:$AU$1005,1,MATCH(COLUMNS($AD$1006:AS1006),$AD$1006:$AU$1006,0))&gt;=100000), " ",IF(INDEX($AD$2:$AU$1001,MATCH(ROWS($W$2:W77),$W$2:$W$1001,0),MATCH(COLUMNS($AD$1006:AS1006),$AD$1006:$AU$1006,0)), HYPERLINK("#",""), HYPERLINK(CONCATENATE("#metadata!", ADDRESS(INDEX($Y$2:$Y$1001,MATCH(ROWS($W$2:W77),$W$2:$W$1001,0),0), INDEX($AD$1004:$AU$1004,1,MATCH(COLUMNS($AD$1006:AS1006),$AD$1006:$AU$1006,0)))),"Fix")))</f>
        <v xml:space="preserve"> </v>
      </c>
      <c r="R77" s="4" t="str">
        <f ca="1">IF(OR(INDEX($X$2:$X$1001,MATCH(ROWS($W$2:W77),$W$2:$W$1001,0),1)&gt;=100000,INDEX($AD$1005:$AU$1005,1,MATCH(COLUMNS($AD$1006:AT1006),$AD$1006:$AU$1006,0))&gt;=100000), " ",IF(INDEX($AD$2:$AU$1001,MATCH(ROWS($W$2:W77),$W$2:$W$1001,0),MATCH(COLUMNS($AD$1006:AT1006),$AD$1006:$AU$1006,0)), HYPERLINK("#",""), HYPERLINK(CONCATENATE("#metadata!", ADDRESS(INDEX($Y$2:$Y$1001,MATCH(ROWS($W$2:W77),$W$2:$W$1001,0),0), INDEX($AD$1004:$AU$1004,1,MATCH(COLUMNS($AD$1006:AT1006),$AD$1006:$AU$1006,0)))),"Fix")))</f>
        <v xml:space="preserve"> </v>
      </c>
      <c r="S77" s="4" t="str">
        <f ca="1">IF(OR(INDEX($X$2:$X$1001,MATCH(ROWS($W$2:W77),$W$2:$W$1001,0),1)&gt;=100000,INDEX($AD$1005:$AU$1005,1,MATCH(COLUMNS($AD$1006:AU1006),$AD$1006:$AU$1006,0))&gt;=100000), " ",IF(INDEX($AD$2:$AU$1001,MATCH(ROWS($W$2:W77),$W$2:$W$1001,0),MATCH(COLUMNS($AD$1006:AU1006),$AD$1006:$AU$1006,0)), HYPERLINK("#",""), HYPERLINK(CONCATENATE("#metadata!", ADDRESS(INDEX($Y$2:$Y$1001,MATCH(ROWS($W$2:W77),$W$2:$W$1001,0),0), INDEX($AD$1004:$AU$1004,1,MATCH(COLUMNS($AD$1006:AU1006),$AD$1006:$AU$1006,0)))),"Fix")))</f>
        <v xml:space="preserve"> </v>
      </c>
      <c r="W77">
        <v>76</v>
      </c>
      <c r="X77">
        <v>100077</v>
      </c>
      <c r="Y77">
        <v>77</v>
      </c>
      <c r="Z77" t="b">
        <f t="shared" si="1"/>
        <v>1</v>
      </c>
      <c r="AA77" t="b">
        <f>COUNTBLANK(metadata!B77:S77)=COLUMNS(metadata!B77:S77)</f>
        <v>1</v>
      </c>
      <c r="AB77" t="str">
        <v/>
      </c>
      <c r="AD77" t="b">
        <f ca="1">AND(IF(metadata!B77="",FALSE,TRUE),COUNTIF(metadata!B:B, metadata!B77) = 1,NOT(ISERROR(SUMPRODUCT(SEARCH(MID(metadata!B77,ROW(INDIRECT("1:"&amp;LEN(metadata!B77))), 1),"0123456789abcdefghijklmnopqrstuvwxyzABCDEFGHIJKLMNOPQRSTUVWXYZ.")))))</f>
        <v>0</v>
      </c>
      <c r="AE77" t="b">
        <f>OR(AND(IF(metadata!C77="",FALSE,TRUE),OR(EXACT(metadata!C77,"not applicable"),EXACT(metadata!C77,"missing: not collected"),EXACT(metadata!C77,"missing: not provided"),EXACT(metadata!C77,"missing: restricted access"))),AND(IF(metadata!C77="",FALSE,ISNUMBER(VALUE(metadata!C77))),metadata!C77&gt;0))</f>
        <v>0</v>
      </c>
      <c r="AF77" t="b">
        <f>AND(IF(metadata!D77="",FALSE,TRUE),EXACT(metadata!D77,"missing: not provided"))</f>
        <v>0</v>
      </c>
      <c r="AG77" t="b">
        <f>AND(IF(metadata!E77="",FALSE,TRUE),EXACT(metadata!E77,"Host-associated"))</f>
        <v>0</v>
      </c>
      <c r="AH77" t="b">
        <f>AND(IF(metadata!F77="",FALSE,TRUE),OR(EXACT(metadata!F77,"Animal"),EXACT(metadata!F77,"Fungus"),EXACT(metadata!F77,"Plant")))</f>
        <v>0</v>
      </c>
      <c r="AI77" t="b">
        <f>AND(IF(metadata!G77="",FALSE,TRUE),OR(EXACT(metadata!G77,"Plant secretion"),EXACT(metadata!G77,"Plant rhizosphere"),EXACT(metadata!G77,"Plant surface"),EXACT(metadata!G77,"Plant corpus"),EXACT(metadata!G77,"Fungus surface"),EXACT(metadata!G77,"Fungus corpus"),EXACT(metadata!G77,"Animal surface"),EXACT(metadata!G77,"Animal proximal gut"),EXACT(metadata!G77,"Animal corpus"),EXACT(metadata!G77,"Animal distal gut"),EXACT(metadata!G77,"Animal secretion")))</f>
        <v>0</v>
      </c>
      <c r="AJ77" t="b">
        <f>OR(AND(IF(metadata!H77="",FALSE,TRUE),OR(EXACT(metadata!H77,"missing: not collected"),EXACT(metadata!H77,"missing: not provided"),EXACT(metadata!H77,"missing: restricted access"))),AND(IF(metadata!H77="",FALSE,TRUE),OR(EXACT(metadata!H77,"organism-associated habitat"),EXACT(metadata!H77,"plant-associated habitat"),EXACT(metadata!H77,"animal-associated habitat"),EXACT(metadata!H77,"insecta-associated habitat"),EXACT(metadata!H77,"mammalia-associated habitat"),EXACT(metadata!H77,"human-associated habitat"),EXACT(metadata!H77,"livestock-associated habitat"))))</f>
        <v>0</v>
      </c>
      <c r="AK77" t="b">
        <f>AND(IF(metadata!I77="",FALSE,TRUE),EXACT(metadata!I77,"host-associated"))</f>
        <v>0</v>
      </c>
      <c r="AL77" t="b">
        <f>OR(AND(IF(metadata!J77="",FALSE,TRUE),OR(EXACT(metadata!J77,"not applicable"),EXACT(metadata!J77,"missing: not collected"),EXACT(metadata!J77,"missing: not provided"),EXACT(metadata!J77,"missing: restricted access"))),AND(IF(metadata!J77="",FALSE,ISNUMBER(VALUE(metadata!J77))),metadata!J77&gt;0))</f>
        <v>0</v>
      </c>
      <c r="AM77" t="b">
        <f>AND(IF(metadata!K77="",FALSE,TRUE),EXACT(metadata!K77,"missing: not provided"))</f>
        <v>0</v>
      </c>
      <c r="AN77" t="b">
        <f>IF(metadata!L77="",FALSE,TRUE)</f>
        <v>0</v>
      </c>
      <c r="AO77" t="b">
        <f>IF(metadata!M77="",FALSE,TRUE)</f>
        <v>0</v>
      </c>
      <c r="AP77" t="b">
        <f>OR(AND(IF(metadata!N77="",FALSE,TRUE),OR(EXACT(metadata!N77,"not applicable"),EXACT(metadata!N77,"missing: not collected"),EXACT(metadata!N77,"missing: not provided"))),AND(IF(metadata!N77="",FALSE,IF(ISERROR(INT(metadata!N77)),FALSE,INT(metadata!N77)=metadata!N77)),metadata!N77&gt;0))</f>
        <v>0</v>
      </c>
      <c r="AQ77" t="b">
        <f>AND(IF(metadata!O77="",FALSE,TRUE),EXACT(metadata!O77,"Not applicable"))</f>
        <v>0</v>
      </c>
      <c r="AR77" t="b">
        <f>OR(AND(IF(metadata!P77="",FALSE,TRUE),OR(EXACT(metadata!P77,"not applicable"),EXACT(metadata!P77,"missing: not collected"),EXACT(metadata!P77,"missing: not provided"),EXACT(metadata!P77,"missing: restricted access"))),IF(metadata!P77="",FALSE,IF(ISERROR(INT(metadata!P77)),FALSE,INT(metadata!P77)=metadata!P77)))</f>
        <v>0</v>
      </c>
      <c r="AS77" t="b">
        <f>AND(IF(metadata!Q77="",FALSE,TRUE),EXACT(metadata!Q77,"Not applicable"))</f>
        <v>0</v>
      </c>
      <c r="AT77" t="b">
        <f>OR(AND(IF(metadata!R77="",FALSE,TRUE),OR(EXACT(metadata!R77,"not applicable"),EXACT(metadata!R77,"missing: not collected"),EXACT(metadata!R77,"missing: not provided"),EXACT(metadata!R77,"missing: restricted access"))),AND(IF(metadata!R77="",FALSE,ISNUMBER(VALUE(metadata!R77))),metadata!R77&gt;0))</f>
        <v>0</v>
      </c>
      <c r="AU77" t="b">
        <f>AND(IF(metadata!S77="",FALSE,TRUE),EXACT(metadata!S77,"missing: not provided"))</f>
        <v>0</v>
      </c>
    </row>
    <row r="78" spans="1:47" x14ac:dyDescent="0.2">
      <c r="A78" s="5" t="str">
        <f ca="1">IF(B78=" "," ",HYPERLINK(CONCATENATE("#metadata!",ADDRESS(INDEX($Y$2:$Y$1001,MATCH(ROWS($W$2:W78),$W$2:$W$1001,0),0),1)),INDEX($AB$2:$AB$1001,MATCH(ROWS($W$2:W78),$W$2:$W$1001,0),0)))</f>
        <v xml:space="preserve"> </v>
      </c>
      <c r="B78" s="4" t="str">
        <f ca="1">IF(OR(INDEX($X$2:$X$1001,MATCH(ROWS($W$2:W78),$W$2:$W$1001,0),1)&gt;=100000,INDEX($AD$1005:$AU$1005,1,MATCH(COLUMNS($AD$1006:AD1006),$AD$1006:$AU$1006,0))&gt;=100000), " ",IF(INDEX($AD$2:$AU$1001,MATCH(ROWS($W$2:W78),$W$2:$W$1001,0),MATCH(COLUMNS($AD$1006:AD1006),$AD$1006:$AU$1006,0)), HYPERLINK("#",""), HYPERLINK(CONCATENATE("#metadata!", ADDRESS(INDEX($Y$2:$Y$1001,MATCH(ROWS($W$2:W78),$W$2:$W$1001,0),0), INDEX($AD$1004:$AU$1004,1,MATCH(COLUMNS($AD$1006:AD1006),$AD$1006:$AU$1006,0)))),"Fix")))</f>
        <v xml:space="preserve"> </v>
      </c>
      <c r="C78" s="4" t="str">
        <f ca="1">IF(OR(INDEX($X$2:$X$1001,MATCH(ROWS($W$2:W78),$W$2:$W$1001,0),1)&gt;=100000,INDEX($AD$1005:$AU$1005,1,MATCH(COLUMNS($AD$1006:AE1006),$AD$1006:$AU$1006,0))&gt;=100000), " ",IF(INDEX($AD$2:$AU$1001,MATCH(ROWS($W$2:W78),$W$2:$W$1001,0),MATCH(COLUMNS($AD$1006:AE1006),$AD$1006:$AU$1006,0)), HYPERLINK("#",""), HYPERLINK(CONCATENATE("#metadata!", ADDRESS(INDEX($Y$2:$Y$1001,MATCH(ROWS($W$2:W78),$W$2:$W$1001,0),0), INDEX($AD$1004:$AU$1004,1,MATCH(COLUMNS($AD$1006:AE1006),$AD$1006:$AU$1006,0)))),"Fix")))</f>
        <v xml:space="preserve"> </v>
      </c>
      <c r="D78" s="4" t="str">
        <f ca="1">IF(OR(INDEX($X$2:$X$1001,MATCH(ROWS($W$2:W78),$W$2:$W$1001,0),1)&gt;=100000,INDEX($AD$1005:$AU$1005,1,MATCH(COLUMNS($AD$1006:AF1006),$AD$1006:$AU$1006,0))&gt;=100000), " ",IF(INDEX($AD$2:$AU$1001,MATCH(ROWS($W$2:W78),$W$2:$W$1001,0),MATCH(COLUMNS($AD$1006:AF1006),$AD$1006:$AU$1006,0)), HYPERLINK("#",""), HYPERLINK(CONCATENATE("#metadata!", ADDRESS(INDEX($Y$2:$Y$1001,MATCH(ROWS($W$2:W78),$W$2:$W$1001,0),0), INDEX($AD$1004:$AU$1004,1,MATCH(COLUMNS($AD$1006:AF1006),$AD$1006:$AU$1006,0)))),"Fix")))</f>
        <v xml:space="preserve"> </v>
      </c>
      <c r="E78" s="4" t="str">
        <f ca="1">IF(OR(INDEX($X$2:$X$1001,MATCH(ROWS($W$2:W78),$W$2:$W$1001,0),1)&gt;=100000,INDEX($AD$1005:$AU$1005,1,MATCH(COLUMNS($AD$1006:AG1006),$AD$1006:$AU$1006,0))&gt;=100000), " ",IF(INDEX($AD$2:$AU$1001,MATCH(ROWS($W$2:W78),$W$2:$W$1001,0),MATCH(COLUMNS($AD$1006:AG1006),$AD$1006:$AU$1006,0)), HYPERLINK("#",""), HYPERLINK(CONCATENATE("#metadata!", ADDRESS(INDEX($Y$2:$Y$1001,MATCH(ROWS($W$2:W78),$W$2:$W$1001,0),0), INDEX($AD$1004:$AU$1004,1,MATCH(COLUMNS($AD$1006:AG1006),$AD$1006:$AU$1006,0)))),"Fix")))</f>
        <v xml:space="preserve"> </v>
      </c>
      <c r="F78" s="4" t="str">
        <f ca="1">IF(OR(INDEX($X$2:$X$1001,MATCH(ROWS($W$2:W78),$W$2:$W$1001,0),1)&gt;=100000,INDEX($AD$1005:$AU$1005,1,MATCH(COLUMNS($AD$1006:AH1006),$AD$1006:$AU$1006,0))&gt;=100000), " ",IF(INDEX($AD$2:$AU$1001,MATCH(ROWS($W$2:W78),$W$2:$W$1001,0),MATCH(COLUMNS($AD$1006:AH1006),$AD$1006:$AU$1006,0)), HYPERLINK("#",""), HYPERLINK(CONCATENATE("#metadata!", ADDRESS(INDEX($Y$2:$Y$1001,MATCH(ROWS($W$2:W78),$W$2:$W$1001,0),0), INDEX($AD$1004:$AU$1004,1,MATCH(COLUMNS($AD$1006:AH1006),$AD$1006:$AU$1006,0)))),"Fix")))</f>
        <v xml:space="preserve"> </v>
      </c>
      <c r="G78" s="4" t="str">
        <f ca="1">IF(OR(INDEX($X$2:$X$1001,MATCH(ROWS($W$2:W78),$W$2:$W$1001,0),1)&gt;=100000,INDEX($AD$1005:$AU$1005,1,MATCH(COLUMNS($AD$1006:AI1006),$AD$1006:$AU$1006,0))&gt;=100000), " ",IF(INDEX($AD$2:$AU$1001,MATCH(ROWS($W$2:W78),$W$2:$W$1001,0),MATCH(COLUMNS($AD$1006:AI1006),$AD$1006:$AU$1006,0)), HYPERLINK("#",""), HYPERLINK(CONCATENATE("#metadata!", ADDRESS(INDEX($Y$2:$Y$1001,MATCH(ROWS($W$2:W78),$W$2:$W$1001,0),0), INDEX($AD$1004:$AU$1004,1,MATCH(COLUMNS($AD$1006:AI1006),$AD$1006:$AU$1006,0)))),"Fix")))</f>
        <v xml:space="preserve"> </v>
      </c>
      <c r="H78" s="4" t="str">
        <f ca="1">IF(OR(INDEX($X$2:$X$1001,MATCH(ROWS($W$2:W78),$W$2:$W$1001,0),1)&gt;=100000,INDEX($AD$1005:$AU$1005,1,MATCH(COLUMNS($AD$1006:AJ1006),$AD$1006:$AU$1006,0))&gt;=100000), " ",IF(INDEX($AD$2:$AU$1001,MATCH(ROWS($W$2:W78),$W$2:$W$1001,0),MATCH(COLUMNS($AD$1006:AJ1006),$AD$1006:$AU$1006,0)), HYPERLINK("#",""), HYPERLINK(CONCATENATE("#metadata!", ADDRESS(INDEX($Y$2:$Y$1001,MATCH(ROWS($W$2:W78),$W$2:$W$1001,0),0), INDEX($AD$1004:$AU$1004,1,MATCH(COLUMNS($AD$1006:AJ1006),$AD$1006:$AU$1006,0)))),"Fix")))</f>
        <v xml:space="preserve"> </v>
      </c>
      <c r="I78" s="4" t="str">
        <f ca="1">IF(OR(INDEX($X$2:$X$1001,MATCH(ROWS($W$2:W78),$W$2:$W$1001,0),1)&gt;=100000,INDEX($AD$1005:$AU$1005,1,MATCH(COLUMNS($AD$1006:AK1006),$AD$1006:$AU$1006,0))&gt;=100000), " ",IF(INDEX($AD$2:$AU$1001,MATCH(ROWS($W$2:W78),$W$2:$W$1001,0),MATCH(COLUMNS($AD$1006:AK1006),$AD$1006:$AU$1006,0)), HYPERLINK("#",""), HYPERLINK(CONCATENATE("#metadata!", ADDRESS(INDEX($Y$2:$Y$1001,MATCH(ROWS($W$2:W78),$W$2:$W$1001,0),0), INDEX($AD$1004:$AU$1004,1,MATCH(COLUMNS($AD$1006:AK1006),$AD$1006:$AU$1006,0)))),"Fix")))</f>
        <v xml:space="preserve"> </v>
      </c>
      <c r="J78" s="4" t="str">
        <f ca="1">IF(OR(INDEX($X$2:$X$1001,MATCH(ROWS($W$2:W78),$W$2:$W$1001,0),1)&gt;=100000,INDEX($AD$1005:$AU$1005,1,MATCH(COLUMNS($AD$1006:AL1006),$AD$1006:$AU$1006,0))&gt;=100000), " ",IF(INDEX($AD$2:$AU$1001,MATCH(ROWS($W$2:W78),$W$2:$W$1001,0),MATCH(COLUMNS($AD$1006:AL1006),$AD$1006:$AU$1006,0)), HYPERLINK("#",""), HYPERLINK(CONCATENATE("#metadata!", ADDRESS(INDEX($Y$2:$Y$1001,MATCH(ROWS($W$2:W78),$W$2:$W$1001,0),0), INDEX($AD$1004:$AU$1004,1,MATCH(COLUMNS($AD$1006:AL1006),$AD$1006:$AU$1006,0)))),"Fix")))</f>
        <v xml:space="preserve"> </v>
      </c>
      <c r="K78" s="4" t="str">
        <f ca="1">IF(OR(INDEX($X$2:$X$1001,MATCH(ROWS($W$2:W78),$W$2:$W$1001,0),1)&gt;=100000,INDEX($AD$1005:$AU$1005,1,MATCH(COLUMNS($AD$1006:AM1006),$AD$1006:$AU$1006,0))&gt;=100000), " ",IF(INDEX($AD$2:$AU$1001,MATCH(ROWS($W$2:W78),$W$2:$W$1001,0),MATCH(COLUMNS($AD$1006:AM1006),$AD$1006:$AU$1006,0)), HYPERLINK("#",""), HYPERLINK(CONCATENATE("#metadata!", ADDRESS(INDEX($Y$2:$Y$1001,MATCH(ROWS($W$2:W78),$W$2:$W$1001,0),0), INDEX($AD$1004:$AU$1004,1,MATCH(COLUMNS($AD$1006:AM1006),$AD$1006:$AU$1006,0)))),"Fix")))</f>
        <v xml:space="preserve"> </v>
      </c>
      <c r="L78" s="4" t="str">
        <f ca="1">IF(OR(INDEX($X$2:$X$1001,MATCH(ROWS($W$2:W78),$W$2:$W$1001,0),1)&gt;=100000,INDEX($AD$1005:$AU$1005,1,MATCH(COLUMNS($AD$1006:AN1006),$AD$1006:$AU$1006,0))&gt;=100000), " ",IF(INDEX($AD$2:$AU$1001,MATCH(ROWS($W$2:W78),$W$2:$W$1001,0),MATCH(COLUMNS($AD$1006:AN1006),$AD$1006:$AU$1006,0)), HYPERLINK("#",""), HYPERLINK(CONCATENATE("#metadata!", ADDRESS(INDEX($Y$2:$Y$1001,MATCH(ROWS($W$2:W78),$W$2:$W$1001,0),0), INDEX($AD$1004:$AU$1004,1,MATCH(COLUMNS($AD$1006:AN1006),$AD$1006:$AU$1006,0)))),"Fix")))</f>
        <v xml:space="preserve"> </v>
      </c>
      <c r="M78" s="4" t="str">
        <f ca="1">IF(OR(INDEX($X$2:$X$1001,MATCH(ROWS($W$2:W78),$W$2:$W$1001,0),1)&gt;=100000,INDEX($AD$1005:$AU$1005,1,MATCH(COLUMNS($AD$1006:AO1006),$AD$1006:$AU$1006,0))&gt;=100000), " ",IF(INDEX($AD$2:$AU$1001,MATCH(ROWS($W$2:W78),$W$2:$W$1001,0),MATCH(COLUMNS($AD$1006:AO1006),$AD$1006:$AU$1006,0)), HYPERLINK("#",""), HYPERLINK(CONCATENATE("#metadata!", ADDRESS(INDEX($Y$2:$Y$1001,MATCH(ROWS($W$2:W78),$W$2:$W$1001,0),0), INDEX($AD$1004:$AU$1004,1,MATCH(COLUMNS($AD$1006:AO1006),$AD$1006:$AU$1006,0)))),"Fix")))</f>
        <v xml:space="preserve"> </v>
      </c>
      <c r="N78" s="4" t="str">
        <f ca="1">IF(OR(INDEX($X$2:$X$1001,MATCH(ROWS($W$2:W78),$W$2:$W$1001,0),1)&gt;=100000,INDEX($AD$1005:$AU$1005,1,MATCH(COLUMNS($AD$1006:AP1006),$AD$1006:$AU$1006,0))&gt;=100000), " ",IF(INDEX($AD$2:$AU$1001,MATCH(ROWS($W$2:W78),$W$2:$W$1001,0),MATCH(COLUMNS($AD$1006:AP1006),$AD$1006:$AU$1006,0)), HYPERLINK("#",""), HYPERLINK(CONCATENATE("#metadata!", ADDRESS(INDEX($Y$2:$Y$1001,MATCH(ROWS($W$2:W78),$W$2:$W$1001,0),0), INDEX($AD$1004:$AU$1004,1,MATCH(COLUMNS($AD$1006:AP1006),$AD$1006:$AU$1006,0)))),"Fix")))</f>
        <v xml:space="preserve"> </v>
      </c>
      <c r="O78" s="4" t="str">
        <f ca="1">IF(OR(INDEX($X$2:$X$1001,MATCH(ROWS($W$2:W78),$W$2:$W$1001,0),1)&gt;=100000,INDEX($AD$1005:$AU$1005,1,MATCH(COLUMNS($AD$1006:AQ1006),$AD$1006:$AU$1006,0))&gt;=100000), " ",IF(INDEX($AD$2:$AU$1001,MATCH(ROWS($W$2:W78),$W$2:$W$1001,0),MATCH(COLUMNS($AD$1006:AQ1006),$AD$1006:$AU$1006,0)), HYPERLINK("#",""), HYPERLINK(CONCATENATE("#metadata!", ADDRESS(INDEX($Y$2:$Y$1001,MATCH(ROWS($W$2:W78),$W$2:$W$1001,0),0), INDEX($AD$1004:$AU$1004,1,MATCH(COLUMNS($AD$1006:AQ1006),$AD$1006:$AU$1006,0)))),"Fix")))</f>
        <v xml:space="preserve"> </v>
      </c>
      <c r="P78" s="4" t="str">
        <f ca="1">IF(OR(INDEX($X$2:$X$1001,MATCH(ROWS($W$2:W78),$W$2:$W$1001,0),1)&gt;=100000,INDEX($AD$1005:$AU$1005,1,MATCH(COLUMNS($AD$1006:AR1006),$AD$1006:$AU$1006,0))&gt;=100000), " ",IF(INDEX($AD$2:$AU$1001,MATCH(ROWS($W$2:W78),$W$2:$W$1001,0),MATCH(COLUMNS($AD$1006:AR1006),$AD$1006:$AU$1006,0)), HYPERLINK("#",""), HYPERLINK(CONCATENATE("#metadata!", ADDRESS(INDEX($Y$2:$Y$1001,MATCH(ROWS($W$2:W78),$W$2:$W$1001,0),0), INDEX($AD$1004:$AU$1004,1,MATCH(COLUMNS($AD$1006:AR1006),$AD$1006:$AU$1006,0)))),"Fix")))</f>
        <v xml:space="preserve"> </v>
      </c>
      <c r="Q78" s="4" t="str">
        <f ca="1">IF(OR(INDEX($X$2:$X$1001,MATCH(ROWS($W$2:W78),$W$2:$W$1001,0),1)&gt;=100000,INDEX($AD$1005:$AU$1005,1,MATCH(COLUMNS($AD$1006:AS1006),$AD$1006:$AU$1006,0))&gt;=100000), " ",IF(INDEX($AD$2:$AU$1001,MATCH(ROWS($W$2:W78),$W$2:$W$1001,0),MATCH(COLUMNS($AD$1006:AS1006),$AD$1006:$AU$1006,0)), HYPERLINK("#",""), HYPERLINK(CONCATENATE("#metadata!", ADDRESS(INDEX($Y$2:$Y$1001,MATCH(ROWS($W$2:W78),$W$2:$W$1001,0),0), INDEX($AD$1004:$AU$1004,1,MATCH(COLUMNS($AD$1006:AS1006),$AD$1006:$AU$1006,0)))),"Fix")))</f>
        <v xml:space="preserve"> </v>
      </c>
      <c r="R78" s="4" t="str">
        <f ca="1">IF(OR(INDEX($X$2:$X$1001,MATCH(ROWS($W$2:W78),$W$2:$W$1001,0),1)&gt;=100000,INDEX($AD$1005:$AU$1005,1,MATCH(COLUMNS($AD$1006:AT1006),$AD$1006:$AU$1006,0))&gt;=100000), " ",IF(INDEX($AD$2:$AU$1001,MATCH(ROWS($W$2:W78),$W$2:$W$1001,0),MATCH(COLUMNS($AD$1006:AT1006),$AD$1006:$AU$1006,0)), HYPERLINK("#",""), HYPERLINK(CONCATENATE("#metadata!", ADDRESS(INDEX($Y$2:$Y$1001,MATCH(ROWS($W$2:W78),$W$2:$W$1001,0),0), INDEX($AD$1004:$AU$1004,1,MATCH(COLUMNS($AD$1006:AT1006),$AD$1006:$AU$1006,0)))),"Fix")))</f>
        <v xml:space="preserve"> </v>
      </c>
      <c r="S78" s="4" t="str">
        <f ca="1">IF(OR(INDEX($X$2:$X$1001,MATCH(ROWS($W$2:W78),$W$2:$W$1001,0),1)&gt;=100000,INDEX($AD$1005:$AU$1005,1,MATCH(COLUMNS($AD$1006:AU1006),$AD$1006:$AU$1006,0))&gt;=100000), " ",IF(INDEX($AD$2:$AU$1001,MATCH(ROWS($W$2:W78),$W$2:$W$1001,0),MATCH(COLUMNS($AD$1006:AU1006),$AD$1006:$AU$1006,0)), HYPERLINK("#",""), HYPERLINK(CONCATENATE("#metadata!", ADDRESS(INDEX($Y$2:$Y$1001,MATCH(ROWS($W$2:W78),$W$2:$W$1001,0),0), INDEX($AD$1004:$AU$1004,1,MATCH(COLUMNS($AD$1006:AU1006),$AD$1006:$AU$1006,0)))),"Fix")))</f>
        <v xml:space="preserve"> </v>
      </c>
      <c r="W78">
        <v>77</v>
      </c>
      <c r="X78">
        <v>100078</v>
      </c>
      <c r="Y78">
        <v>78</v>
      </c>
      <c r="Z78" t="b">
        <f t="shared" si="1"/>
        <v>1</v>
      </c>
      <c r="AA78" t="b">
        <f>COUNTBLANK(metadata!B78:S78)=COLUMNS(metadata!B78:S78)</f>
        <v>1</v>
      </c>
      <c r="AB78" t="str">
        <v/>
      </c>
      <c r="AD78" t="b">
        <f ca="1">AND(IF(metadata!B78="",FALSE,TRUE),COUNTIF(metadata!B:B, metadata!B78) = 1,NOT(ISERROR(SUMPRODUCT(SEARCH(MID(metadata!B78,ROW(INDIRECT("1:"&amp;LEN(metadata!B78))), 1),"0123456789abcdefghijklmnopqrstuvwxyzABCDEFGHIJKLMNOPQRSTUVWXYZ.")))))</f>
        <v>0</v>
      </c>
      <c r="AE78" t="b">
        <f>OR(AND(IF(metadata!C78="",FALSE,TRUE),OR(EXACT(metadata!C78,"not applicable"),EXACT(metadata!C78,"missing: not collected"),EXACT(metadata!C78,"missing: not provided"),EXACT(metadata!C78,"missing: restricted access"))),AND(IF(metadata!C78="",FALSE,ISNUMBER(VALUE(metadata!C78))),metadata!C78&gt;0))</f>
        <v>0</v>
      </c>
      <c r="AF78" t="b">
        <f>AND(IF(metadata!D78="",FALSE,TRUE),EXACT(metadata!D78,"missing: not provided"))</f>
        <v>0</v>
      </c>
      <c r="AG78" t="b">
        <f>AND(IF(metadata!E78="",FALSE,TRUE),EXACT(metadata!E78,"Host-associated"))</f>
        <v>0</v>
      </c>
      <c r="AH78" t="b">
        <f>AND(IF(metadata!F78="",FALSE,TRUE),OR(EXACT(metadata!F78,"Animal"),EXACT(metadata!F78,"Fungus"),EXACT(metadata!F78,"Plant")))</f>
        <v>0</v>
      </c>
      <c r="AI78" t="b">
        <f>AND(IF(metadata!G78="",FALSE,TRUE),OR(EXACT(metadata!G78,"Plant secretion"),EXACT(metadata!G78,"Plant rhizosphere"),EXACT(metadata!G78,"Plant surface"),EXACT(metadata!G78,"Plant corpus"),EXACT(metadata!G78,"Fungus surface"),EXACT(metadata!G78,"Fungus corpus"),EXACT(metadata!G78,"Animal surface"),EXACT(metadata!G78,"Animal proximal gut"),EXACT(metadata!G78,"Animal corpus"),EXACT(metadata!G78,"Animal distal gut"),EXACT(metadata!G78,"Animal secretion")))</f>
        <v>0</v>
      </c>
      <c r="AJ78" t="b">
        <f>OR(AND(IF(metadata!H78="",FALSE,TRUE),OR(EXACT(metadata!H78,"missing: not collected"),EXACT(metadata!H78,"missing: not provided"),EXACT(metadata!H78,"missing: restricted access"))),AND(IF(metadata!H78="",FALSE,TRUE),OR(EXACT(metadata!H78,"organism-associated habitat"),EXACT(metadata!H78,"plant-associated habitat"),EXACT(metadata!H78,"animal-associated habitat"),EXACT(metadata!H78,"insecta-associated habitat"),EXACT(metadata!H78,"mammalia-associated habitat"),EXACT(metadata!H78,"human-associated habitat"),EXACT(metadata!H78,"livestock-associated habitat"))))</f>
        <v>0</v>
      </c>
      <c r="AK78" t="b">
        <f>AND(IF(metadata!I78="",FALSE,TRUE),EXACT(metadata!I78,"host-associated"))</f>
        <v>0</v>
      </c>
      <c r="AL78" t="b">
        <f>OR(AND(IF(metadata!J78="",FALSE,TRUE),OR(EXACT(metadata!J78,"not applicable"),EXACT(metadata!J78,"missing: not collected"),EXACT(metadata!J78,"missing: not provided"),EXACT(metadata!J78,"missing: restricted access"))),AND(IF(metadata!J78="",FALSE,ISNUMBER(VALUE(metadata!J78))),metadata!J78&gt;0))</f>
        <v>0</v>
      </c>
      <c r="AM78" t="b">
        <f>AND(IF(metadata!K78="",FALSE,TRUE),EXACT(metadata!K78,"missing: not provided"))</f>
        <v>0</v>
      </c>
      <c r="AN78" t="b">
        <f>IF(metadata!L78="",FALSE,TRUE)</f>
        <v>0</v>
      </c>
      <c r="AO78" t="b">
        <f>IF(metadata!M78="",FALSE,TRUE)</f>
        <v>0</v>
      </c>
      <c r="AP78" t="b">
        <f>OR(AND(IF(metadata!N78="",FALSE,TRUE),OR(EXACT(metadata!N78,"not applicable"),EXACT(metadata!N78,"missing: not collected"),EXACT(metadata!N78,"missing: not provided"))),AND(IF(metadata!N78="",FALSE,IF(ISERROR(INT(metadata!N78)),FALSE,INT(metadata!N78)=metadata!N78)),metadata!N78&gt;0))</f>
        <v>0</v>
      </c>
      <c r="AQ78" t="b">
        <f>AND(IF(metadata!O78="",FALSE,TRUE),EXACT(metadata!O78,"Not applicable"))</f>
        <v>0</v>
      </c>
      <c r="AR78" t="b">
        <f>OR(AND(IF(metadata!P78="",FALSE,TRUE),OR(EXACT(metadata!P78,"not applicable"),EXACT(metadata!P78,"missing: not collected"),EXACT(metadata!P78,"missing: not provided"),EXACT(metadata!P78,"missing: restricted access"))),IF(metadata!P78="",FALSE,IF(ISERROR(INT(metadata!P78)),FALSE,INT(metadata!P78)=metadata!P78)))</f>
        <v>0</v>
      </c>
      <c r="AS78" t="b">
        <f>AND(IF(metadata!Q78="",FALSE,TRUE),EXACT(metadata!Q78,"Not applicable"))</f>
        <v>0</v>
      </c>
      <c r="AT78" t="b">
        <f>OR(AND(IF(metadata!R78="",FALSE,TRUE),OR(EXACT(metadata!R78,"not applicable"),EXACT(metadata!R78,"missing: not collected"),EXACT(metadata!R78,"missing: not provided"),EXACT(metadata!R78,"missing: restricted access"))),AND(IF(metadata!R78="",FALSE,ISNUMBER(VALUE(metadata!R78))),metadata!R78&gt;0))</f>
        <v>0</v>
      </c>
      <c r="AU78" t="b">
        <f>AND(IF(metadata!S78="",FALSE,TRUE),EXACT(metadata!S78,"missing: not provided"))</f>
        <v>0</v>
      </c>
    </row>
    <row r="79" spans="1:47" x14ac:dyDescent="0.2">
      <c r="A79" s="5" t="str">
        <f ca="1">IF(B79=" "," ",HYPERLINK(CONCATENATE("#metadata!",ADDRESS(INDEX($Y$2:$Y$1001,MATCH(ROWS($W$2:W79),$W$2:$W$1001,0),0),1)),INDEX($AB$2:$AB$1001,MATCH(ROWS($W$2:W79),$W$2:$W$1001,0),0)))</f>
        <v xml:space="preserve"> </v>
      </c>
      <c r="B79" s="4" t="str">
        <f ca="1">IF(OR(INDEX($X$2:$X$1001,MATCH(ROWS($W$2:W79),$W$2:$W$1001,0),1)&gt;=100000,INDEX($AD$1005:$AU$1005,1,MATCH(COLUMNS($AD$1006:AD1006),$AD$1006:$AU$1006,0))&gt;=100000), " ",IF(INDEX($AD$2:$AU$1001,MATCH(ROWS($W$2:W79),$W$2:$W$1001,0),MATCH(COLUMNS($AD$1006:AD1006),$AD$1006:$AU$1006,0)), HYPERLINK("#",""), HYPERLINK(CONCATENATE("#metadata!", ADDRESS(INDEX($Y$2:$Y$1001,MATCH(ROWS($W$2:W79),$W$2:$W$1001,0),0), INDEX($AD$1004:$AU$1004,1,MATCH(COLUMNS($AD$1006:AD1006),$AD$1006:$AU$1006,0)))),"Fix")))</f>
        <v xml:space="preserve"> </v>
      </c>
      <c r="C79" s="4" t="str">
        <f ca="1">IF(OR(INDEX($X$2:$X$1001,MATCH(ROWS($W$2:W79),$W$2:$W$1001,0),1)&gt;=100000,INDEX($AD$1005:$AU$1005,1,MATCH(COLUMNS($AD$1006:AE1006),$AD$1006:$AU$1006,0))&gt;=100000), " ",IF(INDEX($AD$2:$AU$1001,MATCH(ROWS($W$2:W79),$W$2:$W$1001,0),MATCH(COLUMNS($AD$1006:AE1006),$AD$1006:$AU$1006,0)), HYPERLINK("#",""), HYPERLINK(CONCATENATE("#metadata!", ADDRESS(INDEX($Y$2:$Y$1001,MATCH(ROWS($W$2:W79),$W$2:$W$1001,0),0), INDEX($AD$1004:$AU$1004,1,MATCH(COLUMNS($AD$1006:AE1006),$AD$1006:$AU$1006,0)))),"Fix")))</f>
        <v xml:space="preserve"> </v>
      </c>
      <c r="D79" s="4" t="str">
        <f ca="1">IF(OR(INDEX($X$2:$X$1001,MATCH(ROWS($W$2:W79),$W$2:$W$1001,0),1)&gt;=100000,INDEX($AD$1005:$AU$1005,1,MATCH(COLUMNS($AD$1006:AF1006),$AD$1006:$AU$1006,0))&gt;=100000), " ",IF(INDEX($AD$2:$AU$1001,MATCH(ROWS($W$2:W79),$W$2:$W$1001,0),MATCH(COLUMNS($AD$1006:AF1006),$AD$1006:$AU$1006,0)), HYPERLINK("#",""), HYPERLINK(CONCATENATE("#metadata!", ADDRESS(INDEX($Y$2:$Y$1001,MATCH(ROWS($W$2:W79),$W$2:$W$1001,0),0), INDEX($AD$1004:$AU$1004,1,MATCH(COLUMNS($AD$1006:AF1006),$AD$1006:$AU$1006,0)))),"Fix")))</f>
        <v xml:space="preserve"> </v>
      </c>
      <c r="E79" s="4" t="str">
        <f ca="1">IF(OR(INDEX($X$2:$X$1001,MATCH(ROWS($W$2:W79),$W$2:$W$1001,0),1)&gt;=100000,INDEX($AD$1005:$AU$1005,1,MATCH(COLUMNS($AD$1006:AG1006),$AD$1006:$AU$1006,0))&gt;=100000), " ",IF(INDEX($AD$2:$AU$1001,MATCH(ROWS($W$2:W79),$W$2:$W$1001,0),MATCH(COLUMNS($AD$1006:AG1006),$AD$1006:$AU$1006,0)), HYPERLINK("#",""), HYPERLINK(CONCATENATE("#metadata!", ADDRESS(INDEX($Y$2:$Y$1001,MATCH(ROWS($W$2:W79),$W$2:$W$1001,0),0), INDEX($AD$1004:$AU$1004,1,MATCH(COLUMNS($AD$1006:AG1006),$AD$1006:$AU$1006,0)))),"Fix")))</f>
        <v xml:space="preserve"> </v>
      </c>
      <c r="F79" s="4" t="str">
        <f ca="1">IF(OR(INDEX($X$2:$X$1001,MATCH(ROWS($W$2:W79),$W$2:$W$1001,0),1)&gt;=100000,INDEX($AD$1005:$AU$1005,1,MATCH(COLUMNS($AD$1006:AH1006),$AD$1006:$AU$1006,0))&gt;=100000), " ",IF(INDEX($AD$2:$AU$1001,MATCH(ROWS($W$2:W79),$W$2:$W$1001,0),MATCH(COLUMNS($AD$1006:AH1006),$AD$1006:$AU$1006,0)), HYPERLINK("#",""), HYPERLINK(CONCATENATE("#metadata!", ADDRESS(INDEX($Y$2:$Y$1001,MATCH(ROWS($W$2:W79),$W$2:$W$1001,0),0), INDEX($AD$1004:$AU$1004,1,MATCH(COLUMNS($AD$1006:AH1006),$AD$1006:$AU$1006,0)))),"Fix")))</f>
        <v xml:space="preserve"> </v>
      </c>
      <c r="G79" s="4" t="str">
        <f ca="1">IF(OR(INDEX($X$2:$X$1001,MATCH(ROWS($W$2:W79),$W$2:$W$1001,0),1)&gt;=100000,INDEX($AD$1005:$AU$1005,1,MATCH(COLUMNS($AD$1006:AI1006),$AD$1006:$AU$1006,0))&gt;=100000), " ",IF(INDEX($AD$2:$AU$1001,MATCH(ROWS($W$2:W79),$W$2:$W$1001,0),MATCH(COLUMNS($AD$1006:AI1006),$AD$1006:$AU$1006,0)), HYPERLINK("#",""), HYPERLINK(CONCATENATE("#metadata!", ADDRESS(INDEX($Y$2:$Y$1001,MATCH(ROWS($W$2:W79),$W$2:$W$1001,0),0), INDEX($AD$1004:$AU$1004,1,MATCH(COLUMNS($AD$1006:AI1006),$AD$1006:$AU$1006,0)))),"Fix")))</f>
        <v xml:space="preserve"> </v>
      </c>
      <c r="H79" s="4" t="str">
        <f ca="1">IF(OR(INDEX($X$2:$X$1001,MATCH(ROWS($W$2:W79),$W$2:$W$1001,0),1)&gt;=100000,INDEX($AD$1005:$AU$1005,1,MATCH(COLUMNS($AD$1006:AJ1006),$AD$1006:$AU$1006,0))&gt;=100000), " ",IF(INDEX($AD$2:$AU$1001,MATCH(ROWS($W$2:W79),$W$2:$W$1001,0),MATCH(COLUMNS($AD$1006:AJ1006),$AD$1006:$AU$1006,0)), HYPERLINK("#",""), HYPERLINK(CONCATENATE("#metadata!", ADDRESS(INDEX($Y$2:$Y$1001,MATCH(ROWS($W$2:W79),$W$2:$W$1001,0),0), INDEX($AD$1004:$AU$1004,1,MATCH(COLUMNS($AD$1006:AJ1006),$AD$1006:$AU$1006,0)))),"Fix")))</f>
        <v xml:space="preserve"> </v>
      </c>
      <c r="I79" s="4" t="str">
        <f ca="1">IF(OR(INDEX($X$2:$X$1001,MATCH(ROWS($W$2:W79),$W$2:$W$1001,0),1)&gt;=100000,INDEX($AD$1005:$AU$1005,1,MATCH(COLUMNS($AD$1006:AK1006),$AD$1006:$AU$1006,0))&gt;=100000), " ",IF(INDEX($AD$2:$AU$1001,MATCH(ROWS($W$2:W79),$W$2:$W$1001,0),MATCH(COLUMNS($AD$1006:AK1006),$AD$1006:$AU$1006,0)), HYPERLINK("#",""), HYPERLINK(CONCATENATE("#metadata!", ADDRESS(INDEX($Y$2:$Y$1001,MATCH(ROWS($W$2:W79),$W$2:$W$1001,0),0), INDEX($AD$1004:$AU$1004,1,MATCH(COLUMNS($AD$1006:AK1006),$AD$1006:$AU$1006,0)))),"Fix")))</f>
        <v xml:space="preserve"> </v>
      </c>
      <c r="J79" s="4" t="str">
        <f ca="1">IF(OR(INDEX($X$2:$X$1001,MATCH(ROWS($W$2:W79),$W$2:$W$1001,0),1)&gt;=100000,INDEX($AD$1005:$AU$1005,1,MATCH(COLUMNS($AD$1006:AL1006),$AD$1006:$AU$1006,0))&gt;=100000), " ",IF(INDEX($AD$2:$AU$1001,MATCH(ROWS($W$2:W79),$W$2:$W$1001,0),MATCH(COLUMNS($AD$1006:AL1006),$AD$1006:$AU$1006,0)), HYPERLINK("#",""), HYPERLINK(CONCATENATE("#metadata!", ADDRESS(INDEX($Y$2:$Y$1001,MATCH(ROWS($W$2:W79),$W$2:$W$1001,0),0), INDEX($AD$1004:$AU$1004,1,MATCH(COLUMNS($AD$1006:AL1006),$AD$1006:$AU$1006,0)))),"Fix")))</f>
        <v xml:space="preserve"> </v>
      </c>
      <c r="K79" s="4" t="str">
        <f ca="1">IF(OR(INDEX($X$2:$X$1001,MATCH(ROWS($W$2:W79),$W$2:$W$1001,0),1)&gt;=100000,INDEX($AD$1005:$AU$1005,1,MATCH(COLUMNS($AD$1006:AM1006),$AD$1006:$AU$1006,0))&gt;=100000), " ",IF(INDEX($AD$2:$AU$1001,MATCH(ROWS($W$2:W79),$W$2:$W$1001,0),MATCH(COLUMNS($AD$1006:AM1006),$AD$1006:$AU$1006,0)), HYPERLINK("#",""), HYPERLINK(CONCATENATE("#metadata!", ADDRESS(INDEX($Y$2:$Y$1001,MATCH(ROWS($W$2:W79),$W$2:$W$1001,0),0), INDEX($AD$1004:$AU$1004,1,MATCH(COLUMNS($AD$1006:AM1006),$AD$1006:$AU$1006,0)))),"Fix")))</f>
        <v xml:space="preserve"> </v>
      </c>
      <c r="L79" s="4" t="str">
        <f ca="1">IF(OR(INDEX($X$2:$X$1001,MATCH(ROWS($W$2:W79),$W$2:$W$1001,0),1)&gt;=100000,INDEX($AD$1005:$AU$1005,1,MATCH(COLUMNS($AD$1006:AN1006),$AD$1006:$AU$1006,0))&gt;=100000), " ",IF(INDEX($AD$2:$AU$1001,MATCH(ROWS($W$2:W79),$W$2:$W$1001,0),MATCH(COLUMNS($AD$1006:AN1006),$AD$1006:$AU$1006,0)), HYPERLINK("#",""), HYPERLINK(CONCATENATE("#metadata!", ADDRESS(INDEX($Y$2:$Y$1001,MATCH(ROWS($W$2:W79),$W$2:$W$1001,0),0), INDEX($AD$1004:$AU$1004,1,MATCH(COLUMNS($AD$1006:AN1006),$AD$1006:$AU$1006,0)))),"Fix")))</f>
        <v xml:space="preserve"> </v>
      </c>
      <c r="M79" s="4" t="str">
        <f ca="1">IF(OR(INDEX($X$2:$X$1001,MATCH(ROWS($W$2:W79),$W$2:$W$1001,0),1)&gt;=100000,INDEX($AD$1005:$AU$1005,1,MATCH(COLUMNS($AD$1006:AO1006),$AD$1006:$AU$1006,0))&gt;=100000), " ",IF(INDEX($AD$2:$AU$1001,MATCH(ROWS($W$2:W79),$W$2:$W$1001,0),MATCH(COLUMNS($AD$1006:AO1006),$AD$1006:$AU$1006,0)), HYPERLINK("#",""), HYPERLINK(CONCATENATE("#metadata!", ADDRESS(INDEX($Y$2:$Y$1001,MATCH(ROWS($W$2:W79),$W$2:$W$1001,0),0), INDEX($AD$1004:$AU$1004,1,MATCH(COLUMNS($AD$1006:AO1006),$AD$1006:$AU$1006,0)))),"Fix")))</f>
        <v xml:space="preserve"> </v>
      </c>
      <c r="N79" s="4" t="str">
        <f ca="1">IF(OR(INDEX($X$2:$X$1001,MATCH(ROWS($W$2:W79),$W$2:$W$1001,0),1)&gt;=100000,INDEX($AD$1005:$AU$1005,1,MATCH(COLUMNS($AD$1006:AP1006),$AD$1006:$AU$1006,0))&gt;=100000), " ",IF(INDEX($AD$2:$AU$1001,MATCH(ROWS($W$2:W79),$W$2:$W$1001,0),MATCH(COLUMNS($AD$1006:AP1006),$AD$1006:$AU$1006,0)), HYPERLINK("#",""), HYPERLINK(CONCATENATE("#metadata!", ADDRESS(INDEX($Y$2:$Y$1001,MATCH(ROWS($W$2:W79),$W$2:$W$1001,0),0), INDEX($AD$1004:$AU$1004,1,MATCH(COLUMNS($AD$1006:AP1006),$AD$1006:$AU$1006,0)))),"Fix")))</f>
        <v xml:space="preserve"> </v>
      </c>
      <c r="O79" s="4" t="str">
        <f ca="1">IF(OR(INDEX($X$2:$X$1001,MATCH(ROWS($W$2:W79),$W$2:$W$1001,0),1)&gt;=100000,INDEX($AD$1005:$AU$1005,1,MATCH(COLUMNS($AD$1006:AQ1006),$AD$1006:$AU$1006,0))&gt;=100000), " ",IF(INDEX($AD$2:$AU$1001,MATCH(ROWS($W$2:W79),$W$2:$W$1001,0),MATCH(COLUMNS($AD$1006:AQ1006),$AD$1006:$AU$1006,0)), HYPERLINK("#",""), HYPERLINK(CONCATENATE("#metadata!", ADDRESS(INDEX($Y$2:$Y$1001,MATCH(ROWS($W$2:W79),$W$2:$W$1001,0),0), INDEX($AD$1004:$AU$1004,1,MATCH(COLUMNS($AD$1006:AQ1006),$AD$1006:$AU$1006,0)))),"Fix")))</f>
        <v xml:space="preserve"> </v>
      </c>
      <c r="P79" s="4" t="str">
        <f ca="1">IF(OR(INDEX($X$2:$X$1001,MATCH(ROWS($W$2:W79),$W$2:$W$1001,0),1)&gt;=100000,INDEX($AD$1005:$AU$1005,1,MATCH(COLUMNS($AD$1006:AR1006),$AD$1006:$AU$1006,0))&gt;=100000), " ",IF(INDEX($AD$2:$AU$1001,MATCH(ROWS($W$2:W79),$W$2:$W$1001,0),MATCH(COLUMNS($AD$1006:AR1006),$AD$1006:$AU$1006,0)), HYPERLINK("#",""), HYPERLINK(CONCATENATE("#metadata!", ADDRESS(INDEX($Y$2:$Y$1001,MATCH(ROWS($W$2:W79),$W$2:$W$1001,0),0), INDEX($AD$1004:$AU$1004,1,MATCH(COLUMNS($AD$1006:AR1006),$AD$1006:$AU$1006,0)))),"Fix")))</f>
        <v xml:space="preserve"> </v>
      </c>
      <c r="Q79" s="4" t="str">
        <f ca="1">IF(OR(INDEX($X$2:$X$1001,MATCH(ROWS($W$2:W79),$W$2:$W$1001,0),1)&gt;=100000,INDEX($AD$1005:$AU$1005,1,MATCH(COLUMNS($AD$1006:AS1006),$AD$1006:$AU$1006,0))&gt;=100000), " ",IF(INDEX($AD$2:$AU$1001,MATCH(ROWS($W$2:W79),$W$2:$W$1001,0),MATCH(COLUMNS($AD$1006:AS1006),$AD$1006:$AU$1006,0)), HYPERLINK("#",""), HYPERLINK(CONCATENATE("#metadata!", ADDRESS(INDEX($Y$2:$Y$1001,MATCH(ROWS($W$2:W79),$W$2:$W$1001,0),0), INDEX($AD$1004:$AU$1004,1,MATCH(COLUMNS($AD$1006:AS1006),$AD$1006:$AU$1006,0)))),"Fix")))</f>
        <v xml:space="preserve"> </v>
      </c>
      <c r="R79" s="4" t="str">
        <f ca="1">IF(OR(INDEX($X$2:$X$1001,MATCH(ROWS($W$2:W79),$W$2:$W$1001,0),1)&gt;=100000,INDEX($AD$1005:$AU$1005,1,MATCH(COLUMNS($AD$1006:AT1006),$AD$1006:$AU$1006,0))&gt;=100000), " ",IF(INDEX($AD$2:$AU$1001,MATCH(ROWS($W$2:W79),$W$2:$W$1001,0),MATCH(COLUMNS($AD$1006:AT1006),$AD$1006:$AU$1006,0)), HYPERLINK("#",""), HYPERLINK(CONCATENATE("#metadata!", ADDRESS(INDEX($Y$2:$Y$1001,MATCH(ROWS($W$2:W79),$W$2:$W$1001,0),0), INDEX($AD$1004:$AU$1004,1,MATCH(COLUMNS($AD$1006:AT1006),$AD$1006:$AU$1006,0)))),"Fix")))</f>
        <v xml:space="preserve"> </v>
      </c>
      <c r="S79" s="4" t="str">
        <f ca="1">IF(OR(INDEX($X$2:$X$1001,MATCH(ROWS($W$2:W79),$W$2:$W$1001,0),1)&gt;=100000,INDEX($AD$1005:$AU$1005,1,MATCH(COLUMNS($AD$1006:AU1006),$AD$1006:$AU$1006,0))&gt;=100000), " ",IF(INDEX($AD$2:$AU$1001,MATCH(ROWS($W$2:W79),$W$2:$W$1001,0),MATCH(COLUMNS($AD$1006:AU1006),$AD$1006:$AU$1006,0)), HYPERLINK("#",""), HYPERLINK(CONCATENATE("#metadata!", ADDRESS(INDEX($Y$2:$Y$1001,MATCH(ROWS($W$2:W79),$W$2:$W$1001,0),0), INDEX($AD$1004:$AU$1004,1,MATCH(COLUMNS($AD$1006:AU1006),$AD$1006:$AU$1006,0)))),"Fix")))</f>
        <v xml:space="preserve"> </v>
      </c>
      <c r="W79">
        <v>78</v>
      </c>
      <c r="X79">
        <v>100079</v>
      </c>
      <c r="Y79">
        <v>79</v>
      </c>
      <c r="Z79" t="b">
        <f t="shared" si="1"/>
        <v>1</v>
      </c>
      <c r="AA79" t="b">
        <f>COUNTBLANK(metadata!B79:S79)=COLUMNS(metadata!B79:S79)</f>
        <v>1</v>
      </c>
      <c r="AB79" t="str">
        <v/>
      </c>
      <c r="AD79" t="b">
        <f ca="1">AND(IF(metadata!B79="",FALSE,TRUE),COUNTIF(metadata!B:B, metadata!B79) = 1,NOT(ISERROR(SUMPRODUCT(SEARCH(MID(metadata!B79,ROW(INDIRECT("1:"&amp;LEN(metadata!B79))), 1),"0123456789abcdefghijklmnopqrstuvwxyzABCDEFGHIJKLMNOPQRSTUVWXYZ.")))))</f>
        <v>0</v>
      </c>
      <c r="AE79" t="b">
        <f>OR(AND(IF(metadata!C79="",FALSE,TRUE),OR(EXACT(metadata!C79,"not applicable"),EXACT(metadata!C79,"missing: not collected"),EXACT(metadata!C79,"missing: not provided"),EXACT(metadata!C79,"missing: restricted access"))),AND(IF(metadata!C79="",FALSE,ISNUMBER(VALUE(metadata!C79))),metadata!C79&gt;0))</f>
        <v>0</v>
      </c>
      <c r="AF79" t="b">
        <f>AND(IF(metadata!D79="",FALSE,TRUE),EXACT(metadata!D79,"missing: not provided"))</f>
        <v>0</v>
      </c>
      <c r="AG79" t="b">
        <f>AND(IF(metadata!E79="",FALSE,TRUE),EXACT(metadata!E79,"Host-associated"))</f>
        <v>0</v>
      </c>
      <c r="AH79" t="b">
        <f>AND(IF(metadata!F79="",FALSE,TRUE),OR(EXACT(metadata!F79,"Animal"),EXACT(metadata!F79,"Fungus"),EXACT(metadata!F79,"Plant")))</f>
        <v>0</v>
      </c>
      <c r="AI79" t="b">
        <f>AND(IF(metadata!G79="",FALSE,TRUE),OR(EXACT(metadata!G79,"Plant secretion"),EXACT(metadata!G79,"Plant rhizosphere"),EXACT(metadata!G79,"Plant surface"),EXACT(metadata!G79,"Plant corpus"),EXACT(metadata!G79,"Fungus surface"),EXACT(metadata!G79,"Fungus corpus"),EXACT(metadata!G79,"Animal surface"),EXACT(metadata!G79,"Animal proximal gut"),EXACT(metadata!G79,"Animal corpus"),EXACT(metadata!G79,"Animal distal gut"),EXACT(metadata!G79,"Animal secretion")))</f>
        <v>0</v>
      </c>
      <c r="AJ79" t="b">
        <f>OR(AND(IF(metadata!H79="",FALSE,TRUE),OR(EXACT(metadata!H79,"missing: not collected"),EXACT(metadata!H79,"missing: not provided"),EXACT(metadata!H79,"missing: restricted access"))),AND(IF(metadata!H79="",FALSE,TRUE),OR(EXACT(metadata!H79,"organism-associated habitat"),EXACT(metadata!H79,"plant-associated habitat"),EXACT(metadata!H79,"animal-associated habitat"),EXACT(metadata!H79,"insecta-associated habitat"),EXACT(metadata!H79,"mammalia-associated habitat"),EXACT(metadata!H79,"human-associated habitat"),EXACT(metadata!H79,"livestock-associated habitat"))))</f>
        <v>0</v>
      </c>
      <c r="AK79" t="b">
        <f>AND(IF(metadata!I79="",FALSE,TRUE),EXACT(metadata!I79,"host-associated"))</f>
        <v>0</v>
      </c>
      <c r="AL79" t="b">
        <f>OR(AND(IF(metadata!J79="",FALSE,TRUE),OR(EXACT(metadata!J79,"not applicable"),EXACT(metadata!J79,"missing: not collected"),EXACT(metadata!J79,"missing: not provided"),EXACT(metadata!J79,"missing: restricted access"))),AND(IF(metadata!J79="",FALSE,ISNUMBER(VALUE(metadata!J79))),metadata!J79&gt;0))</f>
        <v>0</v>
      </c>
      <c r="AM79" t="b">
        <f>AND(IF(metadata!K79="",FALSE,TRUE),EXACT(metadata!K79,"missing: not provided"))</f>
        <v>0</v>
      </c>
      <c r="AN79" t="b">
        <f>IF(metadata!L79="",FALSE,TRUE)</f>
        <v>0</v>
      </c>
      <c r="AO79" t="b">
        <f>IF(metadata!M79="",FALSE,TRUE)</f>
        <v>0</v>
      </c>
      <c r="AP79" t="b">
        <f>OR(AND(IF(metadata!N79="",FALSE,TRUE),OR(EXACT(metadata!N79,"not applicable"),EXACT(metadata!N79,"missing: not collected"),EXACT(metadata!N79,"missing: not provided"))),AND(IF(metadata!N79="",FALSE,IF(ISERROR(INT(metadata!N79)),FALSE,INT(metadata!N79)=metadata!N79)),metadata!N79&gt;0))</f>
        <v>0</v>
      </c>
      <c r="AQ79" t="b">
        <f>AND(IF(metadata!O79="",FALSE,TRUE),EXACT(metadata!O79,"Not applicable"))</f>
        <v>0</v>
      </c>
      <c r="AR79" t="b">
        <f>OR(AND(IF(metadata!P79="",FALSE,TRUE),OR(EXACT(metadata!P79,"not applicable"),EXACT(metadata!P79,"missing: not collected"),EXACT(metadata!P79,"missing: not provided"),EXACT(metadata!P79,"missing: restricted access"))),IF(metadata!P79="",FALSE,IF(ISERROR(INT(metadata!P79)),FALSE,INT(metadata!P79)=metadata!P79)))</f>
        <v>0</v>
      </c>
      <c r="AS79" t="b">
        <f>AND(IF(metadata!Q79="",FALSE,TRUE),EXACT(metadata!Q79,"Not applicable"))</f>
        <v>0</v>
      </c>
      <c r="AT79" t="b">
        <f>OR(AND(IF(metadata!R79="",FALSE,TRUE),OR(EXACT(metadata!R79,"not applicable"),EXACT(metadata!R79,"missing: not collected"),EXACT(metadata!R79,"missing: not provided"),EXACT(metadata!R79,"missing: restricted access"))),AND(IF(metadata!R79="",FALSE,ISNUMBER(VALUE(metadata!R79))),metadata!R79&gt;0))</f>
        <v>0</v>
      </c>
      <c r="AU79" t="b">
        <f>AND(IF(metadata!S79="",FALSE,TRUE),EXACT(metadata!S79,"missing: not provided"))</f>
        <v>0</v>
      </c>
    </row>
    <row r="80" spans="1:47" x14ac:dyDescent="0.2">
      <c r="A80" s="5" t="str">
        <f ca="1">IF(B80=" "," ",HYPERLINK(CONCATENATE("#metadata!",ADDRESS(INDEX($Y$2:$Y$1001,MATCH(ROWS($W$2:W80),$W$2:$W$1001,0),0),1)),INDEX($AB$2:$AB$1001,MATCH(ROWS($W$2:W80),$W$2:$W$1001,0),0)))</f>
        <v xml:space="preserve"> </v>
      </c>
      <c r="B80" s="4" t="str">
        <f ca="1">IF(OR(INDEX($X$2:$X$1001,MATCH(ROWS($W$2:W80),$W$2:$W$1001,0),1)&gt;=100000,INDEX($AD$1005:$AU$1005,1,MATCH(COLUMNS($AD$1006:AD1006),$AD$1006:$AU$1006,0))&gt;=100000), " ",IF(INDEX($AD$2:$AU$1001,MATCH(ROWS($W$2:W80),$W$2:$W$1001,0),MATCH(COLUMNS($AD$1006:AD1006),$AD$1006:$AU$1006,0)), HYPERLINK("#",""), HYPERLINK(CONCATENATE("#metadata!", ADDRESS(INDEX($Y$2:$Y$1001,MATCH(ROWS($W$2:W80),$W$2:$W$1001,0),0), INDEX($AD$1004:$AU$1004,1,MATCH(COLUMNS($AD$1006:AD1006),$AD$1006:$AU$1006,0)))),"Fix")))</f>
        <v xml:space="preserve"> </v>
      </c>
      <c r="C80" s="4" t="str">
        <f ca="1">IF(OR(INDEX($X$2:$X$1001,MATCH(ROWS($W$2:W80),$W$2:$W$1001,0),1)&gt;=100000,INDEX($AD$1005:$AU$1005,1,MATCH(COLUMNS($AD$1006:AE1006),$AD$1006:$AU$1006,0))&gt;=100000), " ",IF(INDEX($AD$2:$AU$1001,MATCH(ROWS($W$2:W80),$W$2:$W$1001,0),MATCH(COLUMNS($AD$1006:AE1006),$AD$1006:$AU$1006,0)), HYPERLINK("#",""), HYPERLINK(CONCATENATE("#metadata!", ADDRESS(INDEX($Y$2:$Y$1001,MATCH(ROWS($W$2:W80),$W$2:$W$1001,0),0), INDEX($AD$1004:$AU$1004,1,MATCH(COLUMNS($AD$1006:AE1006),$AD$1006:$AU$1006,0)))),"Fix")))</f>
        <v xml:space="preserve"> </v>
      </c>
      <c r="D80" s="4" t="str">
        <f ca="1">IF(OR(INDEX($X$2:$X$1001,MATCH(ROWS($W$2:W80),$W$2:$W$1001,0),1)&gt;=100000,INDEX($AD$1005:$AU$1005,1,MATCH(COLUMNS($AD$1006:AF1006),$AD$1006:$AU$1006,0))&gt;=100000), " ",IF(INDEX($AD$2:$AU$1001,MATCH(ROWS($W$2:W80),$W$2:$W$1001,0),MATCH(COLUMNS($AD$1006:AF1006),$AD$1006:$AU$1006,0)), HYPERLINK("#",""), HYPERLINK(CONCATENATE("#metadata!", ADDRESS(INDEX($Y$2:$Y$1001,MATCH(ROWS($W$2:W80),$W$2:$W$1001,0),0), INDEX($AD$1004:$AU$1004,1,MATCH(COLUMNS($AD$1006:AF1006),$AD$1006:$AU$1006,0)))),"Fix")))</f>
        <v xml:space="preserve"> </v>
      </c>
      <c r="E80" s="4" t="str">
        <f ca="1">IF(OR(INDEX($X$2:$X$1001,MATCH(ROWS($W$2:W80),$W$2:$W$1001,0),1)&gt;=100000,INDEX($AD$1005:$AU$1005,1,MATCH(COLUMNS($AD$1006:AG1006),$AD$1006:$AU$1006,0))&gt;=100000), " ",IF(INDEX($AD$2:$AU$1001,MATCH(ROWS($W$2:W80),$W$2:$W$1001,0),MATCH(COLUMNS($AD$1006:AG1006),$AD$1006:$AU$1006,0)), HYPERLINK("#",""), HYPERLINK(CONCATENATE("#metadata!", ADDRESS(INDEX($Y$2:$Y$1001,MATCH(ROWS($W$2:W80),$W$2:$W$1001,0),0), INDEX($AD$1004:$AU$1004,1,MATCH(COLUMNS($AD$1006:AG1006),$AD$1006:$AU$1006,0)))),"Fix")))</f>
        <v xml:space="preserve"> </v>
      </c>
      <c r="F80" s="4" t="str">
        <f ca="1">IF(OR(INDEX($X$2:$X$1001,MATCH(ROWS($W$2:W80),$W$2:$W$1001,0),1)&gt;=100000,INDEX($AD$1005:$AU$1005,1,MATCH(COLUMNS($AD$1006:AH1006),$AD$1006:$AU$1006,0))&gt;=100000), " ",IF(INDEX($AD$2:$AU$1001,MATCH(ROWS($W$2:W80),$W$2:$W$1001,0),MATCH(COLUMNS($AD$1006:AH1006),$AD$1006:$AU$1006,0)), HYPERLINK("#",""), HYPERLINK(CONCATENATE("#metadata!", ADDRESS(INDEX($Y$2:$Y$1001,MATCH(ROWS($W$2:W80),$W$2:$W$1001,0),0), INDEX($AD$1004:$AU$1004,1,MATCH(COLUMNS($AD$1006:AH1006),$AD$1006:$AU$1006,0)))),"Fix")))</f>
        <v xml:space="preserve"> </v>
      </c>
      <c r="G80" s="4" t="str">
        <f ca="1">IF(OR(INDEX($X$2:$X$1001,MATCH(ROWS($W$2:W80),$W$2:$W$1001,0),1)&gt;=100000,INDEX($AD$1005:$AU$1005,1,MATCH(COLUMNS($AD$1006:AI1006),$AD$1006:$AU$1006,0))&gt;=100000), " ",IF(INDEX($AD$2:$AU$1001,MATCH(ROWS($W$2:W80),$W$2:$W$1001,0),MATCH(COLUMNS($AD$1006:AI1006),$AD$1006:$AU$1006,0)), HYPERLINK("#",""), HYPERLINK(CONCATENATE("#metadata!", ADDRESS(INDEX($Y$2:$Y$1001,MATCH(ROWS($W$2:W80),$W$2:$W$1001,0),0), INDEX($AD$1004:$AU$1004,1,MATCH(COLUMNS($AD$1006:AI1006),$AD$1006:$AU$1006,0)))),"Fix")))</f>
        <v xml:space="preserve"> </v>
      </c>
      <c r="H80" s="4" t="str">
        <f ca="1">IF(OR(INDEX($X$2:$X$1001,MATCH(ROWS($W$2:W80),$W$2:$W$1001,0),1)&gt;=100000,INDEX($AD$1005:$AU$1005,1,MATCH(COLUMNS($AD$1006:AJ1006),$AD$1006:$AU$1006,0))&gt;=100000), " ",IF(INDEX($AD$2:$AU$1001,MATCH(ROWS($W$2:W80),$W$2:$W$1001,0),MATCH(COLUMNS($AD$1006:AJ1006),$AD$1006:$AU$1006,0)), HYPERLINK("#",""), HYPERLINK(CONCATENATE("#metadata!", ADDRESS(INDEX($Y$2:$Y$1001,MATCH(ROWS($W$2:W80),$W$2:$W$1001,0),0), INDEX($AD$1004:$AU$1004,1,MATCH(COLUMNS($AD$1006:AJ1006),$AD$1006:$AU$1006,0)))),"Fix")))</f>
        <v xml:space="preserve"> </v>
      </c>
      <c r="I80" s="4" t="str">
        <f ca="1">IF(OR(INDEX($X$2:$X$1001,MATCH(ROWS($W$2:W80),$W$2:$W$1001,0),1)&gt;=100000,INDEX($AD$1005:$AU$1005,1,MATCH(COLUMNS($AD$1006:AK1006),$AD$1006:$AU$1006,0))&gt;=100000), " ",IF(INDEX($AD$2:$AU$1001,MATCH(ROWS($W$2:W80),$W$2:$W$1001,0),MATCH(COLUMNS($AD$1006:AK1006),$AD$1006:$AU$1006,0)), HYPERLINK("#",""), HYPERLINK(CONCATENATE("#metadata!", ADDRESS(INDEX($Y$2:$Y$1001,MATCH(ROWS($W$2:W80),$W$2:$W$1001,0),0), INDEX($AD$1004:$AU$1004,1,MATCH(COLUMNS($AD$1006:AK1006),$AD$1006:$AU$1006,0)))),"Fix")))</f>
        <v xml:space="preserve"> </v>
      </c>
      <c r="J80" s="4" t="str">
        <f ca="1">IF(OR(INDEX($X$2:$X$1001,MATCH(ROWS($W$2:W80),$W$2:$W$1001,0),1)&gt;=100000,INDEX($AD$1005:$AU$1005,1,MATCH(COLUMNS($AD$1006:AL1006),$AD$1006:$AU$1006,0))&gt;=100000), " ",IF(INDEX($AD$2:$AU$1001,MATCH(ROWS($W$2:W80),$W$2:$W$1001,0),MATCH(COLUMNS($AD$1006:AL1006),$AD$1006:$AU$1006,0)), HYPERLINK("#",""), HYPERLINK(CONCATENATE("#metadata!", ADDRESS(INDEX($Y$2:$Y$1001,MATCH(ROWS($W$2:W80),$W$2:$W$1001,0),0), INDEX($AD$1004:$AU$1004,1,MATCH(COLUMNS($AD$1006:AL1006),$AD$1006:$AU$1006,0)))),"Fix")))</f>
        <v xml:space="preserve"> </v>
      </c>
      <c r="K80" s="4" t="str">
        <f ca="1">IF(OR(INDEX($X$2:$X$1001,MATCH(ROWS($W$2:W80),$W$2:$W$1001,0),1)&gt;=100000,INDEX($AD$1005:$AU$1005,1,MATCH(COLUMNS($AD$1006:AM1006),$AD$1006:$AU$1006,0))&gt;=100000), " ",IF(INDEX($AD$2:$AU$1001,MATCH(ROWS($W$2:W80),$W$2:$W$1001,0),MATCH(COLUMNS($AD$1006:AM1006),$AD$1006:$AU$1006,0)), HYPERLINK("#",""), HYPERLINK(CONCATENATE("#metadata!", ADDRESS(INDEX($Y$2:$Y$1001,MATCH(ROWS($W$2:W80),$W$2:$W$1001,0),0), INDEX($AD$1004:$AU$1004,1,MATCH(COLUMNS($AD$1006:AM1006),$AD$1006:$AU$1006,0)))),"Fix")))</f>
        <v xml:space="preserve"> </v>
      </c>
      <c r="L80" s="4" t="str">
        <f ca="1">IF(OR(INDEX($X$2:$X$1001,MATCH(ROWS($W$2:W80),$W$2:$W$1001,0),1)&gt;=100000,INDEX($AD$1005:$AU$1005,1,MATCH(COLUMNS($AD$1006:AN1006),$AD$1006:$AU$1006,0))&gt;=100000), " ",IF(INDEX($AD$2:$AU$1001,MATCH(ROWS($W$2:W80),$W$2:$W$1001,0),MATCH(COLUMNS($AD$1006:AN1006),$AD$1006:$AU$1006,0)), HYPERLINK("#",""), HYPERLINK(CONCATENATE("#metadata!", ADDRESS(INDEX($Y$2:$Y$1001,MATCH(ROWS($W$2:W80),$W$2:$W$1001,0),0), INDEX($AD$1004:$AU$1004,1,MATCH(COLUMNS($AD$1006:AN1006),$AD$1006:$AU$1006,0)))),"Fix")))</f>
        <v xml:space="preserve"> </v>
      </c>
      <c r="M80" s="4" t="str">
        <f ca="1">IF(OR(INDEX($X$2:$X$1001,MATCH(ROWS($W$2:W80),$W$2:$W$1001,0),1)&gt;=100000,INDEX($AD$1005:$AU$1005,1,MATCH(COLUMNS($AD$1006:AO1006),$AD$1006:$AU$1006,0))&gt;=100000), " ",IF(INDEX($AD$2:$AU$1001,MATCH(ROWS($W$2:W80),$W$2:$W$1001,0),MATCH(COLUMNS($AD$1006:AO1006),$AD$1006:$AU$1006,0)), HYPERLINK("#",""), HYPERLINK(CONCATENATE("#metadata!", ADDRESS(INDEX($Y$2:$Y$1001,MATCH(ROWS($W$2:W80),$W$2:$W$1001,0),0), INDEX($AD$1004:$AU$1004,1,MATCH(COLUMNS($AD$1006:AO1006),$AD$1006:$AU$1006,0)))),"Fix")))</f>
        <v xml:space="preserve"> </v>
      </c>
      <c r="N80" s="4" t="str">
        <f ca="1">IF(OR(INDEX($X$2:$X$1001,MATCH(ROWS($W$2:W80),$W$2:$W$1001,0),1)&gt;=100000,INDEX($AD$1005:$AU$1005,1,MATCH(COLUMNS($AD$1006:AP1006),$AD$1006:$AU$1006,0))&gt;=100000), " ",IF(INDEX($AD$2:$AU$1001,MATCH(ROWS($W$2:W80),$W$2:$W$1001,0),MATCH(COLUMNS($AD$1006:AP1006),$AD$1006:$AU$1006,0)), HYPERLINK("#",""), HYPERLINK(CONCATENATE("#metadata!", ADDRESS(INDEX($Y$2:$Y$1001,MATCH(ROWS($W$2:W80),$W$2:$W$1001,0),0), INDEX($AD$1004:$AU$1004,1,MATCH(COLUMNS($AD$1006:AP1006),$AD$1006:$AU$1006,0)))),"Fix")))</f>
        <v xml:space="preserve"> </v>
      </c>
      <c r="O80" s="4" t="str">
        <f ca="1">IF(OR(INDEX($X$2:$X$1001,MATCH(ROWS($W$2:W80),$W$2:$W$1001,0),1)&gt;=100000,INDEX($AD$1005:$AU$1005,1,MATCH(COLUMNS($AD$1006:AQ1006),$AD$1006:$AU$1006,0))&gt;=100000), " ",IF(INDEX($AD$2:$AU$1001,MATCH(ROWS($W$2:W80),$W$2:$W$1001,0),MATCH(COLUMNS($AD$1006:AQ1006),$AD$1006:$AU$1006,0)), HYPERLINK("#",""), HYPERLINK(CONCATENATE("#metadata!", ADDRESS(INDEX($Y$2:$Y$1001,MATCH(ROWS($W$2:W80),$W$2:$W$1001,0),0), INDEX($AD$1004:$AU$1004,1,MATCH(COLUMNS($AD$1006:AQ1006),$AD$1006:$AU$1006,0)))),"Fix")))</f>
        <v xml:space="preserve"> </v>
      </c>
      <c r="P80" s="4" t="str">
        <f ca="1">IF(OR(INDEX($X$2:$X$1001,MATCH(ROWS($W$2:W80),$W$2:$W$1001,0),1)&gt;=100000,INDEX($AD$1005:$AU$1005,1,MATCH(COLUMNS($AD$1006:AR1006),$AD$1006:$AU$1006,0))&gt;=100000), " ",IF(INDEX($AD$2:$AU$1001,MATCH(ROWS($W$2:W80),$W$2:$W$1001,0),MATCH(COLUMNS($AD$1006:AR1006),$AD$1006:$AU$1006,0)), HYPERLINK("#",""), HYPERLINK(CONCATENATE("#metadata!", ADDRESS(INDEX($Y$2:$Y$1001,MATCH(ROWS($W$2:W80),$W$2:$W$1001,0),0), INDEX($AD$1004:$AU$1004,1,MATCH(COLUMNS($AD$1006:AR1006),$AD$1006:$AU$1006,0)))),"Fix")))</f>
        <v xml:space="preserve"> </v>
      </c>
      <c r="Q80" s="4" t="str">
        <f ca="1">IF(OR(INDEX($X$2:$X$1001,MATCH(ROWS($W$2:W80),$W$2:$W$1001,0),1)&gt;=100000,INDEX($AD$1005:$AU$1005,1,MATCH(COLUMNS($AD$1006:AS1006),$AD$1006:$AU$1006,0))&gt;=100000), " ",IF(INDEX($AD$2:$AU$1001,MATCH(ROWS($W$2:W80),$W$2:$W$1001,0),MATCH(COLUMNS($AD$1006:AS1006),$AD$1006:$AU$1006,0)), HYPERLINK("#",""), HYPERLINK(CONCATENATE("#metadata!", ADDRESS(INDEX($Y$2:$Y$1001,MATCH(ROWS($W$2:W80),$W$2:$W$1001,0),0), INDEX($AD$1004:$AU$1004,1,MATCH(COLUMNS($AD$1006:AS1006),$AD$1006:$AU$1006,0)))),"Fix")))</f>
        <v xml:space="preserve"> </v>
      </c>
      <c r="R80" s="4" t="str">
        <f ca="1">IF(OR(INDEX($X$2:$X$1001,MATCH(ROWS($W$2:W80),$W$2:$W$1001,0),1)&gt;=100000,INDEX($AD$1005:$AU$1005,1,MATCH(COLUMNS($AD$1006:AT1006),$AD$1006:$AU$1006,0))&gt;=100000), " ",IF(INDEX($AD$2:$AU$1001,MATCH(ROWS($W$2:W80),$W$2:$W$1001,0),MATCH(COLUMNS($AD$1006:AT1006),$AD$1006:$AU$1006,0)), HYPERLINK("#",""), HYPERLINK(CONCATENATE("#metadata!", ADDRESS(INDEX($Y$2:$Y$1001,MATCH(ROWS($W$2:W80),$W$2:$W$1001,0),0), INDEX($AD$1004:$AU$1004,1,MATCH(COLUMNS($AD$1006:AT1006),$AD$1006:$AU$1006,0)))),"Fix")))</f>
        <v xml:space="preserve"> </v>
      </c>
      <c r="S80" s="4" t="str">
        <f ca="1">IF(OR(INDEX($X$2:$X$1001,MATCH(ROWS($W$2:W80),$W$2:$W$1001,0),1)&gt;=100000,INDEX($AD$1005:$AU$1005,1,MATCH(COLUMNS($AD$1006:AU1006),$AD$1006:$AU$1006,0))&gt;=100000), " ",IF(INDEX($AD$2:$AU$1001,MATCH(ROWS($W$2:W80),$W$2:$W$1001,0),MATCH(COLUMNS($AD$1006:AU1006),$AD$1006:$AU$1006,0)), HYPERLINK("#",""), HYPERLINK(CONCATENATE("#metadata!", ADDRESS(INDEX($Y$2:$Y$1001,MATCH(ROWS($W$2:W80),$W$2:$W$1001,0),0), INDEX($AD$1004:$AU$1004,1,MATCH(COLUMNS($AD$1006:AU1006),$AD$1006:$AU$1006,0)))),"Fix")))</f>
        <v xml:space="preserve"> </v>
      </c>
      <c r="W80">
        <v>79</v>
      </c>
      <c r="X80">
        <v>100080</v>
      </c>
      <c r="Y80">
        <v>80</v>
      </c>
      <c r="Z80" t="b">
        <f t="shared" si="1"/>
        <v>1</v>
      </c>
      <c r="AA80" t="b">
        <f>COUNTBLANK(metadata!B80:S80)=COLUMNS(metadata!B80:S80)</f>
        <v>1</v>
      </c>
      <c r="AB80" t="str">
        <v/>
      </c>
      <c r="AD80" t="b">
        <f ca="1">AND(IF(metadata!B80="",FALSE,TRUE),COUNTIF(metadata!B:B, metadata!B80) = 1,NOT(ISERROR(SUMPRODUCT(SEARCH(MID(metadata!B80,ROW(INDIRECT("1:"&amp;LEN(metadata!B80))), 1),"0123456789abcdefghijklmnopqrstuvwxyzABCDEFGHIJKLMNOPQRSTUVWXYZ.")))))</f>
        <v>0</v>
      </c>
      <c r="AE80" t="b">
        <f>OR(AND(IF(metadata!C80="",FALSE,TRUE),OR(EXACT(metadata!C80,"not applicable"),EXACT(metadata!C80,"missing: not collected"),EXACT(metadata!C80,"missing: not provided"),EXACT(metadata!C80,"missing: restricted access"))),AND(IF(metadata!C80="",FALSE,ISNUMBER(VALUE(metadata!C80))),metadata!C80&gt;0))</f>
        <v>0</v>
      </c>
      <c r="AF80" t="b">
        <f>AND(IF(metadata!D80="",FALSE,TRUE),EXACT(metadata!D80,"missing: not provided"))</f>
        <v>0</v>
      </c>
      <c r="AG80" t="b">
        <f>AND(IF(metadata!E80="",FALSE,TRUE),EXACT(metadata!E80,"Host-associated"))</f>
        <v>0</v>
      </c>
      <c r="AH80" t="b">
        <f>AND(IF(metadata!F80="",FALSE,TRUE),OR(EXACT(metadata!F80,"Animal"),EXACT(metadata!F80,"Fungus"),EXACT(metadata!F80,"Plant")))</f>
        <v>0</v>
      </c>
      <c r="AI80" t="b">
        <f>AND(IF(metadata!G80="",FALSE,TRUE),OR(EXACT(metadata!G80,"Plant secretion"),EXACT(metadata!G80,"Plant rhizosphere"),EXACT(metadata!G80,"Plant surface"),EXACT(metadata!G80,"Plant corpus"),EXACT(metadata!G80,"Fungus surface"),EXACT(metadata!G80,"Fungus corpus"),EXACT(metadata!G80,"Animal surface"),EXACT(metadata!G80,"Animal proximal gut"),EXACT(metadata!G80,"Animal corpus"),EXACT(metadata!G80,"Animal distal gut"),EXACT(metadata!G80,"Animal secretion")))</f>
        <v>0</v>
      </c>
      <c r="AJ80" t="b">
        <f>OR(AND(IF(metadata!H80="",FALSE,TRUE),OR(EXACT(metadata!H80,"missing: not collected"),EXACT(metadata!H80,"missing: not provided"),EXACT(metadata!H80,"missing: restricted access"))),AND(IF(metadata!H80="",FALSE,TRUE),OR(EXACT(metadata!H80,"organism-associated habitat"),EXACT(metadata!H80,"plant-associated habitat"),EXACT(metadata!H80,"animal-associated habitat"),EXACT(metadata!H80,"insecta-associated habitat"),EXACT(metadata!H80,"mammalia-associated habitat"),EXACT(metadata!H80,"human-associated habitat"),EXACT(metadata!H80,"livestock-associated habitat"))))</f>
        <v>0</v>
      </c>
      <c r="AK80" t="b">
        <f>AND(IF(metadata!I80="",FALSE,TRUE),EXACT(metadata!I80,"host-associated"))</f>
        <v>0</v>
      </c>
      <c r="AL80" t="b">
        <f>OR(AND(IF(metadata!J80="",FALSE,TRUE),OR(EXACT(metadata!J80,"not applicable"),EXACT(metadata!J80,"missing: not collected"),EXACT(metadata!J80,"missing: not provided"),EXACT(metadata!J80,"missing: restricted access"))),AND(IF(metadata!J80="",FALSE,ISNUMBER(VALUE(metadata!J80))),metadata!J80&gt;0))</f>
        <v>0</v>
      </c>
      <c r="AM80" t="b">
        <f>AND(IF(metadata!K80="",FALSE,TRUE),EXACT(metadata!K80,"missing: not provided"))</f>
        <v>0</v>
      </c>
      <c r="AN80" t="b">
        <f>IF(metadata!L80="",FALSE,TRUE)</f>
        <v>0</v>
      </c>
      <c r="AO80" t="b">
        <f>IF(metadata!M80="",FALSE,TRUE)</f>
        <v>0</v>
      </c>
      <c r="AP80" t="b">
        <f>OR(AND(IF(metadata!N80="",FALSE,TRUE),OR(EXACT(metadata!N80,"not applicable"),EXACT(metadata!N80,"missing: not collected"),EXACT(metadata!N80,"missing: not provided"))),AND(IF(metadata!N80="",FALSE,IF(ISERROR(INT(metadata!N80)),FALSE,INT(metadata!N80)=metadata!N80)),metadata!N80&gt;0))</f>
        <v>0</v>
      </c>
      <c r="AQ80" t="b">
        <f>AND(IF(metadata!O80="",FALSE,TRUE),EXACT(metadata!O80,"Not applicable"))</f>
        <v>0</v>
      </c>
      <c r="AR80" t="b">
        <f>OR(AND(IF(metadata!P80="",FALSE,TRUE),OR(EXACT(metadata!P80,"not applicable"),EXACT(metadata!P80,"missing: not collected"),EXACT(metadata!P80,"missing: not provided"),EXACT(metadata!P80,"missing: restricted access"))),IF(metadata!P80="",FALSE,IF(ISERROR(INT(metadata!P80)),FALSE,INT(metadata!P80)=metadata!P80)))</f>
        <v>0</v>
      </c>
      <c r="AS80" t="b">
        <f>AND(IF(metadata!Q80="",FALSE,TRUE),EXACT(metadata!Q80,"Not applicable"))</f>
        <v>0</v>
      </c>
      <c r="AT80" t="b">
        <f>OR(AND(IF(metadata!R80="",FALSE,TRUE),OR(EXACT(metadata!R80,"not applicable"),EXACT(metadata!R80,"missing: not collected"),EXACT(metadata!R80,"missing: not provided"),EXACT(metadata!R80,"missing: restricted access"))),AND(IF(metadata!R80="",FALSE,ISNUMBER(VALUE(metadata!R80))),metadata!R80&gt;0))</f>
        <v>0</v>
      </c>
      <c r="AU80" t="b">
        <f>AND(IF(metadata!S80="",FALSE,TRUE),EXACT(metadata!S80,"missing: not provided"))</f>
        <v>0</v>
      </c>
    </row>
    <row r="81" spans="1:47" x14ac:dyDescent="0.2">
      <c r="A81" s="5" t="str">
        <f ca="1">IF(B81=" "," ",HYPERLINK(CONCATENATE("#metadata!",ADDRESS(INDEX($Y$2:$Y$1001,MATCH(ROWS($W$2:W81),$W$2:$W$1001,0),0),1)),INDEX($AB$2:$AB$1001,MATCH(ROWS($W$2:W81),$W$2:$W$1001,0),0)))</f>
        <v xml:space="preserve"> </v>
      </c>
      <c r="B81" s="4" t="str">
        <f ca="1">IF(OR(INDEX($X$2:$X$1001,MATCH(ROWS($W$2:W81),$W$2:$W$1001,0),1)&gt;=100000,INDEX($AD$1005:$AU$1005,1,MATCH(COLUMNS($AD$1006:AD1006),$AD$1006:$AU$1006,0))&gt;=100000), " ",IF(INDEX($AD$2:$AU$1001,MATCH(ROWS($W$2:W81),$W$2:$W$1001,0),MATCH(COLUMNS($AD$1006:AD1006),$AD$1006:$AU$1006,0)), HYPERLINK("#",""), HYPERLINK(CONCATENATE("#metadata!", ADDRESS(INDEX($Y$2:$Y$1001,MATCH(ROWS($W$2:W81),$W$2:$W$1001,0),0), INDEX($AD$1004:$AU$1004,1,MATCH(COLUMNS($AD$1006:AD1006),$AD$1006:$AU$1006,0)))),"Fix")))</f>
        <v xml:space="preserve"> </v>
      </c>
      <c r="C81" s="4" t="str">
        <f ca="1">IF(OR(INDEX($X$2:$X$1001,MATCH(ROWS($W$2:W81),$W$2:$W$1001,0),1)&gt;=100000,INDEX($AD$1005:$AU$1005,1,MATCH(COLUMNS($AD$1006:AE1006),$AD$1006:$AU$1006,0))&gt;=100000), " ",IF(INDEX($AD$2:$AU$1001,MATCH(ROWS($W$2:W81),$W$2:$W$1001,0),MATCH(COLUMNS($AD$1006:AE1006),$AD$1006:$AU$1006,0)), HYPERLINK("#",""), HYPERLINK(CONCATENATE("#metadata!", ADDRESS(INDEX($Y$2:$Y$1001,MATCH(ROWS($W$2:W81),$W$2:$W$1001,0),0), INDEX($AD$1004:$AU$1004,1,MATCH(COLUMNS($AD$1006:AE1006),$AD$1006:$AU$1006,0)))),"Fix")))</f>
        <v xml:space="preserve"> </v>
      </c>
      <c r="D81" s="4" t="str">
        <f ca="1">IF(OR(INDEX($X$2:$X$1001,MATCH(ROWS($W$2:W81),$W$2:$W$1001,0),1)&gt;=100000,INDEX($AD$1005:$AU$1005,1,MATCH(COLUMNS($AD$1006:AF1006),$AD$1006:$AU$1006,0))&gt;=100000), " ",IF(INDEX($AD$2:$AU$1001,MATCH(ROWS($W$2:W81),$W$2:$W$1001,0),MATCH(COLUMNS($AD$1006:AF1006),$AD$1006:$AU$1006,0)), HYPERLINK("#",""), HYPERLINK(CONCATENATE("#metadata!", ADDRESS(INDEX($Y$2:$Y$1001,MATCH(ROWS($W$2:W81),$W$2:$W$1001,0),0), INDEX($AD$1004:$AU$1004,1,MATCH(COLUMNS($AD$1006:AF1006),$AD$1006:$AU$1006,0)))),"Fix")))</f>
        <v xml:space="preserve"> </v>
      </c>
      <c r="E81" s="4" t="str">
        <f ca="1">IF(OR(INDEX($X$2:$X$1001,MATCH(ROWS($W$2:W81),$W$2:$W$1001,0),1)&gt;=100000,INDEX($AD$1005:$AU$1005,1,MATCH(COLUMNS($AD$1006:AG1006),$AD$1006:$AU$1006,0))&gt;=100000), " ",IF(INDEX($AD$2:$AU$1001,MATCH(ROWS($W$2:W81),$W$2:$W$1001,0),MATCH(COLUMNS($AD$1006:AG1006),$AD$1006:$AU$1006,0)), HYPERLINK("#",""), HYPERLINK(CONCATENATE("#metadata!", ADDRESS(INDEX($Y$2:$Y$1001,MATCH(ROWS($W$2:W81),$W$2:$W$1001,0),0), INDEX($AD$1004:$AU$1004,1,MATCH(COLUMNS($AD$1006:AG1006),$AD$1006:$AU$1006,0)))),"Fix")))</f>
        <v xml:space="preserve"> </v>
      </c>
      <c r="F81" s="4" t="str">
        <f ca="1">IF(OR(INDEX($X$2:$X$1001,MATCH(ROWS($W$2:W81),$W$2:$W$1001,0),1)&gt;=100000,INDEX($AD$1005:$AU$1005,1,MATCH(COLUMNS($AD$1006:AH1006),$AD$1006:$AU$1006,0))&gt;=100000), " ",IF(INDEX($AD$2:$AU$1001,MATCH(ROWS($W$2:W81),$W$2:$W$1001,0),MATCH(COLUMNS($AD$1006:AH1006),$AD$1006:$AU$1006,0)), HYPERLINK("#",""), HYPERLINK(CONCATENATE("#metadata!", ADDRESS(INDEX($Y$2:$Y$1001,MATCH(ROWS($W$2:W81),$W$2:$W$1001,0),0), INDEX($AD$1004:$AU$1004,1,MATCH(COLUMNS($AD$1006:AH1006),$AD$1006:$AU$1006,0)))),"Fix")))</f>
        <v xml:space="preserve"> </v>
      </c>
      <c r="G81" s="4" t="str">
        <f ca="1">IF(OR(INDEX($X$2:$X$1001,MATCH(ROWS($W$2:W81),$W$2:$W$1001,0),1)&gt;=100000,INDEX($AD$1005:$AU$1005,1,MATCH(COLUMNS($AD$1006:AI1006),$AD$1006:$AU$1006,0))&gt;=100000), " ",IF(INDEX($AD$2:$AU$1001,MATCH(ROWS($W$2:W81),$W$2:$W$1001,0),MATCH(COLUMNS($AD$1006:AI1006),$AD$1006:$AU$1006,0)), HYPERLINK("#",""), HYPERLINK(CONCATENATE("#metadata!", ADDRESS(INDEX($Y$2:$Y$1001,MATCH(ROWS($W$2:W81),$W$2:$W$1001,0),0), INDEX($AD$1004:$AU$1004,1,MATCH(COLUMNS($AD$1006:AI1006),$AD$1006:$AU$1006,0)))),"Fix")))</f>
        <v xml:space="preserve"> </v>
      </c>
      <c r="H81" s="4" t="str">
        <f ca="1">IF(OR(INDEX($X$2:$X$1001,MATCH(ROWS($W$2:W81),$W$2:$W$1001,0),1)&gt;=100000,INDEX($AD$1005:$AU$1005,1,MATCH(COLUMNS($AD$1006:AJ1006),$AD$1006:$AU$1006,0))&gt;=100000), " ",IF(INDEX($AD$2:$AU$1001,MATCH(ROWS($W$2:W81),$W$2:$W$1001,0),MATCH(COLUMNS($AD$1006:AJ1006),$AD$1006:$AU$1006,0)), HYPERLINK("#",""), HYPERLINK(CONCATENATE("#metadata!", ADDRESS(INDEX($Y$2:$Y$1001,MATCH(ROWS($W$2:W81),$W$2:$W$1001,0),0), INDEX($AD$1004:$AU$1004,1,MATCH(COLUMNS($AD$1006:AJ1006),$AD$1006:$AU$1006,0)))),"Fix")))</f>
        <v xml:space="preserve"> </v>
      </c>
      <c r="I81" s="4" t="str">
        <f ca="1">IF(OR(INDEX($X$2:$X$1001,MATCH(ROWS($W$2:W81),$W$2:$W$1001,0),1)&gt;=100000,INDEX($AD$1005:$AU$1005,1,MATCH(COLUMNS($AD$1006:AK1006),$AD$1006:$AU$1006,0))&gt;=100000), " ",IF(INDEX($AD$2:$AU$1001,MATCH(ROWS($W$2:W81),$W$2:$W$1001,0),MATCH(COLUMNS($AD$1006:AK1006),$AD$1006:$AU$1006,0)), HYPERLINK("#",""), HYPERLINK(CONCATENATE("#metadata!", ADDRESS(INDEX($Y$2:$Y$1001,MATCH(ROWS($W$2:W81),$W$2:$W$1001,0),0), INDEX($AD$1004:$AU$1004,1,MATCH(COLUMNS($AD$1006:AK1006),$AD$1006:$AU$1006,0)))),"Fix")))</f>
        <v xml:space="preserve"> </v>
      </c>
      <c r="J81" s="4" t="str">
        <f ca="1">IF(OR(INDEX($X$2:$X$1001,MATCH(ROWS($W$2:W81),$W$2:$W$1001,0),1)&gt;=100000,INDEX($AD$1005:$AU$1005,1,MATCH(COLUMNS($AD$1006:AL1006),$AD$1006:$AU$1006,0))&gt;=100000), " ",IF(INDEX($AD$2:$AU$1001,MATCH(ROWS($W$2:W81),$W$2:$W$1001,0),MATCH(COLUMNS($AD$1006:AL1006),$AD$1006:$AU$1006,0)), HYPERLINK("#",""), HYPERLINK(CONCATENATE("#metadata!", ADDRESS(INDEX($Y$2:$Y$1001,MATCH(ROWS($W$2:W81),$W$2:$W$1001,0),0), INDEX($AD$1004:$AU$1004,1,MATCH(COLUMNS($AD$1006:AL1006),$AD$1006:$AU$1006,0)))),"Fix")))</f>
        <v xml:space="preserve"> </v>
      </c>
      <c r="K81" s="4" t="str">
        <f ca="1">IF(OR(INDEX($X$2:$X$1001,MATCH(ROWS($W$2:W81),$W$2:$W$1001,0),1)&gt;=100000,INDEX($AD$1005:$AU$1005,1,MATCH(COLUMNS($AD$1006:AM1006),$AD$1006:$AU$1006,0))&gt;=100000), " ",IF(INDEX($AD$2:$AU$1001,MATCH(ROWS($W$2:W81),$W$2:$W$1001,0),MATCH(COLUMNS($AD$1006:AM1006),$AD$1006:$AU$1006,0)), HYPERLINK("#",""), HYPERLINK(CONCATENATE("#metadata!", ADDRESS(INDEX($Y$2:$Y$1001,MATCH(ROWS($W$2:W81),$W$2:$W$1001,0),0), INDEX($AD$1004:$AU$1004,1,MATCH(COLUMNS($AD$1006:AM1006),$AD$1006:$AU$1006,0)))),"Fix")))</f>
        <v xml:space="preserve"> </v>
      </c>
      <c r="L81" s="4" t="str">
        <f ca="1">IF(OR(INDEX($X$2:$X$1001,MATCH(ROWS($W$2:W81),$W$2:$W$1001,0),1)&gt;=100000,INDEX($AD$1005:$AU$1005,1,MATCH(COLUMNS($AD$1006:AN1006),$AD$1006:$AU$1006,0))&gt;=100000), " ",IF(INDEX($AD$2:$AU$1001,MATCH(ROWS($W$2:W81),$W$2:$W$1001,0),MATCH(COLUMNS($AD$1006:AN1006),$AD$1006:$AU$1006,0)), HYPERLINK("#",""), HYPERLINK(CONCATENATE("#metadata!", ADDRESS(INDEX($Y$2:$Y$1001,MATCH(ROWS($W$2:W81),$W$2:$W$1001,0),0), INDEX($AD$1004:$AU$1004,1,MATCH(COLUMNS($AD$1006:AN1006),$AD$1006:$AU$1006,0)))),"Fix")))</f>
        <v xml:space="preserve"> </v>
      </c>
      <c r="M81" s="4" t="str">
        <f ca="1">IF(OR(INDEX($X$2:$X$1001,MATCH(ROWS($W$2:W81),$W$2:$W$1001,0),1)&gt;=100000,INDEX($AD$1005:$AU$1005,1,MATCH(COLUMNS($AD$1006:AO1006),$AD$1006:$AU$1006,0))&gt;=100000), " ",IF(INDEX($AD$2:$AU$1001,MATCH(ROWS($W$2:W81),$W$2:$W$1001,0),MATCH(COLUMNS($AD$1006:AO1006),$AD$1006:$AU$1006,0)), HYPERLINK("#",""), HYPERLINK(CONCATENATE("#metadata!", ADDRESS(INDEX($Y$2:$Y$1001,MATCH(ROWS($W$2:W81),$W$2:$W$1001,0),0), INDEX($AD$1004:$AU$1004,1,MATCH(COLUMNS($AD$1006:AO1006),$AD$1006:$AU$1006,0)))),"Fix")))</f>
        <v xml:space="preserve"> </v>
      </c>
      <c r="N81" s="4" t="str">
        <f ca="1">IF(OR(INDEX($X$2:$X$1001,MATCH(ROWS($W$2:W81),$W$2:$W$1001,0),1)&gt;=100000,INDEX($AD$1005:$AU$1005,1,MATCH(COLUMNS($AD$1006:AP1006),$AD$1006:$AU$1006,0))&gt;=100000), " ",IF(INDEX($AD$2:$AU$1001,MATCH(ROWS($W$2:W81),$W$2:$W$1001,0),MATCH(COLUMNS($AD$1006:AP1006),$AD$1006:$AU$1006,0)), HYPERLINK("#",""), HYPERLINK(CONCATENATE("#metadata!", ADDRESS(INDEX($Y$2:$Y$1001,MATCH(ROWS($W$2:W81),$W$2:$W$1001,0),0), INDEX($AD$1004:$AU$1004,1,MATCH(COLUMNS($AD$1006:AP1006),$AD$1006:$AU$1006,0)))),"Fix")))</f>
        <v xml:space="preserve"> </v>
      </c>
      <c r="O81" s="4" t="str">
        <f ca="1">IF(OR(INDEX($X$2:$X$1001,MATCH(ROWS($W$2:W81),$W$2:$W$1001,0),1)&gt;=100000,INDEX($AD$1005:$AU$1005,1,MATCH(COLUMNS($AD$1006:AQ1006),$AD$1006:$AU$1006,0))&gt;=100000), " ",IF(INDEX($AD$2:$AU$1001,MATCH(ROWS($W$2:W81),$W$2:$W$1001,0),MATCH(COLUMNS($AD$1006:AQ1006),$AD$1006:$AU$1006,0)), HYPERLINK("#",""), HYPERLINK(CONCATENATE("#metadata!", ADDRESS(INDEX($Y$2:$Y$1001,MATCH(ROWS($W$2:W81),$W$2:$W$1001,0),0), INDEX($AD$1004:$AU$1004,1,MATCH(COLUMNS($AD$1006:AQ1006),$AD$1006:$AU$1006,0)))),"Fix")))</f>
        <v xml:space="preserve"> </v>
      </c>
      <c r="P81" s="4" t="str">
        <f ca="1">IF(OR(INDEX($X$2:$X$1001,MATCH(ROWS($W$2:W81),$W$2:$W$1001,0),1)&gt;=100000,INDEX($AD$1005:$AU$1005,1,MATCH(COLUMNS($AD$1006:AR1006),$AD$1006:$AU$1006,0))&gt;=100000), " ",IF(INDEX($AD$2:$AU$1001,MATCH(ROWS($W$2:W81),$W$2:$W$1001,0),MATCH(COLUMNS($AD$1006:AR1006),$AD$1006:$AU$1006,0)), HYPERLINK("#",""), HYPERLINK(CONCATENATE("#metadata!", ADDRESS(INDEX($Y$2:$Y$1001,MATCH(ROWS($W$2:W81),$W$2:$W$1001,0),0), INDEX($AD$1004:$AU$1004,1,MATCH(COLUMNS($AD$1006:AR1006),$AD$1006:$AU$1006,0)))),"Fix")))</f>
        <v xml:space="preserve"> </v>
      </c>
      <c r="Q81" s="4" t="str">
        <f ca="1">IF(OR(INDEX($X$2:$X$1001,MATCH(ROWS($W$2:W81),$W$2:$W$1001,0),1)&gt;=100000,INDEX($AD$1005:$AU$1005,1,MATCH(COLUMNS($AD$1006:AS1006),$AD$1006:$AU$1006,0))&gt;=100000), " ",IF(INDEX($AD$2:$AU$1001,MATCH(ROWS($W$2:W81),$W$2:$W$1001,0),MATCH(COLUMNS($AD$1006:AS1006),$AD$1006:$AU$1006,0)), HYPERLINK("#",""), HYPERLINK(CONCATENATE("#metadata!", ADDRESS(INDEX($Y$2:$Y$1001,MATCH(ROWS($W$2:W81),$W$2:$W$1001,0),0), INDEX($AD$1004:$AU$1004,1,MATCH(COLUMNS($AD$1006:AS1006),$AD$1006:$AU$1006,0)))),"Fix")))</f>
        <v xml:space="preserve"> </v>
      </c>
      <c r="R81" s="4" t="str">
        <f ca="1">IF(OR(INDEX($X$2:$X$1001,MATCH(ROWS($W$2:W81),$W$2:$W$1001,0),1)&gt;=100000,INDEX($AD$1005:$AU$1005,1,MATCH(COLUMNS($AD$1006:AT1006),$AD$1006:$AU$1006,0))&gt;=100000), " ",IF(INDEX($AD$2:$AU$1001,MATCH(ROWS($W$2:W81),$W$2:$W$1001,0),MATCH(COLUMNS($AD$1006:AT1006),$AD$1006:$AU$1006,0)), HYPERLINK("#",""), HYPERLINK(CONCATENATE("#metadata!", ADDRESS(INDEX($Y$2:$Y$1001,MATCH(ROWS($W$2:W81),$W$2:$W$1001,0),0), INDEX($AD$1004:$AU$1004,1,MATCH(COLUMNS($AD$1006:AT1006),$AD$1006:$AU$1006,0)))),"Fix")))</f>
        <v xml:space="preserve"> </v>
      </c>
      <c r="S81" s="4" t="str">
        <f ca="1">IF(OR(INDEX($X$2:$X$1001,MATCH(ROWS($W$2:W81),$W$2:$W$1001,0),1)&gt;=100000,INDEX($AD$1005:$AU$1005,1,MATCH(COLUMNS($AD$1006:AU1006),$AD$1006:$AU$1006,0))&gt;=100000), " ",IF(INDEX($AD$2:$AU$1001,MATCH(ROWS($W$2:W81),$W$2:$W$1001,0),MATCH(COLUMNS($AD$1006:AU1006),$AD$1006:$AU$1006,0)), HYPERLINK("#",""), HYPERLINK(CONCATENATE("#metadata!", ADDRESS(INDEX($Y$2:$Y$1001,MATCH(ROWS($W$2:W81),$W$2:$W$1001,0),0), INDEX($AD$1004:$AU$1004,1,MATCH(COLUMNS($AD$1006:AU1006),$AD$1006:$AU$1006,0)))),"Fix")))</f>
        <v xml:space="preserve"> </v>
      </c>
      <c r="W81">
        <v>80</v>
      </c>
      <c r="X81">
        <v>100081</v>
      </c>
      <c r="Y81">
        <v>81</v>
      </c>
      <c r="Z81" t="b">
        <f t="shared" si="1"/>
        <v>1</v>
      </c>
      <c r="AA81" t="b">
        <f>COUNTBLANK(metadata!B81:S81)=COLUMNS(metadata!B81:S81)</f>
        <v>1</v>
      </c>
      <c r="AB81" t="str">
        <v/>
      </c>
      <c r="AD81" t="b">
        <f ca="1">AND(IF(metadata!B81="",FALSE,TRUE),COUNTIF(metadata!B:B, metadata!B81) = 1,NOT(ISERROR(SUMPRODUCT(SEARCH(MID(metadata!B81,ROW(INDIRECT("1:"&amp;LEN(metadata!B81))), 1),"0123456789abcdefghijklmnopqrstuvwxyzABCDEFGHIJKLMNOPQRSTUVWXYZ.")))))</f>
        <v>0</v>
      </c>
      <c r="AE81" t="b">
        <f>OR(AND(IF(metadata!C81="",FALSE,TRUE),OR(EXACT(metadata!C81,"not applicable"),EXACT(metadata!C81,"missing: not collected"),EXACT(metadata!C81,"missing: not provided"),EXACT(metadata!C81,"missing: restricted access"))),AND(IF(metadata!C81="",FALSE,ISNUMBER(VALUE(metadata!C81))),metadata!C81&gt;0))</f>
        <v>0</v>
      </c>
      <c r="AF81" t="b">
        <f>AND(IF(metadata!D81="",FALSE,TRUE),EXACT(metadata!D81,"missing: not provided"))</f>
        <v>0</v>
      </c>
      <c r="AG81" t="b">
        <f>AND(IF(metadata!E81="",FALSE,TRUE),EXACT(metadata!E81,"Host-associated"))</f>
        <v>0</v>
      </c>
      <c r="AH81" t="b">
        <f>AND(IF(metadata!F81="",FALSE,TRUE),OR(EXACT(metadata!F81,"Animal"),EXACT(metadata!F81,"Fungus"),EXACT(metadata!F81,"Plant")))</f>
        <v>0</v>
      </c>
      <c r="AI81" t="b">
        <f>AND(IF(metadata!G81="",FALSE,TRUE),OR(EXACT(metadata!G81,"Plant secretion"),EXACT(metadata!G81,"Plant rhizosphere"),EXACT(metadata!G81,"Plant surface"),EXACT(metadata!G81,"Plant corpus"),EXACT(metadata!G81,"Fungus surface"),EXACT(metadata!G81,"Fungus corpus"),EXACT(metadata!G81,"Animal surface"),EXACT(metadata!G81,"Animal proximal gut"),EXACT(metadata!G81,"Animal corpus"),EXACT(metadata!G81,"Animal distal gut"),EXACT(metadata!G81,"Animal secretion")))</f>
        <v>0</v>
      </c>
      <c r="AJ81" t="b">
        <f>OR(AND(IF(metadata!H81="",FALSE,TRUE),OR(EXACT(metadata!H81,"missing: not collected"),EXACT(metadata!H81,"missing: not provided"),EXACT(metadata!H81,"missing: restricted access"))),AND(IF(metadata!H81="",FALSE,TRUE),OR(EXACT(metadata!H81,"organism-associated habitat"),EXACT(metadata!H81,"plant-associated habitat"),EXACT(metadata!H81,"animal-associated habitat"),EXACT(metadata!H81,"insecta-associated habitat"),EXACT(metadata!H81,"mammalia-associated habitat"),EXACT(metadata!H81,"human-associated habitat"),EXACT(metadata!H81,"livestock-associated habitat"))))</f>
        <v>0</v>
      </c>
      <c r="AK81" t="b">
        <f>AND(IF(metadata!I81="",FALSE,TRUE),EXACT(metadata!I81,"host-associated"))</f>
        <v>0</v>
      </c>
      <c r="AL81" t="b">
        <f>OR(AND(IF(metadata!J81="",FALSE,TRUE),OR(EXACT(metadata!J81,"not applicable"),EXACT(metadata!J81,"missing: not collected"),EXACT(metadata!J81,"missing: not provided"),EXACT(metadata!J81,"missing: restricted access"))),AND(IF(metadata!J81="",FALSE,ISNUMBER(VALUE(metadata!J81))),metadata!J81&gt;0))</f>
        <v>0</v>
      </c>
      <c r="AM81" t="b">
        <f>AND(IF(metadata!K81="",FALSE,TRUE),EXACT(metadata!K81,"missing: not provided"))</f>
        <v>0</v>
      </c>
      <c r="AN81" t="b">
        <f>IF(metadata!L81="",FALSE,TRUE)</f>
        <v>0</v>
      </c>
      <c r="AO81" t="b">
        <f>IF(metadata!M81="",FALSE,TRUE)</f>
        <v>0</v>
      </c>
      <c r="AP81" t="b">
        <f>OR(AND(IF(metadata!N81="",FALSE,TRUE),OR(EXACT(metadata!N81,"not applicable"),EXACT(metadata!N81,"missing: not collected"),EXACT(metadata!N81,"missing: not provided"))),AND(IF(metadata!N81="",FALSE,IF(ISERROR(INT(metadata!N81)),FALSE,INT(metadata!N81)=metadata!N81)),metadata!N81&gt;0))</f>
        <v>0</v>
      </c>
      <c r="AQ81" t="b">
        <f>AND(IF(metadata!O81="",FALSE,TRUE),EXACT(metadata!O81,"Not applicable"))</f>
        <v>0</v>
      </c>
      <c r="AR81" t="b">
        <f>OR(AND(IF(metadata!P81="",FALSE,TRUE),OR(EXACT(metadata!P81,"not applicable"),EXACT(metadata!P81,"missing: not collected"),EXACT(metadata!P81,"missing: not provided"),EXACT(metadata!P81,"missing: restricted access"))),IF(metadata!P81="",FALSE,IF(ISERROR(INT(metadata!P81)),FALSE,INT(metadata!P81)=metadata!P81)))</f>
        <v>0</v>
      </c>
      <c r="AS81" t="b">
        <f>AND(IF(metadata!Q81="",FALSE,TRUE),EXACT(metadata!Q81,"Not applicable"))</f>
        <v>0</v>
      </c>
      <c r="AT81" t="b">
        <f>OR(AND(IF(metadata!R81="",FALSE,TRUE),OR(EXACT(metadata!R81,"not applicable"),EXACT(metadata!R81,"missing: not collected"),EXACT(metadata!R81,"missing: not provided"),EXACT(metadata!R81,"missing: restricted access"))),AND(IF(metadata!R81="",FALSE,ISNUMBER(VALUE(metadata!R81))),metadata!R81&gt;0))</f>
        <v>0</v>
      </c>
      <c r="AU81" t="b">
        <f>AND(IF(metadata!S81="",FALSE,TRUE),EXACT(metadata!S81,"missing: not provided"))</f>
        <v>0</v>
      </c>
    </row>
    <row r="82" spans="1:47" x14ac:dyDescent="0.2">
      <c r="A82" s="5" t="str">
        <f ca="1">IF(B82=" "," ",HYPERLINK(CONCATENATE("#metadata!",ADDRESS(INDEX($Y$2:$Y$1001,MATCH(ROWS($W$2:W82),$W$2:$W$1001,0),0),1)),INDEX($AB$2:$AB$1001,MATCH(ROWS($W$2:W82),$W$2:$W$1001,0),0)))</f>
        <v xml:space="preserve"> </v>
      </c>
      <c r="B82" s="4" t="str">
        <f ca="1">IF(OR(INDEX($X$2:$X$1001,MATCH(ROWS($W$2:W82),$W$2:$W$1001,0),1)&gt;=100000,INDEX($AD$1005:$AU$1005,1,MATCH(COLUMNS($AD$1006:AD1006),$AD$1006:$AU$1006,0))&gt;=100000), " ",IF(INDEX($AD$2:$AU$1001,MATCH(ROWS($W$2:W82),$W$2:$W$1001,0),MATCH(COLUMNS($AD$1006:AD1006),$AD$1006:$AU$1006,0)), HYPERLINK("#",""), HYPERLINK(CONCATENATE("#metadata!", ADDRESS(INDEX($Y$2:$Y$1001,MATCH(ROWS($W$2:W82),$W$2:$W$1001,0),0), INDEX($AD$1004:$AU$1004,1,MATCH(COLUMNS($AD$1006:AD1006),$AD$1006:$AU$1006,0)))),"Fix")))</f>
        <v xml:space="preserve"> </v>
      </c>
      <c r="C82" s="4" t="str">
        <f ca="1">IF(OR(INDEX($X$2:$X$1001,MATCH(ROWS($W$2:W82),$W$2:$W$1001,0),1)&gt;=100000,INDEX($AD$1005:$AU$1005,1,MATCH(COLUMNS($AD$1006:AE1006),$AD$1006:$AU$1006,0))&gt;=100000), " ",IF(INDEX($AD$2:$AU$1001,MATCH(ROWS($W$2:W82),$W$2:$W$1001,0),MATCH(COLUMNS($AD$1006:AE1006),$AD$1006:$AU$1006,0)), HYPERLINK("#",""), HYPERLINK(CONCATENATE("#metadata!", ADDRESS(INDEX($Y$2:$Y$1001,MATCH(ROWS($W$2:W82),$W$2:$W$1001,0),0), INDEX($AD$1004:$AU$1004,1,MATCH(COLUMNS($AD$1006:AE1006),$AD$1006:$AU$1006,0)))),"Fix")))</f>
        <v xml:space="preserve"> </v>
      </c>
      <c r="D82" s="4" t="str">
        <f ca="1">IF(OR(INDEX($X$2:$X$1001,MATCH(ROWS($W$2:W82),$W$2:$W$1001,0),1)&gt;=100000,INDEX($AD$1005:$AU$1005,1,MATCH(COLUMNS($AD$1006:AF1006),$AD$1006:$AU$1006,0))&gt;=100000), " ",IF(INDEX($AD$2:$AU$1001,MATCH(ROWS($W$2:W82),$W$2:$W$1001,0),MATCH(COLUMNS($AD$1006:AF1006),$AD$1006:$AU$1006,0)), HYPERLINK("#",""), HYPERLINK(CONCATENATE("#metadata!", ADDRESS(INDEX($Y$2:$Y$1001,MATCH(ROWS($W$2:W82),$W$2:$W$1001,0),0), INDEX($AD$1004:$AU$1004,1,MATCH(COLUMNS($AD$1006:AF1006),$AD$1006:$AU$1006,0)))),"Fix")))</f>
        <v xml:space="preserve"> </v>
      </c>
      <c r="E82" s="4" t="str">
        <f ca="1">IF(OR(INDEX($X$2:$X$1001,MATCH(ROWS($W$2:W82),$W$2:$W$1001,0),1)&gt;=100000,INDEX($AD$1005:$AU$1005,1,MATCH(COLUMNS($AD$1006:AG1006),$AD$1006:$AU$1006,0))&gt;=100000), " ",IF(INDEX($AD$2:$AU$1001,MATCH(ROWS($W$2:W82),$W$2:$W$1001,0),MATCH(COLUMNS($AD$1006:AG1006),$AD$1006:$AU$1006,0)), HYPERLINK("#",""), HYPERLINK(CONCATENATE("#metadata!", ADDRESS(INDEX($Y$2:$Y$1001,MATCH(ROWS($W$2:W82),$W$2:$W$1001,0),0), INDEX($AD$1004:$AU$1004,1,MATCH(COLUMNS($AD$1006:AG1006),$AD$1006:$AU$1006,0)))),"Fix")))</f>
        <v xml:space="preserve"> </v>
      </c>
      <c r="F82" s="4" t="str">
        <f ca="1">IF(OR(INDEX($X$2:$X$1001,MATCH(ROWS($W$2:W82),$W$2:$W$1001,0),1)&gt;=100000,INDEX($AD$1005:$AU$1005,1,MATCH(COLUMNS($AD$1006:AH1006),$AD$1006:$AU$1006,0))&gt;=100000), " ",IF(INDEX($AD$2:$AU$1001,MATCH(ROWS($W$2:W82),$W$2:$W$1001,0),MATCH(COLUMNS($AD$1006:AH1006),$AD$1006:$AU$1006,0)), HYPERLINK("#",""), HYPERLINK(CONCATENATE("#metadata!", ADDRESS(INDEX($Y$2:$Y$1001,MATCH(ROWS($W$2:W82),$W$2:$W$1001,0),0), INDEX($AD$1004:$AU$1004,1,MATCH(COLUMNS($AD$1006:AH1006),$AD$1006:$AU$1006,0)))),"Fix")))</f>
        <v xml:space="preserve"> </v>
      </c>
      <c r="G82" s="4" t="str">
        <f ca="1">IF(OR(INDEX($X$2:$X$1001,MATCH(ROWS($W$2:W82),$W$2:$W$1001,0),1)&gt;=100000,INDEX($AD$1005:$AU$1005,1,MATCH(COLUMNS($AD$1006:AI1006),$AD$1006:$AU$1006,0))&gt;=100000), " ",IF(INDEX($AD$2:$AU$1001,MATCH(ROWS($W$2:W82),$W$2:$W$1001,0),MATCH(COLUMNS($AD$1006:AI1006),$AD$1006:$AU$1006,0)), HYPERLINK("#",""), HYPERLINK(CONCATENATE("#metadata!", ADDRESS(INDEX($Y$2:$Y$1001,MATCH(ROWS($W$2:W82),$W$2:$W$1001,0),0), INDEX($AD$1004:$AU$1004,1,MATCH(COLUMNS($AD$1006:AI1006),$AD$1006:$AU$1006,0)))),"Fix")))</f>
        <v xml:space="preserve"> </v>
      </c>
      <c r="H82" s="4" t="str">
        <f ca="1">IF(OR(INDEX($X$2:$X$1001,MATCH(ROWS($W$2:W82),$W$2:$W$1001,0),1)&gt;=100000,INDEX($AD$1005:$AU$1005,1,MATCH(COLUMNS($AD$1006:AJ1006),$AD$1006:$AU$1006,0))&gt;=100000), " ",IF(INDEX($AD$2:$AU$1001,MATCH(ROWS($W$2:W82),$W$2:$W$1001,0),MATCH(COLUMNS($AD$1006:AJ1006),$AD$1006:$AU$1006,0)), HYPERLINK("#",""), HYPERLINK(CONCATENATE("#metadata!", ADDRESS(INDEX($Y$2:$Y$1001,MATCH(ROWS($W$2:W82),$W$2:$W$1001,0),0), INDEX($AD$1004:$AU$1004,1,MATCH(COLUMNS($AD$1006:AJ1006),$AD$1006:$AU$1006,0)))),"Fix")))</f>
        <v xml:space="preserve"> </v>
      </c>
      <c r="I82" s="4" t="str">
        <f ca="1">IF(OR(INDEX($X$2:$X$1001,MATCH(ROWS($W$2:W82),$W$2:$W$1001,0),1)&gt;=100000,INDEX($AD$1005:$AU$1005,1,MATCH(COLUMNS($AD$1006:AK1006),$AD$1006:$AU$1006,0))&gt;=100000), " ",IF(INDEX($AD$2:$AU$1001,MATCH(ROWS($W$2:W82),$W$2:$W$1001,0),MATCH(COLUMNS($AD$1006:AK1006),$AD$1006:$AU$1006,0)), HYPERLINK("#",""), HYPERLINK(CONCATENATE("#metadata!", ADDRESS(INDEX($Y$2:$Y$1001,MATCH(ROWS($W$2:W82),$W$2:$W$1001,0),0), INDEX($AD$1004:$AU$1004,1,MATCH(COLUMNS($AD$1006:AK1006),$AD$1006:$AU$1006,0)))),"Fix")))</f>
        <v xml:space="preserve"> </v>
      </c>
      <c r="J82" s="4" t="str">
        <f ca="1">IF(OR(INDEX($X$2:$X$1001,MATCH(ROWS($W$2:W82),$W$2:$W$1001,0),1)&gt;=100000,INDEX($AD$1005:$AU$1005,1,MATCH(COLUMNS($AD$1006:AL1006),$AD$1006:$AU$1006,0))&gt;=100000), " ",IF(INDEX($AD$2:$AU$1001,MATCH(ROWS($W$2:W82),$W$2:$W$1001,0),MATCH(COLUMNS($AD$1006:AL1006),$AD$1006:$AU$1006,0)), HYPERLINK("#",""), HYPERLINK(CONCATENATE("#metadata!", ADDRESS(INDEX($Y$2:$Y$1001,MATCH(ROWS($W$2:W82),$W$2:$W$1001,0),0), INDEX($AD$1004:$AU$1004,1,MATCH(COLUMNS($AD$1006:AL1006),$AD$1006:$AU$1006,0)))),"Fix")))</f>
        <v xml:space="preserve"> </v>
      </c>
      <c r="K82" s="4" t="str">
        <f ca="1">IF(OR(INDEX($X$2:$X$1001,MATCH(ROWS($W$2:W82),$W$2:$W$1001,0),1)&gt;=100000,INDEX($AD$1005:$AU$1005,1,MATCH(COLUMNS($AD$1006:AM1006),$AD$1006:$AU$1006,0))&gt;=100000), " ",IF(INDEX($AD$2:$AU$1001,MATCH(ROWS($W$2:W82),$W$2:$W$1001,0),MATCH(COLUMNS($AD$1006:AM1006),$AD$1006:$AU$1006,0)), HYPERLINK("#",""), HYPERLINK(CONCATENATE("#metadata!", ADDRESS(INDEX($Y$2:$Y$1001,MATCH(ROWS($W$2:W82),$W$2:$W$1001,0),0), INDEX($AD$1004:$AU$1004,1,MATCH(COLUMNS($AD$1006:AM1006),$AD$1006:$AU$1006,0)))),"Fix")))</f>
        <v xml:space="preserve"> </v>
      </c>
      <c r="L82" s="4" t="str">
        <f ca="1">IF(OR(INDEX($X$2:$X$1001,MATCH(ROWS($W$2:W82),$W$2:$W$1001,0),1)&gt;=100000,INDEX($AD$1005:$AU$1005,1,MATCH(COLUMNS($AD$1006:AN1006),$AD$1006:$AU$1006,0))&gt;=100000), " ",IF(INDEX($AD$2:$AU$1001,MATCH(ROWS($W$2:W82),$W$2:$W$1001,0),MATCH(COLUMNS($AD$1006:AN1006),$AD$1006:$AU$1006,0)), HYPERLINK("#",""), HYPERLINK(CONCATENATE("#metadata!", ADDRESS(INDEX($Y$2:$Y$1001,MATCH(ROWS($W$2:W82),$W$2:$W$1001,0),0), INDEX($AD$1004:$AU$1004,1,MATCH(COLUMNS($AD$1006:AN1006),$AD$1006:$AU$1006,0)))),"Fix")))</f>
        <v xml:space="preserve"> </v>
      </c>
      <c r="M82" s="4" t="str">
        <f ca="1">IF(OR(INDEX($X$2:$X$1001,MATCH(ROWS($W$2:W82),$W$2:$W$1001,0),1)&gt;=100000,INDEX($AD$1005:$AU$1005,1,MATCH(COLUMNS($AD$1006:AO1006),$AD$1006:$AU$1006,0))&gt;=100000), " ",IF(INDEX($AD$2:$AU$1001,MATCH(ROWS($W$2:W82),$W$2:$W$1001,0),MATCH(COLUMNS($AD$1006:AO1006),$AD$1006:$AU$1006,0)), HYPERLINK("#",""), HYPERLINK(CONCATENATE("#metadata!", ADDRESS(INDEX($Y$2:$Y$1001,MATCH(ROWS($W$2:W82),$W$2:$W$1001,0),0), INDEX($AD$1004:$AU$1004,1,MATCH(COLUMNS($AD$1006:AO1006),$AD$1006:$AU$1006,0)))),"Fix")))</f>
        <v xml:space="preserve"> </v>
      </c>
      <c r="N82" s="4" t="str">
        <f ca="1">IF(OR(INDEX($X$2:$X$1001,MATCH(ROWS($W$2:W82),$W$2:$W$1001,0),1)&gt;=100000,INDEX($AD$1005:$AU$1005,1,MATCH(COLUMNS($AD$1006:AP1006),$AD$1006:$AU$1006,0))&gt;=100000), " ",IF(INDEX($AD$2:$AU$1001,MATCH(ROWS($W$2:W82),$W$2:$W$1001,0),MATCH(COLUMNS($AD$1006:AP1006),$AD$1006:$AU$1006,0)), HYPERLINK("#",""), HYPERLINK(CONCATENATE("#metadata!", ADDRESS(INDEX($Y$2:$Y$1001,MATCH(ROWS($W$2:W82),$W$2:$W$1001,0),0), INDEX($AD$1004:$AU$1004,1,MATCH(COLUMNS($AD$1006:AP1006),$AD$1006:$AU$1006,0)))),"Fix")))</f>
        <v xml:space="preserve"> </v>
      </c>
      <c r="O82" s="4" t="str">
        <f ca="1">IF(OR(INDEX($X$2:$X$1001,MATCH(ROWS($W$2:W82),$W$2:$W$1001,0),1)&gt;=100000,INDEX($AD$1005:$AU$1005,1,MATCH(COLUMNS($AD$1006:AQ1006),$AD$1006:$AU$1006,0))&gt;=100000), " ",IF(INDEX($AD$2:$AU$1001,MATCH(ROWS($W$2:W82),$W$2:$W$1001,0),MATCH(COLUMNS($AD$1006:AQ1006),$AD$1006:$AU$1006,0)), HYPERLINK("#",""), HYPERLINK(CONCATENATE("#metadata!", ADDRESS(INDEX($Y$2:$Y$1001,MATCH(ROWS($W$2:W82),$W$2:$W$1001,0),0), INDEX($AD$1004:$AU$1004,1,MATCH(COLUMNS($AD$1006:AQ1006),$AD$1006:$AU$1006,0)))),"Fix")))</f>
        <v xml:space="preserve"> </v>
      </c>
      <c r="P82" s="4" t="str">
        <f ca="1">IF(OR(INDEX($X$2:$X$1001,MATCH(ROWS($W$2:W82),$W$2:$W$1001,0),1)&gt;=100000,INDEX($AD$1005:$AU$1005,1,MATCH(COLUMNS($AD$1006:AR1006),$AD$1006:$AU$1006,0))&gt;=100000), " ",IF(INDEX($AD$2:$AU$1001,MATCH(ROWS($W$2:W82),$W$2:$W$1001,0),MATCH(COLUMNS($AD$1006:AR1006),$AD$1006:$AU$1006,0)), HYPERLINK("#",""), HYPERLINK(CONCATENATE("#metadata!", ADDRESS(INDEX($Y$2:$Y$1001,MATCH(ROWS($W$2:W82),$W$2:$W$1001,0),0), INDEX($AD$1004:$AU$1004,1,MATCH(COLUMNS($AD$1006:AR1006),$AD$1006:$AU$1006,0)))),"Fix")))</f>
        <v xml:space="preserve"> </v>
      </c>
      <c r="Q82" s="4" t="str">
        <f ca="1">IF(OR(INDEX($X$2:$X$1001,MATCH(ROWS($W$2:W82),$W$2:$W$1001,0),1)&gt;=100000,INDEX($AD$1005:$AU$1005,1,MATCH(COLUMNS($AD$1006:AS1006),$AD$1006:$AU$1006,0))&gt;=100000), " ",IF(INDEX($AD$2:$AU$1001,MATCH(ROWS($W$2:W82),$W$2:$W$1001,0),MATCH(COLUMNS($AD$1006:AS1006),$AD$1006:$AU$1006,0)), HYPERLINK("#",""), HYPERLINK(CONCATENATE("#metadata!", ADDRESS(INDEX($Y$2:$Y$1001,MATCH(ROWS($W$2:W82),$W$2:$W$1001,0),0), INDEX($AD$1004:$AU$1004,1,MATCH(COLUMNS($AD$1006:AS1006),$AD$1006:$AU$1006,0)))),"Fix")))</f>
        <v xml:space="preserve"> </v>
      </c>
      <c r="R82" s="4" t="str">
        <f ca="1">IF(OR(INDEX($X$2:$X$1001,MATCH(ROWS($W$2:W82),$W$2:$W$1001,0),1)&gt;=100000,INDEX($AD$1005:$AU$1005,1,MATCH(COLUMNS($AD$1006:AT1006),$AD$1006:$AU$1006,0))&gt;=100000), " ",IF(INDEX($AD$2:$AU$1001,MATCH(ROWS($W$2:W82),$W$2:$W$1001,0),MATCH(COLUMNS($AD$1006:AT1006),$AD$1006:$AU$1006,0)), HYPERLINK("#",""), HYPERLINK(CONCATENATE("#metadata!", ADDRESS(INDEX($Y$2:$Y$1001,MATCH(ROWS($W$2:W82),$W$2:$W$1001,0),0), INDEX($AD$1004:$AU$1004,1,MATCH(COLUMNS($AD$1006:AT1006),$AD$1006:$AU$1006,0)))),"Fix")))</f>
        <v xml:space="preserve"> </v>
      </c>
      <c r="S82" s="4" t="str">
        <f ca="1">IF(OR(INDEX($X$2:$X$1001,MATCH(ROWS($W$2:W82),$W$2:$W$1001,0),1)&gt;=100000,INDEX($AD$1005:$AU$1005,1,MATCH(COLUMNS($AD$1006:AU1006),$AD$1006:$AU$1006,0))&gt;=100000), " ",IF(INDEX($AD$2:$AU$1001,MATCH(ROWS($W$2:W82),$W$2:$W$1001,0),MATCH(COLUMNS($AD$1006:AU1006),$AD$1006:$AU$1006,0)), HYPERLINK("#",""), HYPERLINK(CONCATENATE("#metadata!", ADDRESS(INDEX($Y$2:$Y$1001,MATCH(ROWS($W$2:W82),$W$2:$W$1001,0),0), INDEX($AD$1004:$AU$1004,1,MATCH(COLUMNS($AD$1006:AU1006),$AD$1006:$AU$1006,0)))),"Fix")))</f>
        <v xml:space="preserve"> </v>
      </c>
      <c r="W82">
        <v>81</v>
      </c>
      <c r="X82">
        <v>100082</v>
      </c>
      <c r="Y82">
        <v>82</v>
      </c>
      <c r="Z82" t="b">
        <f t="shared" si="1"/>
        <v>1</v>
      </c>
      <c r="AA82" t="b">
        <f>COUNTBLANK(metadata!B82:S82)=COLUMNS(metadata!B82:S82)</f>
        <v>1</v>
      </c>
      <c r="AB82" t="str">
        <v/>
      </c>
      <c r="AD82" t="b">
        <f ca="1">AND(IF(metadata!B82="",FALSE,TRUE),COUNTIF(metadata!B:B, metadata!B82) = 1,NOT(ISERROR(SUMPRODUCT(SEARCH(MID(metadata!B82,ROW(INDIRECT("1:"&amp;LEN(metadata!B82))), 1),"0123456789abcdefghijklmnopqrstuvwxyzABCDEFGHIJKLMNOPQRSTUVWXYZ.")))))</f>
        <v>0</v>
      </c>
      <c r="AE82" t="b">
        <f>OR(AND(IF(metadata!C82="",FALSE,TRUE),OR(EXACT(metadata!C82,"not applicable"),EXACT(metadata!C82,"missing: not collected"),EXACT(metadata!C82,"missing: not provided"),EXACT(metadata!C82,"missing: restricted access"))),AND(IF(metadata!C82="",FALSE,ISNUMBER(VALUE(metadata!C82))),metadata!C82&gt;0))</f>
        <v>0</v>
      </c>
      <c r="AF82" t="b">
        <f>AND(IF(metadata!D82="",FALSE,TRUE),EXACT(metadata!D82,"missing: not provided"))</f>
        <v>0</v>
      </c>
      <c r="AG82" t="b">
        <f>AND(IF(metadata!E82="",FALSE,TRUE),EXACT(metadata!E82,"Host-associated"))</f>
        <v>0</v>
      </c>
      <c r="AH82" t="b">
        <f>AND(IF(metadata!F82="",FALSE,TRUE),OR(EXACT(metadata!F82,"Animal"),EXACT(metadata!F82,"Fungus"),EXACT(metadata!F82,"Plant")))</f>
        <v>0</v>
      </c>
      <c r="AI82" t="b">
        <f>AND(IF(metadata!G82="",FALSE,TRUE),OR(EXACT(metadata!G82,"Plant secretion"),EXACT(metadata!G82,"Plant rhizosphere"),EXACT(metadata!G82,"Plant surface"),EXACT(metadata!G82,"Plant corpus"),EXACT(metadata!G82,"Fungus surface"),EXACT(metadata!G82,"Fungus corpus"),EXACT(metadata!G82,"Animal surface"),EXACT(metadata!G82,"Animal proximal gut"),EXACT(metadata!G82,"Animal corpus"),EXACT(metadata!G82,"Animal distal gut"),EXACT(metadata!G82,"Animal secretion")))</f>
        <v>0</v>
      </c>
      <c r="AJ82" t="b">
        <f>OR(AND(IF(metadata!H82="",FALSE,TRUE),OR(EXACT(metadata!H82,"missing: not collected"),EXACT(metadata!H82,"missing: not provided"),EXACT(metadata!H82,"missing: restricted access"))),AND(IF(metadata!H82="",FALSE,TRUE),OR(EXACT(metadata!H82,"organism-associated habitat"),EXACT(metadata!H82,"plant-associated habitat"),EXACT(metadata!H82,"animal-associated habitat"),EXACT(metadata!H82,"insecta-associated habitat"),EXACT(metadata!H82,"mammalia-associated habitat"),EXACT(metadata!H82,"human-associated habitat"),EXACT(metadata!H82,"livestock-associated habitat"))))</f>
        <v>0</v>
      </c>
      <c r="AK82" t="b">
        <f>AND(IF(metadata!I82="",FALSE,TRUE),EXACT(metadata!I82,"host-associated"))</f>
        <v>0</v>
      </c>
      <c r="AL82" t="b">
        <f>OR(AND(IF(metadata!J82="",FALSE,TRUE),OR(EXACT(metadata!J82,"not applicable"),EXACT(metadata!J82,"missing: not collected"),EXACT(metadata!J82,"missing: not provided"),EXACT(metadata!J82,"missing: restricted access"))),AND(IF(metadata!J82="",FALSE,ISNUMBER(VALUE(metadata!J82))),metadata!J82&gt;0))</f>
        <v>0</v>
      </c>
      <c r="AM82" t="b">
        <f>AND(IF(metadata!K82="",FALSE,TRUE),EXACT(metadata!K82,"missing: not provided"))</f>
        <v>0</v>
      </c>
      <c r="AN82" t="b">
        <f>IF(metadata!L82="",FALSE,TRUE)</f>
        <v>0</v>
      </c>
      <c r="AO82" t="b">
        <f>IF(metadata!M82="",FALSE,TRUE)</f>
        <v>0</v>
      </c>
      <c r="AP82" t="b">
        <f>OR(AND(IF(metadata!N82="",FALSE,TRUE),OR(EXACT(metadata!N82,"not applicable"),EXACT(metadata!N82,"missing: not collected"),EXACT(metadata!N82,"missing: not provided"))),AND(IF(metadata!N82="",FALSE,IF(ISERROR(INT(metadata!N82)),FALSE,INT(metadata!N82)=metadata!N82)),metadata!N82&gt;0))</f>
        <v>0</v>
      </c>
      <c r="AQ82" t="b">
        <f>AND(IF(metadata!O82="",FALSE,TRUE),EXACT(metadata!O82,"Not applicable"))</f>
        <v>0</v>
      </c>
      <c r="AR82" t="b">
        <f>OR(AND(IF(metadata!P82="",FALSE,TRUE),OR(EXACT(metadata!P82,"not applicable"),EXACT(metadata!P82,"missing: not collected"),EXACT(metadata!P82,"missing: not provided"),EXACT(metadata!P82,"missing: restricted access"))),IF(metadata!P82="",FALSE,IF(ISERROR(INT(metadata!P82)),FALSE,INT(metadata!P82)=metadata!P82)))</f>
        <v>0</v>
      </c>
      <c r="AS82" t="b">
        <f>AND(IF(metadata!Q82="",FALSE,TRUE),EXACT(metadata!Q82,"Not applicable"))</f>
        <v>0</v>
      </c>
      <c r="AT82" t="b">
        <f>OR(AND(IF(metadata!R82="",FALSE,TRUE),OR(EXACT(metadata!R82,"not applicable"),EXACT(metadata!R82,"missing: not collected"),EXACT(metadata!R82,"missing: not provided"),EXACT(metadata!R82,"missing: restricted access"))),AND(IF(metadata!R82="",FALSE,ISNUMBER(VALUE(metadata!R82))),metadata!R82&gt;0))</f>
        <v>0</v>
      </c>
      <c r="AU82" t="b">
        <f>AND(IF(metadata!S82="",FALSE,TRUE),EXACT(metadata!S82,"missing: not provided"))</f>
        <v>0</v>
      </c>
    </row>
    <row r="83" spans="1:47" x14ac:dyDescent="0.2">
      <c r="A83" s="5" t="str">
        <f ca="1">IF(B83=" "," ",HYPERLINK(CONCATENATE("#metadata!",ADDRESS(INDEX($Y$2:$Y$1001,MATCH(ROWS($W$2:W83),$W$2:$W$1001,0),0),1)),INDEX($AB$2:$AB$1001,MATCH(ROWS($W$2:W83),$W$2:$W$1001,0),0)))</f>
        <v xml:space="preserve"> </v>
      </c>
      <c r="B83" s="4" t="str">
        <f ca="1">IF(OR(INDEX($X$2:$X$1001,MATCH(ROWS($W$2:W83),$W$2:$W$1001,0),1)&gt;=100000,INDEX($AD$1005:$AU$1005,1,MATCH(COLUMNS($AD$1006:AD1006),$AD$1006:$AU$1006,0))&gt;=100000), " ",IF(INDEX($AD$2:$AU$1001,MATCH(ROWS($W$2:W83),$W$2:$W$1001,0),MATCH(COLUMNS($AD$1006:AD1006),$AD$1006:$AU$1006,0)), HYPERLINK("#",""), HYPERLINK(CONCATENATE("#metadata!", ADDRESS(INDEX($Y$2:$Y$1001,MATCH(ROWS($W$2:W83),$W$2:$W$1001,0),0), INDEX($AD$1004:$AU$1004,1,MATCH(COLUMNS($AD$1006:AD1006),$AD$1006:$AU$1006,0)))),"Fix")))</f>
        <v xml:space="preserve"> </v>
      </c>
      <c r="C83" s="4" t="str">
        <f ca="1">IF(OR(INDEX($X$2:$X$1001,MATCH(ROWS($W$2:W83),$W$2:$W$1001,0),1)&gt;=100000,INDEX($AD$1005:$AU$1005,1,MATCH(COLUMNS($AD$1006:AE1006),$AD$1006:$AU$1006,0))&gt;=100000), " ",IF(INDEX($AD$2:$AU$1001,MATCH(ROWS($W$2:W83),$W$2:$W$1001,0),MATCH(COLUMNS($AD$1006:AE1006),$AD$1006:$AU$1006,0)), HYPERLINK("#",""), HYPERLINK(CONCATENATE("#metadata!", ADDRESS(INDEX($Y$2:$Y$1001,MATCH(ROWS($W$2:W83),$W$2:$W$1001,0),0), INDEX($AD$1004:$AU$1004,1,MATCH(COLUMNS($AD$1006:AE1006),$AD$1006:$AU$1006,0)))),"Fix")))</f>
        <v xml:space="preserve"> </v>
      </c>
      <c r="D83" s="4" t="str">
        <f ca="1">IF(OR(INDEX($X$2:$X$1001,MATCH(ROWS($W$2:W83),$W$2:$W$1001,0),1)&gt;=100000,INDEX($AD$1005:$AU$1005,1,MATCH(COLUMNS($AD$1006:AF1006),$AD$1006:$AU$1006,0))&gt;=100000), " ",IF(INDEX($AD$2:$AU$1001,MATCH(ROWS($W$2:W83),$W$2:$W$1001,0),MATCH(COLUMNS($AD$1006:AF1006),$AD$1006:$AU$1006,0)), HYPERLINK("#",""), HYPERLINK(CONCATENATE("#metadata!", ADDRESS(INDEX($Y$2:$Y$1001,MATCH(ROWS($W$2:W83),$W$2:$W$1001,0),0), INDEX($AD$1004:$AU$1004,1,MATCH(COLUMNS($AD$1006:AF1006),$AD$1006:$AU$1006,0)))),"Fix")))</f>
        <v xml:space="preserve"> </v>
      </c>
      <c r="E83" s="4" t="str">
        <f ca="1">IF(OR(INDEX($X$2:$X$1001,MATCH(ROWS($W$2:W83),$W$2:$W$1001,0),1)&gt;=100000,INDEX($AD$1005:$AU$1005,1,MATCH(COLUMNS($AD$1006:AG1006),$AD$1006:$AU$1006,0))&gt;=100000), " ",IF(INDEX($AD$2:$AU$1001,MATCH(ROWS($W$2:W83),$W$2:$W$1001,0),MATCH(COLUMNS($AD$1006:AG1006),$AD$1006:$AU$1006,0)), HYPERLINK("#",""), HYPERLINK(CONCATENATE("#metadata!", ADDRESS(INDEX($Y$2:$Y$1001,MATCH(ROWS($W$2:W83),$W$2:$W$1001,0),0), INDEX($AD$1004:$AU$1004,1,MATCH(COLUMNS($AD$1006:AG1006),$AD$1006:$AU$1006,0)))),"Fix")))</f>
        <v xml:space="preserve"> </v>
      </c>
      <c r="F83" s="4" t="str">
        <f ca="1">IF(OR(INDEX($X$2:$X$1001,MATCH(ROWS($W$2:W83),$W$2:$W$1001,0),1)&gt;=100000,INDEX($AD$1005:$AU$1005,1,MATCH(COLUMNS($AD$1006:AH1006),$AD$1006:$AU$1006,0))&gt;=100000), " ",IF(INDEX($AD$2:$AU$1001,MATCH(ROWS($W$2:W83),$W$2:$W$1001,0),MATCH(COLUMNS($AD$1006:AH1006),$AD$1006:$AU$1006,0)), HYPERLINK("#",""), HYPERLINK(CONCATENATE("#metadata!", ADDRESS(INDEX($Y$2:$Y$1001,MATCH(ROWS($W$2:W83),$W$2:$W$1001,0),0), INDEX($AD$1004:$AU$1004,1,MATCH(COLUMNS($AD$1006:AH1006),$AD$1006:$AU$1006,0)))),"Fix")))</f>
        <v xml:space="preserve"> </v>
      </c>
      <c r="G83" s="4" t="str">
        <f ca="1">IF(OR(INDEX($X$2:$X$1001,MATCH(ROWS($W$2:W83),$W$2:$W$1001,0),1)&gt;=100000,INDEX($AD$1005:$AU$1005,1,MATCH(COLUMNS($AD$1006:AI1006),$AD$1006:$AU$1006,0))&gt;=100000), " ",IF(INDEX($AD$2:$AU$1001,MATCH(ROWS($W$2:W83),$W$2:$W$1001,0),MATCH(COLUMNS($AD$1006:AI1006),$AD$1006:$AU$1006,0)), HYPERLINK("#",""), HYPERLINK(CONCATENATE("#metadata!", ADDRESS(INDEX($Y$2:$Y$1001,MATCH(ROWS($W$2:W83),$W$2:$W$1001,0),0), INDEX($AD$1004:$AU$1004,1,MATCH(COLUMNS($AD$1006:AI1006),$AD$1006:$AU$1006,0)))),"Fix")))</f>
        <v xml:space="preserve"> </v>
      </c>
      <c r="H83" s="4" t="str">
        <f ca="1">IF(OR(INDEX($X$2:$X$1001,MATCH(ROWS($W$2:W83),$W$2:$W$1001,0),1)&gt;=100000,INDEX($AD$1005:$AU$1005,1,MATCH(COLUMNS($AD$1006:AJ1006),$AD$1006:$AU$1006,0))&gt;=100000), " ",IF(INDEX($AD$2:$AU$1001,MATCH(ROWS($W$2:W83),$W$2:$W$1001,0),MATCH(COLUMNS($AD$1006:AJ1006),$AD$1006:$AU$1006,0)), HYPERLINK("#",""), HYPERLINK(CONCATENATE("#metadata!", ADDRESS(INDEX($Y$2:$Y$1001,MATCH(ROWS($W$2:W83),$W$2:$W$1001,0),0), INDEX($AD$1004:$AU$1004,1,MATCH(COLUMNS($AD$1006:AJ1006),$AD$1006:$AU$1006,0)))),"Fix")))</f>
        <v xml:space="preserve"> </v>
      </c>
      <c r="I83" s="4" t="str">
        <f ca="1">IF(OR(INDEX($X$2:$X$1001,MATCH(ROWS($W$2:W83),$W$2:$W$1001,0),1)&gt;=100000,INDEX($AD$1005:$AU$1005,1,MATCH(COLUMNS($AD$1006:AK1006),$AD$1006:$AU$1006,0))&gt;=100000), " ",IF(INDEX($AD$2:$AU$1001,MATCH(ROWS($W$2:W83),$W$2:$W$1001,0),MATCH(COLUMNS($AD$1006:AK1006),$AD$1006:$AU$1006,0)), HYPERLINK("#",""), HYPERLINK(CONCATENATE("#metadata!", ADDRESS(INDEX($Y$2:$Y$1001,MATCH(ROWS($W$2:W83),$W$2:$W$1001,0),0), INDEX($AD$1004:$AU$1004,1,MATCH(COLUMNS($AD$1006:AK1006),$AD$1006:$AU$1006,0)))),"Fix")))</f>
        <v xml:space="preserve"> </v>
      </c>
      <c r="J83" s="4" t="str">
        <f ca="1">IF(OR(INDEX($X$2:$X$1001,MATCH(ROWS($W$2:W83),$W$2:$W$1001,0),1)&gt;=100000,INDEX($AD$1005:$AU$1005,1,MATCH(COLUMNS($AD$1006:AL1006),$AD$1006:$AU$1006,0))&gt;=100000), " ",IF(INDEX($AD$2:$AU$1001,MATCH(ROWS($W$2:W83),$W$2:$W$1001,0),MATCH(COLUMNS($AD$1006:AL1006),$AD$1006:$AU$1006,0)), HYPERLINK("#",""), HYPERLINK(CONCATENATE("#metadata!", ADDRESS(INDEX($Y$2:$Y$1001,MATCH(ROWS($W$2:W83),$W$2:$W$1001,0),0), INDEX($AD$1004:$AU$1004,1,MATCH(COLUMNS($AD$1006:AL1006),$AD$1006:$AU$1006,0)))),"Fix")))</f>
        <v xml:space="preserve"> </v>
      </c>
      <c r="K83" s="4" t="str">
        <f ca="1">IF(OR(INDEX($X$2:$X$1001,MATCH(ROWS($W$2:W83),$W$2:$W$1001,0),1)&gt;=100000,INDEX($AD$1005:$AU$1005,1,MATCH(COLUMNS($AD$1006:AM1006),$AD$1006:$AU$1006,0))&gt;=100000), " ",IF(INDEX($AD$2:$AU$1001,MATCH(ROWS($W$2:W83),$W$2:$W$1001,0),MATCH(COLUMNS($AD$1006:AM1006),$AD$1006:$AU$1006,0)), HYPERLINK("#",""), HYPERLINK(CONCATENATE("#metadata!", ADDRESS(INDEX($Y$2:$Y$1001,MATCH(ROWS($W$2:W83),$W$2:$W$1001,0),0), INDEX($AD$1004:$AU$1004,1,MATCH(COLUMNS($AD$1006:AM1006),$AD$1006:$AU$1006,0)))),"Fix")))</f>
        <v xml:space="preserve"> </v>
      </c>
      <c r="L83" s="4" t="str">
        <f ca="1">IF(OR(INDEX($X$2:$X$1001,MATCH(ROWS($W$2:W83),$W$2:$W$1001,0),1)&gt;=100000,INDEX($AD$1005:$AU$1005,1,MATCH(COLUMNS($AD$1006:AN1006),$AD$1006:$AU$1006,0))&gt;=100000), " ",IF(INDEX($AD$2:$AU$1001,MATCH(ROWS($W$2:W83),$W$2:$W$1001,0),MATCH(COLUMNS($AD$1006:AN1006),$AD$1006:$AU$1006,0)), HYPERLINK("#",""), HYPERLINK(CONCATENATE("#metadata!", ADDRESS(INDEX($Y$2:$Y$1001,MATCH(ROWS($W$2:W83),$W$2:$W$1001,0),0), INDEX($AD$1004:$AU$1004,1,MATCH(COLUMNS($AD$1006:AN1006),$AD$1006:$AU$1006,0)))),"Fix")))</f>
        <v xml:space="preserve"> </v>
      </c>
      <c r="M83" s="4" t="str">
        <f ca="1">IF(OR(INDEX($X$2:$X$1001,MATCH(ROWS($W$2:W83),$W$2:$W$1001,0),1)&gt;=100000,INDEX($AD$1005:$AU$1005,1,MATCH(COLUMNS($AD$1006:AO1006),$AD$1006:$AU$1006,0))&gt;=100000), " ",IF(INDEX($AD$2:$AU$1001,MATCH(ROWS($W$2:W83),$W$2:$W$1001,0),MATCH(COLUMNS($AD$1006:AO1006),$AD$1006:$AU$1006,0)), HYPERLINK("#",""), HYPERLINK(CONCATENATE("#metadata!", ADDRESS(INDEX($Y$2:$Y$1001,MATCH(ROWS($W$2:W83),$W$2:$W$1001,0),0), INDEX($AD$1004:$AU$1004,1,MATCH(COLUMNS($AD$1006:AO1006),$AD$1006:$AU$1006,0)))),"Fix")))</f>
        <v xml:space="preserve"> </v>
      </c>
      <c r="N83" s="4" t="str">
        <f ca="1">IF(OR(INDEX($X$2:$X$1001,MATCH(ROWS($W$2:W83),$W$2:$W$1001,0),1)&gt;=100000,INDEX($AD$1005:$AU$1005,1,MATCH(COLUMNS($AD$1006:AP1006),$AD$1006:$AU$1006,0))&gt;=100000), " ",IF(INDEX($AD$2:$AU$1001,MATCH(ROWS($W$2:W83),$W$2:$W$1001,0),MATCH(COLUMNS($AD$1006:AP1006),$AD$1006:$AU$1006,0)), HYPERLINK("#",""), HYPERLINK(CONCATENATE("#metadata!", ADDRESS(INDEX($Y$2:$Y$1001,MATCH(ROWS($W$2:W83),$W$2:$W$1001,0),0), INDEX($AD$1004:$AU$1004,1,MATCH(COLUMNS($AD$1006:AP1006),$AD$1006:$AU$1006,0)))),"Fix")))</f>
        <v xml:space="preserve"> </v>
      </c>
      <c r="O83" s="4" t="str">
        <f ca="1">IF(OR(INDEX($X$2:$X$1001,MATCH(ROWS($W$2:W83),$W$2:$W$1001,0),1)&gt;=100000,INDEX($AD$1005:$AU$1005,1,MATCH(COLUMNS($AD$1006:AQ1006),$AD$1006:$AU$1006,0))&gt;=100000), " ",IF(INDEX($AD$2:$AU$1001,MATCH(ROWS($W$2:W83),$W$2:$W$1001,0),MATCH(COLUMNS($AD$1006:AQ1006),$AD$1006:$AU$1006,0)), HYPERLINK("#",""), HYPERLINK(CONCATENATE("#metadata!", ADDRESS(INDEX($Y$2:$Y$1001,MATCH(ROWS($W$2:W83),$W$2:$W$1001,0),0), INDEX($AD$1004:$AU$1004,1,MATCH(COLUMNS($AD$1006:AQ1006),$AD$1006:$AU$1006,0)))),"Fix")))</f>
        <v xml:space="preserve"> </v>
      </c>
      <c r="P83" s="4" t="str">
        <f ca="1">IF(OR(INDEX($X$2:$X$1001,MATCH(ROWS($W$2:W83),$W$2:$W$1001,0),1)&gt;=100000,INDEX($AD$1005:$AU$1005,1,MATCH(COLUMNS($AD$1006:AR1006),$AD$1006:$AU$1006,0))&gt;=100000), " ",IF(INDEX($AD$2:$AU$1001,MATCH(ROWS($W$2:W83),$W$2:$W$1001,0),MATCH(COLUMNS($AD$1006:AR1006),$AD$1006:$AU$1006,0)), HYPERLINK("#",""), HYPERLINK(CONCATENATE("#metadata!", ADDRESS(INDEX($Y$2:$Y$1001,MATCH(ROWS($W$2:W83),$W$2:$W$1001,0),0), INDEX($AD$1004:$AU$1004,1,MATCH(COLUMNS($AD$1006:AR1006),$AD$1006:$AU$1006,0)))),"Fix")))</f>
        <v xml:space="preserve"> </v>
      </c>
      <c r="Q83" s="4" t="str">
        <f ca="1">IF(OR(INDEX($X$2:$X$1001,MATCH(ROWS($W$2:W83),$W$2:$W$1001,0),1)&gt;=100000,INDEX($AD$1005:$AU$1005,1,MATCH(COLUMNS($AD$1006:AS1006),$AD$1006:$AU$1006,0))&gt;=100000), " ",IF(INDEX($AD$2:$AU$1001,MATCH(ROWS($W$2:W83),$W$2:$W$1001,0),MATCH(COLUMNS($AD$1006:AS1006),$AD$1006:$AU$1006,0)), HYPERLINK("#",""), HYPERLINK(CONCATENATE("#metadata!", ADDRESS(INDEX($Y$2:$Y$1001,MATCH(ROWS($W$2:W83),$W$2:$W$1001,0),0), INDEX($AD$1004:$AU$1004,1,MATCH(COLUMNS($AD$1006:AS1006),$AD$1006:$AU$1006,0)))),"Fix")))</f>
        <v xml:space="preserve"> </v>
      </c>
      <c r="R83" s="4" t="str">
        <f ca="1">IF(OR(INDEX($X$2:$X$1001,MATCH(ROWS($W$2:W83),$W$2:$W$1001,0),1)&gt;=100000,INDEX($AD$1005:$AU$1005,1,MATCH(COLUMNS($AD$1006:AT1006),$AD$1006:$AU$1006,0))&gt;=100000), " ",IF(INDEX($AD$2:$AU$1001,MATCH(ROWS($W$2:W83),$W$2:$W$1001,0),MATCH(COLUMNS($AD$1006:AT1006),$AD$1006:$AU$1006,0)), HYPERLINK("#",""), HYPERLINK(CONCATENATE("#metadata!", ADDRESS(INDEX($Y$2:$Y$1001,MATCH(ROWS($W$2:W83),$W$2:$W$1001,0),0), INDEX($AD$1004:$AU$1004,1,MATCH(COLUMNS($AD$1006:AT1006),$AD$1006:$AU$1006,0)))),"Fix")))</f>
        <v xml:space="preserve"> </v>
      </c>
      <c r="S83" s="4" t="str">
        <f ca="1">IF(OR(INDEX($X$2:$X$1001,MATCH(ROWS($W$2:W83),$W$2:$W$1001,0),1)&gt;=100000,INDEX($AD$1005:$AU$1005,1,MATCH(COLUMNS($AD$1006:AU1006),$AD$1006:$AU$1006,0))&gt;=100000), " ",IF(INDEX($AD$2:$AU$1001,MATCH(ROWS($W$2:W83),$W$2:$W$1001,0),MATCH(COLUMNS($AD$1006:AU1006),$AD$1006:$AU$1006,0)), HYPERLINK("#",""), HYPERLINK(CONCATENATE("#metadata!", ADDRESS(INDEX($Y$2:$Y$1001,MATCH(ROWS($W$2:W83),$W$2:$W$1001,0),0), INDEX($AD$1004:$AU$1004,1,MATCH(COLUMNS($AD$1006:AU1006),$AD$1006:$AU$1006,0)))),"Fix")))</f>
        <v xml:space="preserve"> </v>
      </c>
      <c r="W83">
        <v>82</v>
      </c>
      <c r="X83">
        <v>100083</v>
      </c>
      <c r="Y83">
        <v>83</v>
      </c>
      <c r="Z83" t="b">
        <f t="shared" si="1"/>
        <v>1</v>
      </c>
      <c r="AA83" t="b">
        <f>COUNTBLANK(metadata!B83:S83)=COLUMNS(metadata!B83:S83)</f>
        <v>1</v>
      </c>
      <c r="AB83" t="str">
        <v/>
      </c>
      <c r="AD83" t="b">
        <f ca="1">AND(IF(metadata!B83="",FALSE,TRUE),COUNTIF(metadata!B:B, metadata!B83) = 1,NOT(ISERROR(SUMPRODUCT(SEARCH(MID(metadata!B83,ROW(INDIRECT("1:"&amp;LEN(metadata!B83))), 1),"0123456789abcdefghijklmnopqrstuvwxyzABCDEFGHIJKLMNOPQRSTUVWXYZ.")))))</f>
        <v>0</v>
      </c>
      <c r="AE83" t="b">
        <f>OR(AND(IF(metadata!C83="",FALSE,TRUE),OR(EXACT(metadata!C83,"not applicable"),EXACT(metadata!C83,"missing: not collected"),EXACT(metadata!C83,"missing: not provided"),EXACT(metadata!C83,"missing: restricted access"))),AND(IF(metadata!C83="",FALSE,ISNUMBER(VALUE(metadata!C83))),metadata!C83&gt;0))</f>
        <v>0</v>
      </c>
      <c r="AF83" t="b">
        <f>AND(IF(metadata!D83="",FALSE,TRUE),EXACT(metadata!D83,"missing: not provided"))</f>
        <v>0</v>
      </c>
      <c r="AG83" t="b">
        <f>AND(IF(metadata!E83="",FALSE,TRUE),EXACT(metadata!E83,"Host-associated"))</f>
        <v>0</v>
      </c>
      <c r="AH83" t="b">
        <f>AND(IF(metadata!F83="",FALSE,TRUE),OR(EXACT(metadata!F83,"Animal"),EXACT(metadata!F83,"Fungus"),EXACT(metadata!F83,"Plant")))</f>
        <v>0</v>
      </c>
      <c r="AI83" t="b">
        <f>AND(IF(metadata!G83="",FALSE,TRUE),OR(EXACT(metadata!G83,"Plant secretion"),EXACT(metadata!G83,"Plant rhizosphere"),EXACT(metadata!G83,"Plant surface"),EXACT(metadata!G83,"Plant corpus"),EXACT(metadata!G83,"Fungus surface"),EXACT(metadata!G83,"Fungus corpus"),EXACT(metadata!G83,"Animal surface"),EXACT(metadata!G83,"Animal proximal gut"),EXACT(metadata!G83,"Animal corpus"),EXACT(metadata!G83,"Animal distal gut"),EXACT(metadata!G83,"Animal secretion")))</f>
        <v>0</v>
      </c>
      <c r="AJ83" t="b">
        <f>OR(AND(IF(metadata!H83="",FALSE,TRUE),OR(EXACT(metadata!H83,"missing: not collected"),EXACT(metadata!H83,"missing: not provided"),EXACT(metadata!H83,"missing: restricted access"))),AND(IF(metadata!H83="",FALSE,TRUE),OR(EXACT(metadata!H83,"organism-associated habitat"),EXACT(metadata!H83,"plant-associated habitat"),EXACT(metadata!H83,"animal-associated habitat"),EXACT(metadata!H83,"insecta-associated habitat"),EXACT(metadata!H83,"mammalia-associated habitat"),EXACT(metadata!H83,"human-associated habitat"),EXACT(metadata!H83,"livestock-associated habitat"))))</f>
        <v>0</v>
      </c>
      <c r="AK83" t="b">
        <f>AND(IF(metadata!I83="",FALSE,TRUE),EXACT(metadata!I83,"host-associated"))</f>
        <v>0</v>
      </c>
      <c r="AL83" t="b">
        <f>OR(AND(IF(metadata!J83="",FALSE,TRUE),OR(EXACT(metadata!J83,"not applicable"),EXACT(metadata!J83,"missing: not collected"),EXACT(metadata!J83,"missing: not provided"),EXACT(metadata!J83,"missing: restricted access"))),AND(IF(metadata!J83="",FALSE,ISNUMBER(VALUE(metadata!J83))),metadata!J83&gt;0))</f>
        <v>0</v>
      </c>
      <c r="AM83" t="b">
        <f>AND(IF(metadata!K83="",FALSE,TRUE),EXACT(metadata!K83,"missing: not provided"))</f>
        <v>0</v>
      </c>
      <c r="AN83" t="b">
        <f>IF(metadata!L83="",FALSE,TRUE)</f>
        <v>0</v>
      </c>
      <c r="AO83" t="b">
        <f>IF(metadata!M83="",FALSE,TRUE)</f>
        <v>0</v>
      </c>
      <c r="AP83" t="b">
        <f>OR(AND(IF(metadata!N83="",FALSE,TRUE),OR(EXACT(metadata!N83,"not applicable"),EXACT(metadata!N83,"missing: not collected"),EXACT(metadata!N83,"missing: not provided"))),AND(IF(metadata!N83="",FALSE,IF(ISERROR(INT(metadata!N83)),FALSE,INT(metadata!N83)=metadata!N83)),metadata!N83&gt;0))</f>
        <v>0</v>
      </c>
      <c r="AQ83" t="b">
        <f>AND(IF(metadata!O83="",FALSE,TRUE),EXACT(metadata!O83,"Not applicable"))</f>
        <v>0</v>
      </c>
      <c r="AR83" t="b">
        <f>OR(AND(IF(metadata!P83="",FALSE,TRUE),OR(EXACT(metadata!P83,"not applicable"),EXACT(metadata!P83,"missing: not collected"),EXACT(metadata!P83,"missing: not provided"),EXACT(metadata!P83,"missing: restricted access"))),IF(metadata!P83="",FALSE,IF(ISERROR(INT(metadata!P83)),FALSE,INT(metadata!P83)=metadata!P83)))</f>
        <v>0</v>
      </c>
      <c r="AS83" t="b">
        <f>AND(IF(metadata!Q83="",FALSE,TRUE),EXACT(metadata!Q83,"Not applicable"))</f>
        <v>0</v>
      </c>
      <c r="AT83" t="b">
        <f>OR(AND(IF(metadata!R83="",FALSE,TRUE),OR(EXACT(metadata!R83,"not applicable"),EXACT(metadata!R83,"missing: not collected"),EXACT(metadata!R83,"missing: not provided"),EXACT(metadata!R83,"missing: restricted access"))),AND(IF(metadata!R83="",FALSE,ISNUMBER(VALUE(metadata!R83))),metadata!R83&gt;0))</f>
        <v>0</v>
      </c>
      <c r="AU83" t="b">
        <f>AND(IF(metadata!S83="",FALSE,TRUE),EXACT(metadata!S83,"missing: not provided"))</f>
        <v>0</v>
      </c>
    </row>
    <row r="84" spans="1:47" x14ac:dyDescent="0.2">
      <c r="A84" s="5" t="str">
        <f ca="1">IF(B84=" "," ",HYPERLINK(CONCATENATE("#metadata!",ADDRESS(INDEX($Y$2:$Y$1001,MATCH(ROWS($W$2:W84),$W$2:$W$1001,0),0),1)),INDEX($AB$2:$AB$1001,MATCH(ROWS($W$2:W84),$W$2:$W$1001,0),0)))</f>
        <v xml:space="preserve"> </v>
      </c>
      <c r="B84" s="4" t="str">
        <f ca="1">IF(OR(INDEX($X$2:$X$1001,MATCH(ROWS($W$2:W84),$W$2:$W$1001,0),1)&gt;=100000,INDEX($AD$1005:$AU$1005,1,MATCH(COLUMNS($AD$1006:AD1006),$AD$1006:$AU$1006,0))&gt;=100000), " ",IF(INDEX($AD$2:$AU$1001,MATCH(ROWS($W$2:W84),$W$2:$W$1001,0),MATCH(COLUMNS($AD$1006:AD1006),$AD$1006:$AU$1006,0)), HYPERLINK("#",""), HYPERLINK(CONCATENATE("#metadata!", ADDRESS(INDEX($Y$2:$Y$1001,MATCH(ROWS($W$2:W84),$W$2:$W$1001,0),0), INDEX($AD$1004:$AU$1004,1,MATCH(COLUMNS($AD$1006:AD1006),$AD$1006:$AU$1006,0)))),"Fix")))</f>
        <v xml:space="preserve"> </v>
      </c>
      <c r="C84" s="4" t="str">
        <f ca="1">IF(OR(INDEX($X$2:$X$1001,MATCH(ROWS($W$2:W84),$W$2:$W$1001,0),1)&gt;=100000,INDEX($AD$1005:$AU$1005,1,MATCH(COLUMNS($AD$1006:AE1006),$AD$1006:$AU$1006,0))&gt;=100000), " ",IF(INDEX($AD$2:$AU$1001,MATCH(ROWS($W$2:W84),$W$2:$W$1001,0),MATCH(COLUMNS($AD$1006:AE1006),$AD$1006:$AU$1006,0)), HYPERLINK("#",""), HYPERLINK(CONCATENATE("#metadata!", ADDRESS(INDEX($Y$2:$Y$1001,MATCH(ROWS($W$2:W84),$W$2:$W$1001,0),0), INDEX($AD$1004:$AU$1004,1,MATCH(COLUMNS($AD$1006:AE1006),$AD$1006:$AU$1006,0)))),"Fix")))</f>
        <v xml:space="preserve"> </v>
      </c>
      <c r="D84" s="4" t="str">
        <f ca="1">IF(OR(INDEX($X$2:$X$1001,MATCH(ROWS($W$2:W84),$W$2:$W$1001,0),1)&gt;=100000,INDEX($AD$1005:$AU$1005,1,MATCH(COLUMNS($AD$1006:AF1006),$AD$1006:$AU$1006,0))&gt;=100000), " ",IF(INDEX($AD$2:$AU$1001,MATCH(ROWS($W$2:W84),$W$2:$W$1001,0),MATCH(COLUMNS($AD$1006:AF1006),$AD$1006:$AU$1006,0)), HYPERLINK("#",""), HYPERLINK(CONCATENATE("#metadata!", ADDRESS(INDEX($Y$2:$Y$1001,MATCH(ROWS($W$2:W84),$W$2:$W$1001,0),0), INDEX($AD$1004:$AU$1004,1,MATCH(COLUMNS($AD$1006:AF1006),$AD$1006:$AU$1006,0)))),"Fix")))</f>
        <v xml:space="preserve"> </v>
      </c>
      <c r="E84" s="4" t="str">
        <f ca="1">IF(OR(INDEX($X$2:$X$1001,MATCH(ROWS($W$2:W84),$W$2:$W$1001,0),1)&gt;=100000,INDEX($AD$1005:$AU$1005,1,MATCH(COLUMNS($AD$1006:AG1006),$AD$1006:$AU$1006,0))&gt;=100000), " ",IF(INDEX($AD$2:$AU$1001,MATCH(ROWS($W$2:W84),$W$2:$W$1001,0),MATCH(COLUMNS($AD$1006:AG1006),$AD$1006:$AU$1006,0)), HYPERLINK("#",""), HYPERLINK(CONCATENATE("#metadata!", ADDRESS(INDEX($Y$2:$Y$1001,MATCH(ROWS($W$2:W84),$W$2:$W$1001,0),0), INDEX($AD$1004:$AU$1004,1,MATCH(COLUMNS($AD$1006:AG1006),$AD$1006:$AU$1006,0)))),"Fix")))</f>
        <v xml:space="preserve"> </v>
      </c>
      <c r="F84" s="4" t="str">
        <f ca="1">IF(OR(INDEX($X$2:$X$1001,MATCH(ROWS($W$2:W84),$W$2:$W$1001,0),1)&gt;=100000,INDEX($AD$1005:$AU$1005,1,MATCH(COLUMNS($AD$1006:AH1006),$AD$1006:$AU$1006,0))&gt;=100000), " ",IF(INDEX($AD$2:$AU$1001,MATCH(ROWS($W$2:W84),$W$2:$W$1001,0),MATCH(COLUMNS($AD$1006:AH1006),$AD$1006:$AU$1006,0)), HYPERLINK("#",""), HYPERLINK(CONCATENATE("#metadata!", ADDRESS(INDEX($Y$2:$Y$1001,MATCH(ROWS($W$2:W84),$W$2:$W$1001,0),0), INDEX($AD$1004:$AU$1004,1,MATCH(COLUMNS($AD$1006:AH1006),$AD$1006:$AU$1006,0)))),"Fix")))</f>
        <v xml:space="preserve"> </v>
      </c>
      <c r="G84" s="4" t="str">
        <f ca="1">IF(OR(INDEX($X$2:$X$1001,MATCH(ROWS($W$2:W84),$W$2:$W$1001,0),1)&gt;=100000,INDEX($AD$1005:$AU$1005,1,MATCH(COLUMNS($AD$1006:AI1006),$AD$1006:$AU$1006,0))&gt;=100000), " ",IF(INDEX($AD$2:$AU$1001,MATCH(ROWS($W$2:W84),$W$2:$W$1001,0),MATCH(COLUMNS($AD$1006:AI1006),$AD$1006:$AU$1006,0)), HYPERLINK("#",""), HYPERLINK(CONCATENATE("#metadata!", ADDRESS(INDEX($Y$2:$Y$1001,MATCH(ROWS($W$2:W84),$W$2:$W$1001,0),0), INDEX($AD$1004:$AU$1004,1,MATCH(COLUMNS($AD$1006:AI1006),$AD$1006:$AU$1006,0)))),"Fix")))</f>
        <v xml:space="preserve"> </v>
      </c>
      <c r="H84" s="4" t="str">
        <f ca="1">IF(OR(INDEX($X$2:$X$1001,MATCH(ROWS($W$2:W84),$W$2:$W$1001,0),1)&gt;=100000,INDEX($AD$1005:$AU$1005,1,MATCH(COLUMNS($AD$1006:AJ1006),$AD$1006:$AU$1006,0))&gt;=100000), " ",IF(INDEX($AD$2:$AU$1001,MATCH(ROWS($W$2:W84),$W$2:$W$1001,0),MATCH(COLUMNS($AD$1006:AJ1006),$AD$1006:$AU$1006,0)), HYPERLINK("#",""), HYPERLINK(CONCATENATE("#metadata!", ADDRESS(INDEX($Y$2:$Y$1001,MATCH(ROWS($W$2:W84),$W$2:$W$1001,0),0), INDEX($AD$1004:$AU$1004,1,MATCH(COLUMNS($AD$1006:AJ1006),$AD$1006:$AU$1006,0)))),"Fix")))</f>
        <v xml:space="preserve"> </v>
      </c>
      <c r="I84" s="4" t="str">
        <f ca="1">IF(OR(INDEX($X$2:$X$1001,MATCH(ROWS($W$2:W84),$W$2:$W$1001,0),1)&gt;=100000,INDEX($AD$1005:$AU$1005,1,MATCH(COLUMNS($AD$1006:AK1006),$AD$1006:$AU$1006,0))&gt;=100000), " ",IF(INDEX($AD$2:$AU$1001,MATCH(ROWS($W$2:W84),$W$2:$W$1001,0),MATCH(COLUMNS($AD$1006:AK1006),$AD$1006:$AU$1006,0)), HYPERLINK("#",""), HYPERLINK(CONCATENATE("#metadata!", ADDRESS(INDEX($Y$2:$Y$1001,MATCH(ROWS($W$2:W84),$W$2:$W$1001,0),0), INDEX($AD$1004:$AU$1004,1,MATCH(COLUMNS($AD$1006:AK1006),$AD$1006:$AU$1006,0)))),"Fix")))</f>
        <v xml:space="preserve"> </v>
      </c>
      <c r="J84" s="4" t="str">
        <f ca="1">IF(OR(INDEX($X$2:$X$1001,MATCH(ROWS($W$2:W84),$W$2:$W$1001,0),1)&gt;=100000,INDEX($AD$1005:$AU$1005,1,MATCH(COLUMNS($AD$1006:AL1006),$AD$1006:$AU$1006,0))&gt;=100000), " ",IF(INDEX($AD$2:$AU$1001,MATCH(ROWS($W$2:W84),$W$2:$W$1001,0),MATCH(COLUMNS($AD$1006:AL1006),$AD$1006:$AU$1006,0)), HYPERLINK("#",""), HYPERLINK(CONCATENATE("#metadata!", ADDRESS(INDEX($Y$2:$Y$1001,MATCH(ROWS($W$2:W84),$W$2:$W$1001,0),0), INDEX($AD$1004:$AU$1004,1,MATCH(COLUMNS($AD$1006:AL1006),$AD$1006:$AU$1006,0)))),"Fix")))</f>
        <v xml:space="preserve"> </v>
      </c>
      <c r="K84" s="4" t="str">
        <f ca="1">IF(OR(INDEX($X$2:$X$1001,MATCH(ROWS($W$2:W84),$W$2:$W$1001,0),1)&gt;=100000,INDEX($AD$1005:$AU$1005,1,MATCH(COLUMNS($AD$1006:AM1006),$AD$1006:$AU$1006,0))&gt;=100000), " ",IF(INDEX($AD$2:$AU$1001,MATCH(ROWS($W$2:W84),$W$2:$W$1001,0),MATCH(COLUMNS($AD$1006:AM1006),$AD$1006:$AU$1006,0)), HYPERLINK("#",""), HYPERLINK(CONCATENATE("#metadata!", ADDRESS(INDEX($Y$2:$Y$1001,MATCH(ROWS($W$2:W84),$W$2:$W$1001,0),0), INDEX($AD$1004:$AU$1004,1,MATCH(COLUMNS($AD$1006:AM1006),$AD$1006:$AU$1006,0)))),"Fix")))</f>
        <v xml:space="preserve"> </v>
      </c>
      <c r="L84" s="4" t="str">
        <f ca="1">IF(OR(INDEX($X$2:$X$1001,MATCH(ROWS($W$2:W84),$W$2:$W$1001,0),1)&gt;=100000,INDEX($AD$1005:$AU$1005,1,MATCH(COLUMNS($AD$1006:AN1006),$AD$1006:$AU$1006,0))&gt;=100000), " ",IF(INDEX($AD$2:$AU$1001,MATCH(ROWS($W$2:W84),$W$2:$W$1001,0),MATCH(COLUMNS($AD$1006:AN1006),$AD$1006:$AU$1006,0)), HYPERLINK("#",""), HYPERLINK(CONCATENATE("#metadata!", ADDRESS(INDEX($Y$2:$Y$1001,MATCH(ROWS($W$2:W84),$W$2:$W$1001,0),0), INDEX($AD$1004:$AU$1004,1,MATCH(COLUMNS($AD$1006:AN1006),$AD$1006:$AU$1006,0)))),"Fix")))</f>
        <v xml:space="preserve"> </v>
      </c>
      <c r="M84" s="4" t="str">
        <f ca="1">IF(OR(INDEX($X$2:$X$1001,MATCH(ROWS($W$2:W84),$W$2:$W$1001,0),1)&gt;=100000,INDEX($AD$1005:$AU$1005,1,MATCH(COLUMNS($AD$1006:AO1006),$AD$1006:$AU$1006,0))&gt;=100000), " ",IF(INDEX($AD$2:$AU$1001,MATCH(ROWS($W$2:W84),$W$2:$W$1001,0),MATCH(COLUMNS($AD$1006:AO1006),$AD$1006:$AU$1006,0)), HYPERLINK("#",""), HYPERLINK(CONCATENATE("#metadata!", ADDRESS(INDEX($Y$2:$Y$1001,MATCH(ROWS($W$2:W84),$W$2:$W$1001,0),0), INDEX($AD$1004:$AU$1004,1,MATCH(COLUMNS($AD$1006:AO1006),$AD$1006:$AU$1006,0)))),"Fix")))</f>
        <v xml:space="preserve"> </v>
      </c>
      <c r="N84" s="4" t="str">
        <f ca="1">IF(OR(INDEX($X$2:$X$1001,MATCH(ROWS($W$2:W84),$W$2:$W$1001,0),1)&gt;=100000,INDEX($AD$1005:$AU$1005,1,MATCH(COLUMNS($AD$1006:AP1006),$AD$1006:$AU$1006,0))&gt;=100000), " ",IF(INDEX($AD$2:$AU$1001,MATCH(ROWS($W$2:W84),$W$2:$W$1001,0),MATCH(COLUMNS($AD$1006:AP1006),$AD$1006:$AU$1006,0)), HYPERLINK("#",""), HYPERLINK(CONCATENATE("#metadata!", ADDRESS(INDEX($Y$2:$Y$1001,MATCH(ROWS($W$2:W84),$W$2:$W$1001,0),0), INDEX($AD$1004:$AU$1004,1,MATCH(COLUMNS($AD$1006:AP1006),$AD$1006:$AU$1006,0)))),"Fix")))</f>
        <v xml:space="preserve"> </v>
      </c>
      <c r="O84" s="4" t="str">
        <f ca="1">IF(OR(INDEX($X$2:$X$1001,MATCH(ROWS($W$2:W84),$W$2:$W$1001,0),1)&gt;=100000,INDEX($AD$1005:$AU$1005,1,MATCH(COLUMNS($AD$1006:AQ1006),$AD$1006:$AU$1006,0))&gt;=100000), " ",IF(INDEX($AD$2:$AU$1001,MATCH(ROWS($W$2:W84),$W$2:$W$1001,0),MATCH(COLUMNS($AD$1006:AQ1006),$AD$1006:$AU$1006,0)), HYPERLINK("#",""), HYPERLINK(CONCATENATE("#metadata!", ADDRESS(INDEX($Y$2:$Y$1001,MATCH(ROWS($W$2:W84),$W$2:$W$1001,0),0), INDEX($AD$1004:$AU$1004,1,MATCH(COLUMNS($AD$1006:AQ1006),$AD$1006:$AU$1006,0)))),"Fix")))</f>
        <v xml:space="preserve"> </v>
      </c>
      <c r="P84" s="4" t="str">
        <f ca="1">IF(OR(INDEX($X$2:$X$1001,MATCH(ROWS($W$2:W84),$W$2:$W$1001,0),1)&gt;=100000,INDEX($AD$1005:$AU$1005,1,MATCH(COLUMNS($AD$1006:AR1006),$AD$1006:$AU$1006,0))&gt;=100000), " ",IF(INDEX($AD$2:$AU$1001,MATCH(ROWS($W$2:W84),$W$2:$W$1001,0),MATCH(COLUMNS($AD$1006:AR1006),$AD$1006:$AU$1006,0)), HYPERLINK("#",""), HYPERLINK(CONCATENATE("#metadata!", ADDRESS(INDEX($Y$2:$Y$1001,MATCH(ROWS($W$2:W84),$W$2:$W$1001,0),0), INDEX($AD$1004:$AU$1004,1,MATCH(COLUMNS($AD$1006:AR1006),$AD$1006:$AU$1006,0)))),"Fix")))</f>
        <v xml:space="preserve"> </v>
      </c>
      <c r="Q84" s="4" t="str">
        <f ca="1">IF(OR(INDEX($X$2:$X$1001,MATCH(ROWS($W$2:W84),$W$2:$W$1001,0),1)&gt;=100000,INDEX($AD$1005:$AU$1005,1,MATCH(COLUMNS($AD$1006:AS1006),$AD$1006:$AU$1006,0))&gt;=100000), " ",IF(INDEX($AD$2:$AU$1001,MATCH(ROWS($W$2:W84),$W$2:$W$1001,0),MATCH(COLUMNS($AD$1006:AS1006),$AD$1006:$AU$1006,0)), HYPERLINK("#",""), HYPERLINK(CONCATENATE("#metadata!", ADDRESS(INDEX($Y$2:$Y$1001,MATCH(ROWS($W$2:W84),$W$2:$W$1001,0),0), INDEX($AD$1004:$AU$1004,1,MATCH(COLUMNS($AD$1006:AS1006),$AD$1006:$AU$1006,0)))),"Fix")))</f>
        <v xml:space="preserve"> </v>
      </c>
      <c r="R84" s="4" t="str">
        <f ca="1">IF(OR(INDEX($X$2:$X$1001,MATCH(ROWS($W$2:W84),$W$2:$W$1001,0),1)&gt;=100000,INDEX($AD$1005:$AU$1005,1,MATCH(COLUMNS($AD$1006:AT1006),$AD$1006:$AU$1006,0))&gt;=100000), " ",IF(INDEX($AD$2:$AU$1001,MATCH(ROWS($W$2:W84),$W$2:$W$1001,0),MATCH(COLUMNS($AD$1006:AT1006),$AD$1006:$AU$1006,0)), HYPERLINK("#",""), HYPERLINK(CONCATENATE("#metadata!", ADDRESS(INDEX($Y$2:$Y$1001,MATCH(ROWS($W$2:W84),$W$2:$W$1001,0),0), INDEX($AD$1004:$AU$1004,1,MATCH(COLUMNS($AD$1006:AT1006),$AD$1006:$AU$1006,0)))),"Fix")))</f>
        <v xml:space="preserve"> </v>
      </c>
      <c r="S84" s="4" t="str">
        <f ca="1">IF(OR(INDEX($X$2:$X$1001,MATCH(ROWS($W$2:W84),$W$2:$W$1001,0),1)&gt;=100000,INDEX($AD$1005:$AU$1005,1,MATCH(COLUMNS($AD$1006:AU1006),$AD$1006:$AU$1006,0))&gt;=100000), " ",IF(INDEX($AD$2:$AU$1001,MATCH(ROWS($W$2:W84),$W$2:$W$1001,0),MATCH(COLUMNS($AD$1006:AU1006),$AD$1006:$AU$1006,0)), HYPERLINK("#",""), HYPERLINK(CONCATENATE("#metadata!", ADDRESS(INDEX($Y$2:$Y$1001,MATCH(ROWS($W$2:W84),$W$2:$W$1001,0),0), INDEX($AD$1004:$AU$1004,1,MATCH(COLUMNS($AD$1006:AU1006),$AD$1006:$AU$1006,0)))),"Fix")))</f>
        <v xml:space="preserve"> </v>
      </c>
      <c r="W84">
        <v>83</v>
      </c>
      <c r="X84">
        <v>100084</v>
      </c>
      <c r="Y84">
        <v>84</v>
      </c>
      <c r="Z84" t="b">
        <f t="shared" si="1"/>
        <v>1</v>
      </c>
      <c r="AA84" t="b">
        <f>COUNTBLANK(metadata!B84:S84)=COLUMNS(metadata!B84:S84)</f>
        <v>1</v>
      </c>
      <c r="AB84" t="str">
        <v/>
      </c>
      <c r="AD84" t="b">
        <f ca="1">AND(IF(metadata!B84="",FALSE,TRUE),COUNTIF(metadata!B:B, metadata!B84) = 1,NOT(ISERROR(SUMPRODUCT(SEARCH(MID(metadata!B84,ROW(INDIRECT("1:"&amp;LEN(metadata!B84))), 1),"0123456789abcdefghijklmnopqrstuvwxyzABCDEFGHIJKLMNOPQRSTUVWXYZ.")))))</f>
        <v>0</v>
      </c>
      <c r="AE84" t="b">
        <f>OR(AND(IF(metadata!C84="",FALSE,TRUE),OR(EXACT(metadata!C84,"not applicable"),EXACT(metadata!C84,"missing: not collected"),EXACT(metadata!C84,"missing: not provided"),EXACT(metadata!C84,"missing: restricted access"))),AND(IF(metadata!C84="",FALSE,ISNUMBER(VALUE(metadata!C84))),metadata!C84&gt;0))</f>
        <v>0</v>
      </c>
      <c r="AF84" t="b">
        <f>AND(IF(metadata!D84="",FALSE,TRUE),EXACT(metadata!D84,"missing: not provided"))</f>
        <v>0</v>
      </c>
      <c r="AG84" t="b">
        <f>AND(IF(metadata!E84="",FALSE,TRUE),EXACT(metadata!E84,"Host-associated"))</f>
        <v>0</v>
      </c>
      <c r="AH84" t="b">
        <f>AND(IF(metadata!F84="",FALSE,TRUE),OR(EXACT(metadata!F84,"Animal"),EXACT(metadata!F84,"Fungus"),EXACT(metadata!F84,"Plant")))</f>
        <v>0</v>
      </c>
      <c r="AI84" t="b">
        <f>AND(IF(metadata!G84="",FALSE,TRUE),OR(EXACT(metadata!G84,"Plant secretion"),EXACT(metadata!G84,"Plant rhizosphere"),EXACT(metadata!G84,"Plant surface"),EXACT(metadata!G84,"Plant corpus"),EXACT(metadata!G84,"Fungus surface"),EXACT(metadata!G84,"Fungus corpus"),EXACT(metadata!G84,"Animal surface"),EXACT(metadata!G84,"Animal proximal gut"),EXACT(metadata!G84,"Animal corpus"),EXACT(metadata!G84,"Animal distal gut"),EXACT(metadata!G84,"Animal secretion")))</f>
        <v>0</v>
      </c>
      <c r="AJ84" t="b">
        <f>OR(AND(IF(metadata!H84="",FALSE,TRUE),OR(EXACT(metadata!H84,"missing: not collected"),EXACT(metadata!H84,"missing: not provided"),EXACT(metadata!H84,"missing: restricted access"))),AND(IF(metadata!H84="",FALSE,TRUE),OR(EXACT(metadata!H84,"organism-associated habitat"),EXACT(metadata!H84,"plant-associated habitat"),EXACT(metadata!H84,"animal-associated habitat"),EXACT(metadata!H84,"insecta-associated habitat"),EXACT(metadata!H84,"mammalia-associated habitat"),EXACT(metadata!H84,"human-associated habitat"),EXACT(metadata!H84,"livestock-associated habitat"))))</f>
        <v>0</v>
      </c>
      <c r="AK84" t="b">
        <f>AND(IF(metadata!I84="",FALSE,TRUE),EXACT(metadata!I84,"host-associated"))</f>
        <v>0</v>
      </c>
      <c r="AL84" t="b">
        <f>OR(AND(IF(metadata!J84="",FALSE,TRUE),OR(EXACT(metadata!J84,"not applicable"),EXACT(metadata!J84,"missing: not collected"),EXACT(metadata!J84,"missing: not provided"),EXACT(metadata!J84,"missing: restricted access"))),AND(IF(metadata!J84="",FALSE,ISNUMBER(VALUE(metadata!J84))),metadata!J84&gt;0))</f>
        <v>0</v>
      </c>
      <c r="AM84" t="b">
        <f>AND(IF(metadata!K84="",FALSE,TRUE),EXACT(metadata!K84,"missing: not provided"))</f>
        <v>0</v>
      </c>
      <c r="AN84" t="b">
        <f>IF(metadata!L84="",FALSE,TRUE)</f>
        <v>0</v>
      </c>
      <c r="AO84" t="b">
        <f>IF(metadata!M84="",FALSE,TRUE)</f>
        <v>0</v>
      </c>
      <c r="AP84" t="b">
        <f>OR(AND(IF(metadata!N84="",FALSE,TRUE),OR(EXACT(metadata!N84,"not applicable"),EXACT(metadata!N84,"missing: not collected"),EXACT(metadata!N84,"missing: not provided"))),AND(IF(metadata!N84="",FALSE,IF(ISERROR(INT(metadata!N84)),FALSE,INT(metadata!N84)=metadata!N84)),metadata!N84&gt;0))</f>
        <v>0</v>
      </c>
      <c r="AQ84" t="b">
        <f>AND(IF(metadata!O84="",FALSE,TRUE),EXACT(metadata!O84,"Not applicable"))</f>
        <v>0</v>
      </c>
      <c r="AR84" t="b">
        <f>OR(AND(IF(metadata!P84="",FALSE,TRUE),OR(EXACT(metadata!P84,"not applicable"),EXACT(metadata!P84,"missing: not collected"),EXACT(metadata!P84,"missing: not provided"),EXACT(metadata!P84,"missing: restricted access"))),IF(metadata!P84="",FALSE,IF(ISERROR(INT(metadata!P84)),FALSE,INT(metadata!P84)=metadata!P84)))</f>
        <v>0</v>
      </c>
      <c r="AS84" t="b">
        <f>AND(IF(metadata!Q84="",FALSE,TRUE),EXACT(metadata!Q84,"Not applicable"))</f>
        <v>0</v>
      </c>
      <c r="AT84" t="b">
        <f>OR(AND(IF(metadata!R84="",FALSE,TRUE),OR(EXACT(metadata!R84,"not applicable"),EXACT(metadata!R84,"missing: not collected"),EXACT(metadata!R84,"missing: not provided"),EXACT(metadata!R84,"missing: restricted access"))),AND(IF(metadata!R84="",FALSE,ISNUMBER(VALUE(metadata!R84))),metadata!R84&gt;0))</f>
        <v>0</v>
      </c>
      <c r="AU84" t="b">
        <f>AND(IF(metadata!S84="",FALSE,TRUE),EXACT(metadata!S84,"missing: not provided"))</f>
        <v>0</v>
      </c>
    </row>
    <row r="85" spans="1:47" x14ac:dyDescent="0.2">
      <c r="A85" s="5" t="str">
        <f ca="1">IF(B85=" "," ",HYPERLINK(CONCATENATE("#metadata!",ADDRESS(INDEX($Y$2:$Y$1001,MATCH(ROWS($W$2:W85),$W$2:$W$1001,0),0),1)),INDEX($AB$2:$AB$1001,MATCH(ROWS($W$2:W85),$W$2:$W$1001,0),0)))</f>
        <v xml:space="preserve"> </v>
      </c>
      <c r="B85" s="4" t="str">
        <f ca="1">IF(OR(INDEX($X$2:$X$1001,MATCH(ROWS($W$2:W85),$W$2:$W$1001,0),1)&gt;=100000,INDEX($AD$1005:$AU$1005,1,MATCH(COLUMNS($AD$1006:AD1006),$AD$1006:$AU$1006,0))&gt;=100000), " ",IF(INDEX($AD$2:$AU$1001,MATCH(ROWS($W$2:W85),$W$2:$W$1001,0),MATCH(COLUMNS($AD$1006:AD1006),$AD$1006:$AU$1006,0)), HYPERLINK("#",""), HYPERLINK(CONCATENATE("#metadata!", ADDRESS(INDEX($Y$2:$Y$1001,MATCH(ROWS($W$2:W85),$W$2:$W$1001,0),0), INDEX($AD$1004:$AU$1004,1,MATCH(COLUMNS($AD$1006:AD1006),$AD$1006:$AU$1006,0)))),"Fix")))</f>
        <v xml:space="preserve"> </v>
      </c>
      <c r="C85" s="4" t="str">
        <f ca="1">IF(OR(INDEX($X$2:$X$1001,MATCH(ROWS($W$2:W85),$W$2:$W$1001,0),1)&gt;=100000,INDEX($AD$1005:$AU$1005,1,MATCH(COLUMNS($AD$1006:AE1006),$AD$1006:$AU$1006,0))&gt;=100000), " ",IF(INDEX($AD$2:$AU$1001,MATCH(ROWS($W$2:W85),$W$2:$W$1001,0),MATCH(COLUMNS($AD$1006:AE1006),$AD$1006:$AU$1006,0)), HYPERLINK("#",""), HYPERLINK(CONCATENATE("#metadata!", ADDRESS(INDEX($Y$2:$Y$1001,MATCH(ROWS($W$2:W85),$W$2:$W$1001,0),0), INDEX($AD$1004:$AU$1004,1,MATCH(COLUMNS($AD$1006:AE1006),$AD$1006:$AU$1006,0)))),"Fix")))</f>
        <v xml:space="preserve"> </v>
      </c>
      <c r="D85" s="4" t="str">
        <f ca="1">IF(OR(INDEX($X$2:$X$1001,MATCH(ROWS($W$2:W85),$W$2:$W$1001,0),1)&gt;=100000,INDEX($AD$1005:$AU$1005,1,MATCH(COLUMNS($AD$1006:AF1006),$AD$1006:$AU$1006,0))&gt;=100000), " ",IF(INDEX($AD$2:$AU$1001,MATCH(ROWS($W$2:W85),$W$2:$W$1001,0),MATCH(COLUMNS($AD$1006:AF1006),$AD$1006:$AU$1006,0)), HYPERLINK("#",""), HYPERLINK(CONCATENATE("#metadata!", ADDRESS(INDEX($Y$2:$Y$1001,MATCH(ROWS($W$2:W85),$W$2:$W$1001,0),0), INDEX($AD$1004:$AU$1004,1,MATCH(COLUMNS($AD$1006:AF1006),$AD$1006:$AU$1006,0)))),"Fix")))</f>
        <v xml:space="preserve"> </v>
      </c>
      <c r="E85" s="4" t="str">
        <f ca="1">IF(OR(INDEX($X$2:$X$1001,MATCH(ROWS($W$2:W85),$W$2:$W$1001,0),1)&gt;=100000,INDEX($AD$1005:$AU$1005,1,MATCH(COLUMNS($AD$1006:AG1006),$AD$1006:$AU$1006,0))&gt;=100000), " ",IF(INDEX($AD$2:$AU$1001,MATCH(ROWS($W$2:W85),$W$2:$W$1001,0),MATCH(COLUMNS($AD$1006:AG1006),$AD$1006:$AU$1006,0)), HYPERLINK("#",""), HYPERLINK(CONCATENATE("#metadata!", ADDRESS(INDEX($Y$2:$Y$1001,MATCH(ROWS($W$2:W85),$W$2:$W$1001,0),0), INDEX($AD$1004:$AU$1004,1,MATCH(COLUMNS($AD$1006:AG1006),$AD$1006:$AU$1006,0)))),"Fix")))</f>
        <v xml:space="preserve"> </v>
      </c>
      <c r="F85" s="4" t="str">
        <f ca="1">IF(OR(INDEX($X$2:$X$1001,MATCH(ROWS($W$2:W85),$W$2:$W$1001,0),1)&gt;=100000,INDEX($AD$1005:$AU$1005,1,MATCH(COLUMNS($AD$1006:AH1006),$AD$1006:$AU$1006,0))&gt;=100000), " ",IF(INDEX($AD$2:$AU$1001,MATCH(ROWS($W$2:W85),$W$2:$W$1001,0),MATCH(COLUMNS($AD$1006:AH1006),$AD$1006:$AU$1006,0)), HYPERLINK("#",""), HYPERLINK(CONCATENATE("#metadata!", ADDRESS(INDEX($Y$2:$Y$1001,MATCH(ROWS($W$2:W85),$W$2:$W$1001,0),0), INDEX($AD$1004:$AU$1004,1,MATCH(COLUMNS($AD$1006:AH1006),$AD$1006:$AU$1006,0)))),"Fix")))</f>
        <v xml:space="preserve"> </v>
      </c>
      <c r="G85" s="4" t="str">
        <f ca="1">IF(OR(INDEX($X$2:$X$1001,MATCH(ROWS($W$2:W85),$W$2:$W$1001,0),1)&gt;=100000,INDEX($AD$1005:$AU$1005,1,MATCH(COLUMNS($AD$1006:AI1006),$AD$1006:$AU$1006,0))&gt;=100000), " ",IF(INDEX($AD$2:$AU$1001,MATCH(ROWS($W$2:W85),$W$2:$W$1001,0),MATCH(COLUMNS($AD$1006:AI1006),$AD$1006:$AU$1006,0)), HYPERLINK("#",""), HYPERLINK(CONCATENATE("#metadata!", ADDRESS(INDEX($Y$2:$Y$1001,MATCH(ROWS($W$2:W85),$W$2:$W$1001,0),0), INDEX($AD$1004:$AU$1004,1,MATCH(COLUMNS($AD$1006:AI1006),$AD$1006:$AU$1006,0)))),"Fix")))</f>
        <v xml:space="preserve"> </v>
      </c>
      <c r="H85" s="4" t="str">
        <f ca="1">IF(OR(INDEX($X$2:$X$1001,MATCH(ROWS($W$2:W85),$W$2:$W$1001,0),1)&gt;=100000,INDEX($AD$1005:$AU$1005,1,MATCH(COLUMNS($AD$1006:AJ1006),$AD$1006:$AU$1006,0))&gt;=100000), " ",IF(INDEX($AD$2:$AU$1001,MATCH(ROWS($W$2:W85),$W$2:$W$1001,0),MATCH(COLUMNS($AD$1006:AJ1006),$AD$1006:$AU$1006,0)), HYPERLINK("#",""), HYPERLINK(CONCATENATE("#metadata!", ADDRESS(INDEX($Y$2:$Y$1001,MATCH(ROWS($W$2:W85),$W$2:$W$1001,0),0), INDEX($AD$1004:$AU$1004,1,MATCH(COLUMNS($AD$1006:AJ1006),$AD$1006:$AU$1006,0)))),"Fix")))</f>
        <v xml:space="preserve"> </v>
      </c>
      <c r="I85" s="4" t="str">
        <f ca="1">IF(OR(INDEX($X$2:$X$1001,MATCH(ROWS($W$2:W85),$W$2:$W$1001,0),1)&gt;=100000,INDEX($AD$1005:$AU$1005,1,MATCH(COLUMNS($AD$1006:AK1006),$AD$1006:$AU$1006,0))&gt;=100000), " ",IF(INDEX($AD$2:$AU$1001,MATCH(ROWS($W$2:W85),$W$2:$W$1001,0),MATCH(COLUMNS($AD$1006:AK1006),$AD$1006:$AU$1006,0)), HYPERLINK("#",""), HYPERLINK(CONCATENATE("#metadata!", ADDRESS(INDEX($Y$2:$Y$1001,MATCH(ROWS($W$2:W85),$W$2:$W$1001,0),0), INDEX($AD$1004:$AU$1004,1,MATCH(COLUMNS($AD$1006:AK1006),$AD$1006:$AU$1006,0)))),"Fix")))</f>
        <v xml:space="preserve"> </v>
      </c>
      <c r="J85" s="4" t="str">
        <f ca="1">IF(OR(INDEX($X$2:$X$1001,MATCH(ROWS($W$2:W85),$W$2:$W$1001,0),1)&gt;=100000,INDEX($AD$1005:$AU$1005,1,MATCH(COLUMNS($AD$1006:AL1006),$AD$1006:$AU$1006,0))&gt;=100000), " ",IF(INDEX($AD$2:$AU$1001,MATCH(ROWS($W$2:W85),$W$2:$W$1001,0),MATCH(COLUMNS($AD$1006:AL1006),$AD$1006:$AU$1006,0)), HYPERLINK("#",""), HYPERLINK(CONCATENATE("#metadata!", ADDRESS(INDEX($Y$2:$Y$1001,MATCH(ROWS($W$2:W85),$W$2:$W$1001,0),0), INDEX($AD$1004:$AU$1004,1,MATCH(COLUMNS($AD$1006:AL1006),$AD$1006:$AU$1006,0)))),"Fix")))</f>
        <v xml:space="preserve"> </v>
      </c>
      <c r="K85" s="4" t="str">
        <f ca="1">IF(OR(INDEX($X$2:$X$1001,MATCH(ROWS($W$2:W85),$W$2:$W$1001,0),1)&gt;=100000,INDEX($AD$1005:$AU$1005,1,MATCH(COLUMNS($AD$1006:AM1006),$AD$1006:$AU$1006,0))&gt;=100000), " ",IF(INDEX($AD$2:$AU$1001,MATCH(ROWS($W$2:W85),$W$2:$W$1001,0),MATCH(COLUMNS($AD$1006:AM1006),$AD$1006:$AU$1006,0)), HYPERLINK("#",""), HYPERLINK(CONCATENATE("#metadata!", ADDRESS(INDEX($Y$2:$Y$1001,MATCH(ROWS($W$2:W85),$W$2:$W$1001,0),0), INDEX($AD$1004:$AU$1004,1,MATCH(COLUMNS($AD$1006:AM1006),$AD$1006:$AU$1006,0)))),"Fix")))</f>
        <v xml:space="preserve"> </v>
      </c>
      <c r="L85" s="4" t="str">
        <f ca="1">IF(OR(INDEX($X$2:$X$1001,MATCH(ROWS($W$2:W85),$W$2:$W$1001,0),1)&gt;=100000,INDEX($AD$1005:$AU$1005,1,MATCH(COLUMNS($AD$1006:AN1006),$AD$1006:$AU$1006,0))&gt;=100000), " ",IF(INDEX($AD$2:$AU$1001,MATCH(ROWS($W$2:W85),$W$2:$W$1001,0),MATCH(COLUMNS($AD$1006:AN1006),$AD$1006:$AU$1006,0)), HYPERLINK("#",""), HYPERLINK(CONCATENATE("#metadata!", ADDRESS(INDEX($Y$2:$Y$1001,MATCH(ROWS($W$2:W85),$W$2:$W$1001,0),0), INDEX($AD$1004:$AU$1004,1,MATCH(COLUMNS($AD$1006:AN1006),$AD$1006:$AU$1006,0)))),"Fix")))</f>
        <v xml:space="preserve"> </v>
      </c>
      <c r="M85" s="4" t="str">
        <f ca="1">IF(OR(INDEX($X$2:$X$1001,MATCH(ROWS($W$2:W85),$W$2:$W$1001,0),1)&gt;=100000,INDEX($AD$1005:$AU$1005,1,MATCH(COLUMNS($AD$1006:AO1006),$AD$1006:$AU$1006,0))&gt;=100000), " ",IF(INDEX($AD$2:$AU$1001,MATCH(ROWS($W$2:W85),$W$2:$W$1001,0),MATCH(COLUMNS($AD$1006:AO1006),$AD$1006:$AU$1006,0)), HYPERLINK("#",""), HYPERLINK(CONCATENATE("#metadata!", ADDRESS(INDEX($Y$2:$Y$1001,MATCH(ROWS($W$2:W85),$W$2:$W$1001,0),0), INDEX($AD$1004:$AU$1004,1,MATCH(COLUMNS($AD$1006:AO1006),$AD$1006:$AU$1006,0)))),"Fix")))</f>
        <v xml:space="preserve"> </v>
      </c>
      <c r="N85" s="4" t="str">
        <f ca="1">IF(OR(INDEX($X$2:$X$1001,MATCH(ROWS($W$2:W85),$W$2:$W$1001,0),1)&gt;=100000,INDEX($AD$1005:$AU$1005,1,MATCH(COLUMNS($AD$1006:AP1006),$AD$1006:$AU$1006,0))&gt;=100000), " ",IF(INDEX($AD$2:$AU$1001,MATCH(ROWS($W$2:W85),$W$2:$W$1001,0),MATCH(COLUMNS($AD$1006:AP1006),$AD$1006:$AU$1006,0)), HYPERLINK("#",""), HYPERLINK(CONCATENATE("#metadata!", ADDRESS(INDEX($Y$2:$Y$1001,MATCH(ROWS($W$2:W85),$W$2:$W$1001,0),0), INDEX($AD$1004:$AU$1004,1,MATCH(COLUMNS($AD$1006:AP1006),$AD$1006:$AU$1006,0)))),"Fix")))</f>
        <v xml:space="preserve"> </v>
      </c>
      <c r="O85" s="4" t="str">
        <f ca="1">IF(OR(INDEX($X$2:$X$1001,MATCH(ROWS($W$2:W85),$W$2:$W$1001,0),1)&gt;=100000,INDEX($AD$1005:$AU$1005,1,MATCH(COLUMNS($AD$1006:AQ1006),$AD$1006:$AU$1006,0))&gt;=100000), " ",IF(INDEX($AD$2:$AU$1001,MATCH(ROWS($W$2:W85),$W$2:$W$1001,0),MATCH(COLUMNS($AD$1006:AQ1006),$AD$1006:$AU$1006,0)), HYPERLINK("#",""), HYPERLINK(CONCATENATE("#metadata!", ADDRESS(INDEX($Y$2:$Y$1001,MATCH(ROWS($W$2:W85),$W$2:$W$1001,0),0), INDEX($AD$1004:$AU$1004,1,MATCH(COLUMNS($AD$1006:AQ1006),$AD$1006:$AU$1006,0)))),"Fix")))</f>
        <v xml:space="preserve"> </v>
      </c>
      <c r="P85" s="4" t="str">
        <f ca="1">IF(OR(INDEX($X$2:$X$1001,MATCH(ROWS($W$2:W85),$W$2:$W$1001,0),1)&gt;=100000,INDEX($AD$1005:$AU$1005,1,MATCH(COLUMNS($AD$1006:AR1006),$AD$1006:$AU$1006,0))&gt;=100000), " ",IF(INDEX($AD$2:$AU$1001,MATCH(ROWS($W$2:W85),$W$2:$W$1001,0),MATCH(COLUMNS($AD$1006:AR1006),$AD$1006:$AU$1006,0)), HYPERLINK("#",""), HYPERLINK(CONCATENATE("#metadata!", ADDRESS(INDEX($Y$2:$Y$1001,MATCH(ROWS($W$2:W85),$W$2:$W$1001,0),0), INDEX($AD$1004:$AU$1004,1,MATCH(COLUMNS($AD$1006:AR1006),$AD$1006:$AU$1006,0)))),"Fix")))</f>
        <v xml:space="preserve"> </v>
      </c>
      <c r="Q85" s="4" t="str">
        <f ca="1">IF(OR(INDEX($X$2:$X$1001,MATCH(ROWS($W$2:W85),$W$2:$W$1001,0),1)&gt;=100000,INDEX($AD$1005:$AU$1005,1,MATCH(COLUMNS($AD$1006:AS1006),$AD$1006:$AU$1006,0))&gt;=100000), " ",IF(INDEX($AD$2:$AU$1001,MATCH(ROWS($W$2:W85),$W$2:$W$1001,0),MATCH(COLUMNS($AD$1006:AS1006),$AD$1006:$AU$1006,0)), HYPERLINK("#",""), HYPERLINK(CONCATENATE("#metadata!", ADDRESS(INDEX($Y$2:$Y$1001,MATCH(ROWS($W$2:W85),$W$2:$W$1001,0),0), INDEX($AD$1004:$AU$1004,1,MATCH(COLUMNS($AD$1006:AS1006),$AD$1006:$AU$1006,0)))),"Fix")))</f>
        <v xml:space="preserve"> </v>
      </c>
      <c r="R85" s="4" t="str">
        <f ca="1">IF(OR(INDEX($X$2:$X$1001,MATCH(ROWS($W$2:W85),$W$2:$W$1001,0),1)&gt;=100000,INDEX($AD$1005:$AU$1005,1,MATCH(COLUMNS($AD$1006:AT1006),$AD$1006:$AU$1006,0))&gt;=100000), " ",IF(INDEX($AD$2:$AU$1001,MATCH(ROWS($W$2:W85),$W$2:$W$1001,0),MATCH(COLUMNS($AD$1006:AT1006),$AD$1006:$AU$1006,0)), HYPERLINK("#",""), HYPERLINK(CONCATENATE("#metadata!", ADDRESS(INDEX($Y$2:$Y$1001,MATCH(ROWS($W$2:W85),$W$2:$W$1001,0),0), INDEX($AD$1004:$AU$1004,1,MATCH(COLUMNS($AD$1006:AT1006),$AD$1006:$AU$1006,0)))),"Fix")))</f>
        <v xml:space="preserve"> </v>
      </c>
      <c r="S85" s="4" t="str">
        <f ca="1">IF(OR(INDEX($X$2:$X$1001,MATCH(ROWS($W$2:W85),$W$2:$W$1001,0),1)&gt;=100000,INDEX($AD$1005:$AU$1005,1,MATCH(COLUMNS($AD$1006:AU1006),$AD$1006:$AU$1006,0))&gt;=100000), " ",IF(INDEX($AD$2:$AU$1001,MATCH(ROWS($W$2:W85),$W$2:$W$1001,0),MATCH(COLUMNS($AD$1006:AU1006),$AD$1006:$AU$1006,0)), HYPERLINK("#",""), HYPERLINK(CONCATENATE("#metadata!", ADDRESS(INDEX($Y$2:$Y$1001,MATCH(ROWS($W$2:W85),$W$2:$W$1001,0),0), INDEX($AD$1004:$AU$1004,1,MATCH(COLUMNS($AD$1006:AU1006),$AD$1006:$AU$1006,0)))),"Fix")))</f>
        <v xml:space="preserve"> </v>
      </c>
      <c r="W85">
        <v>84</v>
      </c>
      <c r="X85">
        <v>100085</v>
      </c>
      <c r="Y85">
        <v>85</v>
      </c>
      <c r="Z85" t="b">
        <f t="shared" si="1"/>
        <v>1</v>
      </c>
      <c r="AA85" t="b">
        <f>COUNTBLANK(metadata!B85:S85)=COLUMNS(metadata!B85:S85)</f>
        <v>1</v>
      </c>
      <c r="AB85" t="str">
        <v/>
      </c>
      <c r="AD85" t="b">
        <f ca="1">AND(IF(metadata!B85="",FALSE,TRUE),COUNTIF(metadata!B:B, metadata!B85) = 1,NOT(ISERROR(SUMPRODUCT(SEARCH(MID(metadata!B85,ROW(INDIRECT("1:"&amp;LEN(metadata!B85))), 1),"0123456789abcdefghijklmnopqrstuvwxyzABCDEFGHIJKLMNOPQRSTUVWXYZ.")))))</f>
        <v>0</v>
      </c>
      <c r="AE85" t="b">
        <f>OR(AND(IF(metadata!C85="",FALSE,TRUE),OR(EXACT(metadata!C85,"not applicable"),EXACT(metadata!C85,"missing: not collected"),EXACT(metadata!C85,"missing: not provided"),EXACT(metadata!C85,"missing: restricted access"))),AND(IF(metadata!C85="",FALSE,ISNUMBER(VALUE(metadata!C85))),metadata!C85&gt;0))</f>
        <v>0</v>
      </c>
      <c r="AF85" t="b">
        <f>AND(IF(metadata!D85="",FALSE,TRUE),EXACT(metadata!D85,"missing: not provided"))</f>
        <v>0</v>
      </c>
      <c r="AG85" t="b">
        <f>AND(IF(metadata!E85="",FALSE,TRUE),EXACT(metadata!E85,"Host-associated"))</f>
        <v>0</v>
      </c>
      <c r="AH85" t="b">
        <f>AND(IF(metadata!F85="",FALSE,TRUE),OR(EXACT(metadata!F85,"Animal"),EXACT(metadata!F85,"Fungus"),EXACT(metadata!F85,"Plant")))</f>
        <v>0</v>
      </c>
      <c r="AI85" t="b">
        <f>AND(IF(metadata!G85="",FALSE,TRUE),OR(EXACT(metadata!G85,"Plant secretion"),EXACT(metadata!G85,"Plant rhizosphere"),EXACT(metadata!G85,"Plant surface"),EXACT(metadata!G85,"Plant corpus"),EXACT(metadata!G85,"Fungus surface"),EXACT(metadata!G85,"Fungus corpus"),EXACT(metadata!G85,"Animal surface"),EXACT(metadata!G85,"Animal proximal gut"),EXACT(metadata!G85,"Animal corpus"),EXACT(metadata!G85,"Animal distal gut"),EXACT(metadata!G85,"Animal secretion")))</f>
        <v>0</v>
      </c>
      <c r="AJ85" t="b">
        <f>OR(AND(IF(metadata!H85="",FALSE,TRUE),OR(EXACT(metadata!H85,"missing: not collected"),EXACT(metadata!H85,"missing: not provided"),EXACT(metadata!H85,"missing: restricted access"))),AND(IF(metadata!H85="",FALSE,TRUE),OR(EXACT(metadata!H85,"organism-associated habitat"),EXACT(metadata!H85,"plant-associated habitat"),EXACT(metadata!H85,"animal-associated habitat"),EXACT(metadata!H85,"insecta-associated habitat"),EXACT(metadata!H85,"mammalia-associated habitat"),EXACT(metadata!H85,"human-associated habitat"),EXACT(metadata!H85,"livestock-associated habitat"))))</f>
        <v>0</v>
      </c>
      <c r="AK85" t="b">
        <f>AND(IF(metadata!I85="",FALSE,TRUE),EXACT(metadata!I85,"host-associated"))</f>
        <v>0</v>
      </c>
      <c r="AL85" t="b">
        <f>OR(AND(IF(metadata!J85="",FALSE,TRUE),OR(EXACT(metadata!J85,"not applicable"),EXACT(metadata!J85,"missing: not collected"),EXACT(metadata!J85,"missing: not provided"),EXACT(metadata!J85,"missing: restricted access"))),AND(IF(metadata!J85="",FALSE,ISNUMBER(VALUE(metadata!J85))),metadata!J85&gt;0))</f>
        <v>0</v>
      </c>
      <c r="AM85" t="b">
        <f>AND(IF(metadata!K85="",FALSE,TRUE),EXACT(metadata!K85,"missing: not provided"))</f>
        <v>0</v>
      </c>
      <c r="AN85" t="b">
        <f>IF(metadata!L85="",FALSE,TRUE)</f>
        <v>0</v>
      </c>
      <c r="AO85" t="b">
        <f>IF(metadata!M85="",FALSE,TRUE)</f>
        <v>0</v>
      </c>
      <c r="AP85" t="b">
        <f>OR(AND(IF(metadata!N85="",FALSE,TRUE),OR(EXACT(metadata!N85,"not applicable"),EXACT(metadata!N85,"missing: not collected"),EXACT(metadata!N85,"missing: not provided"))),AND(IF(metadata!N85="",FALSE,IF(ISERROR(INT(metadata!N85)),FALSE,INT(metadata!N85)=metadata!N85)),metadata!N85&gt;0))</f>
        <v>0</v>
      </c>
      <c r="AQ85" t="b">
        <f>AND(IF(metadata!O85="",FALSE,TRUE),EXACT(metadata!O85,"Not applicable"))</f>
        <v>0</v>
      </c>
      <c r="AR85" t="b">
        <f>OR(AND(IF(metadata!P85="",FALSE,TRUE),OR(EXACT(metadata!P85,"not applicable"),EXACT(metadata!P85,"missing: not collected"),EXACT(metadata!P85,"missing: not provided"),EXACT(metadata!P85,"missing: restricted access"))),IF(metadata!P85="",FALSE,IF(ISERROR(INT(metadata!P85)),FALSE,INT(metadata!P85)=metadata!P85)))</f>
        <v>0</v>
      </c>
      <c r="AS85" t="b">
        <f>AND(IF(metadata!Q85="",FALSE,TRUE),EXACT(metadata!Q85,"Not applicable"))</f>
        <v>0</v>
      </c>
      <c r="AT85" t="b">
        <f>OR(AND(IF(metadata!R85="",FALSE,TRUE),OR(EXACT(metadata!R85,"not applicable"),EXACT(metadata!R85,"missing: not collected"),EXACT(metadata!R85,"missing: not provided"),EXACT(metadata!R85,"missing: restricted access"))),AND(IF(metadata!R85="",FALSE,ISNUMBER(VALUE(metadata!R85))),metadata!R85&gt;0))</f>
        <v>0</v>
      </c>
      <c r="AU85" t="b">
        <f>AND(IF(metadata!S85="",FALSE,TRUE),EXACT(metadata!S85,"missing: not provided"))</f>
        <v>0</v>
      </c>
    </row>
    <row r="86" spans="1:47" x14ac:dyDescent="0.2">
      <c r="A86" s="5" t="str">
        <f ca="1">IF(B86=" "," ",HYPERLINK(CONCATENATE("#metadata!",ADDRESS(INDEX($Y$2:$Y$1001,MATCH(ROWS($W$2:W86),$W$2:$W$1001,0),0),1)),INDEX($AB$2:$AB$1001,MATCH(ROWS($W$2:W86),$W$2:$W$1001,0),0)))</f>
        <v xml:space="preserve"> </v>
      </c>
      <c r="B86" s="4" t="str">
        <f ca="1">IF(OR(INDEX($X$2:$X$1001,MATCH(ROWS($W$2:W86),$W$2:$W$1001,0),1)&gt;=100000,INDEX($AD$1005:$AU$1005,1,MATCH(COLUMNS($AD$1006:AD1006),$AD$1006:$AU$1006,0))&gt;=100000), " ",IF(INDEX($AD$2:$AU$1001,MATCH(ROWS($W$2:W86),$W$2:$W$1001,0),MATCH(COLUMNS($AD$1006:AD1006),$AD$1006:$AU$1006,0)), HYPERLINK("#",""), HYPERLINK(CONCATENATE("#metadata!", ADDRESS(INDEX($Y$2:$Y$1001,MATCH(ROWS($W$2:W86),$W$2:$W$1001,0),0), INDEX($AD$1004:$AU$1004,1,MATCH(COLUMNS($AD$1006:AD1006),$AD$1006:$AU$1006,0)))),"Fix")))</f>
        <v xml:space="preserve"> </v>
      </c>
      <c r="C86" s="4" t="str">
        <f ca="1">IF(OR(INDEX($X$2:$X$1001,MATCH(ROWS($W$2:W86),$W$2:$W$1001,0),1)&gt;=100000,INDEX($AD$1005:$AU$1005,1,MATCH(COLUMNS($AD$1006:AE1006),$AD$1006:$AU$1006,0))&gt;=100000), " ",IF(INDEX($AD$2:$AU$1001,MATCH(ROWS($W$2:W86),$W$2:$W$1001,0),MATCH(COLUMNS($AD$1006:AE1006),$AD$1006:$AU$1006,0)), HYPERLINK("#",""), HYPERLINK(CONCATENATE("#metadata!", ADDRESS(INDEX($Y$2:$Y$1001,MATCH(ROWS($W$2:W86),$W$2:$W$1001,0),0), INDEX($AD$1004:$AU$1004,1,MATCH(COLUMNS($AD$1006:AE1006),$AD$1006:$AU$1006,0)))),"Fix")))</f>
        <v xml:space="preserve"> </v>
      </c>
      <c r="D86" s="4" t="str">
        <f ca="1">IF(OR(INDEX($X$2:$X$1001,MATCH(ROWS($W$2:W86),$W$2:$W$1001,0),1)&gt;=100000,INDEX($AD$1005:$AU$1005,1,MATCH(COLUMNS($AD$1006:AF1006),$AD$1006:$AU$1006,0))&gt;=100000), " ",IF(INDEX($AD$2:$AU$1001,MATCH(ROWS($W$2:W86),$W$2:$W$1001,0),MATCH(COLUMNS($AD$1006:AF1006),$AD$1006:$AU$1006,0)), HYPERLINK("#",""), HYPERLINK(CONCATENATE("#metadata!", ADDRESS(INDEX($Y$2:$Y$1001,MATCH(ROWS($W$2:W86),$W$2:$W$1001,0),0), INDEX($AD$1004:$AU$1004,1,MATCH(COLUMNS($AD$1006:AF1006),$AD$1006:$AU$1006,0)))),"Fix")))</f>
        <v xml:space="preserve"> </v>
      </c>
      <c r="E86" s="4" t="str">
        <f ca="1">IF(OR(INDEX($X$2:$X$1001,MATCH(ROWS($W$2:W86),$W$2:$W$1001,0),1)&gt;=100000,INDEX($AD$1005:$AU$1005,1,MATCH(COLUMNS($AD$1006:AG1006),$AD$1006:$AU$1006,0))&gt;=100000), " ",IF(INDEX($AD$2:$AU$1001,MATCH(ROWS($W$2:W86),$W$2:$W$1001,0),MATCH(COLUMNS($AD$1006:AG1006),$AD$1006:$AU$1006,0)), HYPERLINK("#",""), HYPERLINK(CONCATENATE("#metadata!", ADDRESS(INDEX($Y$2:$Y$1001,MATCH(ROWS($W$2:W86),$W$2:$W$1001,0),0), INDEX($AD$1004:$AU$1004,1,MATCH(COLUMNS($AD$1006:AG1006),$AD$1006:$AU$1006,0)))),"Fix")))</f>
        <v xml:space="preserve"> </v>
      </c>
      <c r="F86" s="4" t="str">
        <f ca="1">IF(OR(INDEX($X$2:$X$1001,MATCH(ROWS($W$2:W86),$W$2:$W$1001,0),1)&gt;=100000,INDEX($AD$1005:$AU$1005,1,MATCH(COLUMNS($AD$1006:AH1006),$AD$1006:$AU$1006,0))&gt;=100000), " ",IF(INDEX($AD$2:$AU$1001,MATCH(ROWS($W$2:W86),$W$2:$W$1001,0),MATCH(COLUMNS($AD$1006:AH1006),$AD$1006:$AU$1006,0)), HYPERLINK("#",""), HYPERLINK(CONCATENATE("#metadata!", ADDRESS(INDEX($Y$2:$Y$1001,MATCH(ROWS($W$2:W86),$W$2:$W$1001,0),0), INDEX($AD$1004:$AU$1004,1,MATCH(COLUMNS($AD$1006:AH1006),$AD$1006:$AU$1006,0)))),"Fix")))</f>
        <v xml:space="preserve"> </v>
      </c>
      <c r="G86" s="4" t="str">
        <f ca="1">IF(OR(INDEX($X$2:$X$1001,MATCH(ROWS($W$2:W86),$W$2:$W$1001,0),1)&gt;=100000,INDEX($AD$1005:$AU$1005,1,MATCH(COLUMNS($AD$1006:AI1006),$AD$1006:$AU$1006,0))&gt;=100000), " ",IF(INDEX($AD$2:$AU$1001,MATCH(ROWS($W$2:W86),$W$2:$W$1001,0),MATCH(COLUMNS($AD$1006:AI1006),$AD$1006:$AU$1006,0)), HYPERLINK("#",""), HYPERLINK(CONCATENATE("#metadata!", ADDRESS(INDEX($Y$2:$Y$1001,MATCH(ROWS($W$2:W86),$W$2:$W$1001,0),0), INDEX($AD$1004:$AU$1004,1,MATCH(COLUMNS($AD$1006:AI1006),$AD$1006:$AU$1006,0)))),"Fix")))</f>
        <v xml:space="preserve"> </v>
      </c>
      <c r="H86" s="4" t="str">
        <f ca="1">IF(OR(INDEX($X$2:$X$1001,MATCH(ROWS($W$2:W86),$W$2:$W$1001,0),1)&gt;=100000,INDEX($AD$1005:$AU$1005,1,MATCH(COLUMNS($AD$1006:AJ1006),$AD$1006:$AU$1006,0))&gt;=100000), " ",IF(INDEX($AD$2:$AU$1001,MATCH(ROWS($W$2:W86),$W$2:$W$1001,0),MATCH(COLUMNS($AD$1006:AJ1006),$AD$1006:$AU$1006,0)), HYPERLINK("#",""), HYPERLINK(CONCATENATE("#metadata!", ADDRESS(INDEX($Y$2:$Y$1001,MATCH(ROWS($W$2:W86),$W$2:$W$1001,0),0), INDEX($AD$1004:$AU$1004,1,MATCH(COLUMNS($AD$1006:AJ1006),$AD$1006:$AU$1006,0)))),"Fix")))</f>
        <v xml:space="preserve"> </v>
      </c>
      <c r="I86" s="4" t="str">
        <f ca="1">IF(OR(INDEX($X$2:$X$1001,MATCH(ROWS($W$2:W86),$W$2:$W$1001,0),1)&gt;=100000,INDEX($AD$1005:$AU$1005,1,MATCH(COLUMNS($AD$1006:AK1006),$AD$1006:$AU$1006,0))&gt;=100000), " ",IF(INDEX($AD$2:$AU$1001,MATCH(ROWS($W$2:W86),$W$2:$W$1001,0),MATCH(COLUMNS($AD$1006:AK1006),$AD$1006:$AU$1006,0)), HYPERLINK("#",""), HYPERLINK(CONCATENATE("#metadata!", ADDRESS(INDEX($Y$2:$Y$1001,MATCH(ROWS($W$2:W86),$W$2:$W$1001,0),0), INDEX($AD$1004:$AU$1004,1,MATCH(COLUMNS($AD$1006:AK1006),$AD$1006:$AU$1006,0)))),"Fix")))</f>
        <v xml:space="preserve"> </v>
      </c>
      <c r="J86" s="4" t="str">
        <f ca="1">IF(OR(INDEX($X$2:$X$1001,MATCH(ROWS($W$2:W86),$W$2:$W$1001,0),1)&gt;=100000,INDEX($AD$1005:$AU$1005,1,MATCH(COLUMNS($AD$1006:AL1006),$AD$1006:$AU$1006,0))&gt;=100000), " ",IF(INDEX($AD$2:$AU$1001,MATCH(ROWS($W$2:W86),$W$2:$W$1001,0),MATCH(COLUMNS($AD$1006:AL1006),$AD$1006:$AU$1006,0)), HYPERLINK("#",""), HYPERLINK(CONCATENATE("#metadata!", ADDRESS(INDEX($Y$2:$Y$1001,MATCH(ROWS($W$2:W86),$W$2:$W$1001,0),0), INDEX($AD$1004:$AU$1004,1,MATCH(COLUMNS($AD$1006:AL1006),$AD$1006:$AU$1006,0)))),"Fix")))</f>
        <v xml:space="preserve"> </v>
      </c>
      <c r="K86" s="4" t="str">
        <f ca="1">IF(OR(INDEX($X$2:$X$1001,MATCH(ROWS($W$2:W86),$W$2:$W$1001,0),1)&gt;=100000,INDEX($AD$1005:$AU$1005,1,MATCH(COLUMNS($AD$1006:AM1006),$AD$1006:$AU$1006,0))&gt;=100000), " ",IF(INDEX($AD$2:$AU$1001,MATCH(ROWS($W$2:W86),$W$2:$W$1001,0),MATCH(COLUMNS($AD$1006:AM1006),$AD$1006:$AU$1006,0)), HYPERLINK("#",""), HYPERLINK(CONCATENATE("#metadata!", ADDRESS(INDEX($Y$2:$Y$1001,MATCH(ROWS($W$2:W86),$W$2:$W$1001,0),0), INDEX($AD$1004:$AU$1004,1,MATCH(COLUMNS($AD$1006:AM1006),$AD$1006:$AU$1006,0)))),"Fix")))</f>
        <v xml:space="preserve"> </v>
      </c>
      <c r="L86" s="4" t="str">
        <f ca="1">IF(OR(INDEX($X$2:$X$1001,MATCH(ROWS($W$2:W86),$W$2:$W$1001,0),1)&gt;=100000,INDEX($AD$1005:$AU$1005,1,MATCH(COLUMNS($AD$1006:AN1006),$AD$1006:$AU$1006,0))&gt;=100000), " ",IF(INDEX($AD$2:$AU$1001,MATCH(ROWS($W$2:W86),$W$2:$W$1001,0),MATCH(COLUMNS($AD$1006:AN1006),$AD$1006:$AU$1006,0)), HYPERLINK("#",""), HYPERLINK(CONCATENATE("#metadata!", ADDRESS(INDEX($Y$2:$Y$1001,MATCH(ROWS($W$2:W86),$W$2:$W$1001,0),0), INDEX($AD$1004:$AU$1004,1,MATCH(COLUMNS($AD$1006:AN1006),$AD$1006:$AU$1006,0)))),"Fix")))</f>
        <v xml:space="preserve"> </v>
      </c>
      <c r="M86" s="4" t="str">
        <f ca="1">IF(OR(INDEX($X$2:$X$1001,MATCH(ROWS($W$2:W86),$W$2:$W$1001,0),1)&gt;=100000,INDEX($AD$1005:$AU$1005,1,MATCH(COLUMNS($AD$1006:AO1006),$AD$1006:$AU$1006,0))&gt;=100000), " ",IF(INDEX($AD$2:$AU$1001,MATCH(ROWS($W$2:W86),$W$2:$W$1001,0),MATCH(COLUMNS($AD$1006:AO1006),$AD$1006:$AU$1006,0)), HYPERLINK("#",""), HYPERLINK(CONCATENATE("#metadata!", ADDRESS(INDEX($Y$2:$Y$1001,MATCH(ROWS($W$2:W86),$W$2:$W$1001,0),0), INDEX($AD$1004:$AU$1004,1,MATCH(COLUMNS($AD$1006:AO1006),$AD$1006:$AU$1006,0)))),"Fix")))</f>
        <v xml:space="preserve"> </v>
      </c>
      <c r="N86" s="4" t="str">
        <f ca="1">IF(OR(INDEX($X$2:$X$1001,MATCH(ROWS($W$2:W86),$W$2:$W$1001,0),1)&gt;=100000,INDEX($AD$1005:$AU$1005,1,MATCH(COLUMNS($AD$1006:AP1006),$AD$1006:$AU$1006,0))&gt;=100000), " ",IF(INDEX($AD$2:$AU$1001,MATCH(ROWS($W$2:W86),$W$2:$W$1001,0),MATCH(COLUMNS($AD$1006:AP1006),$AD$1006:$AU$1006,0)), HYPERLINK("#",""), HYPERLINK(CONCATENATE("#metadata!", ADDRESS(INDEX($Y$2:$Y$1001,MATCH(ROWS($W$2:W86),$W$2:$W$1001,0),0), INDEX($AD$1004:$AU$1004,1,MATCH(COLUMNS($AD$1006:AP1006),$AD$1006:$AU$1006,0)))),"Fix")))</f>
        <v xml:space="preserve"> </v>
      </c>
      <c r="O86" s="4" t="str">
        <f ca="1">IF(OR(INDEX($X$2:$X$1001,MATCH(ROWS($W$2:W86),$W$2:$W$1001,0),1)&gt;=100000,INDEX($AD$1005:$AU$1005,1,MATCH(COLUMNS($AD$1006:AQ1006),$AD$1006:$AU$1006,0))&gt;=100000), " ",IF(INDEX($AD$2:$AU$1001,MATCH(ROWS($W$2:W86),$W$2:$W$1001,0),MATCH(COLUMNS($AD$1006:AQ1006),$AD$1006:$AU$1006,0)), HYPERLINK("#",""), HYPERLINK(CONCATENATE("#metadata!", ADDRESS(INDEX($Y$2:$Y$1001,MATCH(ROWS($W$2:W86),$W$2:$W$1001,0),0), INDEX($AD$1004:$AU$1004,1,MATCH(COLUMNS($AD$1006:AQ1006),$AD$1006:$AU$1006,0)))),"Fix")))</f>
        <v xml:space="preserve"> </v>
      </c>
      <c r="P86" s="4" t="str">
        <f ca="1">IF(OR(INDEX($X$2:$X$1001,MATCH(ROWS($W$2:W86),$W$2:$W$1001,0),1)&gt;=100000,INDEX($AD$1005:$AU$1005,1,MATCH(COLUMNS($AD$1006:AR1006),$AD$1006:$AU$1006,0))&gt;=100000), " ",IF(INDEX($AD$2:$AU$1001,MATCH(ROWS($W$2:W86),$W$2:$W$1001,0),MATCH(COLUMNS($AD$1006:AR1006),$AD$1006:$AU$1006,0)), HYPERLINK("#",""), HYPERLINK(CONCATENATE("#metadata!", ADDRESS(INDEX($Y$2:$Y$1001,MATCH(ROWS($W$2:W86),$W$2:$W$1001,0),0), INDEX($AD$1004:$AU$1004,1,MATCH(COLUMNS($AD$1006:AR1006),$AD$1006:$AU$1006,0)))),"Fix")))</f>
        <v xml:space="preserve"> </v>
      </c>
      <c r="Q86" s="4" t="str">
        <f ca="1">IF(OR(INDEX($X$2:$X$1001,MATCH(ROWS($W$2:W86),$W$2:$W$1001,0),1)&gt;=100000,INDEX($AD$1005:$AU$1005,1,MATCH(COLUMNS($AD$1006:AS1006),$AD$1006:$AU$1006,0))&gt;=100000), " ",IF(INDEX($AD$2:$AU$1001,MATCH(ROWS($W$2:W86),$W$2:$W$1001,0),MATCH(COLUMNS($AD$1006:AS1006),$AD$1006:$AU$1006,0)), HYPERLINK("#",""), HYPERLINK(CONCATENATE("#metadata!", ADDRESS(INDEX($Y$2:$Y$1001,MATCH(ROWS($W$2:W86),$W$2:$W$1001,0),0), INDEX($AD$1004:$AU$1004,1,MATCH(COLUMNS($AD$1006:AS1006),$AD$1006:$AU$1006,0)))),"Fix")))</f>
        <v xml:space="preserve"> </v>
      </c>
      <c r="R86" s="4" t="str">
        <f ca="1">IF(OR(INDEX($X$2:$X$1001,MATCH(ROWS($W$2:W86),$W$2:$W$1001,0),1)&gt;=100000,INDEX($AD$1005:$AU$1005,1,MATCH(COLUMNS($AD$1006:AT1006),$AD$1006:$AU$1006,0))&gt;=100000), " ",IF(INDEX($AD$2:$AU$1001,MATCH(ROWS($W$2:W86),$W$2:$W$1001,0),MATCH(COLUMNS($AD$1006:AT1006),$AD$1006:$AU$1006,0)), HYPERLINK("#",""), HYPERLINK(CONCATENATE("#metadata!", ADDRESS(INDEX($Y$2:$Y$1001,MATCH(ROWS($W$2:W86),$W$2:$W$1001,0),0), INDEX($AD$1004:$AU$1004,1,MATCH(COLUMNS($AD$1006:AT1006),$AD$1006:$AU$1006,0)))),"Fix")))</f>
        <v xml:space="preserve"> </v>
      </c>
      <c r="S86" s="4" t="str">
        <f ca="1">IF(OR(INDEX($X$2:$X$1001,MATCH(ROWS($W$2:W86),$W$2:$W$1001,0),1)&gt;=100000,INDEX($AD$1005:$AU$1005,1,MATCH(COLUMNS($AD$1006:AU1006),$AD$1006:$AU$1006,0))&gt;=100000), " ",IF(INDEX($AD$2:$AU$1001,MATCH(ROWS($W$2:W86),$W$2:$W$1001,0),MATCH(COLUMNS($AD$1006:AU1006),$AD$1006:$AU$1006,0)), HYPERLINK("#",""), HYPERLINK(CONCATENATE("#metadata!", ADDRESS(INDEX($Y$2:$Y$1001,MATCH(ROWS($W$2:W86),$W$2:$W$1001,0),0), INDEX($AD$1004:$AU$1004,1,MATCH(COLUMNS($AD$1006:AU1006),$AD$1006:$AU$1006,0)))),"Fix")))</f>
        <v xml:space="preserve"> </v>
      </c>
      <c r="W86">
        <v>85</v>
      </c>
      <c r="X86">
        <v>100086</v>
      </c>
      <c r="Y86">
        <v>86</v>
      </c>
      <c r="Z86" t="b">
        <f t="shared" si="1"/>
        <v>1</v>
      </c>
      <c r="AA86" t="b">
        <f>COUNTBLANK(metadata!B86:S86)=COLUMNS(metadata!B86:S86)</f>
        <v>1</v>
      </c>
      <c r="AB86" t="str">
        <v/>
      </c>
      <c r="AD86" t="b">
        <f ca="1">AND(IF(metadata!B86="",FALSE,TRUE),COUNTIF(metadata!B:B, metadata!B86) = 1,NOT(ISERROR(SUMPRODUCT(SEARCH(MID(metadata!B86,ROW(INDIRECT("1:"&amp;LEN(metadata!B86))), 1),"0123456789abcdefghijklmnopqrstuvwxyzABCDEFGHIJKLMNOPQRSTUVWXYZ.")))))</f>
        <v>0</v>
      </c>
      <c r="AE86" t="b">
        <f>OR(AND(IF(metadata!C86="",FALSE,TRUE),OR(EXACT(metadata!C86,"not applicable"),EXACT(metadata!C86,"missing: not collected"),EXACT(metadata!C86,"missing: not provided"),EXACT(metadata!C86,"missing: restricted access"))),AND(IF(metadata!C86="",FALSE,ISNUMBER(VALUE(metadata!C86))),metadata!C86&gt;0))</f>
        <v>0</v>
      </c>
      <c r="AF86" t="b">
        <f>AND(IF(metadata!D86="",FALSE,TRUE),EXACT(metadata!D86,"missing: not provided"))</f>
        <v>0</v>
      </c>
      <c r="AG86" t="b">
        <f>AND(IF(metadata!E86="",FALSE,TRUE),EXACT(metadata!E86,"Host-associated"))</f>
        <v>0</v>
      </c>
      <c r="AH86" t="b">
        <f>AND(IF(metadata!F86="",FALSE,TRUE),OR(EXACT(metadata!F86,"Animal"),EXACT(metadata!F86,"Fungus"),EXACT(metadata!F86,"Plant")))</f>
        <v>0</v>
      </c>
      <c r="AI86" t="b">
        <f>AND(IF(metadata!G86="",FALSE,TRUE),OR(EXACT(metadata!G86,"Plant secretion"),EXACT(metadata!G86,"Plant rhizosphere"),EXACT(metadata!G86,"Plant surface"),EXACT(metadata!G86,"Plant corpus"),EXACT(metadata!G86,"Fungus surface"),EXACT(metadata!G86,"Fungus corpus"),EXACT(metadata!G86,"Animal surface"),EXACT(metadata!G86,"Animal proximal gut"),EXACT(metadata!G86,"Animal corpus"),EXACT(metadata!G86,"Animal distal gut"),EXACT(metadata!G86,"Animal secretion")))</f>
        <v>0</v>
      </c>
      <c r="AJ86" t="b">
        <f>OR(AND(IF(metadata!H86="",FALSE,TRUE),OR(EXACT(metadata!H86,"missing: not collected"),EXACT(metadata!H86,"missing: not provided"),EXACT(metadata!H86,"missing: restricted access"))),AND(IF(metadata!H86="",FALSE,TRUE),OR(EXACT(metadata!H86,"organism-associated habitat"),EXACT(metadata!H86,"plant-associated habitat"),EXACT(metadata!H86,"animal-associated habitat"),EXACT(metadata!H86,"insecta-associated habitat"),EXACT(metadata!H86,"mammalia-associated habitat"),EXACT(metadata!H86,"human-associated habitat"),EXACT(metadata!H86,"livestock-associated habitat"))))</f>
        <v>0</v>
      </c>
      <c r="AK86" t="b">
        <f>AND(IF(metadata!I86="",FALSE,TRUE),EXACT(metadata!I86,"host-associated"))</f>
        <v>0</v>
      </c>
      <c r="AL86" t="b">
        <f>OR(AND(IF(metadata!J86="",FALSE,TRUE),OR(EXACT(metadata!J86,"not applicable"),EXACT(metadata!J86,"missing: not collected"),EXACT(metadata!J86,"missing: not provided"),EXACT(metadata!J86,"missing: restricted access"))),AND(IF(metadata!J86="",FALSE,ISNUMBER(VALUE(metadata!J86))),metadata!J86&gt;0))</f>
        <v>0</v>
      </c>
      <c r="AM86" t="b">
        <f>AND(IF(metadata!K86="",FALSE,TRUE),EXACT(metadata!K86,"missing: not provided"))</f>
        <v>0</v>
      </c>
      <c r="AN86" t="b">
        <f>IF(metadata!L86="",FALSE,TRUE)</f>
        <v>0</v>
      </c>
      <c r="AO86" t="b">
        <f>IF(metadata!M86="",FALSE,TRUE)</f>
        <v>0</v>
      </c>
      <c r="AP86" t="b">
        <f>OR(AND(IF(metadata!N86="",FALSE,TRUE),OR(EXACT(metadata!N86,"not applicable"),EXACT(metadata!N86,"missing: not collected"),EXACT(metadata!N86,"missing: not provided"))),AND(IF(metadata!N86="",FALSE,IF(ISERROR(INT(metadata!N86)),FALSE,INT(metadata!N86)=metadata!N86)),metadata!N86&gt;0))</f>
        <v>0</v>
      </c>
      <c r="AQ86" t="b">
        <f>AND(IF(metadata!O86="",FALSE,TRUE),EXACT(metadata!O86,"Not applicable"))</f>
        <v>0</v>
      </c>
      <c r="AR86" t="b">
        <f>OR(AND(IF(metadata!P86="",FALSE,TRUE),OR(EXACT(metadata!P86,"not applicable"),EXACT(metadata!P86,"missing: not collected"),EXACT(metadata!P86,"missing: not provided"),EXACT(metadata!P86,"missing: restricted access"))),IF(metadata!P86="",FALSE,IF(ISERROR(INT(metadata!P86)),FALSE,INT(metadata!P86)=metadata!P86)))</f>
        <v>0</v>
      </c>
      <c r="AS86" t="b">
        <f>AND(IF(metadata!Q86="",FALSE,TRUE),EXACT(metadata!Q86,"Not applicable"))</f>
        <v>0</v>
      </c>
      <c r="AT86" t="b">
        <f>OR(AND(IF(metadata!R86="",FALSE,TRUE),OR(EXACT(metadata!R86,"not applicable"),EXACT(metadata!R86,"missing: not collected"),EXACT(metadata!R86,"missing: not provided"),EXACT(metadata!R86,"missing: restricted access"))),AND(IF(metadata!R86="",FALSE,ISNUMBER(VALUE(metadata!R86))),metadata!R86&gt;0))</f>
        <v>0</v>
      </c>
      <c r="AU86" t="b">
        <f>AND(IF(metadata!S86="",FALSE,TRUE),EXACT(metadata!S86,"missing: not provided"))</f>
        <v>0</v>
      </c>
    </row>
    <row r="87" spans="1:47" x14ac:dyDescent="0.2">
      <c r="A87" s="5" t="str">
        <f ca="1">IF(B87=" "," ",HYPERLINK(CONCATENATE("#metadata!",ADDRESS(INDEX($Y$2:$Y$1001,MATCH(ROWS($W$2:W87),$W$2:$W$1001,0),0),1)),INDEX($AB$2:$AB$1001,MATCH(ROWS($W$2:W87),$W$2:$W$1001,0),0)))</f>
        <v xml:space="preserve"> </v>
      </c>
      <c r="B87" s="4" t="str">
        <f ca="1">IF(OR(INDEX($X$2:$X$1001,MATCH(ROWS($W$2:W87),$W$2:$W$1001,0),1)&gt;=100000,INDEX($AD$1005:$AU$1005,1,MATCH(COLUMNS($AD$1006:AD1006),$AD$1006:$AU$1006,0))&gt;=100000), " ",IF(INDEX($AD$2:$AU$1001,MATCH(ROWS($W$2:W87),$W$2:$W$1001,0),MATCH(COLUMNS($AD$1006:AD1006),$AD$1006:$AU$1006,0)), HYPERLINK("#",""), HYPERLINK(CONCATENATE("#metadata!", ADDRESS(INDEX($Y$2:$Y$1001,MATCH(ROWS($W$2:W87),$W$2:$W$1001,0),0), INDEX($AD$1004:$AU$1004,1,MATCH(COLUMNS($AD$1006:AD1006),$AD$1006:$AU$1006,0)))),"Fix")))</f>
        <v xml:space="preserve"> </v>
      </c>
      <c r="C87" s="4" t="str">
        <f ca="1">IF(OR(INDEX($X$2:$X$1001,MATCH(ROWS($W$2:W87),$W$2:$W$1001,0),1)&gt;=100000,INDEX($AD$1005:$AU$1005,1,MATCH(COLUMNS($AD$1006:AE1006),$AD$1006:$AU$1006,0))&gt;=100000), " ",IF(INDEX($AD$2:$AU$1001,MATCH(ROWS($W$2:W87),$W$2:$W$1001,0),MATCH(COLUMNS($AD$1006:AE1006),$AD$1006:$AU$1006,0)), HYPERLINK("#",""), HYPERLINK(CONCATENATE("#metadata!", ADDRESS(INDEX($Y$2:$Y$1001,MATCH(ROWS($W$2:W87),$W$2:$W$1001,0),0), INDEX($AD$1004:$AU$1004,1,MATCH(COLUMNS($AD$1006:AE1006),$AD$1006:$AU$1006,0)))),"Fix")))</f>
        <v xml:space="preserve"> </v>
      </c>
      <c r="D87" s="4" t="str">
        <f ca="1">IF(OR(INDEX($X$2:$X$1001,MATCH(ROWS($W$2:W87),$W$2:$W$1001,0),1)&gt;=100000,INDEX($AD$1005:$AU$1005,1,MATCH(COLUMNS($AD$1006:AF1006),$AD$1006:$AU$1006,0))&gt;=100000), " ",IF(INDEX($AD$2:$AU$1001,MATCH(ROWS($W$2:W87),$W$2:$W$1001,0),MATCH(COLUMNS($AD$1006:AF1006),$AD$1006:$AU$1006,0)), HYPERLINK("#",""), HYPERLINK(CONCATENATE("#metadata!", ADDRESS(INDEX($Y$2:$Y$1001,MATCH(ROWS($W$2:W87),$W$2:$W$1001,0),0), INDEX($AD$1004:$AU$1004,1,MATCH(COLUMNS($AD$1006:AF1006),$AD$1006:$AU$1006,0)))),"Fix")))</f>
        <v xml:space="preserve"> </v>
      </c>
      <c r="E87" s="4" t="str">
        <f ca="1">IF(OR(INDEX($X$2:$X$1001,MATCH(ROWS($W$2:W87),$W$2:$W$1001,0),1)&gt;=100000,INDEX($AD$1005:$AU$1005,1,MATCH(COLUMNS($AD$1006:AG1006),$AD$1006:$AU$1006,0))&gt;=100000), " ",IF(INDEX($AD$2:$AU$1001,MATCH(ROWS($W$2:W87),$W$2:$W$1001,0),MATCH(COLUMNS($AD$1006:AG1006),$AD$1006:$AU$1006,0)), HYPERLINK("#",""), HYPERLINK(CONCATENATE("#metadata!", ADDRESS(INDEX($Y$2:$Y$1001,MATCH(ROWS($W$2:W87),$W$2:$W$1001,0),0), INDEX($AD$1004:$AU$1004,1,MATCH(COLUMNS($AD$1006:AG1006),$AD$1006:$AU$1006,0)))),"Fix")))</f>
        <v xml:space="preserve"> </v>
      </c>
      <c r="F87" s="4" t="str">
        <f ca="1">IF(OR(INDEX($X$2:$X$1001,MATCH(ROWS($W$2:W87),$W$2:$W$1001,0),1)&gt;=100000,INDEX($AD$1005:$AU$1005,1,MATCH(COLUMNS($AD$1006:AH1006),$AD$1006:$AU$1006,0))&gt;=100000), " ",IF(INDEX($AD$2:$AU$1001,MATCH(ROWS($W$2:W87),$W$2:$W$1001,0),MATCH(COLUMNS($AD$1006:AH1006),$AD$1006:$AU$1006,0)), HYPERLINK("#",""), HYPERLINK(CONCATENATE("#metadata!", ADDRESS(INDEX($Y$2:$Y$1001,MATCH(ROWS($W$2:W87),$W$2:$W$1001,0),0), INDEX($AD$1004:$AU$1004,1,MATCH(COLUMNS($AD$1006:AH1006),$AD$1006:$AU$1006,0)))),"Fix")))</f>
        <v xml:space="preserve"> </v>
      </c>
      <c r="G87" s="4" t="str">
        <f ca="1">IF(OR(INDEX($X$2:$X$1001,MATCH(ROWS($W$2:W87),$W$2:$W$1001,0),1)&gt;=100000,INDEX($AD$1005:$AU$1005,1,MATCH(COLUMNS($AD$1006:AI1006),$AD$1006:$AU$1006,0))&gt;=100000), " ",IF(INDEX($AD$2:$AU$1001,MATCH(ROWS($W$2:W87),$W$2:$W$1001,0),MATCH(COLUMNS($AD$1006:AI1006),$AD$1006:$AU$1006,0)), HYPERLINK("#",""), HYPERLINK(CONCATENATE("#metadata!", ADDRESS(INDEX($Y$2:$Y$1001,MATCH(ROWS($W$2:W87),$W$2:$W$1001,0),0), INDEX($AD$1004:$AU$1004,1,MATCH(COLUMNS($AD$1006:AI1006),$AD$1006:$AU$1006,0)))),"Fix")))</f>
        <v xml:space="preserve"> </v>
      </c>
      <c r="H87" s="4" t="str">
        <f ca="1">IF(OR(INDEX($X$2:$X$1001,MATCH(ROWS($W$2:W87),$W$2:$W$1001,0),1)&gt;=100000,INDEX($AD$1005:$AU$1005,1,MATCH(COLUMNS($AD$1006:AJ1006),$AD$1006:$AU$1006,0))&gt;=100000), " ",IF(INDEX($AD$2:$AU$1001,MATCH(ROWS($W$2:W87),$W$2:$W$1001,0),MATCH(COLUMNS($AD$1006:AJ1006),$AD$1006:$AU$1006,0)), HYPERLINK("#",""), HYPERLINK(CONCATENATE("#metadata!", ADDRESS(INDEX($Y$2:$Y$1001,MATCH(ROWS($W$2:W87),$W$2:$W$1001,0),0), INDEX($AD$1004:$AU$1004,1,MATCH(COLUMNS($AD$1006:AJ1006),$AD$1006:$AU$1006,0)))),"Fix")))</f>
        <v xml:space="preserve"> </v>
      </c>
      <c r="I87" s="4" t="str">
        <f ca="1">IF(OR(INDEX($X$2:$X$1001,MATCH(ROWS($W$2:W87),$W$2:$W$1001,0),1)&gt;=100000,INDEX($AD$1005:$AU$1005,1,MATCH(COLUMNS($AD$1006:AK1006),$AD$1006:$AU$1006,0))&gt;=100000), " ",IF(INDEX($AD$2:$AU$1001,MATCH(ROWS($W$2:W87),$W$2:$W$1001,0),MATCH(COLUMNS($AD$1006:AK1006),$AD$1006:$AU$1006,0)), HYPERLINK("#",""), HYPERLINK(CONCATENATE("#metadata!", ADDRESS(INDEX($Y$2:$Y$1001,MATCH(ROWS($W$2:W87),$W$2:$W$1001,0),0), INDEX($AD$1004:$AU$1004,1,MATCH(COLUMNS($AD$1006:AK1006),$AD$1006:$AU$1006,0)))),"Fix")))</f>
        <v xml:space="preserve"> </v>
      </c>
      <c r="J87" s="4" t="str">
        <f ca="1">IF(OR(INDEX($X$2:$X$1001,MATCH(ROWS($W$2:W87),$W$2:$W$1001,0),1)&gt;=100000,INDEX($AD$1005:$AU$1005,1,MATCH(COLUMNS($AD$1006:AL1006),$AD$1006:$AU$1006,0))&gt;=100000), " ",IF(INDEX($AD$2:$AU$1001,MATCH(ROWS($W$2:W87),$W$2:$W$1001,0),MATCH(COLUMNS($AD$1006:AL1006),$AD$1006:$AU$1006,0)), HYPERLINK("#",""), HYPERLINK(CONCATENATE("#metadata!", ADDRESS(INDEX($Y$2:$Y$1001,MATCH(ROWS($W$2:W87),$W$2:$W$1001,0),0), INDEX($AD$1004:$AU$1004,1,MATCH(COLUMNS($AD$1006:AL1006),$AD$1006:$AU$1006,0)))),"Fix")))</f>
        <v xml:space="preserve"> </v>
      </c>
      <c r="K87" s="4" t="str">
        <f ca="1">IF(OR(INDEX($X$2:$X$1001,MATCH(ROWS($W$2:W87),$W$2:$W$1001,0),1)&gt;=100000,INDEX($AD$1005:$AU$1005,1,MATCH(COLUMNS($AD$1006:AM1006),$AD$1006:$AU$1006,0))&gt;=100000), " ",IF(INDEX($AD$2:$AU$1001,MATCH(ROWS($W$2:W87),$W$2:$W$1001,0),MATCH(COLUMNS($AD$1006:AM1006),$AD$1006:$AU$1006,0)), HYPERLINK("#",""), HYPERLINK(CONCATENATE("#metadata!", ADDRESS(INDEX($Y$2:$Y$1001,MATCH(ROWS($W$2:W87),$W$2:$W$1001,0),0), INDEX($AD$1004:$AU$1004,1,MATCH(COLUMNS($AD$1006:AM1006),$AD$1006:$AU$1006,0)))),"Fix")))</f>
        <v xml:space="preserve"> </v>
      </c>
      <c r="L87" s="4" t="str">
        <f ca="1">IF(OR(INDEX($X$2:$X$1001,MATCH(ROWS($W$2:W87),$W$2:$W$1001,0),1)&gt;=100000,INDEX($AD$1005:$AU$1005,1,MATCH(COLUMNS($AD$1006:AN1006),$AD$1006:$AU$1006,0))&gt;=100000), " ",IF(INDEX($AD$2:$AU$1001,MATCH(ROWS($W$2:W87),$W$2:$W$1001,0),MATCH(COLUMNS($AD$1006:AN1006),$AD$1006:$AU$1006,0)), HYPERLINK("#",""), HYPERLINK(CONCATENATE("#metadata!", ADDRESS(INDEX($Y$2:$Y$1001,MATCH(ROWS($W$2:W87),$W$2:$W$1001,0),0), INDEX($AD$1004:$AU$1004,1,MATCH(COLUMNS($AD$1006:AN1006),$AD$1006:$AU$1006,0)))),"Fix")))</f>
        <v xml:space="preserve"> </v>
      </c>
      <c r="M87" s="4" t="str">
        <f ca="1">IF(OR(INDEX($X$2:$X$1001,MATCH(ROWS($W$2:W87),$W$2:$W$1001,0),1)&gt;=100000,INDEX($AD$1005:$AU$1005,1,MATCH(COLUMNS($AD$1006:AO1006),$AD$1006:$AU$1006,0))&gt;=100000), " ",IF(INDEX($AD$2:$AU$1001,MATCH(ROWS($W$2:W87),$W$2:$W$1001,0),MATCH(COLUMNS($AD$1006:AO1006),$AD$1006:$AU$1006,0)), HYPERLINK("#",""), HYPERLINK(CONCATENATE("#metadata!", ADDRESS(INDEX($Y$2:$Y$1001,MATCH(ROWS($W$2:W87),$W$2:$W$1001,0),0), INDEX($AD$1004:$AU$1004,1,MATCH(COLUMNS($AD$1006:AO1006),$AD$1006:$AU$1006,0)))),"Fix")))</f>
        <v xml:space="preserve"> </v>
      </c>
      <c r="N87" s="4" t="str">
        <f ca="1">IF(OR(INDEX($X$2:$X$1001,MATCH(ROWS($W$2:W87),$W$2:$W$1001,0),1)&gt;=100000,INDEX($AD$1005:$AU$1005,1,MATCH(COLUMNS($AD$1006:AP1006),$AD$1006:$AU$1006,0))&gt;=100000), " ",IF(INDEX($AD$2:$AU$1001,MATCH(ROWS($W$2:W87),$W$2:$W$1001,0),MATCH(COLUMNS($AD$1006:AP1006),$AD$1006:$AU$1006,0)), HYPERLINK("#",""), HYPERLINK(CONCATENATE("#metadata!", ADDRESS(INDEX($Y$2:$Y$1001,MATCH(ROWS($W$2:W87),$W$2:$W$1001,0),0), INDEX($AD$1004:$AU$1004,1,MATCH(COLUMNS($AD$1006:AP1006),$AD$1006:$AU$1006,0)))),"Fix")))</f>
        <v xml:space="preserve"> </v>
      </c>
      <c r="O87" s="4" t="str">
        <f ca="1">IF(OR(INDEX($X$2:$X$1001,MATCH(ROWS($W$2:W87),$W$2:$W$1001,0),1)&gt;=100000,INDEX($AD$1005:$AU$1005,1,MATCH(COLUMNS($AD$1006:AQ1006),$AD$1006:$AU$1006,0))&gt;=100000), " ",IF(INDEX($AD$2:$AU$1001,MATCH(ROWS($W$2:W87),$W$2:$W$1001,0),MATCH(COLUMNS($AD$1006:AQ1006),$AD$1006:$AU$1006,0)), HYPERLINK("#",""), HYPERLINK(CONCATENATE("#metadata!", ADDRESS(INDEX($Y$2:$Y$1001,MATCH(ROWS($W$2:W87),$W$2:$W$1001,0),0), INDEX($AD$1004:$AU$1004,1,MATCH(COLUMNS($AD$1006:AQ1006),$AD$1006:$AU$1006,0)))),"Fix")))</f>
        <v xml:space="preserve"> </v>
      </c>
      <c r="P87" s="4" t="str">
        <f ca="1">IF(OR(INDEX($X$2:$X$1001,MATCH(ROWS($W$2:W87),$W$2:$W$1001,0),1)&gt;=100000,INDEX($AD$1005:$AU$1005,1,MATCH(COLUMNS($AD$1006:AR1006),$AD$1006:$AU$1006,0))&gt;=100000), " ",IF(INDEX($AD$2:$AU$1001,MATCH(ROWS($W$2:W87),$W$2:$W$1001,0),MATCH(COLUMNS($AD$1006:AR1006),$AD$1006:$AU$1006,0)), HYPERLINK("#",""), HYPERLINK(CONCATENATE("#metadata!", ADDRESS(INDEX($Y$2:$Y$1001,MATCH(ROWS($W$2:W87),$W$2:$W$1001,0),0), INDEX($AD$1004:$AU$1004,1,MATCH(COLUMNS($AD$1006:AR1006),$AD$1006:$AU$1006,0)))),"Fix")))</f>
        <v xml:space="preserve"> </v>
      </c>
      <c r="Q87" s="4" t="str">
        <f ca="1">IF(OR(INDEX($X$2:$X$1001,MATCH(ROWS($W$2:W87),$W$2:$W$1001,0),1)&gt;=100000,INDEX($AD$1005:$AU$1005,1,MATCH(COLUMNS($AD$1006:AS1006),$AD$1006:$AU$1006,0))&gt;=100000), " ",IF(INDEX($AD$2:$AU$1001,MATCH(ROWS($W$2:W87),$W$2:$W$1001,0),MATCH(COLUMNS($AD$1006:AS1006),$AD$1006:$AU$1006,0)), HYPERLINK("#",""), HYPERLINK(CONCATENATE("#metadata!", ADDRESS(INDEX($Y$2:$Y$1001,MATCH(ROWS($W$2:W87),$W$2:$W$1001,0),0), INDEX($AD$1004:$AU$1004,1,MATCH(COLUMNS($AD$1006:AS1006),$AD$1006:$AU$1006,0)))),"Fix")))</f>
        <v xml:space="preserve"> </v>
      </c>
      <c r="R87" s="4" t="str">
        <f ca="1">IF(OR(INDEX($X$2:$X$1001,MATCH(ROWS($W$2:W87),$W$2:$W$1001,0),1)&gt;=100000,INDEX($AD$1005:$AU$1005,1,MATCH(COLUMNS($AD$1006:AT1006),$AD$1006:$AU$1006,0))&gt;=100000), " ",IF(INDEX($AD$2:$AU$1001,MATCH(ROWS($W$2:W87),$W$2:$W$1001,0),MATCH(COLUMNS($AD$1006:AT1006),$AD$1006:$AU$1006,0)), HYPERLINK("#",""), HYPERLINK(CONCATENATE("#metadata!", ADDRESS(INDEX($Y$2:$Y$1001,MATCH(ROWS($W$2:W87),$W$2:$W$1001,0),0), INDEX($AD$1004:$AU$1004,1,MATCH(COLUMNS($AD$1006:AT1006),$AD$1006:$AU$1006,0)))),"Fix")))</f>
        <v xml:space="preserve"> </v>
      </c>
      <c r="S87" s="4" t="str">
        <f ca="1">IF(OR(INDEX($X$2:$X$1001,MATCH(ROWS($W$2:W87),$W$2:$W$1001,0),1)&gt;=100000,INDEX($AD$1005:$AU$1005,1,MATCH(COLUMNS($AD$1006:AU1006),$AD$1006:$AU$1006,0))&gt;=100000), " ",IF(INDEX($AD$2:$AU$1001,MATCH(ROWS($W$2:W87),$W$2:$W$1001,0),MATCH(COLUMNS($AD$1006:AU1006),$AD$1006:$AU$1006,0)), HYPERLINK("#",""), HYPERLINK(CONCATENATE("#metadata!", ADDRESS(INDEX($Y$2:$Y$1001,MATCH(ROWS($W$2:W87),$W$2:$W$1001,0),0), INDEX($AD$1004:$AU$1004,1,MATCH(COLUMNS($AD$1006:AU1006),$AD$1006:$AU$1006,0)))),"Fix")))</f>
        <v xml:space="preserve"> </v>
      </c>
      <c r="W87">
        <v>86</v>
      </c>
      <c r="X87">
        <v>100087</v>
      </c>
      <c r="Y87">
        <v>87</v>
      </c>
      <c r="Z87" t="b">
        <f t="shared" si="1"/>
        <v>1</v>
      </c>
      <c r="AA87" t="b">
        <f>COUNTBLANK(metadata!B87:S87)=COLUMNS(metadata!B87:S87)</f>
        <v>1</v>
      </c>
      <c r="AB87" t="str">
        <v/>
      </c>
      <c r="AD87" t="b">
        <f ca="1">AND(IF(metadata!B87="",FALSE,TRUE),COUNTIF(metadata!B:B, metadata!B87) = 1,NOT(ISERROR(SUMPRODUCT(SEARCH(MID(metadata!B87,ROW(INDIRECT("1:"&amp;LEN(metadata!B87))), 1),"0123456789abcdefghijklmnopqrstuvwxyzABCDEFGHIJKLMNOPQRSTUVWXYZ.")))))</f>
        <v>0</v>
      </c>
      <c r="AE87" t="b">
        <f>OR(AND(IF(metadata!C87="",FALSE,TRUE),OR(EXACT(metadata!C87,"not applicable"),EXACT(metadata!C87,"missing: not collected"),EXACT(metadata!C87,"missing: not provided"),EXACT(metadata!C87,"missing: restricted access"))),AND(IF(metadata!C87="",FALSE,ISNUMBER(VALUE(metadata!C87))),metadata!C87&gt;0))</f>
        <v>0</v>
      </c>
      <c r="AF87" t="b">
        <f>AND(IF(metadata!D87="",FALSE,TRUE),EXACT(metadata!D87,"missing: not provided"))</f>
        <v>0</v>
      </c>
      <c r="AG87" t="b">
        <f>AND(IF(metadata!E87="",FALSE,TRUE),EXACT(metadata!E87,"Host-associated"))</f>
        <v>0</v>
      </c>
      <c r="AH87" t="b">
        <f>AND(IF(metadata!F87="",FALSE,TRUE),OR(EXACT(metadata!F87,"Animal"),EXACT(metadata!F87,"Fungus"),EXACT(metadata!F87,"Plant")))</f>
        <v>0</v>
      </c>
      <c r="AI87" t="b">
        <f>AND(IF(metadata!G87="",FALSE,TRUE),OR(EXACT(metadata!G87,"Plant secretion"),EXACT(metadata!G87,"Plant rhizosphere"),EXACT(metadata!G87,"Plant surface"),EXACT(metadata!G87,"Plant corpus"),EXACT(metadata!G87,"Fungus surface"),EXACT(metadata!G87,"Fungus corpus"),EXACT(metadata!G87,"Animal surface"),EXACT(metadata!G87,"Animal proximal gut"),EXACT(metadata!G87,"Animal corpus"),EXACT(metadata!G87,"Animal distal gut"),EXACT(metadata!G87,"Animal secretion")))</f>
        <v>0</v>
      </c>
      <c r="AJ87" t="b">
        <f>OR(AND(IF(metadata!H87="",FALSE,TRUE),OR(EXACT(metadata!H87,"missing: not collected"),EXACT(metadata!H87,"missing: not provided"),EXACT(metadata!H87,"missing: restricted access"))),AND(IF(metadata!H87="",FALSE,TRUE),OR(EXACT(metadata!H87,"organism-associated habitat"),EXACT(metadata!H87,"plant-associated habitat"),EXACT(metadata!H87,"animal-associated habitat"),EXACT(metadata!H87,"insecta-associated habitat"),EXACT(metadata!H87,"mammalia-associated habitat"),EXACT(metadata!H87,"human-associated habitat"),EXACT(metadata!H87,"livestock-associated habitat"))))</f>
        <v>0</v>
      </c>
      <c r="AK87" t="b">
        <f>AND(IF(metadata!I87="",FALSE,TRUE),EXACT(metadata!I87,"host-associated"))</f>
        <v>0</v>
      </c>
      <c r="AL87" t="b">
        <f>OR(AND(IF(metadata!J87="",FALSE,TRUE),OR(EXACT(metadata!J87,"not applicable"),EXACT(metadata!J87,"missing: not collected"),EXACT(metadata!J87,"missing: not provided"),EXACT(metadata!J87,"missing: restricted access"))),AND(IF(metadata!J87="",FALSE,ISNUMBER(VALUE(metadata!J87))),metadata!J87&gt;0))</f>
        <v>0</v>
      </c>
      <c r="AM87" t="b">
        <f>AND(IF(metadata!K87="",FALSE,TRUE),EXACT(metadata!K87,"missing: not provided"))</f>
        <v>0</v>
      </c>
      <c r="AN87" t="b">
        <f>IF(metadata!L87="",FALSE,TRUE)</f>
        <v>0</v>
      </c>
      <c r="AO87" t="b">
        <f>IF(metadata!M87="",FALSE,TRUE)</f>
        <v>0</v>
      </c>
      <c r="AP87" t="b">
        <f>OR(AND(IF(metadata!N87="",FALSE,TRUE),OR(EXACT(metadata!N87,"not applicable"),EXACT(metadata!N87,"missing: not collected"),EXACT(metadata!N87,"missing: not provided"))),AND(IF(metadata!N87="",FALSE,IF(ISERROR(INT(metadata!N87)),FALSE,INT(metadata!N87)=metadata!N87)),metadata!N87&gt;0))</f>
        <v>0</v>
      </c>
      <c r="AQ87" t="b">
        <f>AND(IF(metadata!O87="",FALSE,TRUE),EXACT(metadata!O87,"Not applicable"))</f>
        <v>0</v>
      </c>
      <c r="AR87" t="b">
        <f>OR(AND(IF(metadata!P87="",FALSE,TRUE),OR(EXACT(metadata!P87,"not applicable"),EXACT(metadata!P87,"missing: not collected"),EXACT(metadata!P87,"missing: not provided"),EXACT(metadata!P87,"missing: restricted access"))),IF(metadata!P87="",FALSE,IF(ISERROR(INT(metadata!P87)),FALSE,INT(metadata!P87)=metadata!P87)))</f>
        <v>0</v>
      </c>
      <c r="AS87" t="b">
        <f>AND(IF(metadata!Q87="",FALSE,TRUE),EXACT(metadata!Q87,"Not applicable"))</f>
        <v>0</v>
      </c>
      <c r="AT87" t="b">
        <f>OR(AND(IF(metadata!R87="",FALSE,TRUE),OR(EXACT(metadata!R87,"not applicable"),EXACT(metadata!R87,"missing: not collected"),EXACT(metadata!R87,"missing: not provided"),EXACT(metadata!R87,"missing: restricted access"))),AND(IF(metadata!R87="",FALSE,ISNUMBER(VALUE(metadata!R87))),metadata!R87&gt;0))</f>
        <v>0</v>
      </c>
      <c r="AU87" t="b">
        <f>AND(IF(metadata!S87="",FALSE,TRUE),EXACT(metadata!S87,"missing: not provided"))</f>
        <v>0</v>
      </c>
    </row>
    <row r="88" spans="1:47" x14ac:dyDescent="0.2">
      <c r="A88" s="5" t="str">
        <f ca="1">IF(B88=" "," ",HYPERLINK(CONCATENATE("#metadata!",ADDRESS(INDEX($Y$2:$Y$1001,MATCH(ROWS($W$2:W88),$W$2:$W$1001,0),0),1)),INDEX($AB$2:$AB$1001,MATCH(ROWS($W$2:W88),$W$2:$W$1001,0),0)))</f>
        <v xml:space="preserve"> </v>
      </c>
      <c r="B88" s="4" t="str">
        <f ca="1">IF(OR(INDEX($X$2:$X$1001,MATCH(ROWS($W$2:W88),$W$2:$W$1001,0),1)&gt;=100000,INDEX($AD$1005:$AU$1005,1,MATCH(COLUMNS($AD$1006:AD1006),$AD$1006:$AU$1006,0))&gt;=100000), " ",IF(INDEX($AD$2:$AU$1001,MATCH(ROWS($W$2:W88),$W$2:$W$1001,0),MATCH(COLUMNS($AD$1006:AD1006),$AD$1006:$AU$1006,0)), HYPERLINK("#",""), HYPERLINK(CONCATENATE("#metadata!", ADDRESS(INDEX($Y$2:$Y$1001,MATCH(ROWS($W$2:W88),$W$2:$W$1001,0),0), INDEX($AD$1004:$AU$1004,1,MATCH(COLUMNS($AD$1006:AD1006),$AD$1006:$AU$1006,0)))),"Fix")))</f>
        <v xml:space="preserve"> </v>
      </c>
      <c r="C88" s="4" t="str">
        <f ca="1">IF(OR(INDEX($X$2:$X$1001,MATCH(ROWS($W$2:W88),$W$2:$W$1001,0),1)&gt;=100000,INDEX($AD$1005:$AU$1005,1,MATCH(COLUMNS($AD$1006:AE1006),$AD$1006:$AU$1006,0))&gt;=100000), " ",IF(INDEX($AD$2:$AU$1001,MATCH(ROWS($W$2:W88),$W$2:$W$1001,0),MATCH(COLUMNS($AD$1006:AE1006),$AD$1006:$AU$1006,0)), HYPERLINK("#",""), HYPERLINK(CONCATENATE("#metadata!", ADDRESS(INDEX($Y$2:$Y$1001,MATCH(ROWS($W$2:W88),$W$2:$W$1001,0),0), INDEX($AD$1004:$AU$1004,1,MATCH(COLUMNS($AD$1006:AE1006),$AD$1006:$AU$1006,0)))),"Fix")))</f>
        <v xml:space="preserve"> </v>
      </c>
      <c r="D88" s="4" t="str">
        <f ca="1">IF(OR(INDEX($X$2:$X$1001,MATCH(ROWS($W$2:W88),$W$2:$W$1001,0),1)&gt;=100000,INDEX($AD$1005:$AU$1005,1,MATCH(COLUMNS($AD$1006:AF1006),$AD$1006:$AU$1006,0))&gt;=100000), " ",IF(INDEX($AD$2:$AU$1001,MATCH(ROWS($W$2:W88),$W$2:$W$1001,0),MATCH(COLUMNS($AD$1006:AF1006),$AD$1006:$AU$1006,0)), HYPERLINK("#",""), HYPERLINK(CONCATENATE("#metadata!", ADDRESS(INDEX($Y$2:$Y$1001,MATCH(ROWS($W$2:W88),$W$2:$W$1001,0),0), INDEX($AD$1004:$AU$1004,1,MATCH(COLUMNS($AD$1006:AF1006),$AD$1006:$AU$1006,0)))),"Fix")))</f>
        <v xml:space="preserve"> </v>
      </c>
      <c r="E88" s="4" t="str">
        <f ca="1">IF(OR(INDEX($X$2:$X$1001,MATCH(ROWS($W$2:W88),$W$2:$W$1001,0),1)&gt;=100000,INDEX($AD$1005:$AU$1005,1,MATCH(COLUMNS($AD$1006:AG1006),$AD$1006:$AU$1006,0))&gt;=100000), " ",IF(INDEX($AD$2:$AU$1001,MATCH(ROWS($W$2:W88),$W$2:$W$1001,0),MATCH(COLUMNS($AD$1006:AG1006),$AD$1006:$AU$1006,0)), HYPERLINK("#",""), HYPERLINK(CONCATENATE("#metadata!", ADDRESS(INDEX($Y$2:$Y$1001,MATCH(ROWS($W$2:W88),$W$2:$W$1001,0),0), INDEX($AD$1004:$AU$1004,1,MATCH(COLUMNS($AD$1006:AG1006),$AD$1006:$AU$1006,0)))),"Fix")))</f>
        <v xml:space="preserve"> </v>
      </c>
      <c r="F88" s="4" t="str">
        <f ca="1">IF(OR(INDEX($X$2:$X$1001,MATCH(ROWS($W$2:W88),$W$2:$W$1001,0),1)&gt;=100000,INDEX($AD$1005:$AU$1005,1,MATCH(COLUMNS($AD$1006:AH1006),$AD$1006:$AU$1006,0))&gt;=100000), " ",IF(INDEX($AD$2:$AU$1001,MATCH(ROWS($W$2:W88),$W$2:$W$1001,0),MATCH(COLUMNS($AD$1006:AH1006),$AD$1006:$AU$1006,0)), HYPERLINK("#",""), HYPERLINK(CONCATENATE("#metadata!", ADDRESS(INDEX($Y$2:$Y$1001,MATCH(ROWS($W$2:W88),$W$2:$W$1001,0),0), INDEX($AD$1004:$AU$1004,1,MATCH(COLUMNS($AD$1006:AH1006),$AD$1006:$AU$1006,0)))),"Fix")))</f>
        <v xml:space="preserve"> </v>
      </c>
      <c r="G88" s="4" t="str">
        <f ca="1">IF(OR(INDEX($X$2:$X$1001,MATCH(ROWS($W$2:W88),$W$2:$W$1001,0),1)&gt;=100000,INDEX($AD$1005:$AU$1005,1,MATCH(COLUMNS($AD$1006:AI1006),$AD$1006:$AU$1006,0))&gt;=100000), " ",IF(INDEX($AD$2:$AU$1001,MATCH(ROWS($W$2:W88),$W$2:$W$1001,0),MATCH(COLUMNS($AD$1006:AI1006),$AD$1006:$AU$1006,0)), HYPERLINK("#",""), HYPERLINK(CONCATENATE("#metadata!", ADDRESS(INDEX($Y$2:$Y$1001,MATCH(ROWS($W$2:W88),$W$2:$W$1001,0),0), INDEX($AD$1004:$AU$1004,1,MATCH(COLUMNS($AD$1006:AI1006),$AD$1006:$AU$1006,0)))),"Fix")))</f>
        <v xml:space="preserve"> </v>
      </c>
      <c r="H88" s="4" t="str">
        <f ca="1">IF(OR(INDEX($X$2:$X$1001,MATCH(ROWS($W$2:W88),$W$2:$W$1001,0),1)&gt;=100000,INDEX($AD$1005:$AU$1005,1,MATCH(COLUMNS($AD$1006:AJ1006),$AD$1006:$AU$1006,0))&gt;=100000), " ",IF(INDEX($AD$2:$AU$1001,MATCH(ROWS($W$2:W88),$W$2:$W$1001,0),MATCH(COLUMNS($AD$1006:AJ1006),$AD$1006:$AU$1006,0)), HYPERLINK("#",""), HYPERLINK(CONCATENATE("#metadata!", ADDRESS(INDEX($Y$2:$Y$1001,MATCH(ROWS($W$2:W88),$W$2:$W$1001,0),0), INDEX($AD$1004:$AU$1004,1,MATCH(COLUMNS($AD$1006:AJ1006),$AD$1006:$AU$1006,0)))),"Fix")))</f>
        <v xml:space="preserve"> </v>
      </c>
      <c r="I88" s="4" t="str">
        <f ca="1">IF(OR(INDEX($X$2:$X$1001,MATCH(ROWS($W$2:W88),$W$2:$W$1001,0),1)&gt;=100000,INDEX($AD$1005:$AU$1005,1,MATCH(COLUMNS($AD$1006:AK1006),$AD$1006:$AU$1006,0))&gt;=100000), " ",IF(INDEX($AD$2:$AU$1001,MATCH(ROWS($W$2:W88),$W$2:$W$1001,0),MATCH(COLUMNS($AD$1006:AK1006),$AD$1006:$AU$1006,0)), HYPERLINK("#",""), HYPERLINK(CONCATENATE("#metadata!", ADDRESS(INDEX($Y$2:$Y$1001,MATCH(ROWS($W$2:W88),$W$2:$W$1001,0),0), INDEX($AD$1004:$AU$1004,1,MATCH(COLUMNS($AD$1006:AK1006),$AD$1006:$AU$1006,0)))),"Fix")))</f>
        <v xml:space="preserve"> </v>
      </c>
      <c r="J88" s="4" t="str">
        <f ca="1">IF(OR(INDEX($X$2:$X$1001,MATCH(ROWS($W$2:W88),$W$2:$W$1001,0),1)&gt;=100000,INDEX($AD$1005:$AU$1005,1,MATCH(COLUMNS($AD$1006:AL1006),$AD$1006:$AU$1006,0))&gt;=100000), " ",IF(INDEX($AD$2:$AU$1001,MATCH(ROWS($W$2:W88),$W$2:$W$1001,0),MATCH(COLUMNS($AD$1006:AL1006),$AD$1006:$AU$1006,0)), HYPERLINK("#",""), HYPERLINK(CONCATENATE("#metadata!", ADDRESS(INDEX($Y$2:$Y$1001,MATCH(ROWS($W$2:W88),$W$2:$W$1001,0),0), INDEX($AD$1004:$AU$1004,1,MATCH(COLUMNS($AD$1006:AL1006),$AD$1006:$AU$1006,0)))),"Fix")))</f>
        <v xml:space="preserve"> </v>
      </c>
      <c r="K88" s="4" t="str">
        <f ca="1">IF(OR(INDEX($X$2:$X$1001,MATCH(ROWS($W$2:W88),$W$2:$W$1001,0),1)&gt;=100000,INDEX($AD$1005:$AU$1005,1,MATCH(COLUMNS($AD$1006:AM1006),$AD$1006:$AU$1006,0))&gt;=100000), " ",IF(INDEX($AD$2:$AU$1001,MATCH(ROWS($W$2:W88),$W$2:$W$1001,0),MATCH(COLUMNS($AD$1006:AM1006),$AD$1006:$AU$1006,0)), HYPERLINK("#",""), HYPERLINK(CONCATENATE("#metadata!", ADDRESS(INDEX($Y$2:$Y$1001,MATCH(ROWS($W$2:W88),$W$2:$W$1001,0),0), INDEX($AD$1004:$AU$1004,1,MATCH(COLUMNS($AD$1006:AM1006),$AD$1006:$AU$1006,0)))),"Fix")))</f>
        <v xml:space="preserve"> </v>
      </c>
      <c r="L88" s="4" t="str">
        <f ca="1">IF(OR(INDEX($X$2:$X$1001,MATCH(ROWS($W$2:W88),$W$2:$W$1001,0),1)&gt;=100000,INDEX($AD$1005:$AU$1005,1,MATCH(COLUMNS($AD$1006:AN1006),$AD$1006:$AU$1006,0))&gt;=100000), " ",IF(INDEX($AD$2:$AU$1001,MATCH(ROWS($W$2:W88),$W$2:$W$1001,0),MATCH(COLUMNS($AD$1006:AN1006),$AD$1006:$AU$1006,0)), HYPERLINK("#",""), HYPERLINK(CONCATENATE("#metadata!", ADDRESS(INDEX($Y$2:$Y$1001,MATCH(ROWS($W$2:W88),$W$2:$W$1001,0),0), INDEX($AD$1004:$AU$1004,1,MATCH(COLUMNS($AD$1006:AN1006),$AD$1006:$AU$1006,0)))),"Fix")))</f>
        <v xml:space="preserve"> </v>
      </c>
      <c r="M88" s="4" t="str">
        <f ca="1">IF(OR(INDEX($X$2:$X$1001,MATCH(ROWS($W$2:W88),$W$2:$W$1001,0),1)&gt;=100000,INDEX($AD$1005:$AU$1005,1,MATCH(COLUMNS($AD$1006:AO1006),$AD$1006:$AU$1006,0))&gt;=100000), " ",IF(INDEX($AD$2:$AU$1001,MATCH(ROWS($W$2:W88),$W$2:$W$1001,0),MATCH(COLUMNS($AD$1006:AO1006),$AD$1006:$AU$1006,0)), HYPERLINK("#",""), HYPERLINK(CONCATENATE("#metadata!", ADDRESS(INDEX($Y$2:$Y$1001,MATCH(ROWS($W$2:W88),$W$2:$W$1001,0),0), INDEX($AD$1004:$AU$1004,1,MATCH(COLUMNS($AD$1006:AO1006),$AD$1006:$AU$1006,0)))),"Fix")))</f>
        <v xml:space="preserve"> </v>
      </c>
      <c r="N88" s="4" t="str">
        <f ca="1">IF(OR(INDEX($X$2:$X$1001,MATCH(ROWS($W$2:W88),$W$2:$W$1001,0),1)&gt;=100000,INDEX($AD$1005:$AU$1005,1,MATCH(COLUMNS($AD$1006:AP1006),$AD$1006:$AU$1006,0))&gt;=100000), " ",IF(INDEX($AD$2:$AU$1001,MATCH(ROWS($W$2:W88),$W$2:$W$1001,0),MATCH(COLUMNS($AD$1006:AP1006),$AD$1006:$AU$1006,0)), HYPERLINK("#",""), HYPERLINK(CONCATENATE("#metadata!", ADDRESS(INDEX($Y$2:$Y$1001,MATCH(ROWS($W$2:W88),$W$2:$W$1001,0),0), INDEX($AD$1004:$AU$1004,1,MATCH(COLUMNS($AD$1006:AP1006),$AD$1006:$AU$1006,0)))),"Fix")))</f>
        <v xml:space="preserve"> </v>
      </c>
      <c r="O88" s="4" t="str">
        <f ca="1">IF(OR(INDEX($X$2:$X$1001,MATCH(ROWS($W$2:W88),$W$2:$W$1001,0),1)&gt;=100000,INDEX($AD$1005:$AU$1005,1,MATCH(COLUMNS($AD$1006:AQ1006),$AD$1006:$AU$1006,0))&gt;=100000), " ",IF(INDEX($AD$2:$AU$1001,MATCH(ROWS($W$2:W88),$W$2:$W$1001,0),MATCH(COLUMNS($AD$1006:AQ1006),$AD$1006:$AU$1006,0)), HYPERLINK("#",""), HYPERLINK(CONCATENATE("#metadata!", ADDRESS(INDEX($Y$2:$Y$1001,MATCH(ROWS($W$2:W88),$W$2:$W$1001,0),0), INDEX($AD$1004:$AU$1004,1,MATCH(COLUMNS($AD$1006:AQ1006),$AD$1006:$AU$1006,0)))),"Fix")))</f>
        <v xml:space="preserve"> </v>
      </c>
      <c r="P88" s="4" t="str">
        <f ca="1">IF(OR(INDEX($X$2:$X$1001,MATCH(ROWS($W$2:W88),$W$2:$W$1001,0),1)&gt;=100000,INDEX($AD$1005:$AU$1005,1,MATCH(COLUMNS($AD$1006:AR1006),$AD$1006:$AU$1006,0))&gt;=100000), " ",IF(INDEX($AD$2:$AU$1001,MATCH(ROWS($W$2:W88),$W$2:$W$1001,0),MATCH(COLUMNS($AD$1006:AR1006),$AD$1006:$AU$1006,0)), HYPERLINK("#",""), HYPERLINK(CONCATENATE("#metadata!", ADDRESS(INDEX($Y$2:$Y$1001,MATCH(ROWS($W$2:W88),$W$2:$W$1001,0),0), INDEX($AD$1004:$AU$1004,1,MATCH(COLUMNS($AD$1006:AR1006),$AD$1006:$AU$1006,0)))),"Fix")))</f>
        <v xml:space="preserve"> </v>
      </c>
      <c r="Q88" s="4" t="str">
        <f ca="1">IF(OR(INDEX($X$2:$X$1001,MATCH(ROWS($W$2:W88),$W$2:$W$1001,0),1)&gt;=100000,INDEX($AD$1005:$AU$1005,1,MATCH(COLUMNS($AD$1006:AS1006),$AD$1006:$AU$1006,0))&gt;=100000), " ",IF(INDEX($AD$2:$AU$1001,MATCH(ROWS($W$2:W88),$W$2:$W$1001,0),MATCH(COLUMNS($AD$1006:AS1006),$AD$1006:$AU$1006,0)), HYPERLINK("#",""), HYPERLINK(CONCATENATE("#metadata!", ADDRESS(INDEX($Y$2:$Y$1001,MATCH(ROWS($W$2:W88),$W$2:$W$1001,0),0), INDEX($AD$1004:$AU$1004,1,MATCH(COLUMNS($AD$1006:AS1006),$AD$1006:$AU$1006,0)))),"Fix")))</f>
        <v xml:space="preserve"> </v>
      </c>
      <c r="R88" s="4" t="str">
        <f ca="1">IF(OR(INDEX($X$2:$X$1001,MATCH(ROWS($W$2:W88),$W$2:$W$1001,0),1)&gt;=100000,INDEX($AD$1005:$AU$1005,1,MATCH(COLUMNS($AD$1006:AT1006),$AD$1006:$AU$1006,0))&gt;=100000), " ",IF(INDEX($AD$2:$AU$1001,MATCH(ROWS($W$2:W88),$W$2:$W$1001,0),MATCH(COLUMNS($AD$1006:AT1006),$AD$1006:$AU$1006,0)), HYPERLINK("#",""), HYPERLINK(CONCATENATE("#metadata!", ADDRESS(INDEX($Y$2:$Y$1001,MATCH(ROWS($W$2:W88),$W$2:$W$1001,0),0), INDEX($AD$1004:$AU$1004,1,MATCH(COLUMNS($AD$1006:AT1006),$AD$1006:$AU$1006,0)))),"Fix")))</f>
        <v xml:space="preserve"> </v>
      </c>
      <c r="S88" s="4" t="str">
        <f ca="1">IF(OR(INDEX($X$2:$X$1001,MATCH(ROWS($W$2:W88),$W$2:$W$1001,0),1)&gt;=100000,INDEX($AD$1005:$AU$1005,1,MATCH(COLUMNS($AD$1006:AU1006),$AD$1006:$AU$1006,0))&gt;=100000), " ",IF(INDEX($AD$2:$AU$1001,MATCH(ROWS($W$2:W88),$W$2:$W$1001,0),MATCH(COLUMNS($AD$1006:AU1006),$AD$1006:$AU$1006,0)), HYPERLINK("#",""), HYPERLINK(CONCATENATE("#metadata!", ADDRESS(INDEX($Y$2:$Y$1001,MATCH(ROWS($W$2:W88),$W$2:$W$1001,0),0), INDEX($AD$1004:$AU$1004,1,MATCH(COLUMNS($AD$1006:AU1006),$AD$1006:$AU$1006,0)))),"Fix")))</f>
        <v xml:space="preserve"> </v>
      </c>
      <c r="W88">
        <v>87</v>
      </c>
      <c r="X88">
        <v>100088</v>
      </c>
      <c r="Y88">
        <v>88</v>
      </c>
      <c r="Z88" t="b">
        <f t="shared" si="1"/>
        <v>1</v>
      </c>
      <c r="AA88" t="b">
        <f>COUNTBLANK(metadata!B88:S88)=COLUMNS(metadata!B88:S88)</f>
        <v>1</v>
      </c>
      <c r="AB88" t="str">
        <v/>
      </c>
      <c r="AD88" t="b">
        <f ca="1">AND(IF(metadata!B88="",FALSE,TRUE),COUNTIF(metadata!B:B, metadata!B88) = 1,NOT(ISERROR(SUMPRODUCT(SEARCH(MID(metadata!B88,ROW(INDIRECT("1:"&amp;LEN(metadata!B88))), 1),"0123456789abcdefghijklmnopqrstuvwxyzABCDEFGHIJKLMNOPQRSTUVWXYZ.")))))</f>
        <v>0</v>
      </c>
      <c r="AE88" t="b">
        <f>OR(AND(IF(metadata!C88="",FALSE,TRUE),OR(EXACT(metadata!C88,"not applicable"),EXACT(metadata!C88,"missing: not collected"),EXACT(metadata!C88,"missing: not provided"),EXACT(metadata!C88,"missing: restricted access"))),AND(IF(metadata!C88="",FALSE,ISNUMBER(VALUE(metadata!C88))),metadata!C88&gt;0))</f>
        <v>0</v>
      </c>
      <c r="AF88" t="b">
        <f>AND(IF(metadata!D88="",FALSE,TRUE),EXACT(metadata!D88,"missing: not provided"))</f>
        <v>0</v>
      </c>
      <c r="AG88" t="b">
        <f>AND(IF(metadata!E88="",FALSE,TRUE),EXACT(metadata!E88,"Host-associated"))</f>
        <v>0</v>
      </c>
      <c r="AH88" t="b">
        <f>AND(IF(metadata!F88="",FALSE,TRUE),OR(EXACT(metadata!F88,"Animal"),EXACT(metadata!F88,"Fungus"),EXACT(metadata!F88,"Plant")))</f>
        <v>0</v>
      </c>
      <c r="AI88" t="b">
        <f>AND(IF(metadata!G88="",FALSE,TRUE),OR(EXACT(metadata!G88,"Plant secretion"),EXACT(metadata!G88,"Plant rhizosphere"),EXACT(metadata!G88,"Plant surface"),EXACT(metadata!G88,"Plant corpus"),EXACT(metadata!G88,"Fungus surface"),EXACT(metadata!G88,"Fungus corpus"),EXACT(metadata!G88,"Animal surface"),EXACT(metadata!G88,"Animal proximal gut"),EXACT(metadata!G88,"Animal corpus"),EXACT(metadata!G88,"Animal distal gut"),EXACT(metadata!G88,"Animal secretion")))</f>
        <v>0</v>
      </c>
      <c r="AJ88" t="b">
        <f>OR(AND(IF(metadata!H88="",FALSE,TRUE),OR(EXACT(metadata!H88,"missing: not collected"),EXACT(metadata!H88,"missing: not provided"),EXACT(metadata!H88,"missing: restricted access"))),AND(IF(metadata!H88="",FALSE,TRUE),OR(EXACT(metadata!H88,"organism-associated habitat"),EXACT(metadata!H88,"plant-associated habitat"),EXACT(metadata!H88,"animal-associated habitat"),EXACT(metadata!H88,"insecta-associated habitat"),EXACT(metadata!H88,"mammalia-associated habitat"),EXACT(metadata!H88,"human-associated habitat"),EXACT(metadata!H88,"livestock-associated habitat"))))</f>
        <v>0</v>
      </c>
      <c r="AK88" t="b">
        <f>AND(IF(metadata!I88="",FALSE,TRUE),EXACT(metadata!I88,"host-associated"))</f>
        <v>0</v>
      </c>
      <c r="AL88" t="b">
        <f>OR(AND(IF(metadata!J88="",FALSE,TRUE),OR(EXACT(metadata!J88,"not applicable"),EXACT(metadata!J88,"missing: not collected"),EXACT(metadata!J88,"missing: not provided"),EXACT(metadata!J88,"missing: restricted access"))),AND(IF(metadata!J88="",FALSE,ISNUMBER(VALUE(metadata!J88))),metadata!J88&gt;0))</f>
        <v>0</v>
      </c>
      <c r="AM88" t="b">
        <f>AND(IF(metadata!K88="",FALSE,TRUE),EXACT(metadata!K88,"missing: not provided"))</f>
        <v>0</v>
      </c>
      <c r="AN88" t="b">
        <f>IF(metadata!L88="",FALSE,TRUE)</f>
        <v>0</v>
      </c>
      <c r="AO88" t="b">
        <f>IF(metadata!M88="",FALSE,TRUE)</f>
        <v>0</v>
      </c>
      <c r="AP88" t="b">
        <f>OR(AND(IF(metadata!N88="",FALSE,TRUE),OR(EXACT(metadata!N88,"not applicable"),EXACT(metadata!N88,"missing: not collected"),EXACT(metadata!N88,"missing: not provided"))),AND(IF(metadata!N88="",FALSE,IF(ISERROR(INT(metadata!N88)),FALSE,INT(metadata!N88)=metadata!N88)),metadata!N88&gt;0))</f>
        <v>0</v>
      </c>
      <c r="AQ88" t="b">
        <f>AND(IF(metadata!O88="",FALSE,TRUE),EXACT(metadata!O88,"Not applicable"))</f>
        <v>0</v>
      </c>
      <c r="AR88" t="b">
        <f>OR(AND(IF(metadata!P88="",FALSE,TRUE),OR(EXACT(metadata!P88,"not applicable"),EXACT(metadata!P88,"missing: not collected"),EXACT(metadata!P88,"missing: not provided"),EXACT(metadata!P88,"missing: restricted access"))),IF(metadata!P88="",FALSE,IF(ISERROR(INT(metadata!P88)),FALSE,INT(metadata!P88)=metadata!P88)))</f>
        <v>0</v>
      </c>
      <c r="AS88" t="b">
        <f>AND(IF(metadata!Q88="",FALSE,TRUE),EXACT(metadata!Q88,"Not applicable"))</f>
        <v>0</v>
      </c>
      <c r="AT88" t="b">
        <f>OR(AND(IF(metadata!R88="",FALSE,TRUE),OR(EXACT(metadata!R88,"not applicable"),EXACT(metadata!R88,"missing: not collected"),EXACT(metadata!R88,"missing: not provided"),EXACT(metadata!R88,"missing: restricted access"))),AND(IF(metadata!R88="",FALSE,ISNUMBER(VALUE(metadata!R88))),metadata!R88&gt;0))</f>
        <v>0</v>
      </c>
      <c r="AU88" t="b">
        <f>AND(IF(metadata!S88="",FALSE,TRUE),EXACT(metadata!S88,"missing: not provided"))</f>
        <v>0</v>
      </c>
    </row>
    <row r="89" spans="1:47" x14ac:dyDescent="0.2">
      <c r="A89" s="5" t="str">
        <f ca="1">IF(B89=" "," ",HYPERLINK(CONCATENATE("#metadata!",ADDRESS(INDEX($Y$2:$Y$1001,MATCH(ROWS($W$2:W89),$W$2:$W$1001,0),0),1)),INDEX($AB$2:$AB$1001,MATCH(ROWS($W$2:W89),$W$2:$W$1001,0),0)))</f>
        <v xml:space="preserve"> </v>
      </c>
      <c r="B89" s="4" t="str">
        <f ca="1">IF(OR(INDEX($X$2:$X$1001,MATCH(ROWS($W$2:W89),$W$2:$W$1001,0),1)&gt;=100000,INDEX($AD$1005:$AU$1005,1,MATCH(COLUMNS($AD$1006:AD1006),$AD$1006:$AU$1006,0))&gt;=100000), " ",IF(INDEX($AD$2:$AU$1001,MATCH(ROWS($W$2:W89),$W$2:$W$1001,0),MATCH(COLUMNS($AD$1006:AD1006),$AD$1006:$AU$1006,0)), HYPERLINK("#",""), HYPERLINK(CONCATENATE("#metadata!", ADDRESS(INDEX($Y$2:$Y$1001,MATCH(ROWS($W$2:W89),$W$2:$W$1001,0),0), INDEX($AD$1004:$AU$1004,1,MATCH(COLUMNS($AD$1006:AD1006),$AD$1006:$AU$1006,0)))),"Fix")))</f>
        <v xml:space="preserve"> </v>
      </c>
      <c r="C89" s="4" t="str">
        <f ca="1">IF(OR(INDEX($X$2:$X$1001,MATCH(ROWS($W$2:W89),$W$2:$W$1001,0),1)&gt;=100000,INDEX($AD$1005:$AU$1005,1,MATCH(COLUMNS($AD$1006:AE1006),$AD$1006:$AU$1006,0))&gt;=100000), " ",IF(INDEX($AD$2:$AU$1001,MATCH(ROWS($W$2:W89),$W$2:$W$1001,0),MATCH(COLUMNS($AD$1006:AE1006),$AD$1006:$AU$1006,0)), HYPERLINK("#",""), HYPERLINK(CONCATENATE("#metadata!", ADDRESS(INDEX($Y$2:$Y$1001,MATCH(ROWS($W$2:W89),$W$2:$W$1001,0),0), INDEX($AD$1004:$AU$1004,1,MATCH(COLUMNS($AD$1006:AE1006),$AD$1006:$AU$1006,0)))),"Fix")))</f>
        <v xml:space="preserve"> </v>
      </c>
      <c r="D89" s="4" t="str">
        <f ca="1">IF(OR(INDEX($X$2:$X$1001,MATCH(ROWS($W$2:W89),$W$2:$W$1001,0),1)&gt;=100000,INDEX($AD$1005:$AU$1005,1,MATCH(COLUMNS($AD$1006:AF1006),$AD$1006:$AU$1006,0))&gt;=100000), " ",IF(INDEX($AD$2:$AU$1001,MATCH(ROWS($W$2:W89),$W$2:$W$1001,0),MATCH(COLUMNS($AD$1006:AF1006),$AD$1006:$AU$1006,0)), HYPERLINK("#",""), HYPERLINK(CONCATENATE("#metadata!", ADDRESS(INDEX($Y$2:$Y$1001,MATCH(ROWS($W$2:W89),$W$2:$W$1001,0),0), INDEX($AD$1004:$AU$1004,1,MATCH(COLUMNS($AD$1006:AF1006),$AD$1006:$AU$1006,0)))),"Fix")))</f>
        <v xml:space="preserve"> </v>
      </c>
      <c r="E89" s="4" t="str">
        <f ca="1">IF(OR(INDEX($X$2:$X$1001,MATCH(ROWS($W$2:W89),$W$2:$W$1001,0),1)&gt;=100000,INDEX($AD$1005:$AU$1005,1,MATCH(COLUMNS($AD$1006:AG1006),$AD$1006:$AU$1006,0))&gt;=100000), " ",IF(INDEX($AD$2:$AU$1001,MATCH(ROWS($W$2:W89),$W$2:$W$1001,0),MATCH(COLUMNS($AD$1006:AG1006),$AD$1006:$AU$1006,0)), HYPERLINK("#",""), HYPERLINK(CONCATENATE("#metadata!", ADDRESS(INDEX($Y$2:$Y$1001,MATCH(ROWS($W$2:W89),$W$2:$W$1001,0),0), INDEX($AD$1004:$AU$1004,1,MATCH(COLUMNS($AD$1006:AG1006),$AD$1006:$AU$1006,0)))),"Fix")))</f>
        <v xml:space="preserve"> </v>
      </c>
      <c r="F89" s="4" t="str">
        <f ca="1">IF(OR(INDEX($X$2:$X$1001,MATCH(ROWS($W$2:W89),$W$2:$W$1001,0),1)&gt;=100000,INDEX($AD$1005:$AU$1005,1,MATCH(COLUMNS($AD$1006:AH1006),$AD$1006:$AU$1006,0))&gt;=100000), " ",IF(INDEX($AD$2:$AU$1001,MATCH(ROWS($W$2:W89),$W$2:$W$1001,0),MATCH(COLUMNS($AD$1006:AH1006),$AD$1006:$AU$1006,0)), HYPERLINK("#",""), HYPERLINK(CONCATENATE("#metadata!", ADDRESS(INDEX($Y$2:$Y$1001,MATCH(ROWS($W$2:W89),$W$2:$W$1001,0),0), INDEX($AD$1004:$AU$1004,1,MATCH(COLUMNS($AD$1006:AH1006),$AD$1006:$AU$1006,0)))),"Fix")))</f>
        <v xml:space="preserve"> </v>
      </c>
      <c r="G89" s="4" t="str">
        <f ca="1">IF(OR(INDEX($X$2:$X$1001,MATCH(ROWS($W$2:W89),$W$2:$W$1001,0),1)&gt;=100000,INDEX($AD$1005:$AU$1005,1,MATCH(COLUMNS($AD$1006:AI1006),$AD$1006:$AU$1006,0))&gt;=100000), " ",IF(INDEX($AD$2:$AU$1001,MATCH(ROWS($W$2:W89),$W$2:$W$1001,0),MATCH(COLUMNS($AD$1006:AI1006),$AD$1006:$AU$1006,0)), HYPERLINK("#",""), HYPERLINK(CONCATENATE("#metadata!", ADDRESS(INDEX($Y$2:$Y$1001,MATCH(ROWS($W$2:W89),$W$2:$W$1001,0),0), INDEX($AD$1004:$AU$1004,1,MATCH(COLUMNS($AD$1006:AI1006),$AD$1006:$AU$1006,0)))),"Fix")))</f>
        <v xml:space="preserve"> </v>
      </c>
      <c r="H89" s="4" t="str">
        <f ca="1">IF(OR(INDEX($X$2:$X$1001,MATCH(ROWS($W$2:W89),$W$2:$W$1001,0),1)&gt;=100000,INDEX($AD$1005:$AU$1005,1,MATCH(COLUMNS($AD$1006:AJ1006),$AD$1006:$AU$1006,0))&gt;=100000), " ",IF(INDEX($AD$2:$AU$1001,MATCH(ROWS($W$2:W89),$W$2:$W$1001,0),MATCH(COLUMNS($AD$1006:AJ1006),$AD$1006:$AU$1006,0)), HYPERLINK("#",""), HYPERLINK(CONCATENATE("#metadata!", ADDRESS(INDEX($Y$2:$Y$1001,MATCH(ROWS($W$2:W89),$W$2:$W$1001,0),0), INDEX($AD$1004:$AU$1004,1,MATCH(COLUMNS($AD$1006:AJ1006),$AD$1006:$AU$1006,0)))),"Fix")))</f>
        <v xml:space="preserve"> </v>
      </c>
      <c r="I89" s="4" t="str">
        <f ca="1">IF(OR(INDEX($X$2:$X$1001,MATCH(ROWS($W$2:W89),$W$2:$W$1001,0),1)&gt;=100000,INDEX($AD$1005:$AU$1005,1,MATCH(COLUMNS($AD$1006:AK1006),$AD$1006:$AU$1006,0))&gt;=100000), " ",IF(INDEX($AD$2:$AU$1001,MATCH(ROWS($W$2:W89),$W$2:$W$1001,0),MATCH(COLUMNS($AD$1006:AK1006),$AD$1006:$AU$1006,0)), HYPERLINK("#",""), HYPERLINK(CONCATENATE("#metadata!", ADDRESS(INDEX($Y$2:$Y$1001,MATCH(ROWS($W$2:W89),$W$2:$W$1001,0),0), INDEX($AD$1004:$AU$1004,1,MATCH(COLUMNS($AD$1006:AK1006),$AD$1006:$AU$1006,0)))),"Fix")))</f>
        <v xml:space="preserve"> </v>
      </c>
      <c r="J89" s="4" t="str">
        <f ca="1">IF(OR(INDEX($X$2:$X$1001,MATCH(ROWS($W$2:W89),$W$2:$W$1001,0),1)&gt;=100000,INDEX($AD$1005:$AU$1005,1,MATCH(COLUMNS($AD$1006:AL1006),$AD$1006:$AU$1006,0))&gt;=100000), " ",IF(INDEX($AD$2:$AU$1001,MATCH(ROWS($W$2:W89),$W$2:$W$1001,0),MATCH(COLUMNS($AD$1006:AL1006),$AD$1006:$AU$1006,0)), HYPERLINK("#",""), HYPERLINK(CONCATENATE("#metadata!", ADDRESS(INDEX($Y$2:$Y$1001,MATCH(ROWS($W$2:W89),$W$2:$W$1001,0),0), INDEX($AD$1004:$AU$1004,1,MATCH(COLUMNS($AD$1006:AL1006),$AD$1006:$AU$1006,0)))),"Fix")))</f>
        <v xml:space="preserve"> </v>
      </c>
      <c r="K89" s="4" t="str">
        <f ca="1">IF(OR(INDEX($X$2:$X$1001,MATCH(ROWS($W$2:W89),$W$2:$W$1001,0),1)&gt;=100000,INDEX($AD$1005:$AU$1005,1,MATCH(COLUMNS($AD$1006:AM1006),$AD$1006:$AU$1006,0))&gt;=100000), " ",IF(INDEX($AD$2:$AU$1001,MATCH(ROWS($W$2:W89),$W$2:$W$1001,0),MATCH(COLUMNS($AD$1006:AM1006),$AD$1006:$AU$1006,0)), HYPERLINK("#",""), HYPERLINK(CONCATENATE("#metadata!", ADDRESS(INDEX($Y$2:$Y$1001,MATCH(ROWS($W$2:W89),$W$2:$W$1001,0),0), INDEX($AD$1004:$AU$1004,1,MATCH(COLUMNS($AD$1006:AM1006),$AD$1006:$AU$1006,0)))),"Fix")))</f>
        <v xml:space="preserve"> </v>
      </c>
      <c r="L89" s="4" t="str">
        <f ca="1">IF(OR(INDEX($X$2:$X$1001,MATCH(ROWS($W$2:W89),$W$2:$W$1001,0),1)&gt;=100000,INDEX($AD$1005:$AU$1005,1,MATCH(COLUMNS($AD$1006:AN1006),$AD$1006:$AU$1006,0))&gt;=100000), " ",IF(INDEX($AD$2:$AU$1001,MATCH(ROWS($W$2:W89),$W$2:$W$1001,0),MATCH(COLUMNS($AD$1006:AN1006),$AD$1006:$AU$1006,0)), HYPERLINK("#",""), HYPERLINK(CONCATENATE("#metadata!", ADDRESS(INDEX($Y$2:$Y$1001,MATCH(ROWS($W$2:W89),$W$2:$W$1001,0),0), INDEX($AD$1004:$AU$1004,1,MATCH(COLUMNS($AD$1006:AN1006),$AD$1006:$AU$1006,0)))),"Fix")))</f>
        <v xml:space="preserve"> </v>
      </c>
      <c r="M89" s="4" t="str">
        <f ca="1">IF(OR(INDEX($X$2:$X$1001,MATCH(ROWS($W$2:W89),$W$2:$W$1001,0),1)&gt;=100000,INDEX($AD$1005:$AU$1005,1,MATCH(COLUMNS($AD$1006:AO1006),$AD$1006:$AU$1006,0))&gt;=100000), " ",IF(INDEX($AD$2:$AU$1001,MATCH(ROWS($W$2:W89),$W$2:$W$1001,0),MATCH(COLUMNS($AD$1006:AO1006),$AD$1006:$AU$1006,0)), HYPERLINK("#",""), HYPERLINK(CONCATENATE("#metadata!", ADDRESS(INDEX($Y$2:$Y$1001,MATCH(ROWS($W$2:W89),$W$2:$W$1001,0),0), INDEX($AD$1004:$AU$1004,1,MATCH(COLUMNS($AD$1006:AO1006),$AD$1006:$AU$1006,0)))),"Fix")))</f>
        <v xml:space="preserve"> </v>
      </c>
      <c r="N89" s="4" t="str">
        <f ca="1">IF(OR(INDEX($X$2:$X$1001,MATCH(ROWS($W$2:W89),$W$2:$W$1001,0),1)&gt;=100000,INDEX($AD$1005:$AU$1005,1,MATCH(COLUMNS($AD$1006:AP1006),$AD$1006:$AU$1006,0))&gt;=100000), " ",IF(INDEX($AD$2:$AU$1001,MATCH(ROWS($W$2:W89),$W$2:$W$1001,0),MATCH(COLUMNS($AD$1006:AP1006),$AD$1006:$AU$1006,0)), HYPERLINK("#",""), HYPERLINK(CONCATENATE("#metadata!", ADDRESS(INDEX($Y$2:$Y$1001,MATCH(ROWS($W$2:W89),$W$2:$W$1001,0),0), INDEX($AD$1004:$AU$1004,1,MATCH(COLUMNS($AD$1006:AP1006),$AD$1006:$AU$1006,0)))),"Fix")))</f>
        <v xml:space="preserve"> </v>
      </c>
      <c r="O89" s="4" t="str">
        <f ca="1">IF(OR(INDEX($X$2:$X$1001,MATCH(ROWS($W$2:W89),$W$2:$W$1001,0),1)&gt;=100000,INDEX($AD$1005:$AU$1005,1,MATCH(COLUMNS($AD$1006:AQ1006),$AD$1006:$AU$1006,0))&gt;=100000), " ",IF(INDEX($AD$2:$AU$1001,MATCH(ROWS($W$2:W89),$W$2:$W$1001,0),MATCH(COLUMNS($AD$1006:AQ1006),$AD$1006:$AU$1006,0)), HYPERLINK("#",""), HYPERLINK(CONCATENATE("#metadata!", ADDRESS(INDEX($Y$2:$Y$1001,MATCH(ROWS($W$2:W89),$W$2:$W$1001,0),0), INDEX($AD$1004:$AU$1004,1,MATCH(COLUMNS($AD$1006:AQ1006),$AD$1006:$AU$1006,0)))),"Fix")))</f>
        <v xml:space="preserve"> </v>
      </c>
      <c r="P89" s="4" t="str">
        <f ca="1">IF(OR(INDEX($X$2:$X$1001,MATCH(ROWS($W$2:W89),$W$2:$W$1001,0),1)&gt;=100000,INDEX($AD$1005:$AU$1005,1,MATCH(COLUMNS($AD$1006:AR1006),$AD$1006:$AU$1006,0))&gt;=100000), " ",IF(INDEX($AD$2:$AU$1001,MATCH(ROWS($W$2:W89),$W$2:$W$1001,0),MATCH(COLUMNS($AD$1006:AR1006),$AD$1006:$AU$1006,0)), HYPERLINK("#",""), HYPERLINK(CONCATENATE("#metadata!", ADDRESS(INDEX($Y$2:$Y$1001,MATCH(ROWS($W$2:W89),$W$2:$W$1001,0),0), INDEX($AD$1004:$AU$1004,1,MATCH(COLUMNS($AD$1006:AR1006),$AD$1006:$AU$1006,0)))),"Fix")))</f>
        <v xml:space="preserve"> </v>
      </c>
      <c r="Q89" s="4" t="str">
        <f ca="1">IF(OR(INDEX($X$2:$X$1001,MATCH(ROWS($W$2:W89),$W$2:$W$1001,0),1)&gt;=100000,INDEX($AD$1005:$AU$1005,1,MATCH(COLUMNS($AD$1006:AS1006),$AD$1006:$AU$1006,0))&gt;=100000), " ",IF(INDEX($AD$2:$AU$1001,MATCH(ROWS($W$2:W89),$W$2:$W$1001,0),MATCH(COLUMNS($AD$1006:AS1006),$AD$1006:$AU$1006,0)), HYPERLINK("#",""), HYPERLINK(CONCATENATE("#metadata!", ADDRESS(INDEX($Y$2:$Y$1001,MATCH(ROWS($W$2:W89),$W$2:$W$1001,0),0), INDEX($AD$1004:$AU$1004,1,MATCH(COLUMNS($AD$1006:AS1006),$AD$1006:$AU$1006,0)))),"Fix")))</f>
        <v xml:space="preserve"> </v>
      </c>
      <c r="R89" s="4" t="str">
        <f ca="1">IF(OR(INDEX($X$2:$X$1001,MATCH(ROWS($W$2:W89),$W$2:$W$1001,0),1)&gt;=100000,INDEX($AD$1005:$AU$1005,1,MATCH(COLUMNS($AD$1006:AT1006),$AD$1006:$AU$1006,0))&gt;=100000), " ",IF(INDEX($AD$2:$AU$1001,MATCH(ROWS($W$2:W89),$W$2:$W$1001,0),MATCH(COLUMNS($AD$1006:AT1006),$AD$1006:$AU$1006,0)), HYPERLINK("#",""), HYPERLINK(CONCATENATE("#metadata!", ADDRESS(INDEX($Y$2:$Y$1001,MATCH(ROWS($W$2:W89),$W$2:$W$1001,0),0), INDEX($AD$1004:$AU$1004,1,MATCH(COLUMNS($AD$1006:AT1006),$AD$1006:$AU$1006,0)))),"Fix")))</f>
        <v xml:space="preserve"> </v>
      </c>
      <c r="S89" s="4" t="str">
        <f ca="1">IF(OR(INDEX($X$2:$X$1001,MATCH(ROWS($W$2:W89),$W$2:$W$1001,0),1)&gt;=100000,INDEX($AD$1005:$AU$1005,1,MATCH(COLUMNS($AD$1006:AU1006),$AD$1006:$AU$1006,0))&gt;=100000), " ",IF(INDEX($AD$2:$AU$1001,MATCH(ROWS($W$2:W89),$W$2:$W$1001,0),MATCH(COLUMNS($AD$1006:AU1006),$AD$1006:$AU$1006,0)), HYPERLINK("#",""), HYPERLINK(CONCATENATE("#metadata!", ADDRESS(INDEX($Y$2:$Y$1001,MATCH(ROWS($W$2:W89),$W$2:$W$1001,0),0), INDEX($AD$1004:$AU$1004,1,MATCH(COLUMNS($AD$1006:AU1006),$AD$1006:$AU$1006,0)))),"Fix")))</f>
        <v xml:space="preserve"> </v>
      </c>
      <c r="W89">
        <v>88</v>
      </c>
      <c r="X89">
        <v>100089</v>
      </c>
      <c r="Y89">
        <v>89</v>
      </c>
      <c r="Z89" t="b">
        <f t="shared" si="1"/>
        <v>1</v>
      </c>
      <c r="AA89" t="b">
        <f>COUNTBLANK(metadata!B89:S89)=COLUMNS(metadata!B89:S89)</f>
        <v>1</v>
      </c>
      <c r="AB89" t="str">
        <v/>
      </c>
      <c r="AD89" t="b">
        <f ca="1">AND(IF(metadata!B89="",FALSE,TRUE),COUNTIF(metadata!B:B, metadata!B89) = 1,NOT(ISERROR(SUMPRODUCT(SEARCH(MID(metadata!B89,ROW(INDIRECT("1:"&amp;LEN(metadata!B89))), 1),"0123456789abcdefghijklmnopqrstuvwxyzABCDEFGHIJKLMNOPQRSTUVWXYZ.")))))</f>
        <v>0</v>
      </c>
      <c r="AE89" t="b">
        <f>OR(AND(IF(metadata!C89="",FALSE,TRUE),OR(EXACT(metadata!C89,"not applicable"),EXACT(metadata!C89,"missing: not collected"),EXACT(metadata!C89,"missing: not provided"),EXACT(metadata!C89,"missing: restricted access"))),AND(IF(metadata!C89="",FALSE,ISNUMBER(VALUE(metadata!C89))),metadata!C89&gt;0))</f>
        <v>0</v>
      </c>
      <c r="AF89" t="b">
        <f>AND(IF(metadata!D89="",FALSE,TRUE),EXACT(metadata!D89,"missing: not provided"))</f>
        <v>0</v>
      </c>
      <c r="AG89" t="b">
        <f>AND(IF(metadata!E89="",FALSE,TRUE),EXACT(metadata!E89,"Host-associated"))</f>
        <v>0</v>
      </c>
      <c r="AH89" t="b">
        <f>AND(IF(metadata!F89="",FALSE,TRUE),OR(EXACT(metadata!F89,"Animal"),EXACT(metadata!F89,"Fungus"),EXACT(metadata!F89,"Plant")))</f>
        <v>0</v>
      </c>
      <c r="AI89" t="b">
        <f>AND(IF(metadata!G89="",FALSE,TRUE),OR(EXACT(metadata!G89,"Plant secretion"),EXACT(metadata!G89,"Plant rhizosphere"),EXACT(metadata!G89,"Plant surface"),EXACT(metadata!G89,"Plant corpus"),EXACT(metadata!G89,"Fungus surface"),EXACT(metadata!G89,"Fungus corpus"),EXACT(metadata!G89,"Animal surface"),EXACT(metadata!G89,"Animal proximal gut"),EXACT(metadata!G89,"Animal corpus"),EXACT(metadata!G89,"Animal distal gut"),EXACT(metadata!G89,"Animal secretion")))</f>
        <v>0</v>
      </c>
      <c r="AJ89" t="b">
        <f>OR(AND(IF(metadata!H89="",FALSE,TRUE),OR(EXACT(metadata!H89,"missing: not collected"),EXACT(metadata!H89,"missing: not provided"),EXACT(metadata!H89,"missing: restricted access"))),AND(IF(metadata!H89="",FALSE,TRUE),OR(EXACT(metadata!H89,"organism-associated habitat"),EXACT(metadata!H89,"plant-associated habitat"),EXACT(metadata!H89,"animal-associated habitat"),EXACT(metadata!H89,"insecta-associated habitat"),EXACT(metadata!H89,"mammalia-associated habitat"),EXACT(metadata!H89,"human-associated habitat"),EXACT(metadata!H89,"livestock-associated habitat"))))</f>
        <v>0</v>
      </c>
      <c r="AK89" t="b">
        <f>AND(IF(metadata!I89="",FALSE,TRUE),EXACT(metadata!I89,"host-associated"))</f>
        <v>0</v>
      </c>
      <c r="AL89" t="b">
        <f>OR(AND(IF(metadata!J89="",FALSE,TRUE),OR(EXACT(metadata!J89,"not applicable"),EXACT(metadata!J89,"missing: not collected"),EXACT(metadata!J89,"missing: not provided"),EXACT(metadata!J89,"missing: restricted access"))),AND(IF(metadata!J89="",FALSE,ISNUMBER(VALUE(metadata!J89))),metadata!J89&gt;0))</f>
        <v>0</v>
      </c>
      <c r="AM89" t="b">
        <f>AND(IF(metadata!K89="",FALSE,TRUE),EXACT(metadata!K89,"missing: not provided"))</f>
        <v>0</v>
      </c>
      <c r="AN89" t="b">
        <f>IF(metadata!L89="",FALSE,TRUE)</f>
        <v>0</v>
      </c>
      <c r="AO89" t="b">
        <f>IF(metadata!M89="",FALSE,TRUE)</f>
        <v>0</v>
      </c>
      <c r="AP89" t="b">
        <f>OR(AND(IF(metadata!N89="",FALSE,TRUE),OR(EXACT(metadata!N89,"not applicable"),EXACT(metadata!N89,"missing: not collected"),EXACT(metadata!N89,"missing: not provided"))),AND(IF(metadata!N89="",FALSE,IF(ISERROR(INT(metadata!N89)),FALSE,INT(metadata!N89)=metadata!N89)),metadata!N89&gt;0))</f>
        <v>0</v>
      </c>
      <c r="AQ89" t="b">
        <f>AND(IF(metadata!O89="",FALSE,TRUE),EXACT(metadata!O89,"Not applicable"))</f>
        <v>0</v>
      </c>
      <c r="AR89" t="b">
        <f>OR(AND(IF(metadata!P89="",FALSE,TRUE),OR(EXACT(metadata!P89,"not applicable"),EXACT(metadata!P89,"missing: not collected"),EXACT(metadata!P89,"missing: not provided"),EXACT(metadata!P89,"missing: restricted access"))),IF(metadata!P89="",FALSE,IF(ISERROR(INT(metadata!P89)),FALSE,INT(metadata!P89)=metadata!P89)))</f>
        <v>0</v>
      </c>
      <c r="AS89" t="b">
        <f>AND(IF(metadata!Q89="",FALSE,TRUE),EXACT(metadata!Q89,"Not applicable"))</f>
        <v>0</v>
      </c>
      <c r="AT89" t="b">
        <f>OR(AND(IF(metadata!R89="",FALSE,TRUE),OR(EXACT(metadata!R89,"not applicable"),EXACT(metadata!R89,"missing: not collected"),EXACT(metadata!R89,"missing: not provided"),EXACT(metadata!R89,"missing: restricted access"))),AND(IF(metadata!R89="",FALSE,ISNUMBER(VALUE(metadata!R89))),metadata!R89&gt;0))</f>
        <v>0</v>
      </c>
      <c r="AU89" t="b">
        <f>AND(IF(metadata!S89="",FALSE,TRUE),EXACT(metadata!S89,"missing: not provided"))</f>
        <v>0</v>
      </c>
    </row>
    <row r="90" spans="1:47" x14ac:dyDescent="0.2">
      <c r="A90" s="5" t="str">
        <f ca="1">IF(B90=" "," ",HYPERLINK(CONCATENATE("#metadata!",ADDRESS(INDEX($Y$2:$Y$1001,MATCH(ROWS($W$2:W90),$W$2:$W$1001,0),0),1)),INDEX($AB$2:$AB$1001,MATCH(ROWS($W$2:W90),$W$2:$W$1001,0),0)))</f>
        <v xml:space="preserve"> </v>
      </c>
      <c r="B90" s="4" t="str">
        <f ca="1">IF(OR(INDEX($X$2:$X$1001,MATCH(ROWS($W$2:W90),$W$2:$W$1001,0),1)&gt;=100000,INDEX($AD$1005:$AU$1005,1,MATCH(COLUMNS($AD$1006:AD1006),$AD$1006:$AU$1006,0))&gt;=100000), " ",IF(INDEX($AD$2:$AU$1001,MATCH(ROWS($W$2:W90),$W$2:$W$1001,0),MATCH(COLUMNS($AD$1006:AD1006),$AD$1006:$AU$1006,0)), HYPERLINK("#",""), HYPERLINK(CONCATENATE("#metadata!", ADDRESS(INDEX($Y$2:$Y$1001,MATCH(ROWS($W$2:W90),$W$2:$W$1001,0),0), INDEX($AD$1004:$AU$1004,1,MATCH(COLUMNS($AD$1006:AD1006),$AD$1006:$AU$1006,0)))),"Fix")))</f>
        <v xml:space="preserve"> </v>
      </c>
      <c r="C90" s="4" t="str">
        <f ca="1">IF(OR(INDEX($X$2:$X$1001,MATCH(ROWS($W$2:W90),$W$2:$W$1001,0),1)&gt;=100000,INDEX($AD$1005:$AU$1005,1,MATCH(COLUMNS($AD$1006:AE1006),$AD$1006:$AU$1006,0))&gt;=100000), " ",IF(INDEX($AD$2:$AU$1001,MATCH(ROWS($W$2:W90),$W$2:$W$1001,0),MATCH(COLUMNS($AD$1006:AE1006),$AD$1006:$AU$1006,0)), HYPERLINK("#",""), HYPERLINK(CONCATENATE("#metadata!", ADDRESS(INDEX($Y$2:$Y$1001,MATCH(ROWS($W$2:W90),$W$2:$W$1001,0),0), INDEX($AD$1004:$AU$1004,1,MATCH(COLUMNS($AD$1006:AE1006),$AD$1006:$AU$1006,0)))),"Fix")))</f>
        <v xml:space="preserve"> </v>
      </c>
      <c r="D90" s="4" t="str">
        <f ca="1">IF(OR(INDEX($X$2:$X$1001,MATCH(ROWS($W$2:W90),$W$2:$W$1001,0),1)&gt;=100000,INDEX($AD$1005:$AU$1005,1,MATCH(COLUMNS($AD$1006:AF1006),$AD$1006:$AU$1006,0))&gt;=100000), " ",IF(INDEX($AD$2:$AU$1001,MATCH(ROWS($W$2:W90),$W$2:$W$1001,0),MATCH(COLUMNS($AD$1006:AF1006),$AD$1006:$AU$1006,0)), HYPERLINK("#",""), HYPERLINK(CONCATENATE("#metadata!", ADDRESS(INDEX($Y$2:$Y$1001,MATCH(ROWS($W$2:W90),$W$2:$W$1001,0),0), INDEX($AD$1004:$AU$1004,1,MATCH(COLUMNS($AD$1006:AF1006),$AD$1006:$AU$1006,0)))),"Fix")))</f>
        <v xml:space="preserve"> </v>
      </c>
      <c r="E90" s="4" t="str">
        <f ca="1">IF(OR(INDEX($X$2:$X$1001,MATCH(ROWS($W$2:W90),$W$2:$W$1001,0),1)&gt;=100000,INDEX($AD$1005:$AU$1005,1,MATCH(COLUMNS($AD$1006:AG1006),$AD$1006:$AU$1006,0))&gt;=100000), " ",IF(INDEX($AD$2:$AU$1001,MATCH(ROWS($W$2:W90),$W$2:$W$1001,0),MATCH(COLUMNS($AD$1006:AG1006),$AD$1006:$AU$1006,0)), HYPERLINK("#",""), HYPERLINK(CONCATENATE("#metadata!", ADDRESS(INDEX($Y$2:$Y$1001,MATCH(ROWS($W$2:W90),$W$2:$W$1001,0),0), INDEX($AD$1004:$AU$1004,1,MATCH(COLUMNS($AD$1006:AG1006),$AD$1006:$AU$1006,0)))),"Fix")))</f>
        <v xml:space="preserve"> </v>
      </c>
      <c r="F90" s="4" t="str">
        <f ca="1">IF(OR(INDEX($X$2:$X$1001,MATCH(ROWS($W$2:W90),$W$2:$W$1001,0),1)&gt;=100000,INDEX($AD$1005:$AU$1005,1,MATCH(COLUMNS($AD$1006:AH1006),$AD$1006:$AU$1006,0))&gt;=100000), " ",IF(INDEX($AD$2:$AU$1001,MATCH(ROWS($W$2:W90),$W$2:$W$1001,0),MATCH(COLUMNS($AD$1006:AH1006),$AD$1006:$AU$1006,0)), HYPERLINK("#",""), HYPERLINK(CONCATENATE("#metadata!", ADDRESS(INDEX($Y$2:$Y$1001,MATCH(ROWS($W$2:W90),$W$2:$W$1001,0),0), INDEX($AD$1004:$AU$1004,1,MATCH(COLUMNS($AD$1006:AH1006),$AD$1006:$AU$1006,0)))),"Fix")))</f>
        <v xml:space="preserve"> </v>
      </c>
      <c r="G90" s="4" t="str">
        <f ca="1">IF(OR(INDEX($X$2:$X$1001,MATCH(ROWS($W$2:W90),$W$2:$W$1001,0),1)&gt;=100000,INDEX($AD$1005:$AU$1005,1,MATCH(COLUMNS($AD$1006:AI1006),$AD$1006:$AU$1006,0))&gt;=100000), " ",IF(INDEX($AD$2:$AU$1001,MATCH(ROWS($W$2:W90),$W$2:$W$1001,0),MATCH(COLUMNS($AD$1006:AI1006),$AD$1006:$AU$1006,0)), HYPERLINK("#",""), HYPERLINK(CONCATENATE("#metadata!", ADDRESS(INDEX($Y$2:$Y$1001,MATCH(ROWS($W$2:W90),$W$2:$W$1001,0),0), INDEX($AD$1004:$AU$1004,1,MATCH(COLUMNS($AD$1006:AI1006),$AD$1006:$AU$1006,0)))),"Fix")))</f>
        <v xml:space="preserve"> </v>
      </c>
      <c r="H90" s="4" t="str">
        <f ca="1">IF(OR(INDEX($X$2:$X$1001,MATCH(ROWS($W$2:W90),$W$2:$W$1001,0),1)&gt;=100000,INDEX($AD$1005:$AU$1005,1,MATCH(COLUMNS($AD$1006:AJ1006),$AD$1006:$AU$1006,0))&gt;=100000), " ",IF(INDEX($AD$2:$AU$1001,MATCH(ROWS($W$2:W90),$W$2:$W$1001,0),MATCH(COLUMNS($AD$1006:AJ1006),$AD$1006:$AU$1006,0)), HYPERLINK("#",""), HYPERLINK(CONCATENATE("#metadata!", ADDRESS(INDEX($Y$2:$Y$1001,MATCH(ROWS($W$2:W90),$W$2:$W$1001,0),0), INDEX($AD$1004:$AU$1004,1,MATCH(COLUMNS($AD$1006:AJ1006),$AD$1006:$AU$1006,0)))),"Fix")))</f>
        <v xml:space="preserve"> </v>
      </c>
      <c r="I90" s="4" t="str">
        <f ca="1">IF(OR(INDEX($X$2:$X$1001,MATCH(ROWS($W$2:W90),$W$2:$W$1001,0),1)&gt;=100000,INDEX($AD$1005:$AU$1005,1,MATCH(COLUMNS($AD$1006:AK1006),$AD$1006:$AU$1006,0))&gt;=100000), " ",IF(INDEX($AD$2:$AU$1001,MATCH(ROWS($W$2:W90),$W$2:$W$1001,0),MATCH(COLUMNS($AD$1006:AK1006),$AD$1006:$AU$1006,0)), HYPERLINK("#",""), HYPERLINK(CONCATENATE("#metadata!", ADDRESS(INDEX($Y$2:$Y$1001,MATCH(ROWS($W$2:W90),$W$2:$W$1001,0),0), INDEX($AD$1004:$AU$1004,1,MATCH(COLUMNS($AD$1006:AK1006),$AD$1006:$AU$1006,0)))),"Fix")))</f>
        <v xml:space="preserve"> </v>
      </c>
      <c r="J90" s="4" t="str">
        <f ca="1">IF(OR(INDEX($X$2:$X$1001,MATCH(ROWS($W$2:W90),$W$2:$W$1001,0),1)&gt;=100000,INDEX($AD$1005:$AU$1005,1,MATCH(COLUMNS($AD$1006:AL1006),$AD$1006:$AU$1006,0))&gt;=100000), " ",IF(INDEX($AD$2:$AU$1001,MATCH(ROWS($W$2:W90),$W$2:$W$1001,0),MATCH(COLUMNS($AD$1006:AL1006),$AD$1006:$AU$1006,0)), HYPERLINK("#",""), HYPERLINK(CONCATENATE("#metadata!", ADDRESS(INDEX($Y$2:$Y$1001,MATCH(ROWS($W$2:W90),$W$2:$W$1001,0),0), INDEX($AD$1004:$AU$1004,1,MATCH(COLUMNS($AD$1006:AL1006),$AD$1006:$AU$1006,0)))),"Fix")))</f>
        <v xml:space="preserve"> </v>
      </c>
      <c r="K90" s="4" t="str">
        <f ca="1">IF(OR(INDEX($X$2:$X$1001,MATCH(ROWS($W$2:W90),$W$2:$W$1001,0),1)&gt;=100000,INDEX($AD$1005:$AU$1005,1,MATCH(COLUMNS($AD$1006:AM1006),$AD$1006:$AU$1006,0))&gt;=100000), " ",IF(INDEX($AD$2:$AU$1001,MATCH(ROWS($W$2:W90),$W$2:$W$1001,0),MATCH(COLUMNS($AD$1006:AM1006),$AD$1006:$AU$1006,0)), HYPERLINK("#",""), HYPERLINK(CONCATENATE("#metadata!", ADDRESS(INDEX($Y$2:$Y$1001,MATCH(ROWS($W$2:W90),$W$2:$W$1001,0),0), INDEX($AD$1004:$AU$1004,1,MATCH(COLUMNS($AD$1006:AM1006),$AD$1006:$AU$1006,0)))),"Fix")))</f>
        <v xml:space="preserve"> </v>
      </c>
      <c r="L90" s="4" t="str">
        <f ca="1">IF(OR(INDEX($X$2:$X$1001,MATCH(ROWS($W$2:W90),$W$2:$W$1001,0),1)&gt;=100000,INDEX($AD$1005:$AU$1005,1,MATCH(COLUMNS($AD$1006:AN1006),$AD$1006:$AU$1006,0))&gt;=100000), " ",IF(INDEX($AD$2:$AU$1001,MATCH(ROWS($W$2:W90),$W$2:$W$1001,0),MATCH(COLUMNS($AD$1006:AN1006),$AD$1006:$AU$1006,0)), HYPERLINK("#",""), HYPERLINK(CONCATENATE("#metadata!", ADDRESS(INDEX($Y$2:$Y$1001,MATCH(ROWS($W$2:W90),$W$2:$W$1001,0),0), INDEX($AD$1004:$AU$1004,1,MATCH(COLUMNS($AD$1006:AN1006),$AD$1006:$AU$1006,0)))),"Fix")))</f>
        <v xml:space="preserve"> </v>
      </c>
      <c r="M90" s="4" t="str">
        <f ca="1">IF(OR(INDEX($X$2:$X$1001,MATCH(ROWS($W$2:W90),$W$2:$W$1001,0),1)&gt;=100000,INDEX($AD$1005:$AU$1005,1,MATCH(COLUMNS($AD$1006:AO1006),$AD$1006:$AU$1006,0))&gt;=100000), " ",IF(INDEX($AD$2:$AU$1001,MATCH(ROWS($W$2:W90),$W$2:$W$1001,0),MATCH(COLUMNS($AD$1006:AO1006),$AD$1006:$AU$1006,0)), HYPERLINK("#",""), HYPERLINK(CONCATENATE("#metadata!", ADDRESS(INDEX($Y$2:$Y$1001,MATCH(ROWS($W$2:W90),$W$2:$W$1001,0),0), INDEX($AD$1004:$AU$1004,1,MATCH(COLUMNS($AD$1006:AO1006),$AD$1006:$AU$1006,0)))),"Fix")))</f>
        <v xml:space="preserve"> </v>
      </c>
      <c r="N90" s="4" t="str">
        <f ca="1">IF(OR(INDEX($X$2:$X$1001,MATCH(ROWS($W$2:W90),$W$2:$W$1001,0),1)&gt;=100000,INDEX($AD$1005:$AU$1005,1,MATCH(COLUMNS($AD$1006:AP1006),$AD$1006:$AU$1006,0))&gt;=100000), " ",IF(INDEX($AD$2:$AU$1001,MATCH(ROWS($W$2:W90),$W$2:$W$1001,0),MATCH(COLUMNS($AD$1006:AP1006),$AD$1006:$AU$1006,0)), HYPERLINK("#",""), HYPERLINK(CONCATENATE("#metadata!", ADDRESS(INDEX($Y$2:$Y$1001,MATCH(ROWS($W$2:W90),$W$2:$W$1001,0),0), INDEX($AD$1004:$AU$1004,1,MATCH(COLUMNS($AD$1006:AP1006),$AD$1006:$AU$1006,0)))),"Fix")))</f>
        <v xml:space="preserve"> </v>
      </c>
      <c r="O90" s="4" t="str">
        <f ca="1">IF(OR(INDEX($X$2:$X$1001,MATCH(ROWS($W$2:W90),$W$2:$W$1001,0),1)&gt;=100000,INDEX($AD$1005:$AU$1005,1,MATCH(COLUMNS($AD$1006:AQ1006),$AD$1006:$AU$1006,0))&gt;=100000), " ",IF(INDEX($AD$2:$AU$1001,MATCH(ROWS($W$2:W90),$W$2:$W$1001,0),MATCH(COLUMNS($AD$1006:AQ1006),$AD$1006:$AU$1006,0)), HYPERLINK("#",""), HYPERLINK(CONCATENATE("#metadata!", ADDRESS(INDEX($Y$2:$Y$1001,MATCH(ROWS($W$2:W90),$W$2:$W$1001,0),0), INDEX($AD$1004:$AU$1004,1,MATCH(COLUMNS($AD$1006:AQ1006),$AD$1006:$AU$1006,0)))),"Fix")))</f>
        <v xml:space="preserve"> </v>
      </c>
      <c r="P90" s="4" t="str">
        <f ca="1">IF(OR(INDEX($X$2:$X$1001,MATCH(ROWS($W$2:W90),$W$2:$W$1001,0),1)&gt;=100000,INDEX($AD$1005:$AU$1005,1,MATCH(COLUMNS($AD$1006:AR1006),$AD$1006:$AU$1006,0))&gt;=100000), " ",IF(INDEX($AD$2:$AU$1001,MATCH(ROWS($W$2:W90),$W$2:$W$1001,0),MATCH(COLUMNS($AD$1006:AR1006),$AD$1006:$AU$1006,0)), HYPERLINK("#",""), HYPERLINK(CONCATENATE("#metadata!", ADDRESS(INDEX($Y$2:$Y$1001,MATCH(ROWS($W$2:W90),$W$2:$W$1001,0),0), INDEX($AD$1004:$AU$1004,1,MATCH(COLUMNS($AD$1006:AR1006),$AD$1006:$AU$1006,0)))),"Fix")))</f>
        <v xml:space="preserve"> </v>
      </c>
      <c r="Q90" s="4" t="str">
        <f ca="1">IF(OR(INDEX($X$2:$X$1001,MATCH(ROWS($W$2:W90),$W$2:$W$1001,0),1)&gt;=100000,INDEX($AD$1005:$AU$1005,1,MATCH(COLUMNS($AD$1006:AS1006),$AD$1006:$AU$1006,0))&gt;=100000), " ",IF(INDEX($AD$2:$AU$1001,MATCH(ROWS($W$2:W90),$W$2:$W$1001,0),MATCH(COLUMNS($AD$1006:AS1006),$AD$1006:$AU$1006,0)), HYPERLINK("#",""), HYPERLINK(CONCATENATE("#metadata!", ADDRESS(INDEX($Y$2:$Y$1001,MATCH(ROWS($W$2:W90),$W$2:$W$1001,0),0), INDEX($AD$1004:$AU$1004,1,MATCH(COLUMNS($AD$1006:AS1006),$AD$1006:$AU$1006,0)))),"Fix")))</f>
        <v xml:space="preserve"> </v>
      </c>
      <c r="R90" s="4" t="str">
        <f ca="1">IF(OR(INDEX($X$2:$X$1001,MATCH(ROWS($W$2:W90),$W$2:$W$1001,0),1)&gt;=100000,INDEX($AD$1005:$AU$1005,1,MATCH(COLUMNS($AD$1006:AT1006),$AD$1006:$AU$1006,0))&gt;=100000), " ",IF(INDEX($AD$2:$AU$1001,MATCH(ROWS($W$2:W90),$W$2:$W$1001,0),MATCH(COLUMNS($AD$1006:AT1006),$AD$1006:$AU$1006,0)), HYPERLINK("#",""), HYPERLINK(CONCATENATE("#metadata!", ADDRESS(INDEX($Y$2:$Y$1001,MATCH(ROWS($W$2:W90),$W$2:$W$1001,0),0), INDEX($AD$1004:$AU$1004,1,MATCH(COLUMNS($AD$1006:AT1006),$AD$1006:$AU$1006,0)))),"Fix")))</f>
        <v xml:space="preserve"> </v>
      </c>
      <c r="S90" s="4" t="str">
        <f ca="1">IF(OR(INDEX($X$2:$X$1001,MATCH(ROWS($W$2:W90),$W$2:$W$1001,0),1)&gt;=100000,INDEX($AD$1005:$AU$1005,1,MATCH(COLUMNS($AD$1006:AU1006),$AD$1006:$AU$1006,0))&gt;=100000), " ",IF(INDEX($AD$2:$AU$1001,MATCH(ROWS($W$2:W90),$W$2:$W$1001,0),MATCH(COLUMNS($AD$1006:AU1006),$AD$1006:$AU$1006,0)), HYPERLINK("#",""), HYPERLINK(CONCATENATE("#metadata!", ADDRESS(INDEX($Y$2:$Y$1001,MATCH(ROWS($W$2:W90),$W$2:$W$1001,0),0), INDEX($AD$1004:$AU$1004,1,MATCH(COLUMNS($AD$1006:AU1006),$AD$1006:$AU$1006,0)))),"Fix")))</f>
        <v xml:space="preserve"> </v>
      </c>
      <c r="W90">
        <v>89</v>
      </c>
      <c r="X90">
        <v>100090</v>
      </c>
      <c r="Y90">
        <v>90</v>
      </c>
      <c r="Z90" t="b">
        <f t="shared" si="1"/>
        <v>1</v>
      </c>
      <c r="AA90" t="b">
        <f>COUNTBLANK(metadata!B90:S90)=COLUMNS(metadata!B90:S90)</f>
        <v>1</v>
      </c>
      <c r="AB90" t="str">
        <v/>
      </c>
      <c r="AD90" t="b">
        <f ca="1">AND(IF(metadata!B90="",FALSE,TRUE),COUNTIF(metadata!B:B, metadata!B90) = 1,NOT(ISERROR(SUMPRODUCT(SEARCH(MID(metadata!B90,ROW(INDIRECT("1:"&amp;LEN(metadata!B90))), 1),"0123456789abcdefghijklmnopqrstuvwxyzABCDEFGHIJKLMNOPQRSTUVWXYZ.")))))</f>
        <v>0</v>
      </c>
      <c r="AE90" t="b">
        <f>OR(AND(IF(metadata!C90="",FALSE,TRUE),OR(EXACT(metadata!C90,"not applicable"),EXACT(metadata!C90,"missing: not collected"),EXACT(metadata!C90,"missing: not provided"),EXACT(metadata!C90,"missing: restricted access"))),AND(IF(metadata!C90="",FALSE,ISNUMBER(VALUE(metadata!C90))),metadata!C90&gt;0))</f>
        <v>0</v>
      </c>
      <c r="AF90" t="b">
        <f>AND(IF(metadata!D90="",FALSE,TRUE),EXACT(metadata!D90,"missing: not provided"))</f>
        <v>0</v>
      </c>
      <c r="AG90" t="b">
        <f>AND(IF(metadata!E90="",FALSE,TRUE),EXACT(metadata!E90,"Host-associated"))</f>
        <v>0</v>
      </c>
      <c r="AH90" t="b">
        <f>AND(IF(metadata!F90="",FALSE,TRUE),OR(EXACT(metadata!F90,"Animal"),EXACT(metadata!F90,"Fungus"),EXACT(metadata!F90,"Plant")))</f>
        <v>0</v>
      </c>
      <c r="AI90" t="b">
        <f>AND(IF(metadata!G90="",FALSE,TRUE),OR(EXACT(metadata!G90,"Plant secretion"),EXACT(metadata!G90,"Plant rhizosphere"),EXACT(metadata!G90,"Plant surface"),EXACT(metadata!G90,"Plant corpus"),EXACT(metadata!G90,"Fungus surface"),EXACT(metadata!G90,"Fungus corpus"),EXACT(metadata!G90,"Animal surface"),EXACT(metadata!G90,"Animal proximal gut"),EXACT(metadata!G90,"Animal corpus"),EXACT(metadata!G90,"Animal distal gut"),EXACT(metadata!G90,"Animal secretion")))</f>
        <v>0</v>
      </c>
      <c r="AJ90" t="b">
        <f>OR(AND(IF(metadata!H90="",FALSE,TRUE),OR(EXACT(metadata!H90,"missing: not collected"),EXACT(metadata!H90,"missing: not provided"),EXACT(metadata!H90,"missing: restricted access"))),AND(IF(metadata!H90="",FALSE,TRUE),OR(EXACT(metadata!H90,"organism-associated habitat"),EXACT(metadata!H90,"plant-associated habitat"),EXACT(metadata!H90,"animal-associated habitat"),EXACT(metadata!H90,"insecta-associated habitat"),EXACT(metadata!H90,"mammalia-associated habitat"),EXACT(metadata!H90,"human-associated habitat"),EXACT(metadata!H90,"livestock-associated habitat"))))</f>
        <v>0</v>
      </c>
      <c r="AK90" t="b">
        <f>AND(IF(metadata!I90="",FALSE,TRUE),EXACT(metadata!I90,"host-associated"))</f>
        <v>0</v>
      </c>
      <c r="AL90" t="b">
        <f>OR(AND(IF(metadata!J90="",FALSE,TRUE),OR(EXACT(metadata!J90,"not applicable"),EXACT(metadata!J90,"missing: not collected"),EXACT(metadata!J90,"missing: not provided"),EXACT(metadata!J90,"missing: restricted access"))),AND(IF(metadata!J90="",FALSE,ISNUMBER(VALUE(metadata!J90))),metadata!J90&gt;0))</f>
        <v>0</v>
      </c>
      <c r="AM90" t="b">
        <f>AND(IF(metadata!K90="",FALSE,TRUE),EXACT(metadata!K90,"missing: not provided"))</f>
        <v>0</v>
      </c>
      <c r="AN90" t="b">
        <f>IF(metadata!L90="",FALSE,TRUE)</f>
        <v>0</v>
      </c>
      <c r="AO90" t="b">
        <f>IF(metadata!M90="",FALSE,TRUE)</f>
        <v>0</v>
      </c>
      <c r="AP90" t="b">
        <f>OR(AND(IF(metadata!N90="",FALSE,TRUE),OR(EXACT(metadata!N90,"not applicable"),EXACT(metadata!N90,"missing: not collected"),EXACT(metadata!N90,"missing: not provided"))),AND(IF(metadata!N90="",FALSE,IF(ISERROR(INT(metadata!N90)),FALSE,INT(metadata!N90)=metadata!N90)),metadata!N90&gt;0))</f>
        <v>0</v>
      </c>
      <c r="AQ90" t="b">
        <f>AND(IF(metadata!O90="",FALSE,TRUE),EXACT(metadata!O90,"Not applicable"))</f>
        <v>0</v>
      </c>
      <c r="AR90" t="b">
        <f>OR(AND(IF(metadata!P90="",FALSE,TRUE),OR(EXACT(metadata!P90,"not applicable"),EXACT(metadata!P90,"missing: not collected"),EXACT(metadata!P90,"missing: not provided"),EXACT(metadata!P90,"missing: restricted access"))),IF(metadata!P90="",FALSE,IF(ISERROR(INT(metadata!P90)),FALSE,INT(metadata!P90)=metadata!P90)))</f>
        <v>0</v>
      </c>
      <c r="AS90" t="b">
        <f>AND(IF(metadata!Q90="",FALSE,TRUE),EXACT(metadata!Q90,"Not applicable"))</f>
        <v>0</v>
      </c>
      <c r="AT90" t="b">
        <f>OR(AND(IF(metadata!R90="",FALSE,TRUE),OR(EXACT(metadata!R90,"not applicable"),EXACT(metadata!R90,"missing: not collected"),EXACT(metadata!R90,"missing: not provided"),EXACT(metadata!R90,"missing: restricted access"))),AND(IF(metadata!R90="",FALSE,ISNUMBER(VALUE(metadata!R90))),metadata!R90&gt;0))</f>
        <v>0</v>
      </c>
      <c r="AU90" t="b">
        <f>AND(IF(metadata!S90="",FALSE,TRUE),EXACT(metadata!S90,"missing: not provided"))</f>
        <v>0</v>
      </c>
    </row>
    <row r="91" spans="1:47" x14ac:dyDescent="0.2">
      <c r="A91" s="5" t="str">
        <f ca="1">IF(B91=" "," ",HYPERLINK(CONCATENATE("#metadata!",ADDRESS(INDEX($Y$2:$Y$1001,MATCH(ROWS($W$2:W91),$W$2:$W$1001,0),0),1)),INDEX($AB$2:$AB$1001,MATCH(ROWS($W$2:W91),$W$2:$W$1001,0),0)))</f>
        <v xml:space="preserve"> </v>
      </c>
      <c r="B91" s="4" t="str">
        <f ca="1">IF(OR(INDEX($X$2:$X$1001,MATCH(ROWS($W$2:W91),$W$2:$W$1001,0),1)&gt;=100000,INDEX($AD$1005:$AU$1005,1,MATCH(COLUMNS($AD$1006:AD1006),$AD$1006:$AU$1006,0))&gt;=100000), " ",IF(INDEX($AD$2:$AU$1001,MATCH(ROWS($W$2:W91),$W$2:$W$1001,0),MATCH(COLUMNS($AD$1006:AD1006),$AD$1006:$AU$1006,0)), HYPERLINK("#",""), HYPERLINK(CONCATENATE("#metadata!", ADDRESS(INDEX($Y$2:$Y$1001,MATCH(ROWS($W$2:W91),$W$2:$W$1001,0),0), INDEX($AD$1004:$AU$1004,1,MATCH(COLUMNS($AD$1006:AD1006),$AD$1006:$AU$1006,0)))),"Fix")))</f>
        <v xml:space="preserve"> </v>
      </c>
      <c r="C91" s="4" t="str">
        <f ca="1">IF(OR(INDEX($X$2:$X$1001,MATCH(ROWS($W$2:W91),$W$2:$W$1001,0),1)&gt;=100000,INDEX($AD$1005:$AU$1005,1,MATCH(COLUMNS($AD$1006:AE1006),$AD$1006:$AU$1006,0))&gt;=100000), " ",IF(INDEX($AD$2:$AU$1001,MATCH(ROWS($W$2:W91),$W$2:$W$1001,0),MATCH(COLUMNS($AD$1006:AE1006),$AD$1006:$AU$1006,0)), HYPERLINK("#",""), HYPERLINK(CONCATENATE("#metadata!", ADDRESS(INDEX($Y$2:$Y$1001,MATCH(ROWS($W$2:W91),$W$2:$W$1001,0),0), INDEX($AD$1004:$AU$1004,1,MATCH(COLUMNS($AD$1006:AE1006),$AD$1006:$AU$1006,0)))),"Fix")))</f>
        <v xml:space="preserve"> </v>
      </c>
      <c r="D91" s="4" t="str">
        <f ca="1">IF(OR(INDEX($X$2:$X$1001,MATCH(ROWS($W$2:W91),$W$2:$W$1001,0),1)&gt;=100000,INDEX($AD$1005:$AU$1005,1,MATCH(COLUMNS($AD$1006:AF1006),$AD$1006:$AU$1006,0))&gt;=100000), " ",IF(INDEX($AD$2:$AU$1001,MATCH(ROWS($W$2:W91),$W$2:$W$1001,0),MATCH(COLUMNS($AD$1006:AF1006),$AD$1006:$AU$1006,0)), HYPERLINK("#",""), HYPERLINK(CONCATENATE("#metadata!", ADDRESS(INDEX($Y$2:$Y$1001,MATCH(ROWS($W$2:W91),$W$2:$W$1001,0),0), INDEX($AD$1004:$AU$1004,1,MATCH(COLUMNS($AD$1006:AF1006),$AD$1006:$AU$1006,0)))),"Fix")))</f>
        <v xml:space="preserve"> </v>
      </c>
      <c r="E91" s="4" t="str">
        <f ca="1">IF(OR(INDEX($X$2:$X$1001,MATCH(ROWS($W$2:W91),$W$2:$W$1001,0),1)&gt;=100000,INDEX($AD$1005:$AU$1005,1,MATCH(COLUMNS($AD$1006:AG1006),$AD$1006:$AU$1006,0))&gt;=100000), " ",IF(INDEX($AD$2:$AU$1001,MATCH(ROWS($W$2:W91),$W$2:$W$1001,0),MATCH(COLUMNS($AD$1006:AG1006),$AD$1006:$AU$1006,0)), HYPERLINK("#",""), HYPERLINK(CONCATENATE("#metadata!", ADDRESS(INDEX($Y$2:$Y$1001,MATCH(ROWS($W$2:W91),$W$2:$W$1001,0),0), INDEX($AD$1004:$AU$1004,1,MATCH(COLUMNS($AD$1006:AG1006),$AD$1006:$AU$1006,0)))),"Fix")))</f>
        <v xml:space="preserve"> </v>
      </c>
      <c r="F91" s="4" t="str">
        <f ca="1">IF(OR(INDEX($X$2:$X$1001,MATCH(ROWS($W$2:W91),$W$2:$W$1001,0),1)&gt;=100000,INDEX($AD$1005:$AU$1005,1,MATCH(COLUMNS($AD$1006:AH1006),$AD$1006:$AU$1006,0))&gt;=100000), " ",IF(INDEX($AD$2:$AU$1001,MATCH(ROWS($W$2:W91),$W$2:$W$1001,0),MATCH(COLUMNS($AD$1006:AH1006),$AD$1006:$AU$1006,0)), HYPERLINK("#",""), HYPERLINK(CONCATENATE("#metadata!", ADDRESS(INDEX($Y$2:$Y$1001,MATCH(ROWS($W$2:W91),$W$2:$W$1001,0),0), INDEX($AD$1004:$AU$1004,1,MATCH(COLUMNS($AD$1006:AH1006),$AD$1006:$AU$1006,0)))),"Fix")))</f>
        <v xml:space="preserve"> </v>
      </c>
      <c r="G91" s="4" t="str">
        <f ca="1">IF(OR(INDEX($X$2:$X$1001,MATCH(ROWS($W$2:W91),$W$2:$W$1001,0),1)&gt;=100000,INDEX($AD$1005:$AU$1005,1,MATCH(COLUMNS($AD$1006:AI1006),$AD$1006:$AU$1006,0))&gt;=100000), " ",IF(INDEX($AD$2:$AU$1001,MATCH(ROWS($W$2:W91),$W$2:$W$1001,0),MATCH(COLUMNS($AD$1006:AI1006),$AD$1006:$AU$1006,0)), HYPERLINK("#",""), HYPERLINK(CONCATENATE("#metadata!", ADDRESS(INDEX($Y$2:$Y$1001,MATCH(ROWS($W$2:W91),$W$2:$W$1001,0),0), INDEX($AD$1004:$AU$1004,1,MATCH(COLUMNS($AD$1006:AI1006),$AD$1006:$AU$1006,0)))),"Fix")))</f>
        <v xml:space="preserve"> </v>
      </c>
      <c r="H91" s="4" t="str">
        <f ca="1">IF(OR(INDEX($X$2:$X$1001,MATCH(ROWS($W$2:W91),$W$2:$W$1001,0),1)&gt;=100000,INDEX($AD$1005:$AU$1005,1,MATCH(COLUMNS($AD$1006:AJ1006),$AD$1006:$AU$1006,0))&gt;=100000), " ",IF(INDEX($AD$2:$AU$1001,MATCH(ROWS($W$2:W91),$W$2:$W$1001,0),MATCH(COLUMNS($AD$1006:AJ1006),$AD$1006:$AU$1006,0)), HYPERLINK("#",""), HYPERLINK(CONCATENATE("#metadata!", ADDRESS(INDEX($Y$2:$Y$1001,MATCH(ROWS($W$2:W91),$W$2:$W$1001,0),0), INDEX($AD$1004:$AU$1004,1,MATCH(COLUMNS($AD$1006:AJ1006),$AD$1006:$AU$1006,0)))),"Fix")))</f>
        <v xml:space="preserve"> </v>
      </c>
      <c r="I91" s="4" t="str">
        <f ca="1">IF(OR(INDEX($X$2:$X$1001,MATCH(ROWS($W$2:W91),$W$2:$W$1001,0),1)&gt;=100000,INDEX($AD$1005:$AU$1005,1,MATCH(COLUMNS($AD$1006:AK1006),$AD$1006:$AU$1006,0))&gt;=100000), " ",IF(INDEX($AD$2:$AU$1001,MATCH(ROWS($W$2:W91),$W$2:$W$1001,0),MATCH(COLUMNS($AD$1006:AK1006),$AD$1006:$AU$1006,0)), HYPERLINK("#",""), HYPERLINK(CONCATENATE("#metadata!", ADDRESS(INDEX($Y$2:$Y$1001,MATCH(ROWS($W$2:W91),$W$2:$W$1001,0),0), INDEX($AD$1004:$AU$1004,1,MATCH(COLUMNS($AD$1006:AK1006),$AD$1006:$AU$1006,0)))),"Fix")))</f>
        <v xml:space="preserve"> </v>
      </c>
      <c r="J91" s="4" t="str">
        <f ca="1">IF(OR(INDEX($X$2:$X$1001,MATCH(ROWS($W$2:W91),$W$2:$W$1001,0),1)&gt;=100000,INDEX($AD$1005:$AU$1005,1,MATCH(COLUMNS($AD$1006:AL1006),$AD$1006:$AU$1006,0))&gt;=100000), " ",IF(INDEX($AD$2:$AU$1001,MATCH(ROWS($W$2:W91),$W$2:$W$1001,0),MATCH(COLUMNS($AD$1006:AL1006),$AD$1006:$AU$1006,0)), HYPERLINK("#",""), HYPERLINK(CONCATENATE("#metadata!", ADDRESS(INDEX($Y$2:$Y$1001,MATCH(ROWS($W$2:W91),$W$2:$W$1001,0),0), INDEX($AD$1004:$AU$1004,1,MATCH(COLUMNS($AD$1006:AL1006),$AD$1006:$AU$1006,0)))),"Fix")))</f>
        <v xml:space="preserve"> </v>
      </c>
      <c r="K91" s="4" t="str">
        <f ca="1">IF(OR(INDEX($X$2:$X$1001,MATCH(ROWS($W$2:W91),$W$2:$W$1001,0),1)&gt;=100000,INDEX($AD$1005:$AU$1005,1,MATCH(COLUMNS($AD$1006:AM1006),$AD$1006:$AU$1006,0))&gt;=100000), " ",IF(INDEX($AD$2:$AU$1001,MATCH(ROWS($W$2:W91),$W$2:$W$1001,0),MATCH(COLUMNS($AD$1006:AM1006),$AD$1006:$AU$1006,0)), HYPERLINK("#",""), HYPERLINK(CONCATENATE("#metadata!", ADDRESS(INDEX($Y$2:$Y$1001,MATCH(ROWS($W$2:W91),$W$2:$W$1001,0),0), INDEX($AD$1004:$AU$1004,1,MATCH(COLUMNS($AD$1006:AM1006),$AD$1006:$AU$1006,0)))),"Fix")))</f>
        <v xml:space="preserve"> </v>
      </c>
      <c r="L91" s="4" t="str">
        <f ca="1">IF(OR(INDEX($X$2:$X$1001,MATCH(ROWS($W$2:W91),$W$2:$W$1001,0),1)&gt;=100000,INDEX($AD$1005:$AU$1005,1,MATCH(COLUMNS($AD$1006:AN1006),$AD$1006:$AU$1006,0))&gt;=100000), " ",IF(INDEX($AD$2:$AU$1001,MATCH(ROWS($W$2:W91),$W$2:$W$1001,0),MATCH(COLUMNS($AD$1006:AN1006),$AD$1006:$AU$1006,0)), HYPERLINK("#",""), HYPERLINK(CONCATENATE("#metadata!", ADDRESS(INDEX($Y$2:$Y$1001,MATCH(ROWS($W$2:W91),$W$2:$W$1001,0),0), INDEX($AD$1004:$AU$1004,1,MATCH(COLUMNS($AD$1006:AN1006),$AD$1006:$AU$1006,0)))),"Fix")))</f>
        <v xml:space="preserve"> </v>
      </c>
      <c r="M91" s="4" t="str">
        <f ca="1">IF(OR(INDEX($X$2:$X$1001,MATCH(ROWS($W$2:W91),$W$2:$W$1001,0),1)&gt;=100000,INDEX($AD$1005:$AU$1005,1,MATCH(COLUMNS($AD$1006:AO1006),$AD$1006:$AU$1006,0))&gt;=100000), " ",IF(INDEX($AD$2:$AU$1001,MATCH(ROWS($W$2:W91),$W$2:$W$1001,0),MATCH(COLUMNS($AD$1006:AO1006),$AD$1006:$AU$1006,0)), HYPERLINK("#",""), HYPERLINK(CONCATENATE("#metadata!", ADDRESS(INDEX($Y$2:$Y$1001,MATCH(ROWS($W$2:W91),$W$2:$W$1001,0),0), INDEX($AD$1004:$AU$1004,1,MATCH(COLUMNS($AD$1006:AO1006),$AD$1006:$AU$1006,0)))),"Fix")))</f>
        <v xml:space="preserve"> </v>
      </c>
      <c r="N91" s="4" t="str">
        <f ca="1">IF(OR(INDEX($X$2:$X$1001,MATCH(ROWS($W$2:W91),$W$2:$W$1001,0),1)&gt;=100000,INDEX($AD$1005:$AU$1005,1,MATCH(COLUMNS($AD$1006:AP1006),$AD$1006:$AU$1006,0))&gt;=100000), " ",IF(INDEX($AD$2:$AU$1001,MATCH(ROWS($W$2:W91),$W$2:$W$1001,0),MATCH(COLUMNS($AD$1006:AP1006),$AD$1006:$AU$1006,0)), HYPERLINK("#",""), HYPERLINK(CONCATENATE("#metadata!", ADDRESS(INDEX($Y$2:$Y$1001,MATCH(ROWS($W$2:W91),$W$2:$W$1001,0),0), INDEX($AD$1004:$AU$1004,1,MATCH(COLUMNS($AD$1006:AP1006),$AD$1006:$AU$1006,0)))),"Fix")))</f>
        <v xml:space="preserve"> </v>
      </c>
      <c r="O91" s="4" t="str">
        <f ca="1">IF(OR(INDEX($X$2:$X$1001,MATCH(ROWS($W$2:W91),$W$2:$W$1001,0),1)&gt;=100000,INDEX($AD$1005:$AU$1005,1,MATCH(COLUMNS($AD$1006:AQ1006),$AD$1006:$AU$1006,0))&gt;=100000), " ",IF(INDEX($AD$2:$AU$1001,MATCH(ROWS($W$2:W91),$W$2:$W$1001,0),MATCH(COLUMNS($AD$1006:AQ1006),$AD$1006:$AU$1006,0)), HYPERLINK("#",""), HYPERLINK(CONCATENATE("#metadata!", ADDRESS(INDEX($Y$2:$Y$1001,MATCH(ROWS($W$2:W91),$W$2:$W$1001,0),0), INDEX($AD$1004:$AU$1004,1,MATCH(COLUMNS($AD$1006:AQ1006),$AD$1006:$AU$1006,0)))),"Fix")))</f>
        <v xml:space="preserve"> </v>
      </c>
      <c r="P91" s="4" t="str">
        <f ca="1">IF(OR(INDEX($X$2:$X$1001,MATCH(ROWS($W$2:W91),$W$2:$W$1001,0),1)&gt;=100000,INDEX($AD$1005:$AU$1005,1,MATCH(COLUMNS($AD$1006:AR1006),$AD$1006:$AU$1006,0))&gt;=100000), " ",IF(INDEX($AD$2:$AU$1001,MATCH(ROWS($W$2:W91),$W$2:$W$1001,0),MATCH(COLUMNS($AD$1006:AR1006),$AD$1006:$AU$1006,0)), HYPERLINK("#",""), HYPERLINK(CONCATENATE("#metadata!", ADDRESS(INDEX($Y$2:$Y$1001,MATCH(ROWS($W$2:W91),$W$2:$W$1001,0),0), INDEX($AD$1004:$AU$1004,1,MATCH(COLUMNS($AD$1006:AR1006),$AD$1006:$AU$1006,0)))),"Fix")))</f>
        <v xml:space="preserve"> </v>
      </c>
      <c r="Q91" s="4" t="str">
        <f ca="1">IF(OR(INDEX($X$2:$X$1001,MATCH(ROWS($W$2:W91),$W$2:$W$1001,0),1)&gt;=100000,INDEX($AD$1005:$AU$1005,1,MATCH(COLUMNS($AD$1006:AS1006),$AD$1006:$AU$1006,0))&gt;=100000), " ",IF(INDEX($AD$2:$AU$1001,MATCH(ROWS($W$2:W91),$W$2:$W$1001,0),MATCH(COLUMNS($AD$1006:AS1006),$AD$1006:$AU$1006,0)), HYPERLINK("#",""), HYPERLINK(CONCATENATE("#metadata!", ADDRESS(INDEX($Y$2:$Y$1001,MATCH(ROWS($W$2:W91),$W$2:$W$1001,0),0), INDEX($AD$1004:$AU$1004,1,MATCH(COLUMNS($AD$1006:AS1006),$AD$1006:$AU$1006,0)))),"Fix")))</f>
        <v xml:space="preserve"> </v>
      </c>
      <c r="R91" s="4" t="str">
        <f ca="1">IF(OR(INDEX($X$2:$X$1001,MATCH(ROWS($W$2:W91),$W$2:$W$1001,0),1)&gt;=100000,INDEX($AD$1005:$AU$1005,1,MATCH(COLUMNS($AD$1006:AT1006),$AD$1006:$AU$1006,0))&gt;=100000), " ",IF(INDEX($AD$2:$AU$1001,MATCH(ROWS($W$2:W91),$W$2:$W$1001,0),MATCH(COLUMNS($AD$1006:AT1006),$AD$1006:$AU$1006,0)), HYPERLINK("#",""), HYPERLINK(CONCATENATE("#metadata!", ADDRESS(INDEX($Y$2:$Y$1001,MATCH(ROWS($W$2:W91),$W$2:$W$1001,0),0), INDEX($AD$1004:$AU$1004,1,MATCH(COLUMNS($AD$1006:AT1006),$AD$1006:$AU$1006,0)))),"Fix")))</f>
        <v xml:space="preserve"> </v>
      </c>
      <c r="S91" s="4" t="str">
        <f ca="1">IF(OR(INDEX($X$2:$X$1001,MATCH(ROWS($W$2:W91),$W$2:$W$1001,0),1)&gt;=100000,INDEX($AD$1005:$AU$1005,1,MATCH(COLUMNS($AD$1006:AU1006),$AD$1006:$AU$1006,0))&gt;=100000), " ",IF(INDEX($AD$2:$AU$1001,MATCH(ROWS($W$2:W91),$W$2:$W$1001,0),MATCH(COLUMNS($AD$1006:AU1006),$AD$1006:$AU$1006,0)), HYPERLINK("#",""), HYPERLINK(CONCATENATE("#metadata!", ADDRESS(INDEX($Y$2:$Y$1001,MATCH(ROWS($W$2:W91),$W$2:$W$1001,0),0), INDEX($AD$1004:$AU$1004,1,MATCH(COLUMNS($AD$1006:AU1006),$AD$1006:$AU$1006,0)))),"Fix")))</f>
        <v xml:space="preserve"> </v>
      </c>
      <c r="W91">
        <v>90</v>
      </c>
      <c r="X91">
        <v>100091</v>
      </c>
      <c r="Y91">
        <v>91</v>
      </c>
      <c r="Z91" t="b">
        <f t="shared" si="1"/>
        <v>1</v>
      </c>
      <c r="AA91" t="b">
        <f>COUNTBLANK(metadata!B91:S91)=COLUMNS(metadata!B91:S91)</f>
        <v>1</v>
      </c>
      <c r="AB91" t="str">
        <v/>
      </c>
      <c r="AD91" t="b">
        <f ca="1">AND(IF(metadata!B91="",FALSE,TRUE),COUNTIF(metadata!B:B, metadata!B91) = 1,NOT(ISERROR(SUMPRODUCT(SEARCH(MID(metadata!B91,ROW(INDIRECT("1:"&amp;LEN(metadata!B91))), 1),"0123456789abcdefghijklmnopqrstuvwxyzABCDEFGHIJKLMNOPQRSTUVWXYZ.")))))</f>
        <v>0</v>
      </c>
      <c r="AE91" t="b">
        <f>OR(AND(IF(metadata!C91="",FALSE,TRUE),OR(EXACT(metadata!C91,"not applicable"),EXACT(metadata!C91,"missing: not collected"),EXACT(metadata!C91,"missing: not provided"),EXACT(metadata!C91,"missing: restricted access"))),AND(IF(metadata!C91="",FALSE,ISNUMBER(VALUE(metadata!C91))),metadata!C91&gt;0))</f>
        <v>0</v>
      </c>
      <c r="AF91" t="b">
        <f>AND(IF(metadata!D91="",FALSE,TRUE),EXACT(metadata!D91,"missing: not provided"))</f>
        <v>0</v>
      </c>
      <c r="AG91" t="b">
        <f>AND(IF(metadata!E91="",FALSE,TRUE),EXACT(metadata!E91,"Host-associated"))</f>
        <v>0</v>
      </c>
      <c r="AH91" t="b">
        <f>AND(IF(metadata!F91="",FALSE,TRUE),OR(EXACT(metadata!F91,"Animal"),EXACT(metadata!F91,"Fungus"),EXACT(metadata!F91,"Plant")))</f>
        <v>0</v>
      </c>
      <c r="AI91" t="b">
        <f>AND(IF(metadata!G91="",FALSE,TRUE),OR(EXACT(metadata!G91,"Plant secretion"),EXACT(metadata!G91,"Plant rhizosphere"),EXACT(metadata!G91,"Plant surface"),EXACT(metadata!G91,"Plant corpus"),EXACT(metadata!G91,"Fungus surface"),EXACT(metadata!G91,"Fungus corpus"),EXACT(metadata!G91,"Animal surface"),EXACT(metadata!G91,"Animal proximal gut"),EXACT(metadata!G91,"Animal corpus"),EXACT(metadata!G91,"Animal distal gut"),EXACT(metadata!G91,"Animal secretion")))</f>
        <v>0</v>
      </c>
      <c r="AJ91" t="b">
        <f>OR(AND(IF(metadata!H91="",FALSE,TRUE),OR(EXACT(metadata!H91,"missing: not collected"),EXACT(metadata!H91,"missing: not provided"),EXACT(metadata!H91,"missing: restricted access"))),AND(IF(metadata!H91="",FALSE,TRUE),OR(EXACT(metadata!H91,"organism-associated habitat"),EXACT(metadata!H91,"plant-associated habitat"),EXACT(metadata!H91,"animal-associated habitat"),EXACT(metadata!H91,"insecta-associated habitat"),EXACT(metadata!H91,"mammalia-associated habitat"),EXACT(metadata!H91,"human-associated habitat"),EXACT(metadata!H91,"livestock-associated habitat"))))</f>
        <v>0</v>
      </c>
      <c r="AK91" t="b">
        <f>AND(IF(metadata!I91="",FALSE,TRUE),EXACT(metadata!I91,"host-associated"))</f>
        <v>0</v>
      </c>
      <c r="AL91" t="b">
        <f>OR(AND(IF(metadata!J91="",FALSE,TRUE),OR(EXACT(metadata!J91,"not applicable"),EXACT(metadata!J91,"missing: not collected"),EXACT(metadata!J91,"missing: not provided"),EXACT(metadata!J91,"missing: restricted access"))),AND(IF(metadata!J91="",FALSE,ISNUMBER(VALUE(metadata!J91))),metadata!J91&gt;0))</f>
        <v>0</v>
      </c>
      <c r="AM91" t="b">
        <f>AND(IF(metadata!K91="",FALSE,TRUE),EXACT(metadata!K91,"missing: not provided"))</f>
        <v>0</v>
      </c>
      <c r="AN91" t="b">
        <f>IF(metadata!L91="",FALSE,TRUE)</f>
        <v>0</v>
      </c>
      <c r="AO91" t="b">
        <f>IF(metadata!M91="",FALSE,TRUE)</f>
        <v>0</v>
      </c>
      <c r="AP91" t="b">
        <f>OR(AND(IF(metadata!N91="",FALSE,TRUE),OR(EXACT(metadata!N91,"not applicable"),EXACT(metadata!N91,"missing: not collected"),EXACT(metadata!N91,"missing: not provided"))),AND(IF(metadata!N91="",FALSE,IF(ISERROR(INT(metadata!N91)),FALSE,INT(metadata!N91)=metadata!N91)),metadata!N91&gt;0))</f>
        <v>0</v>
      </c>
      <c r="AQ91" t="b">
        <f>AND(IF(metadata!O91="",FALSE,TRUE),EXACT(metadata!O91,"Not applicable"))</f>
        <v>0</v>
      </c>
      <c r="AR91" t="b">
        <f>OR(AND(IF(metadata!P91="",FALSE,TRUE),OR(EXACT(metadata!P91,"not applicable"),EXACT(metadata!P91,"missing: not collected"),EXACT(metadata!P91,"missing: not provided"),EXACT(metadata!P91,"missing: restricted access"))),IF(metadata!P91="",FALSE,IF(ISERROR(INT(metadata!P91)),FALSE,INT(metadata!P91)=metadata!P91)))</f>
        <v>0</v>
      </c>
      <c r="AS91" t="b">
        <f>AND(IF(metadata!Q91="",FALSE,TRUE),EXACT(metadata!Q91,"Not applicable"))</f>
        <v>0</v>
      </c>
      <c r="AT91" t="b">
        <f>OR(AND(IF(metadata!R91="",FALSE,TRUE),OR(EXACT(metadata!R91,"not applicable"),EXACT(metadata!R91,"missing: not collected"),EXACT(metadata!R91,"missing: not provided"),EXACT(metadata!R91,"missing: restricted access"))),AND(IF(metadata!R91="",FALSE,ISNUMBER(VALUE(metadata!R91))),metadata!R91&gt;0))</f>
        <v>0</v>
      </c>
      <c r="AU91" t="b">
        <f>AND(IF(metadata!S91="",FALSE,TRUE),EXACT(metadata!S91,"missing: not provided"))</f>
        <v>0</v>
      </c>
    </row>
    <row r="92" spans="1:47" x14ac:dyDescent="0.2">
      <c r="A92" s="5" t="str">
        <f ca="1">IF(B92=" "," ",HYPERLINK(CONCATENATE("#metadata!",ADDRESS(INDEX($Y$2:$Y$1001,MATCH(ROWS($W$2:W92),$W$2:$W$1001,0),0),1)),INDEX($AB$2:$AB$1001,MATCH(ROWS($W$2:W92),$W$2:$W$1001,0),0)))</f>
        <v xml:space="preserve"> </v>
      </c>
      <c r="B92" s="4" t="str">
        <f ca="1">IF(OR(INDEX($X$2:$X$1001,MATCH(ROWS($W$2:W92),$W$2:$W$1001,0),1)&gt;=100000,INDEX($AD$1005:$AU$1005,1,MATCH(COLUMNS($AD$1006:AD1006),$AD$1006:$AU$1006,0))&gt;=100000), " ",IF(INDEX($AD$2:$AU$1001,MATCH(ROWS($W$2:W92),$W$2:$W$1001,0),MATCH(COLUMNS($AD$1006:AD1006),$AD$1006:$AU$1006,0)), HYPERLINK("#",""), HYPERLINK(CONCATENATE("#metadata!", ADDRESS(INDEX($Y$2:$Y$1001,MATCH(ROWS($W$2:W92),$W$2:$W$1001,0),0), INDEX($AD$1004:$AU$1004,1,MATCH(COLUMNS($AD$1006:AD1006),$AD$1006:$AU$1006,0)))),"Fix")))</f>
        <v xml:space="preserve"> </v>
      </c>
      <c r="C92" s="4" t="str">
        <f ca="1">IF(OR(INDEX($X$2:$X$1001,MATCH(ROWS($W$2:W92),$W$2:$W$1001,0),1)&gt;=100000,INDEX($AD$1005:$AU$1005,1,MATCH(COLUMNS($AD$1006:AE1006),$AD$1006:$AU$1006,0))&gt;=100000), " ",IF(INDEX($AD$2:$AU$1001,MATCH(ROWS($W$2:W92),$W$2:$W$1001,0),MATCH(COLUMNS($AD$1006:AE1006),$AD$1006:$AU$1006,0)), HYPERLINK("#",""), HYPERLINK(CONCATENATE("#metadata!", ADDRESS(INDEX($Y$2:$Y$1001,MATCH(ROWS($W$2:W92),$W$2:$W$1001,0),0), INDEX($AD$1004:$AU$1004,1,MATCH(COLUMNS($AD$1006:AE1006),$AD$1006:$AU$1006,0)))),"Fix")))</f>
        <v xml:space="preserve"> </v>
      </c>
      <c r="D92" s="4" t="str">
        <f ca="1">IF(OR(INDEX($X$2:$X$1001,MATCH(ROWS($W$2:W92),$W$2:$W$1001,0),1)&gt;=100000,INDEX($AD$1005:$AU$1005,1,MATCH(COLUMNS($AD$1006:AF1006),$AD$1006:$AU$1006,0))&gt;=100000), " ",IF(INDEX($AD$2:$AU$1001,MATCH(ROWS($W$2:W92),$W$2:$W$1001,0),MATCH(COLUMNS($AD$1006:AF1006),$AD$1006:$AU$1006,0)), HYPERLINK("#",""), HYPERLINK(CONCATENATE("#metadata!", ADDRESS(INDEX($Y$2:$Y$1001,MATCH(ROWS($W$2:W92),$W$2:$W$1001,0),0), INDEX($AD$1004:$AU$1004,1,MATCH(COLUMNS($AD$1006:AF1006),$AD$1006:$AU$1006,0)))),"Fix")))</f>
        <v xml:space="preserve"> </v>
      </c>
      <c r="E92" s="4" t="str">
        <f ca="1">IF(OR(INDEX($X$2:$X$1001,MATCH(ROWS($W$2:W92),$W$2:$W$1001,0),1)&gt;=100000,INDEX($AD$1005:$AU$1005,1,MATCH(COLUMNS($AD$1006:AG1006),$AD$1006:$AU$1006,0))&gt;=100000), " ",IF(INDEX($AD$2:$AU$1001,MATCH(ROWS($W$2:W92),$W$2:$W$1001,0),MATCH(COLUMNS($AD$1006:AG1006),$AD$1006:$AU$1006,0)), HYPERLINK("#",""), HYPERLINK(CONCATENATE("#metadata!", ADDRESS(INDEX($Y$2:$Y$1001,MATCH(ROWS($W$2:W92),$W$2:$W$1001,0),0), INDEX($AD$1004:$AU$1004,1,MATCH(COLUMNS($AD$1006:AG1006),$AD$1006:$AU$1006,0)))),"Fix")))</f>
        <v xml:space="preserve"> </v>
      </c>
      <c r="F92" s="4" t="str">
        <f ca="1">IF(OR(INDEX($X$2:$X$1001,MATCH(ROWS($W$2:W92),$W$2:$W$1001,0),1)&gt;=100000,INDEX($AD$1005:$AU$1005,1,MATCH(COLUMNS($AD$1006:AH1006),$AD$1006:$AU$1006,0))&gt;=100000), " ",IF(INDEX($AD$2:$AU$1001,MATCH(ROWS($W$2:W92),$W$2:$W$1001,0),MATCH(COLUMNS($AD$1006:AH1006),$AD$1006:$AU$1006,0)), HYPERLINK("#",""), HYPERLINK(CONCATENATE("#metadata!", ADDRESS(INDEX($Y$2:$Y$1001,MATCH(ROWS($W$2:W92),$W$2:$W$1001,0),0), INDEX($AD$1004:$AU$1004,1,MATCH(COLUMNS($AD$1006:AH1006),$AD$1006:$AU$1006,0)))),"Fix")))</f>
        <v xml:space="preserve"> </v>
      </c>
      <c r="G92" s="4" t="str">
        <f ca="1">IF(OR(INDEX($X$2:$X$1001,MATCH(ROWS($W$2:W92),$W$2:$W$1001,0),1)&gt;=100000,INDEX($AD$1005:$AU$1005,1,MATCH(COLUMNS($AD$1006:AI1006),$AD$1006:$AU$1006,0))&gt;=100000), " ",IF(INDEX($AD$2:$AU$1001,MATCH(ROWS($W$2:W92),$W$2:$W$1001,0),MATCH(COLUMNS($AD$1006:AI1006),$AD$1006:$AU$1006,0)), HYPERLINK("#",""), HYPERLINK(CONCATENATE("#metadata!", ADDRESS(INDEX($Y$2:$Y$1001,MATCH(ROWS($W$2:W92),$W$2:$W$1001,0),0), INDEX($AD$1004:$AU$1004,1,MATCH(COLUMNS($AD$1006:AI1006),$AD$1006:$AU$1006,0)))),"Fix")))</f>
        <v xml:space="preserve"> </v>
      </c>
      <c r="H92" s="4" t="str">
        <f ca="1">IF(OR(INDEX($X$2:$X$1001,MATCH(ROWS($W$2:W92),$W$2:$W$1001,0),1)&gt;=100000,INDEX($AD$1005:$AU$1005,1,MATCH(COLUMNS($AD$1006:AJ1006),$AD$1006:$AU$1006,0))&gt;=100000), " ",IF(INDEX($AD$2:$AU$1001,MATCH(ROWS($W$2:W92),$W$2:$W$1001,0),MATCH(COLUMNS($AD$1006:AJ1006),$AD$1006:$AU$1006,0)), HYPERLINK("#",""), HYPERLINK(CONCATENATE("#metadata!", ADDRESS(INDEX($Y$2:$Y$1001,MATCH(ROWS($W$2:W92),$W$2:$W$1001,0),0), INDEX($AD$1004:$AU$1004,1,MATCH(COLUMNS($AD$1006:AJ1006),$AD$1006:$AU$1006,0)))),"Fix")))</f>
        <v xml:space="preserve"> </v>
      </c>
      <c r="I92" s="4" t="str">
        <f ca="1">IF(OR(INDEX($X$2:$X$1001,MATCH(ROWS($W$2:W92),$W$2:$W$1001,0),1)&gt;=100000,INDEX($AD$1005:$AU$1005,1,MATCH(COLUMNS($AD$1006:AK1006),$AD$1006:$AU$1006,0))&gt;=100000), " ",IF(INDEX($AD$2:$AU$1001,MATCH(ROWS($W$2:W92),$W$2:$W$1001,0),MATCH(COLUMNS($AD$1006:AK1006),$AD$1006:$AU$1006,0)), HYPERLINK("#",""), HYPERLINK(CONCATENATE("#metadata!", ADDRESS(INDEX($Y$2:$Y$1001,MATCH(ROWS($W$2:W92),$W$2:$W$1001,0),0), INDEX($AD$1004:$AU$1004,1,MATCH(COLUMNS($AD$1006:AK1006),$AD$1006:$AU$1006,0)))),"Fix")))</f>
        <v xml:space="preserve"> </v>
      </c>
      <c r="J92" s="4" t="str">
        <f ca="1">IF(OR(INDEX($X$2:$X$1001,MATCH(ROWS($W$2:W92),$W$2:$W$1001,0),1)&gt;=100000,INDEX($AD$1005:$AU$1005,1,MATCH(COLUMNS($AD$1006:AL1006),$AD$1006:$AU$1006,0))&gt;=100000), " ",IF(INDEX($AD$2:$AU$1001,MATCH(ROWS($W$2:W92),$W$2:$W$1001,0),MATCH(COLUMNS($AD$1006:AL1006),$AD$1006:$AU$1006,0)), HYPERLINK("#",""), HYPERLINK(CONCATENATE("#metadata!", ADDRESS(INDEX($Y$2:$Y$1001,MATCH(ROWS($W$2:W92),$W$2:$W$1001,0),0), INDEX($AD$1004:$AU$1004,1,MATCH(COLUMNS($AD$1006:AL1006),$AD$1006:$AU$1006,0)))),"Fix")))</f>
        <v xml:space="preserve"> </v>
      </c>
      <c r="K92" s="4" t="str">
        <f ca="1">IF(OR(INDEX($X$2:$X$1001,MATCH(ROWS($W$2:W92),$W$2:$W$1001,0),1)&gt;=100000,INDEX($AD$1005:$AU$1005,1,MATCH(COLUMNS($AD$1006:AM1006),$AD$1006:$AU$1006,0))&gt;=100000), " ",IF(INDEX($AD$2:$AU$1001,MATCH(ROWS($W$2:W92),$W$2:$W$1001,0),MATCH(COLUMNS($AD$1006:AM1006),$AD$1006:$AU$1006,0)), HYPERLINK("#",""), HYPERLINK(CONCATENATE("#metadata!", ADDRESS(INDEX($Y$2:$Y$1001,MATCH(ROWS($W$2:W92),$W$2:$W$1001,0),0), INDEX($AD$1004:$AU$1004,1,MATCH(COLUMNS($AD$1006:AM1006),$AD$1006:$AU$1006,0)))),"Fix")))</f>
        <v xml:space="preserve"> </v>
      </c>
      <c r="L92" s="4" t="str">
        <f ca="1">IF(OR(INDEX($X$2:$X$1001,MATCH(ROWS($W$2:W92),$W$2:$W$1001,0),1)&gt;=100000,INDEX($AD$1005:$AU$1005,1,MATCH(COLUMNS($AD$1006:AN1006),$AD$1006:$AU$1006,0))&gt;=100000), " ",IF(INDEX($AD$2:$AU$1001,MATCH(ROWS($W$2:W92),$W$2:$W$1001,0),MATCH(COLUMNS($AD$1006:AN1006),$AD$1006:$AU$1006,0)), HYPERLINK("#",""), HYPERLINK(CONCATENATE("#metadata!", ADDRESS(INDEX($Y$2:$Y$1001,MATCH(ROWS($W$2:W92),$W$2:$W$1001,0),0), INDEX($AD$1004:$AU$1004,1,MATCH(COLUMNS($AD$1006:AN1006),$AD$1006:$AU$1006,0)))),"Fix")))</f>
        <v xml:space="preserve"> </v>
      </c>
      <c r="M92" s="4" t="str">
        <f ca="1">IF(OR(INDEX($X$2:$X$1001,MATCH(ROWS($W$2:W92),$W$2:$W$1001,0),1)&gt;=100000,INDEX($AD$1005:$AU$1005,1,MATCH(COLUMNS($AD$1006:AO1006),$AD$1006:$AU$1006,0))&gt;=100000), " ",IF(INDEX($AD$2:$AU$1001,MATCH(ROWS($W$2:W92),$W$2:$W$1001,0),MATCH(COLUMNS($AD$1006:AO1006),$AD$1006:$AU$1006,0)), HYPERLINK("#",""), HYPERLINK(CONCATENATE("#metadata!", ADDRESS(INDEX($Y$2:$Y$1001,MATCH(ROWS($W$2:W92),$W$2:$W$1001,0),0), INDEX($AD$1004:$AU$1004,1,MATCH(COLUMNS($AD$1006:AO1006),$AD$1006:$AU$1006,0)))),"Fix")))</f>
        <v xml:space="preserve"> </v>
      </c>
      <c r="N92" s="4" t="str">
        <f ca="1">IF(OR(INDEX($X$2:$X$1001,MATCH(ROWS($W$2:W92),$W$2:$W$1001,0),1)&gt;=100000,INDEX($AD$1005:$AU$1005,1,MATCH(COLUMNS($AD$1006:AP1006),$AD$1006:$AU$1006,0))&gt;=100000), " ",IF(INDEX($AD$2:$AU$1001,MATCH(ROWS($W$2:W92),$W$2:$W$1001,0),MATCH(COLUMNS($AD$1006:AP1006),$AD$1006:$AU$1006,0)), HYPERLINK("#",""), HYPERLINK(CONCATENATE("#metadata!", ADDRESS(INDEX($Y$2:$Y$1001,MATCH(ROWS($W$2:W92),$W$2:$W$1001,0),0), INDEX($AD$1004:$AU$1004,1,MATCH(COLUMNS($AD$1006:AP1006),$AD$1006:$AU$1006,0)))),"Fix")))</f>
        <v xml:space="preserve"> </v>
      </c>
      <c r="O92" s="4" t="str">
        <f ca="1">IF(OR(INDEX($X$2:$X$1001,MATCH(ROWS($W$2:W92),$W$2:$W$1001,0),1)&gt;=100000,INDEX($AD$1005:$AU$1005,1,MATCH(COLUMNS($AD$1006:AQ1006),$AD$1006:$AU$1006,0))&gt;=100000), " ",IF(INDEX($AD$2:$AU$1001,MATCH(ROWS($W$2:W92),$W$2:$W$1001,0),MATCH(COLUMNS($AD$1006:AQ1006),$AD$1006:$AU$1006,0)), HYPERLINK("#",""), HYPERLINK(CONCATENATE("#metadata!", ADDRESS(INDEX($Y$2:$Y$1001,MATCH(ROWS($W$2:W92),$W$2:$W$1001,0),0), INDEX($AD$1004:$AU$1004,1,MATCH(COLUMNS($AD$1006:AQ1006),$AD$1006:$AU$1006,0)))),"Fix")))</f>
        <v xml:space="preserve"> </v>
      </c>
      <c r="P92" s="4" t="str">
        <f ca="1">IF(OR(INDEX($X$2:$X$1001,MATCH(ROWS($W$2:W92),$W$2:$W$1001,0),1)&gt;=100000,INDEX($AD$1005:$AU$1005,1,MATCH(COLUMNS($AD$1006:AR1006),$AD$1006:$AU$1006,0))&gt;=100000), " ",IF(INDEX($AD$2:$AU$1001,MATCH(ROWS($W$2:W92),$W$2:$W$1001,0),MATCH(COLUMNS($AD$1006:AR1006),$AD$1006:$AU$1006,0)), HYPERLINK("#",""), HYPERLINK(CONCATENATE("#metadata!", ADDRESS(INDEX($Y$2:$Y$1001,MATCH(ROWS($W$2:W92),$W$2:$W$1001,0),0), INDEX($AD$1004:$AU$1004,1,MATCH(COLUMNS($AD$1006:AR1006),$AD$1006:$AU$1006,0)))),"Fix")))</f>
        <v xml:space="preserve"> </v>
      </c>
      <c r="Q92" s="4" t="str">
        <f ca="1">IF(OR(INDEX($X$2:$X$1001,MATCH(ROWS($W$2:W92),$W$2:$W$1001,0),1)&gt;=100000,INDEX($AD$1005:$AU$1005,1,MATCH(COLUMNS($AD$1006:AS1006),$AD$1006:$AU$1006,0))&gt;=100000), " ",IF(INDEX($AD$2:$AU$1001,MATCH(ROWS($W$2:W92),$W$2:$W$1001,0),MATCH(COLUMNS($AD$1006:AS1006),$AD$1006:$AU$1006,0)), HYPERLINK("#",""), HYPERLINK(CONCATENATE("#metadata!", ADDRESS(INDEX($Y$2:$Y$1001,MATCH(ROWS($W$2:W92),$W$2:$W$1001,0),0), INDEX($AD$1004:$AU$1004,1,MATCH(COLUMNS($AD$1006:AS1006),$AD$1006:$AU$1006,0)))),"Fix")))</f>
        <v xml:space="preserve"> </v>
      </c>
      <c r="R92" s="4" t="str">
        <f ca="1">IF(OR(INDEX($X$2:$X$1001,MATCH(ROWS($W$2:W92),$W$2:$W$1001,0),1)&gt;=100000,INDEX($AD$1005:$AU$1005,1,MATCH(COLUMNS($AD$1006:AT1006),$AD$1006:$AU$1006,0))&gt;=100000), " ",IF(INDEX($AD$2:$AU$1001,MATCH(ROWS($W$2:W92),$W$2:$W$1001,0),MATCH(COLUMNS($AD$1006:AT1006),$AD$1006:$AU$1006,0)), HYPERLINK("#",""), HYPERLINK(CONCATENATE("#metadata!", ADDRESS(INDEX($Y$2:$Y$1001,MATCH(ROWS($W$2:W92),$W$2:$W$1001,0),0), INDEX($AD$1004:$AU$1004,1,MATCH(COLUMNS($AD$1006:AT1006),$AD$1006:$AU$1006,0)))),"Fix")))</f>
        <v xml:space="preserve"> </v>
      </c>
      <c r="S92" s="4" t="str">
        <f ca="1">IF(OR(INDEX($X$2:$X$1001,MATCH(ROWS($W$2:W92),$W$2:$W$1001,0),1)&gt;=100000,INDEX($AD$1005:$AU$1005,1,MATCH(COLUMNS($AD$1006:AU1006),$AD$1006:$AU$1006,0))&gt;=100000), " ",IF(INDEX($AD$2:$AU$1001,MATCH(ROWS($W$2:W92),$W$2:$W$1001,0),MATCH(COLUMNS($AD$1006:AU1006),$AD$1006:$AU$1006,0)), HYPERLINK("#",""), HYPERLINK(CONCATENATE("#metadata!", ADDRESS(INDEX($Y$2:$Y$1001,MATCH(ROWS($W$2:W92),$W$2:$W$1001,0),0), INDEX($AD$1004:$AU$1004,1,MATCH(COLUMNS($AD$1006:AU1006),$AD$1006:$AU$1006,0)))),"Fix")))</f>
        <v xml:space="preserve"> </v>
      </c>
      <c r="W92">
        <v>91</v>
      </c>
      <c r="X92">
        <v>100092</v>
      </c>
      <c r="Y92">
        <v>92</v>
      </c>
      <c r="Z92" t="b">
        <f t="shared" si="1"/>
        <v>1</v>
      </c>
      <c r="AA92" t="b">
        <f>COUNTBLANK(metadata!B92:S92)=COLUMNS(metadata!B92:S92)</f>
        <v>1</v>
      </c>
      <c r="AB92" t="str">
        <v/>
      </c>
      <c r="AD92" t="b">
        <f ca="1">AND(IF(metadata!B92="",FALSE,TRUE),COUNTIF(metadata!B:B, metadata!B92) = 1,NOT(ISERROR(SUMPRODUCT(SEARCH(MID(metadata!B92,ROW(INDIRECT("1:"&amp;LEN(metadata!B92))), 1),"0123456789abcdefghijklmnopqrstuvwxyzABCDEFGHIJKLMNOPQRSTUVWXYZ.")))))</f>
        <v>0</v>
      </c>
      <c r="AE92" t="b">
        <f>OR(AND(IF(metadata!C92="",FALSE,TRUE),OR(EXACT(metadata!C92,"not applicable"),EXACT(metadata!C92,"missing: not collected"),EXACT(metadata!C92,"missing: not provided"),EXACT(metadata!C92,"missing: restricted access"))),AND(IF(metadata!C92="",FALSE,ISNUMBER(VALUE(metadata!C92))),metadata!C92&gt;0))</f>
        <v>0</v>
      </c>
      <c r="AF92" t="b">
        <f>AND(IF(metadata!D92="",FALSE,TRUE),EXACT(metadata!D92,"missing: not provided"))</f>
        <v>0</v>
      </c>
      <c r="AG92" t="b">
        <f>AND(IF(metadata!E92="",FALSE,TRUE),EXACT(metadata!E92,"Host-associated"))</f>
        <v>0</v>
      </c>
      <c r="AH92" t="b">
        <f>AND(IF(metadata!F92="",FALSE,TRUE),OR(EXACT(metadata!F92,"Animal"),EXACT(metadata!F92,"Fungus"),EXACT(metadata!F92,"Plant")))</f>
        <v>0</v>
      </c>
      <c r="AI92" t="b">
        <f>AND(IF(metadata!G92="",FALSE,TRUE),OR(EXACT(metadata!G92,"Plant secretion"),EXACT(metadata!G92,"Plant rhizosphere"),EXACT(metadata!G92,"Plant surface"),EXACT(metadata!G92,"Plant corpus"),EXACT(metadata!G92,"Fungus surface"),EXACT(metadata!G92,"Fungus corpus"),EXACT(metadata!G92,"Animal surface"),EXACT(metadata!G92,"Animal proximal gut"),EXACT(metadata!G92,"Animal corpus"),EXACT(metadata!G92,"Animal distal gut"),EXACT(metadata!G92,"Animal secretion")))</f>
        <v>0</v>
      </c>
      <c r="AJ92" t="b">
        <f>OR(AND(IF(metadata!H92="",FALSE,TRUE),OR(EXACT(metadata!H92,"missing: not collected"),EXACT(metadata!H92,"missing: not provided"),EXACT(metadata!H92,"missing: restricted access"))),AND(IF(metadata!H92="",FALSE,TRUE),OR(EXACT(metadata!H92,"organism-associated habitat"),EXACT(metadata!H92,"plant-associated habitat"),EXACT(metadata!H92,"animal-associated habitat"),EXACT(metadata!H92,"insecta-associated habitat"),EXACT(metadata!H92,"mammalia-associated habitat"),EXACT(metadata!H92,"human-associated habitat"),EXACT(metadata!H92,"livestock-associated habitat"))))</f>
        <v>0</v>
      </c>
      <c r="AK92" t="b">
        <f>AND(IF(metadata!I92="",FALSE,TRUE),EXACT(metadata!I92,"host-associated"))</f>
        <v>0</v>
      </c>
      <c r="AL92" t="b">
        <f>OR(AND(IF(metadata!J92="",FALSE,TRUE),OR(EXACT(metadata!J92,"not applicable"),EXACT(metadata!J92,"missing: not collected"),EXACT(metadata!J92,"missing: not provided"),EXACT(metadata!J92,"missing: restricted access"))),AND(IF(metadata!J92="",FALSE,ISNUMBER(VALUE(metadata!J92))),metadata!J92&gt;0))</f>
        <v>0</v>
      </c>
      <c r="AM92" t="b">
        <f>AND(IF(metadata!K92="",FALSE,TRUE),EXACT(metadata!K92,"missing: not provided"))</f>
        <v>0</v>
      </c>
      <c r="AN92" t="b">
        <f>IF(metadata!L92="",FALSE,TRUE)</f>
        <v>0</v>
      </c>
      <c r="AO92" t="b">
        <f>IF(metadata!M92="",FALSE,TRUE)</f>
        <v>0</v>
      </c>
      <c r="AP92" t="b">
        <f>OR(AND(IF(metadata!N92="",FALSE,TRUE),OR(EXACT(metadata!N92,"not applicable"),EXACT(metadata!N92,"missing: not collected"),EXACT(metadata!N92,"missing: not provided"))),AND(IF(metadata!N92="",FALSE,IF(ISERROR(INT(metadata!N92)),FALSE,INT(metadata!N92)=metadata!N92)),metadata!N92&gt;0))</f>
        <v>0</v>
      </c>
      <c r="AQ92" t="b">
        <f>AND(IF(metadata!O92="",FALSE,TRUE),EXACT(metadata!O92,"Not applicable"))</f>
        <v>0</v>
      </c>
      <c r="AR92" t="b">
        <f>OR(AND(IF(metadata!P92="",FALSE,TRUE),OR(EXACT(metadata!P92,"not applicable"),EXACT(metadata!P92,"missing: not collected"),EXACT(metadata!P92,"missing: not provided"),EXACT(metadata!P92,"missing: restricted access"))),IF(metadata!P92="",FALSE,IF(ISERROR(INT(metadata!P92)),FALSE,INT(metadata!P92)=metadata!P92)))</f>
        <v>0</v>
      </c>
      <c r="AS92" t="b">
        <f>AND(IF(metadata!Q92="",FALSE,TRUE),EXACT(metadata!Q92,"Not applicable"))</f>
        <v>0</v>
      </c>
      <c r="AT92" t="b">
        <f>OR(AND(IF(metadata!R92="",FALSE,TRUE),OR(EXACT(metadata!R92,"not applicable"),EXACT(metadata!R92,"missing: not collected"),EXACT(metadata!R92,"missing: not provided"),EXACT(metadata!R92,"missing: restricted access"))),AND(IF(metadata!R92="",FALSE,ISNUMBER(VALUE(metadata!R92))),metadata!R92&gt;0))</f>
        <v>0</v>
      </c>
      <c r="AU92" t="b">
        <f>AND(IF(metadata!S92="",FALSE,TRUE),EXACT(metadata!S92,"missing: not provided"))</f>
        <v>0</v>
      </c>
    </row>
    <row r="93" spans="1:47" x14ac:dyDescent="0.2">
      <c r="A93" s="5" t="str">
        <f ca="1">IF(B93=" "," ",HYPERLINK(CONCATENATE("#metadata!",ADDRESS(INDEX($Y$2:$Y$1001,MATCH(ROWS($W$2:W93),$W$2:$W$1001,0),0),1)),INDEX($AB$2:$AB$1001,MATCH(ROWS($W$2:W93),$W$2:$W$1001,0),0)))</f>
        <v xml:space="preserve"> </v>
      </c>
      <c r="B93" s="4" t="str">
        <f ca="1">IF(OR(INDEX($X$2:$X$1001,MATCH(ROWS($W$2:W93),$W$2:$W$1001,0),1)&gt;=100000,INDEX($AD$1005:$AU$1005,1,MATCH(COLUMNS($AD$1006:AD1006),$AD$1006:$AU$1006,0))&gt;=100000), " ",IF(INDEX($AD$2:$AU$1001,MATCH(ROWS($W$2:W93),$W$2:$W$1001,0),MATCH(COLUMNS($AD$1006:AD1006),$AD$1006:$AU$1006,0)), HYPERLINK("#",""), HYPERLINK(CONCATENATE("#metadata!", ADDRESS(INDEX($Y$2:$Y$1001,MATCH(ROWS($W$2:W93),$W$2:$W$1001,0),0), INDEX($AD$1004:$AU$1004,1,MATCH(COLUMNS($AD$1006:AD1006),$AD$1006:$AU$1006,0)))),"Fix")))</f>
        <v xml:space="preserve"> </v>
      </c>
      <c r="C93" s="4" t="str">
        <f ca="1">IF(OR(INDEX($X$2:$X$1001,MATCH(ROWS($W$2:W93),$W$2:$W$1001,0),1)&gt;=100000,INDEX($AD$1005:$AU$1005,1,MATCH(COLUMNS($AD$1006:AE1006),$AD$1006:$AU$1006,0))&gt;=100000), " ",IF(INDEX($AD$2:$AU$1001,MATCH(ROWS($W$2:W93),$W$2:$W$1001,0),MATCH(COLUMNS($AD$1006:AE1006),$AD$1006:$AU$1006,0)), HYPERLINK("#",""), HYPERLINK(CONCATENATE("#metadata!", ADDRESS(INDEX($Y$2:$Y$1001,MATCH(ROWS($W$2:W93),$W$2:$W$1001,0),0), INDEX($AD$1004:$AU$1004,1,MATCH(COLUMNS($AD$1006:AE1006),$AD$1006:$AU$1006,0)))),"Fix")))</f>
        <v xml:space="preserve"> </v>
      </c>
      <c r="D93" s="4" t="str">
        <f ca="1">IF(OR(INDEX($X$2:$X$1001,MATCH(ROWS($W$2:W93),$W$2:$W$1001,0),1)&gt;=100000,INDEX($AD$1005:$AU$1005,1,MATCH(COLUMNS($AD$1006:AF1006),$AD$1006:$AU$1006,0))&gt;=100000), " ",IF(INDEX($AD$2:$AU$1001,MATCH(ROWS($W$2:W93),$W$2:$W$1001,0),MATCH(COLUMNS($AD$1006:AF1006),$AD$1006:$AU$1006,0)), HYPERLINK("#",""), HYPERLINK(CONCATENATE("#metadata!", ADDRESS(INDEX($Y$2:$Y$1001,MATCH(ROWS($W$2:W93),$W$2:$W$1001,0),0), INDEX($AD$1004:$AU$1004,1,MATCH(COLUMNS($AD$1006:AF1006),$AD$1006:$AU$1006,0)))),"Fix")))</f>
        <v xml:space="preserve"> </v>
      </c>
      <c r="E93" s="4" t="str">
        <f ca="1">IF(OR(INDEX($X$2:$X$1001,MATCH(ROWS($W$2:W93),$W$2:$W$1001,0),1)&gt;=100000,INDEX($AD$1005:$AU$1005,1,MATCH(COLUMNS($AD$1006:AG1006),$AD$1006:$AU$1006,0))&gt;=100000), " ",IF(INDEX($AD$2:$AU$1001,MATCH(ROWS($W$2:W93),$W$2:$W$1001,0),MATCH(COLUMNS($AD$1006:AG1006),$AD$1006:$AU$1006,0)), HYPERLINK("#",""), HYPERLINK(CONCATENATE("#metadata!", ADDRESS(INDEX($Y$2:$Y$1001,MATCH(ROWS($W$2:W93),$W$2:$W$1001,0),0), INDEX($AD$1004:$AU$1004,1,MATCH(COLUMNS($AD$1006:AG1006),$AD$1006:$AU$1006,0)))),"Fix")))</f>
        <v xml:space="preserve"> </v>
      </c>
      <c r="F93" s="4" t="str">
        <f ca="1">IF(OR(INDEX($X$2:$X$1001,MATCH(ROWS($W$2:W93),$W$2:$W$1001,0),1)&gt;=100000,INDEX($AD$1005:$AU$1005,1,MATCH(COLUMNS($AD$1006:AH1006),$AD$1006:$AU$1006,0))&gt;=100000), " ",IF(INDEX($AD$2:$AU$1001,MATCH(ROWS($W$2:W93),$W$2:$W$1001,0),MATCH(COLUMNS($AD$1006:AH1006),$AD$1006:$AU$1006,0)), HYPERLINK("#",""), HYPERLINK(CONCATENATE("#metadata!", ADDRESS(INDEX($Y$2:$Y$1001,MATCH(ROWS($W$2:W93),$W$2:$W$1001,0),0), INDEX($AD$1004:$AU$1004,1,MATCH(COLUMNS($AD$1006:AH1006),$AD$1006:$AU$1006,0)))),"Fix")))</f>
        <v xml:space="preserve"> </v>
      </c>
      <c r="G93" s="4" t="str">
        <f ca="1">IF(OR(INDEX($X$2:$X$1001,MATCH(ROWS($W$2:W93),$W$2:$W$1001,0),1)&gt;=100000,INDEX($AD$1005:$AU$1005,1,MATCH(COLUMNS($AD$1006:AI1006),$AD$1006:$AU$1006,0))&gt;=100000), " ",IF(INDEX($AD$2:$AU$1001,MATCH(ROWS($W$2:W93),$W$2:$W$1001,0),MATCH(COLUMNS($AD$1006:AI1006),$AD$1006:$AU$1006,0)), HYPERLINK("#",""), HYPERLINK(CONCATENATE("#metadata!", ADDRESS(INDEX($Y$2:$Y$1001,MATCH(ROWS($W$2:W93),$W$2:$W$1001,0),0), INDEX($AD$1004:$AU$1004,1,MATCH(COLUMNS($AD$1006:AI1006),$AD$1006:$AU$1006,0)))),"Fix")))</f>
        <v xml:space="preserve"> </v>
      </c>
      <c r="H93" s="4" t="str">
        <f ca="1">IF(OR(INDEX($X$2:$X$1001,MATCH(ROWS($W$2:W93),$W$2:$W$1001,0),1)&gt;=100000,INDEX($AD$1005:$AU$1005,1,MATCH(COLUMNS($AD$1006:AJ1006),$AD$1006:$AU$1006,0))&gt;=100000), " ",IF(INDEX($AD$2:$AU$1001,MATCH(ROWS($W$2:W93),$W$2:$W$1001,0),MATCH(COLUMNS($AD$1006:AJ1006),$AD$1006:$AU$1006,0)), HYPERLINK("#",""), HYPERLINK(CONCATENATE("#metadata!", ADDRESS(INDEX($Y$2:$Y$1001,MATCH(ROWS($W$2:W93),$W$2:$W$1001,0),0), INDEX($AD$1004:$AU$1004,1,MATCH(COLUMNS($AD$1006:AJ1006),$AD$1006:$AU$1006,0)))),"Fix")))</f>
        <v xml:space="preserve"> </v>
      </c>
      <c r="I93" s="4" t="str">
        <f ca="1">IF(OR(INDEX($X$2:$X$1001,MATCH(ROWS($W$2:W93),$W$2:$W$1001,0),1)&gt;=100000,INDEX($AD$1005:$AU$1005,1,MATCH(COLUMNS($AD$1006:AK1006),$AD$1006:$AU$1006,0))&gt;=100000), " ",IF(INDEX($AD$2:$AU$1001,MATCH(ROWS($W$2:W93),$W$2:$W$1001,0),MATCH(COLUMNS($AD$1006:AK1006),$AD$1006:$AU$1006,0)), HYPERLINK("#",""), HYPERLINK(CONCATENATE("#metadata!", ADDRESS(INDEX($Y$2:$Y$1001,MATCH(ROWS($W$2:W93),$W$2:$W$1001,0),0), INDEX($AD$1004:$AU$1004,1,MATCH(COLUMNS($AD$1006:AK1006),$AD$1006:$AU$1006,0)))),"Fix")))</f>
        <v xml:space="preserve"> </v>
      </c>
      <c r="J93" s="4" t="str">
        <f ca="1">IF(OR(INDEX($X$2:$X$1001,MATCH(ROWS($W$2:W93),$W$2:$W$1001,0),1)&gt;=100000,INDEX($AD$1005:$AU$1005,1,MATCH(COLUMNS($AD$1006:AL1006),$AD$1006:$AU$1006,0))&gt;=100000), " ",IF(INDEX($AD$2:$AU$1001,MATCH(ROWS($W$2:W93),$W$2:$W$1001,0),MATCH(COLUMNS($AD$1006:AL1006),$AD$1006:$AU$1006,0)), HYPERLINK("#",""), HYPERLINK(CONCATENATE("#metadata!", ADDRESS(INDEX($Y$2:$Y$1001,MATCH(ROWS($W$2:W93),$W$2:$W$1001,0),0), INDEX($AD$1004:$AU$1004,1,MATCH(COLUMNS($AD$1006:AL1006),$AD$1006:$AU$1006,0)))),"Fix")))</f>
        <v xml:space="preserve"> </v>
      </c>
      <c r="K93" s="4" t="str">
        <f ca="1">IF(OR(INDEX($X$2:$X$1001,MATCH(ROWS($W$2:W93),$W$2:$W$1001,0),1)&gt;=100000,INDEX($AD$1005:$AU$1005,1,MATCH(COLUMNS($AD$1006:AM1006),$AD$1006:$AU$1006,0))&gt;=100000), " ",IF(INDEX($AD$2:$AU$1001,MATCH(ROWS($W$2:W93),$W$2:$W$1001,0),MATCH(COLUMNS($AD$1006:AM1006),$AD$1006:$AU$1006,0)), HYPERLINK("#",""), HYPERLINK(CONCATENATE("#metadata!", ADDRESS(INDEX($Y$2:$Y$1001,MATCH(ROWS($W$2:W93),$W$2:$W$1001,0),0), INDEX($AD$1004:$AU$1004,1,MATCH(COLUMNS($AD$1006:AM1006),$AD$1006:$AU$1006,0)))),"Fix")))</f>
        <v xml:space="preserve"> </v>
      </c>
      <c r="L93" s="4" t="str">
        <f ca="1">IF(OR(INDEX($X$2:$X$1001,MATCH(ROWS($W$2:W93),$W$2:$W$1001,0),1)&gt;=100000,INDEX($AD$1005:$AU$1005,1,MATCH(COLUMNS($AD$1006:AN1006),$AD$1006:$AU$1006,0))&gt;=100000), " ",IF(INDEX($AD$2:$AU$1001,MATCH(ROWS($W$2:W93),$W$2:$W$1001,0),MATCH(COLUMNS($AD$1006:AN1006),$AD$1006:$AU$1006,0)), HYPERLINK("#",""), HYPERLINK(CONCATENATE("#metadata!", ADDRESS(INDEX($Y$2:$Y$1001,MATCH(ROWS($W$2:W93),$W$2:$W$1001,0),0), INDEX($AD$1004:$AU$1004,1,MATCH(COLUMNS($AD$1006:AN1006),$AD$1006:$AU$1006,0)))),"Fix")))</f>
        <v xml:space="preserve"> </v>
      </c>
      <c r="M93" s="4" t="str">
        <f ca="1">IF(OR(INDEX($X$2:$X$1001,MATCH(ROWS($W$2:W93),$W$2:$W$1001,0),1)&gt;=100000,INDEX($AD$1005:$AU$1005,1,MATCH(COLUMNS($AD$1006:AO1006),$AD$1006:$AU$1006,0))&gt;=100000), " ",IF(INDEX($AD$2:$AU$1001,MATCH(ROWS($W$2:W93),$W$2:$W$1001,0),MATCH(COLUMNS($AD$1006:AO1006),$AD$1006:$AU$1006,0)), HYPERLINK("#",""), HYPERLINK(CONCATENATE("#metadata!", ADDRESS(INDEX($Y$2:$Y$1001,MATCH(ROWS($W$2:W93),$W$2:$W$1001,0),0), INDEX($AD$1004:$AU$1004,1,MATCH(COLUMNS($AD$1006:AO1006),$AD$1006:$AU$1006,0)))),"Fix")))</f>
        <v xml:space="preserve"> </v>
      </c>
      <c r="N93" s="4" t="str">
        <f ca="1">IF(OR(INDEX($X$2:$X$1001,MATCH(ROWS($W$2:W93),$W$2:$W$1001,0),1)&gt;=100000,INDEX($AD$1005:$AU$1005,1,MATCH(COLUMNS($AD$1006:AP1006),$AD$1006:$AU$1006,0))&gt;=100000), " ",IF(INDEX($AD$2:$AU$1001,MATCH(ROWS($W$2:W93),$W$2:$W$1001,0),MATCH(COLUMNS($AD$1006:AP1006),$AD$1006:$AU$1006,0)), HYPERLINK("#",""), HYPERLINK(CONCATENATE("#metadata!", ADDRESS(INDEX($Y$2:$Y$1001,MATCH(ROWS($W$2:W93),$W$2:$W$1001,0),0), INDEX($AD$1004:$AU$1004,1,MATCH(COLUMNS($AD$1006:AP1006),$AD$1006:$AU$1006,0)))),"Fix")))</f>
        <v xml:space="preserve"> </v>
      </c>
      <c r="O93" s="4" t="str">
        <f ca="1">IF(OR(INDEX($X$2:$X$1001,MATCH(ROWS($W$2:W93),$W$2:$W$1001,0),1)&gt;=100000,INDEX($AD$1005:$AU$1005,1,MATCH(COLUMNS($AD$1006:AQ1006),$AD$1006:$AU$1006,0))&gt;=100000), " ",IF(INDEX($AD$2:$AU$1001,MATCH(ROWS($W$2:W93),$W$2:$W$1001,0),MATCH(COLUMNS($AD$1006:AQ1006),$AD$1006:$AU$1006,0)), HYPERLINK("#",""), HYPERLINK(CONCATENATE("#metadata!", ADDRESS(INDEX($Y$2:$Y$1001,MATCH(ROWS($W$2:W93),$W$2:$W$1001,0),0), INDEX($AD$1004:$AU$1004,1,MATCH(COLUMNS($AD$1006:AQ1006),$AD$1006:$AU$1006,0)))),"Fix")))</f>
        <v xml:space="preserve"> </v>
      </c>
      <c r="P93" s="4" t="str">
        <f ca="1">IF(OR(INDEX($X$2:$X$1001,MATCH(ROWS($W$2:W93),$W$2:$W$1001,0),1)&gt;=100000,INDEX($AD$1005:$AU$1005,1,MATCH(COLUMNS($AD$1006:AR1006),$AD$1006:$AU$1006,0))&gt;=100000), " ",IF(INDEX($AD$2:$AU$1001,MATCH(ROWS($W$2:W93),$W$2:$W$1001,0),MATCH(COLUMNS($AD$1006:AR1006),$AD$1006:$AU$1006,0)), HYPERLINK("#",""), HYPERLINK(CONCATENATE("#metadata!", ADDRESS(INDEX($Y$2:$Y$1001,MATCH(ROWS($W$2:W93),$W$2:$W$1001,0),0), INDEX($AD$1004:$AU$1004,1,MATCH(COLUMNS($AD$1006:AR1006),$AD$1006:$AU$1006,0)))),"Fix")))</f>
        <v xml:space="preserve"> </v>
      </c>
      <c r="Q93" s="4" t="str">
        <f ca="1">IF(OR(INDEX($X$2:$X$1001,MATCH(ROWS($W$2:W93),$W$2:$W$1001,0),1)&gt;=100000,INDEX($AD$1005:$AU$1005,1,MATCH(COLUMNS($AD$1006:AS1006),$AD$1006:$AU$1006,0))&gt;=100000), " ",IF(INDEX($AD$2:$AU$1001,MATCH(ROWS($W$2:W93),$W$2:$W$1001,0),MATCH(COLUMNS($AD$1006:AS1006),$AD$1006:$AU$1006,0)), HYPERLINK("#",""), HYPERLINK(CONCATENATE("#metadata!", ADDRESS(INDEX($Y$2:$Y$1001,MATCH(ROWS($W$2:W93),$W$2:$W$1001,0),0), INDEX($AD$1004:$AU$1004,1,MATCH(COLUMNS($AD$1006:AS1006),$AD$1006:$AU$1006,0)))),"Fix")))</f>
        <v xml:space="preserve"> </v>
      </c>
      <c r="R93" s="4" t="str">
        <f ca="1">IF(OR(INDEX($X$2:$X$1001,MATCH(ROWS($W$2:W93),$W$2:$W$1001,0),1)&gt;=100000,INDEX($AD$1005:$AU$1005,1,MATCH(COLUMNS($AD$1006:AT1006),$AD$1006:$AU$1006,0))&gt;=100000), " ",IF(INDEX($AD$2:$AU$1001,MATCH(ROWS($W$2:W93),$W$2:$W$1001,0),MATCH(COLUMNS($AD$1006:AT1006),$AD$1006:$AU$1006,0)), HYPERLINK("#",""), HYPERLINK(CONCATENATE("#metadata!", ADDRESS(INDEX($Y$2:$Y$1001,MATCH(ROWS($W$2:W93),$W$2:$W$1001,0),0), INDEX($AD$1004:$AU$1004,1,MATCH(COLUMNS($AD$1006:AT1006),$AD$1006:$AU$1006,0)))),"Fix")))</f>
        <v xml:space="preserve"> </v>
      </c>
      <c r="S93" s="4" t="str">
        <f ca="1">IF(OR(INDEX($X$2:$X$1001,MATCH(ROWS($W$2:W93),$W$2:$W$1001,0),1)&gt;=100000,INDEX($AD$1005:$AU$1005,1,MATCH(COLUMNS($AD$1006:AU1006),$AD$1006:$AU$1006,0))&gt;=100000), " ",IF(INDEX($AD$2:$AU$1001,MATCH(ROWS($W$2:W93),$W$2:$W$1001,0),MATCH(COLUMNS($AD$1006:AU1006),$AD$1006:$AU$1006,0)), HYPERLINK("#",""), HYPERLINK(CONCATENATE("#metadata!", ADDRESS(INDEX($Y$2:$Y$1001,MATCH(ROWS($W$2:W93),$W$2:$W$1001,0),0), INDEX($AD$1004:$AU$1004,1,MATCH(COLUMNS($AD$1006:AU1006),$AD$1006:$AU$1006,0)))),"Fix")))</f>
        <v xml:space="preserve"> </v>
      </c>
      <c r="W93">
        <v>92</v>
      </c>
      <c r="X93">
        <v>100093</v>
      </c>
      <c r="Y93">
        <v>93</v>
      </c>
      <c r="Z93" t="b">
        <f t="shared" si="1"/>
        <v>1</v>
      </c>
      <c r="AA93" t="b">
        <f>COUNTBLANK(metadata!B93:S93)=COLUMNS(metadata!B93:S93)</f>
        <v>1</v>
      </c>
      <c r="AB93" t="str">
        <v/>
      </c>
      <c r="AD93" t="b">
        <f ca="1">AND(IF(metadata!B93="",FALSE,TRUE),COUNTIF(metadata!B:B, metadata!B93) = 1,NOT(ISERROR(SUMPRODUCT(SEARCH(MID(metadata!B93,ROW(INDIRECT("1:"&amp;LEN(metadata!B93))), 1),"0123456789abcdefghijklmnopqrstuvwxyzABCDEFGHIJKLMNOPQRSTUVWXYZ.")))))</f>
        <v>0</v>
      </c>
      <c r="AE93" t="b">
        <f>OR(AND(IF(metadata!C93="",FALSE,TRUE),OR(EXACT(metadata!C93,"not applicable"),EXACT(metadata!C93,"missing: not collected"),EXACT(metadata!C93,"missing: not provided"),EXACT(metadata!C93,"missing: restricted access"))),AND(IF(metadata!C93="",FALSE,ISNUMBER(VALUE(metadata!C93))),metadata!C93&gt;0))</f>
        <v>0</v>
      </c>
      <c r="AF93" t="b">
        <f>AND(IF(metadata!D93="",FALSE,TRUE),EXACT(metadata!D93,"missing: not provided"))</f>
        <v>0</v>
      </c>
      <c r="AG93" t="b">
        <f>AND(IF(metadata!E93="",FALSE,TRUE),EXACT(metadata!E93,"Host-associated"))</f>
        <v>0</v>
      </c>
      <c r="AH93" t="b">
        <f>AND(IF(metadata!F93="",FALSE,TRUE),OR(EXACT(metadata!F93,"Animal"),EXACT(metadata!F93,"Fungus"),EXACT(metadata!F93,"Plant")))</f>
        <v>0</v>
      </c>
      <c r="AI93" t="b">
        <f>AND(IF(metadata!G93="",FALSE,TRUE),OR(EXACT(metadata!G93,"Plant secretion"),EXACT(metadata!G93,"Plant rhizosphere"),EXACT(metadata!G93,"Plant surface"),EXACT(metadata!G93,"Plant corpus"),EXACT(metadata!G93,"Fungus surface"),EXACT(metadata!G93,"Fungus corpus"),EXACT(metadata!G93,"Animal surface"),EXACT(metadata!G93,"Animal proximal gut"),EXACT(metadata!G93,"Animal corpus"),EXACT(metadata!G93,"Animal distal gut"),EXACT(metadata!G93,"Animal secretion")))</f>
        <v>0</v>
      </c>
      <c r="AJ93" t="b">
        <f>OR(AND(IF(metadata!H93="",FALSE,TRUE),OR(EXACT(metadata!H93,"missing: not collected"),EXACT(metadata!H93,"missing: not provided"),EXACT(metadata!H93,"missing: restricted access"))),AND(IF(metadata!H93="",FALSE,TRUE),OR(EXACT(metadata!H93,"organism-associated habitat"),EXACT(metadata!H93,"plant-associated habitat"),EXACT(metadata!H93,"animal-associated habitat"),EXACT(metadata!H93,"insecta-associated habitat"),EXACT(metadata!H93,"mammalia-associated habitat"),EXACT(metadata!H93,"human-associated habitat"),EXACT(metadata!H93,"livestock-associated habitat"))))</f>
        <v>0</v>
      </c>
      <c r="AK93" t="b">
        <f>AND(IF(metadata!I93="",FALSE,TRUE),EXACT(metadata!I93,"host-associated"))</f>
        <v>0</v>
      </c>
      <c r="AL93" t="b">
        <f>OR(AND(IF(metadata!J93="",FALSE,TRUE),OR(EXACT(metadata!J93,"not applicable"),EXACT(metadata!J93,"missing: not collected"),EXACT(metadata!J93,"missing: not provided"),EXACT(metadata!J93,"missing: restricted access"))),AND(IF(metadata!J93="",FALSE,ISNUMBER(VALUE(metadata!J93))),metadata!J93&gt;0))</f>
        <v>0</v>
      </c>
      <c r="AM93" t="b">
        <f>AND(IF(metadata!K93="",FALSE,TRUE),EXACT(metadata!K93,"missing: not provided"))</f>
        <v>0</v>
      </c>
      <c r="AN93" t="b">
        <f>IF(metadata!L93="",FALSE,TRUE)</f>
        <v>0</v>
      </c>
      <c r="AO93" t="b">
        <f>IF(metadata!M93="",FALSE,TRUE)</f>
        <v>0</v>
      </c>
      <c r="AP93" t="b">
        <f>OR(AND(IF(metadata!N93="",FALSE,TRUE),OR(EXACT(metadata!N93,"not applicable"),EXACT(metadata!N93,"missing: not collected"),EXACT(metadata!N93,"missing: not provided"))),AND(IF(metadata!N93="",FALSE,IF(ISERROR(INT(metadata!N93)),FALSE,INT(metadata!N93)=metadata!N93)),metadata!N93&gt;0))</f>
        <v>0</v>
      </c>
      <c r="AQ93" t="b">
        <f>AND(IF(metadata!O93="",FALSE,TRUE),EXACT(metadata!O93,"Not applicable"))</f>
        <v>0</v>
      </c>
      <c r="AR93" t="b">
        <f>OR(AND(IF(metadata!P93="",FALSE,TRUE),OR(EXACT(metadata!P93,"not applicable"),EXACT(metadata!P93,"missing: not collected"),EXACT(metadata!P93,"missing: not provided"),EXACT(metadata!P93,"missing: restricted access"))),IF(metadata!P93="",FALSE,IF(ISERROR(INT(metadata!P93)),FALSE,INT(metadata!P93)=metadata!P93)))</f>
        <v>0</v>
      </c>
      <c r="AS93" t="b">
        <f>AND(IF(metadata!Q93="",FALSE,TRUE),EXACT(metadata!Q93,"Not applicable"))</f>
        <v>0</v>
      </c>
      <c r="AT93" t="b">
        <f>OR(AND(IF(metadata!R93="",FALSE,TRUE),OR(EXACT(metadata!R93,"not applicable"),EXACT(metadata!R93,"missing: not collected"),EXACT(metadata!R93,"missing: not provided"),EXACT(metadata!R93,"missing: restricted access"))),AND(IF(metadata!R93="",FALSE,ISNUMBER(VALUE(metadata!R93))),metadata!R93&gt;0))</f>
        <v>0</v>
      </c>
      <c r="AU93" t="b">
        <f>AND(IF(metadata!S93="",FALSE,TRUE),EXACT(metadata!S93,"missing: not provided"))</f>
        <v>0</v>
      </c>
    </row>
    <row r="94" spans="1:47" x14ac:dyDescent="0.2">
      <c r="A94" s="5" t="str">
        <f ca="1">IF(B94=" "," ",HYPERLINK(CONCATENATE("#metadata!",ADDRESS(INDEX($Y$2:$Y$1001,MATCH(ROWS($W$2:W94),$W$2:$W$1001,0),0),1)),INDEX($AB$2:$AB$1001,MATCH(ROWS($W$2:W94),$W$2:$W$1001,0),0)))</f>
        <v xml:space="preserve"> </v>
      </c>
      <c r="B94" s="4" t="str">
        <f ca="1">IF(OR(INDEX($X$2:$X$1001,MATCH(ROWS($W$2:W94),$W$2:$W$1001,0),1)&gt;=100000,INDEX($AD$1005:$AU$1005,1,MATCH(COLUMNS($AD$1006:AD1006),$AD$1006:$AU$1006,0))&gt;=100000), " ",IF(INDEX($AD$2:$AU$1001,MATCH(ROWS($W$2:W94),$W$2:$W$1001,0),MATCH(COLUMNS($AD$1006:AD1006),$AD$1006:$AU$1006,0)), HYPERLINK("#",""), HYPERLINK(CONCATENATE("#metadata!", ADDRESS(INDEX($Y$2:$Y$1001,MATCH(ROWS($W$2:W94),$W$2:$W$1001,0),0), INDEX($AD$1004:$AU$1004,1,MATCH(COLUMNS($AD$1006:AD1006),$AD$1006:$AU$1006,0)))),"Fix")))</f>
        <v xml:space="preserve"> </v>
      </c>
      <c r="C94" s="4" t="str">
        <f ca="1">IF(OR(INDEX($X$2:$X$1001,MATCH(ROWS($W$2:W94),$W$2:$W$1001,0),1)&gt;=100000,INDEX($AD$1005:$AU$1005,1,MATCH(COLUMNS($AD$1006:AE1006),$AD$1006:$AU$1006,0))&gt;=100000), " ",IF(INDEX($AD$2:$AU$1001,MATCH(ROWS($W$2:W94),$W$2:$W$1001,0),MATCH(COLUMNS($AD$1006:AE1006),$AD$1006:$AU$1006,0)), HYPERLINK("#",""), HYPERLINK(CONCATENATE("#metadata!", ADDRESS(INDEX($Y$2:$Y$1001,MATCH(ROWS($W$2:W94),$W$2:$W$1001,0),0), INDEX($AD$1004:$AU$1004,1,MATCH(COLUMNS($AD$1006:AE1006),$AD$1006:$AU$1006,0)))),"Fix")))</f>
        <v xml:space="preserve"> </v>
      </c>
      <c r="D94" s="4" t="str">
        <f ca="1">IF(OR(INDEX($X$2:$X$1001,MATCH(ROWS($W$2:W94),$W$2:$W$1001,0),1)&gt;=100000,INDEX($AD$1005:$AU$1005,1,MATCH(COLUMNS($AD$1006:AF1006),$AD$1006:$AU$1006,0))&gt;=100000), " ",IF(INDEX($AD$2:$AU$1001,MATCH(ROWS($W$2:W94),$W$2:$W$1001,0),MATCH(COLUMNS($AD$1006:AF1006),$AD$1006:$AU$1006,0)), HYPERLINK("#",""), HYPERLINK(CONCATENATE("#metadata!", ADDRESS(INDEX($Y$2:$Y$1001,MATCH(ROWS($W$2:W94),$W$2:$W$1001,0),0), INDEX($AD$1004:$AU$1004,1,MATCH(COLUMNS($AD$1006:AF1006),$AD$1006:$AU$1006,0)))),"Fix")))</f>
        <v xml:space="preserve"> </v>
      </c>
      <c r="E94" s="4" t="str">
        <f ca="1">IF(OR(INDEX($X$2:$X$1001,MATCH(ROWS($W$2:W94),$W$2:$W$1001,0),1)&gt;=100000,INDEX($AD$1005:$AU$1005,1,MATCH(COLUMNS($AD$1006:AG1006),$AD$1006:$AU$1006,0))&gt;=100000), " ",IF(INDEX($AD$2:$AU$1001,MATCH(ROWS($W$2:W94),$W$2:$W$1001,0),MATCH(COLUMNS($AD$1006:AG1006),$AD$1006:$AU$1006,0)), HYPERLINK("#",""), HYPERLINK(CONCATENATE("#metadata!", ADDRESS(INDEX($Y$2:$Y$1001,MATCH(ROWS($W$2:W94),$W$2:$W$1001,0),0), INDEX($AD$1004:$AU$1004,1,MATCH(COLUMNS($AD$1006:AG1006),$AD$1006:$AU$1006,0)))),"Fix")))</f>
        <v xml:space="preserve"> </v>
      </c>
      <c r="F94" s="4" t="str">
        <f ca="1">IF(OR(INDEX($X$2:$X$1001,MATCH(ROWS($W$2:W94),$W$2:$W$1001,0),1)&gt;=100000,INDEX($AD$1005:$AU$1005,1,MATCH(COLUMNS($AD$1006:AH1006),$AD$1006:$AU$1006,0))&gt;=100000), " ",IF(INDEX($AD$2:$AU$1001,MATCH(ROWS($W$2:W94),$W$2:$W$1001,0),MATCH(COLUMNS($AD$1006:AH1006),$AD$1006:$AU$1006,0)), HYPERLINK("#",""), HYPERLINK(CONCATENATE("#metadata!", ADDRESS(INDEX($Y$2:$Y$1001,MATCH(ROWS($W$2:W94),$W$2:$W$1001,0),0), INDEX($AD$1004:$AU$1004,1,MATCH(COLUMNS($AD$1006:AH1006),$AD$1006:$AU$1006,0)))),"Fix")))</f>
        <v xml:space="preserve"> </v>
      </c>
      <c r="G94" s="4" t="str">
        <f ca="1">IF(OR(INDEX($X$2:$X$1001,MATCH(ROWS($W$2:W94),$W$2:$W$1001,0),1)&gt;=100000,INDEX($AD$1005:$AU$1005,1,MATCH(COLUMNS($AD$1006:AI1006),$AD$1006:$AU$1006,0))&gt;=100000), " ",IF(INDEX($AD$2:$AU$1001,MATCH(ROWS($W$2:W94),$W$2:$W$1001,0),MATCH(COLUMNS($AD$1006:AI1006),$AD$1006:$AU$1006,0)), HYPERLINK("#",""), HYPERLINK(CONCATENATE("#metadata!", ADDRESS(INDEX($Y$2:$Y$1001,MATCH(ROWS($W$2:W94),$W$2:$W$1001,0),0), INDEX($AD$1004:$AU$1004,1,MATCH(COLUMNS($AD$1006:AI1006),$AD$1006:$AU$1006,0)))),"Fix")))</f>
        <v xml:space="preserve"> </v>
      </c>
      <c r="H94" s="4" t="str">
        <f ca="1">IF(OR(INDEX($X$2:$X$1001,MATCH(ROWS($W$2:W94),$W$2:$W$1001,0),1)&gt;=100000,INDEX($AD$1005:$AU$1005,1,MATCH(COLUMNS($AD$1006:AJ1006),$AD$1006:$AU$1006,0))&gt;=100000), " ",IF(INDEX($AD$2:$AU$1001,MATCH(ROWS($W$2:W94),$W$2:$W$1001,0),MATCH(COLUMNS($AD$1006:AJ1006),$AD$1006:$AU$1006,0)), HYPERLINK("#",""), HYPERLINK(CONCATENATE("#metadata!", ADDRESS(INDEX($Y$2:$Y$1001,MATCH(ROWS($W$2:W94),$W$2:$W$1001,0),0), INDEX($AD$1004:$AU$1004,1,MATCH(COLUMNS($AD$1006:AJ1006),$AD$1006:$AU$1006,0)))),"Fix")))</f>
        <v xml:space="preserve"> </v>
      </c>
      <c r="I94" s="4" t="str">
        <f ca="1">IF(OR(INDEX($X$2:$X$1001,MATCH(ROWS($W$2:W94),$W$2:$W$1001,0),1)&gt;=100000,INDEX($AD$1005:$AU$1005,1,MATCH(COLUMNS($AD$1006:AK1006),$AD$1006:$AU$1006,0))&gt;=100000), " ",IF(INDEX($AD$2:$AU$1001,MATCH(ROWS($W$2:W94),$W$2:$W$1001,0),MATCH(COLUMNS($AD$1006:AK1006),$AD$1006:$AU$1006,0)), HYPERLINK("#",""), HYPERLINK(CONCATENATE("#metadata!", ADDRESS(INDEX($Y$2:$Y$1001,MATCH(ROWS($W$2:W94),$W$2:$W$1001,0),0), INDEX($AD$1004:$AU$1004,1,MATCH(COLUMNS($AD$1006:AK1006),$AD$1006:$AU$1006,0)))),"Fix")))</f>
        <v xml:space="preserve"> </v>
      </c>
      <c r="J94" s="4" t="str">
        <f ca="1">IF(OR(INDEX($X$2:$X$1001,MATCH(ROWS($W$2:W94),$W$2:$W$1001,0),1)&gt;=100000,INDEX($AD$1005:$AU$1005,1,MATCH(COLUMNS($AD$1006:AL1006),$AD$1006:$AU$1006,0))&gt;=100000), " ",IF(INDEX($AD$2:$AU$1001,MATCH(ROWS($W$2:W94),$W$2:$W$1001,0),MATCH(COLUMNS($AD$1006:AL1006),$AD$1006:$AU$1006,0)), HYPERLINK("#",""), HYPERLINK(CONCATENATE("#metadata!", ADDRESS(INDEX($Y$2:$Y$1001,MATCH(ROWS($W$2:W94),$W$2:$W$1001,0),0), INDEX($AD$1004:$AU$1004,1,MATCH(COLUMNS($AD$1006:AL1006),$AD$1006:$AU$1006,0)))),"Fix")))</f>
        <v xml:space="preserve"> </v>
      </c>
      <c r="K94" s="4" t="str">
        <f ca="1">IF(OR(INDEX($X$2:$X$1001,MATCH(ROWS($W$2:W94),$W$2:$W$1001,0),1)&gt;=100000,INDEX($AD$1005:$AU$1005,1,MATCH(COLUMNS($AD$1006:AM1006),$AD$1006:$AU$1006,0))&gt;=100000), " ",IF(INDEX($AD$2:$AU$1001,MATCH(ROWS($W$2:W94),$W$2:$W$1001,0),MATCH(COLUMNS($AD$1006:AM1006),$AD$1006:$AU$1006,0)), HYPERLINK("#",""), HYPERLINK(CONCATENATE("#metadata!", ADDRESS(INDEX($Y$2:$Y$1001,MATCH(ROWS($W$2:W94),$W$2:$W$1001,0),0), INDEX($AD$1004:$AU$1004,1,MATCH(COLUMNS($AD$1006:AM1006),$AD$1006:$AU$1006,0)))),"Fix")))</f>
        <v xml:space="preserve"> </v>
      </c>
      <c r="L94" s="4" t="str">
        <f ca="1">IF(OR(INDEX($X$2:$X$1001,MATCH(ROWS($W$2:W94),$W$2:$W$1001,0),1)&gt;=100000,INDEX($AD$1005:$AU$1005,1,MATCH(COLUMNS($AD$1006:AN1006),$AD$1006:$AU$1006,0))&gt;=100000), " ",IF(INDEX($AD$2:$AU$1001,MATCH(ROWS($W$2:W94),$W$2:$W$1001,0),MATCH(COLUMNS($AD$1006:AN1006),$AD$1006:$AU$1006,0)), HYPERLINK("#",""), HYPERLINK(CONCATENATE("#metadata!", ADDRESS(INDEX($Y$2:$Y$1001,MATCH(ROWS($W$2:W94),$W$2:$W$1001,0),0), INDEX($AD$1004:$AU$1004,1,MATCH(COLUMNS($AD$1006:AN1006),$AD$1006:$AU$1006,0)))),"Fix")))</f>
        <v xml:space="preserve"> </v>
      </c>
      <c r="M94" s="4" t="str">
        <f ca="1">IF(OR(INDEX($X$2:$X$1001,MATCH(ROWS($W$2:W94),$W$2:$W$1001,0),1)&gt;=100000,INDEX($AD$1005:$AU$1005,1,MATCH(COLUMNS($AD$1006:AO1006),$AD$1006:$AU$1006,0))&gt;=100000), " ",IF(INDEX($AD$2:$AU$1001,MATCH(ROWS($W$2:W94),$W$2:$W$1001,0),MATCH(COLUMNS($AD$1006:AO1006),$AD$1006:$AU$1006,0)), HYPERLINK("#",""), HYPERLINK(CONCATENATE("#metadata!", ADDRESS(INDEX($Y$2:$Y$1001,MATCH(ROWS($W$2:W94),$W$2:$W$1001,0),0), INDEX($AD$1004:$AU$1004,1,MATCH(COLUMNS($AD$1006:AO1006),$AD$1006:$AU$1006,0)))),"Fix")))</f>
        <v xml:space="preserve"> </v>
      </c>
      <c r="N94" s="4" t="str">
        <f ca="1">IF(OR(INDEX($X$2:$X$1001,MATCH(ROWS($W$2:W94),$W$2:$W$1001,0),1)&gt;=100000,INDEX($AD$1005:$AU$1005,1,MATCH(COLUMNS($AD$1006:AP1006),$AD$1006:$AU$1006,0))&gt;=100000), " ",IF(INDEX($AD$2:$AU$1001,MATCH(ROWS($W$2:W94),$W$2:$W$1001,0),MATCH(COLUMNS($AD$1006:AP1006),$AD$1006:$AU$1006,0)), HYPERLINK("#",""), HYPERLINK(CONCATENATE("#metadata!", ADDRESS(INDEX($Y$2:$Y$1001,MATCH(ROWS($W$2:W94),$W$2:$W$1001,0),0), INDEX($AD$1004:$AU$1004,1,MATCH(COLUMNS($AD$1006:AP1006),$AD$1006:$AU$1006,0)))),"Fix")))</f>
        <v xml:space="preserve"> </v>
      </c>
      <c r="O94" s="4" t="str">
        <f ca="1">IF(OR(INDEX($X$2:$X$1001,MATCH(ROWS($W$2:W94),$W$2:$W$1001,0),1)&gt;=100000,INDEX($AD$1005:$AU$1005,1,MATCH(COLUMNS($AD$1006:AQ1006),$AD$1006:$AU$1006,0))&gt;=100000), " ",IF(INDEX($AD$2:$AU$1001,MATCH(ROWS($W$2:W94),$W$2:$W$1001,0),MATCH(COLUMNS($AD$1006:AQ1006),$AD$1006:$AU$1006,0)), HYPERLINK("#",""), HYPERLINK(CONCATENATE("#metadata!", ADDRESS(INDEX($Y$2:$Y$1001,MATCH(ROWS($W$2:W94),$W$2:$W$1001,0),0), INDEX($AD$1004:$AU$1004,1,MATCH(COLUMNS($AD$1006:AQ1006),$AD$1006:$AU$1006,0)))),"Fix")))</f>
        <v xml:space="preserve"> </v>
      </c>
      <c r="P94" s="4" t="str">
        <f ca="1">IF(OR(INDEX($X$2:$X$1001,MATCH(ROWS($W$2:W94),$W$2:$W$1001,0),1)&gt;=100000,INDEX($AD$1005:$AU$1005,1,MATCH(COLUMNS($AD$1006:AR1006),$AD$1006:$AU$1006,0))&gt;=100000), " ",IF(INDEX($AD$2:$AU$1001,MATCH(ROWS($W$2:W94),$W$2:$W$1001,0),MATCH(COLUMNS($AD$1006:AR1006),$AD$1006:$AU$1006,0)), HYPERLINK("#",""), HYPERLINK(CONCATENATE("#metadata!", ADDRESS(INDEX($Y$2:$Y$1001,MATCH(ROWS($W$2:W94),$W$2:$W$1001,0),0), INDEX($AD$1004:$AU$1004,1,MATCH(COLUMNS($AD$1006:AR1006),$AD$1006:$AU$1006,0)))),"Fix")))</f>
        <v xml:space="preserve"> </v>
      </c>
      <c r="Q94" s="4" t="str">
        <f ca="1">IF(OR(INDEX($X$2:$X$1001,MATCH(ROWS($W$2:W94),$W$2:$W$1001,0),1)&gt;=100000,INDEX($AD$1005:$AU$1005,1,MATCH(COLUMNS($AD$1006:AS1006),$AD$1006:$AU$1006,0))&gt;=100000), " ",IF(INDEX($AD$2:$AU$1001,MATCH(ROWS($W$2:W94),$W$2:$W$1001,0),MATCH(COLUMNS($AD$1006:AS1006),$AD$1006:$AU$1006,0)), HYPERLINK("#",""), HYPERLINK(CONCATENATE("#metadata!", ADDRESS(INDEX($Y$2:$Y$1001,MATCH(ROWS($W$2:W94),$W$2:$W$1001,0),0), INDEX($AD$1004:$AU$1004,1,MATCH(COLUMNS($AD$1006:AS1006),$AD$1006:$AU$1006,0)))),"Fix")))</f>
        <v xml:space="preserve"> </v>
      </c>
      <c r="R94" s="4" t="str">
        <f ca="1">IF(OR(INDEX($X$2:$X$1001,MATCH(ROWS($W$2:W94),$W$2:$W$1001,0),1)&gt;=100000,INDEX($AD$1005:$AU$1005,1,MATCH(COLUMNS($AD$1006:AT1006),$AD$1006:$AU$1006,0))&gt;=100000), " ",IF(INDEX($AD$2:$AU$1001,MATCH(ROWS($W$2:W94),$W$2:$W$1001,0),MATCH(COLUMNS($AD$1006:AT1006),$AD$1006:$AU$1006,0)), HYPERLINK("#",""), HYPERLINK(CONCATENATE("#metadata!", ADDRESS(INDEX($Y$2:$Y$1001,MATCH(ROWS($W$2:W94),$W$2:$W$1001,0),0), INDEX($AD$1004:$AU$1004,1,MATCH(COLUMNS($AD$1006:AT1006),$AD$1006:$AU$1006,0)))),"Fix")))</f>
        <v xml:space="preserve"> </v>
      </c>
      <c r="S94" s="4" t="str">
        <f ca="1">IF(OR(INDEX($X$2:$X$1001,MATCH(ROWS($W$2:W94),$W$2:$W$1001,0),1)&gt;=100000,INDEX($AD$1005:$AU$1005,1,MATCH(COLUMNS($AD$1006:AU1006),$AD$1006:$AU$1006,0))&gt;=100000), " ",IF(INDEX($AD$2:$AU$1001,MATCH(ROWS($W$2:W94),$W$2:$W$1001,0),MATCH(COLUMNS($AD$1006:AU1006),$AD$1006:$AU$1006,0)), HYPERLINK("#",""), HYPERLINK(CONCATENATE("#metadata!", ADDRESS(INDEX($Y$2:$Y$1001,MATCH(ROWS($W$2:W94),$W$2:$W$1001,0),0), INDEX($AD$1004:$AU$1004,1,MATCH(COLUMNS($AD$1006:AU1006),$AD$1006:$AU$1006,0)))),"Fix")))</f>
        <v xml:space="preserve"> </v>
      </c>
      <c r="W94">
        <v>93</v>
      </c>
      <c r="X94">
        <v>100094</v>
      </c>
      <c r="Y94">
        <v>94</v>
      </c>
      <c r="Z94" t="b">
        <f t="shared" si="1"/>
        <v>1</v>
      </c>
      <c r="AA94" t="b">
        <f>COUNTBLANK(metadata!B94:S94)=COLUMNS(metadata!B94:S94)</f>
        <v>1</v>
      </c>
      <c r="AB94" t="str">
        <v/>
      </c>
      <c r="AD94" t="b">
        <f ca="1">AND(IF(metadata!B94="",FALSE,TRUE),COUNTIF(metadata!B:B, metadata!B94) = 1,NOT(ISERROR(SUMPRODUCT(SEARCH(MID(metadata!B94,ROW(INDIRECT("1:"&amp;LEN(metadata!B94))), 1),"0123456789abcdefghijklmnopqrstuvwxyzABCDEFGHIJKLMNOPQRSTUVWXYZ.")))))</f>
        <v>0</v>
      </c>
      <c r="AE94" t="b">
        <f>OR(AND(IF(metadata!C94="",FALSE,TRUE),OR(EXACT(metadata!C94,"not applicable"),EXACT(metadata!C94,"missing: not collected"),EXACT(metadata!C94,"missing: not provided"),EXACT(metadata!C94,"missing: restricted access"))),AND(IF(metadata!C94="",FALSE,ISNUMBER(VALUE(metadata!C94))),metadata!C94&gt;0))</f>
        <v>0</v>
      </c>
      <c r="AF94" t="b">
        <f>AND(IF(metadata!D94="",FALSE,TRUE),EXACT(metadata!D94,"missing: not provided"))</f>
        <v>0</v>
      </c>
      <c r="AG94" t="b">
        <f>AND(IF(metadata!E94="",FALSE,TRUE),EXACT(metadata!E94,"Host-associated"))</f>
        <v>0</v>
      </c>
      <c r="AH94" t="b">
        <f>AND(IF(metadata!F94="",FALSE,TRUE),OR(EXACT(metadata!F94,"Animal"),EXACT(metadata!F94,"Fungus"),EXACT(metadata!F94,"Plant")))</f>
        <v>0</v>
      </c>
      <c r="AI94" t="b">
        <f>AND(IF(metadata!G94="",FALSE,TRUE),OR(EXACT(metadata!G94,"Plant secretion"),EXACT(metadata!G94,"Plant rhizosphere"),EXACT(metadata!G94,"Plant surface"),EXACT(metadata!G94,"Plant corpus"),EXACT(metadata!G94,"Fungus surface"),EXACT(metadata!G94,"Fungus corpus"),EXACT(metadata!G94,"Animal surface"),EXACT(metadata!G94,"Animal proximal gut"),EXACT(metadata!G94,"Animal corpus"),EXACT(metadata!G94,"Animal distal gut"),EXACT(metadata!G94,"Animal secretion")))</f>
        <v>0</v>
      </c>
      <c r="AJ94" t="b">
        <f>OR(AND(IF(metadata!H94="",FALSE,TRUE),OR(EXACT(metadata!H94,"missing: not collected"),EXACT(metadata!H94,"missing: not provided"),EXACT(metadata!H94,"missing: restricted access"))),AND(IF(metadata!H94="",FALSE,TRUE),OR(EXACT(metadata!H94,"organism-associated habitat"),EXACT(metadata!H94,"plant-associated habitat"),EXACT(metadata!H94,"animal-associated habitat"),EXACT(metadata!H94,"insecta-associated habitat"),EXACT(metadata!H94,"mammalia-associated habitat"),EXACT(metadata!H94,"human-associated habitat"),EXACT(metadata!H94,"livestock-associated habitat"))))</f>
        <v>0</v>
      </c>
      <c r="AK94" t="b">
        <f>AND(IF(metadata!I94="",FALSE,TRUE),EXACT(metadata!I94,"host-associated"))</f>
        <v>0</v>
      </c>
      <c r="AL94" t="b">
        <f>OR(AND(IF(metadata!J94="",FALSE,TRUE),OR(EXACT(metadata!J94,"not applicable"),EXACT(metadata!J94,"missing: not collected"),EXACT(metadata!J94,"missing: not provided"),EXACT(metadata!J94,"missing: restricted access"))),AND(IF(metadata!J94="",FALSE,ISNUMBER(VALUE(metadata!J94))),metadata!J94&gt;0))</f>
        <v>0</v>
      </c>
      <c r="AM94" t="b">
        <f>AND(IF(metadata!K94="",FALSE,TRUE),EXACT(metadata!K94,"missing: not provided"))</f>
        <v>0</v>
      </c>
      <c r="AN94" t="b">
        <f>IF(metadata!L94="",FALSE,TRUE)</f>
        <v>0</v>
      </c>
      <c r="AO94" t="b">
        <f>IF(metadata!M94="",FALSE,TRUE)</f>
        <v>0</v>
      </c>
      <c r="AP94" t="b">
        <f>OR(AND(IF(metadata!N94="",FALSE,TRUE),OR(EXACT(metadata!N94,"not applicable"),EXACT(metadata!N94,"missing: not collected"),EXACT(metadata!N94,"missing: not provided"))),AND(IF(metadata!N94="",FALSE,IF(ISERROR(INT(metadata!N94)),FALSE,INT(metadata!N94)=metadata!N94)),metadata!N94&gt;0))</f>
        <v>0</v>
      </c>
      <c r="AQ94" t="b">
        <f>AND(IF(metadata!O94="",FALSE,TRUE),EXACT(metadata!O94,"Not applicable"))</f>
        <v>0</v>
      </c>
      <c r="AR94" t="b">
        <f>OR(AND(IF(metadata!P94="",FALSE,TRUE),OR(EXACT(metadata!P94,"not applicable"),EXACT(metadata!P94,"missing: not collected"),EXACT(metadata!P94,"missing: not provided"),EXACT(metadata!P94,"missing: restricted access"))),IF(metadata!P94="",FALSE,IF(ISERROR(INT(metadata!P94)),FALSE,INT(metadata!P94)=metadata!P94)))</f>
        <v>0</v>
      </c>
      <c r="AS94" t="b">
        <f>AND(IF(metadata!Q94="",FALSE,TRUE),EXACT(metadata!Q94,"Not applicable"))</f>
        <v>0</v>
      </c>
      <c r="AT94" t="b">
        <f>OR(AND(IF(metadata!R94="",FALSE,TRUE),OR(EXACT(metadata!R94,"not applicable"),EXACT(metadata!R94,"missing: not collected"),EXACT(metadata!R94,"missing: not provided"),EXACT(metadata!R94,"missing: restricted access"))),AND(IF(metadata!R94="",FALSE,ISNUMBER(VALUE(metadata!R94))),metadata!R94&gt;0))</f>
        <v>0</v>
      </c>
      <c r="AU94" t="b">
        <f>AND(IF(metadata!S94="",FALSE,TRUE),EXACT(metadata!S94,"missing: not provided"))</f>
        <v>0</v>
      </c>
    </row>
    <row r="95" spans="1:47" x14ac:dyDescent="0.2">
      <c r="A95" s="5" t="str">
        <f ca="1">IF(B95=" "," ",HYPERLINK(CONCATENATE("#metadata!",ADDRESS(INDEX($Y$2:$Y$1001,MATCH(ROWS($W$2:W95),$W$2:$W$1001,0),0),1)),INDEX($AB$2:$AB$1001,MATCH(ROWS($W$2:W95),$W$2:$W$1001,0),0)))</f>
        <v xml:space="preserve"> </v>
      </c>
      <c r="B95" s="4" t="str">
        <f ca="1">IF(OR(INDEX($X$2:$X$1001,MATCH(ROWS($W$2:W95),$W$2:$W$1001,0),1)&gt;=100000,INDEX($AD$1005:$AU$1005,1,MATCH(COLUMNS($AD$1006:AD1006),$AD$1006:$AU$1006,0))&gt;=100000), " ",IF(INDEX($AD$2:$AU$1001,MATCH(ROWS($W$2:W95),$W$2:$W$1001,0),MATCH(COLUMNS($AD$1006:AD1006),$AD$1006:$AU$1006,0)), HYPERLINK("#",""), HYPERLINK(CONCATENATE("#metadata!", ADDRESS(INDEX($Y$2:$Y$1001,MATCH(ROWS($W$2:W95),$W$2:$W$1001,0),0), INDEX($AD$1004:$AU$1004,1,MATCH(COLUMNS($AD$1006:AD1006),$AD$1006:$AU$1006,0)))),"Fix")))</f>
        <v xml:space="preserve"> </v>
      </c>
      <c r="C95" s="4" t="str">
        <f ca="1">IF(OR(INDEX($X$2:$X$1001,MATCH(ROWS($W$2:W95),$W$2:$W$1001,0),1)&gt;=100000,INDEX($AD$1005:$AU$1005,1,MATCH(COLUMNS($AD$1006:AE1006),$AD$1006:$AU$1006,0))&gt;=100000), " ",IF(INDEX($AD$2:$AU$1001,MATCH(ROWS($W$2:W95),$W$2:$W$1001,0),MATCH(COLUMNS($AD$1006:AE1006),$AD$1006:$AU$1006,0)), HYPERLINK("#",""), HYPERLINK(CONCATENATE("#metadata!", ADDRESS(INDEX($Y$2:$Y$1001,MATCH(ROWS($W$2:W95),$W$2:$W$1001,0),0), INDEX($AD$1004:$AU$1004,1,MATCH(COLUMNS($AD$1006:AE1006),$AD$1006:$AU$1006,0)))),"Fix")))</f>
        <v xml:space="preserve"> </v>
      </c>
      <c r="D95" s="4" t="str">
        <f ca="1">IF(OR(INDEX($X$2:$X$1001,MATCH(ROWS($W$2:W95),$W$2:$W$1001,0),1)&gt;=100000,INDEX($AD$1005:$AU$1005,1,MATCH(COLUMNS($AD$1006:AF1006),$AD$1006:$AU$1006,0))&gt;=100000), " ",IF(INDEX($AD$2:$AU$1001,MATCH(ROWS($W$2:W95),$W$2:$W$1001,0),MATCH(COLUMNS($AD$1006:AF1006),$AD$1006:$AU$1006,0)), HYPERLINK("#",""), HYPERLINK(CONCATENATE("#metadata!", ADDRESS(INDEX($Y$2:$Y$1001,MATCH(ROWS($W$2:W95),$W$2:$W$1001,0),0), INDEX($AD$1004:$AU$1004,1,MATCH(COLUMNS($AD$1006:AF1006),$AD$1006:$AU$1006,0)))),"Fix")))</f>
        <v xml:space="preserve"> </v>
      </c>
      <c r="E95" s="4" t="str">
        <f ca="1">IF(OR(INDEX($X$2:$X$1001,MATCH(ROWS($W$2:W95),$W$2:$W$1001,0),1)&gt;=100000,INDEX($AD$1005:$AU$1005,1,MATCH(COLUMNS($AD$1006:AG1006),$AD$1006:$AU$1006,0))&gt;=100000), " ",IF(INDEX($AD$2:$AU$1001,MATCH(ROWS($W$2:W95),$W$2:$W$1001,0),MATCH(COLUMNS($AD$1006:AG1006),$AD$1006:$AU$1006,0)), HYPERLINK("#",""), HYPERLINK(CONCATENATE("#metadata!", ADDRESS(INDEX($Y$2:$Y$1001,MATCH(ROWS($W$2:W95),$W$2:$W$1001,0),0), INDEX($AD$1004:$AU$1004,1,MATCH(COLUMNS($AD$1006:AG1006),$AD$1006:$AU$1006,0)))),"Fix")))</f>
        <v xml:space="preserve"> </v>
      </c>
      <c r="F95" s="4" t="str">
        <f ca="1">IF(OR(INDEX($X$2:$X$1001,MATCH(ROWS($W$2:W95),$W$2:$W$1001,0),1)&gt;=100000,INDEX($AD$1005:$AU$1005,1,MATCH(COLUMNS($AD$1006:AH1006),$AD$1006:$AU$1006,0))&gt;=100000), " ",IF(INDEX($AD$2:$AU$1001,MATCH(ROWS($W$2:W95),$W$2:$W$1001,0),MATCH(COLUMNS($AD$1006:AH1006),$AD$1006:$AU$1006,0)), HYPERLINK("#",""), HYPERLINK(CONCATENATE("#metadata!", ADDRESS(INDEX($Y$2:$Y$1001,MATCH(ROWS($W$2:W95),$W$2:$W$1001,0),0), INDEX($AD$1004:$AU$1004,1,MATCH(COLUMNS($AD$1006:AH1006),$AD$1006:$AU$1006,0)))),"Fix")))</f>
        <v xml:space="preserve"> </v>
      </c>
      <c r="G95" s="4" t="str">
        <f ca="1">IF(OR(INDEX($X$2:$X$1001,MATCH(ROWS($W$2:W95),$W$2:$W$1001,0),1)&gt;=100000,INDEX($AD$1005:$AU$1005,1,MATCH(COLUMNS($AD$1006:AI1006),$AD$1006:$AU$1006,0))&gt;=100000), " ",IF(INDEX($AD$2:$AU$1001,MATCH(ROWS($W$2:W95),$W$2:$W$1001,0),MATCH(COLUMNS($AD$1006:AI1006),$AD$1006:$AU$1006,0)), HYPERLINK("#",""), HYPERLINK(CONCATENATE("#metadata!", ADDRESS(INDEX($Y$2:$Y$1001,MATCH(ROWS($W$2:W95),$W$2:$W$1001,0),0), INDEX($AD$1004:$AU$1004,1,MATCH(COLUMNS($AD$1006:AI1006),$AD$1006:$AU$1006,0)))),"Fix")))</f>
        <v xml:space="preserve"> </v>
      </c>
      <c r="H95" s="4" t="str">
        <f ca="1">IF(OR(INDEX($X$2:$X$1001,MATCH(ROWS($W$2:W95),$W$2:$W$1001,0),1)&gt;=100000,INDEX($AD$1005:$AU$1005,1,MATCH(COLUMNS($AD$1006:AJ1006),$AD$1006:$AU$1006,0))&gt;=100000), " ",IF(INDEX($AD$2:$AU$1001,MATCH(ROWS($W$2:W95),$W$2:$W$1001,0),MATCH(COLUMNS($AD$1006:AJ1006),$AD$1006:$AU$1006,0)), HYPERLINK("#",""), HYPERLINK(CONCATENATE("#metadata!", ADDRESS(INDEX($Y$2:$Y$1001,MATCH(ROWS($W$2:W95),$W$2:$W$1001,0),0), INDEX($AD$1004:$AU$1004,1,MATCH(COLUMNS($AD$1006:AJ1006),$AD$1006:$AU$1006,0)))),"Fix")))</f>
        <v xml:space="preserve"> </v>
      </c>
      <c r="I95" s="4" t="str">
        <f ca="1">IF(OR(INDEX($X$2:$X$1001,MATCH(ROWS($W$2:W95),$W$2:$W$1001,0),1)&gt;=100000,INDEX($AD$1005:$AU$1005,1,MATCH(COLUMNS($AD$1006:AK1006),$AD$1006:$AU$1006,0))&gt;=100000), " ",IF(INDEX($AD$2:$AU$1001,MATCH(ROWS($W$2:W95),$W$2:$W$1001,0),MATCH(COLUMNS($AD$1006:AK1006),$AD$1006:$AU$1006,0)), HYPERLINK("#",""), HYPERLINK(CONCATENATE("#metadata!", ADDRESS(INDEX($Y$2:$Y$1001,MATCH(ROWS($W$2:W95),$W$2:$W$1001,0),0), INDEX($AD$1004:$AU$1004,1,MATCH(COLUMNS($AD$1006:AK1006),$AD$1006:$AU$1006,0)))),"Fix")))</f>
        <v xml:space="preserve"> </v>
      </c>
      <c r="J95" s="4" t="str">
        <f ca="1">IF(OR(INDEX($X$2:$X$1001,MATCH(ROWS($W$2:W95),$W$2:$W$1001,0),1)&gt;=100000,INDEX($AD$1005:$AU$1005,1,MATCH(COLUMNS($AD$1006:AL1006),$AD$1006:$AU$1006,0))&gt;=100000), " ",IF(INDEX($AD$2:$AU$1001,MATCH(ROWS($W$2:W95),$W$2:$W$1001,0),MATCH(COLUMNS($AD$1006:AL1006),$AD$1006:$AU$1006,0)), HYPERLINK("#",""), HYPERLINK(CONCATENATE("#metadata!", ADDRESS(INDEX($Y$2:$Y$1001,MATCH(ROWS($W$2:W95),$W$2:$W$1001,0),0), INDEX($AD$1004:$AU$1004,1,MATCH(COLUMNS($AD$1006:AL1006),$AD$1006:$AU$1006,0)))),"Fix")))</f>
        <v xml:space="preserve"> </v>
      </c>
      <c r="K95" s="4" t="str">
        <f ca="1">IF(OR(INDEX($X$2:$X$1001,MATCH(ROWS($W$2:W95),$W$2:$W$1001,0),1)&gt;=100000,INDEX($AD$1005:$AU$1005,1,MATCH(COLUMNS($AD$1006:AM1006),$AD$1006:$AU$1006,0))&gt;=100000), " ",IF(INDEX($AD$2:$AU$1001,MATCH(ROWS($W$2:W95),$W$2:$W$1001,0),MATCH(COLUMNS($AD$1006:AM1006),$AD$1006:$AU$1006,0)), HYPERLINK("#",""), HYPERLINK(CONCATENATE("#metadata!", ADDRESS(INDEX($Y$2:$Y$1001,MATCH(ROWS($W$2:W95),$W$2:$W$1001,0),0), INDEX($AD$1004:$AU$1004,1,MATCH(COLUMNS($AD$1006:AM1006),$AD$1006:$AU$1006,0)))),"Fix")))</f>
        <v xml:space="preserve"> </v>
      </c>
      <c r="L95" s="4" t="str">
        <f ca="1">IF(OR(INDEX($X$2:$X$1001,MATCH(ROWS($W$2:W95),$W$2:$W$1001,0),1)&gt;=100000,INDEX($AD$1005:$AU$1005,1,MATCH(COLUMNS($AD$1006:AN1006),$AD$1006:$AU$1006,0))&gt;=100000), " ",IF(INDEX($AD$2:$AU$1001,MATCH(ROWS($W$2:W95),$W$2:$W$1001,0),MATCH(COLUMNS($AD$1006:AN1006),$AD$1006:$AU$1006,0)), HYPERLINK("#",""), HYPERLINK(CONCATENATE("#metadata!", ADDRESS(INDEX($Y$2:$Y$1001,MATCH(ROWS($W$2:W95),$W$2:$W$1001,0),0), INDEX($AD$1004:$AU$1004,1,MATCH(COLUMNS($AD$1006:AN1006),$AD$1006:$AU$1006,0)))),"Fix")))</f>
        <v xml:space="preserve"> </v>
      </c>
      <c r="M95" s="4" t="str">
        <f ca="1">IF(OR(INDEX($X$2:$X$1001,MATCH(ROWS($W$2:W95),$W$2:$W$1001,0),1)&gt;=100000,INDEX($AD$1005:$AU$1005,1,MATCH(COLUMNS($AD$1006:AO1006),$AD$1006:$AU$1006,0))&gt;=100000), " ",IF(INDEX($AD$2:$AU$1001,MATCH(ROWS($W$2:W95),$W$2:$W$1001,0),MATCH(COLUMNS($AD$1006:AO1006),$AD$1006:$AU$1006,0)), HYPERLINK("#",""), HYPERLINK(CONCATENATE("#metadata!", ADDRESS(INDEX($Y$2:$Y$1001,MATCH(ROWS($W$2:W95),$W$2:$W$1001,0),0), INDEX($AD$1004:$AU$1004,1,MATCH(COLUMNS($AD$1006:AO1006),$AD$1006:$AU$1006,0)))),"Fix")))</f>
        <v xml:space="preserve"> </v>
      </c>
      <c r="N95" s="4" t="str">
        <f ca="1">IF(OR(INDEX($X$2:$X$1001,MATCH(ROWS($W$2:W95),$W$2:$W$1001,0),1)&gt;=100000,INDEX($AD$1005:$AU$1005,1,MATCH(COLUMNS($AD$1006:AP1006),$AD$1006:$AU$1006,0))&gt;=100000), " ",IF(INDEX($AD$2:$AU$1001,MATCH(ROWS($W$2:W95),$W$2:$W$1001,0),MATCH(COLUMNS($AD$1006:AP1006),$AD$1006:$AU$1006,0)), HYPERLINK("#",""), HYPERLINK(CONCATENATE("#metadata!", ADDRESS(INDEX($Y$2:$Y$1001,MATCH(ROWS($W$2:W95),$W$2:$W$1001,0),0), INDEX($AD$1004:$AU$1004,1,MATCH(COLUMNS($AD$1006:AP1006),$AD$1006:$AU$1006,0)))),"Fix")))</f>
        <v xml:space="preserve"> </v>
      </c>
      <c r="O95" s="4" t="str">
        <f ca="1">IF(OR(INDEX($X$2:$X$1001,MATCH(ROWS($W$2:W95),$W$2:$W$1001,0),1)&gt;=100000,INDEX($AD$1005:$AU$1005,1,MATCH(COLUMNS($AD$1006:AQ1006),$AD$1006:$AU$1006,0))&gt;=100000), " ",IF(INDEX($AD$2:$AU$1001,MATCH(ROWS($W$2:W95),$W$2:$W$1001,0),MATCH(COLUMNS($AD$1006:AQ1006),$AD$1006:$AU$1006,0)), HYPERLINK("#",""), HYPERLINK(CONCATENATE("#metadata!", ADDRESS(INDEX($Y$2:$Y$1001,MATCH(ROWS($W$2:W95),$W$2:$W$1001,0),0), INDEX($AD$1004:$AU$1004,1,MATCH(COLUMNS($AD$1006:AQ1006),$AD$1006:$AU$1006,0)))),"Fix")))</f>
        <v xml:space="preserve"> </v>
      </c>
      <c r="P95" s="4" t="str">
        <f ca="1">IF(OR(INDEX($X$2:$X$1001,MATCH(ROWS($W$2:W95),$W$2:$W$1001,0),1)&gt;=100000,INDEX($AD$1005:$AU$1005,1,MATCH(COLUMNS($AD$1006:AR1006),$AD$1006:$AU$1006,0))&gt;=100000), " ",IF(INDEX($AD$2:$AU$1001,MATCH(ROWS($W$2:W95),$W$2:$W$1001,0),MATCH(COLUMNS($AD$1006:AR1006),$AD$1006:$AU$1006,0)), HYPERLINK("#",""), HYPERLINK(CONCATENATE("#metadata!", ADDRESS(INDEX($Y$2:$Y$1001,MATCH(ROWS($W$2:W95),$W$2:$W$1001,0),0), INDEX($AD$1004:$AU$1004,1,MATCH(COLUMNS($AD$1006:AR1006),$AD$1006:$AU$1006,0)))),"Fix")))</f>
        <v xml:space="preserve"> </v>
      </c>
      <c r="Q95" s="4" t="str">
        <f ca="1">IF(OR(INDEX($X$2:$X$1001,MATCH(ROWS($W$2:W95),$W$2:$W$1001,0),1)&gt;=100000,INDEX($AD$1005:$AU$1005,1,MATCH(COLUMNS($AD$1006:AS1006),$AD$1006:$AU$1006,0))&gt;=100000), " ",IF(INDEX($AD$2:$AU$1001,MATCH(ROWS($W$2:W95),$W$2:$W$1001,0),MATCH(COLUMNS($AD$1006:AS1006),$AD$1006:$AU$1006,0)), HYPERLINK("#",""), HYPERLINK(CONCATENATE("#metadata!", ADDRESS(INDEX($Y$2:$Y$1001,MATCH(ROWS($W$2:W95),$W$2:$W$1001,0),0), INDEX($AD$1004:$AU$1004,1,MATCH(COLUMNS($AD$1006:AS1006),$AD$1006:$AU$1006,0)))),"Fix")))</f>
        <v xml:space="preserve"> </v>
      </c>
      <c r="R95" s="4" t="str">
        <f ca="1">IF(OR(INDEX($X$2:$X$1001,MATCH(ROWS($W$2:W95),$W$2:$W$1001,0),1)&gt;=100000,INDEX($AD$1005:$AU$1005,1,MATCH(COLUMNS($AD$1006:AT1006),$AD$1006:$AU$1006,0))&gt;=100000), " ",IF(INDEX($AD$2:$AU$1001,MATCH(ROWS($W$2:W95),$W$2:$W$1001,0),MATCH(COLUMNS($AD$1006:AT1006),$AD$1006:$AU$1006,0)), HYPERLINK("#",""), HYPERLINK(CONCATENATE("#metadata!", ADDRESS(INDEX($Y$2:$Y$1001,MATCH(ROWS($W$2:W95),$W$2:$W$1001,0),0), INDEX($AD$1004:$AU$1004,1,MATCH(COLUMNS($AD$1006:AT1006),$AD$1006:$AU$1006,0)))),"Fix")))</f>
        <v xml:space="preserve"> </v>
      </c>
      <c r="S95" s="4" t="str">
        <f ca="1">IF(OR(INDEX($X$2:$X$1001,MATCH(ROWS($W$2:W95),$W$2:$W$1001,0),1)&gt;=100000,INDEX($AD$1005:$AU$1005,1,MATCH(COLUMNS($AD$1006:AU1006),$AD$1006:$AU$1006,0))&gt;=100000), " ",IF(INDEX($AD$2:$AU$1001,MATCH(ROWS($W$2:W95),$W$2:$W$1001,0),MATCH(COLUMNS($AD$1006:AU1006),$AD$1006:$AU$1006,0)), HYPERLINK("#",""), HYPERLINK(CONCATENATE("#metadata!", ADDRESS(INDEX($Y$2:$Y$1001,MATCH(ROWS($W$2:W95),$W$2:$W$1001,0),0), INDEX($AD$1004:$AU$1004,1,MATCH(COLUMNS($AD$1006:AU1006),$AD$1006:$AU$1006,0)))),"Fix")))</f>
        <v xml:space="preserve"> </v>
      </c>
      <c r="W95">
        <v>94</v>
      </c>
      <c r="X95">
        <v>100095</v>
      </c>
      <c r="Y95">
        <v>95</v>
      </c>
      <c r="Z95" t="b">
        <f t="shared" si="1"/>
        <v>1</v>
      </c>
      <c r="AA95" t="b">
        <f>COUNTBLANK(metadata!B95:S95)=COLUMNS(metadata!B95:S95)</f>
        <v>1</v>
      </c>
      <c r="AB95" t="str">
        <v/>
      </c>
      <c r="AD95" t="b">
        <f ca="1">AND(IF(metadata!B95="",FALSE,TRUE),COUNTIF(metadata!B:B, metadata!B95) = 1,NOT(ISERROR(SUMPRODUCT(SEARCH(MID(metadata!B95,ROW(INDIRECT("1:"&amp;LEN(metadata!B95))), 1),"0123456789abcdefghijklmnopqrstuvwxyzABCDEFGHIJKLMNOPQRSTUVWXYZ.")))))</f>
        <v>0</v>
      </c>
      <c r="AE95" t="b">
        <f>OR(AND(IF(metadata!C95="",FALSE,TRUE),OR(EXACT(metadata!C95,"not applicable"),EXACT(metadata!C95,"missing: not collected"),EXACT(metadata!C95,"missing: not provided"),EXACT(metadata!C95,"missing: restricted access"))),AND(IF(metadata!C95="",FALSE,ISNUMBER(VALUE(metadata!C95))),metadata!C95&gt;0))</f>
        <v>0</v>
      </c>
      <c r="AF95" t="b">
        <f>AND(IF(metadata!D95="",FALSE,TRUE),EXACT(metadata!D95,"missing: not provided"))</f>
        <v>0</v>
      </c>
      <c r="AG95" t="b">
        <f>AND(IF(metadata!E95="",FALSE,TRUE),EXACT(metadata!E95,"Host-associated"))</f>
        <v>0</v>
      </c>
      <c r="AH95" t="b">
        <f>AND(IF(metadata!F95="",FALSE,TRUE),OR(EXACT(metadata!F95,"Animal"),EXACT(metadata!F95,"Fungus"),EXACT(metadata!F95,"Plant")))</f>
        <v>0</v>
      </c>
      <c r="AI95" t="b">
        <f>AND(IF(metadata!G95="",FALSE,TRUE),OR(EXACT(metadata!G95,"Plant secretion"),EXACT(metadata!G95,"Plant rhizosphere"),EXACT(metadata!G95,"Plant surface"),EXACT(metadata!G95,"Plant corpus"),EXACT(metadata!G95,"Fungus surface"),EXACT(metadata!G95,"Fungus corpus"),EXACT(metadata!G95,"Animal surface"),EXACT(metadata!G95,"Animal proximal gut"),EXACT(metadata!G95,"Animal corpus"),EXACT(metadata!G95,"Animal distal gut"),EXACT(metadata!G95,"Animal secretion")))</f>
        <v>0</v>
      </c>
      <c r="AJ95" t="b">
        <f>OR(AND(IF(metadata!H95="",FALSE,TRUE),OR(EXACT(metadata!H95,"missing: not collected"),EXACT(metadata!H95,"missing: not provided"),EXACT(metadata!H95,"missing: restricted access"))),AND(IF(metadata!H95="",FALSE,TRUE),OR(EXACT(metadata!H95,"organism-associated habitat"),EXACT(metadata!H95,"plant-associated habitat"),EXACT(metadata!H95,"animal-associated habitat"),EXACT(metadata!H95,"insecta-associated habitat"),EXACT(metadata!H95,"mammalia-associated habitat"),EXACT(metadata!H95,"human-associated habitat"),EXACT(metadata!H95,"livestock-associated habitat"))))</f>
        <v>0</v>
      </c>
      <c r="AK95" t="b">
        <f>AND(IF(metadata!I95="",FALSE,TRUE),EXACT(metadata!I95,"host-associated"))</f>
        <v>0</v>
      </c>
      <c r="AL95" t="b">
        <f>OR(AND(IF(metadata!J95="",FALSE,TRUE),OR(EXACT(metadata!J95,"not applicable"),EXACT(metadata!J95,"missing: not collected"),EXACT(metadata!J95,"missing: not provided"),EXACT(metadata!J95,"missing: restricted access"))),AND(IF(metadata!J95="",FALSE,ISNUMBER(VALUE(metadata!J95))),metadata!J95&gt;0))</f>
        <v>0</v>
      </c>
      <c r="AM95" t="b">
        <f>AND(IF(metadata!K95="",FALSE,TRUE),EXACT(metadata!K95,"missing: not provided"))</f>
        <v>0</v>
      </c>
      <c r="AN95" t="b">
        <f>IF(metadata!L95="",FALSE,TRUE)</f>
        <v>0</v>
      </c>
      <c r="AO95" t="b">
        <f>IF(metadata!M95="",FALSE,TRUE)</f>
        <v>0</v>
      </c>
      <c r="AP95" t="b">
        <f>OR(AND(IF(metadata!N95="",FALSE,TRUE),OR(EXACT(metadata!N95,"not applicable"),EXACT(metadata!N95,"missing: not collected"),EXACT(metadata!N95,"missing: not provided"))),AND(IF(metadata!N95="",FALSE,IF(ISERROR(INT(metadata!N95)),FALSE,INT(metadata!N95)=metadata!N95)),metadata!N95&gt;0))</f>
        <v>0</v>
      </c>
      <c r="AQ95" t="b">
        <f>AND(IF(metadata!O95="",FALSE,TRUE),EXACT(metadata!O95,"Not applicable"))</f>
        <v>0</v>
      </c>
      <c r="AR95" t="b">
        <f>OR(AND(IF(metadata!P95="",FALSE,TRUE),OR(EXACT(metadata!P95,"not applicable"),EXACT(metadata!P95,"missing: not collected"),EXACT(metadata!P95,"missing: not provided"),EXACT(metadata!P95,"missing: restricted access"))),IF(metadata!P95="",FALSE,IF(ISERROR(INT(metadata!P95)),FALSE,INT(metadata!P95)=metadata!P95)))</f>
        <v>0</v>
      </c>
      <c r="AS95" t="b">
        <f>AND(IF(metadata!Q95="",FALSE,TRUE),EXACT(metadata!Q95,"Not applicable"))</f>
        <v>0</v>
      </c>
      <c r="AT95" t="b">
        <f>OR(AND(IF(metadata!R95="",FALSE,TRUE),OR(EXACT(metadata!R95,"not applicable"),EXACT(metadata!R95,"missing: not collected"),EXACT(metadata!R95,"missing: not provided"),EXACT(metadata!R95,"missing: restricted access"))),AND(IF(metadata!R95="",FALSE,ISNUMBER(VALUE(metadata!R95))),metadata!R95&gt;0))</f>
        <v>0</v>
      </c>
      <c r="AU95" t="b">
        <f>AND(IF(metadata!S95="",FALSE,TRUE),EXACT(metadata!S95,"missing: not provided"))</f>
        <v>0</v>
      </c>
    </row>
    <row r="96" spans="1:47" x14ac:dyDescent="0.2">
      <c r="A96" s="5" t="str">
        <f ca="1">IF(B96=" "," ",HYPERLINK(CONCATENATE("#metadata!",ADDRESS(INDEX($Y$2:$Y$1001,MATCH(ROWS($W$2:W96),$W$2:$W$1001,0),0),1)),INDEX($AB$2:$AB$1001,MATCH(ROWS($W$2:W96),$W$2:$W$1001,0),0)))</f>
        <v xml:space="preserve"> </v>
      </c>
      <c r="B96" s="4" t="str">
        <f ca="1">IF(OR(INDEX($X$2:$X$1001,MATCH(ROWS($W$2:W96),$W$2:$W$1001,0),1)&gt;=100000,INDEX($AD$1005:$AU$1005,1,MATCH(COLUMNS($AD$1006:AD1006),$AD$1006:$AU$1006,0))&gt;=100000), " ",IF(INDEX($AD$2:$AU$1001,MATCH(ROWS($W$2:W96),$W$2:$W$1001,0),MATCH(COLUMNS($AD$1006:AD1006),$AD$1006:$AU$1006,0)), HYPERLINK("#",""), HYPERLINK(CONCATENATE("#metadata!", ADDRESS(INDEX($Y$2:$Y$1001,MATCH(ROWS($W$2:W96),$W$2:$W$1001,0),0), INDEX($AD$1004:$AU$1004,1,MATCH(COLUMNS($AD$1006:AD1006),$AD$1006:$AU$1006,0)))),"Fix")))</f>
        <v xml:space="preserve"> </v>
      </c>
      <c r="C96" s="4" t="str">
        <f ca="1">IF(OR(INDEX($X$2:$X$1001,MATCH(ROWS($W$2:W96),$W$2:$W$1001,0),1)&gt;=100000,INDEX($AD$1005:$AU$1005,1,MATCH(COLUMNS($AD$1006:AE1006),$AD$1006:$AU$1006,0))&gt;=100000), " ",IF(INDEX($AD$2:$AU$1001,MATCH(ROWS($W$2:W96),$W$2:$W$1001,0),MATCH(COLUMNS($AD$1006:AE1006),$AD$1006:$AU$1006,0)), HYPERLINK("#",""), HYPERLINK(CONCATENATE("#metadata!", ADDRESS(INDEX($Y$2:$Y$1001,MATCH(ROWS($W$2:W96),$W$2:$W$1001,0),0), INDEX($AD$1004:$AU$1004,1,MATCH(COLUMNS($AD$1006:AE1006),$AD$1006:$AU$1006,0)))),"Fix")))</f>
        <v xml:space="preserve"> </v>
      </c>
      <c r="D96" s="4" t="str">
        <f ca="1">IF(OR(INDEX($X$2:$X$1001,MATCH(ROWS($W$2:W96),$W$2:$W$1001,0),1)&gt;=100000,INDEX($AD$1005:$AU$1005,1,MATCH(COLUMNS($AD$1006:AF1006),$AD$1006:$AU$1006,0))&gt;=100000), " ",IF(INDEX($AD$2:$AU$1001,MATCH(ROWS($W$2:W96),$W$2:$W$1001,0),MATCH(COLUMNS($AD$1006:AF1006),$AD$1006:$AU$1006,0)), HYPERLINK("#",""), HYPERLINK(CONCATENATE("#metadata!", ADDRESS(INDEX($Y$2:$Y$1001,MATCH(ROWS($W$2:W96),$W$2:$W$1001,0),0), INDEX($AD$1004:$AU$1004,1,MATCH(COLUMNS($AD$1006:AF1006),$AD$1006:$AU$1006,0)))),"Fix")))</f>
        <v xml:space="preserve"> </v>
      </c>
      <c r="E96" s="4" t="str">
        <f ca="1">IF(OR(INDEX($X$2:$X$1001,MATCH(ROWS($W$2:W96),$W$2:$W$1001,0),1)&gt;=100000,INDEX($AD$1005:$AU$1005,1,MATCH(COLUMNS($AD$1006:AG1006),$AD$1006:$AU$1006,0))&gt;=100000), " ",IF(INDEX($AD$2:$AU$1001,MATCH(ROWS($W$2:W96),$W$2:$W$1001,0),MATCH(COLUMNS($AD$1006:AG1006),$AD$1006:$AU$1006,0)), HYPERLINK("#",""), HYPERLINK(CONCATENATE("#metadata!", ADDRESS(INDEX($Y$2:$Y$1001,MATCH(ROWS($W$2:W96),$W$2:$W$1001,0),0), INDEX($AD$1004:$AU$1004,1,MATCH(COLUMNS($AD$1006:AG1006),$AD$1006:$AU$1006,0)))),"Fix")))</f>
        <v xml:space="preserve"> </v>
      </c>
      <c r="F96" s="4" t="str">
        <f ca="1">IF(OR(INDEX($X$2:$X$1001,MATCH(ROWS($W$2:W96),$W$2:$W$1001,0),1)&gt;=100000,INDEX($AD$1005:$AU$1005,1,MATCH(COLUMNS($AD$1006:AH1006),$AD$1006:$AU$1006,0))&gt;=100000), " ",IF(INDEX($AD$2:$AU$1001,MATCH(ROWS($W$2:W96),$W$2:$W$1001,0),MATCH(COLUMNS($AD$1006:AH1006),$AD$1006:$AU$1006,0)), HYPERLINK("#",""), HYPERLINK(CONCATENATE("#metadata!", ADDRESS(INDEX($Y$2:$Y$1001,MATCH(ROWS($W$2:W96),$W$2:$W$1001,0),0), INDEX($AD$1004:$AU$1004,1,MATCH(COLUMNS($AD$1006:AH1006),$AD$1006:$AU$1006,0)))),"Fix")))</f>
        <v xml:space="preserve"> </v>
      </c>
      <c r="G96" s="4" t="str">
        <f ca="1">IF(OR(INDEX($X$2:$X$1001,MATCH(ROWS($W$2:W96),$W$2:$W$1001,0),1)&gt;=100000,INDEX($AD$1005:$AU$1005,1,MATCH(COLUMNS($AD$1006:AI1006),$AD$1006:$AU$1006,0))&gt;=100000), " ",IF(INDEX($AD$2:$AU$1001,MATCH(ROWS($W$2:W96),$W$2:$W$1001,0),MATCH(COLUMNS($AD$1006:AI1006),$AD$1006:$AU$1006,0)), HYPERLINK("#",""), HYPERLINK(CONCATENATE("#metadata!", ADDRESS(INDEX($Y$2:$Y$1001,MATCH(ROWS($W$2:W96),$W$2:$W$1001,0),0), INDEX($AD$1004:$AU$1004,1,MATCH(COLUMNS($AD$1006:AI1006),$AD$1006:$AU$1006,0)))),"Fix")))</f>
        <v xml:space="preserve"> </v>
      </c>
      <c r="H96" s="4" t="str">
        <f ca="1">IF(OR(INDEX($X$2:$X$1001,MATCH(ROWS($W$2:W96),$W$2:$W$1001,0),1)&gt;=100000,INDEX($AD$1005:$AU$1005,1,MATCH(COLUMNS($AD$1006:AJ1006),$AD$1006:$AU$1006,0))&gt;=100000), " ",IF(INDEX($AD$2:$AU$1001,MATCH(ROWS($W$2:W96),$W$2:$W$1001,0),MATCH(COLUMNS($AD$1006:AJ1006),$AD$1006:$AU$1006,0)), HYPERLINK("#",""), HYPERLINK(CONCATENATE("#metadata!", ADDRESS(INDEX($Y$2:$Y$1001,MATCH(ROWS($W$2:W96),$W$2:$W$1001,0),0), INDEX($AD$1004:$AU$1004,1,MATCH(COLUMNS($AD$1006:AJ1006),$AD$1006:$AU$1006,0)))),"Fix")))</f>
        <v xml:space="preserve"> </v>
      </c>
      <c r="I96" s="4" t="str">
        <f ca="1">IF(OR(INDEX($X$2:$X$1001,MATCH(ROWS($W$2:W96),$W$2:$W$1001,0),1)&gt;=100000,INDEX($AD$1005:$AU$1005,1,MATCH(COLUMNS($AD$1006:AK1006),$AD$1006:$AU$1006,0))&gt;=100000), " ",IF(INDEX($AD$2:$AU$1001,MATCH(ROWS($W$2:W96),$W$2:$W$1001,0),MATCH(COLUMNS($AD$1006:AK1006),$AD$1006:$AU$1006,0)), HYPERLINK("#",""), HYPERLINK(CONCATENATE("#metadata!", ADDRESS(INDEX($Y$2:$Y$1001,MATCH(ROWS($W$2:W96),$W$2:$W$1001,0),0), INDEX($AD$1004:$AU$1004,1,MATCH(COLUMNS($AD$1006:AK1006),$AD$1006:$AU$1006,0)))),"Fix")))</f>
        <v xml:space="preserve"> </v>
      </c>
      <c r="J96" s="4" t="str">
        <f ca="1">IF(OR(INDEX($X$2:$X$1001,MATCH(ROWS($W$2:W96),$W$2:$W$1001,0),1)&gt;=100000,INDEX($AD$1005:$AU$1005,1,MATCH(COLUMNS($AD$1006:AL1006),$AD$1006:$AU$1006,0))&gt;=100000), " ",IF(INDEX($AD$2:$AU$1001,MATCH(ROWS($W$2:W96),$W$2:$W$1001,0),MATCH(COLUMNS($AD$1006:AL1006),$AD$1006:$AU$1006,0)), HYPERLINK("#",""), HYPERLINK(CONCATENATE("#metadata!", ADDRESS(INDEX($Y$2:$Y$1001,MATCH(ROWS($W$2:W96),$W$2:$W$1001,0),0), INDEX($AD$1004:$AU$1004,1,MATCH(COLUMNS($AD$1006:AL1006),$AD$1006:$AU$1006,0)))),"Fix")))</f>
        <v xml:space="preserve"> </v>
      </c>
      <c r="K96" s="4" t="str">
        <f ca="1">IF(OR(INDEX($X$2:$X$1001,MATCH(ROWS($W$2:W96),$W$2:$W$1001,0),1)&gt;=100000,INDEX($AD$1005:$AU$1005,1,MATCH(COLUMNS($AD$1006:AM1006),$AD$1006:$AU$1006,0))&gt;=100000), " ",IF(INDEX($AD$2:$AU$1001,MATCH(ROWS($W$2:W96),$W$2:$W$1001,0),MATCH(COLUMNS($AD$1006:AM1006),$AD$1006:$AU$1006,0)), HYPERLINK("#",""), HYPERLINK(CONCATENATE("#metadata!", ADDRESS(INDEX($Y$2:$Y$1001,MATCH(ROWS($W$2:W96),$W$2:$W$1001,0),0), INDEX($AD$1004:$AU$1004,1,MATCH(COLUMNS($AD$1006:AM1006),$AD$1006:$AU$1006,0)))),"Fix")))</f>
        <v xml:space="preserve"> </v>
      </c>
      <c r="L96" s="4" t="str">
        <f ca="1">IF(OR(INDEX($X$2:$X$1001,MATCH(ROWS($W$2:W96),$W$2:$W$1001,0),1)&gt;=100000,INDEX($AD$1005:$AU$1005,1,MATCH(COLUMNS($AD$1006:AN1006),$AD$1006:$AU$1006,0))&gt;=100000), " ",IF(INDEX($AD$2:$AU$1001,MATCH(ROWS($W$2:W96),$W$2:$W$1001,0),MATCH(COLUMNS($AD$1006:AN1006),$AD$1006:$AU$1006,0)), HYPERLINK("#",""), HYPERLINK(CONCATENATE("#metadata!", ADDRESS(INDEX($Y$2:$Y$1001,MATCH(ROWS($W$2:W96),$W$2:$W$1001,0),0), INDEX($AD$1004:$AU$1004,1,MATCH(COLUMNS($AD$1006:AN1006),$AD$1006:$AU$1006,0)))),"Fix")))</f>
        <v xml:space="preserve"> </v>
      </c>
      <c r="M96" s="4" t="str">
        <f ca="1">IF(OR(INDEX($X$2:$X$1001,MATCH(ROWS($W$2:W96),$W$2:$W$1001,0),1)&gt;=100000,INDEX($AD$1005:$AU$1005,1,MATCH(COLUMNS($AD$1006:AO1006),$AD$1006:$AU$1006,0))&gt;=100000), " ",IF(INDEX($AD$2:$AU$1001,MATCH(ROWS($W$2:W96),$W$2:$W$1001,0),MATCH(COLUMNS($AD$1006:AO1006),$AD$1006:$AU$1006,0)), HYPERLINK("#",""), HYPERLINK(CONCATENATE("#metadata!", ADDRESS(INDEX($Y$2:$Y$1001,MATCH(ROWS($W$2:W96),$W$2:$W$1001,0),0), INDEX($AD$1004:$AU$1004,1,MATCH(COLUMNS($AD$1006:AO1006),$AD$1006:$AU$1006,0)))),"Fix")))</f>
        <v xml:space="preserve"> </v>
      </c>
      <c r="N96" s="4" t="str">
        <f ca="1">IF(OR(INDEX($X$2:$X$1001,MATCH(ROWS($W$2:W96),$W$2:$W$1001,0),1)&gt;=100000,INDEX($AD$1005:$AU$1005,1,MATCH(COLUMNS($AD$1006:AP1006),$AD$1006:$AU$1006,0))&gt;=100000), " ",IF(INDEX($AD$2:$AU$1001,MATCH(ROWS($W$2:W96),$W$2:$W$1001,0),MATCH(COLUMNS($AD$1006:AP1006),$AD$1006:$AU$1006,0)), HYPERLINK("#",""), HYPERLINK(CONCATENATE("#metadata!", ADDRESS(INDEX($Y$2:$Y$1001,MATCH(ROWS($W$2:W96),$W$2:$W$1001,0),0), INDEX($AD$1004:$AU$1004,1,MATCH(COLUMNS($AD$1006:AP1006),$AD$1006:$AU$1006,0)))),"Fix")))</f>
        <v xml:space="preserve"> </v>
      </c>
      <c r="O96" s="4" t="str">
        <f ca="1">IF(OR(INDEX($X$2:$X$1001,MATCH(ROWS($W$2:W96),$W$2:$W$1001,0),1)&gt;=100000,INDEX($AD$1005:$AU$1005,1,MATCH(COLUMNS($AD$1006:AQ1006),$AD$1006:$AU$1006,0))&gt;=100000), " ",IF(INDEX($AD$2:$AU$1001,MATCH(ROWS($W$2:W96),$W$2:$W$1001,0),MATCH(COLUMNS($AD$1006:AQ1006),$AD$1006:$AU$1006,0)), HYPERLINK("#",""), HYPERLINK(CONCATENATE("#metadata!", ADDRESS(INDEX($Y$2:$Y$1001,MATCH(ROWS($W$2:W96),$W$2:$W$1001,0),0), INDEX($AD$1004:$AU$1004,1,MATCH(COLUMNS($AD$1006:AQ1006),$AD$1006:$AU$1006,0)))),"Fix")))</f>
        <v xml:space="preserve"> </v>
      </c>
      <c r="P96" s="4" t="str">
        <f ca="1">IF(OR(INDEX($X$2:$X$1001,MATCH(ROWS($W$2:W96),$W$2:$W$1001,0),1)&gt;=100000,INDEX($AD$1005:$AU$1005,1,MATCH(COLUMNS($AD$1006:AR1006),$AD$1006:$AU$1006,0))&gt;=100000), " ",IF(INDEX($AD$2:$AU$1001,MATCH(ROWS($W$2:W96),$W$2:$W$1001,0),MATCH(COLUMNS($AD$1006:AR1006),$AD$1006:$AU$1006,0)), HYPERLINK("#",""), HYPERLINK(CONCATENATE("#metadata!", ADDRESS(INDEX($Y$2:$Y$1001,MATCH(ROWS($W$2:W96),$W$2:$W$1001,0),0), INDEX($AD$1004:$AU$1004,1,MATCH(COLUMNS($AD$1006:AR1006),$AD$1006:$AU$1006,0)))),"Fix")))</f>
        <v xml:space="preserve"> </v>
      </c>
      <c r="Q96" s="4" t="str">
        <f ca="1">IF(OR(INDEX($X$2:$X$1001,MATCH(ROWS($W$2:W96),$W$2:$W$1001,0),1)&gt;=100000,INDEX($AD$1005:$AU$1005,1,MATCH(COLUMNS($AD$1006:AS1006),$AD$1006:$AU$1006,0))&gt;=100000), " ",IF(INDEX($AD$2:$AU$1001,MATCH(ROWS($W$2:W96),$W$2:$W$1001,0),MATCH(COLUMNS($AD$1006:AS1006),$AD$1006:$AU$1006,0)), HYPERLINK("#",""), HYPERLINK(CONCATENATE("#metadata!", ADDRESS(INDEX($Y$2:$Y$1001,MATCH(ROWS($W$2:W96),$W$2:$W$1001,0),0), INDEX($AD$1004:$AU$1004,1,MATCH(COLUMNS($AD$1006:AS1006),$AD$1006:$AU$1006,0)))),"Fix")))</f>
        <v xml:space="preserve"> </v>
      </c>
      <c r="R96" s="4" t="str">
        <f ca="1">IF(OR(INDEX($X$2:$X$1001,MATCH(ROWS($W$2:W96),$W$2:$W$1001,0),1)&gt;=100000,INDEX($AD$1005:$AU$1005,1,MATCH(COLUMNS($AD$1006:AT1006),$AD$1006:$AU$1006,0))&gt;=100000), " ",IF(INDEX($AD$2:$AU$1001,MATCH(ROWS($W$2:W96),$W$2:$W$1001,0),MATCH(COLUMNS($AD$1006:AT1006),$AD$1006:$AU$1006,0)), HYPERLINK("#",""), HYPERLINK(CONCATENATE("#metadata!", ADDRESS(INDEX($Y$2:$Y$1001,MATCH(ROWS($W$2:W96),$W$2:$W$1001,0),0), INDEX($AD$1004:$AU$1004,1,MATCH(COLUMNS($AD$1006:AT1006),$AD$1006:$AU$1006,0)))),"Fix")))</f>
        <v xml:space="preserve"> </v>
      </c>
      <c r="S96" s="4" t="str">
        <f ca="1">IF(OR(INDEX($X$2:$X$1001,MATCH(ROWS($W$2:W96),$W$2:$W$1001,0),1)&gt;=100000,INDEX($AD$1005:$AU$1005,1,MATCH(COLUMNS($AD$1006:AU1006),$AD$1006:$AU$1006,0))&gt;=100000), " ",IF(INDEX($AD$2:$AU$1001,MATCH(ROWS($W$2:W96),$W$2:$W$1001,0),MATCH(COLUMNS($AD$1006:AU1006),$AD$1006:$AU$1006,0)), HYPERLINK("#",""), HYPERLINK(CONCATENATE("#metadata!", ADDRESS(INDEX($Y$2:$Y$1001,MATCH(ROWS($W$2:W96),$W$2:$W$1001,0),0), INDEX($AD$1004:$AU$1004,1,MATCH(COLUMNS($AD$1006:AU1006),$AD$1006:$AU$1006,0)))),"Fix")))</f>
        <v xml:space="preserve"> </v>
      </c>
      <c r="W96">
        <v>95</v>
      </c>
      <c r="X96">
        <v>100096</v>
      </c>
      <c r="Y96">
        <v>96</v>
      </c>
      <c r="Z96" t="b">
        <f t="shared" si="1"/>
        <v>1</v>
      </c>
      <c r="AA96" t="b">
        <f>COUNTBLANK(metadata!B96:S96)=COLUMNS(metadata!B96:S96)</f>
        <v>1</v>
      </c>
      <c r="AB96" t="str">
        <v/>
      </c>
      <c r="AD96" t="b">
        <f ca="1">AND(IF(metadata!B96="",FALSE,TRUE),COUNTIF(metadata!B:B, metadata!B96) = 1,NOT(ISERROR(SUMPRODUCT(SEARCH(MID(metadata!B96,ROW(INDIRECT("1:"&amp;LEN(metadata!B96))), 1),"0123456789abcdefghijklmnopqrstuvwxyzABCDEFGHIJKLMNOPQRSTUVWXYZ.")))))</f>
        <v>0</v>
      </c>
      <c r="AE96" t="b">
        <f>OR(AND(IF(metadata!C96="",FALSE,TRUE),OR(EXACT(metadata!C96,"not applicable"),EXACT(metadata!C96,"missing: not collected"),EXACT(metadata!C96,"missing: not provided"),EXACT(metadata!C96,"missing: restricted access"))),AND(IF(metadata!C96="",FALSE,ISNUMBER(VALUE(metadata!C96))),metadata!C96&gt;0))</f>
        <v>0</v>
      </c>
      <c r="AF96" t="b">
        <f>AND(IF(metadata!D96="",FALSE,TRUE),EXACT(metadata!D96,"missing: not provided"))</f>
        <v>0</v>
      </c>
      <c r="AG96" t="b">
        <f>AND(IF(metadata!E96="",FALSE,TRUE),EXACT(metadata!E96,"Host-associated"))</f>
        <v>0</v>
      </c>
      <c r="AH96" t="b">
        <f>AND(IF(metadata!F96="",FALSE,TRUE),OR(EXACT(metadata!F96,"Animal"),EXACT(metadata!F96,"Fungus"),EXACT(metadata!F96,"Plant")))</f>
        <v>0</v>
      </c>
      <c r="AI96" t="b">
        <f>AND(IF(metadata!G96="",FALSE,TRUE),OR(EXACT(metadata!G96,"Plant secretion"),EXACT(metadata!G96,"Plant rhizosphere"),EXACT(metadata!G96,"Plant surface"),EXACT(metadata!G96,"Plant corpus"),EXACT(metadata!G96,"Fungus surface"),EXACT(metadata!G96,"Fungus corpus"),EXACT(metadata!G96,"Animal surface"),EXACT(metadata!G96,"Animal proximal gut"),EXACT(metadata!G96,"Animal corpus"),EXACT(metadata!G96,"Animal distal gut"),EXACT(metadata!G96,"Animal secretion")))</f>
        <v>0</v>
      </c>
      <c r="AJ96" t="b">
        <f>OR(AND(IF(metadata!H96="",FALSE,TRUE),OR(EXACT(metadata!H96,"missing: not collected"),EXACT(metadata!H96,"missing: not provided"),EXACT(metadata!H96,"missing: restricted access"))),AND(IF(metadata!H96="",FALSE,TRUE),OR(EXACT(metadata!H96,"organism-associated habitat"),EXACT(metadata!H96,"plant-associated habitat"),EXACT(metadata!H96,"animal-associated habitat"),EXACT(metadata!H96,"insecta-associated habitat"),EXACT(metadata!H96,"mammalia-associated habitat"),EXACT(metadata!H96,"human-associated habitat"),EXACT(metadata!H96,"livestock-associated habitat"))))</f>
        <v>0</v>
      </c>
      <c r="AK96" t="b">
        <f>AND(IF(metadata!I96="",FALSE,TRUE),EXACT(metadata!I96,"host-associated"))</f>
        <v>0</v>
      </c>
      <c r="AL96" t="b">
        <f>OR(AND(IF(metadata!J96="",FALSE,TRUE),OR(EXACT(metadata!J96,"not applicable"),EXACT(metadata!J96,"missing: not collected"),EXACT(metadata!J96,"missing: not provided"),EXACT(metadata!J96,"missing: restricted access"))),AND(IF(metadata!J96="",FALSE,ISNUMBER(VALUE(metadata!J96))),metadata!J96&gt;0))</f>
        <v>0</v>
      </c>
      <c r="AM96" t="b">
        <f>AND(IF(metadata!K96="",FALSE,TRUE),EXACT(metadata!K96,"missing: not provided"))</f>
        <v>0</v>
      </c>
      <c r="AN96" t="b">
        <f>IF(metadata!L96="",FALSE,TRUE)</f>
        <v>0</v>
      </c>
      <c r="AO96" t="b">
        <f>IF(metadata!M96="",FALSE,TRUE)</f>
        <v>0</v>
      </c>
      <c r="AP96" t="b">
        <f>OR(AND(IF(metadata!N96="",FALSE,TRUE),OR(EXACT(metadata!N96,"not applicable"),EXACT(metadata!N96,"missing: not collected"),EXACT(metadata!N96,"missing: not provided"))),AND(IF(metadata!N96="",FALSE,IF(ISERROR(INT(metadata!N96)),FALSE,INT(metadata!N96)=metadata!N96)),metadata!N96&gt;0))</f>
        <v>0</v>
      </c>
      <c r="AQ96" t="b">
        <f>AND(IF(metadata!O96="",FALSE,TRUE),EXACT(metadata!O96,"Not applicable"))</f>
        <v>0</v>
      </c>
      <c r="AR96" t="b">
        <f>OR(AND(IF(metadata!P96="",FALSE,TRUE),OR(EXACT(metadata!P96,"not applicable"),EXACT(metadata!P96,"missing: not collected"),EXACT(metadata!P96,"missing: not provided"),EXACT(metadata!P96,"missing: restricted access"))),IF(metadata!P96="",FALSE,IF(ISERROR(INT(metadata!P96)),FALSE,INT(metadata!P96)=metadata!P96)))</f>
        <v>0</v>
      </c>
      <c r="AS96" t="b">
        <f>AND(IF(metadata!Q96="",FALSE,TRUE),EXACT(metadata!Q96,"Not applicable"))</f>
        <v>0</v>
      </c>
      <c r="AT96" t="b">
        <f>OR(AND(IF(metadata!R96="",FALSE,TRUE),OR(EXACT(metadata!R96,"not applicable"),EXACT(metadata!R96,"missing: not collected"),EXACT(metadata!R96,"missing: not provided"),EXACT(metadata!R96,"missing: restricted access"))),AND(IF(metadata!R96="",FALSE,ISNUMBER(VALUE(metadata!R96))),metadata!R96&gt;0))</f>
        <v>0</v>
      </c>
      <c r="AU96" t="b">
        <f>AND(IF(metadata!S96="",FALSE,TRUE),EXACT(metadata!S96,"missing: not provided"))</f>
        <v>0</v>
      </c>
    </row>
    <row r="97" spans="1:47" x14ac:dyDescent="0.2">
      <c r="A97" s="5" t="str">
        <f ca="1">IF(B97=" "," ",HYPERLINK(CONCATENATE("#metadata!",ADDRESS(INDEX($Y$2:$Y$1001,MATCH(ROWS($W$2:W97),$W$2:$W$1001,0),0),1)),INDEX($AB$2:$AB$1001,MATCH(ROWS($W$2:W97),$W$2:$W$1001,0),0)))</f>
        <v xml:space="preserve"> </v>
      </c>
      <c r="B97" s="4" t="str">
        <f ca="1">IF(OR(INDEX($X$2:$X$1001,MATCH(ROWS($W$2:W97),$W$2:$W$1001,0),1)&gt;=100000,INDEX($AD$1005:$AU$1005,1,MATCH(COLUMNS($AD$1006:AD1006),$AD$1006:$AU$1006,0))&gt;=100000), " ",IF(INDEX($AD$2:$AU$1001,MATCH(ROWS($W$2:W97),$W$2:$W$1001,0),MATCH(COLUMNS($AD$1006:AD1006),$AD$1006:$AU$1006,0)), HYPERLINK("#",""), HYPERLINK(CONCATENATE("#metadata!", ADDRESS(INDEX($Y$2:$Y$1001,MATCH(ROWS($W$2:W97),$W$2:$W$1001,0),0), INDEX($AD$1004:$AU$1004,1,MATCH(COLUMNS($AD$1006:AD1006),$AD$1006:$AU$1006,0)))),"Fix")))</f>
        <v xml:space="preserve"> </v>
      </c>
      <c r="C97" s="4" t="str">
        <f ca="1">IF(OR(INDEX($X$2:$X$1001,MATCH(ROWS($W$2:W97),$W$2:$W$1001,0),1)&gt;=100000,INDEX($AD$1005:$AU$1005,1,MATCH(COLUMNS($AD$1006:AE1006),$AD$1006:$AU$1006,0))&gt;=100000), " ",IF(INDEX($AD$2:$AU$1001,MATCH(ROWS($W$2:W97),$W$2:$W$1001,0),MATCH(COLUMNS($AD$1006:AE1006),$AD$1006:$AU$1006,0)), HYPERLINK("#",""), HYPERLINK(CONCATENATE("#metadata!", ADDRESS(INDEX($Y$2:$Y$1001,MATCH(ROWS($W$2:W97),$W$2:$W$1001,0),0), INDEX($AD$1004:$AU$1004,1,MATCH(COLUMNS($AD$1006:AE1006),$AD$1006:$AU$1006,0)))),"Fix")))</f>
        <v xml:space="preserve"> </v>
      </c>
      <c r="D97" s="4" t="str">
        <f ca="1">IF(OR(INDEX($X$2:$X$1001,MATCH(ROWS($W$2:W97),$W$2:$W$1001,0),1)&gt;=100000,INDEX($AD$1005:$AU$1005,1,MATCH(COLUMNS($AD$1006:AF1006),$AD$1006:$AU$1006,0))&gt;=100000), " ",IF(INDEX($AD$2:$AU$1001,MATCH(ROWS($W$2:W97),$W$2:$W$1001,0),MATCH(COLUMNS($AD$1006:AF1006),$AD$1006:$AU$1006,0)), HYPERLINK("#",""), HYPERLINK(CONCATENATE("#metadata!", ADDRESS(INDEX($Y$2:$Y$1001,MATCH(ROWS($W$2:W97),$W$2:$W$1001,0),0), INDEX($AD$1004:$AU$1004,1,MATCH(COLUMNS($AD$1006:AF1006),$AD$1006:$AU$1006,0)))),"Fix")))</f>
        <v xml:space="preserve"> </v>
      </c>
      <c r="E97" s="4" t="str">
        <f ca="1">IF(OR(INDEX($X$2:$X$1001,MATCH(ROWS($W$2:W97),$W$2:$W$1001,0),1)&gt;=100000,INDEX($AD$1005:$AU$1005,1,MATCH(COLUMNS($AD$1006:AG1006),$AD$1006:$AU$1006,0))&gt;=100000), " ",IF(INDEX($AD$2:$AU$1001,MATCH(ROWS($W$2:W97),$W$2:$W$1001,0),MATCH(COLUMNS($AD$1006:AG1006),$AD$1006:$AU$1006,0)), HYPERLINK("#",""), HYPERLINK(CONCATENATE("#metadata!", ADDRESS(INDEX($Y$2:$Y$1001,MATCH(ROWS($W$2:W97),$W$2:$W$1001,0),0), INDEX($AD$1004:$AU$1004,1,MATCH(COLUMNS($AD$1006:AG1006),$AD$1006:$AU$1006,0)))),"Fix")))</f>
        <v xml:space="preserve"> </v>
      </c>
      <c r="F97" s="4" t="str">
        <f ca="1">IF(OR(INDEX($X$2:$X$1001,MATCH(ROWS($W$2:W97),$W$2:$W$1001,0),1)&gt;=100000,INDEX($AD$1005:$AU$1005,1,MATCH(COLUMNS($AD$1006:AH1006),$AD$1006:$AU$1006,0))&gt;=100000), " ",IF(INDEX($AD$2:$AU$1001,MATCH(ROWS($W$2:W97),$W$2:$W$1001,0),MATCH(COLUMNS($AD$1006:AH1006),$AD$1006:$AU$1006,0)), HYPERLINK("#",""), HYPERLINK(CONCATENATE("#metadata!", ADDRESS(INDEX($Y$2:$Y$1001,MATCH(ROWS($W$2:W97),$W$2:$W$1001,0),0), INDEX($AD$1004:$AU$1004,1,MATCH(COLUMNS($AD$1006:AH1006),$AD$1006:$AU$1006,0)))),"Fix")))</f>
        <v xml:space="preserve"> </v>
      </c>
      <c r="G97" s="4" t="str">
        <f ca="1">IF(OR(INDEX($X$2:$X$1001,MATCH(ROWS($W$2:W97),$W$2:$W$1001,0),1)&gt;=100000,INDEX($AD$1005:$AU$1005,1,MATCH(COLUMNS($AD$1006:AI1006),$AD$1006:$AU$1006,0))&gt;=100000), " ",IF(INDEX($AD$2:$AU$1001,MATCH(ROWS($W$2:W97),$W$2:$W$1001,0),MATCH(COLUMNS($AD$1006:AI1006),$AD$1006:$AU$1006,0)), HYPERLINK("#",""), HYPERLINK(CONCATENATE("#metadata!", ADDRESS(INDEX($Y$2:$Y$1001,MATCH(ROWS($W$2:W97),$W$2:$W$1001,0),0), INDEX($AD$1004:$AU$1004,1,MATCH(COLUMNS($AD$1006:AI1006),$AD$1006:$AU$1006,0)))),"Fix")))</f>
        <v xml:space="preserve"> </v>
      </c>
      <c r="H97" s="4" t="str">
        <f ca="1">IF(OR(INDEX($X$2:$X$1001,MATCH(ROWS($W$2:W97),$W$2:$W$1001,0),1)&gt;=100000,INDEX($AD$1005:$AU$1005,1,MATCH(COLUMNS($AD$1006:AJ1006),$AD$1006:$AU$1006,0))&gt;=100000), " ",IF(INDEX($AD$2:$AU$1001,MATCH(ROWS($W$2:W97),$W$2:$W$1001,0),MATCH(COLUMNS($AD$1006:AJ1006),$AD$1006:$AU$1006,0)), HYPERLINK("#",""), HYPERLINK(CONCATENATE("#metadata!", ADDRESS(INDEX($Y$2:$Y$1001,MATCH(ROWS($W$2:W97),$W$2:$W$1001,0),0), INDEX($AD$1004:$AU$1004,1,MATCH(COLUMNS($AD$1006:AJ1006),$AD$1006:$AU$1006,0)))),"Fix")))</f>
        <v xml:space="preserve"> </v>
      </c>
      <c r="I97" s="4" t="str">
        <f ca="1">IF(OR(INDEX($X$2:$X$1001,MATCH(ROWS($W$2:W97),$W$2:$W$1001,0),1)&gt;=100000,INDEX($AD$1005:$AU$1005,1,MATCH(COLUMNS($AD$1006:AK1006),$AD$1006:$AU$1006,0))&gt;=100000), " ",IF(INDEX($AD$2:$AU$1001,MATCH(ROWS($W$2:W97),$W$2:$W$1001,0),MATCH(COLUMNS($AD$1006:AK1006),$AD$1006:$AU$1006,0)), HYPERLINK("#",""), HYPERLINK(CONCATENATE("#metadata!", ADDRESS(INDEX($Y$2:$Y$1001,MATCH(ROWS($W$2:W97),$W$2:$W$1001,0),0), INDEX($AD$1004:$AU$1004,1,MATCH(COLUMNS($AD$1006:AK1006),$AD$1006:$AU$1006,0)))),"Fix")))</f>
        <v xml:space="preserve"> </v>
      </c>
      <c r="J97" s="4" t="str">
        <f ca="1">IF(OR(INDEX($X$2:$X$1001,MATCH(ROWS($W$2:W97),$W$2:$W$1001,0),1)&gt;=100000,INDEX($AD$1005:$AU$1005,1,MATCH(COLUMNS($AD$1006:AL1006),$AD$1006:$AU$1006,0))&gt;=100000), " ",IF(INDEX($AD$2:$AU$1001,MATCH(ROWS($W$2:W97),$W$2:$W$1001,0),MATCH(COLUMNS($AD$1006:AL1006),$AD$1006:$AU$1006,0)), HYPERLINK("#",""), HYPERLINK(CONCATENATE("#metadata!", ADDRESS(INDEX($Y$2:$Y$1001,MATCH(ROWS($W$2:W97),$W$2:$W$1001,0),0), INDEX($AD$1004:$AU$1004,1,MATCH(COLUMNS($AD$1006:AL1006),$AD$1006:$AU$1006,0)))),"Fix")))</f>
        <v xml:space="preserve"> </v>
      </c>
      <c r="K97" s="4" t="str">
        <f ca="1">IF(OR(INDEX($X$2:$X$1001,MATCH(ROWS($W$2:W97),$W$2:$W$1001,0),1)&gt;=100000,INDEX($AD$1005:$AU$1005,1,MATCH(COLUMNS($AD$1006:AM1006),$AD$1006:$AU$1006,0))&gt;=100000), " ",IF(INDEX($AD$2:$AU$1001,MATCH(ROWS($W$2:W97),$W$2:$W$1001,0),MATCH(COLUMNS($AD$1006:AM1006),$AD$1006:$AU$1006,0)), HYPERLINK("#",""), HYPERLINK(CONCATENATE("#metadata!", ADDRESS(INDEX($Y$2:$Y$1001,MATCH(ROWS($W$2:W97),$W$2:$W$1001,0),0), INDEX($AD$1004:$AU$1004,1,MATCH(COLUMNS($AD$1006:AM1006),$AD$1006:$AU$1006,0)))),"Fix")))</f>
        <v xml:space="preserve"> </v>
      </c>
      <c r="L97" s="4" t="str">
        <f ca="1">IF(OR(INDEX($X$2:$X$1001,MATCH(ROWS($W$2:W97),$W$2:$W$1001,0),1)&gt;=100000,INDEX($AD$1005:$AU$1005,1,MATCH(COLUMNS($AD$1006:AN1006),$AD$1006:$AU$1006,0))&gt;=100000), " ",IF(INDEX($AD$2:$AU$1001,MATCH(ROWS($W$2:W97),$W$2:$W$1001,0),MATCH(COLUMNS($AD$1006:AN1006),$AD$1006:$AU$1006,0)), HYPERLINK("#",""), HYPERLINK(CONCATENATE("#metadata!", ADDRESS(INDEX($Y$2:$Y$1001,MATCH(ROWS($W$2:W97),$W$2:$W$1001,0),0), INDEX($AD$1004:$AU$1004,1,MATCH(COLUMNS($AD$1006:AN1006),$AD$1006:$AU$1006,0)))),"Fix")))</f>
        <v xml:space="preserve"> </v>
      </c>
      <c r="M97" s="4" t="str">
        <f ca="1">IF(OR(INDEX($X$2:$X$1001,MATCH(ROWS($W$2:W97),$W$2:$W$1001,0),1)&gt;=100000,INDEX($AD$1005:$AU$1005,1,MATCH(COLUMNS($AD$1006:AO1006),$AD$1006:$AU$1006,0))&gt;=100000), " ",IF(INDEX($AD$2:$AU$1001,MATCH(ROWS($W$2:W97),$W$2:$W$1001,0),MATCH(COLUMNS($AD$1006:AO1006),$AD$1006:$AU$1006,0)), HYPERLINK("#",""), HYPERLINK(CONCATENATE("#metadata!", ADDRESS(INDEX($Y$2:$Y$1001,MATCH(ROWS($W$2:W97),$W$2:$W$1001,0),0), INDEX($AD$1004:$AU$1004,1,MATCH(COLUMNS($AD$1006:AO1006),$AD$1006:$AU$1006,0)))),"Fix")))</f>
        <v xml:space="preserve"> </v>
      </c>
      <c r="N97" s="4" t="str">
        <f ca="1">IF(OR(INDEX($X$2:$X$1001,MATCH(ROWS($W$2:W97),$W$2:$W$1001,0),1)&gt;=100000,INDEX($AD$1005:$AU$1005,1,MATCH(COLUMNS($AD$1006:AP1006),$AD$1006:$AU$1006,0))&gt;=100000), " ",IF(INDEX($AD$2:$AU$1001,MATCH(ROWS($W$2:W97),$W$2:$W$1001,0),MATCH(COLUMNS($AD$1006:AP1006),$AD$1006:$AU$1006,0)), HYPERLINK("#",""), HYPERLINK(CONCATENATE("#metadata!", ADDRESS(INDEX($Y$2:$Y$1001,MATCH(ROWS($W$2:W97),$W$2:$W$1001,0),0), INDEX($AD$1004:$AU$1004,1,MATCH(COLUMNS($AD$1006:AP1006),$AD$1006:$AU$1006,0)))),"Fix")))</f>
        <v xml:space="preserve"> </v>
      </c>
      <c r="O97" s="4" t="str">
        <f ca="1">IF(OR(INDEX($X$2:$X$1001,MATCH(ROWS($W$2:W97),$W$2:$W$1001,0),1)&gt;=100000,INDEX($AD$1005:$AU$1005,1,MATCH(COLUMNS($AD$1006:AQ1006),$AD$1006:$AU$1006,0))&gt;=100000), " ",IF(INDEX($AD$2:$AU$1001,MATCH(ROWS($W$2:W97),$W$2:$W$1001,0),MATCH(COLUMNS($AD$1006:AQ1006),$AD$1006:$AU$1006,0)), HYPERLINK("#",""), HYPERLINK(CONCATENATE("#metadata!", ADDRESS(INDEX($Y$2:$Y$1001,MATCH(ROWS($W$2:W97),$W$2:$W$1001,0),0), INDEX($AD$1004:$AU$1004,1,MATCH(COLUMNS($AD$1006:AQ1006),$AD$1006:$AU$1006,0)))),"Fix")))</f>
        <v xml:space="preserve"> </v>
      </c>
      <c r="P97" s="4" t="str">
        <f ca="1">IF(OR(INDEX($X$2:$X$1001,MATCH(ROWS($W$2:W97),$W$2:$W$1001,0),1)&gt;=100000,INDEX($AD$1005:$AU$1005,1,MATCH(COLUMNS($AD$1006:AR1006),$AD$1006:$AU$1006,0))&gt;=100000), " ",IF(INDEX($AD$2:$AU$1001,MATCH(ROWS($W$2:W97),$W$2:$W$1001,0),MATCH(COLUMNS($AD$1006:AR1006),$AD$1006:$AU$1006,0)), HYPERLINK("#",""), HYPERLINK(CONCATENATE("#metadata!", ADDRESS(INDEX($Y$2:$Y$1001,MATCH(ROWS($W$2:W97),$W$2:$W$1001,0),0), INDEX($AD$1004:$AU$1004,1,MATCH(COLUMNS($AD$1006:AR1006),$AD$1006:$AU$1006,0)))),"Fix")))</f>
        <v xml:space="preserve"> </v>
      </c>
      <c r="Q97" s="4" t="str">
        <f ca="1">IF(OR(INDEX($X$2:$X$1001,MATCH(ROWS($W$2:W97),$W$2:$W$1001,0),1)&gt;=100000,INDEX($AD$1005:$AU$1005,1,MATCH(COLUMNS($AD$1006:AS1006),$AD$1006:$AU$1006,0))&gt;=100000), " ",IF(INDEX($AD$2:$AU$1001,MATCH(ROWS($W$2:W97),$W$2:$W$1001,0),MATCH(COLUMNS($AD$1006:AS1006),$AD$1006:$AU$1006,0)), HYPERLINK("#",""), HYPERLINK(CONCATENATE("#metadata!", ADDRESS(INDEX($Y$2:$Y$1001,MATCH(ROWS($W$2:W97),$W$2:$W$1001,0),0), INDEX($AD$1004:$AU$1004,1,MATCH(COLUMNS($AD$1006:AS1006),$AD$1006:$AU$1006,0)))),"Fix")))</f>
        <v xml:space="preserve"> </v>
      </c>
      <c r="R97" s="4" t="str">
        <f ca="1">IF(OR(INDEX($X$2:$X$1001,MATCH(ROWS($W$2:W97),$W$2:$W$1001,0),1)&gt;=100000,INDEX($AD$1005:$AU$1005,1,MATCH(COLUMNS($AD$1006:AT1006),$AD$1006:$AU$1006,0))&gt;=100000), " ",IF(INDEX($AD$2:$AU$1001,MATCH(ROWS($W$2:W97),$W$2:$W$1001,0),MATCH(COLUMNS($AD$1006:AT1006),$AD$1006:$AU$1006,0)), HYPERLINK("#",""), HYPERLINK(CONCATENATE("#metadata!", ADDRESS(INDEX($Y$2:$Y$1001,MATCH(ROWS($W$2:W97),$W$2:$W$1001,0),0), INDEX($AD$1004:$AU$1004,1,MATCH(COLUMNS($AD$1006:AT1006),$AD$1006:$AU$1006,0)))),"Fix")))</f>
        <v xml:space="preserve"> </v>
      </c>
      <c r="S97" s="4" t="str">
        <f ca="1">IF(OR(INDEX($X$2:$X$1001,MATCH(ROWS($W$2:W97),$W$2:$W$1001,0),1)&gt;=100000,INDEX($AD$1005:$AU$1005,1,MATCH(COLUMNS($AD$1006:AU1006),$AD$1006:$AU$1006,0))&gt;=100000), " ",IF(INDEX($AD$2:$AU$1001,MATCH(ROWS($W$2:W97),$W$2:$W$1001,0),MATCH(COLUMNS($AD$1006:AU1006),$AD$1006:$AU$1006,0)), HYPERLINK("#",""), HYPERLINK(CONCATENATE("#metadata!", ADDRESS(INDEX($Y$2:$Y$1001,MATCH(ROWS($W$2:W97),$W$2:$W$1001,0),0), INDEX($AD$1004:$AU$1004,1,MATCH(COLUMNS($AD$1006:AU1006),$AD$1006:$AU$1006,0)))),"Fix")))</f>
        <v xml:space="preserve"> </v>
      </c>
      <c r="W97">
        <v>96</v>
      </c>
      <c r="X97">
        <v>100097</v>
      </c>
      <c r="Y97">
        <v>97</v>
      </c>
      <c r="Z97" t="b">
        <f t="shared" si="1"/>
        <v>1</v>
      </c>
      <c r="AA97" t="b">
        <f>COUNTBLANK(metadata!B97:S97)=COLUMNS(metadata!B97:S97)</f>
        <v>1</v>
      </c>
      <c r="AB97" t="str">
        <v/>
      </c>
      <c r="AD97" t="b">
        <f ca="1">AND(IF(metadata!B97="",FALSE,TRUE),COUNTIF(metadata!B:B, metadata!B97) = 1,NOT(ISERROR(SUMPRODUCT(SEARCH(MID(metadata!B97,ROW(INDIRECT("1:"&amp;LEN(metadata!B97))), 1),"0123456789abcdefghijklmnopqrstuvwxyzABCDEFGHIJKLMNOPQRSTUVWXYZ.")))))</f>
        <v>0</v>
      </c>
      <c r="AE97" t="b">
        <f>OR(AND(IF(metadata!C97="",FALSE,TRUE),OR(EXACT(metadata!C97,"not applicable"),EXACT(metadata!C97,"missing: not collected"),EXACT(metadata!C97,"missing: not provided"),EXACT(metadata!C97,"missing: restricted access"))),AND(IF(metadata!C97="",FALSE,ISNUMBER(VALUE(metadata!C97))),metadata!C97&gt;0))</f>
        <v>0</v>
      </c>
      <c r="AF97" t="b">
        <f>AND(IF(metadata!D97="",FALSE,TRUE),EXACT(metadata!D97,"missing: not provided"))</f>
        <v>0</v>
      </c>
      <c r="AG97" t="b">
        <f>AND(IF(metadata!E97="",FALSE,TRUE),EXACT(metadata!E97,"Host-associated"))</f>
        <v>0</v>
      </c>
      <c r="AH97" t="b">
        <f>AND(IF(metadata!F97="",FALSE,TRUE),OR(EXACT(metadata!F97,"Animal"),EXACT(metadata!F97,"Fungus"),EXACT(metadata!F97,"Plant")))</f>
        <v>0</v>
      </c>
      <c r="AI97" t="b">
        <f>AND(IF(metadata!G97="",FALSE,TRUE),OR(EXACT(metadata!G97,"Plant secretion"),EXACT(metadata!G97,"Plant rhizosphere"),EXACT(metadata!G97,"Plant surface"),EXACT(metadata!G97,"Plant corpus"),EXACT(metadata!G97,"Fungus surface"),EXACT(metadata!G97,"Fungus corpus"),EXACT(metadata!G97,"Animal surface"),EXACT(metadata!G97,"Animal proximal gut"),EXACT(metadata!G97,"Animal corpus"),EXACT(metadata!G97,"Animal distal gut"),EXACT(metadata!G97,"Animal secretion")))</f>
        <v>0</v>
      </c>
      <c r="AJ97" t="b">
        <f>OR(AND(IF(metadata!H97="",FALSE,TRUE),OR(EXACT(metadata!H97,"missing: not collected"),EXACT(metadata!H97,"missing: not provided"),EXACT(metadata!H97,"missing: restricted access"))),AND(IF(metadata!H97="",FALSE,TRUE),OR(EXACT(metadata!H97,"organism-associated habitat"),EXACT(metadata!H97,"plant-associated habitat"),EXACT(metadata!H97,"animal-associated habitat"),EXACT(metadata!H97,"insecta-associated habitat"),EXACT(metadata!H97,"mammalia-associated habitat"),EXACT(metadata!H97,"human-associated habitat"),EXACT(metadata!H97,"livestock-associated habitat"))))</f>
        <v>0</v>
      </c>
      <c r="AK97" t="b">
        <f>AND(IF(metadata!I97="",FALSE,TRUE),EXACT(metadata!I97,"host-associated"))</f>
        <v>0</v>
      </c>
      <c r="AL97" t="b">
        <f>OR(AND(IF(metadata!J97="",FALSE,TRUE),OR(EXACT(metadata!J97,"not applicable"),EXACT(metadata!J97,"missing: not collected"),EXACT(metadata!J97,"missing: not provided"),EXACT(metadata!J97,"missing: restricted access"))),AND(IF(metadata!J97="",FALSE,ISNUMBER(VALUE(metadata!J97))),metadata!J97&gt;0))</f>
        <v>0</v>
      </c>
      <c r="AM97" t="b">
        <f>AND(IF(metadata!K97="",FALSE,TRUE),EXACT(metadata!K97,"missing: not provided"))</f>
        <v>0</v>
      </c>
      <c r="AN97" t="b">
        <f>IF(metadata!L97="",FALSE,TRUE)</f>
        <v>0</v>
      </c>
      <c r="AO97" t="b">
        <f>IF(metadata!M97="",FALSE,TRUE)</f>
        <v>0</v>
      </c>
      <c r="AP97" t="b">
        <f>OR(AND(IF(metadata!N97="",FALSE,TRUE),OR(EXACT(metadata!N97,"not applicable"),EXACT(metadata!N97,"missing: not collected"),EXACT(metadata!N97,"missing: not provided"))),AND(IF(metadata!N97="",FALSE,IF(ISERROR(INT(metadata!N97)),FALSE,INT(metadata!N97)=metadata!N97)),metadata!N97&gt;0))</f>
        <v>0</v>
      </c>
      <c r="AQ97" t="b">
        <f>AND(IF(metadata!O97="",FALSE,TRUE),EXACT(metadata!O97,"Not applicable"))</f>
        <v>0</v>
      </c>
      <c r="AR97" t="b">
        <f>OR(AND(IF(metadata!P97="",FALSE,TRUE),OR(EXACT(metadata!P97,"not applicable"),EXACT(metadata!P97,"missing: not collected"),EXACT(metadata!P97,"missing: not provided"),EXACT(metadata!P97,"missing: restricted access"))),IF(metadata!P97="",FALSE,IF(ISERROR(INT(metadata!P97)),FALSE,INT(metadata!P97)=metadata!P97)))</f>
        <v>0</v>
      </c>
      <c r="AS97" t="b">
        <f>AND(IF(metadata!Q97="",FALSE,TRUE),EXACT(metadata!Q97,"Not applicable"))</f>
        <v>0</v>
      </c>
      <c r="AT97" t="b">
        <f>OR(AND(IF(metadata!R97="",FALSE,TRUE),OR(EXACT(metadata!R97,"not applicable"),EXACT(metadata!R97,"missing: not collected"),EXACT(metadata!R97,"missing: not provided"),EXACT(metadata!R97,"missing: restricted access"))),AND(IF(metadata!R97="",FALSE,ISNUMBER(VALUE(metadata!R97))),metadata!R97&gt;0))</f>
        <v>0</v>
      </c>
      <c r="AU97" t="b">
        <f>AND(IF(metadata!S97="",FALSE,TRUE),EXACT(metadata!S97,"missing: not provided"))</f>
        <v>0</v>
      </c>
    </row>
    <row r="98" spans="1:47" x14ac:dyDescent="0.2">
      <c r="A98" s="5" t="str">
        <f ca="1">IF(B98=" "," ",HYPERLINK(CONCATENATE("#metadata!",ADDRESS(INDEX($Y$2:$Y$1001,MATCH(ROWS($W$2:W98),$W$2:$W$1001,0),0),1)),INDEX($AB$2:$AB$1001,MATCH(ROWS($W$2:W98),$W$2:$W$1001,0),0)))</f>
        <v xml:space="preserve"> </v>
      </c>
      <c r="B98" s="4" t="str">
        <f ca="1">IF(OR(INDEX($X$2:$X$1001,MATCH(ROWS($W$2:W98),$W$2:$W$1001,0),1)&gt;=100000,INDEX($AD$1005:$AU$1005,1,MATCH(COLUMNS($AD$1006:AD1006),$AD$1006:$AU$1006,0))&gt;=100000), " ",IF(INDEX($AD$2:$AU$1001,MATCH(ROWS($W$2:W98),$W$2:$W$1001,0),MATCH(COLUMNS($AD$1006:AD1006),$AD$1006:$AU$1006,0)), HYPERLINK("#",""), HYPERLINK(CONCATENATE("#metadata!", ADDRESS(INDEX($Y$2:$Y$1001,MATCH(ROWS($W$2:W98),$W$2:$W$1001,0),0), INDEX($AD$1004:$AU$1004,1,MATCH(COLUMNS($AD$1006:AD1006),$AD$1006:$AU$1006,0)))),"Fix")))</f>
        <v xml:space="preserve"> </v>
      </c>
      <c r="C98" s="4" t="str">
        <f ca="1">IF(OR(INDEX($X$2:$X$1001,MATCH(ROWS($W$2:W98),$W$2:$W$1001,0),1)&gt;=100000,INDEX($AD$1005:$AU$1005,1,MATCH(COLUMNS($AD$1006:AE1006),$AD$1006:$AU$1006,0))&gt;=100000), " ",IF(INDEX($AD$2:$AU$1001,MATCH(ROWS($W$2:W98),$W$2:$W$1001,0),MATCH(COLUMNS($AD$1006:AE1006),$AD$1006:$AU$1006,0)), HYPERLINK("#",""), HYPERLINK(CONCATENATE("#metadata!", ADDRESS(INDEX($Y$2:$Y$1001,MATCH(ROWS($W$2:W98),$W$2:$W$1001,0),0), INDEX($AD$1004:$AU$1004,1,MATCH(COLUMNS($AD$1006:AE1006),$AD$1006:$AU$1006,0)))),"Fix")))</f>
        <v xml:space="preserve"> </v>
      </c>
      <c r="D98" s="4" t="str">
        <f ca="1">IF(OR(INDEX($X$2:$X$1001,MATCH(ROWS($W$2:W98),$W$2:$W$1001,0),1)&gt;=100000,INDEX($AD$1005:$AU$1005,1,MATCH(COLUMNS($AD$1006:AF1006),$AD$1006:$AU$1006,0))&gt;=100000), " ",IF(INDEX($AD$2:$AU$1001,MATCH(ROWS($W$2:W98),$W$2:$W$1001,0),MATCH(COLUMNS($AD$1006:AF1006),$AD$1006:$AU$1006,0)), HYPERLINK("#",""), HYPERLINK(CONCATENATE("#metadata!", ADDRESS(INDEX($Y$2:$Y$1001,MATCH(ROWS($W$2:W98),$W$2:$W$1001,0),0), INDEX($AD$1004:$AU$1004,1,MATCH(COLUMNS($AD$1006:AF1006),$AD$1006:$AU$1006,0)))),"Fix")))</f>
        <v xml:space="preserve"> </v>
      </c>
      <c r="E98" s="4" t="str">
        <f ca="1">IF(OR(INDEX($X$2:$X$1001,MATCH(ROWS($W$2:W98),$W$2:$W$1001,0),1)&gt;=100000,INDEX($AD$1005:$AU$1005,1,MATCH(COLUMNS($AD$1006:AG1006),$AD$1006:$AU$1006,0))&gt;=100000), " ",IF(INDEX($AD$2:$AU$1001,MATCH(ROWS($W$2:W98),$W$2:$W$1001,0),MATCH(COLUMNS($AD$1006:AG1006),$AD$1006:$AU$1006,0)), HYPERLINK("#",""), HYPERLINK(CONCATENATE("#metadata!", ADDRESS(INDEX($Y$2:$Y$1001,MATCH(ROWS($W$2:W98),$W$2:$W$1001,0),0), INDEX($AD$1004:$AU$1004,1,MATCH(COLUMNS($AD$1006:AG1006),$AD$1006:$AU$1006,0)))),"Fix")))</f>
        <v xml:space="preserve"> </v>
      </c>
      <c r="F98" s="4" t="str">
        <f ca="1">IF(OR(INDEX($X$2:$X$1001,MATCH(ROWS($W$2:W98),$W$2:$W$1001,0),1)&gt;=100000,INDEX($AD$1005:$AU$1005,1,MATCH(COLUMNS($AD$1006:AH1006),$AD$1006:$AU$1006,0))&gt;=100000), " ",IF(INDEX($AD$2:$AU$1001,MATCH(ROWS($W$2:W98),$W$2:$W$1001,0),MATCH(COLUMNS($AD$1006:AH1006),$AD$1006:$AU$1006,0)), HYPERLINK("#",""), HYPERLINK(CONCATENATE("#metadata!", ADDRESS(INDEX($Y$2:$Y$1001,MATCH(ROWS($W$2:W98),$W$2:$W$1001,0),0), INDEX($AD$1004:$AU$1004,1,MATCH(COLUMNS($AD$1006:AH1006),$AD$1006:$AU$1006,0)))),"Fix")))</f>
        <v xml:space="preserve"> </v>
      </c>
      <c r="G98" s="4" t="str">
        <f ca="1">IF(OR(INDEX($X$2:$X$1001,MATCH(ROWS($W$2:W98),$W$2:$W$1001,0),1)&gt;=100000,INDEX($AD$1005:$AU$1005,1,MATCH(COLUMNS($AD$1006:AI1006),$AD$1006:$AU$1006,0))&gt;=100000), " ",IF(INDEX($AD$2:$AU$1001,MATCH(ROWS($W$2:W98),$W$2:$W$1001,0),MATCH(COLUMNS($AD$1006:AI1006),$AD$1006:$AU$1006,0)), HYPERLINK("#",""), HYPERLINK(CONCATENATE("#metadata!", ADDRESS(INDEX($Y$2:$Y$1001,MATCH(ROWS($W$2:W98),$W$2:$W$1001,0),0), INDEX($AD$1004:$AU$1004,1,MATCH(COLUMNS($AD$1006:AI1006),$AD$1006:$AU$1006,0)))),"Fix")))</f>
        <v xml:space="preserve"> </v>
      </c>
      <c r="H98" s="4" t="str">
        <f ca="1">IF(OR(INDEX($X$2:$X$1001,MATCH(ROWS($W$2:W98),$W$2:$W$1001,0),1)&gt;=100000,INDEX($AD$1005:$AU$1005,1,MATCH(COLUMNS($AD$1006:AJ1006),$AD$1006:$AU$1006,0))&gt;=100000), " ",IF(INDEX($AD$2:$AU$1001,MATCH(ROWS($W$2:W98),$W$2:$W$1001,0),MATCH(COLUMNS($AD$1006:AJ1006),$AD$1006:$AU$1006,0)), HYPERLINK("#",""), HYPERLINK(CONCATENATE("#metadata!", ADDRESS(INDEX($Y$2:$Y$1001,MATCH(ROWS($W$2:W98),$W$2:$W$1001,0),0), INDEX($AD$1004:$AU$1004,1,MATCH(COLUMNS($AD$1006:AJ1006),$AD$1006:$AU$1006,0)))),"Fix")))</f>
        <v xml:space="preserve"> </v>
      </c>
      <c r="I98" s="4" t="str">
        <f ca="1">IF(OR(INDEX($X$2:$X$1001,MATCH(ROWS($W$2:W98),$W$2:$W$1001,0),1)&gt;=100000,INDEX($AD$1005:$AU$1005,1,MATCH(COLUMNS($AD$1006:AK1006),$AD$1006:$AU$1006,0))&gt;=100000), " ",IF(INDEX($AD$2:$AU$1001,MATCH(ROWS($W$2:W98),$W$2:$W$1001,0),MATCH(COLUMNS($AD$1006:AK1006),$AD$1006:$AU$1006,0)), HYPERLINK("#",""), HYPERLINK(CONCATENATE("#metadata!", ADDRESS(INDEX($Y$2:$Y$1001,MATCH(ROWS($W$2:W98),$W$2:$W$1001,0),0), INDEX($AD$1004:$AU$1004,1,MATCH(COLUMNS($AD$1006:AK1006),$AD$1006:$AU$1006,0)))),"Fix")))</f>
        <v xml:space="preserve"> </v>
      </c>
      <c r="J98" s="4" t="str">
        <f ca="1">IF(OR(INDEX($X$2:$X$1001,MATCH(ROWS($W$2:W98),$W$2:$W$1001,0),1)&gt;=100000,INDEX($AD$1005:$AU$1005,1,MATCH(COLUMNS($AD$1006:AL1006),$AD$1006:$AU$1006,0))&gt;=100000), " ",IF(INDEX($AD$2:$AU$1001,MATCH(ROWS($W$2:W98),$W$2:$W$1001,0),MATCH(COLUMNS($AD$1006:AL1006),$AD$1006:$AU$1006,0)), HYPERLINK("#",""), HYPERLINK(CONCATENATE("#metadata!", ADDRESS(INDEX($Y$2:$Y$1001,MATCH(ROWS($W$2:W98),$W$2:$W$1001,0),0), INDEX($AD$1004:$AU$1004,1,MATCH(COLUMNS($AD$1006:AL1006),$AD$1006:$AU$1006,0)))),"Fix")))</f>
        <v xml:space="preserve"> </v>
      </c>
      <c r="K98" s="4" t="str">
        <f ca="1">IF(OR(INDEX($X$2:$X$1001,MATCH(ROWS($W$2:W98),$W$2:$W$1001,0),1)&gt;=100000,INDEX($AD$1005:$AU$1005,1,MATCH(COLUMNS($AD$1006:AM1006),$AD$1006:$AU$1006,0))&gt;=100000), " ",IF(INDEX($AD$2:$AU$1001,MATCH(ROWS($W$2:W98),$W$2:$W$1001,0),MATCH(COLUMNS($AD$1006:AM1006),$AD$1006:$AU$1006,0)), HYPERLINK("#",""), HYPERLINK(CONCATENATE("#metadata!", ADDRESS(INDEX($Y$2:$Y$1001,MATCH(ROWS($W$2:W98),$W$2:$W$1001,0),0), INDEX($AD$1004:$AU$1004,1,MATCH(COLUMNS($AD$1006:AM1006),$AD$1006:$AU$1006,0)))),"Fix")))</f>
        <v xml:space="preserve"> </v>
      </c>
      <c r="L98" s="4" t="str">
        <f ca="1">IF(OR(INDEX($X$2:$X$1001,MATCH(ROWS($W$2:W98),$W$2:$W$1001,0),1)&gt;=100000,INDEX($AD$1005:$AU$1005,1,MATCH(COLUMNS($AD$1006:AN1006),$AD$1006:$AU$1006,0))&gt;=100000), " ",IF(INDEX($AD$2:$AU$1001,MATCH(ROWS($W$2:W98),$W$2:$W$1001,0),MATCH(COLUMNS($AD$1006:AN1006),$AD$1006:$AU$1006,0)), HYPERLINK("#",""), HYPERLINK(CONCATENATE("#metadata!", ADDRESS(INDEX($Y$2:$Y$1001,MATCH(ROWS($W$2:W98),$W$2:$W$1001,0),0), INDEX($AD$1004:$AU$1004,1,MATCH(COLUMNS($AD$1006:AN1006),$AD$1006:$AU$1006,0)))),"Fix")))</f>
        <v xml:space="preserve"> </v>
      </c>
      <c r="M98" s="4" t="str">
        <f ca="1">IF(OR(INDEX($X$2:$X$1001,MATCH(ROWS($W$2:W98),$W$2:$W$1001,0),1)&gt;=100000,INDEX($AD$1005:$AU$1005,1,MATCH(COLUMNS($AD$1006:AO1006),$AD$1006:$AU$1006,0))&gt;=100000), " ",IF(INDEX($AD$2:$AU$1001,MATCH(ROWS($W$2:W98),$W$2:$W$1001,0),MATCH(COLUMNS($AD$1006:AO1006),$AD$1006:$AU$1006,0)), HYPERLINK("#",""), HYPERLINK(CONCATENATE("#metadata!", ADDRESS(INDEX($Y$2:$Y$1001,MATCH(ROWS($W$2:W98),$W$2:$W$1001,0),0), INDEX($AD$1004:$AU$1004,1,MATCH(COLUMNS($AD$1006:AO1006),$AD$1006:$AU$1006,0)))),"Fix")))</f>
        <v xml:space="preserve"> </v>
      </c>
      <c r="N98" s="4" t="str">
        <f ca="1">IF(OR(INDEX($X$2:$X$1001,MATCH(ROWS($W$2:W98),$W$2:$W$1001,0),1)&gt;=100000,INDEX($AD$1005:$AU$1005,1,MATCH(COLUMNS($AD$1006:AP1006),$AD$1006:$AU$1006,0))&gt;=100000), " ",IF(INDEX($AD$2:$AU$1001,MATCH(ROWS($W$2:W98),$W$2:$W$1001,0),MATCH(COLUMNS($AD$1006:AP1006),$AD$1006:$AU$1006,0)), HYPERLINK("#",""), HYPERLINK(CONCATENATE("#metadata!", ADDRESS(INDEX($Y$2:$Y$1001,MATCH(ROWS($W$2:W98),$W$2:$W$1001,0),0), INDEX($AD$1004:$AU$1004,1,MATCH(COLUMNS($AD$1006:AP1006),$AD$1006:$AU$1006,0)))),"Fix")))</f>
        <v xml:space="preserve"> </v>
      </c>
      <c r="O98" s="4" t="str">
        <f ca="1">IF(OR(INDEX($X$2:$X$1001,MATCH(ROWS($W$2:W98),$W$2:$W$1001,0),1)&gt;=100000,INDEX($AD$1005:$AU$1005,1,MATCH(COLUMNS($AD$1006:AQ1006),$AD$1006:$AU$1006,0))&gt;=100000), " ",IF(INDEX($AD$2:$AU$1001,MATCH(ROWS($W$2:W98),$W$2:$W$1001,0),MATCH(COLUMNS($AD$1006:AQ1006),$AD$1006:$AU$1006,0)), HYPERLINK("#",""), HYPERLINK(CONCATENATE("#metadata!", ADDRESS(INDEX($Y$2:$Y$1001,MATCH(ROWS($W$2:W98),$W$2:$W$1001,0),0), INDEX($AD$1004:$AU$1004,1,MATCH(COLUMNS($AD$1006:AQ1006),$AD$1006:$AU$1006,0)))),"Fix")))</f>
        <v xml:space="preserve"> </v>
      </c>
      <c r="P98" s="4" t="str">
        <f ca="1">IF(OR(INDEX($X$2:$X$1001,MATCH(ROWS($W$2:W98),$W$2:$W$1001,0),1)&gt;=100000,INDEX($AD$1005:$AU$1005,1,MATCH(COLUMNS($AD$1006:AR1006),$AD$1006:$AU$1006,0))&gt;=100000), " ",IF(INDEX($AD$2:$AU$1001,MATCH(ROWS($W$2:W98),$W$2:$W$1001,0),MATCH(COLUMNS($AD$1006:AR1006),$AD$1006:$AU$1006,0)), HYPERLINK("#",""), HYPERLINK(CONCATENATE("#metadata!", ADDRESS(INDEX($Y$2:$Y$1001,MATCH(ROWS($W$2:W98),$W$2:$W$1001,0),0), INDEX($AD$1004:$AU$1004,1,MATCH(COLUMNS($AD$1006:AR1006),$AD$1006:$AU$1006,0)))),"Fix")))</f>
        <v xml:space="preserve"> </v>
      </c>
      <c r="Q98" s="4" t="str">
        <f ca="1">IF(OR(INDEX($X$2:$X$1001,MATCH(ROWS($W$2:W98),$W$2:$W$1001,0),1)&gt;=100000,INDEX($AD$1005:$AU$1005,1,MATCH(COLUMNS($AD$1006:AS1006),$AD$1006:$AU$1006,0))&gt;=100000), " ",IF(INDEX($AD$2:$AU$1001,MATCH(ROWS($W$2:W98),$W$2:$W$1001,0),MATCH(COLUMNS($AD$1006:AS1006),$AD$1006:$AU$1006,0)), HYPERLINK("#",""), HYPERLINK(CONCATENATE("#metadata!", ADDRESS(INDEX($Y$2:$Y$1001,MATCH(ROWS($W$2:W98),$W$2:$W$1001,0),0), INDEX($AD$1004:$AU$1004,1,MATCH(COLUMNS($AD$1006:AS1006),$AD$1006:$AU$1006,0)))),"Fix")))</f>
        <v xml:space="preserve"> </v>
      </c>
      <c r="R98" s="4" t="str">
        <f ca="1">IF(OR(INDEX($X$2:$X$1001,MATCH(ROWS($W$2:W98),$W$2:$W$1001,0),1)&gt;=100000,INDEX($AD$1005:$AU$1005,1,MATCH(COLUMNS($AD$1006:AT1006),$AD$1006:$AU$1006,0))&gt;=100000), " ",IF(INDEX($AD$2:$AU$1001,MATCH(ROWS($W$2:W98),$W$2:$W$1001,0),MATCH(COLUMNS($AD$1006:AT1006),$AD$1006:$AU$1006,0)), HYPERLINK("#",""), HYPERLINK(CONCATENATE("#metadata!", ADDRESS(INDEX($Y$2:$Y$1001,MATCH(ROWS($W$2:W98),$W$2:$W$1001,0),0), INDEX($AD$1004:$AU$1004,1,MATCH(COLUMNS($AD$1006:AT1006),$AD$1006:$AU$1006,0)))),"Fix")))</f>
        <v xml:space="preserve"> </v>
      </c>
      <c r="S98" s="4" t="str">
        <f ca="1">IF(OR(INDEX($X$2:$X$1001,MATCH(ROWS($W$2:W98),$W$2:$W$1001,0),1)&gt;=100000,INDEX($AD$1005:$AU$1005,1,MATCH(COLUMNS($AD$1006:AU1006),$AD$1006:$AU$1006,0))&gt;=100000), " ",IF(INDEX($AD$2:$AU$1001,MATCH(ROWS($W$2:W98),$W$2:$W$1001,0),MATCH(COLUMNS($AD$1006:AU1006),$AD$1006:$AU$1006,0)), HYPERLINK("#",""), HYPERLINK(CONCATENATE("#metadata!", ADDRESS(INDEX($Y$2:$Y$1001,MATCH(ROWS($W$2:W98),$W$2:$W$1001,0),0), INDEX($AD$1004:$AU$1004,1,MATCH(COLUMNS($AD$1006:AU1006),$AD$1006:$AU$1006,0)))),"Fix")))</f>
        <v xml:space="preserve"> </v>
      </c>
      <c r="W98">
        <v>97</v>
      </c>
      <c r="X98">
        <v>100098</v>
      </c>
      <c r="Y98">
        <v>98</v>
      </c>
      <c r="Z98" t="b">
        <f t="shared" si="1"/>
        <v>1</v>
      </c>
      <c r="AA98" t="b">
        <f>COUNTBLANK(metadata!B98:S98)=COLUMNS(metadata!B98:S98)</f>
        <v>1</v>
      </c>
      <c r="AB98" t="str">
        <v/>
      </c>
      <c r="AD98" t="b">
        <f ca="1">AND(IF(metadata!B98="",FALSE,TRUE),COUNTIF(metadata!B:B, metadata!B98) = 1,NOT(ISERROR(SUMPRODUCT(SEARCH(MID(metadata!B98,ROW(INDIRECT("1:"&amp;LEN(metadata!B98))), 1),"0123456789abcdefghijklmnopqrstuvwxyzABCDEFGHIJKLMNOPQRSTUVWXYZ.")))))</f>
        <v>0</v>
      </c>
      <c r="AE98" t="b">
        <f>OR(AND(IF(metadata!C98="",FALSE,TRUE),OR(EXACT(metadata!C98,"not applicable"),EXACT(metadata!C98,"missing: not collected"),EXACT(metadata!C98,"missing: not provided"),EXACT(metadata!C98,"missing: restricted access"))),AND(IF(metadata!C98="",FALSE,ISNUMBER(VALUE(metadata!C98))),metadata!C98&gt;0))</f>
        <v>0</v>
      </c>
      <c r="AF98" t="b">
        <f>AND(IF(metadata!D98="",FALSE,TRUE),EXACT(metadata!D98,"missing: not provided"))</f>
        <v>0</v>
      </c>
      <c r="AG98" t="b">
        <f>AND(IF(metadata!E98="",FALSE,TRUE),EXACT(metadata!E98,"Host-associated"))</f>
        <v>0</v>
      </c>
      <c r="AH98" t="b">
        <f>AND(IF(metadata!F98="",FALSE,TRUE),OR(EXACT(metadata!F98,"Animal"),EXACT(metadata!F98,"Fungus"),EXACT(metadata!F98,"Plant")))</f>
        <v>0</v>
      </c>
      <c r="AI98" t="b">
        <f>AND(IF(metadata!G98="",FALSE,TRUE),OR(EXACT(metadata!G98,"Plant secretion"),EXACT(metadata!G98,"Plant rhizosphere"),EXACT(metadata!G98,"Plant surface"),EXACT(metadata!G98,"Plant corpus"),EXACT(metadata!G98,"Fungus surface"),EXACT(metadata!G98,"Fungus corpus"),EXACT(metadata!G98,"Animal surface"),EXACT(metadata!G98,"Animal proximal gut"),EXACT(metadata!G98,"Animal corpus"),EXACT(metadata!G98,"Animal distal gut"),EXACT(metadata!G98,"Animal secretion")))</f>
        <v>0</v>
      </c>
      <c r="AJ98" t="b">
        <f>OR(AND(IF(metadata!H98="",FALSE,TRUE),OR(EXACT(metadata!H98,"missing: not collected"),EXACT(metadata!H98,"missing: not provided"),EXACT(metadata!H98,"missing: restricted access"))),AND(IF(metadata!H98="",FALSE,TRUE),OR(EXACT(metadata!H98,"organism-associated habitat"),EXACT(metadata!H98,"plant-associated habitat"),EXACT(metadata!H98,"animal-associated habitat"),EXACT(metadata!H98,"insecta-associated habitat"),EXACT(metadata!H98,"mammalia-associated habitat"),EXACT(metadata!H98,"human-associated habitat"),EXACT(metadata!H98,"livestock-associated habitat"))))</f>
        <v>0</v>
      </c>
      <c r="AK98" t="b">
        <f>AND(IF(metadata!I98="",FALSE,TRUE),EXACT(metadata!I98,"host-associated"))</f>
        <v>0</v>
      </c>
      <c r="AL98" t="b">
        <f>OR(AND(IF(metadata!J98="",FALSE,TRUE),OR(EXACT(metadata!J98,"not applicable"),EXACT(metadata!J98,"missing: not collected"),EXACT(metadata!J98,"missing: not provided"),EXACT(metadata!J98,"missing: restricted access"))),AND(IF(metadata!J98="",FALSE,ISNUMBER(VALUE(metadata!J98))),metadata!J98&gt;0))</f>
        <v>0</v>
      </c>
      <c r="AM98" t="b">
        <f>AND(IF(metadata!K98="",FALSE,TRUE),EXACT(metadata!K98,"missing: not provided"))</f>
        <v>0</v>
      </c>
      <c r="AN98" t="b">
        <f>IF(metadata!L98="",FALSE,TRUE)</f>
        <v>0</v>
      </c>
      <c r="AO98" t="b">
        <f>IF(metadata!M98="",FALSE,TRUE)</f>
        <v>0</v>
      </c>
      <c r="AP98" t="b">
        <f>OR(AND(IF(metadata!N98="",FALSE,TRUE),OR(EXACT(metadata!N98,"not applicable"),EXACT(metadata!N98,"missing: not collected"),EXACT(metadata!N98,"missing: not provided"))),AND(IF(metadata!N98="",FALSE,IF(ISERROR(INT(metadata!N98)),FALSE,INT(metadata!N98)=metadata!N98)),metadata!N98&gt;0))</f>
        <v>0</v>
      </c>
      <c r="AQ98" t="b">
        <f>AND(IF(metadata!O98="",FALSE,TRUE),EXACT(metadata!O98,"Not applicable"))</f>
        <v>0</v>
      </c>
      <c r="AR98" t="b">
        <f>OR(AND(IF(metadata!P98="",FALSE,TRUE),OR(EXACT(metadata!P98,"not applicable"),EXACT(metadata!P98,"missing: not collected"),EXACT(metadata!P98,"missing: not provided"),EXACT(metadata!P98,"missing: restricted access"))),IF(metadata!P98="",FALSE,IF(ISERROR(INT(metadata!P98)),FALSE,INT(metadata!P98)=metadata!P98)))</f>
        <v>0</v>
      </c>
      <c r="AS98" t="b">
        <f>AND(IF(metadata!Q98="",FALSE,TRUE),EXACT(metadata!Q98,"Not applicable"))</f>
        <v>0</v>
      </c>
      <c r="AT98" t="b">
        <f>OR(AND(IF(metadata!R98="",FALSE,TRUE),OR(EXACT(metadata!R98,"not applicable"),EXACT(metadata!R98,"missing: not collected"),EXACT(metadata!R98,"missing: not provided"),EXACT(metadata!R98,"missing: restricted access"))),AND(IF(metadata!R98="",FALSE,ISNUMBER(VALUE(metadata!R98))),metadata!R98&gt;0))</f>
        <v>0</v>
      </c>
      <c r="AU98" t="b">
        <f>AND(IF(metadata!S98="",FALSE,TRUE),EXACT(metadata!S98,"missing: not provided"))</f>
        <v>0</v>
      </c>
    </row>
    <row r="99" spans="1:47" x14ac:dyDescent="0.2">
      <c r="A99" s="5" t="str">
        <f ca="1">IF(B99=" "," ",HYPERLINK(CONCATENATE("#metadata!",ADDRESS(INDEX($Y$2:$Y$1001,MATCH(ROWS($W$2:W99),$W$2:$W$1001,0),0),1)),INDEX($AB$2:$AB$1001,MATCH(ROWS($W$2:W99),$W$2:$W$1001,0),0)))</f>
        <v xml:space="preserve"> </v>
      </c>
      <c r="B99" s="4" t="str">
        <f ca="1">IF(OR(INDEX($X$2:$X$1001,MATCH(ROWS($W$2:W99),$W$2:$W$1001,0),1)&gt;=100000,INDEX($AD$1005:$AU$1005,1,MATCH(COLUMNS($AD$1006:AD1006),$AD$1006:$AU$1006,0))&gt;=100000), " ",IF(INDEX($AD$2:$AU$1001,MATCH(ROWS($W$2:W99),$W$2:$W$1001,0),MATCH(COLUMNS($AD$1006:AD1006),$AD$1006:$AU$1006,0)), HYPERLINK("#",""), HYPERLINK(CONCATENATE("#metadata!", ADDRESS(INDEX($Y$2:$Y$1001,MATCH(ROWS($W$2:W99),$W$2:$W$1001,0),0), INDEX($AD$1004:$AU$1004,1,MATCH(COLUMNS($AD$1006:AD1006),$AD$1006:$AU$1006,0)))),"Fix")))</f>
        <v xml:space="preserve"> </v>
      </c>
      <c r="C99" s="4" t="str">
        <f ca="1">IF(OR(INDEX($X$2:$X$1001,MATCH(ROWS($W$2:W99),$W$2:$W$1001,0),1)&gt;=100000,INDEX($AD$1005:$AU$1005,1,MATCH(COLUMNS($AD$1006:AE1006),$AD$1006:$AU$1006,0))&gt;=100000), " ",IF(INDEX($AD$2:$AU$1001,MATCH(ROWS($W$2:W99),$W$2:$W$1001,0),MATCH(COLUMNS($AD$1006:AE1006),$AD$1006:$AU$1006,0)), HYPERLINK("#",""), HYPERLINK(CONCATENATE("#metadata!", ADDRESS(INDEX($Y$2:$Y$1001,MATCH(ROWS($W$2:W99),$W$2:$W$1001,0),0), INDEX($AD$1004:$AU$1004,1,MATCH(COLUMNS($AD$1006:AE1006),$AD$1006:$AU$1006,0)))),"Fix")))</f>
        <v xml:space="preserve"> </v>
      </c>
      <c r="D99" s="4" t="str">
        <f ca="1">IF(OR(INDEX($X$2:$X$1001,MATCH(ROWS($W$2:W99),$W$2:$W$1001,0),1)&gt;=100000,INDEX($AD$1005:$AU$1005,1,MATCH(COLUMNS($AD$1006:AF1006),$AD$1006:$AU$1006,0))&gt;=100000), " ",IF(INDEX($AD$2:$AU$1001,MATCH(ROWS($W$2:W99),$W$2:$W$1001,0),MATCH(COLUMNS($AD$1006:AF1006),$AD$1006:$AU$1006,0)), HYPERLINK("#",""), HYPERLINK(CONCATENATE("#metadata!", ADDRESS(INDEX($Y$2:$Y$1001,MATCH(ROWS($W$2:W99),$W$2:$W$1001,0),0), INDEX($AD$1004:$AU$1004,1,MATCH(COLUMNS($AD$1006:AF1006),$AD$1006:$AU$1006,0)))),"Fix")))</f>
        <v xml:space="preserve"> </v>
      </c>
      <c r="E99" s="4" t="str">
        <f ca="1">IF(OR(INDEX($X$2:$X$1001,MATCH(ROWS($W$2:W99),$W$2:$W$1001,0),1)&gt;=100000,INDEX($AD$1005:$AU$1005,1,MATCH(COLUMNS($AD$1006:AG1006),$AD$1006:$AU$1006,0))&gt;=100000), " ",IF(INDEX($AD$2:$AU$1001,MATCH(ROWS($W$2:W99),$W$2:$W$1001,0),MATCH(COLUMNS($AD$1006:AG1006),$AD$1006:$AU$1006,0)), HYPERLINK("#",""), HYPERLINK(CONCATENATE("#metadata!", ADDRESS(INDEX($Y$2:$Y$1001,MATCH(ROWS($W$2:W99),$W$2:$W$1001,0),0), INDEX($AD$1004:$AU$1004,1,MATCH(COLUMNS($AD$1006:AG1006),$AD$1006:$AU$1006,0)))),"Fix")))</f>
        <v xml:space="preserve"> </v>
      </c>
      <c r="F99" s="4" t="str">
        <f ca="1">IF(OR(INDEX($X$2:$X$1001,MATCH(ROWS($W$2:W99),$W$2:$W$1001,0),1)&gt;=100000,INDEX($AD$1005:$AU$1005,1,MATCH(COLUMNS($AD$1006:AH1006),$AD$1006:$AU$1006,0))&gt;=100000), " ",IF(INDEX($AD$2:$AU$1001,MATCH(ROWS($W$2:W99),$W$2:$W$1001,0),MATCH(COLUMNS($AD$1006:AH1006),$AD$1006:$AU$1006,0)), HYPERLINK("#",""), HYPERLINK(CONCATENATE("#metadata!", ADDRESS(INDEX($Y$2:$Y$1001,MATCH(ROWS($W$2:W99),$W$2:$W$1001,0),0), INDEX($AD$1004:$AU$1004,1,MATCH(COLUMNS($AD$1006:AH1006),$AD$1006:$AU$1006,0)))),"Fix")))</f>
        <v xml:space="preserve"> </v>
      </c>
      <c r="G99" s="4" t="str">
        <f ca="1">IF(OR(INDEX($X$2:$X$1001,MATCH(ROWS($W$2:W99),$W$2:$W$1001,0),1)&gt;=100000,INDEX($AD$1005:$AU$1005,1,MATCH(COLUMNS($AD$1006:AI1006),$AD$1006:$AU$1006,0))&gt;=100000), " ",IF(INDEX($AD$2:$AU$1001,MATCH(ROWS($W$2:W99),$W$2:$W$1001,0),MATCH(COLUMNS($AD$1006:AI1006),$AD$1006:$AU$1006,0)), HYPERLINK("#",""), HYPERLINK(CONCATENATE("#metadata!", ADDRESS(INDEX($Y$2:$Y$1001,MATCH(ROWS($W$2:W99),$W$2:$W$1001,0),0), INDEX($AD$1004:$AU$1004,1,MATCH(COLUMNS($AD$1006:AI1006),$AD$1006:$AU$1006,0)))),"Fix")))</f>
        <v xml:space="preserve"> </v>
      </c>
      <c r="H99" s="4" t="str">
        <f ca="1">IF(OR(INDEX($X$2:$X$1001,MATCH(ROWS($W$2:W99),$W$2:$W$1001,0),1)&gt;=100000,INDEX($AD$1005:$AU$1005,1,MATCH(COLUMNS($AD$1006:AJ1006),$AD$1006:$AU$1006,0))&gt;=100000), " ",IF(INDEX($AD$2:$AU$1001,MATCH(ROWS($W$2:W99),$W$2:$W$1001,0),MATCH(COLUMNS($AD$1006:AJ1006),$AD$1006:$AU$1006,0)), HYPERLINK("#",""), HYPERLINK(CONCATENATE("#metadata!", ADDRESS(INDEX($Y$2:$Y$1001,MATCH(ROWS($W$2:W99),$W$2:$W$1001,0),0), INDEX($AD$1004:$AU$1004,1,MATCH(COLUMNS($AD$1006:AJ1006),$AD$1006:$AU$1006,0)))),"Fix")))</f>
        <v xml:space="preserve"> </v>
      </c>
      <c r="I99" s="4" t="str">
        <f ca="1">IF(OR(INDEX($X$2:$X$1001,MATCH(ROWS($W$2:W99),$W$2:$W$1001,0),1)&gt;=100000,INDEX($AD$1005:$AU$1005,1,MATCH(COLUMNS($AD$1006:AK1006),$AD$1006:$AU$1006,0))&gt;=100000), " ",IF(INDEX($AD$2:$AU$1001,MATCH(ROWS($W$2:W99),$W$2:$W$1001,0),MATCH(COLUMNS($AD$1006:AK1006),$AD$1006:$AU$1006,0)), HYPERLINK("#",""), HYPERLINK(CONCATENATE("#metadata!", ADDRESS(INDEX($Y$2:$Y$1001,MATCH(ROWS($W$2:W99),$W$2:$W$1001,0),0), INDEX($AD$1004:$AU$1004,1,MATCH(COLUMNS($AD$1006:AK1006),$AD$1006:$AU$1006,0)))),"Fix")))</f>
        <v xml:space="preserve"> </v>
      </c>
      <c r="J99" s="4" t="str">
        <f ca="1">IF(OR(INDEX($X$2:$X$1001,MATCH(ROWS($W$2:W99),$W$2:$W$1001,0),1)&gt;=100000,INDEX($AD$1005:$AU$1005,1,MATCH(COLUMNS($AD$1006:AL1006),$AD$1006:$AU$1006,0))&gt;=100000), " ",IF(INDEX($AD$2:$AU$1001,MATCH(ROWS($W$2:W99),$W$2:$W$1001,0),MATCH(COLUMNS($AD$1006:AL1006),$AD$1006:$AU$1006,0)), HYPERLINK("#",""), HYPERLINK(CONCATENATE("#metadata!", ADDRESS(INDEX($Y$2:$Y$1001,MATCH(ROWS($W$2:W99),$W$2:$W$1001,0),0), INDEX($AD$1004:$AU$1004,1,MATCH(COLUMNS($AD$1006:AL1006),$AD$1006:$AU$1006,0)))),"Fix")))</f>
        <v xml:space="preserve"> </v>
      </c>
      <c r="K99" s="4" t="str">
        <f ca="1">IF(OR(INDEX($X$2:$X$1001,MATCH(ROWS($W$2:W99),$W$2:$W$1001,0),1)&gt;=100000,INDEX($AD$1005:$AU$1005,1,MATCH(COLUMNS($AD$1006:AM1006),$AD$1006:$AU$1006,0))&gt;=100000), " ",IF(INDEX($AD$2:$AU$1001,MATCH(ROWS($W$2:W99),$W$2:$W$1001,0),MATCH(COLUMNS($AD$1006:AM1006),$AD$1006:$AU$1006,0)), HYPERLINK("#",""), HYPERLINK(CONCATENATE("#metadata!", ADDRESS(INDEX($Y$2:$Y$1001,MATCH(ROWS($W$2:W99),$W$2:$W$1001,0),0), INDEX($AD$1004:$AU$1004,1,MATCH(COLUMNS($AD$1006:AM1006),$AD$1006:$AU$1006,0)))),"Fix")))</f>
        <v xml:space="preserve"> </v>
      </c>
      <c r="L99" s="4" t="str">
        <f ca="1">IF(OR(INDEX($X$2:$X$1001,MATCH(ROWS($W$2:W99),$W$2:$W$1001,0),1)&gt;=100000,INDEX($AD$1005:$AU$1005,1,MATCH(COLUMNS($AD$1006:AN1006),$AD$1006:$AU$1006,0))&gt;=100000), " ",IF(INDEX($AD$2:$AU$1001,MATCH(ROWS($W$2:W99),$W$2:$W$1001,0),MATCH(COLUMNS($AD$1006:AN1006),$AD$1006:$AU$1006,0)), HYPERLINK("#",""), HYPERLINK(CONCATENATE("#metadata!", ADDRESS(INDEX($Y$2:$Y$1001,MATCH(ROWS($W$2:W99),$W$2:$W$1001,0),0), INDEX($AD$1004:$AU$1004,1,MATCH(COLUMNS($AD$1006:AN1006),$AD$1006:$AU$1006,0)))),"Fix")))</f>
        <v xml:space="preserve"> </v>
      </c>
      <c r="M99" s="4" t="str">
        <f ca="1">IF(OR(INDEX($X$2:$X$1001,MATCH(ROWS($W$2:W99),$W$2:$W$1001,0),1)&gt;=100000,INDEX($AD$1005:$AU$1005,1,MATCH(COLUMNS($AD$1006:AO1006),$AD$1006:$AU$1006,0))&gt;=100000), " ",IF(INDEX($AD$2:$AU$1001,MATCH(ROWS($W$2:W99),$W$2:$W$1001,0),MATCH(COLUMNS($AD$1006:AO1006),$AD$1006:$AU$1006,0)), HYPERLINK("#",""), HYPERLINK(CONCATENATE("#metadata!", ADDRESS(INDEX($Y$2:$Y$1001,MATCH(ROWS($W$2:W99),$W$2:$W$1001,0),0), INDEX($AD$1004:$AU$1004,1,MATCH(COLUMNS($AD$1006:AO1006),$AD$1006:$AU$1006,0)))),"Fix")))</f>
        <v xml:space="preserve"> </v>
      </c>
      <c r="N99" s="4" t="str">
        <f ca="1">IF(OR(INDEX($X$2:$X$1001,MATCH(ROWS($W$2:W99),$W$2:$W$1001,0),1)&gt;=100000,INDEX($AD$1005:$AU$1005,1,MATCH(COLUMNS($AD$1006:AP1006),$AD$1006:$AU$1006,0))&gt;=100000), " ",IF(INDEX($AD$2:$AU$1001,MATCH(ROWS($W$2:W99),$W$2:$W$1001,0),MATCH(COLUMNS($AD$1006:AP1006),$AD$1006:$AU$1006,0)), HYPERLINK("#",""), HYPERLINK(CONCATENATE("#metadata!", ADDRESS(INDEX($Y$2:$Y$1001,MATCH(ROWS($W$2:W99),$W$2:$W$1001,0),0), INDEX($AD$1004:$AU$1004,1,MATCH(COLUMNS($AD$1006:AP1006),$AD$1006:$AU$1006,0)))),"Fix")))</f>
        <v xml:space="preserve"> </v>
      </c>
      <c r="O99" s="4" t="str">
        <f ca="1">IF(OR(INDEX($X$2:$X$1001,MATCH(ROWS($W$2:W99),$W$2:$W$1001,0),1)&gt;=100000,INDEX($AD$1005:$AU$1005,1,MATCH(COLUMNS($AD$1006:AQ1006),$AD$1006:$AU$1006,0))&gt;=100000), " ",IF(INDEX($AD$2:$AU$1001,MATCH(ROWS($W$2:W99),$W$2:$W$1001,0),MATCH(COLUMNS($AD$1006:AQ1006),$AD$1006:$AU$1006,0)), HYPERLINK("#",""), HYPERLINK(CONCATENATE("#metadata!", ADDRESS(INDEX($Y$2:$Y$1001,MATCH(ROWS($W$2:W99),$W$2:$W$1001,0),0), INDEX($AD$1004:$AU$1004,1,MATCH(COLUMNS($AD$1006:AQ1006),$AD$1006:$AU$1006,0)))),"Fix")))</f>
        <v xml:space="preserve"> </v>
      </c>
      <c r="P99" s="4" t="str">
        <f ca="1">IF(OR(INDEX($X$2:$X$1001,MATCH(ROWS($W$2:W99),$W$2:$W$1001,0),1)&gt;=100000,INDEX($AD$1005:$AU$1005,1,MATCH(COLUMNS($AD$1006:AR1006),$AD$1006:$AU$1006,0))&gt;=100000), " ",IF(INDEX($AD$2:$AU$1001,MATCH(ROWS($W$2:W99),$W$2:$W$1001,0),MATCH(COLUMNS($AD$1006:AR1006),$AD$1006:$AU$1006,0)), HYPERLINK("#",""), HYPERLINK(CONCATENATE("#metadata!", ADDRESS(INDEX($Y$2:$Y$1001,MATCH(ROWS($W$2:W99),$W$2:$W$1001,0),0), INDEX($AD$1004:$AU$1004,1,MATCH(COLUMNS($AD$1006:AR1006),$AD$1006:$AU$1006,0)))),"Fix")))</f>
        <v xml:space="preserve"> </v>
      </c>
      <c r="Q99" s="4" t="str">
        <f ca="1">IF(OR(INDEX($X$2:$X$1001,MATCH(ROWS($W$2:W99),$W$2:$W$1001,0),1)&gt;=100000,INDEX($AD$1005:$AU$1005,1,MATCH(COLUMNS($AD$1006:AS1006),$AD$1006:$AU$1006,0))&gt;=100000), " ",IF(INDEX($AD$2:$AU$1001,MATCH(ROWS($W$2:W99),$W$2:$W$1001,0),MATCH(COLUMNS($AD$1006:AS1006),$AD$1006:$AU$1006,0)), HYPERLINK("#",""), HYPERLINK(CONCATENATE("#metadata!", ADDRESS(INDEX($Y$2:$Y$1001,MATCH(ROWS($W$2:W99),$W$2:$W$1001,0),0), INDEX($AD$1004:$AU$1004,1,MATCH(COLUMNS($AD$1006:AS1006),$AD$1006:$AU$1006,0)))),"Fix")))</f>
        <v xml:space="preserve"> </v>
      </c>
      <c r="R99" s="4" t="str">
        <f ca="1">IF(OR(INDEX($X$2:$X$1001,MATCH(ROWS($W$2:W99),$W$2:$W$1001,0),1)&gt;=100000,INDEX($AD$1005:$AU$1005,1,MATCH(COLUMNS($AD$1006:AT1006),$AD$1006:$AU$1006,0))&gt;=100000), " ",IF(INDEX($AD$2:$AU$1001,MATCH(ROWS($W$2:W99),$W$2:$W$1001,0),MATCH(COLUMNS($AD$1006:AT1006),$AD$1006:$AU$1006,0)), HYPERLINK("#",""), HYPERLINK(CONCATENATE("#metadata!", ADDRESS(INDEX($Y$2:$Y$1001,MATCH(ROWS($W$2:W99),$W$2:$W$1001,0),0), INDEX($AD$1004:$AU$1004,1,MATCH(COLUMNS($AD$1006:AT1006),$AD$1006:$AU$1006,0)))),"Fix")))</f>
        <v xml:space="preserve"> </v>
      </c>
      <c r="S99" s="4" t="str">
        <f ca="1">IF(OR(INDEX($X$2:$X$1001,MATCH(ROWS($W$2:W99),$W$2:$W$1001,0),1)&gt;=100000,INDEX($AD$1005:$AU$1005,1,MATCH(COLUMNS($AD$1006:AU1006),$AD$1006:$AU$1006,0))&gt;=100000), " ",IF(INDEX($AD$2:$AU$1001,MATCH(ROWS($W$2:W99),$W$2:$W$1001,0),MATCH(COLUMNS($AD$1006:AU1006),$AD$1006:$AU$1006,0)), HYPERLINK("#",""), HYPERLINK(CONCATENATE("#metadata!", ADDRESS(INDEX($Y$2:$Y$1001,MATCH(ROWS($W$2:W99),$W$2:$W$1001,0),0), INDEX($AD$1004:$AU$1004,1,MATCH(COLUMNS($AD$1006:AU1006),$AD$1006:$AU$1006,0)))),"Fix")))</f>
        <v xml:space="preserve"> </v>
      </c>
      <c r="W99">
        <v>98</v>
      </c>
      <c r="X99">
        <v>100099</v>
      </c>
      <c r="Y99">
        <v>99</v>
      </c>
      <c r="Z99" t="b">
        <f t="shared" si="1"/>
        <v>1</v>
      </c>
      <c r="AA99" t="b">
        <f>COUNTBLANK(metadata!B99:S99)=COLUMNS(metadata!B99:S99)</f>
        <v>1</v>
      </c>
      <c r="AB99" t="str">
        <v/>
      </c>
      <c r="AD99" t="b">
        <f ca="1">AND(IF(metadata!B99="",FALSE,TRUE),COUNTIF(metadata!B:B, metadata!B99) = 1,NOT(ISERROR(SUMPRODUCT(SEARCH(MID(metadata!B99,ROW(INDIRECT("1:"&amp;LEN(metadata!B99))), 1),"0123456789abcdefghijklmnopqrstuvwxyzABCDEFGHIJKLMNOPQRSTUVWXYZ.")))))</f>
        <v>0</v>
      </c>
      <c r="AE99" t="b">
        <f>OR(AND(IF(metadata!C99="",FALSE,TRUE),OR(EXACT(metadata!C99,"not applicable"),EXACT(metadata!C99,"missing: not collected"),EXACT(metadata!C99,"missing: not provided"),EXACT(metadata!C99,"missing: restricted access"))),AND(IF(metadata!C99="",FALSE,ISNUMBER(VALUE(metadata!C99))),metadata!C99&gt;0))</f>
        <v>0</v>
      </c>
      <c r="AF99" t="b">
        <f>AND(IF(metadata!D99="",FALSE,TRUE),EXACT(metadata!D99,"missing: not provided"))</f>
        <v>0</v>
      </c>
      <c r="AG99" t="b">
        <f>AND(IF(metadata!E99="",FALSE,TRUE),EXACT(metadata!E99,"Host-associated"))</f>
        <v>0</v>
      </c>
      <c r="AH99" t="b">
        <f>AND(IF(metadata!F99="",FALSE,TRUE),OR(EXACT(metadata!F99,"Animal"),EXACT(metadata!F99,"Fungus"),EXACT(metadata!F99,"Plant")))</f>
        <v>0</v>
      </c>
      <c r="AI99" t="b">
        <f>AND(IF(metadata!G99="",FALSE,TRUE),OR(EXACT(metadata!G99,"Plant secretion"),EXACT(metadata!G99,"Plant rhizosphere"),EXACT(metadata!G99,"Plant surface"),EXACT(metadata!G99,"Plant corpus"),EXACT(metadata!G99,"Fungus surface"),EXACT(metadata!G99,"Fungus corpus"),EXACT(metadata!G99,"Animal surface"),EXACT(metadata!G99,"Animal proximal gut"),EXACT(metadata!G99,"Animal corpus"),EXACT(metadata!G99,"Animal distal gut"),EXACT(metadata!G99,"Animal secretion")))</f>
        <v>0</v>
      </c>
      <c r="AJ99" t="b">
        <f>OR(AND(IF(metadata!H99="",FALSE,TRUE),OR(EXACT(metadata!H99,"missing: not collected"),EXACT(metadata!H99,"missing: not provided"),EXACT(metadata!H99,"missing: restricted access"))),AND(IF(metadata!H99="",FALSE,TRUE),OR(EXACT(metadata!H99,"organism-associated habitat"),EXACT(metadata!H99,"plant-associated habitat"),EXACT(metadata!H99,"animal-associated habitat"),EXACT(metadata!H99,"insecta-associated habitat"),EXACT(metadata!H99,"mammalia-associated habitat"),EXACT(metadata!H99,"human-associated habitat"),EXACT(metadata!H99,"livestock-associated habitat"))))</f>
        <v>0</v>
      </c>
      <c r="AK99" t="b">
        <f>AND(IF(metadata!I99="",FALSE,TRUE),EXACT(metadata!I99,"host-associated"))</f>
        <v>0</v>
      </c>
      <c r="AL99" t="b">
        <f>OR(AND(IF(metadata!J99="",FALSE,TRUE),OR(EXACT(metadata!J99,"not applicable"),EXACT(metadata!J99,"missing: not collected"),EXACT(metadata!J99,"missing: not provided"),EXACT(metadata!J99,"missing: restricted access"))),AND(IF(metadata!J99="",FALSE,ISNUMBER(VALUE(metadata!J99))),metadata!J99&gt;0))</f>
        <v>0</v>
      </c>
      <c r="AM99" t="b">
        <f>AND(IF(metadata!K99="",FALSE,TRUE),EXACT(metadata!K99,"missing: not provided"))</f>
        <v>0</v>
      </c>
      <c r="AN99" t="b">
        <f>IF(metadata!L99="",FALSE,TRUE)</f>
        <v>0</v>
      </c>
      <c r="AO99" t="b">
        <f>IF(metadata!M99="",FALSE,TRUE)</f>
        <v>0</v>
      </c>
      <c r="AP99" t="b">
        <f>OR(AND(IF(metadata!N99="",FALSE,TRUE),OR(EXACT(metadata!N99,"not applicable"),EXACT(metadata!N99,"missing: not collected"),EXACT(metadata!N99,"missing: not provided"))),AND(IF(metadata!N99="",FALSE,IF(ISERROR(INT(metadata!N99)),FALSE,INT(metadata!N99)=metadata!N99)),metadata!N99&gt;0))</f>
        <v>0</v>
      </c>
      <c r="AQ99" t="b">
        <f>AND(IF(metadata!O99="",FALSE,TRUE),EXACT(metadata!O99,"Not applicable"))</f>
        <v>0</v>
      </c>
      <c r="AR99" t="b">
        <f>OR(AND(IF(metadata!P99="",FALSE,TRUE),OR(EXACT(metadata!P99,"not applicable"),EXACT(metadata!P99,"missing: not collected"),EXACT(metadata!P99,"missing: not provided"),EXACT(metadata!P99,"missing: restricted access"))),IF(metadata!P99="",FALSE,IF(ISERROR(INT(metadata!P99)),FALSE,INT(metadata!P99)=metadata!P99)))</f>
        <v>0</v>
      </c>
      <c r="AS99" t="b">
        <f>AND(IF(metadata!Q99="",FALSE,TRUE),EXACT(metadata!Q99,"Not applicable"))</f>
        <v>0</v>
      </c>
      <c r="AT99" t="b">
        <f>OR(AND(IF(metadata!R99="",FALSE,TRUE),OR(EXACT(metadata!R99,"not applicable"),EXACT(metadata!R99,"missing: not collected"),EXACT(metadata!R99,"missing: not provided"),EXACT(metadata!R99,"missing: restricted access"))),AND(IF(metadata!R99="",FALSE,ISNUMBER(VALUE(metadata!R99))),metadata!R99&gt;0))</f>
        <v>0</v>
      </c>
      <c r="AU99" t="b">
        <f>AND(IF(metadata!S99="",FALSE,TRUE),EXACT(metadata!S99,"missing: not provided"))</f>
        <v>0</v>
      </c>
    </row>
    <row r="100" spans="1:47" x14ac:dyDescent="0.2">
      <c r="A100" s="5" t="str">
        <f ca="1">IF(B100=" "," ",HYPERLINK(CONCATENATE("#metadata!",ADDRESS(INDEX($Y$2:$Y$1001,MATCH(ROWS($W$2:W100),$W$2:$W$1001,0),0),1)),INDEX($AB$2:$AB$1001,MATCH(ROWS($W$2:W100),$W$2:$W$1001,0),0)))</f>
        <v xml:space="preserve"> </v>
      </c>
      <c r="B100" s="4" t="str">
        <f ca="1">IF(OR(INDEX($X$2:$X$1001,MATCH(ROWS($W$2:W100),$W$2:$W$1001,0),1)&gt;=100000,INDEX($AD$1005:$AU$1005,1,MATCH(COLUMNS($AD$1006:AD1006),$AD$1006:$AU$1006,0))&gt;=100000), " ",IF(INDEX($AD$2:$AU$1001,MATCH(ROWS($W$2:W100),$W$2:$W$1001,0),MATCH(COLUMNS($AD$1006:AD1006),$AD$1006:$AU$1006,0)), HYPERLINK("#",""), HYPERLINK(CONCATENATE("#metadata!", ADDRESS(INDEX($Y$2:$Y$1001,MATCH(ROWS($W$2:W100),$W$2:$W$1001,0),0), INDEX($AD$1004:$AU$1004,1,MATCH(COLUMNS($AD$1006:AD1006),$AD$1006:$AU$1006,0)))),"Fix")))</f>
        <v xml:space="preserve"> </v>
      </c>
      <c r="C100" s="4" t="str">
        <f ca="1">IF(OR(INDEX($X$2:$X$1001,MATCH(ROWS($W$2:W100),$W$2:$W$1001,0),1)&gt;=100000,INDEX($AD$1005:$AU$1005,1,MATCH(COLUMNS($AD$1006:AE1006),$AD$1006:$AU$1006,0))&gt;=100000), " ",IF(INDEX($AD$2:$AU$1001,MATCH(ROWS($W$2:W100),$W$2:$W$1001,0),MATCH(COLUMNS($AD$1006:AE1006),$AD$1006:$AU$1006,0)), HYPERLINK("#",""), HYPERLINK(CONCATENATE("#metadata!", ADDRESS(INDEX($Y$2:$Y$1001,MATCH(ROWS($W$2:W100),$W$2:$W$1001,0),0), INDEX($AD$1004:$AU$1004,1,MATCH(COLUMNS($AD$1006:AE1006),$AD$1006:$AU$1006,0)))),"Fix")))</f>
        <v xml:space="preserve"> </v>
      </c>
      <c r="D100" s="4" t="str">
        <f ca="1">IF(OR(INDEX($X$2:$X$1001,MATCH(ROWS($W$2:W100),$W$2:$W$1001,0),1)&gt;=100000,INDEX($AD$1005:$AU$1005,1,MATCH(COLUMNS($AD$1006:AF1006),$AD$1006:$AU$1006,0))&gt;=100000), " ",IF(INDEX($AD$2:$AU$1001,MATCH(ROWS($W$2:W100),$W$2:$W$1001,0),MATCH(COLUMNS($AD$1006:AF1006),$AD$1006:$AU$1006,0)), HYPERLINK("#",""), HYPERLINK(CONCATENATE("#metadata!", ADDRESS(INDEX($Y$2:$Y$1001,MATCH(ROWS($W$2:W100),$W$2:$W$1001,0),0), INDEX($AD$1004:$AU$1004,1,MATCH(COLUMNS($AD$1006:AF1006),$AD$1006:$AU$1006,0)))),"Fix")))</f>
        <v xml:space="preserve"> </v>
      </c>
      <c r="E100" s="4" t="str">
        <f ca="1">IF(OR(INDEX($X$2:$X$1001,MATCH(ROWS($W$2:W100),$W$2:$W$1001,0),1)&gt;=100000,INDEX($AD$1005:$AU$1005,1,MATCH(COLUMNS($AD$1006:AG1006),$AD$1006:$AU$1006,0))&gt;=100000), " ",IF(INDEX($AD$2:$AU$1001,MATCH(ROWS($W$2:W100),$W$2:$W$1001,0),MATCH(COLUMNS($AD$1006:AG1006),$AD$1006:$AU$1006,0)), HYPERLINK("#",""), HYPERLINK(CONCATENATE("#metadata!", ADDRESS(INDEX($Y$2:$Y$1001,MATCH(ROWS($W$2:W100),$W$2:$W$1001,0),0), INDEX($AD$1004:$AU$1004,1,MATCH(COLUMNS($AD$1006:AG1006),$AD$1006:$AU$1006,0)))),"Fix")))</f>
        <v xml:space="preserve"> </v>
      </c>
      <c r="F100" s="4" t="str">
        <f ca="1">IF(OR(INDEX($X$2:$X$1001,MATCH(ROWS($W$2:W100),$W$2:$W$1001,0),1)&gt;=100000,INDEX($AD$1005:$AU$1005,1,MATCH(COLUMNS($AD$1006:AH1006),$AD$1006:$AU$1006,0))&gt;=100000), " ",IF(INDEX($AD$2:$AU$1001,MATCH(ROWS($W$2:W100),$W$2:$W$1001,0),MATCH(COLUMNS($AD$1006:AH1006),$AD$1006:$AU$1006,0)), HYPERLINK("#",""), HYPERLINK(CONCATENATE("#metadata!", ADDRESS(INDEX($Y$2:$Y$1001,MATCH(ROWS($W$2:W100),$W$2:$W$1001,0),0), INDEX($AD$1004:$AU$1004,1,MATCH(COLUMNS($AD$1006:AH1006),$AD$1006:$AU$1006,0)))),"Fix")))</f>
        <v xml:space="preserve"> </v>
      </c>
      <c r="G100" s="4" t="str">
        <f ca="1">IF(OR(INDEX($X$2:$X$1001,MATCH(ROWS($W$2:W100),$W$2:$W$1001,0),1)&gt;=100000,INDEX($AD$1005:$AU$1005,1,MATCH(COLUMNS($AD$1006:AI1006),$AD$1006:$AU$1006,0))&gt;=100000), " ",IF(INDEX($AD$2:$AU$1001,MATCH(ROWS($W$2:W100),$W$2:$W$1001,0),MATCH(COLUMNS($AD$1006:AI1006),$AD$1006:$AU$1006,0)), HYPERLINK("#",""), HYPERLINK(CONCATENATE("#metadata!", ADDRESS(INDEX($Y$2:$Y$1001,MATCH(ROWS($W$2:W100),$W$2:$W$1001,0),0), INDEX($AD$1004:$AU$1004,1,MATCH(COLUMNS($AD$1006:AI1006),$AD$1006:$AU$1006,0)))),"Fix")))</f>
        <v xml:space="preserve"> </v>
      </c>
      <c r="H100" s="4" t="str">
        <f ca="1">IF(OR(INDEX($X$2:$X$1001,MATCH(ROWS($W$2:W100),$W$2:$W$1001,0),1)&gt;=100000,INDEX($AD$1005:$AU$1005,1,MATCH(COLUMNS($AD$1006:AJ1006),$AD$1006:$AU$1006,0))&gt;=100000), " ",IF(INDEX($AD$2:$AU$1001,MATCH(ROWS($W$2:W100),$W$2:$W$1001,0),MATCH(COLUMNS($AD$1006:AJ1006),$AD$1006:$AU$1006,0)), HYPERLINK("#",""), HYPERLINK(CONCATENATE("#metadata!", ADDRESS(INDEX($Y$2:$Y$1001,MATCH(ROWS($W$2:W100),$W$2:$W$1001,0),0), INDEX($AD$1004:$AU$1004,1,MATCH(COLUMNS($AD$1006:AJ1006),$AD$1006:$AU$1006,0)))),"Fix")))</f>
        <v xml:space="preserve"> </v>
      </c>
      <c r="I100" s="4" t="str">
        <f ca="1">IF(OR(INDEX($X$2:$X$1001,MATCH(ROWS($W$2:W100),$W$2:$W$1001,0),1)&gt;=100000,INDEX($AD$1005:$AU$1005,1,MATCH(COLUMNS($AD$1006:AK1006),$AD$1006:$AU$1006,0))&gt;=100000), " ",IF(INDEX($AD$2:$AU$1001,MATCH(ROWS($W$2:W100),$W$2:$W$1001,0),MATCH(COLUMNS($AD$1006:AK1006),$AD$1006:$AU$1006,0)), HYPERLINK("#",""), HYPERLINK(CONCATENATE("#metadata!", ADDRESS(INDEX($Y$2:$Y$1001,MATCH(ROWS($W$2:W100),$W$2:$W$1001,0),0), INDEX($AD$1004:$AU$1004,1,MATCH(COLUMNS($AD$1006:AK1006),$AD$1006:$AU$1006,0)))),"Fix")))</f>
        <v xml:space="preserve"> </v>
      </c>
      <c r="J100" s="4" t="str">
        <f ca="1">IF(OR(INDEX($X$2:$X$1001,MATCH(ROWS($W$2:W100),$W$2:$W$1001,0),1)&gt;=100000,INDEX($AD$1005:$AU$1005,1,MATCH(COLUMNS($AD$1006:AL1006),$AD$1006:$AU$1006,0))&gt;=100000), " ",IF(INDEX($AD$2:$AU$1001,MATCH(ROWS($W$2:W100),$W$2:$W$1001,0),MATCH(COLUMNS($AD$1006:AL1006),$AD$1006:$AU$1006,0)), HYPERLINK("#",""), HYPERLINK(CONCATENATE("#metadata!", ADDRESS(INDEX($Y$2:$Y$1001,MATCH(ROWS($W$2:W100),$W$2:$W$1001,0),0), INDEX($AD$1004:$AU$1004,1,MATCH(COLUMNS($AD$1006:AL1006),$AD$1006:$AU$1006,0)))),"Fix")))</f>
        <v xml:space="preserve"> </v>
      </c>
      <c r="K100" s="4" t="str">
        <f ca="1">IF(OR(INDEX($X$2:$X$1001,MATCH(ROWS($W$2:W100),$W$2:$W$1001,0),1)&gt;=100000,INDEX($AD$1005:$AU$1005,1,MATCH(COLUMNS($AD$1006:AM1006),$AD$1006:$AU$1006,0))&gt;=100000), " ",IF(INDEX($AD$2:$AU$1001,MATCH(ROWS($W$2:W100),$W$2:$W$1001,0),MATCH(COLUMNS($AD$1006:AM1006),$AD$1006:$AU$1006,0)), HYPERLINK("#",""), HYPERLINK(CONCATENATE("#metadata!", ADDRESS(INDEX($Y$2:$Y$1001,MATCH(ROWS($W$2:W100),$W$2:$W$1001,0),0), INDEX($AD$1004:$AU$1004,1,MATCH(COLUMNS($AD$1006:AM1006),$AD$1006:$AU$1006,0)))),"Fix")))</f>
        <v xml:space="preserve"> </v>
      </c>
      <c r="L100" s="4" t="str">
        <f ca="1">IF(OR(INDEX($X$2:$X$1001,MATCH(ROWS($W$2:W100),$W$2:$W$1001,0),1)&gt;=100000,INDEX($AD$1005:$AU$1005,1,MATCH(COLUMNS($AD$1006:AN1006),$AD$1006:$AU$1006,0))&gt;=100000), " ",IF(INDEX($AD$2:$AU$1001,MATCH(ROWS($W$2:W100),$W$2:$W$1001,0),MATCH(COLUMNS($AD$1006:AN1006),$AD$1006:$AU$1006,0)), HYPERLINK("#",""), HYPERLINK(CONCATENATE("#metadata!", ADDRESS(INDEX($Y$2:$Y$1001,MATCH(ROWS($W$2:W100),$W$2:$W$1001,0),0), INDEX($AD$1004:$AU$1004,1,MATCH(COLUMNS($AD$1006:AN1006),$AD$1006:$AU$1006,0)))),"Fix")))</f>
        <v xml:space="preserve"> </v>
      </c>
      <c r="M100" s="4" t="str">
        <f ca="1">IF(OR(INDEX($X$2:$X$1001,MATCH(ROWS($W$2:W100),$W$2:$W$1001,0),1)&gt;=100000,INDEX($AD$1005:$AU$1005,1,MATCH(COLUMNS($AD$1006:AO1006),$AD$1006:$AU$1006,0))&gt;=100000), " ",IF(INDEX($AD$2:$AU$1001,MATCH(ROWS($W$2:W100),$W$2:$W$1001,0),MATCH(COLUMNS($AD$1006:AO1006),$AD$1006:$AU$1006,0)), HYPERLINK("#",""), HYPERLINK(CONCATENATE("#metadata!", ADDRESS(INDEX($Y$2:$Y$1001,MATCH(ROWS($W$2:W100),$W$2:$W$1001,0),0), INDEX($AD$1004:$AU$1004,1,MATCH(COLUMNS($AD$1006:AO1006),$AD$1006:$AU$1006,0)))),"Fix")))</f>
        <v xml:space="preserve"> </v>
      </c>
      <c r="N100" s="4" t="str">
        <f ca="1">IF(OR(INDEX($X$2:$X$1001,MATCH(ROWS($W$2:W100),$W$2:$W$1001,0),1)&gt;=100000,INDEX($AD$1005:$AU$1005,1,MATCH(COLUMNS($AD$1006:AP1006),$AD$1006:$AU$1006,0))&gt;=100000), " ",IF(INDEX($AD$2:$AU$1001,MATCH(ROWS($W$2:W100),$W$2:$W$1001,0),MATCH(COLUMNS($AD$1006:AP1006),$AD$1006:$AU$1006,0)), HYPERLINK("#",""), HYPERLINK(CONCATENATE("#metadata!", ADDRESS(INDEX($Y$2:$Y$1001,MATCH(ROWS($W$2:W100),$W$2:$W$1001,0),0), INDEX($AD$1004:$AU$1004,1,MATCH(COLUMNS($AD$1006:AP1006),$AD$1006:$AU$1006,0)))),"Fix")))</f>
        <v xml:space="preserve"> </v>
      </c>
      <c r="O100" s="4" t="str">
        <f ca="1">IF(OR(INDEX($X$2:$X$1001,MATCH(ROWS($W$2:W100),$W$2:$W$1001,0),1)&gt;=100000,INDEX($AD$1005:$AU$1005,1,MATCH(COLUMNS($AD$1006:AQ1006),$AD$1006:$AU$1006,0))&gt;=100000), " ",IF(INDEX($AD$2:$AU$1001,MATCH(ROWS($W$2:W100),$W$2:$W$1001,0),MATCH(COLUMNS($AD$1006:AQ1006),$AD$1006:$AU$1006,0)), HYPERLINK("#",""), HYPERLINK(CONCATENATE("#metadata!", ADDRESS(INDEX($Y$2:$Y$1001,MATCH(ROWS($W$2:W100),$W$2:$W$1001,0),0), INDEX($AD$1004:$AU$1004,1,MATCH(COLUMNS($AD$1006:AQ1006),$AD$1006:$AU$1006,0)))),"Fix")))</f>
        <v xml:space="preserve"> </v>
      </c>
      <c r="P100" s="4" t="str">
        <f ca="1">IF(OR(INDEX($X$2:$X$1001,MATCH(ROWS($W$2:W100),$W$2:$W$1001,0),1)&gt;=100000,INDEX($AD$1005:$AU$1005,1,MATCH(COLUMNS($AD$1006:AR1006),$AD$1006:$AU$1006,0))&gt;=100000), " ",IF(INDEX($AD$2:$AU$1001,MATCH(ROWS($W$2:W100),$W$2:$W$1001,0),MATCH(COLUMNS($AD$1006:AR1006),$AD$1006:$AU$1006,0)), HYPERLINK("#",""), HYPERLINK(CONCATENATE("#metadata!", ADDRESS(INDEX($Y$2:$Y$1001,MATCH(ROWS($W$2:W100),$W$2:$W$1001,0),0), INDEX($AD$1004:$AU$1004,1,MATCH(COLUMNS($AD$1006:AR1006),$AD$1006:$AU$1006,0)))),"Fix")))</f>
        <v xml:space="preserve"> </v>
      </c>
      <c r="Q100" s="4" t="str">
        <f ca="1">IF(OR(INDEX($X$2:$X$1001,MATCH(ROWS($W$2:W100),$W$2:$W$1001,0),1)&gt;=100000,INDEX($AD$1005:$AU$1005,1,MATCH(COLUMNS($AD$1006:AS1006),$AD$1006:$AU$1006,0))&gt;=100000), " ",IF(INDEX($AD$2:$AU$1001,MATCH(ROWS($W$2:W100),$W$2:$W$1001,0),MATCH(COLUMNS($AD$1006:AS1006),$AD$1006:$AU$1006,0)), HYPERLINK("#",""), HYPERLINK(CONCATENATE("#metadata!", ADDRESS(INDEX($Y$2:$Y$1001,MATCH(ROWS($W$2:W100),$W$2:$W$1001,0),0), INDEX($AD$1004:$AU$1004,1,MATCH(COLUMNS($AD$1006:AS1006),$AD$1006:$AU$1006,0)))),"Fix")))</f>
        <v xml:space="preserve"> </v>
      </c>
      <c r="R100" s="4" t="str">
        <f ca="1">IF(OR(INDEX($X$2:$X$1001,MATCH(ROWS($W$2:W100),$W$2:$W$1001,0),1)&gt;=100000,INDEX($AD$1005:$AU$1005,1,MATCH(COLUMNS($AD$1006:AT1006),$AD$1006:$AU$1006,0))&gt;=100000), " ",IF(INDEX($AD$2:$AU$1001,MATCH(ROWS($W$2:W100),$W$2:$W$1001,0),MATCH(COLUMNS($AD$1006:AT1006),$AD$1006:$AU$1006,0)), HYPERLINK("#",""), HYPERLINK(CONCATENATE("#metadata!", ADDRESS(INDEX($Y$2:$Y$1001,MATCH(ROWS($W$2:W100),$W$2:$W$1001,0),0), INDEX($AD$1004:$AU$1004,1,MATCH(COLUMNS($AD$1006:AT1006),$AD$1006:$AU$1006,0)))),"Fix")))</f>
        <v xml:space="preserve"> </v>
      </c>
      <c r="S100" s="4" t="str">
        <f ca="1">IF(OR(INDEX($X$2:$X$1001,MATCH(ROWS($W$2:W100),$W$2:$W$1001,0),1)&gt;=100000,INDEX($AD$1005:$AU$1005,1,MATCH(COLUMNS($AD$1006:AU1006),$AD$1006:$AU$1006,0))&gt;=100000), " ",IF(INDEX($AD$2:$AU$1001,MATCH(ROWS($W$2:W100),$W$2:$W$1001,0),MATCH(COLUMNS($AD$1006:AU1006),$AD$1006:$AU$1006,0)), HYPERLINK("#",""), HYPERLINK(CONCATENATE("#metadata!", ADDRESS(INDEX($Y$2:$Y$1001,MATCH(ROWS($W$2:W100),$W$2:$W$1001,0),0), INDEX($AD$1004:$AU$1004,1,MATCH(COLUMNS($AD$1006:AU1006),$AD$1006:$AU$1006,0)))),"Fix")))</f>
        <v xml:space="preserve"> </v>
      </c>
      <c r="W100">
        <v>99</v>
      </c>
      <c r="X100">
        <v>100100</v>
      </c>
      <c r="Y100">
        <v>100</v>
      </c>
      <c r="Z100" t="b">
        <f t="shared" si="1"/>
        <v>1</v>
      </c>
      <c r="AA100" t="b">
        <f>COUNTBLANK(metadata!B100:S100)=COLUMNS(metadata!B100:S100)</f>
        <v>1</v>
      </c>
      <c r="AB100" t="str">
        <v/>
      </c>
      <c r="AD100" t="b">
        <f ca="1">AND(IF(metadata!B100="",FALSE,TRUE),COUNTIF(metadata!B:B, metadata!B100) = 1,NOT(ISERROR(SUMPRODUCT(SEARCH(MID(metadata!B100,ROW(INDIRECT("1:"&amp;LEN(metadata!B100))), 1),"0123456789abcdefghijklmnopqrstuvwxyzABCDEFGHIJKLMNOPQRSTUVWXYZ.")))))</f>
        <v>0</v>
      </c>
      <c r="AE100" t="b">
        <f>OR(AND(IF(metadata!C100="",FALSE,TRUE),OR(EXACT(metadata!C100,"not applicable"),EXACT(metadata!C100,"missing: not collected"),EXACT(metadata!C100,"missing: not provided"),EXACT(metadata!C100,"missing: restricted access"))),AND(IF(metadata!C100="",FALSE,ISNUMBER(VALUE(metadata!C100))),metadata!C100&gt;0))</f>
        <v>0</v>
      </c>
      <c r="AF100" t="b">
        <f>AND(IF(metadata!D100="",FALSE,TRUE),EXACT(metadata!D100,"missing: not provided"))</f>
        <v>0</v>
      </c>
      <c r="AG100" t="b">
        <f>AND(IF(metadata!E100="",FALSE,TRUE),EXACT(metadata!E100,"Host-associated"))</f>
        <v>0</v>
      </c>
      <c r="AH100" t="b">
        <f>AND(IF(metadata!F100="",FALSE,TRUE),OR(EXACT(metadata!F100,"Animal"),EXACT(metadata!F100,"Fungus"),EXACT(metadata!F100,"Plant")))</f>
        <v>0</v>
      </c>
      <c r="AI100" t="b">
        <f>AND(IF(metadata!G100="",FALSE,TRUE),OR(EXACT(metadata!G100,"Plant secretion"),EXACT(metadata!G100,"Plant rhizosphere"),EXACT(metadata!G100,"Plant surface"),EXACT(metadata!G100,"Plant corpus"),EXACT(metadata!G100,"Fungus surface"),EXACT(metadata!G100,"Fungus corpus"),EXACT(metadata!G100,"Animal surface"),EXACT(metadata!G100,"Animal proximal gut"),EXACT(metadata!G100,"Animal corpus"),EXACT(metadata!G100,"Animal distal gut"),EXACT(metadata!G100,"Animal secretion")))</f>
        <v>0</v>
      </c>
      <c r="AJ100" t="b">
        <f>OR(AND(IF(metadata!H100="",FALSE,TRUE),OR(EXACT(metadata!H100,"missing: not collected"),EXACT(metadata!H100,"missing: not provided"),EXACT(metadata!H100,"missing: restricted access"))),AND(IF(metadata!H100="",FALSE,TRUE),OR(EXACT(metadata!H100,"organism-associated habitat"),EXACT(metadata!H100,"plant-associated habitat"),EXACT(metadata!H100,"animal-associated habitat"),EXACT(metadata!H100,"insecta-associated habitat"),EXACT(metadata!H100,"mammalia-associated habitat"),EXACT(metadata!H100,"human-associated habitat"),EXACT(metadata!H100,"livestock-associated habitat"))))</f>
        <v>0</v>
      </c>
      <c r="AK100" t="b">
        <f>AND(IF(metadata!I100="",FALSE,TRUE),EXACT(metadata!I100,"host-associated"))</f>
        <v>0</v>
      </c>
      <c r="AL100" t="b">
        <f>OR(AND(IF(metadata!J100="",FALSE,TRUE),OR(EXACT(metadata!J100,"not applicable"),EXACT(metadata!J100,"missing: not collected"),EXACT(metadata!J100,"missing: not provided"),EXACT(metadata!J100,"missing: restricted access"))),AND(IF(metadata!J100="",FALSE,ISNUMBER(VALUE(metadata!J100))),metadata!J100&gt;0))</f>
        <v>0</v>
      </c>
      <c r="AM100" t="b">
        <f>AND(IF(metadata!K100="",FALSE,TRUE),EXACT(metadata!K100,"missing: not provided"))</f>
        <v>0</v>
      </c>
      <c r="AN100" t="b">
        <f>IF(metadata!L100="",FALSE,TRUE)</f>
        <v>0</v>
      </c>
      <c r="AO100" t="b">
        <f>IF(metadata!M100="",FALSE,TRUE)</f>
        <v>0</v>
      </c>
      <c r="AP100" t="b">
        <f>OR(AND(IF(metadata!N100="",FALSE,TRUE),OR(EXACT(metadata!N100,"not applicable"),EXACT(metadata!N100,"missing: not collected"),EXACT(metadata!N100,"missing: not provided"))),AND(IF(metadata!N100="",FALSE,IF(ISERROR(INT(metadata!N100)),FALSE,INT(metadata!N100)=metadata!N100)),metadata!N100&gt;0))</f>
        <v>0</v>
      </c>
      <c r="AQ100" t="b">
        <f>AND(IF(metadata!O100="",FALSE,TRUE),EXACT(metadata!O100,"Not applicable"))</f>
        <v>0</v>
      </c>
      <c r="AR100" t="b">
        <f>OR(AND(IF(metadata!P100="",FALSE,TRUE),OR(EXACT(metadata!P100,"not applicable"),EXACT(metadata!P100,"missing: not collected"),EXACT(metadata!P100,"missing: not provided"),EXACT(metadata!P100,"missing: restricted access"))),IF(metadata!P100="",FALSE,IF(ISERROR(INT(metadata!P100)),FALSE,INT(metadata!P100)=metadata!P100)))</f>
        <v>0</v>
      </c>
      <c r="AS100" t="b">
        <f>AND(IF(metadata!Q100="",FALSE,TRUE),EXACT(metadata!Q100,"Not applicable"))</f>
        <v>0</v>
      </c>
      <c r="AT100" t="b">
        <f>OR(AND(IF(metadata!R100="",FALSE,TRUE),OR(EXACT(metadata!R100,"not applicable"),EXACT(metadata!R100,"missing: not collected"),EXACT(metadata!R100,"missing: not provided"),EXACT(metadata!R100,"missing: restricted access"))),AND(IF(metadata!R100="",FALSE,ISNUMBER(VALUE(metadata!R100))),metadata!R100&gt;0))</f>
        <v>0</v>
      </c>
      <c r="AU100" t="b">
        <f>AND(IF(metadata!S100="",FALSE,TRUE),EXACT(metadata!S100,"missing: not provided"))</f>
        <v>0</v>
      </c>
    </row>
    <row r="101" spans="1:47" x14ac:dyDescent="0.2">
      <c r="A101" s="5" t="str">
        <f ca="1">IF(B101=" "," ",HYPERLINK(CONCATENATE("#metadata!",ADDRESS(INDEX($Y$2:$Y$1001,MATCH(ROWS($W$2:W101),$W$2:$W$1001,0),0),1)),INDEX($AB$2:$AB$1001,MATCH(ROWS($W$2:W101),$W$2:$W$1001,0),0)))</f>
        <v xml:space="preserve"> </v>
      </c>
      <c r="B101" s="4" t="str">
        <f ca="1">IF(OR(INDEX($X$2:$X$1001,MATCH(ROWS($W$2:W101),$W$2:$W$1001,0),1)&gt;=100000,INDEX($AD$1005:$AU$1005,1,MATCH(COLUMNS($AD$1006:AD1006),$AD$1006:$AU$1006,0))&gt;=100000), " ",IF(INDEX($AD$2:$AU$1001,MATCH(ROWS($W$2:W101),$W$2:$W$1001,0),MATCH(COLUMNS($AD$1006:AD1006),$AD$1006:$AU$1006,0)), HYPERLINK("#",""), HYPERLINK(CONCATENATE("#metadata!", ADDRESS(INDEX($Y$2:$Y$1001,MATCH(ROWS($W$2:W101),$W$2:$W$1001,0),0), INDEX($AD$1004:$AU$1004,1,MATCH(COLUMNS($AD$1006:AD1006),$AD$1006:$AU$1006,0)))),"Fix")))</f>
        <v xml:space="preserve"> </v>
      </c>
      <c r="C101" s="4" t="str">
        <f ca="1">IF(OR(INDEX($X$2:$X$1001,MATCH(ROWS($W$2:W101),$W$2:$W$1001,0),1)&gt;=100000,INDEX($AD$1005:$AU$1005,1,MATCH(COLUMNS($AD$1006:AE1006),$AD$1006:$AU$1006,0))&gt;=100000), " ",IF(INDEX($AD$2:$AU$1001,MATCH(ROWS($W$2:W101),$W$2:$W$1001,0),MATCH(COLUMNS($AD$1006:AE1006),$AD$1006:$AU$1006,0)), HYPERLINK("#",""), HYPERLINK(CONCATENATE("#metadata!", ADDRESS(INDEX($Y$2:$Y$1001,MATCH(ROWS($W$2:W101),$W$2:$W$1001,0),0), INDEX($AD$1004:$AU$1004,1,MATCH(COLUMNS($AD$1006:AE1006),$AD$1006:$AU$1006,0)))),"Fix")))</f>
        <v xml:space="preserve"> </v>
      </c>
      <c r="D101" s="4" t="str">
        <f ca="1">IF(OR(INDEX($X$2:$X$1001,MATCH(ROWS($W$2:W101),$W$2:$W$1001,0),1)&gt;=100000,INDEX($AD$1005:$AU$1005,1,MATCH(COLUMNS($AD$1006:AF1006),$AD$1006:$AU$1006,0))&gt;=100000), " ",IF(INDEX($AD$2:$AU$1001,MATCH(ROWS($W$2:W101),$W$2:$W$1001,0),MATCH(COLUMNS($AD$1006:AF1006),$AD$1006:$AU$1006,0)), HYPERLINK("#",""), HYPERLINK(CONCATENATE("#metadata!", ADDRESS(INDEX($Y$2:$Y$1001,MATCH(ROWS($W$2:W101),$W$2:$W$1001,0),0), INDEX($AD$1004:$AU$1004,1,MATCH(COLUMNS($AD$1006:AF1006),$AD$1006:$AU$1006,0)))),"Fix")))</f>
        <v xml:space="preserve"> </v>
      </c>
      <c r="E101" s="4" t="str">
        <f ca="1">IF(OR(INDEX($X$2:$X$1001,MATCH(ROWS($W$2:W101),$W$2:$W$1001,0),1)&gt;=100000,INDEX($AD$1005:$AU$1005,1,MATCH(COLUMNS($AD$1006:AG1006),$AD$1006:$AU$1006,0))&gt;=100000), " ",IF(INDEX($AD$2:$AU$1001,MATCH(ROWS($W$2:W101),$W$2:$W$1001,0),MATCH(COLUMNS($AD$1006:AG1006),$AD$1006:$AU$1006,0)), HYPERLINK("#",""), HYPERLINK(CONCATENATE("#metadata!", ADDRESS(INDEX($Y$2:$Y$1001,MATCH(ROWS($W$2:W101),$W$2:$W$1001,0),0), INDEX($AD$1004:$AU$1004,1,MATCH(COLUMNS($AD$1006:AG1006),$AD$1006:$AU$1006,0)))),"Fix")))</f>
        <v xml:space="preserve"> </v>
      </c>
      <c r="F101" s="4" t="str">
        <f ca="1">IF(OR(INDEX($X$2:$X$1001,MATCH(ROWS($W$2:W101),$W$2:$W$1001,0),1)&gt;=100000,INDEX($AD$1005:$AU$1005,1,MATCH(COLUMNS($AD$1006:AH1006),$AD$1006:$AU$1006,0))&gt;=100000), " ",IF(INDEX($AD$2:$AU$1001,MATCH(ROWS($W$2:W101),$W$2:$W$1001,0),MATCH(COLUMNS($AD$1006:AH1006),$AD$1006:$AU$1006,0)), HYPERLINK("#",""), HYPERLINK(CONCATENATE("#metadata!", ADDRESS(INDEX($Y$2:$Y$1001,MATCH(ROWS($W$2:W101),$W$2:$W$1001,0),0), INDEX($AD$1004:$AU$1004,1,MATCH(COLUMNS($AD$1006:AH1006),$AD$1006:$AU$1006,0)))),"Fix")))</f>
        <v xml:space="preserve"> </v>
      </c>
      <c r="G101" s="4" t="str">
        <f ca="1">IF(OR(INDEX($X$2:$X$1001,MATCH(ROWS($W$2:W101),$W$2:$W$1001,0),1)&gt;=100000,INDEX($AD$1005:$AU$1005,1,MATCH(COLUMNS($AD$1006:AI1006),$AD$1006:$AU$1006,0))&gt;=100000), " ",IF(INDEX($AD$2:$AU$1001,MATCH(ROWS($W$2:W101),$W$2:$W$1001,0),MATCH(COLUMNS($AD$1006:AI1006),$AD$1006:$AU$1006,0)), HYPERLINK("#",""), HYPERLINK(CONCATENATE("#metadata!", ADDRESS(INDEX($Y$2:$Y$1001,MATCH(ROWS($W$2:W101),$W$2:$W$1001,0),0), INDEX($AD$1004:$AU$1004,1,MATCH(COLUMNS($AD$1006:AI1006),$AD$1006:$AU$1006,0)))),"Fix")))</f>
        <v xml:space="preserve"> </v>
      </c>
      <c r="H101" s="4" t="str">
        <f ca="1">IF(OR(INDEX($X$2:$X$1001,MATCH(ROWS($W$2:W101),$W$2:$W$1001,0),1)&gt;=100000,INDEX($AD$1005:$AU$1005,1,MATCH(COLUMNS($AD$1006:AJ1006),$AD$1006:$AU$1006,0))&gt;=100000), " ",IF(INDEX($AD$2:$AU$1001,MATCH(ROWS($W$2:W101),$W$2:$W$1001,0),MATCH(COLUMNS($AD$1006:AJ1006),$AD$1006:$AU$1006,0)), HYPERLINK("#",""), HYPERLINK(CONCATENATE("#metadata!", ADDRESS(INDEX($Y$2:$Y$1001,MATCH(ROWS($W$2:W101),$W$2:$W$1001,0),0), INDEX($AD$1004:$AU$1004,1,MATCH(COLUMNS($AD$1006:AJ1006),$AD$1006:$AU$1006,0)))),"Fix")))</f>
        <v xml:space="preserve"> </v>
      </c>
      <c r="I101" s="4" t="str">
        <f ca="1">IF(OR(INDEX($X$2:$X$1001,MATCH(ROWS($W$2:W101),$W$2:$W$1001,0),1)&gt;=100000,INDEX($AD$1005:$AU$1005,1,MATCH(COLUMNS($AD$1006:AK1006),$AD$1006:$AU$1006,0))&gt;=100000), " ",IF(INDEX($AD$2:$AU$1001,MATCH(ROWS($W$2:W101),$W$2:$W$1001,0),MATCH(COLUMNS($AD$1006:AK1006),$AD$1006:$AU$1006,0)), HYPERLINK("#",""), HYPERLINK(CONCATENATE("#metadata!", ADDRESS(INDEX($Y$2:$Y$1001,MATCH(ROWS($W$2:W101),$W$2:$W$1001,0),0), INDEX($AD$1004:$AU$1004,1,MATCH(COLUMNS($AD$1006:AK1006),$AD$1006:$AU$1006,0)))),"Fix")))</f>
        <v xml:space="preserve"> </v>
      </c>
      <c r="J101" s="4" t="str">
        <f ca="1">IF(OR(INDEX($X$2:$X$1001,MATCH(ROWS($W$2:W101),$W$2:$W$1001,0),1)&gt;=100000,INDEX($AD$1005:$AU$1005,1,MATCH(COLUMNS($AD$1006:AL1006),$AD$1006:$AU$1006,0))&gt;=100000), " ",IF(INDEX($AD$2:$AU$1001,MATCH(ROWS($W$2:W101),$W$2:$W$1001,0),MATCH(COLUMNS($AD$1006:AL1006),$AD$1006:$AU$1006,0)), HYPERLINK("#",""), HYPERLINK(CONCATENATE("#metadata!", ADDRESS(INDEX($Y$2:$Y$1001,MATCH(ROWS($W$2:W101),$W$2:$W$1001,0),0), INDEX($AD$1004:$AU$1004,1,MATCH(COLUMNS($AD$1006:AL1006),$AD$1006:$AU$1006,0)))),"Fix")))</f>
        <v xml:space="preserve"> </v>
      </c>
      <c r="K101" s="4" t="str">
        <f ca="1">IF(OR(INDEX($X$2:$X$1001,MATCH(ROWS($W$2:W101),$W$2:$W$1001,0),1)&gt;=100000,INDEX($AD$1005:$AU$1005,1,MATCH(COLUMNS($AD$1006:AM1006),$AD$1006:$AU$1006,0))&gt;=100000), " ",IF(INDEX($AD$2:$AU$1001,MATCH(ROWS($W$2:W101),$W$2:$W$1001,0),MATCH(COLUMNS($AD$1006:AM1006),$AD$1006:$AU$1006,0)), HYPERLINK("#",""), HYPERLINK(CONCATENATE("#metadata!", ADDRESS(INDEX($Y$2:$Y$1001,MATCH(ROWS($W$2:W101),$W$2:$W$1001,0),0), INDEX($AD$1004:$AU$1004,1,MATCH(COLUMNS($AD$1006:AM1006),$AD$1006:$AU$1006,0)))),"Fix")))</f>
        <v xml:space="preserve"> </v>
      </c>
      <c r="L101" s="4" t="str">
        <f ca="1">IF(OR(INDEX($X$2:$X$1001,MATCH(ROWS($W$2:W101),$W$2:$W$1001,0),1)&gt;=100000,INDEX($AD$1005:$AU$1005,1,MATCH(COLUMNS($AD$1006:AN1006),$AD$1006:$AU$1006,0))&gt;=100000), " ",IF(INDEX($AD$2:$AU$1001,MATCH(ROWS($W$2:W101),$W$2:$W$1001,0),MATCH(COLUMNS($AD$1006:AN1006),$AD$1006:$AU$1006,0)), HYPERLINK("#",""), HYPERLINK(CONCATENATE("#metadata!", ADDRESS(INDEX($Y$2:$Y$1001,MATCH(ROWS($W$2:W101),$W$2:$W$1001,0),0), INDEX($AD$1004:$AU$1004,1,MATCH(COLUMNS($AD$1006:AN1006),$AD$1006:$AU$1006,0)))),"Fix")))</f>
        <v xml:space="preserve"> </v>
      </c>
      <c r="M101" s="4" t="str">
        <f ca="1">IF(OR(INDEX($X$2:$X$1001,MATCH(ROWS($W$2:W101),$W$2:$W$1001,0),1)&gt;=100000,INDEX($AD$1005:$AU$1005,1,MATCH(COLUMNS($AD$1006:AO1006),$AD$1006:$AU$1006,0))&gt;=100000), " ",IF(INDEX($AD$2:$AU$1001,MATCH(ROWS($W$2:W101),$W$2:$W$1001,0),MATCH(COLUMNS($AD$1006:AO1006),$AD$1006:$AU$1006,0)), HYPERLINK("#",""), HYPERLINK(CONCATENATE("#metadata!", ADDRESS(INDEX($Y$2:$Y$1001,MATCH(ROWS($W$2:W101),$W$2:$W$1001,0),0), INDEX($AD$1004:$AU$1004,1,MATCH(COLUMNS($AD$1006:AO1006),$AD$1006:$AU$1006,0)))),"Fix")))</f>
        <v xml:space="preserve"> </v>
      </c>
      <c r="N101" s="4" t="str">
        <f ca="1">IF(OR(INDEX($X$2:$X$1001,MATCH(ROWS($W$2:W101),$W$2:$W$1001,0),1)&gt;=100000,INDEX($AD$1005:$AU$1005,1,MATCH(COLUMNS($AD$1006:AP1006),$AD$1006:$AU$1006,0))&gt;=100000), " ",IF(INDEX($AD$2:$AU$1001,MATCH(ROWS($W$2:W101),$W$2:$W$1001,0),MATCH(COLUMNS($AD$1006:AP1006),$AD$1006:$AU$1006,0)), HYPERLINK("#",""), HYPERLINK(CONCATENATE("#metadata!", ADDRESS(INDEX($Y$2:$Y$1001,MATCH(ROWS($W$2:W101),$W$2:$W$1001,0),0), INDEX($AD$1004:$AU$1004,1,MATCH(COLUMNS($AD$1006:AP1006),$AD$1006:$AU$1006,0)))),"Fix")))</f>
        <v xml:space="preserve"> </v>
      </c>
      <c r="O101" s="4" t="str">
        <f ca="1">IF(OR(INDEX($X$2:$X$1001,MATCH(ROWS($W$2:W101),$W$2:$W$1001,0),1)&gt;=100000,INDEX($AD$1005:$AU$1005,1,MATCH(COLUMNS($AD$1006:AQ1006),$AD$1006:$AU$1006,0))&gt;=100000), " ",IF(INDEX($AD$2:$AU$1001,MATCH(ROWS($W$2:W101),$W$2:$W$1001,0),MATCH(COLUMNS($AD$1006:AQ1006),$AD$1006:$AU$1006,0)), HYPERLINK("#",""), HYPERLINK(CONCATENATE("#metadata!", ADDRESS(INDEX($Y$2:$Y$1001,MATCH(ROWS($W$2:W101),$W$2:$W$1001,0),0), INDEX($AD$1004:$AU$1004,1,MATCH(COLUMNS($AD$1006:AQ1006),$AD$1006:$AU$1006,0)))),"Fix")))</f>
        <v xml:space="preserve"> </v>
      </c>
      <c r="P101" s="4" t="str">
        <f ca="1">IF(OR(INDEX($X$2:$X$1001,MATCH(ROWS($W$2:W101),$W$2:$W$1001,0),1)&gt;=100000,INDEX($AD$1005:$AU$1005,1,MATCH(COLUMNS($AD$1006:AR1006),$AD$1006:$AU$1006,0))&gt;=100000), " ",IF(INDEX($AD$2:$AU$1001,MATCH(ROWS($W$2:W101),$W$2:$W$1001,0),MATCH(COLUMNS($AD$1006:AR1006),$AD$1006:$AU$1006,0)), HYPERLINK("#",""), HYPERLINK(CONCATENATE("#metadata!", ADDRESS(INDEX($Y$2:$Y$1001,MATCH(ROWS($W$2:W101),$W$2:$W$1001,0),0), INDEX($AD$1004:$AU$1004,1,MATCH(COLUMNS($AD$1006:AR1006),$AD$1006:$AU$1006,0)))),"Fix")))</f>
        <v xml:space="preserve"> </v>
      </c>
      <c r="Q101" s="4" t="str">
        <f ca="1">IF(OR(INDEX($X$2:$X$1001,MATCH(ROWS($W$2:W101),$W$2:$W$1001,0),1)&gt;=100000,INDEX($AD$1005:$AU$1005,1,MATCH(COLUMNS($AD$1006:AS1006),$AD$1006:$AU$1006,0))&gt;=100000), " ",IF(INDEX($AD$2:$AU$1001,MATCH(ROWS($W$2:W101),$W$2:$W$1001,0),MATCH(COLUMNS($AD$1006:AS1006),$AD$1006:$AU$1006,0)), HYPERLINK("#",""), HYPERLINK(CONCATENATE("#metadata!", ADDRESS(INDEX($Y$2:$Y$1001,MATCH(ROWS($W$2:W101),$W$2:$W$1001,0),0), INDEX($AD$1004:$AU$1004,1,MATCH(COLUMNS($AD$1006:AS1006),$AD$1006:$AU$1006,0)))),"Fix")))</f>
        <v xml:space="preserve"> </v>
      </c>
      <c r="R101" s="4" t="str">
        <f ca="1">IF(OR(INDEX($X$2:$X$1001,MATCH(ROWS($W$2:W101),$W$2:$W$1001,0),1)&gt;=100000,INDEX($AD$1005:$AU$1005,1,MATCH(COLUMNS($AD$1006:AT1006),$AD$1006:$AU$1006,0))&gt;=100000), " ",IF(INDEX($AD$2:$AU$1001,MATCH(ROWS($W$2:W101),$W$2:$W$1001,0),MATCH(COLUMNS($AD$1006:AT1006),$AD$1006:$AU$1006,0)), HYPERLINK("#",""), HYPERLINK(CONCATENATE("#metadata!", ADDRESS(INDEX($Y$2:$Y$1001,MATCH(ROWS($W$2:W101),$W$2:$W$1001,0),0), INDEX($AD$1004:$AU$1004,1,MATCH(COLUMNS($AD$1006:AT1006),$AD$1006:$AU$1006,0)))),"Fix")))</f>
        <v xml:space="preserve"> </v>
      </c>
      <c r="S101" s="4" t="str">
        <f ca="1">IF(OR(INDEX($X$2:$X$1001,MATCH(ROWS($W$2:W101),$W$2:$W$1001,0),1)&gt;=100000,INDEX($AD$1005:$AU$1005,1,MATCH(COLUMNS($AD$1006:AU1006),$AD$1006:$AU$1006,0))&gt;=100000), " ",IF(INDEX($AD$2:$AU$1001,MATCH(ROWS($W$2:W101),$W$2:$W$1001,0),MATCH(COLUMNS($AD$1006:AU1006),$AD$1006:$AU$1006,0)), HYPERLINK("#",""), HYPERLINK(CONCATENATE("#metadata!", ADDRESS(INDEX($Y$2:$Y$1001,MATCH(ROWS($W$2:W101),$W$2:$W$1001,0),0), INDEX($AD$1004:$AU$1004,1,MATCH(COLUMNS($AD$1006:AU1006),$AD$1006:$AU$1006,0)))),"Fix")))</f>
        <v xml:space="preserve"> </v>
      </c>
      <c r="W101">
        <v>100</v>
      </c>
      <c r="X101">
        <v>100101</v>
      </c>
      <c r="Y101">
        <v>101</v>
      </c>
      <c r="Z101" t="b">
        <f t="shared" si="1"/>
        <v>1</v>
      </c>
      <c r="AA101" t="b">
        <f>COUNTBLANK(metadata!B101:S101)=COLUMNS(metadata!B101:S101)</f>
        <v>1</v>
      </c>
      <c r="AB101" t="str">
        <v/>
      </c>
      <c r="AD101" t="b">
        <f ca="1">AND(IF(metadata!B101="",FALSE,TRUE),COUNTIF(metadata!B:B, metadata!B101) = 1,NOT(ISERROR(SUMPRODUCT(SEARCH(MID(metadata!B101,ROW(INDIRECT("1:"&amp;LEN(metadata!B101))), 1),"0123456789abcdefghijklmnopqrstuvwxyzABCDEFGHIJKLMNOPQRSTUVWXYZ.")))))</f>
        <v>0</v>
      </c>
      <c r="AE101" t="b">
        <f>OR(AND(IF(metadata!C101="",FALSE,TRUE),OR(EXACT(metadata!C101,"not applicable"),EXACT(metadata!C101,"missing: not collected"),EXACT(metadata!C101,"missing: not provided"),EXACT(metadata!C101,"missing: restricted access"))),AND(IF(metadata!C101="",FALSE,ISNUMBER(VALUE(metadata!C101))),metadata!C101&gt;0))</f>
        <v>0</v>
      </c>
      <c r="AF101" t="b">
        <f>AND(IF(metadata!D101="",FALSE,TRUE),EXACT(metadata!D101,"missing: not provided"))</f>
        <v>0</v>
      </c>
      <c r="AG101" t="b">
        <f>AND(IF(metadata!E101="",FALSE,TRUE),EXACT(metadata!E101,"Host-associated"))</f>
        <v>0</v>
      </c>
      <c r="AH101" t="b">
        <f>AND(IF(metadata!F101="",FALSE,TRUE),OR(EXACT(metadata!F101,"Animal"),EXACT(metadata!F101,"Fungus"),EXACT(metadata!F101,"Plant")))</f>
        <v>0</v>
      </c>
      <c r="AI101" t="b">
        <f>AND(IF(metadata!G101="",FALSE,TRUE),OR(EXACT(metadata!G101,"Plant secretion"),EXACT(metadata!G101,"Plant rhizosphere"),EXACT(metadata!G101,"Plant surface"),EXACT(metadata!G101,"Plant corpus"),EXACT(metadata!G101,"Fungus surface"),EXACT(metadata!G101,"Fungus corpus"),EXACT(metadata!G101,"Animal surface"),EXACT(metadata!G101,"Animal proximal gut"),EXACT(metadata!G101,"Animal corpus"),EXACT(metadata!G101,"Animal distal gut"),EXACT(metadata!G101,"Animal secretion")))</f>
        <v>0</v>
      </c>
      <c r="AJ101" t="b">
        <f>OR(AND(IF(metadata!H101="",FALSE,TRUE),OR(EXACT(metadata!H101,"missing: not collected"),EXACT(metadata!H101,"missing: not provided"),EXACT(metadata!H101,"missing: restricted access"))),AND(IF(metadata!H101="",FALSE,TRUE),OR(EXACT(metadata!H101,"organism-associated habitat"),EXACT(metadata!H101,"plant-associated habitat"),EXACT(metadata!H101,"animal-associated habitat"),EXACT(metadata!H101,"insecta-associated habitat"),EXACT(metadata!H101,"mammalia-associated habitat"),EXACT(metadata!H101,"human-associated habitat"),EXACT(metadata!H101,"livestock-associated habitat"))))</f>
        <v>0</v>
      </c>
      <c r="AK101" t="b">
        <f>AND(IF(metadata!I101="",FALSE,TRUE),EXACT(metadata!I101,"host-associated"))</f>
        <v>0</v>
      </c>
      <c r="AL101" t="b">
        <f>OR(AND(IF(metadata!J101="",FALSE,TRUE),OR(EXACT(metadata!J101,"not applicable"),EXACT(metadata!J101,"missing: not collected"),EXACT(metadata!J101,"missing: not provided"),EXACT(metadata!J101,"missing: restricted access"))),AND(IF(metadata!J101="",FALSE,ISNUMBER(VALUE(metadata!J101))),metadata!J101&gt;0))</f>
        <v>0</v>
      </c>
      <c r="AM101" t="b">
        <f>AND(IF(metadata!K101="",FALSE,TRUE),EXACT(metadata!K101,"missing: not provided"))</f>
        <v>0</v>
      </c>
      <c r="AN101" t="b">
        <f>IF(metadata!L101="",FALSE,TRUE)</f>
        <v>0</v>
      </c>
      <c r="AO101" t="b">
        <f>IF(metadata!M101="",FALSE,TRUE)</f>
        <v>0</v>
      </c>
      <c r="AP101" t="b">
        <f>OR(AND(IF(metadata!N101="",FALSE,TRUE),OR(EXACT(metadata!N101,"not applicable"),EXACT(metadata!N101,"missing: not collected"),EXACT(metadata!N101,"missing: not provided"))),AND(IF(metadata!N101="",FALSE,IF(ISERROR(INT(metadata!N101)),FALSE,INT(metadata!N101)=metadata!N101)),metadata!N101&gt;0))</f>
        <v>0</v>
      </c>
      <c r="AQ101" t="b">
        <f>AND(IF(metadata!O101="",FALSE,TRUE),EXACT(metadata!O101,"Not applicable"))</f>
        <v>0</v>
      </c>
      <c r="AR101" t="b">
        <f>OR(AND(IF(metadata!P101="",FALSE,TRUE),OR(EXACT(metadata!P101,"not applicable"),EXACT(metadata!P101,"missing: not collected"),EXACT(metadata!P101,"missing: not provided"),EXACT(metadata!P101,"missing: restricted access"))),IF(metadata!P101="",FALSE,IF(ISERROR(INT(metadata!P101)),FALSE,INT(metadata!P101)=metadata!P101)))</f>
        <v>0</v>
      </c>
      <c r="AS101" t="b">
        <f>AND(IF(metadata!Q101="",FALSE,TRUE),EXACT(metadata!Q101,"Not applicable"))</f>
        <v>0</v>
      </c>
      <c r="AT101" t="b">
        <f>OR(AND(IF(metadata!R101="",FALSE,TRUE),OR(EXACT(metadata!R101,"not applicable"),EXACT(metadata!R101,"missing: not collected"),EXACT(metadata!R101,"missing: not provided"),EXACT(metadata!R101,"missing: restricted access"))),AND(IF(metadata!R101="",FALSE,ISNUMBER(VALUE(metadata!R101))),metadata!R101&gt;0))</f>
        <v>0</v>
      </c>
      <c r="AU101" t="b">
        <f>AND(IF(metadata!S101="",FALSE,TRUE),EXACT(metadata!S101,"missing: not provided"))</f>
        <v>0</v>
      </c>
    </row>
    <row r="102" spans="1:47" x14ac:dyDescent="0.2">
      <c r="A102" s="5" t="str">
        <f ca="1">IF(B102=" "," ",HYPERLINK(CONCATENATE("#metadata!",ADDRESS(INDEX($Y$2:$Y$1001,MATCH(ROWS($W$2:W102),$W$2:$W$1001,0),0),1)),INDEX($AB$2:$AB$1001,MATCH(ROWS($W$2:W102),$W$2:$W$1001,0),0)))</f>
        <v xml:space="preserve"> </v>
      </c>
      <c r="B102" s="4" t="str">
        <f ca="1">IF(OR(INDEX($X$2:$X$1001,MATCH(ROWS($W$2:W102),$W$2:$W$1001,0),1)&gt;=100000,INDEX($AD$1005:$AU$1005,1,MATCH(COLUMNS($AD$1006:AD1006),$AD$1006:$AU$1006,0))&gt;=100000), " ",IF(INDEX($AD$2:$AU$1001,MATCH(ROWS($W$2:W102),$W$2:$W$1001,0),MATCH(COLUMNS($AD$1006:AD1006),$AD$1006:$AU$1006,0)), HYPERLINK("#",""), HYPERLINK(CONCATENATE("#metadata!", ADDRESS(INDEX($Y$2:$Y$1001,MATCH(ROWS($W$2:W102),$W$2:$W$1001,0),0), INDEX($AD$1004:$AU$1004,1,MATCH(COLUMNS($AD$1006:AD1006),$AD$1006:$AU$1006,0)))),"Fix")))</f>
        <v xml:space="preserve"> </v>
      </c>
      <c r="C102" s="4" t="str">
        <f ca="1">IF(OR(INDEX($X$2:$X$1001,MATCH(ROWS($W$2:W102),$W$2:$W$1001,0),1)&gt;=100000,INDEX($AD$1005:$AU$1005,1,MATCH(COLUMNS($AD$1006:AE1006),$AD$1006:$AU$1006,0))&gt;=100000), " ",IF(INDEX($AD$2:$AU$1001,MATCH(ROWS($W$2:W102),$W$2:$W$1001,0),MATCH(COLUMNS($AD$1006:AE1006),$AD$1006:$AU$1006,0)), HYPERLINK("#",""), HYPERLINK(CONCATENATE("#metadata!", ADDRESS(INDEX($Y$2:$Y$1001,MATCH(ROWS($W$2:W102),$W$2:$W$1001,0),0), INDEX($AD$1004:$AU$1004,1,MATCH(COLUMNS($AD$1006:AE1006),$AD$1006:$AU$1006,0)))),"Fix")))</f>
        <v xml:space="preserve"> </v>
      </c>
      <c r="D102" s="4" t="str">
        <f ca="1">IF(OR(INDEX($X$2:$X$1001,MATCH(ROWS($W$2:W102),$W$2:$W$1001,0),1)&gt;=100000,INDEX($AD$1005:$AU$1005,1,MATCH(COLUMNS($AD$1006:AF1006),$AD$1006:$AU$1006,0))&gt;=100000), " ",IF(INDEX($AD$2:$AU$1001,MATCH(ROWS($W$2:W102),$W$2:$W$1001,0),MATCH(COLUMNS($AD$1006:AF1006),$AD$1006:$AU$1006,0)), HYPERLINK("#",""), HYPERLINK(CONCATENATE("#metadata!", ADDRESS(INDEX($Y$2:$Y$1001,MATCH(ROWS($W$2:W102),$W$2:$W$1001,0),0), INDEX($AD$1004:$AU$1004,1,MATCH(COLUMNS($AD$1006:AF1006),$AD$1006:$AU$1006,0)))),"Fix")))</f>
        <v xml:space="preserve"> </v>
      </c>
      <c r="E102" s="4" t="str">
        <f ca="1">IF(OR(INDEX($X$2:$X$1001,MATCH(ROWS($W$2:W102),$W$2:$W$1001,0),1)&gt;=100000,INDEX($AD$1005:$AU$1005,1,MATCH(COLUMNS($AD$1006:AG1006),$AD$1006:$AU$1006,0))&gt;=100000), " ",IF(INDEX($AD$2:$AU$1001,MATCH(ROWS($W$2:W102),$W$2:$W$1001,0),MATCH(COLUMNS($AD$1006:AG1006),$AD$1006:$AU$1006,0)), HYPERLINK("#",""), HYPERLINK(CONCATENATE("#metadata!", ADDRESS(INDEX($Y$2:$Y$1001,MATCH(ROWS($W$2:W102),$W$2:$W$1001,0),0), INDEX($AD$1004:$AU$1004,1,MATCH(COLUMNS($AD$1006:AG1006),$AD$1006:$AU$1006,0)))),"Fix")))</f>
        <v xml:space="preserve"> </v>
      </c>
      <c r="F102" s="4" t="str">
        <f ca="1">IF(OR(INDEX($X$2:$X$1001,MATCH(ROWS($W$2:W102),$W$2:$W$1001,0),1)&gt;=100000,INDEX($AD$1005:$AU$1005,1,MATCH(COLUMNS($AD$1006:AH1006),$AD$1006:$AU$1006,0))&gt;=100000), " ",IF(INDEX($AD$2:$AU$1001,MATCH(ROWS($W$2:W102),$W$2:$W$1001,0),MATCH(COLUMNS($AD$1006:AH1006),$AD$1006:$AU$1006,0)), HYPERLINK("#",""), HYPERLINK(CONCATENATE("#metadata!", ADDRESS(INDEX($Y$2:$Y$1001,MATCH(ROWS($W$2:W102),$W$2:$W$1001,0),0), INDEX($AD$1004:$AU$1004,1,MATCH(COLUMNS($AD$1006:AH1006),$AD$1006:$AU$1006,0)))),"Fix")))</f>
        <v xml:space="preserve"> </v>
      </c>
      <c r="G102" s="4" t="str">
        <f ca="1">IF(OR(INDEX($X$2:$X$1001,MATCH(ROWS($W$2:W102),$W$2:$W$1001,0),1)&gt;=100000,INDEX($AD$1005:$AU$1005,1,MATCH(COLUMNS($AD$1006:AI1006),$AD$1006:$AU$1006,0))&gt;=100000), " ",IF(INDEX($AD$2:$AU$1001,MATCH(ROWS($W$2:W102),$W$2:$W$1001,0),MATCH(COLUMNS($AD$1006:AI1006),$AD$1006:$AU$1006,0)), HYPERLINK("#",""), HYPERLINK(CONCATENATE("#metadata!", ADDRESS(INDEX($Y$2:$Y$1001,MATCH(ROWS($W$2:W102),$W$2:$W$1001,0),0), INDEX($AD$1004:$AU$1004,1,MATCH(COLUMNS($AD$1006:AI1006),$AD$1006:$AU$1006,0)))),"Fix")))</f>
        <v xml:space="preserve"> </v>
      </c>
      <c r="H102" s="4" t="str">
        <f ca="1">IF(OR(INDEX($X$2:$X$1001,MATCH(ROWS($W$2:W102),$W$2:$W$1001,0),1)&gt;=100000,INDEX($AD$1005:$AU$1005,1,MATCH(COLUMNS($AD$1006:AJ1006),$AD$1006:$AU$1006,0))&gt;=100000), " ",IF(INDEX($AD$2:$AU$1001,MATCH(ROWS($W$2:W102),$W$2:$W$1001,0),MATCH(COLUMNS($AD$1006:AJ1006),$AD$1006:$AU$1006,0)), HYPERLINK("#",""), HYPERLINK(CONCATENATE("#metadata!", ADDRESS(INDEX($Y$2:$Y$1001,MATCH(ROWS($W$2:W102),$W$2:$W$1001,0),0), INDEX($AD$1004:$AU$1004,1,MATCH(COLUMNS($AD$1006:AJ1006),$AD$1006:$AU$1006,0)))),"Fix")))</f>
        <v xml:space="preserve"> </v>
      </c>
      <c r="I102" s="4" t="str">
        <f ca="1">IF(OR(INDEX($X$2:$X$1001,MATCH(ROWS($W$2:W102),$W$2:$W$1001,0),1)&gt;=100000,INDEX($AD$1005:$AU$1005,1,MATCH(COLUMNS($AD$1006:AK1006),$AD$1006:$AU$1006,0))&gt;=100000), " ",IF(INDEX($AD$2:$AU$1001,MATCH(ROWS($W$2:W102),$W$2:$W$1001,0),MATCH(COLUMNS($AD$1006:AK1006),$AD$1006:$AU$1006,0)), HYPERLINK("#",""), HYPERLINK(CONCATENATE("#metadata!", ADDRESS(INDEX($Y$2:$Y$1001,MATCH(ROWS($W$2:W102),$W$2:$W$1001,0),0), INDEX($AD$1004:$AU$1004,1,MATCH(COLUMNS($AD$1006:AK1006),$AD$1006:$AU$1006,0)))),"Fix")))</f>
        <v xml:space="preserve"> </v>
      </c>
      <c r="J102" s="4" t="str">
        <f ca="1">IF(OR(INDEX($X$2:$X$1001,MATCH(ROWS($W$2:W102),$W$2:$W$1001,0),1)&gt;=100000,INDEX($AD$1005:$AU$1005,1,MATCH(COLUMNS($AD$1006:AL1006),$AD$1006:$AU$1006,0))&gt;=100000), " ",IF(INDEX($AD$2:$AU$1001,MATCH(ROWS($W$2:W102),$W$2:$W$1001,0),MATCH(COLUMNS($AD$1006:AL1006),$AD$1006:$AU$1006,0)), HYPERLINK("#",""), HYPERLINK(CONCATENATE("#metadata!", ADDRESS(INDEX($Y$2:$Y$1001,MATCH(ROWS($W$2:W102),$W$2:$W$1001,0),0), INDEX($AD$1004:$AU$1004,1,MATCH(COLUMNS($AD$1006:AL1006),$AD$1006:$AU$1006,0)))),"Fix")))</f>
        <v xml:space="preserve"> </v>
      </c>
      <c r="K102" s="4" t="str">
        <f ca="1">IF(OR(INDEX($X$2:$X$1001,MATCH(ROWS($W$2:W102),$W$2:$W$1001,0),1)&gt;=100000,INDEX($AD$1005:$AU$1005,1,MATCH(COLUMNS($AD$1006:AM1006),$AD$1006:$AU$1006,0))&gt;=100000), " ",IF(INDEX($AD$2:$AU$1001,MATCH(ROWS($W$2:W102),$W$2:$W$1001,0),MATCH(COLUMNS($AD$1006:AM1006),$AD$1006:$AU$1006,0)), HYPERLINK("#",""), HYPERLINK(CONCATENATE("#metadata!", ADDRESS(INDEX($Y$2:$Y$1001,MATCH(ROWS($W$2:W102),$W$2:$W$1001,0),0), INDEX($AD$1004:$AU$1004,1,MATCH(COLUMNS($AD$1006:AM1006),$AD$1006:$AU$1006,0)))),"Fix")))</f>
        <v xml:space="preserve"> </v>
      </c>
      <c r="L102" s="4" t="str">
        <f ca="1">IF(OR(INDEX($X$2:$X$1001,MATCH(ROWS($W$2:W102),$W$2:$W$1001,0),1)&gt;=100000,INDEX($AD$1005:$AU$1005,1,MATCH(COLUMNS($AD$1006:AN1006),$AD$1006:$AU$1006,0))&gt;=100000), " ",IF(INDEX($AD$2:$AU$1001,MATCH(ROWS($W$2:W102),$W$2:$W$1001,0),MATCH(COLUMNS($AD$1006:AN1006),$AD$1006:$AU$1006,0)), HYPERLINK("#",""), HYPERLINK(CONCATENATE("#metadata!", ADDRESS(INDEX($Y$2:$Y$1001,MATCH(ROWS($W$2:W102),$W$2:$W$1001,0),0), INDEX($AD$1004:$AU$1004,1,MATCH(COLUMNS($AD$1006:AN1006),$AD$1006:$AU$1006,0)))),"Fix")))</f>
        <v xml:space="preserve"> </v>
      </c>
      <c r="M102" s="4" t="str">
        <f ca="1">IF(OR(INDEX($X$2:$X$1001,MATCH(ROWS($W$2:W102),$W$2:$W$1001,0),1)&gt;=100000,INDEX($AD$1005:$AU$1005,1,MATCH(COLUMNS($AD$1006:AO1006),$AD$1006:$AU$1006,0))&gt;=100000), " ",IF(INDEX($AD$2:$AU$1001,MATCH(ROWS($W$2:W102),$W$2:$W$1001,0),MATCH(COLUMNS($AD$1006:AO1006),$AD$1006:$AU$1006,0)), HYPERLINK("#",""), HYPERLINK(CONCATENATE("#metadata!", ADDRESS(INDEX($Y$2:$Y$1001,MATCH(ROWS($W$2:W102),$W$2:$W$1001,0),0), INDEX($AD$1004:$AU$1004,1,MATCH(COLUMNS($AD$1006:AO1006),$AD$1006:$AU$1006,0)))),"Fix")))</f>
        <v xml:space="preserve"> </v>
      </c>
      <c r="N102" s="4" t="str">
        <f ca="1">IF(OR(INDEX($X$2:$X$1001,MATCH(ROWS($W$2:W102),$W$2:$W$1001,0),1)&gt;=100000,INDEX($AD$1005:$AU$1005,1,MATCH(COLUMNS($AD$1006:AP1006),$AD$1006:$AU$1006,0))&gt;=100000), " ",IF(INDEX($AD$2:$AU$1001,MATCH(ROWS($W$2:W102),$W$2:$W$1001,0),MATCH(COLUMNS($AD$1006:AP1006),$AD$1006:$AU$1006,0)), HYPERLINK("#",""), HYPERLINK(CONCATENATE("#metadata!", ADDRESS(INDEX($Y$2:$Y$1001,MATCH(ROWS($W$2:W102),$W$2:$W$1001,0),0), INDEX($AD$1004:$AU$1004,1,MATCH(COLUMNS($AD$1006:AP1006),$AD$1006:$AU$1006,0)))),"Fix")))</f>
        <v xml:space="preserve"> </v>
      </c>
      <c r="O102" s="4" t="str">
        <f ca="1">IF(OR(INDEX($X$2:$X$1001,MATCH(ROWS($W$2:W102),$W$2:$W$1001,0),1)&gt;=100000,INDEX($AD$1005:$AU$1005,1,MATCH(COLUMNS($AD$1006:AQ1006),$AD$1006:$AU$1006,0))&gt;=100000), " ",IF(INDEX($AD$2:$AU$1001,MATCH(ROWS($W$2:W102),$W$2:$W$1001,0),MATCH(COLUMNS($AD$1006:AQ1006),$AD$1006:$AU$1006,0)), HYPERLINK("#",""), HYPERLINK(CONCATENATE("#metadata!", ADDRESS(INDEX($Y$2:$Y$1001,MATCH(ROWS($W$2:W102),$W$2:$W$1001,0),0), INDEX($AD$1004:$AU$1004,1,MATCH(COLUMNS($AD$1006:AQ1006),$AD$1006:$AU$1006,0)))),"Fix")))</f>
        <v xml:space="preserve"> </v>
      </c>
      <c r="P102" s="4" t="str">
        <f ca="1">IF(OR(INDEX($X$2:$X$1001,MATCH(ROWS($W$2:W102),$W$2:$W$1001,0),1)&gt;=100000,INDEX($AD$1005:$AU$1005,1,MATCH(COLUMNS($AD$1006:AR1006),$AD$1006:$AU$1006,0))&gt;=100000), " ",IF(INDEX($AD$2:$AU$1001,MATCH(ROWS($W$2:W102),$W$2:$W$1001,0),MATCH(COLUMNS($AD$1006:AR1006),$AD$1006:$AU$1006,0)), HYPERLINK("#",""), HYPERLINK(CONCATENATE("#metadata!", ADDRESS(INDEX($Y$2:$Y$1001,MATCH(ROWS($W$2:W102),$W$2:$W$1001,0),0), INDEX($AD$1004:$AU$1004,1,MATCH(COLUMNS($AD$1006:AR1006),$AD$1006:$AU$1006,0)))),"Fix")))</f>
        <v xml:space="preserve"> </v>
      </c>
      <c r="Q102" s="4" t="str">
        <f ca="1">IF(OR(INDEX($X$2:$X$1001,MATCH(ROWS($W$2:W102),$W$2:$W$1001,0),1)&gt;=100000,INDEX($AD$1005:$AU$1005,1,MATCH(COLUMNS($AD$1006:AS1006),$AD$1006:$AU$1006,0))&gt;=100000), " ",IF(INDEX($AD$2:$AU$1001,MATCH(ROWS($W$2:W102),$W$2:$W$1001,0),MATCH(COLUMNS($AD$1006:AS1006),$AD$1006:$AU$1006,0)), HYPERLINK("#",""), HYPERLINK(CONCATENATE("#metadata!", ADDRESS(INDEX($Y$2:$Y$1001,MATCH(ROWS($W$2:W102),$W$2:$W$1001,0),0), INDEX($AD$1004:$AU$1004,1,MATCH(COLUMNS($AD$1006:AS1006),$AD$1006:$AU$1006,0)))),"Fix")))</f>
        <v xml:space="preserve"> </v>
      </c>
      <c r="R102" s="4" t="str">
        <f ca="1">IF(OR(INDEX($X$2:$X$1001,MATCH(ROWS($W$2:W102),$W$2:$W$1001,0),1)&gt;=100000,INDEX($AD$1005:$AU$1005,1,MATCH(COLUMNS($AD$1006:AT1006),$AD$1006:$AU$1006,0))&gt;=100000), " ",IF(INDEX($AD$2:$AU$1001,MATCH(ROWS($W$2:W102),$W$2:$W$1001,0),MATCH(COLUMNS($AD$1006:AT1006),$AD$1006:$AU$1006,0)), HYPERLINK("#",""), HYPERLINK(CONCATENATE("#metadata!", ADDRESS(INDEX($Y$2:$Y$1001,MATCH(ROWS($W$2:W102),$W$2:$W$1001,0),0), INDEX($AD$1004:$AU$1004,1,MATCH(COLUMNS($AD$1006:AT1006),$AD$1006:$AU$1006,0)))),"Fix")))</f>
        <v xml:space="preserve"> </v>
      </c>
      <c r="S102" s="4" t="str">
        <f ca="1">IF(OR(INDEX($X$2:$X$1001,MATCH(ROWS($W$2:W102),$W$2:$W$1001,0),1)&gt;=100000,INDEX($AD$1005:$AU$1005,1,MATCH(COLUMNS($AD$1006:AU1006),$AD$1006:$AU$1006,0))&gt;=100000), " ",IF(INDEX($AD$2:$AU$1001,MATCH(ROWS($W$2:W102),$W$2:$W$1001,0),MATCH(COLUMNS($AD$1006:AU1006),$AD$1006:$AU$1006,0)), HYPERLINK("#",""), HYPERLINK(CONCATENATE("#metadata!", ADDRESS(INDEX($Y$2:$Y$1001,MATCH(ROWS($W$2:W102),$W$2:$W$1001,0),0), INDEX($AD$1004:$AU$1004,1,MATCH(COLUMNS($AD$1006:AU1006),$AD$1006:$AU$1006,0)))),"Fix")))</f>
        <v xml:space="preserve"> </v>
      </c>
      <c r="W102">
        <v>101</v>
      </c>
      <c r="X102">
        <v>100102</v>
      </c>
      <c r="Y102">
        <v>102</v>
      </c>
      <c r="Z102" t="b">
        <f t="shared" si="1"/>
        <v>1</v>
      </c>
      <c r="AA102" t="b">
        <f>COUNTBLANK(metadata!B102:S102)=COLUMNS(metadata!B102:S102)</f>
        <v>1</v>
      </c>
      <c r="AB102" t="str">
        <v/>
      </c>
      <c r="AD102" t="b">
        <f ca="1">AND(IF(metadata!B102="",FALSE,TRUE),COUNTIF(metadata!B:B, metadata!B102) = 1,NOT(ISERROR(SUMPRODUCT(SEARCH(MID(metadata!B102,ROW(INDIRECT("1:"&amp;LEN(metadata!B102))), 1),"0123456789abcdefghijklmnopqrstuvwxyzABCDEFGHIJKLMNOPQRSTUVWXYZ.")))))</f>
        <v>0</v>
      </c>
      <c r="AE102" t="b">
        <f>OR(AND(IF(metadata!C102="",FALSE,TRUE),OR(EXACT(metadata!C102,"not applicable"),EXACT(metadata!C102,"missing: not collected"),EXACT(metadata!C102,"missing: not provided"),EXACT(metadata!C102,"missing: restricted access"))),AND(IF(metadata!C102="",FALSE,ISNUMBER(VALUE(metadata!C102))),metadata!C102&gt;0))</f>
        <v>0</v>
      </c>
      <c r="AF102" t="b">
        <f>AND(IF(metadata!D102="",FALSE,TRUE),EXACT(metadata!D102,"missing: not provided"))</f>
        <v>0</v>
      </c>
      <c r="AG102" t="b">
        <f>AND(IF(metadata!E102="",FALSE,TRUE),EXACT(metadata!E102,"Host-associated"))</f>
        <v>0</v>
      </c>
      <c r="AH102" t="b">
        <f>AND(IF(metadata!F102="",FALSE,TRUE),OR(EXACT(metadata!F102,"Animal"),EXACT(metadata!F102,"Fungus"),EXACT(metadata!F102,"Plant")))</f>
        <v>0</v>
      </c>
      <c r="AI102" t="b">
        <f>AND(IF(metadata!G102="",FALSE,TRUE),OR(EXACT(metadata!G102,"Plant secretion"),EXACT(metadata!G102,"Plant rhizosphere"),EXACT(metadata!G102,"Plant surface"),EXACT(metadata!G102,"Plant corpus"),EXACT(metadata!G102,"Fungus surface"),EXACT(metadata!G102,"Fungus corpus"),EXACT(metadata!G102,"Animal surface"),EXACT(metadata!G102,"Animal proximal gut"),EXACT(metadata!G102,"Animal corpus"),EXACT(metadata!G102,"Animal distal gut"),EXACT(metadata!G102,"Animal secretion")))</f>
        <v>0</v>
      </c>
      <c r="AJ102" t="b">
        <f>OR(AND(IF(metadata!H102="",FALSE,TRUE),OR(EXACT(metadata!H102,"missing: not collected"),EXACT(metadata!H102,"missing: not provided"),EXACT(metadata!H102,"missing: restricted access"))),AND(IF(metadata!H102="",FALSE,TRUE),OR(EXACT(metadata!H102,"organism-associated habitat"),EXACT(metadata!H102,"plant-associated habitat"),EXACT(metadata!H102,"animal-associated habitat"),EXACT(metadata!H102,"insecta-associated habitat"),EXACT(metadata!H102,"mammalia-associated habitat"),EXACT(metadata!H102,"human-associated habitat"),EXACT(metadata!H102,"livestock-associated habitat"))))</f>
        <v>0</v>
      </c>
      <c r="AK102" t="b">
        <f>AND(IF(metadata!I102="",FALSE,TRUE),EXACT(metadata!I102,"host-associated"))</f>
        <v>0</v>
      </c>
      <c r="AL102" t="b">
        <f>OR(AND(IF(metadata!J102="",FALSE,TRUE),OR(EXACT(metadata!J102,"not applicable"),EXACT(metadata!J102,"missing: not collected"),EXACT(metadata!J102,"missing: not provided"),EXACT(metadata!J102,"missing: restricted access"))),AND(IF(metadata!J102="",FALSE,ISNUMBER(VALUE(metadata!J102))),metadata!J102&gt;0))</f>
        <v>0</v>
      </c>
      <c r="AM102" t="b">
        <f>AND(IF(metadata!K102="",FALSE,TRUE),EXACT(metadata!K102,"missing: not provided"))</f>
        <v>0</v>
      </c>
      <c r="AN102" t="b">
        <f>IF(metadata!L102="",FALSE,TRUE)</f>
        <v>0</v>
      </c>
      <c r="AO102" t="b">
        <f>IF(metadata!M102="",FALSE,TRUE)</f>
        <v>0</v>
      </c>
      <c r="AP102" t="b">
        <f>OR(AND(IF(metadata!N102="",FALSE,TRUE),OR(EXACT(metadata!N102,"not applicable"),EXACT(metadata!N102,"missing: not collected"),EXACT(metadata!N102,"missing: not provided"))),AND(IF(metadata!N102="",FALSE,IF(ISERROR(INT(metadata!N102)),FALSE,INT(metadata!N102)=metadata!N102)),metadata!N102&gt;0))</f>
        <v>0</v>
      </c>
      <c r="AQ102" t="b">
        <f>AND(IF(metadata!O102="",FALSE,TRUE),EXACT(metadata!O102,"Not applicable"))</f>
        <v>0</v>
      </c>
      <c r="AR102" t="b">
        <f>OR(AND(IF(metadata!P102="",FALSE,TRUE),OR(EXACT(metadata!P102,"not applicable"),EXACT(metadata!P102,"missing: not collected"),EXACT(metadata!P102,"missing: not provided"),EXACT(metadata!P102,"missing: restricted access"))),IF(metadata!P102="",FALSE,IF(ISERROR(INT(metadata!P102)),FALSE,INT(metadata!P102)=metadata!P102)))</f>
        <v>0</v>
      </c>
      <c r="AS102" t="b">
        <f>AND(IF(metadata!Q102="",FALSE,TRUE),EXACT(metadata!Q102,"Not applicable"))</f>
        <v>0</v>
      </c>
      <c r="AT102" t="b">
        <f>OR(AND(IF(metadata!R102="",FALSE,TRUE),OR(EXACT(metadata!R102,"not applicable"),EXACT(metadata!R102,"missing: not collected"),EXACT(metadata!R102,"missing: not provided"),EXACT(metadata!R102,"missing: restricted access"))),AND(IF(metadata!R102="",FALSE,ISNUMBER(VALUE(metadata!R102))),metadata!R102&gt;0))</f>
        <v>0</v>
      </c>
      <c r="AU102" t="b">
        <f>AND(IF(metadata!S102="",FALSE,TRUE),EXACT(metadata!S102,"missing: not provided"))</f>
        <v>0</v>
      </c>
    </row>
    <row r="103" spans="1:47" x14ac:dyDescent="0.2">
      <c r="A103" s="5" t="str">
        <f ca="1">IF(B103=" "," ",HYPERLINK(CONCATENATE("#metadata!",ADDRESS(INDEX($Y$2:$Y$1001,MATCH(ROWS($W$2:W103),$W$2:$W$1001,0),0),1)),INDEX($AB$2:$AB$1001,MATCH(ROWS($W$2:W103),$W$2:$W$1001,0),0)))</f>
        <v xml:space="preserve"> </v>
      </c>
      <c r="B103" s="4" t="str">
        <f ca="1">IF(OR(INDEX($X$2:$X$1001,MATCH(ROWS($W$2:W103),$W$2:$W$1001,0),1)&gt;=100000,INDEX($AD$1005:$AU$1005,1,MATCH(COLUMNS($AD$1006:AD1006),$AD$1006:$AU$1006,0))&gt;=100000), " ",IF(INDEX($AD$2:$AU$1001,MATCH(ROWS($W$2:W103),$W$2:$W$1001,0),MATCH(COLUMNS($AD$1006:AD1006),$AD$1006:$AU$1006,0)), HYPERLINK("#",""), HYPERLINK(CONCATENATE("#metadata!", ADDRESS(INDEX($Y$2:$Y$1001,MATCH(ROWS($W$2:W103),$W$2:$W$1001,0),0), INDEX($AD$1004:$AU$1004,1,MATCH(COLUMNS($AD$1006:AD1006),$AD$1006:$AU$1006,0)))),"Fix")))</f>
        <v xml:space="preserve"> </v>
      </c>
      <c r="C103" s="4" t="str">
        <f ca="1">IF(OR(INDEX($X$2:$X$1001,MATCH(ROWS($W$2:W103),$W$2:$W$1001,0),1)&gt;=100000,INDEX($AD$1005:$AU$1005,1,MATCH(COLUMNS($AD$1006:AE1006),$AD$1006:$AU$1006,0))&gt;=100000), " ",IF(INDEX($AD$2:$AU$1001,MATCH(ROWS($W$2:W103),$W$2:$W$1001,0),MATCH(COLUMNS($AD$1006:AE1006),$AD$1006:$AU$1006,0)), HYPERLINK("#",""), HYPERLINK(CONCATENATE("#metadata!", ADDRESS(INDEX($Y$2:$Y$1001,MATCH(ROWS($W$2:W103),$W$2:$W$1001,0),0), INDEX($AD$1004:$AU$1004,1,MATCH(COLUMNS($AD$1006:AE1006),$AD$1006:$AU$1006,0)))),"Fix")))</f>
        <v xml:space="preserve"> </v>
      </c>
      <c r="D103" s="4" t="str">
        <f ca="1">IF(OR(INDEX($X$2:$X$1001,MATCH(ROWS($W$2:W103),$W$2:$W$1001,0),1)&gt;=100000,INDEX($AD$1005:$AU$1005,1,MATCH(COLUMNS($AD$1006:AF1006),$AD$1006:$AU$1006,0))&gt;=100000), " ",IF(INDEX($AD$2:$AU$1001,MATCH(ROWS($W$2:W103),$W$2:$W$1001,0),MATCH(COLUMNS($AD$1006:AF1006),$AD$1006:$AU$1006,0)), HYPERLINK("#",""), HYPERLINK(CONCATENATE("#metadata!", ADDRESS(INDEX($Y$2:$Y$1001,MATCH(ROWS($W$2:W103),$W$2:$W$1001,0),0), INDEX($AD$1004:$AU$1004,1,MATCH(COLUMNS($AD$1006:AF1006),$AD$1006:$AU$1006,0)))),"Fix")))</f>
        <v xml:space="preserve"> </v>
      </c>
      <c r="E103" s="4" t="str">
        <f ca="1">IF(OR(INDEX($X$2:$X$1001,MATCH(ROWS($W$2:W103),$W$2:$W$1001,0),1)&gt;=100000,INDEX($AD$1005:$AU$1005,1,MATCH(COLUMNS($AD$1006:AG1006),$AD$1006:$AU$1006,0))&gt;=100000), " ",IF(INDEX($AD$2:$AU$1001,MATCH(ROWS($W$2:W103),$W$2:$W$1001,0),MATCH(COLUMNS($AD$1006:AG1006),$AD$1006:$AU$1006,0)), HYPERLINK("#",""), HYPERLINK(CONCATENATE("#metadata!", ADDRESS(INDEX($Y$2:$Y$1001,MATCH(ROWS($W$2:W103),$W$2:$W$1001,0),0), INDEX($AD$1004:$AU$1004,1,MATCH(COLUMNS($AD$1006:AG1006),$AD$1006:$AU$1006,0)))),"Fix")))</f>
        <v xml:space="preserve"> </v>
      </c>
      <c r="F103" s="4" t="str">
        <f ca="1">IF(OR(INDEX($X$2:$X$1001,MATCH(ROWS($W$2:W103),$W$2:$W$1001,0),1)&gt;=100000,INDEX($AD$1005:$AU$1005,1,MATCH(COLUMNS($AD$1006:AH1006),$AD$1006:$AU$1006,0))&gt;=100000), " ",IF(INDEX($AD$2:$AU$1001,MATCH(ROWS($W$2:W103),$W$2:$W$1001,0),MATCH(COLUMNS($AD$1006:AH1006),$AD$1006:$AU$1006,0)), HYPERLINK("#",""), HYPERLINK(CONCATENATE("#metadata!", ADDRESS(INDEX($Y$2:$Y$1001,MATCH(ROWS($W$2:W103),$W$2:$W$1001,0),0), INDEX($AD$1004:$AU$1004,1,MATCH(COLUMNS($AD$1006:AH1006),$AD$1006:$AU$1006,0)))),"Fix")))</f>
        <v xml:space="preserve"> </v>
      </c>
      <c r="G103" s="4" t="str">
        <f ca="1">IF(OR(INDEX($X$2:$X$1001,MATCH(ROWS($W$2:W103),$W$2:$W$1001,0),1)&gt;=100000,INDEX($AD$1005:$AU$1005,1,MATCH(COLUMNS($AD$1006:AI1006),$AD$1006:$AU$1006,0))&gt;=100000), " ",IF(INDEX($AD$2:$AU$1001,MATCH(ROWS($W$2:W103),$W$2:$W$1001,0),MATCH(COLUMNS($AD$1006:AI1006),$AD$1006:$AU$1006,0)), HYPERLINK("#",""), HYPERLINK(CONCATENATE("#metadata!", ADDRESS(INDEX($Y$2:$Y$1001,MATCH(ROWS($W$2:W103),$W$2:$W$1001,0),0), INDEX($AD$1004:$AU$1004,1,MATCH(COLUMNS($AD$1006:AI1006),$AD$1006:$AU$1006,0)))),"Fix")))</f>
        <v xml:space="preserve"> </v>
      </c>
      <c r="H103" s="4" t="str">
        <f ca="1">IF(OR(INDEX($X$2:$X$1001,MATCH(ROWS($W$2:W103),$W$2:$W$1001,0),1)&gt;=100000,INDEX($AD$1005:$AU$1005,1,MATCH(COLUMNS($AD$1006:AJ1006),$AD$1006:$AU$1006,0))&gt;=100000), " ",IF(INDEX($AD$2:$AU$1001,MATCH(ROWS($W$2:W103),$W$2:$W$1001,0),MATCH(COLUMNS($AD$1006:AJ1006),$AD$1006:$AU$1006,0)), HYPERLINK("#",""), HYPERLINK(CONCATENATE("#metadata!", ADDRESS(INDEX($Y$2:$Y$1001,MATCH(ROWS($W$2:W103),$W$2:$W$1001,0),0), INDEX($AD$1004:$AU$1004,1,MATCH(COLUMNS($AD$1006:AJ1006),$AD$1006:$AU$1006,0)))),"Fix")))</f>
        <v xml:space="preserve"> </v>
      </c>
      <c r="I103" s="4" t="str">
        <f ca="1">IF(OR(INDEX($X$2:$X$1001,MATCH(ROWS($W$2:W103),$W$2:$W$1001,0),1)&gt;=100000,INDEX($AD$1005:$AU$1005,1,MATCH(COLUMNS($AD$1006:AK1006),$AD$1006:$AU$1006,0))&gt;=100000), " ",IF(INDEX($AD$2:$AU$1001,MATCH(ROWS($W$2:W103),$W$2:$W$1001,0),MATCH(COLUMNS($AD$1006:AK1006),$AD$1006:$AU$1006,0)), HYPERLINK("#",""), HYPERLINK(CONCATENATE("#metadata!", ADDRESS(INDEX($Y$2:$Y$1001,MATCH(ROWS($W$2:W103),$W$2:$W$1001,0),0), INDEX($AD$1004:$AU$1004,1,MATCH(COLUMNS($AD$1006:AK1006),$AD$1006:$AU$1006,0)))),"Fix")))</f>
        <v xml:space="preserve"> </v>
      </c>
      <c r="J103" s="4" t="str">
        <f ca="1">IF(OR(INDEX($X$2:$X$1001,MATCH(ROWS($W$2:W103),$W$2:$W$1001,0),1)&gt;=100000,INDEX($AD$1005:$AU$1005,1,MATCH(COLUMNS($AD$1006:AL1006),$AD$1006:$AU$1006,0))&gt;=100000), " ",IF(INDEX($AD$2:$AU$1001,MATCH(ROWS($W$2:W103),$W$2:$W$1001,0),MATCH(COLUMNS($AD$1006:AL1006),$AD$1006:$AU$1006,0)), HYPERLINK("#",""), HYPERLINK(CONCATENATE("#metadata!", ADDRESS(INDEX($Y$2:$Y$1001,MATCH(ROWS($W$2:W103),$W$2:$W$1001,0),0), INDEX($AD$1004:$AU$1004,1,MATCH(COLUMNS($AD$1006:AL1006),$AD$1006:$AU$1006,0)))),"Fix")))</f>
        <v xml:space="preserve"> </v>
      </c>
      <c r="K103" s="4" t="str">
        <f ca="1">IF(OR(INDEX($X$2:$X$1001,MATCH(ROWS($W$2:W103),$W$2:$W$1001,0),1)&gt;=100000,INDEX($AD$1005:$AU$1005,1,MATCH(COLUMNS($AD$1006:AM1006),$AD$1006:$AU$1006,0))&gt;=100000), " ",IF(INDEX($AD$2:$AU$1001,MATCH(ROWS($W$2:W103),$W$2:$W$1001,0),MATCH(COLUMNS($AD$1006:AM1006),$AD$1006:$AU$1006,0)), HYPERLINK("#",""), HYPERLINK(CONCATENATE("#metadata!", ADDRESS(INDEX($Y$2:$Y$1001,MATCH(ROWS($W$2:W103),$W$2:$W$1001,0),0), INDEX($AD$1004:$AU$1004,1,MATCH(COLUMNS($AD$1006:AM1006),$AD$1006:$AU$1006,0)))),"Fix")))</f>
        <v xml:space="preserve"> </v>
      </c>
      <c r="L103" s="4" t="str">
        <f ca="1">IF(OR(INDEX($X$2:$X$1001,MATCH(ROWS($W$2:W103),$W$2:$W$1001,0),1)&gt;=100000,INDEX($AD$1005:$AU$1005,1,MATCH(COLUMNS($AD$1006:AN1006),$AD$1006:$AU$1006,0))&gt;=100000), " ",IF(INDEX($AD$2:$AU$1001,MATCH(ROWS($W$2:W103),$W$2:$W$1001,0),MATCH(COLUMNS($AD$1006:AN1006),$AD$1006:$AU$1006,0)), HYPERLINK("#",""), HYPERLINK(CONCATENATE("#metadata!", ADDRESS(INDEX($Y$2:$Y$1001,MATCH(ROWS($W$2:W103),$W$2:$W$1001,0),0), INDEX($AD$1004:$AU$1004,1,MATCH(COLUMNS($AD$1006:AN1006),$AD$1006:$AU$1006,0)))),"Fix")))</f>
        <v xml:space="preserve"> </v>
      </c>
      <c r="M103" s="4" t="str">
        <f ca="1">IF(OR(INDEX($X$2:$X$1001,MATCH(ROWS($W$2:W103),$W$2:$W$1001,0),1)&gt;=100000,INDEX($AD$1005:$AU$1005,1,MATCH(COLUMNS($AD$1006:AO1006),$AD$1006:$AU$1006,0))&gt;=100000), " ",IF(INDEX($AD$2:$AU$1001,MATCH(ROWS($W$2:W103),$W$2:$W$1001,0),MATCH(COLUMNS($AD$1006:AO1006),$AD$1006:$AU$1006,0)), HYPERLINK("#",""), HYPERLINK(CONCATENATE("#metadata!", ADDRESS(INDEX($Y$2:$Y$1001,MATCH(ROWS($W$2:W103),$W$2:$W$1001,0),0), INDEX($AD$1004:$AU$1004,1,MATCH(COLUMNS($AD$1006:AO1006),$AD$1006:$AU$1006,0)))),"Fix")))</f>
        <v xml:space="preserve"> </v>
      </c>
      <c r="N103" s="4" t="str">
        <f ca="1">IF(OR(INDEX($X$2:$X$1001,MATCH(ROWS($W$2:W103),$W$2:$W$1001,0),1)&gt;=100000,INDEX($AD$1005:$AU$1005,1,MATCH(COLUMNS($AD$1006:AP1006),$AD$1006:$AU$1006,0))&gt;=100000), " ",IF(INDEX($AD$2:$AU$1001,MATCH(ROWS($W$2:W103),$W$2:$W$1001,0),MATCH(COLUMNS($AD$1006:AP1006),$AD$1006:$AU$1006,0)), HYPERLINK("#",""), HYPERLINK(CONCATENATE("#metadata!", ADDRESS(INDEX($Y$2:$Y$1001,MATCH(ROWS($W$2:W103),$W$2:$W$1001,0),0), INDEX($AD$1004:$AU$1004,1,MATCH(COLUMNS($AD$1006:AP1006),$AD$1006:$AU$1006,0)))),"Fix")))</f>
        <v xml:space="preserve"> </v>
      </c>
      <c r="O103" s="4" t="str">
        <f ca="1">IF(OR(INDEX($X$2:$X$1001,MATCH(ROWS($W$2:W103),$W$2:$W$1001,0),1)&gt;=100000,INDEX($AD$1005:$AU$1005,1,MATCH(COLUMNS($AD$1006:AQ1006),$AD$1006:$AU$1006,0))&gt;=100000), " ",IF(INDEX($AD$2:$AU$1001,MATCH(ROWS($W$2:W103),$W$2:$W$1001,0),MATCH(COLUMNS($AD$1006:AQ1006),$AD$1006:$AU$1006,0)), HYPERLINK("#",""), HYPERLINK(CONCATENATE("#metadata!", ADDRESS(INDEX($Y$2:$Y$1001,MATCH(ROWS($W$2:W103),$W$2:$W$1001,0),0), INDEX($AD$1004:$AU$1004,1,MATCH(COLUMNS($AD$1006:AQ1006),$AD$1006:$AU$1006,0)))),"Fix")))</f>
        <v xml:space="preserve"> </v>
      </c>
      <c r="P103" s="4" t="str">
        <f ca="1">IF(OR(INDEX($X$2:$X$1001,MATCH(ROWS($W$2:W103),$W$2:$W$1001,0),1)&gt;=100000,INDEX($AD$1005:$AU$1005,1,MATCH(COLUMNS($AD$1006:AR1006),$AD$1006:$AU$1006,0))&gt;=100000), " ",IF(INDEX($AD$2:$AU$1001,MATCH(ROWS($W$2:W103),$W$2:$W$1001,0),MATCH(COLUMNS($AD$1006:AR1006),$AD$1006:$AU$1006,0)), HYPERLINK("#",""), HYPERLINK(CONCATENATE("#metadata!", ADDRESS(INDEX($Y$2:$Y$1001,MATCH(ROWS($W$2:W103),$W$2:$W$1001,0),0), INDEX($AD$1004:$AU$1004,1,MATCH(COLUMNS($AD$1006:AR1006),$AD$1006:$AU$1006,0)))),"Fix")))</f>
        <v xml:space="preserve"> </v>
      </c>
      <c r="Q103" s="4" t="str">
        <f ca="1">IF(OR(INDEX($X$2:$X$1001,MATCH(ROWS($W$2:W103),$W$2:$W$1001,0),1)&gt;=100000,INDEX($AD$1005:$AU$1005,1,MATCH(COLUMNS($AD$1006:AS1006),$AD$1006:$AU$1006,0))&gt;=100000), " ",IF(INDEX($AD$2:$AU$1001,MATCH(ROWS($W$2:W103),$W$2:$W$1001,0),MATCH(COLUMNS($AD$1006:AS1006),$AD$1006:$AU$1006,0)), HYPERLINK("#",""), HYPERLINK(CONCATENATE("#metadata!", ADDRESS(INDEX($Y$2:$Y$1001,MATCH(ROWS($W$2:W103),$W$2:$W$1001,0),0), INDEX($AD$1004:$AU$1004,1,MATCH(COLUMNS($AD$1006:AS1006),$AD$1006:$AU$1006,0)))),"Fix")))</f>
        <v xml:space="preserve"> </v>
      </c>
      <c r="R103" s="4" t="str">
        <f ca="1">IF(OR(INDEX($X$2:$X$1001,MATCH(ROWS($W$2:W103),$W$2:$W$1001,0),1)&gt;=100000,INDEX($AD$1005:$AU$1005,1,MATCH(COLUMNS($AD$1006:AT1006),$AD$1006:$AU$1006,0))&gt;=100000), " ",IF(INDEX($AD$2:$AU$1001,MATCH(ROWS($W$2:W103),$W$2:$W$1001,0),MATCH(COLUMNS($AD$1006:AT1006),$AD$1006:$AU$1006,0)), HYPERLINK("#",""), HYPERLINK(CONCATENATE("#metadata!", ADDRESS(INDEX($Y$2:$Y$1001,MATCH(ROWS($W$2:W103),$W$2:$W$1001,0),0), INDEX($AD$1004:$AU$1004,1,MATCH(COLUMNS($AD$1006:AT1006),$AD$1006:$AU$1006,0)))),"Fix")))</f>
        <v xml:space="preserve"> </v>
      </c>
      <c r="S103" s="4" t="str">
        <f ca="1">IF(OR(INDEX($X$2:$X$1001,MATCH(ROWS($W$2:W103),$W$2:$W$1001,0),1)&gt;=100000,INDEX($AD$1005:$AU$1005,1,MATCH(COLUMNS($AD$1006:AU1006),$AD$1006:$AU$1006,0))&gt;=100000), " ",IF(INDEX($AD$2:$AU$1001,MATCH(ROWS($W$2:W103),$W$2:$W$1001,0),MATCH(COLUMNS($AD$1006:AU1006),$AD$1006:$AU$1006,0)), HYPERLINK("#",""), HYPERLINK(CONCATENATE("#metadata!", ADDRESS(INDEX($Y$2:$Y$1001,MATCH(ROWS($W$2:W103),$W$2:$W$1001,0),0), INDEX($AD$1004:$AU$1004,1,MATCH(COLUMNS($AD$1006:AU1006),$AD$1006:$AU$1006,0)))),"Fix")))</f>
        <v xml:space="preserve"> </v>
      </c>
      <c r="W103">
        <v>102</v>
      </c>
      <c r="X103">
        <v>100103</v>
      </c>
      <c r="Y103">
        <v>103</v>
      </c>
      <c r="Z103" t="b">
        <f t="shared" si="1"/>
        <v>1</v>
      </c>
      <c r="AA103" t="b">
        <f>COUNTBLANK(metadata!B103:S103)=COLUMNS(metadata!B103:S103)</f>
        <v>1</v>
      </c>
      <c r="AB103" t="str">
        <v/>
      </c>
      <c r="AD103" t="b">
        <f ca="1">AND(IF(metadata!B103="",FALSE,TRUE),COUNTIF(metadata!B:B, metadata!B103) = 1,NOT(ISERROR(SUMPRODUCT(SEARCH(MID(metadata!B103,ROW(INDIRECT("1:"&amp;LEN(metadata!B103))), 1),"0123456789abcdefghijklmnopqrstuvwxyzABCDEFGHIJKLMNOPQRSTUVWXYZ.")))))</f>
        <v>0</v>
      </c>
      <c r="AE103" t="b">
        <f>OR(AND(IF(metadata!C103="",FALSE,TRUE),OR(EXACT(metadata!C103,"not applicable"),EXACT(metadata!C103,"missing: not collected"),EXACT(metadata!C103,"missing: not provided"),EXACT(metadata!C103,"missing: restricted access"))),AND(IF(metadata!C103="",FALSE,ISNUMBER(VALUE(metadata!C103))),metadata!C103&gt;0))</f>
        <v>0</v>
      </c>
      <c r="AF103" t="b">
        <f>AND(IF(metadata!D103="",FALSE,TRUE),EXACT(metadata!D103,"missing: not provided"))</f>
        <v>0</v>
      </c>
      <c r="AG103" t="b">
        <f>AND(IF(metadata!E103="",FALSE,TRUE),EXACT(metadata!E103,"Host-associated"))</f>
        <v>0</v>
      </c>
      <c r="AH103" t="b">
        <f>AND(IF(metadata!F103="",FALSE,TRUE),OR(EXACT(metadata!F103,"Animal"),EXACT(metadata!F103,"Fungus"),EXACT(metadata!F103,"Plant")))</f>
        <v>0</v>
      </c>
      <c r="AI103" t="b">
        <f>AND(IF(metadata!G103="",FALSE,TRUE),OR(EXACT(metadata!G103,"Plant secretion"),EXACT(metadata!G103,"Plant rhizosphere"),EXACT(metadata!G103,"Plant surface"),EXACT(metadata!G103,"Plant corpus"),EXACT(metadata!G103,"Fungus surface"),EXACT(metadata!G103,"Fungus corpus"),EXACT(metadata!G103,"Animal surface"),EXACT(metadata!G103,"Animal proximal gut"),EXACT(metadata!G103,"Animal corpus"),EXACT(metadata!G103,"Animal distal gut"),EXACT(metadata!G103,"Animal secretion")))</f>
        <v>0</v>
      </c>
      <c r="AJ103" t="b">
        <f>OR(AND(IF(metadata!H103="",FALSE,TRUE),OR(EXACT(metadata!H103,"missing: not collected"),EXACT(metadata!H103,"missing: not provided"),EXACT(metadata!H103,"missing: restricted access"))),AND(IF(metadata!H103="",FALSE,TRUE),OR(EXACT(metadata!H103,"organism-associated habitat"),EXACT(metadata!H103,"plant-associated habitat"),EXACT(metadata!H103,"animal-associated habitat"),EXACT(metadata!H103,"insecta-associated habitat"),EXACT(metadata!H103,"mammalia-associated habitat"),EXACT(metadata!H103,"human-associated habitat"),EXACT(metadata!H103,"livestock-associated habitat"))))</f>
        <v>0</v>
      </c>
      <c r="AK103" t="b">
        <f>AND(IF(metadata!I103="",FALSE,TRUE),EXACT(metadata!I103,"host-associated"))</f>
        <v>0</v>
      </c>
      <c r="AL103" t="b">
        <f>OR(AND(IF(metadata!J103="",FALSE,TRUE),OR(EXACT(metadata!J103,"not applicable"),EXACT(metadata!J103,"missing: not collected"),EXACT(metadata!J103,"missing: not provided"),EXACT(metadata!J103,"missing: restricted access"))),AND(IF(metadata!J103="",FALSE,ISNUMBER(VALUE(metadata!J103))),metadata!J103&gt;0))</f>
        <v>0</v>
      </c>
      <c r="AM103" t="b">
        <f>AND(IF(metadata!K103="",FALSE,TRUE),EXACT(metadata!K103,"missing: not provided"))</f>
        <v>0</v>
      </c>
      <c r="AN103" t="b">
        <f>IF(metadata!L103="",FALSE,TRUE)</f>
        <v>0</v>
      </c>
      <c r="AO103" t="b">
        <f>IF(metadata!M103="",FALSE,TRUE)</f>
        <v>0</v>
      </c>
      <c r="AP103" t="b">
        <f>OR(AND(IF(metadata!N103="",FALSE,TRUE),OR(EXACT(metadata!N103,"not applicable"),EXACT(metadata!N103,"missing: not collected"),EXACT(metadata!N103,"missing: not provided"))),AND(IF(metadata!N103="",FALSE,IF(ISERROR(INT(metadata!N103)),FALSE,INT(metadata!N103)=metadata!N103)),metadata!N103&gt;0))</f>
        <v>0</v>
      </c>
      <c r="AQ103" t="b">
        <f>AND(IF(metadata!O103="",FALSE,TRUE),EXACT(metadata!O103,"Not applicable"))</f>
        <v>0</v>
      </c>
      <c r="AR103" t="b">
        <f>OR(AND(IF(metadata!P103="",FALSE,TRUE),OR(EXACT(metadata!P103,"not applicable"),EXACT(metadata!P103,"missing: not collected"),EXACT(metadata!P103,"missing: not provided"),EXACT(metadata!P103,"missing: restricted access"))),IF(metadata!P103="",FALSE,IF(ISERROR(INT(metadata!P103)),FALSE,INT(metadata!P103)=metadata!P103)))</f>
        <v>0</v>
      </c>
      <c r="AS103" t="b">
        <f>AND(IF(metadata!Q103="",FALSE,TRUE),EXACT(metadata!Q103,"Not applicable"))</f>
        <v>0</v>
      </c>
      <c r="AT103" t="b">
        <f>OR(AND(IF(metadata!R103="",FALSE,TRUE),OR(EXACT(metadata!R103,"not applicable"),EXACT(metadata!R103,"missing: not collected"),EXACT(metadata!R103,"missing: not provided"),EXACT(metadata!R103,"missing: restricted access"))),AND(IF(metadata!R103="",FALSE,ISNUMBER(VALUE(metadata!R103))),metadata!R103&gt;0))</f>
        <v>0</v>
      </c>
      <c r="AU103" t="b">
        <f>AND(IF(metadata!S103="",FALSE,TRUE),EXACT(metadata!S103,"missing: not provided"))</f>
        <v>0</v>
      </c>
    </row>
    <row r="104" spans="1:47" x14ac:dyDescent="0.2">
      <c r="A104" s="5" t="str">
        <f ca="1">IF(B104=" "," ",HYPERLINK(CONCATENATE("#metadata!",ADDRESS(INDEX($Y$2:$Y$1001,MATCH(ROWS($W$2:W104),$W$2:$W$1001,0),0),1)),INDEX($AB$2:$AB$1001,MATCH(ROWS($W$2:W104),$W$2:$W$1001,0),0)))</f>
        <v xml:space="preserve"> </v>
      </c>
      <c r="B104" s="4" t="str">
        <f ca="1">IF(OR(INDEX($X$2:$X$1001,MATCH(ROWS($W$2:W104),$W$2:$W$1001,0),1)&gt;=100000,INDEX($AD$1005:$AU$1005,1,MATCH(COLUMNS($AD$1006:AD1006),$AD$1006:$AU$1006,0))&gt;=100000), " ",IF(INDEX($AD$2:$AU$1001,MATCH(ROWS($W$2:W104),$W$2:$W$1001,0),MATCH(COLUMNS($AD$1006:AD1006),$AD$1006:$AU$1006,0)), HYPERLINK("#",""), HYPERLINK(CONCATENATE("#metadata!", ADDRESS(INDEX($Y$2:$Y$1001,MATCH(ROWS($W$2:W104),$W$2:$W$1001,0),0), INDEX($AD$1004:$AU$1004,1,MATCH(COLUMNS($AD$1006:AD1006),$AD$1006:$AU$1006,0)))),"Fix")))</f>
        <v xml:space="preserve"> </v>
      </c>
      <c r="C104" s="4" t="str">
        <f ca="1">IF(OR(INDEX($X$2:$X$1001,MATCH(ROWS($W$2:W104),$W$2:$W$1001,0),1)&gt;=100000,INDEX($AD$1005:$AU$1005,1,MATCH(COLUMNS($AD$1006:AE1006),$AD$1006:$AU$1006,0))&gt;=100000), " ",IF(INDEX($AD$2:$AU$1001,MATCH(ROWS($W$2:W104),$W$2:$W$1001,0),MATCH(COLUMNS($AD$1006:AE1006),$AD$1006:$AU$1006,0)), HYPERLINK("#",""), HYPERLINK(CONCATENATE("#metadata!", ADDRESS(INDEX($Y$2:$Y$1001,MATCH(ROWS($W$2:W104),$W$2:$W$1001,0),0), INDEX($AD$1004:$AU$1004,1,MATCH(COLUMNS($AD$1006:AE1006),$AD$1006:$AU$1006,0)))),"Fix")))</f>
        <v xml:space="preserve"> </v>
      </c>
      <c r="D104" s="4" t="str">
        <f ca="1">IF(OR(INDEX($X$2:$X$1001,MATCH(ROWS($W$2:W104),$W$2:$W$1001,0),1)&gt;=100000,INDEX($AD$1005:$AU$1005,1,MATCH(COLUMNS($AD$1006:AF1006),$AD$1006:$AU$1006,0))&gt;=100000), " ",IF(INDEX($AD$2:$AU$1001,MATCH(ROWS($W$2:W104),$W$2:$W$1001,0),MATCH(COLUMNS($AD$1006:AF1006),$AD$1006:$AU$1006,0)), HYPERLINK("#",""), HYPERLINK(CONCATENATE("#metadata!", ADDRESS(INDEX($Y$2:$Y$1001,MATCH(ROWS($W$2:W104),$W$2:$W$1001,0),0), INDEX($AD$1004:$AU$1004,1,MATCH(COLUMNS($AD$1006:AF1006),$AD$1006:$AU$1006,0)))),"Fix")))</f>
        <v xml:space="preserve"> </v>
      </c>
      <c r="E104" s="4" t="str">
        <f ca="1">IF(OR(INDEX($X$2:$X$1001,MATCH(ROWS($W$2:W104),$W$2:$W$1001,0),1)&gt;=100000,INDEX($AD$1005:$AU$1005,1,MATCH(COLUMNS($AD$1006:AG1006),$AD$1006:$AU$1006,0))&gt;=100000), " ",IF(INDEX($AD$2:$AU$1001,MATCH(ROWS($W$2:W104),$W$2:$W$1001,0),MATCH(COLUMNS($AD$1006:AG1006),$AD$1006:$AU$1006,0)), HYPERLINK("#",""), HYPERLINK(CONCATENATE("#metadata!", ADDRESS(INDEX($Y$2:$Y$1001,MATCH(ROWS($W$2:W104),$W$2:$W$1001,0),0), INDEX($AD$1004:$AU$1004,1,MATCH(COLUMNS($AD$1006:AG1006),$AD$1006:$AU$1006,0)))),"Fix")))</f>
        <v xml:space="preserve"> </v>
      </c>
      <c r="F104" s="4" t="str">
        <f ca="1">IF(OR(INDEX($X$2:$X$1001,MATCH(ROWS($W$2:W104),$W$2:$W$1001,0),1)&gt;=100000,INDEX($AD$1005:$AU$1005,1,MATCH(COLUMNS($AD$1006:AH1006),$AD$1006:$AU$1006,0))&gt;=100000), " ",IF(INDEX($AD$2:$AU$1001,MATCH(ROWS($W$2:W104),$W$2:$W$1001,0),MATCH(COLUMNS($AD$1006:AH1006),$AD$1006:$AU$1006,0)), HYPERLINK("#",""), HYPERLINK(CONCATENATE("#metadata!", ADDRESS(INDEX($Y$2:$Y$1001,MATCH(ROWS($W$2:W104),$W$2:$W$1001,0),0), INDEX($AD$1004:$AU$1004,1,MATCH(COLUMNS($AD$1006:AH1006),$AD$1006:$AU$1006,0)))),"Fix")))</f>
        <v xml:space="preserve"> </v>
      </c>
      <c r="G104" s="4" t="str">
        <f ca="1">IF(OR(INDEX($X$2:$X$1001,MATCH(ROWS($W$2:W104),$W$2:$W$1001,0),1)&gt;=100000,INDEX($AD$1005:$AU$1005,1,MATCH(COLUMNS($AD$1006:AI1006),$AD$1006:$AU$1006,0))&gt;=100000), " ",IF(INDEX($AD$2:$AU$1001,MATCH(ROWS($W$2:W104),$W$2:$W$1001,0),MATCH(COLUMNS($AD$1006:AI1006),$AD$1006:$AU$1006,0)), HYPERLINK("#",""), HYPERLINK(CONCATENATE("#metadata!", ADDRESS(INDEX($Y$2:$Y$1001,MATCH(ROWS($W$2:W104),$W$2:$W$1001,0),0), INDEX($AD$1004:$AU$1004,1,MATCH(COLUMNS($AD$1006:AI1006),$AD$1006:$AU$1006,0)))),"Fix")))</f>
        <v xml:space="preserve"> </v>
      </c>
      <c r="H104" s="4" t="str">
        <f ca="1">IF(OR(INDEX($X$2:$X$1001,MATCH(ROWS($W$2:W104),$W$2:$W$1001,0),1)&gt;=100000,INDEX($AD$1005:$AU$1005,1,MATCH(COLUMNS($AD$1006:AJ1006),$AD$1006:$AU$1006,0))&gt;=100000), " ",IF(INDEX($AD$2:$AU$1001,MATCH(ROWS($W$2:W104),$W$2:$W$1001,0),MATCH(COLUMNS($AD$1006:AJ1006),$AD$1006:$AU$1006,0)), HYPERLINK("#",""), HYPERLINK(CONCATENATE("#metadata!", ADDRESS(INDEX($Y$2:$Y$1001,MATCH(ROWS($W$2:W104),$W$2:$W$1001,0),0), INDEX($AD$1004:$AU$1004,1,MATCH(COLUMNS($AD$1006:AJ1006),$AD$1006:$AU$1006,0)))),"Fix")))</f>
        <v xml:space="preserve"> </v>
      </c>
      <c r="I104" s="4" t="str">
        <f ca="1">IF(OR(INDEX($X$2:$X$1001,MATCH(ROWS($W$2:W104),$W$2:$W$1001,0),1)&gt;=100000,INDEX($AD$1005:$AU$1005,1,MATCH(COLUMNS($AD$1006:AK1006),$AD$1006:$AU$1006,0))&gt;=100000), " ",IF(INDEX($AD$2:$AU$1001,MATCH(ROWS($W$2:W104),$W$2:$W$1001,0),MATCH(COLUMNS($AD$1006:AK1006),$AD$1006:$AU$1006,0)), HYPERLINK("#",""), HYPERLINK(CONCATENATE("#metadata!", ADDRESS(INDEX($Y$2:$Y$1001,MATCH(ROWS($W$2:W104),$W$2:$W$1001,0),0), INDEX($AD$1004:$AU$1004,1,MATCH(COLUMNS($AD$1006:AK1006),$AD$1006:$AU$1006,0)))),"Fix")))</f>
        <v xml:space="preserve"> </v>
      </c>
      <c r="J104" s="4" t="str">
        <f ca="1">IF(OR(INDEX($X$2:$X$1001,MATCH(ROWS($W$2:W104),$W$2:$W$1001,0),1)&gt;=100000,INDEX($AD$1005:$AU$1005,1,MATCH(COLUMNS($AD$1006:AL1006),$AD$1006:$AU$1006,0))&gt;=100000), " ",IF(INDEX($AD$2:$AU$1001,MATCH(ROWS($W$2:W104),$W$2:$W$1001,0),MATCH(COLUMNS($AD$1006:AL1006),$AD$1006:$AU$1006,0)), HYPERLINK("#",""), HYPERLINK(CONCATENATE("#metadata!", ADDRESS(INDEX($Y$2:$Y$1001,MATCH(ROWS($W$2:W104),$W$2:$W$1001,0),0), INDEX($AD$1004:$AU$1004,1,MATCH(COLUMNS($AD$1006:AL1006),$AD$1006:$AU$1006,0)))),"Fix")))</f>
        <v xml:space="preserve"> </v>
      </c>
      <c r="K104" s="4" t="str">
        <f ca="1">IF(OR(INDEX($X$2:$X$1001,MATCH(ROWS($W$2:W104),$W$2:$W$1001,0),1)&gt;=100000,INDEX($AD$1005:$AU$1005,1,MATCH(COLUMNS($AD$1006:AM1006),$AD$1006:$AU$1006,0))&gt;=100000), " ",IF(INDEX($AD$2:$AU$1001,MATCH(ROWS($W$2:W104),$W$2:$W$1001,0),MATCH(COLUMNS($AD$1006:AM1006),$AD$1006:$AU$1006,0)), HYPERLINK("#",""), HYPERLINK(CONCATENATE("#metadata!", ADDRESS(INDEX($Y$2:$Y$1001,MATCH(ROWS($W$2:W104),$W$2:$W$1001,0),0), INDEX($AD$1004:$AU$1004,1,MATCH(COLUMNS($AD$1006:AM1006),$AD$1006:$AU$1006,0)))),"Fix")))</f>
        <v xml:space="preserve"> </v>
      </c>
      <c r="L104" s="4" t="str">
        <f ca="1">IF(OR(INDEX($X$2:$X$1001,MATCH(ROWS($W$2:W104),$W$2:$W$1001,0),1)&gt;=100000,INDEX($AD$1005:$AU$1005,1,MATCH(COLUMNS($AD$1006:AN1006),$AD$1006:$AU$1006,0))&gt;=100000), " ",IF(INDEX($AD$2:$AU$1001,MATCH(ROWS($W$2:W104),$W$2:$W$1001,0),MATCH(COLUMNS($AD$1006:AN1006),$AD$1006:$AU$1006,0)), HYPERLINK("#",""), HYPERLINK(CONCATENATE("#metadata!", ADDRESS(INDEX($Y$2:$Y$1001,MATCH(ROWS($W$2:W104),$W$2:$W$1001,0),0), INDEX($AD$1004:$AU$1004,1,MATCH(COLUMNS($AD$1006:AN1006),$AD$1006:$AU$1006,0)))),"Fix")))</f>
        <v xml:space="preserve"> </v>
      </c>
      <c r="M104" s="4" t="str">
        <f ca="1">IF(OR(INDEX($X$2:$X$1001,MATCH(ROWS($W$2:W104),$W$2:$W$1001,0),1)&gt;=100000,INDEX($AD$1005:$AU$1005,1,MATCH(COLUMNS($AD$1006:AO1006),$AD$1006:$AU$1006,0))&gt;=100000), " ",IF(INDEX($AD$2:$AU$1001,MATCH(ROWS($W$2:W104),$W$2:$W$1001,0),MATCH(COLUMNS($AD$1006:AO1006),$AD$1006:$AU$1006,0)), HYPERLINK("#",""), HYPERLINK(CONCATENATE("#metadata!", ADDRESS(INDEX($Y$2:$Y$1001,MATCH(ROWS($W$2:W104),$W$2:$W$1001,0),0), INDEX($AD$1004:$AU$1004,1,MATCH(COLUMNS($AD$1006:AO1006),$AD$1006:$AU$1006,0)))),"Fix")))</f>
        <v xml:space="preserve"> </v>
      </c>
      <c r="N104" s="4" t="str">
        <f ca="1">IF(OR(INDEX($X$2:$X$1001,MATCH(ROWS($W$2:W104),$W$2:$W$1001,0),1)&gt;=100000,INDEX($AD$1005:$AU$1005,1,MATCH(COLUMNS($AD$1006:AP1006),$AD$1006:$AU$1006,0))&gt;=100000), " ",IF(INDEX($AD$2:$AU$1001,MATCH(ROWS($W$2:W104),$W$2:$W$1001,0),MATCH(COLUMNS($AD$1006:AP1006),$AD$1006:$AU$1006,0)), HYPERLINK("#",""), HYPERLINK(CONCATENATE("#metadata!", ADDRESS(INDEX($Y$2:$Y$1001,MATCH(ROWS($W$2:W104),$W$2:$W$1001,0),0), INDEX($AD$1004:$AU$1004,1,MATCH(COLUMNS($AD$1006:AP1006),$AD$1006:$AU$1006,0)))),"Fix")))</f>
        <v xml:space="preserve"> </v>
      </c>
      <c r="O104" s="4" t="str">
        <f ca="1">IF(OR(INDEX($X$2:$X$1001,MATCH(ROWS($W$2:W104),$W$2:$W$1001,0),1)&gt;=100000,INDEX($AD$1005:$AU$1005,1,MATCH(COLUMNS($AD$1006:AQ1006),$AD$1006:$AU$1006,0))&gt;=100000), " ",IF(INDEX($AD$2:$AU$1001,MATCH(ROWS($W$2:W104),$W$2:$W$1001,0),MATCH(COLUMNS($AD$1006:AQ1006),$AD$1006:$AU$1006,0)), HYPERLINK("#",""), HYPERLINK(CONCATENATE("#metadata!", ADDRESS(INDEX($Y$2:$Y$1001,MATCH(ROWS($W$2:W104),$W$2:$W$1001,0),0), INDEX($AD$1004:$AU$1004,1,MATCH(COLUMNS($AD$1006:AQ1006),$AD$1006:$AU$1006,0)))),"Fix")))</f>
        <v xml:space="preserve"> </v>
      </c>
      <c r="P104" s="4" t="str">
        <f ca="1">IF(OR(INDEX($X$2:$X$1001,MATCH(ROWS($W$2:W104),$W$2:$W$1001,0),1)&gt;=100000,INDEX($AD$1005:$AU$1005,1,MATCH(COLUMNS($AD$1006:AR1006),$AD$1006:$AU$1006,0))&gt;=100000), " ",IF(INDEX($AD$2:$AU$1001,MATCH(ROWS($W$2:W104),$W$2:$W$1001,0),MATCH(COLUMNS($AD$1006:AR1006),$AD$1006:$AU$1006,0)), HYPERLINK("#",""), HYPERLINK(CONCATENATE("#metadata!", ADDRESS(INDEX($Y$2:$Y$1001,MATCH(ROWS($W$2:W104),$W$2:$W$1001,0),0), INDEX($AD$1004:$AU$1004,1,MATCH(COLUMNS($AD$1006:AR1006),$AD$1006:$AU$1006,0)))),"Fix")))</f>
        <v xml:space="preserve"> </v>
      </c>
      <c r="Q104" s="4" t="str">
        <f ca="1">IF(OR(INDEX($X$2:$X$1001,MATCH(ROWS($W$2:W104),$W$2:$W$1001,0),1)&gt;=100000,INDEX($AD$1005:$AU$1005,1,MATCH(COLUMNS($AD$1006:AS1006),$AD$1006:$AU$1006,0))&gt;=100000), " ",IF(INDEX($AD$2:$AU$1001,MATCH(ROWS($W$2:W104),$W$2:$W$1001,0),MATCH(COLUMNS($AD$1006:AS1006),$AD$1006:$AU$1006,0)), HYPERLINK("#",""), HYPERLINK(CONCATENATE("#metadata!", ADDRESS(INDEX($Y$2:$Y$1001,MATCH(ROWS($W$2:W104),$W$2:$W$1001,0),0), INDEX($AD$1004:$AU$1004,1,MATCH(COLUMNS($AD$1006:AS1006),$AD$1006:$AU$1006,0)))),"Fix")))</f>
        <v xml:space="preserve"> </v>
      </c>
      <c r="R104" s="4" t="str">
        <f ca="1">IF(OR(INDEX($X$2:$X$1001,MATCH(ROWS($W$2:W104),$W$2:$W$1001,0),1)&gt;=100000,INDEX($AD$1005:$AU$1005,1,MATCH(COLUMNS($AD$1006:AT1006),$AD$1006:$AU$1006,0))&gt;=100000), " ",IF(INDEX($AD$2:$AU$1001,MATCH(ROWS($W$2:W104),$W$2:$W$1001,0),MATCH(COLUMNS($AD$1006:AT1006),$AD$1006:$AU$1006,0)), HYPERLINK("#",""), HYPERLINK(CONCATENATE("#metadata!", ADDRESS(INDEX($Y$2:$Y$1001,MATCH(ROWS($W$2:W104),$W$2:$W$1001,0),0), INDEX($AD$1004:$AU$1004,1,MATCH(COLUMNS($AD$1006:AT1006),$AD$1006:$AU$1006,0)))),"Fix")))</f>
        <v xml:space="preserve"> </v>
      </c>
      <c r="S104" s="4" t="str">
        <f ca="1">IF(OR(INDEX($X$2:$X$1001,MATCH(ROWS($W$2:W104),$W$2:$W$1001,0),1)&gt;=100000,INDEX($AD$1005:$AU$1005,1,MATCH(COLUMNS($AD$1006:AU1006),$AD$1006:$AU$1006,0))&gt;=100000), " ",IF(INDEX($AD$2:$AU$1001,MATCH(ROWS($W$2:W104),$W$2:$W$1001,0),MATCH(COLUMNS($AD$1006:AU1006),$AD$1006:$AU$1006,0)), HYPERLINK("#",""), HYPERLINK(CONCATENATE("#metadata!", ADDRESS(INDEX($Y$2:$Y$1001,MATCH(ROWS($W$2:W104),$W$2:$W$1001,0),0), INDEX($AD$1004:$AU$1004,1,MATCH(COLUMNS($AD$1006:AU1006),$AD$1006:$AU$1006,0)))),"Fix")))</f>
        <v xml:space="preserve"> </v>
      </c>
      <c r="W104">
        <v>103</v>
      </c>
      <c r="X104">
        <v>100104</v>
      </c>
      <c r="Y104">
        <v>104</v>
      </c>
      <c r="Z104" t="b">
        <f t="shared" si="1"/>
        <v>1</v>
      </c>
      <c r="AA104" t="b">
        <f>COUNTBLANK(metadata!B104:S104)=COLUMNS(metadata!B104:S104)</f>
        <v>1</v>
      </c>
      <c r="AB104" t="str">
        <v/>
      </c>
      <c r="AD104" t="b">
        <f ca="1">AND(IF(metadata!B104="",FALSE,TRUE),COUNTIF(metadata!B:B, metadata!B104) = 1,NOT(ISERROR(SUMPRODUCT(SEARCH(MID(metadata!B104,ROW(INDIRECT("1:"&amp;LEN(metadata!B104))), 1),"0123456789abcdefghijklmnopqrstuvwxyzABCDEFGHIJKLMNOPQRSTUVWXYZ.")))))</f>
        <v>0</v>
      </c>
      <c r="AE104" t="b">
        <f>OR(AND(IF(metadata!C104="",FALSE,TRUE),OR(EXACT(metadata!C104,"not applicable"),EXACT(metadata!C104,"missing: not collected"),EXACT(metadata!C104,"missing: not provided"),EXACT(metadata!C104,"missing: restricted access"))),AND(IF(metadata!C104="",FALSE,ISNUMBER(VALUE(metadata!C104))),metadata!C104&gt;0))</f>
        <v>0</v>
      </c>
      <c r="AF104" t="b">
        <f>AND(IF(metadata!D104="",FALSE,TRUE),EXACT(metadata!D104,"missing: not provided"))</f>
        <v>0</v>
      </c>
      <c r="AG104" t="b">
        <f>AND(IF(metadata!E104="",FALSE,TRUE),EXACT(metadata!E104,"Host-associated"))</f>
        <v>0</v>
      </c>
      <c r="AH104" t="b">
        <f>AND(IF(metadata!F104="",FALSE,TRUE),OR(EXACT(metadata!F104,"Animal"),EXACT(metadata!F104,"Fungus"),EXACT(metadata!F104,"Plant")))</f>
        <v>0</v>
      </c>
      <c r="AI104" t="b">
        <f>AND(IF(metadata!G104="",FALSE,TRUE),OR(EXACT(metadata!G104,"Plant secretion"),EXACT(metadata!G104,"Plant rhizosphere"),EXACT(metadata!G104,"Plant surface"),EXACT(metadata!G104,"Plant corpus"),EXACT(metadata!G104,"Fungus surface"),EXACT(metadata!G104,"Fungus corpus"),EXACT(metadata!G104,"Animal surface"),EXACT(metadata!G104,"Animal proximal gut"),EXACT(metadata!G104,"Animal corpus"),EXACT(metadata!G104,"Animal distal gut"),EXACT(metadata!G104,"Animal secretion")))</f>
        <v>0</v>
      </c>
      <c r="AJ104" t="b">
        <f>OR(AND(IF(metadata!H104="",FALSE,TRUE),OR(EXACT(metadata!H104,"missing: not collected"),EXACT(metadata!H104,"missing: not provided"),EXACT(metadata!H104,"missing: restricted access"))),AND(IF(metadata!H104="",FALSE,TRUE),OR(EXACT(metadata!H104,"organism-associated habitat"),EXACT(metadata!H104,"plant-associated habitat"),EXACT(metadata!H104,"animal-associated habitat"),EXACT(metadata!H104,"insecta-associated habitat"),EXACT(metadata!H104,"mammalia-associated habitat"),EXACT(metadata!H104,"human-associated habitat"),EXACT(metadata!H104,"livestock-associated habitat"))))</f>
        <v>0</v>
      </c>
      <c r="AK104" t="b">
        <f>AND(IF(metadata!I104="",FALSE,TRUE),EXACT(metadata!I104,"host-associated"))</f>
        <v>0</v>
      </c>
      <c r="AL104" t="b">
        <f>OR(AND(IF(metadata!J104="",FALSE,TRUE),OR(EXACT(metadata!J104,"not applicable"),EXACT(metadata!J104,"missing: not collected"),EXACT(metadata!J104,"missing: not provided"),EXACT(metadata!J104,"missing: restricted access"))),AND(IF(metadata!J104="",FALSE,ISNUMBER(VALUE(metadata!J104))),metadata!J104&gt;0))</f>
        <v>0</v>
      </c>
      <c r="AM104" t="b">
        <f>AND(IF(metadata!K104="",FALSE,TRUE),EXACT(metadata!K104,"missing: not provided"))</f>
        <v>0</v>
      </c>
      <c r="AN104" t="b">
        <f>IF(metadata!L104="",FALSE,TRUE)</f>
        <v>0</v>
      </c>
      <c r="AO104" t="b">
        <f>IF(metadata!M104="",FALSE,TRUE)</f>
        <v>0</v>
      </c>
      <c r="AP104" t="b">
        <f>OR(AND(IF(metadata!N104="",FALSE,TRUE),OR(EXACT(metadata!N104,"not applicable"),EXACT(metadata!N104,"missing: not collected"),EXACT(metadata!N104,"missing: not provided"))),AND(IF(metadata!N104="",FALSE,IF(ISERROR(INT(metadata!N104)),FALSE,INT(metadata!N104)=metadata!N104)),metadata!N104&gt;0))</f>
        <v>0</v>
      </c>
      <c r="AQ104" t="b">
        <f>AND(IF(metadata!O104="",FALSE,TRUE),EXACT(metadata!O104,"Not applicable"))</f>
        <v>0</v>
      </c>
      <c r="AR104" t="b">
        <f>OR(AND(IF(metadata!P104="",FALSE,TRUE),OR(EXACT(metadata!P104,"not applicable"),EXACT(metadata!P104,"missing: not collected"),EXACT(metadata!P104,"missing: not provided"),EXACT(metadata!P104,"missing: restricted access"))),IF(metadata!P104="",FALSE,IF(ISERROR(INT(metadata!P104)),FALSE,INT(metadata!P104)=metadata!P104)))</f>
        <v>0</v>
      </c>
      <c r="AS104" t="b">
        <f>AND(IF(metadata!Q104="",FALSE,TRUE),EXACT(metadata!Q104,"Not applicable"))</f>
        <v>0</v>
      </c>
      <c r="AT104" t="b">
        <f>OR(AND(IF(metadata!R104="",FALSE,TRUE),OR(EXACT(metadata!R104,"not applicable"),EXACT(metadata!R104,"missing: not collected"),EXACT(metadata!R104,"missing: not provided"),EXACT(metadata!R104,"missing: restricted access"))),AND(IF(metadata!R104="",FALSE,ISNUMBER(VALUE(metadata!R104))),metadata!R104&gt;0))</f>
        <v>0</v>
      </c>
      <c r="AU104" t="b">
        <f>AND(IF(metadata!S104="",FALSE,TRUE),EXACT(metadata!S104,"missing: not provided"))</f>
        <v>0</v>
      </c>
    </row>
    <row r="105" spans="1:47" x14ac:dyDescent="0.2">
      <c r="A105" s="5" t="str">
        <f ca="1">IF(B105=" "," ",HYPERLINK(CONCATENATE("#metadata!",ADDRESS(INDEX($Y$2:$Y$1001,MATCH(ROWS($W$2:W105),$W$2:$W$1001,0),0),1)),INDEX($AB$2:$AB$1001,MATCH(ROWS($W$2:W105),$W$2:$W$1001,0),0)))</f>
        <v xml:space="preserve"> </v>
      </c>
      <c r="B105" s="4" t="str">
        <f ca="1">IF(OR(INDEX($X$2:$X$1001,MATCH(ROWS($W$2:W105),$W$2:$W$1001,0),1)&gt;=100000,INDEX($AD$1005:$AU$1005,1,MATCH(COLUMNS($AD$1006:AD1006),$AD$1006:$AU$1006,0))&gt;=100000), " ",IF(INDEX($AD$2:$AU$1001,MATCH(ROWS($W$2:W105),$W$2:$W$1001,0),MATCH(COLUMNS($AD$1006:AD1006),$AD$1006:$AU$1006,0)), HYPERLINK("#",""), HYPERLINK(CONCATENATE("#metadata!", ADDRESS(INDEX($Y$2:$Y$1001,MATCH(ROWS($W$2:W105),$W$2:$W$1001,0),0), INDEX($AD$1004:$AU$1004,1,MATCH(COLUMNS($AD$1006:AD1006),$AD$1006:$AU$1006,0)))),"Fix")))</f>
        <v xml:space="preserve"> </v>
      </c>
      <c r="C105" s="4" t="str">
        <f ca="1">IF(OR(INDEX($X$2:$X$1001,MATCH(ROWS($W$2:W105),$W$2:$W$1001,0),1)&gt;=100000,INDEX($AD$1005:$AU$1005,1,MATCH(COLUMNS($AD$1006:AE1006),$AD$1006:$AU$1006,0))&gt;=100000), " ",IF(INDEX($AD$2:$AU$1001,MATCH(ROWS($W$2:W105),$W$2:$W$1001,0),MATCH(COLUMNS($AD$1006:AE1006),$AD$1006:$AU$1006,0)), HYPERLINK("#",""), HYPERLINK(CONCATENATE("#metadata!", ADDRESS(INDEX($Y$2:$Y$1001,MATCH(ROWS($W$2:W105),$W$2:$W$1001,0),0), INDEX($AD$1004:$AU$1004,1,MATCH(COLUMNS($AD$1006:AE1006),$AD$1006:$AU$1006,0)))),"Fix")))</f>
        <v xml:space="preserve"> </v>
      </c>
      <c r="D105" s="4" t="str">
        <f ca="1">IF(OR(INDEX($X$2:$X$1001,MATCH(ROWS($W$2:W105),$W$2:$W$1001,0),1)&gt;=100000,INDEX($AD$1005:$AU$1005,1,MATCH(COLUMNS($AD$1006:AF1006),$AD$1006:$AU$1006,0))&gt;=100000), " ",IF(INDEX($AD$2:$AU$1001,MATCH(ROWS($W$2:W105),$W$2:$W$1001,0),MATCH(COLUMNS($AD$1006:AF1006),$AD$1006:$AU$1006,0)), HYPERLINK("#",""), HYPERLINK(CONCATENATE("#metadata!", ADDRESS(INDEX($Y$2:$Y$1001,MATCH(ROWS($W$2:W105),$W$2:$W$1001,0),0), INDEX($AD$1004:$AU$1004,1,MATCH(COLUMNS($AD$1006:AF1006),$AD$1006:$AU$1006,0)))),"Fix")))</f>
        <v xml:space="preserve"> </v>
      </c>
      <c r="E105" s="4" t="str">
        <f ca="1">IF(OR(INDEX($X$2:$X$1001,MATCH(ROWS($W$2:W105),$W$2:$W$1001,0),1)&gt;=100000,INDEX($AD$1005:$AU$1005,1,MATCH(COLUMNS($AD$1006:AG1006),$AD$1006:$AU$1006,0))&gt;=100000), " ",IF(INDEX($AD$2:$AU$1001,MATCH(ROWS($W$2:W105),$W$2:$W$1001,0),MATCH(COLUMNS($AD$1006:AG1006),$AD$1006:$AU$1006,0)), HYPERLINK("#",""), HYPERLINK(CONCATENATE("#metadata!", ADDRESS(INDEX($Y$2:$Y$1001,MATCH(ROWS($W$2:W105),$W$2:$W$1001,0),0), INDEX($AD$1004:$AU$1004,1,MATCH(COLUMNS($AD$1006:AG1006),$AD$1006:$AU$1006,0)))),"Fix")))</f>
        <v xml:space="preserve"> </v>
      </c>
      <c r="F105" s="4" t="str">
        <f ca="1">IF(OR(INDEX($X$2:$X$1001,MATCH(ROWS($W$2:W105),$W$2:$W$1001,0),1)&gt;=100000,INDEX($AD$1005:$AU$1005,1,MATCH(COLUMNS($AD$1006:AH1006),$AD$1006:$AU$1006,0))&gt;=100000), " ",IF(INDEX($AD$2:$AU$1001,MATCH(ROWS($W$2:W105),$W$2:$W$1001,0),MATCH(COLUMNS($AD$1006:AH1006),$AD$1006:$AU$1006,0)), HYPERLINK("#",""), HYPERLINK(CONCATENATE("#metadata!", ADDRESS(INDEX($Y$2:$Y$1001,MATCH(ROWS($W$2:W105),$W$2:$W$1001,0),0), INDEX($AD$1004:$AU$1004,1,MATCH(COLUMNS($AD$1006:AH1006),$AD$1006:$AU$1006,0)))),"Fix")))</f>
        <v xml:space="preserve"> </v>
      </c>
      <c r="G105" s="4" t="str">
        <f ca="1">IF(OR(INDEX($X$2:$X$1001,MATCH(ROWS($W$2:W105),$W$2:$W$1001,0),1)&gt;=100000,INDEX($AD$1005:$AU$1005,1,MATCH(COLUMNS($AD$1006:AI1006),$AD$1006:$AU$1006,0))&gt;=100000), " ",IF(INDEX($AD$2:$AU$1001,MATCH(ROWS($W$2:W105),$W$2:$W$1001,0),MATCH(COLUMNS($AD$1006:AI1006),$AD$1006:$AU$1006,0)), HYPERLINK("#",""), HYPERLINK(CONCATENATE("#metadata!", ADDRESS(INDEX($Y$2:$Y$1001,MATCH(ROWS($W$2:W105),$W$2:$W$1001,0),0), INDEX($AD$1004:$AU$1004,1,MATCH(COLUMNS($AD$1006:AI1006),$AD$1006:$AU$1006,0)))),"Fix")))</f>
        <v xml:space="preserve"> </v>
      </c>
      <c r="H105" s="4" t="str">
        <f ca="1">IF(OR(INDEX($X$2:$X$1001,MATCH(ROWS($W$2:W105),$W$2:$W$1001,0),1)&gt;=100000,INDEX($AD$1005:$AU$1005,1,MATCH(COLUMNS($AD$1006:AJ1006),$AD$1006:$AU$1006,0))&gt;=100000), " ",IF(INDEX($AD$2:$AU$1001,MATCH(ROWS($W$2:W105),$W$2:$W$1001,0),MATCH(COLUMNS($AD$1006:AJ1006),$AD$1006:$AU$1006,0)), HYPERLINK("#",""), HYPERLINK(CONCATENATE("#metadata!", ADDRESS(INDEX($Y$2:$Y$1001,MATCH(ROWS($W$2:W105),$W$2:$W$1001,0),0), INDEX($AD$1004:$AU$1004,1,MATCH(COLUMNS($AD$1006:AJ1006),$AD$1006:$AU$1006,0)))),"Fix")))</f>
        <v xml:space="preserve"> </v>
      </c>
      <c r="I105" s="4" t="str">
        <f ca="1">IF(OR(INDEX($X$2:$X$1001,MATCH(ROWS($W$2:W105),$W$2:$W$1001,0),1)&gt;=100000,INDEX($AD$1005:$AU$1005,1,MATCH(COLUMNS($AD$1006:AK1006),$AD$1006:$AU$1006,0))&gt;=100000), " ",IF(INDEX($AD$2:$AU$1001,MATCH(ROWS($W$2:W105),$W$2:$W$1001,0),MATCH(COLUMNS($AD$1006:AK1006),$AD$1006:$AU$1006,0)), HYPERLINK("#",""), HYPERLINK(CONCATENATE("#metadata!", ADDRESS(INDEX($Y$2:$Y$1001,MATCH(ROWS($W$2:W105),$W$2:$W$1001,0),0), INDEX($AD$1004:$AU$1004,1,MATCH(COLUMNS($AD$1006:AK1006),$AD$1006:$AU$1006,0)))),"Fix")))</f>
        <v xml:space="preserve"> </v>
      </c>
      <c r="J105" s="4" t="str">
        <f ca="1">IF(OR(INDEX($X$2:$X$1001,MATCH(ROWS($W$2:W105),$W$2:$W$1001,0),1)&gt;=100000,INDEX($AD$1005:$AU$1005,1,MATCH(COLUMNS($AD$1006:AL1006),$AD$1006:$AU$1006,0))&gt;=100000), " ",IF(INDEX($AD$2:$AU$1001,MATCH(ROWS($W$2:W105),$W$2:$W$1001,0),MATCH(COLUMNS($AD$1006:AL1006),$AD$1006:$AU$1006,0)), HYPERLINK("#",""), HYPERLINK(CONCATENATE("#metadata!", ADDRESS(INDEX($Y$2:$Y$1001,MATCH(ROWS($W$2:W105),$W$2:$W$1001,0),0), INDEX($AD$1004:$AU$1004,1,MATCH(COLUMNS($AD$1006:AL1006),$AD$1006:$AU$1006,0)))),"Fix")))</f>
        <v xml:space="preserve"> </v>
      </c>
      <c r="K105" s="4" t="str">
        <f ca="1">IF(OR(INDEX($X$2:$X$1001,MATCH(ROWS($W$2:W105),$W$2:$W$1001,0),1)&gt;=100000,INDEX($AD$1005:$AU$1005,1,MATCH(COLUMNS($AD$1006:AM1006),$AD$1006:$AU$1006,0))&gt;=100000), " ",IF(INDEX($AD$2:$AU$1001,MATCH(ROWS($W$2:W105),$W$2:$W$1001,0),MATCH(COLUMNS($AD$1006:AM1006),$AD$1006:$AU$1006,0)), HYPERLINK("#",""), HYPERLINK(CONCATENATE("#metadata!", ADDRESS(INDEX($Y$2:$Y$1001,MATCH(ROWS($W$2:W105),$W$2:$W$1001,0),0), INDEX($AD$1004:$AU$1004,1,MATCH(COLUMNS($AD$1006:AM1006),$AD$1006:$AU$1006,0)))),"Fix")))</f>
        <v xml:space="preserve"> </v>
      </c>
      <c r="L105" s="4" t="str">
        <f ca="1">IF(OR(INDEX($X$2:$X$1001,MATCH(ROWS($W$2:W105),$W$2:$W$1001,0),1)&gt;=100000,INDEX($AD$1005:$AU$1005,1,MATCH(COLUMNS($AD$1006:AN1006),$AD$1006:$AU$1006,0))&gt;=100000), " ",IF(INDEX($AD$2:$AU$1001,MATCH(ROWS($W$2:W105),$W$2:$W$1001,0),MATCH(COLUMNS($AD$1006:AN1006),$AD$1006:$AU$1006,0)), HYPERLINK("#",""), HYPERLINK(CONCATENATE("#metadata!", ADDRESS(INDEX($Y$2:$Y$1001,MATCH(ROWS($W$2:W105),$W$2:$W$1001,0),0), INDEX($AD$1004:$AU$1004,1,MATCH(COLUMNS($AD$1006:AN1006),$AD$1006:$AU$1006,0)))),"Fix")))</f>
        <v xml:space="preserve"> </v>
      </c>
      <c r="M105" s="4" t="str">
        <f ca="1">IF(OR(INDEX($X$2:$X$1001,MATCH(ROWS($W$2:W105),$W$2:$W$1001,0),1)&gt;=100000,INDEX($AD$1005:$AU$1005,1,MATCH(COLUMNS($AD$1006:AO1006),$AD$1006:$AU$1006,0))&gt;=100000), " ",IF(INDEX($AD$2:$AU$1001,MATCH(ROWS($W$2:W105),$W$2:$W$1001,0),MATCH(COLUMNS($AD$1006:AO1006),$AD$1006:$AU$1006,0)), HYPERLINK("#",""), HYPERLINK(CONCATENATE("#metadata!", ADDRESS(INDEX($Y$2:$Y$1001,MATCH(ROWS($W$2:W105),$W$2:$W$1001,0),0), INDEX($AD$1004:$AU$1004,1,MATCH(COLUMNS($AD$1006:AO1006),$AD$1006:$AU$1006,0)))),"Fix")))</f>
        <v xml:space="preserve"> </v>
      </c>
      <c r="N105" s="4" t="str">
        <f ca="1">IF(OR(INDEX($X$2:$X$1001,MATCH(ROWS($W$2:W105),$W$2:$W$1001,0),1)&gt;=100000,INDEX($AD$1005:$AU$1005,1,MATCH(COLUMNS($AD$1006:AP1006),$AD$1006:$AU$1006,0))&gt;=100000), " ",IF(INDEX($AD$2:$AU$1001,MATCH(ROWS($W$2:W105),$W$2:$W$1001,0),MATCH(COLUMNS($AD$1006:AP1006),$AD$1006:$AU$1006,0)), HYPERLINK("#",""), HYPERLINK(CONCATENATE("#metadata!", ADDRESS(INDEX($Y$2:$Y$1001,MATCH(ROWS($W$2:W105),$W$2:$W$1001,0),0), INDEX($AD$1004:$AU$1004,1,MATCH(COLUMNS($AD$1006:AP1006),$AD$1006:$AU$1006,0)))),"Fix")))</f>
        <v xml:space="preserve"> </v>
      </c>
      <c r="O105" s="4" t="str">
        <f ca="1">IF(OR(INDEX($X$2:$X$1001,MATCH(ROWS($W$2:W105),$W$2:$W$1001,0),1)&gt;=100000,INDEX($AD$1005:$AU$1005,1,MATCH(COLUMNS($AD$1006:AQ1006),$AD$1006:$AU$1006,0))&gt;=100000), " ",IF(INDEX($AD$2:$AU$1001,MATCH(ROWS($W$2:W105),$W$2:$W$1001,0),MATCH(COLUMNS($AD$1006:AQ1006),$AD$1006:$AU$1006,0)), HYPERLINK("#",""), HYPERLINK(CONCATENATE("#metadata!", ADDRESS(INDEX($Y$2:$Y$1001,MATCH(ROWS($W$2:W105),$W$2:$W$1001,0),0), INDEX($AD$1004:$AU$1004,1,MATCH(COLUMNS($AD$1006:AQ1006),$AD$1006:$AU$1006,0)))),"Fix")))</f>
        <v xml:space="preserve"> </v>
      </c>
      <c r="P105" s="4" t="str">
        <f ca="1">IF(OR(INDEX($X$2:$X$1001,MATCH(ROWS($W$2:W105),$W$2:$W$1001,0),1)&gt;=100000,INDEX($AD$1005:$AU$1005,1,MATCH(COLUMNS($AD$1006:AR1006),$AD$1006:$AU$1006,0))&gt;=100000), " ",IF(INDEX($AD$2:$AU$1001,MATCH(ROWS($W$2:W105),$W$2:$W$1001,0),MATCH(COLUMNS($AD$1006:AR1006),$AD$1006:$AU$1006,0)), HYPERLINK("#",""), HYPERLINK(CONCATENATE("#metadata!", ADDRESS(INDEX($Y$2:$Y$1001,MATCH(ROWS($W$2:W105),$W$2:$W$1001,0),0), INDEX($AD$1004:$AU$1004,1,MATCH(COLUMNS($AD$1006:AR1006),$AD$1006:$AU$1006,0)))),"Fix")))</f>
        <v xml:space="preserve"> </v>
      </c>
      <c r="Q105" s="4" t="str">
        <f ca="1">IF(OR(INDEX($X$2:$X$1001,MATCH(ROWS($W$2:W105),$W$2:$W$1001,0),1)&gt;=100000,INDEX($AD$1005:$AU$1005,1,MATCH(COLUMNS($AD$1006:AS1006),$AD$1006:$AU$1006,0))&gt;=100000), " ",IF(INDEX($AD$2:$AU$1001,MATCH(ROWS($W$2:W105),$W$2:$W$1001,0),MATCH(COLUMNS($AD$1006:AS1006),$AD$1006:$AU$1006,0)), HYPERLINK("#",""), HYPERLINK(CONCATENATE("#metadata!", ADDRESS(INDEX($Y$2:$Y$1001,MATCH(ROWS($W$2:W105),$W$2:$W$1001,0),0), INDEX($AD$1004:$AU$1004,1,MATCH(COLUMNS($AD$1006:AS1006),$AD$1006:$AU$1006,0)))),"Fix")))</f>
        <v xml:space="preserve"> </v>
      </c>
      <c r="R105" s="4" t="str">
        <f ca="1">IF(OR(INDEX($X$2:$X$1001,MATCH(ROWS($W$2:W105),$W$2:$W$1001,0),1)&gt;=100000,INDEX($AD$1005:$AU$1005,1,MATCH(COLUMNS($AD$1006:AT1006),$AD$1006:$AU$1006,0))&gt;=100000), " ",IF(INDEX($AD$2:$AU$1001,MATCH(ROWS($W$2:W105),$W$2:$W$1001,0),MATCH(COLUMNS($AD$1006:AT1006),$AD$1006:$AU$1006,0)), HYPERLINK("#",""), HYPERLINK(CONCATENATE("#metadata!", ADDRESS(INDEX($Y$2:$Y$1001,MATCH(ROWS($W$2:W105),$W$2:$W$1001,0),0), INDEX($AD$1004:$AU$1004,1,MATCH(COLUMNS($AD$1006:AT1006),$AD$1006:$AU$1006,0)))),"Fix")))</f>
        <v xml:space="preserve"> </v>
      </c>
      <c r="S105" s="4" t="str">
        <f ca="1">IF(OR(INDEX($X$2:$X$1001,MATCH(ROWS($W$2:W105),$W$2:$W$1001,0),1)&gt;=100000,INDEX($AD$1005:$AU$1005,1,MATCH(COLUMNS($AD$1006:AU1006),$AD$1006:$AU$1006,0))&gt;=100000), " ",IF(INDEX($AD$2:$AU$1001,MATCH(ROWS($W$2:W105),$W$2:$W$1001,0),MATCH(COLUMNS($AD$1006:AU1006),$AD$1006:$AU$1006,0)), HYPERLINK("#",""), HYPERLINK(CONCATENATE("#metadata!", ADDRESS(INDEX($Y$2:$Y$1001,MATCH(ROWS($W$2:W105),$W$2:$W$1001,0),0), INDEX($AD$1004:$AU$1004,1,MATCH(COLUMNS($AD$1006:AU1006),$AD$1006:$AU$1006,0)))),"Fix")))</f>
        <v xml:space="preserve"> </v>
      </c>
      <c r="W105">
        <v>104</v>
      </c>
      <c r="X105">
        <v>100105</v>
      </c>
      <c r="Y105">
        <v>105</v>
      </c>
      <c r="Z105" t="b">
        <f t="shared" si="1"/>
        <v>1</v>
      </c>
      <c r="AA105" t="b">
        <f>COUNTBLANK(metadata!B105:S105)=COLUMNS(metadata!B105:S105)</f>
        <v>1</v>
      </c>
      <c r="AB105" t="str">
        <v/>
      </c>
      <c r="AD105" t="b">
        <f ca="1">AND(IF(metadata!B105="",FALSE,TRUE),COUNTIF(metadata!B:B, metadata!B105) = 1,NOT(ISERROR(SUMPRODUCT(SEARCH(MID(metadata!B105,ROW(INDIRECT("1:"&amp;LEN(metadata!B105))), 1),"0123456789abcdefghijklmnopqrstuvwxyzABCDEFGHIJKLMNOPQRSTUVWXYZ.")))))</f>
        <v>0</v>
      </c>
      <c r="AE105" t="b">
        <f>OR(AND(IF(metadata!C105="",FALSE,TRUE),OR(EXACT(metadata!C105,"not applicable"),EXACT(metadata!C105,"missing: not collected"),EXACT(metadata!C105,"missing: not provided"),EXACT(metadata!C105,"missing: restricted access"))),AND(IF(metadata!C105="",FALSE,ISNUMBER(VALUE(metadata!C105))),metadata!C105&gt;0))</f>
        <v>0</v>
      </c>
      <c r="AF105" t="b">
        <f>AND(IF(metadata!D105="",FALSE,TRUE),EXACT(metadata!D105,"missing: not provided"))</f>
        <v>0</v>
      </c>
      <c r="AG105" t="b">
        <f>AND(IF(metadata!E105="",FALSE,TRUE),EXACT(metadata!E105,"Host-associated"))</f>
        <v>0</v>
      </c>
      <c r="AH105" t="b">
        <f>AND(IF(metadata!F105="",FALSE,TRUE),OR(EXACT(metadata!F105,"Animal"),EXACT(metadata!F105,"Fungus"),EXACT(metadata!F105,"Plant")))</f>
        <v>0</v>
      </c>
      <c r="AI105" t="b">
        <f>AND(IF(metadata!G105="",FALSE,TRUE),OR(EXACT(metadata!G105,"Plant secretion"),EXACT(metadata!G105,"Plant rhizosphere"),EXACT(metadata!G105,"Plant surface"),EXACT(metadata!G105,"Plant corpus"),EXACT(metadata!G105,"Fungus surface"),EXACT(metadata!G105,"Fungus corpus"),EXACT(metadata!G105,"Animal surface"),EXACT(metadata!G105,"Animal proximal gut"),EXACT(metadata!G105,"Animal corpus"),EXACT(metadata!G105,"Animal distal gut"),EXACT(metadata!G105,"Animal secretion")))</f>
        <v>0</v>
      </c>
      <c r="AJ105" t="b">
        <f>OR(AND(IF(metadata!H105="",FALSE,TRUE),OR(EXACT(metadata!H105,"missing: not collected"),EXACT(metadata!H105,"missing: not provided"),EXACT(metadata!H105,"missing: restricted access"))),AND(IF(metadata!H105="",FALSE,TRUE),OR(EXACT(metadata!H105,"organism-associated habitat"),EXACT(metadata!H105,"plant-associated habitat"),EXACT(metadata!H105,"animal-associated habitat"),EXACT(metadata!H105,"insecta-associated habitat"),EXACT(metadata!H105,"mammalia-associated habitat"),EXACT(metadata!H105,"human-associated habitat"),EXACT(metadata!H105,"livestock-associated habitat"))))</f>
        <v>0</v>
      </c>
      <c r="AK105" t="b">
        <f>AND(IF(metadata!I105="",FALSE,TRUE),EXACT(metadata!I105,"host-associated"))</f>
        <v>0</v>
      </c>
      <c r="AL105" t="b">
        <f>OR(AND(IF(metadata!J105="",FALSE,TRUE),OR(EXACT(metadata!J105,"not applicable"),EXACT(metadata!J105,"missing: not collected"),EXACT(metadata!J105,"missing: not provided"),EXACT(metadata!J105,"missing: restricted access"))),AND(IF(metadata!J105="",FALSE,ISNUMBER(VALUE(metadata!J105))),metadata!J105&gt;0))</f>
        <v>0</v>
      </c>
      <c r="AM105" t="b">
        <f>AND(IF(metadata!K105="",FALSE,TRUE),EXACT(metadata!K105,"missing: not provided"))</f>
        <v>0</v>
      </c>
      <c r="AN105" t="b">
        <f>IF(metadata!L105="",FALSE,TRUE)</f>
        <v>0</v>
      </c>
      <c r="AO105" t="b">
        <f>IF(metadata!M105="",FALSE,TRUE)</f>
        <v>0</v>
      </c>
      <c r="AP105" t="b">
        <f>OR(AND(IF(metadata!N105="",FALSE,TRUE),OR(EXACT(metadata!N105,"not applicable"),EXACT(metadata!N105,"missing: not collected"),EXACT(metadata!N105,"missing: not provided"))),AND(IF(metadata!N105="",FALSE,IF(ISERROR(INT(metadata!N105)),FALSE,INT(metadata!N105)=metadata!N105)),metadata!N105&gt;0))</f>
        <v>0</v>
      </c>
      <c r="AQ105" t="b">
        <f>AND(IF(metadata!O105="",FALSE,TRUE),EXACT(metadata!O105,"Not applicable"))</f>
        <v>0</v>
      </c>
      <c r="AR105" t="b">
        <f>OR(AND(IF(metadata!P105="",FALSE,TRUE),OR(EXACT(metadata!P105,"not applicable"),EXACT(metadata!P105,"missing: not collected"),EXACT(metadata!P105,"missing: not provided"),EXACT(metadata!P105,"missing: restricted access"))),IF(metadata!P105="",FALSE,IF(ISERROR(INT(metadata!P105)),FALSE,INT(metadata!P105)=metadata!P105)))</f>
        <v>0</v>
      </c>
      <c r="AS105" t="b">
        <f>AND(IF(metadata!Q105="",FALSE,TRUE),EXACT(metadata!Q105,"Not applicable"))</f>
        <v>0</v>
      </c>
      <c r="AT105" t="b">
        <f>OR(AND(IF(metadata!R105="",FALSE,TRUE),OR(EXACT(metadata!R105,"not applicable"),EXACT(metadata!R105,"missing: not collected"),EXACT(metadata!R105,"missing: not provided"),EXACT(metadata!R105,"missing: restricted access"))),AND(IF(metadata!R105="",FALSE,ISNUMBER(VALUE(metadata!R105))),metadata!R105&gt;0))</f>
        <v>0</v>
      </c>
      <c r="AU105" t="b">
        <f>AND(IF(metadata!S105="",FALSE,TRUE),EXACT(metadata!S105,"missing: not provided"))</f>
        <v>0</v>
      </c>
    </row>
    <row r="106" spans="1:47" x14ac:dyDescent="0.2">
      <c r="A106" s="5" t="str">
        <f ca="1">IF(B106=" "," ",HYPERLINK(CONCATENATE("#metadata!",ADDRESS(INDEX($Y$2:$Y$1001,MATCH(ROWS($W$2:W106),$W$2:$W$1001,0),0),1)),INDEX($AB$2:$AB$1001,MATCH(ROWS($W$2:W106),$W$2:$W$1001,0),0)))</f>
        <v xml:space="preserve"> </v>
      </c>
      <c r="B106" s="4" t="str">
        <f ca="1">IF(OR(INDEX($X$2:$X$1001,MATCH(ROWS($W$2:W106),$W$2:$W$1001,0),1)&gt;=100000,INDEX($AD$1005:$AU$1005,1,MATCH(COLUMNS($AD$1006:AD1006),$AD$1006:$AU$1006,0))&gt;=100000), " ",IF(INDEX($AD$2:$AU$1001,MATCH(ROWS($W$2:W106),$W$2:$W$1001,0),MATCH(COLUMNS($AD$1006:AD1006),$AD$1006:$AU$1006,0)), HYPERLINK("#",""), HYPERLINK(CONCATENATE("#metadata!", ADDRESS(INDEX($Y$2:$Y$1001,MATCH(ROWS($W$2:W106),$W$2:$W$1001,0),0), INDEX($AD$1004:$AU$1004,1,MATCH(COLUMNS($AD$1006:AD1006),$AD$1006:$AU$1006,0)))),"Fix")))</f>
        <v xml:space="preserve"> </v>
      </c>
      <c r="C106" s="4" t="str">
        <f ca="1">IF(OR(INDEX($X$2:$X$1001,MATCH(ROWS($W$2:W106),$W$2:$W$1001,0),1)&gt;=100000,INDEX($AD$1005:$AU$1005,1,MATCH(COLUMNS($AD$1006:AE1006),$AD$1006:$AU$1006,0))&gt;=100000), " ",IF(INDEX($AD$2:$AU$1001,MATCH(ROWS($W$2:W106),$W$2:$W$1001,0),MATCH(COLUMNS($AD$1006:AE1006),$AD$1006:$AU$1006,0)), HYPERLINK("#",""), HYPERLINK(CONCATENATE("#metadata!", ADDRESS(INDEX($Y$2:$Y$1001,MATCH(ROWS($W$2:W106),$W$2:$W$1001,0),0), INDEX($AD$1004:$AU$1004,1,MATCH(COLUMNS($AD$1006:AE1006),$AD$1006:$AU$1006,0)))),"Fix")))</f>
        <v xml:space="preserve"> </v>
      </c>
      <c r="D106" s="4" t="str">
        <f ca="1">IF(OR(INDEX($X$2:$X$1001,MATCH(ROWS($W$2:W106),$W$2:$W$1001,0),1)&gt;=100000,INDEX($AD$1005:$AU$1005,1,MATCH(COLUMNS($AD$1006:AF1006),$AD$1006:$AU$1006,0))&gt;=100000), " ",IF(INDEX($AD$2:$AU$1001,MATCH(ROWS($W$2:W106),$W$2:$W$1001,0),MATCH(COLUMNS($AD$1006:AF1006),$AD$1006:$AU$1006,0)), HYPERLINK("#",""), HYPERLINK(CONCATENATE("#metadata!", ADDRESS(INDEX($Y$2:$Y$1001,MATCH(ROWS($W$2:W106),$W$2:$W$1001,0),0), INDEX($AD$1004:$AU$1004,1,MATCH(COLUMNS($AD$1006:AF1006),$AD$1006:$AU$1006,0)))),"Fix")))</f>
        <v xml:space="preserve"> </v>
      </c>
      <c r="E106" s="4" t="str">
        <f ca="1">IF(OR(INDEX($X$2:$X$1001,MATCH(ROWS($W$2:W106),$W$2:$W$1001,0),1)&gt;=100000,INDEX($AD$1005:$AU$1005,1,MATCH(COLUMNS($AD$1006:AG1006),$AD$1006:$AU$1006,0))&gt;=100000), " ",IF(INDEX($AD$2:$AU$1001,MATCH(ROWS($W$2:W106),$W$2:$W$1001,0),MATCH(COLUMNS($AD$1006:AG1006),$AD$1006:$AU$1006,0)), HYPERLINK("#",""), HYPERLINK(CONCATENATE("#metadata!", ADDRESS(INDEX($Y$2:$Y$1001,MATCH(ROWS($W$2:W106),$W$2:$W$1001,0),0), INDEX($AD$1004:$AU$1004,1,MATCH(COLUMNS($AD$1006:AG1006),$AD$1006:$AU$1006,0)))),"Fix")))</f>
        <v xml:space="preserve"> </v>
      </c>
      <c r="F106" s="4" t="str">
        <f ca="1">IF(OR(INDEX($X$2:$X$1001,MATCH(ROWS($W$2:W106),$W$2:$W$1001,0),1)&gt;=100000,INDEX($AD$1005:$AU$1005,1,MATCH(COLUMNS($AD$1006:AH1006),$AD$1006:$AU$1006,0))&gt;=100000), " ",IF(INDEX($AD$2:$AU$1001,MATCH(ROWS($W$2:W106),$W$2:$W$1001,0),MATCH(COLUMNS($AD$1006:AH1006),$AD$1006:$AU$1006,0)), HYPERLINK("#",""), HYPERLINK(CONCATENATE("#metadata!", ADDRESS(INDEX($Y$2:$Y$1001,MATCH(ROWS($W$2:W106),$W$2:$W$1001,0),0), INDEX($AD$1004:$AU$1004,1,MATCH(COLUMNS($AD$1006:AH1006),$AD$1006:$AU$1006,0)))),"Fix")))</f>
        <v xml:space="preserve"> </v>
      </c>
      <c r="G106" s="4" t="str">
        <f ca="1">IF(OR(INDEX($X$2:$X$1001,MATCH(ROWS($W$2:W106),$W$2:$W$1001,0),1)&gt;=100000,INDEX($AD$1005:$AU$1005,1,MATCH(COLUMNS($AD$1006:AI1006),$AD$1006:$AU$1006,0))&gt;=100000), " ",IF(INDEX($AD$2:$AU$1001,MATCH(ROWS($W$2:W106),$W$2:$W$1001,0),MATCH(COLUMNS($AD$1006:AI1006),$AD$1006:$AU$1006,0)), HYPERLINK("#",""), HYPERLINK(CONCATENATE("#metadata!", ADDRESS(INDEX($Y$2:$Y$1001,MATCH(ROWS($W$2:W106),$W$2:$W$1001,0),0), INDEX($AD$1004:$AU$1004,1,MATCH(COLUMNS($AD$1006:AI1006),$AD$1006:$AU$1006,0)))),"Fix")))</f>
        <v xml:space="preserve"> </v>
      </c>
      <c r="H106" s="4" t="str">
        <f ca="1">IF(OR(INDEX($X$2:$X$1001,MATCH(ROWS($W$2:W106),$W$2:$W$1001,0),1)&gt;=100000,INDEX($AD$1005:$AU$1005,1,MATCH(COLUMNS($AD$1006:AJ1006),$AD$1006:$AU$1006,0))&gt;=100000), " ",IF(INDEX($AD$2:$AU$1001,MATCH(ROWS($W$2:W106),$W$2:$W$1001,0),MATCH(COLUMNS($AD$1006:AJ1006),$AD$1006:$AU$1006,0)), HYPERLINK("#",""), HYPERLINK(CONCATENATE("#metadata!", ADDRESS(INDEX($Y$2:$Y$1001,MATCH(ROWS($W$2:W106),$W$2:$W$1001,0),0), INDEX($AD$1004:$AU$1004,1,MATCH(COLUMNS($AD$1006:AJ1006),$AD$1006:$AU$1006,0)))),"Fix")))</f>
        <v xml:space="preserve"> </v>
      </c>
      <c r="I106" s="4" t="str">
        <f ca="1">IF(OR(INDEX($X$2:$X$1001,MATCH(ROWS($W$2:W106),$W$2:$W$1001,0),1)&gt;=100000,INDEX($AD$1005:$AU$1005,1,MATCH(COLUMNS($AD$1006:AK1006),$AD$1006:$AU$1006,0))&gt;=100000), " ",IF(INDEX($AD$2:$AU$1001,MATCH(ROWS($W$2:W106),$W$2:$W$1001,0),MATCH(COLUMNS($AD$1006:AK1006),$AD$1006:$AU$1006,0)), HYPERLINK("#",""), HYPERLINK(CONCATENATE("#metadata!", ADDRESS(INDEX($Y$2:$Y$1001,MATCH(ROWS($W$2:W106),$W$2:$W$1001,0),0), INDEX($AD$1004:$AU$1004,1,MATCH(COLUMNS($AD$1006:AK1006),$AD$1006:$AU$1006,0)))),"Fix")))</f>
        <v xml:space="preserve"> </v>
      </c>
      <c r="J106" s="4" t="str">
        <f ca="1">IF(OR(INDEX($X$2:$X$1001,MATCH(ROWS($W$2:W106),$W$2:$W$1001,0),1)&gt;=100000,INDEX($AD$1005:$AU$1005,1,MATCH(COLUMNS($AD$1006:AL1006),$AD$1006:$AU$1006,0))&gt;=100000), " ",IF(INDEX($AD$2:$AU$1001,MATCH(ROWS($W$2:W106),$W$2:$W$1001,0),MATCH(COLUMNS($AD$1006:AL1006),$AD$1006:$AU$1006,0)), HYPERLINK("#",""), HYPERLINK(CONCATENATE("#metadata!", ADDRESS(INDEX($Y$2:$Y$1001,MATCH(ROWS($W$2:W106),$W$2:$W$1001,0),0), INDEX($AD$1004:$AU$1004,1,MATCH(COLUMNS($AD$1006:AL1006),$AD$1006:$AU$1006,0)))),"Fix")))</f>
        <v xml:space="preserve"> </v>
      </c>
      <c r="K106" s="4" t="str">
        <f ca="1">IF(OR(INDEX($X$2:$X$1001,MATCH(ROWS($W$2:W106),$W$2:$W$1001,0),1)&gt;=100000,INDEX($AD$1005:$AU$1005,1,MATCH(COLUMNS($AD$1006:AM1006),$AD$1006:$AU$1006,0))&gt;=100000), " ",IF(INDEX($AD$2:$AU$1001,MATCH(ROWS($W$2:W106),$W$2:$W$1001,0),MATCH(COLUMNS($AD$1006:AM1006),$AD$1006:$AU$1006,0)), HYPERLINK("#",""), HYPERLINK(CONCATENATE("#metadata!", ADDRESS(INDEX($Y$2:$Y$1001,MATCH(ROWS($W$2:W106),$W$2:$W$1001,0),0), INDEX($AD$1004:$AU$1004,1,MATCH(COLUMNS($AD$1006:AM1006),$AD$1006:$AU$1006,0)))),"Fix")))</f>
        <v xml:space="preserve"> </v>
      </c>
      <c r="L106" s="4" t="str">
        <f ca="1">IF(OR(INDEX($X$2:$X$1001,MATCH(ROWS($W$2:W106),$W$2:$W$1001,0),1)&gt;=100000,INDEX($AD$1005:$AU$1005,1,MATCH(COLUMNS($AD$1006:AN1006),$AD$1006:$AU$1006,0))&gt;=100000), " ",IF(INDEX($AD$2:$AU$1001,MATCH(ROWS($W$2:W106),$W$2:$W$1001,0),MATCH(COLUMNS($AD$1006:AN1006),$AD$1006:$AU$1006,0)), HYPERLINK("#",""), HYPERLINK(CONCATENATE("#metadata!", ADDRESS(INDEX($Y$2:$Y$1001,MATCH(ROWS($W$2:W106),$W$2:$W$1001,0),0), INDEX($AD$1004:$AU$1004,1,MATCH(COLUMNS($AD$1006:AN1006),$AD$1006:$AU$1006,0)))),"Fix")))</f>
        <v xml:space="preserve"> </v>
      </c>
      <c r="M106" s="4" t="str">
        <f ca="1">IF(OR(INDEX($X$2:$X$1001,MATCH(ROWS($W$2:W106),$W$2:$W$1001,0),1)&gt;=100000,INDEX($AD$1005:$AU$1005,1,MATCH(COLUMNS($AD$1006:AO1006),$AD$1006:$AU$1006,0))&gt;=100000), " ",IF(INDEX($AD$2:$AU$1001,MATCH(ROWS($W$2:W106),$W$2:$W$1001,0),MATCH(COLUMNS($AD$1006:AO1006),$AD$1006:$AU$1006,0)), HYPERLINK("#",""), HYPERLINK(CONCATENATE("#metadata!", ADDRESS(INDEX($Y$2:$Y$1001,MATCH(ROWS($W$2:W106),$W$2:$W$1001,0),0), INDEX($AD$1004:$AU$1004,1,MATCH(COLUMNS($AD$1006:AO1006),$AD$1006:$AU$1006,0)))),"Fix")))</f>
        <v xml:space="preserve"> </v>
      </c>
      <c r="N106" s="4" t="str">
        <f ca="1">IF(OR(INDEX($X$2:$X$1001,MATCH(ROWS($W$2:W106),$W$2:$W$1001,0),1)&gt;=100000,INDEX($AD$1005:$AU$1005,1,MATCH(COLUMNS($AD$1006:AP1006),$AD$1006:$AU$1006,0))&gt;=100000), " ",IF(INDEX($AD$2:$AU$1001,MATCH(ROWS($W$2:W106),$W$2:$W$1001,0),MATCH(COLUMNS($AD$1006:AP1006),$AD$1006:$AU$1006,0)), HYPERLINK("#",""), HYPERLINK(CONCATENATE("#metadata!", ADDRESS(INDEX($Y$2:$Y$1001,MATCH(ROWS($W$2:W106),$W$2:$W$1001,0),0), INDEX($AD$1004:$AU$1004,1,MATCH(COLUMNS($AD$1006:AP1006),$AD$1006:$AU$1006,0)))),"Fix")))</f>
        <v xml:space="preserve"> </v>
      </c>
      <c r="O106" s="4" t="str">
        <f ca="1">IF(OR(INDEX($X$2:$X$1001,MATCH(ROWS($W$2:W106),$W$2:$W$1001,0),1)&gt;=100000,INDEX($AD$1005:$AU$1005,1,MATCH(COLUMNS($AD$1006:AQ1006),$AD$1006:$AU$1006,0))&gt;=100000), " ",IF(INDEX($AD$2:$AU$1001,MATCH(ROWS($W$2:W106),$W$2:$W$1001,0),MATCH(COLUMNS($AD$1006:AQ1006),$AD$1006:$AU$1006,0)), HYPERLINK("#",""), HYPERLINK(CONCATENATE("#metadata!", ADDRESS(INDEX($Y$2:$Y$1001,MATCH(ROWS($W$2:W106),$W$2:$W$1001,0),0), INDEX($AD$1004:$AU$1004,1,MATCH(COLUMNS($AD$1006:AQ1006),$AD$1006:$AU$1006,0)))),"Fix")))</f>
        <v xml:space="preserve"> </v>
      </c>
      <c r="P106" s="4" t="str">
        <f ca="1">IF(OR(INDEX($X$2:$X$1001,MATCH(ROWS($W$2:W106),$W$2:$W$1001,0),1)&gt;=100000,INDEX($AD$1005:$AU$1005,1,MATCH(COLUMNS($AD$1006:AR1006),$AD$1006:$AU$1006,0))&gt;=100000), " ",IF(INDEX($AD$2:$AU$1001,MATCH(ROWS($W$2:W106),$W$2:$W$1001,0),MATCH(COLUMNS($AD$1006:AR1006),$AD$1006:$AU$1006,0)), HYPERLINK("#",""), HYPERLINK(CONCATENATE("#metadata!", ADDRESS(INDEX($Y$2:$Y$1001,MATCH(ROWS($W$2:W106),$W$2:$W$1001,0),0), INDEX($AD$1004:$AU$1004,1,MATCH(COLUMNS($AD$1006:AR1006),$AD$1006:$AU$1006,0)))),"Fix")))</f>
        <v xml:space="preserve"> </v>
      </c>
      <c r="Q106" s="4" t="str">
        <f ca="1">IF(OR(INDEX($X$2:$X$1001,MATCH(ROWS($W$2:W106),$W$2:$W$1001,0),1)&gt;=100000,INDEX($AD$1005:$AU$1005,1,MATCH(COLUMNS($AD$1006:AS1006),$AD$1006:$AU$1006,0))&gt;=100000), " ",IF(INDEX($AD$2:$AU$1001,MATCH(ROWS($W$2:W106),$W$2:$W$1001,0),MATCH(COLUMNS($AD$1006:AS1006),$AD$1006:$AU$1006,0)), HYPERLINK("#",""), HYPERLINK(CONCATENATE("#metadata!", ADDRESS(INDEX($Y$2:$Y$1001,MATCH(ROWS($W$2:W106),$W$2:$W$1001,0),0), INDEX($AD$1004:$AU$1004,1,MATCH(COLUMNS($AD$1006:AS1006),$AD$1006:$AU$1006,0)))),"Fix")))</f>
        <v xml:space="preserve"> </v>
      </c>
      <c r="R106" s="4" t="str">
        <f ca="1">IF(OR(INDEX($X$2:$X$1001,MATCH(ROWS($W$2:W106),$W$2:$W$1001,0),1)&gt;=100000,INDEX($AD$1005:$AU$1005,1,MATCH(COLUMNS($AD$1006:AT1006),$AD$1006:$AU$1006,0))&gt;=100000), " ",IF(INDEX($AD$2:$AU$1001,MATCH(ROWS($W$2:W106),$W$2:$W$1001,0),MATCH(COLUMNS($AD$1006:AT1006),$AD$1006:$AU$1006,0)), HYPERLINK("#",""), HYPERLINK(CONCATENATE("#metadata!", ADDRESS(INDEX($Y$2:$Y$1001,MATCH(ROWS($W$2:W106),$W$2:$W$1001,0),0), INDEX($AD$1004:$AU$1004,1,MATCH(COLUMNS($AD$1006:AT1006),$AD$1006:$AU$1006,0)))),"Fix")))</f>
        <v xml:space="preserve"> </v>
      </c>
      <c r="S106" s="4" t="str">
        <f ca="1">IF(OR(INDEX($X$2:$X$1001,MATCH(ROWS($W$2:W106),$W$2:$W$1001,0),1)&gt;=100000,INDEX($AD$1005:$AU$1005,1,MATCH(COLUMNS($AD$1006:AU1006),$AD$1006:$AU$1006,0))&gt;=100000), " ",IF(INDEX($AD$2:$AU$1001,MATCH(ROWS($W$2:W106),$W$2:$W$1001,0),MATCH(COLUMNS($AD$1006:AU1006),$AD$1006:$AU$1006,0)), HYPERLINK("#",""), HYPERLINK(CONCATENATE("#metadata!", ADDRESS(INDEX($Y$2:$Y$1001,MATCH(ROWS($W$2:W106),$W$2:$W$1001,0),0), INDEX($AD$1004:$AU$1004,1,MATCH(COLUMNS($AD$1006:AU1006),$AD$1006:$AU$1006,0)))),"Fix")))</f>
        <v xml:space="preserve"> </v>
      </c>
      <c r="W106">
        <v>105</v>
      </c>
      <c r="X106">
        <v>100106</v>
      </c>
      <c r="Y106">
        <v>106</v>
      </c>
      <c r="Z106" t="b">
        <f t="shared" si="1"/>
        <v>1</v>
      </c>
      <c r="AA106" t="b">
        <f>COUNTBLANK(metadata!B106:S106)=COLUMNS(metadata!B106:S106)</f>
        <v>1</v>
      </c>
      <c r="AB106" t="str">
        <v/>
      </c>
      <c r="AD106" t="b">
        <f ca="1">AND(IF(metadata!B106="",FALSE,TRUE),COUNTIF(metadata!B:B, metadata!B106) = 1,NOT(ISERROR(SUMPRODUCT(SEARCH(MID(metadata!B106,ROW(INDIRECT("1:"&amp;LEN(metadata!B106))), 1),"0123456789abcdefghijklmnopqrstuvwxyzABCDEFGHIJKLMNOPQRSTUVWXYZ.")))))</f>
        <v>0</v>
      </c>
      <c r="AE106" t="b">
        <f>OR(AND(IF(metadata!C106="",FALSE,TRUE),OR(EXACT(metadata!C106,"not applicable"),EXACT(metadata!C106,"missing: not collected"),EXACT(metadata!C106,"missing: not provided"),EXACT(metadata!C106,"missing: restricted access"))),AND(IF(metadata!C106="",FALSE,ISNUMBER(VALUE(metadata!C106))),metadata!C106&gt;0))</f>
        <v>0</v>
      </c>
      <c r="AF106" t="b">
        <f>AND(IF(metadata!D106="",FALSE,TRUE),EXACT(metadata!D106,"missing: not provided"))</f>
        <v>0</v>
      </c>
      <c r="AG106" t="b">
        <f>AND(IF(metadata!E106="",FALSE,TRUE),EXACT(metadata!E106,"Host-associated"))</f>
        <v>0</v>
      </c>
      <c r="AH106" t="b">
        <f>AND(IF(metadata!F106="",FALSE,TRUE),OR(EXACT(metadata!F106,"Animal"),EXACT(metadata!F106,"Fungus"),EXACT(metadata!F106,"Plant")))</f>
        <v>0</v>
      </c>
      <c r="AI106" t="b">
        <f>AND(IF(metadata!G106="",FALSE,TRUE),OR(EXACT(metadata!G106,"Plant secretion"),EXACT(metadata!G106,"Plant rhizosphere"),EXACT(metadata!G106,"Plant surface"),EXACT(metadata!G106,"Plant corpus"),EXACT(metadata!G106,"Fungus surface"),EXACT(metadata!G106,"Fungus corpus"),EXACT(metadata!G106,"Animal surface"),EXACT(metadata!G106,"Animal proximal gut"),EXACT(metadata!G106,"Animal corpus"),EXACT(metadata!G106,"Animal distal gut"),EXACT(metadata!G106,"Animal secretion")))</f>
        <v>0</v>
      </c>
      <c r="AJ106" t="b">
        <f>OR(AND(IF(metadata!H106="",FALSE,TRUE),OR(EXACT(metadata!H106,"missing: not collected"),EXACT(metadata!H106,"missing: not provided"),EXACT(metadata!H106,"missing: restricted access"))),AND(IF(metadata!H106="",FALSE,TRUE),OR(EXACT(metadata!H106,"organism-associated habitat"),EXACT(metadata!H106,"plant-associated habitat"),EXACT(metadata!H106,"animal-associated habitat"),EXACT(metadata!H106,"insecta-associated habitat"),EXACT(metadata!H106,"mammalia-associated habitat"),EXACT(metadata!H106,"human-associated habitat"),EXACT(metadata!H106,"livestock-associated habitat"))))</f>
        <v>0</v>
      </c>
      <c r="AK106" t="b">
        <f>AND(IF(metadata!I106="",FALSE,TRUE),EXACT(metadata!I106,"host-associated"))</f>
        <v>0</v>
      </c>
      <c r="AL106" t="b">
        <f>OR(AND(IF(metadata!J106="",FALSE,TRUE),OR(EXACT(metadata!J106,"not applicable"),EXACT(metadata!J106,"missing: not collected"),EXACT(metadata!J106,"missing: not provided"),EXACT(metadata!J106,"missing: restricted access"))),AND(IF(metadata!J106="",FALSE,ISNUMBER(VALUE(metadata!J106))),metadata!J106&gt;0))</f>
        <v>0</v>
      </c>
      <c r="AM106" t="b">
        <f>AND(IF(metadata!K106="",FALSE,TRUE),EXACT(metadata!K106,"missing: not provided"))</f>
        <v>0</v>
      </c>
      <c r="AN106" t="b">
        <f>IF(metadata!L106="",FALSE,TRUE)</f>
        <v>0</v>
      </c>
      <c r="AO106" t="b">
        <f>IF(metadata!M106="",FALSE,TRUE)</f>
        <v>0</v>
      </c>
      <c r="AP106" t="b">
        <f>OR(AND(IF(metadata!N106="",FALSE,TRUE),OR(EXACT(metadata!N106,"not applicable"),EXACT(metadata!N106,"missing: not collected"),EXACT(metadata!N106,"missing: not provided"))),AND(IF(metadata!N106="",FALSE,IF(ISERROR(INT(metadata!N106)),FALSE,INT(metadata!N106)=metadata!N106)),metadata!N106&gt;0))</f>
        <v>0</v>
      </c>
      <c r="AQ106" t="b">
        <f>AND(IF(metadata!O106="",FALSE,TRUE),EXACT(metadata!O106,"Not applicable"))</f>
        <v>0</v>
      </c>
      <c r="AR106" t="b">
        <f>OR(AND(IF(metadata!P106="",FALSE,TRUE),OR(EXACT(metadata!P106,"not applicable"),EXACT(metadata!P106,"missing: not collected"),EXACT(metadata!P106,"missing: not provided"),EXACT(metadata!P106,"missing: restricted access"))),IF(metadata!P106="",FALSE,IF(ISERROR(INT(metadata!P106)),FALSE,INT(metadata!P106)=metadata!P106)))</f>
        <v>0</v>
      </c>
      <c r="AS106" t="b">
        <f>AND(IF(metadata!Q106="",FALSE,TRUE),EXACT(metadata!Q106,"Not applicable"))</f>
        <v>0</v>
      </c>
      <c r="AT106" t="b">
        <f>OR(AND(IF(metadata!R106="",FALSE,TRUE),OR(EXACT(metadata!R106,"not applicable"),EXACT(metadata!R106,"missing: not collected"),EXACT(metadata!R106,"missing: not provided"),EXACT(metadata!R106,"missing: restricted access"))),AND(IF(metadata!R106="",FALSE,ISNUMBER(VALUE(metadata!R106))),metadata!R106&gt;0))</f>
        <v>0</v>
      </c>
      <c r="AU106" t="b">
        <f>AND(IF(metadata!S106="",FALSE,TRUE),EXACT(metadata!S106,"missing: not provided"))</f>
        <v>0</v>
      </c>
    </row>
    <row r="107" spans="1:47" x14ac:dyDescent="0.2">
      <c r="A107" s="5" t="str">
        <f ca="1">IF(B107=" "," ",HYPERLINK(CONCATENATE("#metadata!",ADDRESS(INDEX($Y$2:$Y$1001,MATCH(ROWS($W$2:W107),$W$2:$W$1001,0),0),1)),INDEX($AB$2:$AB$1001,MATCH(ROWS($W$2:W107),$W$2:$W$1001,0),0)))</f>
        <v xml:space="preserve"> </v>
      </c>
      <c r="B107" s="4" t="str">
        <f ca="1">IF(OR(INDEX($X$2:$X$1001,MATCH(ROWS($W$2:W107),$W$2:$W$1001,0),1)&gt;=100000,INDEX($AD$1005:$AU$1005,1,MATCH(COLUMNS($AD$1006:AD1006),$AD$1006:$AU$1006,0))&gt;=100000), " ",IF(INDEX($AD$2:$AU$1001,MATCH(ROWS($W$2:W107),$W$2:$W$1001,0),MATCH(COLUMNS($AD$1006:AD1006),$AD$1006:$AU$1006,0)), HYPERLINK("#",""), HYPERLINK(CONCATENATE("#metadata!", ADDRESS(INDEX($Y$2:$Y$1001,MATCH(ROWS($W$2:W107),$W$2:$W$1001,0),0), INDEX($AD$1004:$AU$1004,1,MATCH(COLUMNS($AD$1006:AD1006),$AD$1006:$AU$1006,0)))),"Fix")))</f>
        <v xml:space="preserve"> </v>
      </c>
      <c r="C107" s="4" t="str">
        <f ca="1">IF(OR(INDEX($X$2:$X$1001,MATCH(ROWS($W$2:W107),$W$2:$W$1001,0),1)&gt;=100000,INDEX($AD$1005:$AU$1005,1,MATCH(COLUMNS($AD$1006:AE1006),$AD$1006:$AU$1006,0))&gt;=100000), " ",IF(INDEX($AD$2:$AU$1001,MATCH(ROWS($W$2:W107),$W$2:$W$1001,0),MATCH(COLUMNS($AD$1006:AE1006),$AD$1006:$AU$1006,0)), HYPERLINK("#",""), HYPERLINK(CONCATENATE("#metadata!", ADDRESS(INDEX($Y$2:$Y$1001,MATCH(ROWS($W$2:W107),$W$2:$W$1001,0),0), INDEX($AD$1004:$AU$1004,1,MATCH(COLUMNS($AD$1006:AE1006),$AD$1006:$AU$1006,0)))),"Fix")))</f>
        <v xml:space="preserve"> </v>
      </c>
      <c r="D107" s="4" t="str">
        <f ca="1">IF(OR(INDEX($X$2:$X$1001,MATCH(ROWS($W$2:W107),$W$2:$W$1001,0),1)&gt;=100000,INDEX($AD$1005:$AU$1005,1,MATCH(COLUMNS($AD$1006:AF1006),$AD$1006:$AU$1006,0))&gt;=100000), " ",IF(INDEX($AD$2:$AU$1001,MATCH(ROWS($W$2:W107),$W$2:$W$1001,0),MATCH(COLUMNS($AD$1006:AF1006),$AD$1006:$AU$1006,0)), HYPERLINK("#",""), HYPERLINK(CONCATENATE("#metadata!", ADDRESS(INDEX($Y$2:$Y$1001,MATCH(ROWS($W$2:W107),$W$2:$W$1001,0),0), INDEX($AD$1004:$AU$1004,1,MATCH(COLUMNS($AD$1006:AF1006),$AD$1006:$AU$1006,0)))),"Fix")))</f>
        <v xml:space="preserve"> </v>
      </c>
      <c r="E107" s="4" t="str">
        <f ca="1">IF(OR(INDEX($X$2:$X$1001,MATCH(ROWS($W$2:W107),$W$2:$W$1001,0),1)&gt;=100000,INDEX($AD$1005:$AU$1005,1,MATCH(COLUMNS($AD$1006:AG1006),$AD$1006:$AU$1006,0))&gt;=100000), " ",IF(INDEX($AD$2:$AU$1001,MATCH(ROWS($W$2:W107),$W$2:$W$1001,0),MATCH(COLUMNS($AD$1006:AG1006),$AD$1006:$AU$1006,0)), HYPERLINK("#",""), HYPERLINK(CONCATENATE("#metadata!", ADDRESS(INDEX($Y$2:$Y$1001,MATCH(ROWS($W$2:W107),$W$2:$W$1001,0),0), INDEX($AD$1004:$AU$1004,1,MATCH(COLUMNS($AD$1006:AG1006),$AD$1006:$AU$1006,0)))),"Fix")))</f>
        <v xml:space="preserve"> </v>
      </c>
      <c r="F107" s="4" t="str">
        <f ca="1">IF(OR(INDEX($X$2:$X$1001,MATCH(ROWS($W$2:W107),$W$2:$W$1001,0),1)&gt;=100000,INDEX($AD$1005:$AU$1005,1,MATCH(COLUMNS($AD$1006:AH1006),$AD$1006:$AU$1006,0))&gt;=100000), " ",IF(INDEX($AD$2:$AU$1001,MATCH(ROWS($W$2:W107),$W$2:$W$1001,0),MATCH(COLUMNS($AD$1006:AH1006),$AD$1006:$AU$1006,0)), HYPERLINK("#",""), HYPERLINK(CONCATENATE("#metadata!", ADDRESS(INDEX($Y$2:$Y$1001,MATCH(ROWS($W$2:W107),$W$2:$W$1001,0),0), INDEX($AD$1004:$AU$1004,1,MATCH(COLUMNS($AD$1006:AH1006),$AD$1006:$AU$1006,0)))),"Fix")))</f>
        <v xml:space="preserve"> </v>
      </c>
      <c r="G107" s="4" t="str">
        <f ca="1">IF(OR(INDEX($X$2:$X$1001,MATCH(ROWS($W$2:W107),$W$2:$W$1001,0),1)&gt;=100000,INDEX($AD$1005:$AU$1005,1,MATCH(COLUMNS($AD$1006:AI1006),$AD$1006:$AU$1006,0))&gt;=100000), " ",IF(INDEX($AD$2:$AU$1001,MATCH(ROWS($W$2:W107),$W$2:$W$1001,0),MATCH(COLUMNS($AD$1006:AI1006),$AD$1006:$AU$1006,0)), HYPERLINK("#",""), HYPERLINK(CONCATENATE("#metadata!", ADDRESS(INDEX($Y$2:$Y$1001,MATCH(ROWS($W$2:W107),$W$2:$W$1001,0),0), INDEX($AD$1004:$AU$1004,1,MATCH(COLUMNS($AD$1006:AI1006),$AD$1006:$AU$1006,0)))),"Fix")))</f>
        <v xml:space="preserve"> </v>
      </c>
      <c r="H107" s="4" t="str">
        <f ca="1">IF(OR(INDEX($X$2:$X$1001,MATCH(ROWS($W$2:W107),$W$2:$W$1001,0),1)&gt;=100000,INDEX($AD$1005:$AU$1005,1,MATCH(COLUMNS($AD$1006:AJ1006),$AD$1006:$AU$1006,0))&gt;=100000), " ",IF(INDEX($AD$2:$AU$1001,MATCH(ROWS($W$2:W107),$W$2:$W$1001,0),MATCH(COLUMNS($AD$1006:AJ1006),$AD$1006:$AU$1006,0)), HYPERLINK("#",""), HYPERLINK(CONCATENATE("#metadata!", ADDRESS(INDEX($Y$2:$Y$1001,MATCH(ROWS($W$2:W107),$W$2:$W$1001,0),0), INDEX($AD$1004:$AU$1004,1,MATCH(COLUMNS($AD$1006:AJ1006),$AD$1006:$AU$1006,0)))),"Fix")))</f>
        <v xml:space="preserve"> </v>
      </c>
      <c r="I107" s="4" t="str">
        <f ca="1">IF(OR(INDEX($X$2:$X$1001,MATCH(ROWS($W$2:W107),$W$2:$W$1001,0),1)&gt;=100000,INDEX($AD$1005:$AU$1005,1,MATCH(COLUMNS($AD$1006:AK1006),$AD$1006:$AU$1006,0))&gt;=100000), " ",IF(INDEX($AD$2:$AU$1001,MATCH(ROWS($W$2:W107),$W$2:$W$1001,0),MATCH(COLUMNS($AD$1006:AK1006),$AD$1006:$AU$1006,0)), HYPERLINK("#",""), HYPERLINK(CONCATENATE("#metadata!", ADDRESS(INDEX($Y$2:$Y$1001,MATCH(ROWS($W$2:W107),$W$2:$W$1001,0),0), INDEX($AD$1004:$AU$1004,1,MATCH(COLUMNS($AD$1006:AK1006),$AD$1006:$AU$1006,0)))),"Fix")))</f>
        <v xml:space="preserve"> </v>
      </c>
      <c r="J107" s="4" t="str">
        <f ca="1">IF(OR(INDEX($X$2:$X$1001,MATCH(ROWS($W$2:W107),$W$2:$W$1001,0),1)&gt;=100000,INDEX($AD$1005:$AU$1005,1,MATCH(COLUMNS($AD$1006:AL1006),$AD$1006:$AU$1006,0))&gt;=100000), " ",IF(INDEX($AD$2:$AU$1001,MATCH(ROWS($W$2:W107),$W$2:$W$1001,0),MATCH(COLUMNS($AD$1006:AL1006),$AD$1006:$AU$1006,0)), HYPERLINK("#",""), HYPERLINK(CONCATENATE("#metadata!", ADDRESS(INDEX($Y$2:$Y$1001,MATCH(ROWS($W$2:W107),$W$2:$W$1001,0),0), INDEX($AD$1004:$AU$1004,1,MATCH(COLUMNS($AD$1006:AL1006),$AD$1006:$AU$1006,0)))),"Fix")))</f>
        <v xml:space="preserve"> </v>
      </c>
      <c r="K107" s="4" t="str">
        <f ca="1">IF(OR(INDEX($X$2:$X$1001,MATCH(ROWS($W$2:W107),$W$2:$W$1001,0),1)&gt;=100000,INDEX($AD$1005:$AU$1005,1,MATCH(COLUMNS($AD$1006:AM1006),$AD$1006:$AU$1006,0))&gt;=100000), " ",IF(INDEX($AD$2:$AU$1001,MATCH(ROWS($W$2:W107),$W$2:$W$1001,0),MATCH(COLUMNS($AD$1006:AM1006),$AD$1006:$AU$1006,0)), HYPERLINK("#",""), HYPERLINK(CONCATENATE("#metadata!", ADDRESS(INDEX($Y$2:$Y$1001,MATCH(ROWS($W$2:W107),$W$2:$W$1001,0),0), INDEX($AD$1004:$AU$1004,1,MATCH(COLUMNS($AD$1006:AM1006),$AD$1006:$AU$1006,0)))),"Fix")))</f>
        <v xml:space="preserve"> </v>
      </c>
      <c r="L107" s="4" t="str">
        <f ca="1">IF(OR(INDEX($X$2:$X$1001,MATCH(ROWS($W$2:W107),$W$2:$W$1001,0),1)&gt;=100000,INDEX($AD$1005:$AU$1005,1,MATCH(COLUMNS($AD$1006:AN1006),$AD$1006:$AU$1006,0))&gt;=100000), " ",IF(INDEX($AD$2:$AU$1001,MATCH(ROWS($W$2:W107),$W$2:$W$1001,0),MATCH(COLUMNS($AD$1006:AN1006),$AD$1006:$AU$1006,0)), HYPERLINK("#",""), HYPERLINK(CONCATENATE("#metadata!", ADDRESS(INDEX($Y$2:$Y$1001,MATCH(ROWS($W$2:W107),$W$2:$W$1001,0),0), INDEX($AD$1004:$AU$1004,1,MATCH(COLUMNS($AD$1006:AN1006),$AD$1006:$AU$1006,0)))),"Fix")))</f>
        <v xml:space="preserve"> </v>
      </c>
      <c r="M107" s="4" t="str">
        <f ca="1">IF(OR(INDEX($X$2:$X$1001,MATCH(ROWS($W$2:W107),$W$2:$W$1001,0),1)&gt;=100000,INDEX($AD$1005:$AU$1005,1,MATCH(COLUMNS($AD$1006:AO1006),$AD$1006:$AU$1006,0))&gt;=100000), " ",IF(INDEX($AD$2:$AU$1001,MATCH(ROWS($W$2:W107),$W$2:$W$1001,0),MATCH(COLUMNS($AD$1006:AO1006),$AD$1006:$AU$1006,0)), HYPERLINK("#",""), HYPERLINK(CONCATENATE("#metadata!", ADDRESS(INDEX($Y$2:$Y$1001,MATCH(ROWS($W$2:W107),$W$2:$W$1001,0),0), INDEX($AD$1004:$AU$1004,1,MATCH(COLUMNS($AD$1006:AO1006),$AD$1006:$AU$1006,0)))),"Fix")))</f>
        <v xml:space="preserve"> </v>
      </c>
      <c r="N107" s="4" t="str">
        <f ca="1">IF(OR(INDEX($X$2:$X$1001,MATCH(ROWS($W$2:W107),$W$2:$W$1001,0),1)&gt;=100000,INDEX($AD$1005:$AU$1005,1,MATCH(COLUMNS($AD$1006:AP1006),$AD$1006:$AU$1006,0))&gt;=100000), " ",IF(INDEX($AD$2:$AU$1001,MATCH(ROWS($W$2:W107),$W$2:$W$1001,0),MATCH(COLUMNS($AD$1006:AP1006),$AD$1006:$AU$1006,0)), HYPERLINK("#",""), HYPERLINK(CONCATENATE("#metadata!", ADDRESS(INDEX($Y$2:$Y$1001,MATCH(ROWS($W$2:W107),$W$2:$W$1001,0),0), INDEX($AD$1004:$AU$1004,1,MATCH(COLUMNS($AD$1006:AP1006),$AD$1006:$AU$1006,0)))),"Fix")))</f>
        <v xml:space="preserve"> </v>
      </c>
      <c r="O107" s="4" t="str">
        <f ca="1">IF(OR(INDEX($X$2:$X$1001,MATCH(ROWS($W$2:W107),$W$2:$W$1001,0),1)&gt;=100000,INDEX($AD$1005:$AU$1005,1,MATCH(COLUMNS($AD$1006:AQ1006),$AD$1006:$AU$1006,0))&gt;=100000), " ",IF(INDEX($AD$2:$AU$1001,MATCH(ROWS($W$2:W107),$W$2:$W$1001,0),MATCH(COLUMNS($AD$1006:AQ1006),$AD$1006:$AU$1006,0)), HYPERLINK("#",""), HYPERLINK(CONCATENATE("#metadata!", ADDRESS(INDEX($Y$2:$Y$1001,MATCH(ROWS($W$2:W107),$W$2:$W$1001,0),0), INDEX($AD$1004:$AU$1004,1,MATCH(COLUMNS($AD$1006:AQ1006),$AD$1006:$AU$1006,0)))),"Fix")))</f>
        <v xml:space="preserve"> </v>
      </c>
      <c r="P107" s="4" t="str">
        <f ca="1">IF(OR(INDEX($X$2:$X$1001,MATCH(ROWS($W$2:W107),$W$2:$W$1001,0),1)&gt;=100000,INDEX($AD$1005:$AU$1005,1,MATCH(COLUMNS($AD$1006:AR1006),$AD$1006:$AU$1006,0))&gt;=100000), " ",IF(INDEX($AD$2:$AU$1001,MATCH(ROWS($W$2:W107),$W$2:$W$1001,0),MATCH(COLUMNS($AD$1006:AR1006),$AD$1006:$AU$1006,0)), HYPERLINK("#",""), HYPERLINK(CONCATENATE("#metadata!", ADDRESS(INDEX($Y$2:$Y$1001,MATCH(ROWS($W$2:W107),$W$2:$W$1001,0),0), INDEX($AD$1004:$AU$1004,1,MATCH(COLUMNS($AD$1006:AR1006),$AD$1006:$AU$1006,0)))),"Fix")))</f>
        <v xml:space="preserve"> </v>
      </c>
      <c r="Q107" s="4" t="str">
        <f ca="1">IF(OR(INDEX($X$2:$X$1001,MATCH(ROWS($W$2:W107),$W$2:$W$1001,0),1)&gt;=100000,INDEX($AD$1005:$AU$1005,1,MATCH(COLUMNS($AD$1006:AS1006),$AD$1006:$AU$1006,0))&gt;=100000), " ",IF(INDEX($AD$2:$AU$1001,MATCH(ROWS($W$2:W107),$W$2:$W$1001,0),MATCH(COLUMNS($AD$1006:AS1006),$AD$1006:$AU$1006,0)), HYPERLINK("#",""), HYPERLINK(CONCATENATE("#metadata!", ADDRESS(INDEX($Y$2:$Y$1001,MATCH(ROWS($W$2:W107),$W$2:$W$1001,0),0), INDEX($AD$1004:$AU$1004,1,MATCH(COLUMNS($AD$1006:AS1006),$AD$1006:$AU$1006,0)))),"Fix")))</f>
        <v xml:space="preserve"> </v>
      </c>
      <c r="R107" s="4" t="str">
        <f ca="1">IF(OR(INDEX($X$2:$X$1001,MATCH(ROWS($W$2:W107),$W$2:$W$1001,0),1)&gt;=100000,INDEX($AD$1005:$AU$1005,1,MATCH(COLUMNS($AD$1006:AT1006),$AD$1006:$AU$1006,0))&gt;=100000), " ",IF(INDEX($AD$2:$AU$1001,MATCH(ROWS($W$2:W107),$W$2:$W$1001,0),MATCH(COLUMNS($AD$1006:AT1006),$AD$1006:$AU$1006,0)), HYPERLINK("#",""), HYPERLINK(CONCATENATE("#metadata!", ADDRESS(INDEX($Y$2:$Y$1001,MATCH(ROWS($W$2:W107),$W$2:$W$1001,0),0), INDEX($AD$1004:$AU$1004,1,MATCH(COLUMNS($AD$1006:AT1006),$AD$1006:$AU$1006,0)))),"Fix")))</f>
        <v xml:space="preserve"> </v>
      </c>
      <c r="S107" s="4" t="str">
        <f ca="1">IF(OR(INDEX($X$2:$X$1001,MATCH(ROWS($W$2:W107),$W$2:$W$1001,0),1)&gt;=100000,INDEX($AD$1005:$AU$1005,1,MATCH(COLUMNS($AD$1006:AU1006),$AD$1006:$AU$1006,0))&gt;=100000), " ",IF(INDEX($AD$2:$AU$1001,MATCH(ROWS($W$2:W107),$W$2:$W$1001,0),MATCH(COLUMNS($AD$1006:AU1006),$AD$1006:$AU$1006,0)), HYPERLINK("#",""), HYPERLINK(CONCATENATE("#metadata!", ADDRESS(INDEX($Y$2:$Y$1001,MATCH(ROWS($W$2:W107),$W$2:$W$1001,0),0), INDEX($AD$1004:$AU$1004,1,MATCH(COLUMNS($AD$1006:AU1006),$AD$1006:$AU$1006,0)))),"Fix")))</f>
        <v xml:space="preserve"> </v>
      </c>
      <c r="W107">
        <v>106</v>
      </c>
      <c r="X107">
        <v>100107</v>
      </c>
      <c r="Y107">
        <v>107</v>
      </c>
      <c r="Z107" t="b">
        <f t="shared" si="1"/>
        <v>1</v>
      </c>
      <c r="AA107" t="b">
        <f>COUNTBLANK(metadata!B107:S107)=COLUMNS(metadata!B107:S107)</f>
        <v>1</v>
      </c>
      <c r="AB107" t="str">
        <v/>
      </c>
      <c r="AD107" t="b">
        <f ca="1">AND(IF(metadata!B107="",FALSE,TRUE),COUNTIF(metadata!B:B, metadata!B107) = 1,NOT(ISERROR(SUMPRODUCT(SEARCH(MID(metadata!B107,ROW(INDIRECT("1:"&amp;LEN(metadata!B107))), 1),"0123456789abcdefghijklmnopqrstuvwxyzABCDEFGHIJKLMNOPQRSTUVWXYZ.")))))</f>
        <v>0</v>
      </c>
      <c r="AE107" t="b">
        <f>OR(AND(IF(metadata!C107="",FALSE,TRUE),OR(EXACT(metadata!C107,"not applicable"),EXACT(metadata!C107,"missing: not collected"),EXACT(metadata!C107,"missing: not provided"),EXACT(metadata!C107,"missing: restricted access"))),AND(IF(metadata!C107="",FALSE,ISNUMBER(VALUE(metadata!C107))),metadata!C107&gt;0))</f>
        <v>0</v>
      </c>
      <c r="AF107" t="b">
        <f>AND(IF(metadata!D107="",FALSE,TRUE),EXACT(metadata!D107,"missing: not provided"))</f>
        <v>0</v>
      </c>
      <c r="AG107" t="b">
        <f>AND(IF(metadata!E107="",FALSE,TRUE),EXACT(metadata!E107,"Host-associated"))</f>
        <v>0</v>
      </c>
      <c r="AH107" t="b">
        <f>AND(IF(metadata!F107="",FALSE,TRUE),OR(EXACT(metadata!F107,"Animal"),EXACT(metadata!F107,"Fungus"),EXACT(metadata!F107,"Plant")))</f>
        <v>0</v>
      </c>
      <c r="AI107" t="b">
        <f>AND(IF(metadata!G107="",FALSE,TRUE),OR(EXACT(metadata!G107,"Plant secretion"),EXACT(metadata!G107,"Plant rhizosphere"),EXACT(metadata!G107,"Plant surface"),EXACT(metadata!G107,"Plant corpus"),EXACT(metadata!G107,"Fungus surface"),EXACT(metadata!G107,"Fungus corpus"),EXACT(metadata!G107,"Animal surface"),EXACT(metadata!G107,"Animal proximal gut"),EXACT(metadata!G107,"Animal corpus"),EXACT(metadata!G107,"Animal distal gut"),EXACT(metadata!G107,"Animal secretion")))</f>
        <v>0</v>
      </c>
      <c r="AJ107" t="b">
        <f>OR(AND(IF(metadata!H107="",FALSE,TRUE),OR(EXACT(metadata!H107,"missing: not collected"),EXACT(metadata!H107,"missing: not provided"),EXACT(metadata!H107,"missing: restricted access"))),AND(IF(metadata!H107="",FALSE,TRUE),OR(EXACT(metadata!H107,"organism-associated habitat"),EXACT(metadata!H107,"plant-associated habitat"),EXACT(metadata!H107,"animal-associated habitat"),EXACT(metadata!H107,"insecta-associated habitat"),EXACT(metadata!H107,"mammalia-associated habitat"),EXACT(metadata!H107,"human-associated habitat"),EXACT(metadata!H107,"livestock-associated habitat"))))</f>
        <v>0</v>
      </c>
      <c r="AK107" t="b">
        <f>AND(IF(metadata!I107="",FALSE,TRUE),EXACT(metadata!I107,"host-associated"))</f>
        <v>0</v>
      </c>
      <c r="AL107" t="b">
        <f>OR(AND(IF(metadata!J107="",FALSE,TRUE),OR(EXACT(metadata!J107,"not applicable"),EXACT(metadata!J107,"missing: not collected"),EXACT(metadata!J107,"missing: not provided"),EXACT(metadata!J107,"missing: restricted access"))),AND(IF(metadata!J107="",FALSE,ISNUMBER(VALUE(metadata!J107))),metadata!J107&gt;0))</f>
        <v>0</v>
      </c>
      <c r="AM107" t="b">
        <f>AND(IF(metadata!K107="",FALSE,TRUE),EXACT(metadata!K107,"missing: not provided"))</f>
        <v>0</v>
      </c>
      <c r="AN107" t="b">
        <f>IF(metadata!L107="",FALSE,TRUE)</f>
        <v>0</v>
      </c>
      <c r="AO107" t="b">
        <f>IF(metadata!M107="",FALSE,TRUE)</f>
        <v>0</v>
      </c>
      <c r="AP107" t="b">
        <f>OR(AND(IF(metadata!N107="",FALSE,TRUE),OR(EXACT(metadata!N107,"not applicable"),EXACT(metadata!N107,"missing: not collected"),EXACT(metadata!N107,"missing: not provided"))),AND(IF(metadata!N107="",FALSE,IF(ISERROR(INT(metadata!N107)),FALSE,INT(metadata!N107)=metadata!N107)),metadata!N107&gt;0))</f>
        <v>0</v>
      </c>
      <c r="AQ107" t="b">
        <f>AND(IF(metadata!O107="",FALSE,TRUE),EXACT(metadata!O107,"Not applicable"))</f>
        <v>0</v>
      </c>
      <c r="AR107" t="b">
        <f>OR(AND(IF(metadata!P107="",FALSE,TRUE),OR(EXACT(metadata!P107,"not applicable"),EXACT(metadata!P107,"missing: not collected"),EXACT(metadata!P107,"missing: not provided"),EXACT(metadata!P107,"missing: restricted access"))),IF(metadata!P107="",FALSE,IF(ISERROR(INT(metadata!P107)),FALSE,INT(metadata!P107)=metadata!P107)))</f>
        <v>0</v>
      </c>
      <c r="AS107" t="b">
        <f>AND(IF(metadata!Q107="",FALSE,TRUE),EXACT(metadata!Q107,"Not applicable"))</f>
        <v>0</v>
      </c>
      <c r="AT107" t="b">
        <f>OR(AND(IF(metadata!R107="",FALSE,TRUE),OR(EXACT(metadata!R107,"not applicable"),EXACT(metadata!R107,"missing: not collected"),EXACT(metadata!R107,"missing: not provided"),EXACT(metadata!R107,"missing: restricted access"))),AND(IF(metadata!R107="",FALSE,ISNUMBER(VALUE(metadata!R107))),metadata!R107&gt;0))</f>
        <v>0</v>
      </c>
      <c r="AU107" t="b">
        <f>AND(IF(metadata!S107="",FALSE,TRUE),EXACT(metadata!S107,"missing: not provided"))</f>
        <v>0</v>
      </c>
    </row>
    <row r="108" spans="1:47" x14ac:dyDescent="0.2">
      <c r="A108" s="5" t="str">
        <f ca="1">IF(B108=" "," ",HYPERLINK(CONCATENATE("#metadata!",ADDRESS(INDEX($Y$2:$Y$1001,MATCH(ROWS($W$2:W108),$W$2:$W$1001,0),0),1)),INDEX($AB$2:$AB$1001,MATCH(ROWS($W$2:W108),$W$2:$W$1001,0),0)))</f>
        <v xml:space="preserve"> </v>
      </c>
      <c r="B108" s="4" t="str">
        <f ca="1">IF(OR(INDEX($X$2:$X$1001,MATCH(ROWS($W$2:W108),$W$2:$W$1001,0),1)&gt;=100000,INDEX($AD$1005:$AU$1005,1,MATCH(COLUMNS($AD$1006:AD1006),$AD$1006:$AU$1006,0))&gt;=100000), " ",IF(INDEX($AD$2:$AU$1001,MATCH(ROWS($W$2:W108),$W$2:$W$1001,0),MATCH(COLUMNS($AD$1006:AD1006),$AD$1006:$AU$1006,0)), HYPERLINK("#",""), HYPERLINK(CONCATENATE("#metadata!", ADDRESS(INDEX($Y$2:$Y$1001,MATCH(ROWS($W$2:W108),$W$2:$W$1001,0),0), INDEX($AD$1004:$AU$1004,1,MATCH(COLUMNS($AD$1006:AD1006),$AD$1006:$AU$1006,0)))),"Fix")))</f>
        <v xml:space="preserve"> </v>
      </c>
      <c r="C108" s="4" t="str">
        <f ca="1">IF(OR(INDEX($X$2:$X$1001,MATCH(ROWS($W$2:W108),$W$2:$W$1001,0),1)&gt;=100000,INDEX($AD$1005:$AU$1005,1,MATCH(COLUMNS($AD$1006:AE1006),$AD$1006:$AU$1006,0))&gt;=100000), " ",IF(INDEX($AD$2:$AU$1001,MATCH(ROWS($W$2:W108),$W$2:$W$1001,0),MATCH(COLUMNS($AD$1006:AE1006),$AD$1006:$AU$1006,0)), HYPERLINK("#",""), HYPERLINK(CONCATENATE("#metadata!", ADDRESS(INDEX($Y$2:$Y$1001,MATCH(ROWS($W$2:W108),$W$2:$W$1001,0),0), INDEX($AD$1004:$AU$1004,1,MATCH(COLUMNS($AD$1006:AE1006),$AD$1006:$AU$1006,0)))),"Fix")))</f>
        <v xml:space="preserve"> </v>
      </c>
      <c r="D108" s="4" t="str">
        <f ca="1">IF(OR(INDEX($X$2:$X$1001,MATCH(ROWS($W$2:W108),$W$2:$W$1001,0),1)&gt;=100000,INDEX($AD$1005:$AU$1005,1,MATCH(COLUMNS($AD$1006:AF1006),$AD$1006:$AU$1006,0))&gt;=100000), " ",IF(INDEX($AD$2:$AU$1001,MATCH(ROWS($W$2:W108),$W$2:$W$1001,0),MATCH(COLUMNS($AD$1006:AF1006),$AD$1006:$AU$1006,0)), HYPERLINK("#",""), HYPERLINK(CONCATENATE("#metadata!", ADDRESS(INDEX($Y$2:$Y$1001,MATCH(ROWS($W$2:W108),$W$2:$W$1001,0),0), INDEX($AD$1004:$AU$1004,1,MATCH(COLUMNS($AD$1006:AF1006),$AD$1006:$AU$1006,0)))),"Fix")))</f>
        <v xml:space="preserve"> </v>
      </c>
      <c r="E108" s="4" t="str">
        <f ca="1">IF(OR(INDEX($X$2:$X$1001,MATCH(ROWS($W$2:W108),$W$2:$W$1001,0),1)&gt;=100000,INDEX($AD$1005:$AU$1005,1,MATCH(COLUMNS($AD$1006:AG1006),$AD$1006:$AU$1006,0))&gt;=100000), " ",IF(INDEX($AD$2:$AU$1001,MATCH(ROWS($W$2:W108),$W$2:$W$1001,0),MATCH(COLUMNS($AD$1006:AG1006),$AD$1006:$AU$1006,0)), HYPERLINK("#",""), HYPERLINK(CONCATENATE("#metadata!", ADDRESS(INDEX($Y$2:$Y$1001,MATCH(ROWS($W$2:W108),$W$2:$W$1001,0),0), INDEX($AD$1004:$AU$1004,1,MATCH(COLUMNS($AD$1006:AG1006),$AD$1006:$AU$1006,0)))),"Fix")))</f>
        <v xml:space="preserve"> </v>
      </c>
      <c r="F108" s="4" t="str">
        <f ca="1">IF(OR(INDEX($X$2:$X$1001,MATCH(ROWS($W$2:W108),$W$2:$W$1001,0),1)&gt;=100000,INDEX($AD$1005:$AU$1005,1,MATCH(COLUMNS($AD$1006:AH1006),$AD$1006:$AU$1006,0))&gt;=100000), " ",IF(INDEX($AD$2:$AU$1001,MATCH(ROWS($W$2:W108),$W$2:$W$1001,0),MATCH(COLUMNS($AD$1006:AH1006),$AD$1006:$AU$1006,0)), HYPERLINK("#",""), HYPERLINK(CONCATENATE("#metadata!", ADDRESS(INDEX($Y$2:$Y$1001,MATCH(ROWS($W$2:W108),$W$2:$W$1001,0),0), INDEX($AD$1004:$AU$1004,1,MATCH(COLUMNS($AD$1006:AH1006),$AD$1006:$AU$1006,0)))),"Fix")))</f>
        <v xml:space="preserve"> </v>
      </c>
      <c r="G108" s="4" t="str">
        <f ca="1">IF(OR(INDEX($X$2:$X$1001,MATCH(ROWS($W$2:W108),$W$2:$W$1001,0),1)&gt;=100000,INDEX($AD$1005:$AU$1005,1,MATCH(COLUMNS($AD$1006:AI1006),$AD$1006:$AU$1006,0))&gt;=100000), " ",IF(INDEX($AD$2:$AU$1001,MATCH(ROWS($W$2:W108),$W$2:$W$1001,0),MATCH(COLUMNS($AD$1006:AI1006),$AD$1006:$AU$1006,0)), HYPERLINK("#",""), HYPERLINK(CONCATENATE("#metadata!", ADDRESS(INDEX($Y$2:$Y$1001,MATCH(ROWS($W$2:W108),$W$2:$W$1001,0),0), INDEX($AD$1004:$AU$1004,1,MATCH(COLUMNS($AD$1006:AI1006),$AD$1006:$AU$1006,0)))),"Fix")))</f>
        <v xml:space="preserve"> </v>
      </c>
      <c r="H108" s="4" t="str">
        <f ca="1">IF(OR(INDEX($X$2:$X$1001,MATCH(ROWS($W$2:W108),$W$2:$W$1001,0),1)&gt;=100000,INDEX($AD$1005:$AU$1005,1,MATCH(COLUMNS($AD$1006:AJ1006),$AD$1006:$AU$1006,0))&gt;=100000), " ",IF(INDEX($AD$2:$AU$1001,MATCH(ROWS($W$2:W108),$W$2:$W$1001,0),MATCH(COLUMNS($AD$1006:AJ1006),$AD$1006:$AU$1006,0)), HYPERLINK("#",""), HYPERLINK(CONCATENATE("#metadata!", ADDRESS(INDEX($Y$2:$Y$1001,MATCH(ROWS($W$2:W108),$W$2:$W$1001,0),0), INDEX($AD$1004:$AU$1004,1,MATCH(COLUMNS($AD$1006:AJ1006),$AD$1006:$AU$1006,0)))),"Fix")))</f>
        <v xml:space="preserve"> </v>
      </c>
      <c r="I108" s="4" t="str">
        <f ca="1">IF(OR(INDEX($X$2:$X$1001,MATCH(ROWS($W$2:W108),$W$2:$W$1001,0),1)&gt;=100000,INDEX($AD$1005:$AU$1005,1,MATCH(COLUMNS($AD$1006:AK1006),$AD$1006:$AU$1006,0))&gt;=100000), " ",IF(INDEX($AD$2:$AU$1001,MATCH(ROWS($W$2:W108),$W$2:$W$1001,0),MATCH(COLUMNS($AD$1006:AK1006),$AD$1006:$AU$1006,0)), HYPERLINK("#",""), HYPERLINK(CONCATENATE("#metadata!", ADDRESS(INDEX($Y$2:$Y$1001,MATCH(ROWS($W$2:W108),$W$2:$W$1001,0),0), INDEX($AD$1004:$AU$1004,1,MATCH(COLUMNS($AD$1006:AK1006),$AD$1006:$AU$1006,0)))),"Fix")))</f>
        <v xml:space="preserve"> </v>
      </c>
      <c r="J108" s="4" t="str">
        <f ca="1">IF(OR(INDEX($X$2:$X$1001,MATCH(ROWS($W$2:W108),$W$2:$W$1001,0),1)&gt;=100000,INDEX($AD$1005:$AU$1005,1,MATCH(COLUMNS($AD$1006:AL1006),$AD$1006:$AU$1006,0))&gt;=100000), " ",IF(INDEX($AD$2:$AU$1001,MATCH(ROWS($W$2:W108),$W$2:$W$1001,0),MATCH(COLUMNS($AD$1006:AL1006),$AD$1006:$AU$1006,0)), HYPERLINK("#",""), HYPERLINK(CONCATENATE("#metadata!", ADDRESS(INDEX($Y$2:$Y$1001,MATCH(ROWS($W$2:W108),$W$2:$W$1001,0),0), INDEX($AD$1004:$AU$1004,1,MATCH(COLUMNS($AD$1006:AL1006),$AD$1006:$AU$1006,0)))),"Fix")))</f>
        <v xml:space="preserve"> </v>
      </c>
      <c r="K108" s="4" t="str">
        <f ca="1">IF(OR(INDEX($X$2:$X$1001,MATCH(ROWS($W$2:W108),$W$2:$W$1001,0),1)&gt;=100000,INDEX($AD$1005:$AU$1005,1,MATCH(COLUMNS($AD$1006:AM1006),$AD$1006:$AU$1006,0))&gt;=100000), " ",IF(INDEX($AD$2:$AU$1001,MATCH(ROWS($W$2:W108),$W$2:$W$1001,0),MATCH(COLUMNS($AD$1006:AM1006),$AD$1006:$AU$1006,0)), HYPERLINK("#",""), HYPERLINK(CONCATENATE("#metadata!", ADDRESS(INDEX($Y$2:$Y$1001,MATCH(ROWS($W$2:W108),$W$2:$W$1001,0),0), INDEX($AD$1004:$AU$1004,1,MATCH(COLUMNS($AD$1006:AM1006),$AD$1006:$AU$1006,0)))),"Fix")))</f>
        <v xml:space="preserve"> </v>
      </c>
      <c r="L108" s="4" t="str">
        <f ca="1">IF(OR(INDEX($X$2:$X$1001,MATCH(ROWS($W$2:W108),$W$2:$W$1001,0),1)&gt;=100000,INDEX($AD$1005:$AU$1005,1,MATCH(COLUMNS($AD$1006:AN1006),$AD$1006:$AU$1006,0))&gt;=100000), " ",IF(INDEX($AD$2:$AU$1001,MATCH(ROWS($W$2:W108),$W$2:$W$1001,0),MATCH(COLUMNS($AD$1006:AN1006),$AD$1006:$AU$1006,0)), HYPERLINK("#",""), HYPERLINK(CONCATENATE("#metadata!", ADDRESS(INDEX($Y$2:$Y$1001,MATCH(ROWS($W$2:W108),$W$2:$W$1001,0),0), INDEX($AD$1004:$AU$1004,1,MATCH(COLUMNS($AD$1006:AN1006),$AD$1006:$AU$1006,0)))),"Fix")))</f>
        <v xml:space="preserve"> </v>
      </c>
      <c r="M108" s="4" t="str">
        <f ca="1">IF(OR(INDEX($X$2:$X$1001,MATCH(ROWS($W$2:W108),$W$2:$W$1001,0),1)&gt;=100000,INDEX($AD$1005:$AU$1005,1,MATCH(COLUMNS($AD$1006:AO1006),$AD$1006:$AU$1006,0))&gt;=100000), " ",IF(INDEX($AD$2:$AU$1001,MATCH(ROWS($W$2:W108),$W$2:$W$1001,0),MATCH(COLUMNS($AD$1006:AO1006),$AD$1006:$AU$1006,0)), HYPERLINK("#",""), HYPERLINK(CONCATENATE("#metadata!", ADDRESS(INDEX($Y$2:$Y$1001,MATCH(ROWS($W$2:W108),$W$2:$W$1001,0),0), INDEX($AD$1004:$AU$1004,1,MATCH(COLUMNS($AD$1006:AO1006),$AD$1006:$AU$1006,0)))),"Fix")))</f>
        <v xml:space="preserve"> </v>
      </c>
      <c r="N108" s="4" t="str">
        <f ca="1">IF(OR(INDEX($X$2:$X$1001,MATCH(ROWS($W$2:W108),$W$2:$W$1001,0),1)&gt;=100000,INDEX($AD$1005:$AU$1005,1,MATCH(COLUMNS($AD$1006:AP1006),$AD$1006:$AU$1006,0))&gt;=100000), " ",IF(INDEX($AD$2:$AU$1001,MATCH(ROWS($W$2:W108),$W$2:$W$1001,0),MATCH(COLUMNS($AD$1006:AP1006),$AD$1006:$AU$1006,0)), HYPERLINK("#",""), HYPERLINK(CONCATENATE("#metadata!", ADDRESS(INDEX($Y$2:$Y$1001,MATCH(ROWS($W$2:W108),$W$2:$W$1001,0),0), INDEX($AD$1004:$AU$1004,1,MATCH(COLUMNS($AD$1006:AP1006),$AD$1006:$AU$1006,0)))),"Fix")))</f>
        <v xml:space="preserve"> </v>
      </c>
      <c r="O108" s="4" t="str">
        <f ca="1">IF(OR(INDEX($X$2:$X$1001,MATCH(ROWS($W$2:W108),$W$2:$W$1001,0),1)&gt;=100000,INDEX($AD$1005:$AU$1005,1,MATCH(COLUMNS($AD$1006:AQ1006),$AD$1006:$AU$1006,0))&gt;=100000), " ",IF(INDEX($AD$2:$AU$1001,MATCH(ROWS($W$2:W108),$W$2:$W$1001,0),MATCH(COLUMNS($AD$1006:AQ1006),$AD$1006:$AU$1006,0)), HYPERLINK("#",""), HYPERLINK(CONCATENATE("#metadata!", ADDRESS(INDEX($Y$2:$Y$1001,MATCH(ROWS($W$2:W108),$W$2:$W$1001,0),0), INDEX($AD$1004:$AU$1004,1,MATCH(COLUMNS($AD$1006:AQ1006),$AD$1006:$AU$1006,0)))),"Fix")))</f>
        <v xml:space="preserve"> </v>
      </c>
      <c r="P108" s="4" t="str">
        <f ca="1">IF(OR(INDEX($X$2:$X$1001,MATCH(ROWS($W$2:W108),$W$2:$W$1001,0),1)&gt;=100000,INDEX($AD$1005:$AU$1005,1,MATCH(COLUMNS($AD$1006:AR1006),$AD$1006:$AU$1006,0))&gt;=100000), " ",IF(INDEX($AD$2:$AU$1001,MATCH(ROWS($W$2:W108),$W$2:$W$1001,0),MATCH(COLUMNS($AD$1006:AR1006),$AD$1006:$AU$1006,0)), HYPERLINK("#",""), HYPERLINK(CONCATENATE("#metadata!", ADDRESS(INDEX($Y$2:$Y$1001,MATCH(ROWS($W$2:W108),$W$2:$W$1001,0),0), INDEX($AD$1004:$AU$1004,1,MATCH(COLUMNS($AD$1006:AR1006),$AD$1006:$AU$1006,0)))),"Fix")))</f>
        <v xml:space="preserve"> </v>
      </c>
      <c r="Q108" s="4" t="str">
        <f ca="1">IF(OR(INDEX($X$2:$X$1001,MATCH(ROWS($W$2:W108),$W$2:$W$1001,0),1)&gt;=100000,INDEX($AD$1005:$AU$1005,1,MATCH(COLUMNS($AD$1006:AS1006),$AD$1006:$AU$1006,0))&gt;=100000), " ",IF(INDEX($AD$2:$AU$1001,MATCH(ROWS($W$2:W108),$W$2:$W$1001,0),MATCH(COLUMNS($AD$1006:AS1006),$AD$1006:$AU$1006,0)), HYPERLINK("#",""), HYPERLINK(CONCATENATE("#metadata!", ADDRESS(INDEX($Y$2:$Y$1001,MATCH(ROWS($W$2:W108),$W$2:$W$1001,0),0), INDEX($AD$1004:$AU$1004,1,MATCH(COLUMNS($AD$1006:AS1006),$AD$1006:$AU$1006,0)))),"Fix")))</f>
        <v xml:space="preserve"> </v>
      </c>
      <c r="R108" s="4" t="str">
        <f ca="1">IF(OR(INDEX($X$2:$X$1001,MATCH(ROWS($W$2:W108),$W$2:$W$1001,0),1)&gt;=100000,INDEX($AD$1005:$AU$1005,1,MATCH(COLUMNS($AD$1006:AT1006),$AD$1006:$AU$1006,0))&gt;=100000), " ",IF(INDEX($AD$2:$AU$1001,MATCH(ROWS($W$2:W108),$W$2:$W$1001,0),MATCH(COLUMNS($AD$1006:AT1006),$AD$1006:$AU$1006,0)), HYPERLINK("#",""), HYPERLINK(CONCATENATE("#metadata!", ADDRESS(INDEX($Y$2:$Y$1001,MATCH(ROWS($W$2:W108),$W$2:$W$1001,0),0), INDEX($AD$1004:$AU$1004,1,MATCH(COLUMNS($AD$1006:AT1006),$AD$1006:$AU$1006,0)))),"Fix")))</f>
        <v xml:space="preserve"> </v>
      </c>
      <c r="S108" s="4" t="str">
        <f ca="1">IF(OR(INDEX($X$2:$X$1001,MATCH(ROWS($W$2:W108),$W$2:$W$1001,0),1)&gt;=100000,INDEX($AD$1005:$AU$1005,1,MATCH(COLUMNS($AD$1006:AU1006),$AD$1006:$AU$1006,0))&gt;=100000), " ",IF(INDEX($AD$2:$AU$1001,MATCH(ROWS($W$2:W108),$W$2:$W$1001,0),MATCH(COLUMNS($AD$1006:AU1006),$AD$1006:$AU$1006,0)), HYPERLINK("#",""), HYPERLINK(CONCATENATE("#metadata!", ADDRESS(INDEX($Y$2:$Y$1001,MATCH(ROWS($W$2:W108),$W$2:$W$1001,0),0), INDEX($AD$1004:$AU$1004,1,MATCH(COLUMNS($AD$1006:AU1006),$AD$1006:$AU$1006,0)))),"Fix")))</f>
        <v xml:space="preserve"> </v>
      </c>
      <c r="W108">
        <v>107</v>
      </c>
      <c r="X108">
        <v>100108</v>
      </c>
      <c r="Y108">
        <v>108</v>
      </c>
      <c r="Z108" t="b">
        <f t="shared" si="1"/>
        <v>1</v>
      </c>
      <c r="AA108" t="b">
        <f>COUNTBLANK(metadata!B108:S108)=COLUMNS(metadata!B108:S108)</f>
        <v>1</v>
      </c>
      <c r="AB108" t="str">
        <v/>
      </c>
      <c r="AD108" t="b">
        <f ca="1">AND(IF(metadata!B108="",FALSE,TRUE),COUNTIF(metadata!B:B, metadata!B108) = 1,NOT(ISERROR(SUMPRODUCT(SEARCH(MID(metadata!B108,ROW(INDIRECT("1:"&amp;LEN(metadata!B108))), 1),"0123456789abcdefghijklmnopqrstuvwxyzABCDEFGHIJKLMNOPQRSTUVWXYZ.")))))</f>
        <v>0</v>
      </c>
      <c r="AE108" t="b">
        <f>OR(AND(IF(metadata!C108="",FALSE,TRUE),OR(EXACT(metadata!C108,"not applicable"),EXACT(metadata!C108,"missing: not collected"),EXACT(metadata!C108,"missing: not provided"),EXACT(metadata!C108,"missing: restricted access"))),AND(IF(metadata!C108="",FALSE,ISNUMBER(VALUE(metadata!C108))),metadata!C108&gt;0))</f>
        <v>0</v>
      </c>
      <c r="AF108" t="b">
        <f>AND(IF(metadata!D108="",FALSE,TRUE),EXACT(metadata!D108,"missing: not provided"))</f>
        <v>0</v>
      </c>
      <c r="AG108" t="b">
        <f>AND(IF(metadata!E108="",FALSE,TRUE),EXACT(metadata!E108,"Host-associated"))</f>
        <v>0</v>
      </c>
      <c r="AH108" t="b">
        <f>AND(IF(metadata!F108="",FALSE,TRUE),OR(EXACT(metadata!F108,"Animal"),EXACT(metadata!F108,"Fungus"),EXACT(metadata!F108,"Plant")))</f>
        <v>0</v>
      </c>
      <c r="AI108" t="b">
        <f>AND(IF(metadata!G108="",FALSE,TRUE),OR(EXACT(metadata!G108,"Plant secretion"),EXACT(metadata!G108,"Plant rhizosphere"),EXACT(metadata!G108,"Plant surface"),EXACT(metadata!G108,"Plant corpus"),EXACT(metadata!G108,"Fungus surface"),EXACT(metadata!G108,"Fungus corpus"),EXACT(metadata!G108,"Animal surface"),EXACT(metadata!G108,"Animal proximal gut"),EXACT(metadata!G108,"Animal corpus"),EXACT(metadata!G108,"Animal distal gut"),EXACT(metadata!G108,"Animal secretion")))</f>
        <v>0</v>
      </c>
      <c r="AJ108" t="b">
        <f>OR(AND(IF(metadata!H108="",FALSE,TRUE),OR(EXACT(metadata!H108,"missing: not collected"),EXACT(metadata!H108,"missing: not provided"),EXACT(metadata!H108,"missing: restricted access"))),AND(IF(metadata!H108="",FALSE,TRUE),OR(EXACT(metadata!H108,"organism-associated habitat"),EXACT(metadata!H108,"plant-associated habitat"),EXACT(metadata!H108,"animal-associated habitat"),EXACT(metadata!H108,"insecta-associated habitat"),EXACT(metadata!H108,"mammalia-associated habitat"),EXACT(metadata!H108,"human-associated habitat"),EXACT(metadata!H108,"livestock-associated habitat"))))</f>
        <v>0</v>
      </c>
      <c r="AK108" t="b">
        <f>AND(IF(metadata!I108="",FALSE,TRUE),EXACT(metadata!I108,"host-associated"))</f>
        <v>0</v>
      </c>
      <c r="AL108" t="b">
        <f>OR(AND(IF(metadata!J108="",FALSE,TRUE),OR(EXACT(metadata!J108,"not applicable"),EXACT(metadata!J108,"missing: not collected"),EXACT(metadata!J108,"missing: not provided"),EXACT(metadata!J108,"missing: restricted access"))),AND(IF(metadata!J108="",FALSE,ISNUMBER(VALUE(metadata!J108))),metadata!J108&gt;0))</f>
        <v>0</v>
      </c>
      <c r="AM108" t="b">
        <f>AND(IF(metadata!K108="",FALSE,TRUE),EXACT(metadata!K108,"missing: not provided"))</f>
        <v>0</v>
      </c>
      <c r="AN108" t="b">
        <f>IF(metadata!L108="",FALSE,TRUE)</f>
        <v>0</v>
      </c>
      <c r="AO108" t="b">
        <f>IF(metadata!M108="",FALSE,TRUE)</f>
        <v>0</v>
      </c>
      <c r="AP108" t="b">
        <f>OR(AND(IF(metadata!N108="",FALSE,TRUE),OR(EXACT(metadata!N108,"not applicable"),EXACT(metadata!N108,"missing: not collected"),EXACT(metadata!N108,"missing: not provided"))),AND(IF(metadata!N108="",FALSE,IF(ISERROR(INT(metadata!N108)),FALSE,INT(metadata!N108)=metadata!N108)),metadata!N108&gt;0))</f>
        <v>0</v>
      </c>
      <c r="AQ108" t="b">
        <f>AND(IF(metadata!O108="",FALSE,TRUE),EXACT(metadata!O108,"Not applicable"))</f>
        <v>0</v>
      </c>
      <c r="AR108" t="b">
        <f>OR(AND(IF(metadata!P108="",FALSE,TRUE),OR(EXACT(metadata!P108,"not applicable"),EXACT(metadata!P108,"missing: not collected"),EXACT(metadata!P108,"missing: not provided"),EXACT(metadata!P108,"missing: restricted access"))),IF(metadata!P108="",FALSE,IF(ISERROR(INT(metadata!P108)),FALSE,INT(metadata!P108)=metadata!P108)))</f>
        <v>0</v>
      </c>
      <c r="AS108" t="b">
        <f>AND(IF(metadata!Q108="",FALSE,TRUE),EXACT(metadata!Q108,"Not applicable"))</f>
        <v>0</v>
      </c>
      <c r="AT108" t="b">
        <f>OR(AND(IF(metadata!R108="",FALSE,TRUE),OR(EXACT(metadata!R108,"not applicable"),EXACT(metadata!R108,"missing: not collected"),EXACT(metadata!R108,"missing: not provided"),EXACT(metadata!R108,"missing: restricted access"))),AND(IF(metadata!R108="",FALSE,ISNUMBER(VALUE(metadata!R108))),metadata!R108&gt;0))</f>
        <v>0</v>
      </c>
      <c r="AU108" t="b">
        <f>AND(IF(metadata!S108="",FALSE,TRUE),EXACT(metadata!S108,"missing: not provided"))</f>
        <v>0</v>
      </c>
    </row>
    <row r="109" spans="1:47" x14ac:dyDescent="0.2">
      <c r="A109" s="5" t="str">
        <f ca="1">IF(B109=" "," ",HYPERLINK(CONCATENATE("#metadata!",ADDRESS(INDEX($Y$2:$Y$1001,MATCH(ROWS($W$2:W109),$W$2:$W$1001,0),0),1)),INDEX($AB$2:$AB$1001,MATCH(ROWS($W$2:W109),$W$2:$W$1001,0),0)))</f>
        <v xml:space="preserve"> </v>
      </c>
      <c r="B109" s="4" t="str">
        <f ca="1">IF(OR(INDEX($X$2:$X$1001,MATCH(ROWS($W$2:W109),$W$2:$W$1001,0),1)&gt;=100000,INDEX($AD$1005:$AU$1005,1,MATCH(COLUMNS($AD$1006:AD1006),$AD$1006:$AU$1006,0))&gt;=100000), " ",IF(INDEX($AD$2:$AU$1001,MATCH(ROWS($W$2:W109),$W$2:$W$1001,0),MATCH(COLUMNS($AD$1006:AD1006),$AD$1006:$AU$1006,0)), HYPERLINK("#",""), HYPERLINK(CONCATENATE("#metadata!", ADDRESS(INDEX($Y$2:$Y$1001,MATCH(ROWS($W$2:W109),$W$2:$W$1001,0),0), INDEX($AD$1004:$AU$1004,1,MATCH(COLUMNS($AD$1006:AD1006),$AD$1006:$AU$1006,0)))),"Fix")))</f>
        <v xml:space="preserve"> </v>
      </c>
      <c r="C109" s="4" t="str">
        <f ca="1">IF(OR(INDEX($X$2:$X$1001,MATCH(ROWS($W$2:W109),$W$2:$W$1001,0),1)&gt;=100000,INDEX($AD$1005:$AU$1005,1,MATCH(COLUMNS($AD$1006:AE1006),$AD$1006:$AU$1006,0))&gt;=100000), " ",IF(INDEX($AD$2:$AU$1001,MATCH(ROWS($W$2:W109),$W$2:$W$1001,0),MATCH(COLUMNS($AD$1006:AE1006),$AD$1006:$AU$1006,0)), HYPERLINK("#",""), HYPERLINK(CONCATENATE("#metadata!", ADDRESS(INDEX($Y$2:$Y$1001,MATCH(ROWS($W$2:W109),$W$2:$W$1001,0),0), INDEX($AD$1004:$AU$1004,1,MATCH(COLUMNS($AD$1006:AE1006),$AD$1006:$AU$1006,0)))),"Fix")))</f>
        <v xml:space="preserve"> </v>
      </c>
      <c r="D109" s="4" t="str">
        <f ca="1">IF(OR(INDEX($X$2:$X$1001,MATCH(ROWS($W$2:W109),$W$2:$W$1001,0),1)&gt;=100000,INDEX($AD$1005:$AU$1005,1,MATCH(COLUMNS($AD$1006:AF1006),$AD$1006:$AU$1006,0))&gt;=100000), " ",IF(INDEX($AD$2:$AU$1001,MATCH(ROWS($W$2:W109),$W$2:$W$1001,0),MATCH(COLUMNS($AD$1006:AF1006),$AD$1006:$AU$1006,0)), HYPERLINK("#",""), HYPERLINK(CONCATENATE("#metadata!", ADDRESS(INDEX($Y$2:$Y$1001,MATCH(ROWS($W$2:W109),$W$2:$W$1001,0),0), INDEX($AD$1004:$AU$1004,1,MATCH(COLUMNS($AD$1006:AF1006),$AD$1006:$AU$1006,0)))),"Fix")))</f>
        <v xml:space="preserve"> </v>
      </c>
      <c r="E109" s="4" t="str">
        <f ca="1">IF(OR(INDEX($X$2:$X$1001,MATCH(ROWS($W$2:W109),$W$2:$W$1001,0),1)&gt;=100000,INDEX($AD$1005:$AU$1005,1,MATCH(COLUMNS($AD$1006:AG1006),$AD$1006:$AU$1006,0))&gt;=100000), " ",IF(INDEX($AD$2:$AU$1001,MATCH(ROWS($W$2:W109),$W$2:$W$1001,0),MATCH(COLUMNS($AD$1006:AG1006),$AD$1006:$AU$1006,0)), HYPERLINK("#",""), HYPERLINK(CONCATENATE("#metadata!", ADDRESS(INDEX($Y$2:$Y$1001,MATCH(ROWS($W$2:W109),$W$2:$W$1001,0),0), INDEX($AD$1004:$AU$1004,1,MATCH(COLUMNS($AD$1006:AG1006),$AD$1006:$AU$1006,0)))),"Fix")))</f>
        <v xml:space="preserve"> </v>
      </c>
      <c r="F109" s="4" t="str">
        <f ca="1">IF(OR(INDEX($X$2:$X$1001,MATCH(ROWS($W$2:W109),$W$2:$W$1001,0),1)&gt;=100000,INDEX($AD$1005:$AU$1005,1,MATCH(COLUMNS($AD$1006:AH1006),$AD$1006:$AU$1006,0))&gt;=100000), " ",IF(INDEX($AD$2:$AU$1001,MATCH(ROWS($W$2:W109),$W$2:$W$1001,0),MATCH(COLUMNS($AD$1006:AH1006),$AD$1006:$AU$1006,0)), HYPERLINK("#",""), HYPERLINK(CONCATENATE("#metadata!", ADDRESS(INDEX($Y$2:$Y$1001,MATCH(ROWS($W$2:W109),$W$2:$W$1001,0),0), INDEX($AD$1004:$AU$1004,1,MATCH(COLUMNS($AD$1006:AH1006),$AD$1006:$AU$1006,0)))),"Fix")))</f>
        <v xml:space="preserve"> </v>
      </c>
      <c r="G109" s="4" t="str">
        <f ca="1">IF(OR(INDEX($X$2:$X$1001,MATCH(ROWS($W$2:W109),$W$2:$W$1001,0),1)&gt;=100000,INDEX($AD$1005:$AU$1005,1,MATCH(COLUMNS($AD$1006:AI1006),$AD$1006:$AU$1006,0))&gt;=100000), " ",IF(INDEX($AD$2:$AU$1001,MATCH(ROWS($W$2:W109),$W$2:$W$1001,0),MATCH(COLUMNS($AD$1006:AI1006),$AD$1006:$AU$1006,0)), HYPERLINK("#",""), HYPERLINK(CONCATENATE("#metadata!", ADDRESS(INDEX($Y$2:$Y$1001,MATCH(ROWS($W$2:W109),$W$2:$W$1001,0),0), INDEX($AD$1004:$AU$1004,1,MATCH(COLUMNS($AD$1006:AI1006),$AD$1006:$AU$1006,0)))),"Fix")))</f>
        <v xml:space="preserve"> </v>
      </c>
      <c r="H109" s="4" t="str">
        <f ca="1">IF(OR(INDEX($X$2:$X$1001,MATCH(ROWS($W$2:W109),$W$2:$W$1001,0),1)&gt;=100000,INDEX($AD$1005:$AU$1005,1,MATCH(COLUMNS($AD$1006:AJ1006),$AD$1006:$AU$1006,0))&gt;=100000), " ",IF(INDEX($AD$2:$AU$1001,MATCH(ROWS($W$2:W109),$W$2:$W$1001,0),MATCH(COLUMNS($AD$1006:AJ1006),$AD$1006:$AU$1006,0)), HYPERLINK("#",""), HYPERLINK(CONCATENATE("#metadata!", ADDRESS(INDEX($Y$2:$Y$1001,MATCH(ROWS($W$2:W109),$W$2:$W$1001,0),0), INDEX($AD$1004:$AU$1004,1,MATCH(COLUMNS($AD$1006:AJ1006),$AD$1006:$AU$1006,0)))),"Fix")))</f>
        <v xml:space="preserve"> </v>
      </c>
      <c r="I109" s="4" t="str">
        <f ca="1">IF(OR(INDEX($X$2:$X$1001,MATCH(ROWS($W$2:W109),$W$2:$W$1001,0),1)&gt;=100000,INDEX($AD$1005:$AU$1005,1,MATCH(COLUMNS($AD$1006:AK1006),$AD$1006:$AU$1006,0))&gt;=100000), " ",IF(INDEX($AD$2:$AU$1001,MATCH(ROWS($W$2:W109),$W$2:$W$1001,0),MATCH(COLUMNS($AD$1006:AK1006),$AD$1006:$AU$1006,0)), HYPERLINK("#",""), HYPERLINK(CONCATENATE("#metadata!", ADDRESS(INDEX($Y$2:$Y$1001,MATCH(ROWS($W$2:W109),$W$2:$W$1001,0),0), INDEX($AD$1004:$AU$1004,1,MATCH(COLUMNS($AD$1006:AK1006),$AD$1006:$AU$1006,0)))),"Fix")))</f>
        <v xml:space="preserve"> </v>
      </c>
      <c r="J109" s="4" t="str">
        <f ca="1">IF(OR(INDEX($X$2:$X$1001,MATCH(ROWS($W$2:W109),$W$2:$W$1001,0),1)&gt;=100000,INDEX($AD$1005:$AU$1005,1,MATCH(COLUMNS($AD$1006:AL1006),$AD$1006:$AU$1006,0))&gt;=100000), " ",IF(INDEX($AD$2:$AU$1001,MATCH(ROWS($W$2:W109),$W$2:$W$1001,0),MATCH(COLUMNS($AD$1006:AL1006),$AD$1006:$AU$1006,0)), HYPERLINK("#",""), HYPERLINK(CONCATENATE("#metadata!", ADDRESS(INDEX($Y$2:$Y$1001,MATCH(ROWS($W$2:W109),$W$2:$W$1001,0),0), INDEX($AD$1004:$AU$1004,1,MATCH(COLUMNS($AD$1006:AL1006),$AD$1006:$AU$1006,0)))),"Fix")))</f>
        <v xml:space="preserve"> </v>
      </c>
      <c r="K109" s="4" t="str">
        <f ca="1">IF(OR(INDEX($X$2:$X$1001,MATCH(ROWS($W$2:W109),$W$2:$W$1001,0),1)&gt;=100000,INDEX($AD$1005:$AU$1005,1,MATCH(COLUMNS($AD$1006:AM1006),$AD$1006:$AU$1006,0))&gt;=100000), " ",IF(INDEX($AD$2:$AU$1001,MATCH(ROWS($W$2:W109),$W$2:$W$1001,0),MATCH(COLUMNS($AD$1006:AM1006),$AD$1006:$AU$1006,0)), HYPERLINK("#",""), HYPERLINK(CONCATENATE("#metadata!", ADDRESS(INDEX($Y$2:$Y$1001,MATCH(ROWS($W$2:W109),$W$2:$W$1001,0),0), INDEX($AD$1004:$AU$1004,1,MATCH(COLUMNS($AD$1006:AM1006),$AD$1006:$AU$1006,0)))),"Fix")))</f>
        <v xml:space="preserve"> </v>
      </c>
      <c r="L109" s="4" t="str">
        <f ca="1">IF(OR(INDEX($X$2:$X$1001,MATCH(ROWS($W$2:W109),$W$2:$W$1001,0),1)&gt;=100000,INDEX($AD$1005:$AU$1005,1,MATCH(COLUMNS($AD$1006:AN1006),$AD$1006:$AU$1006,0))&gt;=100000), " ",IF(INDEX($AD$2:$AU$1001,MATCH(ROWS($W$2:W109),$W$2:$W$1001,0),MATCH(COLUMNS($AD$1006:AN1006),$AD$1006:$AU$1006,0)), HYPERLINK("#",""), HYPERLINK(CONCATENATE("#metadata!", ADDRESS(INDEX($Y$2:$Y$1001,MATCH(ROWS($W$2:W109),$W$2:$W$1001,0),0), INDEX($AD$1004:$AU$1004,1,MATCH(COLUMNS($AD$1006:AN1006),$AD$1006:$AU$1006,0)))),"Fix")))</f>
        <v xml:space="preserve"> </v>
      </c>
      <c r="M109" s="4" t="str">
        <f ca="1">IF(OR(INDEX($X$2:$X$1001,MATCH(ROWS($W$2:W109),$W$2:$W$1001,0),1)&gt;=100000,INDEX($AD$1005:$AU$1005,1,MATCH(COLUMNS($AD$1006:AO1006),$AD$1006:$AU$1006,0))&gt;=100000), " ",IF(INDEX($AD$2:$AU$1001,MATCH(ROWS($W$2:W109),$W$2:$W$1001,0),MATCH(COLUMNS($AD$1006:AO1006),$AD$1006:$AU$1006,0)), HYPERLINK("#",""), HYPERLINK(CONCATENATE("#metadata!", ADDRESS(INDEX($Y$2:$Y$1001,MATCH(ROWS($W$2:W109),$W$2:$W$1001,0),0), INDEX($AD$1004:$AU$1004,1,MATCH(COLUMNS($AD$1006:AO1006),$AD$1006:$AU$1006,0)))),"Fix")))</f>
        <v xml:space="preserve"> </v>
      </c>
      <c r="N109" s="4" t="str">
        <f ca="1">IF(OR(INDEX($X$2:$X$1001,MATCH(ROWS($W$2:W109),$W$2:$W$1001,0),1)&gt;=100000,INDEX($AD$1005:$AU$1005,1,MATCH(COLUMNS($AD$1006:AP1006),$AD$1006:$AU$1006,0))&gt;=100000), " ",IF(INDEX($AD$2:$AU$1001,MATCH(ROWS($W$2:W109),$W$2:$W$1001,0),MATCH(COLUMNS($AD$1006:AP1006),$AD$1006:$AU$1006,0)), HYPERLINK("#",""), HYPERLINK(CONCATENATE("#metadata!", ADDRESS(INDEX($Y$2:$Y$1001,MATCH(ROWS($W$2:W109),$W$2:$W$1001,0),0), INDEX($AD$1004:$AU$1004,1,MATCH(COLUMNS($AD$1006:AP1006),$AD$1006:$AU$1006,0)))),"Fix")))</f>
        <v xml:space="preserve"> </v>
      </c>
      <c r="O109" s="4" t="str">
        <f ca="1">IF(OR(INDEX($X$2:$X$1001,MATCH(ROWS($W$2:W109),$W$2:$W$1001,0),1)&gt;=100000,INDEX($AD$1005:$AU$1005,1,MATCH(COLUMNS($AD$1006:AQ1006),$AD$1006:$AU$1006,0))&gt;=100000), " ",IF(INDEX($AD$2:$AU$1001,MATCH(ROWS($W$2:W109),$W$2:$W$1001,0),MATCH(COLUMNS($AD$1006:AQ1006),$AD$1006:$AU$1006,0)), HYPERLINK("#",""), HYPERLINK(CONCATENATE("#metadata!", ADDRESS(INDEX($Y$2:$Y$1001,MATCH(ROWS($W$2:W109),$W$2:$W$1001,0),0), INDEX($AD$1004:$AU$1004,1,MATCH(COLUMNS($AD$1006:AQ1006),$AD$1006:$AU$1006,0)))),"Fix")))</f>
        <v xml:space="preserve"> </v>
      </c>
      <c r="P109" s="4" t="str">
        <f ca="1">IF(OR(INDEX($X$2:$X$1001,MATCH(ROWS($W$2:W109),$W$2:$W$1001,0),1)&gt;=100000,INDEX($AD$1005:$AU$1005,1,MATCH(COLUMNS($AD$1006:AR1006),$AD$1006:$AU$1006,0))&gt;=100000), " ",IF(INDEX($AD$2:$AU$1001,MATCH(ROWS($W$2:W109),$W$2:$W$1001,0),MATCH(COLUMNS($AD$1006:AR1006),$AD$1006:$AU$1006,0)), HYPERLINK("#",""), HYPERLINK(CONCATENATE("#metadata!", ADDRESS(INDEX($Y$2:$Y$1001,MATCH(ROWS($W$2:W109),$W$2:$W$1001,0),0), INDEX($AD$1004:$AU$1004,1,MATCH(COLUMNS($AD$1006:AR1006),$AD$1006:$AU$1006,0)))),"Fix")))</f>
        <v xml:space="preserve"> </v>
      </c>
      <c r="Q109" s="4" t="str">
        <f ca="1">IF(OR(INDEX($X$2:$X$1001,MATCH(ROWS($W$2:W109),$W$2:$W$1001,0),1)&gt;=100000,INDEX($AD$1005:$AU$1005,1,MATCH(COLUMNS($AD$1006:AS1006),$AD$1006:$AU$1006,0))&gt;=100000), " ",IF(INDEX($AD$2:$AU$1001,MATCH(ROWS($W$2:W109),$W$2:$W$1001,0),MATCH(COLUMNS($AD$1006:AS1006),$AD$1006:$AU$1006,0)), HYPERLINK("#",""), HYPERLINK(CONCATENATE("#metadata!", ADDRESS(INDEX($Y$2:$Y$1001,MATCH(ROWS($W$2:W109),$W$2:$W$1001,0),0), INDEX($AD$1004:$AU$1004,1,MATCH(COLUMNS($AD$1006:AS1006),$AD$1006:$AU$1006,0)))),"Fix")))</f>
        <v xml:space="preserve"> </v>
      </c>
      <c r="R109" s="4" t="str">
        <f ca="1">IF(OR(INDEX($X$2:$X$1001,MATCH(ROWS($W$2:W109),$W$2:$W$1001,0),1)&gt;=100000,INDEX($AD$1005:$AU$1005,1,MATCH(COLUMNS($AD$1006:AT1006),$AD$1006:$AU$1006,0))&gt;=100000), " ",IF(INDEX($AD$2:$AU$1001,MATCH(ROWS($W$2:W109),$W$2:$W$1001,0),MATCH(COLUMNS($AD$1006:AT1006),$AD$1006:$AU$1006,0)), HYPERLINK("#",""), HYPERLINK(CONCATENATE("#metadata!", ADDRESS(INDEX($Y$2:$Y$1001,MATCH(ROWS($W$2:W109),$W$2:$W$1001,0),0), INDEX($AD$1004:$AU$1004,1,MATCH(COLUMNS($AD$1006:AT1006),$AD$1006:$AU$1006,0)))),"Fix")))</f>
        <v xml:space="preserve"> </v>
      </c>
      <c r="S109" s="4" t="str">
        <f ca="1">IF(OR(INDEX($X$2:$X$1001,MATCH(ROWS($W$2:W109),$W$2:$W$1001,0),1)&gt;=100000,INDEX($AD$1005:$AU$1005,1,MATCH(COLUMNS($AD$1006:AU1006),$AD$1006:$AU$1006,0))&gt;=100000), " ",IF(INDEX($AD$2:$AU$1001,MATCH(ROWS($W$2:W109),$W$2:$W$1001,0),MATCH(COLUMNS($AD$1006:AU1006),$AD$1006:$AU$1006,0)), HYPERLINK("#",""), HYPERLINK(CONCATENATE("#metadata!", ADDRESS(INDEX($Y$2:$Y$1001,MATCH(ROWS($W$2:W109),$W$2:$W$1001,0),0), INDEX($AD$1004:$AU$1004,1,MATCH(COLUMNS($AD$1006:AU1006),$AD$1006:$AU$1006,0)))),"Fix")))</f>
        <v xml:space="preserve"> </v>
      </c>
      <c r="W109">
        <v>108</v>
      </c>
      <c r="X109">
        <v>100109</v>
      </c>
      <c r="Y109">
        <v>109</v>
      </c>
      <c r="Z109" t="b">
        <f t="shared" si="1"/>
        <v>1</v>
      </c>
      <c r="AA109" t="b">
        <f>COUNTBLANK(metadata!B109:S109)=COLUMNS(metadata!B109:S109)</f>
        <v>1</v>
      </c>
      <c r="AB109" t="str">
        <v/>
      </c>
      <c r="AD109" t="b">
        <f ca="1">AND(IF(metadata!B109="",FALSE,TRUE),COUNTIF(metadata!B:B, metadata!B109) = 1,NOT(ISERROR(SUMPRODUCT(SEARCH(MID(metadata!B109,ROW(INDIRECT("1:"&amp;LEN(metadata!B109))), 1),"0123456789abcdefghijklmnopqrstuvwxyzABCDEFGHIJKLMNOPQRSTUVWXYZ.")))))</f>
        <v>0</v>
      </c>
      <c r="AE109" t="b">
        <f>OR(AND(IF(metadata!C109="",FALSE,TRUE),OR(EXACT(metadata!C109,"not applicable"),EXACT(metadata!C109,"missing: not collected"),EXACT(metadata!C109,"missing: not provided"),EXACT(metadata!C109,"missing: restricted access"))),AND(IF(metadata!C109="",FALSE,ISNUMBER(VALUE(metadata!C109))),metadata!C109&gt;0))</f>
        <v>0</v>
      </c>
      <c r="AF109" t="b">
        <f>AND(IF(metadata!D109="",FALSE,TRUE),EXACT(metadata!D109,"missing: not provided"))</f>
        <v>0</v>
      </c>
      <c r="AG109" t="b">
        <f>AND(IF(metadata!E109="",FALSE,TRUE),EXACT(metadata!E109,"Host-associated"))</f>
        <v>0</v>
      </c>
      <c r="AH109" t="b">
        <f>AND(IF(metadata!F109="",FALSE,TRUE),OR(EXACT(metadata!F109,"Animal"),EXACT(metadata!F109,"Fungus"),EXACT(metadata!F109,"Plant")))</f>
        <v>0</v>
      </c>
      <c r="AI109" t="b">
        <f>AND(IF(metadata!G109="",FALSE,TRUE),OR(EXACT(metadata!G109,"Plant secretion"),EXACT(metadata!G109,"Plant rhizosphere"),EXACT(metadata!G109,"Plant surface"),EXACT(metadata!G109,"Plant corpus"),EXACT(metadata!G109,"Fungus surface"),EXACT(metadata!G109,"Fungus corpus"),EXACT(metadata!G109,"Animal surface"),EXACT(metadata!G109,"Animal proximal gut"),EXACT(metadata!G109,"Animal corpus"),EXACT(metadata!G109,"Animal distal gut"),EXACT(metadata!G109,"Animal secretion")))</f>
        <v>0</v>
      </c>
      <c r="AJ109" t="b">
        <f>OR(AND(IF(metadata!H109="",FALSE,TRUE),OR(EXACT(metadata!H109,"missing: not collected"),EXACT(metadata!H109,"missing: not provided"),EXACT(metadata!H109,"missing: restricted access"))),AND(IF(metadata!H109="",FALSE,TRUE),OR(EXACT(metadata!H109,"organism-associated habitat"),EXACT(metadata!H109,"plant-associated habitat"),EXACT(metadata!H109,"animal-associated habitat"),EXACT(metadata!H109,"insecta-associated habitat"),EXACT(metadata!H109,"mammalia-associated habitat"),EXACT(metadata!H109,"human-associated habitat"),EXACT(metadata!H109,"livestock-associated habitat"))))</f>
        <v>0</v>
      </c>
      <c r="AK109" t="b">
        <f>AND(IF(metadata!I109="",FALSE,TRUE),EXACT(metadata!I109,"host-associated"))</f>
        <v>0</v>
      </c>
      <c r="AL109" t="b">
        <f>OR(AND(IF(metadata!J109="",FALSE,TRUE),OR(EXACT(metadata!J109,"not applicable"),EXACT(metadata!J109,"missing: not collected"),EXACT(metadata!J109,"missing: not provided"),EXACT(metadata!J109,"missing: restricted access"))),AND(IF(metadata!J109="",FALSE,ISNUMBER(VALUE(metadata!J109))),metadata!J109&gt;0))</f>
        <v>0</v>
      </c>
      <c r="AM109" t="b">
        <f>AND(IF(metadata!K109="",FALSE,TRUE),EXACT(metadata!K109,"missing: not provided"))</f>
        <v>0</v>
      </c>
      <c r="AN109" t="b">
        <f>IF(metadata!L109="",FALSE,TRUE)</f>
        <v>0</v>
      </c>
      <c r="AO109" t="b">
        <f>IF(metadata!M109="",FALSE,TRUE)</f>
        <v>0</v>
      </c>
      <c r="AP109" t="b">
        <f>OR(AND(IF(metadata!N109="",FALSE,TRUE),OR(EXACT(metadata!N109,"not applicable"),EXACT(metadata!N109,"missing: not collected"),EXACT(metadata!N109,"missing: not provided"))),AND(IF(metadata!N109="",FALSE,IF(ISERROR(INT(metadata!N109)),FALSE,INT(metadata!N109)=metadata!N109)),metadata!N109&gt;0))</f>
        <v>0</v>
      </c>
      <c r="AQ109" t="b">
        <f>AND(IF(metadata!O109="",FALSE,TRUE),EXACT(metadata!O109,"Not applicable"))</f>
        <v>0</v>
      </c>
      <c r="AR109" t="b">
        <f>OR(AND(IF(metadata!P109="",FALSE,TRUE),OR(EXACT(metadata!P109,"not applicable"),EXACT(metadata!P109,"missing: not collected"),EXACT(metadata!P109,"missing: not provided"),EXACT(metadata!P109,"missing: restricted access"))),IF(metadata!P109="",FALSE,IF(ISERROR(INT(metadata!P109)),FALSE,INT(metadata!P109)=metadata!P109)))</f>
        <v>0</v>
      </c>
      <c r="AS109" t="b">
        <f>AND(IF(metadata!Q109="",FALSE,TRUE),EXACT(metadata!Q109,"Not applicable"))</f>
        <v>0</v>
      </c>
      <c r="AT109" t="b">
        <f>OR(AND(IF(metadata!R109="",FALSE,TRUE),OR(EXACT(metadata!R109,"not applicable"),EXACT(metadata!R109,"missing: not collected"),EXACT(metadata!R109,"missing: not provided"),EXACT(metadata!R109,"missing: restricted access"))),AND(IF(metadata!R109="",FALSE,ISNUMBER(VALUE(metadata!R109))),metadata!R109&gt;0))</f>
        <v>0</v>
      </c>
      <c r="AU109" t="b">
        <f>AND(IF(metadata!S109="",FALSE,TRUE),EXACT(metadata!S109,"missing: not provided"))</f>
        <v>0</v>
      </c>
    </row>
    <row r="110" spans="1:47" x14ac:dyDescent="0.2">
      <c r="A110" s="5" t="str">
        <f ca="1">IF(B110=" "," ",HYPERLINK(CONCATENATE("#metadata!",ADDRESS(INDEX($Y$2:$Y$1001,MATCH(ROWS($W$2:W110),$W$2:$W$1001,0),0),1)),INDEX($AB$2:$AB$1001,MATCH(ROWS($W$2:W110),$W$2:$W$1001,0),0)))</f>
        <v xml:space="preserve"> </v>
      </c>
      <c r="B110" s="4" t="str">
        <f ca="1">IF(OR(INDEX($X$2:$X$1001,MATCH(ROWS($W$2:W110),$W$2:$W$1001,0),1)&gt;=100000,INDEX($AD$1005:$AU$1005,1,MATCH(COLUMNS($AD$1006:AD1006),$AD$1006:$AU$1006,0))&gt;=100000), " ",IF(INDEX($AD$2:$AU$1001,MATCH(ROWS($W$2:W110),$W$2:$W$1001,0),MATCH(COLUMNS($AD$1006:AD1006),$AD$1006:$AU$1006,0)), HYPERLINK("#",""), HYPERLINK(CONCATENATE("#metadata!", ADDRESS(INDEX($Y$2:$Y$1001,MATCH(ROWS($W$2:W110),$W$2:$W$1001,0),0), INDEX($AD$1004:$AU$1004,1,MATCH(COLUMNS($AD$1006:AD1006),$AD$1006:$AU$1006,0)))),"Fix")))</f>
        <v xml:space="preserve"> </v>
      </c>
      <c r="C110" s="4" t="str">
        <f ca="1">IF(OR(INDEX($X$2:$X$1001,MATCH(ROWS($W$2:W110),$W$2:$W$1001,0),1)&gt;=100000,INDEX($AD$1005:$AU$1005,1,MATCH(COLUMNS($AD$1006:AE1006),$AD$1006:$AU$1006,0))&gt;=100000), " ",IF(INDEX($AD$2:$AU$1001,MATCH(ROWS($W$2:W110),$W$2:$W$1001,0),MATCH(COLUMNS($AD$1006:AE1006),$AD$1006:$AU$1006,0)), HYPERLINK("#",""), HYPERLINK(CONCATENATE("#metadata!", ADDRESS(INDEX($Y$2:$Y$1001,MATCH(ROWS($W$2:W110),$W$2:$W$1001,0),0), INDEX($AD$1004:$AU$1004,1,MATCH(COLUMNS($AD$1006:AE1006),$AD$1006:$AU$1006,0)))),"Fix")))</f>
        <v xml:space="preserve"> </v>
      </c>
      <c r="D110" s="4" t="str">
        <f ca="1">IF(OR(INDEX($X$2:$X$1001,MATCH(ROWS($W$2:W110),$W$2:$W$1001,0),1)&gt;=100000,INDEX($AD$1005:$AU$1005,1,MATCH(COLUMNS($AD$1006:AF1006),$AD$1006:$AU$1006,0))&gt;=100000), " ",IF(INDEX($AD$2:$AU$1001,MATCH(ROWS($W$2:W110),$W$2:$W$1001,0),MATCH(COLUMNS($AD$1006:AF1006),$AD$1006:$AU$1006,0)), HYPERLINK("#",""), HYPERLINK(CONCATENATE("#metadata!", ADDRESS(INDEX($Y$2:$Y$1001,MATCH(ROWS($W$2:W110),$W$2:$W$1001,0),0), INDEX($AD$1004:$AU$1004,1,MATCH(COLUMNS($AD$1006:AF1006),$AD$1006:$AU$1006,0)))),"Fix")))</f>
        <v xml:space="preserve"> </v>
      </c>
      <c r="E110" s="4" t="str">
        <f ca="1">IF(OR(INDEX($X$2:$X$1001,MATCH(ROWS($W$2:W110),$W$2:$W$1001,0),1)&gt;=100000,INDEX($AD$1005:$AU$1005,1,MATCH(COLUMNS($AD$1006:AG1006),$AD$1006:$AU$1006,0))&gt;=100000), " ",IF(INDEX($AD$2:$AU$1001,MATCH(ROWS($W$2:W110),$W$2:$W$1001,0),MATCH(COLUMNS($AD$1006:AG1006),$AD$1006:$AU$1006,0)), HYPERLINK("#",""), HYPERLINK(CONCATENATE("#metadata!", ADDRESS(INDEX($Y$2:$Y$1001,MATCH(ROWS($W$2:W110),$W$2:$W$1001,0),0), INDEX($AD$1004:$AU$1004,1,MATCH(COLUMNS($AD$1006:AG1006),$AD$1006:$AU$1006,0)))),"Fix")))</f>
        <v xml:space="preserve"> </v>
      </c>
      <c r="F110" s="4" t="str">
        <f ca="1">IF(OR(INDEX($X$2:$X$1001,MATCH(ROWS($W$2:W110),$W$2:$W$1001,0),1)&gt;=100000,INDEX($AD$1005:$AU$1005,1,MATCH(COLUMNS($AD$1006:AH1006),$AD$1006:$AU$1006,0))&gt;=100000), " ",IF(INDEX($AD$2:$AU$1001,MATCH(ROWS($W$2:W110),$W$2:$W$1001,0),MATCH(COLUMNS($AD$1006:AH1006),$AD$1006:$AU$1006,0)), HYPERLINK("#",""), HYPERLINK(CONCATENATE("#metadata!", ADDRESS(INDEX($Y$2:$Y$1001,MATCH(ROWS($W$2:W110),$W$2:$W$1001,0),0), INDEX($AD$1004:$AU$1004,1,MATCH(COLUMNS($AD$1006:AH1006),$AD$1006:$AU$1006,0)))),"Fix")))</f>
        <v xml:space="preserve"> </v>
      </c>
      <c r="G110" s="4" t="str">
        <f ca="1">IF(OR(INDEX($X$2:$X$1001,MATCH(ROWS($W$2:W110),$W$2:$W$1001,0),1)&gt;=100000,INDEX($AD$1005:$AU$1005,1,MATCH(COLUMNS($AD$1006:AI1006),$AD$1006:$AU$1006,0))&gt;=100000), " ",IF(INDEX($AD$2:$AU$1001,MATCH(ROWS($W$2:W110),$W$2:$W$1001,0),MATCH(COLUMNS($AD$1006:AI1006),$AD$1006:$AU$1006,0)), HYPERLINK("#",""), HYPERLINK(CONCATENATE("#metadata!", ADDRESS(INDEX($Y$2:$Y$1001,MATCH(ROWS($W$2:W110),$W$2:$W$1001,0),0), INDEX($AD$1004:$AU$1004,1,MATCH(COLUMNS($AD$1006:AI1006),$AD$1006:$AU$1006,0)))),"Fix")))</f>
        <v xml:space="preserve"> </v>
      </c>
      <c r="H110" s="4" t="str">
        <f ca="1">IF(OR(INDEX($X$2:$X$1001,MATCH(ROWS($W$2:W110),$W$2:$W$1001,0),1)&gt;=100000,INDEX($AD$1005:$AU$1005,1,MATCH(COLUMNS($AD$1006:AJ1006),$AD$1006:$AU$1006,0))&gt;=100000), " ",IF(INDEX($AD$2:$AU$1001,MATCH(ROWS($W$2:W110),$W$2:$W$1001,0),MATCH(COLUMNS($AD$1006:AJ1006),$AD$1006:$AU$1006,0)), HYPERLINK("#",""), HYPERLINK(CONCATENATE("#metadata!", ADDRESS(INDEX($Y$2:$Y$1001,MATCH(ROWS($W$2:W110),$W$2:$W$1001,0),0), INDEX($AD$1004:$AU$1004,1,MATCH(COLUMNS($AD$1006:AJ1006),$AD$1006:$AU$1006,0)))),"Fix")))</f>
        <v xml:space="preserve"> </v>
      </c>
      <c r="I110" s="4" t="str">
        <f ca="1">IF(OR(INDEX($X$2:$X$1001,MATCH(ROWS($W$2:W110),$W$2:$W$1001,0),1)&gt;=100000,INDEX($AD$1005:$AU$1005,1,MATCH(COLUMNS($AD$1006:AK1006),$AD$1006:$AU$1006,0))&gt;=100000), " ",IF(INDEX($AD$2:$AU$1001,MATCH(ROWS($W$2:W110),$W$2:$W$1001,0),MATCH(COLUMNS($AD$1006:AK1006),$AD$1006:$AU$1006,0)), HYPERLINK("#",""), HYPERLINK(CONCATENATE("#metadata!", ADDRESS(INDEX($Y$2:$Y$1001,MATCH(ROWS($W$2:W110),$W$2:$W$1001,0),0), INDEX($AD$1004:$AU$1004,1,MATCH(COLUMNS($AD$1006:AK1006),$AD$1006:$AU$1006,0)))),"Fix")))</f>
        <v xml:space="preserve"> </v>
      </c>
      <c r="J110" s="4" t="str">
        <f ca="1">IF(OR(INDEX($X$2:$X$1001,MATCH(ROWS($W$2:W110),$W$2:$W$1001,0),1)&gt;=100000,INDEX($AD$1005:$AU$1005,1,MATCH(COLUMNS($AD$1006:AL1006),$AD$1006:$AU$1006,0))&gt;=100000), " ",IF(INDEX($AD$2:$AU$1001,MATCH(ROWS($W$2:W110),$W$2:$W$1001,0),MATCH(COLUMNS($AD$1006:AL1006),$AD$1006:$AU$1006,0)), HYPERLINK("#",""), HYPERLINK(CONCATENATE("#metadata!", ADDRESS(INDEX($Y$2:$Y$1001,MATCH(ROWS($W$2:W110),$W$2:$W$1001,0),0), INDEX($AD$1004:$AU$1004,1,MATCH(COLUMNS($AD$1006:AL1006),$AD$1006:$AU$1006,0)))),"Fix")))</f>
        <v xml:space="preserve"> </v>
      </c>
      <c r="K110" s="4" t="str">
        <f ca="1">IF(OR(INDEX($X$2:$X$1001,MATCH(ROWS($W$2:W110),$W$2:$W$1001,0),1)&gt;=100000,INDEX($AD$1005:$AU$1005,1,MATCH(COLUMNS($AD$1006:AM1006),$AD$1006:$AU$1006,0))&gt;=100000), " ",IF(INDEX($AD$2:$AU$1001,MATCH(ROWS($W$2:W110),$W$2:$W$1001,0),MATCH(COLUMNS($AD$1006:AM1006),$AD$1006:$AU$1006,0)), HYPERLINK("#",""), HYPERLINK(CONCATENATE("#metadata!", ADDRESS(INDEX($Y$2:$Y$1001,MATCH(ROWS($W$2:W110),$W$2:$W$1001,0),0), INDEX($AD$1004:$AU$1004,1,MATCH(COLUMNS($AD$1006:AM1006),$AD$1006:$AU$1006,0)))),"Fix")))</f>
        <v xml:space="preserve"> </v>
      </c>
      <c r="L110" s="4" t="str">
        <f ca="1">IF(OR(INDEX($X$2:$X$1001,MATCH(ROWS($W$2:W110),$W$2:$W$1001,0),1)&gt;=100000,INDEX($AD$1005:$AU$1005,1,MATCH(COLUMNS($AD$1006:AN1006),$AD$1006:$AU$1006,0))&gt;=100000), " ",IF(INDEX($AD$2:$AU$1001,MATCH(ROWS($W$2:W110),$W$2:$W$1001,0),MATCH(COLUMNS($AD$1006:AN1006),$AD$1006:$AU$1006,0)), HYPERLINK("#",""), HYPERLINK(CONCATENATE("#metadata!", ADDRESS(INDEX($Y$2:$Y$1001,MATCH(ROWS($W$2:W110),$W$2:$W$1001,0),0), INDEX($AD$1004:$AU$1004,1,MATCH(COLUMNS($AD$1006:AN1006),$AD$1006:$AU$1006,0)))),"Fix")))</f>
        <v xml:space="preserve"> </v>
      </c>
      <c r="M110" s="4" t="str">
        <f ca="1">IF(OR(INDEX($X$2:$X$1001,MATCH(ROWS($W$2:W110),$W$2:$W$1001,0),1)&gt;=100000,INDEX($AD$1005:$AU$1005,1,MATCH(COLUMNS($AD$1006:AO1006),$AD$1006:$AU$1006,0))&gt;=100000), " ",IF(INDEX($AD$2:$AU$1001,MATCH(ROWS($W$2:W110),$W$2:$W$1001,0),MATCH(COLUMNS($AD$1006:AO1006),$AD$1006:$AU$1006,0)), HYPERLINK("#",""), HYPERLINK(CONCATENATE("#metadata!", ADDRESS(INDEX($Y$2:$Y$1001,MATCH(ROWS($W$2:W110),$W$2:$W$1001,0),0), INDEX($AD$1004:$AU$1004,1,MATCH(COLUMNS($AD$1006:AO1006),$AD$1006:$AU$1006,0)))),"Fix")))</f>
        <v xml:space="preserve"> </v>
      </c>
      <c r="N110" s="4" t="str">
        <f ca="1">IF(OR(INDEX($X$2:$X$1001,MATCH(ROWS($W$2:W110),$W$2:$W$1001,0),1)&gt;=100000,INDEX($AD$1005:$AU$1005,1,MATCH(COLUMNS($AD$1006:AP1006),$AD$1006:$AU$1006,0))&gt;=100000), " ",IF(INDEX($AD$2:$AU$1001,MATCH(ROWS($W$2:W110),$W$2:$W$1001,0),MATCH(COLUMNS($AD$1006:AP1006),$AD$1006:$AU$1006,0)), HYPERLINK("#",""), HYPERLINK(CONCATENATE("#metadata!", ADDRESS(INDEX($Y$2:$Y$1001,MATCH(ROWS($W$2:W110),$W$2:$W$1001,0),0), INDEX($AD$1004:$AU$1004,1,MATCH(COLUMNS($AD$1006:AP1006),$AD$1006:$AU$1006,0)))),"Fix")))</f>
        <v xml:space="preserve"> </v>
      </c>
      <c r="O110" s="4" t="str">
        <f ca="1">IF(OR(INDEX($X$2:$X$1001,MATCH(ROWS($W$2:W110),$W$2:$W$1001,0),1)&gt;=100000,INDEX($AD$1005:$AU$1005,1,MATCH(COLUMNS($AD$1006:AQ1006),$AD$1006:$AU$1006,0))&gt;=100000), " ",IF(INDEX($AD$2:$AU$1001,MATCH(ROWS($W$2:W110),$W$2:$W$1001,0),MATCH(COLUMNS($AD$1006:AQ1006),$AD$1006:$AU$1006,0)), HYPERLINK("#",""), HYPERLINK(CONCATENATE("#metadata!", ADDRESS(INDEX($Y$2:$Y$1001,MATCH(ROWS($W$2:W110),$W$2:$W$1001,0),0), INDEX($AD$1004:$AU$1004,1,MATCH(COLUMNS($AD$1006:AQ1006),$AD$1006:$AU$1006,0)))),"Fix")))</f>
        <v xml:space="preserve"> </v>
      </c>
      <c r="P110" s="4" t="str">
        <f ca="1">IF(OR(INDEX($X$2:$X$1001,MATCH(ROWS($W$2:W110),$W$2:$W$1001,0),1)&gt;=100000,INDEX($AD$1005:$AU$1005,1,MATCH(COLUMNS($AD$1006:AR1006),$AD$1006:$AU$1006,0))&gt;=100000), " ",IF(INDEX($AD$2:$AU$1001,MATCH(ROWS($W$2:W110),$W$2:$W$1001,0),MATCH(COLUMNS($AD$1006:AR1006),$AD$1006:$AU$1006,0)), HYPERLINK("#",""), HYPERLINK(CONCATENATE("#metadata!", ADDRESS(INDEX($Y$2:$Y$1001,MATCH(ROWS($W$2:W110),$W$2:$W$1001,0),0), INDEX($AD$1004:$AU$1004,1,MATCH(COLUMNS($AD$1006:AR1006),$AD$1006:$AU$1006,0)))),"Fix")))</f>
        <v xml:space="preserve"> </v>
      </c>
      <c r="Q110" s="4" t="str">
        <f ca="1">IF(OR(INDEX($X$2:$X$1001,MATCH(ROWS($W$2:W110),$W$2:$W$1001,0),1)&gt;=100000,INDEX($AD$1005:$AU$1005,1,MATCH(COLUMNS($AD$1006:AS1006),$AD$1006:$AU$1006,0))&gt;=100000), " ",IF(INDEX($AD$2:$AU$1001,MATCH(ROWS($W$2:W110),$W$2:$W$1001,0),MATCH(COLUMNS($AD$1006:AS1006),$AD$1006:$AU$1006,0)), HYPERLINK("#",""), HYPERLINK(CONCATENATE("#metadata!", ADDRESS(INDEX($Y$2:$Y$1001,MATCH(ROWS($W$2:W110),$W$2:$W$1001,0),0), INDEX($AD$1004:$AU$1004,1,MATCH(COLUMNS($AD$1006:AS1006),$AD$1006:$AU$1006,0)))),"Fix")))</f>
        <v xml:space="preserve"> </v>
      </c>
      <c r="R110" s="4" t="str">
        <f ca="1">IF(OR(INDEX($X$2:$X$1001,MATCH(ROWS($W$2:W110),$W$2:$W$1001,0),1)&gt;=100000,INDEX($AD$1005:$AU$1005,1,MATCH(COLUMNS($AD$1006:AT1006),$AD$1006:$AU$1006,0))&gt;=100000), " ",IF(INDEX($AD$2:$AU$1001,MATCH(ROWS($W$2:W110),$W$2:$W$1001,0),MATCH(COLUMNS($AD$1006:AT1006),$AD$1006:$AU$1006,0)), HYPERLINK("#",""), HYPERLINK(CONCATENATE("#metadata!", ADDRESS(INDEX($Y$2:$Y$1001,MATCH(ROWS($W$2:W110),$W$2:$W$1001,0),0), INDEX($AD$1004:$AU$1004,1,MATCH(COLUMNS($AD$1006:AT1006),$AD$1006:$AU$1006,0)))),"Fix")))</f>
        <v xml:space="preserve"> </v>
      </c>
      <c r="S110" s="4" t="str">
        <f ca="1">IF(OR(INDEX($X$2:$X$1001,MATCH(ROWS($W$2:W110),$W$2:$W$1001,0),1)&gt;=100000,INDEX($AD$1005:$AU$1005,1,MATCH(COLUMNS($AD$1006:AU1006),$AD$1006:$AU$1006,0))&gt;=100000), " ",IF(INDEX($AD$2:$AU$1001,MATCH(ROWS($W$2:W110),$W$2:$W$1001,0),MATCH(COLUMNS($AD$1006:AU1006),$AD$1006:$AU$1006,0)), HYPERLINK("#",""), HYPERLINK(CONCATENATE("#metadata!", ADDRESS(INDEX($Y$2:$Y$1001,MATCH(ROWS($W$2:W110),$W$2:$W$1001,0),0), INDEX($AD$1004:$AU$1004,1,MATCH(COLUMNS($AD$1006:AU1006),$AD$1006:$AU$1006,0)))),"Fix")))</f>
        <v xml:space="preserve"> </v>
      </c>
      <c r="W110">
        <v>109</v>
      </c>
      <c r="X110">
        <v>100110</v>
      </c>
      <c r="Y110">
        <v>110</v>
      </c>
      <c r="Z110" t="b">
        <f t="shared" si="1"/>
        <v>1</v>
      </c>
      <c r="AA110" t="b">
        <f>COUNTBLANK(metadata!B110:S110)=COLUMNS(metadata!B110:S110)</f>
        <v>1</v>
      </c>
      <c r="AB110" t="str">
        <v/>
      </c>
      <c r="AD110" t="b">
        <f ca="1">AND(IF(metadata!B110="",FALSE,TRUE),COUNTIF(metadata!B:B, metadata!B110) = 1,NOT(ISERROR(SUMPRODUCT(SEARCH(MID(metadata!B110,ROW(INDIRECT("1:"&amp;LEN(metadata!B110))), 1),"0123456789abcdefghijklmnopqrstuvwxyzABCDEFGHIJKLMNOPQRSTUVWXYZ.")))))</f>
        <v>0</v>
      </c>
      <c r="AE110" t="b">
        <f>OR(AND(IF(metadata!C110="",FALSE,TRUE),OR(EXACT(metadata!C110,"not applicable"),EXACT(metadata!C110,"missing: not collected"),EXACT(metadata!C110,"missing: not provided"),EXACT(metadata!C110,"missing: restricted access"))),AND(IF(metadata!C110="",FALSE,ISNUMBER(VALUE(metadata!C110))),metadata!C110&gt;0))</f>
        <v>0</v>
      </c>
      <c r="AF110" t="b">
        <f>AND(IF(metadata!D110="",FALSE,TRUE),EXACT(metadata!D110,"missing: not provided"))</f>
        <v>0</v>
      </c>
      <c r="AG110" t="b">
        <f>AND(IF(metadata!E110="",FALSE,TRUE),EXACT(metadata!E110,"Host-associated"))</f>
        <v>0</v>
      </c>
      <c r="AH110" t="b">
        <f>AND(IF(metadata!F110="",FALSE,TRUE),OR(EXACT(metadata!F110,"Animal"),EXACT(metadata!F110,"Fungus"),EXACT(metadata!F110,"Plant")))</f>
        <v>0</v>
      </c>
      <c r="AI110" t="b">
        <f>AND(IF(metadata!G110="",FALSE,TRUE),OR(EXACT(metadata!G110,"Plant secretion"),EXACT(metadata!G110,"Plant rhizosphere"),EXACT(metadata!G110,"Plant surface"),EXACT(metadata!G110,"Plant corpus"),EXACT(metadata!G110,"Fungus surface"),EXACT(metadata!G110,"Fungus corpus"),EXACT(metadata!G110,"Animal surface"),EXACT(metadata!G110,"Animal proximal gut"),EXACT(metadata!G110,"Animal corpus"),EXACT(metadata!G110,"Animal distal gut"),EXACT(metadata!G110,"Animal secretion")))</f>
        <v>0</v>
      </c>
      <c r="AJ110" t="b">
        <f>OR(AND(IF(metadata!H110="",FALSE,TRUE),OR(EXACT(metadata!H110,"missing: not collected"),EXACT(metadata!H110,"missing: not provided"),EXACT(metadata!H110,"missing: restricted access"))),AND(IF(metadata!H110="",FALSE,TRUE),OR(EXACT(metadata!H110,"organism-associated habitat"),EXACT(metadata!H110,"plant-associated habitat"),EXACT(metadata!H110,"animal-associated habitat"),EXACT(metadata!H110,"insecta-associated habitat"),EXACT(metadata!H110,"mammalia-associated habitat"),EXACT(metadata!H110,"human-associated habitat"),EXACT(metadata!H110,"livestock-associated habitat"))))</f>
        <v>0</v>
      </c>
      <c r="AK110" t="b">
        <f>AND(IF(metadata!I110="",FALSE,TRUE),EXACT(metadata!I110,"host-associated"))</f>
        <v>0</v>
      </c>
      <c r="AL110" t="b">
        <f>OR(AND(IF(metadata!J110="",FALSE,TRUE),OR(EXACT(metadata!J110,"not applicable"),EXACT(metadata!J110,"missing: not collected"),EXACT(metadata!J110,"missing: not provided"),EXACT(metadata!J110,"missing: restricted access"))),AND(IF(metadata!J110="",FALSE,ISNUMBER(VALUE(metadata!J110))),metadata!J110&gt;0))</f>
        <v>0</v>
      </c>
      <c r="AM110" t="b">
        <f>AND(IF(metadata!K110="",FALSE,TRUE),EXACT(metadata!K110,"missing: not provided"))</f>
        <v>0</v>
      </c>
      <c r="AN110" t="b">
        <f>IF(metadata!L110="",FALSE,TRUE)</f>
        <v>0</v>
      </c>
      <c r="AO110" t="b">
        <f>IF(metadata!M110="",FALSE,TRUE)</f>
        <v>0</v>
      </c>
      <c r="AP110" t="b">
        <f>OR(AND(IF(metadata!N110="",FALSE,TRUE),OR(EXACT(metadata!N110,"not applicable"),EXACT(metadata!N110,"missing: not collected"),EXACT(metadata!N110,"missing: not provided"))),AND(IF(metadata!N110="",FALSE,IF(ISERROR(INT(metadata!N110)),FALSE,INT(metadata!N110)=metadata!N110)),metadata!N110&gt;0))</f>
        <v>0</v>
      </c>
      <c r="AQ110" t="b">
        <f>AND(IF(metadata!O110="",FALSE,TRUE),EXACT(metadata!O110,"Not applicable"))</f>
        <v>0</v>
      </c>
      <c r="AR110" t="b">
        <f>OR(AND(IF(metadata!P110="",FALSE,TRUE),OR(EXACT(metadata!P110,"not applicable"),EXACT(metadata!P110,"missing: not collected"),EXACT(metadata!P110,"missing: not provided"),EXACT(metadata!P110,"missing: restricted access"))),IF(metadata!P110="",FALSE,IF(ISERROR(INT(metadata!P110)),FALSE,INT(metadata!P110)=metadata!P110)))</f>
        <v>0</v>
      </c>
      <c r="AS110" t="b">
        <f>AND(IF(metadata!Q110="",FALSE,TRUE),EXACT(metadata!Q110,"Not applicable"))</f>
        <v>0</v>
      </c>
      <c r="AT110" t="b">
        <f>OR(AND(IF(metadata!R110="",FALSE,TRUE),OR(EXACT(metadata!R110,"not applicable"),EXACT(metadata!R110,"missing: not collected"),EXACT(metadata!R110,"missing: not provided"),EXACT(metadata!R110,"missing: restricted access"))),AND(IF(metadata!R110="",FALSE,ISNUMBER(VALUE(metadata!R110))),metadata!R110&gt;0))</f>
        <v>0</v>
      </c>
      <c r="AU110" t="b">
        <f>AND(IF(metadata!S110="",FALSE,TRUE),EXACT(metadata!S110,"missing: not provided"))</f>
        <v>0</v>
      </c>
    </row>
    <row r="111" spans="1:47" x14ac:dyDescent="0.2">
      <c r="A111" s="5" t="str">
        <f ca="1">IF(B111=" "," ",HYPERLINK(CONCATENATE("#metadata!",ADDRESS(INDEX($Y$2:$Y$1001,MATCH(ROWS($W$2:W111),$W$2:$W$1001,0),0),1)),INDEX($AB$2:$AB$1001,MATCH(ROWS($W$2:W111),$W$2:$W$1001,0),0)))</f>
        <v xml:space="preserve"> </v>
      </c>
      <c r="B111" s="4" t="str">
        <f ca="1">IF(OR(INDEX($X$2:$X$1001,MATCH(ROWS($W$2:W111),$W$2:$W$1001,0),1)&gt;=100000,INDEX($AD$1005:$AU$1005,1,MATCH(COLUMNS($AD$1006:AD1006),$AD$1006:$AU$1006,0))&gt;=100000), " ",IF(INDEX($AD$2:$AU$1001,MATCH(ROWS($W$2:W111),$W$2:$W$1001,0),MATCH(COLUMNS($AD$1006:AD1006),$AD$1006:$AU$1006,0)), HYPERLINK("#",""), HYPERLINK(CONCATENATE("#metadata!", ADDRESS(INDEX($Y$2:$Y$1001,MATCH(ROWS($W$2:W111),$W$2:$W$1001,0),0), INDEX($AD$1004:$AU$1004,1,MATCH(COLUMNS($AD$1006:AD1006),$AD$1006:$AU$1006,0)))),"Fix")))</f>
        <v xml:space="preserve"> </v>
      </c>
      <c r="C111" s="4" t="str">
        <f ca="1">IF(OR(INDEX($X$2:$X$1001,MATCH(ROWS($W$2:W111),$W$2:$W$1001,0),1)&gt;=100000,INDEX($AD$1005:$AU$1005,1,MATCH(COLUMNS($AD$1006:AE1006),$AD$1006:$AU$1006,0))&gt;=100000), " ",IF(INDEX($AD$2:$AU$1001,MATCH(ROWS($W$2:W111),$W$2:$W$1001,0),MATCH(COLUMNS($AD$1006:AE1006),$AD$1006:$AU$1006,0)), HYPERLINK("#",""), HYPERLINK(CONCATENATE("#metadata!", ADDRESS(INDEX($Y$2:$Y$1001,MATCH(ROWS($W$2:W111),$W$2:$W$1001,0),0), INDEX($AD$1004:$AU$1004,1,MATCH(COLUMNS($AD$1006:AE1006),$AD$1006:$AU$1006,0)))),"Fix")))</f>
        <v xml:space="preserve"> </v>
      </c>
      <c r="D111" s="4" t="str">
        <f ca="1">IF(OR(INDEX($X$2:$X$1001,MATCH(ROWS($W$2:W111),$W$2:$W$1001,0),1)&gt;=100000,INDEX($AD$1005:$AU$1005,1,MATCH(COLUMNS($AD$1006:AF1006),$AD$1006:$AU$1006,0))&gt;=100000), " ",IF(INDEX($AD$2:$AU$1001,MATCH(ROWS($W$2:W111),$W$2:$W$1001,0),MATCH(COLUMNS($AD$1006:AF1006),$AD$1006:$AU$1006,0)), HYPERLINK("#",""), HYPERLINK(CONCATENATE("#metadata!", ADDRESS(INDEX($Y$2:$Y$1001,MATCH(ROWS($W$2:W111),$W$2:$W$1001,0),0), INDEX($AD$1004:$AU$1004,1,MATCH(COLUMNS($AD$1006:AF1006),$AD$1006:$AU$1006,0)))),"Fix")))</f>
        <v xml:space="preserve"> </v>
      </c>
      <c r="E111" s="4" t="str">
        <f ca="1">IF(OR(INDEX($X$2:$X$1001,MATCH(ROWS($W$2:W111),$W$2:$W$1001,0),1)&gt;=100000,INDEX($AD$1005:$AU$1005,1,MATCH(COLUMNS($AD$1006:AG1006),$AD$1006:$AU$1006,0))&gt;=100000), " ",IF(INDEX($AD$2:$AU$1001,MATCH(ROWS($W$2:W111),$W$2:$W$1001,0),MATCH(COLUMNS($AD$1006:AG1006),$AD$1006:$AU$1006,0)), HYPERLINK("#",""), HYPERLINK(CONCATENATE("#metadata!", ADDRESS(INDEX($Y$2:$Y$1001,MATCH(ROWS($W$2:W111),$W$2:$W$1001,0),0), INDEX($AD$1004:$AU$1004,1,MATCH(COLUMNS($AD$1006:AG1006),$AD$1006:$AU$1006,0)))),"Fix")))</f>
        <v xml:space="preserve"> </v>
      </c>
      <c r="F111" s="4" t="str">
        <f ca="1">IF(OR(INDEX($X$2:$X$1001,MATCH(ROWS($W$2:W111),$W$2:$W$1001,0),1)&gt;=100000,INDEX($AD$1005:$AU$1005,1,MATCH(COLUMNS($AD$1006:AH1006),$AD$1006:$AU$1006,0))&gt;=100000), " ",IF(INDEX($AD$2:$AU$1001,MATCH(ROWS($W$2:W111),$W$2:$W$1001,0),MATCH(COLUMNS($AD$1006:AH1006),$AD$1006:$AU$1006,0)), HYPERLINK("#",""), HYPERLINK(CONCATENATE("#metadata!", ADDRESS(INDEX($Y$2:$Y$1001,MATCH(ROWS($W$2:W111),$W$2:$W$1001,0),0), INDEX($AD$1004:$AU$1004,1,MATCH(COLUMNS($AD$1006:AH1006),$AD$1006:$AU$1006,0)))),"Fix")))</f>
        <v xml:space="preserve"> </v>
      </c>
      <c r="G111" s="4" t="str">
        <f ca="1">IF(OR(INDEX($X$2:$X$1001,MATCH(ROWS($W$2:W111),$W$2:$W$1001,0),1)&gt;=100000,INDEX($AD$1005:$AU$1005,1,MATCH(COLUMNS($AD$1006:AI1006),$AD$1006:$AU$1006,0))&gt;=100000), " ",IF(INDEX($AD$2:$AU$1001,MATCH(ROWS($W$2:W111),$W$2:$W$1001,0),MATCH(COLUMNS($AD$1006:AI1006),$AD$1006:$AU$1006,0)), HYPERLINK("#",""), HYPERLINK(CONCATENATE("#metadata!", ADDRESS(INDEX($Y$2:$Y$1001,MATCH(ROWS($W$2:W111),$W$2:$W$1001,0),0), INDEX($AD$1004:$AU$1004,1,MATCH(COLUMNS($AD$1006:AI1006),$AD$1006:$AU$1006,0)))),"Fix")))</f>
        <v xml:space="preserve"> </v>
      </c>
      <c r="H111" s="4" t="str">
        <f ca="1">IF(OR(INDEX($X$2:$X$1001,MATCH(ROWS($W$2:W111),$W$2:$W$1001,0),1)&gt;=100000,INDEX($AD$1005:$AU$1005,1,MATCH(COLUMNS($AD$1006:AJ1006),$AD$1006:$AU$1006,0))&gt;=100000), " ",IF(INDEX($AD$2:$AU$1001,MATCH(ROWS($W$2:W111),$W$2:$W$1001,0),MATCH(COLUMNS($AD$1006:AJ1006),$AD$1006:$AU$1006,0)), HYPERLINK("#",""), HYPERLINK(CONCATENATE("#metadata!", ADDRESS(INDEX($Y$2:$Y$1001,MATCH(ROWS($W$2:W111),$W$2:$W$1001,0),0), INDEX($AD$1004:$AU$1004,1,MATCH(COLUMNS($AD$1006:AJ1006),$AD$1006:$AU$1006,0)))),"Fix")))</f>
        <v xml:space="preserve"> </v>
      </c>
      <c r="I111" s="4" t="str">
        <f ca="1">IF(OR(INDEX($X$2:$X$1001,MATCH(ROWS($W$2:W111),$W$2:$W$1001,0),1)&gt;=100000,INDEX($AD$1005:$AU$1005,1,MATCH(COLUMNS($AD$1006:AK1006),$AD$1006:$AU$1006,0))&gt;=100000), " ",IF(INDEX($AD$2:$AU$1001,MATCH(ROWS($W$2:W111),$W$2:$W$1001,0),MATCH(COLUMNS($AD$1006:AK1006),$AD$1006:$AU$1006,0)), HYPERLINK("#",""), HYPERLINK(CONCATENATE("#metadata!", ADDRESS(INDEX($Y$2:$Y$1001,MATCH(ROWS($W$2:W111),$W$2:$W$1001,0),0), INDEX($AD$1004:$AU$1004,1,MATCH(COLUMNS($AD$1006:AK1006),$AD$1006:$AU$1006,0)))),"Fix")))</f>
        <v xml:space="preserve"> </v>
      </c>
      <c r="J111" s="4" t="str">
        <f ca="1">IF(OR(INDEX($X$2:$X$1001,MATCH(ROWS($W$2:W111),$W$2:$W$1001,0),1)&gt;=100000,INDEX($AD$1005:$AU$1005,1,MATCH(COLUMNS($AD$1006:AL1006),$AD$1006:$AU$1006,0))&gt;=100000), " ",IF(INDEX($AD$2:$AU$1001,MATCH(ROWS($W$2:W111),$W$2:$W$1001,0),MATCH(COLUMNS($AD$1006:AL1006),$AD$1006:$AU$1006,0)), HYPERLINK("#",""), HYPERLINK(CONCATENATE("#metadata!", ADDRESS(INDEX($Y$2:$Y$1001,MATCH(ROWS($W$2:W111),$W$2:$W$1001,0),0), INDEX($AD$1004:$AU$1004,1,MATCH(COLUMNS($AD$1006:AL1006),$AD$1006:$AU$1006,0)))),"Fix")))</f>
        <v xml:space="preserve"> </v>
      </c>
      <c r="K111" s="4" t="str">
        <f ca="1">IF(OR(INDEX($X$2:$X$1001,MATCH(ROWS($W$2:W111),$W$2:$W$1001,0),1)&gt;=100000,INDEX($AD$1005:$AU$1005,1,MATCH(COLUMNS($AD$1006:AM1006),$AD$1006:$AU$1006,0))&gt;=100000), " ",IF(INDEX($AD$2:$AU$1001,MATCH(ROWS($W$2:W111),$W$2:$W$1001,0),MATCH(COLUMNS($AD$1006:AM1006),$AD$1006:$AU$1006,0)), HYPERLINK("#",""), HYPERLINK(CONCATENATE("#metadata!", ADDRESS(INDEX($Y$2:$Y$1001,MATCH(ROWS($W$2:W111),$W$2:$W$1001,0),0), INDEX($AD$1004:$AU$1004,1,MATCH(COLUMNS($AD$1006:AM1006),$AD$1006:$AU$1006,0)))),"Fix")))</f>
        <v xml:space="preserve"> </v>
      </c>
      <c r="L111" s="4" t="str">
        <f ca="1">IF(OR(INDEX($X$2:$X$1001,MATCH(ROWS($W$2:W111),$W$2:$W$1001,0),1)&gt;=100000,INDEX($AD$1005:$AU$1005,1,MATCH(COLUMNS($AD$1006:AN1006),$AD$1006:$AU$1006,0))&gt;=100000), " ",IF(INDEX($AD$2:$AU$1001,MATCH(ROWS($W$2:W111),$W$2:$W$1001,0),MATCH(COLUMNS($AD$1006:AN1006),$AD$1006:$AU$1006,0)), HYPERLINK("#",""), HYPERLINK(CONCATENATE("#metadata!", ADDRESS(INDEX($Y$2:$Y$1001,MATCH(ROWS($W$2:W111),$W$2:$W$1001,0),0), INDEX($AD$1004:$AU$1004,1,MATCH(COLUMNS($AD$1006:AN1006),$AD$1006:$AU$1006,0)))),"Fix")))</f>
        <v xml:space="preserve"> </v>
      </c>
      <c r="M111" s="4" t="str">
        <f ca="1">IF(OR(INDEX($X$2:$X$1001,MATCH(ROWS($W$2:W111),$W$2:$W$1001,0),1)&gt;=100000,INDEX($AD$1005:$AU$1005,1,MATCH(COLUMNS($AD$1006:AO1006),$AD$1006:$AU$1006,0))&gt;=100000), " ",IF(INDEX($AD$2:$AU$1001,MATCH(ROWS($W$2:W111),$W$2:$W$1001,0),MATCH(COLUMNS($AD$1006:AO1006),$AD$1006:$AU$1006,0)), HYPERLINK("#",""), HYPERLINK(CONCATENATE("#metadata!", ADDRESS(INDEX($Y$2:$Y$1001,MATCH(ROWS($W$2:W111),$W$2:$W$1001,0),0), INDEX($AD$1004:$AU$1004,1,MATCH(COLUMNS($AD$1006:AO1006),$AD$1006:$AU$1006,0)))),"Fix")))</f>
        <v xml:space="preserve"> </v>
      </c>
      <c r="N111" s="4" t="str">
        <f ca="1">IF(OR(INDEX($X$2:$X$1001,MATCH(ROWS($W$2:W111),$W$2:$W$1001,0),1)&gt;=100000,INDEX($AD$1005:$AU$1005,1,MATCH(COLUMNS($AD$1006:AP1006),$AD$1006:$AU$1006,0))&gt;=100000), " ",IF(INDEX($AD$2:$AU$1001,MATCH(ROWS($W$2:W111),$W$2:$W$1001,0),MATCH(COLUMNS($AD$1006:AP1006),$AD$1006:$AU$1006,0)), HYPERLINK("#",""), HYPERLINK(CONCATENATE("#metadata!", ADDRESS(INDEX($Y$2:$Y$1001,MATCH(ROWS($W$2:W111),$W$2:$W$1001,0),0), INDEX($AD$1004:$AU$1004,1,MATCH(COLUMNS($AD$1006:AP1006),$AD$1006:$AU$1006,0)))),"Fix")))</f>
        <v xml:space="preserve"> </v>
      </c>
      <c r="O111" s="4" t="str">
        <f ca="1">IF(OR(INDEX($X$2:$X$1001,MATCH(ROWS($W$2:W111),$W$2:$W$1001,0),1)&gt;=100000,INDEX($AD$1005:$AU$1005,1,MATCH(COLUMNS($AD$1006:AQ1006),$AD$1006:$AU$1006,0))&gt;=100000), " ",IF(INDEX($AD$2:$AU$1001,MATCH(ROWS($W$2:W111),$W$2:$W$1001,0),MATCH(COLUMNS($AD$1006:AQ1006),$AD$1006:$AU$1006,0)), HYPERLINK("#",""), HYPERLINK(CONCATENATE("#metadata!", ADDRESS(INDEX($Y$2:$Y$1001,MATCH(ROWS($W$2:W111),$W$2:$W$1001,0),0), INDEX($AD$1004:$AU$1004,1,MATCH(COLUMNS($AD$1006:AQ1006),$AD$1006:$AU$1006,0)))),"Fix")))</f>
        <v xml:space="preserve"> </v>
      </c>
      <c r="P111" s="4" t="str">
        <f ca="1">IF(OR(INDEX($X$2:$X$1001,MATCH(ROWS($W$2:W111),$W$2:$W$1001,0),1)&gt;=100000,INDEX($AD$1005:$AU$1005,1,MATCH(COLUMNS($AD$1006:AR1006),$AD$1006:$AU$1006,0))&gt;=100000), " ",IF(INDEX($AD$2:$AU$1001,MATCH(ROWS($W$2:W111),$W$2:$W$1001,0),MATCH(COLUMNS($AD$1006:AR1006),$AD$1006:$AU$1006,0)), HYPERLINK("#",""), HYPERLINK(CONCATENATE("#metadata!", ADDRESS(INDEX($Y$2:$Y$1001,MATCH(ROWS($W$2:W111),$W$2:$W$1001,0),0), INDEX($AD$1004:$AU$1004,1,MATCH(COLUMNS($AD$1006:AR1006),$AD$1006:$AU$1006,0)))),"Fix")))</f>
        <v xml:space="preserve"> </v>
      </c>
      <c r="Q111" s="4" t="str">
        <f ca="1">IF(OR(INDEX($X$2:$X$1001,MATCH(ROWS($W$2:W111),$W$2:$W$1001,0),1)&gt;=100000,INDEX($AD$1005:$AU$1005,1,MATCH(COLUMNS($AD$1006:AS1006),$AD$1006:$AU$1006,0))&gt;=100000), " ",IF(INDEX($AD$2:$AU$1001,MATCH(ROWS($W$2:W111),$W$2:$W$1001,0),MATCH(COLUMNS($AD$1006:AS1006),$AD$1006:$AU$1006,0)), HYPERLINK("#",""), HYPERLINK(CONCATENATE("#metadata!", ADDRESS(INDEX($Y$2:$Y$1001,MATCH(ROWS($W$2:W111),$W$2:$W$1001,0),0), INDEX($AD$1004:$AU$1004,1,MATCH(COLUMNS($AD$1006:AS1006),$AD$1006:$AU$1006,0)))),"Fix")))</f>
        <v xml:space="preserve"> </v>
      </c>
      <c r="R111" s="4" t="str">
        <f ca="1">IF(OR(INDEX($X$2:$X$1001,MATCH(ROWS($W$2:W111),$W$2:$W$1001,0),1)&gt;=100000,INDEX($AD$1005:$AU$1005,1,MATCH(COLUMNS($AD$1006:AT1006),$AD$1006:$AU$1006,0))&gt;=100000), " ",IF(INDEX($AD$2:$AU$1001,MATCH(ROWS($W$2:W111),$W$2:$W$1001,0),MATCH(COLUMNS($AD$1006:AT1006),$AD$1006:$AU$1006,0)), HYPERLINK("#",""), HYPERLINK(CONCATENATE("#metadata!", ADDRESS(INDEX($Y$2:$Y$1001,MATCH(ROWS($W$2:W111),$W$2:$W$1001,0),0), INDEX($AD$1004:$AU$1004,1,MATCH(COLUMNS($AD$1006:AT1006),$AD$1006:$AU$1006,0)))),"Fix")))</f>
        <v xml:space="preserve"> </v>
      </c>
      <c r="S111" s="4" t="str">
        <f ca="1">IF(OR(INDEX($X$2:$X$1001,MATCH(ROWS($W$2:W111),$W$2:$W$1001,0),1)&gt;=100000,INDEX($AD$1005:$AU$1005,1,MATCH(COLUMNS($AD$1006:AU1006),$AD$1006:$AU$1006,0))&gt;=100000), " ",IF(INDEX($AD$2:$AU$1001,MATCH(ROWS($W$2:W111),$W$2:$W$1001,0),MATCH(COLUMNS($AD$1006:AU1006),$AD$1006:$AU$1006,0)), HYPERLINK("#",""), HYPERLINK(CONCATENATE("#metadata!", ADDRESS(INDEX($Y$2:$Y$1001,MATCH(ROWS($W$2:W111),$W$2:$W$1001,0),0), INDEX($AD$1004:$AU$1004,1,MATCH(COLUMNS($AD$1006:AU1006),$AD$1006:$AU$1006,0)))),"Fix")))</f>
        <v xml:space="preserve"> </v>
      </c>
      <c r="W111">
        <v>110</v>
      </c>
      <c r="X111">
        <v>100111</v>
      </c>
      <c r="Y111">
        <v>111</v>
      </c>
      <c r="Z111" t="b">
        <f t="shared" si="1"/>
        <v>1</v>
      </c>
      <c r="AA111" t="b">
        <f>COUNTBLANK(metadata!B111:S111)=COLUMNS(metadata!B111:S111)</f>
        <v>1</v>
      </c>
      <c r="AB111" t="str">
        <v/>
      </c>
      <c r="AD111" t="b">
        <f ca="1">AND(IF(metadata!B111="",FALSE,TRUE),COUNTIF(metadata!B:B, metadata!B111) = 1,NOT(ISERROR(SUMPRODUCT(SEARCH(MID(metadata!B111,ROW(INDIRECT("1:"&amp;LEN(metadata!B111))), 1),"0123456789abcdefghijklmnopqrstuvwxyzABCDEFGHIJKLMNOPQRSTUVWXYZ.")))))</f>
        <v>0</v>
      </c>
      <c r="AE111" t="b">
        <f>OR(AND(IF(metadata!C111="",FALSE,TRUE),OR(EXACT(metadata!C111,"not applicable"),EXACT(metadata!C111,"missing: not collected"),EXACT(metadata!C111,"missing: not provided"),EXACT(metadata!C111,"missing: restricted access"))),AND(IF(metadata!C111="",FALSE,ISNUMBER(VALUE(metadata!C111))),metadata!C111&gt;0))</f>
        <v>0</v>
      </c>
      <c r="AF111" t="b">
        <f>AND(IF(metadata!D111="",FALSE,TRUE),EXACT(metadata!D111,"missing: not provided"))</f>
        <v>0</v>
      </c>
      <c r="AG111" t="b">
        <f>AND(IF(metadata!E111="",FALSE,TRUE),EXACT(metadata!E111,"Host-associated"))</f>
        <v>0</v>
      </c>
      <c r="AH111" t="b">
        <f>AND(IF(metadata!F111="",FALSE,TRUE),OR(EXACT(metadata!F111,"Animal"),EXACT(metadata!F111,"Fungus"),EXACT(metadata!F111,"Plant")))</f>
        <v>0</v>
      </c>
      <c r="AI111" t="b">
        <f>AND(IF(metadata!G111="",FALSE,TRUE),OR(EXACT(metadata!G111,"Plant secretion"),EXACT(metadata!G111,"Plant rhizosphere"),EXACT(metadata!G111,"Plant surface"),EXACT(metadata!G111,"Plant corpus"),EXACT(metadata!G111,"Fungus surface"),EXACT(metadata!G111,"Fungus corpus"),EXACT(metadata!G111,"Animal surface"),EXACT(metadata!G111,"Animal proximal gut"),EXACT(metadata!G111,"Animal corpus"),EXACT(metadata!G111,"Animal distal gut"),EXACT(metadata!G111,"Animal secretion")))</f>
        <v>0</v>
      </c>
      <c r="AJ111" t="b">
        <f>OR(AND(IF(metadata!H111="",FALSE,TRUE),OR(EXACT(metadata!H111,"missing: not collected"),EXACT(metadata!H111,"missing: not provided"),EXACT(metadata!H111,"missing: restricted access"))),AND(IF(metadata!H111="",FALSE,TRUE),OR(EXACT(metadata!H111,"organism-associated habitat"),EXACT(metadata!H111,"plant-associated habitat"),EXACT(metadata!H111,"animal-associated habitat"),EXACT(metadata!H111,"insecta-associated habitat"),EXACT(metadata!H111,"mammalia-associated habitat"),EXACT(metadata!H111,"human-associated habitat"),EXACT(metadata!H111,"livestock-associated habitat"))))</f>
        <v>0</v>
      </c>
      <c r="AK111" t="b">
        <f>AND(IF(metadata!I111="",FALSE,TRUE),EXACT(metadata!I111,"host-associated"))</f>
        <v>0</v>
      </c>
      <c r="AL111" t="b">
        <f>OR(AND(IF(metadata!J111="",FALSE,TRUE),OR(EXACT(metadata!J111,"not applicable"),EXACT(metadata!J111,"missing: not collected"),EXACT(metadata!J111,"missing: not provided"),EXACT(metadata!J111,"missing: restricted access"))),AND(IF(metadata!J111="",FALSE,ISNUMBER(VALUE(metadata!J111))),metadata!J111&gt;0))</f>
        <v>0</v>
      </c>
      <c r="AM111" t="b">
        <f>AND(IF(metadata!K111="",FALSE,TRUE),EXACT(metadata!K111,"missing: not provided"))</f>
        <v>0</v>
      </c>
      <c r="AN111" t="b">
        <f>IF(metadata!L111="",FALSE,TRUE)</f>
        <v>0</v>
      </c>
      <c r="AO111" t="b">
        <f>IF(metadata!M111="",FALSE,TRUE)</f>
        <v>0</v>
      </c>
      <c r="AP111" t="b">
        <f>OR(AND(IF(metadata!N111="",FALSE,TRUE),OR(EXACT(metadata!N111,"not applicable"),EXACT(metadata!N111,"missing: not collected"),EXACT(metadata!N111,"missing: not provided"))),AND(IF(metadata!N111="",FALSE,IF(ISERROR(INT(metadata!N111)),FALSE,INT(metadata!N111)=metadata!N111)),metadata!N111&gt;0))</f>
        <v>0</v>
      </c>
      <c r="AQ111" t="b">
        <f>AND(IF(metadata!O111="",FALSE,TRUE),EXACT(metadata!O111,"Not applicable"))</f>
        <v>0</v>
      </c>
      <c r="AR111" t="b">
        <f>OR(AND(IF(metadata!P111="",FALSE,TRUE),OR(EXACT(metadata!P111,"not applicable"),EXACT(metadata!P111,"missing: not collected"),EXACT(metadata!P111,"missing: not provided"),EXACT(metadata!P111,"missing: restricted access"))),IF(metadata!P111="",FALSE,IF(ISERROR(INT(metadata!P111)),FALSE,INT(metadata!P111)=metadata!P111)))</f>
        <v>0</v>
      </c>
      <c r="AS111" t="b">
        <f>AND(IF(metadata!Q111="",FALSE,TRUE),EXACT(metadata!Q111,"Not applicable"))</f>
        <v>0</v>
      </c>
      <c r="AT111" t="b">
        <f>OR(AND(IF(metadata!R111="",FALSE,TRUE),OR(EXACT(metadata!R111,"not applicable"),EXACT(metadata!R111,"missing: not collected"),EXACT(metadata!R111,"missing: not provided"),EXACT(metadata!R111,"missing: restricted access"))),AND(IF(metadata!R111="",FALSE,ISNUMBER(VALUE(metadata!R111))),metadata!R111&gt;0))</f>
        <v>0</v>
      </c>
      <c r="AU111" t="b">
        <f>AND(IF(metadata!S111="",FALSE,TRUE),EXACT(metadata!S111,"missing: not provided"))</f>
        <v>0</v>
      </c>
    </row>
    <row r="112" spans="1:47" x14ac:dyDescent="0.2">
      <c r="A112" s="5" t="str">
        <f ca="1">IF(B112=" "," ",HYPERLINK(CONCATENATE("#metadata!",ADDRESS(INDEX($Y$2:$Y$1001,MATCH(ROWS($W$2:W112),$W$2:$W$1001,0),0),1)),INDEX($AB$2:$AB$1001,MATCH(ROWS($W$2:W112),$W$2:$W$1001,0),0)))</f>
        <v xml:space="preserve"> </v>
      </c>
      <c r="B112" s="4" t="str">
        <f ca="1">IF(OR(INDEX($X$2:$X$1001,MATCH(ROWS($W$2:W112),$W$2:$W$1001,0),1)&gt;=100000,INDEX($AD$1005:$AU$1005,1,MATCH(COLUMNS($AD$1006:AD1006),$AD$1006:$AU$1006,0))&gt;=100000), " ",IF(INDEX($AD$2:$AU$1001,MATCH(ROWS($W$2:W112),$W$2:$W$1001,0),MATCH(COLUMNS($AD$1006:AD1006),$AD$1006:$AU$1006,0)), HYPERLINK("#",""), HYPERLINK(CONCATENATE("#metadata!", ADDRESS(INDEX($Y$2:$Y$1001,MATCH(ROWS($W$2:W112),$W$2:$W$1001,0),0), INDEX($AD$1004:$AU$1004,1,MATCH(COLUMNS($AD$1006:AD1006),$AD$1006:$AU$1006,0)))),"Fix")))</f>
        <v xml:space="preserve"> </v>
      </c>
      <c r="C112" s="4" t="str">
        <f ca="1">IF(OR(INDEX($X$2:$X$1001,MATCH(ROWS($W$2:W112),$W$2:$W$1001,0),1)&gt;=100000,INDEX($AD$1005:$AU$1005,1,MATCH(COLUMNS($AD$1006:AE1006),$AD$1006:$AU$1006,0))&gt;=100000), " ",IF(INDEX($AD$2:$AU$1001,MATCH(ROWS($W$2:W112),$W$2:$W$1001,0),MATCH(COLUMNS($AD$1006:AE1006),$AD$1006:$AU$1006,0)), HYPERLINK("#",""), HYPERLINK(CONCATENATE("#metadata!", ADDRESS(INDEX($Y$2:$Y$1001,MATCH(ROWS($W$2:W112),$W$2:$W$1001,0),0), INDEX($AD$1004:$AU$1004,1,MATCH(COLUMNS($AD$1006:AE1006),$AD$1006:$AU$1006,0)))),"Fix")))</f>
        <v xml:space="preserve"> </v>
      </c>
      <c r="D112" s="4" t="str">
        <f ca="1">IF(OR(INDEX($X$2:$X$1001,MATCH(ROWS($W$2:W112),$W$2:$W$1001,0),1)&gt;=100000,INDEX($AD$1005:$AU$1005,1,MATCH(COLUMNS($AD$1006:AF1006),$AD$1006:$AU$1006,0))&gt;=100000), " ",IF(INDEX($AD$2:$AU$1001,MATCH(ROWS($W$2:W112),$W$2:$W$1001,0),MATCH(COLUMNS($AD$1006:AF1006),$AD$1006:$AU$1006,0)), HYPERLINK("#",""), HYPERLINK(CONCATENATE("#metadata!", ADDRESS(INDEX($Y$2:$Y$1001,MATCH(ROWS($W$2:W112),$W$2:$W$1001,0),0), INDEX($AD$1004:$AU$1004,1,MATCH(COLUMNS($AD$1006:AF1006),$AD$1006:$AU$1006,0)))),"Fix")))</f>
        <v xml:space="preserve"> </v>
      </c>
      <c r="E112" s="4" t="str">
        <f ca="1">IF(OR(INDEX($X$2:$X$1001,MATCH(ROWS($W$2:W112),$W$2:$W$1001,0),1)&gt;=100000,INDEX($AD$1005:$AU$1005,1,MATCH(COLUMNS($AD$1006:AG1006),$AD$1006:$AU$1006,0))&gt;=100000), " ",IF(INDEX($AD$2:$AU$1001,MATCH(ROWS($W$2:W112),$W$2:$W$1001,0),MATCH(COLUMNS($AD$1006:AG1006),$AD$1006:$AU$1006,0)), HYPERLINK("#",""), HYPERLINK(CONCATENATE("#metadata!", ADDRESS(INDEX($Y$2:$Y$1001,MATCH(ROWS($W$2:W112),$W$2:$W$1001,0),0), INDEX($AD$1004:$AU$1004,1,MATCH(COLUMNS($AD$1006:AG1006),$AD$1006:$AU$1006,0)))),"Fix")))</f>
        <v xml:space="preserve"> </v>
      </c>
      <c r="F112" s="4" t="str">
        <f ca="1">IF(OR(INDEX($X$2:$X$1001,MATCH(ROWS($W$2:W112),$W$2:$W$1001,0),1)&gt;=100000,INDEX($AD$1005:$AU$1005,1,MATCH(COLUMNS($AD$1006:AH1006),$AD$1006:$AU$1006,0))&gt;=100000), " ",IF(INDEX($AD$2:$AU$1001,MATCH(ROWS($W$2:W112),$W$2:$W$1001,0),MATCH(COLUMNS($AD$1006:AH1006),$AD$1006:$AU$1006,0)), HYPERLINK("#",""), HYPERLINK(CONCATENATE("#metadata!", ADDRESS(INDEX($Y$2:$Y$1001,MATCH(ROWS($W$2:W112),$W$2:$W$1001,0),0), INDEX($AD$1004:$AU$1004,1,MATCH(COLUMNS($AD$1006:AH1006),$AD$1006:$AU$1006,0)))),"Fix")))</f>
        <v xml:space="preserve"> </v>
      </c>
      <c r="G112" s="4" t="str">
        <f ca="1">IF(OR(INDEX($X$2:$X$1001,MATCH(ROWS($W$2:W112),$W$2:$W$1001,0),1)&gt;=100000,INDEX($AD$1005:$AU$1005,1,MATCH(COLUMNS($AD$1006:AI1006),$AD$1006:$AU$1006,0))&gt;=100000), " ",IF(INDEX($AD$2:$AU$1001,MATCH(ROWS($W$2:W112),$W$2:$W$1001,0),MATCH(COLUMNS($AD$1006:AI1006),$AD$1006:$AU$1006,0)), HYPERLINK("#",""), HYPERLINK(CONCATENATE("#metadata!", ADDRESS(INDEX($Y$2:$Y$1001,MATCH(ROWS($W$2:W112),$W$2:$W$1001,0),0), INDEX($AD$1004:$AU$1004,1,MATCH(COLUMNS($AD$1006:AI1006),$AD$1006:$AU$1006,0)))),"Fix")))</f>
        <v xml:space="preserve"> </v>
      </c>
      <c r="H112" s="4" t="str">
        <f ca="1">IF(OR(INDEX($X$2:$X$1001,MATCH(ROWS($W$2:W112),$W$2:$W$1001,0),1)&gt;=100000,INDEX($AD$1005:$AU$1005,1,MATCH(COLUMNS($AD$1006:AJ1006),$AD$1006:$AU$1006,0))&gt;=100000), " ",IF(INDEX($AD$2:$AU$1001,MATCH(ROWS($W$2:W112),$W$2:$W$1001,0),MATCH(COLUMNS($AD$1006:AJ1006),$AD$1006:$AU$1006,0)), HYPERLINK("#",""), HYPERLINK(CONCATENATE("#metadata!", ADDRESS(INDEX($Y$2:$Y$1001,MATCH(ROWS($W$2:W112),$W$2:$W$1001,0),0), INDEX($AD$1004:$AU$1004,1,MATCH(COLUMNS($AD$1006:AJ1006),$AD$1006:$AU$1006,0)))),"Fix")))</f>
        <v xml:space="preserve"> </v>
      </c>
      <c r="I112" s="4" t="str">
        <f ca="1">IF(OR(INDEX($X$2:$X$1001,MATCH(ROWS($W$2:W112),$W$2:$W$1001,0),1)&gt;=100000,INDEX($AD$1005:$AU$1005,1,MATCH(COLUMNS($AD$1006:AK1006),$AD$1006:$AU$1006,0))&gt;=100000), " ",IF(INDEX($AD$2:$AU$1001,MATCH(ROWS($W$2:W112),$W$2:$W$1001,0),MATCH(COLUMNS($AD$1006:AK1006),$AD$1006:$AU$1006,0)), HYPERLINK("#",""), HYPERLINK(CONCATENATE("#metadata!", ADDRESS(INDEX($Y$2:$Y$1001,MATCH(ROWS($W$2:W112),$W$2:$W$1001,0),0), INDEX($AD$1004:$AU$1004,1,MATCH(COLUMNS($AD$1006:AK1006),$AD$1006:$AU$1006,0)))),"Fix")))</f>
        <v xml:space="preserve"> </v>
      </c>
      <c r="J112" s="4" t="str">
        <f ca="1">IF(OR(INDEX($X$2:$X$1001,MATCH(ROWS($W$2:W112),$W$2:$W$1001,0),1)&gt;=100000,INDEX($AD$1005:$AU$1005,1,MATCH(COLUMNS($AD$1006:AL1006),$AD$1006:$AU$1006,0))&gt;=100000), " ",IF(INDEX($AD$2:$AU$1001,MATCH(ROWS($W$2:W112),$W$2:$W$1001,0),MATCH(COLUMNS($AD$1006:AL1006),$AD$1006:$AU$1006,0)), HYPERLINK("#",""), HYPERLINK(CONCATENATE("#metadata!", ADDRESS(INDEX($Y$2:$Y$1001,MATCH(ROWS($W$2:W112),$W$2:$W$1001,0),0), INDEX($AD$1004:$AU$1004,1,MATCH(COLUMNS($AD$1006:AL1006),$AD$1006:$AU$1006,0)))),"Fix")))</f>
        <v xml:space="preserve"> </v>
      </c>
      <c r="K112" s="4" t="str">
        <f ca="1">IF(OR(INDEX($X$2:$X$1001,MATCH(ROWS($W$2:W112),$W$2:$W$1001,0),1)&gt;=100000,INDEX($AD$1005:$AU$1005,1,MATCH(COLUMNS($AD$1006:AM1006),$AD$1006:$AU$1006,0))&gt;=100000), " ",IF(INDEX($AD$2:$AU$1001,MATCH(ROWS($W$2:W112),$W$2:$W$1001,0),MATCH(COLUMNS($AD$1006:AM1006),$AD$1006:$AU$1006,0)), HYPERLINK("#",""), HYPERLINK(CONCATENATE("#metadata!", ADDRESS(INDEX($Y$2:$Y$1001,MATCH(ROWS($W$2:W112),$W$2:$W$1001,0),0), INDEX($AD$1004:$AU$1004,1,MATCH(COLUMNS($AD$1006:AM1006),$AD$1006:$AU$1006,0)))),"Fix")))</f>
        <v xml:space="preserve"> </v>
      </c>
      <c r="L112" s="4" t="str">
        <f ca="1">IF(OR(INDEX($X$2:$X$1001,MATCH(ROWS($W$2:W112),$W$2:$W$1001,0),1)&gt;=100000,INDEX($AD$1005:$AU$1005,1,MATCH(COLUMNS($AD$1006:AN1006),$AD$1006:$AU$1006,0))&gt;=100000), " ",IF(INDEX($AD$2:$AU$1001,MATCH(ROWS($W$2:W112),$W$2:$W$1001,0),MATCH(COLUMNS($AD$1006:AN1006),$AD$1006:$AU$1006,0)), HYPERLINK("#",""), HYPERLINK(CONCATENATE("#metadata!", ADDRESS(INDEX($Y$2:$Y$1001,MATCH(ROWS($W$2:W112),$W$2:$W$1001,0),0), INDEX($AD$1004:$AU$1004,1,MATCH(COLUMNS($AD$1006:AN1006),$AD$1006:$AU$1006,0)))),"Fix")))</f>
        <v xml:space="preserve"> </v>
      </c>
      <c r="M112" s="4" t="str">
        <f ca="1">IF(OR(INDEX($X$2:$X$1001,MATCH(ROWS($W$2:W112),$W$2:$W$1001,0),1)&gt;=100000,INDEX($AD$1005:$AU$1005,1,MATCH(COLUMNS($AD$1006:AO1006),$AD$1006:$AU$1006,0))&gt;=100000), " ",IF(INDEX($AD$2:$AU$1001,MATCH(ROWS($W$2:W112),$W$2:$W$1001,0),MATCH(COLUMNS($AD$1006:AO1006),$AD$1006:$AU$1006,0)), HYPERLINK("#",""), HYPERLINK(CONCATENATE("#metadata!", ADDRESS(INDEX($Y$2:$Y$1001,MATCH(ROWS($W$2:W112),$W$2:$W$1001,0),0), INDEX($AD$1004:$AU$1004,1,MATCH(COLUMNS($AD$1006:AO1006),$AD$1006:$AU$1006,0)))),"Fix")))</f>
        <v xml:space="preserve"> </v>
      </c>
      <c r="N112" s="4" t="str">
        <f ca="1">IF(OR(INDEX($X$2:$X$1001,MATCH(ROWS($W$2:W112),$W$2:$W$1001,0),1)&gt;=100000,INDEX($AD$1005:$AU$1005,1,MATCH(COLUMNS($AD$1006:AP1006),$AD$1006:$AU$1006,0))&gt;=100000), " ",IF(INDEX($AD$2:$AU$1001,MATCH(ROWS($W$2:W112),$W$2:$W$1001,0),MATCH(COLUMNS($AD$1006:AP1006),$AD$1006:$AU$1006,0)), HYPERLINK("#",""), HYPERLINK(CONCATENATE("#metadata!", ADDRESS(INDEX($Y$2:$Y$1001,MATCH(ROWS($W$2:W112),$W$2:$W$1001,0),0), INDEX($AD$1004:$AU$1004,1,MATCH(COLUMNS($AD$1006:AP1006),$AD$1006:$AU$1006,0)))),"Fix")))</f>
        <v xml:space="preserve"> </v>
      </c>
      <c r="O112" s="4" t="str">
        <f ca="1">IF(OR(INDEX($X$2:$X$1001,MATCH(ROWS($W$2:W112),$W$2:$W$1001,0),1)&gt;=100000,INDEX($AD$1005:$AU$1005,1,MATCH(COLUMNS($AD$1006:AQ1006),$AD$1006:$AU$1006,0))&gt;=100000), " ",IF(INDEX($AD$2:$AU$1001,MATCH(ROWS($W$2:W112),$W$2:$W$1001,0),MATCH(COLUMNS($AD$1006:AQ1006),$AD$1006:$AU$1006,0)), HYPERLINK("#",""), HYPERLINK(CONCATENATE("#metadata!", ADDRESS(INDEX($Y$2:$Y$1001,MATCH(ROWS($W$2:W112),$W$2:$W$1001,0),0), INDEX($AD$1004:$AU$1004,1,MATCH(COLUMNS($AD$1006:AQ1006),$AD$1006:$AU$1006,0)))),"Fix")))</f>
        <v xml:space="preserve"> </v>
      </c>
      <c r="P112" s="4" t="str">
        <f ca="1">IF(OR(INDEX($X$2:$X$1001,MATCH(ROWS($W$2:W112),$W$2:$W$1001,0),1)&gt;=100000,INDEX($AD$1005:$AU$1005,1,MATCH(COLUMNS($AD$1006:AR1006),$AD$1006:$AU$1006,0))&gt;=100000), " ",IF(INDEX($AD$2:$AU$1001,MATCH(ROWS($W$2:W112),$W$2:$W$1001,0),MATCH(COLUMNS($AD$1006:AR1006),$AD$1006:$AU$1006,0)), HYPERLINK("#",""), HYPERLINK(CONCATENATE("#metadata!", ADDRESS(INDEX($Y$2:$Y$1001,MATCH(ROWS($W$2:W112),$W$2:$W$1001,0),0), INDEX($AD$1004:$AU$1004,1,MATCH(COLUMNS($AD$1006:AR1006),$AD$1006:$AU$1006,0)))),"Fix")))</f>
        <v xml:space="preserve"> </v>
      </c>
      <c r="Q112" s="4" t="str">
        <f ca="1">IF(OR(INDEX($X$2:$X$1001,MATCH(ROWS($W$2:W112),$W$2:$W$1001,0),1)&gt;=100000,INDEX($AD$1005:$AU$1005,1,MATCH(COLUMNS($AD$1006:AS1006),$AD$1006:$AU$1006,0))&gt;=100000), " ",IF(INDEX($AD$2:$AU$1001,MATCH(ROWS($W$2:W112),$W$2:$W$1001,0),MATCH(COLUMNS($AD$1006:AS1006),$AD$1006:$AU$1006,0)), HYPERLINK("#",""), HYPERLINK(CONCATENATE("#metadata!", ADDRESS(INDEX($Y$2:$Y$1001,MATCH(ROWS($W$2:W112),$W$2:$W$1001,0),0), INDEX($AD$1004:$AU$1004,1,MATCH(COLUMNS($AD$1006:AS1006),$AD$1006:$AU$1006,0)))),"Fix")))</f>
        <v xml:space="preserve"> </v>
      </c>
      <c r="R112" s="4" t="str">
        <f ca="1">IF(OR(INDEX($X$2:$X$1001,MATCH(ROWS($W$2:W112),$W$2:$W$1001,0),1)&gt;=100000,INDEX($AD$1005:$AU$1005,1,MATCH(COLUMNS($AD$1006:AT1006),$AD$1006:$AU$1006,0))&gt;=100000), " ",IF(INDEX($AD$2:$AU$1001,MATCH(ROWS($W$2:W112),$W$2:$W$1001,0),MATCH(COLUMNS($AD$1006:AT1006),$AD$1006:$AU$1006,0)), HYPERLINK("#",""), HYPERLINK(CONCATENATE("#metadata!", ADDRESS(INDEX($Y$2:$Y$1001,MATCH(ROWS($W$2:W112),$W$2:$W$1001,0),0), INDEX($AD$1004:$AU$1004,1,MATCH(COLUMNS($AD$1006:AT1006),$AD$1006:$AU$1006,0)))),"Fix")))</f>
        <v xml:space="preserve"> </v>
      </c>
      <c r="S112" s="4" t="str">
        <f ca="1">IF(OR(INDEX($X$2:$X$1001,MATCH(ROWS($W$2:W112),$W$2:$W$1001,0),1)&gt;=100000,INDEX($AD$1005:$AU$1005,1,MATCH(COLUMNS($AD$1006:AU1006),$AD$1006:$AU$1006,0))&gt;=100000), " ",IF(INDEX($AD$2:$AU$1001,MATCH(ROWS($W$2:W112),$W$2:$W$1001,0),MATCH(COLUMNS($AD$1006:AU1006),$AD$1006:$AU$1006,0)), HYPERLINK("#",""), HYPERLINK(CONCATENATE("#metadata!", ADDRESS(INDEX($Y$2:$Y$1001,MATCH(ROWS($W$2:W112),$W$2:$W$1001,0),0), INDEX($AD$1004:$AU$1004,1,MATCH(COLUMNS($AD$1006:AU1006),$AD$1006:$AU$1006,0)))),"Fix")))</f>
        <v xml:space="preserve"> </v>
      </c>
      <c r="W112">
        <v>111</v>
      </c>
      <c r="X112">
        <v>100112</v>
      </c>
      <c r="Y112">
        <v>112</v>
      </c>
      <c r="Z112" t="b">
        <f t="shared" si="1"/>
        <v>1</v>
      </c>
      <c r="AA112" t="b">
        <f>COUNTBLANK(metadata!B112:S112)=COLUMNS(metadata!B112:S112)</f>
        <v>1</v>
      </c>
      <c r="AB112" t="str">
        <v/>
      </c>
      <c r="AD112" t="b">
        <f ca="1">AND(IF(metadata!B112="",FALSE,TRUE),COUNTIF(metadata!B:B, metadata!B112) = 1,NOT(ISERROR(SUMPRODUCT(SEARCH(MID(metadata!B112,ROW(INDIRECT("1:"&amp;LEN(metadata!B112))), 1),"0123456789abcdefghijklmnopqrstuvwxyzABCDEFGHIJKLMNOPQRSTUVWXYZ.")))))</f>
        <v>0</v>
      </c>
      <c r="AE112" t="b">
        <f>OR(AND(IF(metadata!C112="",FALSE,TRUE),OR(EXACT(metadata!C112,"not applicable"),EXACT(metadata!C112,"missing: not collected"),EXACT(metadata!C112,"missing: not provided"),EXACT(metadata!C112,"missing: restricted access"))),AND(IF(metadata!C112="",FALSE,ISNUMBER(VALUE(metadata!C112))),metadata!C112&gt;0))</f>
        <v>0</v>
      </c>
      <c r="AF112" t="b">
        <f>AND(IF(metadata!D112="",FALSE,TRUE),EXACT(metadata!D112,"missing: not provided"))</f>
        <v>0</v>
      </c>
      <c r="AG112" t="b">
        <f>AND(IF(metadata!E112="",FALSE,TRUE),EXACT(metadata!E112,"Host-associated"))</f>
        <v>0</v>
      </c>
      <c r="AH112" t="b">
        <f>AND(IF(metadata!F112="",FALSE,TRUE),OR(EXACT(metadata!F112,"Animal"),EXACT(metadata!F112,"Fungus"),EXACT(metadata!F112,"Plant")))</f>
        <v>0</v>
      </c>
      <c r="AI112" t="b">
        <f>AND(IF(metadata!G112="",FALSE,TRUE),OR(EXACT(metadata!G112,"Plant secretion"),EXACT(metadata!G112,"Plant rhizosphere"),EXACT(metadata!G112,"Plant surface"),EXACT(metadata!G112,"Plant corpus"),EXACT(metadata!G112,"Fungus surface"),EXACT(metadata!G112,"Fungus corpus"),EXACT(metadata!G112,"Animal surface"),EXACT(metadata!G112,"Animal proximal gut"),EXACT(metadata!G112,"Animal corpus"),EXACT(metadata!G112,"Animal distal gut"),EXACT(metadata!G112,"Animal secretion")))</f>
        <v>0</v>
      </c>
      <c r="AJ112" t="b">
        <f>OR(AND(IF(metadata!H112="",FALSE,TRUE),OR(EXACT(metadata!H112,"missing: not collected"),EXACT(metadata!H112,"missing: not provided"),EXACT(metadata!H112,"missing: restricted access"))),AND(IF(metadata!H112="",FALSE,TRUE),OR(EXACT(metadata!H112,"organism-associated habitat"),EXACT(metadata!H112,"plant-associated habitat"),EXACT(metadata!H112,"animal-associated habitat"),EXACT(metadata!H112,"insecta-associated habitat"),EXACT(metadata!H112,"mammalia-associated habitat"),EXACT(metadata!H112,"human-associated habitat"),EXACT(metadata!H112,"livestock-associated habitat"))))</f>
        <v>0</v>
      </c>
      <c r="AK112" t="b">
        <f>AND(IF(metadata!I112="",FALSE,TRUE),EXACT(metadata!I112,"host-associated"))</f>
        <v>0</v>
      </c>
      <c r="AL112" t="b">
        <f>OR(AND(IF(metadata!J112="",FALSE,TRUE),OR(EXACT(metadata!J112,"not applicable"),EXACT(metadata!J112,"missing: not collected"),EXACT(metadata!J112,"missing: not provided"),EXACT(metadata!J112,"missing: restricted access"))),AND(IF(metadata!J112="",FALSE,ISNUMBER(VALUE(metadata!J112))),metadata!J112&gt;0))</f>
        <v>0</v>
      </c>
      <c r="AM112" t="b">
        <f>AND(IF(metadata!K112="",FALSE,TRUE),EXACT(metadata!K112,"missing: not provided"))</f>
        <v>0</v>
      </c>
      <c r="AN112" t="b">
        <f>IF(metadata!L112="",FALSE,TRUE)</f>
        <v>0</v>
      </c>
      <c r="AO112" t="b">
        <f>IF(metadata!M112="",FALSE,TRUE)</f>
        <v>0</v>
      </c>
      <c r="AP112" t="b">
        <f>OR(AND(IF(metadata!N112="",FALSE,TRUE),OR(EXACT(metadata!N112,"not applicable"),EXACT(metadata!N112,"missing: not collected"),EXACT(metadata!N112,"missing: not provided"))),AND(IF(metadata!N112="",FALSE,IF(ISERROR(INT(metadata!N112)),FALSE,INT(metadata!N112)=metadata!N112)),metadata!N112&gt;0))</f>
        <v>0</v>
      </c>
      <c r="AQ112" t="b">
        <f>AND(IF(metadata!O112="",FALSE,TRUE),EXACT(metadata!O112,"Not applicable"))</f>
        <v>0</v>
      </c>
      <c r="AR112" t="b">
        <f>OR(AND(IF(metadata!P112="",FALSE,TRUE),OR(EXACT(metadata!P112,"not applicable"),EXACT(metadata!P112,"missing: not collected"),EXACT(metadata!P112,"missing: not provided"),EXACT(metadata!P112,"missing: restricted access"))),IF(metadata!P112="",FALSE,IF(ISERROR(INT(metadata!P112)),FALSE,INT(metadata!P112)=metadata!P112)))</f>
        <v>0</v>
      </c>
      <c r="AS112" t="b">
        <f>AND(IF(metadata!Q112="",FALSE,TRUE),EXACT(metadata!Q112,"Not applicable"))</f>
        <v>0</v>
      </c>
      <c r="AT112" t="b">
        <f>OR(AND(IF(metadata!R112="",FALSE,TRUE),OR(EXACT(metadata!R112,"not applicable"),EXACT(metadata!R112,"missing: not collected"),EXACT(metadata!R112,"missing: not provided"),EXACT(metadata!R112,"missing: restricted access"))),AND(IF(metadata!R112="",FALSE,ISNUMBER(VALUE(metadata!R112))),metadata!R112&gt;0))</f>
        <v>0</v>
      </c>
      <c r="AU112" t="b">
        <f>AND(IF(metadata!S112="",FALSE,TRUE),EXACT(metadata!S112,"missing: not provided"))</f>
        <v>0</v>
      </c>
    </row>
    <row r="113" spans="1:47" x14ac:dyDescent="0.2">
      <c r="A113" s="5" t="str">
        <f ca="1">IF(B113=" "," ",HYPERLINK(CONCATENATE("#metadata!",ADDRESS(INDEX($Y$2:$Y$1001,MATCH(ROWS($W$2:W113),$W$2:$W$1001,0),0),1)),INDEX($AB$2:$AB$1001,MATCH(ROWS($W$2:W113),$W$2:$W$1001,0),0)))</f>
        <v xml:space="preserve"> </v>
      </c>
      <c r="B113" s="4" t="str">
        <f ca="1">IF(OR(INDEX($X$2:$X$1001,MATCH(ROWS($W$2:W113),$W$2:$W$1001,0),1)&gt;=100000,INDEX($AD$1005:$AU$1005,1,MATCH(COLUMNS($AD$1006:AD1006),$AD$1006:$AU$1006,0))&gt;=100000), " ",IF(INDEX($AD$2:$AU$1001,MATCH(ROWS($W$2:W113),$W$2:$W$1001,0),MATCH(COLUMNS($AD$1006:AD1006),$AD$1006:$AU$1006,0)), HYPERLINK("#",""), HYPERLINK(CONCATENATE("#metadata!", ADDRESS(INDEX($Y$2:$Y$1001,MATCH(ROWS($W$2:W113),$W$2:$W$1001,0),0), INDEX($AD$1004:$AU$1004,1,MATCH(COLUMNS($AD$1006:AD1006),$AD$1006:$AU$1006,0)))),"Fix")))</f>
        <v xml:space="preserve"> </v>
      </c>
      <c r="C113" s="4" t="str">
        <f ca="1">IF(OR(INDEX($X$2:$X$1001,MATCH(ROWS($W$2:W113),$W$2:$W$1001,0),1)&gt;=100000,INDEX($AD$1005:$AU$1005,1,MATCH(COLUMNS($AD$1006:AE1006),$AD$1006:$AU$1006,0))&gt;=100000), " ",IF(INDEX($AD$2:$AU$1001,MATCH(ROWS($W$2:W113),$W$2:$W$1001,0),MATCH(COLUMNS($AD$1006:AE1006),$AD$1006:$AU$1006,0)), HYPERLINK("#",""), HYPERLINK(CONCATENATE("#metadata!", ADDRESS(INDEX($Y$2:$Y$1001,MATCH(ROWS($W$2:W113),$W$2:$W$1001,0),0), INDEX($AD$1004:$AU$1004,1,MATCH(COLUMNS($AD$1006:AE1006),$AD$1006:$AU$1006,0)))),"Fix")))</f>
        <v xml:space="preserve"> </v>
      </c>
      <c r="D113" s="4" t="str">
        <f ca="1">IF(OR(INDEX($X$2:$X$1001,MATCH(ROWS($W$2:W113),$W$2:$W$1001,0),1)&gt;=100000,INDEX($AD$1005:$AU$1005,1,MATCH(COLUMNS($AD$1006:AF1006),$AD$1006:$AU$1006,0))&gt;=100000), " ",IF(INDEX($AD$2:$AU$1001,MATCH(ROWS($W$2:W113),$W$2:$W$1001,0),MATCH(COLUMNS($AD$1006:AF1006),$AD$1006:$AU$1006,0)), HYPERLINK("#",""), HYPERLINK(CONCATENATE("#metadata!", ADDRESS(INDEX($Y$2:$Y$1001,MATCH(ROWS($W$2:W113),$W$2:$W$1001,0),0), INDEX($AD$1004:$AU$1004,1,MATCH(COLUMNS($AD$1006:AF1006),$AD$1006:$AU$1006,0)))),"Fix")))</f>
        <v xml:space="preserve"> </v>
      </c>
      <c r="E113" s="4" t="str">
        <f ca="1">IF(OR(INDEX($X$2:$X$1001,MATCH(ROWS($W$2:W113),$W$2:$W$1001,0),1)&gt;=100000,INDEX($AD$1005:$AU$1005,1,MATCH(COLUMNS($AD$1006:AG1006),$AD$1006:$AU$1006,0))&gt;=100000), " ",IF(INDEX($AD$2:$AU$1001,MATCH(ROWS($W$2:W113),$W$2:$W$1001,0),MATCH(COLUMNS($AD$1006:AG1006),$AD$1006:$AU$1006,0)), HYPERLINK("#",""), HYPERLINK(CONCATENATE("#metadata!", ADDRESS(INDEX($Y$2:$Y$1001,MATCH(ROWS($W$2:W113),$W$2:$W$1001,0),0), INDEX($AD$1004:$AU$1004,1,MATCH(COLUMNS($AD$1006:AG1006),$AD$1006:$AU$1006,0)))),"Fix")))</f>
        <v xml:space="preserve"> </v>
      </c>
      <c r="F113" s="4" t="str">
        <f ca="1">IF(OR(INDEX($X$2:$X$1001,MATCH(ROWS($W$2:W113),$W$2:$W$1001,0),1)&gt;=100000,INDEX($AD$1005:$AU$1005,1,MATCH(COLUMNS($AD$1006:AH1006),$AD$1006:$AU$1006,0))&gt;=100000), " ",IF(INDEX($AD$2:$AU$1001,MATCH(ROWS($W$2:W113),$W$2:$W$1001,0),MATCH(COLUMNS($AD$1006:AH1006),$AD$1006:$AU$1006,0)), HYPERLINK("#",""), HYPERLINK(CONCATENATE("#metadata!", ADDRESS(INDEX($Y$2:$Y$1001,MATCH(ROWS($W$2:W113),$W$2:$W$1001,0),0), INDEX($AD$1004:$AU$1004,1,MATCH(COLUMNS($AD$1006:AH1006),$AD$1006:$AU$1006,0)))),"Fix")))</f>
        <v xml:space="preserve"> </v>
      </c>
      <c r="G113" s="4" t="str">
        <f ca="1">IF(OR(INDEX($X$2:$X$1001,MATCH(ROWS($W$2:W113),$W$2:$W$1001,0),1)&gt;=100000,INDEX($AD$1005:$AU$1005,1,MATCH(COLUMNS($AD$1006:AI1006),$AD$1006:$AU$1006,0))&gt;=100000), " ",IF(INDEX($AD$2:$AU$1001,MATCH(ROWS($W$2:W113),$W$2:$W$1001,0),MATCH(COLUMNS($AD$1006:AI1006),$AD$1006:$AU$1006,0)), HYPERLINK("#",""), HYPERLINK(CONCATENATE("#metadata!", ADDRESS(INDEX($Y$2:$Y$1001,MATCH(ROWS($W$2:W113),$W$2:$W$1001,0),0), INDEX($AD$1004:$AU$1004,1,MATCH(COLUMNS($AD$1006:AI1006),$AD$1006:$AU$1006,0)))),"Fix")))</f>
        <v xml:space="preserve"> </v>
      </c>
      <c r="H113" s="4" t="str">
        <f ca="1">IF(OR(INDEX($X$2:$X$1001,MATCH(ROWS($W$2:W113),$W$2:$W$1001,0),1)&gt;=100000,INDEX($AD$1005:$AU$1005,1,MATCH(COLUMNS($AD$1006:AJ1006),$AD$1006:$AU$1006,0))&gt;=100000), " ",IF(INDEX($AD$2:$AU$1001,MATCH(ROWS($W$2:W113),$W$2:$W$1001,0),MATCH(COLUMNS($AD$1006:AJ1006),$AD$1006:$AU$1006,0)), HYPERLINK("#",""), HYPERLINK(CONCATENATE("#metadata!", ADDRESS(INDEX($Y$2:$Y$1001,MATCH(ROWS($W$2:W113),$W$2:$W$1001,0),0), INDEX($AD$1004:$AU$1004,1,MATCH(COLUMNS($AD$1006:AJ1006),$AD$1006:$AU$1006,0)))),"Fix")))</f>
        <v xml:space="preserve"> </v>
      </c>
      <c r="I113" s="4" t="str">
        <f ca="1">IF(OR(INDEX($X$2:$X$1001,MATCH(ROWS($W$2:W113),$W$2:$W$1001,0),1)&gt;=100000,INDEX($AD$1005:$AU$1005,1,MATCH(COLUMNS($AD$1006:AK1006),$AD$1006:$AU$1006,0))&gt;=100000), " ",IF(INDEX($AD$2:$AU$1001,MATCH(ROWS($W$2:W113),$W$2:$W$1001,0),MATCH(COLUMNS($AD$1006:AK1006),$AD$1006:$AU$1006,0)), HYPERLINK("#",""), HYPERLINK(CONCATENATE("#metadata!", ADDRESS(INDEX($Y$2:$Y$1001,MATCH(ROWS($W$2:W113),$W$2:$W$1001,0),0), INDEX($AD$1004:$AU$1004,1,MATCH(COLUMNS($AD$1006:AK1006),$AD$1006:$AU$1006,0)))),"Fix")))</f>
        <v xml:space="preserve"> </v>
      </c>
      <c r="J113" s="4" t="str">
        <f ca="1">IF(OR(INDEX($X$2:$X$1001,MATCH(ROWS($W$2:W113),$W$2:$W$1001,0),1)&gt;=100000,INDEX($AD$1005:$AU$1005,1,MATCH(COLUMNS($AD$1006:AL1006),$AD$1006:$AU$1006,0))&gt;=100000), " ",IF(INDEX($AD$2:$AU$1001,MATCH(ROWS($W$2:W113),$W$2:$W$1001,0),MATCH(COLUMNS($AD$1006:AL1006),$AD$1006:$AU$1006,0)), HYPERLINK("#",""), HYPERLINK(CONCATENATE("#metadata!", ADDRESS(INDEX($Y$2:$Y$1001,MATCH(ROWS($W$2:W113),$W$2:$W$1001,0),0), INDEX($AD$1004:$AU$1004,1,MATCH(COLUMNS($AD$1006:AL1006),$AD$1006:$AU$1006,0)))),"Fix")))</f>
        <v xml:space="preserve"> </v>
      </c>
      <c r="K113" s="4" t="str">
        <f ca="1">IF(OR(INDEX($X$2:$X$1001,MATCH(ROWS($W$2:W113),$W$2:$W$1001,0),1)&gt;=100000,INDEX($AD$1005:$AU$1005,1,MATCH(COLUMNS($AD$1006:AM1006),$AD$1006:$AU$1006,0))&gt;=100000), " ",IF(INDEX($AD$2:$AU$1001,MATCH(ROWS($W$2:W113),$W$2:$W$1001,0),MATCH(COLUMNS($AD$1006:AM1006),$AD$1006:$AU$1006,0)), HYPERLINK("#",""), HYPERLINK(CONCATENATE("#metadata!", ADDRESS(INDEX($Y$2:$Y$1001,MATCH(ROWS($W$2:W113),$W$2:$W$1001,0),0), INDEX($AD$1004:$AU$1004,1,MATCH(COLUMNS($AD$1006:AM1006),$AD$1006:$AU$1006,0)))),"Fix")))</f>
        <v xml:space="preserve"> </v>
      </c>
      <c r="L113" s="4" t="str">
        <f ca="1">IF(OR(INDEX($X$2:$X$1001,MATCH(ROWS($W$2:W113),$W$2:$W$1001,0),1)&gt;=100000,INDEX($AD$1005:$AU$1005,1,MATCH(COLUMNS($AD$1006:AN1006),$AD$1006:$AU$1006,0))&gt;=100000), " ",IF(INDEX($AD$2:$AU$1001,MATCH(ROWS($W$2:W113),$W$2:$W$1001,0),MATCH(COLUMNS($AD$1006:AN1006),$AD$1006:$AU$1006,0)), HYPERLINK("#",""), HYPERLINK(CONCATENATE("#metadata!", ADDRESS(INDEX($Y$2:$Y$1001,MATCH(ROWS($W$2:W113),$W$2:$W$1001,0),0), INDEX($AD$1004:$AU$1004,1,MATCH(COLUMNS($AD$1006:AN1006),$AD$1006:$AU$1006,0)))),"Fix")))</f>
        <v xml:space="preserve"> </v>
      </c>
      <c r="M113" s="4" t="str">
        <f ca="1">IF(OR(INDEX($X$2:$X$1001,MATCH(ROWS($W$2:W113),$W$2:$W$1001,0),1)&gt;=100000,INDEX($AD$1005:$AU$1005,1,MATCH(COLUMNS($AD$1006:AO1006),$AD$1006:$AU$1006,0))&gt;=100000), " ",IF(INDEX($AD$2:$AU$1001,MATCH(ROWS($W$2:W113),$W$2:$W$1001,0),MATCH(COLUMNS($AD$1006:AO1006),$AD$1006:$AU$1006,0)), HYPERLINK("#",""), HYPERLINK(CONCATENATE("#metadata!", ADDRESS(INDEX($Y$2:$Y$1001,MATCH(ROWS($W$2:W113),$W$2:$W$1001,0),0), INDEX($AD$1004:$AU$1004,1,MATCH(COLUMNS($AD$1006:AO1006),$AD$1006:$AU$1006,0)))),"Fix")))</f>
        <v xml:space="preserve"> </v>
      </c>
      <c r="N113" s="4" t="str">
        <f ca="1">IF(OR(INDEX($X$2:$X$1001,MATCH(ROWS($W$2:W113),$W$2:$W$1001,0),1)&gt;=100000,INDEX($AD$1005:$AU$1005,1,MATCH(COLUMNS($AD$1006:AP1006),$AD$1006:$AU$1006,0))&gt;=100000), " ",IF(INDEX($AD$2:$AU$1001,MATCH(ROWS($W$2:W113),$W$2:$W$1001,0),MATCH(COLUMNS($AD$1006:AP1006),$AD$1006:$AU$1006,0)), HYPERLINK("#",""), HYPERLINK(CONCATENATE("#metadata!", ADDRESS(INDEX($Y$2:$Y$1001,MATCH(ROWS($W$2:W113),$W$2:$W$1001,0),0), INDEX($AD$1004:$AU$1004,1,MATCH(COLUMNS($AD$1006:AP1006),$AD$1006:$AU$1006,0)))),"Fix")))</f>
        <v xml:space="preserve"> </v>
      </c>
      <c r="O113" s="4" t="str">
        <f ca="1">IF(OR(INDEX($X$2:$X$1001,MATCH(ROWS($W$2:W113),$W$2:$W$1001,0),1)&gt;=100000,INDEX($AD$1005:$AU$1005,1,MATCH(COLUMNS($AD$1006:AQ1006),$AD$1006:$AU$1006,0))&gt;=100000), " ",IF(INDEX($AD$2:$AU$1001,MATCH(ROWS($W$2:W113),$W$2:$W$1001,0),MATCH(COLUMNS($AD$1006:AQ1006),$AD$1006:$AU$1006,0)), HYPERLINK("#",""), HYPERLINK(CONCATENATE("#metadata!", ADDRESS(INDEX($Y$2:$Y$1001,MATCH(ROWS($W$2:W113),$W$2:$W$1001,0),0), INDEX($AD$1004:$AU$1004,1,MATCH(COLUMNS($AD$1006:AQ1006),$AD$1006:$AU$1006,0)))),"Fix")))</f>
        <v xml:space="preserve"> </v>
      </c>
      <c r="P113" s="4" t="str">
        <f ca="1">IF(OR(INDEX($X$2:$X$1001,MATCH(ROWS($W$2:W113),$W$2:$W$1001,0),1)&gt;=100000,INDEX($AD$1005:$AU$1005,1,MATCH(COLUMNS($AD$1006:AR1006),$AD$1006:$AU$1006,0))&gt;=100000), " ",IF(INDEX($AD$2:$AU$1001,MATCH(ROWS($W$2:W113),$W$2:$W$1001,0),MATCH(COLUMNS($AD$1006:AR1006),$AD$1006:$AU$1006,0)), HYPERLINK("#",""), HYPERLINK(CONCATENATE("#metadata!", ADDRESS(INDEX($Y$2:$Y$1001,MATCH(ROWS($W$2:W113),$W$2:$W$1001,0),0), INDEX($AD$1004:$AU$1004,1,MATCH(COLUMNS($AD$1006:AR1006),$AD$1006:$AU$1006,0)))),"Fix")))</f>
        <v xml:space="preserve"> </v>
      </c>
      <c r="Q113" s="4" t="str">
        <f ca="1">IF(OR(INDEX($X$2:$X$1001,MATCH(ROWS($W$2:W113),$W$2:$W$1001,0),1)&gt;=100000,INDEX($AD$1005:$AU$1005,1,MATCH(COLUMNS($AD$1006:AS1006),$AD$1006:$AU$1006,0))&gt;=100000), " ",IF(INDEX($AD$2:$AU$1001,MATCH(ROWS($W$2:W113),$W$2:$W$1001,0),MATCH(COLUMNS($AD$1006:AS1006),$AD$1006:$AU$1006,0)), HYPERLINK("#",""), HYPERLINK(CONCATENATE("#metadata!", ADDRESS(INDEX($Y$2:$Y$1001,MATCH(ROWS($W$2:W113),$W$2:$W$1001,0),0), INDEX($AD$1004:$AU$1004,1,MATCH(COLUMNS($AD$1006:AS1006),$AD$1006:$AU$1006,0)))),"Fix")))</f>
        <v xml:space="preserve"> </v>
      </c>
      <c r="R113" s="4" t="str">
        <f ca="1">IF(OR(INDEX($X$2:$X$1001,MATCH(ROWS($W$2:W113),$W$2:$W$1001,0),1)&gt;=100000,INDEX($AD$1005:$AU$1005,1,MATCH(COLUMNS($AD$1006:AT1006),$AD$1006:$AU$1006,0))&gt;=100000), " ",IF(INDEX($AD$2:$AU$1001,MATCH(ROWS($W$2:W113),$W$2:$W$1001,0),MATCH(COLUMNS($AD$1006:AT1006),$AD$1006:$AU$1006,0)), HYPERLINK("#",""), HYPERLINK(CONCATENATE("#metadata!", ADDRESS(INDEX($Y$2:$Y$1001,MATCH(ROWS($W$2:W113),$W$2:$W$1001,0),0), INDEX($AD$1004:$AU$1004,1,MATCH(COLUMNS($AD$1006:AT1006),$AD$1006:$AU$1006,0)))),"Fix")))</f>
        <v xml:space="preserve"> </v>
      </c>
      <c r="S113" s="4" t="str">
        <f ca="1">IF(OR(INDEX($X$2:$X$1001,MATCH(ROWS($W$2:W113),$W$2:$W$1001,0),1)&gt;=100000,INDEX($AD$1005:$AU$1005,1,MATCH(COLUMNS($AD$1006:AU1006),$AD$1006:$AU$1006,0))&gt;=100000), " ",IF(INDEX($AD$2:$AU$1001,MATCH(ROWS($W$2:W113),$W$2:$W$1001,0),MATCH(COLUMNS($AD$1006:AU1006),$AD$1006:$AU$1006,0)), HYPERLINK("#",""), HYPERLINK(CONCATENATE("#metadata!", ADDRESS(INDEX($Y$2:$Y$1001,MATCH(ROWS($W$2:W113),$W$2:$W$1001,0),0), INDEX($AD$1004:$AU$1004,1,MATCH(COLUMNS($AD$1006:AU1006),$AD$1006:$AU$1006,0)))),"Fix")))</f>
        <v xml:space="preserve"> </v>
      </c>
      <c r="W113">
        <v>112</v>
      </c>
      <c r="X113">
        <v>100113</v>
      </c>
      <c r="Y113">
        <v>113</v>
      </c>
      <c r="Z113" t="b">
        <f t="shared" si="1"/>
        <v>1</v>
      </c>
      <c r="AA113" t="b">
        <f>COUNTBLANK(metadata!B113:S113)=COLUMNS(metadata!B113:S113)</f>
        <v>1</v>
      </c>
      <c r="AB113" t="str">
        <v/>
      </c>
      <c r="AD113" t="b">
        <f ca="1">AND(IF(metadata!B113="",FALSE,TRUE),COUNTIF(metadata!B:B, metadata!B113) = 1,NOT(ISERROR(SUMPRODUCT(SEARCH(MID(metadata!B113,ROW(INDIRECT("1:"&amp;LEN(metadata!B113))), 1),"0123456789abcdefghijklmnopqrstuvwxyzABCDEFGHIJKLMNOPQRSTUVWXYZ.")))))</f>
        <v>0</v>
      </c>
      <c r="AE113" t="b">
        <f>OR(AND(IF(metadata!C113="",FALSE,TRUE),OR(EXACT(metadata!C113,"not applicable"),EXACT(metadata!C113,"missing: not collected"),EXACT(metadata!C113,"missing: not provided"),EXACT(metadata!C113,"missing: restricted access"))),AND(IF(metadata!C113="",FALSE,ISNUMBER(VALUE(metadata!C113))),metadata!C113&gt;0))</f>
        <v>0</v>
      </c>
      <c r="AF113" t="b">
        <f>AND(IF(metadata!D113="",FALSE,TRUE),EXACT(metadata!D113,"missing: not provided"))</f>
        <v>0</v>
      </c>
      <c r="AG113" t="b">
        <f>AND(IF(metadata!E113="",FALSE,TRUE),EXACT(metadata!E113,"Host-associated"))</f>
        <v>0</v>
      </c>
      <c r="AH113" t="b">
        <f>AND(IF(metadata!F113="",FALSE,TRUE),OR(EXACT(metadata!F113,"Animal"),EXACT(metadata!F113,"Fungus"),EXACT(metadata!F113,"Plant")))</f>
        <v>0</v>
      </c>
      <c r="AI113" t="b">
        <f>AND(IF(metadata!G113="",FALSE,TRUE),OR(EXACT(metadata!G113,"Plant secretion"),EXACT(metadata!G113,"Plant rhizosphere"),EXACT(metadata!G113,"Plant surface"),EXACT(metadata!G113,"Plant corpus"),EXACT(metadata!G113,"Fungus surface"),EXACT(metadata!G113,"Fungus corpus"),EXACT(metadata!G113,"Animal surface"),EXACT(metadata!G113,"Animal proximal gut"),EXACT(metadata!G113,"Animal corpus"),EXACT(metadata!G113,"Animal distal gut"),EXACT(metadata!G113,"Animal secretion")))</f>
        <v>0</v>
      </c>
      <c r="AJ113" t="b">
        <f>OR(AND(IF(metadata!H113="",FALSE,TRUE),OR(EXACT(metadata!H113,"missing: not collected"),EXACT(metadata!H113,"missing: not provided"),EXACT(metadata!H113,"missing: restricted access"))),AND(IF(metadata!H113="",FALSE,TRUE),OR(EXACT(metadata!H113,"organism-associated habitat"),EXACT(metadata!H113,"plant-associated habitat"),EXACT(metadata!H113,"animal-associated habitat"),EXACT(metadata!H113,"insecta-associated habitat"),EXACT(metadata!H113,"mammalia-associated habitat"),EXACT(metadata!H113,"human-associated habitat"),EXACT(metadata!H113,"livestock-associated habitat"))))</f>
        <v>0</v>
      </c>
      <c r="AK113" t="b">
        <f>AND(IF(metadata!I113="",FALSE,TRUE),EXACT(metadata!I113,"host-associated"))</f>
        <v>0</v>
      </c>
      <c r="AL113" t="b">
        <f>OR(AND(IF(metadata!J113="",FALSE,TRUE),OR(EXACT(metadata!J113,"not applicable"),EXACT(metadata!J113,"missing: not collected"),EXACT(metadata!J113,"missing: not provided"),EXACT(metadata!J113,"missing: restricted access"))),AND(IF(metadata!J113="",FALSE,ISNUMBER(VALUE(metadata!J113))),metadata!J113&gt;0))</f>
        <v>0</v>
      </c>
      <c r="AM113" t="b">
        <f>AND(IF(metadata!K113="",FALSE,TRUE),EXACT(metadata!K113,"missing: not provided"))</f>
        <v>0</v>
      </c>
      <c r="AN113" t="b">
        <f>IF(metadata!L113="",FALSE,TRUE)</f>
        <v>0</v>
      </c>
      <c r="AO113" t="b">
        <f>IF(metadata!M113="",FALSE,TRUE)</f>
        <v>0</v>
      </c>
      <c r="AP113" t="b">
        <f>OR(AND(IF(metadata!N113="",FALSE,TRUE),OR(EXACT(metadata!N113,"not applicable"),EXACT(metadata!N113,"missing: not collected"),EXACT(metadata!N113,"missing: not provided"))),AND(IF(metadata!N113="",FALSE,IF(ISERROR(INT(metadata!N113)),FALSE,INT(metadata!N113)=metadata!N113)),metadata!N113&gt;0))</f>
        <v>0</v>
      </c>
      <c r="AQ113" t="b">
        <f>AND(IF(metadata!O113="",FALSE,TRUE),EXACT(metadata!O113,"Not applicable"))</f>
        <v>0</v>
      </c>
      <c r="AR113" t="b">
        <f>OR(AND(IF(metadata!P113="",FALSE,TRUE),OR(EXACT(metadata!P113,"not applicable"),EXACT(metadata!P113,"missing: not collected"),EXACT(metadata!P113,"missing: not provided"),EXACT(metadata!P113,"missing: restricted access"))),IF(metadata!P113="",FALSE,IF(ISERROR(INT(metadata!P113)),FALSE,INT(metadata!P113)=metadata!P113)))</f>
        <v>0</v>
      </c>
      <c r="AS113" t="b">
        <f>AND(IF(metadata!Q113="",FALSE,TRUE),EXACT(metadata!Q113,"Not applicable"))</f>
        <v>0</v>
      </c>
      <c r="AT113" t="b">
        <f>OR(AND(IF(metadata!R113="",FALSE,TRUE),OR(EXACT(metadata!R113,"not applicable"),EXACT(metadata!R113,"missing: not collected"),EXACT(metadata!R113,"missing: not provided"),EXACT(metadata!R113,"missing: restricted access"))),AND(IF(metadata!R113="",FALSE,ISNUMBER(VALUE(metadata!R113))),metadata!R113&gt;0))</f>
        <v>0</v>
      </c>
      <c r="AU113" t="b">
        <f>AND(IF(metadata!S113="",FALSE,TRUE),EXACT(metadata!S113,"missing: not provided"))</f>
        <v>0</v>
      </c>
    </row>
    <row r="114" spans="1:47" x14ac:dyDescent="0.2">
      <c r="A114" s="5" t="str">
        <f ca="1">IF(B114=" "," ",HYPERLINK(CONCATENATE("#metadata!",ADDRESS(INDEX($Y$2:$Y$1001,MATCH(ROWS($W$2:W114),$W$2:$W$1001,0),0),1)),INDEX($AB$2:$AB$1001,MATCH(ROWS($W$2:W114),$W$2:$W$1001,0),0)))</f>
        <v xml:space="preserve"> </v>
      </c>
      <c r="B114" s="4" t="str">
        <f ca="1">IF(OR(INDEX($X$2:$X$1001,MATCH(ROWS($W$2:W114),$W$2:$W$1001,0),1)&gt;=100000,INDEX($AD$1005:$AU$1005,1,MATCH(COLUMNS($AD$1006:AD1006),$AD$1006:$AU$1006,0))&gt;=100000), " ",IF(INDEX($AD$2:$AU$1001,MATCH(ROWS($W$2:W114),$W$2:$W$1001,0),MATCH(COLUMNS($AD$1006:AD1006),$AD$1006:$AU$1006,0)), HYPERLINK("#",""), HYPERLINK(CONCATENATE("#metadata!", ADDRESS(INDEX($Y$2:$Y$1001,MATCH(ROWS($W$2:W114),$W$2:$W$1001,0),0), INDEX($AD$1004:$AU$1004,1,MATCH(COLUMNS($AD$1006:AD1006),$AD$1006:$AU$1006,0)))),"Fix")))</f>
        <v xml:space="preserve"> </v>
      </c>
      <c r="C114" s="4" t="str">
        <f ca="1">IF(OR(INDEX($X$2:$X$1001,MATCH(ROWS($W$2:W114),$W$2:$W$1001,0),1)&gt;=100000,INDEX($AD$1005:$AU$1005,1,MATCH(COLUMNS($AD$1006:AE1006),$AD$1006:$AU$1006,0))&gt;=100000), " ",IF(INDEX($AD$2:$AU$1001,MATCH(ROWS($W$2:W114),$W$2:$W$1001,0),MATCH(COLUMNS($AD$1006:AE1006),$AD$1006:$AU$1006,0)), HYPERLINK("#",""), HYPERLINK(CONCATENATE("#metadata!", ADDRESS(INDEX($Y$2:$Y$1001,MATCH(ROWS($W$2:W114),$W$2:$W$1001,0),0), INDEX($AD$1004:$AU$1004,1,MATCH(COLUMNS($AD$1006:AE1006),$AD$1006:$AU$1006,0)))),"Fix")))</f>
        <v xml:space="preserve"> </v>
      </c>
      <c r="D114" s="4" t="str">
        <f ca="1">IF(OR(INDEX($X$2:$X$1001,MATCH(ROWS($W$2:W114),$W$2:$W$1001,0),1)&gt;=100000,INDEX($AD$1005:$AU$1005,1,MATCH(COLUMNS($AD$1006:AF1006),$AD$1006:$AU$1006,0))&gt;=100000), " ",IF(INDEX($AD$2:$AU$1001,MATCH(ROWS($W$2:W114),$W$2:$W$1001,0),MATCH(COLUMNS($AD$1006:AF1006),$AD$1006:$AU$1006,0)), HYPERLINK("#",""), HYPERLINK(CONCATENATE("#metadata!", ADDRESS(INDEX($Y$2:$Y$1001,MATCH(ROWS($W$2:W114),$W$2:$W$1001,0),0), INDEX($AD$1004:$AU$1004,1,MATCH(COLUMNS($AD$1006:AF1006),$AD$1006:$AU$1006,0)))),"Fix")))</f>
        <v xml:space="preserve"> </v>
      </c>
      <c r="E114" s="4" t="str">
        <f ca="1">IF(OR(INDEX($X$2:$X$1001,MATCH(ROWS($W$2:W114),$W$2:$W$1001,0),1)&gt;=100000,INDEX($AD$1005:$AU$1005,1,MATCH(COLUMNS($AD$1006:AG1006),$AD$1006:$AU$1006,0))&gt;=100000), " ",IF(INDEX($AD$2:$AU$1001,MATCH(ROWS($W$2:W114),$W$2:$W$1001,0),MATCH(COLUMNS($AD$1006:AG1006),$AD$1006:$AU$1006,0)), HYPERLINK("#",""), HYPERLINK(CONCATENATE("#metadata!", ADDRESS(INDEX($Y$2:$Y$1001,MATCH(ROWS($W$2:W114),$W$2:$W$1001,0),0), INDEX($AD$1004:$AU$1004,1,MATCH(COLUMNS($AD$1006:AG1006),$AD$1006:$AU$1006,0)))),"Fix")))</f>
        <v xml:space="preserve"> </v>
      </c>
      <c r="F114" s="4" t="str">
        <f ca="1">IF(OR(INDEX($X$2:$X$1001,MATCH(ROWS($W$2:W114),$W$2:$W$1001,0),1)&gt;=100000,INDEX($AD$1005:$AU$1005,1,MATCH(COLUMNS($AD$1006:AH1006),$AD$1006:$AU$1006,0))&gt;=100000), " ",IF(INDEX($AD$2:$AU$1001,MATCH(ROWS($W$2:W114),$W$2:$W$1001,0),MATCH(COLUMNS($AD$1006:AH1006),$AD$1006:$AU$1006,0)), HYPERLINK("#",""), HYPERLINK(CONCATENATE("#metadata!", ADDRESS(INDEX($Y$2:$Y$1001,MATCH(ROWS($W$2:W114),$W$2:$W$1001,0),0), INDEX($AD$1004:$AU$1004,1,MATCH(COLUMNS($AD$1006:AH1006),$AD$1006:$AU$1006,0)))),"Fix")))</f>
        <v xml:space="preserve"> </v>
      </c>
      <c r="G114" s="4" t="str">
        <f ca="1">IF(OR(INDEX($X$2:$X$1001,MATCH(ROWS($W$2:W114),$W$2:$W$1001,0),1)&gt;=100000,INDEX($AD$1005:$AU$1005,1,MATCH(COLUMNS($AD$1006:AI1006),$AD$1006:$AU$1006,0))&gt;=100000), " ",IF(INDEX($AD$2:$AU$1001,MATCH(ROWS($W$2:W114),$W$2:$W$1001,0),MATCH(COLUMNS($AD$1006:AI1006),$AD$1006:$AU$1006,0)), HYPERLINK("#",""), HYPERLINK(CONCATENATE("#metadata!", ADDRESS(INDEX($Y$2:$Y$1001,MATCH(ROWS($W$2:W114),$W$2:$W$1001,0),0), INDEX($AD$1004:$AU$1004,1,MATCH(COLUMNS($AD$1006:AI1006),$AD$1006:$AU$1006,0)))),"Fix")))</f>
        <v xml:space="preserve"> </v>
      </c>
      <c r="H114" s="4" t="str">
        <f ca="1">IF(OR(INDEX($X$2:$X$1001,MATCH(ROWS($W$2:W114),$W$2:$W$1001,0),1)&gt;=100000,INDEX($AD$1005:$AU$1005,1,MATCH(COLUMNS($AD$1006:AJ1006),$AD$1006:$AU$1006,0))&gt;=100000), " ",IF(INDEX($AD$2:$AU$1001,MATCH(ROWS($W$2:W114),$W$2:$W$1001,0),MATCH(COLUMNS($AD$1006:AJ1006),$AD$1006:$AU$1006,0)), HYPERLINK("#",""), HYPERLINK(CONCATENATE("#metadata!", ADDRESS(INDEX($Y$2:$Y$1001,MATCH(ROWS($W$2:W114),$W$2:$W$1001,0),0), INDEX($AD$1004:$AU$1004,1,MATCH(COLUMNS($AD$1006:AJ1006),$AD$1006:$AU$1006,0)))),"Fix")))</f>
        <v xml:space="preserve"> </v>
      </c>
      <c r="I114" s="4" t="str">
        <f ca="1">IF(OR(INDEX($X$2:$X$1001,MATCH(ROWS($W$2:W114),$W$2:$W$1001,0),1)&gt;=100000,INDEX($AD$1005:$AU$1005,1,MATCH(COLUMNS($AD$1006:AK1006),$AD$1006:$AU$1006,0))&gt;=100000), " ",IF(INDEX($AD$2:$AU$1001,MATCH(ROWS($W$2:W114),$W$2:$W$1001,0),MATCH(COLUMNS($AD$1006:AK1006),$AD$1006:$AU$1006,0)), HYPERLINK("#",""), HYPERLINK(CONCATENATE("#metadata!", ADDRESS(INDEX($Y$2:$Y$1001,MATCH(ROWS($W$2:W114),$W$2:$W$1001,0),0), INDEX($AD$1004:$AU$1004,1,MATCH(COLUMNS($AD$1006:AK1006),$AD$1006:$AU$1006,0)))),"Fix")))</f>
        <v xml:space="preserve"> </v>
      </c>
      <c r="J114" s="4" t="str">
        <f ca="1">IF(OR(INDEX($X$2:$X$1001,MATCH(ROWS($W$2:W114),$W$2:$W$1001,0),1)&gt;=100000,INDEX($AD$1005:$AU$1005,1,MATCH(COLUMNS($AD$1006:AL1006),$AD$1006:$AU$1006,0))&gt;=100000), " ",IF(INDEX($AD$2:$AU$1001,MATCH(ROWS($W$2:W114),$W$2:$W$1001,0),MATCH(COLUMNS($AD$1006:AL1006),$AD$1006:$AU$1006,0)), HYPERLINK("#",""), HYPERLINK(CONCATENATE("#metadata!", ADDRESS(INDEX($Y$2:$Y$1001,MATCH(ROWS($W$2:W114),$W$2:$W$1001,0),0), INDEX($AD$1004:$AU$1004,1,MATCH(COLUMNS($AD$1006:AL1006),$AD$1006:$AU$1006,0)))),"Fix")))</f>
        <v xml:space="preserve"> </v>
      </c>
      <c r="K114" s="4" t="str">
        <f ca="1">IF(OR(INDEX($X$2:$X$1001,MATCH(ROWS($W$2:W114),$W$2:$W$1001,0),1)&gt;=100000,INDEX($AD$1005:$AU$1005,1,MATCH(COLUMNS($AD$1006:AM1006),$AD$1006:$AU$1006,0))&gt;=100000), " ",IF(INDEX($AD$2:$AU$1001,MATCH(ROWS($W$2:W114),$W$2:$W$1001,0),MATCH(COLUMNS($AD$1006:AM1006),$AD$1006:$AU$1006,0)), HYPERLINK("#",""), HYPERLINK(CONCATENATE("#metadata!", ADDRESS(INDEX($Y$2:$Y$1001,MATCH(ROWS($W$2:W114),$W$2:$W$1001,0),0), INDEX($AD$1004:$AU$1004,1,MATCH(COLUMNS($AD$1006:AM1006),$AD$1006:$AU$1006,0)))),"Fix")))</f>
        <v xml:space="preserve"> </v>
      </c>
      <c r="L114" s="4" t="str">
        <f ca="1">IF(OR(INDEX($X$2:$X$1001,MATCH(ROWS($W$2:W114),$W$2:$W$1001,0),1)&gt;=100000,INDEX($AD$1005:$AU$1005,1,MATCH(COLUMNS($AD$1006:AN1006),$AD$1006:$AU$1006,0))&gt;=100000), " ",IF(INDEX($AD$2:$AU$1001,MATCH(ROWS($W$2:W114),$W$2:$W$1001,0),MATCH(COLUMNS($AD$1006:AN1006),$AD$1006:$AU$1006,0)), HYPERLINK("#",""), HYPERLINK(CONCATENATE("#metadata!", ADDRESS(INDEX($Y$2:$Y$1001,MATCH(ROWS($W$2:W114),$W$2:$W$1001,0),0), INDEX($AD$1004:$AU$1004,1,MATCH(COLUMNS($AD$1006:AN1006),$AD$1006:$AU$1006,0)))),"Fix")))</f>
        <v xml:space="preserve"> </v>
      </c>
      <c r="M114" s="4" t="str">
        <f ca="1">IF(OR(INDEX($X$2:$X$1001,MATCH(ROWS($W$2:W114),$W$2:$W$1001,0),1)&gt;=100000,INDEX($AD$1005:$AU$1005,1,MATCH(COLUMNS($AD$1006:AO1006),$AD$1006:$AU$1006,0))&gt;=100000), " ",IF(INDEX($AD$2:$AU$1001,MATCH(ROWS($W$2:W114),$W$2:$W$1001,0),MATCH(COLUMNS($AD$1006:AO1006),$AD$1006:$AU$1006,0)), HYPERLINK("#",""), HYPERLINK(CONCATENATE("#metadata!", ADDRESS(INDEX($Y$2:$Y$1001,MATCH(ROWS($W$2:W114),$W$2:$W$1001,0),0), INDEX($AD$1004:$AU$1004,1,MATCH(COLUMNS($AD$1006:AO1006),$AD$1006:$AU$1006,0)))),"Fix")))</f>
        <v xml:space="preserve"> </v>
      </c>
      <c r="N114" s="4" t="str">
        <f ca="1">IF(OR(INDEX($X$2:$X$1001,MATCH(ROWS($W$2:W114),$W$2:$W$1001,0),1)&gt;=100000,INDEX($AD$1005:$AU$1005,1,MATCH(COLUMNS($AD$1006:AP1006),$AD$1006:$AU$1006,0))&gt;=100000), " ",IF(INDEX($AD$2:$AU$1001,MATCH(ROWS($W$2:W114),$W$2:$W$1001,0),MATCH(COLUMNS($AD$1006:AP1006),$AD$1006:$AU$1006,0)), HYPERLINK("#",""), HYPERLINK(CONCATENATE("#metadata!", ADDRESS(INDEX($Y$2:$Y$1001,MATCH(ROWS($W$2:W114),$W$2:$W$1001,0),0), INDEX($AD$1004:$AU$1004,1,MATCH(COLUMNS($AD$1006:AP1006),$AD$1006:$AU$1006,0)))),"Fix")))</f>
        <v xml:space="preserve"> </v>
      </c>
      <c r="O114" s="4" t="str">
        <f ca="1">IF(OR(INDEX($X$2:$X$1001,MATCH(ROWS($W$2:W114),$W$2:$W$1001,0),1)&gt;=100000,INDEX($AD$1005:$AU$1005,1,MATCH(COLUMNS($AD$1006:AQ1006),$AD$1006:$AU$1006,0))&gt;=100000), " ",IF(INDEX($AD$2:$AU$1001,MATCH(ROWS($W$2:W114),$W$2:$W$1001,0),MATCH(COLUMNS($AD$1006:AQ1006),$AD$1006:$AU$1006,0)), HYPERLINK("#",""), HYPERLINK(CONCATENATE("#metadata!", ADDRESS(INDEX($Y$2:$Y$1001,MATCH(ROWS($W$2:W114),$W$2:$W$1001,0),0), INDEX($AD$1004:$AU$1004,1,MATCH(COLUMNS($AD$1006:AQ1006),$AD$1006:$AU$1006,0)))),"Fix")))</f>
        <v xml:space="preserve"> </v>
      </c>
      <c r="P114" s="4" t="str">
        <f ca="1">IF(OR(INDEX($X$2:$X$1001,MATCH(ROWS($W$2:W114),$W$2:$W$1001,0),1)&gt;=100000,INDEX($AD$1005:$AU$1005,1,MATCH(COLUMNS($AD$1006:AR1006),$AD$1006:$AU$1006,0))&gt;=100000), " ",IF(INDEX($AD$2:$AU$1001,MATCH(ROWS($W$2:W114),$W$2:$W$1001,0),MATCH(COLUMNS($AD$1006:AR1006),$AD$1006:$AU$1006,0)), HYPERLINK("#",""), HYPERLINK(CONCATENATE("#metadata!", ADDRESS(INDEX($Y$2:$Y$1001,MATCH(ROWS($W$2:W114),$W$2:$W$1001,0),0), INDEX($AD$1004:$AU$1004,1,MATCH(COLUMNS($AD$1006:AR1006),$AD$1006:$AU$1006,0)))),"Fix")))</f>
        <v xml:space="preserve"> </v>
      </c>
      <c r="Q114" s="4" t="str">
        <f ca="1">IF(OR(INDEX($X$2:$X$1001,MATCH(ROWS($W$2:W114),$W$2:$W$1001,0),1)&gt;=100000,INDEX($AD$1005:$AU$1005,1,MATCH(COLUMNS($AD$1006:AS1006),$AD$1006:$AU$1006,0))&gt;=100000), " ",IF(INDEX($AD$2:$AU$1001,MATCH(ROWS($W$2:W114),$W$2:$W$1001,0),MATCH(COLUMNS($AD$1006:AS1006),$AD$1006:$AU$1006,0)), HYPERLINK("#",""), HYPERLINK(CONCATENATE("#metadata!", ADDRESS(INDEX($Y$2:$Y$1001,MATCH(ROWS($W$2:W114),$W$2:$W$1001,0),0), INDEX($AD$1004:$AU$1004,1,MATCH(COLUMNS($AD$1006:AS1006),$AD$1006:$AU$1006,0)))),"Fix")))</f>
        <v xml:space="preserve"> </v>
      </c>
      <c r="R114" s="4" t="str">
        <f ca="1">IF(OR(INDEX($X$2:$X$1001,MATCH(ROWS($W$2:W114),$W$2:$W$1001,0),1)&gt;=100000,INDEX($AD$1005:$AU$1005,1,MATCH(COLUMNS($AD$1006:AT1006),$AD$1006:$AU$1006,0))&gt;=100000), " ",IF(INDEX($AD$2:$AU$1001,MATCH(ROWS($W$2:W114),$W$2:$W$1001,0),MATCH(COLUMNS($AD$1006:AT1006),$AD$1006:$AU$1006,0)), HYPERLINK("#",""), HYPERLINK(CONCATENATE("#metadata!", ADDRESS(INDEX($Y$2:$Y$1001,MATCH(ROWS($W$2:W114),$W$2:$W$1001,0),0), INDEX($AD$1004:$AU$1004,1,MATCH(COLUMNS($AD$1006:AT1006),$AD$1006:$AU$1006,0)))),"Fix")))</f>
        <v xml:space="preserve"> </v>
      </c>
      <c r="S114" s="4" t="str">
        <f ca="1">IF(OR(INDEX($X$2:$X$1001,MATCH(ROWS($W$2:W114),$W$2:$W$1001,0),1)&gt;=100000,INDEX($AD$1005:$AU$1005,1,MATCH(COLUMNS($AD$1006:AU1006),$AD$1006:$AU$1006,0))&gt;=100000), " ",IF(INDEX($AD$2:$AU$1001,MATCH(ROWS($W$2:W114),$W$2:$W$1001,0),MATCH(COLUMNS($AD$1006:AU1006),$AD$1006:$AU$1006,0)), HYPERLINK("#",""), HYPERLINK(CONCATENATE("#metadata!", ADDRESS(INDEX($Y$2:$Y$1001,MATCH(ROWS($W$2:W114),$W$2:$W$1001,0),0), INDEX($AD$1004:$AU$1004,1,MATCH(COLUMNS($AD$1006:AU1006),$AD$1006:$AU$1006,0)))),"Fix")))</f>
        <v xml:space="preserve"> </v>
      </c>
      <c r="W114">
        <v>113</v>
      </c>
      <c r="X114">
        <v>100114</v>
      </c>
      <c r="Y114">
        <v>114</v>
      </c>
      <c r="Z114" t="b">
        <f t="shared" si="1"/>
        <v>1</v>
      </c>
      <c r="AA114" t="b">
        <f>COUNTBLANK(metadata!B114:S114)=COLUMNS(metadata!B114:S114)</f>
        <v>1</v>
      </c>
      <c r="AB114" t="str">
        <v/>
      </c>
      <c r="AD114" t="b">
        <f ca="1">AND(IF(metadata!B114="",FALSE,TRUE),COUNTIF(metadata!B:B, metadata!B114) = 1,NOT(ISERROR(SUMPRODUCT(SEARCH(MID(metadata!B114,ROW(INDIRECT("1:"&amp;LEN(metadata!B114))), 1),"0123456789abcdefghijklmnopqrstuvwxyzABCDEFGHIJKLMNOPQRSTUVWXYZ.")))))</f>
        <v>0</v>
      </c>
      <c r="AE114" t="b">
        <f>OR(AND(IF(metadata!C114="",FALSE,TRUE),OR(EXACT(metadata!C114,"not applicable"),EXACT(metadata!C114,"missing: not collected"),EXACT(metadata!C114,"missing: not provided"),EXACT(metadata!C114,"missing: restricted access"))),AND(IF(metadata!C114="",FALSE,ISNUMBER(VALUE(metadata!C114))),metadata!C114&gt;0))</f>
        <v>0</v>
      </c>
      <c r="AF114" t="b">
        <f>AND(IF(metadata!D114="",FALSE,TRUE),EXACT(metadata!D114,"missing: not provided"))</f>
        <v>0</v>
      </c>
      <c r="AG114" t="b">
        <f>AND(IF(metadata!E114="",FALSE,TRUE),EXACT(metadata!E114,"Host-associated"))</f>
        <v>0</v>
      </c>
      <c r="AH114" t="b">
        <f>AND(IF(metadata!F114="",FALSE,TRUE),OR(EXACT(metadata!F114,"Animal"),EXACT(metadata!F114,"Fungus"),EXACT(metadata!F114,"Plant")))</f>
        <v>0</v>
      </c>
      <c r="AI114" t="b">
        <f>AND(IF(metadata!G114="",FALSE,TRUE),OR(EXACT(metadata!G114,"Plant secretion"),EXACT(metadata!G114,"Plant rhizosphere"),EXACT(metadata!G114,"Plant surface"),EXACT(metadata!G114,"Plant corpus"),EXACT(metadata!G114,"Fungus surface"),EXACT(metadata!G114,"Fungus corpus"),EXACT(metadata!G114,"Animal surface"),EXACT(metadata!G114,"Animal proximal gut"),EXACT(metadata!G114,"Animal corpus"),EXACT(metadata!G114,"Animal distal gut"),EXACT(metadata!G114,"Animal secretion")))</f>
        <v>0</v>
      </c>
      <c r="AJ114" t="b">
        <f>OR(AND(IF(metadata!H114="",FALSE,TRUE),OR(EXACT(metadata!H114,"missing: not collected"),EXACT(metadata!H114,"missing: not provided"),EXACT(metadata!H114,"missing: restricted access"))),AND(IF(metadata!H114="",FALSE,TRUE),OR(EXACT(metadata!H114,"organism-associated habitat"),EXACT(metadata!H114,"plant-associated habitat"),EXACT(metadata!H114,"animal-associated habitat"),EXACT(metadata!H114,"insecta-associated habitat"),EXACT(metadata!H114,"mammalia-associated habitat"),EXACT(metadata!H114,"human-associated habitat"),EXACT(metadata!H114,"livestock-associated habitat"))))</f>
        <v>0</v>
      </c>
      <c r="AK114" t="b">
        <f>AND(IF(metadata!I114="",FALSE,TRUE),EXACT(metadata!I114,"host-associated"))</f>
        <v>0</v>
      </c>
      <c r="AL114" t="b">
        <f>OR(AND(IF(metadata!J114="",FALSE,TRUE),OR(EXACT(metadata!J114,"not applicable"),EXACT(metadata!J114,"missing: not collected"),EXACT(metadata!J114,"missing: not provided"),EXACT(metadata!J114,"missing: restricted access"))),AND(IF(metadata!J114="",FALSE,ISNUMBER(VALUE(metadata!J114))),metadata!J114&gt;0))</f>
        <v>0</v>
      </c>
      <c r="AM114" t="b">
        <f>AND(IF(metadata!K114="",FALSE,TRUE),EXACT(metadata!K114,"missing: not provided"))</f>
        <v>0</v>
      </c>
      <c r="AN114" t="b">
        <f>IF(metadata!L114="",FALSE,TRUE)</f>
        <v>0</v>
      </c>
      <c r="AO114" t="b">
        <f>IF(metadata!M114="",FALSE,TRUE)</f>
        <v>0</v>
      </c>
      <c r="AP114" t="b">
        <f>OR(AND(IF(metadata!N114="",FALSE,TRUE),OR(EXACT(metadata!N114,"not applicable"),EXACT(metadata!N114,"missing: not collected"),EXACT(metadata!N114,"missing: not provided"))),AND(IF(metadata!N114="",FALSE,IF(ISERROR(INT(metadata!N114)),FALSE,INT(metadata!N114)=metadata!N114)),metadata!N114&gt;0))</f>
        <v>0</v>
      </c>
      <c r="AQ114" t="b">
        <f>AND(IF(metadata!O114="",FALSE,TRUE),EXACT(metadata!O114,"Not applicable"))</f>
        <v>0</v>
      </c>
      <c r="AR114" t="b">
        <f>OR(AND(IF(metadata!P114="",FALSE,TRUE),OR(EXACT(metadata!P114,"not applicable"),EXACT(metadata!P114,"missing: not collected"),EXACT(metadata!P114,"missing: not provided"),EXACT(metadata!P114,"missing: restricted access"))),IF(metadata!P114="",FALSE,IF(ISERROR(INT(metadata!P114)),FALSE,INT(metadata!P114)=metadata!P114)))</f>
        <v>0</v>
      </c>
      <c r="AS114" t="b">
        <f>AND(IF(metadata!Q114="",FALSE,TRUE),EXACT(metadata!Q114,"Not applicable"))</f>
        <v>0</v>
      </c>
      <c r="AT114" t="b">
        <f>OR(AND(IF(metadata!R114="",FALSE,TRUE),OR(EXACT(metadata!R114,"not applicable"),EXACT(metadata!R114,"missing: not collected"),EXACT(metadata!R114,"missing: not provided"),EXACT(metadata!R114,"missing: restricted access"))),AND(IF(metadata!R114="",FALSE,ISNUMBER(VALUE(metadata!R114))),metadata!R114&gt;0))</f>
        <v>0</v>
      </c>
      <c r="AU114" t="b">
        <f>AND(IF(metadata!S114="",FALSE,TRUE),EXACT(metadata!S114,"missing: not provided"))</f>
        <v>0</v>
      </c>
    </row>
    <row r="115" spans="1:47" x14ac:dyDescent="0.2">
      <c r="A115" s="5" t="str">
        <f ca="1">IF(B115=" "," ",HYPERLINK(CONCATENATE("#metadata!",ADDRESS(INDEX($Y$2:$Y$1001,MATCH(ROWS($W$2:W115),$W$2:$W$1001,0),0),1)),INDEX($AB$2:$AB$1001,MATCH(ROWS($W$2:W115),$W$2:$W$1001,0),0)))</f>
        <v xml:space="preserve"> </v>
      </c>
      <c r="B115" s="4" t="str">
        <f ca="1">IF(OR(INDEX($X$2:$X$1001,MATCH(ROWS($W$2:W115),$W$2:$W$1001,0),1)&gt;=100000,INDEX($AD$1005:$AU$1005,1,MATCH(COLUMNS($AD$1006:AD1006),$AD$1006:$AU$1006,0))&gt;=100000), " ",IF(INDEX($AD$2:$AU$1001,MATCH(ROWS($W$2:W115),$W$2:$W$1001,0),MATCH(COLUMNS($AD$1006:AD1006),$AD$1006:$AU$1006,0)), HYPERLINK("#",""), HYPERLINK(CONCATENATE("#metadata!", ADDRESS(INDEX($Y$2:$Y$1001,MATCH(ROWS($W$2:W115),$W$2:$W$1001,0),0), INDEX($AD$1004:$AU$1004,1,MATCH(COLUMNS($AD$1006:AD1006),$AD$1006:$AU$1006,0)))),"Fix")))</f>
        <v xml:space="preserve"> </v>
      </c>
      <c r="C115" s="4" t="str">
        <f ca="1">IF(OR(INDEX($X$2:$X$1001,MATCH(ROWS($W$2:W115),$W$2:$W$1001,0),1)&gt;=100000,INDEX($AD$1005:$AU$1005,1,MATCH(COLUMNS($AD$1006:AE1006),$AD$1006:$AU$1006,0))&gt;=100000), " ",IF(INDEX($AD$2:$AU$1001,MATCH(ROWS($W$2:W115),$W$2:$W$1001,0),MATCH(COLUMNS($AD$1006:AE1006),$AD$1006:$AU$1006,0)), HYPERLINK("#",""), HYPERLINK(CONCATENATE("#metadata!", ADDRESS(INDEX($Y$2:$Y$1001,MATCH(ROWS($W$2:W115),$W$2:$W$1001,0),0), INDEX($AD$1004:$AU$1004,1,MATCH(COLUMNS($AD$1006:AE1006),$AD$1006:$AU$1006,0)))),"Fix")))</f>
        <v xml:space="preserve"> </v>
      </c>
      <c r="D115" s="4" t="str">
        <f ca="1">IF(OR(INDEX($X$2:$X$1001,MATCH(ROWS($W$2:W115),$W$2:$W$1001,0),1)&gt;=100000,INDEX($AD$1005:$AU$1005,1,MATCH(COLUMNS($AD$1006:AF1006),$AD$1006:$AU$1006,0))&gt;=100000), " ",IF(INDEX($AD$2:$AU$1001,MATCH(ROWS($W$2:W115),$W$2:$W$1001,0),MATCH(COLUMNS($AD$1006:AF1006),$AD$1006:$AU$1006,0)), HYPERLINK("#",""), HYPERLINK(CONCATENATE("#metadata!", ADDRESS(INDEX($Y$2:$Y$1001,MATCH(ROWS($W$2:W115),$W$2:$W$1001,0),0), INDEX($AD$1004:$AU$1004,1,MATCH(COLUMNS($AD$1006:AF1006),$AD$1006:$AU$1006,0)))),"Fix")))</f>
        <v xml:space="preserve"> </v>
      </c>
      <c r="E115" s="4" t="str">
        <f ca="1">IF(OR(INDEX($X$2:$X$1001,MATCH(ROWS($W$2:W115),$W$2:$W$1001,0),1)&gt;=100000,INDEX($AD$1005:$AU$1005,1,MATCH(COLUMNS($AD$1006:AG1006),$AD$1006:$AU$1006,0))&gt;=100000), " ",IF(INDEX($AD$2:$AU$1001,MATCH(ROWS($W$2:W115),$W$2:$W$1001,0),MATCH(COLUMNS($AD$1006:AG1006),$AD$1006:$AU$1006,0)), HYPERLINK("#",""), HYPERLINK(CONCATENATE("#metadata!", ADDRESS(INDEX($Y$2:$Y$1001,MATCH(ROWS($W$2:W115),$W$2:$W$1001,0),0), INDEX($AD$1004:$AU$1004,1,MATCH(COLUMNS($AD$1006:AG1006),$AD$1006:$AU$1006,0)))),"Fix")))</f>
        <v xml:space="preserve"> </v>
      </c>
      <c r="F115" s="4" t="str">
        <f ca="1">IF(OR(INDEX($X$2:$X$1001,MATCH(ROWS($W$2:W115),$W$2:$W$1001,0),1)&gt;=100000,INDEX($AD$1005:$AU$1005,1,MATCH(COLUMNS($AD$1006:AH1006),$AD$1006:$AU$1006,0))&gt;=100000), " ",IF(INDEX($AD$2:$AU$1001,MATCH(ROWS($W$2:W115),$W$2:$W$1001,0),MATCH(COLUMNS($AD$1006:AH1006),$AD$1006:$AU$1006,0)), HYPERLINK("#",""), HYPERLINK(CONCATENATE("#metadata!", ADDRESS(INDEX($Y$2:$Y$1001,MATCH(ROWS($W$2:W115),$W$2:$W$1001,0),0), INDEX($AD$1004:$AU$1004,1,MATCH(COLUMNS($AD$1006:AH1006),$AD$1006:$AU$1006,0)))),"Fix")))</f>
        <v xml:space="preserve"> </v>
      </c>
      <c r="G115" s="4" t="str">
        <f ca="1">IF(OR(INDEX($X$2:$X$1001,MATCH(ROWS($W$2:W115),$W$2:$W$1001,0),1)&gt;=100000,INDEX($AD$1005:$AU$1005,1,MATCH(COLUMNS($AD$1006:AI1006),$AD$1006:$AU$1006,0))&gt;=100000), " ",IF(INDEX($AD$2:$AU$1001,MATCH(ROWS($W$2:W115),$W$2:$W$1001,0),MATCH(COLUMNS($AD$1006:AI1006),$AD$1006:$AU$1006,0)), HYPERLINK("#",""), HYPERLINK(CONCATENATE("#metadata!", ADDRESS(INDEX($Y$2:$Y$1001,MATCH(ROWS($W$2:W115),$W$2:$W$1001,0),0), INDEX($AD$1004:$AU$1004,1,MATCH(COLUMNS($AD$1006:AI1006),$AD$1006:$AU$1006,0)))),"Fix")))</f>
        <v xml:space="preserve"> </v>
      </c>
      <c r="H115" s="4" t="str">
        <f ca="1">IF(OR(INDEX($X$2:$X$1001,MATCH(ROWS($W$2:W115),$W$2:$W$1001,0),1)&gt;=100000,INDEX($AD$1005:$AU$1005,1,MATCH(COLUMNS($AD$1006:AJ1006),$AD$1006:$AU$1006,0))&gt;=100000), " ",IF(INDEX($AD$2:$AU$1001,MATCH(ROWS($W$2:W115),$W$2:$W$1001,0),MATCH(COLUMNS($AD$1006:AJ1006),$AD$1006:$AU$1006,0)), HYPERLINK("#",""), HYPERLINK(CONCATENATE("#metadata!", ADDRESS(INDEX($Y$2:$Y$1001,MATCH(ROWS($W$2:W115),$W$2:$W$1001,0),0), INDEX($AD$1004:$AU$1004,1,MATCH(COLUMNS($AD$1006:AJ1006),$AD$1006:$AU$1006,0)))),"Fix")))</f>
        <v xml:space="preserve"> </v>
      </c>
      <c r="I115" s="4" t="str">
        <f ca="1">IF(OR(INDEX($X$2:$X$1001,MATCH(ROWS($W$2:W115),$W$2:$W$1001,0),1)&gt;=100000,INDEX($AD$1005:$AU$1005,1,MATCH(COLUMNS($AD$1006:AK1006),$AD$1006:$AU$1006,0))&gt;=100000), " ",IF(INDEX($AD$2:$AU$1001,MATCH(ROWS($W$2:W115),$W$2:$W$1001,0),MATCH(COLUMNS($AD$1006:AK1006),$AD$1006:$AU$1006,0)), HYPERLINK("#",""), HYPERLINK(CONCATENATE("#metadata!", ADDRESS(INDEX($Y$2:$Y$1001,MATCH(ROWS($W$2:W115),$W$2:$W$1001,0),0), INDEX($AD$1004:$AU$1004,1,MATCH(COLUMNS($AD$1006:AK1006),$AD$1006:$AU$1006,0)))),"Fix")))</f>
        <v xml:space="preserve"> </v>
      </c>
      <c r="J115" s="4" t="str">
        <f ca="1">IF(OR(INDEX($X$2:$X$1001,MATCH(ROWS($W$2:W115),$W$2:$W$1001,0),1)&gt;=100000,INDEX($AD$1005:$AU$1005,1,MATCH(COLUMNS($AD$1006:AL1006),$AD$1006:$AU$1006,0))&gt;=100000), " ",IF(INDEX($AD$2:$AU$1001,MATCH(ROWS($W$2:W115),$W$2:$W$1001,0),MATCH(COLUMNS($AD$1006:AL1006),$AD$1006:$AU$1006,0)), HYPERLINK("#",""), HYPERLINK(CONCATENATE("#metadata!", ADDRESS(INDEX($Y$2:$Y$1001,MATCH(ROWS($W$2:W115),$W$2:$W$1001,0),0), INDEX($AD$1004:$AU$1004,1,MATCH(COLUMNS($AD$1006:AL1006),$AD$1006:$AU$1006,0)))),"Fix")))</f>
        <v xml:space="preserve"> </v>
      </c>
      <c r="K115" s="4" t="str">
        <f ca="1">IF(OR(INDEX($X$2:$X$1001,MATCH(ROWS($W$2:W115),$W$2:$W$1001,0),1)&gt;=100000,INDEX($AD$1005:$AU$1005,1,MATCH(COLUMNS($AD$1006:AM1006),$AD$1006:$AU$1006,0))&gt;=100000), " ",IF(INDEX($AD$2:$AU$1001,MATCH(ROWS($W$2:W115),$W$2:$W$1001,0),MATCH(COLUMNS($AD$1006:AM1006),$AD$1006:$AU$1006,0)), HYPERLINK("#",""), HYPERLINK(CONCATENATE("#metadata!", ADDRESS(INDEX($Y$2:$Y$1001,MATCH(ROWS($W$2:W115),$W$2:$W$1001,0),0), INDEX($AD$1004:$AU$1004,1,MATCH(COLUMNS($AD$1006:AM1006),$AD$1006:$AU$1006,0)))),"Fix")))</f>
        <v xml:space="preserve"> </v>
      </c>
      <c r="L115" s="4" t="str">
        <f ca="1">IF(OR(INDEX($X$2:$X$1001,MATCH(ROWS($W$2:W115),$W$2:$W$1001,0),1)&gt;=100000,INDEX($AD$1005:$AU$1005,1,MATCH(COLUMNS($AD$1006:AN1006),$AD$1006:$AU$1006,0))&gt;=100000), " ",IF(INDEX($AD$2:$AU$1001,MATCH(ROWS($W$2:W115),$W$2:$W$1001,0),MATCH(COLUMNS($AD$1006:AN1006),$AD$1006:$AU$1006,0)), HYPERLINK("#",""), HYPERLINK(CONCATENATE("#metadata!", ADDRESS(INDEX($Y$2:$Y$1001,MATCH(ROWS($W$2:W115),$W$2:$W$1001,0),0), INDEX($AD$1004:$AU$1004,1,MATCH(COLUMNS($AD$1006:AN1006),$AD$1006:$AU$1006,0)))),"Fix")))</f>
        <v xml:space="preserve"> </v>
      </c>
      <c r="M115" s="4" t="str">
        <f ca="1">IF(OR(INDEX($X$2:$X$1001,MATCH(ROWS($W$2:W115),$W$2:$W$1001,0),1)&gt;=100000,INDEX($AD$1005:$AU$1005,1,MATCH(COLUMNS($AD$1006:AO1006),$AD$1006:$AU$1006,0))&gt;=100000), " ",IF(INDEX($AD$2:$AU$1001,MATCH(ROWS($W$2:W115),$W$2:$W$1001,0),MATCH(COLUMNS($AD$1006:AO1006),$AD$1006:$AU$1006,0)), HYPERLINK("#",""), HYPERLINK(CONCATENATE("#metadata!", ADDRESS(INDEX($Y$2:$Y$1001,MATCH(ROWS($W$2:W115),$W$2:$W$1001,0),0), INDEX($AD$1004:$AU$1004,1,MATCH(COLUMNS($AD$1006:AO1006),$AD$1006:$AU$1006,0)))),"Fix")))</f>
        <v xml:space="preserve"> </v>
      </c>
      <c r="N115" s="4" t="str">
        <f ca="1">IF(OR(INDEX($X$2:$X$1001,MATCH(ROWS($W$2:W115),$W$2:$W$1001,0),1)&gt;=100000,INDEX($AD$1005:$AU$1005,1,MATCH(COLUMNS($AD$1006:AP1006),$AD$1006:$AU$1006,0))&gt;=100000), " ",IF(INDEX($AD$2:$AU$1001,MATCH(ROWS($W$2:W115),$W$2:$W$1001,0),MATCH(COLUMNS($AD$1006:AP1006),$AD$1006:$AU$1006,0)), HYPERLINK("#",""), HYPERLINK(CONCATENATE("#metadata!", ADDRESS(INDEX($Y$2:$Y$1001,MATCH(ROWS($W$2:W115),$W$2:$W$1001,0),0), INDEX($AD$1004:$AU$1004,1,MATCH(COLUMNS($AD$1006:AP1006),$AD$1006:$AU$1006,0)))),"Fix")))</f>
        <v xml:space="preserve"> </v>
      </c>
      <c r="O115" s="4" t="str">
        <f ca="1">IF(OR(INDEX($X$2:$X$1001,MATCH(ROWS($W$2:W115),$W$2:$W$1001,0),1)&gt;=100000,INDEX($AD$1005:$AU$1005,1,MATCH(COLUMNS($AD$1006:AQ1006),$AD$1006:$AU$1006,0))&gt;=100000), " ",IF(INDEX($AD$2:$AU$1001,MATCH(ROWS($W$2:W115),$W$2:$W$1001,0),MATCH(COLUMNS($AD$1006:AQ1006),$AD$1006:$AU$1006,0)), HYPERLINK("#",""), HYPERLINK(CONCATENATE("#metadata!", ADDRESS(INDEX($Y$2:$Y$1001,MATCH(ROWS($W$2:W115),$W$2:$W$1001,0),0), INDEX($AD$1004:$AU$1004,1,MATCH(COLUMNS($AD$1006:AQ1006),$AD$1006:$AU$1006,0)))),"Fix")))</f>
        <v xml:space="preserve"> </v>
      </c>
      <c r="P115" s="4" t="str">
        <f ca="1">IF(OR(INDEX($X$2:$X$1001,MATCH(ROWS($W$2:W115),$W$2:$W$1001,0),1)&gt;=100000,INDEX($AD$1005:$AU$1005,1,MATCH(COLUMNS($AD$1006:AR1006),$AD$1006:$AU$1006,0))&gt;=100000), " ",IF(INDEX($AD$2:$AU$1001,MATCH(ROWS($W$2:W115),$W$2:$W$1001,0),MATCH(COLUMNS($AD$1006:AR1006),$AD$1006:$AU$1006,0)), HYPERLINK("#",""), HYPERLINK(CONCATENATE("#metadata!", ADDRESS(INDEX($Y$2:$Y$1001,MATCH(ROWS($W$2:W115),$W$2:$W$1001,0),0), INDEX($AD$1004:$AU$1004,1,MATCH(COLUMNS($AD$1006:AR1006),$AD$1006:$AU$1006,0)))),"Fix")))</f>
        <v xml:space="preserve"> </v>
      </c>
      <c r="Q115" s="4" t="str">
        <f ca="1">IF(OR(INDEX($X$2:$X$1001,MATCH(ROWS($W$2:W115),$W$2:$W$1001,0),1)&gt;=100000,INDEX($AD$1005:$AU$1005,1,MATCH(COLUMNS($AD$1006:AS1006),$AD$1006:$AU$1006,0))&gt;=100000), " ",IF(INDEX($AD$2:$AU$1001,MATCH(ROWS($W$2:W115),$W$2:$W$1001,0),MATCH(COLUMNS($AD$1006:AS1006),$AD$1006:$AU$1006,0)), HYPERLINK("#",""), HYPERLINK(CONCATENATE("#metadata!", ADDRESS(INDEX($Y$2:$Y$1001,MATCH(ROWS($W$2:W115),$W$2:$W$1001,0),0), INDEX($AD$1004:$AU$1004,1,MATCH(COLUMNS($AD$1006:AS1006),$AD$1006:$AU$1006,0)))),"Fix")))</f>
        <v xml:space="preserve"> </v>
      </c>
      <c r="R115" s="4" t="str">
        <f ca="1">IF(OR(INDEX($X$2:$X$1001,MATCH(ROWS($W$2:W115),$W$2:$W$1001,0),1)&gt;=100000,INDEX($AD$1005:$AU$1005,1,MATCH(COLUMNS($AD$1006:AT1006),$AD$1006:$AU$1006,0))&gt;=100000), " ",IF(INDEX($AD$2:$AU$1001,MATCH(ROWS($W$2:W115),$W$2:$W$1001,0),MATCH(COLUMNS($AD$1006:AT1006),$AD$1006:$AU$1006,0)), HYPERLINK("#",""), HYPERLINK(CONCATENATE("#metadata!", ADDRESS(INDEX($Y$2:$Y$1001,MATCH(ROWS($W$2:W115),$W$2:$W$1001,0),0), INDEX($AD$1004:$AU$1004,1,MATCH(COLUMNS($AD$1006:AT1006),$AD$1006:$AU$1006,0)))),"Fix")))</f>
        <v xml:space="preserve"> </v>
      </c>
      <c r="S115" s="4" t="str">
        <f ca="1">IF(OR(INDEX($X$2:$X$1001,MATCH(ROWS($W$2:W115),$W$2:$W$1001,0),1)&gt;=100000,INDEX($AD$1005:$AU$1005,1,MATCH(COLUMNS($AD$1006:AU1006),$AD$1006:$AU$1006,0))&gt;=100000), " ",IF(INDEX($AD$2:$AU$1001,MATCH(ROWS($W$2:W115),$W$2:$W$1001,0),MATCH(COLUMNS($AD$1006:AU1006),$AD$1006:$AU$1006,0)), HYPERLINK("#",""), HYPERLINK(CONCATENATE("#metadata!", ADDRESS(INDEX($Y$2:$Y$1001,MATCH(ROWS($W$2:W115),$W$2:$W$1001,0),0), INDEX($AD$1004:$AU$1004,1,MATCH(COLUMNS($AD$1006:AU1006),$AD$1006:$AU$1006,0)))),"Fix")))</f>
        <v xml:space="preserve"> </v>
      </c>
      <c r="W115">
        <v>114</v>
      </c>
      <c r="X115">
        <v>100115</v>
      </c>
      <c r="Y115">
        <v>115</v>
      </c>
      <c r="Z115" t="b">
        <f t="shared" si="1"/>
        <v>1</v>
      </c>
      <c r="AA115" t="b">
        <f>COUNTBLANK(metadata!B115:S115)=COLUMNS(metadata!B115:S115)</f>
        <v>1</v>
      </c>
      <c r="AB115" t="str">
        <v/>
      </c>
      <c r="AD115" t="b">
        <f ca="1">AND(IF(metadata!B115="",FALSE,TRUE),COUNTIF(metadata!B:B, metadata!B115) = 1,NOT(ISERROR(SUMPRODUCT(SEARCH(MID(metadata!B115,ROW(INDIRECT("1:"&amp;LEN(metadata!B115))), 1),"0123456789abcdefghijklmnopqrstuvwxyzABCDEFGHIJKLMNOPQRSTUVWXYZ.")))))</f>
        <v>0</v>
      </c>
      <c r="AE115" t="b">
        <f>OR(AND(IF(metadata!C115="",FALSE,TRUE),OR(EXACT(metadata!C115,"not applicable"),EXACT(metadata!C115,"missing: not collected"),EXACT(metadata!C115,"missing: not provided"),EXACT(metadata!C115,"missing: restricted access"))),AND(IF(metadata!C115="",FALSE,ISNUMBER(VALUE(metadata!C115))),metadata!C115&gt;0))</f>
        <v>0</v>
      </c>
      <c r="AF115" t="b">
        <f>AND(IF(metadata!D115="",FALSE,TRUE),EXACT(metadata!D115,"missing: not provided"))</f>
        <v>0</v>
      </c>
      <c r="AG115" t="b">
        <f>AND(IF(metadata!E115="",FALSE,TRUE),EXACT(metadata!E115,"Host-associated"))</f>
        <v>0</v>
      </c>
      <c r="AH115" t="b">
        <f>AND(IF(metadata!F115="",FALSE,TRUE),OR(EXACT(metadata!F115,"Animal"),EXACT(metadata!F115,"Fungus"),EXACT(metadata!F115,"Plant")))</f>
        <v>0</v>
      </c>
      <c r="AI115" t="b">
        <f>AND(IF(metadata!G115="",FALSE,TRUE),OR(EXACT(metadata!G115,"Plant secretion"),EXACT(metadata!G115,"Plant rhizosphere"),EXACT(metadata!G115,"Plant surface"),EXACT(metadata!G115,"Plant corpus"),EXACT(metadata!G115,"Fungus surface"),EXACT(metadata!G115,"Fungus corpus"),EXACT(metadata!G115,"Animal surface"),EXACT(metadata!G115,"Animal proximal gut"),EXACT(metadata!G115,"Animal corpus"),EXACT(metadata!G115,"Animal distal gut"),EXACT(metadata!G115,"Animal secretion")))</f>
        <v>0</v>
      </c>
      <c r="AJ115" t="b">
        <f>OR(AND(IF(metadata!H115="",FALSE,TRUE),OR(EXACT(metadata!H115,"missing: not collected"),EXACT(metadata!H115,"missing: not provided"),EXACT(metadata!H115,"missing: restricted access"))),AND(IF(metadata!H115="",FALSE,TRUE),OR(EXACT(metadata!H115,"organism-associated habitat"),EXACT(metadata!H115,"plant-associated habitat"),EXACT(metadata!H115,"animal-associated habitat"),EXACT(metadata!H115,"insecta-associated habitat"),EXACT(metadata!H115,"mammalia-associated habitat"),EXACT(metadata!H115,"human-associated habitat"),EXACT(metadata!H115,"livestock-associated habitat"))))</f>
        <v>0</v>
      </c>
      <c r="AK115" t="b">
        <f>AND(IF(metadata!I115="",FALSE,TRUE),EXACT(metadata!I115,"host-associated"))</f>
        <v>0</v>
      </c>
      <c r="AL115" t="b">
        <f>OR(AND(IF(metadata!J115="",FALSE,TRUE),OR(EXACT(metadata!J115,"not applicable"),EXACT(metadata!J115,"missing: not collected"),EXACT(metadata!J115,"missing: not provided"),EXACT(metadata!J115,"missing: restricted access"))),AND(IF(metadata!J115="",FALSE,ISNUMBER(VALUE(metadata!J115))),metadata!J115&gt;0))</f>
        <v>0</v>
      </c>
      <c r="AM115" t="b">
        <f>AND(IF(metadata!K115="",FALSE,TRUE),EXACT(metadata!K115,"missing: not provided"))</f>
        <v>0</v>
      </c>
      <c r="AN115" t="b">
        <f>IF(metadata!L115="",FALSE,TRUE)</f>
        <v>0</v>
      </c>
      <c r="AO115" t="b">
        <f>IF(metadata!M115="",FALSE,TRUE)</f>
        <v>0</v>
      </c>
      <c r="AP115" t="b">
        <f>OR(AND(IF(metadata!N115="",FALSE,TRUE),OR(EXACT(metadata!N115,"not applicable"),EXACT(metadata!N115,"missing: not collected"),EXACT(metadata!N115,"missing: not provided"))),AND(IF(metadata!N115="",FALSE,IF(ISERROR(INT(metadata!N115)),FALSE,INT(metadata!N115)=metadata!N115)),metadata!N115&gt;0))</f>
        <v>0</v>
      </c>
      <c r="AQ115" t="b">
        <f>AND(IF(metadata!O115="",FALSE,TRUE),EXACT(metadata!O115,"Not applicable"))</f>
        <v>0</v>
      </c>
      <c r="AR115" t="b">
        <f>OR(AND(IF(metadata!P115="",FALSE,TRUE),OR(EXACT(metadata!P115,"not applicable"),EXACT(metadata!P115,"missing: not collected"),EXACT(metadata!P115,"missing: not provided"),EXACT(metadata!P115,"missing: restricted access"))),IF(metadata!P115="",FALSE,IF(ISERROR(INT(metadata!P115)),FALSE,INT(metadata!P115)=metadata!P115)))</f>
        <v>0</v>
      </c>
      <c r="AS115" t="b">
        <f>AND(IF(metadata!Q115="",FALSE,TRUE),EXACT(metadata!Q115,"Not applicable"))</f>
        <v>0</v>
      </c>
      <c r="AT115" t="b">
        <f>OR(AND(IF(metadata!R115="",FALSE,TRUE),OR(EXACT(metadata!R115,"not applicable"),EXACT(metadata!R115,"missing: not collected"),EXACT(metadata!R115,"missing: not provided"),EXACT(metadata!R115,"missing: restricted access"))),AND(IF(metadata!R115="",FALSE,ISNUMBER(VALUE(metadata!R115))),metadata!R115&gt;0))</f>
        <v>0</v>
      </c>
      <c r="AU115" t="b">
        <f>AND(IF(metadata!S115="",FALSE,TRUE),EXACT(metadata!S115,"missing: not provided"))</f>
        <v>0</v>
      </c>
    </row>
    <row r="116" spans="1:47" x14ac:dyDescent="0.2">
      <c r="A116" s="5" t="str">
        <f ca="1">IF(B116=" "," ",HYPERLINK(CONCATENATE("#metadata!",ADDRESS(INDEX($Y$2:$Y$1001,MATCH(ROWS($W$2:W116),$W$2:$W$1001,0),0),1)),INDEX($AB$2:$AB$1001,MATCH(ROWS($W$2:W116),$W$2:$W$1001,0),0)))</f>
        <v xml:space="preserve"> </v>
      </c>
      <c r="B116" s="4" t="str">
        <f ca="1">IF(OR(INDEX($X$2:$X$1001,MATCH(ROWS($W$2:W116),$W$2:$W$1001,0),1)&gt;=100000,INDEX($AD$1005:$AU$1005,1,MATCH(COLUMNS($AD$1006:AD1006),$AD$1006:$AU$1006,0))&gt;=100000), " ",IF(INDEX($AD$2:$AU$1001,MATCH(ROWS($W$2:W116),$W$2:$W$1001,0),MATCH(COLUMNS($AD$1006:AD1006),$AD$1006:$AU$1006,0)), HYPERLINK("#",""), HYPERLINK(CONCATENATE("#metadata!", ADDRESS(INDEX($Y$2:$Y$1001,MATCH(ROWS($W$2:W116),$W$2:$W$1001,0),0), INDEX($AD$1004:$AU$1004,1,MATCH(COLUMNS($AD$1006:AD1006),$AD$1006:$AU$1006,0)))),"Fix")))</f>
        <v xml:space="preserve"> </v>
      </c>
      <c r="C116" s="4" t="str">
        <f ca="1">IF(OR(INDEX($X$2:$X$1001,MATCH(ROWS($W$2:W116),$W$2:$W$1001,0),1)&gt;=100000,INDEX($AD$1005:$AU$1005,1,MATCH(COLUMNS($AD$1006:AE1006),$AD$1006:$AU$1006,0))&gt;=100000), " ",IF(INDEX($AD$2:$AU$1001,MATCH(ROWS($W$2:W116),$W$2:$W$1001,0),MATCH(COLUMNS($AD$1006:AE1006),$AD$1006:$AU$1006,0)), HYPERLINK("#",""), HYPERLINK(CONCATENATE("#metadata!", ADDRESS(INDEX($Y$2:$Y$1001,MATCH(ROWS($W$2:W116),$W$2:$W$1001,0),0), INDEX($AD$1004:$AU$1004,1,MATCH(COLUMNS($AD$1006:AE1006),$AD$1006:$AU$1006,0)))),"Fix")))</f>
        <v xml:space="preserve"> </v>
      </c>
      <c r="D116" s="4" t="str">
        <f ca="1">IF(OR(INDEX($X$2:$X$1001,MATCH(ROWS($W$2:W116),$W$2:$W$1001,0),1)&gt;=100000,INDEX($AD$1005:$AU$1005,1,MATCH(COLUMNS($AD$1006:AF1006),$AD$1006:$AU$1006,0))&gt;=100000), " ",IF(INDEX($AD$2:$AU$1001,MATCH(ROWS($W$2:W116),$W$2:$W$1001,0),MATCH(COLUMNS($AD$1006:AF1006),$AD$1006:$AU$1006,0)), HYPERLINK("#",""), HYPERLINK(CONCATENATE("#metadata!", ADDRESS(INDEX($Y$2:$Y$1001,MATCH(ROWS($W$2:W116),$W$2:$W$1001,0),0), INDEX($AD$1004:$AU$1004,1,MATCH(COLUMNS($AD$1006:AF1006),$AD$1006:$AU$1006,0)))),"Fix")))</f>
        <v xml:space="preserve"> </v>
      </c>
      <c r="E116" s="4" t="str">
        <f ca="1">IF(OR(INDEX($X$2:$X$1001,MATCH(ROWS($W$2:W116),$W$2:$W$1001,0),1)&gt;=100000,INDEX($AD$1005:$AU$1005,1,MATCH(COLUMNS($AD$1006:AG1006),$AD$1006:$AU$1006,0))&gt;=100000), " ",IF(INDEX($AD$2:$AU$1001,MATCH(ROWS($W$2:W116),$W$2:$W$1001,0),MATCH(COLUMNS($AD$1006:AG1006),$AD$1006:$AU$1006,0)), HYPERLINK("#",""), HYPERLINK(CONCATENATE("#metadata!", ADDRESS(INDEX($Y$2:$Y$1001,MATCH(ROWS($W$2:W116),$W$2:$W$1001,0),0), INDEX($AD$1004:$AU$1004,1,MATCH(COLUMNS($AD$1006:AG1006),$AD$1006:$AU$1006,0)))),"Fix")))</f>
        <v xml:space="preserve"> </v>
      </c>
      <c r="F116" s="4" t="str">
        <f ca="1">IF(OR(INDEX($X$2:$X$1001,MATCH(ROWS($W$2:W116),$W$2:$W$1001,0),1)&gt;=100000,INDEX($AD$1005:$AU$1005,1,MATCH(COLUMNS($AD$1006:AH1006),$AD$1006:$AU$1006,0))&gt;=100000), " ",IF(INDEX($AD$2:$AU$1001,MATCH(ROWS($W$2:W116),$W$2:$W$1001,0),MATCH(COLUMNS($AD$1006:AH1006),$AD$1006:$AU$1006,0)), HYPERLINK("#",""), HYPERLINK(CONCATENATE("#metadata!", ADDRESS(INDEX($Y$2:$Y$1001,MATCH(ROWS($W$2:W116),$W$2:$W$1001,0),0), INDEX($AD$1004:$AU$1004,1,MATCH(COLUMNS($AD$1006:AH1006),$AD$1006:$AU$1006,0)))),"Fix")))</f>
        <v xml:space="preserve"> </v>
      </c>
      <c r="G116" s="4" t="str">
        <f ca="1">IF(OR(INDEX($X$2:$X$1001,MATCH(ROWS($W$2:W116),$W$2:$W$1001,0),1)&gt;=100000,INDEX($AD$1005:$AU$1005,1,MATCH(COLUMNS($AD$1006:AI1006),$AD$1006:$AU$1006,0))&gt;=100000), " ",IF(INDEX($AD$2:$AU$1001,MATCH(ROWS($W$2:W116),$W$2:$W$1001,0),MATCH(COLUMNS($AD$1006:AI1006),$AD$1006:$AU$1006,0)), HYPERLINK("#",""), HYPERLINK(CONCATENATE("#metadata!", ADDRESS(INDEX($Y$2:$Y$1001,MATCH(ROWS($W$2:W116),$W$2:$W$1001,0),0), INDEX($AD$1004:$AU$1004,1,MATCH(COLUMNS($AD$1006:AI1006),$AD$1006:$AU$1006,0)))),"Fix")))</f>
        <v xml:space="preserve"> </v>
      </c>
      <c r="H116" s="4" t="str">
        <f ca="1">IF(OR(INDEX($X$2:$X$1001,MATCH(ROWS($W$2:W116),$W$2:$W$1001,0),1)&gt;=100000,INDEX($AD$1005:$AU$1005,1,MATCH(COLUMNS($AD$1006:AJ1006),$AD$1006:$AU$1006,0))&gt;=100000), " ",IF(INDEX($AD$2:$AU$1001,MATCH(ROWS($W$2:W116),$W$2:$W$1001,0),MATCH(COLUMNS($AD$1006:AJ1006),$AD$1006:$AU$1006,0)), HYPERLINK("#",""), HYPERLINK(CONCATENATE("#metadata!", ADDRESS(INDEX($Y$2:$Y$1001,MATCH(ROWS($W$2:W116),$W$2:$W$1001,0),0), INDEX($AD$1004:$AU$1004,1,MATCH(COLUMNS($AD$1006:AJ1006),$AD$1006:$AU$1006,0)))),"Fix")))</f>
        <v xml:space="preserve"> </v>
      </c>
      <c r="I116" s="4" t="str">
        <f ca="1">IF(OR(INDEX($X$2:$X$1001,MATCH(ROWS($W$2:W116),$W$2:$W$1001,0),1)&gt;=100000,INDEX($AD$1005:$AU$1005,1,MATCH(COLUMNS($AD$1006:AK1006),$AD$1006:$AU$1006,0))&gt;=100000), " ",IF(INDEX($AD$2:$AU$1001,MATCH(ROWS($W$2:W116),$W$2:$W$1001,0),MATCH(COLUMNS($AD$1006:AK1006),$AD$1006:$AU$1006,0)), HYPERLINK("#",""), HYPERLINK(CONCATENATE("#metadata!", ADDRESS(INDEX($Y$2:$Y$1001,MATCH(ROWS($W$2:W116),$W$2:$W$1001,0),0), INDEX($AD$1004:$AU$1004,1,MATCH(COLUMNS($AD$1006:AK1006),$AD$1006:$AU$1006,0)))),"Fix")))</f>
        <v xml:space="preserve"> </v>
      </c>
      <c r="J116" s="4" t="str">
        <f ca="1">IF(OR(INDEX($X$2:$X$1001,MATCH(ROWS($W$2:W116),$W$2:$W$1001,0),1)&gt;=100000,INDEX($AD$1005:$AU$1005,1,MATCH(COLUMNS($AD$1006:AL1006),$AD$1006:$AU$1006,0))&gt;=100000), " ",IF(INDEX($AD$2:$AU$1001,MATCH(ROWS($W$2:W116),$W$2:$W$1001,0),MATCH(COLUMNS($AD$1006:AL1006),$AD$1006:$AU$1006,0)), HYPERLINK("#",""), HYPERLINK(CONCATENATE("#metadata!", ADDRESS(INDEX($Y$2:$Y$1001,MATCH(ROWS($W$2:W116),$W$2:$W$1001,0),0), INDEX($AD$1004:$AU$1004,1,MATCH(COLUMNS($AD$1006:AL1006),$AD$1006:$AU$1006,0)))),"Fix")))</f>
        <v xml:space="preserve"> </v>
      </c>
      <c r="K116" s="4" t="str">
        <f ca="1">IF(OR(INDEX($X$2:$X$1001,MATCH(ROWS($W$2:W116),$W$2:$W$1001,0),1)&gt;=100000,INDEX($AD$1005:$AU$1005,1,MATCH(COLUMNS($AD$1006:AM1006),$AD$1006:$AU$1006,0))&gt;=100000), " ",IF(INDEX($AD$2:$AU$1001,MATCH(ROWS($W$2:W116),$W$2:$W$1001,0),MATCH(COLUMNS($AD$1006:AM1006),$AD$1006:$AU$1006,0)), HYPERLINK("#",""), HYPERLINK(CONCATENATE("#metadata!", ADDRESS(INDEX($Y$2:$Y$1001,MATCH(ROWS($W$2:W116),$W$2:$W$1001,0),0), INDEX($AD$1004:$AU$1004,1,MATCH(COLUMNS($AD$1006:AM1006),$AD$1006:$AU$1006,0)))),"Fix")))</f>
        <v xml:space="preserve"> </v>
      </c>
      <c r="L116" s="4" t="str">
        <f ca="1">IF(OR(INDEX($X$2:$X$1001,MATCH(ROWS($W$2:W116),$W$2:$W$1001,0),1)&gt;=100000,INDEX($AD$1005:$AU$1005,1,MATCH(COLUMNS($AD$1006:AN1006),$AD$1006:$AU$1006,0))&gt;=100000), " ",IF(INDEX($AD$2:$AU$1001,MATCH(ROWS($W$2:W116),$W$2:$W$1001,0),MATCH(COLUMNS($AD$1006:AN1006),$AD$1006:$AU$1006,0)), HYPERLINK("#",""), HYPERLINK(CONCATENATE("#metadata!", ADDRESS(INDEX($Y$2:$Y$1001,MATCH(ROWS($W$2:W116),$W$2:$W$1001,0),0), INDEX($AD$1004:$AU$1004,1,MATCH(COLUMNS($AD$1006:AN1006),$AD$1006:$AU$1006,0)))),"Fix")))</f>
        <v xml:space="preserve"> </v>
      </c>
      <c r="M116" s="4" t="str">
        <f ca="1">IF(OR(INDEX($X$2:$X$1001,MATCH(ROWS($W$2:W116),$W$2:$W$1001,0),1)&gt;=100000,INDEX($AD$1005:$AU$1005,1,MATCH(COLUMNS($AD$1006:AO1006),$AD$1006:$AU$1006,0))&gt;=100000), " ",IF(INDEX($AD$2:$AU$1001,MATCH(ROWS($W$2:W116),$W$2:$W$1001,0),MATCH(COLUMNS($AD$1006:AO1006),$AD$1006:$AU$1006,0)), HYPERLINK("#",""), HYPERLINK(CONCATENATE("#metadata!", ADDRESS(INDEX($Y$2:$Y$1001,MATCH(ROWS($W$2:W116),$W$2:$W$1001,0),0), INDEX($AD$1004:$AU$1004,1,MATCH(COLUMNS($AD$1006:AO1006),$AD$1006:$AU$1006,0)))),"Fix")))</f>
        <v xml:space="preserve"> </v>
      </c>
      <c r="N116" s="4" t="str">
        <f ca="1">IF(OR(INDEX($X$2:$X$1001,MATCH(ROWS($W$2:W116),$W$2:$W$1001,0),1)&gt;=100000,INDEX($AD$1005:$AU$1005,1,MATCH(COLUMNS($AD$1006:AP1006),$AD$1006:$AU$1006,0))&gt;=100000), " ",IF(INDEX($AD$2:$AU$1001,MATCH(ROWS($W$2:W116),$W$2:$W$1001,0),MATCH(COLUMNS($AD$1006:AP1006),$AD$1006:$AU$1006,0)), HYPERLINK("#",""), HYPERLINK(CONCATENATE("#metadata!", ADDRESS(INDEX($Y$2:$Y$1001,MATCH(ROWS($W$2:W116),$W$2:$W$1001,0),0), INDEX($AD$1004:$AU$1004,1,MATCH(COLUMNS($AD$1006:AP1006),$AD$1006:$AU$1006,0)))),"Fix")))</f>
        <v xml:space="preserve"> </v>
      </c>
      <c r="O116" s="4" t="str">
        <f ca="1">IF(OR(INDEX($X$2:$X$1001,MATCH(ROWS($W$2:W116),$W$2:$W$1001,0),1)&gt;=100000,INDEX($AD$1005:$AU$1005,1,MATCH(COLUMNS($AD$1006:AQ1006),$AD$1006:$AU$1006,0))&gt;=100000), " ",IF(INDEX($AD$2:$AU$1001,MATCH(ROWS($W$2:W116),$W$2:$W$1001,0),MATCH(COLUMNS($AD$1006:AQ1006),$AD$1006:$AU$1006,0)), HYPERLINK("#",""), HYPERLINK(CONCATENATE("#metadata!", ADDRESS(INDEX($Y$2:$Y$1001,MATCH(ROWS($W$2:W116),$W$2:$W$1001,0),0), INDEX($AD$1004:$AU$1004,1,MATCH(COLUMNS($AD$1006:AQ1006),$AD$1006:$AU$1006,0)))),"Fix")))</f>
        <v xml:space="preserve"> </v>
      </c>
      <c r="P116" s="4" t="str">
        <f ca="1">IF(OR(INDEX($X$2:$X$1001,MATCH(ROWS($W$2:W116),$W$2:$W$1001,0),1)&gt;=100000,INDEX($AD$1005:$AU$1005,1,MATCH(COLUMNS($AD$1006:AR1006),$AD$1006:$AU$1006,0))&gt;=100000), " ",IF(INDEX($AD$2:$AU$1001,MATCH(ROWS($W$2:W116),$W$2:$W$1001,0),MATCH(COLUMNS($AD$1006:AR1006),$AD$1006:$AU$1006,0)), HYPERLINK("#",""), HYPERLINK(CONCATENATE("#metadata!", ADDRESS(INDEX($Y$2:$Y$1001,MATCH(ROWS($W$2:W116),$W$2:$W$1001,0),0), INDEX($AD$1004:$AU$1004,1,MATCH(COLUMNS($AD$1006:AR1006),$AD$1006:$AU$1006,0)))),"Fix")))</f>
        <v xml:space="preserve"> </v>
      </c>
      <c r="Q116" s="4" t="str">
        <f ca="1">IF(OR(INDEX($X$2:$X$1001,MATCH(ROWS($W$2:W116),$W$2:$W$1001,0),1)&gt;=100000,INDEX($AD$1005:$AU$1005,1,MATCH(COLUMNS($AD$1006:AS1006),$AD$1006:$AU$1006,0))&gt;=100000), " ",IF(INDEX($AD$2:$AU$1001,MATCH(ROWS($W$2:W116),$W$2:$W$1001,0),MATCH(COLUMNS($AD$1006:AS1006),$AD$1006:$AU$1006,0)), HYPERLINK("#",""), HYPERLINK(CONCATENATE("#metadata!", ADDRESS(INDEX($Y$2:$Y$1001,MATCH(ROWS($W$2:W116),$W$2:$W$1001,0),0), INDEX($AD$1004:$AU$1004,1,MATCH(COLUMNS($AD$1006:AS1006),$AD$1006:$AU$1006,0)))),"Fix")))</f>
        <v xml:space="preserve"> </v>
      </c>
      <c r="R116" s="4" t="str">
        <f ca="1">IF(OR(INDEX($X$2:$X$1001,MATCH(ROWS($W$2:W116),$W$2:$W$1001,0),1)&gt;=100000,INDEX($AD$1005:$AU$1005,1,MATCH(COLUMNS($AD$1006:AT1006),$AD$1006:$AU$1006,0))&gt;=100000), " ",IF(INDEX($AD$2:$AU$1001,MATCH(ROWS($W$2:W116),$W$2:$W$1001,0),MATCH(COLUMNS($AD$1006:AT1006),$AD$1006:$AU$1006,0)), HYPERLINK("#",""), HYPERLINK(CONCATENATE("#metadata!", ADDRESS(INDEX($Y$2:$Y$1001,MATCH(ROWS($W$2:W116),$W$2:$W$1001,0),0), INDEX($AD$1004:$AU$1004,1,MATCH(COLUMNS($AD$1006:AT1006),$AD$1006:$AU$1006,0)))),"Fix")))</f>
        <v xml:space="preserve"> </v>
      </c>
      <c r="S116" s="4" t="str">
        <f ca="1">IF(OR(INDEX($X$2:$X$1001,MATCH(ROWS($W$2:W116),$W$2:$W$1001,0),1)&gt;=100000,INDEX($AD$1005:$AU$1005,1,MATCH(COLUMNS($AD$1006:AU1006),$AD$1006:$AU$1006,0))&gt;=100000), " ",IF(INDEX($AD$2:$AU$1001,MATCH(ROWS($W$2:W116),$W$2:$W$1001,0),MATCH(COLUMNS($AD$1006:AU1006),$AD$1006:$AU$1006,0)), HYPERLINK("#",""), HYPERLINK(CONCATENATE("#metadata!", ADDRESS(INDEX($Y$2:$Y$1001,MATCH(ROWS($W$2:W116),$W$2:$W$1001,0),0), INDEX($AD$1004:$AU$1004,1,MATCH(COLUMNS($AD$1006:AU1006),$AD$1006:$AU$1006,0)))),"Fix")))</f>
        <v xml:space="preserve"> </v>
      </c>
      <c r="W116">
        <v>115</v>
      </c>
      <c r="X116">
        <v>100116</v>
      </c>
      <c r="Y116">
        <v>116</v>
      </c>
      <c r="Z116" t="b">
        <f t="shared" si="1"/>
        <v>1</v>
      </c>
      <c r="AA116" t="b">
        <f>COUNTBLANK(metadata!B116:S116)=COLUMNS(metadata!B116:S116)</f>
        <v>1</v>
      </c>
      <c r="AB116" t="str">
        <v/>
      </c>
      <c r="AD116" t="b">
        <f ca="1">AND(IF(metadata!B116="",FALSE,TRUE),COUNTIF(metadata!B:B, metadata!B116) = 1,NOT(ISERROR(SUMPRODUCT(SEARCH(MID(metadata!B116,ROW(INDIRECT("1:"&amp;LEN(metadata!B116))), 1),"0123456789abcdefghijklmnopqrstuvwxyzABCDEFGHIJKLMNOPQRSTUVWXYZ.")))))</f>
        <v>0</v>
      </c>
      <c r="AE116" t="b">
        <f>OR(AND(IF(metadata!C116="",FALSE,TRUE),OR(EXACT(metadata!C116,"not applicable"),EXACT(metadata!C116,"missing: not collected"),EXACT(metadata!C116,"missing: not provided"),EXACT(metadata!C116,"missing: restricted access"))),AND(IF(metadata!C116="",FALSE,ISNUMBER(VALUE(metadata!C116))),metadata!C116&gt;0))</f>
        <v>0</v>
      </c>
      <c r="AF116" t="b">
        <f>AND(IF(metadata!D116="",FALSE,TRUE),EXACT(metadata!D116,"missing: not provided"))</f>
        <v>0</v>
      </c>
      <c r="AG116" t="b">
        <f>AND(IF(metadata!E116="",FALSE,TRUE),EXACT(metadata!E116,"Host-associated"))</f>
        <v>0</v>
      </c>
      <c r="AH116" t="b">
        <f>AND(IF(metadata!F116="",FALSE,TRUE),OR(EXACT(metadata!F116,"Animal"),EXACT(metadata!F116,"Fungus"),EXACT(metadata!F116,"Plant")))</f>
        <v>0</v>
      </c>
      <c r="AI116" t="b">
        <f>AND(IF(metadata!G116="",FALSE,TRUE),OR(EXACT(metadata!G116,"Plant secretion"),EXACT(metadata!G116,"Plant rhizosphere"),EXACT(metadata!G116,"Plant surface"),EXACT(metadata!G116,"Plant corpus"),EXACT(metadata!G116,"Fungus surface"),EXACT(metadata!G116,"Fungus corpus"),EXACT(metadata!G116,"Animal surface"),EXACT(metadata!G116,"Animal proximal gut"),EXACT(metadata!G116,"Animal corpus"),EXACT(metadata!G116,"Animal distal gut"),EXACT(metadata!G116,"Animal secretion")))</f>
        <v>0</v>
      </c>
      <c r="AJ116" t="b">
        <f>OR(AND(IF(metadata!H116="",FALSE,TRUE),OR(EXACT(metadata!H116,"missing: not collected"),EXACT(metadata!H116,"missing: not provided"),EXACT(metadata!H116,"missing: restricted access"))),AND(IF(metadata!H116="",FALSE,TRUE),OR(EXACT(metadata!H116,"organism-associated habitat"),EXACT(metadata!H116,"plant-associated habitat"),EXACT(metadata!H116,"animal-associated habitat"),EXACT(metadata!H116,"insecta-associated habitat"),EXACT(metadata!H116,"mammalia-associated habitat"),EXACT(metadata!H116,"human-associated habitat"),EXACT(metadata!H116,"livestock-associated habitat"))))</f>
        <v>0</v>
      </c>
      <c r="AK116" t="b">
        <f>AND(IF(metadata!I116="",FALSE,TRUE),EXACT(metadata!I116,"host-associated"))</f>
        <v>0</v>
      </c>
      <c r="AL116" t="b">
        <f>OR(AND(IF(metadata!J116="",FALSE,TRUE),OR(EXACT(metadata!J116,"not applicable"),EXACT(metadata!J116,"missing: not collected"),EXACT(metadata!J116,"missing: not provided"),EXACT(metadata!J116,"missing: restricted access"))),AND(IF(metadata!J116="",FALSE,ISNUMBER(VALUE(metadata!J116))),metadata!J116&gt;0))</f>
        <v>0</v>
      </c>
      <c r="AM116" t="b">
        <f>AND(IF(metadata!K116="",FALSE,TRUE),EXACT(metadata!K116,"missing: not provided"))</f>
        <v>0</v>
      </c>
      <c r="AN116" t="b">
        <f>IF(metadata!L116="",FALSE,TRUE)</f>
        <v>0</v>
      </c>
      <c r="AO116" t="b">
        <f>IF(metadata!M116="",FALSE,TRUE)</f>
        <v>0</v>
      </c>
      <c r="AP116" t="b">
        <f>OR(AND(IF(metadata!N116="",FALSE,TRUE),OR(EXACT(metadata!N116,"not applicable"),EXACT(metadata!N116,"missing: not collected"),EXACT(metadata!N116,"missing: not provided"))),AND(IF(metadata!N116="",FALSE,IF(ISERROR(INT(metadata!N116)),FALSE,INT(metadata!N116)=metadata!N116)),metadata!N116&gt;0))</f>
        <v>0</v>
      </c>
      <c r="AQ116" t="b">
        <f>AND(IF(metadata!O116="",FALSE,TRUE),EXACT(metadata!O116,"Not applicable"))</f>
        <v>0</v>
      </c>
      <c r="AR116" t="b">
        <f>OR(AND(IF(metadata!P116="",FALSE,TRUE),OR(EXACT(metadata!P116,"not applicable"),EXACT(metadata!P116,"missing: not collected"),EXACT(metadata!P116,"missing: not provided"),EXACT(metadata!P116,"missing: restricted access"))),IF(metadata!P116="",FALSE,IF(ISERROR(INT(metadata!P116)),FALSE,INT(metadata!P116)=metadata!P116)))</f>
        <v>0</v>
      </c>
      <c r="AS116" t="b">
        <f>AND(IF(metadata!Q116="",FALSE,TRUE),EXACT(metadata!Q116,"Not applicable"))</f>
        <v>0</v>
      </c>
      <c r="AT116" t="b">
        <f>OR(AND(IF(metadata!R116="",FALSE,TRUE),OR(EXACT(metadata!R116,"not applicable"),EXACT(metadata!R116,"missing: not collected"),EXACT(metadata!R116,"missing: not provided"),EXACT(metadata!R116,"missing: restricted access"))),AND(IF(metadata!R116="",FALSE,ISNUMBER(VALUE(metadata!R116))),metadata!R116&gt;0))</f>
        <v>0</v>
      </c>
      <c r="AU116" t="b">
        <f>AND(IF(metadata!S116="",FALSE,TRUE),EXACT(metadata!S116,"missing: not provided"))</f>
        <v>0</v>
      </c>
    </row>
    <row r="117" spans="1:47" x14ac:dyDescent="0.2">
      <c r="A117" s="5" t="str">
        <f ca="1">IF(B117=" "," ",HYPERLINK(CONCATENATE("#metadata!",ADDRESS(INDEX($Y$2:$Y$1001,MATCH(ROWS($W$2:W117),$W$2:$W$1001,0),0),1)),INDEX($AB$2:$AB$1001,MATCH(ROWS($W$2:W117),$W$2:$W$1001,0),0)))</f>
        <v xml:space="preserve"> </v>
      </c>
      <c r="B117" s="4" t="str">
        <f ca="1">IF(OR(INDEX($X$2:$X$1001,MATCH(ROWS($W$2:W117),$W$2:$W$1001,0),1)&gt;=100000,INDEX($AD$1005:$AU$1005,1,MATCH(COLUMNS($AD$1006:AD1006),$AD$1006:$AU$1006,0))&gt;=100000), " ",IF(INDEX($AD$2:$AU$1001,MATCH(ROWS($W$2:W117),$W$2:$W$1001,0),MATCH(COLUMNS($AD$1006:AD1006),$AD$1006:$AU$1006,0)), HYPERLINK("#",""), HYPERLINK(CONCATENATE("#metadata!", ADDRESS(INDEX($Y$2:$Y$1001,MATCH(ROWS($W$2:W117),$W$2:$W$1001,0),0), INDEX($AD$1004:$AU$1004,1,MATCH(COLUMNS($AD$1006:AD1006),$AD$1006:$AU$1006,0)))),"Fix")))</f>
        <v xml:space="preserve"> </v>
      </c>
      <c r="C117" s="4" t="str">
        <f ca="1">IF(OR(INDEX($X$2:$X$1001,MATCH(ROWS($W$2:W117),$W$2:$W$1001,0),1)&gt;=100000,INDEX($AD$1005:$AU$1005,1,MATCH(COLUMNS($AD$1006:AE1006),$AD$1006:$AU$1006,0))&gt;=100000), " ",IF(INDEX($AD$2:$AU$1001,MATCH(ROWS($W$2:W117),$W$2:$W$1001,0),MATCH(COLUMNS($AD$1006:AE1006),$AD$1006:$AU$1006,0)), HYPERLINK("#",""), HYPERLINK(CONCATENATE("#metadata!", ADDRESS(INDEX($Y$2:$Y$1001,MATCH(ROWS($W$2:W117),$W$2:$W$1001,0),0), INDEX($AD$1004:$AU$1004,1,MATCH(COLUMNS($AD$1006:AE1006),$AD$1006:$AU$1006,0)))),"Fix")))</f>
        <v xml:space="preserve"> </v>
      </c>
      <c r="D117" s="4" t="str">
        <f ca="1">IF(OR(INDEX($X$2:$X$1001,MATCH(ROWS($W$2:W117),$W$2:$W$1001,0),1)&gt;=100000,INDEX($AD$1005:$AU$1005,1,MATCH(COLUMNS($AD$1006:AF1006),$AD$1006:$AU$1006,0))&gt;=100000), " ",IF(INDEX($AD$2:$AU$1001,MATCH(ROWS($W$2:W117),$W$2:$W$1001,0),MATCH(COLUMNS($AD$1006:AF1006),$AD$1006:$AU$1006,0)), HYPERLINK("#",""), HYPERLINK(CONCATENATE("#metadata!", ADDRESS(INDEX($Y$2:$Y$1001,MATCH(ROWS($W$2:W117),$W$2:$W$1001,0),0), INDEX($AD$1004:$AU$1004,1,MATCH(COLUMNS($AD$1006:AF1006),$AD$1006:$AU$1006,0)))),"Fix")))</f>
        <v xml:space="preserve"> </v>
      </c>
      <c r="E117" s="4" t="str">
        <f ca="1">IF(OR(INDEX($X$2:$X$1001,MATCH(ROWS($W$2:W117),$W$2:$W$1001,0),1)&gt;=100000,INDEX($AD$1005:$AU$1005,1,MATCH(COLUMNS($AD$1006:AG1006),$AD$1006:$AU$1006,0))&gt;=100000), " ",IF(INDEX($AD$2:$AU$1001,MATCH(ROWS($W$2:W117),$W$2:$W$1001,0),MATCH(COLUMNS($AD$1006:AG1006),$AD$1006:$AU$1006,0)), HYPERLINK("#",""), HYPERLINK(CONCATENATE("#metadata!", ADDRESS(INDEX($Y$2:$Y$1001,MATCH(ROWS($W$2:W117),$W$2:$W$1001,0),0), INDEX($AD$1004:$AU$1004,1,MATCH(COLUMNS($AD$1006:AG1006),$AD$1006:$AU$1006,0)))),"Fix")))</f>
        <v xml:space="preserve"> </v>
      </c>
      <c r="F117" s="4" t="str">
        <f ca="1">IF(OR(INDEX($X$2:$X$1001,MATCH(ROWS($W$2:W117),$W$2:$W$1001,0),1)&gt;=100000,INDEX($AD$1005:$AU$1005,1,MATCH(COLUMNS($AD$1006:AH1006),$AD$1006:$AU$1006,0))&gt;=100000), " ",IF(INDEX($AD$2:$AU$1001,MATCH(ROWS($W$2:W117),$W$2:$W$1001,0),MATCH(COLUMNS($AD$1006:AH1006),$AD$1006:$AU$1006,0)), HYPERLINK("#",""), HYPERLINK(CONCATENATE("#metadata!", ADDRESS(INDEX($Y$2:$Y$1001,MATCH(ROWS($W$2:W117),$W$2:$W$1001,0),0), INDEX($AD$1004:$AU$1004,1,MATCH(COLUMNS($AD$1006:AH1006),$AD$1006:$AU$1006,0)))),"Fix")))</f>
        <v xml:space="preserve"> </v>
      </c>
      <c r="G117" s="4" t="str">
        <f ca="1">IF(OR(INDEX($X$2:$X$1001,MATCH(ROWS($W$2:W117),$W$2:$W$1001,0),1)&gt;=100000,INDEX($AD$1005:$AU$1005,1,MATCH(COLUMNS($AD$1006:AI1006),$AD$1006:$AU$1006,0))&gt;=100000), " ",IF(INDEX($AD$2:$AU$1001,MATCH(ROWS($W$2:W117),$W$2:$W$1001,0),MATCH(COLUMNS($AD$1006:AI1006),$AD$1006:$AU$1006,0)), HYPERLINK("#",""), HYPERLINK(CONCATENATE("#metadata!", ADDRESS(INDEX($Y$2:$Y$1001,MATCH(ROWS($W$2:W117),$W$2:$W$1001,0),0), INDEX($AD$1004:$AU$1004,1,MATCH(COLUMNS($AD$1006:AI1006),$AD$1006:$AU$1006,0)))),"Fix")))</f>
        <v xml:space="preserve"> </v>
      </c>
      <c r="H117" s="4" t="str">
        <f ca="1">IF(OR(INDEX($X$2:$X$1001,MATCH(ROWS($W$2:W117),$W$2:$W$1001,0),1)&gt;=100000,INDEX($AD$1005:$AU$1005,1,MATCH(COLUMNS($AD$1006:AJ1006),$AD$1006:$AU$1006,0))&gt;=100000), " ",IF(INDEX($AD$2:$AU$1001,MATCH(ROWS($W$2:W117),$W$2:$W$1001,0),MATCH(COLUMNS($AD$1006:AJ1006),$AD$1006:$AU$1006,0)), HYPERLINK("#",""), HYPERLINK(CONCATENATE("#metadata!", ADDRESS(INDEX($Y$2:$Y$1001,MATCH(ROWS($W$2:W117),$W$2:$W$1001,0),0), INDEX($AD$1004:$AU$1004,1,MATCH(COLUMNS($AD$1006:AJ1006),$AD$1006:$AU$1006,0)))),"Fix")))</f>
        <v xml:space="preserve"> </v>
      </c>
      <c r="I117" s="4" t="str">
        <f ca="1">IF(OR(INDEX($X$2:$X$1001,MATCH(ROWS($W$2:W117),$W$2:$W$1001,0),1)&gt;=100000,INDEX($AD$1005:$AU$1005,1,MATCH(COLUMNS($AD$1006:AK1006),$AD$1006:$AU$1006,0))&gt;=100000), " ",IF(INDEX($AD$2:$AU$1001,MATCH(ROWS($W$2:W117),$W$2:$W$1001,0),MATCH(COLUMNS($AD$1006:AK1006),$AD$1006:$AU$1006,0)), HYPERLINK("#",""), HYPERLINK(CONCATENATE("#metadata!", ADDRESS(INDEX($Y$2:$Y$1001,MATCH(ROWS($W$2:W117),$W$2:$W$1001,0),0), INDEX($AD$1004:$AU$1004,1,MATCH(COLUMNS($AD$1006:AK1006),$AD$1006:$AU$1006,0)))),"Fix")))</f>
        <v xml:space="preserve"> </v>
      </c>
      <c r="J117" s="4" t="str">
        <f ca="1">IF(OR(INDEX($X$2:$X$1001,MATCH(ROWS($W$2:W117),$W$2:$W$1001,0),1)&gt;=100000,INDEX($AD$1005:$AU$1005,1,MATCH(COLUMNS($AD$1006:AL1006),$AD$1006:$AU$1006,0))&gt;=100000), " ",IF(INDEX($AD$2:$AU$1001,MATCH(ROWS($W$2:W117),$W$2:$W$1001,0),MATCH(COLUMNS($AD$1006:AL1006),$AD$1006:$AU$1006,0)), HYPERLINK("#",""), HYPERLINK(CONCATENATE("#metadata!", ADDRESS(INDEX($Y$2:$Y$1001,MATCH(ROWS($W$2:W117),$W$2:$W$1001,0),0), INDEX($AD$1004:$AU$1004,1,MATCH(COLUMNS($AD$1006:AL1006),$AD$1006:$AU$1006,0)))),"Fix")))</f>
        <v xml:space="preserve"> </v>
      </c>
      <c r="K117" s="4" t="str">
        <f ca="1">IF(OR(INDEX($X$2:$X$1001,MATCH(ROWS($W$2:W117),$W$2:$W$1001,0),1)&gt;=100000,INDEX($AD$1005:$AU$1005,1,MATCH(COLUMNS($AD$1006:AM1006),$AD$1006:$AU$1006,0))&gt;=100000), " ",IF(INDEX($AD$2:$AU$1001,MATCH(ROWS($W$2:W117),$W$2:$W$1001,0),MATCH(COLUMNS($AD$1006:AM1006),$AD$1006:$AU$1006,0)), HYPERLINK("#",""), HYPERLINK(CONCATENATE("#metadata!", ADDRESS(INDEX($Y$2:$Y$1001,MATCH(ROWS($W$2:W117),$W$2:$W$1001,0),0), INDEX($AD$1004:$AU$1004,1,MATCH(COLUMNS($AD$1006:AM1006),$AD$1006:$AU$1006,0)))),"Fix")))</f>
        <v xml:space="preserve"> </v>
      </c>
      <c r="L117" s="4" t="str">
        <f ca="1">IF(OR(INDEX($X$2:$X$1001,MATCH(ROWS($W$2:W117),$W$2:$W$1001,0),1)&gt;=100000,INDEX($AD$1005:$AU$1005,1,MATCH(COLUMNS($AD$1006:AN1006),$AD$1006:$AU$1006,0))&gt;=100000), " ",IF(INDEX($AD$2:$AU$1001,MATCH(ROWS($W$2:W117),$W$2:$W$1001,0),MATCH(COLUMNS($AD$1006:AN1006),$AD$1006:$AU$1006,0)), HYPERLINK("#",""), HYPERLINK(CONCATENATE("#metadata!", ADDRESS(INDEX($Y$2:$Y$1001,MATCH(ROWS($W$2:W117),$W$2:$W$1001,0),0), INDEX($AD$1004:$AU$1004,1,MATCH(COLUMNS($AD$1006:AN1006),$AD$1006:$AU$1006,0)))),"Fix")))</f>
        <v xml:space="preserve"> </v>
      </c>
      <c r="M117" s="4" t="str">
        <f ca="1">IF(OR(INDEX($X$2:$X$1001,MATCH(ROWS($W$2:W117),$W$2:$W$1001,0),1)&gt;=100000,INDEX($AD$1005:$AU$1005,1,MATCH(COLUMNS($AD$1006:AO1006),$AD$1006:$AU$1006,0))&gt;=100000), " ",IF(INDEX($AD$2:$AU$1001,MATCH(ROWS($W$2:W117),$W$2:$W$1001,0),MATCH(COLUMNS($AD$1006:AO1006),$AD$1006:$AU$1006,0)), HYPERLINK("#",""), HYPERLINK(CONCATENATE("#metadata!", ADDRESS(INDEX($Y$2:$Y$1001,MATCH(ROWS($W$2:W117),$W$2:$W$1001,0),0), INDEX($AD$1004:$AU$1004,1,MATCH(COLUMNS($AD$1006:AO1006),$AD$1006:$AU$1006,0)))),"Fix")))</f>
        <v xml:space="preserve"> </v>
      </c>
      <c r="N117" s="4" t="str">
        <f ca="1">IF(OR(INDEX($X$2:$X$1001,MATCH(ROWS($W$2:W117),$W$2:$W$1001,0),1)&gt;=100000,INDEX($AD$1005:$AU$1005,1,MATCH(COLUMNS($AD$1006:AP1006),$AD$1006:$AU$1006,0))&gt;=100000), " ",IF(INDEX($AD$2:$AU$1001,MATCH(ROWS($W$2:W117),$W$2:$W$1001,0),MATCH(COLUMNS($AD$1006:AP1006),$AD$1006:$AU$1006,0)), HYPERLINK("#",""), HYPERLINK(CONCATENATE("#metadata!", ADDRESS(INDEX($Y$2:$Y$1001,MATCH(ROWS($W$2:W117),$W$2:$W$1001,0),0), INDEX($AD$1004:$AU$1004,1,MATCH(COLUMNS($AD$1006:AP1006),$AD$1006:$AU$1006,0)))),"Fix")))</f>
        <v xml:space="preserve"> </v>
      </c>
      <c r="O117" s="4" t="str">
        <f ca="1">IF(OR(INDEX($X$2:$X$1001,MATCH(ROWS($W$2:W117),$W$2:$W$1001,0),1)&gt;=100000,INDEX($AD$1005:$AU$1005,1,MATCH(COLUMNS($AD$1006:AQ1006),$AD$1006:$AU$1006,0))&gt;=100000), " ",IF(INDEX($AD$2:$AU$1001,MATCH(ROWS($W$2:W117),$W$2:$W$1001,0),MATCH(COLUMNS($AD$1006:AQ1006),$AD$1006:$AU$1006,0)), HYPERLINK("#",""), HYPERLINK(CONCATENATE("#metadata!", ADDRESS(INDEX($Y$2:$Y$1001,MATCH(ROWS($W$2:W117),$W$2:$W$1001,0),0), INDEX($AD$1004:$AU$1004,1,MATCH(COLUMNS($AD$1006:AQ1006),$AD$1006:$AU$1006,0)))),"Fix")))</f>
        <v xml:space="preserve"> </v>
      </c>
      <c r="P117" s="4" t="str">
        <f ca="1">IF(OR(INDEX($X$2:$X$1001,MATCH(ROWS($W$2:W117),$W$2:$W$1001,0),1)&gt;=100000,INDEX($AD$1005:$AU$1005,1,MATCH(COLUMNS($AD$1006:AR1006),$AD$1006:$AU$1006,0))&gt;=100000), " ",IF(INDEX($AD$2:$AU$1001,MATCH(ROWS($W$2:W117),$W$2:$W$1001,0),MATCH(COLUMNS($AD$1006:AR1006),$AD$1006:$AU$1006,0)), HYPERLINK("#",""), HYPERLINK(CONCATENATE("#metadata!", ADDRESS(INDEX($Y$2:$Y$1001,MATCH(ROWS($W$2:W117),$W$2:$W$1001,0),0), INDEX($AD$1004:$AU$1004,1,MATCH(COLUMNS($AD$1006:AR1006),$AD$1006:$AU$1006,0)))),"Fix")))</f>
        <v xml:space="preserve"> </v>
      </c>
      <c r="Q117" s="4" t="str">
        <f ca="1">IF(OR(INDEX($X$2:$X$1001,MATCH(ROWS($W$2:W117),$W$2:$W$1001,0),1)&gt;=100000,INDEX($AD$1005:$AU$1005,1,MATCH(COLUMNS($AD$1006:AS1006),$AD$1006:$AU$1006,0))&gt;=100000), " ",IF(INDEX($AD$2:$AU$1001,MATCH(ROWS($W$2:W117),$W$2:$W$1001,0),MATCH(COLUMNS($AD$1006:AS1006),$AD$1006:$AU$1006,0)), HYPERLINK("#",""), HYPERLINK(CONCATENATE("#metadata!", ADDRESS(INDEX($Y$2:$Y$1001,MATCH(ROWS($W$2:W117),$W$2:$W$1001,0),0), INDEX($AD$1004:$AU$1004,1,MATCH(COLUMNS($AD$1006:AS1006),$AD$1006:$AU$1006,0)))),"Fix")))</f>
        <v xml:space="preserve"> </v>
      </c>
      <c r="R117" s="4" t="str">
        <f ca="1">IF(OR(INDEX($X$2:$X$1001,MATCH(ROWS($W$2:W117),$W$2:$W$1001,0),1)&gt;=100000,INDEX($AD$1005:$AU$1005,1,MATCH(COLUMNS($AD$1006:AT1006),$AD$1006:$AU$1006,0))&gt;=100000), " ",IF(INDEX($AD$2:$AU$1001,MATCH(ROWS($W$2:W117),$W$2:$W$1001,0),MATCH(COLUMNS($AD$1006:AT1006),$AD$1006:$AU$1006,0)), HYPERLINK("#",""), HYPERLINK(CONCATENATE("#metadata!", ADDRESS(INDEX($Y$2:$Y$1001,MATCH(ROWS($W$2:W117),$W$2:$W$1001,0),0), INDEX($AD$1004:$AU$1004,1,MATCH(COLUMNS($AD$1006:AT1006),$AD$1006:$AU$1006,0)))),"Fix")))</f>
        <v xml:space="preserve"> </v>
      </c>
      <c r="S117" s="4" t="str">
        <f ca="1">IF(OR(INDEX($X$2:$X$1001,MATCH(ROWS($W$2:W117),$W$2:$W$1001,0),1)&gt;=100000,INDEX($AD$1005:$AU$1005,1,MATCH(COLUMNS($AD$1006:AU1006),$AD$1006:$AU$1006,0))&gt;=100000), " ",IF(INDEX($AD$2:$AU$1001,MATCH(ROWS($W$2:W117),$W$2:$W$1001,0),MATCH(COLUMNS($AD$1006:AU1006),$AD$1006:$AU$1006,0)), HYPERLINK("#",""), HYPERLINK(CONCATENATE("#metadata!", ADDRESS(INDEX($Y$2:$Y$1001,MATCH(ROWS($W$2:W117),$W$2:$W$1001,0),0), INDEX($AD$1004:$AU$1004,1,MATCH(COLUMNS($AD$1006:AU1006),$AD$1006:$AU$1006,0)))),"Fix")))</f>
        <v xml:space="preserve"> </v>
      </c>
      <c r="W117">
        <v>116</v>
      </c>
      <c r="X117">
        <v>100117</v>
      </c>
      <c r="Y117">
        <v>117</v>
      </c>
      <c r="Z117" t="b">
        <f t="shared" si="1"/>
        <v>1</v>
      </c>
      <c r="AA117" t="b">
        <f>COUNTBLANK(metadata!B117:S117)=COLUMNS(metadata!B117:S117)</f>
        <v>1</v>
      </c>
      <c r="AB117" t="str">
        <v/>
      </c>
      <c r="AD117" t="b">
        <f ca="1">AND(IF(metadata!B117="",FALSE,TRUE),COUNTIF(metadata!B:B, metadata!B117) = 1,NOT(ISERROR(SUMPRODUCT(SEARCH(MID(metadata!B117,ROW(INDIRECT("1:"&amp;LEN(metadata!B117))), 1),"0123456789abcdefghijklmnopqrstuvwxyzABCDEFGHIJKLMNOPQRSTUVWXYZ.")))))</f>
        <v>0</v>
      </c>
      <c r="AE117" t="b">
        <f>OR(AND(IF(metadata!C117="",FALSE,TRUE),OR(EXACT(metadata!C117,"not applicable"),EXACT(metadata!C117,"missing: not collected"),EXACT(metadata!C117,"missing: not provided"),EXACT(metadata!C117,"missing: restricted access"))),AND(IF(metadata!C117="",FALSE,ISNUMBER(VALUE(metadata!C117))),metadata!C117&gt;0))</f>
        <v>0</v>
      </c>
      <c r="AF117" t="b">
        <f>AND(IF(metadata!D117="",FALSE,TRUE),EXACT(metadata!D117,"missing: not provided"))</f>
        <v>0</v>
      </c>
      <c r="AG117" t="b">
        <f>AND(IF(metadata!E117="",FALSE,TRUE),EXACT(metadata!E117,"Host-associated"))</f>
        <v>0</v>
      </c>
      <c r="AH117" t="b">
        <f>AND(IF(metadata!F117="",FALSE,TRUE),OR(EXACT(metadata!F117,"Animal"),EXACT(metadata!F117,"Fungus"),EXACT(metadata!F117,"Plant")))</f>
        <v>0</v>
      </c>
      <c r="AI117" t="b">
        <f>AND(IF(metadata!G117="",FALSE,TRUE),OR(EXACT(metadata!G117,"Plant secretion"),EXACT(metadata!G117,"Plant rhizosphere"),EXACT(metadata!G117,"Plant surface"),EXACT(metadata!G117,"Plant corpus"),EXACT(metadata!G117,"Fungus surface"),EXACT(metadata!G117,"Fungus corpus"),EXACT(metadata!G117,"Animal surface"),EXACT(metadata!G117,"Animal proximal gut"),EXACT(metadata!G117,"Animal corpus"),EXACT(metadata!G117,"Animal distal gut"),EXACT(metadata!G117,"Animal secretion")))</f>
        <v>0</v>
      </c>
      <c r="AJ117" t="b">
        <f>OR(AND(IF(metadata!H117="",FALSE,TRUE),OR(EXACT(metadata!H117,"missing: not collected"),EXACT(metadata!H117,"missing: not provided"),EXACT(metadata!H117,"missing: restricted access"))),AND(IF(metadata!H117="",FALSE,TRUE),OR(EXACT(metadata!H117,"organism-associated habitat"),EXACT(metadata!H117,"plant-associated habitat"),EXACT(metadata!H117,"animal-associated habitat"),EXACT(metadata!H117,"insecta-associated habitat"),EXACT(metadata!H117,"mammalia-associated habitat"),EXACT(metadata!H117,"human-associated habitat"),EXACT(metadata!H117,"livestock-associated habitat"))))</f>
        <v>0</v>
      </c>
      <c r="AK117" t="b">
        <f>AND(IF(metadata!I117="",FALSE,TRUE),EXACT(metadata!I117,"host-associated"))</f>
        <v>0</v>
      </c>
      <c r="AL117" t="b">
        <f>OR(AND(IF(metadata!J117="",FALSE,TRUE),OR(EXACT(metadata!J117,"not applicable"),EXACT(metadata!J117,"missing: not collected"),EXACT(metadata!J117,"missing: not provided"),EXACT(metadata!J117,"missing: restricted access"))),AND(IF(metadata!J117="",FALSE,ISNUMBER(VALUE(metadata!J117))),metadata!J117&gt;0))</f>
        <v>0</v>
      </c>
      <c r="AM117" t="b">
        <f>AND(IF(metadata!K117="",FALSE,TRUE),EXACT(metadata!K117,"missing: not provided"))</f>
        <v>0</v>
      </c>
      <c r="AN117" t="b">
        <f>IF(metadata!L117="",FALSE,TRUE)</f>
        <v>0</v>
      </c>
      <c r="AO117" t="b">
        <f>IF(metadata!M117="",FALSE,TRUE)</f>
        <v>0</v>
      </c>
      <c r="AP117" t="b">
        <f>OR(AND(IF(metadata!N117="",FALSE,TRUE),OR(EXACT(metadata!N117,"not applicable"),EXACT(metadata!N117,"missing: not collected"),EXACT(metadata!N117,"missing: not provided"))),AND(IF(metadata!N117="",FALSE,IF(ISERROR(INT(metadata!N117)),FALSE,INT(metadata!N117)=metadata!N117)),metadata!N117&gt;0))</f>
        <v>0</v>
      </c>
      <c r="AQ117" t="b">
        <f>AND(IF(metadata!O117="",FALSE,TRUE),EXACT(metadata!O117,"Not applicable"))</f>
        <v>0</v>
      </c>
      <c r="AR117" t="b">
        <f>OR(AND(IF(metadata!P117="",FALSE,TRUE),OR(EXACT(metadata!P117,"not applicable"),EXACT(metadata!P117,"missing: not collected"),EXACT(metadata!P117,"missing: not provided"),EXACT(metadata!P117,"missing: restricted access"))),IF(metadata!P117="",FALSE,IF(ISERROR(INT(metadata!P117)),FALSE,INT(metadata!P117)=metadata!P117)))</f>
        <v>0</v>
      </c>
      <c r="AS117" t="b">
        <f>AND(IF(metadata!Q117="",FALSE,TRUE),EXACT(metadata!Q117,"Not applicable"))</f>
        <v>0</v>
      </c>
      <c r="AT117" t="b">
        <f>OR(AND(IF(metadata!R117="",FALSE,TRUE),OR(EXACT(metadata!R117,"not applicable"),EXACT(metadata!R117,"missing: not collected"),EXACT(metadata!R117,"missing: not provided"),EXACT(metadata!R117,"missing: restricted access"))),AND(IF(metadata!R117="",FALSE,ISNUMBER(VALUE(metadata!R117))),metadata!R117&gt;0))</f>
        <v>0</v>
      </c>
      <c r="AU117" t="b">
        <f>AND(IF(metadata!S117="",FALSE,TRUE),EXACT(metadata!S117,"missing: not provided"))</f>
        <v>0</v>
      </c>
    </row>
    <row r="118" spans="1:47" x14ac:dyDescent="0.2">
      <c r="A118" s="5" t="str">
        <f ca="1">IF(B118=" "," ",HYPERLINK(CONCATENATE("#metadata!",ADDRESS(INDEX($Y$2:$Y$1001,MATCH(ROWS($W$2:W118),$W$2:$W$1001,0),0),1)),INDEX($AB$2:$AB$1001,MATCH(ROWS($W$2:W118),$W$2:$W$1001,0),0)))</f>
        <v xml:space="preserve"> </v>
      </c>
      <c r="B118" s="4" t="str">
        <f ca="1">IF(OR(INDEX($X$2:$X$1001,MATCH(ROWS($W$2:W118),$W$2:$W$1001,0),1)&gt;=100000,INDEX($AD$1005:$AU$1005,1,MATCH(COLUMNS($AD$1006:AD1006),$AD$1006:$AU$1006,0))&gt;=100000), " ",IF(INDEX($AD$2:$AU$1001,MATCH(ROWS($W$2:W118),$W$2:$W$1001,0),MATCH(COLUMNS($AD$1006:AD1006),$AD$1006:$AU$1006,0)), HYPERLINK("#",""), HYPERLINK(CONCATENATE("#metadata!", ADDRESS(INDEX($Y$2:$Y$1001,MATCH(ROWS($W$2:W118),$W$2:$W$1001,0),0), INDEX($AD$1004:$AU$1004,1,MATCH(COLUMNS($AD$1006:AD1006),$AD$1006:$AU$1006,0)))),"Fix")))</f>
        <v xml:space="preserve"> </v>
      </c>
      <c r="C118" s="4" t="str">
        <f ca="1">IF(OR(INDEX($X$2:$X$1001,MATCH(ROWS($W$2:W118),$W$2:$W$1001,0),1)&gt;=100000,INDEX($AD$1005:$AU$1005,1,MATCH(COLUMNS($AD$1006:AE1006),$AD$1006:$AU$1006,0))&gt;=100000), " ",IF(INDEX($AD$2:$AU$1001,MATCH(ROWS($W$2:W118),$W$2:$W$1001,0),MATCH(COLUMNS($AD$1006:AE1006),$AD$1006:$AU$1006,0)), HYPERLINK("#",""), HYPERLINK(CONCATENATE("#metadata!", ADDRESS(INDEX($Y$2:$Y$1001,MATCH(ROWS($W$2:W118),$W$2:$W$1001,0),0), INDEX($AD$1004:$AU$1004,1,MATCH(COLUMNS($AD$1006:AE1006),$AD$1006:$AU$1006,0)))),"Fix")))</f>
        <v xml:space="preserve"> </v>
      </c>
      <c r="D118" s="4" t="str">
        <f ca="1">IF(OR(INDEX($X$2:$X$1001,MATCH(ROWS($W$2:W118),$W$2:$W$1001,0),1)&gt;=100000,INDEX($AD$1005:$AU$1005,1,MATCH(COLUMNS($AD$1006:AF1006),$AD$1006:$AU$1006,0))&gt;=100000), " ",IF(INDEX($AD$2:$AU$1001,MATCH(ROWS($W$2:W118),$W$2:$W$1001,0),MATCH(COLUMNS($AD$1006:AF1006),$AD$1006:$AU$1006,0)), HYPERLINK("#",""), HYPERLINK(CONCATENATE("#metadata!", ADDRESS(INDEX($Y$2:$Y$1001,MATCH(ROWS($W$2:W118),$W$2:$W$1001,0),0), INDEX($AD$1004:$AU$1004,1,MATCH(COLUMNS($AD$1006:AF1006),$AD$1006:$AU$1006,0)))),"Fix")))</f>
        <v xml:space="preserve"> </v>
      </c>
      <c r="E118" s="4" t="str">
        <f ca="1">IF(OR(INDEX($X$2:$X$1001,MATCH(ROWS($W$2:W118),$W$2:$W$1001,0),1)&gt;=100000,INDEX($AD$1005:$AU$1005,1,MATCH(COLUMNS($AD$1006:AG1006),$AD$1006:$AU$1006,0))&gt;=100000), " ",IF(INDEX($AD$2:$AU$1001,MATCH(ROWS($W$2:W118),$W$2:$W$1001,0),MATCH(COLUMNS($AD$1006:AG1006),$AD$1006:$AU$1006,0)), HYPERLINK("#",""), HYPERLINK(CONCATENATE("#metadata!", ADDRESS(INDEX($Y$2:$Y$1001,MATCH(ROWS($W$2:W118),$W$2:$W$1001,0),0), INDEX($AD$1004:$AU$1004,1,MATCH(COLUMNS($AD$1006:AG1006),$AD$1006:$AU$1006,0)))),"Fix")))</f>
        <v xml:space="preserve"> </v>
      </c>
      <c r="F118" s="4" t="str">
        <f ca="1">IF(OR(INDEX($X$2:$X$1001,MATCH(ROWS($W$2:W118),$W$2:$W$1001,0),1)&gt;=100000,INDEX($AD$1005:$AU$1005,1,MATCH(COLUMNS($AD$1006:AH1006),$AD$1006:$AU$1006,0))&gt;=100000), " ",IF(INDEX($AD$2:$AU$1001,MATCH(ROWS($W$2:W118),$W$2:$W$1001,0),MATCH(COLUMNS($AD$1006:AH1006),$AD$1006:$AU$1006,0)), HYPERLINK("#",""), HYPERLINK(CONCATENATE("#metadata!", ADDRESS(INDEX($Y$2:$Y$1001,MATCH(ROWS($W$2:W118),$W$2:$W$1001,0),0), INDEX($AD$1004:$AU$1004,1,MATCH(COLUMNS($AD$1006:AH1006),$AD$1006:$AU$1006,0)))),"Fix")))</f>
        <v xml:space="preserve"> </v>
      </c>
      <c r="G118" s="4" t="str">
        <f ca="1">IF(OR(INDEX($X$2:$X$1001,MATCH(ROWS($W$2:W118),$W$2:$W$1001,0),1)&gt;=100000,INDEX($AD$1005:$AU$1005,1,MATCH(COLUMNS($AD$1006:AI1006),$AD$1006:$AU$1006,0))&gt;=100000), " ",IF(INDEX($AD$2:$AU$1001,MATCH(ROWS($W$2:W118),$W$2:$W$1001,0),MATCH(COLUMNS($AD$1006:AI1006),$AD$1006:$AU$1006,0)), HYPERLINK("#",""), HYPERLINK(CONCATENATE("#metadata!", ADDRESS(INDEX($Y$2:$Y$1001,MATCH(ROWS($W$2:W118),$W$2:$W$1001,0),0), INDEX($AD$1004:$AU$1004,1,MATCH(COLUMNS($AD$1006:AI1006),$AD$1006:$AU$1006,0)))),"Fix")))</f>
        <v xml:space="preserve"> </v>
      </c>
      <c r="H118" s="4" t="str">
        <f ca="1">IF(OR(INDEX($X$2:$X$1001,MATCH(ROWS($W$2:W118),$W$2:$W$1001,0),1)&gt;=100000,INDEX($AD$1005:$AU$1005,1,MATCH(COLUMNS($AD$1006:AJ1006),$AD$1006:$AU$1006,0))&gt;=100000), " ",IF(INDEX($AD$2:$AU$1001,MATCH(ROWS($W$2:W118),$W$2:$W$1001,0),MATCH(COLUMNS($AD$1006:AJ1006),$AD$1006:$AU$1006,0)), HYPERLINK("#",""), HYPERLINK(CONCATENATE("#metadata!", ADDRESS(INDEX($Y$2:$Y$1001,MATCH(ROWS($W$2:W118),$W$2:$W$1001,0),0), INDEX($AD$1004:$AU$1004,1,MATCH(COLUMNS($AD$1006:AJ1006),$AD$1006:$AU$1006,0)))),"Fix")))</f>
        <v xml:space="preserve"> </v>
      </c>
      <c r="I118" s="4" t="str">
        <f ca="1">IF(OR(INDEX($X$2:$X$1001,MATCH(ROWS($W$2:W118),$W$2:$W$1001,0),1)&gt;=100000,INDEX($AD$1005:$AU$1005,1,MATCH(COLUMNS($AD$1006:AK1006),$AD$1006:$AU$1006,0))&gt;=100000), " ",IF(INDEX($AD$2:$AU$1001,MATCH(ROWS($W$2:W118),$W$2:$W$1001,0),MATCH(COLUMNS($AD$1006:AK1006),$AD$1006:$AU$1006,0)), HYPERLINK("#",""), HYPERLINK(CONCATENATE("#metadata!", ADDRESS(INDEX($Y$2:$Y$1001,MATCH(ROWS($W$2:W118),$W$2:$W$1001,0),0), INDEX($AD$1004:$AU$1004,1,MATCH(COLUMNS($AD$1006:AK1006),$AD$1006:$AU$1006,0)))),"Fix")))</f>
        <v xml:space="preserve"> </v>
      </c>
      <c r="J118" s="4" t="str">
        <f ca="1">IF(OR(INDEX($X$2:$X$1001,MATCH(ROWS($W$2:W118),$W$2:$W$1001,0),1)&gt;=100000,INDEX($AD$1005:$AU$1005,1,MATCH(COLUMNS($AD$1006:AL1006),$AD$1006:$AU$1006,0))&gt;=100000), " ",IF(INDEX($AD$2:$AU$1001,MATCH(ROWS($W$2:W118),$W$2:$W$1001,0),MATCH(COLUMNS($AD$1006:AL1006),$AD$1006:$AU$1006,0)), HYPERLINK("#",""), HYPERLINK(CONCATENATE("#metadata!", ADDRESS(INDEX($Y$2:$Y$1001,MATCH(ROWS($W$2:W118),$W$2:$W$1001,0),0), INDEX($AD$1004:$AU$1004,1,MATCH(COLUMNS($AD$1006:AL1006),$AD$1006:$AU$1006,0)))),"Fix")))</f>
        <v xml:space="preserve"> </v>
      </c>
      <c r="K118" s="4" t="str">
        <f ca="1">IF(OR(INDEX($X$2:$X$1001,MATCH(ROWS($W$2:W118),$W$2:$W$1001,0),1)&gt;=100000,INDEX($AD$1005:$AU$1005,1,MATCH(COLUMNS($AD$1006:AM1006),$AD$1006:$AU$1006,0))&gt;=100000), " ",IF(INDEX($AD$2:$AU$1001,MATCH(ROWS($W$2:W118),$W$2:$W$1001,0),MATCH(COLUMNS($AD$1006:AM1006),$AD$1006:$AU$1006,0)), HYPERLINK("#",""), HYPERLINK(CONCATENATE("#metadata!", ADDRESS(INDEX($Y$2:$Y$1001,MATCH(ROWS($W$2:W118),$W$2:$W$1001,0),0), INDEX($AD$1004:$AU$1004,1,MATCH(COLUMNS($AD$1006:AM1006),$AD$1006:$AU$1006,0)))),"Fix")))</f>
        <v xml:space="preserve"> </v>
      </c>
      <c r="L118" s="4" t="str">
        <f ca="1">IF(OR(INDEX($X$2:$X$1001,MATCH(ROWS($W$2:W118),$W$2:$W$1001,0),1)&gt;=100000,INDEX($AD$1005:$AU$1005,1,MATCH(COLUMNS($AD$1006:AN1006),$AD$1006:$AU$1006,0))&gt;=100000), " ",IF(INDEX($AD$2:$AU$1001,MATCH(ROWS($W$2:W118),$W$2:$W$1001,0),MATCH(COLUMNS($AD$1006:AN1006),$AD$1006:$AU$1006,0)), HYPERLINK("#",""), HYPERLINK(CONCATENATE("#metadata!", ADDRESS(INDEX($Y$2:$Y$1001,MATCH(ROWS($W$2:W118),$W$2:$W$1001,0),0), INDEX($AD$1004:$AU$1004,1,MATCH(COLUMNS($AD$1006:AN1006),$AD$1006:$AU$1006,0)))),"Fix")))</f>
        <v xml:space="preserve"> </v>
      </c>
      <c r="M118" s="4" t="str">
        <f ca="1">IF(OR(INDEX($X$2:$X$1001,MATCH(ROWS($W$2:W118),$W$2:$W$1001,0),1)&gt;=100000,INDEX($AD$1005:$AU$1005,1,MATCH(COLUMNS($AD$1006:AO1006),$AD$1006:$AU$1006,0))&gt;=100000), " ",IF(INDEX($AD$2:$AU$1001,MATCH(ROWS($W$2:W118),$W$2:$W$1001,0),MATCH(COLUMNS($AD$1006:AO1006),$AD$1006:$AU$1006,0)), HYPERLINK("#",""), HYPERLINK(CONCATENATE("#metadata!", ADDRESS(INDEX($Y$2:$Y$1001,MATCH(ROWS($W$2:W118),$W$2:$W$1001,0),0), INDEX($AD$1004:$AU$1004,1,MATCH(COLUMNS($AD$1006:AO1006),$AD$1006:$AU$1006,0)))),"Fix")))</f>
        <v xml:space="preserve"> </v>
      </c>
      <c r="N118" s="4" t="str">
        <f ca="1">IF(OR(INDEX($X$2:$X$1001,MATCH(ROWS($W$2:W118),$W$2:$W$1001,0),1)&gt;=100000,INDEX($AD$1005:$AU$1005,1,MATCH(COLUMNS($AD$1006:AP1006),$AD$1006:$AU$1006,0))&gt;=100000), " ",IF(INDEX($AD$2:$AU$1001,MATCH(ROWS($W$2:W118),$W$2:$W$1001,0),MATCH(COLUMNS($AD$1006:AP1006),$AD$1006:$AU$1006,0)), HYPERLINK("#",""), HYPERLINK(CONCATENATE("#metadata!", ADDRESS(INDEX($Y$2:$Y$1001,MATCH(ROWS($W$2:W118),$W$2:$W$1001,0),0), INDEX($AD$1004:$AU$1004,1,MATCH(COLUMNS($AD$1006:AP1006),$AD$1006:$AU$1006,0)))),"Fix")))</f>
        <v xml:space="preserve"> </v>
      </c>
      <c r="O118" s="4" t="str">
        <f ca="1">IF(OR(INDEX($X$2:$X$1001,MATCH(ROWS($W$2:W118),$W$2:$W$1001,0),1)&gt;=100000,INDEX($AD$1005:$AU$1005,1,MATCH(COLUMNS($AD$1006:AQ1006),$AD$1006:$AU$1006,0))&gt;=100000), " ",IF(INDEX($AD$2:$AU$1001,MATCH(ROWS($W$2:W118),$W$2:$W$1001,0),MATCH(COLUMNS($AD$1006:AQ1006),$AD$1006:$AU$1006,0)), HYPERLINK("#",""), HYPERLINK(CONCATENATE("#metadata!", ADDRESS(INDEX($Y$2:$Y$1001,MATCH(ROWS($W$2:W118),$W$2:$W$1001,0),0), INDEX($AD$1004:$AU$1004,1,MATCH(COLUMNS($AD$1006:AQ1006),$AD$1006:$AU$1006,0)))),"Fix")))</f>
        <v xml:space="preserve"> </v>
      </c>
      <c r="P118" s="4" t="str">
        <f ca="1">IF(OR(INDEX($X$2:$X$1001,MATCH(ROWS($W$2:W118),$W$2:$W$1001,0),1)&gt;=100000,INDEX($AD$1005:$AU$1005,1,MATCH(COLUMNS($AD$1006:AR1006),$AD$1006:$AU$1006,0))&gt;=100000), " ",IF(INDEX($AD$2:$AU$1001,MATCH(ROWS($W$2:W118),$W$2:$W$1001,0),MATCH(COLUMNS($AD$1006:AR1006),$AD$1006:$AU$1006,0)), HYPERLINK("#",""), HYPERLINK(CONCATENATE("#metadata!", ADDRESS(INDEX($Y$2:$Y$1001,MATCH(ROWS($W$2:W118),$W$2:$W$1001,0),0), INDEX($AD$1004:$AU$1004,1,MATCH(COLUMNS($AD$1006:AR1006),$AD$1006:$AU$1006,0)))),"Fix")))</f>
        <v xml:space="preserve"> </v>
      </c>
      <c r="Q118" s="4" t="str">
        <f ca="1">IF(OR(INDEX($X$2:$X$1001,MATCH(ROWS($W$2:W118),$W$2:$W$1001,0),1)&gt;=100000,INDEX($AD$1005:$AU$1005,1,MATCH(COLUMNS($AD$1006:AS1006),$AD$1006:$AU$1006,0))&gt;=100000), " ",IF(INDEX($AD$2:$AU$1001,MATCH(ROWS($W$2:W118),$W$2:$W$1001,0),MATCH(COLUMNS($AD$1006:AS1006),$AD$1006:$AU$1006,0)), HYPERLINK("#",""), HYPERLINK(CONCATENATE("#metadata!", ADDRESS(INDEX($Y$2:$Y$1001,MATCH(ROWS($W$2:W118),$W$2:$W$1001,0),0), INDEX($AD$1004:$AU$1004,1,MATCH(COLUMNS($AD$1006:AS1006),$AD$1006:$AU$1006,0)))),"Fix")))</f>
        <v xml:space="preserve"> </v>
      </c>
      <c r="R118" s="4" t="str">
        <f ca="1">IF(OR(INDEX($X$2:$X$1001,MATCH(ROWS($W$2:W118),$W$2:$W$1001,0),1)&gt;=100000,INDEX($AD$1005:$AU$1005,1,MATCH(COLUMNS($AD$1006:AT1006),$AD$1006:$AU$1006,0))&gt;=100000), " ",IF(INDEX($AD$2:$AU$1001,MATCH(ROWS($W$2:W118),$W$2:$W$1001,0),MATCH(COLUMNS($AD$1006:AT1006),$AD$1006:$AU$1006,0)), HYPERLINK("#",""), HYPERLINK(CONCATENATE("#metadata!", ADDRESS(INDEX($Y$2:$Y$1001,MATCH(ROWS($W$2:W118),$W$2:$W$1001,0),0), INDEX($AD$1004:$AU$1004,1,MATCH(COLUMNS($AD$1006:AT1006),$AD$1006:$AU$1006,0)))),"Fix")))</f>
        <v xml:space="preserve"> </v>
      </c>
      <c r="S118" s="4" t="str">
        <f ca="1">IF(OR(INDEX($X$2:$X$1001,MATCH(ROWS($W$2:W118),$W$2:$W$1001,0),1)&gt;=100000,INDEX($AD$1005:$AU$1005,1,MATCH(COLUMNS($AD$1006:AU1006),$AD$1006:$AU$1006,0))&gt;=100000), " ",IF(INDEX($AD$2:$AU$1001,MATCH(ROWS($W$2:W118),$W$2:$W$1001,0),MATCH(COLUMNS($AD$1006:AU1006),$AD$1006:$AU$1006,0)), HYPERLINK("#",""), HYPERLINK(CONCATENATE("#metadata!", ADDRESS(INDEX($Y$2:$Y$1001,MATCH(ROWS($W$2:W118),$W$2:$W$1001,0),0), INDEX($AD$1004:$AU$1004,1,MATCH(COLUMNS($AD$1006:AU1006),$AD$1006:$AU$1006,0)))),"Fix")))</f>
        <v xml:space="preserve"> </v>
      </c>
      <c r="W118">
        <v>117</v>
      </c>
      <c r="X118">
        <v>100118</v>
      </c>
      <c r="Y118">
        <v>118</v>
      </c>
      <c r="Z118" t="b">
        <f t="shared" si="1"/>
        <v>1</v>
      </c>
      <c r="AA118" t="b">
        <f>COUNTBLANK(metadata!B118:S118)=COLUMNS(metadata!B118:S118)</f>
        <v>1</v>
      </c>
      <c r="AB118" t="str">
        <v/>
      </c>
      <c r="AD118" t="b">
        <f ca="1">AND(IF(metadata!B118="",FALSE,TRUE),COUNTIF(metadata!B:B, metadata!B118) = 1,NOT(ISERROR(SUMPRODUCT(SEARCH(MID(metadata!B118,ROW(INDIRECT("1:"&amp;LEN(metadata!B118))), 1),"0123456789abcdefghijklmnopqrstuvwxyzABCDEFGHIJKLMNOPQRSTUVWXYZ.")))))</f>
        <v>0</v>
      </c>
      <c r="AE118" t="b">
        <f>OR(AND(IF(metadata!C118="",FALSE,TRUE),OR(EXACT(metadata!C118,"not applicable"),EXACT(metadata!C118,"missing: not collected"),EXACT(metadata!C118,"missing: not provided"),EXACT(metadata!C118,"missing: restricted access"))),AND(IF(metadata!C118="",FALSE,ISNUMBER(VALUE(metadata!C118))),metadata!C118&gt;0))</f>
        <v>0</v>
      </c>
      <c r="AF118" t="b">
        <f>AND(IF(metadata!D118="",FALSE,TRUE),EXACT(metadata!D118,"missing: not provided"))</f>
        <v>0</v>
      </c>
      <c r="AG118" t="b">
        <f>AND(IF(metadata!E118="",FALSE,TRUE),EXACT(metadata!E118,"Host-associated"))</f>
        <v>0</v>
      </c>
      <c r="AH118" t="b">
        <f>AND(IF(metadata!F118="",FALSE,TRUE),OR(EXACT(metadata!F118,"Animal"),EXACT(metadata!F118,"Fungus"),EXACT(metadata!F118,"Plant")))</f>
        <v>0</v>
      </c>
      <c r="AI118" t="b">
        <f>AND(IF(metadata!G118="",FALSE,TRUE),OR(EXACT(metadata!G118,"Plant secretion"),EXACT(metadata!G118,"Plant rhizosphere"),EXACT(metadata!G118,"Plant surface"),EXACT(metadata!G118,"Plant corpus"),EXACT(metadata!G118,"Fungus surface"),EXACT(metadata!G118,"Fungus corpus"),EXACT(metadata!G118,"Animal surface"),EXACT(metadata!G118,"Animal proximal gut"),EXACT(metadata!G118,"Animal corpus"),EXACT(metadata!G118,"Animal distal gut"),EXACT(metadata!G118,"Animal secretion")))</f>
        <v>0</v>
      </c>
      <c r="AJ118" t="b">
        <f>OR(AND(IF(metadata!H118="",FALSE,TRUE),OR(EXACT(metadata!H118,"missing: not collected"),EXACT(metadata!H118,"missing: not provided"),EXACT(metadata!H118,"missing: restricted access"))),AND(IF(metadata!H118="",FALSE,TRUE),OR(EXACT(metadata!H118,"organism-associated habitat"),EXACT(metadata!H118,"plant-associated habitat"),EXACT(metadata!H118,"animal-associated habitat"),EXACT(metadata!H118,"insecta-associated habitat"),EXACT(metadata!H118,"mammalia-associated habitat"),EXACT(metadata!H118,"human-associated habitat"),EXACT(metadata!H118,"livestock-associated habitat"))))</f>
        <v>0</v>
      </c>
      <c r="AK118" t="b">
        <f>AND(IF(metadata!I118="",FALSE,TRUE),EXACT(metadata!I118,"host-associated"))</f>
        <v>0</v>
      </c>
      <c r="AL118" t="b">
        <f>OR(AND(IF(metadata!J118="",FALSE,TRUE),OR(EXACT(metadata!J118,"not applicable"),EXACT(metadata!J118,"missing: not collected"),EXACT(metadata!J118,"missing: not provided"),EXACT(metadata!J118,"missing: restricted access"))),AND(IF(metadata!J118="",FALSE,ISNUMBER(VALUE(metadata!J118))),metadata!J118&gt;0))</f>
        <v>0</v>
      </c>
      <c r="AM118" t="b">
        <f>AND(IF(metadata!K118="",FALSE,TRUE),EXACT(metadata!K118,"missing: not provided"))</f>
        <v>0</v>
      </c>
      <c r="AN118" t="b">
        <f>IF(metadata!L118="",FALSE,TRUE)</f>
        <v>0</v>
      </c>
      <c r="AO118" t="b">
        <f>IF(metadata!M118="",FALSE,TRUE)</f>
        <v>0</v>
      </c>
      <c r="AP118" t="b">
        <f>OR(AND(IF(metadata!N118="",FALSE,TRUE),OR(EXACT(metadata!N118,"not applicable"),EXACT(metadata!N118,"missing: not collected"),EXACT(metadata!N118,"missing: not provided"))),AND(IF(metadata!N118="",FALSE,IF(ISERROR(INT(metadata!N118)),FALSE,INT(metadata!N118)=metadata!N118)),metadata!N118&gt;0))</f>
        <v>0</v>
      </c>
      <c r="AQ118" t="b">
        <f>AND(IF(metadata!O118="",FALSE,TRUE),EXACT(metadata!O118,"Not applicable"))</f>
        <v>0</v>
      </c>
      <c r="AR118" t="b">
        <f>OR(AND(IF(metadata!P118="",FALSE,TRUE),OR(EXACT(metadata!P118,"not applicable"),EXACT(metadata!P118,"missing: not collected"),EXACT(metadata!P118,"missing: not provided"),EXACT(metadata!P118,"missing: restricted access"))),IF(metadata!P118="",FALSE,IF(ISERROR(INT(metadata!P118)),FALSE,INT(metadata!P118)=metadata!P118)))</f>
        <v>0</v>
      </c>
      <c r="AS118" t="b">
        <f>AND(IF(metadata!Q118="",FALSE,TRUE),EXACT(metadata!Q118,"Not applicable"))</f>
        <v>0</v>
      </c>
      <c r="AT118" t="b">
        <f>OR(AND(IF(metadata!R118="",FALSE,TRUE),OR(EXACT(metadata!R118,"not applicable"),EXACT(metadata!R118,"missing: not collected"),EXACT(metadata!R118,"missing: not provided"),EXACT(metadata!R118,"missing: restricted access"))),AND(IF(metadata!R118="",FALSE,ISNUMBER(VALUE(metadata!R118))),metadata!R118&gt;0))</f>
        <v>0</v>
      </c>
      <c r="AU118" t="b">
        <f>AND(IF(metadata!S118="",FALSE,TRUE),EXACT(metadata!S118,"missing: not provided"))</f>
        <v>0</v>
      </c>
    </row>
    <row r="119" spans="1:47" x14ac:dyDescent="0.2">
      <c r="A119" s="5" t="str">
        <f ca="1">IF(B119=" "," ",HYPERLINK(CONCATENATE("#metadata!",ADDRESS(INDEX($Y$2:$Y$1001,MATCH(ROWS($W$2:W119),$W$2:$W$1001,0),0),1)),INDEX($AB$2:$AB$1001,MATCH(ROWS($W$2:W119),$W$2:$W$1001,0),0)))</f>
        <v xml:space="preserve"> </v>
      </c>
      <c r="B119" s="4" t="str">
        <f ca="1">IF(OR(INDEX($X$2:$X$1001,MATCH(ROWS($W$2:W119),$W$2:$W$1001,0),1)&gt;=100000,INDEX($AD$1005:$AU$1005,1,MATCH(COLUMNS($AD$1006:AD1006),$AD$1006:$AU$1006,0))&gt;=100000), " ",IF(INDEX($AD$2:$AU$1001,MATCH(ROWS($W$2:W119),$W$2:$W$1001,0),MATCH(COLUMNS($AD$1006:AD1006),$AD$1006:$AU$1006,0)), HYPERLINK("#",""), HYPERLINK(CONCATENATE("#metadata!", ADDRESS(INDEX($Y$2:$Y$1001,MATCH(ROWS($W$2:W119),$W$2:$W$1001,0),0), INDEX($AD$1004:$AU$1004,1,MATCH(COLUMNS($AD$1006:AD1006),$AD$1006:$AU$1006,0)))),"Fix")))</f>
        <v xml:space="preserve"> </v>
      </c>
      <c r="C119" s="4" t="str">
        <f ca="1">IF(OR(INDEX($X$2:$X$1001,MATCH(ROWS($W$2:W119),$W$2:$W$1001,0),1)&gt;=100000,INDEX($AD$1005:$AU$1005,1,MATCH(COLUMNS($AD$1006:AE1006),$AD$1006:$AU$1006,0))&gt;=100000), " ",IF(INDEX($AD$2:$AU$1001,MATCH(ROWS($W$2:W119),$W$2:$W$1001,0),MATCH(COLUMNS($AD$1006:AE1006),$AD$1006:$AU$1006,0)), HYPERLINK("#",""), HYPERLINK(CONCATENATE("#metadata!", ADDRESS(INDEX($Y$2:$Y$1001,MATCH(ROWS($W$2:W119),$W$2:$W$1001,0),0), INDEX($AD$1004:$AU$1004,1,MATCH(COLUMNS($AD$1006:AE1006),$AD$1006:$AU$1006,0)))),"Fix")))</f>
        <v xml:space="preserve"> </v>
      </c>
      <c r="D119" s="4" t="str">
        <f ca="1">IF(OR(INDEX($X$2:$X$1001,MATCH(ROWS($W$2:W119),$W$2:$W$1001,0),1)&gt;=100000,INDEX($AD$1005:$AU$1005,1,MATCH(COLUMNS($AD$1006:AF1006),$AD$1006:$AU$1006,0))&gt;=100000), " ",IF(INDEX($AD$2:$AU$1001,MATCH(ROWS($W$2:W119),$W$2:$W$1001,0),MATCH(COLUMNS($AD$1006:AF1006),$AD$1006:$AU$1006,0)), HYPERLINK("#",""), HYPERLINK(CONCATENATE("#metadata!", ADDRESS(INDEX($Y$2:$Y$1001,MATCH(ROWS($W$2:W119),$W$2:$W$1001,0),0), INDEX($AD$1004:$AU$1004,1,MATCH(COLUMNS($AD$1006:AF1006),$AD$1006:$AU$1006,0)))),"Fix")))</f>
        <v xml:space="preserve"> </v>
      </c>
      <c r="E119" s="4" t="str">
        <f ca="1">IF(OR(INDEX($X$2:$X$1001,MATCH(ROWS($W$2:W119),$W$2:$W$1001,0),1)&gt;=100000,INDEX($AD$1005:$AU$1005,1,MATCH(COLUMNS($AD$1006:AG1006),$AD$1006:$AU$1006,0))&gt;=100000), " ",IF(INDEX($AD$2:$AU$1001,MATCH(ROWS($W$2:W119),$W$2:$W$1001,0),MATCH(COLUMNS($AD$1006:AG1006),$AD$1006:$AU$1006,0)), HYPERLINK("#",""), HYPERLINK(CONCATENATE("#metadata!", ADDRESS(INDEX($Y$2:$Y$1001,MATCH(ROWS($W$2:W119),$W$2:$W$1001,0),0), INDEX($AD$1004:$AU$1004,1,MATCH(COLUMNS($AD$1006:AG1006),$AD$1006:$AU$1006,0)))),"Fix")))</f>
        <v xml:space="preserve"> </v>
      </c>
      <c r="F119" s="4" t="str">
        <f ca="1">IF(OR(INDEX($X$2:$X$1001,MATCH(ROWS($W$2:W119),$W$2:$W$1001,0),1)&gt;=100000,INDEX($AD$1005:$AU$1005,1,MATCH(COLUMNS($AD$1006:AH1006),$AD$1006:$AU$1006,0))&gt;=100000), " ",IF(INDEX($AD$2:$AU$1001,MATCH(ROWS($W$2:W119),$W$2:$W$1001,0),MATCH(COLUMNS($AD$1006:AH1006),$AD$1006:$AU$1006,0)), HYPERLINK("#",""), HYPERLINK(CONCATENATE("#metadata!", ADDRESS(INDEX($Y$2:$Y$1001,MATCH(ROWS($W$2:W119),$W$2:$W$1001,0),0), INDEX($AD$1004:$AU$1004,1,MATCH(COLUMNS($AD$1006:AH1006),$AD$1006:$AU$1006,0)))),"Fix")))</f>
        <v xml:space="preserve"> </v>
      </c>
      <c r="G119" s="4" t="str">
        <f ca="1">IF(OR(INDEX($X$2:$X$1001,MATCH(ROWS($W$2:W119),$W$2:$W$1001,0),1)&gt;=100000,INDEX($AD$1005:$AU$1005,1,MATCH(COLUMNS($AD$1006:AI1006),$AD$1006:$AU$1006,0))&gt;=100000), " ",IF(INDEX($AD$2:$AU$1001,MATCH(ROWS($W$2:W119),$W$2:$W$1001,0),MATCH(COLUMNS($AD$1006:AI1006),$AD$1006:$AU$1006,0)), HYPERLINK("#",""), HYPERLINK(CONCATENATE("#metadata!", ADDRESS(INDEX($Y$2:$Y$1001,MATCH(ROWS($W$2:W119),$W$2:$W$1001,0),0), INDEX($AD$1004:$AU$1004,1,MATCH(COLUMNS($AD$1006:AI1006),$AD$1006:$AU$1006,0)))),"Fix")))</f>
        <v xml:space="preserve"> </v>
      </c>
      <c r="H119" s="4" t="str">
        <f ca="1">IF(OR(INDEX($X$2:$X$1001,MATCH(ROWS($W$2:W119),$W$2:$W$1001,0),1)&gt;=100000,INDEX($AD$1005:$AU$1005,1,MATCH(COLUMNS($AD$1006:AJ1006),$AD$1006:$AU$1006,0))&gt;=100000), " ",IF(INDEX($AD$2:$AU$1001,MATCH(ROWS($W$2:W119),$W$2:$W$1001,0),MATCH(COLUMNS($AD$1006:AJ1006),$AD$1006:$AU$1006,0)), HYPERLINK("#",""), HYPERLINK(CONCATENATE("#metadata!", ADDRESS(INDEX($Y$2:$Y$1001,MATCH(ROWS($W$2:W119),$W$2:$W$1001,0),0), INDEX($AD$1004:$AU$1004,1,MATCH(COLUMNS($AD$1006:AJ1006),$AD$1006:$AU$1006,0)))),"Fix")))</f>
        <v xml:space="preserve"> </v>
      </c>
      <c r="I119" s="4" t="str">
        <f ca="1">IF(OR(INDEX($X$2:$X$1001,MATCH(ROWS($W$2:W119),$W$2:$W$1001,0),1)&gt;=100000,INDEX($AD$1005:$AU$1005,1,MATCH(COLUMNS($AD$1006:AK1006),$AD$1006:$AU$1006,0))&gt;=100000), " ",IF(INDEX($AD$2:$AU$1001,MATCH(ROWS($W$2:W119),$W$2:$W$1001,0),MATCH(COLUMNS($AD$1006:AK1006),$AD$1006:$AU$1006,0)), HYPERLINK("#",""), HYPERLINK(CONCATENATE("#metadata!", ADDRESS(INDEX($Y$2:$Y$1001,MATCH(ROWS($W$2:W119),$W$2:$W$1001,0),0), INDEX($AD$1004:$AU$1004,1,MATCH(COLUMNS($AD$1006:AK1006),$AD$1006:$AU$1006,0)))),"Fix")))</f>
        <v xml:space="preserve"> </v>
      </c>
      <c r="J119" s="4" t="str">
        <f ca="1">IF(OR(INDEX($X$2:$X$1001,MATCH(ROWS($W$2:W119),$W$2:$W$1001,0),1)&gt;=100000,INDEX($AD$1005:$AU$1005,1,MATCH(COLUMNS($AD$1006:AL1006),$AD$1006:$AU$1006,0))&gt;=100000), " ",IF(INDEX($AD$2:$AU$1001,MATCH(ROWS($W$2:W119),$W$2:$W$1001,0),MATCH(COLUMNS($AD$1006:AL1006),$AD$1006:$AU$1006,0)), HYPERLINK("#",""), HYPERLINK(CONCATENATE("#metadata!", ADDRESS(INDEX($Y$2:$Y$1001,MATCH(ROWS($W$2:W119),$W$2:$W$1001,0),0), INDEX($AD$1004:$AU$1004,1,MATCH(COLUMNS($AD$1006:AL1006),$AD$1006:$AU$1006,0)))),"Fix")))</f>
        <v xml:space="preserve"> </v>
      </c>
      <c r="K119" s="4" t="str">
        <f ca="1">IF(OR(INDEX($X$2:$X$1001,MATCH(ROWS($W$2:W119),$W$2:$W$1001,0),1)&gt;=100000,INDEX($AD$1005:$AU$1005,1,MATCH(COLUMNS($AD$1006:AM1006),$AD$1006:$AU$1006,0))&gt;=100000), " ",IF(INDEX($AD$2:$AU$1001,MATCH(ROWS($W$2:W119),$W$2:$W$1001,0),MATCH(COLUMNS($AD$1006:AM1006),$AD$1006:$AU$1006,0)), HYPERLINK("#",""), HYPERLINK(CONCATENATE("#metadata!", ADDRESS(INDEX($Y$2:$Y$1001,MATCH(ROWS($W$2:W119),$W$2:$W$1001,0),0), INDEX($AD$1004:$AU$1004,1,MATCH(COLUMNS($AD$1006:AM1006),$AD$1006:$AU$1006,0)))),"Fix")))</f>
        <v xml:space="preserve"> </v>
      </c>
      <c r="L119" s="4" t="str">
        <f ca="1">IF(OR(INDEX($X$2:$X$1001,MATCH(ROWS($W$2:W119),$W$2:$W$1001,0),1)&gt;=100000,INDEX($AD$1005:$AU$1005,1,MATCH(COLUMNS($AD$1006:AN1006),$AD$1006:$AU$1006,0))&gt;=100000), " ",IF(INDEX($AD$2:$AU$1001,MATCH(ROWS($W$2:W119),$W$2:$W$1001,0),MATCH(COLUMNS($AD$1006:AN1006),$AD$1006:$AU$1006,0)), HYPERLINK("#",""), HYPERLINK(CONCATENATE("#metadata!", ADDRESS(INDEX($Y$2:$Y$1001,MATCH(ROWS($W$2:W119),$W$2:$W$1001,0),0), INDEX($AD$1004:$AU$1004,1,MATCH(COLUMNS($AD$1006:AN1006),$AD$1006:$AU$1006,0)))),"Fix")))</f>
        <v xml:space="preserve"> </v>
      </c>
      <c r="M119" s="4" t="str">
        <f ca="1">IF(OR(INDEX($X$2:$X$1001,MATCH(ROWS($W$2:W119),$W$2:$W$1001,0),1)&gt;=100000,INDEX($AD$1005:$AU$1005,1,MATCH(COLUMNS($AD$1006:AO1006),$AD$1006:$AU$1006,0))&gt;=100000), " ",IF(INDEX($AD$2:$AU$1001,MATCH(ROWS($W$2:W119),$W$2:$W$1001,0),MATCH(COLUMNS($AD$1006:AO1006),$AD$1006:$AU$1006,0)), HYPERLINK("#",""), HYPERLINK(CONCATENATE("#metadata!", ADDRESS(INDEX($Y$2:$Y$1001,MATCH(ROWS($W$2:W119),$W$2:$W$1001,0),0), INDEX($AD$1004:$AU$1004,1,MATCH(COLUMNS($AD$1006:AO1006),$AD$1006:$AU$1006,0)))),"Fix")))</f>
        <v xml:space="preserve"> </v>
      </c>
      <c r="N119" s="4" t="str">
        <f ca="1">IF(OR(INDEX($X$2:$X$1001,MATCH(ROWS($W$2:W119),$W$2:$W$1001,0),1)&gt;=100000,INDEX($AD$1005:$AU$1005,1,MATCH(COLUMNS($AD$1006:AP1006),$AD$1006:$AU$1006,0))&gt;=100000), " ",IF(INDEX($AD$2:$AU$1001,MATCH(ROWS($W$2:W119),$W$2:$W$1001,0),MATCH(COLUMNS($AD$1006:AP1006),$AD$1006:$AU$1006,0)), HYPERLINK("#",""), HYPERLINK(CONCATENATE("#metadata!", ADDRESS(INDEX($Y$2:$Y$1001,MATCH(ROWS($W$2:W119),$W$2:$W$1001,0),0), INDEX($AD$1004:$AU$1004,1,MATCH(COLUMNS($AD$1006:AP1006),$AD$1006:$AU$1006,0)))),"Fix")))</f>
        <v xml:space="preserve"> </v>
      </c>
      <c r="O119" s="4" t="str">
        <f ca="1">IF(OR(INDEX($X$2:$X$1001,MATCH(ROWS($W$2:W119),$W$2:$W$1001,0),1)&gt;=100000,INDEX($AD$1005:$AU$1005,1,MATCH(COLUMNS($AD$1006:AQ1006),$AD$1006:$AU$1006,0))&gt;=100000), " ",IF(INDEX($AD$2:$AU$1001,MATCH(ROWS($W$2:W119),$W$2:$W$1001,0),MATCH(COLUMNS($AD$1006:AQ1006),$AD$1006:$AU$1006,0)), HYPERLINK("#",""), HYPERLINK(CONCATENATE("#metadata!", ADDRESS(INDEX($Y$2:$Y$1001,MATCH(ROWS($W$2:W119),$W$2:$W$1001,0),0), INDEX($AD$1004:$AU$1004,1,MATCH(COLUMNS($AD$1006:AQ1006),$AD$1006:$AU$1006,0)))),"Fix")))</f>
        <v xml:space="preserve"> </v>
      </c>
      <c r="P119" s="4" t="str">
        <f ca="1">IF(OR(INDEX($X$2:$X$1001,MATCH(ROWS($W$2:W119),$W$2:$W$1001,0),1)&gt;=100000,INDEX($AD$1005:$AU$1005,1,MATCH(COLUMNS($AD$1006:AR1006),$AD$1006:$AU$1006,0))&gt;=100000), " ",IF(INDEX($AD$2:$AU$1001,MATCH(ROWS($W$2:W119),$W$2:$W$1001,0),MATCH(COLUMNS($AD$1006:AR1006),$AD$1006:$AU$1006,0)), HYPERLINK("#",""), HYPERLINK(CONCATENATE("#metadata!", ADDRESS(INDEX($Y$2:$Y$1001,MATCH(ROWS($W$2:W119),$W$2:$W$1001,0),0), INDEX($AD$1004:$AU$1004,1,MATCH(COLUMNS($AD$1006:AR1006),$AD$1006:$AU$1006,0)))),"Fix")))</f>
        <v xml:space="preserve"> </v>
      </c>
      <c r="Q119" s="4" t="str">
        <f ca="1">IF(OR(INDEX($X$2:$X$1001,MATCH(ROWS($W$2:W119),$W$2:$W$1001,0),1)&gt;=100000,INDEX($AD$1005:$AU$1005,1,MATCH(COLUMNS($AD$1006:AS1006),$AD$1006:$AU$1006,0))&gt;=100000), " ",IF(INDEX($AD$2:$AU$1001,MATCH(ROWS($W$2:W119),$W$2:$W$1001,0),MATCH(COLUMNS($AD$1006:AS1006),$AD$1006:$AU$1006,0)), HYPERLINK("#",""), HYPERLINK(CONCATENATE("#metadata!", ADDRESS(INDEX($Y$2:$Y$1001,MATCH(ROWS($W$2:W119),$W$2:$W$1001,0),0), INDEX($AD$1004:$AU$1004,1,MATCH(COLUMNS($AD$1006:AS1006),$AD$1006:$AU$1006,0)))),"Fix")))</f>
        <v xml:space="preserve"> </v>
      </c>
      <c r="R119" s="4" t="str">
        <f ca="1">IF(OR(INDEX($X$2:$X$1001,MATCH(ROWS($W$2:W119),$W$2:$W$1001,0),1)&gt;=100000,INDEX($AD$1005:$AU$1005,1,MATCH(COLUMNS($AD$1006:AT1006),$AD$1006:$AU$1006,0))&gt;=100000), " ",IF(INDEX($AD$2:$AU$1001,MATCH(ROWS($W$2:W119),$W$2:$W$1001,0),MATCH(COLUMNS($AD$1006:AT1006),$AD$1006:$AU$1006,0)), HYPERLINK("#",""), HYPERLINK(CONCATENATE("#metadata!", ADDRESS(INDEX($Y$2:$Y$1001,MATCH(ROWS($W$2:W119),$W$2:$W$1001,0),0), INDEX($AD$1004:$AU$1004,1,MATCH(COLUMNS($AD$1006:AT1006),$AD$1006:$AU$1006,0)))),"Fix")))</f>
        <v xml:space="preserve"> </v>
      </c>
      <c r="S119" s="4" t="str">
        <f ca="1">IF(OR(INDEX($X$2:$X$1001,MATCH(ROWS($W$2:W119),$W$2:$W$1001,0),1)&gt;=100000,INDEX($AD$1005:$AU$1005,1,MATCH(COLUMNS($AD$1006:AU1006),$AD$1006:$AU$1006,0))&gt;=100000), " ",IF(INDEX($AD$2:$AU$1001,MATCH(ROWS($W$2:W119),$W$2:$W$1001,0),MATCH(COLUMNS($AD$1006:AU1006),$AD$1006:$AU$1006,0)), HYPERLINK("#",""), HYPERLINK(CONCATENATE("#metadata!", ADDRESS(INDEX($Y$2:$Y$1001,MATCH(ROWS($W$2:W119),$W$2:$W$1001,0),0), INDEX($AD$1004:$AU$1004,1,MATCH(COLUMNS($AD$1006:AU1006),$AD$1006:$AU$1006,0)))),"Fix")))</f>
        <v xml:space="preserve"> </v>
      </c>
      <c r="W119">
        <v>118</v>
      </c>
      <c r="X119">
        <v>100119</v>
      </c>
      <c r="Y119">
        <v>119</v>
      </c>
      <c r="Z119" t="b">
        <f t="shared" si="1"/>
        <v>1</v>
      </c>
      <c r="AA119" t="b">
        <f>COUNTBLANK(metadata!B119:S119)=COLUMNS(metadata!B119:S119)</f>
        <v>1</v>
      </c>
      <c r="AB119" t="str">
        <v/>
      </c>
      <c r="AD119" t="b">
        <f ca="1">AND(IF(metadata!B119="",FALSE,TRUE),COUNTIF(metadata!B:B, metadata!B119) = 1,NOT(ISERROR(SUMPRODUCT(SEARCH(MID(metadata!B119,ROW(INDIRECT("1:"&amp;LEN(metadata!B119))), 1),"0123456789abcdefghijklmnopqrstuvwxyzABCDEFGHIJKLMNOPQRSTUVWXYZ.")))))</f>
        <v>0</v>
      </c>
      <c r="AE119" t="b">
        <f>OR(AND(IF(metadata!C119="",FALSE,TRUE),OR(EXACT(metadata!C119,"not applicable"),EXACT(metadata!C119,"missing: not collected"),EXACT(metadata!C119,"missing: not provided"),EXACT(metadata!C119,"missing: restricted access"))),AND(IF(metadata!C119="",FALSE,ISNUMBER(VALUE(metadata!C119))),metadata!C119&gt;0))</f>
        <v>0</v>
      </c>
      <c r="AF119" t="b">
        <f>AND(IF(metadata!D119="",FALSE,TRUE),EXACT(metadata!D119,"missing: not provided"))</f>
        <v>0</v>
      </c>
      <c r="AG119" t="b">
        <f>AND(IF(metadata!E119="",FALSE,TRUE),EXACT(metadata!E119,"Host-associated"))</f>
        <v>0</v>
      </c>
      <c r="AH119" t="b">
        <f>AND(IF(metadata!F119="",FALSE,TRUE),OR(EXACT(metadata!F119,"Animal"),EXACT(metadata!F119,"Fungus"),EXACT(metadata!F119,"Plant")))</f>
        <v>0</v>
      </c>
      <c r="AI119" t="b">
        <f>AND(IF(metadata!G119="",FALSE,TRUE),OR(EXACT(metadata!G119,"Plant secretion"),EXACT(metadata!G119,"Plant rhizosphere"),EXACT(metadata!G119,"Plant surface"),EXACT(metadata!G119,"Plant corpus"),EXACT(metadata!G119,"Fungus surface"),EXACT(metadata!G119,"Fungus corpus"),EXACT(metadata!G119,"Animal surface"),EXACT(metadata!G119,"Animal proximal gut"),EXACT(metadata!G119,"Animal corpus"),EXACT(metadata!G119,"Animal distal gut"),EXACT(metadata!G119,"Animal secretion")))</f>
        <v>0</v>
      </c>
      <c r="AJ119" t="b">
        <f>OR(AND(IF(metadata!H119="",FALSE,TRUE),OR(EXACT(metadata!H119,"missing: not collected"),EXACT(metadata!H119,"missing: not provided"),EXACT(metadata!H119,"missing: restricted access"))),AND(IF(metadata!H119="",FALSE,TRUE),OR(EXACT(metadata!H119,"organism-associated habitat"),EXACT(metadata!H119,"plant-associated habitat"),EXACT(metadata!H119,"animal-associated habitat"),EXACT(metadata!H119,"insecta-associated habitat"),EXACT(metadata!H119,"mammalia-associated habitat"),EXACT(metadata!H119,"human-associated habitat"),EXACT(metadata!H119,"livestock-associated habitat"))))</f>
        <v>0</v>
      </c>
      <c r="AK119" t="b">
        <f>AND(IF(metadata!I119="",FALSE,TRUE),EXACT(metadata!I119,"host-associated"))</f>
        <v>0</v>
      </c>
      <c r="AL119" t="b">
        <f>OR(AND(IF(metadata!J119="",FALSE,TRUE),OR(EXACT(metadata!J119,"not applicable"),EXACT(metadata!J119,"missing: not collected"),EXACT(metadata!J119,"missing: not provided"),EXACT(metadata!J119,"missing: restricted access"))),AND(IF(metadata!J119="",FALSE,ISNUMBER(VALUE(metadata!J119))),metadata!J119&gt;0))</f>
        <v>0</v>
      </c>
      <c r="AM119" t="b">
        <f>AND(IF(metadata!K119="",FALSE,TRUE),EXACT(metadata!K119,"missing: not provided"))</f>
        <v>0</v>
      </c>
      <c r="AN119" t="b">
        <f>IF(metadata!L119="",FALSE,TRUE)</f>
        <v>0</v>
      </c>
      <c r="AO119" t="b">
        <f>IF(metadata!M119="",FALSE,TRUE)</f>
        <v>0</v>
      </c>
      <c r="AP119" t="b">
        <f>OR(AND(IF(metadata!N119="",FALSE,TRUE),OR(EXACT(metadata!N119,"not applicable"),EXACT(metadata!N119,"missing: not collected"),EXACT(metadata!N119,"missing: not provided"))),AND(IF(metadata!N119="",FALSE,IF(ISERROR(INT(metadata!N119)),FALSE,INT(metadata!N119)=metadata!N119)),metadata!N119&gt;0))</f>
        <v>0</v>
      </c>
      <c r="AQ119" t="b">
        <f>AND(IF(metadata!O119="",FALSE,TRUE),EXACT(metadata!O119,"Not applicable"))</f>
        <v>0</v>
      </c>
      <c r="AR119" t="b">
        <f>OR(AND(IF(metadata!P119="",FALSE,TRUE),OR(EXACT(metadata!P119,"not applicable"),EXACT(metadata!P119,"missing: not collected"),EXACT(metadata!P119,"missing: not provided"),EXACT(metadata!P119,"missing: restricted access"))),IF(metadata!P119="",FALSE,IF(ISERROR(INT(metadata!P119)),FALSE,INT(metadata!P119)=metadata!P119)))</f>
        <v>0</v>
      </c>
      <c r="AS119" t="b">
        <f>AND(IF(metadata!Q119="",FALSE,TRUE),EXACT(metadata!Q119,"Not applicable"))</f>
        <v>0</v>
      </c>
      <c r="AT119" t="b">
        <f>OR(AND(IF(metadata!R119="",FALSE,TRUE),OR(EXACT(metadata!R119,"not applicable"),EXACT(metadata!R119,"missing: not collected"),EXACT(metadata!R119,"missing: not provided"),EXACT(metadata!R119,"missing: restricted access"))),AND(IF(metadata!R119="",FALSE,ISNUMBER(VALUE(metadata!R119))),metadata!R119&gt;0))</f>
        <v>0</v>
      </c>
      <c r="AU119" t="b">
        <f>AND(IF(metadata!S119="",FALSE,TRUE),EXACT(metadata!S119,"missing: not provided"))</f>
        <v>0</v>
      </c>
    </row>
    <row r="120" spans="1:47" x14ac:dyDescent="0.2">
      <c r="A120" s="5" t="str">
        <f ca="1">IF(B120=" "," ",HYPERLINK(CONCATENATE("#metadata!",ADDRESS(INDEX($Y$2:$Y$1001,MATCH(ROWS($W$2:W120),$W$2:$W$1001,0),0),1)),INDEX($AB$2:$AB$1001,MATCH(ROWS($W$2:W120),$W$2:$W$1001,0),0)))</f>
        <v xml:space="preserve"> </v>
      </c>
      <c r="B120" s="4" t="str">
        <f ca="1">IF(OR(INDEX($X$2:$X$1001,MATCH(ROWS($W$2:W120),$W$2:$W$1001,0),1)&gt;=100000,INDEX($AD$1005:$AU$1005,1,MATCH(COLUMNS($AD$1006:AD1006),$AD$1006:$AU$1006,0))&gt;=100000), " ",IF(INDEX($AD$2:$AU$1001,MATCH(ROWS($W$2:W120),$W$2:$W$1001,0),MATCH(COLUMNS($AD$1006:AD1006),$AD$1006:$AU$1006,0)), HYPERLINK("#",""), HYPERLINK(CONCATENATE("#metadata!", ADDRESS(INDEX($Y$2:$Y$1001,MATCH(ROWS($W$2:W120),$W$2:$W$1001,0),0), INDEX($AD$1004:$AU$1004,1,MATCH(COLUMNS($AD$1006:AD1006),$AD$1006:$AU$1006,0)))),"Fix")))</f>
        <v xml:space="preserve"> </v>
      </c>
      <c r="C120" s="4" t="str">
        <f ca="1">IF(OR(INDEX($X$2:$X$1001,MATCH(ROWS($W$2:W120),$W$2:$W$1001,0),1)&gt;=100000,INDEX($AD$1005:$AU$1005,1,MATCH(COLUMNS($AD$1006:AE1006),$AD$1006:$AU$1006,0))&gt;=100000), " ",IF(INDEX($AD$2:$AU$1001,MATCH(ROWS($W$2:W120),$W$2:$W$1001,0),MATCH(COLUMNS($AD$1006:AE1006),$AD$1006:$AU$1006,0)), HYPERLINK("#",""), HYPERLINK(CONCATENATE("#metadata!", ADDRESS(INDEX($Y$2:$Y$1001,MATCH(ROWS($W$2:W120),$W$2:$W$1001,0),0), INDEX($AD$1004:$AU$1004,1,MATCH(COLUMNS($AD$1006:AE1006),$AD$1006:$AU$1006,0)))),"Fix")))</f>
        <v xml:space="preserve"> </v>
      </c>
      <c r="D120" s="4" t="str">
        <f ca="1">IF(OR(INDEX($X$2:$X$1001,MATCH(ROWS($W$2:W120),$W$2:$W$1001,0),1)&gt;=100000,INDEX($AD$1005:$AU$1005,1,MATCH(COLUMNS($AD$1006:AF1006),$AD$1006:$AU$1006,0))&gt;=100000), " ",IF(INDEX($AD$2:$AU$1001,MATCH(ROWS($W$2:W120),$W$2:$W$1001,0),MATCH(COLUMNS($AD$1006:AF1006),$AD$1006:$AU$1006,0)), HYPERLINK("#",""), HYPERLINK(CONCATENATE("#metadata!", ADDRESS(INDEX($Y$2:$Y$1001,MATCH(ROWS($W$2:W120),$W$2:$W$1001,0),0), INDEX($AD$1004:$AU$1004,1,MATCH(COLUMNS($AD$1006:AF1006),$AD$1006:$AU$1006,0)))),"Fix")))</f>
        <v xml:space="preserve"> </v>
      </c>
      <c r="E120" s="4" t="str">
        <f ca="1">IF(OR(INDEX($X$2:$X$1001,MATCH(ROWS($W$2:W120),$W$2:$W$1001,0),1)&gt;=100000,INDEX($AD$1005:$AU$1005,1,MATCH(COLUMNS($AD$1006:AG1006),$AD$1006:$AU$1006,0))&gt;=100000), " ",IF(INDEX($AD$2:$AU$1001,MATCH(ROWS($W$2:W120),$W$2:$W$1001,0),MATCH(COLUMNS($AD$1006:AG1006),$AD$1006:$AU$1006,0)), HYPERLINK("#",""), HYPERLINK(CONCATENATE("#metadata!", ADDRESS(INDEX($Y$2:$Y$1001,MATCH(ROWS($W$2:W120),$W$2:$W$1001,0),0), INDEX($AD$1004:$AU$1004,1,MATCH(COLUMNS($AD$1006:AG1006),$AD$1006:$AU$1006,0)))),"Fix")))</f>
        <v xml:space="preserve"> </v>
      </c>
      <c r="F120" s="4" t="str">
        <f ca="1">IF(OR(INDEX($X$2:$X$1001,MATCH(ROWS($W$2:W120),$W$2:$W$1001,0),1)&gt;=100000,INDEX($AD$1005:$AU$1005,1,MATCH(COLUMNS($AD$1006:AH1006),$AD$1006:$AU$1006,0))&gt;=100000), " ",IF(INDEX($AD$2:$AU$1001,MATCH(ROWS($W$2:W120),$W$2:$W$1001,0),MATCH(COLUMNS($AD$1006:AH1006),$AD$1006:$AU$1006,0)), HYPERLINK("#",""), HYPERLINK(CONCATENATE("#metadata!", ADDRESS(INDEX($Y$2:$Y$1001,MATCH(ROWS($W$2:W120),$W$2:$W$1001,0),0), INDEX($AD$1004:$AU$1004,1,MATCH(COLUMNS($AD$1006:AH1006),$AD$1006:$AU$1006,0)))),"Fix")))</f>
        <v xml:space="preserve"> </v>
      </c>
      <c r="G120" s="4" t="str">
        <f ca="1">IF(OR(INDEX($X$2:$X$1001,MATCH(ROWS($W$2:W120),$W$2:$W$1001,0),1)&gt;=100000,INDEX($AD$1005:$AU$1005,1,MATCH(COLUMNS($AD$1006:AI1006),$AD$1006:$AU$1006,0))&gt;=100000), " ",IF(INDEX($AD$2:$AU$1001,MATCH(ROWS($W$2:W120),$W$2:$W$1001,0),MATCH(COLUMNS($AD$1006:AI1006),$AD$1006:$AU$1006,0)), HYPERLINK("#",""), HYPERLINK(CONCATENATE("#metadata!", ADDRESS(INDEX($Y$2:$Y$1001,MATCH(ROWS($W$2:W120),$W$2:$W$1001,0),0), INDEX($AD$1004:$AU$1004,1,MATCH(COLUMNS($AD$1006:AI1006),$AD$1006:$AU$1006,0)))),"Fix")))</f>
        <v xml:space="preserve"> </v>
      </c>
      <c r="H120" s="4" t="str">
        <f ca="1">IF(OR(INDEX($X$2:$X$1001,MATCH(ROWS($W$2:W120),$W$2:$W$1001,0),1)&gt;=100000,INDEX($AD$1005:$AU$1005,1,MATCH(COLUMNS($AD$1006:AJ1006),$AD$1006:$AU$1006,0))&gt;=100000), " ",IF(INDEX($AD$2:$AU$1001,MATCH(ROWS($W$2:W120),$W$2:$W$1001,0),MATCH(COLUMNS($AD$1006:AJ1006),$AD$1006:$AU$1006,0)), HYPERLINK("#",""), HYPERLINK(CONCATENATE("#metadata!", ADDRESS(INDEX($Y$2:$Y$1001,MATCH(ROWS($W$2:W120),$W$2:$W$1001,0),0), INDEX($AD$1004:$AU$1004,1,MATCH(COLUMNS($AD$1006:AJ1006),$AD$1006:$AU$1006,0)))),"Fix")))</f>
        <v xml:space="preserve"> </v>
      </c>
      <c r="I120" s="4" t="str">
        <f ca="1">IF(OR(INDEX($X$2:$X$1001,MATCH(ROWS($W$2:W120),$W$2:$W$1001,0),1)&gt;=100000,INDEX($AD$1005:$AU$1005,1,MATCH(COLUMNS($AD$1006:AK1006),$AD$1006:$AU$1006,0))&gt;=100000), " ",IF(INDEX($AD$2:$AU$1001,MATCH(ROWS($W$2:W120),$W$2:$W$1001,0),MATCH(COLUMNS($AD$1006:AK1006),$AD$1006:$AU$1006,0)), HYPERLINK("#",""), HYPERLINK(CONCATENATE("#metadata!", ADDRESS(INDEX($Y$2:$Y$1001,MATCH(ROWS($W$2:W120),$W$2:$W$1001,0),0), INDEX($AD$1004:$AU$1004,1,MATCH(COLUMNS($AD$1006:AK1006),$AD$1006:$AU$1006,0)))),"Fix")))</f>
        <v xml:space="preserve"> </v>
      </c>
      <c r="J120" s="4" t="str">
        <f ca="1">IF(OR(INDEX($X$2:$X$1001,MATCH(ROWS($W$2:W120),$W$2:$W$1001,0),1)&gt;=100000,INDEX($AD$1005:$AU$1005,1,MATCH(COLUMNS($AD$1006:AL1006),$AD$1006:$AU$1006,0))&gt;=100000), " ",IF(INDEX($AD$2:$AU$1001,MATCH(ROWS($W$2:W120),$W$2:$W$1001,0),MATCH(COLUMNS($AD$1006:AL1006),$AD$1006:$AU$1006,0)), HYPERLINK("#",""), HYPERLINK(CONCATENATE("#metadata!", ADDRESS(INDEX($Y$2:$Y$1001,MATCH(ROWS($W$2:W120),$W$2:$W$1001,0),0), INDEX($AD$1004:$AU$1004,1,MATCH(COLUMNS($AD$1006:AL1006),$AD$1006:$AU$1006,0)))),"Fix")))</f>
        <v xml:space="preserve"> </v>
      </c>
      <c r="K120" s="4" t="str">
        <f ca="1">IF(OR(INDEX($X$2:$X$1001,MATCH(ROWS($W$2:W120),$W$2:$W$1001,0),1)&gt;=100000,INDEX($AD$1005:$AU$1005,1,MATCH(COLUMNS($AD$1006:AM1006),$AD$1006:$AU$1006,0))&gt;=100000), " ",IF(INDEX($AD$2:$AU$1001,MATCH(ROWS($W$2:W120),$W$2:$W$1001,0),MATCH(COLUMNS($AD$1006:AM1006),$AD$1006:$AU$1006,0)), HYPERLINK("#",""), HYPERLINK(CONCATENATE("#metadata!", ADDRESS(INDEX($Y$2:$Y$1001,MATCH(ROWS($W$2:W120),$W$2:$W$1001,0),0), INDEX($AD$1004:$AU$1004,1,MATCH(COLUMNS($AD$1006:AM1006),$AD$1006:$AU$1006,0)))),"Fix")))</f>
        <v xml:space="preserve"> </v>
      </c>
      <c r="L120" s="4" t="str">
        <f ca="1">IF(OR(INDEX($X$2:$X$1001,MATCH(ROWS($W$2:W120),$W$2:$W$1001,0),1)&gt;=100000,INDEX($AD$1005:$AU$1005,1,MATCH(COLUMNS($AD$1006:AN1006),$AD$1006:$AU$1006,0))&gt;=100000), " ",IF(INDEX($AD$2:$AU$1001,MATCH(ROWS($W$2:W120),$W$2:$W$1001,0),MATCH(COLUMNS($AD$1006:AN1006),$AD$1006:$AU$1006,0)), HYPERLINK("#",""), HYPERLINK(CONCATENATE("#metadata!", ADDRESS(INDEX($Y$2:$Y$1001,MATCH(ROWS($W$2:W120),$W$2:$W$1001,0),0), INDEX($AD$1004:$AU$1004,1,MATCH(COLUMNS($AD$1006:AN1006),$AD$1006:$AU$1006,0)))),"Fix")))</f>
        <v xml:space="preserve"> </v>
      </c>
      <c r="M120" s="4" t="str">
        <f ca="1">IF(OR(INDEX($X$2:$X$1001,MATCH(ROWS($W$2:W120),$W$2:$W$1001,0),1)&gt;=100000,INDEX($AD$1005:$AU$1005,1,MATCH(COLUMNS($AD$1006:AO1006),$AD$1006:$AU$1006,0))&gt;=100000), " ",IF(INDEX($AD$2:$AU$1001,MATCH(ROWS($W$2:W120),$W$2:$W$1001,0),MATCH(COLUMNS($AD$1006:AO1006),$AD$1006:$AU$1006,0)), HYPERLINK("#",""), HYPERLINK(CONCATENATE("#metadata!", ADDRESS(INDEX($Y$2:$Y$1001,MATCH(ROWS($W$2:W120),$W$2:$W$1001,0),0), INDEX($AD$1004:$AU$1004,1,MATCH(COLUMNS($AD$1006:AO1006),$AD$1006:$AU$1006,0)))),"Fix")))</f>
        <v xml:space="preserve"> </v>
      </c>
      <c r="N120" s="4" t="str">
        <f ca="1">IF(OR(INDEX($X$2:$X$1001,MATCH(ROWS($W$2:W120),$W$2:$W$1001,0),1)&gt;=100000,INDEX($AD$1005:$AU$1005,1,MATCH(COLUMNS($AD$1006:AP1006),$AD$1006:$AU$1006,0))&gt;=100000), " ",IF(INDEX($AD$2:$AU$1001,MATCH(ROWS($W$2:W120),$W$2:$W$1001,0),MATCH(COLUMNS($AD$1006:AP1006),$AD$1006:$AU$1006,0)), HYPERLINK("#",""), HYPERLINK(CONCATENATE("#metadata!", ADDRESS(INDEX($Y$2:$Y$1001,MATCH(ROWS($W$2:W120),$W$2:$W$1001,0),0), INDEX($AD$1004:$AU$1004,1,MATCH(COLUMNS($AD$1006:AP1006),$AD$1006:$AU$1006,0)))),"Fix")))</f>
        <v xml:space="preserve"> </v>
      </c>
      <c r="O120" s="4" t="str">
        <f ca="1">IF(OR(INDEX($X$2:$X$1001,MATCH(ROWS($W$2:W120),$W$2:$W$1001,0),1)&gt;=100000,INDEX($AD$1005:$AU$1005,1,MATCH(COLUMNS($AD$1006:AQ1006),$AD$1006:$AU$1006,0))&gt;=100000), " ",IF(INDEX($AD$2:$AU$1001,MATCH(ROWS($W$2:W120),$W$2:$W$1001,0),MATCH(COLUMNS($AD$1006:AQ1006),$AD$1006:$AU$1006,0)), HYPERLINK("#",""), HYPERLINK(CONCATENATE("#metadata!", ADDRESS(INDEX($Y$2:$Y$1001,MATCH(ROWS($W$2:W120),$W$2:$W$1001,0),0), INDEX($AD$1004:$AU$1004,1,MATCH(COLUMNS($AD$1006:AQ1006),$AD$1006:$AU$1006,0)))),"Fix")))</f>
        <v xml:space="preserve"> </v>
      </c>
      <c r="P120" s="4" t="str">
        <f ca="1">IF(OR(INDEX($X$2:$X$1001,MATCH(ROWS($W$2:W120),$W$2:$W$1001,0),1)&gt;=100000,INDEX($AD$1005:$AU$1005,1,MATCH(COLUMNS($AD$1006:AR1006),$AD$1006:$AU$1006,0))&gt;=100000), " ",IF(INDEX($AD$2:$AU$1001,MATCH(ROWS($W$2:W120),$W$2:$W$1001,0),MATCH(COLUMNS($AD$1006:AR1006),$AD$1006:$AU$1006,0)), HYPERLINK("#",""), HYPERLINK(CONCATENATE("#metadata!", ADDRESS(INDEX($Y$2:$Y$1001,MATCH(ROWS($W$2:W120),$W$2:$W$1001,0),0), INDEX($AD$1004:$AU$1004,1,MATCH(COLUMNS($AD$1006:AR1006),$AD$1006:$AU$1006,0)))),"Fix")))</f>
        <v xml:space="preserve"> </v>
      </c>
      <c r="Q120" s="4" t="str">
        <f ca="1">IF(OR(INDEX($X$2:$X$1001,MATCH(ROWS($W$2:W120),$W$2:$W$1001,0),1)&gt;=100000,INDEX($AD$1005:$AU$1005,1,MATCH(COLUMNS($AD$1006:AS1006),$AD$1006:$AU$1006,0))&gt;=100000), " ",IF(INDEX($AD$2:$AU$1001,MATCH(ROWS($W$2:W120),$W$2:$W$1001,0),MATCH(COLUMNS($AD$1006:AS1006),$AD$1006:$AU$1006,0)), HYPERLINK("#",""), HYPERLINK(CONCATENATE("#metadata!", ADDRESS(INDEX($Y$2:$Y$1001,MATCH(ROWS($W$2:W120),$W$2:$W$1001,0),0), INDEX($AD$1004:$AU$1004,1,MATCH(COLUMNS($AD$1006:AS1006),$AD$1006:$AU$1006,0)))),"Fix")))</f>
        <v xml:space="preserve"> </v>
      </c>
      <c r="R120" s="4" t="str">
        <f ca="1">IF(OR(INDEX($X$2:$X$1001,MATCH(ROWS($W$2:W120),$W$2:$W$1001,0),1)&gt;=100000,INDEX($AD$1005:$AU$1005,1,MATCH(COLUMNS($AD$1006:AT1006),$AD$1006:$AU$1006,0))&gt;=100000), " ",IF(INDEX($AD$2:$AU$1001,MATCH(ROWS($W$2:W120),$W$2:$W$1001,0),MATCH(COLUMNS($AD$1006:AT1006),$AD$1006:$AU$1006,0)), HYPERLINK("#",""), HYPERLINK(CONCATENATE("#metadata!", ADDRESS(INDEX($Y$2:$Y$1001,MATCH(ROWS($W$2:W120),$W$2:$W$1001,0),0), INDEX($AD$1004:$AU$1004,1,MATCH(COLUMNS($AD$1006:AT1006),$AD$1006:$AU$1006,0)))),"Fix")))</f>
        <v xml:space="preserve"> </v>
      </c>
      <c r="S120" s="4" t="str">
        <f ca="1">IF(OR(INDEX($X$2:$X$1001,MATCH(ROWS($W$2:W120),$W$2:$W$1001,0),1)&gt;=100000,INDEX($AD$1005:$AU$1005,1,MATCH(COLUMNS($AD$1006:AU1006),$AD$1006:$AU$1006,0))&gt;=100000), " ",IF(INDEX($AD$2:$AU$1001,MATCH(ROWS($W$2:W120),$W$2:$W$1001,0),MATCH(COLUMNS($AD$1006:AU1006),$AD$1006:$AU$1006,0)), HYPERLINK("#",""), HYPERLINK(CONCATENATE("#metadata!", ADDRESS(INDEX($Y$2:$Y$1001,MATCH(ROWS($W$2:W120),$W$2:$W$1001,0),0), INDEX($AD$1004:$AU$1004,1,MATCH(COLUMNS($AD$1006:AU1006),$AD$1006:$AU$1006,0)))),"Fix")))</f>
        <v xml:space="preserve"> </v>
      </c>
      <c r="W120">
        <v>119</v>
      </c>
      <c r="X120">
        <v>100120</v>
      </c>
      <c r="Y120">
        <v>120</v>
      </c>
      <c r="Z120" t="b">
        <f t="shared" si="1"/>
        <v>1</v>
      </c>
      <c r="AA120" t="b">
        <f>COUNTBLANK(metadata!B120:S120)=COLUMNS(metadata!B120:S120)</f>
        <v>1</v>
      </c>
      <c r="AB120" t="str">
        <v/>
      </c>
      <c r="AD120" t="b">
        <f ca="1">AND(IF(metadata!B120="",FALSE,TRUE),COUNTIF(metadata!B:B, metadata!B120) = 1,NOT(ISERROR(SUMPRODUCT(SEARCH(MID(metadata!B120,ROW(INDIRECT("1:"&amp;LEN(metadata!B120))), 1),"0123456789abcdefghijklmnopqrstuvwxyzABCDEFGHIJKLMNOPQRSTUVWXYZ.")))))</f>
        <v>0</v>
      </c>
      <c r="AE120" t="b">
        <f>OR(AND(IF(metadata!C120="",FALSE,TRUE),OR(EXACT(metadata!C120,"not applicable"),EXACT(metadata!C120,"missing: not collected"),EXACT(metadata!C120,"missing: not provided"),EXACT(metadata!C120,"missing: restricted access"))),AND(IF(metadata!C120="",FALSE,ISNUMBER(VALUE(metadata!C120))),metadata!C120&gt;0))</f>
        <v>0</v>
      </c>
      <c r="AF120" t="b">
        <f>AND(IF(metadata!D120="",FALSE,TRUE),EXACT(metadata!D120,"missing: not provided"))</f>
        <v>0</v>
      </c>
      <c r="AG120" t="b">
        <f>AND(IF(metadata!E120="",FALSE,TRUE),EXACT(metadata!E120,"Host-associated"))</f>
        <v>0</v>
      </c>
      <c r="AH120" t="b">
        <f>AND(IF(metadata!F120="",FALSE,TRUE),OR(EXACT(metadata!F120,"Animal"),EXACT(metadata!F120,"Fungus"),EXACT(metadata!F120,"Plant")))</f>
        <v>0</v>
      </c>
      <c r="AI120" t="b">
        <f>AND(IF(metadata!G120="",FALSE,TRUE),OR(EXACT(metadata!G120,"Plant secretion"),EXACT(metadata!G120,"Plant rhizosphere"),EXACT(metadata!G120,"Plant surface"),EXACT(metadata!G120,"Plant corpus"),EXACT(metadata!G120,"Fungus surface"),EXACT(metadata!G120,"Fungus corpus"),EXACT(metadata!G120,"Animal surface"),EXACT(metadata!G120,"Animal proximal gut"),EXACT(metadata!G120,"Animal corpus"),EXACT(metadata!G120,"Animal distal gut"),EXACT(metadata!G120,"Animal secretion")))</f>
        <v>0</v>
      </c>
      <c r="AJ120" t="b">
        <f>OR(AND(IF(metadata!H120="",FALSE,TRUE),OR(EXACT(metadata!H120,"missing: not collected"),EXACT(metadata!H120,"missing: not provided"),EXACT(metadata!H120,"missing: restricted access"))),AND(IF(metadata!H120="",FALSE,TRUE),OR(EXACT(metadata!H120,"organism-associated habitat"),EXACT(metadata!H120,"plant-associated habitat"),EXACT(metadata!H120,"animal-associated habitat"),EXACT(metadata!H120,"insecta-associated habitat"),EXACT(metadata!H120,"mammalia-associated habitat"),EXACT(metadata!H120,"human-associated habitat"),EXACT(metadata!H120,"livestock-associated habitat"))))</f>
        <v>0</v>
      </c>
      <c r="AK120" t="b">
        <f>AND(IF(metadata!I120="",FALSE,TRUE),EXACT(metadata!I120,"host-associated"))</f>
        <v>0</v>
      </c>
      <c r="AL120" t="b">
        <f>OR(AND(IF(metadata!J120="",FALSE,TRUE),OR(EXACT(metadata!J120,"not applicable"),EXACT(metadata!J120,"missing: not collected"),EXACT(metadata!J120,"missing: not provided"),EXACT(metadata!J120,"missing: restricted access"))),AND(IF(metadata!J120="",FALSE,ISNUMBER(VALUE(metadata!J120))),metadata!J120&gt;0))</f>
        <v>0</v>
      </c>
      <c r="AM120" t="b">
        <f>AND(IF(metadata!K120="",FALSE,TRUE),EXACT(metadata!K120,"missing: not provided"))</f>
        <v>0</v>
      </c>
      <c r="AN120" t="b">
        <f>IF(metadata!L120="",FALSE,TRUE)</f>
        <v>0</v>
      </c>
      <c r="AO120" t="b">
        <f>IF(metadata!M120="",FALSE,TRUE)</f>
        <v>0</v>
      </c>
      <c r="AP120" t="b">
        <f>OR(AND(IF(metadata!N120="",FALSE,TRUE),OR(EXACT(metadata!N120,"not applicable"),EXACT(metadata!N120,"missing: not collected"),EXACT(metadata!N120,"missing: not provided"))),AND(IF(metadata!N120="",FALSE,IF(ISERROR(INT(metadata!N120)),FALSE,INT(metadata!N120)=metadata!N120)),metadata!N120&gt;0))</f>
        <v>0</v>
      </c>
      <c r="AQ120" t="b">
        <f>AND(IF(metadata!O120="",FALSE,TRUE),EXACT(metadata!O120,"Not applicable"))</f>
        <v>0</v>
      </c>
      <c r="AR120" t="b">
        <f>OR(AND(IF(metadata!P120="",FALSE,TRUE),OR(EXACT(metadata!P120,"not applicable"),EXACT(metadata!P120,"missing: not collected"),EXACT(metadata!P120,"missing: not provided"),EXACT(metadata!P120,"missing: restricted access"))),IF(metadata!P120="",FALSE,IF(ISERROR(INT(metadata!P120)),FALSE,INT(metadata!P120)=metadata!P120)))</f>
        <v>0</v>
      </c>
      <c r="AS120" t="b">
        <f>AND(IF(metadata!Q120="",FALSE,TRUE),EXACT(metadata!Q120,"Not applicable"))</f>
        <v>0</v>
      </c>
      <c r="AT120" t="b">
        <f>OR(AND(IF(metadata!R120="",FALSE,TRUE),OR(EXACT(metadata!R120,"not applicable"),EXACT(metadata!R120,"missing: not collected"),EXACT(metadata!R120,"missing: not provided"),EXACT(metadata!R120,"missing: restricted access"))),AND(IF(metadata!R120="",FALSE,ISNUMBER(VALUE(metadata!R120))),metadata!R120&gt;0))</f>
        <v>0</v>
      </c>
      <c r="AU120" t="b">
        <f>AND(IF(metadata!S120="",FALSE,TRUE),EXACT(metadata!S120,"missing: not provided"))</f>
        <v>0</v>
      </c>
    </row>
    <row r="121" spans="1:47" x14ac:dyDescent="0.2">
      <c r="A121" s="5" t="str">
        <f ca="1">IF(B121=" "," ",HYPERLINK(CONCATENATE("#metadata!",ADDRESS(INDEX($Y$2:$Y$1001,MATCH(ROWS($W$2:W121),$W$2:$W$1001,0),0),1)),INDEX($AB$2:$AB$1001,MATCH(ROWS($W$2:W121),$W$2:$W$1001,0),0)))</f>
        <v xml:space="preserve"> </v>
      </c>
      <c r="B121" s="4" t="str">
        <f ca="1">IF(OR(INDEX($X$2:$X$1001,MATCH(ROWS($W$2:W121),$W$2:$W$1001,0),1)&gt;=100000,INDEX($AD$1005:$AU$1005,1,MATCH(COLUMNS($AD$1006:AD1006),$AD$1006:$AU$1006,0))&gt;=100000), " ",IF(INDEX($AD$2:$AU$1001,MATCH(ROWS($W$2:W121),$W$2:$W$1001,0),MATCH(COLUMNS($AD$1006:AD1006),$AD$1006:$AU$1006,0)), HYPERLINK("#",""), HYPERLINK(CONCATENATE("#metadata!", ADDRESS(INDEX($Y$2:$Y$1001,MATCH(ROWS($W$2:W121),$W$2:$W$1001,0),0), INDEX($AD$1004:$AU$1004,1,MATCH(COLUMNS($AD$1006:AD1006),$AD$1006:$AU$1006,0)))),"Fix")))</f>
        <v xml:space="preserve"> </v>
      </c>
      <c r="C121" s="4" t="str">
        <f ca="1">IF(OR(INDEX($X$2:$X$1001,MATCH(ROWS($W$2:W121),$W$2:$W$1001,0),1)&gt;=100000,INDEX($AD$1005:$AU$1005,1,MATCH(COLUMNS($AD$1006:AE1006),$AD$1006:$AU$1006,0))&gt;=100000), " ",IF(INDEX($AD$2:$AU$1001,MATCH(ROWS($W$2:W121),$W$2:$W$1001,0),MATCH(COLUMNS($AD$1006:AE1006),$AD$1006:$AU$1006,0)), HYPERLINK("#",""), HYPERLINK(CONCATENATE("#metadata!", ADDRESS(INDEX($Y$2:$Y$1001,MATCH(ROWS($W$2:W121),$W$2:$W$1001,0),0), INDEX($AD$1004:$AU$1004,1,MATCH(COLUMNS($AD$1006:AE1006),$AD$1006:$AU$1006,0)))),"Fix")))</f>
        <v xml:space="preserve"> </v>
      </c>
      <c r="D121" s="4" t="str">
        <f ca="1">IF(OR(INDEX($X$2:$X$1001,MATCH(ROWS($W$2:W121),$W$2:$W$1001,0),1)&gt;=100000,INDEX($AD$1005:$AU$1005,1,MATCH(COLUMNS($AD$1006:AF1006),$AD$1006:$AU$1006,0))&gt;=100000), " ",IF(INDEX($AD$2:$AU$1001,MATCH(ROWS($W$2:W121),$W$2:$W$1001,0),MATCH(COLUMNS($AD$1006:AF1006),$AD$1006:$AU$1006,0)), HYPERLINK("#",""), HYPERLINK(CONCATENATE("#metadata!", ADDRESS(INDEX($Y$2:$Y$1001,MATCH(ROWS($W$2:W121),$W$2:$W$1001,0),0), INDEX($AD$1004:$AU$1004,1,MATCH(COLUMNS($AD$1006:AF1006),$AD$1006:$AU$1006,0)))),"Fix")))</f>
        <v xml:space="preserve"> </v>
      </c>
      <c r="E121" s="4" t="str">
        <f ca="1">IF(OR(INDEX($X$2:$X$1001,MATCH(ROWS($W$2:W121),$W$2:$W$1001,0),1)&gt;=100000,INDEX($AD$1005:$AU$1005,1,MATCH(COLUMNS($AD$1006:AG1006),$AD$1006:$AU$1006,0))&gt;=100000), " ",IF(INDEX($AD$2:$AU$1001,MATCH(ROWS($W$2:W121),$W$2:$W$1001,0),MATCH(COLUMNS($AD$1006:AG1006),$AD$1006:$AU$1006,0)), HYPERLINK("#",""), HYPERLINK(CONCATENATE("#metadata!", ADDRESS(INDEX($Y$2:$Y$1001,MATCH(ROWS($W$2:W121),$W$2:$W$1001,0),0), INDEX($AD$1004:$AU$1004,1,MATCH(COLUMNS($AD$1006:AG1006),$AD$1006:$AU$1006,0)))),"Fix")))</f>
        <v xml:space="preserve"> </v>
      </c>
      <c r="F121" s="4" t="str">
        <f ca="1">IF(OR(INDEX($X$2:$X$1001,MATCH(ROWS($W$2:W121),$W$2:$W$1001,0),1)&gt;=100000,INDEX($AD$1005:$AU$1005,1,MATCH(COLUMNS($AD$1006:AH1006),$AD$1006:$AU$1006,0))&gt;=100000), " ",IF(INDEX($AD$2:$AU$1001,MATCH(ROWS($W$2:W121),$W$2:$W$1001,0),MATCH(COLUMNS($AD$1006:AH1006),$AD$1006:$AU$1006,0)), HYPERLINK("#",""), HYPERLINK(CONCATENATE("#metadata!", ADDRESS(INDEX($Y$2:$Y$1001,MATCH(ROWS($W$2:W121),$W$2:$W$1001,0),0), INDEX($AD$1004:$AU$1004,1,MATCH(COLUMNS($AD$1006:AH1006),$AD$1006:$AU$1006,0)))),"Fix")))</f>
        <v xml:space="preserve"> </v>
      </c>
      <c r="G121" s="4" t="str">
        <f ca="1">IF(OR(INDEX($X$2:$X$1001,MATCH(ROWS($W$2:W121),$W$2:$W$1001,0),1)&gt;=100000,INDEX($AD$1005:$AU$1005,1,MATCH(COLUMNS($AD$1006:AI1006),$AD$1006:$AU$1006,0))&gt;=100000), " ",IF(INDEX($AD$2:$AU$1001,MATCH(ROWS($W$2:W121),$W$2:$W$1001,0),MATCH(COLUMNS($AD$1006:AI1006),$AD$1006:$AU$1006,0)), HYPERLINK("#",""), HYPERLINK(CONCATENATE("#metadata!", ADDRESS(INDEX($Y$2:$Y$1001,MATCH(ROWS($W$2:W121),$W$2:$W$1001,0),0), INDEX($AD$1004:$AU$1004,1,MATCH(COLUMNS($AD$1006:AI1006),$AD$1006:$AU$1006,0)))),"Fix")))</f>
        <v xml:space="preserve"> </v>
      </c>
      <c r="H121" s="4" t="str">
        <f ca="1">IF(OR(INDEX($X$2:$X$1001,MATCH(ROWS($W$2:W121),$W$2:$W$1001,0),1)&gt;=100000,INDEX($AD$1005:$AU$1005,1,MATCH(COLUMNS($AD$1006:AJ1006),$AD$1006:$AU$1006,0))&gt;=100000), " ",IF(INDEX($AD$2:$AU$1001,MATCH(ROWS($W$2:W121),$W$2:$W$1001,0),MATCH(COLUMNS($AD$1006:AJ1006),$AD$1006:$AU$1006,0)), HYPERLINK("#",""), HYPERLINK(CONCATENATE("#metadata!", ADDRESS(INDEX($Y$2:$Y$1001,MATCH(ROWS($W$2:W121),$W$2:$W$1001,0),0), INDEX($AD$1004:$AU$1004,1,MATCH(COLUMNS($AD$1006:AJ1006),$AD$1006:$AU$1006,0)))),"Fix")))</f>
        <v xml:space="preserve"> </v>
      </c>
      <c r="I121" s="4" t="str">
        <f ca="1">IF(OR(INDEX($X$2:$X$1001,MATCH(ROWS($W$2:W121),$W$2:$W$1001,0),1)&gt;=100000,INDEX($AD$1005:$AU$1005,1,MATCH(COLUMNS($AD$1006:AK1006),$AD$1006:$AU$1006,0))&gt;=100000), " ",IF(INDEX($AD$2:$AU$1001,MATCH(ROWS($W$2:W121),$W$2:$W$1001,0),MATCH(COLUMNS($AD$1006:AK1006),$AD$1006:$AU$1006,0)), HYPERLINK("#",""), HYPERLINK(CONCATENATE("#metadata!", ADDRESS(INDEX($Y$2:$Y$1001,MATCH(ROWS($W$2:W121),$W$2:$W$1001,0),0), INDEX($AD$1004:$AU$1004,1,MATCH(COLUMNS($AD$1006:AK1006),$AD$1006:$AU$1006,0)))),"Fix")))</f>
        <v xml:space="preserve"> </v>
      </c>
      <c r="J121" s="4" t="str">
        <f ca="1">IF(OR(INDEX($X$2:$X$1001,MATCH(ROWS($W$2:W121),$W$2:$W$1001,0),1)&gt;=100000,INDEX($AD$1005:$AU$1005,1,MATCH(COLUMNS($AD$1006:AL1006),$AD$1006:$AU$1006,0))&gt;=100000), " ",IF(INDEX($AD$2:$AU$1001,MATCH(ROWS($W$2:W121),$W$2:$W$1001,0),MATCH(COLUMNS($AD$1006:AL1006),$AD$1006:$AU$1006,0)), HYPERLINK("#",""), HYPERLINK(CONCATENATE("#metadata!", ADDRESS(INDEX($Y$2:$Y$1001,MATCH(ROWS($W$2:W121),$W$2:$W$1001,0),0), INDEX($AD$1004:$AU$1004,1,MATCH(COLUMNS($AD$1006:AL1006),$AD$1006:$AU$1006,0)))),"Fix")))</f>
        <v xml:space="preserve"> </v>
      </c>
      <c r="K121" s="4" t="str">
        <f ca="1">IF(OR(INDEX($X$2:$X$1001,MATCH(ROWS($W$2:W121),$W$2:$W$1001,0),1)&gt;=100000,INDEX($AD$1005:$AU$1005,1,MATCH(COLUMNS($AD$1006:AM1006),$AD$1006:$AU$1006,0))&gt;=100000), " ",IF(INDEX($AD$2:$AU$1001,MATCH(ROWS($W$2:W121),$W$2:$W$1001,0),MATCH(COLUMNS($AD$1006:AM1006),$AD$1006:$AU$1006,0)), HYPERLINK("#",""), HYPERLINK(CONCATENATE("#metadata!", ADDRESS(INDEX($Y$2:$Y$1001,MATCH(ROWS($W$2:W121),$W$2:$W$1001,0),0), INDEX($AD$1004:$AU$1004,1,MATCH(COLUMNS($AD$1006:AM1006),$AD$1006:$AU$1006,0)))),"Fix")))</f>
        <v xml:space="preserve"> </v>
      </c>
      <c r="L121" s="4" t="str">
        <f ca="1">IF(OR(INDEX($X$2:$X$1001,MATCH(ROWS($W$2:W121),$W$2:$W$1001,0),1)&gt;=100000,INDEX($AD$1005:$AU$1005,1,MATCH(COLUMNS($AD$1006:AN1006),$AD$1006:$AU$1006,0))&gt;=100000), " ",IF(INDEX($AD$2:$AU$1001,MATCH(ROWS($W$2:W121),$W$2:$W$1001,0),MATCH(COLUMNS($AD$1006:AN1006),$AD$1006:$AU$1006,0)), HYPERLINK("#",""), HYPERLINK(CONCATENATE("#metadata!", ADDRESS(INDEX($Y$2:$Y$1001,MATCH(ROWS($W$2:W121),$W$2:$W$1001,0),0), INDEX($AD$1004:$AU$1004,1,MATCH(COLUMNS($AD$1006:AN1006),$AD$1006:$AU$1006,0)))),"Fix")))</f>
        <v xml:space="preserve"> </v>
      </c>
      <c r="M121" s="4" t="str">
        <f ca="1">IF(OR(INDEX($X$2:$X$1001,MATCH(ROWS($W$2:W121),$W$2:$W$1001,0),1)&gt;=100000,INDEX($AD$1005:$AU$1005,1,MATCH(COLUMNS($AD$1006:AO1006),$AD$1006:$AU$1006,0))&gt;=100000), " ",IF(INDEX($AD$2:$AU$1001,MATCH(ROWS($W$2:W121),$W$2:$W$1001,0),MATCH(COLUMNS($AD$1006:AO1006),$AD$1006:$AU$1006,0)), HYPERLINK("#",""), HYPERLINK(CONCATENATE("#metadata!", ADDRESS(INDEX($Y$2:$Y$1001,MATCH(ROWS($W$2:W121),$W$2:$W$1001,0),0), INDEX($AD$1004:$AU$1004,1,MATCH(COLUMNS($AD$1006:AO1006),$AD$1006:$AU$1006,0)))),"Fix")))</f>
        <v xml:space="preserve"> </v>
      </c>
      <c r="N121" s="4" t="str">
        <f ca="1">IF(OR(INDEX($X$2:$X$1001,MATCH(ROWS($W$2:W121),$W$2:$W$1001,0),1)&gt;=100000,INDEX($AD$1005:$AU$1005,1,MATCH(COLUMNS($AD$1006:AP1006),$AD$1006:$AU$1006,0))&gt;=100000), " ",IF(INDEX($AD$2:$AU$1001,MATCH(ROWS($W$2:W121),$W$2:$W$1001,0),MATCH(COLUMNS($AD$1006:AP1006),$AD$1006:$AU$1006,0)), HYPERLINK("#",""), HYPERLINK(CONCATENATE("#metadata!", ADDRESS(INDEX($Y$2:$Y$1001,MATCH(ROWS($W$2:W121),$W$2:$W$1001,0),0), INDEX($AD$1004:$AU$1004,1,MATCH(COLUMNS($AD$1006:AP1006),$AD$1006:$AU$1006,0)))),"Fix")))</f>
        <v xml:space="preserve"> </v>
      </c>
      <c r="O121" s="4" t="str">
        <f ca="1">IF(OR(INDEX($X$2:$X$1001,MATCH(ROWS($W$2:W121),$W$2:$W$1001,0),1)&gt;=100000,INDEX($AD$1005:$AU$1005,1,MATCH(COLUMNS($AD$1006:AQ1006),$AD$1006:$AU$1006,0))&gt;=100000), " ",IF(INDEX($AD$2:$AU$1001,MATCH(ROWS($W$2:W121),$W$2:$W$1001,0),MATCH(COLUMNS($AD$1006:AQ1006),$AD$1006:$AU$1006,0)), HYPERLINK("#",""), HYPERLINK(CONCATENATE("#metadata!", ADDRESS(INDEX($Y$2:$Y$1001,MATCH(ROWS($W$2:W121),$W$2:$W$1001,0),0), INDEX($AD$1004:$AU$1004,1,MATCH(COLUMNS($AD$1006:AQ1006),$AD$1006:$AU$1006,0)))),"Fix")))</f>
        <v xml:space="preserve"> </v>
      </c>
      <c r="P121" s="4" t="str">
        <f ca="1">IF(OR(INDEX($X$2:$X$1001,MATCH(ROWS($W$2:W121),$W$2:$W$1001,0),1)&gt;=100000,INDEX($AD$1005:$AU$1005,1,MATCH(COLUMNS($AD$1006:AR1006),$AD$1006:$AU$1006,0))&gt;=100000), " ",IF(INDEX($AD$2:$AU$1001,MATCH(ROWS($W$2:W121),$W$2:$W$1001,0),MATCH(COLUMNS($AD$1006:AR1006),$AD$1006:$AU$1006,0)), HYPERLINK("#",""), HYPERLINK(CONCATENATE("#metadata!", ADDRESS(INDEX($Y$2:$Y$1001,MATCH(ROWS($W$2:W121),$W$2:$W$1001,0),0), INDEX($AD$1004:$AU$1004,1,MATCH(COLUMNS($AD$1006:AR1006),$AD$1006:$AU$1006,0)))),"Fix")))</f>
        <v xml:space="preserve"> </v>
      </c>
      <c r="Q121" s="4" t="str">
        <f ca="1">IF(OR(INDEX($X$2:$X$1001,MATCH(ROWS($W$2:W121),$W$2:$W$1001,0),1)&gt;=100000,INDEX($AD$1005:$AU$1005,1,MATCH(COLUMNS($AD$1006:AS1006),$AD$1006:$AU$1006,0))&gt;=100000), " ",IF(INDEX($AD$2:$AU$1001,MATCH(ROWS($W$2:W121),$W$2:$W$1001,0),MATCH(COLUMNS($AD$1006:AS1006),$AD$1006:$AU$1006,0)), HYPERLINK("#",""), HYPERLINK(CONCATENATE("#metadata!", ADDRESS(INDEX($Y$2:$Y$1001,MATCH(ROWS($W$2:W121),$W$2:$W$1001,0),0), INDEX($AD$1004:$AU$1004,1,MATCH(COLUMNS($AD$1006:AS1006),$AD$1006:$AU$1006,0)))),"Fix")))</f>
        <v xml:space="preserve"> </v>
      </c>
      <c r="R121" s="4" t="str">
        <f ca="1">IF(OR(INDEX($X$2:$X$1001,MATCH(ROWS($W$2:W121),$W$2:$W$1001,0),1)&gt;=100000,INDEX($AD$1005:$AU$1005,1,MATCH(COLUMNS($AD$1006:AT1006),$AD$1006:$AU$1006,0))&gt;=100000), " ",IF(INDEX($AD$2:$AU$1001,MATCH(ROWS($W$2:W121),$W$2:$W$1001,0),MATCH(COLUMNS($AD$1006:AT1006),$AD$1006:$AU$1006,0)), HYPERLINK("#",""), HYPERLINK(CONCATENATE("#metadata!", ADDRESS(INDEX($Y$2:$Y$1001,MATCH(ROWS($W$2:W121),$W$2:$W$1001,0),0), INDEX($AD$1004:$AU$1004,1,MATCH(COLUMNS($AD$1006:AT1006),$AD$1006:$AU$1006,0)))),"Fix")))</f>
        <v xml:space="preserve"> </v>
      </c>
      <c r="S121" s="4" t="str">
        <f ca="1">IF(OR(INDEX($X$2:$X$1001,MATCH(ROWS($W$2:W121),$W$2:$W$1001,0),1)&gt;=100000,INDEX($AD$1005:$AU$1005,1,MATCH(COLUMNS($AD$1006:AU1006),$AD$1006:$AU$1006,0))&gt;=100000), " ",IF(INDEX($AD$2:$AU$1001,MATCH(ROWS($W$2:W121),$W$2:$W$1001,0),MATCH(COLUMNS($AD$1006:AU1006),$AD$1006:$AU$1006,0)), HYPERLINK("#",""), HYPERLINK(CONCATENATE("#metadata!", ADDRESS(INDEX($Y$2:$Y$1001,MATCH(ROWS($W$2:W121),$W$2:$W$1001,0),0), INDEX($AD$1004:$AU$1004,1,MATCH(COLUMNS($AD$1006:AU1006),$AD$1006:$AU$1006,0)))),"Fix")))</f>
        <v xml:space="preserve"> </v>
      </c>
      <c r="W121">
        <v>120</v>
      </c>
      <c r="X121">
        <v>100121</v>
      </c>
      <c r="Y121">
        <v>121</v>
      </c>
      <c r="Z121" t="b">
        <f t="shared" si="1"/>
        <v>1</v>
      </c>
      <c r="AA121" t="b">
        <f>COUNTBLANK(metadata!B121:S121)=COLUMNS(metadata!B121:S121)</f>
        <v>1</v>
      </c>
      <c r="AB121" t="str">
        <v/>
      </c>
      <c r="AD121" t="b">
        <f ca="1">AND(IF(metadata!B121="",FALSE,TRUE),COUNTIF(metadata!B:B, metadata!B121) = 1,NOT(ISERROR(SUMPRODUCT(SEARCH(MID(metadata!B121,ROW(INDIRECT("1:"&amp;LEN(metadata!B121))), 1),"0123456789abcdefghijklmnopqrstuvwxyzABCDEFGHIJKLMNOPQRSTUVWXYZ.")))))</f>
        <v>0</v>
      </c>
      <c r="AE121" t="b">
        <f>OR(AND(IF(metadata!C121="",FALSE,TRUE),OR(EXACT(metadata!C121,"not applicable"),EXACT(metadata!C121,"missing: not collected"),EXACT(metadata!C121,"missing: not provided"),EXACT(metadata!C121,"missing: restricted access"))),AND(IF(metadata!C121="",FALSE,ISNUMBER(VALUE(metadata!C121))),metadata!C121&gt;0))</f>
        <v>0</v>
      </c>
      <c r="AF121" t="b">
        <f>AND(IF(metadata!D121="",FALSE,TRUE),EXACT(metadata!D121,"missing: not provided"))</f>
        <v>0</v>
      </c>
      <c r="AG121" t="b">
        <f>AND(IF(metadata!E121="",FALSE,TRUE),EXACT(metadata!E121,"Host-associated"))</f>
        <v>0</v>
      </c>
      <c r="AH121" t="b">
        <f>AND(IF(metadata!F121="",FALSE,TRUE),OR(EXACT(metadata!F121,"Animal"),EXACT(metadata!F121,"Fungus"),EXACT(metadata!F121,"Plant")))</f>
        <v>0</v>
      </c>
      <c r="AI121" t="b">
        <f>AND(IF(metadata!G121="",FALSE,TRUE),OR(EXACT(metadata!G121,"Plant secretion"),EXACT(metadata!G121,"Plant rhizosphere"),EXACT(metadata!G121,"Plant surface"),EXACT(metadata!G121,"Plant corpus"),EXACT(metadata!G121,"Fungus surface"),EXACT(metadata!G121,"Fungus corpus"),EXACT(metadata!G121,"Animal surface"),EXACT(metadata!G121,"Animal proximal gut"),EXACT(metadata!G121,"Animal corpus"),EXACT(metadata!G121,"Animal distal gut"),EXACT(metadata!G121,"Animal secretion")))</f>
        <v>0</v>
      </c>
      <c r="AJ121" t="b">
        <f>OR(AND(IF(metadata!H121="",FALSE,TRUE),OR(EXACT(metadata!H121,"missing: not collected"),EXACT(metadata!H121,"missing: not provided"),EXACT(metadata!H121,"missing: restricted access"))),AND(IF(metadata!H121="",FALSE,TRUE),OR(EXACT(metadata!H121,"organism-associated habitat"),EXACT(metadata!H121,"plant-associated habitat"),EXACT(metadata!H121,"animal-associated habitat"),EXACT(metadata!H121,"insecta-associated habitat"),EXACT(metadata!H121,"mammalia-associated habitat"),EXACT(metadata!H121,"human-associated habitat"),EXACT(metadata!H121,"livestock-associated habitat"))))</f>
        <v>0</v>
      </c>
      <c r="AK121" t="b">
        <f>AND(IF(metadata!I121="",FALSE,TRUE),EXACT(metadata!I121,"host-associated"))</f>
        <v>0</v>
      </c>
      <c r="AL121" t="b">
        <f>OR(AND(IF(metadata!J121="",FALSE,TRUE),OR(EXACT(metadata!J121,"not applicable"),EXACT(metadata!J121,"missing: not collected"),EXACT(metadata!J121,"missing: not provided"),EXACT(metadata!J121,"missing: restricted access"))),AND(IF(metadata!J121="",FALSE,ISNUMBER(VALUE(metadata!J121))),metadata!J121&gt;0))</f>
        <v>0</v>
      </c>
      <c r="AM121" t="b">
        <f>AND(IF(metadata!K121="",FALSE,TRUE),EXACT(metadata!K121,"missing: not provided"))</f>
        <v>0</v>
      </c>
      <c r="AN121" t="b">
        <f>IF(metadata!L121="",FALSE,TRUE)</f>
        <v>0</v>
      </c>
      <c r="AO121" t="b">
        <f>IF(metadata!M121="",FALSE,TRUE)</f>
        <v>0</v>
      </c>
      <c r="AP121" t="b">
        <f>OR(AND(IF(metadata!N121="",FALSE,TRUE),OR(EXACT(metadata!N121,"not applicable"),EXACT(metadata!N121,"missing: not collected"),EXACT(metadata!N121,"missing: not provided"))),AND(IF(metadata!N121="",FALSE,IF(ISERROR(INT(metadata!N121)),FALSE,INT(metadata!N121)=metadata!N121)),metadata!N121&gt;0))</f>
        <v>0</v>
      </c>
      <c r="AQ121" t="b">
        <f>AND(IF(metadata!O121="",FALSE,TRUE),EXACT(metadata!O121,"Not applicable"))</f>
        <v>0</v>
      </c>
      <c r="AR121" t="b">
        <f>OR(AND(IF(metadata!P121="",FALSE,TRUE),OR(EXACT(metadata!P121,"not applicable"),EXACT(metadata!P121,"missing: not collected"),EXACT(metadata!P121,"missing: not provided"),EXACT(metadata!P121,"missing: restricted access"))),IF(metadata!P121="",FALSE,IF(ISERROR(INT(metadata!P121)),FALSE,INT(metadata!P121)=metadata!P121)))</f>
        <v>0</v>
      </c>
      <c r="AS121" t="b">
        <f>AND(IF(metadata!Q121="",FALSE,TRUE),EXACT(metadata!Q121,"Not applicable"))</f>
        <v>0</v>
      </c>
      <c r="AT121" t="b">
        <f>OR(AND(IF(metadata!R121="",FALSE,TRUE),OR(EXACT(metadata!R121,"not applicable"),EXACT(metadata!R121,"missing: not collected"),EXACT(metadata!R121,"missing: not provided"),EXACT(metadata!R121,"missing: restricted access"))),AND(IF(metadata!R121="",FALSE,ISNUMBER(VALUE(metadata!R121))),metadata!R121&gt;0))</f>
        <v>0</v>
      </c>
      <c r="AU121" t="b">
        <f>AND(IF(metadata!S121="",FALSE,TRUE),EXACT(metadata!S121,"missing: not provided"))</f>
        <v>0</v>
      </c>
    </row>
    <row r="122" spans="1:47" x14ac:dyDescent="0.2">
      <c r="A122" s="5" t="str">
        <f ca="1">IF(B122=" "," ",HYPERLINK(CONCATENATE("#metadata!",ADDRESS(INDEX($Y$2:$Y$1001,MATCH(ROWS($W$2:W122),$W$2:$W$1001,0),0),1)),INDEX($AB$2:$AB$1001,MATCH(ROWS($W$2:W122),$W$2:$W$1001,0),0)))</f>
        <v xml:space="preserve"> </v>
      </c>
      <c r="B122" s="4" t="str">
        <f ca="1">IF(OR(INDEX($X$2:$X$1001,MATCH(ROWS($W$2:W122),$W$2:$W$1001,0),1)&gt;=100000,INDEX($AD$1005:$AU$1005,1,MATCH(COLUMNS($AD$1006:AD1006),$AD$1006:$AU$1006,0))&gt;=100000), " ",IF(INDEX($AD$2:$AU$1001,MATCH(ROWS($W$2:W122),$W$2:$W$1001,0),MATCH(COLUMNS($AD$1006:AD1006),$AD$1006:$AU$1006,0)), HYPERLINK("#",""), HYPERLINK(CONCATENATE("#metadata!", ADDRESS(INDEX($Y$2:$Y$1001,MATCH(ROWS($W$2:W122),$W$2:$W$1001,0),0), INDEX($AD$1004:$AU$1004,1,MATCH(COLUMNS($AD$1006:AD1006),$AD$1006:$AU$1006,0)))),"Fix")))</f>
        <v xml:space="preserve"> </v>
      </c>
      <c r="C122" s="4" t="str">
        <f ca="1">IF(OR(INDEX($X$2:$X$1001,MATCH(ROWS($W$2:W122),$W$2:$W$1001,0),1)&gt;=100000,INDEX($AD$1005:$AU$1005,1,MATCH(COLUMNS($AD$1006:AE1006),$AD$1006:$AU$1006,0))&gt;=100000), " ",IF(INDEX($AD$2:$AU$1001,MATCH(ROWS($W$2:W122),$W$2:$W$1001,0),MATCH(COLUMNS($AD$1006:AE1006),$AD$1006:$AU$1006,0)), HYPERLINK("#",""), HYPERLINK(CONCATENATE("#metadata!", ADDRESS(INDEX($Y$2:$Y$1001,MATCH(ROWS($W$2:W122),$W$2:$W$1001,0),0), INDEX($AD$1004:$AU$1004,1,MATCH(COLUMNS($AD$1006:AE1006),$AD$1006:$AU$1006,0)))),"Fix")))</f>
        <v xml:space="preserve"> </v>
      </c>
      <c r="D122" s="4" t="str">
        <f ca="1">IF(OR(INDEX($X$2:$X$1001,MATCH(ROWS($W$2:W122),$W$2:$W$1001,0),1)&gt;=100000,INDEX($AD$1005:$AU$1005,1,MATCH(COLUMNS($AD$1006:AF1006),$AD$1006:$AU$1006,0))&gt;=100000), " ",IF(INDEX($AD$2:$AU$1001,MATCH(ROWS($W$2:W122),$W$2:$W$1001,0),MATCH(COLUMNS($AD$1006:AF1006),$AD$1006:$AU$1006,0)), HYPERLINK("#",""), HYPERLINK(CONCATENATE("#metadata!", ADDRESS(INDEX($Y$2:$Y$1001,MATCH(ROWS($W$2:W122),$W$2:$W$1001,0),0), INDEX($AD$1004:$AU$1004,1,MATCH(COLUMNS($AD$1006:AF1006),$AD$1006:$AU$1006,0)))),"Fix")))</f>
        <v xml:space="preserve"> </v>
      </c>
      <c r="E122" s="4" t="str">
        <f ca="1">IF(OR(INDEX($X$2:$X$1001,MATCH(ROWS($W$2:W122),$W$2:$W$1001,0),1)&gt;=100000,INDEX($AD$1005:$AU$1005,1,MATCH(COLUMNS($AD$1006:AG1006),$AD$1006:$AU$1006,0))&gt;=100000), " ",IF(INDEX($AD$2:$AU$1001,MATCH(ROWS($W$2:W122),$W$2:$W$1001,0),MATCH(COLUMNS($AD$1006:AG1006),$AD$1006:$AU$1006,0)), HYPERLINK("#",""), HYPERLINK(CONCATENATE("#metadata!", ADDRESS(INDEX($Y$2:$Y$1001,MATCH(ROWS($W$2:W122),$W$2:$W$1001,0),0), INDEX($AD$1004:$AU$1004,1,MATCH(COLUMNS($AD$1006:AG1006),$AD$1006:$AU$1006,0)))),"Fix")))</f>
        <v xml:space="preserve"> </v>
      </c>
      <c r="F122" s="4" t="str">
        <f ca="1">IF(OR(INDEX($X$2:$X$1001,MATCH(ROWS($W$2:W122),$W$2:$W$1001,0),1)&gt;=100000,INDEX($AD$1005:$AU$1005,1,MATCH(COLUMNS($AD$1006:AH1006),$AD$1006:$AU$1006,0))&gt;=100000), " ",IF(INDEX($AD$2:$AU$1001,MATCH(ROWS($W$2:W122),$W$2:$W$1001,0),MATCH(COLUMNS($AD$1006:AH1006),$AD$1006:$AU$1006,0)), HYPERLINK("#",""), HYPERLINK(CONCATENATE("#metadata!", ADDRESS(INDEX($Y$2:$Y$1001,MATCH(ROWS($W$2:W122),$W$2:$W$1001,0),0), INDEX($AD$1004:$AU$1004,1,MATCH(COLUMNS($AD$1006:AH1006),$AD$1006:$AU$1006,0)))),"Fix")))</f>
        <v xml:space="preserve"> </v>
      </c>
      <c r="G122" s="4" t="str">
        <f ca="1">IF(OR(INDEX($X$2:$X$1001,MATCH(ROWS($W$2:W122),$W$2:$W$1001,0),1)&gt;=100000,INDEX($AD$1005:$AU$1005,1,MATCH(COLUMNS($AD$1006:AI1006),$AD$1006:$AU$1006,0))&gt;=100000), " ",IF(INDEX($AD$2:$AU$1001,MATCH(ROWS($W$2:W122),$W$2:$W$1001,0),MATCH(COLUMNS($AD$1006:AI1006),$AD$1006:$AU$1006,0)), HYPERLINK("#",""), HYPERLINK(CONCATENATE("#metadata!", ADDRESS(INDEX($Y$2:$Y$1001,MATCH(ROWS($W$2:W122),$W$2:$W$1001,0),0), INDEX($AD$1004:$AU$1004,1,MATCH(COLUMNS($AD$1006:AI1006),$AD$1006:$AU$1006,0)))),"Fix")))</f>
        <v xml:space="preserve"> </v>
      </c>
      <c r="H122" s="4" t="str">
        <f ca="1">IF(OR(INDEX($X$2:$X$1001,MATCH(ROWS($W$2:W122),$W$2:$W$1001,0),1)&gt;=100000,INDEX($AD$1005:$AU$1005,1,MATCH(COLUMNS($AD$1006:AJ1006),$AD$1006:$AU$1006,0))&gt;=100000), " ",IF(INDEX($AD$2:$AU$1001,MATCH(ROWS($W$2:W122),$W$2:$W$1001,0),MATCH(COLUMNS($AD$1006:AJ1006),$AD$1006:$AU$1006,0)), HYPERLINK("#",""), HYPERLINK(CONCATENATE("#metadata!", ADDRESS(INDEX($Y$2:$Y$1001,MATCH(ROWS($W$2:W122),$W$2:$W$1001,0),0), INDEX($AD$1004:$AU$1004,1,MATCH(COLUMNS($AD$1006:AJ1006),$AD$1006:$AU$1006,0)))),"Fix")))</f>
        <v xml:space="preserve"> </v>
      </c>
      <c r="I122" s="4" t="str">
        <f ca="1">IF(OR(INDEX($X$2:$X$1001,MATCH(ROWS($W$2:W122),$W$2:$W$1001,0),1)&gt;=100000,INDEX($AD$1005:$AU$1005,1,MATCH(COLUMNS($AD$1006:AK1006),$AD$1006:$AU$1006,0))&gt;=100000), " ",IF(INDEX($AD$2:$AU$1001,MATCH(ROWS($W$2:W122),$W$2:$W$1001,0),MATCH(COLUMNS($AD$1006:AK1006),$AD$1006:$AU$1006,0)), HYPERLINK("#",""), HYPERLINK(CONCATENATE("#metadata!", ADDRESS(INDEX($Y$2:$Y$1001,MATCH(ROWS($W$2:W122),$W$2:$W$1001,0),0), INDEX($AD$1004:$AU$1004,1,MATCH(COLUMNS($AD$1006:AK1006),$AD$1006:$AU$1006,0)))),"Fix")))</f>
        <v xml:space="preserve"> </v>
      </c>
      <c r="J122" s="4" t="str">
        <f ca="1">IF(OR(INDEX($X$2:$X$1001,MATCH(ROWS($W$2:W122),$W$2:$W$1001,0),1)&gt;=100000,INDEX($AD$1005:$AU$1005,1,MATCH(COLUMNS($AD$1006:AL1006),$AD$1006:$AU$1006,0))&gt;=100000), " ",IF(INDEX($AD$2:$AU$1001,MATCH(ROWS($W$2:W122),$W$2:$W$1001,0),MATCH(COLUMNS($AD$1006:AL1006),$AD$1006:$AU$1006,0)), HYPERLINK("#",""), HYPERLINK(CONCATENATE("#metadata!", ADDRESS(INDEX($Y$2:$Y$1001,MATCH(ROWS($W$2:W122),$W$2:$W$1001,0),0), INDEX($AD$1004:$AU$1004,1,MATCH(COLUMNS($AD$1006:AL1006),$AD$1006:$AU$1006,0)))),"Fix")))</f>
        <v xml:space="preserve"> </v>
      </c>
      <c r="K122" s="4" t="str">
        <f ca="1">IF(OR(INDEX($X$2:$X$1001,MATCH(ROWS($W$2:W122),$W$2:$W$1001,0),1)&gt;=100000,INDEX($AD$1005:$AU$1005,1,MATCH(COLUMNS($AD$1006:AM1006),$AD$1006:$AU$1006,0))&gt;=100000), " ",IF(INDEX($AD$2:$AU$1001,MATCH(ROWS($W$2:W122),$W$2:$W$1001,0),MATCH(COLUMNS($AD$1006:AM1006),$AD$1006:$AU$1006,0)), HYPERLINK("#",""), HYPERLINK(CONCATENATE("#metadata!", ADDRESS(INDEX($Y$2:$Y$1001,MATCH(ROWS($W$2:W122),$W$2:$W$1001,0),0), INDEX($AD$1004:$AU$1004,1,MATCH(COLUMNS($AD$1006:AM1006),$AD$1006:$AU$1006,0)))),"Fix")))</f>
        <v xml:space="preserve"> </v>
      </c>
      <c r="L122" s="4" t="str">
        <f ca="1">IF(OR(INDEX($X$2:$X$1001,MATCH(ROWS($W$2:W122),$W$2:$W$1001,0),1)&gt;=100000,INDEX($AD$1005:$AU$1005,1,MATCH(COLUMNS($AD$1006:AN1006),$AD$1006:$AU$1006,0))&gt;=100000), " ",IF(INDEX($AD$2:$AU$1001,MATCH(ROWS($W$2:W122),$W$2:$W$1001,0),MATCH(COLUMNS($AD$1006:AN1006),$AD$1006:$AU$1006,0)), HYPERLINK("#",""), HYPERLINK(CONCATENATE("#metadata!", ADDRESS(INDEX($Y$2:$Y$1001,MATCH(ROWS($W$2:W122),$W$2:$W$1001,0),0), INDEX($AD$1004:$AU$1004,1,MATCH(COLUMNS($AD$1006:AN1006),$AD$1006:$AU$1006,0)))),"Fix")))</f>
        <v xml:space="preserve"> </v>
      </c>
      <c r="M122" s="4" t="str">
        <f ca="1">IF(OR(INDEX($X$2:$X$1001,MATCH(ROWS($W$2:W122),$W$2:$W$1001,0),1)&gt;=100000,INDEX($AD$1005:$AU$1005,1,MATCH(COLUMNS($AD$1006:AO1006),$AD$1006:$AU$1006,0))&gt;=100000), " ",IF(INDEX($AD$2:$AU$1001,MATCH(ROWS($W$2:W122),$W$2:$W$1001,0),MATCH(COLUMNS($AD$1006:AO1006),$AD$1006:$AU$1006,0)), HYPERLINK("#",""), HYPERLINK(CONCATENATE("#metadata!", ADDRESS(INDEX($Y$2:$Y$1001,MATCH(ROWS($W$2:W122),$W$2:$W$1001,0),0), INDEX($AD$1004:$AU$1004,1,MATCH(COLUMNS($AD$1006:AO1006),$AD$1006:$AU$1006,0)))),"Fix")))</f>
        <v xml:space="preserve"> </v>
      </c>
      <c r="N122" s="4" t="str">
        <f ca="1">IF(OR(INDEX($X$2:$X$1001,MATCH(ROWS($W$2:W122),$W$2:$W$1001,0),1)&gt;=100000,INDEX($AD$1005:$AU$1005,1,MATCH(COLUMNS($AD$1006:AP1006),$AD$1006:$AU$1006,0))&gt;=100000), " ",IF(INDEX($AD$2:$AU$1001,MATCH(ROWS($W$2:W122),$W$2:$W$1001,0),MATCH(COLUMNS($AD$1006:AP1006),$AD$1006:$AU$1006,0)), HYPERLINK("#",""), HYPERLINK(CONCATENATE("#metadata!", ADDRESS(INDEX($Y$2:$Y$1001,MATCH(ROWS($W$2:W122),$W$2:$W$1001,0),0), INDEX($AD$1004:$AU$1004,1,MATCH(COLUMNS($AD$1006:AP1006),$AD$1006:$AU$1006,0)))),"Fix")))</f>
        <v xml:space="preserve"> </v>
      </c>
      <c r="O122" s="4" t="str">
        <f ca="1">IF(OR(INDEX($X$2:$X$1001,MATCH(ROWS($W$2:W122),$W$2:$W$1001,0),1)&gt;=100000,INDEX($AD$1005:$AU$1005,1,MATCH(COLUMNS($AD$1006:AQ1006),$AD$1006:$AU$1006,0))&gt;=100000), " ",IF(INDEX($AD$2:$AU$1001,MATCH(ROWS($W$2:W122),$W$2:$W$1001,0),MATCH(COLUMNS($AD$1006:AQ1006),$AD$1006:$AU$1006,0)), HYPERLINK("#",""), HYPERLINK(CONCATENATE("#metadata!", ADDRESS(INDEX($Y$2:$Y$1001,MATCH(ROWS($W$2:W122),$W$2:$W$1001,0),0), INDEX($AD$1004:$AU$1004,1,MATCH(COLUMNS($AD$1006:AQ1006),$AD$1006:$AU$1006,0)))),"Fix")))</f>
        <v xml:space="preserve"> </v>
      </c>
      <c r="P122" s="4" t="str">
        <f ca="1">IF(OR(INDEX($X$2:$X$1001,MATCH(ROWS($W$2:W122),$W$2:$W$1001,0),1)&gt;=100000,INDEX($AD$1005:$AU$1005,1,MATCH(COLUMNS($AD$1006:AR1006),$AD$1006:$AU$1006,0))&gt;=100000), " ",IF(INDEX($AD$2:$AU$1001,MATCH(ROWS($W$2:W122),$W$2:$W$1001,0),MATCH(COLUMNS($AD$1006:AR1006),$AD$1006:$AU$1006,0)), HYPERLINK("#",""), HYPERLINK(CONCATENATE("#metadata!", ADDRESS(INDEX($Y$2:$Y$1001,MATCH(ROWS($W$2:W122),$W$2:$W$1001,0),0), INDEX($AD$1004:$AU$1004,1,MATCH(COLUMNS($AD$1006:AR1006),$AD$1006:$AU$1006,0)))),"Fix")))</f>
        <v xml:space="preserve"> </v>
      </c>
      <c r="Q122" s="4" t="str">
        <f ca="1">IF(OR(INDEX($X$2:$X$1001,MATCH(ROWS($W$2:W122),$W$2:$W$1001,0),1)&gt;=100000,INDEX($AD$1005:$AU$1005,1,MATCH(COLUMNS($AD$1006:AS1006),$AD$1006:$AU$1006,0))&gt;=100000), " ",IF(INDEX($AD$2:$AU$1001,MATCH(ROWS($W$2:W122),$W$2:$W$1001,0),MATCH(COLUMNS($AD$1006:AS1006),$AD$1006:$AU$1006,0)), HYPERLINK("#",""), HYPERLINK(CONCATENATE("#metadata!", ADDRESS(INDEX($Y$2:$Y$1001,MATCH(ROWS($W$2:W122),$W$2:$W$1001,0),0), INDEX($AD$1004:$AU$1004,1,MATCH(COLUMNS($AD$1006:AS1006),$AD$1006:$AU$1006,0)))),"Fix")))</f>
        <v xml:space="preserve"> </v>
      </c>
      <c r="R122" s="4" t="str">
        <f ca="1">IF(OR(INDEX($X$2:$X$1001,MATCH(ROWS($W$2:W122),$W$2:$W$1001,0),1)&gt;=100000,INDEX($AD$1005:$AU$1005,1,MATCH(COLUMNS($AD$1006:AT1006),$AD$1006:$AU$1006,0))&gt;=100000), " ",IF(INDEX($AD$2:$AU$1001,MATCH(ROWS($W$2:W122),$W$2:$W$1001,0),MATCH(COLUMNS($AD$1006:AT1006),$AD$1006:$AU$1006,0)), HYPERLINK("#",""), HYPERLINK(CONCATENATE("#metadata!", ADDRESS(INDEX($Y$2:$Y$1001,MATCH(ROWS($W$2:W122),$W$2:$W$1001,0),0), INDEX($AD$1004:$AU$1004,1,MATCH(COLUMNS($AD$1006:AT1006),$AD$1006:$AU$1006,0)))),"Fix")))</f>
        <v xml:space="preserve"> </v>
      </c>
      <c r="S122" s="4" t="str">
        <f ca="1">IF(OR(INDEX($X$2:$X$1001,MATCH(ROWS($W$2:W122),$W$2:$W$1001,0),1)&gt;=100000,INDEX($AD$1005:$AU$1005,1,MATCH(COLUMNS($AD$1006:AU1006),$AD$1006:$AU$1006,0))&gt;=100000), " ",IF(INDEX($AD$2:$AU$1001,MATCH(ROWS($W$2:W122),$W$2:$W$1001,0),MATCH(COLUMNS($AD$1006:AU1006),$AD$1006:$AU$1006,0)), HYPERLINK("#",""), HYPERLINK(CONCATENATE("#metadata!", ADDRESS(INDEX($Y$2:$Y$1001,MATCH(ROWS($W$2:W122),$W$2:$W$1001,0),0), INDEX($AD$1004:$AU$1004,1,MATCH(COLUMNS($AD$1006:AU1006),$AD$1006:$AU$1006,0)))),"Fix")))</f>
        <v xml:space="preserve"> </v>
      </c>
      <c r="W122">
        <v>121</v>
      </c>
      <c r="X122">
        <v>100122</v>
      </c>
      <c r="Y122">
        <v>122</v>
      </c>
      <c r="Z122" t="b">
        <f t="shared" si="1"/>
        <v>1</v>
      </c>
      <c r="AA122" t="b">
        <f>COUNTBLANK(metadata!B122:S122)=COLUMNS(metadata!B122:S122)</f>
        <v>1</v>
      </c>
      <c r="AB122" t="str">
        <v/>
      </c>
      <c r="AD122" t="b">
        <f ca="1">AND(IF(metadata!B122="",FALSE,TRUE),COUNTIF(metadata!B:B, metadata!B122) = 1,NOT(ISERROR(SUMPRODUCT(SEARCH(MID(metadata!B122,ROW(INDIRECT("1:"&amp;LEN(metadata!B122))), 1),"0123456789abcdefghijklmnopqrstuvwxyzABCDEFGHIJKLMNOPQRSTUVWXYZ.")))))</f>
        <v>0</v>
      </c>
      <c r="AE122" t="b">
        <f>OR(AND(IF(metadata!C122="",FALSE,TRUE),OR(EXACT(metadata!C122,"not applicable"),EXACT(metadata!C122,"missing: not collected"),EXACT(metadata!C122,"missing: not provided"),EXACT(metadata!C122,"missing: restricted access"))),AND(IF(metadata!C122="",FALSE,ISNUMBER(VALUE(metadata!C122))),metadata!C122&gt;0))</f>
        <v>0</v>
      </c>
      <c r="AF122" t="b">
        <f>AND(IF(metadata!D122="",FALSE,TRUE),EXACT(metadata!D122,"missing: not provided"))</f>
        <v>0</v>
      </c>
      <c r="AG122" t="b">
        <f>AND(IF(metadata!E122="",FALSE,TRUE),EXACT(metadata!E122,"Host-associated"))</f>
        <v>0</v>
      </c>
      <c r="AH122" t="b">
        <f>AND(IF(metadata!F122="",FALSE,TRUE),OR(EXACT(metadata!F122,"Animal"),EXACT(metadata!F122,"Fungus"),EXACT(metadata!F122,"Plant")))</f>
        <v>0</v>
      </c>
      <c r="AI122" t="b">
        <f>AND(IF(metadata!G122="",FALSE,TRUE),OR(EXACT(metadata!G122,"Plant secretion"),EXACT(metadata!G122,"Plant rhizosphere"),EXACT(metadata!G122,"Plant surface"),EXACT(metadata!G122,"Plant corpus"),EXACT(metadata!G122,"Fungus surface"),EXACT(metadata!G122,"Fungus corpus"),EXACT(metadata!G122,"Animal surface"),EXACT(metadata!G122,"Animal proximal gut"),EXACT(metadata!G122,"Animal corpus"),EXACT(metadata!G122,"Animal distal gut"),EXACT(metadata!G122,"Animal secretion")))</f>
        <v>0</v>
      </c>
      <c r="AJ122" t="b">
        <f>OR(AND(IF(metadata!H122="",FALSE,TRUE),OR(EXACT(metadata!H122,"missing: not collected"),EXACT(metadata!H122,"missing: not provided"),EXACT(metadata!H122,"missing: restricted access"))),AND(IF(metadata!H122="",FALSE,TRUE),OR(EXACT(metadata!H122,"organism-associated habitat"),EXACT(metadata!H122,"plant-associated habitat"),EXACT(metadata!H122,"animal-associated habitat"),EXACT(metadata!H122,"insecta-associated habitat"),EXACT(metadata!H122,"mammalia-associated habitat"),EXACT(metadata!H122,"human-associated habitat"),EXACT(metadata!H122,"livestock-associated habitat"))))</f>
        <v>0</v>
      </c>
      <c r="AK122" t="b">
        <f>AND(IF(metadata!I122="",FALSE,TRUE),EXACT(metadata!I122,"host-associated"))</f>
        <v>0</v>
      </c>
      <c r="AL122" t="b">
        <f>OR(AND(IF(metadata!J122="",FALSE,TRUE),OR(EXACT(metadata!J122,"not applicable"),EXACT(metadata!J122,"missing: not collected"),EXACT(metadata!J122,"missing: not provided"),EXACT(metadata!J122,"missing: restricted access"))),AND(IF(metadata!J122="",FALSE,ISNUMBER(VALUE(metadata!J122))),metadata!J122&gt;0))</f>
        <v>0</v>
      </c>
      <c r="AM122" t="b">
        <f>AND(IF(metadata!K122="",FALSE,TRUE),EXACT(metadata!K122,"missing: not provided"))</f>
        <v>0</v>
      </c>
      <c r="AN122" t="b">
        <f>IF(metadata!L122="",FALSE,TRUE)</f>
        <v>0</v>
      </c>
      <c r="AO122" t="b">
        <f>IF(metadata!M122="",FALSE,TRUE)</f>
        <v>0</v>
      </c>
      <c r="AP122" t="b">
        <f>OR(AND(IF(metadata!N122="",FALSE,TRUE),OR(EXACT(metadata!N122,"not applicable"),EXACT(metadata!N122,"missing: not collected"),EXACT(metadata!N122,"missing: not provided"))),AND(IF(metadata!N122="",FALSE,IF(ISERROR(INT(metadata!N122)),FALSE,INT(metadata!N122)=metadata!N122)),metadata!N122&gt;0))</f>
        <v>0</v>
      </c>
      <c r="AQ122" t="b">
        <f>AND(IF(metadata!O122="",FALSE,TRUE),EXACT(metadata!O122,"Not applicable"))</f>
        <v>0</v>
      </c>
      <c r="AR122" t="b">
        <f>OR(AND(IF(metadata!P122="",FALSE,TRUE),OR(EXACT(metadata!P122,"not applicable"),EXACT(metadata!P122,"missing: not collected"),EXACT(metadata!P122,"missing: not provided"),EXACT(metadata!P122,"missing: restricted access"))),IF(metadata!P122="",FALSE,IF(ISERROR(INT(metadata!P122)),FALSE,INT(metadata!P122)=metadata!P122)))</f>
        <v>0</v>
      </c>
      <c r="AS122" t="b">
        <f>AND(IF(metadata!Q122="",FALSE,TRUE),EXACT(metadata!Q122,"Not applicable"))</f>
        <v>0</v>
      </c>
      <c r="AT122" t="b">
        <f>OR(AND(IF(metadata!R122="",FALSE,TRUE),OR(EXACT(metadata!R122,"not applicable"),EXACT(metadata!R122,"missing: not collected"),EXACT(metadata!R122,"missing: not provided"),EXACT(metadata!R122,"missing: restricted access"))),AND(IF(metadata!R122="",FALSE,ISNUMBER(VALUE(metadata!R122))),metadata!R122&gt;0))</f>
        <v>0</v>
      </c>
      <c r="AU122" t="b">
        <f>AND(IF(metadata!S122="",FALSE,TRUE),EXACT(metadata!S122,"missing: not provided"))</f>
        <v>0</v>
      </c>
    </row>
    <row r="123" spans="1:47" x14ac:dyDescent="0.2">
      <c r="A123" s="5" t="str">
        <f ca="1">IF(B123=" "," ",HYPERLINK(CONCATENATE("#metadata!",ADDRESS(INDEX($Y$2:$Y$1001,MATCH(ROWS($W$2:W123),$W$2:$W$1001,0),0),1)),INDEX($AB$2:$AB$1001,MATCH(ROWS($W$2:W123),$W$2:$W$1001,0),0)))</f>
        <v xml:space="preserve"> </v>
      </c>
      <c r="B123" s="4" t="str">
        <f ca="1">IF(OR(INDEX($X$2:$X$1001,MATCH(ROWS($W$2:W123),$W$2:$W$1001,0),1)&gt;=100000,INDEX($AD$1005:$AU$1005,1,MATCH(COLUMNS($AD$1006:AD1006),$AD$1006:$AU$1006,0))&gt;=100000), " ",IF(INDEX($AD$2:$AU$1001,MATCH(ROWS($W$2:W123),$W$2:$W$1001,0),MATCH(COLUMNS($AD$1006:AD1006),$AD$1006:$AU$1006,0)), HYPERLINK("#",""), HYPERLINK(CONCATENATE("#metadata!", ADDRESS(INDEX($Y$2:$Y$1001,MATCH(ROWS($W$2:W123),$W$2:$W$1001,0),0), INDEX($AD$1004:$AU$1004,1,MATCH(COLUMNS($AD$1006:AD1006),$AD$1006:$AU$1006,0)))),"Fix")))</f>
        <v xml:space="preserve"> </v>
      </c>
      <c r="C123" s="4" t="str">
        <f ca="1">IF(OR(INDEX($X$2:$X$1001,MATCH(ROWS($W$2:W123),$W$2:$W$1001,0),1)&gt;=100000,INDEX($AD$1005:$AU$1005,1,MATCH(COLUMNS($AD$1006:AE1006),$AD$1006:$AU$1006,0))&gt;=100000), " ",IF(INDEX($AD$2:$AU$1001,MATCH(ROWS($W$2:W123),$W$2:$W$1001,0),MATCH(COLUMNS($AD$1006:AE1006),$AD$1006:$AU$1006,0)), HYPERLINK("#",""), HYPERLINK(CONCATENATE("#metadata!", ADDRESS(INDEX($Y$2:$Y$1001,MATCH(ROWS($W$2:W123),$W$2:$W$1001,0),0), INDEX($AD$1004:$AU$1004,1,MATCH(COLUMNS($AD$1006:AE1006),$AD$1006:$AU$1006,0)))),"Fix")))</f>
        <v xml:space="preserve"> </v>
      </c>
      <c r="D123" s="4" t="str">
        <f ca="1">IF(OR(INDEX($X$2:$X$1001,MATCH(ROWS($W$2:W123),$W$2:$W$1001,0),1)&gt;=100000,INDEX($AD$1005:$AU$1005,1,MATCH(COLUMNS($AD$1006:AF1006),$AD$1006:$AU$1006,0))&gt;=100000), " ",IF(INDEX($AD$2:$AU$1001,MATCH(ROWS($W$2:W123),$W$2:$W$1001,0),MATCH(COLUMNS($AD$1006:AF1006),$AD$1006:$AU$1006,0)), HYPERLINK("#",""), HYPERLINK(CONCATENATE("#metadata!", ADDRESS(INDEX($Y$2:$Y$1001,MATCH(ROWS($W$2:W123),$W$2:$W$1001,0),0), INDEX($AD$1004:$AU$1004,1,MATCH(COLUMNS($AD$1006:AF1006),$AD$1006:$AU$1006,0)))),"Fix")))</f>
        <v xml:space="preserve"> </v>
      </c>
      <c r="E123" s="4" t="str">
        <f ca="1">IF(OR(INDEX($X$2:$X$1001,MATCH(ROWS($W$2:W123),$W$2:$W$1001,0),1)&gt;=100000,INDEX($AD$1005:$AU$1005,1,MATCH(COLUMNS($AD$1006:AG1006),$AD$1006:$AU$1006,0))&gt;=100000), " ",IF(INDEX($AD$2:$AU$1001,MATCH(ROWS($W$2:W123),$W$2:$W$1001,0),MATCH(COLUMNS($AD$1006:AG1006),$AD$1006:$AU$1006,0)), HYPERLINK("#",""), HYPERLINK(CONCATENATE("#metadata!", ADDRESS(INDEX($Y$2:$Y$1001,MATCH(ROWS($W$2:W123),$W$2:$W$1001,0),0), INDEX($AD$1004:$AU$1004,1,MATCH(COLUMNS($AD$1006:AG1006),$AD$1006:$AU$1006,0)))),"Fix")))</f>
        <v xml:space="preserve"> </v>
      </c>
      <c r="F123" s="4" t="str">
        <f ca="1">IF(OR(INDEX($X$2:$X$1001,MATCH(ROWS($W$2:W123),$W$2:$W$1001,0),1)&gt;=100000,INDEX($AD$1005:$AU$1005,1,MATCH(COLUMNS($AD$1006:AH1006),$AD$1006:$AU$1006,0))&gt;=100000), " ",IF(INDEX($AD$2:$AU$1001,MATCH(ROWS($W$2:W123),$W$2:$W$1001,0),MATCH(COLUMNS($AD$1006:AH1006),$AD$1006:$AU$1006,0)), HYPERLINK("#",""), HYPERLINK(CONCATENATE("#metadata!", ADDRESS(INDEX($Y$2:$Y$1001,MATCH(ROWS($W$2:W123),$W$2:$W$1001,0),0), INDEX($AD$1004:$AU$1004,1,MATCH(COLUMNS($AD$1006:AH1006),$AD$1006:$AU$1006,0)))),"Fix")))</f>
        <v xml:space="preserve"> </v>
      </c>
      <c r="G123" s="4" t="str">
        <f ca="1">IF(OR(INDEX($X$2:$X$1001,MATCH(ROWS($W$2:W123),$W$2:$W$1001,0),1)&gt;=100000,INDEX($AD$1005:$AU$1005,1,MATCH(COLUMNS($AD$1006:AI1006),$AD$1006:$AU$1006,0))&gt;=100000), " ",IF(INDEX($AD$2:$AU$1001,MATCH(ROWS($W$2:W123),$W$2:$W$1001,0),MATCH(COLUMNS($AD$1006:AI1006),$AD$1006:$AU$1006,0)), HYPERLINK("#",""), HYPERLINK(CONCATENATE("#metadata!", ADDRESS(INDEX($Y$2:$Y$1001,MATCH(ROWS($W$2:W123),$W$2:$W$1001,0),0), INDEX($AD$1004:$AU$1004,1,MATCH(COLUMNS($AD$1006:AI1006),$AD$1006:$AU$1006,0)))),"Fix")))</f>
        <v xml:space="preserve"> </v>
      </c>
      <c r="H123" s="4" t="str">
        <f ca="1">IF(OR(INDEX($X$2:$X$1001,MATCH(ROWS($W$2:W123),$W$2:$W$1001,0),1)&gt;=100000,INDEX($AD$1005:$AU$1005,1,MATCH(COLUMNS($AD$1006:AJ1006),$AD$1006:$AU$1006,0))&gt;=100000), " ",IF(INDEX($AD$2:$AU$1001,MATCH(ROWS($W$2:W123),$W$2:$W$1001,0),MATCH(COLUMNS($AD$1006:AJ1006),$AD$1006:$AU$1006,0)), HYPERLINK("#",""), HYPERLINK(CONCATENATE("#metadata!", ADDRESS(INDEX($Y$2:$Y$1001,MATCH(ROWS($W$2:W123),$W$2:$W$1001,0),0), INDEX($AD$1004:$AU$1004,1,MATCH(COLUMNS($AD$1006:AJ1006),$AD$1006:$AU$1006,0)))),"Fix")))</f>
        <v xml:space="preserve"> </v>
      </c>
      <c r="I123" s="4" t="str">
        <f ca="1">IF(OR(INDEX($X$2:$X$1001,MATCH(ROWS($W$2:W123),$W$2:$W$1001,0),1)&gt;=100000,INDEX($AD$1005:$AU$1005,1,MATCH(COLUMNS($AD$1006:AK1006),$AD$1006:$AU$1006,0))&gt;=100000), " ",IF(INDEX($AD$2:$AU$1001,MATCH(ROWS($W$2:W123),$W$2:$W$1001,0),MATCH(COLUMNS($AD$1006:AK1006),$AD$1006:$AU$1006,0)), HYPERLINK("#",""), HYPERLINK(CONCATENATE("#metadata!", ADDRESS(INDEX($Y$2:$Y$1001,MATCH(ROWS($W$2:W123),$W$2:$W$1001,0),0), INDEX($AD$1004:$AU$1004,1,MATCH(COLUMNS($AD$1006:AK1006),$AD$1006:$AU$1006,0)))),"Fix")))</f>
        <v xml:space="preserve"> </v>
      </c>
      <c r="J123" s="4" t="str">
        <f ca="1">IF(OR(INDEX($X$2:$X$1001,MATCH(ROWS($W$2:W123),$W$2:$W$1001,0),1)&gt;=100000,INDEX($AD$1005:$AU$1005,1,MATCH(COLUMNS($AD$1006:AL1006),$AD$1006:$AU$1006,0))&gt;=100000), " ",IF(INDEX($AD$2:$AU$1001,MATCH(ROWS($W$2:W123),$W$2:$W$1001,0),MATCH(COLUMNS($AD$1006:AL1006),$AD$1006:$AU$1006,0)), HYPERLINK("#",""), HYPERLINK(CONCATENATE("#metadata!", ADDRESS(INDEX($Y$2:$Y$1001,MATCH(ROWS($W$2:W123),$W$2:$W$1001,0),0), INDEX($AD$1004:$AU$1004,1,MATCH(COLUMNS($AD$1006:AL1006),$AD$1006:$AU$1006,0)))),"Fix")))</f>
        <v xml:space="preserve"> </v>
      </c>
      <c r="K123" s="4" t="str">
        <f ca="1">IF(OR(INDEX($X$2:$X$1001,MATCH(ROWS($W$2:W123),$W$2:$W$1001,0),1)&gt;=100000,INDEX($AD$1005:$AU$1005,1,MATCH(COLUMNS($AD$1006:AM1006),$AD$1006:$AU$1006,0))&gt;=100000), " ",IF(INDEX($AD$2:$AU$1001,MATCH(ROWS($W$2:W123),$W$2:$W$1001,0),MATCH(COLUMNS($AD$1006:AM1006),$AD$1006:$AU$1006,0)), HYPERLINK("#",""), HYPERLINK(CONCATENATE("#metadata!", ADDRESS(INDEX($Y$2:$Y$1001,MATCH(ROWS($W$2:W123),$W$2:$W$1001,0),0), INDEX($AD$1004:$AU$1004,1,MATCH(COLUMNS($AD$1006:AM1006),$AD$1006:$AU$1006,0)))),"Fix")))</f>
        <v xml:space="preserve"> </v>
      </c>
      <c r="L123" s="4" t="str">
        <f ca="1">IF(OR(INDEX($X$2:$X$1001,MATCH(ROWS($W$2:W123),$W$2:$W$1001,0),1)&gt;=100000,INDEX($AD$1005:$AU$1005,1,MATCH(COLUMNS($AD$1006:AN1006),$AD$1006:$AU$1006,0))&gt;=100000), " ",IF(INDEX($AD$2:$AU$1001,MATCH(ROWS($W$2:W123),$W$2:$W$1001,0),MATCH(COLUMNS($AD$1006:AN1006),$AD$1006:$AU$1006,0)), HYPERLINK("#",""), HYPERLINK(CONCATENATE("#metadata!", ADDRESS(INDEX($Y$2:$Y$1001,MATCH(ROWS($W$2:W123),$W$2:$W$1001,0),0), INDEX($AD$1004:$AU$1004,1,MATCH(COLUMNS($AD$1006:AN1006),$AD$1006:$AU$1006,0)))),"Fix")))</f>
        <v xml:space="preserve"> </v>
      </c>
      <c r="M123" s="4" t="str">
        <f ca="1">IF(OR(INDEX($X$2:$X$1001,MATCH(ROWS($W$2:W123),$W$2:$W$1001,0),1)&gt;=100000,INDEX($AD$1005:$AU$1005,1,MATCH(COLUMNS($AD$1006:AO1006),$AD$1006:$AU$1006,0))&gt;=100000), " ",IF(INDEX($AD$2:$AU$1001,MATCH(ROWS($W$2:W123),$W$2:$W$1001,0),MATCH(COLUMNS($AD$1006:AO1006),$AD$1006:$AU$1006,0)), HYPERLINK("#",""), HYPERLINK(CONCATENATE("#metadata!", ADDRESS(INDEX($Y$2:$Y$1001,MATCH(ROWS($W$2:W123),$W$2:$W$1001,0),0), INDEX($AD$1004:$AU$1004,1,MATCH(COLUMNS($AD$1006:AO1006),$AD$1006:$AU$1006,0)))),"Fix")))</f>
        <v xml:space="preserve"> </v>
      </c>
      <c r="N123" s="4" t="str">
        <f ca="1">IF(OR(INDEX($X$2:$X$1001,MATCH(ROWS($W$2:W123),$W$2:$W$1001,0),1)&gt;=100000,INDEX($AD$1005:$AU$1005,1,MATCH(COLUMNS($AD$1006:AP1006),$AD$1006:$AU$1006,0))&gt;=100000), " ",IF(INDEX($AD$2:$AU$1001,MATCH(ROWS($W$2:W123),$W$2:$W$1001,0),MATCH(COLUMNS($AD$1006:AP1006),$AD$1006:$AU$1006,0)), HYPERLINK("#",""), HYPERLINK(CONCATENATE("#metadata!", ADDRESS(INDEX($Y$2:$Y$1001,MATCH(ROWS($W$2:W123),$W$2:$W$1001,0),0), INDEX($AD$1004:$AU$1004,1,MATCH(COLUMNS($AD$1006:AP1006),$AD$1006:$AU$1006,0)))),"Fix")))</f>
        <v xml:space="preserve"> </v>
      </c>
      <c r="O123" s="4" t="str">
        <f ca="1">IF(OR(INDEX($X$2:$X$1001,MATCH(ROWS($W$2:W123),$W$2:$W$1001,0),1)&gt;=100000,INDEX($AD$1005:$AU$1005,1,MATCH(COLUMNS($AD$1006:AQ1006),$AD$1006:$AU$1006,0))&gt;=100000), " ",IF(INDEX($AD$2:$AU$1001,MATCH(ROWS($W$2:W123),$W$2:$W$1001,0),MATCH(COLUMNS($AD$1006:AQ1006),$AD$1006:$AU$1006,0)), HYPERLINK("#",""), HYPERLINK(CONCATENATE("#metadata!", ADDRESS(INDEX($Y$2:$Y$1001,MATCH(ROWS($W$2:W123),$W$2:$W$1001,0),0), INDEX($AD$1004:$AU$1004,1,MATCH(COLUMNS($AD$1006:AQ1006),$AD$1006:$AU$1006,0)))),"Fix")))</f>
        <v xml:space="preserve"> </v>
      </c>
      <c r="P123" s="4" t="str">
        <f ca="1">IF(OR(INDEX($X$2:$X$1001,MATCH(ROWS($W$2:W123),$W$2:$W$1001,0),1)&gt;=100000,INDEX($AD$1005:$AU$1005,1,MATCH(COLUMNS($AD$1006:AR1006),$AD$1006:$AU$1006,0))&gt;=100000), " ",IF(INDEX($AD$2:$AU$1001,MATCH(ROWS($W$2:W123),$W$2:$W$1001,0),MATCH(COLUMNS($AD$1006:AR1006),$AD$1006:$AU$1006,0)), HYPERLINK("#",""), HYPERLINK(CONCATENATE("#metadata!", ADDRESS(INDEX($Y$2:$Y$1001,MATCH(ROWS($W$2:W123),$W$2:$W$1001,0),0), INDEX($AD$1004:$AU$1004,1,MATCH(COLUMNS($AD$1006:AR1006),$AD$1006:$AU$1006,0)))),"Fix")))</f>
        <v xml:space="preserve"> </v>
      </c>
      <c r="Q123" s="4" t="str">
        <f ca="1">IF(OR(INDEX($X$2:$X$1001,MATCH(ROWS($W$2:W123),$W$2:$W$1001,0),1)&gt;=100000,INDEX($AD$1005:$AU$1005,1,MATCH(COLUMNS($AD$1006:AS1006),$AD$1006:$AU$1006,0))&gt;=100000), " ",IF(INDEX($AD$2:$AU$1001,MATCH(ROWS($W$2:W123),$W$2:$W$1001,0),MATCH(COLUMNS($AD$1006:AS1006),$AD$1006:$AU$1006,0)), HYPERLINK("#",""), HYPERLINK(CONCATENATE("#metadata!", ADDRESS(INDEX($Y$2:$Y$1001,MATCH(ROWS($W$2:W123),$W$2:$W$1001,0),0), INDEX($AD$1004:$AU$1004,1,MATCH(COLUMNS($AD$1006:AS1006),$AD$1006:$AU$1006,0)))),"Fix")))</f>
        <v xml:space="preserve"> </v>
      </c>
      <c r="R123" s="4" t="str">
        <f ca="1">IF(OR(INDEX($X$2:$X$1001,MATCH(ROWS($W$2:W123),$W$2:$W$1001,0),1)&gt;=100000,INDEX($AD$1005:$AU$1005,1,MATCH(COLUMNS($AD$1006:AT1006),$AD$1006:$AU$1006,0))&gt;=100000), " ",IF(INDEX($AD$2:$AU$1001,MATCH(ROWS($W$2:W123),$W$2:$W$1001,0),MATCH(COLUMNS($AD$1006:AT1006),$AD$1006:$AU$1006,0)), HYPERLINK("#",""), HYPERLINK(CONCATENATE("#metadata!", ADDRESS(INDEX($Y$2:$Y$1001,MATCH(ROWS($W$2:W123),$W$2:$W$1001,0),0), INDEX($AD$1004:$AU$1004,1,MATCH(COLUMNS($AD$1006:AT1006),$AD$1006:$AU$1006,0)))),"Fix")))</f>
        <v xml:space="preserve"> </v>
      </c>
      <c r="S123" s="4" t="str">
        <f ca="1">IF(OR(INDEX($X$2:$X$1001,MATCH(ROWS($W$2:W123),$W$2:$W$1001,0),1)&gt;=100000,INDEX($AD$1005:$AU$1005,1,MATCH(COLUMNS($AD$1006:AU1006),$AD$1006:$AU$1006,0))&gt;=100000), " ",IF(INDEX($AD$2:$AU$1001,MATCH(ROWS($W$2:W123),$W$2:$W$1001,0),MATCH(COLUMNS($AD$1006:AU1006),$AD$1006:$AU$1006,0)), HYPERLINK("#",""), HYPERLINK(CONCATENATE("#metadata!", ADDRESS(INDEX($Y$2:$Y$1001,MATCH(ROWS($W$2:W123),$W$2:$W$1001,0),0), INDEX($AD$1004:$AU$1004,1,MATCH(COLUMNS($AD$1006:AU1006),$AD$1006:$AU$1006,0)))),"Fix")))</f>
        <v xml:space="preserve"> </v>
      </c>
      <c r="W123">
        <v>122</v>
      </c>
      <c r="X123">
        <v>100123</v>
      </c>
      <c r="Y123">
        <v>123</v>
      </c>
      <c r="Z123" t="b">
        <f t="shared" si="1"/>
        <v>1</v>
      </c>
      <c r="AA123" t="b">
        <f>COUNTBLANK(metadata!B123:S123)=COLUMNS(metadata!B123:S123)</f>
        <v>1</v>
      </c>
      <c r="AB123" t="str">
        <v/>
      </c>
      <c r="AD123" t="b">
        <f ca="1">AND(IF(metadata!B123="",FALSE,TRUE),COUNTIF(metadata!B:B, metadata!B123) = 1,NOT(ISERROR(SUMPRODUCT(SEARCH(MID(metadata!B123,ROW(INDIRECT("1:"&amp;LEN(metadata!B123))), 1),"0123456789abcdefghijklmnopqrstuvwxyzABCDEFGHIJKLMNOPQRSTUVWXYZ.")))))</f>
        <v>0</v>
      </c>
      <c r="AE123" t="b">
        <f>OR(AND(IF(metadata!C123="",FALSE,TRUE),OR(EXACT(metadata!C123,"not applicable"),EXACT(metadata!C123,"missing: not collected"),EXACT(metadata!C123,"missing: not provided"),EXACT(metadata!C123,"missing: restricted access"))),AND(IF(metadata!C123="",FALSE,ISNUMBER(VALUE(metadata!C123))),metadata!C123&gt;0))</f>
        <v>0</v>
      </c>
      <c r="AF123" t="b">
        <f>AND(IF(metadata!D123="",FALSE,TRUE),EXACT(metadata!D123,"missing: not provided"))</f>
        <v>0</v>
      </c>
      <c r="AG123" t="b">
        <f>AND(IF(metadata!E123="",FALSE,TRUE),EXACT(metadata!E123,"Host-associated"))</f>
        <v>0</v>
      </c>
      <c r="AH123" t="b">
        <f>AND(IF(metadata!F123="",FALSE,TRUE),OR(EXACT(metadata!F123,"Animal"),EXACT(metadata!F123,"Fungus"),EXACT(metadata!F123,"Plant")))</f>
        <v>0</v>
      </c>
      <c r="AI123" t="b">
        <f>AND(IF(metadata!G123="",FALSE,TRUE),OR(EXACT(metadata!G123,"Plant secretion"),EXACT(metadata!G123,"Plant rhizosphere"),EXACT(metadata!G123,"Plant surface"),EXACT(metadata!G123,"Plant corpus"),EXACT(metadata!G123,"Fungus surface"),EXACT(metadata!G123,"Fungus corpus"),EXACT(metadata!G123,"Animal surface"),EXACT(metadata!G123,"Animal proximal gut"),EXACT(metadata!G123,"Animal corpus"),EXACT(metadata!G123,"Animal distal gut"),EXACT(metadata!G123,"Animal secretion")))</f>
        <v>0</v>
      </c>
      <c r="AJ123" t="b">
        <f>OR(AND(IF(metadata!H123="",FALSE,TRUE),OR(EXACT(metadata!H123,"missing: not collected"),EXACT(metadata!H123,"missing: not provided"),EXACT(metadata!H123,"missing: restricted access"))),AND(IF(metadata!H123="",FALSE,TRUE),OR(EXACT(metadata!H123,"organism-associated habitat"),EXACT(metadata!H123,"plant-associated habitat"),EXACT(metadata!H123,"animal-associated habitat"),EXACT(metadata!H123,"insecta-associated habitat"),EXACT(metadata!H123,"mammalia-associated habitat"),EXACT(metadata!H123,"human-associated habitat"),EXACT(metadata!H123,"livestock-associated habitat"))))</f>
        <v>0</v>
      </c>
      <c r="AK123" t="b">
        <f>AND(IF(metadata!I123="",FALSE,TRUE),EXACT(metadata!I123,"host-associated"))</f>
        <v>0</v>
      </c>
      <c r="AL123" t="b">
        <f>OR(AND(IF(metadata!J123="",FALSE,TRUE),OR(EXACT(metadata!J123,"not applicable"),EXACT(metadata!J123,"missing: not collected"),EXACT(metadata!J123,"missing: not provided"),EXACT(metadata!J123,"missing: restricted access"))),AND(IF(metadata!J123="",FALSE,ISNUMBER(VALUE(metadata!J123))),metadata!J123&gt;0))</f>
        <v>0</v>
      </c>
      <c r="AM123" t="b">
        <f>AND(IF(metadata!K123="",FALSE,TRUE),EXACT(metadata!K123,"missing: not provided"))</f>
        <v>0</v>
      </c>
      <c r="AN123" t="b">
        <f>IF(metadata!L123="",FALSE,TRUE)</f>
        <v>0</v>
      </c>
      <c r="AO123" t="b">
        <f>IF(metadata!M123="",FALSE,TRUE)</f>
        <v>0</v>
      </c>
      <c r="AP123" t="b">
        <f>OR(AND(IF(metadata!N123="",FALSE,TRUE),OR(EXACT(metadata!N123,"not applicable"),EXACT(metadata!N123,"missing: not collected"),EXACT(metadata!N123,"missing: not provided"))),AND(IF(metadata!N123="",FALSE,IF(ISERROR(INT(metadata!N123)),FALSE,INT(metadata!N123)=metadata!N123)),metadata!N123&gt;0))</f>
        <v>0</v>
      </c>
      <c r="AQ123" t="b">
        <f>AND(IF(metadata!O123="",FALSE,TRUE),EXACT(metadata!O123,"Not applicable"))</f>
        <v>0</v>
      </c>
      <c r="AR123" t="b">
        <f>OR(AND(IF(metadata!P123="",FALSE,TRUE),OR(EXACT(metadata!P123,"not applicable"),EXACT(metadata!P123,"missing: not collected"),EXACT(metadata!P123,"missing: not provided"),EXACT(metadata!P123,"missing: restricted access"))),IF(metadata!P123="",FALSE,IF(ISERROR(INT(metadata!P123)),FALSE,INT(metadata!P123)=metadata!P123)))</f>
        <v>0</v>
      </c>
      <c r="AS123" t="b">
        <f>AND(IF(metadata!Q123="",FALSE,TRUE),EXACT(metadata!Q123,"Not applicable"))</f>
        <v>0</v>
      </c>
      <c r="AT123" t="b">
        <f>OR(AND(IF(metadata!R123="",FALSE,TRUE),OR(EXACT(metadata!R123,"not applicable"),EXACT(metadata!R123,"missing: not collected"),EXACT(metadata!R123,"missing: not provided"),EXACT(metadata!R123,"missing: restricted access"))),AND(IF(metadata!R123="",FALSE,ISNUMBER(VALUE(metadata!R123))),metadata!R123&gt;0))</f>
        <v>0</v>
      </c>
      <c r="AU123" t="b">
        <f>AND(IF(metadata!S123="",FALSE,TRUE),EXACT(metadata!S123,"missing: not provided"))</f>
        <v>0</v>
      </c>
    </row>
    <row r="124" spans="1:47" x14ac:dyDescent="0.2">
      <c r="A124" s="5" t="str">
        <f ca="1">IF(B124=" "," ",HYPERLINK(CONCATENATE("#metadata!",ADDRESS(INDEX($Y$2:$Y$1001,MATCH(ROWS($W$2:W124),$W$2:$W$1001,0),0),1)),INDEX($AB$2:$AB$1001,MATCH(ROWS($W$2:W124),$W$2:$W$1001,0),0)))</f>
        <v xml:space="preserve"> </v>
      </c>
      <c r="B124" s="4" t="str">
        <f ca="1">IF(OR(INDEX($X$2:$X$1001,MATCH(ROWS($W$2:W124),$W$2:$W$1001,0),1)&gt;=100000,INDEX($AD$1005:$AU$1005,1,MATCH(COLUMNS($AD$1006:AD1006),$AD$1006:$AU$1006,0))&gt;=100000), " ",IF(INDEX($AD$2:$AU$1001,MATCH(ROWS($W$2:W124),$W$2:$W$1001,0),MATCH(COLUMNS($AD$1006:AD1006),$AD$1006:$AU$1006,0)), HYPERLINK("#",""), HYPERLINK(CONCATENATE("#metadata!", ADDRESS(INDEX($Y$2:$Y$1001,MATCH(ROWS($W$2:W124),$W$2:$W$1001,0),0), INDEX($AD$1004:$AU$1004,1,MATCH(COLUMNS($AD$1006:AD1006),$AD$1006:$AU$1006,0)))),"Fix")))</f>
        <v xml:space="preserve"> </v>
      </c>
      <c r="C124" s="4" t="str">
        <f ca="1">IF(OR(INDEX($X$2:$X$1001,MATCH(ROWS($W$2:W124),$W$2:$W$1001,0),1)&gt;=100000,INDEX($AD$1005:$AU$1005,1,MATCH(COLUMNS($AD$1006:AE1006),$AD$1006:$AU$1006,0))&gt;=100000), " ",IF(INDEX($AD$2:$AU$1001,MATCH(ROWS($W$2:W124),$W$2:$W$1001,0),MATCH(COLUMNS($AD$1006:AE1006),$AD$1006:$AU$1006,0)), HYPERLINK("#",""), HYPERLINK(CONCATENATE("#metadata!", ADDRESS(INDEX($Y$2:$Y$1001,MATCH(ROWS($W$2:W124),$W$2:$W$1001,0),0), INDEX($AD$1004:$AU$1004,1,MATCH(COLUMNS($AD$1006:AE1006),$AD$1006:$AU$1006,0)))),"Fix")))</f>
        <v xml:space="preserve"> </v>
      </c>
      <c r="D124" s="4" t="str">
        <f ca="1">IF(OR(INDEX($X$2:$X$1001,MATCH(ROWS($W$2:W124),$W$2:$W$1001,0),1)&gt;=100000,INDEX($AD$1005:$AU$1005,1,MATCH(COLUMNS($AD$1006:AF1006),$AD$1006:$AU$1006,0))&gt;=100000), " ",IF(INDEX($AD$2:$AU$1001,MATCH(ROWS($W$2:W124),$W$2:$W$1001,0),MATCH(COLUMNS($AD$1006:AF1006),$AD$1006:$AU$1006,0)), HYPERLINK("#",""), HYPERLINK(CONCATENATE("#metadata!", ADDRESS(INDEX($Y$2:$Y$1001,MATCH(ROWS($W$2:W124),$W$2:$W$1001,0),0), INDEX($AD$1004:$AU$1004,1,MATCH(COLUMNS($AD$1006:AF1006),$AD$1006:$AU$1006,0)))),"Fix")))</f>
        <v xml:space="preserve"> </v>
      </c>
      <c r="E124" s="4" t="str">
        <f ca="1">IF(OR(INDEX($X$2:$X$1001,MATCH(ROWS($W$2:W124),$W$2:$W$1001,0),1)&gt;=100000,INDEX($AD$1005:$AU$1005,1,MATCH(COLUMNS($AD$1006:AG1006),$AD$1006:$AU$1006,0))&gt;=100000), " ",IF(INDEX($AD$2:$AU$1001,MATCH(ROWS($W$2:W124),$W$2:$W$1001,0),MATCH(COLUMNS($AD$1006:AG1006),$AD$1006:$AU$1006,0)), HYPERLINK("#",""), HYPERLINK(CONCATENATE("#metadata!", ADDRESS(INDEX($Y$2:$Y$1001,MATCH(ROWS($W$2:W124),$W$2:$W$1001,0),0), INDEX($AD$1004:$AU$1004,1,MATCH(COLUMNS($AD$1006:AG1006),$AD$1006:$AU$1006,0)))),"Fix")))</f>
        <v xml:space="preserve"> </v>
      </c>
      <c r="F124" s="4" t="str">
        <f ca="1">IF(OR(INDEX($X$2:$X$1001,MATCH(ROWS($W$2:W124),$W$2:$W$1001,0),1)&gt;=100000,INDEX($AD$1005:$AU$1005,1,MATCH(COLUMNS($AD$1006:AH1006),$AD$1006:$AU$1006,0))&gt;=100000), " ",IF(INDEX($AD$2:$AU$1001,MATCH(ROWS($W$2:W124),$W$2:$W$1001,0),MATCH(COLUMNS($AD$1006:AH1006),$AD$1006:$AU$1006,0)), HYPERLINK("#",""), HYPERLINK(CONCATENATE("#metadata!", ADDRESS(INDEX($Y$2:$Y$1001,MATCH(ROWS($W$2:W124),$W$2:$W$1001,0),0), INDEX($AD$1004:$AU$1004,1,MATCH(COLUMNS($AD$1006:AH1006),$AD$1006:$AU$1006,0)))),"Fix")))</f>
        <v xml:space="preserve"> </v>
      </c>
      <c r="G124" s="4" t="str">
        <f ca="1">IF(OR(INDEX($X$2:$X$1001,MATCH(ROWS($W$2:W124),$W$2:$W$1001,0),1)&gt;=100000,INDEX($AD$1005:$AU$1005,1,MATCH(COLUMNS($AD$1006:AI1006),$AD$1006:$AU$1006,0))&gt;=100000), " ",IF(INDEX($AD$2:$AU$1001,MATCH(ROWS($W$2:W124),$W$2:$W$1001,0),MATCH(COLUMNS($AD$1006:AI1006),$AD$1006:$AU$1006,0)), HYPERLINK("#",""), HYPERLINK(CONCATENATE("#metadata!", ADDRESS(INDEX($Y$2:$Y$1001,MATCH(ROWS($W$2:W124),$W$2:$W$1001,0),0), INDEX($AD$1004:$AU$1004,1,MATCH(COLUMNS($AD$1006:AI1006),$AD$1006:$AU$1006,0)))),"Fix")))</f>
        <v xml:space="preserve"> </v>
      </c>
      <c r="H124" s="4" t="str">
        <f ca="1">IF(OR(INDEX($X$2:$X$1001,MATCH(ROWS($W$2:W124),$W$2:$W$1001,0),1)&gt;=100000,INDEX($AD$1005:$AU$1005,1,MATCH(COLUMNS($AD$1006:AJ1006),$AD$1006:$AU$1006,0))&gt;=100000), " ",IF(INDEX($AD$2:$AU$1001,MATCH(ROWS($W$2:W124),$W$2:$W$1001,0),MATCH(COLUMNS($AD$1006:AJ1006),$AD$1006:$AU$1006,0)), HYPERLINK("#",""), HYPERLINK(CONCATENATE("#metadata!", ADDRESS(INDEX($Y$2:$Y$1001,MATCH(ROWS($W$2:W124),$W$2:$W$1001,0),0), INDEX($AD$1004:$AU$1004,1,MATCH(COLUMNS($AD$1006:AJ1006),$AD$1006:$AU$1006,0)))),"Fix")))</f>
        <v xml:space="preserve"> </v>
      </c>
      <c r="I124" s="4" t="str">
        <f ca="1">IF(OR(INDEX($X$2:$X$1001,MATCH(ROWS($W$2:W124),$W$2:$W$1001,0),1)&gt;=100000,INDEX($AD$1005:$AU$1005,1,MATCH(COLUMNS($AD$1006:AK1006),$AD$1006:$AU$1006,0))&gt;=100000), " ",IF(INDEX($AD$2:$AU$1001,MATCH(ROWS($W$2:W124),$W$2:$W$1001,0),MATCH(COLUMNS($AD$1006:AK1006),$AD$1006:$AU$1006,0)), HYPERLINK("#",""), HYPERLINK(CONCATENATE("#metadata!", ADDRESS(INDEX($Y$2:$Y$1001,MATCH(ROWS($W$2:W124),$W$2:$W$1001,0),0), INDEX($AD$1004:$AU$1004,1,MATCH(COLUMNS($AD$1006:AK1006),$AD$1006:$AU$1006,0)))),"Fix")))</f>
        <v xml:space="preserve"> </v>
      </c>
      <c r="J124" s="4" t="str">
        <f ca="1">IF(OR(INDEX($X$2:$X$1001,MATCH(ROWS($W$2:W124),$W$2:$W$1001,0),1)&gt;=100000,INDEX($AD$1005:$AU$1005,1,MATCH(COLUMNS($AD$1006:AL1006),$AD$1006:$AU$1006,0))&gt;=100000), " ",IF(INDEX($AD$2:$AU$1001,MATCH(ROWS($W$2:W124),$W$2:$W$1001,0),MATCH(COLUMNS($AD$1006:AL1006),$AD$1006:$AU$1006,0)), HYPERLINK("#",""), HYPERLINK(CONCATENATE("#metadata!", ADDRESS(INDEX($Y$2:$Y$1001,MATCH(ROWS($W$2:W124),$W$2:$W$1001,0),0), INDEX($AD$1004:$AU$1004,1,MATCH(COLUMNS($AD$1006:AL1006),$AD$1006:$AU$1006,0)))),"Fix")))</f>
        <v xml:space="preserve"> </v>
      </c>
      <c r="K124" s="4" t="str">
        <f ca="1">IF(OR(INDEX($X$2:$X$1001,MATCH(ROWS($W$2:W124),$W$2:$W$1001,0),1)&gt;=100000,INDEX($AD$1005:$AU$1005,1,MATCH(COLUMNS($AD$1006:AM1006),$AD$1006:$AU$1006,0))&gt;=100000), " ",IF(INDEX($AD$2:$AU$1001,MATCH(ROWS($W$2:W124),$W$2:$W$1001,0),MATCH(COLUMNS($AD$1006:AM1006),$AD$1006:$AU$1006,0)), HYPERLINK("#",""), HYPERLINK(CONCATENATE("#metadata!", ADDRESS(INDEX($Y$2:$Y$1001,MATCH(ROWS($W$2:W124),$W$2:$W$1001,0),0), INDEX($AD$1004:$AU$1004,1,MATCH(COLUMNS($AD$1006:AM1006),$AD$1006:$AU$1006,0)))),"Fix")))</f>
        <v xml:space="preserve"> </v>
      </c>
      <c r="L124" s="4" t="str">
        <f ca="1">IF(OR(INDEX($X$2:$X$1001,MATCH(ROWS($W$2:W124),$W$2:$W$1001,0),1)&gt;=100000,INDEX($AD$1005:$AU$1005,1,MATCH(COLUMNS($AD$1006:AN1006),$AD$1006:$AU$1006,0))&gt;=100000), " ",IF(INDEX($AD$2:$AU$1001,MATCH(ROWS($W$2:W124),$W$2:$W$1001,0),MATCH(COLUMNS($AD$1006:AN1006),$AD$1006:$AU$1006,0)), HYPERLINK("#",""), HYPERLINK(CONCATENATE("#metadata!", ADDRESS(INDEX($Y$2:$Y$1001,MATCH(ROWS($W$2:W124),$W$2:$W$1001,0),0), INDEX($AD$1004:$AU$1004,1,MATCH(COLUMNS($AD$1006:AN1006),$AD$1006:$AU$1006,0)))),"Fix")))</f>
        <v xml:space="preserve"> </v>
      </c>
      <c r="M124" s="4" t="str">
        <f ca="1">IF(OR(INDEX($X$2:$X$1001,MATCH(ROWS($W$2:W124),$W$2:$W$1001,0),1)&gt;=100000,INDEX($AD$1005:$AU$1005,1,MATCH(COLUMNS($AD$1006:AO1006),$AD$1006:$AU$1006,0))&gt;=100000), " ",IF(INDEX($AD$2:$AU$1001,MATCH(ROWS($W$2:W124),$W$2:$W$1001,0),MATCH(COLUMNS($AD$1006:AO1006),$AD$1006:$AU$1006,0)), HYPERLINK("#",""), HYPERLINK(CONCATENATE("#metadata!", ADDRESS(INDEX($Y$2:$Y$1001,MATCH(ROWS($W$2:W124),$W$2:$W$1001,0),0), INDEX($AD$1004:$AU$1004,1,MATCH(COLUMNS($AD$1006:AO1006),$AD$1006:$AU$1006,0)))),"Fix")))</f>
        <v xml:space="preserve"> </v>
      </c>
      <c r="N124" s="4" t="str">
        <f ca="1">IF(OR(INDEX($X$2:$X$1001,MATCH(ROWS($W$2:W124),$W$2:$W$1001,0),1)&gt;=100000,INDEX($AD$1005:$AU$1005,1,MATCH(COLUMNS($AD$1006:AP1006),$AD$1006:$AU$1006,0))&gt;=100000), " ",IF(INDEX($AD$2:$AU$1001,MATCH(ROWS($W$2:W124),$W$2:$W$1001,0),MATCH(COLUMNS($AD$1006:AP1006),$AD$1006:$AU$1006,0)), HYPERLINK("#",""), HYPERLINK(CONCATENATE("#metadata!", ADDRESS(INDEX($Y$2:$Y$1001,MATCH(ROWS($W$2:W124),$W$2:$W$1001,0),0), INDEX($AD$1004:$AU$1004,1,MATCH(COLUMNS($AD$1006:AP1006),$AD$1006:$AU$1006,0)))),"Fix")))</f>
        <v xml:space="preserve"> </v>
      </c>
      <c r="O124" s="4" t="str">
        <f ca="1">IF(OR(INDEX($X$2:$X$1001,MATCH(ROWS($W$2:W124),$W$2:$W$1001,0),1)&gt;=100000,INDEX($AD$1005:$AU$1005,1,MATCH(COLUMNS($AD$1006:AQ1006),$AD$1006:$AU$1006,0))&gt;=100000), " ",IF(INDEX($AD$2:$AU$1001,MATCH(ROWS($W$2:W124),$W$2:$W$1001,0),MATCH(COLUMNS($AD$1006:AQ1006),$AD$1006:$AU$1006,0)), HYPERLINK("#",""), HYPERLINK(CONCATENATE("#metadata!", ADDRESS(INDEX($Y$2:$Y$1001,MATCH(ROWS($W$2:W124),$W$2:$W$1001,0),0), INDEX($AD$1004:$AU$1004,1,MATCH(COLUMNS($AD$1006:AQ1006),$AD$1006:$AU$1006,0)))),"Fix")))</f>
        <v xml:space="preserve"> </v>
      </c>
      <c r="P124" s="4" t="str">
        <f ca="1">IF(OR(INDEX($X$2:$X$1001,MATCH(ROWS($W$2:W124),$W$2:$W$1001,0),1)&gt;=100000,INDEX($AD$1005:$AU$1005,1,MATCH(COLUMNS($AD$1006:AR1006),$AD$1006:$AU$1006,0))&gt;=100000), " ",IF(INDEX($AD$2:$AU$1001,MATCH(ROWS($W$2:W124),$W$2:$W$1001,0),MATCH(COLUMNS($AD$1006:AR1006),$AD$1006:$AU$1006,0)), HYPERLINK("#",""), HYPERLINK(CONCATENATE("#metadata!", ADDRESS(INDEX($Y$2:$Y$1001,MATCH(ROWS($W$2:W124),$W$2:$W$1001,0),0), INDEX($AD$1004:$AU$1004,1,MATCH(COLUMNS($AD$1006:AR1006),$AD$1006:$AU$1006,0)))),"Fix")))</f>
        <v xml:space="preserve"> </v>
      </c>
      <c r="Q124" s="4" t="str">
        <f ca="1">IF(OR(INDEX($X$2:$X$1001,MATCH(ROWS($W$2:W124),$W$2:$W$1001,0),1)&gt;=100000,INDEX($AD$1005:$AU$1005,1,MATCH(COLUMNS($AD$1006:AS1006),$AD$1006:$AU$1006,0))&gt;=100000), " ",IF(INDEX($AD$2:$AU$1001,MATCH(ROWS($W$2:W124),$W$2:$W$1001,0),MATCH(COLUMNS($AD$1006:AS1006),$AD$1006:$AU$1006,0)), HYPERLINK("#",""), HYPERLINK(CONCATENATE("#metadata!", ADDRESS(INDEX($Y$2:$Y$1001,MATCH(ROWS($W$2:W124),$W$2:$W$1001,0),0), INDEX($AD$1004:$AU$1004,1,MATCH(COLUMNS($AD$1006:AS1006),$AD$1006:$AU$1006,0)))),"Fix")))</f>
        <v xml:space="preserve"> </v>
      </c>
      <c r="R124" s="4" t="str">
        <f ca="1">IF(OR(INDEX($X$2:$X$1001,MATCH(ROWS($W$2:W124),$W$2:$W$1001,0),1)&gt;=100000,INDEX($AD$1005:$AU$1005,1,MATCH(COLUMNS($AD$1006:AT1006),$AD$1006:$AU$1006,0))&gt;=100000), " ",IF(INDEX($AD$2:$AU$1001,MATCH(ROWS($W$2:W124),$W$2:$W$1001,0),MATCH(COLUMNS($AD$1006:AT1006),$AD$1006:$AU$1006,0)), HYPERLINK("#",""), HYPERLINK(CONCATENATE("#metadata!", ADDRESS(INDEX($Y$2:$Y$1001,MATCH(ROWS($W$2:W124),$W$2:$W$1001,0),0), INDEX($AD$1004:$AU$1004,1,MATCH(COLUMNS($AD$1006:AT1006),$AD$1006:$AU$1006,0)))),"Fix")))</f>
        <v xml:space="preserve"> </v>
      </c>
      <c r="S124" s="4" t="str">
        <f ca="1">IF(OR(INDEX($X$2:$X$1001,MATCH(ROWS($W$2:W124),$W$2:$W$1001,0),1)&gt;=100000,INDEX($AD$1005:$AU$1005,1,MATCH(COLUMNS($AD$1006:AU1006),$AD$1006:$AU$1006,0))&gt;=100000), " ",IF(INDEX($AD$2:$AU$1001,MATCH(ROWS($W$2:W124),$W$2:$W$1001,0),MATCH(COLUMNS($AD$1006:AU1006),$AD$1006:$AU$1006,0)), HYPERLINK("#",""), HYPERLINK(CONCATENATE("#metadata!", ADDRESS(INDEX($Y$2:$Y$1001,MATCH(ROWS($W$2:W124),$W$2:$W$1001,0),0), INDEX($AD$1004:$AU$1004,1,MATCH(COLUMNS($AD$1006:AU1006),$AD$1006:$AU$1006,0)))),"Fix")))</f>
        <v xml:space="preserve"> </v>
      </c>
      <c r="W124">
        <v>123</v>
      </c>
      <c r="X124">
        <v>100124</v>
      </c>
      <c r="Y124">
        <v>124</v>
      </c>
      <c r="Z124" t="b">
        <f t="shared" si="1"/>
        <v>1</v>
      </c>
      <c r="AA124" t="b">
        <f>COUNTBLANK(metadata!B124:S124)=COLUMNS(metadata!B124:S124)</f>
        <v>1</v>
      </c>
      <c r="AB124" t="str">
        <v/>
      </c>
      <c r="AD124" t="b">
        <f ca="1">AND(IF(metadata!B124="",FALSE,TRUE),COUNTIF(metadata!B:B, metadata!B124) = 1,NOT(ISERROR(SUMPRODUCT(SEARCH(MID(metadata!B124,ROW(INDIRECT("1:"&amp;LEN(metadata!B124))), 1),"0123456789abcdefghijklmnopqrstuvwxyzABCDEFGHIJKLMNOPQRSTUVWXYZ.")))))</f>
        <v>0</v>
      </c>
      <c r="AE124" t="b">
        <f>OR(AND(IF(metadata!C124="",FALSE,TRUE),OR(EXACT(metadata!C124,"not applicable"),EXACT(metadata!C124,"missing: not collected"),EXACT(metadata!C124,"missing: not provided"),EXACT(metadata!C124,"missing: restricted access"))),AND(IF(metadata!C124="",FALSE,ISNUMBER(VALUE(metadata!C124))),metadata!C124&gt;0))</f>
        <v>0</v>
      </c>
      <c r="AF124" t="b">
        <f>AND(IF(metadata!D124="",FALSE,TRUE),EXACT(metadata!D124,"missing: not provided"))</f>
        <v>0</v>
      </c>
      <c r="AG124" t="b">
        <f>AND(IF(metadata!E124="",FALSE,TRUE),EXACT(metadata!E124,"Host-associated"))</f>
        <v>0</v>
      </c>
      <c r="AH124" t="b">
        <f>AND(IF(metadata!F124="",FALSE,TRUE),OR(EXACT(metadata!F124,"Animal"),EXACT(metadata!F124,"Fungus"),EXACT(metadata!F124,"Plant")))</f>
        <v>0</v>
      </c>
      <c r="AI124" t="b">
        <f>AND(IF(metadata!G124="",FALSE,TRUE),OR(EXACT(metadata!G124,"Plant secretion"),EXACT(metadata!G124,"Plant rhizosphere"),EXACT(metadata!G124,"Plant surface"),EXACT(metadata!G124,"Plant corpus"),EXACT(metadata!G124,"Fungus surface"),EXACT(metadata!G124,"Fungus corpus"),EXACT(metadata!G124,"Animal surface"),EXACT(metadata!G124,"Animal proximal gut"),EXACT(metadata!G124,"Animal corpus"),EXACT(metadata!G124,"Animal distal gut"),EXACT(metadata!G124,"Animal secretion")))</f>
        <v>0</v>
      </c>
      <c r="AJ124" t="b">
        <f>OR(AND(IF(metadata!H124="",FALSE,TRUE),OR(EXACT(metadata!H124,"missing: not collected"),EXACT(metadata!H124,"missing: not provided"),EXACT(metadata!H124,"missing: restricted access"))),AND(IF(metadata!H124="",FALSE,TRUE),OR(EXACT(metadata!H124,"organism-associated habitat"),EXACT(metadata!H124,"plant-associated habitat"),EXACT(metadata!H124,"animal-associated habitat"),EXACT(metadata!H124,"insecta-associated habitat"),EXACT(metadata!H124,"mammalia-associated habitat"),EXACT(metadata!H124,"human-associated habitat"),EXACT(metadata!H124,"livestock-associated habitat"))))</f>
        <v>0</v>
      </c>
      <c r="AK124" t="b">
        <f>AND(IF(metadata!I124="",FALSE,TRUE),EXACT(metadata!I124,"host-associated"))</f>
        <v>0</v>
      </c>
      <c r="AL124" t="b">
        <f>OR(AND(IF(metadata!J124="",FALSE,TRUE),OR(EXACT(metadata!J124,"not applicable"),EXACT(metadata!J124,"missing: not collected"),EXACT(metadata!J124,"missing: not provided"),EXACT(metadata!J124,"missing: restricted access"))),AND(IF(metadata!J124="",FALSE,ISNUMBER(VALUE(metadata!J124))),metadata!J124&gt;0))</f>
        <v>0</v>
      </c>
      <c r="AM124" t="b">
        <f>AND(IF(metadata!K124="",FALSE,TRUE),EXACT(metadata!K124,"missing: not provided"))</f>
        <v>0</v>
      </c>
      <c r="AN124" t="b">
        <f>IF(metadata!L124="",FALSE,TRUE)</f>
        <v>0</v>
      </c>
      <c r="AO124" t="b">
        <f>IF(metadata!M124="",FALSE,TRUE)</f>
        <v>0</v>
      </c>
      <c r="AP124" t="b">
        <f>OR(AND(IF(metadata!N124="",FALSE,TRUE),OR(EXACT(metadata!N124,"not applicable"),EXACT(metadata!N124,"missing: not collected"),EXACT(metadata!N124,"missing: not provided"))),AND(IF(metadata!N124="",FALSE,IF(ISERROR(INT(metadata!N124)),FALSE,INT(metadata!N124)=metadata!N124)),metadata!N124&gt;0))</f>
        <v>0</v>
      </c>
      <c r="AQ124" t="b">
        <f>AND(IF(metadata!O124="",FALSE,TRUE),EXACT(metadata!O124,"Not applicable"))</f>
        <v>0</v>
      </c>
      <c r="AR124" t="b">
        <f>OR(AND(IF(metadata!P124="",FALSE,TRUE),OR(EXACT(metadata!P124,"not applicable"),EXACT(metadata!P124,"missing: not collected"),EXACT(metadata!P124,"missing: not provided"),EXACT(metadata!P124,"missing: restricted access"))),IF(metadata!P124="",FALSE,IF(ISERROR(INT(metadata!P124)),FALSE,INT(metadata!P124)=metadata!P124)))</f>
        <v>0</v>
      </c>
      <c r="AS124" t="b">
        <f>AND(IF(metadata!Q124="",FALSE,TRUE),EXACT(metadata!Q124,"Not applicable"))</f>
        <v>0</v>
      </c>
      <c r="AT124" t="b">
        <f>OR(AND(IF(metadata!R124="",FALSE,TRUE),OR(EXACT(metadata!R124,"not applicable"),EXACT(metadata!R124,"missing: not collected"),EXACT(metadata!R124,"missing: not provided"),EXACT(metadata!R124,"missing: restricted access"))),AND(IF(metadata!R124="",FALSE,ISNUMBER(VALUE(metadata!R124))),metadata!R124&gt;0))</f>
        <v>0</v>
      </c>
      <c r="AU124" t="b">
        <f>AND(IF(metadata!S124="",FALSE,TRUE),EXACT(metadata!S124,"missing: not provided"))</f>
        <v>0</v>
      </c>
    </row>
    <row r="125" spans="1:47" x14ac:dyDescent="0.2">
      <c r="A125" s="5" t="str">
        <f ca="1">IF(B125=" "," ",HYPERLINK(CONCATENATE("#metadata!",ADDRESS(INDEX($Y$2:$Y$1001,MATCH(ROWS($W$2:W125),$W$2:$W$1001,0),0),1)),INDEX($AB$2:$AB$1001,MATCH(ROWS($W$2:W125),$W$2:$W$1001,0),0)))</f>
        <v xml:space="preserve"> </v>
      </c>
      <c r="B125" s="4" t="str">
        <f ca="1">IF(OR(INDEX($X$2:$X$1001,MATCH(ROWS($W$2:W125),$W$2:$W$1001,0),1)&gt;=100000,INDEX($AD$1005:$AU$1005,1,MATCH(COLUMNS($AD$1006:AD1006),$AD$1006:$AU$1006,0))&gt;=100000), " ",IF(INDEX($AD$2:$AU$1001,MATCH(ROWS($W$2:W125),$W$2:$W$1001,0),MATCH(COLUMNS($AD$1006:AD1006),$AD$1006:$AU$1006,0)), HYPERLINK("#",""), HYPERLINK(CONCATENATE("#metadata!", ADDRESS(INDEX($Y$2:$Y$1001,MATCH(ROWS($W$2:W125),$W$2:$W$1001,0),0), INDEX($AD$1004:$AU$1004,1,MATCH(COLUMNS($AD$1006:AD1006),$AD$1006:$AU$1006,0)))),"Fix")))</f>
        <v xml:space="preserve"> </v>
      </c>
      <c r="C125" s="4" t="str">
        <f ca="1">IF(OR(INDEX($X$2:$X$1001,MATCH(ROWS($W$2:W125),$W$2:$W$1001,0),1)&gt;=100000,INDEX($AD$1005:$AU$1005,1,MATCH(COLUMNS($AD$1006:AE1006),$AD$1006:$AU$1006,0))&gt;=100000), " ",IF(INDEX($AD$2:$AU$1001,MATCH(ROWS($W$2:W125),$W$2:$W$1001,0),MATCH(COLUMNS($AD$1006:AE1006),$AD$1006:$AU$1006,0)), HYPERLINK("#",""), HYPERLINK(CONCATENATE("#metadata!", ADDRESS(INDEX($Y$2:$Y$1001,MATCH(ROWS($W$2:W125),$W$2:$W$1001,0),0), INDEX($AD$1004:$AU$1004,1,MATCH(COLUMNS($AD$1006:AE1006),$AD$1006:$AU$1006,0)))),"Fix")))</f>
        <v xml:space="preserve"> </v>
      </c>
      <c r="D125" s="4" t="str">
        <f ca="1">IF(OR(INDEX($X$2:$X$1001,MATCH(ROWS($W$2:W125),$W$2:$W$1001,0),1)&gt;=100000,INDEX($AD$1005:$AU$1005,1,MATCH(COLUMNS($AD$1006:AF1006),$AD$1006:$AU$1006,0))&gt;=100000), " ",IF(INDEX($AD$2:$AU$1001,MATCH(ROWS($W$2:W125),$W$2:$W$1001,0),MATCH(COLUMNS($AD$1006:AF1006),$AD$1006:$AU$1006,0)), HYPERLINK("#",""), HYPERLINK(CONCATENATE("#metadata!", ADDRESS(INDEX($Y$2:$Y$1001,MATCH(ROWS($W$2:W125),$W$2:$W$1001,0),0), INDEX($AD$1004:$AU$1004,1,MATCH(COLUMNS($AD$1006:AF1006),$AD$1006:$AU$1006,0)))),"Fix")))</f>
        <v xml:space="preserve"> </v>
      </c>
      <c r="E125" s="4" t="str">
        <f ca="1">IF(OR(INDEX($X$2:$X$1001,MATCH(ROWS($W$2:W125),$W$2:$W$1001,0),1)&gt;=100000,INDEX($AD$1005:$AU$1005,1,MATCH(COLUMNS($AD$1006:AG1006),$AD$1006:$AU$1006,0))&gt;=100000), " ",IF(INDEX($AD$2:$AU$1001,MATCH(ROWS($W$2:W125),$W$2:$W$1001,0),MATCH(COLUMNS($AD$1006:AG1006),$AD$1006:$AU$1006,0)), HYPERLINK("#",""), HYPERLINK(CONCATENATE("#metadata!", ADDRESS(INDEX($Y$2:$Y$1001,MATCH(ROWS($W$2:W125),$W$2:$W$1001,0),0), INDEX($AD$1004:$AU$1004,1,MATCH(COLUMNS($AD$1006:AG1006),$AD$1006:$AU$1006,0)))),"Fix")))</f>
        <v xml:space="preserve"> </v>
      </c>
      <c r="F125" s="4" t="str">
        <f ca="1">IF(OR(INDEX($X$2:$X$1001,MATCH(ROWS($W$2:W125),$W$2:$W$1001,0),1)&gt;=100000,INDEX($AD$1005:$AU$1005,1,MATCH(COLUMNS($AD$1006:AH1006),$AD$1006:$AU$1006,0))&gt;=100000), " ",IF(INDEX($AD$2:$AU$1001,MATCH(ROWS($W$2:W125),$W$2:$W$1001,0),MATCH(COLUMNS($AD$1006:AH1006),$AD$1006:$AU$1006,0)), HYPERLINK("#",""), HYPERLINK(CONCATENATE("#metadata!", ADDRESS(INDEX($Y$2:$Y$1001,MATCH(ROWS($W$2:W125),$W$2:$W$1001,0),0), INDEX($AD$1004:$AU$1004,1,MATCH(COLUMNS($AD$1006:AH1006),$AD$1006:$AU$1006,0)))),"Fix")))</f>
        <v xml:space="preserve"> </v>
      </c>
      <c r="G125" s="4" t="str">
        <f ca="1">IF(OR(INDEX($X$2:$X$1001,MATCH(ROWS($W$2:W125),$W$2:$W$1001,0),1)&gt;=100000,INDEX($AD$1005:$AU$1005,1,MATCH(COLUMNS($AD$1006:AI1006),$AD$1006:$AU$1006,0))&gt;=100000), " ",IF(INDEX($AD$2:$AU$1001,MATCH(ROWS($W$2:W125),$W$2:$W$1001,0),MATCH(COLUMNS($AD$1006:AI1006),$AD$1006:$AU$1006,0)), HYPERLINK("#",""), HYPERLINK(CONCATENATE("#metadata!", ADDRESS(INDEX($Y$2:$Y$1001,MATCH(ROWS($W$2:W125),$W$2:$W$1001,0),0), INDEX($AD$1004:$AU$1004,1,MATCH(COLUMNS($AD$1006:AI1006),$AD$1006:$AU$1006,0)))),"Fix")))</f>
        <v xml:space="preserve"> </v>
      </c>
      <c r="H125" s="4" t="str">
        <f ca="1">IF(OR(INDEX($X$2:$X$1001,MATCH(ROWS($W$2:W125),$W$2:$W$1001,0),1)&gt;=100000,INDEX($AD$1005:$AU$1005,1,MATCH(COLUMNS($AD$1006:AJ1006),$AD$1006:$AU$1006,0))&gt;=100000), " ",IF(INDEX($AD$2:$AU$1001,MATCH(ROWS($W$2:W125),$W$2:$W$1001,0),MATCH(COLUMNS($AD$1006:AJ1006),$AD$1006:$AU$1006,0)), HYPERLINK("#",""), HYPERLINK(CONCATENATE("#metadata!", ADDRESS(INDEX($Y$2:$Y$1001,MATCH(ROWS($W$2:W125),$W$2:$W$1001,0),0), INDEX($AD$1004:$AU$1004,1,MATCH(COLUMNS($AD$1006:AJ1006),$AD$1006:$AU$1006,0)))),"Fix")))</f>
        <v xml:space="preserve"> </v>
      </c>
      <c r="I125" s="4" t="str">
        <f ca="1">IF(OR(INDEX($X$2:$X$1001,MATCH(ROWS($W$2:W125),$W$2:$W$1001,0),1)&gt;=100000,INDEX($AD$1005:$AU$1005,1,MATCH(COLUMNS($AD$1006:AK1006),$AD$1006:$AU$1006,0))&gt;=100000), " ",IF(INDEX($AD$2:$AU$1001,MATCH(ROWS($W$2:W125),$W$2:$W$1001,0),MATCH(COLUMNS($AD$1006:AK1006),$AD$1006:$AU$1006,0)), HYPERLINK("#",""), HYPERLINK(CONCATENATE("#metadata!", ADDRESS(INDEX($Y$2:$Y$1001,MATCH(ROWS($W$2:W125),$W$2:$W$1001,0),0), INDEX($AD$1004:$AU$1004,1,MATCH(COLUMNS($AD$1006:AK1006),$AD$1006:$AU$1006,0)))),"Fix")))</f>
        <v xml:space="preserve"> </v>
      </c>
      <c r="J125" s="4" t="str">
        <f ca="1">IF(OR(INDEX($X$2:$X$1001,MATCH(ROWS($W$2:W125),$W$2:$W$1001,0),1)&gt;=100000,INDEX($AD$1005:$AU$1005,1,MATCH(COLUMNS($AD$1006:AL1006),$AD$1006:$AU$1006,0))&gt;=100000), " ",IF(INDEX($AD$2:$AU$1001,MATCH(ROWS($W$2:W125),$W$2:$W$1001,0),MATCH(COLUMNS($AD$1006:AL1006),$AD$1006:$AU$1006,0)), HYPERLINK("#",""), HYPERLINK(CONCATENATE("#metadata!", ADDRESS(INDEX($Y$2:$Y$1001,MATCH(ROWS($W$2:W125),$W$2:$W$1001,0),0), INDEX($AD$1004:$AU$1004,1,MATCH(COLUMNS($AD$1006:AL1006),$AD$1006:$AU$1006,0)))),"Fix")))</f>
        <v xml:space="preserve"> </v>
      </c>
      <c r="K125" s="4" t="str">
        <f ca="1">IF(OR(INDEX($X$2:$X$1001,MATCH(ROWS($W$2:W125),$W$2:$W$1001,0),1)&gt;=100000,INDEX($AD$1005:$AU$1005,1,MATCH(COLUMNS($AD$1006:AM1006),$AD$1006:$AU$1006,0))&gt;=100000), " ",IF(INDEX($AD$2:$AU$1001,MATCH(ROWS($W$2:W125),$W$2:$W$1001,0),MATCH(COLUMNS($AD$1006:AM1006),$AD$1006:$AU$1006,0)), HYPERLINK("#",""), HYPERLINK(CONCATENATE("#metadata!", ADDRESS(INDEX($Y$2:$Y$1001,MATCH(ROWS($W$2:W125),$W$2:$W$1001,0),0), INDEX($AD$1004:$AU$1004,1,MATCH(COLUMNS($AD$1006:AM1006),$AD$1006:$AU$1006,0)))),"Fix")))</f>
        <v xml:space="preserve"> </v>
      </c>
      <c r="L125" s="4" t="str">
        <f ca="1">IF(OR(INDEX($X$2:$X$1001,MATCH(ROWS($W$2:W125),$W$2:$W$1001,0),1)&gt;=100000,INDEX($AD$1005:$AU$1005,1,MATCH(COLUMNS($AD$1006:AN1006),$AD$1006:$AU$1006,0))&gt;=100000), " ",IF(INDEX($AD$2:$AU$1001,MATCH(ROWS($W$2:W125),$W$2:$W$1001,0),MATCH(COLUMNS($AD$1006:AN1006),$AD$1006:$AU$1006,0)), HYPERLINK("#",""), HYPERLINK(CONCATENATE("#metadata!", ADDRESS(INDEX($Y$2:$Y$1001,MATCH(ROWS($W$2:W125),$W$2:$W$1001,0),0), INDEX($AD$1004:$AU$1004,1,MATCH(COLUMNS($AD$1006:AN1006),$AD$1006:$AU$1006,0)))),"Fix")))</f>
        <v xml:space="preserve"> </v>
      </c>
      <c r="M125" s="4" t="str">
        <f ca="1">IF(OR(INDEX($X$2:$X$1001,MATCH(ROWS($W$2:W125),$W$2:$W$1001,0),1)&gt;=100000,INDEX($AD$1005:$AU$1005,1,MATCH(COLUMNS($AD$1006:AO1006),$AD$1006:$AU$1006,0))&gt;=100000), " ",IF(INDEX($AD$2:$AU$1001,MATCH(ROWS($W$2:W125),$W$2:$W$1001,0),MATCH(COLUMNS($AD$1006:AO1006),$AD$1006:$AU$1006,0)), HYPERLINK("#",""), HYPERLINK(CONCATENATE("#metadata!", ADDRESS(INDEX($Y$2:$Y$1001,MATCH(ROWS($W$2:W125),$W$2:$W$1001,0),0), INDEX($AD$1004:$AU$1004,1,MATCH(COLUMNS($AD$1006:AO1006),$AD$1006:$AU$1006,0)))),"Fix")))</f>
        <v xml:space="preserve"> </v>
      </c>
      <c r="N125" s="4" t="str">
        <f ca="1">IF(OR(INDEX($X$2:$X$1001,MATCH(ROWS($W$2:W125),$W$2:$W$1001,0),1)&gt;=100000,INDEX($AD$1005:$AU$1005,1,MATCH(COLUMNS($AD$1006:AP1006),$AD$1006:$AU$1006,0))&gt;=100000), " ",IF(INDEX($AD$2:$AU$1001,MATCH(ROWS($W$2:W125),$W$2:$W$1001,0),MATCH(COLUMNS($AD$1006:AP1006),$AD$1006:$AU$1006,0)), HYPERLINK("#",""), HYPERLINK(CONCATENATE("#metadata!", ADDRESS(INDEX($Y$2:$Y$1001,MATCH(ROWS($W$2:W125),$W$2:$W$1001,0),0), INDEX($AD$1004:$AU$1004,1,MATCH(COLUMNS($AD$1006:AP1006),$AD$1006:$AU$1006,0)))),"Fix")))</f>
        <v xml:space="preserve"> </v>
      </c>
      <c r="O125" s="4" t="str">
        <f ca="1">IF(OR(INDEX($X$2:$X$1001,MATCH(ROWS($W$2:W125),$W$2:$W$1001,0),1)&gt;=100000,INDEX($AD$1005:$AU$1005,1,MATCH(COLUMNS($AD$1006:AQ1006),$AD$1006:$AU$1006,0))&gt;=100000), " ",IF(INDEX($AD$2:$AU$1001,MATCH(ROWS($W$2:W125),$W$2:$W$1001,0),MATCH(COLUMNS($AD$1006:AQ1006),$AD$1006:$AU$1006,0)), HYPERLINK("#",""), HYPERLINK(CONCATENATE("#metadata!", ADDRESS(INDEX($Y$2:$Y$1001,MATCH(ROWS($W$2:W125),$W$2:$W$1001,0),0), INDEX($AD$1004:$AU$1004,1,MATCH(COLUMNS($AD$1006:AQ1006),$AD$1006:$AU$1006,0)))),"Fix")))</f>
        <v xml:space="preserve"> </v>
      </c>
      <c r="P125" s="4" t="str">
        <f ca="1">IF(OR(INDEX($X$2:$X$1001,MATCH(ROWS($W$2:W125),$W$2:$W$1001,0),1)&gt;=100000,INDEX($AD$1005:$AU$1005,1,MATCH(COLUMNS($AD$1006:AR1006),$AD$1006:$AU$1006,0))&gt;=100000), " ",IF(INDEX($AD$2:$AU$1001,MATCH(ROWS($W$2:W125),$W$2:$W$1001,0),MATCH(COLUMNS($AD$1006:AR1006),$AD$1006:$AU$1006,0)), HYPERLINK("#",""), HYPERLINK(CONCATENATE("#metadata!", ADDRESS(INDEX($Y$2:$Y$1001,MATCH(ROWS($W$2:W125),$W$2:$W$1001,0),0), INDEX($AD$1004:$AU$1004,1,MATCH(COLUMNS($AD$1006:AR1006),$AD$1006:$AU$1006,0)))),"Fix")))</f>
        <v xml:space="preserve"> </v>
      </c>
      <c r="Q125" s="4" t="str">
        <f ca="1">IF(OR(INDEX($X$2:$X$1001,MATCH(ROWS($W$2:W125),$W$2:$W$1001,0),1)&gt;=100000,INDEX($AD$1005:$AU$1005,1,MATCH(COLUMNS($AD$1006:AS1006),$AD$1006:$AU$1006,0))&gt;=100000), " ",IF(INDEX($AD$2:$AU$1001,MATCH(ROWS($W$2:W125),$W$2:$W$1001,0),MATCH(COLUMNS($AD$1006:AS1006),$AD$1006:$AU$1006,0)), HYPERLINK("#",""), HYPERLINK(CONCATENATE("#metadata!", ADDRESS(INDEX($Y$2:$Y$1001,MATCH(ROWS($W$2:W125),$W$2:$W$1001,0),0), INDEX($AD$1004:$AU$1004,1,MATCH(COLUMNS($AD$1006:AS1006),$AD$1006:$AU$1006,0)))),"Fix")))</f>
        <v xml:space="preserve"> </v>
      </c>
      <c r="R125" s="4" t="str">
        <f ca="1">IF(OR(INDEX($X$2:$X$1001,MATCH(ROWS($W$2:W125),$W$2:$W$1001,0),1)&gt;=100000,INDEX($AD$1005:$AU$1005,1,MATCH(COLUMNS($AD$1006:AT1006),$AD$1006:$AU$1006,0))&gt;=100000), " ",IF(INDEX($AD$2:$AU$1001,MATCH(ROWS($W$2:W125),$W$2:$W$1001,0),MATCH(COLUMNS($AD$1006:AT1006),$AD$1006:$AU$1006,0)), HYPERLINK("#",""), HYPERLINK(CONCATENATE("#metadata!", ADDRESS(INDEX($Y$2:$Y$1001,MATCH(ROWS($W$2:W125),$W$2:$W$1001,0),0), INDEX($AD$1004:$AU$1004,1,MATCH(COLUMNS($AD$1006:AT1006),$AD$1006:$AU$1006,0)))),"Fix")))</f>
        <v xml:space="preserve"> </v>
      </c>
      <c r="S125" s="4" t="str">
        <f ca="1">IF(OR(INDEX($X$2:$X$1001,MATCH(ROWS($W$2:W125),$W$2:$W$1001,0),1)&gt;=100000,INDEX($AD$1005:$AU$1005,1,MATCH(COLUMNS($AD$1006:AU1006),$AD$1006:$AU$1006,0))&gt;=100000), " ",IF(INDEX($AD$2:$AU$1001,MATCH(ROWS($W$2:W125),$W$2:$W$1001,0),MATCH(COLUMNS($AD$1006:AU1006),$AD$1006:$AU$1006,0)), HYPERLINK("#",""), HYPERLINK(CONCATENATE("#metadata!", ADDRESS(INDEX($Y$2:$Y$1001,MATCH(ROWS($W$2:W125),$W$2:$W$1001,0),0), INDEX($AD$1004:$AU$1004,1,MATCH(COLUMNS($AD$1006:AU1006),$AD$1006:$AU$1006,0)))),"Fix")))</f>
        <v xml:space="preserve"> </v>
      </c>
      <c r="W125">
        <v>124</v>
      </c>
      <c r="X125">
        <v>100125</v>
      </c>
      <c r="Y125">
        <v>125</v>
      </c>
      <c r="Z125" t="b">
        <f t="shared" si="1"/>
        <v>1</v>
      </c>
      <c r="AA125" t="b">
        <f>COUNTBLANK(metadata!B125:S125)=COLUMNS(metadata!B125:S125)</f>
        <v>1</v>
      </c>
      <c r="AB125" t="str">
        <v/>
      </c>
      <c r="AD125" t="b">
        <f ca="1">AND(IF(metadata!B125="",FALSE,TRUE),COUNTIF(metadata!B:B, metadata!B125) = 1,NOT(ISERROR(SUMPRODUCT(SEARCH(MID(metadata!B125,ROW(INDIRECT("1:"&amp;LEN(metadata!B125))), 1),"0123456789abcdefghijklmnopqrstuvwxyzABCDEFGHIJKLMNOPQRSTUVWXYZ.")))))</f>
        <v>0</v>
      </c>
      <c r="AE125" t="b">
        <f>OR(AND(IF(metadata!C125="",FALSE,TRUE),OR(EXACT(metadata!C125,"not applicable"),EXACT(metadata!C125,"missing: not collected"),EXACT(metadata!C125,"missing: not provided"),EXACT(metadata!C125,"missing: restricted access"))),AND(IF(metadata!C125="",FALSE,ISNUMBER(VALUE(metadata!C125))),metadata!C125&gt;0))</f>
        <v>0</v>
      </c>
      <c r="AF125" t="b">
        <f>AND(IF(metadata!D125="",FALSE,TRUE),EXACT(metadata!D125,"missing: not provided"))</f>
        <v>0</v>
      </c>
      <c r="AG125" t="b">
        <f>AND(IF(metadata!E125="",FALSE,TRUE),EXACT(metadata!E125,"Host-associated"))</f>
        <v>0</v>
      </c>
      <c r="AH125" t="b">
        <f>AND(IF(metadata!F125="",FALSE,TRUE),OR(EXACT(metadata!F125,"Animal"),EXACT(metadata!F125,"Fungus"),EXACT(metadata!F125,"Plant")))</f>
        <v>0</v>
      </c>
      <c r="AI125" t="b">
        <f>AND(IF(metadata!G125="",FALSE,TRUE),OR(EXACT(metadata!G125,"Plant secretion"),EXACT(metadata!G125,"Plant rhizosphere"),EXACT(metadata!G125,"Plant surface"),EXACT(metadata!G125,"Plant corpus"),EXACT(metadata!G125,"Fungus surface"),EXACT(metadata!G125,"Fungus corpus"),EXACT(metadata!G125,"Animal surface"),EXACT(metadata!G125,"Animal proximal gut"),EXACT(metadata!G125,"Animal corpus"),EXACT(metadata!G125,"Animal distal gut"),EXACT(metadata!G125,"Animal secretion")))</f>
        <v>0</v>
      </c>
      <c r="AJ125" t="b">
        <f>OR(AND(IF(metadata!H125="",FALSE,TRUE),OR(EXACT(metadata!H125,"missing: not collected"),EXACT(metadata!H125,"missing: not provided"),EXACT(metadata!H125,"missing: restricted access"))),AND(IF(metadata!H125="",FALSE,TRUE),OR(EXACT(metadata!H125,"organism-associated habitat"),EXACT(metadata!H125,"plant-associated habitat"),EXACT(metadata!H125,"animal-associated habitat"),EXACT(metadata!H125,"insecta-associated habitat"),EXACT(metadata!H125,"mammalia-associated habitat"),EXACT(metadata!H125,"human-associated habitat"),EXACT(metadata!H125,"livestock-associated habitat"))))</f>
        <v>0</v>
      </c>
      <c r="AK125" t="b">
        <f>AND(IF(metadata!I125="",FALSE,TRUE),EXACT(metadata!I125,"host-associated"))</f>
        <v>0</v>
      </c>
      <c r="AL125" t="b">
        <f>OR(AND(IF(metadata!J125="",FALSE,TRUE),OR(EXACT(metadata!J125,"not applicable"),EXACT(metadata!J125,"missing: not collected"),EXACT(metadata!J125,"missing: not provided"),EXACT(metadata!J125,"missing: restricted access"))),AND(IF(metadata!J125="",FALSE,ISNUMBER(VALUE(metadata!J125))),metadata!J125&gt;0))</f>
        <v>0</v>
      </c>
      <c r="AM125" t="b">
        <f>AND(IF(metadata!K125="",FALSE,TRUE),EXACT(metadata!K125,"missing: not provided"))</f>
        <v>0</v>
      </c>
      <c r="AN125" t="b">
        <f>IF(metadata!L125="",FALSE,TRUE)</f>
        <v>0</v>
      </c>
      <c r="AO125" t="b">
        <f>IF(metadata!M125="",FALSE,TRUE)</f>
        <v>0</v>
      </c>
      <c r="AP125" t="b">
        <f>OR(AND(IF(metadata!N125="",FALSE,TRUE),OR(EXACT(metadata!N125,"not applicable"),EXACT(metadata!N125,"missing: not collected"),EXACT(metadata!N125,"missing: not provided"))),AND(IF(metadata!N125="",FALSE,IF(ISERROR(INT(metadata!N125)),FALSE,INT(metadata!N125)=metadata!N125)),metadata!N125&gt;0))</f>
        <v>0</v>
      </c>
      <c r="AQ125" t="b">
        <f>AND(IF(metadata!O125="",FALSE,TRUE),EXACT(metadata!O125,"Not applicable"))</f>
        <v>0</v>
      </c>
      <c r="AR125" t="b">
        <f>OR(AND(IF(metadata!P125="",FALSE,TRUE),OR(EXACT(metadata!P125,"not applicable"),EXACT(metadata!P125,"missing: not collected"),EXACT(metadata!P125,"missing: not provided"),EXACT(metadata!P125,"missing: restricted access"))),IF(metadata!P125="",FALSE,IF(ISERROR(INT(metadata!P125)),FALSE,INT(metadata!P125)=metadata!P125)))</f>
        <v>0</v>
      </c>
      <c r="AS125" t="b">
        <f>AND(IF(metadata!Q125="",FALSE,TRUE),EXACT(metadata!Q125,"Not applicable"))</f>
        <v>0</v>
      </c>
      <c r="AT125" t="b">
        <f>OR(AND(IF(metadata!R125="",FALSE,TRUE),OR(EXACT(metadata!R125,"not applicable"),EXACT(metadata!R125,"missing: not collected"),EXACT(metadata!R125,"missing: not provided"),EXACT(metadata!R125,"missing: restricted access"))),AND(IF(metadata!R125="",FALSE,ISNUMBER(VALUE(metadata!R125))),metadata!R125&gt;0))</f>
        <v>0</v>
      </c>
      <c r="AU125" t="b">
        <f>AND(IF(metadata!S125="",FALSE,TRUE),EXACT(metadata!S125,"missing: not provided"))</f>
        <v>0</v>
      </c>
    </row>
    <row r="126" spans="1:47" x14ac:dyDescent="0.2">
      <c r="A126" s="5" t="str">
        <f ca="1">IF(B126=" "," ",HYPERLINK(CONCATENATE("#metadata!",ADDRESS(INDEX($Y$2:$Y$1001,MATCH(ROWS($W$2:W126),$W$2:$W$1001,0),0),1)),INDEX($AB$2:$AB$1001,MATCH(ROWS($W$2:W126),$W$2:$W$1001,0),0)))</f>
        <v xml:space="preserve"> </v>
      </c>
      <c r="B126" s="4" t="str">
        <f ca="1">IF(OR(INDEX($X$2:$X$1001,MATCH(ROWS($W$2:W126),$W$2:$W$1001,0),1)&gt;=100000,INDEX($AD$1005:$AU$1005,1,MATCH(COLUMNS($AD$1006:AD1006),$AD$1006:$AU$1006,0))&gt;=100000), " ",IF(INDEX($AD$2:$AU$1001,MATCH(ROWS($W$2:W126),$W$2:$W$1001,0),MATCH(COLUMNS($AD$1006:AD1006),$AD$1006:$AU$1006,0)), HYPERLINK("#",""), HYPERLINK(CONCATENATE("#metadata!", ADDRESS(INDEX($Y$2:$Y$1001,MATCH(ROWS($W$2:W126),$W$2:$W$1001,0),0), INDEX($AD$1004:$AU$1004,1,MATCH(COLUMNS($AD$1006:AD1006),$AD$1006:$AU$1006,0)))),"Fix")))</f>
        <v xml:space="preserve"> </v>
      </c>
      <c r="C126" s="4" t="str">
        <f ca="1">IF(OR(INDEX($X$2:$X$1001,MATCH(ROWS($W$2:W126),$W$2:$W$1001,0),1)&gt;=100000,INDEX($AD$1005:$AU$1005,1,MATCH(COLUMNS($AD$1006:AE1006),$AD$1006:$AU$1006,0))&gt;=100000), " ",IF(INDEX($AD$2:$AU$1001,MATCH(ROWS($W$2:W126),$W$2:$W$1001,0),MATCH(COLUMNS($AD$1006:AE1006),$AD$1006:$AU$1006,0)), HYPERLINK("#",""), HYPERLINK(CONCATENATE("#metadata!", ADDRESS(INDEX($Y$2:$Y$1001,MATCH(ROWS($W$2:W126),$W$2:$W$1001,0),0), INDEX($AD$1004:$AU$1004,1,MATCH(COLUMNS($AD$1006:AE1006),$AD$1006:$AU$1006,0)))),"Fix")))</f>
        <v xml:space="preserve"> </v>
      </c>
      <c r="D126" s="4" t="str">
        <f ca="1">IF(OR(INDEX($X$2:$X$1001,MATCH(ROWS($W$2:W126),$W$2:$W$1001,0),1)&gt;=100000,INDEX($AD$1005:$AU$1005,1,MATCH(COLUMNS($AD$1006:AF1006),$AD$1006:$AU$1006,0))&gt;=100000), " ",IF(INDEX($AD$2:$AU$1001,MATCH(ROWS($W$2:W126),$W$2:$W$1001,0),MATCH(COLUMNS($AD$1006:AF1006),$AD$1006:$AU$1006,0)), HYPERLINK("#",""), HYPERLINK(CONCATENATE("#metadata!", ADDRESS(INDEX($Y$2:$Y$1001,MATCH(ROWS($W$2:W126),$W$2:$W$1001,0),0), INDEX($AD$1004:$AU$1004,1,MATCH(COLUMNS($AD$1006:AF1006),$AD$1006:$AU$1006,0)))),"Fix")))</f>
        <v xml:space="preserve"> </v>
      </c>
      <c r="E126" s="4" t="str">
        <f ca="1">IF(OR(INDEX($X$2:$X$1001,MATCH(ROWS($W$2:W126),$W$2:$W$1001,0),1)&gt;=100000,INDEX($AD$1005:$AU$1005,1,MATCH(COLUMNS($AD$1006:AG1006),$AD$1006:$AU$1006,0))&gt;=100000), " ",IF(INDEX($AD$2:$AU$1001,MATCH(ROWS($W$2:W126),$W$2:$W$1001,0),MATCH(COLUMNS($AD$1006:AG1006),$AD$1006:$AU$1006,0)), HYPERLINK("#",""), HYPERLINK(CONCATENATE("#metadata!", ADDRESS(INDEX($Y$2:$Y$1001,MATCH(ROWS($W$2:W126),$W$2:$W$1001,0),0), INDEX($AD$1004:$AU$1004,1,MATCH(COLUMNS($AD$1006:AG1006),$AD$1006:$AU$1006,0)))),"Fix")))</f>
        <v xml:space="preserve"> </v>
      </c>
      <c r="F126" s="4" t="str">
        <f ca="1">IF(OR(INDEX($X$2:$X$1001,MATCH(ROWS($W$2:W126),$W$2:$W$1001,0),1)&gt;=100000,INDEX($AD$1005:$AU$1005,1,MATCH(COLUMNS($AD$1006:AH1006),$AD$1006:$AU$1006,0))&gt;=100000), " ",IF(INDEX($AD$2:$AU$1001,MATCH(ROWS($W$2:W126),$W$2:$W$1001,0),MATCH(COLUMNS($AD$1006:AH1006),$AD$1006:$AU$1006,0)), HYPERLINK("#",""), HYPERLINK(CONCATENATE("#metadata!", ADDRESS(INDEX($Y$2:$Y$1001,MATCH(ROWS($W$2:W126),$W$2:$W$1001,0),0), INDEX($AD$1004:$AU$1004,1,MATCH(COLUMNS($AD$1006:AH1006),$AD$1006:$AU$1006,0)))),"Fix")))</f>
        <v xml:space="preserve"> </v>
      </c>
      <c r="G126" s="4" t="str">
        <f ca="1">IF(OR(INDEX($X$2:$X$1001,MATCH(ROWS($W$2:W126),$W$2:$W$1001,0),1)&gt;=100000,INDEX($AD$1005:$AU$1005,1,MATCH(COLUMNS($AD$1006:AI1006),$AD$1006:$AU$1006,0))&gt;=100000), " ",IF(INDEX($AD$2:$AU$1001,MATCH(ROWS($W$2:W126),$W$2:$W$1001,0),MATCH(COLUMNS($AD$1006:AI1006),$AD$1006:$AU$1006,0)), HYPERLINK("#",""), HYPERLINK(CONCATENATE("#metadata!", ADDRESS(INDEX($Y$2:$Y$1001,MATCH(ROWS($W$2:W126),$W$2:$W$1001,0),0), INDEX($AD$1004:$AU$1004,1,MATCH(COLUMNS($AD$1006:AI1006),$AD$1006:$AU$1006,0)))),"Fix")))</f>
        <v xml:space="preserve"> </v>
      </c>
      <c r="H126" s="4" t="str">
        <f ca="1">IF(OR(INDEX($X$2:$X$1001,MATCH(ROWS($W$2:W126),$W$2:$W$1001,0),1)&gt;=100000,INDEX($AD$1005:$AU$1005,1,MATCH(COLUMNS($AD$1006:AJ1006),$AD$1006:$AU$1006,0))&gt;=100000), " ",IF(INDEX($AD$2:$AU$1001,MATCH(ROWS($W$2:W126),$W$2:$W$1001,0),MATCH(COLUMNS($AD$1006:AJ1006),$AD$1006:$AU$1006,0)), HYPERLINK("#",""), HYPERLINK(CONCATENATE("#metadata!", ADDRESS(INDEX($Y$2:$Y$1001,MATCH(ROWS($W$2:W126),$W$2:$W$1001,0),0), INDEX($AD$1004:$AU$1004,1,MATCH(COLUMNS($AD$1006:AJ1006),$AD$1006:$AU$1006,0)))),"Fix")))</f>
        <v xml:space="preserve"> </v>
      </c>
      <c r="I126" s="4" t="str">
        <f ca="1">IF(OR(INDEX($X$2:$X$1001,MATCH(ROWS($W$2:W126),$W$2:$W$1001,0),1)&gt;=100000,INDEX($AD$1005:$AU$1005,1,MATCH(COLUMNS($AD$1006:AK1006),$AD$1006:$AU$1006,0))&gt;=100000), " ",IF(INDEX($AD$2:$AU$1001,MATCH(ROWS($W$2:W126),$W$2:$W$1001,0),MATCH(COLUMNS($AD$1006:AK1006),$AD$1006:$AU$1006,0)), HYPERLINK("#",""), HYPERLINK(CONCATENATE("#metadata!", ADDRESS(INDEX($Y$2:$Y$1001,MATCH(ROWS($W$2:W126),$W$2:$W$1001,0),0), INDEX($AD$1004:$AU$1004,1,MATCH(COLUMNS($AD$1006:AK1006),$AD$1006:$AU$1006,0)))),"Fix")))</f>
        <v xml:space="preserve"> </v>
      </c>
      <c r="J126" s="4" t="str">
        <f ca="1">IF(OR(INDEX($X$2:$X$1001,MATCH(ROWS($W$2:W126),$W$2:$W$1001,0),1)&gt;=100000,INDEX($AD$1005:$AU$1005,1,MATCH(COLUMNS($AD$1006:AL1006),$AD$1006:$AU$1006,0))&gt;=100000), " ",IF(INDEX($AD$2:$AU$1001,MATCH(ROWS($W$2:W126),$W$2:$W$1001,0),MATCH(COLUMNS($AD$1006:AL1006),$AD$1006:$AU$1006,0)), HYPERLINK("#",""), HYPERLINK(CONCATENATE("#metadata!", ADDRESS(INDEX($Y$2:$Y$1001,MATCH(ROWS($W$2:W126),$W$2:$W$1001,0),0), INDEX($AD$1004:$AU$1004,1,MATCH(COLUMNS($AD$1006:AL1006),$AD$1006:$AU$1006,0)))),"Fix")))</f>
        <v xml:space="preserve"> </v>
      </c>
      <c r="K126" s="4" t="str">
        <f ca="1">IF(OR(INDEX($X$2:$X$1001,MATCH(ROWS($W$2:W126),$W$2:$W$1001,0),1)&gt;=100000,INDEX($AD$1005:$AU$1005,1,MATCH(COLUMNS($AD$1006:AM1006),$AD$1006:$AU$1006,0))&gt;=100000), " ",IF(INDEX($AD$2:$AU$1001,MATCH(ROWS($W$2:W126),$W$2:$W$1001,0),MATCH(COLUMNS($AD$1006:AM1006),$AD$1006:$AU$1006,0)), HYPERLINK("#",""), HYPERLINK(CONCATENATE("#metadata!", ADDRESS(INDEX($Y$2:$Y$1001,MATCH(ROWS($W$2:W126),$W$2:$W$1001,0),0), INDEX($AD$1004:$AU$1004,1,MATCH(COLUMNS($AD$1006:AM1006),$AD$1006:$AU$1006,0)))),"Fix")))</f>
        <v xml:space="preserve"> </v>
      </c>
      <c r="L126" s="4" t="str">
        <f ca="1">IF(OR(INDEX($X$2:$X$1001,MATCH(ROWS($W$2:W126),$W$2:$W$1001,0),1)&gt;=100000,INDEX($AD$1005:$AU$1005,1,MATCH(COLUMNS($AD$1006:AN1006),$AD$1006:$AU$1006,0))&gt;=100000), " ",IF(INDEX($AD$2:$AU$1001,MATCH(ROWS($W$2:W126),$W$2:$W$1001,0),MATCH(COLUMNS($AD$1006:AN1006),$AD$1006:$AU$1006,0)), HYPERLINK("#",""), HYPERLINK(CONCATENATE("#metadata!", ADDRESS(INDEX($Y$2:$Y$1001,MATCH(ROWS($W$2:W126),$W$2:$W$1001,0),0), INDEX($AD$1004:$AU$1004,1,MATCH(COLUMNS($AD$1006:AN1006),$AD$1006:$AU$1006,0)))),"Fix")))</f>
        <v xml:space="preserve"> </v>
      </c>
      <c r="M126" s="4" t="str">
        <f ca="1">IF(OR(INDEX($X$2:$X$1001,MATCH(ROWS($W$2:W126),$W$2:$W$1001,0),1)&gt;=100000,INDEX($AD$1005:$AU$1005,1,MATCH(COLUMNS($AD$1006:AO1006),$AD$1006:$AU$1006,0))&gt;=100000), " ",IF(INDEX($AD$2:$AU$1001,MATCH(ROWS($W$2:W126),$W$2:$W$1001,0),MATCH(COLUMNS($AD$1006:AO1006),$AD$1006:$AU$1006,0)), HYPERLINK("#",""), HYPERLINK(CONCATENATE("#metadata!", ADDRESS(INDEX($Y$2:$Y$1001,MATCH(ROWS($W$2:W126),$W$2:$W$1001,0),0), INDEX($AD$1004:$AU$1004,1,MATCH(COLUMNS($AD$1006:AO1006),$AD$1006:$AU$1006,0)))),"Fix")))</f>
        <v xml:space="preserve"> </v>
      </c>
      <c r="N126" s="4" t="str">
        <f ca="1">IF(OR(INDEX($X$2:$X$1001,MATCH(ROWS($W$2:W126),$W$2:$W$1001,0),1)&gt;=100000,INDEX($AD$1005:$AU$1005,1,MATCH(COLUMNS($AD$1006:AP1006),$AD$1006:$AU$1006,0))&gt;=100000), " ",IF(INDEX($AD$2:$AU$1001,MATCH(ROWS($W$2:W126),$W$2:$W$1001,0),MATCH(COLUMNS($AD$1006:AP1006),$AD$1006:$AU$1006,0)), HYPERLINK("#",""), HYPERLINK(CONCATENATE("#metadata!", ADDRESS(INDEX($Y$2:$Y$1001,MATCH(ROWS($W$2:W126),$W$2:$W$1001,0),0), INDEX($AD$1004:$AU$1004,1,MATCH(COLUMNS($AD$1006:AP1006),$AD$1006:$AU$1006,0)))),"Fix")))</f>
        <v xml:space="preserve"> </v>
      </c>
      <c r="O126" s="4" t="str">
        <f ca="1">IF(OR(INDEX($X$2:$X$1001,MATCH(ROWS($W$2:W126),$W$2:$W$1001,0),1)&gt;=100000,INDEX($AD$1005:$AU$1005,1,MATCH(COLUMNS($AD$1006:AQ1006),$AD$1006:$AU$1006,0))&gt;=100000), " ",IF(INDEX($AD$2:$AU$1001,MATCH(ROWS($W$2:W126),$W$2:$W$1001,0),MATCH(COLUMNS($AD$1006:AQ1006),$AD$1006:$AU$1006,0)), HYPERLINK("#",""), HYPERLINK(CONCATENATE("#metadata!", ADDRESS(INDEX($Y$2:$Y$1001,MATCH(ROWS($W$2:W126),$W$2:$W$1001,0),0), INDEX($AD$1004:$AU$1004,1,MATCH(COLUMNS($AD$1006:AQ1006),$AD$1006:$AU$1006,0)))),"Fix")))</f>
        <v xml:space="preserve"> </v>
      </c>
      <c r="P126" s="4" t="str">
        <f ca="1">IF(OR(INDEX($X$2:$X$1001,MATCH(ROWS($W$2:W126),$W$2:$W$1001,0),1)&gt;=100000,INDEX($AD$1005:$AU$1005,1,MATCH(COLUMNS($AD$1006:AR1006),$AD$1006:$AU$1006,0))&gt;=100000), " ",IF(INDEX($AD$2:$AU$1001,MATCH(ROWS($W$2:W126),$W$2:$W$1001,0),MATCH(COLUMNS($AD$1006:AR1006),$AD$1006:$AU$1006,0)), HYPERLINK("#",""), HYPERLINK(CONCATENATE("#metadata!", ADDRESS(INDEX($Y$2:$Y$1001,MATCH(ROWS($W$2:W126),$W$2:$W$1001,0),0), INDEX($AD$1004:$AU$1004,1,MATCH(COLUMNS($AD$1006:AR1006),$AD$1006:$AU$1006,0)))),"Fix")))</f>
        <v xml:space="preserve"> </v>
      </c>
      <c r="Q126" s="4" t="str">
        <f ca="1">IF(OR(INDEX($X$2:$X$1001,MATCH(ROWS($W$2:W126),$W$2:$W$1001,0),1)&gt;=100000,INDEX($AD$1005:$AU$1005,1,MATCH(COLUMNS($AD$1006:AS1006),$AD$1006:$AU$1006,0))&gt;=100000), " ",IF(INDEX($AD$2:$AU$1001,MATCH(ROWS($W$2:W126),$W$2:$W$1001,0),MATCH(COLUMNS($AD$1006:AS1006),$AD$1006:$AU$1006,0)), HYPERLINK("#",""), HYPERLINK(CONCATENATE("#metadata!", ADDRESS(INDEX($Y$2:$Y$1001,MATCH(ROWS($W$2:W126),$W$2:$W$1001,0),0), INDEX($AD$1004:$AU$1004,1,MATCH(COLUMNS($AD$1006:AS1006),$AD$1006:$AU$1006,0)))),"Fix")))</f>
        <v xml:space="preserve"> </v>
      </c>
      <c r="R126" s="4" t="str">
        <f ca="1">IF(OR(INDEX($X$2:$X$1001,MATCH(ROWS($W$2:W126),$W$2:$W$1001,0),1)&gt;=100000,INDEX($AD$1005:$AU$1005,1,MATCH(COLUMNS($AD$1006:AT1006),$AD$1006:$AU$1006,0))&gt;=100000), " ",IF(INDEX($AD$2:$AU$1001,MATCH(ROWS($W$2:W126),$W$2:$W$1001,0),MATCH(COLUMNS($AD$1006:AT1006),$AD$1006:$AU$1006,0)), HYPERLINK("#",""), HYPERLINK(CONCATENATE("#metadata!", ADDRESS(INDEX($Y$2:$Y$1001,MATCH(ROWS($W$2:W126),$W$2:$W$1001,0),0), INDEX($AD$1004:$AU$1004,1,MATCH(COLUMNS($AD$1006:AT1006),$AD$1006:$AU$1006,0)))),"Fix")))</f>
        <v xml:space="preserve"> </v>
      </c>
      <c r="S126" s="4" t="str">
        <f ca="1">IF(OR(INDEX($X$2:$X$1001,MATCH(ROWS($W$2:W126),$W$2:$W$1001,0),1)&gt;=100000,INDEX($AD$1005:$AU$1005,1,MATCH(COLUMNS($AD$1006:AU1006),$AD$1006:$AU$1006,0))&gt;=100000), " ",IF(INDEX($AD$2:$AU$1001,MATCH(ROWS($W$2:W126),$W$2:$W$1001,0),MATCH(COLUMNS($AD$1006:AU1006),$AD$1006:$AU$1006,0)), HYPERLINK("#",""), HYPERLINK(CONCATENATE("#metadata!", ADDRESS(INDEX($Y$2:$Y$1001,MATCH(ROWS($W$2:W126),$W$2:$W$1001,0),0), INDEX($AD$1004:$AU$1004,1,MATCH(COLUMNS($AD$1006:AU1006),$AD$1006:$AU$1006,0)))),"Fix")))</f>
        <v xml:space="preserve"> </v>
      </c>
      <c r="W126">
        <v>125</v>
      </c>
      <c r="X126">
        <v>100126</v>
      </c>
      <c r="Y126">
        <v>126</v>
      </c>
      <c r="Z126" t="b">
        <f t="shared" si="1"/>
        <v>1</v>
      </c>
      <c r="AA126" t="b">
        <f>COUNTBLANK(metadata!B126:S126)=COLUMNS(metadata!B126:S126)</f>
        <v>1</v>
      </c>
      <c r="AB126" t="str">
        <v/>
      </c>
      <c r="AD126" t="b">
        <f ca="1">AND(IF(metadata!B126="",FALSE,TRUE),COUNTIF(metadata!B:B, metadata!B126) = 1,NOT(ISERROR(SUMPRODUCT(SEARCH(MID(metadata!B126,ROW(INDIRECT("1:"&amp;LEN(metadata!B126))), 1),"0123456789abcdefghijklmnopqrstuvwxyzABCDEFGHIJKLMNOPQRSTUVWXYZ.")))))</f>
        <v>0</v>
      </c>
      <c r="AE126" t="b">
        <f>OR(AND(IF(metadata!C126="",FALSE,TRUE),OR(EXACT(metadata!C126,"not applicable"),EXACT(metadata!C126,"missing: not collected"),EXACT(metadata!C126,"missing: not provided"),EXACT(metadata!C126,"missing: restricted access"))),AND(IF(metadata!C126="",FALSE,ISNUMBER(VALUE(metadata!C126))),metadata!C126&gt;0))</f>
        <v>0</v>
      </c>
      <c r="AF126" t="b">
        <f>AND(IF(metadata!D126="",FALSE,TRUE),EXACT(metadata!D126,"missing: not provided"))</f>
        <v>0</v>
      </c>
      <c r="AG126" t="b">
        <f>AND(IF(metadata!E126="",FALSE,TRUE),EXACT(metadata!E126,"Host-associated"))</f>
        <v>0</v>
      </c>
      <c r="AH126" t="b">
        <f>AND(IF(metadata!F126="",FALSE,TRUE),OR(EXACT(metadata!F126,"Animal"),EXACT(metadata!F126,"Fungus"),EXACT(metadata!F126,"Plant")))</f>
        <v>0</v>
      </c>
      <c r="AI126" t="b">
        <f>AND(IF(metadata!G126="",FALSE,TRUE),OR(EXACT(metadata!G126,"Plant secretion"),EXACT(metadata!G126,"Plant rhizosphere"),EXACT(metadata!G126,"Plant surface"),EXACT(metadata!G126,"Plant corpus"),EXACT(metadata!G126,"Fungus surface"),EXACT(metadata!G126,"Fungus corpus"),EXACT(metadata!G126,"Animal surface"),EXACT(metadata!G126,"Animal proximal gut"),EXACT(metadata!G126,"Animal corpus"),EXACT(metadata!G126,"Animal distal gut"),EXACT(metadata!G126,"Animal secretion")))</f>
        <v>0</v>
      </c>
      <c r="AJ126" t="b">
        <f>OR(AND(IF(metadata!H126="",FALSE,TRUE),OR(EXACT(metadata!H126,"missing: not collected"),EXACT(metadata!H126,"missing: not provided"),EXACT(metadata!H126,"missing: restricted access"))),AND(IF(metadata!H126="",FALSE,TRUE),OR(EXACT(metadata!H126,"organism-associated habitat"),EXACT(metadata!H126,"plant-associated habitat"),EXACT(metadata!H126,"animal-associated habitat"),EXACT(metadata!H126,"insecta-associated habitat"),EXACT(metadata!H126,"mammalia-associated habitat"),EXACT(metadata!H126,"human-associated habitat"),EXACT(metadata!H126,"livestock-associated habitat"))))</f>
        <v>0</v>
      </c>
      <c r="AK126" t="b">
        <f>AND(IF(metadata!I126="",FALSE,TRUE),EXACT(metadata!I126,"host-associated"))</f>
        <v>0</v>
      </c>
      <c r="AL126" t="b">
        <f>OR(AND(IF(metadata!J126="",FALSE,TRUE),OR(EXACT(metadata!J126,"not applicable"),EXACT(metadata!J126,"missing: not collected"),EXACT(metadata!J126,"missing: not provided"),EXACT(metadata!J126,"missing: restricted access"))),AND(IF(metadata!J126="",FALSE,ISNUMBER(VALUE(metadata!J126))),metadata!J126&gt;0))</f>
        <v>0</v>
      </c>
      <c r="AM126" t="b">
        <f>AND(IF(metadata!K126="",FALSE,TRUE),EXACT(metadata!K126,"missing: not provided"))</f>
        <v>0</v>
      </c>
      <c r="AN126" t="b">
        <f>IF(metadata!L126="",FALSE,TRUE)</f>
        <v>0</v>
      </c>
      <c r="AO126" t="b">
        <f>IF(metadata!M126="",FALSE,TRUE)</f>
        <v>0</v>
      </c>
      <c r="AP126" t="b">
        <f>OR(AND(IF(metadata!N126="",FALSE,TRUE),OR(EXACT(metadata!N126,"not applicable"),EXACT(metadata!N126,"missing: not collected"),EXACT(metadata!N126,"missing: not provided"))),AND(IF(metadata!N126="",FALSE,IF(ISERROR(INT(metadata!N126)),FALSE,INT(metadata!N126)=metadata!N126)),metadata!N126&gt;0))</f>
        <v>0</v>
      </c>
      <c r="AQ126" t="b">
        <f>AND(IF(metadata!O126="",FALSE,TRUE),EXACT(metadata!O126,"Not applicable"))</f>
        <v>0</v>
      </c>
      <c r="AR126" t="b">
        <f>OR(AND(IF(metadata!P126="",FALSE,TRUE),OR(EXACT(metadata!P126,"not applicable"),EXACT(metadata!P126,"missing: not collected"),EXACT(metadata!P126,"missing: not provided"),EXACT(metadata!P126,"missing: restricted access"))),IF(metadata!P126="",FALSE,IF(ISERROR(INT(metadata!P126)),FALSE,INT(metadata!P126)=metadata!P126)))</f>
        <v>0</v>
      </c>
      <c r="AS126" t="b">
        <f>AND(IF(metadata!Q126="",FALSE,TRUE),EXACT(metadata!Q126,"Not applicable"))</f>
        <v>0</v>
      </c>
      <c r="AT126" t="b">
        <f>OR(AND(IF(metadata!R126="",FALSE,TRUE),OR(EXACT(metadata!R126,"not applicable"),EXACT(metadata!R126,"missing: not collected"),EXACT(metadata!R126,"missing: not provided"),EXACT(metadata!R126,"missing: restricted access"))),AND(IF(metadata!R126="",FALSE,ISNUMBER(VALUE(metadata!R126))),metadata!R126&gt;0))</f>
        <v>0</v>
      </c>
      <c r="AU126" t="b">
        <f>AND(IF(metadata!S126="",FALSE,TRUE),EXACT(metadata!S126,"missing: not provided"))</f>
        <v>0</v>
      </c>
    </row>
    <row r="127" spans="1:47" x14ac:dyDescent="0.2">
      <c r="A127" s="5" t="str">
        <f ca="1">IF(B127=" "," ",HYPERLINK(CONCATENATE("#metadata!",ADDRESS(INDEX($Y$2:$Y$1001,MATCH(ROWS($W$2:W127),$W$2:$W$1001,0),0),1)),INDEX($AB$2:$AB$1001,MATCH(ROWS($W$2:W127),$W$2:$W$1001,0),0)))</f>
        <v xml:space="preserve"> </v>
      </c>
      <c r="B127" s="4" t="str">
        <f ca="1">IF(OR(INDEX($X$2:$X$1001,MATCH(ROWS($W$2:W127),$W$2:$W$1001,0),1)&gt;=100000,INDEX($AD$1005:$AU$1005,1,MATCH(COLUMNS($AD$1006:AD1006),$AD$1006:$AU$1006,0))&gt;=100000), " ",IF(INDEX($AD$2:$AU$1001,MATCH(ROWS($W$2:W127),$W$2:$W$1001,0),MATCH(COLUMNS($AD$1006:AD1006),$AD$1006:$AU$1006,0)), HYPERLINK("#",""), HYPERLINK(CONCATENATE("#metadata!", ADDRESS(INDEX($Y$2:$Y$1001,MATCH(ROWS($W$2:W127),$W$2:$W$1001,0),0), INDEX($AD$1004:$AU$1004,1,MATCH(COLUMNS($AD$1006:AD1006),$AD$1006:$AU$1006,0)))),"Fix")))</f>
        <v xml:space="preserve"> </v>
      </c>
      <c r="C127" s="4" t="str">
        <f ca="1">IF(OR(INDEX($X$2:$X$1001,MATCH(ROWS($W$2:W127),$W$2:$W$1001,0),1)&gt;=100000,INDEX($AD$1005:$AU$1005,1,MATCH(COLUMNS($AD$1006:AE1006),$AD$1006:$AU$1006,0))&gt;=100000), " ",IF(INDEX($AD$2:$AU$1001,MATCH(ROWS($W$2:W127),$W$2:$W$1001,0),MATCH(COLUMNS($AD$1006:AE1006),$AD$1006:$AU$1006,0)), HYPERLINK("#",""), HYPERLINK(CONCATENATE("#metadata!", ADDRESS(INDEX($Y$2:$Y$1001,MATCH(ROWS($W$2:W127),$W$2:$W$1001,0),0), INDEX($AD$1004:$AU$1004,1,MATCH(COLUMNS($AD$1006:AE1006),$AD$1006:$AU$1006,0)))),"Fix")))</f>
        <v xml:space="preserve"> </v>
      </c>
      <c r="D127" s="4" t="str">
        <f ca="1">IF(OR(INDEX($X$2:$X$1001,MATCH(ROWS($W$2:W127),$W$2:$W$1001,0),1)&gt;=100000,INDEX($AD$1005:$AU$1005,1,MATCH(COLUMNS($AD$1006:AF1006),$AD$1006:$AU$1006,0))&gt;=100000), " ",IF(INDEX($AD$2:$AU$1001,MATCH(ROWS($W$2:W127),$W$2:$W$1001,0),MATCH(COLUMNS($AD$1006:AF1006),$AD$1006:$AU$1006,0)), HYPERLINK("#",""), HYPERLINK(CONCATENATE("#metadata!", ADDRESS(INDEX($Y$2:$Y$1001,MATCH(ROWS($W$2:W127),$W$2:$W$1001,0),0), INDEX($AD$1004:$AU$1004,1,MATCH(COLUMNS($AD$1006:AF1006),$AD$1006:$AU$1006,0)))),"Fix")))</f>
        <v xml:space="preserve"> </v>
      </c>
      <c r="E127" s="4" t="str">
        <f ca="1">IF(OR(INDEX($X$2:$X$1001,MATCH(ROWS($W$2:W127),$W$2:$W$1001,0),1)&gt;=100000,INDEX($AD$1005:$AU$1005,1,MATCH(COLUMNS($AD$1006:AG1006),$AD$1006:$AU$1006,0))&gt;=100000), " ",IF(INDEX($AD$2:$AU$1001,MATCH(ROWS($W$2:W127),$W$2:$W$1001,0),MATCH(COLUMNS($AD$1006:AG1006),$AD$1006:$AU$1006,0)), HYPERLINK("#",""), HYPERLINK(CONCATENATE("#metadata!", ADDRESS(INDEX($Y$2:$Y$1001,MATCH(ROWS($W$2:W127),$W$2:$W$1001,0),0), INDEX($AD$1004:$AU$1004,1,MATCH(COLUMNS($AD$1006:AG1006),$AD$1006:$AU$1006,0)))),"Fix")))</f>
        <v xml:space="preserve"> </v>
      </c>
      <c r="F127" s="4" t="str">
        <f ca="1">IF(OR(INDEX($X$2:$X$1001,MATCH(ROWS($W$2:W127),$W$2:$W$1001,0),1)&gt;=100000,INDEX($AD$1005:$AU$1005,1,MATCH(COLUMNS($AD$1006:AH1006),$AD$1006:$AU$1006,0))&gt;=100000), " ",IF(INDEX($AD$2:$AU$1001,MATCH(ROWS($W$2:W127),$W$2:$W$1001,0),MATCH(COLUMNS($AD$1006:AH1006),$AD$1006:$AU$1006,0)), HYPERLINK("#",""), HYPERLINK(CONCATENATE("#metadata!", ADDRESS(INDEX($Y$2:$Y$1001,MATCH(ROWS($W$2:W127),$W$2:$W$1001,0),0), INDEX($AD$1004:$AU$1004,1,MATCH(COLUMNS($AD$1006:AH1006),$AD$1006:$AU$1006,0)))),"Fix")))</f>
        <v xml:space="preserve"> </v>
      </c>
      <c r="G127" s="4" t="str">
        <f ca="1">IF(OR(INDEX($X$2:$X$1001,MATCH(ROWS($W$2:W127),$W$2:$W$1001,0),1)&gt;=100000,INDEX($AD$1005:$AU$1005,1,MATCH(COLUMNS($AD$1006:AI1006),$AD$1006:$AU$1006,0))&gt;=100000), " ",IF(INDEX($AD$2:$AU$1001,MATCH(ROWS($W$2:W127),$W$2:$W$1001,0),MATCH(COLUMNS($AD$1006:AI1006),$AD$1006:$AU$1006,0)), HYPERLINK("#",""), HYPERLINK(CONCATENATE("#metadata!", ADDRESS(INDEX($Y$2:$Y$1001,MATCH(ROWS($W$2:W127),$W$2:$W$1001,0),0), INDEX($AD$1004:$AU$1004,1,MATCH(COLUMNS($AD$1006:AI1006),$AD$1006:$AU$1006,0)))),"Fix")))</f>
        <v xml:space="preserve"> </v>
      </c>
      <c r="H127" s="4" t="str">
        <f ca="1">IF(OR(INDEX($X$2:$X$1001,MATCH(ROWS($W$2:W127),$W$2:$W$1001,0),1)&gt;=100000,INDEX($AD$1005:$AU$1005,1,MATCH(COLUMNS($AD$1006:AJ1006),$AD$1006:$AU$1006,0))&gt;=100000), " ",IF(INDEX($AD$2:$AU$1001,MATCH(ROWS($W$2:W127),$W$2:$W$1001,0),MATCH(COLUMNS($AD$1006:AJ1006),$AD$1006:$AU$1006,0)), HYPERLINK("#",""), HYPERLINK(CONCATENATE("#metadata!", ADDRESS(INDEX($Y$2:$Y$1001,MATCH(ROWS($W$2:W127),$W$2:$W$1001,0),0), INDEX($AD$1004:$AU$1004,1,MATCH(COLUMNS($AD$1006:AJ1006),$AD$1006:$AU$1006,0)))),"Fix")))</f>
        <v xml:space="preserve"> </v>
      </c>
      <c r="I127" s="4" t="str">
        <f ca="1">IF(OR(INDEX($X$2:$X$1001,MATCH(ROWS($W$2:W127),$W$2:$W$1001,0),1)&gt;=100000,INDEX($AD$1005:$AU$1005,1,MATCH(COLUMNS($AD$1006:AK1006),$AD$1006:$AU$1006,0))&gt;=100000), " ",IF(INDEX($AD$2:$AU$1001,MATCH(ROWS($W$2:W127),$W$2:$W$1001,0),MATCH(COLUMNS($AD$1006:AK1006),$AD$1006:$AU$1006,0)), HYPERLINK("#",""), HYPERLINK(CONCATENATE("#metadata!", ADDRESS(INDEX($Y$2:$Y$1001,MATCH(ROWS($W$2:W127),$W$2:$W$1001,0),0), INDEX($AD$1004:$AU$1004,1,MATCH(COLUMNS($AD$1006:AK1006),$AD$1006:$AU$1006,0)))),"Fix")))</f>
        <v xml:space="preserve"> </v>
      </c>
      <c r="J127" s="4" t="str">
        <f ca="1">IF(OR(INDEX($X$2:$X$1001,MATCH(ROWS($W$2:W127),$W$2:$W$1001,0),1)&gt;=100000,INDEX($AD$1005:$AU$1005,1,MATCH(COLUMNS($AD$1006:AL1006),$AD$1006:$AU$1006,0))&gt;=100000), " ",IF(INDEX($AD$2:$AU$1001,MATCH(ROWS($W$2:W127),$W$2:$W$1001,0),MATCH(COLUMNS($AD$1006:AL1006),$AD$1006:$AU$1006,0)), HYPERLINK("#",""), HYPERLINK(CONCATENATE("#metadata!", ADDRESS(INDEX($Y$2:$Y$1001,MATCH(ROWS($W$2:W127),$W$2:$W$1001,0),0), INDEX($AD$1004:$AU$1004,1,MATCH(COLUMNS($AD$1006:AL1006),$AD$1006:$AU$1006,0)))),"Fix")))</f>
        <v xml:space="preserve"> </v>
      </c>
      <c r="K127" s="4" t="str">
        <f ca="1">IF(OR(INDEX($X$2:$X$1001,MATCH(ROWS($W$2:W127),$W$2:$W$1001,0),1)&gt;=100000,INDEX($AD$1005:$AU$1005,1,MATCH(COLUMNS($AD$1006:AM1006),$AD$1006:$AU$1006,0))&gt;=100000), " ",IF(INDEX($AD$2:$AU$1001,MATCH(ROWS($W$2:W127),$W$2:$W$1001,0),MATCH(COLUMNS($AD$1006:AM1006),$AD$1006:$AU$1006,0)), HYPERLINK("#",""), HYPERLINK(CONCATENATE("#metadata!", ADDRESS(INDEX($Y$2:$Y$1001,MATCH(ROWS($W$2:W127),$W$2:$W$1001,0),0), INDEX($AD$1004:$AU$1004,1,MATCH(COLUMNS($AD$1006:AM1006),$AD$1006:$AU$1006,0)))),"Fix")))</f>
        <v xml:space="preserve"> </v>
      </c>
      <c r="L127" s="4" t="str">
        <f ca="1">IF(OR(INDEX($X$2:$X$1001,MATCH(ROWS($W$2:W127),$W$2:$W$1001,0),1)&gt;=100000,INDEX($AD$1005:$AU$1005,1,MATCH(COLUMNS($AD$1006:AN1006),$AD$1006:$AU$1006,0))&gt;=100000), " ",IF(INDEX($AD$2:$AU$1001,MATCH(ROWS($W$2:W127),$W$2:$W$1001,0),MATCH(COLUMNS($AD$1006:AN1006),$AD$1006:$AU$1006,0)), HYPERLINK("#",""), HYPERLINK(CONCATENATE("#metadata!", ADDRESS(INDEX($Y$2:$Y$1001,MATCH(ROWS($W$2:W127),$W$2:$W$1001,0),0), INDEX($AD$1004:$AU$1004,1,MATCH(COLUMNS($AD$1006:AN1006),$AD$1006:$AU$1006,0)))),"Fix")))</f>
        <v xml:space="preserve"> </v>
      </c>
      <c r="M127" s="4" t="str">
        <f ca="1">IF(OR(INDEX($X$2:$X$1001,MATCH(ROWS($W$2:W127),$W$2:$W$1001,0),1)&gt;=100000,INDEX($AD$1005:$AU$1005,1,MATCH(COLUMNS($AD$1006:AO1006),$AD$1006:$AU$1006,0))&gt;=100000), " ",IF(INDEX($AD$2:$AU$1001,MATCH(ROWS($W$2:W127),$W$2:$W$1001,0),MATCH(COLUMNS($AD$1006:AO1006),$AD$1006:$AU$1006,0)), HYPERLINK("#",""), HYPERLINK(CONCATENATE("#metadata!", ADDRESS(INDEX($Y$2:$Y$1001,MATCH(ROWS($W$2:W127),$W$2:$W$1001,0),0), INDEX($AD$1004:$AU$1004,1,MATCH(COLUMNS($AD$1006:AO1006),$AD$1006:$AU$1006,0)))),"Fix")))</f>
        <v xml:space="preserve"> </v>
      </c>
      <c r="N127" s="4" t="str">
        <f ca="1">IF(OR(INDEX($X$2:$X$1001,MATCH(ROWS($W$2:W127),$W$2:$W$1001,0),1)&gt;=100000,INDEX($AD$1005:$AU$1005,1,MATCH(COLUMNS($AD$1006:AP1006),$AD$1006:$AU$1006,0))&gt;=100000), " ",IF(INDEX($AD$2:$AU$1001,MATCH(ROWS($W$2:W127),$W$2:$W$1001,0),MATCH(COLUMNS($AD$1006:AP1006),$AD$1006:$AU$1006,0)), HYPERLINK("#",""), HYPERLINK(CONCATENATE("#metadata!", ADDRESS(INDEX($Y$2:$Y$1001,MATCH(ROWS($W$2:W127),$W$2:$W$1001,0),0), INDEX($AD$1004:$AU$1004,1,MATCH(COLUMNS($AD$1006:AP1006),$AD$1006:$AU$1006,0)))),"Fix")))</f>
        <v xml:space="preserve"> </v>
      </c>
      <c r="O127" s="4" t="str">
        <f ca="1">IF(OR(INDEX($X$2:$X$1001,MATCH(ROWS($W$2:W127),$W$2:$W$1001,0),1)&gt;=100000,INDEX($AD$1005:$AU$1005,1,MATCH(COLUMNS($AD$1006:AQ1006),$AD$1006:$AU$1006,0))&gt;=100000), " ",IF(INDEX($AD$2:$AU$1001,MATCH(ROWS($W$2:W127),$W$2:$W$1001,0),MATCH(COLUMNS($AD$1006:AQ1006),$AD$1006:$AU$1006,0)), HYPERLINK("#",""), HYPERLINK(CONCATENATE("#metadata!", ADDRESS(INDEX($Y$2:$Y$1001,MATCH(ROWS($W$2:W127),$W$2:$W$1001,0),0), INDEX($AD$1004:$AU$1004,1,MATCH(COLUMNS($AD$1006:AQ1006),$AD$1006:$AU$1006,0)))),"Fix")))</f>
        <v xml:space="preserve"> </v>
      </c>
      <c r="P127" s="4" t="str">
        <f ca="1">IF(OR(INDEX($X$2:$X$1001,MATCH(ROWS($W$2:W127),$W$2:$W$1001,0),1)&gt;=100000,INDEX($AD$1005:$AU$1005,1,MATCH(COLUMNS($AD$1006:AR1006),$AD$1006:$AU$1006,0))&gt;=100000), " ",IF(INDEX($AD$2:$AU$1001,MATCH(ROWS($W$2:W127),$W$2:$W$1001,0),MATCH(COLUMNS($AD$1006:AR1006),$AD$1006:$AU$1006,0)), HYPERLINK("#",""), HYPERLINK(CONCATENATE("#metadata!", ADDRESS(INDEX($Y$2:$Y$1001,MATCH(ROWS($W$2:W127),$W$2:$W$1001,0),0), INDEX($AD$1004:$AU$1004,1,MATCH(COLUMNS($AD$1006:AR1006),$AD$1006:$AU$1006,0)))),"Fix")))</f>
        <v xml:space="preserve"> </v>
      </c>
      <c r="Q127" s="4" t="str">
        <f ca="1">IF(OR(INDEX($X$2:$X$1001,MATCH(ROWS($W$2:W127),$W$2:$W$1001,0),1)&gt;=100000,INDEX($AD$1005:$AU$1005,1,MATCH(COLUMNS($AD$1006:AS1006),$AD$1006:$AU$1006,0))&gt;=100000), " ",IF(INDEX($AD$2:$AU$1001,MATCH(ROWS($W$2:W127),$W$2:$W$1001,0),MATCH(COLUMNS($AD$1006:AS1006),$AD$1006:$AU$1006,0)), HYPERLINK("#",""), HYPERLINK(CONCATENATE("#metadata!", ADDRESS(INDEX($Y$2:$Y$1001,MATCH(ROWS($W$2:W127),$W$2:$W$1001,0),0), INDEX($AD$1004:$AU$1004,1,MATCH(COLUMNS($AD$1006:AS1006),$AD$1006:$AU$1006,0)))),"Fix")))</f>
        <v xml:space="preserve"> </v>
      </c>
      <c r="R127" s="4" t="str">
        <f ca="1">IF(OR(INDEX($X$2:$X$1001,MATCH(ROWS($W$2:W127),$W$2:$W$1001,0),1)&gt;=100000,INDEX($AD$1005:$AU$1005,1,MATCH(COLUMNS($AD$1006:AT1006),$AD$1006:$AU$1006,0))&gt;=100000), " ",IF(INDEX($AD$2:$AU$1001,MATCH(ROWS($W$2:W127),$W$2:$W$1001,0),MATCH(COLUMNS($AD$1006:AT1006),$AD$1006:$AU$1006,0)), HYPERLINK("#",""), HYPERLINK(CONCATENATE("#metadata!", ADDRESS(INDEX($Y$2:$Y$1001,MATCH(ROWS($W$2:W127),$W$2:$W$1001,0),0), INDEX($AD$1004:$AU$1004,1,MATCH(COLUMNS($AD$1006:AT1006),$AD$1006:$AU$1006,0)))),"Fix")))</f>
        <v xml:space="preserve"> </v>
      </c>
      <c r="S127" s="4" t="str">
        <f ca="1">IF(OR(INDEX($X$2:$X$1001,MATCH(ROWS($W$2:W127),$W$2:$W$1001,0),1)&gt;=100000,INDEX($AD$1005:$AU$1005,1,MATCH(COLUMNS($AD$1006:AU1006),$AD$1006:$AU$1006,0))&gt;=100000), " ",IF(INDEX($AD$2:$AU$1001,MATCH(ROWS($W$2:W127),$W$2:$W$1001,0),MATCH(COLUMNS($AD$1006:AU1006),$AD$1006:$AU$1006,0)), HYPERLINK("#",""), HYPERLINK(CONCATENATE("#metadata!", ADDRESS(INDEX($Y$2:$Y$1001,MATCH(ROWS($W$2:W127),$W$2:$W$1001,0),0), INDEX($AD$1004:$AU$1004,1,MATCH(COLUMNS($AD$1006:AU1006),$AD$1006:$AU$1006,0)))),"Fix")))</f>
        <v xml:space="preserve"> </v>
      </c>
      <c r="W127">
        <v>126</v>
      </c>
      <c r="X127">
        <v>100127</v>
      </c>
      <c r="Y127">
        <v>127</v>
      </c>
      <c r="Z127" t="b">
        <f t="shared" si="1"/>
        <v>1</v>
      </c>
      <c r="AA127" t="b">
        <f>COUNTBLANK(metadata!B127:S127)=COLUMNS(metadata!B127:S127)</f>
        <v>1</v>
      </c>
      <c r="AB127" t="str">
        <v/>
      </c>
      <c r="AD127" t="b">
        <f ca="1">AND(IF(metadata!B127="",FALSE,TRUE),COUNTIF(metadata!B:B, metadata!B127) = 1,NOT(ISERROR(SUMPRODUCT(SEARCH(MID(metadata!B127,ROW(INDIRECT("1:"&amp;LEN(metadata!B127))), 1),"0123456789abcdefghijklmnopqrstuvwxyzABCDEFGHIJKLMNOPQRSTUVWXYZ.")))))</f>
        <v>0</v>
      </c>
      <c r="AE127" t="b">
        <f>OR(AND(IF(metadata!C127="",FALSE,TRUE),OR(EXACT(metadata!C127,"not applicable"),EXACT(metadata!C127,"missing: not collected"),EXACT(metadata!C127,"missing: not provided"),EXACT(metadata!C127,"missing: restricted access"))),AND(IF(metadata!C127="",FALSE,ISNUMBER(VALUE(metadata!C127))),metadata!C127&gt;0))</f>
        <v>0</v>
      </c>
      <c r="AF127" t="b">
        <f>AND(IF(metadata!D127="",FALSE,TRUE),EXACT(metadata!D127,"missing: not provided"))</f>
        <v>0</v>
      </c>
      <c r="AG127" t="b">
        <f>AND(IF(metadata!E127="",FALSE,TRUE),EXACT(metadata!E127,"Host-associated"))</f>
        <v>0</v>
      </c>
      <c r="AH127" t="b">
        <f>AND(IF(metadata!F127="",FALSE,TRUE),OR(EXACT(metadata!F127,"Animal"),EXACT(metadata!F127,"Fungus"),EXACT(metadata!F127,"Plant")))</f>
        <v>0</v>
      </c>
      <c r="AI127" t="b">
        <f>AND(IF(metadata!G127="",FALSE,TRUE),OR(EXACT(metadata!G127,"Plant secretion"),EXACT(metadata!G127,"Plant rhizosphere"),EXACT(metadata!G127,"Plant surface"),EXACT(metadata!G127,"Plant corpus"),EXACT(metadata!G127,"Fungus surface"),EXACT(metadata!G127,"Fungus corpus"),EXACT(metadata!G127,"Animal surface"),EXACT(metadata!G127,"Animal proximal gut"),EXACT(metadata!G127,"Animal corpus"),EXACT(metadata!G127,"Animal distal gut"),EXACT(metadata!G127,"Animal secretion")))</f>
        <v>0</v>
      </c>
      <c r="AJ127" t="b">
        <f>OR(AND(IF(metadata!H127="",FALSE,TRUE),OR(EXACT(metadata!H127,"missing: not collected"),EXACT(metadata!H127,"missing: not provided"),EXACT(metadata!H127,"missing: restricted access"))),AND(IF(metadata!H127="",FALSE,TRUE),OR(EXACT(metadata!H127,"organism-associated habitat"),EXACT(metadata!H127,"plant-associated habitat"),EXACT(metadata!H127,"animal-associated habitat"),EXACT(metadata!H127,"insecta-associated habitat"),EXACT(metadata!H127,"mammalia-associated habitat"),EXACT(metadata!H127,"human-associated habitat"),EXACT(metadata!H127,"livestock-associated habitat"))))</f>
        <v>0</v>
      </c>
      <c r="AK127" t="b">
        <f>AND(IF(metadata!I127="",FALSE,TRUE),EXACT(metadata!I127,"host-associated"))</f>
        <v>0</v>
      </c>
      <c r="AL127" t="b">
        <f>OR(AND(IF(metadata!J127="",FALSE,TRUE),OR(EXACT(metadata!J127,"not applicable"),EXACT(metadata!J127,"missing: not collected"),EXACT(metadata!J127,"missing: not provided"),EXACT(metadata!J127,"missing: restricted access"))),AND(IF(metadata!J127="",FALSE,ISNUMBER(VALUE(metadata!J127))),metadata!J127&gt;0))</f>
        <v>0</v>
      </c>
      <c r="AM127" t="b">
        <f>AND(IF(metadata!K127="",FALSE,TRUE),EXACT(metadata!K127,"missing: not provided"))</f>
        <v>0</v>
      </c>
      <c r="AN127" t="b">
        <f>IF(metadata!L127="",FALSE,TRUE)</f>
        <v>0</v>
      </c>
      <c r="AO127" t="b">
        <f>IF(metadata!M127="",FALSE,TRUE)</f>
        <v>0</v>
      </c>
      <c r="AP127" t="b">
        <f>OR(AND(IF(metadata!N127="",FALSE,TRUE),OR(EXACT(metadata!N127,"not applicable"),EXACT(metadata!N127,"missing: not collected"),EXACT(metadata!N127,"missing: not provided"))),AND(IF(metadata!N127="",FALSE,IF(ISERROR(INT(metadata!N127)),FALSE,INT(metadata!N127)=metadata!N127)),metadata!N127&gt;0))</f>
        <v>0</v>
      </c>
      <c r="AQ127" t="b">
        <f>AND(IF(metadata!O127="",FALSE,TRUE),EXACT(metadata!O127,"Not applicable"))</f>
        <v>0</v>
      </c>
      <c r="AR127" t="b">
        <f>OR(AND(IF(metadata!P127="",FALSE,TRUE),OR(EXACT(metadata!P127,"not applicable"),EXACT(metadata!P127,"missing: not collected"),EXACT(metadata!P127,"missing: not provided"),EXACT(metadata!P127,"missing: restricted access"))),IF(metadata!P127="",FALSE,IF(ISERROR(INT(metadata!P127)),FALSE,INT(metadata!P127)=metadata!P127)))</f>
        <v>0</v>
      </c>
      <c r="AS127" t="b">
        <f>AND(IF(metadata!Q127="",FALSE,TRUE),EXACT(metadata!Q127,"Not applicable"))</f>
        <v>0</v>
      </c>
      <c r="AT127" t="b">
        <f>OR(AND(IF(metadata!R127="",FALSE,TRUE),OR(EXACT(metadata!R127,"not applicable"),EXACT(metadata!R127,"missing: not collected"),EXACT(metadata!R127,"missing: not provided"),EXACT(metadata!R127,"missing: restricted access"))),AND(IF(metadata!R127="",FALSE,ISNUMBER(VALUE(metadata!R127))),metadata!R127&gt;0))</f>
        <v>0</v>
      </c>
      <c r="AU127" t="b">
        <f>AND(IF(metadata!S127="",FALSE,TRUE),EXACT(metadata!S127,"missing: not provided"))</f>
        <v>0</v>
      </c>
    </row>
    <row r="128" spans="1:47" x14ac:dyDescent="0.2">
      <c r="A128" s="5" t="str">
        <f ca="1">IF(B128=" "," ",HYPERLINK(CONCATENATE("#metadata!",ADDRESS(INDEX($Y$2:$Y$1001,MATCH(ROWS($W$2:W128),$W$2:$W$1001,0),0),1)),INDEX($AB$2:$AB$1001,MATCH(ROWS($W$2:W128),$W$2:$W$1001,0),0)))</f>
        <v xml:space="preserve"> </v>
      </c>
      <c r="B128" s="4" t="str">
        <f ca="1">IF(OR(INDEX($X$2:$X$1001,MATCH(ROWS($W$2:W128),$W$2:$W$1001,0),1)&gt;=100000,INDEX($AD$1005:$AU$1005,1,MATCH(COLUMNS($AD$1006:AD1006),$AD$1006:$AU$1006,0))&gt;=100000), " ",IF(INDEX($AD$2:$AU$1001,MATCH(ROWS($W$2:W128),$W$2:$W$1001,0),MATCH(COLUMNS($AD$1006:AD1006),$AD$1006:$AU$1006,0)), HYPERLINK("#",""), HYPERLINK(CONCATENATE("#metadata!", ADDRESS(INDEX($Y$2:$Y$1001,MATCH(ROWS($W$2:W128),$W$2:$W$1001,0),0), INDEX($AD$1004:$AU$1004,1,MATCH(COLUMNS($AD$1006:AD1006),$AD$1006:$AU$1006,0)))),"Fix")))</f>
        <v xml:space="preserve"> </v>
      </c>
      <c r="C128" s="4" t="str">
        <f ca="1">IF(OR(INDEX($X$2:$X$1001,MATCH(ROWS($W$2:W128),$W$2:$W$1001,0),1)&gt;=100000,INDEX($AD$1005:$AU$1005,1,MATCH(COLUMNS($AD$1006:AE1006),$AD$1006:$AU$1006,0))&gt;=100000), " ",IF(INDEX($AD$2:$AU$1001,MATCH(ROWS($W$2:W128),$W$2:$W$1001,0),MATCH(COLUMNS($AD$1006:AE1006),$AD$1006:$AU$1006,0)), HYPERLINK("#",""), HYPERLINK(CONCATENATE("#metadata!", ADDRESS(INDEX($Y$2:$Y$1001,MATCH(ROWS($W$2:W128),$W$2:$W$1001,0),0), INDEX($AD$1004:$AU$1004,1,MATCH(COLUMNS($AD$1006:AE1006),$AD$1006:$AU$1006,0)))),"Fix")))</f>
        <v xml:space="preserve"> </v>
      </c>
      <c r="D128" s="4" t="str">
        <f ca="1">IF(OR(INDEX($X$2:$X$1001,MATCH(ROWS($W$2:W128),$W$2:$W$1001,0),1)&gt;=100000,INDEX($AD$1005:$AU$1005,1,MATCH(COLUMNS($AD$1006:AF1006),$AD$1006:$AU$1006,0))&gt;=100000), " ",IF(INDEX($AD$2:$AU$1001,MATCH(ROWS($W$2:W128),$W$2:$W$1001,0),MATCH(COLUMNS($AD$1006:AF1006),$AD$1006:$AU$1006,0)), HYPERLINK("#",""), HYPERLINK(CONCATENATE("#metadata!", ADDRESS(INDEX($Y$2:$Y$1001,MATCH(ROWS($W$2:W128),$W$2:$W$1001,0),0), INDEX($AD$1004:$AU$1004,1,MATCH(COLUMNS($AD$1006:AF1006),$AD$1006:$AU$1006,0)))),"Fix")))</f>
        <v xml:space="preserve"> </v>
      </c>
      <c r="E128" s="4" t="str">
        <f ca="1">IF(OR(INDEX($X$2:$X$1001,MATCH(ROWS($W$2:W128),$W$2:$W$1001,0),1)&gt;=100000,INDEX($AD$1005:$AU$1005,1,MATCH(COLUMNS($AD$1006:AG1006),$AD$1006:$AU$1006,0))&gt;=100000), " ",IF(INDEX($AD$2:$AU$1001,MATCH(ROWS($W$2:W128),$W$2:$W$1001,0),MATCH(COLUMNS($AD$1006:AG1006),$AD$1006:$AU$1006,0)), HYPERLINK("#",""), HYPERLINK(CONCATENATE("#metadata!", ADDRESS(INDEX($Y$2:$Y$1001,MATCH(ROWS($W$2:W128),$W$2:$W$1001,0),0), INDEX($AD$1004:$AU$1004,1,MATCH(COLUMNS($AD$1006:AG1006),$AD$1006:$AU$1006,0)))),"Fix")))</f>
        <v xml:space="preserve"> </v>
      </c>
      <c r="F128" s="4" t="str">
        <f ca="1">IF(OR(INDEX($X$2:$X$1001,MATCH(ROWS($W$2:W128),$W$2:$W$1001,0),1)&gt;=100000,INDEX($AD$1005:$AU$1005,1,MATCH(COLUMNS($AD$1006:AH1006),$AD$1006:$AU$1006,0))&gt;=100000), " ",IF(INDEX($AD$2:$AU$1001,MATCH(ROWS($W$2:W128),$W$2:$W$1001,0),MATCH(COLUMNS($AD$1006:AH1006),$AD$1006:$AU$1006,0)), HYPERLINK("#",""), HYPERLINK(CONCATENATE("#metadata!", ADDRESS(INDEX($Y$2:$Y$1001,MATCH(ROWS($W$2:W128),$W$2:$W$1001,0),0), INDEX($AD$1004:$AU$1004,1,MATCH(COLUMNS($AD$1006:AH1006),$AD$1006:$AU$1006,0)))),"Fix")))</f>
        <v xml:space="preserve"> </v>
      </c>
      <c r="G128" s="4" t="str">
        <f ca="1">IF(OR(INDEX($X$2:$X$1001,MATCH(ROWS($W$2:W128),$W$2:$W$1001,0),1)&gt;=100000,INDEX($AD$1005:$AU$1005,1,MATCH(COLUMNS($AD$1006:AI1006),$AD$1006:$AU$1006,0))&gt;=100000), " ",IF(INDEX($AD$2:$AU$1001,MATCH(ROWS($W$2:W128),$W$2:$W$1001,0),MATCH(COLUMNS($AD$1006:AI1006),$AD$1006:$AU$1006,0)), HYPERLINK("#",""), HYPERLINK(CONCATENATE("#metadata!", ADDRESS(INDEX($Y$2:$Y$1001,MATCH(ROWS($W$2:W128),$W$2:$W$1001,0),0), INDEX($AD$1004:$AU$1004,1,MATCH(COLUMNS($AD$1006:AI1006),$AD$1006:$AU$1006,0)))),"Fix")))</f>
        <v xml:space="preserve"> </v>
      </c>
      <c r="H128" s="4" t="str">
        <f ca="1">IF(OR(INDEX($X$2:$X$1001,MATCH(ROWS($W$2:W128),$W$2:$W$1001,0),1)&gt;=100000,INDEX($AD$1005:$AU$1005,1,MATCH(COLUMNS($AD$1006:AJ1006),$AD$1006:$AU$1006,0))&gt;=100000), " ",IF(INDEX($AD$2:$AU$1001,MATCH(ROWS($W$2:W128),$W$2:$W$1001,0),MATCH(COLUMNS($AD$1006:AJ1006),$AD$1006:$AU$1006,0)), HYPERLINK("#",""), HYPERLINK(CONCATENATE("#metadata!", ADDRESS(INDEX($Y$2:$Y$1001,MATCH(ROWS($W$2:W128),$W$2:$W$1001,0),0), INDEX($AD$1004:$AU$1004,1,MATCH(COLUMNS($AD$1006:AJ1006),$AD$1006:$AU$1006,0)))),"Fix")))</f>
        <v xml:space="preserve"> </v>
      </c>
      <c r="I128" s="4" t="str">
        <f ca="1">IF(OR(INDEX($X$2:$X$1001,MATCH(ROWS($W$2:W128),$W$2:$W$1001,0),1)&gt;=100000,INDEX($AD$1005:$AU$1005,1,MATCH(COLUMNS($AD$1006:AK1006),$AD$1006:$AU$1006,0))&gt;=100000), " ",IF(INDEX($AD$2:$AU$1001,MATCH(ROWS($W$2:W128),$W$2:$W$1001,0),MATCH(COLUMNS($AD$1006:AK1006),$AD$1006:$AU$1006,0)), HYPERLINK("#",""), HYPERLINK(CONCATENATE("#metadata!", ADDRESS(INDEX($Y$2:$Y$1001,MATCH(ROWS($W$2:W128),$W$2:$W$1001,0),0), INDEX($AD$1004:$AU$1004,1,MATCH(COLUMNS($AD$1006:AK1006),$AD$1006:$AU$1006,0)))),"Fix")))</f>
        <v xml:space="preserve"> </v>
      </c>
      <c r="J128" s="4" t="str">
        <f ca="1">IF(OR(INDEX($X$2:$X$1001,MATCH(ROWS($W$2:W128),$W$2:$W$1001,0),1)&gt;=100000,INDEX($AD$1005:$AU$1005,1,MATCH(COLUMNS($AD$1006:AL1006),$AD$1006:$AU$1006,0))&gt;=100000), " ",IF(INDEX($AD$2:$AU$1001,MATCH(ROWS($W$2:W128),$W$2:$W$1001,0),MATCH(COLUMNS($AD$1006:AL1006),$AD$1006:$AU$1006,0)), HYPERLINK("#",""), HYPERLINK(CONCATENATE("#metadata!", ADDRESS(INDEX($Y$2:$Y$1001,MATCH(ROWS($W$2:W128),$W$2:$W$1001,0),0), INDEX($AD$1004:$AU$1004,1,MATCH(COLUMNS($AD$1006:AL1006),$AD$1006:$AU$1006,0)))),"Fix")))</f>
        <v xml:space="preserve"> </v>
      </c>
      <c r="K128" s="4" t="str">
        <f ca="1">IF(OR(INDEX($X$2:$X$1001,MATCH(ROWS($W$2:W128),$W$2:$W$1001,0),1)&gt;=100000,INDEX($AD$1005:$AU$1005,1,MATCH(COLUMNS($AD$1006:AM1006),$AD$1006:$AU$1006,0))&gt;=100000), " ",IF(INDEX($AD$2:$AU$1001,MATCH(ROWS($W$2:W128),$W$2:$W$1001,0),MATCH(COLUMNS($AD$1006:AM1006),$AD$1006:$AU$1006,0)), HYPERLINK("#",""), HYPERLINK(CONCATENATE("#metadata!", ADDRESS(INDEX($Y$2:$Y$1001,MATCH(ROWS($W$2:W128),$W$2:$W$1001,0),0), INDEX($AD$1004:$AU$1004,1,MATCH(COLUMNS($AD$1006:AM1006),$AD$1006:$AU$1006,0)))),"Fix")))</f>
        <v xml:space="preserve"> </v>
      </c>
      <c r="L128" s="4" t="str">
        <f ca="1">IF(OR(INDEX($X$2:$X$1001,MATCH(ROWS($W$2:W128),$W$2:$W$1001,0),1)&gt;=100000,INDEX($AD$1005:$AU$1005,1,MATCH(COLUMNS($AD$1006:AN1006),$AD$1006:$AU$1006,0))&gt;=100000), " ",IF(INDEX($AD$2:$AU$1001,MATCH(ROWS($W$2:W128),$W$2:$W$1001,0),MATCH(COLUMNS($AD$1006:AN1006),$AD$1006:$AU$1006,0)), HYPERLINK("#",""), HYPERLINK(CONCATENATE("#metadata!", ADDRESS(INDEX($Y$2:$Y$1001,MATCH(ROWS($W$2:W128),$W$2:$W$1001,0),0), INDEX($AD$1004:$AU$1004,1,MATCH(COLUMNS($AD$1006:AN1006),$AD$1006:$AU$1006,0)))),"Fix")))</f>
        <v xml:space="preserve"> </v>
      </c>
      <c r="M128" s="4" t="str">
        <f ca="1">IF(OR(INDEX($X$2:$X$1001,MATCH(ROWS($W$2:W128),$W$2:$W$1001,0),1)&gt;=100000,INDEX($AD$1005:$AU$1005,1,MATCH(COLUMNS($AD$1006:AO1006),$AD$1006:$AU$1006,0))&gt;=100000), " ",IF(INDEX($AD$2:$AU$1001,MATCH(ROWS($W$2:W128),$W$2:$W$1001,0),MATCH(COLUMNS($AD$1006:AO1006),$AD$1006:$AU$1006,0)), HYPERLINK("#",""), HYPERLINK(CONCATENATE("#metadata!", ADDRESS(INDEX($Y$2:$Y$1001,MATCH(ROWS($W$2:W128),$W$2:$W$1001,0),0), INDEX($AD$1004:$AU$1004,1,MATCH(COLUMNS($AD$1006:AO1006),$AD$1006:$AU$1006,0)))),"Fix")))</f>
        <v xml:space="preserve"> </v>
      </c>
      <c r="N128" s="4" t="str">
        <f ca="1">IF(OR(INDEX($X$2:$X$1001,MATCH(ROWS($W$2:W128),$W$2:$W$1001,0),1)&gt;=100000,INDEX($AD$1005:$AU$1005,1,MATCH(COLUMNS($AD$1006:AP1006),$AD$1006:$AU$1006,0))&gt;=100000), " ",IF(INDEX($AD$2:$AU$1001,MATCH(ROWS($W$2:W128),$W$2:$W$1001,0),MATCH(COLUMNS($AD$1006:AP1006),$AD$1006:$AU$1006,0)), HYPERLINK("#",""), HYPERLINK(CONCATENATE("#metadata!", ADDRESS(INDEX($Y$2:$Y$1001,MATCH(ROWS($W$2:W128),$W$2:$W$1001,0),0), INDEX($AD$1004:$AU$1004,1,MATCH(COLUMNS($AD$1006:AP1006),$AD$1006:$AU$1006,0)))),"Fix")))</f>
        <v xml:space="preserve"> </v>
      </c>
      <c r="O128" s="4" t="str">
        <f ca="1">IF(OR(INDEX($X$2:$X$1001,MATCH(ROWS($W$2:W128),$W$2:$W$1001,0),1)&gt;=100000,INDEX($AD$1005:$AU$1005,1,MATCH(COLUMNS($AD$1006:AQ1006),$AD$1006:$AU$1006,0))&gt;=100000), " ",IF(INDEX($AD$2:$AU$1001,MATCH(ROWS($W$2:W128),$W$2:$W$1001,0),MATCH(COLUMNS($AD$1006:AQ1006),$AD$1006:$AU$1006,0)), HYPERLINK("#",""), HYPERLINK(CONCATENATE("#metadata!", ADDRESS(INDEX($Y$2:$Y$1001,MATCH(ROWS($W$2:W128),$W$2:$W$1001,0),0), INDEX($AD$1004:$AU$1004,1,MATCH(COLUMNS($AD$1006:AQ1006),$AD$1006:$AU$1006,0)))),"Fix")))</f>
        <v xml:space="preserve"> </v>
      </c>
      <c r="P128" s="4" t="str">
        <f ca="1">IF(OR(INDEX($X$2:$X$1001,MATCH(ROWS($W$2:W128),$W$2:$W$1001,0),1)&gt;=100000,INDEX($AD$1005:$AU$1005,1,MATCH(COLUMNS($AD$1006:AR1006),$AD$1006:$AU$1006,0))&gt;=100000), " ",IF(INDEX($AD$2:$AU$1001,MATCH(ROWS($W$2:W128),$W$2:$W$1001,0),MATCH(COLUMNS($AD$1006:AR1006),$AD$1006:$AU$1006,0)), HYPERLINK("#",""), HYPERLINK(CONCATENATE("#metadata!", ADDRESS(INDEX($Y$2:$Y$1001,MATCH(ROWS($W$2:W128),$W$2:$W$1001,0),0), INDEX($AD$1004:$AU$1004,1,MATCH(COLUMNS($AD$1006:AR1006),$AD$1006:$AU$1006,0)))),"Fix")))</f>
        <v xml:space="preserve"> </v>
      </c>
      <c r="Q128" s="4" t="str">
        <f ca="1">IF(OR(INDEX($X$2:$X$1001,MATCH(ROWS($W$2:W128),$W$2:$W$1001,0),1)&gt;=100000,INDEX($AD$1005:$AU$1005,1,MATCH(COLUMNS($AD$1006:AS1006),$AD$1006:$AU$1006,0))&gt;=100000), " ",IF(INDEX($AD$2:$AU$1001,MATCH(ROWS($W$2:W128),$W$2:$W$1001,0),MATCH(COLUMNS($AD$1006:AS1006),$AD$1006:$AU$1006,0)), HYPERLINK("#",""), HYPERLINK(CONCATENATE("#metadata!", ADDRESS(INDEX($Y$2:$Y$1001,MATCH(ROWS($W$2:W128),$W$2:$W$1001,0),0), INDEX($AD$1004:$AU$1004,1,MATCH(COLUMNS($AD$1006:AS1006),$AD$1006:$AU$1006,0)))),"Fix")))</f>
        <v xml:space="preserve"> </v>
      </c>
      <c r="R128" s="4" t="str">
        <f ca="1">IF(OR(INDEX($X$2:$X$1001,MATCH(ROWS($W$2:W128),$W$2:$W$1001,0),1)&gt;=100000,INDEX($AD$1005:$AU$1005,1,MATCH(COLUMNS($AD$1006:AT1006),$AD$1006:$AU$1006,0))&gt;=100000), " ",IF(INDEX($AD$2:$AU$1001,MATCH(ROWS($W$2:W128),$W$2:$W$1001,0),MATCH(COLUMNS($AD$1006:AT1006),$AD$1006:$AU$1006,0)), HYPERLINK("#",""), HYPERLINK(CONCATENATE("#metadata!", ADDRESS(INDEX($Y$2:$Y$1001,MATCH(ROWS($W$2:W128),$W$2:$W$1001,0),0), INDEX($AD$1004:$AU$1004,1,MATCH(COLUMNS($AD$1006:AT1006),$AD$1006:$AU$1006,0)))),"Fix")))</f>
        <v xml:space="preserve"> </v>
      </c>
      <c r="S128" s="4" t="str">
        <f ca="1">IF(OR(INDEX($X$2:$X$1001,MATCH(ROWS($W$2:W128),$W$2:$W$1001,0),1)&gt;=100000,INDEX($AD$1005:$AU$1005,1,MATCH(COLUMNS($AD$1006:AU1006),$AD$1006:$AU$1006,0))&gt;=100000), " ",IF(INDEX($AD$2:$AU$1001,MATCH(ROWS($W$2:W128),$W$2:$W$1001,0),MATCH(COLUMNS($AD$1006:AU1006),$AD$1006:$AU$1006,0)), HYPERLINK("#",""), HYPERLINK(CONCATENATE("#metadata!", ADDRESS(INDEX($Y$2:$Y$1001,MATCH(ROWS($W$2:W128),$W$2:$W$1001,0),0), INDEX($AD$1004:$AU$1004,1,MATCH(COLUMNS($AD$1006:AU1006),$AD$1006:$AU$1006,0)))),"Fix")))</f>
        <v xml:space="preserve"> </v>
      </c>
      <c r="W128">
        <v>127</v>
      </c>
      <c r="X128">
        <v>100128</v>
      </c>
      <c r="Y128">
        <v>128</v>
      </c>
      <c r="Z128" t="b">
        <f t="shared" si="1"/>
        <v>1</v>
      </c>
      <c r="AA128" t="b">
        <f>COUNTBLANK(metadata!B128:S128)=COLUMNS(metadata!B128:S128)</f>
        <v>1</v>
      </c>
      <c r="AB128" t="str">
        <v/>
      </c>
      <c r="AD128" t="b">
        <f ca="1">AND(IF(metadata!B128="",FALSE,TRUE),COUNTIF(metadata!B:B, metadata!B128) = 1,NOT(ISERROR(SUMPRODUCT(SEARCH(MID(metadata!B128,ROW(INDIRECT("1:"&amp;LEN(metadata!B128))), 1),"0123456789abcdefghijklmnopqrstuvwxyzABCDEFGHIJKLMNOPQRSTUVWXYZ.")))))</f>
        <v>0</v>
      </c>
      <c r="AE128" t="b">
        <f>OR(AND(IF(metadata!C128="",FALSE,TRUE),OR(EXACT(metadata!C128,"not applicable"),EXACT(metadata!C128,"missing: not collected"),EXACT(metadata!C128,"missing: not provided"),EXACT(metadata!C128,"missing: restricted access"))),AND(IF(metadata!C128="",FALSE,ISNUMBER(VALUE(metadata!C128))),metadata!C128&gt;0))</f>
        <v>0</v>
      </c>
      <c r="AF128" t="b">
        <f>AND(IF(metadata!D128="",FALSE,TRUE),EXACT(metadata!D128,"missing: not provided"))</f>
        <v>0</v>
      </c>
      <c r="AG128" t="b">
        <f>AND(IF(metadata!E128="",FALSE,TRUE),EXACT(metadata!E128,"Host-associated"))</f>
        <v>0</v>
      </c>
      <c r="AH128" t="b">
        <f>AND(IF(metadata!F128="",FALSE,TRUE),OR(EXACT(metadata!F128,"Animal"),EXACT(metadata!F128,"Fungus"),EXACT(metadata!F128,"Plant")))</f>
        <v>0</v>
      </c>
      <c r="AI128" t="b">
        <f>AND(IF(metadata!G128="",FALSE,TRUE),OR(EXACT(metadata!G128,"Plant secretion"),EXACT(metadata!G128,"Plant rhizosphere"),EXACT(metadata!G128,"Plant surface"),EXACT(metadata!G128,"Plant corpus"),EXACT(metadata!G128,"Fungus surface"),EXACT(metadata!G128,"Fungus corpus"),EXACT(metadata!G128,"Animal surface"),EXACT(metadata!G128,"Animal proximal gut"),EXACT(metadata!G128,"Animal corpus"),EXACT(metadata!G128,"Animal distal gut"),EXACT(metadata!G128,"Animal secretion")))</f>
        <v>0</v>
      </c>
      <c r="AJ128" t="b">
        <f>OR(AND(IF(metadata!H128="",FALSE,TRUE),OR(EXACT(metadata!H128,"missing: not collected"),EXACT(metadata!H128,"missing: not provided"),EXACT(metadata!H128,"missing: restricted access"))),AND(IF(metadata!H128="",FALSE,TRUE),OR(EXACT(metadata!H128,"organism-associated habitat"),EXACT(metadata!H128,"plant-associated habitat"),EXACT(metadata!H128,"animal-associated habitat"),EXACT(metadata!H128,"insecta-associated habitat"),EXACT(metadata!H128,"mammalia-associated habitat"),EXACT(metadata!H128,"human-associated habitat"),EXACT(metadata!H128,"livestock-associated habitat"))))</f>
        <v>0</v>
      </c>
      <c r="AK128" t="b">
        <f>AND(IF(metadata!I128="",FALSE,TRUE),EXACT(metadata!I128,"host-associated"))</f>
        <v>0</v>
      </c>
      <c r="AL128" t="b">
        <f>OR(AND(IF(metadata!J128="",FALSE,TRUE),OR(EXACT(metadata!J128,"not applicable"),EXACT(metadata!J128,"missing: not collected"),EXACT(metadata!J128,"missing: not provided"),EXACT(metadata!J128,"missing: restricted access"))),AND(IF(metadata!J128="",FALSE,ISNUMBER(VALUE(metadata!J128))),metadata!J128&gt;0))</f>
        <v>0</v>
      </c>
      <c r="AM128" t="b">
        <f>AND(IF(metadata!K128="",FALSE,TRUE),EXACT(metadata!K128,"missing: not provided"))</f>
        <v>0</v>
      </c>
      <c r="AN128" t="b">
        <f>IF(metadata!L128="",FALSE,TRUE)</f>
        <v>0</v>
      </c>
      <c r="AO128" t="b">
        <f>IF(metadata!M128="",FALSE,TRUE)</f>
        <v>0</v>
      </c>
      <c r="AP128" t="b">
        <f>OR(AND(IF(metadata!N128="",FALSE,TRUE),OR(EXACT(metadata!N128,"not applicable"),EXACT(metadata!N128,"missing: not collected"),EXACT(metadata!N128,"missing: not provided"))),AND(IF(metadata!N128="",FALSE,IF(ISERROR(INT(metadata!N128)),FALSE,INT(metadata!N128)=metadata!N128)),metadata!N128&gt;0))</f>
        <v>0</v>
      </c>
      <c r="AQ128" t="b">
        <f>AND(IF(metadata!O128="",FALSE,TRUE),EXACT(metadata!O128,"Not applicable"))</f>
        <v>0</v>
      </c>
      <c r="AR128" t="b">
        <f>OR(AND(IF(metadata!P128="",FALSE,TRUE),OR(EXACT(metadata!P128,"not applicable"),EXACT(metadata!P128,"missing: not collected"),EXACT(metadata!P128,"missing: not provided"),EXACT(metadata!P128,"missing: restricted access"))),IF(metadata!P128="",FALSE,IF(ISERROR(INT(metadata!P128)),FALSE,INT(metadata!P128)=metadata!P128)))</f>
        <v>0</v>
      </c>
      <c r="AS128" t="b">
        <f>AND(IF(metadata!Q128="",FALSE,TRUE),EXACT(metadata!Q128,"Not applicable"))</f>
        <v>0</v>
      </c>
      <c r="AT128" t="b">
        <f>OR(AND(IF(metadata!R128="",FALSE,TRUE),OR(EXACT(metadata!R128,"not applicable"),EXACT(metadata!R128,"missing: not collected"),EXACT(metadata!R128,"missing: not provided"),EXACT(metadata!R128,"missing: restricted access"))),AND(IF(metadata!R128="",FALSE,ISNUMBER(VALUE(metadata!R128))),metadata!R128&gt;0))</f>
        <v>0</v>
      </c>
      <c r="AU128" t="b">
        <f>AND(IF(metadata!S128="",FALSE,TRUE),EXACT(metadata!S128,"missing: not provided"))</f>
        <v>0</v>
      </c>
    </row>
    <row r="129" spans="1:47" x14ac:dyDescent="0.2">
      <c r="A129" s="5" t="str">
        <f ca="1">IF(B129=" "," ",HYPERLINK(CONCATENATE("#metadata!",ADDRESS(INDEX($Y$2:$Y$1001,MATCH(ROWS($W$2:W129),$W$2:$W$1001,0),0),1)),INDEX($AB$2:$AB$1001,MATCH(ROWS($W$2:W129),$W$2:$W$1001,0),0)))</f>
        <v xml:space="preserve"> </v>
      </c>
      <c r="B129" s="4" t="str">
        <f ca="1">IF(OR(INDEX($X$2:$X$1001,MATCH(ROWS($W$2:W129),$W$2:$W$1001,0),1)&gt;=100000,INDEX($AD$1005:$AU$1005,1,MATCH(COLUMNS($AD$1006:AD1006),$AD$1006:$AU$1006,0))&gt;=100000), " ",IF(INDEX($AD$2:$AU$1001,MATCH(ROWS($W$2:W129),$W$2:$W$1001,0),MATCH(COLUMNS($AD$1006:AD1006),$AD$1006:$AU$1006,0)), HYPERLINK("#",""), HYPERLINK(CONCATENATE("#metadata!", ADDRESS(INDEX($Y$2:$Y$1001,MATCH(ROWS($W$2:W129),$W$2:$W$1001,0),0), INDEX($AD$1004:$AU$1004,1,MATCH(COLUMNS($AD$1006:AD1006),$AD$1006:$AU$1006,0)))),"Fix")))</f>
        <v xml:space="preserve"> </v>
      </c>
      <c r="C129" s="4" t="str">
        <f ca="1">IF(OR(INDEX($X$2:$X$1001,MATCH(ROWS($W$2:W129),$W$2:$W$1001,0),1)&gt;=100000,INDEX($AD$1005:$AU$1005,1,MATCH(COLUMNS($AD$1006:AE1006),$AD$1006:$AU$1006,0))&gt;=100000), " ",IF(INDEX($AD$2:$AU$1001,MATCH(ROWS($W$2:W129),$W$2:$W$1001,0),MATCH(COLUMNS($AD$1006:AE1006),$AD$1006:$AU$1006,0)), HYPERLINK("#",""), HYPERLINK(CONCATENATE("#metadata!", ADDRESS(INDEX($Y$2:$Y$1001,MATCH(ROWS($W$2:W129),$W$2:$W$1001,0),0), INDEX($AD$1004:$AU$1004,1,MATCH(COLUMNS($AD$1006:AE1006),$AD$1006:$AU$1006,0)))),"Fix")))</f>
        <v xml:space="preserve"> </v>
      </c>
      <c r="D129" s="4" t="str">
        <f ca="1">IF(OR(INDEX($X$2:$X$1001,MATCH(ROWS($W$2:W129),$W$2:$W$1001,0),1)&gt;=100000,INDEX($AD$1005:$AU$1005,1,MATCH(COLUMNS($AD$1006:AF1006),$AD$1006:$AU$1006,0))&gt;=100000), " ",IF(INDEX($AD$2:$AU$1001,MATCH(ROWS($W$2:W129),$W$2:$W$1001,0),MATCH(COLUMNS($AD$1006:AF1006),$AD$1006:$AU$1006,0)), HYPERLINK("#",""), HYPERLINK(CONCATENATE("#metadata!", ADDRESS(INDEX($Y$2:$Y$1001,MATCH(ROWS($W$2:W129),$W$2:$W$1001,0),0), INDEX($AD$1004:$AU$1004,1,MATCH(COLUMNS($AD$1006:AF1006),$AD$1006:$AU$1006,0)))),"Fix")))</f>
        <v xml:space="preserve"> </v>
      </c>
      <c r="E129" s="4" t="str">
        <f ca="1">IF(OR(INDEX($X$2:$X$1001,MATCH(ROWS($W$2:W129),$W$2:$W$1001,0),1)&gt;=100000,INDEX($AD$1005:$AU$1005,1,MATCH(COLUMNS($AD$1006:AG1006),$AD$1006:$AU$1006,0))&gt;=100000), " ",IF(INDEX($AD$2:$AU$1001,MATCH(ROWS($W$2:W129),$W$2:$W$1001,0),MATCH(COLUMNS($AD$1006:AG1006),$AD$1006:$AU$1006,0)), HYPERLINK("#",""), HYPERLINK(CONCATENATE("#metadata!", ADDRESS(INDEX($Y$2:$Y$1001,MATCH(ROWS($W$2:W129),$W$2:$W$1001,0),0), INDEX($AD$1004:$AU$1004,1,MATCH(COLUMNS($AD$1006:AG1006),$AD$1006:$AU$1006,0)))),"Fix")))</f>
        <v xml:space="preserve"> </v>
      </c>
      <c r="F129" s="4" t="str">
        <f ca="1">IF(OR(INDEX($X$2:$X$1001,MATCH(ROWS($W$2:W129),$W$2:$W$1001,0),1)&gt;=100000,INDEX($AD$1005:$AU$1005,1,MATCH(COLUMNS($AD$1006:AH1006),$AD$1006:$AU$1006,0))&gt;=100000), " ",IF(INDEX($AD$2:$AU$1001,MATCH(ROWS($W$2:W129),$W$2:$W$1001,0),MATCH(COLUMNS($AD$1006:AH1006),$AD$1006:$AU$1006,0)), HYPERLINK("#",""), HYPERLINK(CONCATENATE("#metadata!", ADDRESS(INDEX($Y$2:$Y$1001,MATCH(ROWS($W$2:W129),$W$2:$W$1001,0),0), INDEX($AD$1004:$AU$1004,1,MATCH(COLUMNS($AD$1006:AH1006),$AD$1006:$AU$1006,0)))),"Fix")))</f>
        <v xml:space="preserve"> </v>
      </c>
      <c r="G129" s="4" t="str">
        <f ca="1">IF(OR(INDEX($X$2:$X$1001,MATCH(ROWS($W$2:W129),$W$2:$W$1001,0),1)&gt;=100000,INDEX($AD$1005:$AU$1005,1,MATCH(COLUMNS($AD$1006:AI1006),$AD$1006:$AU$1006,0))&gt;=100000), " ",IF(INDEX($AD$2:$AU$1001,MATCH(ROWS($W$2:W129),$W$2:$W$1001,0),MATCH(COLUMNS($AD$1006:AI1006),$AD$1006:$AU$1006,0)), HYPERLINK("#",""), HYPERLINK(CONCATENATE("#metadata!", ADDRESS(INDEX($Y$2:$Y$1001,MATCH(ROWS($W$2:W129),$W$2:$W$1001,0),0), INDEX($AD$1004:$AU$1004,1,MATCH(COLUMNS($AD$1006:AI1006),$AD$1006:$AU$1006,0)))),"Fix")))</f>
        <v xml:space="preserve"> </v>
      </c>
      <c r="H129" s="4" t="str">
        <f ca="1">IF(OR(INDEX($X$2:$X$1001,MATCH(ROWS($W$2:W129),$W$2:$W$1001,0),1)&gt;=100000,INDEX($AD$1005:$AU$1005,1,MATCH(COLUMNS($AD$1006:AJ1006),$AD$1006:$AU$1006,0))&gt;=100000), " ",IF(INDEX($AD$2:$AU$1001,MATCH(ROWS($W$2:W129),$W$2:$W$1001,0),MATCH(COLUMNS($AD$1006:AJ1006),$AD$1006:$AU$1006,0)), HYPERLINK("#",""), HYPERLINK(CONCATENATE("#metadata!", ADDRESS(INDEX($Y$2:$Y$1001,MATCH(ROWS($W$2:W129),$W$2:$W$1001,0),0), INDEX($AD$1004:$AU$1004,1,MATCH(COLUMNS($AD$1006:AJ1006),$AD$1006:$AU$1006,0)))),"Fix")))</f>
        <v xml:space="preserve"> </v>
      </c>
      <c r="I129" s="4" t="str">
        <f ca="1">IF(OR(INDEX($X$2:$X$1001,MATCH(ROWS($W$2:W129),$W$2:$W$1001,0),1)&gt;=100000,INDEX($AD$1005:$AU$1005,1,MATCH(COLUMNS($AD$1006:AK1006),$AD$1006:$AU$1006,0))&gt;=100000), " ",IF(INDEX($AD$2:$AU$1001,MATCH(ROWS($W$2:W129),$W$2:$W$1001,0),MATCH(COLUMNS($AD$1006:AK1006),$AD$1006:$AU$1006,0)), HYPERLINK("#",""), HYPERLINK(CONCATENATE("#metadata!", ADDRESS(INDEX($Y$2:$Y$1001,MATCH(ROWS($W$2:W129),$W$2:$W$1001,0),0), INDEX($AD$1004:$AU$1004,1,MATCH(COLUMNS($AD$1006:AK1006),$AD$1006:$AU$1006,0)))),"Fix")))</f>
        <v xml:space="preserve"> </v>
      </c>
      <c r="J129" s="4" t="str">
        <f ca="1">IF(OR(INDEX($X$2:$X$1001,MATCH(ROWS($W$2:W129),$W$2:$W$1001,0),1)&gt;=100000,INDEX($AD$1005:$AU$1005,1,MATCH(COLUMNS($AD$1006:AL1006),$AD$1006:$AU$1006,0))&gt;=100000), " ",IF(INDEX($AD$2:$AU$1001,MATCH(ROWS($W$2:W129),$W$2:$W$1001,0),MATCH(COLUMNS($AD$1006:AL1006),$AD$1006:$AU$1006,0)), HYPERLINK("#",""), HYPERLINK(CONCATENATE("#metadata!", ADDRESS(INDEX($Y$2:$Y$1001,MATCH(ROWS($W$2:W129),$W$2:$W$1001,0),0), INDEX($AD$1004:$AU$1004,1,MATCH(COLUMNS($AD$1006:AL1006),$AD$1006:$AU$1006,0)))),"Fix")))</f>
        <v xml:space="preserve"> </v>
      </c>
      <c r="K129" s="4" t="str">
        <f ca="1">IF(OR(INDEX($X$2:$X$1001,MATCH(ROWS($W$2:W129),$W$2:$W$1001,0),1)&gt;=100000,INDEX($AD$1005:$AU$1005,1,MATCH(COLUMNS($AD$1006:AM1006),$AD$1006:$AU$1006,0))&gt;=100000), " ",IF(INDEX($AD$2:$AU$1001,MATCH(ROWS($W$2:W129),$W$2:$W$1001,0),MATCH(COLUMNS($AD$1006:AM1006),$AD$1006:$AU$1006,0)), HYPERLINK("#",""), HYPERLINK(CONCATENATE("#metadata!", ADDRESS(INDEX($Y$2:$Y$1001,MATCH(ROWS($W$2:W129),$W$2:$W$1001,0),0), INDEX($AD$1004:$AU$1004,1,MATCH(COLUMNS($AD$1006:AM1006),$AD$1006:$AU$1006,0)))),"Fix")))</f>
        <v xml:space="preserve"> </v>
      </c>
      <c r="L129" s="4" t="str">
        <f ca="1">IF(OR(INDEX($X$2:$X$1001,MATCH(ROWS($W$2:W129),$W$2:$W$1001,0),1)&gt;=100000,INDEX($AD$1005:$AU$1005,1,MATCH(COLUMNS($AD$1006:AN1006),$AD$1006:$AU$1006,0))&gt;=100000), " ",IF(INDEX($AD$2:$AU$1001,MATCH(ROWS($W$2:W129),$W$2:$W$1001,0),MATCH(COLUMNS($AD$1006:AN1006),$AD$1006:$AU$1006,0)), HYPERLINK("#",""), HYPERLINK(CONCATENATE("#metadata!", ADDRESS(INDEX($Y$2:$Y$1001,MATCH(ROWS($W$2:W129),$W$2:$W$1001,0),0), INDEX($AD$1004:$AU$1004,1,MATCH(COLUMNS($AD$1006:AN1006),$AD$1006:$AU$1006,0)))),"Fix")))</f>
        <v xml:space="preserve"> </v>
      </c>
      <c r="M129" s="4" t="str">
        <f ca="1">IF(OR(INDEX($X$2:$X$1001,MATCH(ROWS($W$2:W129),$W$2:$W$1001,0),1)&gt;=100000,INDEX($AD$1005:$AU$1005,1,MATCH(COLUMNS($AD$1006:AO1006),$AD$1006:$AU$1006,0))&gt;=100000), " ",IF(INDEX($AD$2:$AU$1001,MATCH(ROWS($W$2:W129),$W$2:$W$1001,0),MATCH(COLUMNS($AD$1006:AO1006),$AD$1006:$AU$1006,0)), HYPERLINK("#",""), HYPERLINK(CONCATENATE("#metadata!", ADDRESS(INDEX($Y$2:$Y$1001,MATCH(ROWS($W$2:W129),$W$2:$W$1001,0),0), INDEX($AD$1004:$AU$1004,1,MATCH(COLUMNS($AD$1006:AO1006),$AD$1006:$AU$1006,0)))),"Fix")))</f>
        <v xml:space="preserve"> </v>
      </c>
      <c r="N129" s="4" t="str">
        <f ca="1">IF(OR(INDEX($X$2:$X$1001,MATCH(ROWS($W$2:W129),$W$2:$W$1001,0),1)&gt;=100000,INDEX($AD$1005:$AU$1005,1,MATCH(COLUMNS($AD$1006:AP1006),$AD$1006:$AU$1006,0))&gt;=100000), " ",IF(INDEX($AD$2:$AU$1001,MATCH(ROWS($W$2:W129),$W$2:$W$1001,0),MATCH(COLUMNS($AD$1006:AP1006),$AD$1006:$AU$1006,0)), HYPERLINK("#",""), HYPERLINK(CONCATENATE("#metadata!", ADDRESS(INDEX($Y$2:$Y$1001,MATCH(ROWS($W$2:W129),$W$2:$W$1001,0),0), INDEX($AD$1004:$AU$1004,1,MATCH(COLUMNS($AD$1006:AP1006),$AD$1006:$AU$1006,0)))),"Fix")))</f>
        <v xml:space="preserve"> </v>
      </c>
      <c r="O129" s="4" t="str">
        <f ca="1">IF(OR(INDEX($X$2:$X$1001,MATCH(ROWS($W$2:W129),$W$2:$W$1001,0),1)&gt;=100000,INDEX($AD$1005:$AU$1005,1,MATCH(COLUMNS($AD$1006:AQ1006),$AD$1006:$AU$1006,0))&gt;=100000), " ",IF(INDEX($AD$2:$AU$1001,MATCH(ROWS($W$2:W129),$W$2:$W$1001,0),MATCH(COLUMNS($AD$1006:AQ1006),$AD$1006:$AU$1006,0)), HYPERLINK("#",""), HYPERLINK(CONCATENATE("#metadata!", ADDRESS(INDEX($Y$2:$Y$1001,MATCH(ROWS($W$2:W129),$W$2:$W$1001,0),0), INDEX($AD$1004:$AU$1004,1,MATCH(COLUMNS($AD$1006:AQ1006),$AD$1006:$AU$1006,0)))),"Fix")))</f>
        <v xml:space="preserve"> </v>
      </c>
      <c r="P129" s="4" t="str">
        <f ca="1">IF(OR(INDEX($X$2:$X$1001,MATCH(ROWS($W$2:W129),$W$2:$W$1001,0),1)&gt;=100000,INDEX($AD$1005:$AU$1005,1,MATCH(COLUMNS($AD$1006:AR1006),$AD$1006:$AU$1006,0))&gt;=100000), " ",IF(INDEX($AD$2:$AU$1001,MATCH(ROWS($W$2:W129),$W$2:$W$1001,0),MATCH(COLUMNS($AD$1006:AR1006),$AD$1006:$AU$1006,0)), HYPERLINK("#",""), HYPERLINK(CONCATENATE("#metadata!", ADDRESS(INDEX($Y$2:$Y$1001,MATCH(ROWS($W$2:W129),$W$2:$W$1001,0),0), INDEX($AD$1004:$AU$1004,1,MATCH(COLUMNS($AD$1006:AR1006),$AD$1006:$AU$1006,0)))),"Fix")))</f>
        <v xml:space="preserve"> </v>
      </c>
      <c r="Q129" s="4" t="str">
        <f ca="1">IF(OR(INDEX($X$2:$X$1001,MATCH(ROWS($W$2:W129),$W$2:$W$1001,0),1)&gt;=100000,INDEX($AD$1005:$AU$1005,1,MATCH(COLUMNS($AD$1006:AS1006),$AD$1006:$AU$1006,0))&gt;=100000), " ",IF(INDEX($AD$2:$AU$1001,MATCH(ROWS($W$2:W129),$W$2:$W$1001,0),MATCH(COLUMNS($AD$1006:AS1006),$AD$1006:$AU$1006,0)), HYPERLINK("#",""), HYPERLINK(CONCATENATE("#metadata!", ADDRESS(INDEX($Y$2:$Y$1001,MATCH(ROWS($W$2:W129),$W$2:$W$1001,0),0), INDEX($AD$1004:$AU$1004,1,MATCH(COLUMNS($AD$1006:AS1006),$AD$1006:$AU$1006,0)))),"Fix")))</f>
        <v xml:space="preserve"> </v>
      </c>
      <c r="R129" s="4" t="str">
        <f ca="1">IF(OR(INDEX($X$2:$X$1001,MATCH(ROWS($W$2:W129),$W$2:$W$1001,0),1)&gt;=100000,INDEX($AD$1005:$AU$1005,1,MATCH(COLUMNS($AD$1006:AT1006),$AD$1006:$AU$1006,0))&gt;=100000), " ",IF(INDEX($AD$2:$AU$1001,MATCH(ROWS($W$2:W129),$W$2:$W$1001,0),MATCH(COLUMNS($AD$1006:AT1006),$AD$1006:$AU$1006,0)), HYPERLINK("#",""), HYPERLINK(CONCATENATE("#metadata!", ADDRESS(INDEX($Y$2:$Y$1001,MATCH(ROWS($W$2:W129),$W$2:$W$1001,0),0), INDEX($AD$1004:$AU$1004,1,MATCH(COLUMNS($AD$1006:AT1006),$AD$1006:$AU$1006,0)))),"Fix")))</f>
        <v xml:space="preserve"> </v>
      </c>
      <c r="S129" s="4" t="str">
        <f ca="1">IF(OR(INDEX($X$2:$X$1001,MATCH(ROWS($W$2:W129),$W$2:$W$1001,0),1)&gt;=100000,INDEX($AD$1005:$AU$1005,1,MATCH(COLUMNS($AD$1006:AU1006),$AD$1006:$AU$1006,0))&gt;=100000), " ",IF(INDEX($AD$2:$AU$1001,MATCH(ROWS($W$2:W129),$W$2:$W$1001,0),MATCH(COLUMNS($AD$1006:AU1006),$AD$1006:$AU$1006,0)), HYPERLINK("#",""), HYPERLINK(CONCATENATE("#metadata!", ADDRESS(INDEX($Y$2:$Y$1001,MATCH(ROWS($W$2:W129),$W$2:$W$1001,0),0), INDEX($AD$1004:$AU$1004,1,MATCH(COLUMNS($AD$1006:AU1006),$AD$1006:$AU$1006,0)))),"Fix")))</f>
        <v xml:space="preserve"> </v>
      </c>
      <c r="W129">
        <v>128</v>
      </c>
      <c r="X129">
        <v>100129</v>
      </c>
      <c r="Y129">
        <v>129</v>
      </c>
      <c r="Z129" t="b">
        <f t="shared" si="1"/>
        <v>1</v>
      </c>
      <c r="AA129" t="b">
        <f>COUNTBLANK(metadata!B129:S129)=COLUMNS(metadata!B129:S129)</f>
        <v>1</v>
      </c>
      <c r="AB129" t="str">
        <v/>
      </c>
      <c r="AD129" t="b">
        <f ca="1">AND(IF(metadata!B129="",FALSE,TRUE),COUNTIF(metadata!B:B, metadata!B129) = 1,NOT(ISERROR(SUMPRODUCT(SEARCH(MID(metadata!B129,ROW(INDIRECT("1:"&amp;LEN(metadata!B129))), 1),"0123456789abcdefghijklmnopqrstuvwxyzABCDEFGHIJKLMNOPQRSTUVWXYZ.")))))</f>
        <v>0</v>
      </c>
      <c r="AE129" t="b">
        <f>OR(AND(IF(metadata!C129="",FALSE,TRUE),OR(EXACT(metadata!C129,"not applicable"),EXACT(metadata!C129,"missing: not collected"),EXACT(metadata!C129,"missing: not provided"),EXACT(metadata!C129,"missing: restricted access"))),AND(IF(metadata!C129="",FALSE,ISNUMBER(VALUE(metadata!C129))),metadata!C129&gt;0))</f>
        <v>0</v>
      </c>
      <c r="AF129" t="b">
        <f>AND(IF(metadata!D129="",FALSE,TRUE),EXACT(metadata!D129,"missing: not provided"))</f>
        <v>0</v>
      </c>
      <c r="AG129" t="b">
        <f>AND(IF(metadata!E129="",FALSE,TRUE),EXACT(metadata!E129,"Host-associated"))</f>
        <v>0</v>
      </c>
      <c r="AH129" t="b">
        <f>AND(IF(metadata!F129="",FALSE,TRUE),OR(EXACT(metadata!F129,"Animal"),EXACT(metadata!F129,"Fungus"),EXACT(metadata!F129,"Plant")))</f>
        <v>0</v>
      </c>
      <c r="AI129" t="b">
        <f>AND(IF(metadata!G129="",FALSE,TRUE),OR(EXACT(metadata!G129,"Plant secretion"),EXACT(metadata!G129,"Plant rhizosphere"),EXACT(metadata!G129,"Plant surface"),EXACT(metadata!G129,"Plant corpus"),EXACT(metadata!G129,"Fungus surface"),EXACT(metadata!G129,"Fungus corpus"),EXACT(metadata!G129,"Animal surface"),EXACT(metadata!G129,"Animal proximal gut"),EXACT(metadata!G129,"Animal corpus"),EXACT(metadata!G129,"Animal distal gut"),EXACT(metadata!G129,"Animal secretion")))</f>
        <v>0</v>
      </c>
      <c r="AJ129" t="b">
        <f>OR(AND(IF(metadata!H129="",FALSE,TRUE),OR(EXACT(metadata!H129,"missing: not collected"),EXACT(metadata!H129,"missing: not provided"),EXACT(metadata!H129,"missing: restricted access"))),AND(IF(metadata!H129="",FALSE,TRUE),OR(EXACT(metadata!H129,"organism-associated habitat"),EXACT(metadata!H129,"plant-associated habitat"),EXACT(metadata!H129,"animal-associated habitat"),EXACT(metadata!H129,"insecta-associated habitat"),EXACT(metadata!H129,"mammalia-associated habitat"),EXACT(metadata!H129,"human-associated habitat"),EXACT(metadata!H129,"livestock-associated habitat"))))</f>
        <v>0</v>
      </c>
      <c r="AK129" t="b">
        <f>AND(IF(metadata!I129="",FALSE,TRUE),EXACT(metadata!I129,"host-associated"))</f>
        <v>0</v>
      </c>
      <c r="AL129" t="b">
        <f>OR(AND(IF(metadata!J129="",FALSE,TRUE),OR(EXACT(metadata!J129,"not applicable"),EXACT(metadata!J129,"missing: not collected"),EXACT(metadata!J129,"missing: not provided"),EXACT(metadata!J129,"missing: restricted access"))),AND(IF(metadata!J129="",FALSE,ISNUMBER(VALUE(metadata!J129))),metadata!J129&gt;0))</f>
        <v>0</v>
      </c>
      <c r="AM129" t="b">
        <f>AND(IF(metadata!K129="",FALSE,TRUE),EXACT(metadata!K129,"missing: not provided"))</f>
        <v>0</v>
      </c>
      <c r="AN129" t="b">
        <f>IF(metadata!L129="",FALSE,TRUE)</f>
        <v>0</v>
      </c>
      <c r="AO129" t="b">
        <f>IF(metadata!M129="",FALSE,TRUE)</f>
        <v>0</v>
      </c>
      <c r="AP129" t="b">
        <f>OR(AND(IF(metadata!N129="",FALSE,TRUE),OR(EXACT(metadata!N129,"not applicable"),EXACT(metadata!N129,"missing: not collected"),EXACT(metadata!N129,"missing: not provided"))),AND(IF(metadata!N129="",FALSE,IF(ISERROR(INT(metadata!N129)),FALSE,INT(metadata!N129)=metadata!N129)),metadata!N129&gt;0))</f>
        <v>0</v>
      </c>
      <c r="AQ129" t="b">
        <f>AND(IF(metadata!O129="",FALSE,TRUE),EXACT(metadata!O129,"Not applicable"))</f>
        <v>0</v>
      </c>
      <c r="AR129" t="b">
        <f>OR(AND(IF(metadata!P129="",FALSE,TRUE),OR(EXACT(metadata!P129,"not applicable"),EXACT(metadata!P129,"missing: not collected"),EXACT(metadata!P129,"missing: not provided"),EXACT(metadata!P129,"missing: restricted access"))),IF(metadata!P129="",FALSE,IF(ISERROR(INT(metadata!P129)),FALSE,INT(metadata!P129)=metadata!P129)))</f>
        <v>0</v>
      </c>
      <c r="AS129" t="b">
        <f>AND(IF(metadata!Q129="",FALSE,TRUE),EXACT(metadata!Q129,"Not applicable"))</f>
        <v>0</v>
      </c>
      <c r="AT129" t="b">
        <f>OR(AND(IF(metadata!R129="",FALSE,TRUE),OR(EXACT(metadata!R129,"not applicable"),EXACT(metadata!R129,"missing: not collected"),EXACT(metadata!R129,"missing: not provided"),EXACT(metadata!R129,"missing: restricted access"))),AND(IF(metadata!R129="",FALSE,ISNUMBER(VALUE(metadata!R129))),metadata!R129&gt;0))</f>
        <v>0</v>
      </c>
      <c r="AU129" t="b">
        <f>AND(IF(metadata!S129="",FALSE,TRUE),EXACT(metadata!S129,"missing: not provided"))</f>
        <v>0</v>
      </c>
    </row>
    <row r="130" spans="1:47" x14ac:dyDescent="0.2">
      <c r="A130" s="5" t="str">
        <f ca="1">IF(B130=" "," ",HYPERLINK(CONCATENATE("#metadata!",ADDRESS(INDEX($Y$2:$Y$1001,MATCH(ROWS($W$2:W130),$W$2:$W$1001,0),0),1)),INDEX($AB$2:$AB$1001,MATCH(ROWS($W$2:W130),$W$2:$W$1001,0),0)))</f>
        <v xml:space="preserve"> </v>
      </c>
      <c r="B130" s="4" t="str">
        <f ca="1">IF(OR(INDEX($X$2:$X$1001,MATCH(ROWS($W$2:W130),$W$2:$W$1001,0),1)&gt;=100000,INDEX($AD$1005:$AU$1005,1,MATCH(COLUMNS($AD$1006:AD1006),$AD$1006:$AU$1006,0))&gt;=100000), " ",IF(INDEX($AD$2:$AU$1001,MATCH(ROWS($W$2:W130),$W$2:$W$1001,0),MATCH(COLUMNS($AD$1006:AD1006),$AD$1006:$AU$1006,0)), HYPERLINK("#",""), HYPERLINK(CONCATENATE("#metadata!", ADDRESS(INDEX($Y$2:$Y$1001,MATCH(ROWS($W$2:W130),$W$2:$W$1001,0),0), INDEX($AD$1004:$AU$1004,1,MATCH(COLUMNS($AD$1006:AD1006),$AD$1006:$AU$1006,0)))),"Fix")))</f>
        <v xml:space="preserve"> </v>
      </c>
      <c r="C130" s="4" t="str">
        <f ca="1">IF(OR(INDEX($X$2:$X$1001,MATCH(ROWS($W$2:W130),$W$2:$W$1001,0),1)&gt;=100000,INDEX($AD$1005:$AU$1005,1,MATCH(COLUMNS($AD$1006:AE1006),$AD$1006:$AU$1006,0))&gt;=100000), " ",IF(INDEX($AD$2:$AU$1001,MATCH(ROWS($W$2:W130),$W$2:$W$1001,0),MATCH(COLUMNS($AD$1006:AE1006),$AD$1006:$AU$1006,0)), HYPERLINK("#",""), HYPERLINK(CONCATENATE("#metadata!", ADDRESS(INDEX($Y$2:$Y$1001,MATCH(ROWS($W$2:W130),$W$2:$W$1001,0),0), INDEX($AD$1004:$AU$1004,1,MATCH(COLUMNS($AD$1006:AE1006),$AD$1006:$AU$1006,0)))),"Fix")))</f>
        <v xml:space="preserve"> </v>
      </c>
      <c r="D130" s="4" t="str">
        <f ca="1">IF(OR(INDEX($X$2:$X$1001,MATCH(ROWS($W$2:W130),$W$2:$W$1001,0),1)&gt;=100000,INDEX($AD$1005:$AU$1005,1,MATCH(COLUMNS($AD$1006:AF1006),$AD$1006:$AU$1006,0))&gt;=100000), " ",IF(INDEX($AD$2:$AU$1001,MATCH(ROWS($W$2:W130),$W$2:$W$1001,0),MATCH(COLUMNS($AD$1006:AF1006),$AD$1006:$AU$1006,0)), HYPERLINK("#",""), HYPERLINK(CONCATENATE("#metadata!", ADDRESS(INDEX($Y$2:$Y$1001,MATCH(ROWS($W$2:W130),$W$2:$W$1001,0),0), INDEX($AD$1004:$AU$1004,1,MATCH(COLUMNS($AD$1006:AF1006),$AD$1006:$AU$1006,0)))),"Fix")))</f>
        <v xml:space="preserve"> </v>
      </c>
      <c r="E130" s="4" t="str">
        <f ca="1">IF(OR(INDEX($X$2:$X$1001,MATCH(ROWS($W$2:W130),$W$2:$W$1001,0),1)&gt;=100000,INDEX($AD$1005:$AU$1005,1,MATCH(COLUMNS($AD$1006:AG1006),$AD$1006:$AU$1006,0))&gt;=100000), " ",IF(INDEX($AD$2:$AU$1001,MATCH(ROWS($W$2:W130),$W$2:$W$1001,0),MATCH(COLUMNS($AD$1006:AG1006),$AD$1006:$AU$1006,0)), HYPERLINK("#",""), HYPERLINK(CONCATENATE("#metadata!", ADDRESS(INDEX($Y$2:$Y$1001,MATCH(ROWS($W$2:W130),$W$2:$W$1001,0),0), INDEX($AD$1004:$AU$1004,1,MATCH(COLUMNS($AD$1006:AG1006),$AD$1006:$AU$1006,0)))),"Fix")))</f>
        <v xml:space="preserve"> </v>
      </c>
      <c r="F130" s="4" t="str">
        <f ca="1">IF(OR(INDEX($X$2:$X$1001,MATCH(ROWS($W$2:W130),$W$2:$W$1001,0),1)&gt;=100000,INDEX($AD$1005:$AU$1005,1,MATCH(COLUMNS($AD$1006:AH1006),$AD$1006:$AU$1006,0))&gt;=100000), " ",IF(INDEX($AD$2:$AU$1001,MATCH(ROWS($W$2:W130),$W$2:$W$1001,0),MATCH(COLUMNS($AD$1006:AH1006),$AD$1006:$AU$1006,0)), HYPERLINK("#",""), HYPERLINK(CONCATENATE("#metadata!", ADDRESS(INDEX($Y$2:$Y$1001,MATCH(ROWS($W$2:W130),$W$2:$W$1001,0),0), INDEX($AD$1004:$AU$1004,1,MATCH(COLUMNS($AD$1006:AH1006),$AD$1006:$AU$1006,0)))),"Fix")))</f>
        <v xml:space="preserve"> </v>
      </c>
      <c r="G130" s="4" t="str">
        <f ca="1">IF(OR(INDEX($X$2:$X$1001,MATCH(ROWS($W$2:W130),$W$2:$W$1001,0),1)&gt;=100000,INDEX($AD$1005:$AU$1005,1,MATCH(COLUMNS($AD$1006:AI1006),$AD$1006:$AU$1006,0))&gt;=100000), " ",IF(INDEX($AD$2:$AU$1001,MATCH(ROWS($W$2:W130),$W$2:$W$1001,0),MATCH(COLUMNS($AD$1006:AI1006),$AD$1006:$AU$1006,0)), HYPERLINK("#",""), HYPERLINK(CONCATENATE("#metadata!", ADDRESS(INDEX($Y$2:$Y$1001,MATCH(ROWS($W$2:W130),$W$2:$W$1001,0),0), INDEX($AD$1004:$AU$1004,1,MATCH(COLUMNS($AD$1006:AI1006),$AD$1006:$AU$1006,0)))),"Fix")))</f>
        <v xml:space="preserve"> </v>
      </c>
      <c r="H130" s="4" t="str">
        <f ca="1">IF(OR(INDEX($X$2:$X$1001,MATCH(ROWS($W$2:W130),$W$2:$W$1001,0),1)&gt;=100000,INDEX($AD$1005:$AU$1005,1,MATCH(COLUMNS($AD$1006:AJ1006),$AD$1006:$AU$1006,0))&gt;=100000), " ",IF(INDEX($AD$2:$AU$1001,MATCH(ROWS($W$2:W130),$W$2:$W$1001,0),MATCH(COLUMNS($AD$1006:AJ1006),$AD$1006:$AU$1006,0)), HYPERLINK("#",""), HYPERLINK(CONCATENATE("#metadata!", ADDRESS(INDEX($Y$2:$Y$1001,MATCH(ROWS($W$2:W130),$W$2:$W$1001,0),0), INDEX($AD$1004:$AU$1004,1,MATCH(COLUMNS($AD$1006:AJ1006),$AD$1006:$AU$1006,0)))),"Fix")))</f>
        <v xml:space="preserve"> </v>
      </c>
      <c r="I130" s="4" t="str">
        <f ca="1">IF(OR(INDEX($X$2:$X$1001,MATCH(ROWS($W$2:W130),$W$2:$W$1001,0),1)&gt;=100000,INDEX($AD$1005:$AU$1005,1,MATCH(COLUMNS($AD$1006:AK1006),$AD$1006:$AU$1006,0))&gt;=100000), " ",IF(INDEX($AD$2:$AU$1001,MATCH(ROWS($W$2:W130),$W$2:$W$1001,0),MATCH(COLUMNS($AD$1006:AK1006),$AD$1006:$AU$1006,0)), HYPERLINK("#",""), HYPERLINK(CONCATENATE("#metadata!", ADDRESS(INDEX($Y$2:$Y$1001,MATCH(ROWS($W$2:W130),$W$2:$W$1001,0),0), INDEX($AD$1004:$AU$1004,1,MATCH(COLUMNS($AD$1006:AK1006),$AD$1006:$AU$1006,0)))),"Fix")))</f>
        <v xml:space="preserve"> </v>
      </c>
      <c r="J130" s="4" t="str">
        <f ca="1">IF(OR(INDEX($X$2:$X$1001,MATCH(ROWS($W$2:W130),$W$2:$W$1001,0),1)&gt;=100000,INDEX($AD$1005:$AU$1005,1,MATCH(COLUMNS($AD$1006:AL1006),$AD$1006:$AU$1006,0))&gt;=100000), " ",IF(INDEX($AD$2:$AU$1001,MATCH(ROWS($W$2:W130),$W$2:$W$1001,0),MATCH(COLUMNS($AD$1006:AL1006),$AD$1006:$AU$1006,0)), HYPERLINK("#",""), HYPERLINK(CONCATENATE("#metadata!", ADDRESS(INDEX($Y$2:$Y$1001,MATCH(ROWS($W$2:W130),$W$2:$W$1001,0),0), INDEX($AD$1004:$AU$1004,1,MATCH(COLUMNS($AD$1006:AL1006),$AD$1006:$AU$1006,0)))),"Fix")))</f>
        <v xml:space="preserve"> </v>
      </c>
      <c r="K130" s="4" t="str">
        <f ca="1">IF(OR(INDEX($X$2:$X$1001,MATCH(ROWS($W$2:W130),$W$2:$W$1001,0),1)&gt;=100000,INDEX($AD$1005:$AU$1005,1,MATCH(COLUMNS($AD$1006:AM1006),$AD$1006:$AU$1006,0))&gt;=100000), " ",IF(INDEX($AD$2:$AU$1001,MATCH(ROWS($W$2:W130),$W$2:$W$1001,0),MATCH(COLUMNS($AD$1006:AM1006),$AD$1006:$AU$1006,0)), HYPERLINK("#",""), HYPERLINK(CONCATENATE("#metadata!", ADDRESS(INDEX($Y$2:$Y$1001,MATCH(ROWS($W$2:W130),$W$2:$W$1001,0),0), INDEX($AD$1004:$AU$1004,1,MATCH(COLUMNS($AD$1006:AM1006),$AD$1006:$AU$1006,0)))),"Fix")))</f>
        <v xml:space="preserve"> </v>
      </c>
      <c r="L130" s="4" t="str">
        <f ca="1">IF(OR(INDEX($X$2:$X$1001,MATCH(ROWS($W$2:W130),$W$2:$W$1001,0),1)&gt;=100000,INDEX($AD$1005:$AU$1005,1,MATCH(COLUMNS($AD$1006:AN1006),$AD$1006:$AU$1006,0))&gt;=100000), " ",IF(INDEX($AD$2:$AU$1001,MATCH(ROWS($W$2:W130),$W$2:$W$1001,0),MATCH(COLUMNS($AD$1006:AN1006),$AD$1006:$AU$1006,0)), HYPERLINK("#",""), HYPERLINK(CONCATENATE("#metadata!", ADDRESS(INDEX($Y$2:$Y$1001,MATCH(ROWS($W$2:W130),$W$2:$W$1001,0),0), INDEX($AD$1004:$AU$1004,1,MATCH(COLUMNS($AD$1006:AN1006),$AD$1006:$AU$1006,0)))),"Fix")))</f>
        <v xml:space="preserve"> </v>
      </c>
      <c r="M130" s="4" t="str">
        <f ca="1">IF(OR(INDEX($X$2:$X$1001,MATCH(ROWS($W$2:W130),$W$2:$W$1001,0),1)&gt;=100000,INDEX($AD$1005:$AU$1005,1,MATCH(COLUMNS($AD$1006:AO1006),$AD$1006:$AU$1006,0))&gt;=100000), " ",IF(INDEX($AD$2:$AU$1001,MATCH(ROWS($W$2:W130),$W$2:$W$1001,0),MATCH(COLUMNS($AD$1006:AO1006),$AD$1006:$AU$1006,0)), HYPERLINK("#",""), HYPERLINK(CONCATENATE("#metadata!", ADDRESS(INDEX($Y$2:$Y$1001,MATCH(ROWS($W$2:W130),$W$2:$W$1001,0),0), INDEX($AD$1004:$AU$1004,1,MATCH(COLUMNS($AD$1006:AO1006),$AD$1006:$AU$1006,0)))),"Fix")))</f>
        <v xml:space="preserve"> </v>
      </c>
      <c r="N130" s="4" t="str">
        <f ca="1">IF(OR(INDEX($X$2:$X$1001,MATCH(ROWS($W$2:W130),$W$2:$W$1001,0),1)&gt;=100000,INDEX($AD$1005:$AU$1005,1,MATCH(COLUMNS($AD$1006:AP1006),$AD$1006:$AU$1006,0))&gt;=100000), " ",IF(INDEX($AD$2:$AU$1001,MATCH(ROWS($W$2:W130),$W$2:$W$1001,0),MATCH(COLUMNS($AD$1006:AP1006),$AD$1006:$AU$1006,0)), HYPERLINK("#",""), HYPERLINK(CONCATENATE("#metadata!", ADDRESS(INDEX($Y$2:$Y$1001,MATCH(ROWS($W$2:W130),$W$2:$W$1001,0),0), INDEX($AD$1004:$AU$1004,1,MATCH(COLUMNS($AD$1006:AP1006),$AD$1006:$AU$1006,0)))),"Fix")))</f>
        <v xml:space="preserve"> </v>
      </c>
      <c r="O130" s="4" t="str">
        <f ca="1">IF(OR(INDEX($X$2:$X$1001,MATCH(ROWS($W$2:W130),$W$2:$W$1001,0),1)&gt;=100000,INDEX($AD$1005:$AU$1005,1,MATCH(COLUMNS($AD$1006:AQ1006),$AD$1006:$AU$1006,0))&gt;=100000), " ",IF(INDEX($AD$2:$AU$1001,MATCH(ROWS($W$2:W130),$W$2:$W$1001,0),MATCH(COLUMNS($AD$1006:AQ1006),$AD$1006:$AU$1006,0)), HYPERLINK("#",""), HYPERLINK(CONCATENATE("#metadata!", ADDRESS(INDEX($Y$2:$Y$1001,MATCH(ROWS($W$2:W130),$W$2:$W$1001,0),0), INDEX($AD$1004:$AU$1004,1,MATCH(COLUMNS($AD$1006:AQ1006),$AD$1006:$AU$1006,0)))),"Fix")))</f>
        <v xml:space="preserve"> </v>
      </c>
      <c r="P130" s="4" t="str">
        <f ca="1">IF(OR(INDEX($X$2:$X$1001,MATCH(ROWS($W$2:W130),$W$2:$W$1001,0),1)&gt;=100000,INDEX($AD$1005:$AU$1005,1,MATCH(COLUMNS($AD$1006:AR1006),$AD$1006:$AU$1006,0))&gt;=100000), " ",IF(INDEX($AD$2:$AU$1001,MATCH(ROWS($W$2:W130),$W$2:$W$1001,0),MATCH(COLUMNS($AD$1006:AR1006),$AD$1006:$AU$1006,0)), HYPERLINK("#",""), HYPERLINK(CONCATENATE("#metadata!", ADDRESS(INDEX($Y$2:$Y$1001,MATCH(ROWS($W$2:W130),$W$2:$W$1001,0),0), INDEX($AD$1004:$AU$1004,1,MATCH(COLUMNS($AD$1006:AR1006),$AD$1006:$AU$1006,0)))),"Fix")))</f>
        <v xml:space="preserve"> </v>
      </c>
      <c r="Q130" s="4" t="str">
        <f ca="1">IF(OR(INDEX($X$2:$X$1001,MATCH(ROWS($W$2:W130),$W$2:$W$1001,0),1)&gt;=100000,INDEX($AD$1005:$AU$1005,1,MATCH(COLUMNS($AD$1006:AS1006),$AD$1006:$AU$1006,0))&gt;=100000), " ",IF(INDEX($AD$2:$AU$1001,MATCH(ROWS($W$2:W130),$W$2:$W$1001,0),MATCH(COLUMNS($AD$1006:AS1006),$AD$1006:$AU$1006,0)), HYPERLINK("#",""), HYPERLINK(CONCATENATE("#metadata!", ADDRESS(INDEX($Y$2:$Y$1001,MATCH(ROWS($W$2:W130),$W$2:$W$1001,0),0), INDEX($AD$1004:$AU$1004,1,MATCH(COLUMNS($AD$1006:AS1006),$AD$1006:$AU$1006,0)))),"Fix")))</f>
        <v xml:space="preserve"> </v>
      </c>
      <c r="R130" s="4" t="str">
        <f ca="1">IF(OR(INDEX($X$2:$X$1001,MATCH(ROWS($W$2:W130),$W$2:$W$1001,0),1)&gt;=100000,INDEX($AD$1005:$AU$1005,1,MATCH(COLUMNS($AD$1006:AT1006),$AD$1006:$AU$1006,0))&gt;=100000), " ",IF(INDEX($AD$2:$AU$1001,MATCH(ROWS($W$2:W130),$W$2:$W$1001,0),MATCH(COLUMNS($AD$1006:AT1006),$AD$1006:$AU$1006,0)), HYPERLINK("#",""), HYPERLINK(CONCATENATE("#metadata!", ADDRESS(INDEX($Y$2:$Y$1001,MATCH(ROWS($W$2:W130),$W$2:$W$1001,0),0), INDEX($AD$1004:$AU$1004,1,MATCH(COLUMNS($AD$1006:AT1006),$AD$1006:$AU$1006,0)))),"Fix")))</f>
        <v xml:space="preserve"> </v>
      </c>
      <c r="S130" s="4" t="str">
        <f ca="1">IF(OR(INDEX($X$2:$X$1001,MATCH(ROWS($W$2:W130),$W$2:$W$1001,0),1)&gt;=100000,INDEX($AD$1005:$AU$1005,1,MATCH(COLUMNS($AD$1006:AU1006),$AD$1006:$AU$1006,0))&gt;=100000), " ",IF(INDEX($AD$2:$AU$1001,MATCH(ROWS($W$2:W130),$W$2:$W$1001,0),MATCH(COLUMNS($AD$1006:AU1006),$AD$1006:$AU$1006,0)), HYPERLINK("#",""), HYPERLINK(CONCATENATE("#metadata!", ADDRESS(INDEX($Y$2:$Y$1001,MATCH(ROWS($W$2:W130),$W$2:$W$1001,0),0), INDEX($AD$1004:$AU$1004,1,MATCH(COLUMNS($AD$1006:AU1006),$AD$1006:$AU$1006,0)))),"Fix")))</f>
        <v xml:space="preserve"> </v>
      </c>
      <c r="W130">
        <v>129</v>
      </c>
      <c r="X130">
        <v>100130</v>
      </c>
      <c r="Y130">
        <v>130</v>
      </c>
      <c r="Z130" t="b">
        <f t="shared" ref="Z130:Z193" si="2">IF(AA130,TRUE,AND(AD130:AU130))</f>
        <v>1</v>
      </c>
      <c r="AA130" t="b">
        <f>COUNTBLANK(metadata!B130:S130)=COLUMNS(metadata!B130:S130)</f>
        <v>1</v>
      </c>
      <c r="AB130" t="str">
        <v/>
      </c>
      <c r="AD130" t="b">
        <f ca="1">AND(IF(metadata!B130="",FALSE,TRUE),COUNTIF(metadata!B:B, metadata!B130) = 1,NOT(ISERROR(SUMPRODUCT(SEARCH(MID(metadata!B130,ROW(INDIRECT("1:"&amp;LEN(metadata!B130))), 1),"0123456789abcdefghijklmnopqrstuvwxyzABCDEFGHIJKLMNOPQRSTUVWXYZ.")))))</f>
        <v>0</v>
      </c>
      <c r="AE130" t="b">
        <f>OR(AND(IF(metadata!C130="",FALSE,TRUE),OR(EXACT(metadata!C130,"not applicable"),EXACT(metadata!C130,"missing: not collected"),EXACT(metadata!C130,"missing: not provided"),EXACT(metadata!C130,"missing: restricted access"))),AND(IF(metadata!C130="",FALSE,ISNUMBER(VALUE(metadata!C130))),metadata!C130&gt;0))</f>
        <v>0</v>
      </c>
      <c r="AF130" t="b">
        <f>AND(IF(metadata!D130="",FALSE,TRUE),EXACT(metadata!D130,"missing: not provided"))</f>
        <v>0</v>
      </c>
      <c r="AG130" t="b">
        <f>AND(IF(metadata!E130="",FALSE,TRUE),EXACT(metadata!E130,"Host-associated"))</f>
        <v>0</v>
      </c>
      <c r="AH130" t="b">
        <f>AND(IF(metadata!F130="",FALSE,TRUE),OR(EXACT(metadata!F130,"Animal"),EXACT(metadata!F130,"Fungus"),EXACT(metadata!F130,"Plant")))</f>
        <v>0</v>
      </c>
      <c r="AI130" t="b">
        <f>AND(IF(metadata!G130="",FALSE,TRUE),OR(EXACT(metadata!G130,"Plant secretion"),EXACT(metadata!G130,"Plant rhizosphere"),EXACT(metadata!G130,"Plant surface"),EXACT(metadata!G130,"Plant corpus"),EXACT(metadata!G130,"Fungus surface"),EXACT(metadata!G130,"Fungus corpus"),EXACT(metadata!G130,"Animal surface"),EXACT(metadata!G130,"Animal proximal gut"),EXACT(metadata!G130,"Animal corpus"),EXACT(metadata!G130,"Animal distal gut"),EXACT(metadata!G130,"Animal secretion")))</f>
        <v>0</v>
      </c>
      <c r="AJ130" t="b">
        <f>OR(AND(IF(metadata!H130="",FALSE,TRUE),OR(EXACT(metadata!H130,"missing: not collected"),EXACT(metadata!H130,"missing: not provided"),EXACT(metadata!H130,"missing: restricted access"))),AND(IF(metadata!H130="",FALSE,TRUE),OR(EXACT(metadata!H130,"organism-associated habitat"),EXACT(metadata!H130,"plant-associated habitat"),EXACT(metadata!H130,"animal-associated habitat"),EXACT(metadata!H130,"insecta-associated habitat"),EXACT(metadata!H130,"mammalia-associated habitat"),EXACT(metadata!H130,"human-associated habitat"),EXACT(metadata!H130,"livestock-associated habitat"))))</f>
        <v>0</v>
      </c>
      <c r="AK130" t="b">
        <f>AND(IF(metadata!I130="",FALSE,TRUE),EXACT(metadata!I130,"host-associated"))</f>
        <v>0</v>
      </c>
      <c r="AL130" t="b">
        <f>OR(AND(IF(metadata!J130="",FALSE,TRUE),OR(EXACT(metadata!J130,"not applicable"),EXACT(metadata!J130,"missing: not collected"),EXACT(metadata!J130,"missing: not provided"),EXACT(metadata!J130,"missing: restricted access"))),AND(IF(metadata!J130="",FALSE,ISNUMBER(VALUE(metadata!J130))),metadata!J130&gt;0))</f>
        <v>0</v>
      </c>
      <c r="AM130" t="b">
        <f>AND(IF(metadata!K130="",FALSE,TRUE),EXACT(metadata!K130,"missing: not provided"))</f>
        <v>0</v>
      </c>
      <c r="AN130" t="b">
        <f>IF(metadata!L130="",FALSE,TRUE)</f>
        <v>0</v>
      </c>
      <c r="AO130" t="b">
        <f>IF(metadata!M130="",FALSE,TRUE)</f>
        <v>0</v>
      </c>
      <c r="AP130" t="b">
        <f>OR(AND(IF(metadata!N130="",FALSE,TRUE),OR(EXACT(metadata!N130,"not applicable"),EXACT(metadata!N130,"missing: not collected"),EXACT(metadata!N130,"missing: not provided"))),AND(IF(metadata!N130="",FALSE,IF(ISERROR(INT(metadata!N130)),FALSE,INT(metadata!N130)=metadata!N130)),metadata!N130&gt;0))</f>
        <v>0</v>
      </c>
      <c r="AQ130" t="b">
        <f>AND(IF(metadata!O130="",FALSE,TRUE),EXACT(metadata!O130,"Not applicable"))</f>
        <v>0</v>
      </c>
      <c r="AR130" t="b">
        <f>OR(AND(IF(metadata!P130="",FALSE,TRUE),OR(EXACT(metadata!P130,"not applicable"),EXACT(metadata!P130,"missing: not collected"),EXACT(metadata!P130,"missing: not provided"),EXACT(metadata!P130,"missing: restricted access"))),IF(metadata!P130="",FALSE,IF(ISERROR(INT(metadata!P130)),FALSE,INT(metadata!P130)=metadata!P130)))</f>
        <v>0</v>
      </c>
      <c r="AS130" t="b">
        <f>AND(IF(metadata!Q130="",FALSE,TRUE),EXACT(metadata!Q130,"Not applicable"))</f>
        <v>0</v>
      </c>
      <c r="AT130" t="b">
        <f>OR(AND(IF(metadata!R130="",FALSE,TRUE),OR(EXACT(metadata!R130,"not applicable"),EXACT(metadata!R130,"missing: not collected"),EXACT(metadata!R130,"missing: not provided"),EXACT(metadata!R130,"missing: restricted access"))),AND(IF(metadata!R130="",FALSE,ISNUMBER(VALUE(metadata!R130))),metadata!R130&gt;0))</f>
        <v>0</v>
      </c>
      <c r="AU130" t="b">
        <f>AND(IF(metadata!S130="",FALSE,TRUE),EXACT(metadata!S130,"missing: not provided"))</f>
        <v>0</v>
      </c>
    </row>
    <row r="131" spans="1:47" x14ac:dyDescent="0.2">
      <c r="A131" s="5" t="str">
        <f ca="1">IF(B131=" "," ",HYPERLINK(CONCATENATE("#metadata!",ADDRESS(INDEX($Y$2:$Y$1001,MATCH(ROWS($W$2:W131),$W$2:$W$1001,0),0),1)),INDEX($AB$2:$AB$1001,MATCH(ROWS($W$2:W131),$W$2:$W$1001,0),0)))</f>
        <v xml:space="preserve"> </v>
      </c>
      <c r="B131" s="4" t="str">
        <f ca="1">IF(OR(INDEX($X$2:$X$1001,MATCH(ROWS($W$2:W131),$W$2:$W$1001,0),1)&gt;=100000,INDEX($AD$1005:$AU$1005,1,MATCH(COLUMNS($AD$1006:AD1006),$AD$1006:$AU$1006,0))&gt;=100000), " ",IF(INDEX($AD$2:$AU$1001,MATCH(ROWS($W$2:W131),$W$2:$W$1001,0),MATCH(COLUMNS($AD$1006:AD1006),$AD$1006:$AU$1006,0)), HYPERLINK("#",""), HYPERLINK(CONCATENATE("#metadata!", ADDRESS(INDEX($Y$2:$Y$1001,MATCH(ROWS($W$2:W131),$W$2:$W$1001,0),0), INDEX($AD$1004:$AU$1004,1,MATCH(COLUMNS($AD$1006:AD1006),$AD$1006:$AU$1006,0)))),"Fix")))</f>
        <v xml:space="preserve"> </v>
      </c>
      <c r="C131" s="4" t="str">
        <f ca="1">IF(OR(INDEX($X$2:$X$1001,MATCH(ROWS($W$2:W131),$W$2:$W$1001,0),1)&gt;=100000,INDEX($AD$1005:$AU$1005,1,MATCH(COLUMNS($AD$1006:AE1006),$AD$1006:$AU$1006,0))&gt;=100000), " ",IF(INDEX($AD$2:$AU$1001,MATCH(ROWS($W$2:W131),$W$2:$W$1001,0),MATCH(COLUMNS($AD$1006:AE1006),$AD$1006:$AU$1006,0)), HYPERLINK("#",""), HYPERLINK(CONCATENATE("#metadata!", ADDRESS(INDEX($Y$2:$Y$1001,MATCH(ROWS($W$2:W131),$W$2:$W$1001,0),0), INDEX($AD$1004:$AU$1004,1,MATCH(COLUMNS($AD$1006:AE1006),$AD$1006:$AU$1006,0)))),"Fix")))</f>
        <v xml:space="preserve"> </v>
      </c>
      <c r="D131" s="4" t="str">
        <f ca="1">IF(OR(INDEX($X$2:$X$1001,MATCH(ROWS($W$2:W131),$W$2:$W$1001,0),1)&gt;=100000,INDEX($AD$1005:$AU$1005,1,MATCH(COLUMNS($AD$1006:AF1006),$AD$1006:$AU$1006,0))&gt;=100000), " ",IF(INDEX($AD$2:$AU$1001,MATCH(ROWS($W$2:W131),$W$2:$W$1001,0),MATCH(COLUMNS($AD$1006:AF1006),$AD$1006:$AU$1006,0)), HYPERLINK("#",""), HYPERLINK(CONCATENATE("#metadata!", ADDRESS(INDEX($Y$2:$Y$1001,MATCH(ROWS($W$2:W131),$W$2:$W$1001,0),0), INDEX($AD$1004:$AU$1004,1,MATCH(COLUMNS($AD$1006:AF1006),$AD$1006:$AU$1006,0)))),"Fix")))</f>
        <v xml:space="preserve"> </v>
      </c>
      <c r="E131" s="4" t="str">
        <f ca="1">IF(OR(INDEX($X$2:$X$1001,MATCH(ROWS($W$2:W131),$W$2:$W$1001,0),1)&gt;=100000,INDEX($AD$1005:$AU$1005,1,MATCH(COLUMNS($AD$1006:AG1006),$AD$1006:$AU$1006,0))&gt;=100000), " ",IF(INDEX($AD$2:$AU$1001,MATCH(ROWS($W$2:W131),$W$2:$W$1001,0),MATCH(COLUMNS($AD$1006:AG1006),$AD$1006:$AU$1006,0)), HYPERLINK("#",""), HYPERLINK(CONCATENATE("#metadata!", ADDRESS(INDEX($Y$2:$Y$1001,MATCH(ROWS($W$2:W131),$W$2:$W$1001,0),0), INDEX($AD$1004:$AU$1004,1,MATCH(COLUMNS($AD$1006:AG1006),$AD$1006:$AU$1006,0)))),"Fix")))</f>
        <v xml:space="preserve"> </v>
      </c>
      <c r="F131" s="4" t="str">
        <f ca="1">IF(OR(INDEX($X$2:$X$1001,MATCH(ROWS($W$2:W131),$W$2:$W$1001,0),1)&gt;=100000,INDEX($AD$1005:$AU$1005,1,MATCH(COLUMNS($AD$1006:AH1006),$AD$1006:$AU$1006,0))&gt;=100000), " ",IF(INDEX($AD$2:$AU$1001,MATCH(ROWS($W$2:W131),$W$2:$W$1001,0),MATCH(COLUMNS($AD$1006:AH1006),$AD$1006:$AU$1006,0)), HYPERLINK("#",""), HYPERLINK(CONCATENATE("#metadata!", ADDRESS(INDEX($Y$2:$Y$1001,MATCH(ROWS($W$2:W131),$W$2:$W$1001,0),0), INDEX($AD$1004:$AU$1004,1,MATCH(COLUMNS($AD$1006:AH1006),$AD$1006:$AU$1006,0)))),"Fix")))</f>
        <v xml:space="preserve"> </v>
      </c>
      <c r="G131" s="4" t="str">
        <f ca="1">IF(OR(INDEX($X$2:$X$1001,MATCH(ROWS($W$2:W131),$W$2:$W$1001,0),1)&gt;=100000,INDEX($AD$1005:$AU$1005,1,MATCH(COLUMNS($AD$1006:AI1006),$AD$1006:$AU$1006,0))&gt;=100000), " ",IF(INDEX($AD$2:$AU$1001,MATCH(ROWS($W$2:W131),$W$2:$W$1001,0),MATCH(COLUMNS($AD$1006:AI1006),$AD$1006:$AU$1006,0)), HYPERLINK("#",""), HYPERLINK(CONCATENATE("#metadata!", ADDRESS(INDEX($Y$2:$Y$1001,MATCH(ROWS($W$2:W131),$W$2:$W$1001,0),0), INDEX($AD$1004:$AU$1004,1,MATCH(COLUMNS($AD$1006:AI1006),$AD$1006:$AU$1006,0)))),"Fix")))</f>
        <v xml:space="preserve"> </v>
      </c>
      <c r="H131" s="4" t="str">
        <f ca="1">IF(OR(INDEX($X$2:$X$1001,MATCH(ROWS($W$2:W131),$W$2:$W$1001,0),1)&gt;=100000,INDEX($AD$1005:$AU$1005,1,MATCH(COLUMNS($AD$1006:AJ1006),$AD$1006:$AU$1006,0))&gt;=100000), " ",IF(INDEX($AD$2:$AU$1001,MATCH(ROWS($W$2:W131),$W$2:$W$1001,0),MATCH(COLUMNS($AD$1006:AJ1006),$AD$1006:$AU$1006,0)), HYPERLINK("#",""), HYPERLINK(CONCATENATE("#metadata!", ADDRESS(INDEX($Y$2:$Y$1001,MATCH(ROWS($W$2:W131),$W$2:$W$1001,0),0), INDEX($AD$1004:$AU$1004,1,MATCH(COLUMNS($AD$1006:AJ1006),$AD$1006:$AU$1006,0)))),"Fix")))</f>
        <v xml:space="preserve"> </v>
      </c>
      <c r="I131" s="4" t="str">
        <f ca="1">IF(OR(INDEX($X$2:$X$1001,MATCH(ROWS($W$2:W131),$W$2:$W$1001,0),1)&gt;=100000,INDEX($AD$1005:$AU$1005,1,MATCH(COLUMNS($AD$1006:AK1006),$AD$1006:$AU$1006,0))&gt;=100000), " ",IF(INDEX($AD$2:$AU$1001,MATCH(ROWS($W$2:W131),$W$2:$W$1001,0),MATCH(COLUMNS($AD$1006:AK1006),$AD$1006:$AU$1006,0)), HYPERLINK("#",""), HYPERLINK(CONCATENATE("#metadata!", ADDRESS(INDEX($Y$2:$Y$1001,MATCH(ROWS($W$2:W131),$W$2:$W$1001,0),0), INDEX($AD$1004:$AU$1004,1,MATCH(COLUMNS($AD$1006:AK1006),$AD$1006:$AU$1006,0)))),"Fix")))</f>
        <v xml:space="preserve"> </v>
      </c>
      <c r="J131" s="4" t="str">
        <f ca="1">IF(OR(INDEX($X$2:$X$1001,MATCH(ROWS($W$2:W131),$W$2:$W$1001,0),1)&gt;=100000,INDEX($AD$1005:$AU$1005,1,MATCH(COLUMNS($AD$1006:AL1006),$AD$1006:$AU$1006,0))&gt;=100000), " ",IF(INDEX($AD$2:$AU$1001,MATCH(ROWS($W$2:W131),$W$2:$W$1001,0),MATCH(COLUMNS($AD$1006:AL1006),$AD$1006:$AU$1006,0)), HYPERLINK("#",""), HYPERLINK(CONCATENATE("#metadata!", ADDRESS(INDEX($Y$2:$Y$1001,MATCH(ROWS($W$2:W131),$W$2:$W$1001,0),0), INDEX($AD$1004:$AU$1004,1,MATCH(COLUMNS($AD$1006:AL1006),$AD$1006:$AU$1006,0)))),"Fix")))</f>
        <v xml:space="preserve"> </v>
      </c>
      <c r="K131" s="4" t="str">
        <f ca="1">IF(OR(INDEX($X$2:$X$1001,MATCH(ROWS($W$2:W131),$W$2:$W$1001,0),1)&gt;=100000,INDEX($AD$1005:$AU$1005,1,MATCH(COLUMNS($AD$1006:AM1006),$AD$1006:$AU$1006,0))&gt;=100000), " ",IF(INDEX($AD$2:$AU$1001,MATCH(ROWS($W$2:W131),$W$2:$W$1001,0),MATCH(COLUMNS($AD$1006:AM1006),$AD$1006:$AU$1006,0)), HYPERLINK("#",""), HYPERLINK(CONCATENATE("#metadata!", ADDRESS(INDEX($Y$2:$Y$1001,MATCH(ROWS($W$2:W131),$W$2:$W$1001,0),0), INDEX($AD$1004:$AU$1004,1,MATCH(COLUMNS($AD$1006:AM1006),$AD$1006:$AU$1006,0)))),"Fix")))</f>
        <v xml:space="preserve"> </v>
      </c>
      <c r="L131" s="4" t="str">
        <f ca="1">IF(OR(INDEX($X$2:$X$1001,MATCH(ROWS($W$2:W131),$W$2:$W$1001,0),1)&gt;=100000,INDEX($AD$1005:$AU$1005,1,MATCH(COLUMNS($AD$1006:AN1006),$AD$1006:$AU$1006,0))&gt;=100000), " ",IF(INDEX($AD$2:$AU$1001,MATCH(ROWS($W$2:W131),$W$2:$W$1001,0),MATCH(COLUMNS($AD$1006:AN1006),$AD$1006:$AU$1006,0)), HYPERLINK("#",""), HYPERLINK(CONCATENATE("#metadata!", ADDRESS(INDEX($Y$2:$Y$1001,MATCH(ROWS($W$2:W131),$W$2:$W$1001,0),0), INDEX($AD$1004:$AU$1004,1,MATCH(COLUMNS($AD$1006:AN1006),$AD$1006:$AU$1006,0)))),"Fix")))</f>
        <v xml:space="preserve"> </v>
      </c>
      <c r="M131" s="4" t="str">
        <f ca="1">IF(OR(INDEX($X$2:$X$1001,MATCH(ROWS($W$2:W131),$W$2:$W$1001,0),1)&gt;=100000,INDEX($AD$1005:$AU$1005,1,MATCH(COLUMNS($AD$1006:AO1006),$AD$1006:$AU$1006,0))&gt;=100000), " ",IF(INDEX($AD$2:$AU$1001,MATCH(ROWS($W$2:W131),$W$2:$W$1001,0),MATCH(COLUMNS($AD$1006:AO1006),$AD$1006:$AU$1006,0)), HYPERLINK("#",""), HYPERLINK(CONCATENATE("#metadata!", ADDRESS(INDEX($Y$2:$Y$1001,MATCH(ROWS($W$2:W131),$W$2:$W$1001,0),0), INDEX($AD$1004:$AU$1004,1,MATCH(COLUMNS($AD$1006:AO1006),$AD$1006:$AU$1006,0)))),"Fix")))</f>
        <v xml:space="preserve"> </v>
      </c>
      <c r="N131" s="4" t="str">
        <f ca="1">IF(OR(INDEX($X$2:$X$1001,MATCH(ROWS($W$2:W131),$W$2:$W$1001,0),1)&gt;=100000,INDEX($AD$1005:$AU$1005,1,MATCH(COLUMNS($AD$1006:AP1006),$AD$1006:$AU$1006,0))&gt;=100000), " ",IF(INDEX($AD$2:$AU$1001,MATCH(ROWS($W$2:W131),$W$2:$W$1001,0),MATCH(COLUMNS($AD$1006:AP1006),$AD$1006:$AU$1006,0)), HYPERLINK("#",""), HYPERLINK(CONCATENATE("#metadata!", ADDRESS(INDEX($Y$2:$Y$1001,MATCH(ROWS($W$2:W131),$W$2:$W$1001,0),0), INDEX($AD$1004:$AU$1004,1,MATCH(COLUMNS($AD$1006:AP1006),$AD$1006:$AU$1006,0)))),"Fix")))</f>
        <v xml:space="preserve"> </v>
      </c>
      <c r="O131" s="4" t="str">
        <f ca="1">IF(OR(INDEX($X$2:$X$1001,MATCH(ROWS($W$2:W131),$W$2:$W$1001,0),1)&gt;=100000,INDEX($AD$1005:$AU$1005,1,MATCH(COLUMNS($AD$1006:AQ1006),$AD$1006:$AU$1006,0))&gt;=100000), " ",IF(INDEX($AD$2:$AU$1001,MATCH(ROWS($W$2:W131),$W$2:$W$1001,0),MATCH(COLUMNS($AD$1006:AQ1006),$AD$1006:$AU$1006,0)), HYPERLINK("#",""), HYPERLINK(CONCATENATE("#metadata!", ADDRESS(INDEX($Y$2:$Y$1001,MATCH(ROWS($W$2:W131),$W$2:$W$1001,0),0), INDEX($AD$1004:$AU$1004,1,MATCH(COLUMNS($AD$1006:AQ1006),$AD$1006:$AU$1006,0)))),"Fix")))</f>
        <v xml:space="preserve"> </v>
      </c>
      <c r="P131" s="4" t="str">
        <f ca="1">IF(OR(INDEX($X$2:$X$1001,MATCH(ROWS($W$2:W131),$W$2:$W$1001,0),1)&gt;=100000,INDEX($AD$1005:$AU$1005,1,MATCH(COLUMNS($AD$1006:AR1006),$AD$1006:$AU$1006,0))&gt;=100000), " ",IF(INDEX($AD$2:$AU$1001,MATCH(ROWS($W$2:W131),$W$2:$W$1001,0),MATCH(COLUMNS($AD$1006:AR1006),$AD$1006:$AU$1006,0)), HYPERLINK("#",""), HYPERLINK(CONCATENATE("#metadata!", ADDRESS(INDEX($Y$2:$Y$1001,MATCH(ROWS($W$2:W131),$W$2:$W$1001,0),0), INDEX($AD$1004:$AU$1004,1,MATCH(COLUMNS($AD$1006:AR1006),$AD$1006:$AU$1006,0)))),"Fix")))</f>
        <v xml:space="preserve"> </v>
      </c>
      <c r="Q131" s="4" t="str">
        <f ca="1">IF(OR(INDEX($X$2:$X$1001,MATCH(ROWS($W$2:W131),$W$2:$W$1001,0),1)&gt;=100000,INDEX($AD$1005:$AU$1005,1,MATCH(COLUMNS($AD$1006:AS1006),$AD$1006:$AU$1006,0))&gt;=100000), " ",IF(INDEX($AD$2:$AU$1001,MATCH(ROWS($W$2:W131),$W$2:$W$1001,0),MATCH(COLUMNS($AD$1006:AS1006),$AD$1006:$AU$1006,0)), HYPERLINK("#",""), HYPERLINK(CONCATENATE("#metadata!", ADDRESS(INDEX($Y$2:$Y$1001,MATCH(ROWS($W$2:W131),$W$2:$W$1001,0),0), INDEX($AD$1004:$AU$1004,1,MATCH(COLUMNS($AD$1006:AS1006),$AD$1006:$AU$1006,0)))),"Fix")))</f>
        <v xml:space="preserve"> </v>
      </c>
      <c r="R131" s="4" t="str">
        <f ca="1">IF(OR(INDEX($X$2:$X$1001,MATCH(ROWS($W$2:W131),$W$2:$W$1001,0),1)&gt;=100000,INDEX($AD$1005:$AU$1005,1,MATCH(COLUMNS($AD$1006:AT1006),$AD$1006:$AU$1006,0))&gt;=100000), " ",IF(INDEX($AD$2:$AU$1001,MATCH(ROWS($W$2:W131),$W$2:$W$1001,0),MATCH(COLUMNS($AD$1006:AT1006),$AD$1006:$AU$1006,0)), HYPERLINK("#",""), HYPERLINK(CONCATENATE("#metadata!", ADDRESS(INDEX($Y$2:$Y$1001,MATCH(ROWS($W$2:W131),$W$2:$W$1001,0),0), INDEX($AD$1004:$AU$1004,1,MATCH(COLUMNS($AD$1006:AT1006),$AD$1006:$AU$1006,0)))),"Fix")))</f>
        <v xml:space="preserve"> </v>
      </c>
      <c r="S131" s="4" t="str">
        <f ca="1">IF(OR(INDEX($X$2:$X$1001,MATCH(ROWS($W$2:W131),$W$2:$W$1001,0),1)&gt;=100000,INDEX($AD$1005:$AU$1005,1,MATCH(COLUMNS($AD$1006:AU1006),$AD$1006:$AU$1006,0))&gt;=100000), " ",IF(INDEX($AD$2:$AU$1001,MATCH(ROWS($W$2:W131),$W$2:$W$1001,0),MATCH(COLUMNS($AD$1006:AU1006),$AD$1006:$AU$1006,0)), HYPERLINK("#",""), HYPERLINK(CONCATENATE("#metadata!", ADDRESS(INDEX($Y$2:$Y$1001,MATCH(ROWS($W$2:W131),$W$2:$W$1001,0),0), INDEX($AD$1004:$AU$1004,1,MATCH(COLUMNS($AD$1006:AU1006),$AD$1006:$AU$1006,0)))),"Fix")))</f>
        <v xml:space="preserve"> </v>
      </c>
      <c r="W131">
        <v>130</v>
      </c>
      <c r="X131">
        <v>100131</v>
      </c>
      <c r="Y131">
        <v>131</v>
      </c>
      <c r="Z131" t="b">
        <f t="shared" si="2"/>
        <v>1</v>
      </c>
      <c r="AA131" t="b">
        <f>COUNTBLANK(metadata!B131:S131)=COLUMNS(metadata!B131:S131)</f>
        <v>1</v>
      </c>
      <c r="AB131" t="str">
        <v/>
      </c>
      <c r="AD131" t="b">
        <f ca="1">AND(IF(metadata!B131="",FALSE,TRUE),COUNTIF(metadata!B:B, metadata!B131) = 1,NOT(ISERROR(SUMPRODUCT(SEARCH(MID(metadata!B131,ROW(INDIRECT("1:"&amp;LEN(metadata!B131))), 1),"0123456789abcdefghijklmnopqrstuvwxyzABCDEFGHIJKLMNOPQRSTUVWXYZ.")))))</f>
        <v>0</v>
      </c>
      <c r="AE131" t="b">
        <f>OR(AND(IF(metadata!C131="",FALSE,TRUE),OR(EXACT(metadata!C131,"not applicable"),EXACT(metadata!C131,"missing: not collected"),EXACT(metadata!C131,"missing: not provided"),EXACT(metadata!C131,"missing: restricted access"))),AND(IF(metadata!C131="",FALSE,ISNUMBER(VALUE(metadata!C131))),metadata!C131&gt;0))</f>
        <v>0</v>
      </c>
      <c r="AF131" t="b">
        <f>AND(IF(metadata!D131="",FALSE,TRUE),EXACT(metadata!D131,"missing: not provided"))</f>
        <v>0</v>
      </c>
      <c r="AG131" t="b">
        <f>AND(IF(metadata!E131="",FALSE,TRUE),EXACT(metadata!E131,"Host-associated"))</f>
        <v>0</v>
      </c>
      <c r="AH131" t="b">
        <f>AND(IF(metadata!F131="",FALSE,TRUE),OR(EXACT(metadata!F131,"Animal"),EXACT(metadata!F131,"Fungus"),EXACT(metadata!F131,"Plant")))</f>
        <v>0</v>
      </c>
      <c r="AI131" t="b">
        <f>AND(IF(metadata!G131="",FALSE,TRUE),OR(EXACT(metadata!G131,"Plant secretion"),EXACT(metadata!G131,"Plant rhizosphere"),EXACT(metadata!G131,"Plant surface"),EXACT(metadata!G131,"Plant corpus"),EXACT(metadata!G131,"Fungus surface"),EXACT(metadata!G131,"Fungus corpus"),EXACT(metadata!G131,"Animal surface"),EXACT(metadata!G131,"Animal proximal gut"),EXACT(metadata!G131,"Animal corpus"),EXACT(metadata!G131,"Animal distal gut"),EXACT(metadata!G131,"Animal secretion")))</f>
        <v>0</v>
      </c>
      <c r="AJ131" t="b">
        <f>OR(AND(IF(metadata!H131="",FALSE,TRUE),OR(EXACT(metadata!H131,"missing: not collected"),EXACT(metadata!H131,"missing: not provided"),EXACT(metadata!H131,"missing: restricted access"))),AND(IF(metadata!H131="",FALSE,TRUE),OR(EXACT(metadata!H131,"organism-associated habitat"),EXACT(metadata!H131,"plant-associated habitat"),EXACT(metadata!H131,"animal-associated habitat"),EXACT(metadata!H131,"insecta-associated habitat"),EXACT(metadata!H131,"mammalia-associated habitat"),EXACT(metadata!H131,"human-associated habitat"),EXACT(metadata!H131,"livestock-associated habitat"))))</f>
        <v>0</v>
      </c>
      <c r="AK131" t="b">
        <f>AND(IF(metadata!I131="",FALSE,TRUE),EXACT(metadata!I131,"host-associated"))</f>
        <v>0</v>
      </c>
      <c r="AL131" t="b">
        <f>OR(AND(IF(metadata!J131="",FALSE,TRUE),OR(EXACT(metadata!J131,"not applicable"),EXACT(metadata!J131,"missing: not collected"),EXACT(metadata!J131,"missing: not provided"),EXACT(metadata!J131,"missing: restricted access"))),AND(IF(metadata!J131="",FALSE,ISNUMBER(VALUE(metadata!J131))),metadata!J131&gt;0))</f>
        <v>0</v>
      </c>
      <c r="AM131" t="b">
        <f>AND(IF(metadata!K131="",FALSE,TRUE),EXACT(metadata!K131,"missing: not provided"))</f>
        <v>0</v>
      </c>
      <c r="AN131" t="b">
        <f>IF(metadata!L131="",FALSE,TRUE)</f>
        <v>0</v>
      </c>
      <c r="AO131" t="b">
        <f>IF(metadata!M131="",FALSE,TRUE)</f>
        <v>0</v>
      </c>
      <c r="AP131" t="b">
        <f>OR(AND(IF(metadata!N131="",FALSE,TRUE),OR(EXACT(metadata!N131,"not applicable"),EXACT(metadata!N131,"missing: not collected"),EXACT(metadata!N131,"missing: not provided"))),AND(IF(metadata!N131="",FALSE,IF(ISERROR(INT(metadata!N131)),FALSE,INT(metadata!N131)=metadata!N131)),metadata!N131&gt;0))</f>
        <v>0</v>
      </c>
      <c r="AQ131" t="b">
        <f>AND(IF(metadata!O131="",FALSE,TRUE),EXACT(metadata!O131,"Not applicable"))</f>
        <v>0</v>
      </c>
      <c r="AR131" t="b">
        <f>OR(AND(IF(metadata!P131="",FALSE,TRUE),OR(EXACT(metadata!P131,"not applicable"),EXACT(metadata!P131,"missing: not collected"),EXACT(metadata!P131,"missing: not provided"),EXACT(metadata!P131,"missing: restricted access"))),IF(metadata!P131="",FALSE,IF(ISERROR(INT(metadata!P131)),FALSE,INT(metadata!P131)=metadata!P131)))</f>
        <v>0</v>
      </c>
      <c r="AS131" t="b">
        <f>AND(IF(metadata!Q131="",FALSE,TRUE),EXACT(metadata!Q131,"Not applicable"))</f>
        <v>0</v>
      </c>
      <c r="AT131" t="b">
        <f>OR(AND(IF(metadata!R131="",FALSE,TRUE),OR(EXACT(metadata!R131,"not applicable"),EXACT(metadata!R131,"missing: not collected"),EXACT(metadata!R131,"missing: not provided"),EXACT(metadata!R131,"missing: restricted access"))),AND(IF(metadata!R131="",FALSE,ISNUMBER(VALUE(metadata!R131))),metadata!R131&gt;0))</f>
        <v>0</v>
      </c>
      <c r="AU131" t="b">
        <f>AND(IF(metadata!S131="",FALSE,TRUE),EXACT(metadata!S131,"missing: not provided"))</f>
        <v>0</v>
      </c>
    </row>
    <row r="132" spans="1:47" x14ac:dyDescent="0.2">
      <c r="A132" s="5" t="str">
        <f ca="1">IF(B132=" "," ",HYPERLINK(CONCATENATE("#metadata!",ADDRESS(INDEX($Y$2:$Y$1001,MATCH(ROWS($W$2:W132),$W$2:$W$1001,0),0),1)),INDEX($AB$2:$AB$1001,MATCH(ROWS($W$2:W132),$W$2:$W$1001,0),0)))</f>
        <v xml:space="preserve"> </v>
      </c>
      <c r="B132" s="4" t="str">
        <f ca="1">IF(OR(INDEX($X$2:$X$1001,MATCH(ROWS($W$2:W132),$W$2:$W$1001,0),1)&gt;=100000,INDEX($AD$1005:$AU$1005,1,MATCH(COLUMNS($AD$1006:AD1006),$AD$1006:$AU$1006,0))&gt;=100000), " ",IF(INDEX($AD$2:$AU$1001,MATCH(ROWS($W$2:W132),$W$2:$W$1001,0),MATCH(COLUMNS($AD$1006:AD1006),$AD$1006:$AU$1006,0)), HYPERLINK("#",""), HYPERLINK(CONCATENATE("#metadata!", ADDRESS(INDEX($Y$2:$Y$1001,MATCH(ROWS($W$2:W132),$W$2:$W$1001,0),0), INDEX($AD$1004:$AU$1004,1,MATCH(COLUMNS($AD$1006:AD1006),$AD$1006:$AU$1006,0)))),"Fix")))</f>
        <v xml:space="preserve"> </v>
      </c>
      <c r="C132" s="4" t="str">
        <f ca="1">IF(OR(INDEX($X$2:$X$1001,MATCH(ROWS($W$2:W132),$W$2:$W$1001,0),1)&gt;=100000,INDEX($AD$1005:$AU$1005,1,MATCH(COLUMNS($AD$1006:AE1006),$AD$1006:$AU$1006,0))&gt;=100000), " ",IF(INDEX($AD$2:$AU$1001,MATCH(ROWS($W$2:W132),$W$2:$W$1001,0),MATCH(COLUMNS($AD$1006:AE1006),$AD$1006:$AU$1006,0)), HYPERLINK("#",""), HYPERLINK(CONCATENATE("#metadata!", ADDRESS(INDEX($Y$2:$Y$1001,MATCH(ROWS($W$2:W132),$W$2:$W$1001,0),0), INDEX($AD$1004:$AU$1004,1,MATCH(COLUMNS($AD$1006:AE1006),$AD$1006:$AU$1006,0)))),"Fix")))</f>
        <v xml:space="preserve"> </v>
      </c>
      <c r="D132" s="4" t="str">
        <f ca="1">IF(OR(INDEX($X$2:$X$1001,MATCH(ROWS($W$2:W132),$W$2:$W$1001,0),1)&gt;=100000,INDEX($AD$1005:$AU$1005,1,MATCH(COLUMNS($AD$1006:AF1006),$AD$1006:$AU$1006,0))&gt;=100000), " ",IF(INDEX($AD$2:$AU$1001,MATCH(ROWS($W$2:W132),$W$2:$W$1001,0),MATCH(COLUMNS($AD$1006:AF1006),$AD$1006:$AU$1006,0)), HYPERLINK("#",""), HYPERLINK(CONCATENATE("#metadata!", ADDRESS(INDEX($Y$2:$Y$1001,MATCH(ROWS($W$2:W132),$W$2:$W$1001,0),0), INDEX($AD$1004:$AU$1004,1,MATCH(COLUMNS($AD$1006:AF1006),$AD$1006:$AU$1006,0)))),"Fix")))</f>
        <v xml:space="preserve"> </v>
      </c>
      <c r="E132" s="4" t="str">
        <f ca="1">IF(OR(INDEX($X$2:$X$1001,MATCH(ROWS($W$2:W132),$W$2:$W$1001,0),1)&gt;=100000,INDEX($AD$1005:$AU$1005,1,MATCH(COLUMNS($AD$1006:AG1006),$AD$1006:$AU$1006,0))&gt;=100000), " ",IF(INDEX($AD$2:$AU$1001,MATCH(ROWS($W$2:W132),$W$2:$W$1001,0),MATCH(COLUMNS($AD$1006:AG1006),$AD$1006:$AU$1006,0)), HYPERLINK("#",""), HYPERLINK(CONCATENATE("#metadata!", ADDRESS(INDEX($Y$2:$Y$1001,MATCH(ROWS($W$2:W132),$W$2:$W$1001,0),0), INDEX($AD$1004:$AU$1004,1,MATCH(COLUMNS($AD$1006:AG1006),$AD$1006:$AU$1006,0)))),"Fix")))</f>
        <v xml:space="preserve"> </v>
      </c>
      <c r="F132" s="4" t="str">
        <f ca="1">IF(OR(INDEX($X$2:$X$1001,MATCH(ROWS($W$2:W132),$W$2:$W$1001,0),1)&gt;=100000,INDEX($AD$1005:$AU$1005,1,MATCH(COLUMNS($AD$1006:AH1006),$AD$1006:$AU$1006,0))&gt;=100000), " ",IF(INDEX($AD$2:$AU$1001,MATCH(ROWS($W$2:W132),$W$2:$W$1001,0),MATCH(COLUMNS($AD$1006:AH1006),$AD$1006:$AU$1006,0)), HYPERLINK("#",""), HYPERLINK(CONCATENATE("#metadata!", ADDRESS(INDEX($Y$2:$Y$1001,MATCH(ROWS($W$2:W132),$W$2:$W$1001,0),0), INDEX($AD$1004:$AU$1004,1,MATCH(COLUMNS($AD$1006:AH1006),$AD$1006:$AU$1006,0)))),"Fix")))</f>
        <v xml:space="preserve"> </v>
      </c>
      <c r="G132" s="4" t="str">
        <f ca="1">IF(OR(INDEX($X$2:$X$1001,MATCH(ROWS($W$2:W132),$W$2:$W$1001,0),1)&gt;=100000,INDEX($AD$1005:$AU$1005,1,MATCH(COLUMNS($AD$1006:AI1006),$AD$1006:$AU$1006,0))&gt;=100000), " ",IF(INDEX($AD$2:$AU$1001,MATCH(ROWS($W$2:W132),$W$2:$W$1001,0),MATCH(COLUMNS($AD$1006:AI1006),$AD$1006:$AU$1006,0)), HYPERLINK("#",""), HYPERLINK(CONCATENATE("#metadata!", ADDRESS(INDEX($Y$2:$Y$1001,MATCH(ROWS($W$2:W132),$W$2:$W$1001,0),0), INDEX($AD$1004:$AU$1004,1,MATCH(COLUMNS($AD$1006:AI1006),$AD$1006:$AU$1006,0)))),"Fix")))</f>
        <v xml:space="preserve"> </v>
      </c>
      <c r="H132" s="4" t="str">
        <f ca="1">IF(OR(INDEX($X$2:$X$1001,MATCH(ROWS($W$2:W132),$W$2:$W$1001,0),1)&gt;=100000,INDEX($AD$1005:$AU$1005,1,MATCH(COLUMNS($AD$1006:AJ1006),$AD$1006:$AU$1006,0))&gt;=100000), " ",IF(INDEX($AD$2:$AU$1001,MATCH(ROWS($W$2:W132),$W$2:$W$1001,0),MATCH(COLUMNS($AD$1006:AJ1006),$AD$1006:$AU$1006,0)), HYPERLINK("#",""), HYPERLINK(CONCATENATE("#metadata!", ADDRESS(INDEX($Y$2:$Y$1001,MATCH(ROWS($W$2:W132),$W$2:$W$1001,0),0), INDEX($AD$1004:$AU$1004,1,MATCH(COLUMNS($AD$1006:AJ1006),$AD$1006:$AU$1006,0)))),"Fix")))</f>
        <v xml:space="preserve"> </v>
      </c>
      <c r="I132" s="4" t="str">
        <f ca="1">IF(OR(INDEX($X$2:$X$1001,MATCH(ROWS($W$2:W132),$W$2:$W$1001,0),1)&gt;=100000,INDEX($AD$1005:$AU$1005,1,MATCH(COLUMNS($AD$1006:AK1006),$AD$1006:$AU$1006,0))&gt;=100000), " ",IF(INDEX($AD$2:$AU$1001,MATCH(ROWS($W$2:W132),$W$2:$W$1001,0),MATCH(COLUMNS($AD$1006:AK1006),$AD$1006:$AU$1006,0)), HYPERLINK("#",""), HYPERLINK(CONCATENATE("#metadata!", ADDRESS(INDEX($Y$2:$Y$1001,MATCH(ROWS($W$2:W132),$W$2:$W$1001,0),0), INDEX($AD$1004:$AU$1004,1,MATCH(COLUMNS($AD$1006:AK1006),$AD$1006:$AU$1006,0)))),"Fix")))</f>
        <v xml:space="preserve"> </v>
      </c>
      <c r="J132" s="4" t="str">
        <f ca="1">IF(OR(INDEX($X$2:$X$1001,MATCH(ROWS($W$2:W132),$W$2:$W$1001,0),1)&gt;=100000,INDEX($AD$1005:$AU$1005,1,MATCH(COLUMNS($AD$1006:AL1006),$AD$1006:$AU$1006,0))&gt;=100000), " ",IF(INDEX($AD$2:$AU$1001,MATCH(ROWS($W$2:W132),$W$2:$W$1001,0),MATCH(COLUMNS($AD$1006:AL1006),$AD$1006:$AU$1006,0)), HYPERLINK("#",""), HYPERLINK(CONCATENATE("#metadata!", ADDRESS(INDEX($Y$2:$Y$1001,MATCH(ROWS($W$2:W132),$W$2:$W$1001,0),0), INDEX($AD$1004:$AU$1004,1,MATCH(COLUMNS($AD$1006:AL1006),$AD$1006:$AU$1006,0)))),"Fix")))</f>
        <v xml:space="preserve"> </v>
      </c>
      <c r="K132" s="4" t="str">
        <f ca="1">IF(OR(INDEX($X$2:$X$1001,MATCH(ROWS($W$2:W132),$W$2:$W$1001,0),1)&gt;=100000,INDEX($AD$1005:$AU$1005,1,MATCH(COLUMNS($AD$1006:AM1006),$AD$1006:$AU$1006,0))&gt;=100000), " ",IF(INDEX($AD$2:$AU$1001,MATCH(ROWS($W$2:W132),$W$2:$W$1001,0),MATCH(COLUMNS($AD$1006:AM1006),$AD$1006:$AU$1006,0)), HYPERLINK("#",""), HYPERLINK(CONCATENATE("#metadata!", ADDRESS(INDEX($Y$2:$Y$1001,MATCH(ROWS($W$2:W132),$W$2:$W$1001,0),0), INDEX($AD$1004:$AU$1004,1,MATCH(COLUMNS($AD$1006:AM1006),$AD$1006:$AU$1006,0)))),"Fix")))</f>
        <v xml:space="preserve"> </v>
      </c>
      <c r="L132" s="4" t="str">
        <f ca="1">IF(OR(INDEX($X$2:$X$1001,MATCH(ROWS($W$2:W132),$W$2:$W$1001,0),1)&gt;=100000,INDEX($AD$1005:$AU$1005,1,MATCH(COLUMNS($AD$1006:AN1006),$AD$1006:$AU$1006,0))&gt;=100000), " ",IF(INDEX($AD$2:$AU$1001,MATCH(ROWS($W$2:W132),$W$2:$W$1001,0),MATCH(COLUMNS($AD$1006:AN1006),$AD$1006:$AU$1006,0)), HYPERLINK("#",""), HYPERLINK(CONCATENATE("#metadata!", ADDRESS(INDEX($Y$2:$Y$1001,MATCH(ROWS($W$2:W132),$W$2:$W$1001,0),0), INDEX($AD$1004:$AU$1004,1,MATCH(COLUMNS($AD$1006:AN1006),$AD$1006:$AU$1006,0)))),"Fix")))</f>
        <v xml:space="preserve"> </v>
      </c>
      <c r="M132" s="4" t="str">
        <f ca="1">IF(OR(INDEX($X$2:$X$1001,MATCH(ROWS($W$2:W132),$W$2:$W$1001,0),1)&gt;=100000,INDEX($AD$1005:$AU$1005,1,MATCH(COLUMNS($AD$1006:AO1006),$AD$1006:$AU$1006,0))&gt;=100000), " ",IF(INDEX($AD$2:$AU$1001,MATCH(ROWS($W$2:W132),$W$2:$W$1001,0),MATCH(COLUMNS($AD$1006:AO1006),$AD$1006:$AU$1006,0)), HYPERLINK("#",""), HYPERLINK(CONCATENATE("#metadata!", ADDRESS(INDEX($Y$2:$Y$1001,MATCH(ROWS($W$2:W132),$W$2:$W$1001,0),0), INDEX($AD$1004:$AU$1004,1,MATCH(COLUMNS($AD$1006:AO1006),$AD$1006:$AU$1006,0)))),"Fix")))</f>
        <v xml:space="preserve"> </v>
      </c>
      <c r="N132" s="4" t="str">
        <f ca="1">IF(OR(INDEX($X$2:$X$1001,MATCH(ROWS($W$2:W132),$W$2:$W$1001,0),1)&gt;=100000,INDEX($AD$1005:$AU$1005,1,MATCH(COLUMNS($AD$1006:AP1006),$AD$1006:$AU$1006,0))&gt;=100000), " ",IF(INDEX($AD$2:$AU$1001,MATCH(ROWS($W$2:W132),$W$2:$W$1001,0),MATCH(COLUMNS($AD$1006:AP1006),$AD$1006:$AU$1006,0)), HYPERLINK("#",""), HYPERLINK(CONCATENATE("#metadata!", ADDRESS(INDEX($Y$2:$Y$1001,MATCH(ROWS($W$2:W132),$W$2:$W$1001,0),0), INDEX($AD$1004:$AU$1004,1,MATCH(COLUMNS($AD$1006:AP1006),$AD$1006:$AU$1006,0)))),"Fix")))</f>
        <v xml:space="preserve"> </v>
      </c>
      <c r="O132" s="4" t="str">
        <f ca="1">IF(OR(INDEX($X$2:$X$1001,MATCH(ROWS($W$2:W132),$W$2:$W$1001,0),1)&gt;=100000,INDEX($AD$1005:$AU$1005,1,MATCH(COLUMNS($AD$1006:AQ1006),$AD$1006:$AU$1006,0))&gt;=100000), " ",IF(INDEX($AD$2:$AU$1001,MATCH(ROWS($W$2:W132),$W$2:$W$1001,0),MATCH(COLUMNS($AD$1006:AQ1006),$AD$1006:$AU$1006,0)), HYPERLINK("#",""), HYPERLINK(CONCATENATE("#metadata!", ADDRESS(INDEX($Y$2:$Y$1001,MATCH(ROWS($W$2:W132),$W$2:$W$1001,0),0), INDEX($AD$1004:$AU$1004,1,MATCH(COLUMNS($AD$1006:AQ1006),$AD$1006:$AU$1006,0)))),"Fix")))</f>
        <v xml:space="preserve"> </v>
      </c>
      <c r="P132" s="4" t="str">
        <f ca="1">IF(OR(INDEX($X$2:$X$1001,MATCH(ROWS($W$2:W132),$W$2:$W$1001,0),1)&gt;=100000,INDEX($AD$1005:$AU$1005,1,MATCH(COLUMNS($AD$1006:AR1006),$AD$1006:$AU$1006,0))&gt;=100000), " ",IF(INDEX($AD$2:$AU$1001,MATCH(ROWS($W$2:W132),$W$2:$W$1001,0),MATCH(COLUMNS($AD$1006:AR1006),$AD$1006:$AU$1006,0)), HYPERLINK("#",""), HYPERLINK(CONCATENATE("#metadata!", ADDRESS(INDEX($Y$2:$Y$1001,MATCH(ROWS($W$2:W132),$W$2:$W$1001,0),0), INDEX($AD$1004:$AU$1004,1,MATCH(COLUMNS($AD$1006:AR1006),$AD$1006:$AU$1006,0)))),"Fix")))</f>
        <v xml:space="preserve"> </v>
      </c>
      <c r="Q132" s="4" t="str">
        <f ca="1">IF(OR(INDEX($X$2:$X$1001,MATCH(ROWS($W$2:W132),$W$2:$W$1001,0),1)&gt;=100000,INDEX($AD$1005:$AU$1005,1,MATCH(COLUMNS($AD$1006:AS1006),$AD$1006:$AU$1006,0))&gt;=100000), " ",IF(INDEX($AD$2:$AU$1001,MATCH(ROWS($W$2:W132),$W$2:$W$1001,0),MATCH(COLUMNS($AD$1006:AS1006),$AD$1006:$AU$1006,0)), HYPERLINK("#",""), HYPERLINK(CONCATENATE("#metadata!", ADDRESS(INDEX($Y$2:$Y$1001,MATCH(ROWS($W$2:W132),$W$2:$W$1001,0),0), INDEX($AD$1004:$AU$1004,1,MATCH(COLUMNS($AD$1006:AS1006),$AD$1006:$AU$1006,0)))),"Fix")))</f>
        <v xml:space="preserve"> </v>
      </c>
      <c r="R132" s="4" t="str">
        <f ca="1">IF(OR(INDEX($X$2:$X$1001,MATCH(ROWS($W$2:W132),$W$2:$W$1001,0),1)&gt;=100000,INDEX($AD$1005:$AU$1005,1,MATCH(COLUMNS($AD$1006:AT1006),$AD$1006:$AU$1006,0))&gt;=100000), " ",IF(INDEX($AD$2:$AU$1001,MATCH(ROWS($W$2:W132),$W$2:$W$1001,0),MATCH(COLUMNS($AD$1006:AT1006),$AD$1006:$AU$1006,0)), HYPERLINK("#",""), HYPERLINK(CONCATENATE("#metadata!", ADDRESS(INDEX($Y$2:$Y$1001,MATCH(ROWS($W$2:W132),$W$2:$W$1001,0),0), INDEX($AD$1004:$AU$1004,1,MATCH(COLUMNS($AD$1006:AT1006),$AD$1006:$AU$1006,0)))),"Fix")))</f>
        <v xml:space="preserve"> </v>
      </c>
      <c r="S132" s="4" t="str">
        <f ca="1">IF(OR(INDEX($X$2:$X$1001,MATCH(ROWS($W$2:W132),$W$2:$W$1001,0),1)&gt;=100000,INDEX($AD$1005:$AU$1005,1,MATCH(COLUMNS($AD$1006:AU1006),$AD$1006:$AU$1006,0))&gt;=100000), " ",IF(INDEX($AD$2:$AU$1001,MATCH(ROWS($W$2:W132),$W$2:$W$1001,0),MATCH(COLUMNS($AD$1006:AU1006),$AD$1006:$AU$1006,0)), HYPERLINK("#",""), HYPERLINK(CONCATENATE("#metadata!", ADDRESS(INDEX($Y$2:$Y$1001,MATCH(ROWS($W$2:W132),$W$2:$W$1001,0),0), INDEX($AD$1004:$AU$1004,1,MATCH(COLUMNS($AD$1006:AU1006),$AD$1006:$AU$1006,0)))),"Fix")))</f>
        <v xml:space="preserve"> </v>
      </c>
      <c r="W132">
        <v>131</v>
      </c>
      <c r="X132">
        <v>100132</v>
      </c>
      <c r="Y132">
        <v>132</v>
      </c>
      <c r="Z132" t="b">
        <f t="shared" si="2"/>
        <v>1</v>
      </c>
      <c r="AA132" t="b">
        <f>COUNTBLANK(metadata!B132:S132)=COLUMNS(metadata!B132:S132)</f>
        <v>1</v>
      </c>
      <c r="AB132" t="str">
        <v/>
      </c>
      <c r="AD132" t="b">
        <f ca="1">AND(IF(metadata!B132="",FALSE,TRUE),COUNTIF(metadata!B:B, metadata!B132) = 1,NOT(ISERROR(SUMPRODUCT(SEARCH(MID(metadata!B132,ROW(INDIRECT("1:"&amp;LEN(metadata!B132))), 1),"0123456789abcdefghijklmnopqrstuvwxyzABCDEFGHIJKLMNOPQRSTUVWXYZ.")))))</f>
        <v>0</v>
      </c>
      <c r="AE132" t="b">
        <f>OR(AND(IF(metadata!C132="",FALSE,TRUE),OR(EXACT(metadata!C132,"not applicable"),EXACT(metadata!C132,"missing: not collected"),EXACT(metadata!C132,"missing: not provided"),EXACT(metadata!C132,"missing: restricted access"))),AND(IF(metadata!C132="",FALSE,ISNUMBER(VALUE(metadata!C132))),metadata!C132&gt;0))</f>
        <v>0</v>
      </c>
      <c r="AF132" t="b">
        <f>AND(IF(metadata!D132="",FALSE,TRUE),EXACT(metadata!D132,"missing: not provided"))</f>
        <v>0</v>
      </c>
      <c r="AG132" t="b">
        <f>AND(IF(metadata!E132="",FALSE,TRUE),EXACT(metadata!E132,"Host-associated"))</f>
        <v>0</v>
      </c>
      <c r="AH132" t="b">
        <f>AND(IF(metadata!F132="",FALSE,TRUE),OR(EXACT(metadata!F132,"Animal"),EXACT(metadata!F132,"Fungus"),EXACT(metadata!F132,"Plant")))</f>
        <v>0</v>
      </c>
      <c r="AI132" t="b">
        <f>AND(IF(metadata!G132="",FALSE,TRUE),OR(EXACT(metadata!G132,"Plant secretion"),EXACT(metadata!G132,"Plant rhizosphere"),EXACT(metadata!G132,"Plant surface"),EXACT(metadata!G132,"Plant corpus"),EXACT(metadata!G132,"Fungus surface"),EXACT(metadata!G132,"Fungus corpus"),EXACT(metadata!G132,"Animal surface"),EXACT(metadata!G132,"Animal proximal gut"),EXACT(metadata!G132,"Animal corpus"),EXACT(metadata!G132,"Animal distal gut"),EXACT(metadata!G132,"Animal secretion")))</f>
        <v>0</v>
      </c>
      <c r="AJ132" t="b">
        <f>OR(AND(IF(metadata!H132="",FALSE,TRUE),OR(EXACT(metadata!H132,"missing: not collected"),EXACT(metadata!H132,"missing: not provided"),EXACT(metadata!H132,"missing: restricted access"))),AND(IF(metadata!H132="",FALSE,TRUE),OR(EXACT(metadata!H132,"organism-associated habitat"),EXACT(metadata!H132,"plant-associated habitat"),EXACT(metadata!H132,"animal-associated habitat"),EXACT(metadata!H132,"insecta-associated habitat"),EXACT(metadata!H132,"mammalia-associated habitat"),EXACT(metadata!H132,"human-associated habitat"),EXACT(metadata!H132,"livestock-associated habitat"))))</f>
        <v>0</v>
      </c>
      <c r="AK132" t="b">
        <f>AND(IF(metadata!I132="",FALSE,TRUE),EXACT(metadata!I132,"host-associated"))</f>
        <v>0</v>
      </c>
      <c r="AL132" t="b">
        <f>OR(AND(IF(metadata!J132="",FALSE,TRUE),OR(EXACT(metadata!J132,"not applicable"),EXACT(metadata!J132,"missing: not collected"),EXACT(metadata!J132,"missing: not provided"),EXACT(metadata!J132,"missing: restricted access"))),AND(IF(metadata!J132="",FALSE,ISNUMBER(VALUE(metadata!J132))),metadata!J132&gt;0))</f>
        <v>0</v>
      </c>
      <c r="AM132" t="b">
        <f>AND(IF(metadata!K132="",FALSE,TRUE),EXACT(metadata!K132,"missing: not provided"))</f>
        <v>0</v>
      </c>
      <c r="AN132" t="b">
        <f>IF(metadata!L132="",FALSE,TRUE)</f>
        <v>0</v>
      </c>
      <c r="AO132" t="b">
        <f>IF(metadata!M132="",FALSE,TRUE)</f>
        <v>0</v>
      </c>
      <c r="AP132" t="b">
        <f>OR(AND(IF(metadata!N132="",FALSE,TRUE),OR(EXACT(metadata!N132,"not applicable"),EXACT(metadata!N132,"missing: not collected"),EXACT(metadata!N132,"missing: not provided"))),AND(IF(metadata!N132="",FALSE,IF(ISERROR(INT(metadata!N132)),FALSE,INT(metadata!N132)=metadata!N132)),metadata!N132&gt;0))</f>
        <v>0</v>
      </c>
      <c r="AQ132" t="b">
        <f>AND(IF(metadata!O132="",FALSE,TRUE),EXACT(metadata!O132,"Not applicable"))</f>
        <v>0</v>
      </c>
      <c r="AR132" t="b">
        <f>OR(AND(IF(metadata!P132="",FALSE,TRUE),OR(EXACT(metadata!P132,"not applicable"),EXACT(metadata!P132,"missing: not collected"),EXACT(metadata!P132,"missing: not provided"),EXACT(metadata!P132,"missing: restricted access"))),IF(metadata!P132="",FALSE,IF(ISERROR(INT(metadata!P132)),FALSE,INT(metadata!P132)=metadata!P132)))</f>
        <v>0</v>
      </c>
      <c r="AS132" t="b">
        <f>AND(IF(metadata!Q132="",FALSE,TRUE),EXACT(metadata!Q132,"Not applicable"))</f>
        <v>0</v>
      </c>
      <c r="AT132" t="b">
        <f>OR(AND(IF(metadata!R132="",FALSE,TRUE),OR(EXACT(metadata!R132,"not applicable"),EXACT(metadata!R132,"missing: not collected"),EXACT(metadata!R132,"missing: not provided"),EXACT(metadata!R132,"missing: restricted access"))),AND(IF(metadata!R132="",FALSE,ISNUMBER(VALUE(metadata!R132))),metadata!R132&gt;0))</f>
        <v>0</v>
      </c>
      <c r="AU132" t="b">
        <f>AND(IF(metadata!S132="",FALSE,TRUE),EXACT(metadata!S132,"missing: not provided"))</f>
        <v>0</v>
      </c>
    </row>
    <row r="133" spans="1:47" x14ac:dyDescent="0.2">
      <c r="A133" s="5" t="str">
        <f ca="1">IF(B133=" "," ",HYPERLINK(CONCATENATE("#metadata!",ADDRESS(INDEX($Y$2:$Y$1001,MATCH(ROWS($W$2:W133),$W$2:$W$1001,0),0),1)),INDEX($AB$2:$AB$1001,MATCH(ROWS($W$2:W133),$W$2:$W$1001,0),0)))</f>
        <v xml:space="preserve"> </v>
      </c>
      <c r="B133" s="4" t="str">
        <f ca="1">IF(OR(INDEX($X$2:$X$1001,MATCH(ROWS($W$2:W133),$W$2:$W$1001,0),1)&gt;=100000,INDEX($AD$1005:$AU$1005,1,MATCH(COLUMNS($AD$1006:AD1006),$AD$1006:$AU$1006,0))&gt;=100000), " ",IF(INDEX($AD$2:$AU$1001,MATCH(ROWS($W$2:W133),$W$2:$W$1001,0),MATCH(COLUMNS($AD$1006:AD1006),$AD$1006:$AU$1006,0)), HYPERLINK("#",""), HYPERLINK(CONCATENATE("#metadata!", ADDRESS(INDEX($Y$2:$Y$1001,MATCH(ROWS($W$2:W133),$W$2:$W$1001,0),0), INDEX($AD$1004:$AU$1004,1,MATCH(COLUMNS($AD$1006:AD1006),$AD$1006:$AU$1006,0)))),"Fix")))</f>
        <v xml:space="preserve"> </v>
      </c>
      <c r="C133" s="4" t="str">
        <f ca="1">IF(OR(INDEX($X$2:$X$1001,MATCH(ROWS($W$2:W133),$W$2:$W$1001,0),1)&gt;=100000,INDEX($AD$1005:$AU$1005,1,MATCH(COLUMNS($AD$1006:AE1006),$AD$1006:$AU$1006,0))&gt;=100000), " ",IF(INDEX($AD$2:$AU$1001,MATCH(ROWS($W$2:W133),$W$2:$W$1001,0),MATCH(COLUMNS($AD$1006:AE1006),$AD$1006:$AU$1006,0)), HYPERLINK("#",""), HYPERLINK(CONCATENATE("#metadata!", ADDRESS(INDEX($Y$2:$Y$1001,MATCH(ROWS($W$2:W133),$W$2:$W$1001,0),0), INDEX($AD$1004:$AU$1004,1,MATCH(COLUMNS($AD$1006:AE1006),$AD$1006:$AU$1006,0)))),"Fix")))</f>
        <v xml:space="preserve"> </v>
      </c>
      <c r="D133" s="4" t="str">
        <f ca="1">IF(OR(INDEX($X$2:$X$1001,MATCH(ROWS($W$2:W133),$W$2:$W$1001,0),1)&gt;=100000,INDEX($AD$1005:$AU$1005,1,MATCH(COLUMNS($AD$1006:AF1006),$AD$1006:$AU$1006,0))&gt;=100000), " ",IF(INDEX($AD$2:$AU$1001,MATCH(ROWS($W$2:W133),$W$2:$W$1001,0),MATCH(COLUMNS($AD$1006:AF1006),$AD$1006:$AU$1006,0)), HYPERLINK("#",""), HYPERLINK(CONCATENATE("#metadata!", ADDRESS(INDEX($Y$2:$Y$1001,MATCH(ROWS($W$2:W133),$W$2:$W$1001,0),0), INDEX($AD$1004:$AU$1004,1,MATCH(COLUMNS($AD$1006:AF1006),$AD$1006:$AU$1006,0)))),"Fix")))</f>
        <v xml:space="preserve"> </v>
      </c>
      <c r="E133" s="4" t="str">
        <f ca="1">IF(OR(INDEX($X$2:$X$1001,MATCH(ROWS($W$2:W133),$W$2:$W$1001,0),1)&gt;=100000,INDEX($AD$1005:$AU$1005,1,MATCH(COLUMNS($AD$1006:AG1006),$AD$1006:$AU$1006,0))&gt;=100000), " ",IF(INDEX($AD$2:$AU$1001,MATCH(ROWS($W$2:W133),$W$2:$W$1001,0),MATCH(COLUMNS($AD$1006:AG1006),$AD$1006:$AU$1006,0)), HYPERLINK("#",""), HYPERLINK(CONCATENATE("#metadata!", ADDRESS(INDEX($Y$2:$Y$1001,MATCH(ROWS($W$2:W133),$W$2:$W$1001,0),0), INDEX($AD$1004:$AU$1004,1,MATCH(COLUMNS($AD$1006:AG1006),$AD$1006:$AU$1006,0)))),"Fix")))</f>
        <v xml:space="preserve"> </v>
      </c>
      <c r="F133" s="4" t="str">
        <f ca="1">IF(OR(INDEX($X$2:$X$1001,MATCH(ROWS($W$2:W133),$W$2:$W$1001,0),1)&gt;=100000,INDEX($AD$1005:$AU$1005,1,MATCH(COLUMNS($AD$1006:AH1006),$AD$1006:$AU$1006,0))&gt;=100000), " ",IF(INDEX($AD$2:$AU$1001,MATCH(ROWS($W$2:W133),$W$2:$W$1001,0),MATCH(COLUMNS($AD$1006:AH1006),$AD$1006:$AU$1006,0)), HYPERLINK("#",""), HYPERLINK(CONCATENATE("#metadata!", ADDRESS(INDEX($Y$2:$Y$1001,MATCH(ROWS($W$2:W133),$W$2:$W$1001,0),0), INDEX($AD$1004:$AU$1004,1,MATCH(COLUMNS($AD$1006:AH1006),$AD$1006:$AU$1006,0)))),"Fix")))</f>
        <v xml:space="preserve"> </v>
      </c>
      <c r="G133" s="4" t="str">
        <f ca="1">IF(OR(INDEX($X$2:$X$1001,MATCH(ROWS($W$2:W133),$W$2:$W$1001,0),1)&gt;=100000,INDEX($AD$1005:$AU$1005,1,MATCH(COLUMNS($AD$1006:AI1006),$AD$1006:$AU$1006,0))&gt;=100000), " ",IF(INDEX($AD$2:$AU$1001,MATCH(ROWS($W$2:W133),$W$2:$W$1001,0),MATCH(COLUMNS($AD$1006:AI1006),$AD$1006:$AU$1006,0)), HYPERLINK("#",""), HYPERLINK(CONCATENATE("#metadata!", ADDRESS(INDEX($Y$2:$Y$1001,MATCH(ROWS($W$2:W133),$W$2:$W$1001,0),0), INDEX($AD$1004:$AU$1004,1,MATCH(COLUMNS($AD$1006:AI1006),$AD$1006:$AU$1006,0)))),"Fix")))</f>
        <v xml:space="preserve"> </v>
      </c>
      <c r="H133" s="4" t="str">
        <f ca="1">IF(OR(INDEX($X$2:$X$1001,MATCH(ROWS($W$2:W133),$W$2:$W$1001,0),1)&gt;=100000,INDEX($AD$1005:$AU$1005,1,MATCH(COLUMNS($AD$1006:AJ1006),$AD$1006:$AU$1006,0))&gt;=100000), " ",IF(INDEX($AD$2:$AU$1001,MATCH(ROWS($W$2:W133),$W$2:$W$1001,0),MATCH(COLUMNS($AD$1006:AJ1006),$AD$1006:$AU$1006,0)), HYPERLINK("#",""), HYPERLINK(CONCATENATE("#metadata!", ADDRESS(INDEX($Y$2:$Y$1001,MATCH(ROWS($W$2:W133),$W$2:$W$1001,0),0), INDEX($AD$1004:$AU$1004,1,MATCH(COLUMNS($AD$1006:AJ1006),$AD$1006:$AU$1006,0)))),"Fix")))</f>
        <v xml:space="preserve"> </v>
      </c>
      <c r="I133" s="4" t="str">
        <f ca="1">IF(OR(INDEX($X$2:$X$1001,MATCH(ROWS($W$2:W133),$W$2:$W$1001,0),1)&gt;=100000,INDEX($AD$1005:$AU$1005,1,MATCH(COLUMNS($AD$1006:AK1006),$AD$1006:$AU$1006,0))&gt;=100000), " ",IF(INDEX($AD$2:$AU$1001,MATCH(ROWS($W$2:W133),$W$2:$W$1001,0),MATCH(COLUMNS($AD$1006:AK1006),$AD$1006:$AU$1006,0)), HYPERLINK("#",""), HYPERLINK(CONCATENATE("#metadata!", ADDRESS(INDEX($Y$2:$Y$1001,MATCH(ROWS($W$2:W133),$W$2:$W$1001,0),0), INDEX($AD$1004:$AU$1004,1,MATCH(COLUMNS($AD$1006:AK1006),$AD$1006:$AU$1006,0)))),"Fix")))</f>
        <v xml:space="preserve"> </v>
      </c>
      <c r="J133" s="4" t="str">
        <f ca="1">IF(OR(INDEX($X$2:$X$1001,MATCH(ROWS($W$2:W133),$W$2:$W$1001,0),1)&gt;=100000,INDEX($AD$1005:$AU$1005,1,MATCH(COLUMNS($AD$1006:AL1006),$AD$1006:$AU$1006,0))&gt;=100000), " ",IF(INDEX($AD$2:$AU$1001,MATCH(ROWS($W$2:W133),$W$2:$W$1001,0),MATCH(COLUMNS($AD$1006:AL1006),$AD$1006:$AU$1006,0)), HYPERLINK("#",""), HYPERLINK(CONCATENATE("#metadata!", ADDRESS(INDEX($Y$2:$Y$1001,MATCH(ROWS($W$2:W133),$W$2:$W$1001,0),0), INDEX($AD$1004:$AU$1004,1,MATCH(COLUMNS($AD$1006:AL1006),$AD$1006:$AU$1006,0)))),"Fix")))</f>
        <v xml:space="preserve"> </v>
      </c>
      <c r="K133" s="4" t="str">
        <f ca="1">IF(OR(INDEX($X$2:$X$1001,MATCH(ROWS($W$2:W133),$W$2:$W$1001,0),1)&gt;=100000,INDEX($AD$1005:$AU$1005,1,MATCH(COLUMNS($AD$1006:AM1006),$AD$1006:$AU$1006,0))&gt;=100000), " ",IF(INDEX($AD$2:$AU$1001,MATCH(ROWS($W$2:W133),$W$2:$W$1001,0),MATCH(COLUMNS($AD$1006:AM1006),$AD$1006:$AU$1006,0)), HYPERLINK("#",""), HYPERLINK(CONCATENATE("#metadata!", ADDRESS(INDEX($Y$2:$Y$1001,MATCH(ROWS($W$2:W133),$W$2:$W$1001,0),0), INDEX($AD$1004:$AU$1004,1,MATCH(COLUMNS($AD$1006:AM1006),$AD$1006:$AU$1006,0)))),"Fix")))</f>
        <v xml:space="preserve"> </v>
      </c>
      <c r="L133" s="4" t="str">
        <f ca="1">IF(OR(INDEX($X$2:$X$1001,MATCH(ROWS($W$2:W133),$W$2:$W$1001,0),1)&gt;=100000,INDEX($AD$1005:$AU$1005,1,MATCH(COLUMNS($AD$1006:AN1006),$AD$1006:$AU$1006,0))&gt;=100000), " ",IF(INDEX($AD$2:$AU$1001,MATCH(ROWS($W$2:W133),$W$2:$W$1001,0),MATCH(COLUMNS($AD$1006:AN1006),$AD$1006:$AU$1006,0)), HYPERLINK("#",""), HYPERLINK(CONCATENATE("#metadata!", ADDRESS(INDEX($Y$2:$Y$1001,MATCH(ROWS($W$2:W133),$W$2:$W$1001,0),0), INDEX($AD$1004:$AU$1004,1,MATCH(COLUMNS($AD$1006:AN1006),$AD$1006:$AU$1006,0)))),"Fix")))</f>
        <v xml:space="preserve"> </v>
      </c>
      <c r="M133" s="4" t="str">
        <f ca="1">IF(OR(INDEX($X$2:$X$1001,MATCH(ROWS($W$2:W133),$W$2:$W$1001,0),1)&gt;=100000,INDEX($AD$1005:$AU$1005,1,MATCH(COLUMNS($AD$1006:AO1006),$AD$1006:$AU$1006,0))&gt;=100000), " ",IF(INDEX($AD$2:$AU$1001,MATCH(ROWS($W$2:W133),$W$2:$W$1001,0),MATCH(COLUMNS($AD$1006:AO1006),$AD$1006:$AU$1006,0)), HYPERLINK("#",""), HYPERLINK(CONCATENATE("#metadata!", ADDRESS(INDEX($Y$2:$Y$1001,MATCH(ROWS($W$2:W133),$W$2:$W$1001,0),0), INDEX($AD$1004:$AU$1004,1,MATCH(COLUMNS($AD$1006:AO1006),$AD$1006:$AU$1006,0)))),"Fix")))</f>
        <v xml:space="preserve"> </v>
      </c>
      <c r="N133" s="4" t="str">
        <f ca="1">IF(OR(INDEX($X$2:$X$1001,MATCH(ROWS($W$2:W133),$W$2:$W$1001,0),1)&gt;=100000,INDEX($AD$1005:$AU$1005,1,MATCH(COLUMNS($AD$1006:AP1006),$AD$1006:$AU$1006,0))&gt;=100000), " ",IF(INDEX($AD$2:$AU$1001,MATCH(ROWS($W$2:W133),$W$2:$W$1001,0),MATCH(COLUMNS($AD$1006:AP1006),$AD$1006:$AU$1006,0)), HYPERLINK("#",""), HYPERLINK(CONCATENATE("#metadata!", ADDRESS(INDEX($Y$2:$Y$1001,MATCH(ROWS($W$2:W133),$W$2:$W$1001,0),0), INDEX($AD$1004:$AU$1004,1,MATCH(COLUMNS($AD$1006:AP1006),$AD$1006:$AU$1006,0)))),"Fix")))</f>
        <v xml:space="preserve"> </v>
      </c>
      <c r="O133" s="4" t="str">
        <f ca="1">IF(OR(INDEX($X$2:$X$1001,MATCH(ROWS($W$2:W133),$W$2:$W$1001,0),1)&gt;=100000,INDEX($AD$1005:$AU$1005,1,MATCH(COLUMNS($AD$1006:AQ1006),$AD$1006:$AU$1006,0))&gt;=100000), " ",IF(INDEX($AD$2:$AU$1001,MATCH(ROWS($W$2:W133),$W$2:$W$1001,0),MATCH(COLUMNS($AD$1006:AQ1006),$AD$1006:$AU$1006,0)), HYPERLINK("#",""), HYPERLINK(CONCATENATE("#metadata!", ADDRESS(INDEX($Y$2:$Y$1001,MATCH(ROWS($W$2:W133),$W$2:$W$1001,0),0), INDEX($AD$1004:$AU$1004,1,MATCH(COLUMNS($AD$1006:AQ1006),$AD$1006:$AU$1006,0)))),"Fix")))</f>
        <v xml:space="preserve"> </v>
      </c>
      <c r="P133" s="4" t="str">
        <f ca="1">IF(OR(INDEX($X$2:$X$1001,MATCH(ROWS($W$2:W133),$W$2:$W$1001,0),1)&gt;=100000,INDEX($AD$1005:$AU$1005,1,MATCH(COLUMNS($AD$1006:AR1006),$AD$1006:$AU$1006,0))&gt;=100000), " ",IF(INDEX($AD$2:$AU$1001,MATCH(ROWS($W$2:W133),$W$2:$W$1001,0),MATCH(COLUMNS($AD$1006:AR1006),$AD$1006:$AU$1006,0)), HYPERLINK("#",""), HYPERLINK(CONCATENATE("#metadata!", ADDRESS(INDEX($Y$2:$Y$1001,MATCH(ROWS($W$2:W133),$W$2:$W$1001,0),0), INDEX($AD$1004:$AU$1004,1,MATCH(COLUMNS($AD$1006:AR1006),$AD$1006:$AU$1006,0)))),"Fix")))</f>
        <v xml:space="preserve"> </v>
      </c>
      <c r="Q133" s="4" t="str">
        <f ca="1">IF(OR(INDEX($X$2:$X$1001,MATCH(ROWS($W$2:W133),$W$2:$W$1001,0),1)&gt;=100000,INDEX($AD$1005:$AU$1005,1,MATCH(COLUMNS($AD$1006:AS1006),$AD$1006:$AU$1006,0))&gt;=100000), " ",IF(INDEX($AD$2:$AU$1001,MATCH(ROWS($W$2:W133),$W$2:$W$1001,0),MATCH(COLUMNS($AD$1006:AS1006),$AD$1006:$AU$1006,0)), HYPERLINK("#",""), HYPERLINK(CONCATENATE("#metadata!", ADDRESS(INDEX($Y$2:$Y$1001,MATCH(ROWS($W$2:W133),$W$2:$W$1001,0),0), INDEX($AD$1004:$AU$1004,1,MATCH(COLUMNS($AD$1006:AS1006),$AD$1006:$AU$1006,0)))),"Fix")))</f>
        <v xml:space="preserve"> </v>
      </c>
      <c r="R133" s="4" t="str">
        <f ca="1">IF(OR(INDEX($X$2:$X$1001,MATCH(ROWS($W$2:W133),$W$2:$W$1001,0),1)&gt;=100000,INDEX($AD$1005:$AU$1005,1,MATCH(COLUMNS($AD$1006:AT1006),$AD$1006:$AU$1006,0))&gt;=100000), " ",IF(INDEX($AD$2:$AU$1001,MATCH(ROWS($W$2:W133),$W$2:$W$1001,0),MATCH(COLUMNS($AD$1006:AT1006),$AD$1006:$AU$1006,0)), HYPERLINK("#",""), HYPERLINK(CONCATENATE("#metadata!", ADDRESS(INDEX($Y$2:$Y$1001,MATCH(ROWS($W$2:W133),$W$2:$W$1001,0),0), INDEX($AD$1004:$AU$1004,1,MATCH(COLUMNS($AD$1006:AT1006),$AD$1006:$AU$1006,0)))),"Fix")))</f>
        <v xml:space="preserve"> </v>
      </c>
      <c r="S133" s="4" t="str">
        <f ca="1">IF(OR(INDEX($X$2:$X$1001,MATCH(ROWS($W$2:W133),$W$2:$W$1001,0),1)&gt;=100000,INDEX($AD$1005:$AU$1005,1,MATCH(COLUMNS($AD$1006:AU1006),$AD$1006:$AU$1006,0))&gt;=100000), " ",IF(INDEX($AD$2:$AU$1001,MATCH(ROWS($W$2:W133),$W$2:$W$1001,0),MATCH(COLUMNS($AD$1006:AU1006),$AD$1006:$AU$1006,0)), HYPERLINK("#",""), HYPERLINK(CONCATENATE("#metadata!", ADDRESS(INDEX($Y$2:$Y$1001,MATCH(ROWS($W$2:W133),$W$2:$W$1001,0),0), INDEX($AD$1004:$AU$1004,1,MATCH(COLUMNS($AD$1006:AU1006),$AD$1006:$AU$1006,0)))),"Fix")))</f>
        <v xml:space="preserve"> </v>
      </c>
      <c r="W133">
        <v>132</v>
      </c>
      <c r="X133">
        <v>100133</v>
      </c>
      <c r="Y133">
        <v>133</v>
      </c>
      <c r="Z133" t="b">
        <f t="shared" si="2"/>
        <v>1</v>
      </c>
      <c r="AA133" t="b">
        <f>COUNTBLANK(metadata!B133:S133)=COLUMNS(metadata!B133:S133)</f>
        <v>1</v>
      </c>
      <c r="AB133" t="str">
        <v/>
      </c>
      <c r="AD133" t="b">
        <f ca="1">AND(IF(metadata!B133="",FALSE,TRUE),COUNTIF(metadata!B:B, metadata!B133) = 1,NOT(ISERROR(SUMPRODUCT(SEARCH(MID(metadata!B133,ROW(INDIRECT("1:"&amp;LEN(metadata!B133))), 1),"0123456789abcdefghijklmnopqrstuvwxyzABCDEFGHIJKLMNOPQRSTUVWXYZ.")))))</f>
        <v>0</v>
      </c>
      <c r="AE133" t="b">
        <f>OR(AND(IF(metadata!C133="",FALSE,TRUE),OR(EXACT(metadata!C133,"not applicable"),EXACT(metadata!C133,"missing: not collected"),EXACT(metadata!C133,"missing: not provided"),EXACT(metadata!C133,"missing: restricted access"))),AND(IF(metadata!C133="",FALSE,ISNUMBER(VALUE(metadata!C133))),metadata!C133&gt;0))</f>
        <v>0</v>
      </c>
      <c r="AF133" t="b">
        <f>AND(IF(metadata!D133="",FALSE,TRUE),EXACT(metadata!D133,"missing: not provided"))</f>
        <v>0</v>
      </c>
      <c r="AG133" t="b">
        <f>AND(IF(metadata!E133="",FALSE,TRUE),EXACT(metadata!E133,"Host-associated"))</f>
        <v>0</v>
      </c>
      <c r="AH133" t="b">
        <f>AND(IF(metadata!F133="",FALSE,TRUE),OR(EXACT(metadata!F133,"Animal"),EXACT(metadata!F133,"Fungus"),EXACT(metadata!F133,"Plant")))</f>
        <v>0</v>
      </c>
      <c r="AI133" t="b">
        <f>AND(IF(metadata!G133="",FALSE,TRUE),OR(EXACT(metadata!G133,"Plant secretion"),EXACT(metadata!G133,"Plant rhizosphere"),EXACT(metadata!G133,"Plant surface"),EXACT(metadata!G133,"Plant corpus"),EXACT(metadata!G133,"Fungus surface"),EXACT(metadata!G133,"Fungus corpus"),EXACT(metadata!G133,"Animal surface"),EXACT(metadata!G133,"Animal proximal gut"),EXACT(metadata!G133,"Animal corpus"),EXACT(metadata!G133,"Animal distal gut"),EXACT(metadata!G133,"Animal secretion")))</f>
        <v>0</v>
      </c>
      <c r="AJ133" t="b">
        <f>OR(AND(IF(metadata!H133="",FALSE,TRUE),OR(EXACT(metadata!H133,"missing: not collected"),EXACT(metadata!H133,"missing: not provided"),EXACT(metadata!H133,"missing: restricted access"))),AND(IF(metadata!H133="",FALSE,TRUE),OR(EXACT(metadata!H133,"organism-associated habitat"),EXACT(metadata!H133,"plant-associated habitat"),EXACT(metadata!H133,"animal-associated habitat"),EXACT(metadata!H133,"insecta-associated habitat"),EXACT(metadata!H133,"mammalia-associated habitat"),EXACT(metadata!H133,"human-associated habitat"),EXACT(metadata!H133,"livestock-associated habitat"))))</f>
        <v>0</v>
      </c>
      <c r="AK133" t="b">
        <f>AND(IF(metadata!I133="",FALSE,TRUE),EXACT(metadata!I133,"host-associated"))</f>
        <v>0</v>
      </c>
      <c r="AL133" t="b">
        <f>OR(AND(IF(metadata!J133="",FALSE,TRUE),OR(EXACT(metadata!J133,"not applicable"),EXACT(metadata!J133,"missing: not collected"),EXACT(metadata!J133,"missing: not provided"),EXACT(metadata!J133,"missing: restricted access"))),AND(IF(metadata!J133="",FALSE,ISNUMBER(VALUE(metadata!J133))),metadata!J133&gt;0))</f>
        <v>0</v>
      </c>
      <c r="AM133" t="b">
        <f>AND(IF(metadata!K133="",FALSE,TRUE),EXACT(metadata!K133,"missing: not provided"))</f>
        <v>0</v>
      </c>
      <c r="AN133" t="b">
        <f>IF(metadata!L133="",FALSE,TRUE)</f>
        <v>0</v>
      </c>
      <c r="AO133" t="b">
        <f>IF(metadata!M133="",FALSE,TRUE)</f>
        <v>0</v>
      </c>
      <c r="AP133" t="b">
        <f>OR(AND(IF(metadata!N133="",FALSE,TRUE),OR(EXACT(metadata!N133,"not applicable"),EXACT(metadata!N133,"missing: not collected"),EXACT(metadata!N133,"missing: not provided"))),AND(IF(metadata!N133="",FALSE,IF(ISERROR(INT(metadata!N133)),FALSE,INT(metadata!N133)=metadata!N133)),metadata!N133&gt;0))</f>
        <v>0</v>
      </c>
      <c r="AQ133" t="b">
        <f>AND(IF(metadata!O133="",FALSE,TRUE),EXACT(metadata!O133,"Not applicable"))</f>
        <v>0</v>
      </c>
      <c r="AR133" t="b">
        <f>OR(AND(IF(metadata!P133="",FALSE,TRUE),OR(EXACT(metadata!P133,"not applicable"),EXACT(metadata!P133,"missing: not collected"),EXACT(metadata!P133,"missing: not provided"),EXACT(metadata!P133,"missing: restricted access"))),IF(metadata!P133="",FALSE,IF(ISERROR(INT(metadata!P133)),FALSE,INT(metadata!P133)=metadata!P133)))</f>
        <v>0</v>
      </c>
      <c r="AS133" t="b">
        <f>AND(IF(metadata!Q133="",FALSE,TRUE),EXACT(metadata!Q133,"Not applicable"))</f>
        <v>0</v>
      </c>
      <c r="AT133" t="b">
        <f>OR(AND(IF(metadata!R133="",FALSE,TRUE),OR(EXACT(metadata!R133,"not applicable"),EXACT(metadata!R133,"missing: not collected"),EXACT(metadata!R133,"missing: not provided"),EXACT(metadata!R133,"missing: restricted access"))),AND(IF(metadata!R133="",FALSE,ISNUMBER(VALUE(metadata!R133))),metadata!R133&gt;0))</f>
        <v>0</v>
      </c>
      <c r="AU133" t="b">
        <f>AND(IF(metadata!S133="",FALSE,TRUE),EXACT(metadata!S133,"missing: not provided"))</f>
        <v>0</v>
      </c>
    </row>
    <row r="134" spans="1:47" x14ac:dyDescent="0.2">
      <c r="A134" s="5" t="str">
        <f ca="1">IF(B134=" "," ",HYPERLINK(CONCATENATE("#metadata!",ADDRESS(INDEX($Y$2:$Y$1001,MATCH(ROWS($W$2:W134),$W$2:$W$1001,0),0),1)),INDEX($AB$2:$AB$1001,MATCH(ROWS($W$2:W134),$W$2:$W$1001,0),0)))</f>
        <v xml:space="preserve"> </v>
      </c>
      <c r="B134" s="4" t="str">
        <f ca="1">IF(OR(INDEX($X$2:$X$1001,MATCH(ROWS($W$2:W134),$W$2:$W$1001,0),1)&gt;=100000,INDEX($AD$1005:$AU$1005,1,MATCH(COLUMNS($AD$1006:AD1006),$AD$1006:$AU$1006,0))&gt;=100000), " ",IF(INDEX($AD$2:$AU$1001,MATCH(ROWS($W$2:W134),$W$2:$W$1001,0),MATCH(COLUMNS($AD$1006:AD1006),$AD$1006:$AU$1006,0)), HYPERLINK("#",""), HYPERLINK(CONCATENATE("#metadata!", ADDRESS(INDEX($Y$2:$Y$1001,MATCH(ROWS($W$2:W134),$W$2:$W$1001,0),0), INDEX($AD$1004:$AU$1004,1,MATCH(COLUMNS($AD$1006:AD1006),$AD$1006:$AU$1006,0)))),"Fix")))</f>
        <v xml:space="preserve"> </v>
      </c>
      <c r="C134" s="4" t="str">
        <f ca="1">IF(OR(INDEX($X$2:$X$1001,MATCH(ROWS($W$2:W134),$W$2:$W$1001,0),1)&gt;=100000,INDEX($AD$1005:$AU$1005,1,MATCH(COLUMNS($AD$1006:AE1006),$AD$1006:$AU$1006,0))&gt;=100000), " ",IF(INDEX($AD$2:$AU$1001,MATCH(ROWS($W$2:W134),$W$2:$W$1001,0),MATCH(COLUMNS($AD$1006:AE1006),$AD$1006:$AU$1006,0)), HYPERLINK("#",""), HYPERLINK(CONCATENATE("#metadata!", ADDRESS(INDEX($Y$2:$Y$1001,MATCH(ROWS($W$2:W134),$W$2:$W$1001,0),0), INDEX($AD$1004:$AU$1004,1,MATCH(COLUMNS($AD$1006:AE1006),$AD$1006:$AU$1006,0)))),"Fix")))</f>
        <v xml:space="preserve"> </v>
      </c>
      <c r="D134" s="4" t="str">
        <f ca="1">IF(OR(INDEX($X$2:$X$1001,MATCH(ROWS($W$2:W134),$W$2:$W$1001,0),1)&gt;=100000,INDEX($AD$1005:$AU$1005,1,MATCH(COLUMNS($AD$1006:AF1006),$AD$1006:$AU$1006,0))&gt;=100000), " ",IF(INDEX($AD$2:$AU$1001,MATCH(ROWS($W$2:W134),$W$2:$W$1001,0),MATCH(COLUMNS($AD$1006:AF1006),$AD$1006:$AU$1006,0)), HYPERLINK("#",""), HYPERLINK(CONCATENATE("#metadata!", ADDRESS(INDEX($Y$2:$Y$1001,MATCH(ROWS($W$2:W134),$W$2:$W$1001,0),0), INDEX($AD$1004:$AU$1004,1,MATCH(COLUMNS($AD$1006:AF1006),$AD$1006:$AU$1006,0)))),"Fix")))</f>
        <v xml:space="preserve"> </v>
      </c>
      <c r="E134" s="4" t="str">
        <f ca="1">IF(OR(INDEX($X$2:$X$1001,MATCH(ROWS($W$2:W134),$W$2:$W$1001,0),1)&gt;=100000,INDEX($AD$1005:$AU$1005,1,MATCH(COLUMNS($AD$1006:AG1006),$AD$1006:$AU$1006,0))&gt;=100000), " ",IF(INDEX($AD$2:$AU$1001,MATCH(ROWS($W$2:W134),$W$2:$W$1001,0),MATCH(COLUMNS($AD$1006:AG1006),$AD$1006:$AU$1006,0)), HYPERLINK("#",""), HYPERLINK(CONCATENATE("#metadata!", ADDRESS(INDEX($Y$2:$Y$1001,MATCH(ROWS($W$2:W134),$W$2:$W$1001,0),0), INDEX($AD$1004:$AU$1004,1,MATCH(COLUMNS($AD$1006:AG1006),$AD$1006:$AU$1006,0)))),"Fix")))</f>
        <v xml:space="preserve"> </v>
      </c>
      <c r="F134" s="4" t="str">
        <f ca="1">IF(OR(INDEX($X$2:$X$1001,MATCH(ROWS($W$2:W134),$W$2:$W$1001,0),1)&gt;=100000,INDEX($AD$1005:$AU$1005,1,MATCH(COLUMNS($AD$1006:AH1006),$AD$1006:$AU$1006,0))&gt;=100000), " ",IF(INDEX($AD$2:$AU$1001,MATCH(ROWS($W$2:W134),$W$2:$W$1001,0),MATCH(COLUMNS($AD$1006:AH1006),$AD$1006:$AU$1006,0)), HYPERLINK("#",""), HYPERLINK(CONCATENATE("#metadata!", ADDRESS(INDEX($Y$2:$Y$1001,MATCH(ROWS($W$2:W134),$W$2:$W$1001,0),0), INDEX($AD$1004:$AU$1004,1,MATCH(COLUMNS($AD$1006:AH1006),$AD$1006:$AU$1006,0)))),"Fix")))</f>
        <v xml:space="preserve"> </v>
      </c>
      <c r="G134" s="4" t="str">
        <f ca="1">IF(OR(INDEX($X$2:$X$1001,MATCH(ROWS($W$2:W134),$W$2:$W$1001,0),1)&gt;=100000,INDEX($AD$1005:$AU$1005,1,MATCH(COLUMNS($AD$1006:AI1006),$AD$1006:$AU$1006,0))&gt;=100000), " ",IF(INDEX($AD$2:$AU$1001,MATCH(ROWS($W$2:W134),$W$2:$W$1001,0),MATCH(COLUMNS($AD$1006:AI1006),$AD$1006:$AU$1006,0)), HYPERLINK("#",""), HYPERLINK(CONCATENATE("#metadata!", ADDRESS(INDEX($Y$2:$Y$1001,MATCH(ROWS($W$2:W134),$W$2:$W$1001,0),0), INDEX($AD$1004:$AU$1004,1,MATCH(COLUMNS($AD$1006:AI1006),$AD$1006:$AU$1006,0)))),"Fix")))</f>
        <v xml:space="preserve"> </v>
      </c>
      <c r="H134" s="4" t="str">
        <f ca="1">IF(OR(INDEX($X$2:$X$1001,MATCH(ROWS($W$2:W134),$W$2:$W$1001,0),1)&gt;=100000,INDEX($AD$1005:$AU$1005,1,MATCH(COLUMNS($AD$1006:AJ1006),$AD$1006:$AU$1006,0))&gt;=100000), " ",IF(INDEX($AD$2:$AU$1001,MATCH(ROWS($W$2:W134),$W$2:$W$1001,0),MATCH(COLUMNS($AD$1006:AJ1006),$AD$1006:$AU$1006,0)), HYPERLINK("#",""), HYPERLINK(CONCATENATE("#metadata!", ADDRESS(INDEX($Y$2:$Y$1001,MATCH(ROWS($W$2:W134),$W$2:$W$1001,0),0), INDEX($AD$1004:$AU$1004,1,MATCH(COLUMNS($AD$1006:AJ1006),$AD$1006:$AU$1006,0)))),"Fix")))</f>
        <v xml:space="preserve"> </v>
      </c>
      <c r="I134" s="4" t="str">
        <f ca="1">IF(OR(INDEX($X$2:$X$1001,MATCH(ROWS($W$2:W134),$W$2:$W$1001,0),1)&gt;=100000,INDEX($AD$1005:$AU$1005,1,MATCH(COLUMNS($AD$1006:AK1006),$AD$1006:$AU$1006,0))&gt;=100000), " ",IF(INDEX($AD$2:$AU$1001,MATCH(ROWS($W$2:W134),$W$2:$W$1001,0),MATCH(COLUMNS($AD$1006:AK1006),$AD$1006:$AU$1006,0)), HYPERLINK("#",""), HYPERLINK(CONCATENATE("#metadata!", ADDRESS(INDEX($Y$2:$Y$1001,MATCH(ROWS($W$2:W134),$W$2:$W$1001,0),0), INDEX($AD$1004:$AU$1004,1,MATCH(COLUMNS($AD$1006:AK1006),$AD$1006:$AU$1006,0)))),"Fix")))</f>
        <v xml:space="preserve"> </v>
      </c>
      <c r="J134" s="4" t="str">
        <f ca="1">IF(OR(INDEX($X$2:$X$1001,MATCH(ROWS($W$2:W134),$W$2:$W$1001,0),1)&gt;=100000,INDEX($AD$1005:$AU$1005,1,MATCH(COLUMNS($AD$1006:AL1006),$AD$1006:$AU$1006,0))&gt;=100000), " ",IF(INDEX($AD$2:$AU$1001,MATCH(ROWS($W$2:W134),$W$2:$W$1001,0),MATCH(COLUMNS($AD$1006:AL1006),$AD$1006:$AU$1006,0)), HYPERLINK("#",""), HYPERLINK(CONCATENATE("#metadata!", ADDRESS(INDEX($Y$2:$Y$1001,MATCH(ROWS($W$2:W134),$W$2:$W$1001,0),0), INDEX($AD$1004:$AU$1004,1,MATCH(COLUMNS($AD$1006:AL1006),$AD$1006:$AU$1006,0)))),"Fix")))</f>
        <v xml:space="preserve"> </v>
      </c>
      <c r="K134" s="4" t="str">
        <f ca="1">IF(OR(INDEX($X$2:$X$1001,MATCH(ROWS($W$2:W134),$W$2:$W$1001,0),1)&gt;=100000,INDEX($AD$1005:$AU$1005,1,MATCH(COLUMNS($AD$1006:AM1006),$AD$1006:$AU$1006,0))&gt;=100000), " ",IF(INDEX($AD$2:$AU$1001,MATCH(ROWS($W$2:W134),$W$2:$W$1001,0),MATCH(COLUMNS($AD$1006:AM1006),$AD$1006:$AU$1006,0)), HYPERLINK("#",""), HYPERLINK(CONCATENATE("#metadata!", ADDRESS(INDEX($Y$2:$Y$1001,MATCH(ROWS($W$2:W134),$W$2:$W$1001,0),0), INDEX($AD$1004:$AU$1004,1,MATCH(COLUMNS($AD$1006:AM1006),$AD$1006:$AU$1006,0)))),"Fix")))</f>
        <v xml:space="preserve"> </v>
      </c>
      <c r="L134" s="4" t="str">
        <f ca="1">IF(OR(INDEX($X$2:$X$1001,MATCH(ROWS($W$2:W134),$W$2:$W$1001,0),1)&gt;=100000,INDEX($AD$1005:$AU$1005,1,MATCH(COLUMNS($AD$1006:AN1006),$AD$1006:$AU$1006,0))&gt;=100000), " ",IF(INDEX($AD$2:$AU$1001,MATCH(ROWS($W$2:W134),$W$2:$W$1001,0),MATCH(COLUMNS($AD$1006:AN1006),$AD$1006:$AU$1006,0)), HYPERLINK("#",""), HYPERLINK(CONCATENATE("#metadata!", ADDRESS(INDEX($Y$2:$Y$1001,MATCH(ROWS($W$2:W134),$W$2:$W$1001,0),0), INDEX($AD$1004:$AU$1004,1,MATCH(COLUMNS($AD$1006:AN1006),$AD$1006:$AU$1006,0)))),"Fix")))</f>
        <v xml:space="preserve"> </v>
      </c>
      <c r="M134" s="4" t="str">
        <f ca="1">IF(OR(INDEX($X$2:$X$1001,MATCH(ROWS($W$2:W134),$W$2:$W$1001,0),1)&gt;=100000,INDEX($AD$1005:$AU$1005,1,MATCH(COLUMNS($AD$1006:AO1006),$AD$1006:$AU$1006,0))&gt;=100000), " ",IF(INDEX($AD$2:$AU$1001,MATCH(ROWS($W$2:W134),$W$2:$W$1001,0),MATCH(COLUMNS($AD$1006:AO1006),$AD$1006:$AU$1006,0)), HYPERLINK("#",""), HYPERLINK(CONCATENATE("#metadata!", ADDRESS(INDEX($Y$2:$Y$1001,MATCH(ROWS($W$2:W134),$W$2:$W$1001,0),0), INDEX($AD$1004:$AU$1004,1,MATCH(COLUMNS($AD$1006:AO1006),$AD$1006:$AU$1006,0)))),"Fix")))</f>
        <v xml:space="preserve"> </v>
      </c>
      <c r="N134" s="4" t="str">
        <f ca="1">IF(OR(INDEX($X$2:$X$1001,MATCH(ROWS($W$2:W134),$W$2:$W$1001,0),1)&gt;=100000,INDEX($AD$1005:$AU$1005,1,MATCH(COLUMNS($AD$1006:AP1006),$AD$1006:$AU$1006,0))&gt;=100000), " ",IF(INDEX($AD$2:$AU$1001,MATCH(ROWS($W$2:W134),$W$2:$W$1001,0),MATCH(COLUMNS($AD$1006:AP1006),$AD$1006:$AU$1006,0)), HYPERLINK("#",""), HYPERLINK(CONCATENATE("#metadata!", ADDRESS(INDEX($Y$2:$Y$1001,MATCH(ROWS($W$2:W134),$W$2:$W$1001,0),0), INDEX($AD$1004:$AU$1004,1,MATCH(COLUMNS($AD$1006:AP1006),$AD$1006:$AU$1006,0)))),"Fix")))</f>
        <v xml:space="preserve"> </v>
      </c>
      <c r="O134" s="4" t="str">
        <f ca="1">IF(OR(INDEX($X$2:$X$1001,MATCH(ROWS($W$2:W134),$W$2:$W$1001,0),1)&gt;=100000,INDEX($AD$1005:$AU$1005,1,MATCH(COLUMNS($AD$1006:AQ1006),$AD$1006:$AU$1006,0))&gt;=100000), " ",IF(INDEX($AD$2:$AU$1001,MATCH(ROWS($W$2:W134),$W$2:$W$1001,0),MATCH(COLUMNS($AD$1006:AQ1006),$AD$1006:$AU$1006,0)), HYPERLINK("#",""), HYPERLINK(CONCATENATE("#metadata!", ADDRESS(INDEX($Y$2:$Y$1001,MATCH(ROWS($W$2:W134),$W$2:$W$1001,0),0), INDEX($AD$1004:$AU$1004,1,MATCH(COLUMNS($AD$1006:AQ1006),$AD$1006:$AU$1006,0)))),"Fix")))</f>
        <v xml:space="preserve"> </v>
      </c>
      <c r="P134" s="4" t="str">
        <f ca="1">IF(OR(INDEX($X$2:$X$1001,MATCH(ROWS($W$2:W134),$W$2:$W$1001,0),1)&gt;=100000,INDEX($AD$1005:$AU$1005,1,MATCH(COLUMNS($AD$1006:AR1006),$AD$1006:$AU$1006,0))&gt;=100000), " ",IF(INDEX($AD$2:$AU$1001,MATCH(ROWS($W$2:W134),$W$2:$W$1001,0),MATCH(COLUMNS($AD$1006:AR1006),$AD$1006:$AU$1006,0)), HYPERLINK("#",""), HYPERLINK(CONCATENATE("#metadata!", ADDRESS(INDEX($Y$2:$Y$1001,MATCH(ROWS($W$2:W134),$W$2:$W$1001,0),0), INDEX($AD$1004:$AU$1004,1,MATCH(COLUMNS($AD$1006:AR1006),$AD$1006:$AU$1006,0)))),"Fix")))</f>
        <v xml:space="preserve"> </v>
      </c>
      <c r="Q134" s="4" t="str">
        <f ca="1">IF(OR(INDEX($X$2:$X$1001,MATCH(ROWS($W$2:W134),$W$2:$W$1001,0),1)&gt;=100000,INDEX($AD$1005:$AU$1005,1,MATCH(COLUMNS($AD$1006:AS1006),$AD$1006:$AU$1006,0))&gt;=100000), " ",IF(INDEX($AD$2:$AU$1001,MATCH(ROWS($W$2:W134),$W$2:$W$1001,0),MATCH(COLUMNS($AD$1006:AS1006),$AD$1006:$AU$1006,0)), HYPERLINK("#",""), HYPERLINK(CONCATENATE("#metadata!", ADDRESS(INDEX($Y$2:$Y$1001,MATCH(ROWS($W$2:W134),$W$2:$W$1001,0),0), INDEX($AD$1004:$AU$1004,1,MATCH(COLUMNS($AD$1006:AS1006),$AD$1006:$AU$1006,0)))),"Fix")))</f>
        <v xml:space="preserve"> </v>
      </c>
      <c r="R134" s="4" t="str">
        <f ca="1">IF(OR(INDEX($X$2:$X$1001,MATCH(ROWS($W$2:W134),$W$2:$W$1001,0),1)&gt;=100000,INDEX($AD$1005:$AU$1005,1,MATCH(COLUMNS($AD$1006:AT1006),$AD$1006:$AU$1006,0))&gt;=100000), " ",IF(INDEX($AD$2:$AU$1001,MATCH(ROWS($W$2:W134),$W$2:$W$1001,0),MATCH(COLUMNS($AD$1006:AT1006),$AD$1006:$AU$1006,0)), HYPERLINK("#",""), HYPERLINK(CONCATENATE("#metadata!", ADDRESS(INDEX($Y$2:$Y$1001,MATCH(ROWS($W$2:W134),$W$2:$W$1001,0),0), INDEX($AD$1004:$AU$1004,1,MATCH(COLUMNS($AD$1006:AT1006),$AD$1006:$AU$1006,0)))),"Fix")))</f>
        <v xml:space="preserve"> </v>
      </c>
      <c r="S134" s="4" t="str">
        <f ca="1">IF(OR(INDEX($X$2:$X$1001,MATCH(ROWS($W$2:W134),$W$2:$W$1001,0),1)&gt;=100000,INDEX($AD$1005:$AU$1005,1,MATCH(COLUMNS($AD$1006:AU1006),$AD$1006:$AU$1006,0))&gt;=100000), " ",IF(INDEX($AD$2:$AU$1001,MATCH(ROWS($W$2:W134),$W$2:$W$1001,0),MATCH(COLUMNS($AD$1006:AU1006),$AD$1006:$AU$1006,0)), HYPERLINK("#",""), HYPERLINK(CONCATENATE("#metadata!", ADDRESS(INDEX($Y$2:$Y$1001,MATCH(ROWS($W$2:W134),$W$2:$W$1001,0),0), INDEX($AD$1004:$AU$1004,1,MATCH(COLUMNS($AD$1006:AU1006),$AD$1006:$AU$1006,0)))),"Fix")))</f>
        <v xml:space="preserve"> </v>
      </c>
      <c r="W134">
        <v>133</v>
      </c>
      <c r="X134">
        <v>100134</v>
      </c>
      <c r="Y134">
        <v>134</v>
      </c>
      <c r="Z134" t="b">
        <f t="shared" si="2"/>
        <v>1</v>
      </c>
      <c r="AA134" t="b">
        <f>COUNTBLANK(metadata!B134:S134)=COLUMNS(metadata!B134:S134)</f>
        <v>1</v>
      </c>
      <c r="AB134" t="str">
        <v/>
      </c>
      <c r="AD134" t="b">
        <f ca="1">AND(IF(metadata!B134="",FALSE,TRUE),COUNTIF(metadata!B:B, metadata!B134) = 1,NOT(ISERROR(SUMPRODUCT(SEARCH(MID(metadata!B134,ROW(INDIRECT("1:"&amp;LEN(metadata!B134))), 1),"0123456789abcdefghijklmnopqrstuvwxyzABCDEFGHIJKLMNOPQRSTUVWXYZ.")))))</f>
        <v>0</v>
      </c>
      <c r="AE134" t="b">
        <f>OR(AND(IF(metadata!C134="",FALSE,TRUE),OR(EXACT(metadata!C134,"not applicable"),EXACT(metadata!C134,"missing: not collected"),EXACT(metadata!C134,"missing: not provided"),EXACT(metadata!C134,"missing: restricted access"))),AND(IF(metadata!C134="",FALSE,ISNUMBER(VALUE(metadata!C134))),metadata!C134&gt;0))</f>
        <v>0</v>
      </c>
      <c r="AF134" t="b">
        <f>AND(IF(metadata!D134="",FALSE,TRUE),EXACT(metadata!D134,"missing: not provided"))</f>
        <v>0</v>
      </c>
      <c r="AG134" t="b">
        <f>AND(IF(metadata!E134="",FALSE,TRUE),EXACT(metadata!E134,"Host-associated"))</f>
        <v>0</v>
      </c>
      <c r="AH134" t="b">
        <f>AND(IF(metadata!F134="",FALSE,TRUE),OR(EXACT(metadata!F134,"Animal"),EXACT(metadata!F134,"Fungus"),EXACT(metadata!F134,"Plant")))</f>
        <v>0</v>
      </c>
      <c r="AI134" t="b">
        <f>AND(IF(metadata!G134="",FALSE,TRUE),OR(EXACT(metadata!G134,"Plant secretion"),EXACT(metadata!G134,"Plant rhizosphere"),EXACT(metadata!G134,"Plant surface"),EXACT(metadata!G134,"Plant corpus"),EXACT(metadata!G134,"Fungus surface"),EXACT(metadata!G134,"Fungus corpus"),EXACT(metadata!G134,"Animal surface"),EXACT(metadata!G134,"Animal proximal gut"),EXACT(metadata!G134,"Animal corpus"),EXACT(metadata!G134,"Animal distal gut"),EXACT(metadata!G134,"Animal secretion")))</f>
        <v>0</v>
      </c>
      <c r="AJ134" t="b">
        <f>OR(AND(IF(metadata!H134="",FALSE,TRUE),OR(EXACT(metadata!H134,"missing: not collected"),EXACT(metadata!H134,"missing: not provided"),EXACT(metadata!H134,"missing: restricted access"))),AND(IF(metadata!H134="",FALSE,TRUE),OR(EXACT(metadata!H134,"organism-associated habitat"),EXACT(metadata!H134,"plant-associated habitat"),EXACT(metadata!H134,"animal-associated habitat"),EXACT(metadata!H134,"insecta-associated habitat"),EXACT(metadata!H134,"mammalia-associated habitat"),EXACT(metadata!H134,"human-associated habitat"),EXACT(metadata!H134,"livestock-associated habitat"))))</f>
        <v>0</v>
      </c>
      <c r="AK134" t="b">
        <f>AND(IF(metadata!I134="",FALSE,TRUE),EXACT(metadata!I134,"host-associated"))</f>
        <v>0</v>
      </c>
      <c r="AL134" t="b">
        <f>OR(AND(IF(metadata!J134="",FALSE,TRUE),OR(EXACT(metadata!J134,"not applicable"),EXACT(metadata!J134,"missing: not collected"),EXACT(metadata!J134,"missing: not provided"),EXACT(metadata!J134,"missing: restricted access"))),AND(IF(metadata!J134="",FALSE,ISNUMBER(VALUE(metadata!J134))),metadata!J134&gt;0))</f>
        <v>0</v>
      </c>
      <c r="AM134" t="b">
        <f>AND(IF(metadata!K134="",FALSE,TRUE),EXACT(metadata!K134,"missing: not provided"))</f>
        <v>0</v>
      </c>
      <c r="AN134" t="b">
        <f>IF(metadata!L134="",FALSE,TRUE)</f>
        <v>0</v>
      </c>
      <c r="AO134" t="b">
        <f>IF(metadata!M134="",FALSE,TRUE)</f>
        <v>0</v>
      </c>
      <c r="AP134" t="b">
        <f>OR(AND(IF(metadata!N134="",FALSE,TRUE),OR(EXACT(metadata!N134,"not applicable"),EXACT(metadata!N134,"missing: not collected"),EXACT(metadata!N134,"missing: not provided"))),AND(IF(metadata!N134="",FALSE,IF(ISERROR(INT(metadata!N134)),FALSE,INT(metadata!N134)=metadata!N134)),metadata!N134&gt;0))</f>
        <v>0</v>
      </c>
      <c r="AQ134" t="b">
        <f>AND(IF(metadata!O134="",FALSE,TRUE),EXACT(metadata!O134,"Not applicable"))</f>
        <v>0</v>
      </c>
      <c r="AR134" t="b">
        <f>OR(AND(IF(metadata!P134="",FALSE,TRUE),OR(EXACT(metadata!P134,"not applicable"),EXACT(metadata!P134,"missing: not collected"),EXACT(metadata!P134,"missing: not provided"),EXACT(metadata!P134,"missing: restricted access"))),IF(metadata!P134="",FALSE,IF(ISERROR(INT(metadata!P134)),FALSE,INT(metadata!P134)=metadata!P134)))</f>
        <v>0</v>
      </c>
      <c r="AS134" t="b">
        <f>AND(IF(metadata!Q134="",FALSE,TRUE),EXACT(metadata!Q134,"Not applicable"))</f>
        <v>0</v>
      </c>
      <c r="AT134" t="b">
        <f>OR(AND(IF(metadata!R134="",FALSE,TRUE),OR(EXACT(metadata!R134,"not applicable"),EXACT(metadata!R134,"missing: not collected"),EXACT(metadata!R134,"missing: not provided"),EXACT(metadata!R134,"missing: restricted access"))),AND(IF(metadata!R134="",FALSE,ISNUMBER(VALUE(metadata!R134))),metadata!R134&gt;0))</f>
        <v>0</v>
      </c>
      <c r="AU134" t="b">
        <f>AND(IF(metadata!S134="",FALSE,TRUE),EXACT(metadata!S134,"missing: not provided"))</f>
        <v>0</v>
      </c>
    </row>
    <row r="135" spans="1:47" x14ac:dyDescent="0.2">
      <c r="A135" s="5" t="str">
        <f ca="1">IF(B135=" "," ",HYPERLINK(CONCATENATE("#metadata!",ADDRESS(INDEX($Y$2:$Y$1001,MATCH(ROWS($W$2:W135),$W$2:$W$1001,0),0),1)),INDEX($AB$2:$AB$1001,MATCH(ROWS($W$2:W135),$W$2:$W$1001,0),0)))</f>
        <v xml:space="preserve"> </v>
      </c>
      <c r="B135" s="4" t="str">
        <f ca="1">IF(OR(INDEX($X$2:$X$1001,MATCH(ROWS($W$2:W135),$W$2:$W$1001,0),1)&gt;=100000,INDEX($AD$1005:$AU$1005,1,MATCH(COLUMNS($AD$1006:AD1006),$AD$1006:$AU$1006,0))&gt;=100000), " ",IF(INDEX($AD$2:$AU$1001,MATCH(ROWS($W$2:W135),$W$2:$W$1001,0),MATCH(COLUMNS($AD$1006:AD1006),$AD$1006:$AU$1006,0)), HYPERLINK("#",""), HYPERLINK(CONCATENATE("#metadata!", ADDRESS(INDEX($Y$2:$Y$1001,MATCH(ROWS($W$2:W135),$W$2:$W$1001,0),0), INDEX($AD$1004:$AU$1004,1,MATCH(COLUMNS($AD$1006:AD1006),$AD$1006:$AU$1006,0)))),"Fix")))</f>
        <v xml:space="preserve"> </v>
      </c>
      <c r="C135" s="4" t="str">
        <f ca="1">IF(OR(INDEX($X$2:$X$1001,MATCH(ROWS($W$2:W135),$W$2:$W$1001,0),1)&gt;=100000,INDEX($AD$1005:$AU$1005,1,MATCH(COLUMNS($AD$1006:AE1006),$AD$1006:$AU$1006,0))&gt;=100000), " ",IF(INDEX($AD$2:$AU$1001,MATCH(ROWS($W$2:W135),$W$2:$W$1001,0),MATCH(COLUMNS($AD$1006:AE1006),$AD$1006:$AU$1006,0)), HYPERLINK("#",""), HYPERLINK(CONCATENATE("#metadata!", ADDRESS(INDEX($Y$2:$Y$1001,MATCH(ROWS($W$2:W135),$W$2:$W$1001,0),0), INDEX($AD$1004:$AU$1004,1,MATCH(COLUMNS($AD$1006:AE1006),$AD$1006:$AU$1006,0)))),"Fix")))</f>
        <v xml:space="preserve"> </v>
      </c>
      <c r="D135" s="4" t="str">
        <f ca="1">IF(OR(INDEX($X$2:$X$1001,MATCH(ROWS($W$2:W135),$W$2:$W$1001,0),1)&gt;=100000,INDEX($AD$1005:$AU$1005,1,MATCH(COLUMNS($AD$1006:AF1006),$AD$1006:$AU$1006,0))&gt;=100000), " ",IF(INDEX($AD$2:$AU$1001,MATCH(ROWS($W$2:W135),$W$2:$W$1001,0),MATCH(COLUMNS($AD$1006:AF1006),$AD$1006:$AU$1006,0)), HYPERLINK("#",""), HYPERLINK(CONCATENATE("#metadata!", ADDRESS(INDEX($Y$2:$Y$1001,MATCH(ROWS($W$2:W135),$W$2:$W$1001,0),0), INDEX($AD$1004:$AU$1004,1,MATCH(COLUMNS($AD$1006:AF1006),$AD$1006:$AU$1006,0)))),"Fix")))</f>
        <v xml:space="preserve"> </v>
      </c>
      <c r="E135" s="4" t="str">
        <f ca="1">IF(OR(INDEX($X$2:$X$1001,MATCH(ROWS($W$2:W135),$W$2:$W$1001,0),1)&gt;=100000,INDEX($AD$1005:$AU$1005,1,MATCH(COLUMNS($AD$1006:AG1006),$AD$1006:$AU$1006,0))&gt;=100000), " ",IF(INDEX($AD$2:$AU$1001,MATCH(ROWS($W$2:W135),$W$2:$W$1001,0),MATCH(COLUMNS($AD$1006:AG1006),$AD$1006:$AU$1006,0)), HYPERLINK("#",""), HYPERLINK(CONCATENATE("#metadata!", ADDRESS(INDEX($Y$2:$Y$1001,MATCH(ROWS($W$2:W135),$W$2:$W$1001,0),0), INDEX($AD$1004:$AU$1004,1,MATCH(COLUMNS($AD$1006:AG1006),$AD$1006:$AU$1006,0)))),"Fix")))</f>
        <v xml:space="preserve"> </v>
      </c>
      <c r="F135" s="4" t="str">
        <f ca="1">IF(OR(INDEX($X$2:$X$1001,MATCH(ROWS($W$2:W135),$W$2:$W$1001,0),1)&gt;=100000,INDEX($AD$1005:$AU$1005,1,MATCH(COLUMNS($AD$1006:AH1006),$AD$1006:$AU$1006,0))&gt;=100000), " ",IF(INDEX($AD$2:$AU$1001,MATCH(ROWS($W$2:W135),$W$2:$W$1001,0),MATCH(COLUMNS($AD$1006:AH1006),$AD$1006:$AU$1006,0)), HYPERLINK("#",""), HYPERLINK(CONCATENATE("#metadata!", ADDRESS(INDEX($Y$2:$Y$1001,MATCH(ROWS($W$2:W135),$W$2:$W$1001,0),0), INDEX($AD$1004:$AU$1004,1,MATCH(COLUMNS($AD$1006:AH1006),$AD$1006:$AU$1006,0)))),"Fix")))</f>
        <v xml:space="preserve"> </v>
      </c>
      <c r="G135" s="4" t="str">
        <f ca="1">IF(OR(INDEX($X$2:$X$1001,MATCH(ROWS($W$2:W135),$W$2:$W$1001,0),1)&gt;=100000,INDEX($AD$1005:$AU$1005,1,MATCH(COLUMNS($AD$1006:AI1006),$AD$1006:$AU$1006,0))&gt;=100000), " ",IF(INDEX($AD$2:$AU$1001,MATCH(ROWS($W$2:W135),$W$2:$W$1001,0),MATCH(COLUMNS($AD$1006:AI1006),$AD$1006:$AU$1006,0)), HYPERLINK("#",""), HYPERLINK(CONCATENATE("#metadata!", ADDRESS(INDEX($Y$2:$Y$1001,MATCH(ROWS($W$2:W135),$W$2:$W$1001,0),0), INDEX($AD$1004:$AU$1004,1,MATCH(COLUMNS($AD$1006:AI1006),$AD$1006:$AU$1006,0)))),"Fix")))</f>
        <v xml:space="preserve"> </v>
      </c>
      <c r="H135" s="4" t="str">
        <f ca="1">IF(OR(INDEX($X$2:$X$1001,MATCH(ROWS($W$2:W135),$W$2:$W$1001,0),1)&gt;=100000,INDEX($AD$1005:$AU$1005,1,MATCH(COLUMNS($AD$1006:AJ1006),$AD$1006:$AU$1006,0))&gt;=100000), " ",IF(INDEX($AD$2:$AU$1001,MATCH(ROWS($W$2:W135),$W$2:$W$1001,0),MATCH(COLUMNS($AD$1006:AJ1006),$AD$1006:$AU$1006,0)), HYPERLINK("#",""), HYPERLINK(CONCATENATE("#metadata!", ADDRESS(INDEX($Y$2:$Y$1001,MATCH(ROWS($W$2:W135),$W$2:$W$1001,0),0), INDEX($AD$1004:$AU$1004,1,MATCH(COLUMNS($AD$1006:AJ1006),$AD$1006:$AU$1006,0)))),"Fix")))</f>
        <v xml:space="preserve"> </v>
      </c>
      <c r="I135" s="4" t="str">
        <f ca="1">IF(OR(INDEX($X$2:$X$1001,MATCH(ROWS($W$2:W135),$W$2:$W$1001,0),1)&gt;=100000,INDEX($AD$1005:$AU$1005,1,MATCH(COLUMNS($AD$1006:AK1006),$AD$1006:$AU$1006,0))&gt;=100000), " ",IF(INDEX($AD$2:$AU$1001,MATCH(ROWS($W$2:W135),$W$2:$W$1001,0),MATCH(COLUMNS($AD$1006:AK1006),$AD$1006:$AU$1006,0)), HYPERLINK("#",""), HYPERLINK(CONCATENATE("#metadata!", ADDRESS(INDEX($Y$2:$Y$1001,MATCH(ROWS($W$2:W135),$W$2:$W$1001,0),0), INDEX($AD$1004:$AU$1004,1,MATCH(COLUMNS($AD$1006:AK1006),$AD$1006:$AU$1006,0)))),"Fix")))</f>
        <v xml:space="preserve"> </v>
      </c>
      <c r="J135" s="4" t="str">
        <f ca="1">IF(OR(INDEX($X$2:$X$1001,MATCH(ROWS($W$2:W135),$W$2:$W$1001,0),1)&gt;=100000,INDEX($AD$1005:$AU$1005,1,MATCH(COLUMNS($AD$1006:AL1006),$AD$1006:$AU$1006,0))&gt;=100000), " ",IF(INDEX($AD$2:$AU$1001,MATCH(ROWS($W$2:W135),$W$2:$W$1001,0),MATCH(COLUMNS($AD$1006:AL1006),$AD$1006:$AU$1006,0)), HYPERLINK("#",""), HYPERLINK(CONCATENATE("#metadata!", ADDRESS(INDEX($Y$2:$Y$1001,MATCH(ROWS($W$2:W135),$W$2:$W$1001,0),0), INDEX($AD$1004:$AU$1004,1,MATCH(COLUMNS($AD$1006:AL1006),$AD$1006:$AU$1006,0)))),"Fix")))</f>
        <v xml:space="preserve"> </v>
      </c>
      <c r="K135" s="4" t="str">
        <f ca="1">IF(OR(INDEX($X$2:$X$1001,MATCH(ROWS($W$2:W135),$W$2:$W$1001,0),1)&gt;=100000,INDEX($AD$1005:$AU$1005,1,MATCH(COLUMNS($AD$1006:AM1006),$AD$1006:$AU$1006,0))&gt;=100000), " ",IF(INDEX($AD$2:$AU$1001,MATCH(ROWS($W$2:W135),$W$2:$W$1001,0),MATCH(COLUMNS($AD$1006:AM1006),$AD$1006:$AU$1006,0)), HYPERLINK("#",""), HYPERLINK(CONCATENATE("#metadata!", ADDRESS(INDEX($Y$2:$Y$1001,MATCH(ROWS($W$2:W135),$W$2:$W$1001,0),0), INDEX($AD$1004:$AU$1004,1,MATCH(COLUMNS($AD$1006:AM1006),$AD$1006:$AU$1006,0)))),"Fix")))</f>
        <v xml:space="preserve"> </v>
      </c>
      <c r="L135" s="4" t="str">
        <f ca="1">IF(OR(INDEX($X$2:$X$1001,MATCH(ROWS($W$2:W135),$W$2:$W$1001,0),1)&gt;=100000,INDEX($AD$1005:$AU$1005,1,MATCH(COLUMNS($AD$1006:AN1006),$AD$1006:$AU$1006,0))&gt;=100000), " ",IF(INDEX($AD$2:$AU$1001,MATCH(ROWS($W$2:W135),$W$2:$W$1001,0),MATCH(COLUMNS($AD$1006:AN1006),$AD$1006:$AU$1006,0)), HYPERLINK("#",""), HYPERLINK(CONCATENATE("#metadata!", ADDRESS(INDEX($Y$2:$Y$1001,MATCH(ROWS($W$2:W135),$W$2:$W$1001,0),0), INDEX($AD$1004:$AU$1004,1,MATCH(COLUMNS($AD$1006:AN1006),$AD$1006:$AU$1006,0)))),"Fix")))</f>
        <v xml:space="preserve"> </v>
      </c>
      <c r="M135" s="4" t="str">
        <f ca="1">IF(OR(INDEX($X$2:$X$1001,MATCH(ROWS($W$2:W135),$W$2:$W$1001,0),1)&gt;=100000,INDEX($AD$1005:$AU$1005,1,MATCH(COLUMNS($AD$1006:AO1006),$AD$1006:$AU$1006,0))&gt;=100000), " ",IF(INDEX($AD$2:$AU$1001,MATCH(ROWS($W$2:W135),$W$2:$W$1001,0),MATCH(COLUMNS($AD$1006:AO1006),$AD$1006:$AU$1006,0)), HYPERLINK("#",""), HYPERLINK(CONCATENATE("#metadata!", ADDRESS(INDEX($Y$2:$Y$1001,MATCH(ROWS($W$2:W135),$W$2:$W$1001,0),0), INDEX($AD$1004:$AU$1004,1,MATCH(COLUMNS($AD$1006:AO1006),$AD$1006:$AU$1006,0)))),"Fix")))</f>
        <v xml:space="preserve"> </v>
      </c>
      <c r="N135" s="4" t="str">
        <f ca="1">IF(OR(INDEX($X$2:$X$1001,MATCH(ROWS($W$2:W135),$W$2:$W$1001,0),1)&gt;=100000,INDEX($AD$1005:$AU$1005,1,MATCH(COLUMNS($AD$1006:AP1006),$AD$1006:$AU$1006,0))&gt;=100000), " ",IF(INDEX($AD$2:$AU$1001,MATCH(ROWS($W$2:W135),$W$2:$W$1001,0),MATCH(COLUMNS($AD$1006:AP1006),$AD$1006:$AU$1006,0)), HYPERLINK("#",""), HYPERLINK(CONCATENATE("#metadata!", ADDRESS(INDEX($Y$2:$Y$1001,MATCH(ROWS($W$2:W135),$W$2:$W$1001,0),0), INDEX($AD$1004:$AU$1004,1,MATCH(COLUMNS($AD$1006:AP1006),$AD$1006:$AU$1006,0)))),"Fix")))</f>
        <v xml:space="preserve"> </v>
      </c>
      <c r="O135" s="4" t="str">
        <f ca="1">IF(OR(INDEX($X$2:$X$1001,MATCH(ROWS($W$2:W135),$W$2:$W$1001,0),1)&gt;=100000,INDEX($AD$1005:$AU$1005,1,MATCH(COLUMNS($AD$1006:AQ1006),$AD$1006:$AU$1006,0))&gt;=100000), " ",IF(INDEX($AD$2:$AU$1001,MATCH(ROWS($W$2:W135),$W$2:$W$1001,0),MATCH(COLUMNS($AD$1006:AQ1006),$AD$1006:$AU$1006,0)), HYPERLINK("#",""), HYPERLINK(CONCATENATE("#metadata!", ADDRESS(INDEX($Y$2:$Y$1001,MATCH(ROWS($W$2:W135),$W$2:$W$1001,0),0), INDEX($AD$1004:$AU$1004,1,MATCH(COLUMNS($AD$1006:AQ1006),$AD$1006:$AU$1006,0)))),"Fix")))</f>
        <v xml:space="preserve"> </v>
      </c>
      <c r="P135" s="4" t="str">
        <f ca="1">IF(OR(INDEX($X$2:$X$1001,MATCH(ROWS($W$2:W135),$W$2:$W$1001,0),1)&gt;=100000,INDEX($AD$1005:$AU$1005,1,MATCH(COLUMNS($AD$1006:AR1006),$AD$1006:$AU$1006,0))&gt;=100000), " ",IF(INDEX($AD$2:$AU$1001,MATCH(ROWS($W$2:W135),$W$2:$W$1001,0),MATCH(COLUMNS($AD$1006:AR1006),$AD$1006:$AU$1006,0)), HYPERLINK("#",""), HYPERLINK(CONCATENATE("#metadata!", ADDRESS(INDEX($Y$2:$Y$1001,MATCH(ROWS($W$2:W135),$W$2:$W$1001,0),0), INDEX($AD$1004:$AU$1004,1,MATCH(COLUMNS($AD$1006:AR1006),$AD$1006:$AU$1006,0)))),"Fix")))</f>
        <v xml:space="preserve"> </v>
      </c>
      <c r="Q135" s="4" t="str">
        <f ca="1">IF(OR(INDEX($X$2:$X$1001,MATCH(ROWS($W$2:W135),$W$2:$W$1001,0),1)&gt;=100000,INDEX($AD$1005:$AU$1005,1,MATCH(COLUMNS($AD$1006:AS1006),$AD$1006:$AU$1006,0))&gt;=100000), " ",IF(INDEX($AD$2:$AU$1001,MATCH(ROWS($W$2:W135),$W$2:$W$1001,0),MATCH(COLUMNS($AD$1006:AS1006),$AD$1006:$AU$1006,0)), HYPERLINK("#",""), HYPERLINK(CONCATENATE("#metadata!", ADDRESS(INDEX($Y$2:$Y$1001,MATCH(ROWS($W$2:W135),$W$2:$W$1001,0),0), INDEX($AD$1004:$AU$1004,1,MATCH(COLUMNS($AD$1006:AS1006),$AD$1006:$AU$1006,0)))),"Fix")))</f>
        <v xml:space="preserve"> </v>
      </c>
      <c r="R135" s="4" t="str">
        <f ca="1">IF(OR(INDEX($X$2:$X$1001,MATCH(ROWS($W$2:W135),$W$2:$W$1001,0),1)&gt;=100000,INDEX($AD$1005:$AU$1005,1,MATCH(COLUMNS($AD$1006:AT1006),$AD$1006:$AU$1006,0))&gt;=100000), " ",IF(INDEX($AD$2:$AU$1001,MATCH(ROWS($W$2:W135),$W$2:$W$1001,0),MATCH(COLUMNS($AD$1006:AT1006),$AD$1006:$AU$1006,0)), HYPERLINK("#",""), HYPERLINK(CONCATENATE("#metadata!", ADDRESS(INDEX($Y$2:$Y$1001,MATCH(ROWS($W$2:W135),$W$2:$W$1001,0),0), INDEX($AD$1004:$AU$1004,1,MATCH(COLUMNS($AD$1006:AT1006),$AD$1006:$AU$1006,0)))),"Fix")))</f>
        <v xml:space="preserve"> </v>
      </c>
      <c r="S135" s="4" t="str">
        <f ca="1">IF(OR(INDEX($X$2:$X$1001,MATCH(ROWS($W$2:W135),$W$2:$W$1001,0),1)&gt;=100000,INDEX($AD$1005:$AU$1005,1,MATCH(COLUMNS($AD$1006:AU1006),$AD$1006:$AU$1006,0))&gt;=100000), " ",IF(INDEX($AD$2:$AU$1001,MATCH(ROWS($W$2:W135),$W$2:$W$1001,0),MATCH(COLUMNS($AD$1006:AU1006),$AD$1006:$AU$1006,0)), HYPERLINK("#",""), HYPERLINK(CONCATENATE("#metadata!", ADDRESS(INDEX($Y$2:$Y$1001,MATCH(ROWS($W$2:W135),$W$2:$W$1001,0),0), INDEX($AD$1004:$AU$1004,1,MATCH(COLUMNS($AD$1006:AU1006),$AD$1006:$AU$1006,0)))),"Fix")))</f>
        <v xml:space="preserve"> </v>
      </c>
      <c r="W135">
        <v>134</v>
      </c>
      <c r="X135">
        <v>100135</v>
      </c>
      <c r="Y135">
        <v>135</v>
      </c>
      <c r="Z135" t="b">
        <f t="shared" si="2"/>
        <v>1</v>
      </c>
      <c r="AA135" t="b">
        <f>COUNTBLANK(metadata!B135:S135)=COLUMNS(metadata!B135:S135)</f>
        <v>1</v>
      </c>
      <c r="AB135" t="str">
        <v/>
      </c>
      <c r="AD135" t="b">
        <f ca="1">AND(IF(metadata!B135="",FALSE,TRUE),COUNTIF(metadata!B:B, metadata!B135) = 1,NOT(ISERROR(SUMPRODUCT(SEARCH(MID(metadata!B135,ROW(INDIRECT("1:"&amp;LEN(metadata!B135))), 1),"0123456789abcdefghijklmnopqrstuvwxyzABCDEFGHIJKLMNOPQRSTUVWXYZ.")))))</f>
        <v>0</v>
      </c>
      <c r="AE135" t="b">
        <f>OR(AND(IF(metadata!C135="",FALSE,TRUE),OR(EXACT(metadata!C135,"not applicable"),EXACT(metadata!C135,"missing: not collected"),EXACT(metadata!C135,"missing: not provided"),EXACT(metadata!C135,"missing: restricted access"))),AND(IF(metadata!C135="",FALSE,ISNUMBER(VALUE(metadata!C135))),metadata!C135&gt;0))</f>
        <v>0</v>
      </c>
      <c r="AF135" t="b">
        <f>AND(IF(metadata!D135="",FALSE,TRUE),EXACT(metadata!D135,"missing: not provided"))</f>
        <v>0</v>
      </c>
      <c r="AG135" t="b">
        <f>AND(IF(metadata!E135="",FALSE,TRUE),EXACT(metadata!E135,"Host-associated"))</f>
        <v>0</v>
      </c>
      <c r="AH135" t="b">
        <f>AND(IF(metadata!F135="",FALSE,TRUE),OR(EXACT(metadata!F135,"Animal"),EXACT(metadata!F135,"Fungus"),EXACT(metadata!F135,"Plant")))</f>
        <v>0</v>
      </c>
      <c r="AI135" t="b">
        <f>AND(IF(metadata!G135="",FALSE,TRUE),OR(EXACT(metadata!G135,"Plant secretion"),EXACT(metadata!G135,"Plant rhizosphere"),EXACT(metadata!G135,"Plant surface"),EXACT(metadata!G135,"Plant corpus"),EXACT(metadata!G135,"Fungus surface"),EXACT(metadata!G135,"Fungus corpus"),EXACT(metadata!G135,"Animal surface"),EXACT(metadata!G135,"Animal proximal gut"),EXACT(metadata!G135,"Animal corpus"),EXACT(metadata!G135,"Animal distal gut"),EXACT(metadata!G135,"Animal secretion")))</f>
        <v>0</v>
      </c>
      <c r="AJ135" t="b">
        <f>OR(AND(IF(metadata!H135="",FALSE,TRUE),OR(EXACT(metadata!H135,"missing: not collected"),EXACT(metadata!H135,"missing: not provided"),EXACT(metadata!H135,"missing: restricted access"))),AND(IF(metadata!H135="",FALSE,TRUE),OR(EXACT(metadata!H135,"organism-associated habitat"),EXACT(metadata!H135,"plant-associated habitat"),EXACT(metadata!H135,"animal-associated habitat"),EXACT(metadata!H135,"insecta-associated habitat"),EXACT(metadata!H135,"mammalia-associated habitat"),EXACT(metadata!H135,"human-associated habitat"),EXACT(metadata!H135,"livestock-associated habitat"))))</f>
        <v>0</v>
      </c>
      <c r="AK135" t="b">
        <f>AND(IF(metadata!I135="",FALSE,TRUE),EXACT(metadata!I135,"host-associated"))</f>
        <v>0</v>
      </c>
      <c r="AL135" t="b">
        <f>OR(AND(IF(metadata!J135="",FALSE,TRUE),OR(EXACT(metadata!J135,"not applicable"),EXACT(metadata!J135,"missing: not collected"),EXACT(metadata!J135,"missing: not provided"),EXACT(metadata!J135,"missing: restricted access"))),AND(IF(metadata!J135="",FALSE,ISNUMBER(VALUE(metadata!J135))),metadata!J135&gt;0))</f>
        <v>0</v>
      </c>
      <c r="AM135" t="b">
        <f>AND(IF(metadata!K135="",FALSE,TRUE),EXACT(metadata!K135,"missing: not provided"))</f>
        <v>0</v>
      </c>
      <c r="AN135" t="b">
        <f>IF(metadata!L135="",FALSE,TRUE)</f>
        <v>0</v>
      </c>
      <c r="AO135" t="b">
        <f>IF(metadata!M135="",FALSE,TRUE)</f>
        <v>0</v>
      </c>
      <c r="AP135" t="b">
        <f>OR(AND(IF(metadata!N135="",FALSE,TRUE),OR(EXACT(metadata!N135,"not applicable"),EXACT(metadata!N135,"missing: not collected"),EXACT(metadata!N135,"missing: not provided"))),AND(IF(metadata!N135="",FALSE,IF(ISERROR(INT(metadata!N135)),FALSE,INT(metadata!N135)=metadata!N135)),metadata!N135&gt;0))</f>
        <v>0</v>
      </c>
      <c r="AQ135" t="b">
        <f>AND(IF(metadata!O135="",FALSE,TRUE),EXACT(metadata!O135,"Not applicable"))</f>
        <v>0</v>
      </c>
      <c r="AR135" t="b">
        <f>OR(AND(IF(metadata!P135="",FALSE,TRUE),OR(EXACT(metadata!P135,"not applicable"),EXACT(metadata!P135,"missing: not collected"),EXACT(metadata!P135,"missing: not provided"),EXACT(metadata!P135,"missing: restricted access"))),IF(metadata!P135="",FALSE,IF(ISERROR(INT(metadata!P135)),FALSE,INT(metadata!P135)=metadata!P135)))</f>
        <v>0</v>
      </c>
      <c r="AS135" t="b">
        <f>AND(IF(metadata!Q135="",FALSE,TRUE),EXACT(metadata!Q135,"Not applicable"))</f>
        <v>0</v>
      </c>
      <c r="AT135" t="b">
        <f>OR(AND(IF(metadata!R135="",FALSE,TRUE),OR(EXACT(metadata!R135,"not applicable"),EXACT(metadata!R135,"missing: not collected"),EXACT(metadata!R135,"missing: not provided"),EXACT(metadata!R135,"missing: restricted access"))),AND(IF(metadata!R135="",FALSE,ISNUMBER(VALUE(metadata!R135))),metadata!R135&gt;0))</f>
        <v>0</v>
      </c>
      <c r="AU135" t="b">
        <f>AND(IF(metadata!S135="",FALSE,TRUE),EXACT(metadata!S135,"missing: not provided"))</f>
        <v>0</v>
      </c>
    </row>
    <row r="136" spans="1:47" x14ac:dyDescent="0.2">
      <c r="A136" s="5" t="str">
        <f ca="1">IF(B136=" "," ",HYPERLINK(CONCATENATE("#metadata!",ADDRESS(INDEX($Y$2:$Y$1001,MATCH(ROWS($W$2:W136),$W$2:$W$1001,0),0),1)),INDEX($AB$2:$AB$1001,MATCH(ROWS($W$2:W136),$W$2:$W$1001,0),0)))</f>
        <v xml:space="preserve"> </v>
      </c>
      <c r="B136" s="4" t="str">
        <f ca="1">IF(OR(INDEX($X$2:$X$1001,MATCH(ROWS($W$2:W136),$W$2:$W$1001,0),1)&gt;=100000,INDEX($AD$1005:$AU$1005,1,MATCH(COLUMNS($AD$1006:AD1006),$AD$1006:$AU$1006,0))&gt;=100000), " ",IF(INDEX($AD$2:$AU$1001,MATCH(ROWS($W$2:W136),$W$2:$W$1001,0),MATCH(COLUMNS($AD$1006:AD1006),$AD$1006:$AU$1006,0)), HYPERLINK("#",""), HYPERLINK(CONCATENATE("#metadata!", ADDRESS(INDEX($Y$2:$Y$1001,MATCH(ROWS($W$2:W136),$W$2:$W$1001,0),0), INDEX($AD$1004:$AU$1004,1,MATCH(COLUMNS($AD$1006:AD1006),$AD$1006:$AU$1006,0)))),"Fix")))</f>
        <v xml:space="preserve"> </v>
      </c>
      <c r="C136" s="4" t="str">
        <f ca="1">IF(OR(INDEX($X$2:$X$1001,MATCH(ROWS($W$2:W136),$W$2:$W$1001,0),1)&gt;=100000,INDEX($AD$1005:$AU$1005,1,MATCH(COLUMNS($AD$1006:AE1006),$AD$1006:$AU$1006,0))&gt;=100000), " ",IF(INDEX($AD$2:$AU$1001,MATCH(ROWS($W$2:W136),$W$2:$W$1001,0),MATCH(COLUMNS($AD$1006:AE1006),$AD$1006:$AU$1006,0)), HYPERLINK("#",""), HYPERLINK(CONCATENATE("#metadata!", ADDRESS(INDEX($Y$2:$Y$1001,MATCH(ROWS($W$2:W136),$W$2:$W$1001,0),0), INDEX($AD$1004:$AU$1004,1,MATCH(COLUMNS($AD$1006:AE1006),$AD$1006:$AU$1006,0)))),"Fix")))</f>
        <v xml:space="preserve"> </v>
      </c>
      <c r="D136" s="4" t="str">
        <f ca="1">IF(OR(INDEX($X$2:$X$1001,MATCH(ROWS($W$2:W136),$W$2:$W$1001,0),1)&gt;=100000,INDEX($AD$1005:$AU$1005,1,MATCH(COLUMNS($AD$1006:AF1006),$AD$1006:$AU$1006,0))&gt;=100000), " ",IF(INDEX($AD$2:$AU$1001,MATCH(ROWS($W$2:W136),$W$2:$W$1001,0),MATCH(COLUMNS($AD$1006:AF1006),$AD$1006:$AU$1006,0)), HYPERLINK("#",""), HYPERLINK(CONCATENATE("#metadata!", ADDRESS(INDEX($Y$2:$Y$1001,MATCH(ROWS($W$2:W136),$W$2:$W$1001,0),0), INDEX($AD$1004:$AU$1004,1,MATCH(COLUMNS($AD$1006:AF1006),$AD$1006:$AU$1006,0)))),"Fix")))</f>
        <v xml:space="preserve"> </v>
      </c>
      <c r="E136" s="4" t="str">
        <f ca="1">IF(OR(INDEX($X$2:$X$1001,MATCH(ROWS($W$2:W136),$W$2:$W$1001,0),1)&gt;=100000,INDEX($AD$1005:$AU$1005,1,MATCH(COLUMNS($AD$1006:AG1006),$AD$1006:$AU$1006,0))&gt;=100000), " ",IF(INDEX($AD$2:$AU$1001,MATCH(ROWS($W$2:W136),$W$2:$W$1001,0),MATCH(COLUMNS($AD$1006:AG1006),$AD$1006:$AU$1006,0)), HYPERLINK("#",""), HYPERLINK(CONCATENATE("#metadata!", ADDRESS(INDEX($Y$2:$Y$1001,MATCH(ROWS($W$2:W136),$W$2:$W$1001,0),0), INDEX($AD$1004:$AU$1004,1,MATCH(COLUMNS($AD$1006:AG1006),$AD$1006:$AU$1006,0)))),"Fix")))</f>
        <v xml:space="preserve"> </v>
      </c>
      <c r="F136" s="4" t="str">
        <f ca="1">IF(OR(INDEX($X$2:$X$1001,MATCH(ROWS($W$2:W136),$W$2:$W$1001,0),1)&gt;=100000,INDEX($AD$1005:$AU$1005,1,MATCH(COLUMNS($AD$1006:AH1006),$AD$1006:$AU$1006,0))&gt;=100000), " ",IF(INDEX($AD$2:$AU$1001,MATCH(ROWS($W$2:W136),$W$2:$W$1001,0),MATCH(COLUMNS($AD$1006:AH1006),$AD$1006:$AU$1006,0)), HYPERLINK("#",""), HYPERLINK(CONCATENATE("#metadata!", ADDRESS(INDEX($Y$2:$Y$1001,MATCH(ROWS($W$2:W136),$W$2:$W$1001,0),0), INDEX($AD$1004:$AU$1004,1,MATCH(COLUMNS($AD$1006:AH1006),$AD$1006:$AU$1006,0)))),"Fix")))</f>
        <v xml:space="preserve"> </v>
      </c>
      <c r="G136" s="4" t="str">
        <f ca="1">IF(OR(INDEX($X$2:$X$1001,MATCH(ROWS($W$2:W136),$W$2:$W$1001,0),1)&gt;=100000,INDEX($AD$1005:$AU$1005,1,MATCH(COLUMNS($AD$1006:AI1006),$AD$1006:$AU$1006,0))&gt;=100000), " ",IF(INDEX($AD$2:$AU$1001,MATCH(ROWS($W$2:W136),$W$2:$W$1001,0),MATCH(COLUMNS($AD$1006:AI1006),$AD$1006:$AU$1006,0)), HYPERLINK("#",""), HYPERLINK(CONCATENATE("#metadata!", ADDRESS(INDEX($Y$2:$Y$1001,MATCH(ROWS($W$2:W136),$W$2:$W$1001,0),0), INDEX($AD$1004:$AU$1004,1,MATCH(COLUMNS($AD$1006:AI1006),$AD$1006:$AU$1006,0)))),"Fix")))</f>
        <v xml:space="preserve"> </v>
      </c>
      <c r="H136" s="4" t="str">
        <f ca="1">IF(OR(INDEX($X$2:$X$1001,MATCH(ROWS($W$2:W136),$W$2:$W$1001,0),1)&gt;=100000,INDEX($AD$1005:$AU$1005,1,MATCH(COLUMNS($AD$1006:AJ1006),$AD$1006:$AU$1006,0))&gt;=100000), " ",IF(INDEX($AD$2:$AU$1001,MATCH(ROWS($W$2:W136),$W$2:$W$1001,0),MATCH(COLUMNS($AD$1006:AJ1006),$AD$1006:$AU$1006,0)), HYPERLINK("#",""), HYPERLINK(CONCATENATE("#metadata!", ADDRESS(INDEX($Y$2:$Y$1001,MATCH(ROWS($W$2:W136),$W$2:$W$1001,0),0), INDEX($AD$1004:$AU$1004,1,MATCH(COLUMNS($AD$1006:AJ1006),$AD$1006:$AU$1006,0)))),"Fix")))</f>
        <v xml:space="preserve"> </v>
      </c>
      <c r="I136" s="4" t="str">
        <f ca="1">IF(OR(INDEX($X$2:$X$1001,MATCH(ROWS($W$2:W136),$W$2:$W$1001,0),1)&gt;=100000,INDEX($AD$1005:$AU$1005,1,MATCH(COLUMNS($AD$1006:AK1006),$AD$1006:$AU$1006,0))&gt;=100000), " ",IF(INDEX($AD$2:$AU$1001,MATCH(ROWS($W$2:W136),$W$2:$W$1001,0),MATCH(COLUMNS($AD$1006:AK1006),$AD$1006:$AU$1006,0)), HYPERLINK("#",""), HYPERLINK(CONCATENATE("#metadata!", ADDRESS(INDEX($Y$2:$Y$1001,MATCH(ROWS($W$2:W136),$W$2:$W$1001,0),0), INDEX($AD$1004:$AU$1004,1,MATCH(COLUMNS($AD$1006:AK1006),$AD$1006:$AU$1006,0)))),"Fix")))</f>
        <v xml:space="preserve"> </v>
      </c>
      <c r="J136" s="4" t="str">
        <f ca="1">IF(OR(INDEX($X$2:$X$1001,MATCH(ROWS($W$2:W136),$W$2:$W$1001,0),1)&gt;=100000,INDEX($AD$1005:$AU$1005,1,MATCH(COLUMNS($AD$1006:AL1006),$AD$1006:$AU$1006,0))&gt;=100000), " ",IF(INDEX($AD$2:$AU$1001,MATCH(ROWS($W$2:W136),$W$2:$W$1001,0),MATCH(COLUMNS($AD$1006:AL1006),$AD$1006:$AU$1006,0)), HYPERLINK("#",""), HYPERLINK(CONCATENATE("#metadata!", ADDRESS(INDEX($Y$2:$Y$1001,MATCH(ROWS($W$2:W136),$W$2:$W$1001,0),0), INDEX($AD$1004:$AU$1004,1,MATCH(COLUMNS($AD$1006:AL1006),$AD$1006:$AU$1006,0)))),"Fix")))</f>
        <v xml:space="preserve"> </v>
      </c>
      <c r="K136" s="4" t="str">
        <f ca="1">IF(OR(INDEX($X$2:$X$1001,MATCH(ROWS($W$2:W136),$W$2:$W$1001,0),1)&gt;=100000,INDEX($AD$1005:$AU$1005,1,MATCH(COLUMNS($AD$1006:AM1006),$AD$1006:$AU$1006,0))&gt;=100000), " ",IF(INDEX($AD$2:$AU$1001,MATCH(ROWS($W$2:W136),$W$2:$W$1001,0),MATCH(COLUMNS($AD$1006:AM1006),$AD$1006:$AU$1006,0)), HYPERLINK("#",""), HYPERLINK(CONCATENATE("#metadata!", ADDRESS(INDEX($Y$2:$Y$1001,MATCH(ROWS($W$2:W136),$W$2:$W$1001,0),0), INDEX($AD$1004:$AU$1004,1,MATCH(COLUMNS($AD$1006:AM1006),$AD$1006:$AU$1006,0)))),"Fix")))</f>
        <v xml:space="preserve"> </v>
      </c>
      <c r="L136" s="4" t="str">
        <f ca="1">IF(OR(INDEX($X$2:$X$1001,MATCH(ROWS($W$2:W136),$W$2:$W$1001,0),1)&gt;=100000,INDEX($AD$1005:$AU$1005,1,MATCH(COLUMNS($AD$1006:AN1006),$AD$1006:$AU$1006,0))&gt;=100000), " ",IF(INDEX($AD$2:$AU$1001,MATCH(ROWS($W$2:W136),$W$2:$W$1001,0),MATCH(COLUMNS($AD$1006:AN1006),$AD$1006:$AU$1006,0)), HYPERLINK("#",""), HYPERLINK(CONCATENATE("#metadata!", ADDRESS(INDEX($Y$2:$Y$1001,MATCH(ROWS($W$2:W136),$W$2:$W$1001,0),0), INDEX($AD$1004:$AU$1004,1,MATCH(COLUMNS($AD$1006:AN1006),$AD$1006:$AU$1006,0)))),"Fix")))</f>
        <v xml:space="preserve"> </v>
      </c>
      <c r="M136" s="4" t="str">
        <f ca="1">IF(OR(INDEX($X$2:$X$1001,MATCH(ROWS($W$2:W136),$W$2:$W$1001,0),1)&gt;=100000,INDEX($AD$1005:$AU$1005,1,MATCH(COLUMNS($AD$1006:AO1006),$AD$1006:$AU$1006,0))&gt;=100000), " ",IF(INDEX($AD$2:$AU$1001,MATCH(ROWS($W$2:W136),$W$2:$W$1001,0),MATCH(COLUMNS($AD$1006:AO1006),$AD$1006:$AU$1006,0)), HYPERLINK("#",""), HYPERLINK(CONCATENATE("#metadata!", ADDRESS(INDEX($Y$2:$Y$1001,MATCH(ROWS($W$2:W136),$W$2:$W$1001,0),0), INDEX($AD$1004:$AU$1004,1,MATCH(COLUMNS($AD$1006:AO1006),$AD$1006:$AU$1006,0)))),"Fix")))</f>
        <v xml:space="preserve"> </v>
      </c>
      <c r="N136" s="4" t="str">
        <f ca="1">IF(OR(INDEX($X$2:$X$1001,MATCH(ROWS($W$2:W136),$W$2:$W$1001,0),1)&gt;=100000,INDEX($AD$1005:$AU$1005,1,MATCH(COLUMNS($AD$1006:AP1006),$AD$1006:$AU$1006,0))&gt;=100000), " ",IF(INDEX($AD$2:$AU$1001,MATCH(ROWS($W$2:W136),$W$2:$W$1001,0),MATCH(COLUMNS($AD$1006:AP1006),$AD$1006:$AU$1006,0)), HYPERLINK("#",""), HYPERLINK(CONCATENATE("#metadata!", ADDRESS(INDEX($Y$2:$Y$1001,MATCH(ROWS($W$2:W136),$W$2:$W$1001,0),0), INDEX($AD$1004:$AU$1004,1,MATCH(COLUMNS($AD$1006:AP1006),$AD$1006:$AU$1006,0)))),"Fix")))</f>
        <v xml:space="preserve"> </v>
      </c>
      <c r="O136" s="4" t="str">
        <f ca="1">IF(OR(INDEX($X$2:$X$1001,MATCH(ROWS($W$2:W136),$W$2:$W$1001,0),1)&gt;=100000,INDEX($AD$1005:$AU$1005,1,MATCH(COLUMNS($AD$1006:AQ1006),$AD$1006:$AU$1006,0))&gt;=100000), " ",IF(INDEX($AD$2:$AU$1001,MATCH(ROWS($W$2:W136),$W$2:$W$1001,0),MATCH(COLUMNS($AD$1006:AQ1006),$AD$1006:$AU$1006,0)), HYPERLINK("#",""), HYPERLINK(CONCATENATE("#metadata!", ADDRESS(INDEX($Y$2:$Y$1001,MATCH(ROWS($W$2:W136),$W$2:$W$1001,0),0), INDEX($AD$1004:$AU$1004,1,MATCH(COLUMNS($AD$1006:AQ1006),$AD$1006:$AU$1006,0)))),"Fix")))</f>
        <v xml:space="preserve"> </v>
      </c>
      <c r="P136" s="4" t="str">
        <f ca="1">IF(OR(INDEX($X$2:$X$1001,MATCH(ROWS($W$2:W136),$W$2:$W$1001,0),1)&gt;=100000,INDEX($AD$1005:$AU$1005,1,MATCH(COLUMNS($AD$1006:AR1006),$AD$1006:$AU$1006,0))&gt;=100000), " ",IF(INDEX($AD$2:$AU$1001,MATCH(ROWS($W$2:W136),$W$2:$W$1001,0),MATCH(COLUMNS($AD$1006:AR1006),$AD$1006:$AU$1006,0)), HYPERLINK("#",""), HYPERLINK(CONCATENATE("#metadata!", ADDRESS(INDEX($Y$2:$Y$1001,MATCH(ROWS($W$2:W136),$W$2:$W$1001,0),0), INDEX($AD$1004:$AU$1004,1,MATCH(COLUMNS($AD$1006:AR1006),$AD$1006:$AU$1006,0)))),"Fix")))</f>
        <v xml:space="preserve"> </v>
      </c>
      <c r="Q136" s="4" t="str">
        <f ca="1">IF(OR(INDEX($X$2:$X$1001,MATCH(ROWS($W$2:W136),$W$2:$W$1001,0),1)&gt;=100000,INDEX($AD$1005:$AU$1005,1,MATCH(COLUMNS($AD$1006:AS1006),$AD$1006:$AU$1006,0))&gt;=100000), " ",IF(INDEX($AD$2:$AU$1001,MATCH(ROWS($W$2:W136),$W$2:$W$1001,0),MATCH(COLUMNS($AD$1006:AS1006),$AD$1006:$AU$1006,0)), HYPERLINK("#",""), HYPERLINK(CONCATENATE("#metadata!", ADDRESS(INDEX($Y$2:$Y$1001,MATCH(ROWS($W$2:W136),$W$2:$W$1001,0),0), INDEX($AD$1004:$AU$1004,1,MATCH(COLUMNS($AD$1006:AS1006),$AD$1006:$AU$1006,0)))),"Fix")))</f>
        <v xml:space="preserve"> </v>
      </c>
      <c r="R136" s="4" t="str">
        <f ca="1">IF(OR(INDEX($X$2:$X$1001,MATCH(ROWS($W$2:W136),$W$2:$W$1001,0),1)&gt;=100000,INDEX($AD$1005:$AU$1005,1,MATCH(COLUMNS($AD$1006:AT1006),$AD$1006:$AU$1006,0))&gt;=100000), " ",IF(INDEX($AD$2:$AU$1001,MATCH(ROWS($W$2:W136),$W$2:$W$1001,0),MATCH(COLUMNS($AD$1006:AT1006),$AD$1006:$AU$1006,0)), HYPERLINK("#",""), HYPERLINK(CONCATENATE("#metadata!", ADDRESS(INDEX($Y$2:$Y$1001,MATCH(ROWS($W$2:W136),$W$2:$W$1001,0),0), INDEX($AD$1004:$AU$1004,1,MATCH(COLUMNS($AD$1006:AT1006),$AD$1006:$AU$1006,0)))),"Fix")))</f>
        <v xml:space="preserve"> </v>
      </c>
      <c r="S136" s="4" t="str">
        <f ca="1">IF(OR(INDEX($X$2:$X$1001,MATCH(ROWS($W$2:W136),$W$2:$W$1001,0),1)&gt;=100000,INDEX($AD$1005:$AU$1005,1,MATCH(COLUMNS($AD$1006:AU1006),$AD$1006:$AU$1006,0))&gt;=100000), " ",IF(INDEX($AD$2:$AU$1001,MATCH(ROWS($W$2:W136),$W$2:$W$1001,0),MATCH(COLUMNS($AD$1006:AU1006),$AD$1006:$AU$1006,0)), HYPERLINK("#",""), HYPERLINK(CONCATENATE("#metadata!", ADDRESS(INDEX($Y$2:$Y$1001,MATCH(ROWS($W$2:W136),$W$2:$W$1001,0),0), INDEX($AD$1004:$AU$1004,1,MATCH(COLUMNS($AD$1006:AU1006),$AD$1006:$AU$1006,0)))),"Fix")))</f>
        <v xml:space="preserve"> </v>
      </c>
      <c r="W136">
        <v>135</v>
      </c>
      <c r="X136">
        <v>100136</v>
      </c>
      <c r="Y136">
        <v>136</v>
      </c>
      <c r="Z136" t="b">
        <f t="shared" si="2"/>
        <v>1</v>
      </c>
      <c r="AA136" t="b">
        <f>COUNTBLANK(metadata!B136:S136)=COLUMNS(metadata!B136:S136)</f>
        <v>1</v>
      </c>
      <c r="AB136" t="str">
        <v/>
      </c>
      <c r="AD136" t="b">
        <f ca="1">AND(IF(metadata!B136="",FALSE,TRUE),COUNTIF(metadata!B:B, metadata!B136) = 1,NOT(ISERROR(SUMPRODUCT(SEARCH(MID(metadata!B136,ROW(INDIRECT("1:"&amp;LEN(metadata!B136))), 1),"0123456789abcdefghijklmnopqrstuvwxyzABCDEFGHIJKLMNOPQRSTUVWXYZ.")))))</f>
        <v>0</v>
      </c>
      <c r="AE136" t="b">
        <f>OR(AND(IF(metadata!C136="",FALSE,TRUE),OR(EXACT(metadata!C136,"not applicable"),EXACT(metadata!C136,"missing: not collected"),EXACT(metadata!C136,"missing: not provided"),EXACT(metadata!C136,"missing: restricted access"))),AND(IF(metadata!C136="",FALSE,ISNUMBER(VALUE(metadata!C136))),metadata!C136&gt;0))</f>
        <v>0</v>
      </c>
      <c r="AF136" t="b">
        <f>AND(IF(metadata!D136="",FALSE,TRUE),EXACT(metadata!D136,"missing: not provided"))</f>
        <v>0</v>
      </c>
      <c r="AG136" t="b">
        <f>AND(IF(metadata!E136="",FALSE,TRUE),EXACT(metadata!E136,"Host-associated"))</f>
        <v>0</v>
      </c>
      <c r="AH136" t="b">
        <f>AND(IF(metadata!F136="",FALSE,TRUE),OR(EXACT(metadata!F136,"Animal"),EXACT(metadata!F136,"Fungus"),EXACT(metadata!F136,"Plant")))</f>
        <v>0</v>
      </c>
      <c r="AI136" t="b">
        <f>AND(IF(metadata!G136="",FALSE,TRUE),OR(EXACT(metadata!G136,"Plant secretion"),EXACT(metadata!G136,"Plant rhizosphere"),EXACT(metadata!G136,"Plant surface"),EXACT(metadata!G136,"Plant corpus"),EXACT(metadata!G136,"Fungus surface"),EXACT(metadata!G136,"Fungus corpus"),EXACT(metadata!G136,"Animal surface"),EXACT(metadata!G136,"Animal proximal gut"),EXACT(metadata!G136,"Animal corpus"),EXACT(metadata!G136,"Animal distal gut"),EXACT(metadata!G136,"Animal secretion")))</f>
        <v>0</v>
      </c>
      <c r="AJ136" t="b">
        <f>OR(AND(IF(metadata!H136="",FALSE,TRUE),OR(EXACT(metadata!H136,"missing: not collected"),EXACT(metadata!H136,"missing: not provided"),EXACT(metadata!H136,"missing: restricted access"))),AND(IF(metadata!H136="",FALSE,TRUE),OR(EXACT(metadata!H136,"organism-associated habitat"),EXACT(metadata!H136,"plant-associated habitat"),EXACT(metadata!H136,"animal-associated habitat"),EXACT(metadata!H136,"insecta-associated habitat"),EXACT(metadata!H136,"mammalia-associated habitat"),EXACT(metadata!H136,"human-associated habitat"),EXACT(metadata!H136,"livestock-associated habitat"))))</f>
        <v>0</v>
      </c>
      <c r="AK136" t="b">
        <f>AND(IF(metadata!I136="",FALSE,TRUE),EXACT(metadata!I136,"host-associated"))</f>
        <v>0</v>
      </c>
      <c r="AL136" t="b">
        <f>OR(AND(IF(metadata!J136="",FALSE,TRUE),OR(EXACT(metadata!J136,"not applicable"),EXACT(metadata!J136,"missing: not collected"),EXACT(metadata!J136,"missing: not provided"),EXACT(metadata!J136,"missing: restricted access"))),AND(IF(metadata!J136="",FALSE,ISNUMBER(VALUE(metadata!J136))),metadata!J136&gt;0))</f>
        <v>0</v>
      </c>
      <c r="AM136" t="b">
        <f>AND(IF(metadata!K136="",FALSE,TRUE),EXACT(metadata!K136,"missing: not provided"))</f>
        <v>0</v>
      </c>
      <c r="AN136" t="b">
        <f>IF(metadata!L136="",FALSE,TRUE)</f>
        <v>0</v>
      </c>
      <c r="AO136" t="b">
        <f>IF(metadata!M136="",FALSE,TRUE)</f>
        <v>0</v>
      </c>
      <c r="AP136" t="b">
        <f>OR(AND(IF(metadata!N136="",FALSE,TRUE),OR(EXACT(metadata!N136,"not applicable"),EXACT(metadata!N136,"missing: not collected"),EXACT(metadata!N136,"missing: not provided"))),AND(IF(metadata!N136="",FALSE,IF(ISERROR(INT(metadata!N136)),FALSE,INT(metadata!N136)=metadata!N136)),metadata!N136&gt;0))</f>
        <v>0</v>
      </c>
      <c r="AQ136" t="b">
        <f>AND(IF(metadata!O136="",FALSE,TRUE),EXACT(metadata!O136,"Not applicable"))</f>
        <v>0</v>
      </c>
      <c r="AR136" t="b">
        <f>OR(AND(IF(metadata!P136="",FALSE,TRUE),OR(EXACT(metadata!P136,"not applicable"),EXACT(metadata!P136,"missing: not collected"),EXACT(metadata!P136,"missing: not provided"),EXACT(metadata!P136,"missing: restricted access"))),IF(metadata!P136="",FALSE,IF(ISERROR(INT(metadata!P136)),FALSE,INT(metadata!P136)=metadata!P136)))</f>
        <v>0</v>
      </c>
      <c r="AS136" t="b">
        <f>AND(IF(metadata!Q136="",FALSE,TRUE),EXACT(metadata!Q136,"Not applicable"))</f>
        <v>0</v>
      </c>
      <c r="AT136" t="b">
        <f>OR(AND(IF(metadata!R136="",FALSE,TRUE),OR(EXACT(metadata!R136,"not applicable"),EXACT(metadata!R136,"missing: not collected"),EXACT(metadata!R136,"missing: not provided"),EXACT(metadata!R136,"missing: restricted access"))),AND(IF(metadata!R136="",FALSE,ISNUMBER(VALUE(metadata!R136))),metadata!R136&gt;0))</f>
        <v>0</v>
      </c>
      <c r="AU136" t="b">
        <f>AND(IF(metadata!S136="",FALSE,TRUE),EXACT(metadata!S136,"missing: not provided"))</f>
        <v>0</v>
      </c>
    </row>
    <row r="137" spans="1:47" x14ac:dyDescent="0.2">
      <c r="A137" s="5" t="str">
        <f ca="1">IF(B137=" "," ",HYPERLINK(CONCATENATE("#metadata!",ADDRESS(INDEX($Y$2:$Y$1001,MATCH(ROWS($W$2:W137),$W$2:$W$1001,0),0),1)),INDEX($AB$2:$AB$1001,MATCH(ROWS($W$2:W137),$W$2:$W$1001,0),0)))</f>
        <v xml:space="preserve"> </v>
      </c>
      <c r="B137" s="4" t="str">
        <f ca="1">IF(OR(INDEX($X$2:$X$1001,MATCH(ROWS($W$2:W137),$W$2:$W$1001,0),1)&gt;=100000,INDEX($AD$1005:$AU$1005,1,MATCH(COLUMNS($AD$1006:AD1006),$AD$1006:$AU$1006,0))&gt;=100000), " ",IF(INDEX($AD$2:$AU$1001,MATCH(ROWS($W$2:W137),$W$2:$W$1001,0),MATCH(COLUMNS($AD$1006:AD1006),$AD$1006:$AU$1006,0)), HYPERLINK("#",""), HYPERLINK(CONCATENATE("#metadata!", ADDRESS(INDEX($Y$2:$Y$1001,MATCH(ROWS($W$2:W137),$W$2:$W$1001,0),0), INDEX($AD$1004:$AU$1004,1,MATCH(COLUMNS($AD$1006:AD1006),$AD$1006:$AU$1006,0)))),"Fix")))</f>
        <v xml:space="preserve"> </v>
      </c>
      <c r="C137" s="4" t="str">
        <f ca="1">IF(OR(INDEX($X$2:$X$1001,MATCH(ROWS($W$2:W137),$W$2:$W$1001,0),1)&gt;=100000,INDEX($AD$1005:$AU$1005,1,MATCH(COLUMNS($AD$1006:AE1006),$AD$1006:$AU$1006,0))&gt;=100000), " ",IF(INDEX($AD$2:$AU$1001,MATCH(ROWS($W$2:W137),$W$2:$W$1001,0),MATCH(COLUMNS($AD$1006:AE1006),$AD$1006:$AU$1006,0)), HYPERLINK("#",""), HYPERLINK(CONCATENATE("#metadata!", ADDRESS(INDEX($Y$2:$Y$1001,MATCH(ROWS($W$2:W137),$W$2:$W$1001,0),0), INDEX($AD$1004:$AU$1004,1,MATCH(COLUMNS($AD$1006:AE1006),$AD$1006:$AU$1006,0)))),"Fix")))</f>
        <v xml:space="preserve"> </v>
      </c>
      <c r="D137" s="4" t="str">
        <f ca="1">IF(OR(INDEX($X$2:$X$1001,MATCH(ROWS($W$2:W137),$W$2:$W$1001,0),1)&gt;=100000,INDEX($AD$1005:$AU$1005,1,MATCH(COLUMNS($AD$1006:AF1006),$AD$1006:$AU$1006,0))&gt;=100000), " ",IF(INDEX($AD$2:$AU$1001,MATCH(ROWS($W$2:W137),$W$2:$W$1001,0),MATCH(COLUMNS($AD$1006:AF1006),$AD$1006:$AU$1006,0)), HYPERLINK("#",""), HYPERLINK(CONCATENATE("#metadata!", ADDRESS(INDEX($Y$2:$Y$1001,MATCH(ROWS($W$2:W137),$W$2:$W$1001,0),0), INDEX($AD$1004:$AU$1004,1,MATCH(COLUMNS($AD$1006:AF1006),$AD$1006:$AU$1006,0)))),"Fix")))</f>
        <v xml:space="preserve"> </v>
      </c>
      <c r="E137" s="4" t="str">
        <f ca="1">IF(OR(INDEX($X$2:$X$1001,MATCH(ROWS($W$2:W137),$W$2:$W$1001,0),1)&gt;=100000,INDEX($AD$1005:$AU$1005,1,MATCH(COLUMNS($AD$1006:AG1006),$AD$1006:$AU$1006,0))&gt;=100000), " ",IF(INDEX($AD$2:$AU$1001,MATCH(ROWS($W$2:W137),$W$2:$W$1001,0),MATCH(COLUMNS($AD$1006:AG1006),$AD$1006:$AU$1006,0)), HYPERLINK("#",""), HYPERLINK(CONCATENATE("#metadata!", ADDRESS(INDEX($Y$2:$Y$1001,MATCH(ROWS($W$2:W137),$W$2:$W$1001,0),0), INDEX($AD$1004:$AU$1004,1,MATCH(COLUMNS($AD$1006:AG1006),$AD$1006:$AU$1006,0)))),"Fix")))</f>
        <v xml:space="preserve"> </v>
      </c>
      <c r="F137" s="4" t="str">
        <f ca="1">IF(OR(INDEX($X$2:$X$1001,MATCH(ROWS($W$2:W137),$W$2:$W$1001,0),1)&gt;=100000,INDEX($AD$1005:$AU$1005,1,MATCH(COLUMNS($AD$1006:AH1006),$AD$1006:$AU$1006,0))&gt;=100000), " ",IF(INDEX($AD$2:$AU$1001,MATCH(ROWS($W$2:W137),$W$2:$W$1001,0),MATCH(COLUMNS($AD$1006:AH1006),$AD$1006:$AU$1006,0)), HYPERLINK("#",""), HYPERLINK(CONCATENATE("#metadata!", ADDRESS(INDEX($Y$2:$Y$1001,MATCH(ROWS($W$2:W137),$W$2:$W$1001,0),0), INDEX($AD$1004:$AU$1004,1,MATCH(COLUMNS($AD$1006:AH1006),$AD$1006:$AU$1006,0)))),"Fix")))</f>
        <v xml:space="preserve"> </v>
      </c>
      <c r="G137" s="4" t="str">
        <f ca="1">IF(OR(INDEX($X$2:$X$1001,MATCH(ROWS($W$2:W137),$W$2:$W$1001,0),1)&gt;=100000,INDEX($AD$1005:$AU$1005,1,MATCH(COLUMNS($AD$1006:AI1006),$AD$1006:$AU$1006,0))&gt;=100000), " ",IF(INDEX($AD$2:$AU$1001,MATCH(ROWS($W$2:W137),$W$2:$W$1001,0),MATCH(COLUMNS($AD$1006:AI1006),$AD$1006:$AU$1006,0)), HYPERLINK("#",""), HYPERLINK(CONCATENATE("#metadata!", ADDRESS(INDEX($Y$2:$Y$1001,MATCH(ROWS($W$2:W137),$W$2:$W$1001,0),0), INDEX($AD$1004:$AU$1004,1,MATCH(COLUMNS($AD$1006:AI1006),$AD$1006:$AU$1006,0)))),"Fix")))</f>
        <v xml:space="preserve"> </v>
      </c>
      <c r="H137" s="4" t="str">
        <f ca="1">IF(OR(INDEX($X$2:$X$1001,MATCH(ROWS($W$2:W137),$W$2:$W$1001,0),1)&gt;=100000,INDEX($AD$1005:$AU$1005,1,MATCH(COLUMNS($AD$1006:AJ1006),$AD$1006:$AU$1006,0))&gt;=100000), " ",IF(INDEX($AD$2:$AU$1001,MATCH(ROWS($W$2:W137),$W$2:$W$1001,0),MATCH(COLUMNS($AD$1006:AJ1006),$AD$1006:$AU$1006,0)), HYPERLINK("#",""), HYPERLINK(CONCATENATE("#metadata!", ADDRESS(INDEX($Y$2:$Y$1001,MATCH(ROWS($W$2:W137),$W$2:$W$1001,0),0), INDEX($AD$1004:$AU$1004,1,MATCH(COLUMNS($AD$1006:AJ1006),$AD$1006:$AU$1006,0)))),"Fix")))</f>
        <v xml:space="preserve"> </v>
      </c>
      <c r="I137" s="4" t="str">
        <f ca="1">IF(OR(INDEX($X$2:$X$1001,MATCH(ROWS($W$2:W137),$W$2:$W$1001,0),1)&gt;=100000,INDEX($AD$1005:$AU$1005,1,MATCH(COLUMNS($AD$1006:AK1006),$AD$1006:$AU$1006,0))&gt;=100000), " ",IF(INDEX($AD$2:$AU$1001,MATCH(ROWS($W$2:W137),$W$2:$W$1001,0),MATCH(COLUMNS($AD$1006:AK1006),$AD$1006:$AU$1006,0)), HYPERLINK("#",""), HYPERLINK(CONCATENATE("#metadata!", ADDRESS(INDEX($Y$2:$Y$1001,MATCH(ROWS($W$2:W137),$W$2:$W$1001,0),0), INDEX($AD$1004:$AU$1004,1,MATCH(COLUMNS($AD$1006:AK1006),$AD$1006:$AU$1006,0)))),"Fix")))</f>
        <v xml:space="preserve"> </v>
      </c>
      <c r="J137" s="4" t="str">
        <f ca="1">IF(OR(INDEX($X$2:$X$1001,MATCH(ROWS($W$2:W137),$W$2:$W$1001,0),1)&gt;=100000,INDEX($AD$1005:$AU$1005,1,MATCH(COLUMNS($AD$1006:AL1006),$AD$1006:$AU$1006,0))&gt;=100000), " ",IF(INDEX($AD$2:$AU$1001,MATCH(ROWS($W$2:W137),$W$2:$W$1001,0),MATCH(COLUMNS($AD$1006:AL1006),$AD$1006:$AU$1006,0)), HYPERLINK("#",""), HYPERLINK(CONCATENATE("#metadata!", ADDRESS(INDEX($Y$2:$Y$1001,MATCH(ROWS($W$2:W137),$W$2:$W$1001,0),0), INDEX($AD$1004:$AU$1004,1,MATCH(COLUMNS($AD$1006:AL1006),$AD$1006:$AU$1006,0)))),"Fix")))</f>
        <v xml:space="preserve"> </v>
      </c>
      <c r="K137" s="4" t="str">
        <f ca="1">IF(OR(INDEX($X$2:$X$1001,MATCH(ROWS($W$2:W137),$W$2:$W$1001,0),1)&gt;=100000,INDEX($AD$1005:$AU$1005,1,MATCH(COLUMNS($AD$1006:AM1006),$AD$1006:$AU$1006,0))&gt;=100000), " ",IF(INDEX($AD$2:$AU$1001,MATCH(ROWS($W$2:W137),$W$2:$W$1001,0),MATCH(COLUMNS($AD$1006:AM1006),$AD$1006:$AU$1006,0)), HYPERLINK("#",""), HYPERLINK(CONCATENATE("#metadata!", ADDRESS(INDEX($Y$2:$Y$1001,MATCH(ROWS($W$2:W137),$W$2:$W$1001,0),0), INDEX($AD$1004:$AU$1004,1,MATCH(COLUMNS($AD$1006:AM1006),$AD$1006:$AU$1006,0)))),"Fix")))</f>
        <v xml:space="preserve"> </v>
      </c>
      <c r="L137" s="4" t="str">
        <f ca="1">IF(OR(INDEX($X$2:$X$1001,MATCH(ROWS($W$2:W137),$W$2:$W$1001,0),1)&gt;=100000,INDEX($AD$1005:$AU$1005,1,MATCH(COLUMNS($AD$1006:AN1006),$AD$1006:$AU$1006,0))&gt;=100000), " ",IF(INDEX($AD$2:$AU$1001,MATCH(ROWS($W$2:W137),$W$2:$W$1001,0),MATCH(COLUMNS($AD$1006:AN1006),$AD$1006:$AU$1006,0)), HYPERLINK("#",""), HYPERLINK(CONCATENATE("#metadata!", ADDRESS(INDEX($Y$2:$Y$1001,MATCH(ROWS($W$2:W137),$W$2:$W$1001,0),0), INDEX($AD$1004:$AU$1004,1,MATCH(COLUMNS($AD$1006:AN1006),$AD$1006:$AU$1006,0)))),"Fix")))</f>
        <v xml:space="preserve"> </v>
      </c>
      <c r="M137" s="4" t="str">
        <f ca="1">IF(OR(INDEX($X$2:$X$1001,MATCH(ROWS($W$2:W137),$W$2:$W$1001,0),1)&gt;=100000,INDEX($AD$1005:$AU$1005,1,MATCH(COLUMNS($AD$1006:AO1006),$AD$1006:$AU$1006,0))&gt;=100000), " ",IF(INDEX($AD$2:$AU$1001,MATCH(ROWS($W$2:W137),$W$2:$W$1001,0),MATCH(COLUMNS($AD$1006:AO1006),$AD$1006:$AU$1006,0)), HYPERLINK("#",""), HYPERLINK(CONCATENATE("#metadata!", ADDRESS(INDEX($Y$2:$Y$1001,MATCH(ROWS($W$2:W137),$W$2:$W$1001,0),0), INDEX($AD$1004:$AU$1004,1,MATCH(COLUMNS($AD$1006:AO1006),$AD$1006:$AU$1006,0)))),"Fix")))</f>
        <v xml:space="preserve"> </v>
      </c>
      <c r="N137" s="4" t="str">
        <f ca="1">IF(OR(INDEX($X$2:$X$1001,MATCH(ROWS($W$2:W137),$W$2:$W$1001,0),1)&gt;=100000,INDEX($AD$1005:$AU$1005,1,MATCH(COLUMNS($AD$1006:AP1006),$AD$1006:$AU$1006,0))&gt;=100000), " ",IF(INDEX($AD$2:$AU$1001,MATCH(ROWS($W$2:W137),$W$2:$W$1001,0),MATCH(COLUMNS($AD$1006:AP1006),$AD$1006:$AU$1006,0)), HYPERLINK("#",""), HYPERLINK(CONCATENATE("#metadata!", ADDRESS(INDEX($Y$2:$Y$1001,MATCH(ROWS($W$2:W137),$W$2:$W$1001,0),0), INDEX($AD$1004:$AU$1004,1,MATCH(COLUMNS($AD$1006:AP1006),$AD$1006:$AU$1006,0)))),"Fix")))</f>
        <v xml:space="preserve"> </v>
      </c>
      <c r="O137" s="4" t="str">
        <f ca="1">IF(OR(INDEX($X$2:$X$1001,MATCH(ROWS($W$2:W137),$W$2:$W$1001,0),1)&gt;=100000,INDEX($AD$1005:$AU$1005,1,MATCH(COLUMNS($AD$1006:AQ1006),$AD$1006:$AU$1006,0))&gt;=100000), " ",IF(INDEX($AD$2:$AU$1001,MATCH(ROWS($W$2:W137),$W$2:$W$1001,0),MATCH(COLUMNS($AD$1006:AQ1006),$AD$1006:$AU$1006,0)), HYPERLINK("#",""), HYPERLINK(CONCATENATE("#metadata!", ADDRESS(INDEX($Y$2:$Y$1001,MATCH(ROWS($W$2:W137),$W$2:$W$1001,0),0), INDEX($AD$1004:$AU$1004,1,MATCH(COLUMNS($AD$1006:AQ1006),$AD$1006:$AU$1006,0)))),"Fix")))</f>
        <v xml:space="preserve"> </v>
      </c>
      <c r="P137" s="4" t="str">
        <f ca="1">IF(OR(INDEX($X$2:$X$1001,MATCH(ROWS($W$2:W137),$W$2:$W$1001,0),1)&gt;=100000,INDEX($AD$1005:$AU$1005,1,MATCH(COLUMNS($AD$1006:AR1006),$AD$1006:$AU$1006,0))&gt;=100000), " ",IF(INDEX($AD$2:$AU$1001,MATCH(ROWS($W$2:W137),$W$2:$W$1001,0),MATCH(COLUMNS($AD$1006:AR1006),$AD$1006:$AU$1006,0)), HYPERLINK("#",""), HYPERLINK(CONCATENATE("#metadata!", ADDRESS(INDEX($Y$2:$Y$1001,MATCH(ROWS($W$2:W137),$W$2:$W$1001,0),0), INDEX($AD$1004:$AU$1004,1,MATCH(COLUMNS($AD$1006:AR1006),$AD$1006:$AU$1006,0)))),"Fix")))</f>
        <v xml:space="preserve"> </v>
      </c>
      <c r="Q137" s="4" t="str">
        <f ca="1">IF(OR(INDEX($X$2:$X$1001,MATCH(ROWS($W$2:W137),$W$2:$W$1001,0),1)&gt;=100000,INDEX($AD$1005:$AU$1005,1,MATCH(COLUMNS($AD$1006:AS1006),$AD$1006:$AU$1006,0))&gt;=100000), " ",IF(INDEX($AD$2:$AU$1001,MATCH(ROWS($W$2:W137),$W$2:$W$1001,0),MATCH(COLUMNS($AD$1006:AS1006),$AD$1006:$AU$1006,0)), HYPERLINK("#",""), HYPERLINK(CONCATENATE("#metadata!", ADDRESS(INDEX($Y$2:$Y$1001,MATCH(ROWS($W$2:W137),$W$2:$W$1001,0),0), INDEX($AD$1004:$AU$1004,1,MATCH(COLUMNS($AD$1006:AS1006),$AD$1006:$AU$1006,0)))),"Fix")))</f>
        <v xml:space="preserve"> </v>
      </c>
      <c r="R137" s="4" t="str">
        <f ca="1">IF(OR(INDEX($X$2:$X$1001,MATCH(ROWS($W$2:W137),$W$2:$W$1001,0),1)&gt;=100000,INDEX($AD$1005:$AU$1005,1,MATCH(COLUMNS($AD$1006:AT1006),$AD$1006:$AU$1006,0))&gt;=100000), " ",IF(INDEX($AD$2:$AU$1001,MATCH(ROWS($W$2:W137),$W$2:$W$1001,0),MATCH(COLUMNS($AD$1006:AT1006),$AD$1006:$AU$1006,0)), HYPERLINK("#",""), HYPERLINK(CONCATENATE("#metadata!", ADDRESS(INDEX($Y$2:$Y$1001,MATCH(ROWS($W$2:W137),$W$2:$W$1001,0),0), INDEX($AD$1004:$AU$1004,1,MATCH(COLUMNS($AD$1006:AT1006),$AD$1006:$AU$1006,0)))),"Fix")))</f>
        <v xml:space="preserve"> </v>
      </c>
      <c r="S137" s="4" t="str">
        <f ca="1">IF(OR(INDEX($X$2:$X$1001,MATCH(ROWS($W$2:W137),$W$2:$W$1001,0),1)&gt;=100000,INDEX($AD$1005:$AU$1005,1,MATCH(COLUMNS($AD$1006:AU1006),$AD$1006:$AU$1006,0))&gt;=100000), " ",IF(INDEX($AD$2:$AU$1001,MATCH(ROWS($W$2:W137),$W$2:$W$1001,0),MATCH(COLUMNS($AD$1006:AU1006),$AD$1006:$AU$1006,0)), HYPERLINK("#",""), HYPERLINK(CONCATENATE("#metadata!", ADDRESS(INDEX($Y$2:$Y$1001,MATCH(ROWS($W$2:W137),$W$2:$W$1001,0),0), INDEX($AD$1004:$AU$1004,1,MATCH(COLUMNS($AD$1006:AU1006),$AD$1006:$AU$1006,0)))),"Fix")))</f>
        <v xml:space="preserve"> </v>
      </c>
      <c r="W137">
        <v>136</v>
      </c>
      <c r="X137">
        <v>100137</v>
      </c>
      <c r="Y137">
        <v>137</v>
      </c>
      <c r="Z137" t="b">
        <f t="shared" si="2"/>
        <v>1</v>
      </c>
      <c r="AA137" t="b">
        <f>COUNTBLANK(metadata!B137:S137)=COLUMNS(metadata!B137:S137)</f>
        <v>1</v>
      </c>
      <c r="AB137" t="str">
        <v/>
      </c>
      <c r="AD137" t="b">
        <f ca="1">AND(IF(metadata!B137="",FALSE,TRUE),COUNTIF(metadata!B:B, metadata!B137) = 1,NOT(ISERROR(SUMPRODUCT(SEARCH(MID(metadata!B137,ROW(INDIRECT("1:"&amp;LEN(metadata!B137))), 1),"0123456789abcdefghijklmnopqrstuvwxyzABCDEFGHIJKLMNOPQRSTUVWXYZ.")))))</f>
        <v>0</v>
      </c>
      <c r="AE137" t="b">
        <f>OR(AND(IF(metadata!C137="",FALSE,TRUE),OR(EXACT(metadata!C137,"not applicable"),EXACT(metadata!C137,"missing: not collected"),EXACT(metadata!C137,"missing: not provided"),EXACT(metadata!C137,"missing: restricted access"))),AND(IF(metadata!C137="",FALSE,ISNUMBER(VALUE(metadata!C137))),metadata!C137&gt;0))</f>
        <v>0</v>
      </c>
      <c r="AF137" t="b">
        <f>AND(IF(metadata!D137="",FALSE,TRUE),EXACT(metadata!D137,"missing: not provided"))</f>
        <v>0</v>
      </c>
      <c r="AG137" t="b">
        <f>AND(IF(metadata!E137="",FALSE,TRUE),EXACT(metadata!E137,"Host-associated"))</f>
        <v>0</v>
      </c>
      <c r="AH137" t="b">
        <f>AND(IF(metadata!F137="",FALSE,TRUE),OR(EXACT(metadata!F137,"Animal"),EXACT(metadata!F137,"Fungus"),EXACT(metadata!F137,"Plant")))</f>
        <v>0</v>
      </c>
      <c r="AI137" t="b">
        <f>AND(IF(metadata!G137="",FALSE,TRUE),OR(EXACT(metadata!G137,"Plant secretion"),EXACT(metadata!G137,"Plant rhizosphere"),EXACT(metadata!G137,"Plant surface"),EXACT(metadata!G137,"Plant corpus"),EXACT(metadata!G137,"Fungus surface"),EXACT(metadata!G137,"Fungus corpus"),EXACT(metadata!G137,"Animal surface"),EXACT(metadata!G137,"Animal proximal gut"),EXACT(metadata!G137,"Animal corpus"),EXACT(metadata!G137,"Animal distal gut"),EXACT(metadata!G137,"Animal secretion")))</f>
        <v>0</v>
      </c>
      <c r="AJ137" t="b">
        <f>OR(AND(IF(metadata!H137="",FALSE,TRUE),OR(EXACT(metadata!H137,"missing: not collected"),EXACT(metadata!H137,"missing: not provided"),EXACT(metadata!H137,"missing: restricted access"))),AND(IF(metadata!H137="",FALSE,TRUE),OR(EXACT(metadata!H137,"organism-associated habitat"),EXACT(metadata!H137,"plant-associated habitat"),EXACT(metadata!H137,"animal-associated habitat"),EXACT(metadata!H137,"insecta-associated habitat"),EXACT(metadata!H137,"mammalia-associated habitat"),EXACT(metadata!H137,"human-associated habitat"),EXACT(metadata!H137,"livestock-associated habitat"))))</f>
        <v>0</v>
      </c>
      <c r="AK137" t="b">
        <f>AND(IF(metadata!I137="",FALSE,TRUE),EXACT(metadata!I137,"host-associated"))</f>
        <v>0</v>
      </c>
      <c r="AL137" t="b">
        <f>OR(AND(IF(metadata!J137="",FALSE,TRUE),OR(EXACT(metadata!J137,"not applicable"),EXACT(metadata!J137,"missing: not collected"),EXACT(metadata!J137,"missing: not provided"),EXACT(metadata!J137,"missing: restricted access"))),AND(IF(metadata!J137="",FALSE,ISNUMBER(VALUE(metadata!J137))),metadata!J137&gt;0))</f>
        <v>0</v>
      </c>
      <c r="AM137" t="b">
        <f>AND(IF(metadata!K137="",FALSE,TRUE),EXACT(metadata!K137,"missing: not provided"))</f>
        <v>0</v>
      </c>
      <c r="AN137" t="b">
        <f>IF(metadata!L137="",FALSE,TRUE)</f>
        <v>0</v>
      </c>
      <c r="AO137" t="b">
        <f>IF(metadata!M137="",FALSE,TRUE)</f>
        <v>0</v>
      </c>
      <c r="AP137" t="b">
        <f>OR(AND(IF(metadata!N137="",FALSE,TRUE),OR(EXACT(metadata!N137,"not applicable"),EXACT(metadata!N137,"missing: not collected"),EXACT(metadata!N137,"missing: not provided"))),AND(IF(metadata!N137="",FALSE,IF(ISERROR(INT(metadata!N137)),FALSE,INT(metadata!N137)=metadata!N137)),metadata!N137&gt;0))</f>
        <v>0</v>
      </c>
      <c r="AQ137" t="b">
        <f>AND(IF(metadata!O137="",FALSE,TRUE),EXACT(metadata!O137,"Not applicable"))</f>
        <v>0</v>
      </c>
      <c r="AR137" t="b">
        <f>OR(AND(IF(metadata!P137="",FALSE,TRUE),OR(EXACT(metadata!P137,"not applicable"),EXACT(metadata!P137,"missing: not collected"),EXACT(metadata!P137,"missing: not provided"),EXACT(metadata!P137,"missing: restricted access"))),IF(metadata!P137="",FALSE,IF(ISERROR(INT(metadata!P137)),FALSE,INT(metadata!P137)=metadata!P137)))</f>
        <v>0</v>
      </c>
      <c r="AS137" t="b">
        <f>AND(IF(metadata!Q137="",FALSE,TRUE),EXACT(metadata!Q137,"Not applicable"))</f>
        <v>0</v>
      </c>
      <c r="AT137" t="b">
        <f>OR(AND(IF(metadata!R137="",FALSE,TRUE),OR(EXACT(metadata!R137,"not applicable"),EXACT(metadata!R137,"missing: not collected"),EXACT(metadata!R137,"missing: not provided"),EXACT(metadata!R137,"missing: restricted access"))),AND(IF(metadata!R137="",FALSE,ISNUMBER(VALUE(metadata!R137))),metadata!R137&gt;0))</f>
        <v>0</v>
      </c>
      <c r="AU137" t="b">
        <f>AND(IF(metadata!S137="",FALSE,TRUE),EXACT(metadata!S137,"missing: not provided"))</f>
        <v>0</v>
      </c>
    </row>
    <row r="138" spans="1:47" x14ac:dyDescent="0.2">
      <c r="A138" s="5" t="str">
        <f ca="1">IF(B138=" "," ",HYPERLINK(CONCATENATE("#metadata!",ADDRESS(INDEX($Y$2:$Y$1001,MATCH(ROWS($W$2:W138),$W$2:$W$1001,0),0),1)),INDEX($AB$2:$AB$1001,MATCH(ROWS($W$2:W138),$W$2:$W$1001,0),0)))</f>
        <v xml:space="preserve"> </v>
      </c>
      <c r="B138" s="4" t="str">
        <f ca="1">IF(OR(INDEX($X$2:$X$1001,MATCH(ROWS($W$2:W138),$W$2:$W$1001,0),1)&gt;=100000,INDEX($AD$1005:$AU$1005,1,MATCH(COLUMNS($AD$1006:AD1006),$AD$1006:$AU$1006,0))&gt;=100000), " ",IF(INDEX($AD$2:$AU$1001,MATCH(ROWS($W$2:W138),$W$2:$W$1001,0),MATCH(COLUMNS($AD$1006:AD1006),$AD$1006:$AU$1006,0)), HYPERLINK("#",""), HYPERLINK(CONCATENATE("#metadata!", ADDRESS(INDEX($Y$2:$Y$1001,MATCH(ROWS($W$2:W138),$W$2:$W$1001,0),0), INDEX($AD$1004:$AU$1004,1,MATCH(COLUMNS($AD$1006:AD1006),$AD$1006:$AU$1006,0)))),"Fix")))</f>
        <v xml:space="preserve"> </v>
      </c>
      <c r="C138" s="4" t="str">
        <f ca="1">IF(OR(INDEX($X$2:$X$1001,MATCH(ROWS($W$2:W138),$W$2:$W$1001,0),1)&gt;=100000,INDEX($AD$1005:$AU$1005,1,MATCH(COLUMNS($AD$1006:AE1006),$AD$1006:$AU$1006,0))&gt;=100000), " ",IF(INDEX($AD$2:$AU$1001,MATCH(ROWS($W$2:W138),$W$2:$W$1001,0),MATCH(COLUMNS($AD$1006:AE1006),$AD$1006:$AU$1006,0)), HYPERLINK("#",""), HYPERLINK(CONCATENATE("#metadata!", ADDRESS(INDEX($Y$2:$Y$1001,MATCH(ROWS($W$2:W138),$W$2:$W$1001,0),0), INDEX($AD$1004:$AU$1004,1,MATCH(COLUMNS($AD$1006:AE1006),$AD$1006:$AU$1006,0)))),"Fix")))</f>
        <v xml:space="preserve"> </v>
      </c>
      <c r="D138" s="4" t="str">
        <f ca="1">IF(OR(INDEX($X$2:$X$1001,MATCH(ROWS($W$2:W138),$W$2:$W$1001,0),1)&gt;=100000,INDEX($AD$1005:$AU$1005,1,MATCH(COLUMNS($AD$1006:AF1006),$AD$1006:$AU$1006,0))&gt;=100000), " ",IF(INDEX($AD$2:$AU$1001,MATCH(ROWS($W$2:W138),$W$2:$W$1001,0),MATCH(COLUMNS($AD$1006:AF1006),$AD$1006:$AU$1006,0)), HYPERLINK("#",""), HYPERLINK(CONCATENATE("#metadata!", ADDRESS(INDEX($Y$2:$Y$1001,MATCH(ROWS($W$2:W138),$W$2:$W$1001,0),0), INDEX($AD$1004:$AU$1004,1,MATCH(COLUMNS($AD$1006:AF1006),$AD$1006:$AU$1006,0)))),"Fix")))</f>
        <v xml:space="preserve"> </v>
      </c>
      <c r="E138" s="4" t="str">
        <f ca="1">IF(OR(INDEX($X$2:$X$1001,MATCH(ROWS($W$2:W138),$W$2:$W$1001,0),1)&gt;=100000,INDEX($AD$1005:$AU$1005,1,MATCH(COLUMNS($AD$1006:AG1006),$AD$1006:$AU$1006,0))&gt;=100000), " ",IF(INDEX($AD$2:$AU$1001,MATCH(ROWS($W$2:W138),$W$2:$W$1001,0),MATCH(COLUMNS($AD$1006:AG1006),$AD$1006:$AU$1006,0)), HYPERLINK("#",""), HYPERLINK(CONCATENATE("#metadata!", ADDRESS(INDEX($Y$2:$Y$1001,MATCH(ROWS($W$2:W138),$W$2:$W$1001,0),0), INDEX($AD$1004:$AU$1004,1,MATCH(COLUMNS($AD$1006:AG1006),$AD$1006:$AU$1006,0)))),"Fix")))</f>
        <v xml:space="preserve"> </v>
      </c>
      <c r="F138" s="4" t="str">
        <f ca="1">IF(OR(INDEX($X$2:$X$1001,MATCH(ROWS($W$2:W138),$W$2:$W$1001,0),1)&gt;=100000,INDEX($AD$1005:$AU$1005,1,MATCH(COLUMNS($AD$1006:AH1006),$AD$1006:$AU$1006,0))&gt;=100000), " ",IF(INDEX($AD$2:$AU$1001,MATCH(ROWS($W$2:W138),$W$2:$W$1001,0),MATCH(COLUMNS($AD$1006:AH1006),$AD$1006:$AU$1006,0)), HYPERLINK("#",""), HYPERLINK(CONCATENATE("#metadata!", ADDRESS(INDEX($Y$2:$Y$1001,MATCH(ROWS($W$2:W138),$W$2:$W$1001,0),0), INDEX($AD$1004:$AU$1004,1,MATCH(COLUMNS($AD$1006:AH1006),$AD$1006:$AU$1006,0)))),"Fix")))</f>
        <v xml:space="preserve"> </v>
      </c>
      <c r="G138" s="4" t="str">
        <f ca="1">IF(OR(INDEX($X$2:$X$1001,MATCH(ROWS($W$2:W138),$W$2:$W$1001,0),1)&gt;=100000,INDEX($AD$1005:$AU$1005,1,MATCH(COLUMNS($AD$1006:AI1006),$AD$1006:$AU$1006,0))&gt;=100000), " ",IF(INDEX($AD$2:$AU$1001,MATCH(ROWS($W$2:W138),$W$2:$W$1001,0),MATCH(COLUMNS($AD$1006:AI1006),$AD$1006:$AU$1006,0)), HYPERLINK("#",""), HYPERLINK(CONCATENATE("#metadata!", ADDRESS(INDEX($Y$2:$Y$1001,MATCH(ROWS($W$2:W138),$W$2:$W$1001,0),0), INDEX($AD$1004:$AU$1004,1,MATCH(COLUMNS($AD$1006:AI1006),$AD$1006:$AU$1006,0)))),"Fix")))</f>
        <v xml:space="preserve"> </v>
      </c>
      <c r="H138" s="4" t="str">
        <f ca="1">IF(OR(INDEX($X$2:$X$1001,MATCH(ROWS($W$2:W138),$W$2:$W$1001,0),1)&gt;=100000,INDEX($AD$1005:$AU$1005,1,MATCH(COLUMNS($AD$1006:AJ1006),$AD$1006:$AU$1006,0))&gt;=100000), " ",IF(INDEX($AD$2:$AU$1001,MATCH(ROWS($W$2:W138),$W$2:$W$1001,0),MATCH(COLUMNS($AD$1006:AJ1006),$AD$1006:$AU$1006,0)), HYPERLINK("#",""), HYPERLINK(CONCATENATE("#metadata!", ADDRESS(INDEX($Y$2:$Y$1001,MATCH(ROWS($W$2:W138),$W$2:$W$1001,0),0), INDEX($AD$1004:$AU$1004,1,MATCH(COLUMNS($AD$1006:AJ1006),$AD$1006:$AU$1006,0)))),"Fix")))</f>
        <v xml:space="preserve"> </v>
      </c>
      <c r="I138" s="4" t="str">
        <f ca="1">IF(OR(INDEX($X$2:$X$1001,MATCH(ROWS($W$2:W138),$W$2:$W$1001,0),1)&gt;=100000,INDEX($AD$1005:$AU$1005,1,MATCH(COLUMNS($AD$1006:AK1006),$AD$1006:$AU$1006,0))&gt;=100000), " ",IF(INDEX($AD$2:$AU$1001,MATCH(ROWS($W$2:W138),$W$2:$W$1001,0),MATCH(COLUMNS($AD$1006:AK1006),$AD$1006:$AU$1006,0)), HYPERLINK("#",""), HYPERLINK(CONCATENATE("#metadata!", ADDRESS(INDEX($Y$2:$Y$1001,MATCH(ROWS($W$2:W138),$W$2:$W$1001,0),0), INDEX($AD$1004:$AU$1004,1,MATCH(COLUMNS($AD$1006:AK1006),$AD$1006:$AU$1006,0)))),"Fix")))</f>
        <v xml:space="preserve"> </v>
      </c>
      <c r="J138" s="4" t="str">
        <f ca="1">IF(OR(INDEX($X$2:$X$1001,MATCH(ROWS($W$2:W138),$W$2:$W$1001,0),1)&gt;=100000,INDEX($AD$1005:$AU$1005,1,MATCH(COLUMNS($AD$1006:AL1006),$AD$1006:$AU$1006,0))&gt;=100000), " ",IF(INDEX($AD$2:$AU$1001,MATCH(ROWS($W$2:W138),$W$2:$W$1001,0),MATCH(COLUMNS($AD$1006:AL1006),$AD$1006:$AU$1006,0)), HYPERLINK("#",""), HYPERLINK(CONCATENATE("#metadata!", ADDRESS(INDEX($Y$2:$Y$1001,MATCH(ROWS($W$2:W138),$W$2:$W$1001,0),0), INDEX($AD$1004:$AU$1004,1,MATCH(COLUMNS($AD$1006:AL1006),$AD$1006:$AU$1006,0)))),"Fix")))</f>
        <v xml:space="preserve"> </v>
      </c>
      <c r="K138" s="4" t="str">
        <f ca="1">IF(OR(INDEX($X$2:$X$1001,MATCH(ROWS($W$2:W138),$W$2:$W$1001,0),1)&gt;=100000,INDEX($AD$1005:$AU$1005,1,MATCH(COLUMNS($AD$1006:AM1006),$AD$1006:$AU$1006,0))&gt;=100000), " ",IF(INDEX($AD$2:$AU$1001,MATCH(ROWS($W$2:W138),$W$2:$W$1001,0),MATCH(COLUMNS($AD$1006:AM1006),$AD$1006:$AU$1006,0)), HYPERLINK("#",""), HYPERLINK(CONCATENATE("#metadata!", ADDRESS(INDEX($Y$2:$Y$1001,MATCH(ROWS($W$2:W138),$W$2:$W$1001,0),0), INDEX($AD$1004:$AU$1004,1,MATCH(COLUMNS($AD$1006:AM1006),$AD$1006:$AU$1006,0)))),"Fix")))</f>
        <v xml:space="preserve"> </v>
      </c>
      <c r="L138" s="4" t="str">
        <f ca="1">IF(OR(INDEX($X$2:$X$1001,MATCH(ROWS($W$2:W138),$W$2:$W$1001,0),1)&gt;=100000,INDEX($AD$1005:$AU$1005,1,MATCH(COLUMNS($AD$1006:AN1006),$AD$1006:$AU$1006,0))&gt;=100000), " ",IF(INDEX($AD$2:$AU$1001,MATCH(ROWS($W$2:W138),$W$2:$W$1001,0),MATCH(COLUMNS($AD$1006:AN1006),$AD$1006:$AU$1006,0)), HYPERLINK("#",""), HYPERLINK(CONCATENATE("#metadata!", ADDRESS(INDEX($Y$2:$Y$1001,MATCH(ROWS($W$2:W138),$W$2:$W$1001,0),0), INDEX($AD$1004:$AU$1004,1,MATCH(COLUMNS($AD$1006:AN1006),$AD$1006:$AU$1006,0)))),"Fix")))</f>
        <v xml:space="preserve"> </v>
      </c>
      <c r="M138" s="4" t="str">
        <f ca="1">IF(OR(INDEX($X$2:$X$1001,MATCH(ROWS($W$2:W138),$W$2:$W$1001,0),1)&gt;=100000,INDEX($AD$1005:$AU$1005,1,MATCH(COLUMNS($AD$1006:AO1006),$AD$1006:$AU$1006,0))&gt;=100000), " ",IF(INDEX($AD$2:$AU$1001,MATCH(ROWS($W$2:W138),$W$2:$W$1001,0),MATCH(COLUMNS($AD$1006:AO1006),$AD$1006:$AU$1006,0)), HYPERLINK("#",""), HYPERLINK(CONCATENATE("#metadata!", ADDRESS(INDEX($Y$2:$Y$1001,MATCH(ROWS($W$2:W138),$W$2:$W$1001,0),0), INDEX($AD$1004:$AU$1004,1,MATCH(COLUMNS($AD$1006:AO1006),$AD$1006:$AU$1006,0)))),"Fix")))</f>
        <v xml:space="preserve"> </v>
      </c>
      <c r="N138" s="4" t="str">
        <f ca="1">IF(OR(INDEX($X$2:$X$1001,MATCH(ROWS($W$2:W138),$W$2:$W$1001,0),1)&gt;=100000,INDEX($AD$1005:$AU$1005,1,MATCH(COLUMNS($AD$1006:AP1006),$AD$1006:$AU$1006,0))&gt;=100000), " ",IF(INDEX($AD$2:$AU$1001,MATCH(ROWS($W$2:W138),$W$2:$W$1001,0),MATCH(COLUMNS($AD$1006:AP1006),$AD$1006:$AU$1006,0)), HYPERLINK("#",""), HYPERLINK(CONCATENATE("#metadata!", ADDRESS(INDEX($Y$2:$Y$1001,MATCH(ROWS($W$2:W138),$W$2:$W$1001,0),0), INDEX($AD$1004:$AU$1004,1,MATCH(COLUMNS($AD$1006:AP1006),$AD$1006:$AU$1006,0)))),"Fix")))</f>
        <v xml:space="preserve"> </v>
      </c>
      <c r="O138" s="4" t="str">
        <f ca="1">IF(OR(INDEX($X$2:$X$1001,MATCH(ROWS($W$2:W138),$W$2:$W$1001,0),1)&gt;=100000,INDEX($AD$1005:$AU$1005,1,MATCH(COLUMNS($AD$1006:AQ1006),$AD$1006:$AU$1006,0))&gt;=100000), " ",IF(INDEX($AD$2:$AU$1001,MATCH(ROWS($W$2:W138),$W$2:$W$1001,0),MATCH(COLUMNS($AD$1006:AQ1006),$AD$1006:$AU$1006,0)), HYPERLINK("#",""), HYPERLINK(CONCATENATE("#metadata!", ADDRESS(INDEX($Y$2:$Y$1001,MATCH(ROWS($W$2:W138),$W$2:$W$1001,0),0), INDEX($AD$1004:$AU$1004,1,MATCH(COLUMNS($AD$1006:AQ1006),$AD$1006:$AU$1006,0)))),"Fix")))</f>
        <v xml:space="preserve"> </v>
      </c>
      <c r="P138" s="4" t="str">
        <f ca="1">IF(OR(INDEX($X$2:$X$1001,MATCH(ROWS($W$2:W138),$W$2:$W$1001,0),1)&gt;=100000,INDEX($AD$1005:$AU$1005,1,MATCH(COLUMNS($AD$1006:AR1006),$AD$1006:$AU$1006,0))&gt;=100000), " ",IF(INDEX($AD$2:$AU$1001,MATCH(ROWS($W$2:W138),$W$2:$W$1001,0),MATCH(COLUMNS($AD$1006:AR1006),$AD$1006:$AU$1006,0)), HYPERLINK("#",""), HYPERLINK(CONCATENATE("#metadata!", ADDRESS(INDEX($Y$2:$Y$1001,MATCH(ROWS($W$2:W138),$W$2:$W$1001,0),0), INDEX($AD$1004:$AU$1004,1,MATCH(COLUMNS($AD$1006:AR1006),$AD$1006:$AU$1006,0)))),"Fix")))</f>
        <v xml:space="preserve"> </v>
      </c>
      <c r="Q138" s="4" t="str">
        <f ca="1">IF(OR(INDEX($X$2:$X$1001,MATCH(ROWS($W$2:W138),$W$2:$W$1001,0),1)&gt;=100000,INDEX($AD$1005:$AU$1005,1,MATCH(COLUMNS($AD$1006:AS1006),$AD$1006:$AU$1006,0))&gt;=100000), " ",IF(INDEX($AD$2:$AU$1001,MATCH(ROWS($W$2:W138),$W$2:$W$1001,0),MATCH(COLUMNS($AD$1006:AS1006),$AD$1006:$AU$1006,0)), HYPERLINK("#",""), HYPERLINK(CONCATENATE("#metadata!", ADDRESS(INDEX($Y$2:$Y$1001,MATCH(ROWS($W$2:W138),$W$2:$W$1001,0),0), INDEX($AD$1004:$AU$1004,1,MATCH(COLUMNS($AD$1006:AS1006),$AD$1006:$AU$1006,0)))),"Fix")))</f>
        <v xml:space="preserve"> </v>
      </c>
      <c r="R138" s="4" t="str">
        <f ca="1">IF(OR(INDEX($X$2:$X$1001,MATCH(ROWS($W$2:W138),$W$2:$W$1001,0),1)&gt;=100000,INDEX($AD$1005:$AU$1005,1,MATCH(COLUMNS($AD$1006:AT1006),$AD$1006:$AU$1006,0))&gt;=100000), " ",IF(INDEX($AD$2:$AU$1001,MATCH(ROWS($W$2:W138),$W$2:$W$1001,0),MATCH(COLUMNS($AD$1006:AT1006),$AD$1006:$AU$1006,0)), HYPERLINK("#",""), HYPERLINK(CONCATENATE("#metadata!", ADDRESS(INDEX($Y$2:$Y$1001,MATCH(ROWS($W$2:W138),$W$2:$W$1001,0),0), INDEX($AD$1004:$AU$1004,1,MATCH(COLUMNS($AD$1006:AT1006),$AD$1006:$AU$1006,0)))),"Fix")))</f>
        <v xml:space="preserve"> </v>
      </c>
      <c r="S138" s="4" t="str">
        <f ca="1">IF(OR(INDEX($X$2:$X$1001,MATCH(ROWS($W$2:W138),$W$2:$W$1001,0),1)&gt;=100000,INDEX($AD$1005:$AU$1005,1,MATCH(COLUMNS($AD$1006:AU1006),$AD$1006:$AU$1006,0))&gt;=100000), " ",IF(INDEX($AD$2:$AU$1001,MATCH(ROWS($W$2:W138),$W$2:$W$1001,0),MATCH(COLUMNS($AD$1006:AU1006),$AD$1006:$AU$1006,0)), HYPERLINK("#",""), HYPERLINK(CONCATENATE("#metadata!", ADDRESS(INDEX($Y$2:$Y$1001,MATCH(ROWS($W$2:W138),$W$2:$W$1001,0),0), INDEX($AD$1004:$AU$1004,1,MATCH(COLUMNS($AD$1006:AU1006),$AD$1006:$AU$1006,0)))),"Fix")))</f>
        <v xml:space="preserve"> </v>
      </c>
      <c r="W138">
        <v>137</v>
      </c>
      <c r="X138">
        <v>100138</v>
      </c>
      <c r="Y138">
        <v>138</v>
      </c>
      <c r="Z138" t="b">
        <f t="shared" si="2"/>
        <v>1</v>
      </c>
      <c r="AA138" t="b">
        <f>COUNTBLANK(metadata!B138:S138)=COLUMNS(metadata!B138:S138)</f>
        <v>1</v>
      </c>
      <c r="AB138" t="str">
        <v/>
      </c>
      <c r="AD138" t="b">
        <f ca="1">AND(IF(metadata!B138="",FALSE,TRUE),COUNTIF(metadata!B:B, metadata!B138) = 1,NOT(ISERROR(SUMPRODUCT(SEARCH(MID(metadata!B138,ROW(INDIRECT("1:"&amp;LEN(metadata!B138))), 1),"0123456789abcdefghijklmnopqrstuvwxyzABCDEFGHIJKLMNOPQRSTUVWXYZ.")))))</f>
        <v>0</v>
      </c>
      <c r="AE138" t="b">
        <f>OR(AND(IF(metadata!C138="",FALSE,TRUE),OR(EXACT(metadata!C138,"not applicable"),EXACT(metadata!C138,"missing: not collected"),EXACT(metadata!C138,"missing: not provided"),EXACT(metadata!C138,"missing: restricted access"))),AND(IF(metadata!C138="",FALSE,ISNUMBER(VALUE(metadata!C138))),metadata!C138&gt;0))</f>
        <v>0</v>
      </c>
      <c r="AF138" t="b">
        <f>AND(IF(metadata!D138="",FALSE,TRUE),EXACT(metadata!D138,"missing: not provided"))</f>
        <v>0</v>
      </c>
      <c r="AG138" t="b">
        <f>AND(IF(metadata!E138="",FALSE,TRUE),EXACT(metadata!E138,"Host-associated"))</f>
        <v>0</v>
      </c>
      <c r="AH138" t="b">
        <f>AND(IF(metadata!F138="",FALSE,TRUE),OR(EXACT(metadata!F138,"Animal"),EXACT(metadata!F138,"Fungus"),EXACT(metadata!F138,"Plant")))</f>
        <v>0</v>
      </c>
      <c r="AI138" t="b">
        <f>AND(IF(metadata!G138="",FALSE,TRUE),OR(EXACT(metadata!G138,"Plant secretion"),EXACT(metadata!G138,"Plant rhizosphere"),EXACT(metadata!G138,"Plant surface"),EXACT(metadata!G138,"Plant corpus"),EXACT(metadata!G138,"Fungus surface"),EXACT(metadata!G138,"Fungus corpus"),EXACT(metadata!G138,"Animal surface"),EXACT(metadata!G138,"Animal proximal gut"),EXACT(metadata!G138,"Animal corpus"),EXACT(metadata!G138,"Animal distal gut"),EXACT(metadata!G138,"Animal secretion")))</f>
        <v>0</v>
      </c>
      <c r="AJ138" t="b">
        <f>OR(AND(IF(metadata!H138="",FALSE,TRUE),OR(EXACT(metadata!H138,"missing: not collected"),EXACT(metadata!H138,"missing: not provided"),EXACT(metadata!H138,"missing: restricted access"))),AND(IF(metadata!H138="",FALSE,TRUE),OR(EXACT(metadata!H138,"organism-associated habitat"),EXACT(metadata!H138,"plant-associated habitat"),EXACT(metadata!H138,"animal-associated habitat"),EXACT(metadata!H138,"insecta-associated habitat"),EXACT(metadata!H138,"mammalia-associated habitat"),EXACT(metadata!H138,"human-associated habitat"),EXACT(metadata!H138,"livestock-associated habitat"))))</f>
        <v>0</v>
      </c>
      <c r="AK138" t="b">
        <f>AND(IF(metadata!I138="",FALSE,TRUE),EXACT(metadata!I138,"host-associated"))</f>
        <v>0</v>
      </c>
      <c r="AL138" t="b">
        <f>OR(AND(IF(metadata!J138="",FALSE,TRUE),OR(EXACT(metadata!J138,"not applicable"),EXACT(metadata!J138,"missing: not collected"),EXACT(metadata!J138,"missing: not provided"),EXACT(metadata!J138,"missing: restricted access"))),AND(IF(metadata!J138="",FALSE,ISNUMBER(VALUE(metadata!J138))),metadata!J138&gt;0))</f>
        <v>0</v>
      </c>
      <c r="AM138" t="b">
        <f>AND(IF(metadata!K138="",FALSE,TRUE),EXACT(metadata!K138,"missing: not provided"))</f>
        <v>0</v>
      </c>
      <c r="AN138" t="b">
        <f>IF(metadata!L138="",FALSE,TRUE)</f>
        <v>0</v>
      </c>
      <c r="AO138" t="b">
        <f>IF(metadata!M138="",FALSE,TRUE)</f>
        <v>0</v>
      </c>
      <c r="AP138" t="b">
        <f>OR(AND(IF(metadata!N138="",FALSE,TRUE),OR(EXACT(metadata!N138,"not applicable"),EXACT(metadata!N138,"missing: not collected"),EXACT(metadata!N138,"missing: not provided"))),AND(IF(metadata!N138="",FALSE,IF(ISERROR(INT(metadata!N138)),FALSE,INT(metadata!N138)=metadata!N138)),metadata!N138&gt;0))</f>
        <v>0</v>
      </c>
      <c r="AQ138" t="b">
        <f>AND(IF(metadata!O138="",FALSE,TRUE),EXACT(metadata!O138,"Not applicable"))</f>
        <v>0</v>
      </c>
      <c r="AR138" t="b">
        <f>OR(AND(IF(metadata!P138="",FALSE,TRUE),OR(EXACT(metadata!P138,"not applicable"),EXACT(metadata!P138,"missing: not collected"),EXACT(metadata!P138,"missing: not provided"),EXACT(metadata!P138,"missing: restricted access"))),IF(metadata!P138="",FALSE,IF(ISERROR(INT(metadata!P138)),FALSE,INT(metadata!P138)=metadata!P138)))</f>
        <v>0</v>
      </c>
      <c r="AS138" t="b">
        <f>AND(IF(metadata!Q138="",FALSE,TRUE),EXACT(metadata!Q138,"Not applicable"))</f>
        <v>0</v>
      </c>
      <c r="AT138" t="b">
        <f>OR(AND(IF(metadata!R138="",FALSE,TRUE),OR(EXACT(metadata!R138,"not applicable"),EXACT(metadata!R138,"missing: not collected"),EXACT(metadata!R138,"missing: not provided"),EXACT(metadata!R138,"missing: restricted access"))),AND(IF(metadata!R138="",FALSE,ISNUMBER(VALUE(metadata!R138))),metadata!R138&gt;0))</f>
        <v>0</v>
      </c>
      <c r="AU138" t="b">
        <f>AND(IF(metadata!S138="",FALSE,TRUE),EXACT(metadata!S138,"missing: not provided"))</f>
        <v>0</v>
      </c>
    </row>
    <row r="139" spans="1:47" x14ac:dyDescent="0.2">
      <c r="A139" s="5" t="str">
        <f ca="1">IF(B139=" "," ",HYPERLINK(CONCATENATE("#metadata!",ADDRESS(INDEX($Y$2:$Y$1001,MATCH(ROWS($W$2:W139),$W$2:$W$1001,0),0),1)),INDEX($AB$2:$AB$1001,MATCH(ROWS($W$2:W139),$W$2:$W$1001,0),0)))</f>
        <v xml:space="preserve"> </v>
      </c>
      <c r="B139" s="4" t="str">
        <f ca="1">IF(OR(INDEX($X$2:$X$1001,MATCH(ROWS($W$2:W139),$W$2:$W$1001,0),1)&gt;=100000,INDEX($AD$1005:$AU$1005,1,MATCH(COLUMNS($AD$1006:AD1006),$AD$1006:$AU$1006,0))&gt;=100000), " ",IF(INDEX($AD$2:$AU$1001,MATCH(ROWS($W$2:W139),$W$2:$W$1001,0),MATCH(COLUMNS($AD$1006:AD1006),$AD$1006:$AU$1006,0)), HYPERLINK("#",""), HYPERLINK(CONCATENATE("#metadata!", ADDRESS(INDEX($Y$2:$Y$1001,MATCH(ROWS($W$2:W139),$W$2:$W$1001,0),0), INDEX($AD$1004:$AU$1004,1,MATCH(COLUMNS($AD$1006:AD1006),$AD$1006:$AU$1006,0)))),"Fix")))</f>
        <v xml:space="preserve"> </v>
      </c>
      <c r="C139" s="4" t="str">
        <f ca="1">IF(OR(INDEX($X$2:$X$1001,MATCH(ROWS($W$2:W139),$W$2:$W$1001,0),1)&gt;=100000,INDEX($AD$1005:$AU$1005,1,MATCH(COLUMNS($AD$1006:AE1006),$AD$1006:$AU$1006,0))&gt;=100000), " ",IF(INDEX($AD$2:$AU$1001,MATCH(ROWS($W$2:W139),$W$2:$W$1001,0),MATCH(COLUMNS($AD$1006:AE1006),$AD$1006:$AU$1006,0)), HYPERLINK("#",""), HYPERLINK(CONCATENATE("#metadata!", ADDRESS(INDEX($Y$2:$Y$1001,MATCH(ROWS($W$2:W139),$W$2:$W$1001,0),0), INDEX($AD$1004:$AU$1004,1,MATCH(COLUMNS($AD$1006:AE1006),$AD$1006:$AU$1006,0)))),"Fix")))</f>
        <v xml:space="preserve"> </v>
      </c>
      <c r="D139" s="4" t="str">
        <f ca="1">IF(OR(INDEX($X$2:$X$1001,MATCH(ROWS($W$2:W139),$W$2:$W$1001,0),1)&gt;=100000,INDEX($AD$1005:$AU$1005,1,MATCH(COLUMNS($AD$1006:AF1006),$AD$1006:$AU$1006,0))&gt;=100000), " ",IF(INDEX($AD$2:$AU$1001,MATCH(ROWS($W$2:W139),$W$2:$W$1001,0),MATCH(COLUMNS($AD$1006:AF1006),$AD$1006:$AU$1006,0)), HYPERLINK("#",""), HYPERLINK(CONCATENATE("#metadata!", ADDRESS(INDEX($Y$2:$Y$1001,MATCH(ROWS($W$2:W139),$W$2:$W$1001,0),0), INDEX($AD$1004:$AU$1004,1,MATCH(COLUMNS($AD$1006:AF1006),$AD$1006:$AU$1006,0)))),"Fix")))</f>
        <v xml:space="preserve"> </v>
      </c>
      <c r="E139" s="4" t="str">
        <f ca="1">IF(OR(INDEX($X$2:$X$1001,MATCH(ROWS($W$2:W139),$W$2:$W$1001,0),1)&gt;=100000,INDEX($AD$1005:$AU$1005,1,MATCH(COLUMNS($AD$1006:AG1006),$AD$1006:$AU$1006,0))&gt;=100000), " ",IF(INDEX($AD$2:$AU$1001,MATCH(ROWS($W$2:W139),$W$2:$W$1001,0),MATCH(COLUMNS($AD$1006:AG1006),$AD$1006:$AU$1006,0)), HYPERLINK("#",""), HYPERLINK(CONCATENATE("#metadata!", ADDRESS(INDEX($Y$2:$Y$1001,MATCH(ROWS($W$2:W139),$W$2:$W$1001,0),0), INDEX($AD$1004:$AU$1004,1,MATCH(COLUMNS($AD$1006:AG1006),$AD$1006:$AU$1006,0)))),"Fix")))</f>
        <v xml:space="preserve"> </v>
      </c>
      <c r="F139" s="4" t="str">
        <f ca="1">IF(OR(INDEX($X$2:$X$1001,MATCH(ROWS($W$2:W139),$W$2:$W$1001,0),1)&gt;=100000,INDEX($AD$1005:$AU$1005,1,MATCH(COLUMNS($AD$1006:AH1006),$AD$1006:$AU$1006,0))&gt;=100000), " ",IF(INDEX($AD$2:$AU$1001,MATCH(ROWS($W$2:W139),$W$2:$W$1001,0),MATCH(COLUMNS($AD$1006:AH1006),$AD$1006:$AU$1006,0)), HYPERLINK("#",""), HYPERLINK(CONCATENATE("#metadata!", ADDRESS(INDEX($Y$2:$Y$1001,MATCH(ROWS($W$2:W139),$W$2:$W$1001,0),0), INDEX($AD$1004:$AU$1004,1,MATCH(COLUMNS($AD$1006:AH1006),$AD$1006:$AU$1006,0)))),"Fix")))</f>
        <v xml:space="preserve"> </v>
      </c>
      <c r="G139" s="4" t="str">
        <f ca="1">IF(OR(INDEX($X$2:$X$1001,MATCH(ROWS($W$2:W139),$W$2:$W$1001,0),1)&gt;=100000,INDEX($AD$1005:$AU$1005,1,MATCH(COLUMNS($AD$1006:AI1006),$AD$1006:$AU$1006,0))&gt;=100000), " ",IF(INDEX($AD$2:$AU$1001,MATCH(ROWS($W$2:W139),$W$2:$W$1001,0),MATCH(COLUMNS($AD$1006:AI1006),$AD$1006:$AU$1006,0)), HYPERLINK("#",""), HYPERLINK(CONCATENATE("#metadata!", ADDRESS(INDEX($Y$2:$Y$1001,MATCH(ROWS($W$2:W139),$W$2:$W$1001,0),0), INDEX($AD$1004:$AU$1004,1,MATCH(COLUMNS($AD$1006:AI1006),$AD$1006:$AU$1006,0)))),"Fix")))</f>
        <v xml:space="preserve"> </v>
      </c>
      <c r="H139" s="4" t="str">
        <f ca="1">IF(OR(INDEX($X$2:$X$1001,MATCH(ROWS($W$2:W139),$W$2:$W$1001,0),1)&gt;=100000,INDEX($AD$1005:$AU$1005,1,MATCH(COLUMNS($AD$1006:AJ1006),$AD$1006:$AU$1006,0))&gt;=100000), " ",IF(INDEX($AD$2:$AU$1001,MATCH(ROWS($W$2:W139),$W$2:$W$1001,0),MATCH(COLUMNS($AD$1006:AJ1006),$AD$1006:$AU$1006,0)), HYPERLINK("#",""), HYPERLINK(CONCATENATE("#metadata!", ADDRESS(INDEX($Y$2:$Y$1001,MATCH(ROWS($W$2:W139),$W$2:$W$1001,0),0), INDEX($AD$1004:$AU$1004,1,MATCH(COLUMNS($AD$1006:AJ1006),$AD$1006:$AU$1006,0)))),"Fix")))</f>
        <v xml:space="preserve"> </v>
      </c>
      <c r="I139" s="4" t="str">
        <f ca="1">IF(OR(INDEX($X$2:$X$1001,MATCH(ROWS($W$2:W139),$W$2:$W$1001,0),1)&gt;=100000,INDEX($AD$1005:$AU$1005,1,MATCH(COLUMNS($AD$1006:AK1006),$AD$1006:$AU$1006,0))&gt;=100000), " ",IF(INDEX($AD$2:$AU$1001,MATCH(ROWS($W$2:W139),$W$2:$W$1001,0),MATCH(COLUMNS($AD$1006:AK1006),$AD$1006:$AU$1006,0)), HYPERLINK("#",""), HYPERLINK(CONCATENATE("#metadata!", ADDRESS(INDEX($Y$2:$Y$1001,MATCH(ROWS($W$2:W139),$W$2:$W$1001,0),0), INDEX($AD$1004:$AU$1004,1,MATCH(COLUMNS($AD$1006:AK1006),$AD$1006:$AU$1006,0)))),"Fix")))</f>
        <v xml:space="preserve"> </v>
      </c>
      <c r="J139" s="4" t="str">
        <f ca="1">IF(OR(INDEX($X$2:$X$1001,MATCH(ROWS($W$2:W139),$W$2:$W$1001,0),1)&gt;=100000,INDEX($AD$1005:$AU$1005,1,MATCH(COLUMNS($AD$1006:AL1006),$AD$1006:$AU$1006,0))&gt;=100000), " ",IF(INDEX($AD$2:$AU$1001,MATCH(ROWS($W$2:W139),$W$2:$W$1001,0),MATCH(COLUMNS($AD$1006:AL1006),$AD$1006:$AU$1006,0)), HYPERLINK("#",""), HYPERLINK(CONCATENATE("#metadata!", ADDRESS(INDEX($Y$2:$Y$1001,MATCH(ROWS($W$2:W139),$W$2:$W$1001,0),0), INDEX($AD$1004:$AU$1004,1,MATCH(COLUMNS($AD$1006:AL1006),$AD$1006:$AU$1006,0)))),"Fix")))</f>
        <v xml:space="preserve"> </v>
      </c>
      <c r="K139" s="4" t="str">
        <f ca="1">IF(OR(INDEX($X$2:$X$1001,MATCH(ROWS($W$2:W139),$W$2:$W$1001,0),1)&gt;=100000,INDEX($AD$1005:$AU$1005,1,MATCH(COLUMNS($AD$1006:AM1006),$AD$1006:$AU$1006,0))&gt;=100000), " ",IF(INDEX($AD$2:$AU$1001,MATCH(ROWS($W$2:W139),$W$2:$W$1001,0),MATCH(COLUMNS($AD$1006:AM1006),$AD$1006:$AU$1006,0)), HYPERLINK("#",""), HYPERLINK(CONCATENATE("#metadata!", ADDRESS(INDEX($Y$2:$Y$1001,MATCH(ROWS($W$2:W139),$W$2:$W$1001,0),0), INDEX($AD$1004:$AU$1004,1,MATCH(COLUMNS($AD$1006:AM1006),$AD$1006:$AU$1006,0)))),"Fix")))</f>
        <v xml:space="preserve"> </v>
      </c>
      <c r="L139" s="4" t="str">
        <f ca="1">IF(OR(INDEX($X$2:$X$1001,MATCH(ROWS($W$2:W139),$W$2:$W$1001,0),1)&gt;=100000,INDEX($AD$1005:$AU$1005,1,MATCH(COLUMNS($AD$1006:AN1006),$AD$1006:$AU$1006,0))&gt;=100000), " ",IF(INDEX($AD$2:$AU$1001,MATCH(ROWS($W$2:W139),$W$2:$W$1001,0),MATCH(COLUMNS($AD$1006:AN1006),$AD$1006:$AU$1006,0)), HYPERLINK("#",""), HYPERLINK(CONCATENATE("#metadata!", ADDRESS(INDEX($Y$2:$Y$1001,MATCH(ROWS($W$2:W139),$W$2:$W$1001,0),0), INDEX($AD$1004:$AU$1004,1,MATCH(COLUMNS($AD$1006:AN1006),$AD$1006:$AU$1006,0)))),"Fix")))</f>
        <v xml:space="preserve"> </v>
      </c>
      <c r="M139" s="4" t="str">
        <f ca="1">IF(OR(INDEX($X$2:$X$1001,MATCH(ROWS($W$2:W139),$W$2:$W$1001,0),1)&gt;=100000,INDEX($AD$1005:$AU$1005,1,MATCH(COLUMNS($AD$1006:AO1006),$AD$1006:$AU$1006,0))&gt;=100000), " ",IF(INDEX($AD$2:$AU$1001,MATCH(ROWS($W$2:W139),$W$2:$W$1001,0),MATCH(COLUMNS($AD$1006:AO1006),$AD$1006:$AU$1006,0)), HYPERLINK("#",""), HYPERLINK(CONCATENATE("#metadata!", ADDRESS(INDEX($Y$2:$Y$1001,MATCH(ROWS($W$2:W139),$W$2:$W$1001,0),0), INDEX($AD$1004:$AU$1004,1,MATCH(COLUMNS($AD$1006:AO1006),$AD$1006:$AU$1006,0)))),"Fix")))</f>
        <v xml:space="preserve"> </v>
      </c>
      <c r="N139" s="4" t="str">
        <f ca="1">IF(OR(INDEX($X$2:$X$1001,MATCH(ROWS($W$2:W139),$W$2:$W$1001,0),1)&gt;=100000,INDEX($AD$1005:$AU$1005,1,MATCH(COLUMNS($AD$1006:AP1006),$AD$1006:$AU$1006,0))&gt;=100000), " ",IF(INDEX($AD$2:$AU$1001,MATCH(ROWS($W$2:W139),$W$2:$W$1001,0),MATCH(COLUMNS($AD$1006:AP1006),$AD$1006:$AU$1006,0)), HYPERLINK("#",""), HYPERLINK(CONCATENATE("#metadata!", ADDRESS(INDEX($Y$2:$Y$1001,MATCH(ROWS($W$2:W139),$W$2:$W$1001,0),0), INDEX($AD$1004:$AU$1004,1,MATCH(COLUMNS($AD$1006:AP1006),$AD$1006:$AU$1006,0)))),"Fix")))</f>
        <v xml:space="preserve"> </v>
      </c>
      <c r="O139" s="4" t="str">
        <f ca="1">IF(OR(INDEX($X$2:$X$1001,MATCH(ROWS($W$2:W139),$W$2:$W$1001,0),1)&gt;=100000,INDEX($AD$1005:$AU$1005,1,MATCH(COLUMNS($AD$1006:AQ1006),$AD$1006:$AU$1006,0))&gt;=100000), " ",IF(INDEX($AD$2:$AU$1001,MATCH(ROWS($W$2:W139),$W$2:$W$1001,0),MATCH(COLUMNS($AD$1006:AQ1006),$AD$1006:$AU$1006,0)), HYPERLINK("#",""), HYPERLINK(CONCATENATE("#metadata!", ADDRESS(INDEX($Y$2:$Y$1001,MATCH(ROWS($W$2:W139),$W$2:$W$1001,0),0), INDEX($AD$1004:$AU$1004,1,MATCH(COLUMNS($AD$1006:AQ1006),$AD$1006:$AU$1006,0)))),"Fix")))</f>
        <v xml:space="preserve"> </v>
      </c>
      <c r="P139" s="4" t="str">
        <f ca="1">IF(OR(INDEX($X$2:$X$1001,MATCH(ROWS($W$2:W139),$W$2:$W$1001,0),1)&gt;=100000,INDEX($AD$1005:$AU$1005,1,MATCH(COLUMNS($AD$1006:AR1006),$AD$1006:$AU$1006,0))&gt;=100000), " ",IF(INDEX($AD$2:$AU$1001,MATCH(ROWS($W$2:W139),$W$2:$W$1001,0),MATCH(COLUMNS($AD$1006:AR1006),$AD$1006:$AU$1006,0)), HYPERLINK("#",""), HYPERLINK(CONCATENATE("#metadata!", ADDRESS(INDEX($Y$2:$Y$1001,MATCH(ROWS($W$2:W139),$W$2:$W$1001,0),0), INDEX($AD$1004:$AU$1004,1,MATCH(COLUMNS($AD$1006:AR1006),$AD$1006:$AU$1006,0)))),"Fix")))</f>
        <v xml:space="preserve"> </v>
      </c>
      <c r="Q139" s="4" t="str">
        <f ca="1">IF(OR(INDEX($X$2:$X$1001,MATCH(ROWS($W$2:W139),$W$2:$W$1001,0),1)&gt;=100000,INDEX($AD$1005:$AU$1005,1,MATCH(COLUMNS($AD$1006:AS1006),$AD$1006:$AU$1006,0))&gt;=100000), " ",IF(INDEX($AD$2:$AU$1001,MATCH(ROWS($W$2:W139),$W$2:$W$1001,0),MATCH(COLUMNS($AD$1006:AS1006),$AD$1006:$AU$1006,0)), HYPERLINK("#",""), HYPERLINK(CONCATENATE("#metadata!", ADDRESS(INDEX($Y$2:$Y$1001,MATCH(ROWS($W$2:W139),$W$2:$W$1001,0),0), INDEX($AD$1004:$AU$1004,1,MATCH(COLUMNS($AD$1006:AS1006),$AD$1006:$AU$1006,0)))),"Fix")))</f>
        <v xml:space="preserve"> </v>
      </c>
      <c r="R139" s="4" t="str">
        <f ca="1">IF(OR(INDEX($X$2:$X$1001,MATCH(ROWS($W$2:W139),$W$2:$W$1001,0),1)&gt;=100000,INDEX($AD$1005:$AU$1005,1,MATCH(COLUMNS($AD$1006:AT1006),$AD$1006:$AU$1006,0))&gt;=100000), " ",IF(INDEX($AD$2:$AU$1001,MATCH(ROWS($W$2:W139),$W$2:$W$1001,0),MATCH(COLUMNS($AD$1006:AT1006),$AD$1006:$AU$1006,0)), HYPERLINK("#",""), HYPERLINK(CONCATENATE("#metadata!", ADDRESS(INDEX($Y$2:$Y$1001,MATCH(ROWS($W$2:W139),$W$2:$W$1001,0),0), INDEX($AD$1004:$AU$1004,1,MATCH(COLUMNS($AD$1006:AT1006),$AD$1006:$AU$1006,0)))),"Fix")))</f>
        <v xml:space="preserve"> </v>
      </c>
      <c r="S139" s="4" t="str">
        <f ca="1">IF(OR(INDEX($X$2:$X$1001,MATCH(ROWS($W$2:W139),$W$2:$W$1001,0),1)&gt;=100000,INDEX($AD$1005:$AU$1005,1,MATCH(COLUMNS($AD$1006:AU1006),$AD$1006:$AU$1006,0))&gt;=100000), " ",IF(INDEX($AD$2:$AU$1001,MATCH(ROWS($W$2:W139),$W$2:$W$1001,0),MATCH(COLUMNS($AD$1006:AU1006),$AD$1006:$AU$1006,0)), HYPERLINK("#",""), HYPERLINK(CONCATENATE("#metadata!", ADDRESS(INDEX($Y$2:$Y$1001,MATCH(ROWS($W$2:W139),$W$2:$W$1001,0),0), INDEX($AD$1004:$AU$1004,1,MATCH(COLUMNS($AD$1006:AU1006),$AD$1006:$AU$1006,0)))),"Fix")))</f>
        <v xml:space="preserve"> </v>
      </c>
      <c r="W139">
        <v>138</v>
      </c>
      <c r="X139">
        <v>100139</v>
      </c>
      <c r="Y139">
        <v>139</v>
      </c>
      <c r="Z139" t="b">
        <f t="shared" si="2"/>
        <v>1</v>
      </c>
      <c r="AA139" t="b">
        <f>COUNTBLANK(metadata!B139:S139)=COLUMNS(metadata!B139:S139)</f>
        <v>1</v>
      </c>
      <c r="AB139" t="str">
        <v/>
      </c>
      <c r="AD139" t="b">
        <f ca="1">AND(IF(metadata!B139="",FALSE,TRUE),COUNTIF(metadata!B:B, metadata!B139) = 1,NOT(ISERROR(SUMPRODUCT(SEARCH(MID(metadata!B139,ROW(INDIRECT("1:"&amp;LEN(metadata!B139))), 1),"0123456789abcdefghijklmnopqrstuvwxyzABCDEFGHIJKLMNOPQRSTUVWXYZ.")))))</f>
        <v>0</v>
      </c>
      <c r="AE139" t="b">
        <f>OR(AND(IF(metadata!C139="",FALSE,TRUE),OR(EXACT(metadata!C139,"not applicable"),EXACT(metadata!C139,"missing: not collected"),EXACT(metadata!C139,"missing: not provided"),EXACT(metadata!C139,"missing: restricted access"))),AND(IF(metadata!C139="",FALSE,ISNUMBER(VALUE(metadata!C139))),metadata!C139&gt;0))</f>
        <v>0</v>
      </c>
      <c r="AF139" t="b">
        <f>AND(IF(metadata!D139="",FALSE,TRUE),EXACT(metadata!D139,"missing: not provided"))</f>
        <v>0</v>
      </c>
      <c r="AG139" t="b">
        <f>AND(IF(metadata!E139="",FALSE,TRUE),EXACT(metadata!E139,"Host-associated"))</f>
        <v>0</v>
      </c>
      <c r="AH139" t="b">
        <f>AND(IF(metadata!F139="",FALSE,TRUE),OR(EXACT(metadata!F139,"Animal"),EXACT(metadata!F139,"Fungus"),EXACT(metadata!F139,"Plant")))</f>
        <v>0</v>
      </c>
      <c r="AI139" t="b">
        <f>AND(IF(metadata!G139="",FALSE,TRUE),OR(EXACT(metadata!G139,"Plant secretion"),EXACT(metadata!G139,"Plant rhizosphere"),EXACT(metadata!G139,"Plant surface"),EXACT(metadata!G139,"Plant corpus"),EXACT(metadata!G139,"Fungus surface"),EXACT(metadata!G139,"Fungus corpus"),EXACT(metadata!G139,"Animal surface"),EXACT(metadata!G139,"Animal proximal gut"),EXACT(metadata!G139,"Animal corpus"),EXACT(metadata!G139,"Animal distal gut"),EXACT(metadata!G139,"Animal secretion")))</f>
        <v>0</v>
      </c>
      <c r="AJ139" t="b">
        <f>OR(AND(IF(metadata!H139="",FALSE,TRUE),OR(EXACT(metadata!H139,"missing: not collected"),EXACT(metadata!H139,"missing: not provided"),EXACT(metadata!H139,"missing: restricted access"))),AND(IF(metadata!H139="",FALSE,TRUE),OR(EXACT(metadata!H139,"organism-associated habitat"),EXACT(metadata!H139,"plant-associated habitat"),EXACT(metadata!H139,"animal-associated habitat"),EXACT(metadata!H139,"insecta-associated habitat"),EXACT(metadata!H139,"mammalia-associated habitat"),EXACT(metadata!H139,"human-associated habitat"),EXACT(metadata!H139,"livestock-associated habitat"))))</f>
        <v>0</v>
      </c>
      <c r="AK139" t="b">
        <f>AND(IF(metadata!I139="",FALSE,TRUE),EXACT(metadata!I139,"host-associated"))</f>
        <v>0</v>
      </c>
      <c r="AL139" t="b">
        <f>OR(AND(IF(metadata!J139="",FALSE,TRUE),OR(EXACT(metadata!J139,"not applicable"),EXACT(metadata!J139,"missing: not collected"),EXACT(metadata!J139,"missing: not provided"),EXACT(metadata!J139,"missing: restricted access"))),AND(IF(metadata!J139="",FALSE,ISNUMBER(VALUE(metadata!J139))),metadata!J139&gt;0))</f>
        <v>0</v>
      </c>
      <c r="AM139" t="b">
        <f>AND(IF(metadata!K139="",FALSE,TRUE),EXACT(metadata!K139,"missing: not provided"))</f>
        <v>0</v>
      </c>
      <c r="AN139" t="b">
        <f>IF(metadata!L139="",FALSE,TRUE)</f>
        <v>0</v>
      </c>
      <c r="AO139" t="b">
        <f>IF(metadata!M139="",FALSE,TRUE)</f>
        <v>0</v>
      </c>
      <c r="AP139" t="b">
        <f>OR(AND(IF(metadata!N139="",FALSE,TRUE),OR(EXACT(metadata!N139,"not applicable"),EXACT(metadata!N139,"missing: not collected"),EXACT(metadata!N139,"missing: not provided"))),AND(IF(metadata!N139="",FALSE,IF(ISERROR(INT(metadata!N139)),FALSE,INT(metadata!N139)=metadata!N139)),metadata!N139&gt;0))</f>
        <v>0</v>
      </c>
      <c r="AQ139" t="b">
        <f>AND(IF(metadata!O139="",FALSE,TRUE),EXACT(metadata!O139,"Not applicable"))</f>
        <v>0</v>
      </c>
      <c r="AR139" t="b">
        <f>OR(AND(IF(metadata!P139="",FALSE,TRUE),OR(EXACT(metadata!P139,"not applicable"),EXACT(metadata!P139,"missing: not collected"),EXACT(metadata!P139,"missing: not provided"),EXACT(metadata!P139,"missing: restricted access"))),IF(metadata!P139="",FALSE,IF(ISERROR(INT(metadata!P139)),FALSE,INT(metadata!P139)=metadata!P139)))</f>
        <v>0</v>
      </c>
      <c r="AS139" t="b">
        <f>AND(IF(metadata!Q139="",FALSE,TRUE),EXACT(metadata!Q139,"Not applicable"))</f>
        <v>0</v>
      </c>
      <c r="AT139" t="b">
        <f>OR(AND(IF(metadata!R139="",FALSE,TRUE),OR(EXACT(metadata!R139,"not applicable"),EXACT(metadata!R139,"missing: not collected"),EXACT(metadata!R139,"missing: not provided"),EXACT(metadata!R139,"missing: restricted access"))),AND(IF(metadata!R139="",FALSE,ISNUMBER(VALUE(metadata!R139))),metadata!R139&gt;0))</f>
        <v>0</v>
      </c>
      <c r="AU139" t="b">
        <f>AND(IF(metadata!S139="",FALSE,TRUE),EXACT(metadata!S139,"missing: not provided"))</f>
        <v>0</v>
      </c>
    </row>
    <row r="140" spans="1:47" x14ac:dyDescent="0.2">
      <c r="A140" s="5" t="str">
        <f ca="1">IF(B140=" "," ",HYPERLINK(CONCATENATE("#metadata!",ADDRESS(INDEX($Y$2:$Y$1001,MATCH(ROWS($W$2:W140),$W$2:$W$1001,0),0),1)),INDEX($AB$2:$AB$1001,MATCH(ROWS($W$2:W140),$W$2:$W$1001,0),0)))</f>
        <v xml:space="preserve"> </v>
      </c>
      <c r="B140" s="4" t="str">
        <f ca="1">IF(OR(INDEX($X$2:$X$1001,MATCH(ROWS($W$2:W140),$W$2:$W$1001,0),1)&gt;=100000,INDEX($AD$1005:$AU$1005,1,MATCH(COLUMNS($AD$1006:AD1006),$AD$1006:$AU$1006,0))&gt;=100000), " ",IF(INDEX($AD$2:$AU$1001,MATCH(ROWS($W$2:W140),$W$2:$W$1001,0),MATCH(COLUMNS($AD$1006:AD1006),$AD$1006:$AU$1006,0)), HYPERLINK("#",""), HYPERLINK(CONCATENATE("#metadata!", ADDRESS(INDEX($Y$2:$Y$1001,MATCH(ROWS($W$2:W140),$W$2:$W$1001,0),0), INDEX($AD$1004:$AU$1004,1,MATCH(COLUMNS($AD$1006:AD1006),$AD$1006:$AU$1006,0)))),"Fix")))</f>
        <v xml:space="preserve"> </v>
      </c>
      <c r="C140" s="4" t="str">
        <f ca="1">IF(OR(INDEX($X$2:$X$1001,MATCH(ROWS($W$2:W140),$W$2:$W$1001,0),1)&gt;=100000,INDEX($AD$1005:$AU$1005,1,MATCH(COLUMNS($AD$1006:AE1006),$AD$1006:$AU$1006,0))&gt;=100000), " ",IF(INDEX($AD$2:$AU$1001,MATCH(ROWS($W$2:W140),$W$2:$W$1001,0),MATCH(COLUMNS($AD$1006:AE1006),$AD$1006:$AU$1006,0)), HYPERLINK("#",""), HYPERLINK(CONCATENATE("#metadata!", ADDRESS(INDEX($Y$2:$Y$1001,MATCH(ROWS($W$2:W140),$W$2:$W$1001,0),0), INDEX($AD$1004:$AU$1004,1,MATCH(COLUMNS($AD$1006:AE1006),$AD$1006:$AU$1006,0)))),"Fix")))</f>
        <v xml:space="preserve"> </v>
      </c>
      <c r="D140" s="4" t="str">
        <f ca="1">IF(OR(INDEX($X$2:$X$1001,MATCH(ROWS($W$2:W140),$W$2:$W$1001,0),1)&gt;=100000,INDEX($AD$1005:$AU$1005,1,MATCH(COLUMNS($AD$1006:AF1006),$AD$1006:$AU$1006,0))&gt;=100000), " ",IF(INDEX($AD$2:$AU$1001,MATCH(ROWS($W$2:W140),$W$2:$W$1001,0),MATCH(COLUMNS($AD$1006:AF1006),$AD$1006:$AU$1006,0)), HYPERLINK("#",""), HYPERLINK(CONCATENATE("#metadata!", ADDRESS(INDEX($Y$2:$Y$1001,MATCH(ROWS($W$2:W140),$W$2:$W$1001,0),0), INDEX($AD$1004:$AU$1004,1,MATCH(COLUMNS($AD$1006:AF1006),$AD$1006:$AU$1006,0)))),"Fix")))</f>
        <v xml:space="preserve"> </v>
      </c>
      <c r="E140" s="4" t="str">
        <f ca="1">IF(OR(INDEX($X$2:$X$1001,MATCH(ROWS($W$2:W140),$W$2:$W$1001,0),1)&gt;=100000,INDEX($AD$1005:$AU$1005,1,MATCH(COLUMNS($AD$1006:AG1006),$AD$1006:$AU$1006,0))&gt;=100000), " ",IF(INDEX($AD$2:$AU$1001,MATCH(ROWS($W$2:W140),$W$2:$W$1001,0),MATCH(COLUMNS($AD$1006:AG1006),$AD$1006:$AU$1006,0)), HYPERLINK("#",""), HYPERLINK(CONCATENATE("#metadata!", ADDRESS(INDEX($Y$2:$Y$1001,MATCH(ROWS($W$2:W140),$W$2:$W$1001,0),0), INDEX($AD$1004:$AU$1004,1,MATCH(COLUMNS($AD$1006:AG1006),$AD$1006:$AU$1006,0)))),"Fix")))</f>
        <v xml:space="preserve"> </v>
      </c>
      <c r="F140" s="4" t="str">
        <f ca="1">IF(OR(INDEX($X$2:$X$1001,MATCH(ROWS($W$2:W140),$W$2:$W$1001,0),1)&gt;=100000,INDEX($AD$1005:$AU$1005,1,MATCH(COLUMNS($AD$1006:AH1006),$AD$1006:$AU$1006,0))&gt;=100000), " ",IF(INDEX($AD$2:$AU$1001,MATCH(ROWS($W$2:W140),$W$2:$W$1001,0),MATCH(COLUMNS($AD$1006:AH1006),$AD$1006:$AU$1006,0)), HYPERLINK("#",""), HYPERLINK(CONCATENATE("#metadata!", ADDRESS(INDEX($Y$2:$Y$1001,MATCH(ROWS($W$2:W140),$W$2:$W$1001,0),0), INDEX($AD$1004:$AU$1004,1,MATCH(COLUMNS($AD$1006:AH1006),$AD$1006:$AU$1006,0)))),"Fix")))</f>
        <v xml:space="preserve"> </v>
      </c>
      <c r="G140" s="4" t="str">
        <f ca="1">IF(OR(INDEX($X$2:$X$1001,MATCH(ROWS($W$2:W140),$W$2:$W$1001,0),1)&gt;=100000,INDEX($AD$1005:$AU$1005,1,MATCH(COLUMNS($AD$1006:AI1006),$AD$1006:$AU$1006,0))&gt;=100000), " ",IF(INDEX($AD$2:$AU$1001,MATCH(ROWS($W$2:W140),$W$2:$W$1001,0),MATCH(COLUMNS($AD$1006:AI1006),$AD$1006:$AU$1006,0)), HYPERLINK("#",""), HYPERLINK(CONCATENATE("#metadata!", ADDRESS(INDEX($Y$2:$Y$1001,MATCH(ROWS($W$2:W140),$W$2:$W$1001,0),0), INDEX($AD$1004:$AU$1004,1,MATCH(COLUMNS($AD$1006:AI1006),$AD$1006:$AU$1006,0)))),"Fix")))</f>
        <v xml:space="preserve"> </v>
      </c>
      <c r="H140" s="4" t="str">
        <f ca="1">IF(OR(INDEX($X$2:$X$1001,MATCH(ROWS($W$2:W140),$W$2:$W$1001,0),1)&gt;=100000,INDEX($AD$1005:$AU$1005,1,MATCH(COLUMNS($AD$1006:AJ1006),$AD$1006:$AU$1006,0))&gt;=100000), " ",IF(INDEX($AD$2:$AU$1001,MATCH(ROWS($W$2:W140),$W$2:$W$1001,0),MATCH(COLUMNS($AD$1006:AJ1006),$AD$1006:$AU$1006,0)), HYPERLINK("#",""), HYPERLINK(CONCATENATE("#metadata!", ADDRESS(INDEX($Y$2:$Y$1001,MATCH(ROWS($W$2:W140),$W$2:$W$1001,0),0), INDEX($AD$1004:$AU$1004,1,MATCH(COLUMNS($AD$1006:AJ1006),$AD$1006:$AU$1006,0)))),"Fix")))</f>
        <v xml:space="preserve"> </v>
      </c>
      <c r="I140" s="4" t="str">
        <f ca="1">IF(OR(INDEX($X$2:$X$1001,MATCH(ROWS($W$2:W140),$W$2:$W$1001,0),1)&gt;=100000,INDEX($AD$1005:$AU$1005,1,MATCH(COLUMNS($AD$1006:AK1006),$AD$1006:$AU$1006,0))&gt;=100000), " ",IF(INDEX($AD$2:$AU$1001,MATCH(ROWS($W$2:W140),$W$2:$W$1001,0),MATCH(COLUMNS($AD$1006:AK1006),$AD$1006:$AU$1006,0)), HYPERLINK("#",""), HYPERLINK(CONCATENATE("#metadata!", ADDRESS(INDEX($Y$2:$Y$1001,MATCH(ROWS($W$2:W140),$W$2:$W$1001,0),0), INDEX($AD$1004:$AU$1004,1,MATCH(COLUMNS($AD$1006:AK1006),$AD$1006:$AU$1006,0)))),"Fix")))</f>
        <v xml:space="preserve"> </v>
      </c>
      <c r="J140" s="4" t="str">
        <f ca="1">IF(OR(INDEX($X$2:$X$1001,MATCH(ROWS($W$2:W140),$W$2:$W$1001,0),1)&gt;=100000,INDEX($AD$1005:$AU$1005,1,MATCH(COLUMNS($AD$1006:AL1006),$AD$1006:$AU$1006,0))&gt;=100000), " ",IF(INDEX($AD$2:$AU$1001,MATCH(ROWS($W$2:W140),$W$2:$W$1001,0),MATCH(COLUMNS($AD$1006:AL1006),$AD$1006:$AU$1006,0)), HYPERLINK("#",""), HYPERLINK(CONCATENATE("#metadata!", ADDRESS(INDEX($Y$2:$Y$1001,MATCH(ROWS($W$2:W140),$W$2:$W$1001,0),0), INDEX($AD$1004:$AU$1004,1,MATCH(COLUMNS($AD$1006:AL1006),$AD$1006:$AU$1006,0)))),"Fix")))</f>
        <v xml:space="preserve"> </v>
      </c>
      <c r="K140" s="4" t="str">
        <f ca="1">IF(OR(INDEX($X$2:$X$1001,MATCH(ROWS($W$2:W140),$W$2:$W$1001,0),1)&gt;=100000,INDEX($AD$1005:$AU$1005,1,MATCH(COLUMNS($AD$1006:AM1006),$AD$1006:$AU$1006,0))&gt;=100000), " ",IF(INDEX($AD$2:$AU$1001,MATCH(ROWS($W$2:W140),$W$2:$W$1001,0),MATCH(COLUMNS($AD$1006:AM1006),$AD$1006:$AU$1006,0)), HYPERLINK("#",""), HYPERLINK(CONCATENATE("#metadata!", ADDRESS(INDEX($Y$2:$Y$1001,MATCH(ROWS($W$2:W140),$W$2:$W$1001,0),0), INDEX($AD$1004:$AU$1004,1,MATCH(COLUMNS($AD$1006:AM1006),$AD$1006:$AU$1006,0)))),"Fix")))</f>
        <v xml:space="preserve"> </v>
      </c>
      <c r="L140" s="4" t="str">
        <f ca="1">IF(OR(INDEX($X$2:$X$1001,MATCH(ROWS($W$2:W140),$W$2:$W$1001,0),1)&gt;=100000,INDEX($AD$1005:$AU$1005,1,MATCH(COLUMNS($AD$1006:AN1006),$AD$1006:$AU$1006,0))&gt;=100000), " ",IF(INDEX($AD$2:$AU$1001,MATCH(ROWS($W$2:W140),$W$2:$W$1001,0),MATCH(COLUMNS($AD$1006:AN1006),$AD$1006:$AU$1006,0)), HYPERLINK("#",""), HYPERLINK(CONCATENATE("#metadata!", ADDRESS(INDEX($Y$2:$Y$1001,MATCH(ROWS($W$2:W140),$W$2:$W$1001,0),0), INDEX($AD$1004:$AU$1004,1,MATCH(COLUMNS($AD$1006:AN1006),$AD$1006:$AU$1006,0)))),"Fix")))</f>
        <v xml:space="preserve"> </v>
      </c>
      <c r="M140" s="4" t="str">
        <f ca="1">IF(OR(INDEX($X$2:$X$1001,MATCH(ROWS($W$2:W140),$W$2:$W$1001,0),1)&gt;=100000,INDEX($AD$1005:$AU$1005,1,MATCH(COLUMNS($AD$1006:AO1006),$AD$1006:$AU$1006,0))&gt;=100000), " ",IF(INDEX($AD$2:$AU$1001,MATCH(ROWS($W$2:W140),$W$2:$W$1001,0),MATCH(COLUMNS($AD$1006:AO1006),$AD$1006:$AU$1006,0)), HYPERLINK("#",""), HYPERLINK(CONCATENATE("#metadata!", ADDRESS(INDEX($Y$2:$Y$1001,MATCH(ROWS($W$2:W140),$W$2:$W$1001,0),0), INDEX($AD$1004:$AU$1004,1,MATCH(COLUMNS($AD$1006:AO1006),$AD$1006:$AU$1006,0)))),"Fix")))</f>
        <v xml:space="preserve"> </v>
      </c>
      <c r="N140" s="4" t="str">
        <f ca="1">IF(OR(INDEX($X$2:$X$1001,MATCH(ROWS($W$2:W140),$W$2:$W$1001,0),1)&gt;=100000,INDEX($AD$1005:$AU$1005,1,MATCH(COLUMNS($AD$1006:AP1006),$AD$1006:$AU$1006,0))&gt;=100000), " ",IF(INDEX($AD$2:$AU$1001,MATCH(ROWS($W$2:W140),$W$2:$W$1001,0),MATCH(COLUMNS($AD$1006:AP1006),$AD$1006:$AU$1006,0)), HYPERLINK("#",""), HYPERLINK(CONCATENATE("#metadata!", ADDRESS(INDEX($Y$2:$Y$1001,MATCH(ROWS($W$2:W140),$W$2:$W$1001,0),0), INDEX($AD$1004:$AU$1004,1,MATCH(COLUMNS($AD$1006:AP1006),$AD$1006:$AU$1006,0)))),"Fix")))</f>
        <v xml:space="preserve"> </v>
      </c>
      <c r="O140" s="4" t="str">
        <f ca="1">IF(OR(INDEX($X$2:$X$1001,MATCH(ROWS($W$2:W140),$W$2:$W$1001,0),1)&gt;=100000,INDEX($AD$1005:$AU$1005,1,MATCH(COLUMNS($AD$1006:AQ1006),$AD$1006:$AU$1006,0))&gt;=100000), " ",IF(INDEX($AD$2:$AU$1001,MATCH(ROWS($W$2:W140),$W$2:$W$1001,0),MATCH(COLUMNS($AD$1006:AQ1006),$AD$1006:$AU$1006,0)), HYPERLINK("#",""), HYPERLINK(CONCATENATE("#metadata!", ADDRESS(INDEX($Y$2:$Y$1001,MATCH(ROWS($W$2:W140),$W$2:$W$1001,0),0), INDEX($AD$1004:$AU$1004,1,MATCH(COLUMNS($AD$1006:AQ1006),$AD$1006:$AU$1006,0)))),"Fix")))</f>
        <v xml:space="preserve"> </v>
      </c>
      <c r="P140" s="4" t="str">
        <f ca="1">IF(OR(INDEX($X$2:$X$1001,MATCH(ROWS($W$2:W140),$W$2:$W$1001,0),1)&gt;=100000,INDEX($AD$1005:$AU$1005,1,MATCH(COLUMNS($AD$1006:AR1006),$AD$1006:$AU$1006,0))&gt;=100000), " ",IF(INDEX($AD$2:$AU$1001,MATCH(ROWS($W$2:W140),$W$2:$W$1001,0),MATCH(COLUMNS($AD$1006:AR1006),$AD$1006:$AU$1006,0)), HYPERLINK("#",""), HYPERLINK(CONCATENATE("#metadata!", ADDRESS(INDEX($Y$2:$Y$1001,MATCH(ROWS($W$2:W140),$W$2:$W$1001,0),0), INDEX($AD$1004:$AU$1004,1,MATCH(COLUMNS($AD$1006:AR1006),$AD$1006:$AU$1006,0)))),"Fix")))</f>
        <v xml:space="preserve"> </v>
      </c>
      <c r="Q140" s="4" t="str">
        <f ca="1">IF(OR(INDEX($X$2:$X$1001,MATCH(ROWS($W$2:W140),$W$2:$W$1001,0),1)&gt;=100000,INDEX($AD$1005:$AU$1005,1,MATCH(COLUMNS($AD$1006:AS1006),$AD$1006:$AU$1006,0))&gt;=100000), " ",IF(INDEX($AD$2:$AU$1001,MATCH(ROWS($W$2:W140),$W$2:$W$1001,0),MATCH(COLUMNS($AD$1006:AS1006),$AD$1006:$AU$1006,0)), HYPERLINK("#",""), HYPERLINK(CONCATENATE("#metadata!", ADDRESS(INDEX($Y$2:$Y$1001,MATCH(ROWS($W$2:W140),$W$2:$W$1001,0),0), INDEX($AD$1004:$AU$1004,1,MATCH(COLUMNS($AD$1006:AS1006),$AD$1006:$AU$1006,0)))),"Fix")))</f>
        <v xml:space="preserve"> </v>
      </c>
      <c r="R140" s="4" t="str">
        <f ca="1">IF(OR(INDEX($X$2:$X$1001,MATCH(ROWS($W$2:W140),$W$2:$W$1001,0),1)&gt;=100000,INDEX($AD$1005:$AU$1005,1,MATCH(COLUMNS($AD$1006:AT1006),$AD$1006:$AU$1006,0))&gt;=100000), " ",IF(INDEX($AD$2:$AU$1001,MATCH(ROWS($W$2:W140),$W$2:$W$1001,0),MATCH(COLUMNS($AD$1006:AT1006),$AD$1006:$AU$1006,0)), HYPERLINK("#",""), HYPERLINK(CONCATENATE("#metadata!", ADDRESS(INDEX($Y$2:$Y$1001,MATCH(ROWS($W$2:W140),$W$2:$W$1001,0),0), INDEX($AD$1004:$AU$1004,1,MATCH(COLUMNS($AD$1006:AT1006),$AD$1006:$AU$1006,0)))),"Fix")))</f>
        <v xml:space="preserve"> </v>
      </c>
      <c r="S140" s="4" t="str">
        <f ca="1">IF(OR(INDEX($X$2:$X$1001,MATCH(ROWS($W$2:W140),$W$2:$W$1001,0),1)&gt;=100000,INDEX($AD$1005:$AU$1005,1,MATCH(COLUMNS($AD$1006:AU1006),$AD$1006:$AU$1006,0))&gt;=100000), " ",IF(INDEX($AD$2:$AU$1001,MATCH(ROWS($W$2:W140),$W$2:$W$1001,0),MATCH(COLUMNS($AD$1006:AU1006),$AD$1006:$AU$1006,0)), HYPERLINK("#",""), HYPERLINK(CONCATENATE("#metadata!", ADDRESS(INDEX($Y$2:$Y$1001,MATCH(ROWS($W$2:W140),$W$2:$W$1001,0),0), INDEX($AD$1004:$AU$1004,1,MATCH(COLUMNS($AD$1006:AU1006),$AD$1006:$AU$1006,0)))),"Fix")))</f>
        <v xml:space="preserve"> </v>
      </c>
      <c r="W140">
        <v>139</v>
      </c>
      <c r="X140">
        <v>100140</v>
      </c>
      <c r="Y140">
        <v>140</v>
      </c>
      <c r="Z140" t="b">
        <f t="shared" si="2"/>
        <v>1</v>
      </c>
      <c r="AA140" t="b">
        <f>COUNTBLANK(metadata!B140:S140)=COLUMNS(metadata!B140:S140)</f>
        <v>1</v>
      </c>
      <c r="AB140" t="str">
        <v/>
      </c>
      <c r="AD140" t="b">
        <f ca="1">AND(IF(metadata!B140="",FALSE,TRUE),COUNTIF(metadata!B:B, metadata!B140) = 1,NOT(ISERROR(SUMPRODUCT(SEARCH(MID(metadata!B140,ROW(INDIRECT("1:"&amp;LEN(metadata!B140))), 1),"0123456789abcdefghijklmnopqrstuvwxyzABCDEFGHIJKLMNOPQRSTUVWXYZ.")))))</f>
        <v>0</v>
      </c>
      <c r="AE140" t="b">
        <f>OR(AND(IF(metadata!C140="",FALSE,TRUE),OR(EXACT(metadata!C140,"not applicable"),EXACT(metadata!C140,"missing: not collected"),EXACT(metadata!C140,"missing: not provided"),EXACT(metadata!C140,"missing: restricted access"))),AND(IF(metadata!C140="",FALSE,ISNUMBER(VALUE(metadata!C140))),metadata!C140&gt;0))</f>
        <v>0</v>
      </c>
      <c r="AF140" t="b">
        <f>AND(IF(metadata!D140="",FALSE,TRUE),EXACT(metadata!D140,"missing: not provided"))</f>
        <v>0</v>
      </c>
      <c r="AG140" t="b">
        <f>AND(IF(metadata!E140="",FALSE,TRUE),EXACT(metadata!E140,"Host-associated"))</f>
        <v>0</v>
      </c>
      <c r="AH140" t="b">
        <f>AND(IF(metadata!F140="",FALSE,TRUE),OR(EXACT(metadata!F140,"Animal"),EXACT(metadata!F140,"Fungus"),EXACT(metadata!F140,"Plant")))</f>
        <v>0</v>
      </c>
      <c r="AI140" t="b">
        <f>AND(IF(metadata!G140="",FALSE,TRUE),OR(EXACT(metadata!G140,"Plant secretion"),EXACT(metadata!G140,"Plant rhizosphere"),EXACT(metadata!G140,"Plant surface"),EXACT(metadata!G140,"Plant corpus"),EXACT(metadata!G140,"Fungus surface"),EXACT(metadata!G140,"Fungus corpus"),EXACT(metadata!G140,"Animal surface"),EXACT(metadata!G140,"Animal proximal gut"),EXACT(metadata!G140,"Animal corpus"),EXACT(metadata!G140,"Animal distal gut"),EXACT(metadata!G140,"Animal secretion")))</f>
        <v>0</v>
      </c>
      <c r="AJ140" t="b">
        <f>OR(AND(IF(metadata!H140="",FALSE,TRUE),OR(EXACT(metadata!H140,"missing: not collected"),EXACT(metadata!H140,"missing: not provided"),EXACT(metadata!H140,"missing: restricted access"))),AND(IF(metadata!H140="",FALSE,TRUE),OR(EXACT(metadata!H140,"organism-associated habitat"),EXACT(metadata!H140,"plant-associated habitat"),EXACT(metadata!H140,"animal-associated habitat"),EXACT(metadata!H140,"insecta-associated habitat"),EXACT(metadata!H140,"mammalia-associated habitat"),EXACT(metadata!H140,"human-associated habitat"),EXACT(metadata!H140,"livestock-associated habitat"))))</f>
        <v>0</v>
      </c>
      <c r="AK140" t="b">
        <f>AND(IF(metadata!I140="",FALSE,TRUE),EXACT(metadata!I140,"host-associated"))</f>
        <v>0</v>
      </c>
      <c r="AL140" t="b">
        <f>OR(AND(IF(metadata!J140="",FALSE,TRUE),OR(EXACT(metadata!J140,"not applicable"),EXACT(metadata!J140,"missing: not collected"),EXACT(metadata!J140,"missing: not provided"),EXACT(metadata!J140,"missing: restricted access"))),AND(IF(metadata!J140="",FALSE,ISNUMBER(VALUE(metadata!J140))),metadata!J140&gt;0))</f>
        <v>0</v>
      </c>
      <c r="AM140" t="b">
        <f>AND(IF(metadata!K140="",FALSE,TRUE),EXACT(metadata!K140,"missing: not provided"))</f>
        <v>0</v>
      </c>
      <c r="AN140" t="b">
        <f>IF(metadata!L140="",FALSE,TRUE)</f>
        <v>0</v>
      </c>
      <c r="AO140" t="b">
        <f>IF(metadata!M140="",FALSE,TRUE)</f>
        <v>0</v>
      </c>
      <c r="AP140" t="b">
        <f>OR(AND(IF(metadata!N140="",FALSE,TRUE),OR(EXACT(metadata!N140,"not applicable"),EXACT(metadata!N140,"missing: not collected"),EXACT(metadata!N140,"missing: not provided"))),AND(IF(metadata!N140="",FALSE,IF(ISERROR(INT(metadata!N140)),FALSE,INT(metadata!N140)=metadata!N140)),metadata!N140&gt;0))</f>
        <v>0</v>
      </c>
      <c r="AQ140" t="b">
        <f>AND(IF(metadata!O140="",FALSE,TRUE),EXACT(metadata!O140,"Not applicable"))</f>
        <v>0</v>
      </c>
      <c r="AR140" t="b">
        <f>OR(AND(IF(metadata!P140="",FALSE,TRUE),OR(EXACT(metadata!P140,"not applicable"),EXACT(metadata!P140,"missing: not collected"),EXACT(metadata!P140,"missing: not provided"),EXACT(metadata!P140,"missing: restricted access"))),IF(metadata!P140="",FALSE,IF(ISERROR(INT(metadata!P140)),FALSE,INT(metadata!P140)=metadata!P140)))</f>
        <v>0</v>
      </c>
      <c r="AS140" t="b">
        <f>AND(IF(metadata!Q140="",FALSE,TRUE),EXACT(metadata!Q140,"Not applicable"))</f>
        <v>0</v>
      </c>
      <c r="AT140" t="b">
        <f>OR(AND(IF(metadata!R140="",FALSE,TRUE),OR(EXACT(metadata!R140,"not applicable"),EXACT(metadata!R140,"missing: not collected"),EXACT(metadata!R140,"missing: not provided"),EXACT(metadata!R140,"missing: restricted access"))),AND(IF(metadata!R140="",FALSE,ISNUMBER(VALUE(metadata!R140))),metadata!R140&gt;0))</f>
        <v>0</v>
      </c>
      <c r="AU140" t="b">
        <f>AND(IF(metadata!S140="",FALSE,TRUE),EXACT(metadata!S140,"missing: not provided"))</f>
        <v>0</v>
      </c>
    </row>
    <row r="141" spans="1:47" x14ac:dyDescent="0.2">
      <c r="A141" s="5" t="str">
        <f ca="1">IF(B141=" "," ",HYPERLINK(CONCATENATE("#metadata!",ADDRESS(INDEX($Y$2:$Y$1001,MATCH(ROWS($W$2:W141),$W$2:$W$1001,0),0),1)),INDEX($AB$2:$AB$1001,MATCH(ROWS($W$2:W141),$W$2:$W$1001,0),0)))</f>
        <v xml:space="preserve"> </v>
      </c>
      <c r="B141" s="4" t="str">
        <f ca="1">IF(OR(INDEX($X$2:$X$1001,MATCH(ROWS($W$2:W141),$W$2:$W$1001,0),1)&gt;=100000,INDEX($AD$1005:$AU$1005,1,MATCH(COLUMNS($AD$1006:AD1006),$AD$1006:$AU$1006,0))&gt;=100000), " ",IF(INDEX($AD$2:$AU$1001,MATCH(ROWS($W$2:W141),$W$2:$W$1001,0),MATCH(COLUMNS($AD$1006:AD1006),$AD$1006:$AU$1006,0)), HYPERLINK("#",""), HYPERLINK(CONCATENATE("#metadata!", ADDRESS(INDEX($Y$2:$Y$1001,MATCH(ROWS($W$2:W141),$W$2:$W$1001,0),0), INDEX($AD$1004:$AU$1004,1,MATCH(COLUMNS($AD$1006:AD1006),$AD$1006:$AU$1006,0)))),"Fix")))</f>
        <v xml:space="preserve"> </v>
      </c>
      <c r="C141" s="4" t="str">
        <f ca="1">IF(OR(INDEX($X$2:$X$1001,MATCH(ROWS($W$2:W141),$W$2:$W$1001,0),1)&gt;=100000,INDEX($AD$1005:$AU$1005,1,MATCH(COLUMNS($AD$1006:AE1006),$AD$1006:$AU$1006,0))&gt;=100000), " ",IF(INDEX($AD$2:$AU$1001,MATCH(ROWS($W$2:W141),$W$2:$W$1001,0),MATCH(COLUMNS($AD$1006:AE1006),$AD$1006:$AU$1006,0)), HYPERLINK("#",""), HYPERLINK(CONCATENATE("#metadata!", ADDRESS(INDEX($Y$2:$Y$1001,MATCH(ROWS($W$2:W141),$W$2:$W$1001,0),0), INDEX($AD$1004:$AU$1004,1,MATCH(COLUMNS($AD$1006:AE1006),$AD$1006:$AU$1006,0)))),"Fix")))</f>
        <v xml:space="preserve"> </v>
      </c>
      <c r="D141" s="4" t="str">
        <f ca="1">IF(OR(INDEX($X$2:$X$1001,MATCH(ROWS($W$2:W141),$W$2:$W$1001,0),1)&gt;=100000,INDEX($AD$1005:$AU$1005,1,MATCH(COLUMNS($AD$1006:AF1006),$AD$1006:$AU$1006,0))&gt;=100000), " ",IF(INDEX($AD$2:$AU$1001,MATCH(ROWS($W$2:W141),$W$2:$W$1001,0),MATCH(COLUMNS($AD$1006:AF1006),$AD$1006:$AU$1006,0)), HYPERLINK("#",""), HYPERLINK(CONCATENATE("#metadata!", ADDRESS(INDEX($Y$2:$Y$1001,MATCH(ROWS($W$2:W141),$W$2:$W$1001,0),0), INDEX($AD$1004:$AU$1004,1,MATCH(COLUMNS($AD$1006:AF1006),$AD$1006:$AU$1006,0)))),"Fix")))</f>
        <v xml:space="preserve"> </v>
      </c>
      <c r="E141" s="4" t="str">
        <f ca="1">IF(OR(INDEX($X$2:$X$1001,MATCH(ROWS($W$2:W141),$W$2:$W$1001,0),1)&gt;=100000,INDEX($AD$1005:$AU$1005,1,MATCH(COLUMNS($AD$1006:AG1006),$AD$1006:$AU$1006,0))&gt;=100000), " ",IF(INDEX($AD$2:$AU$1001,MATCH(ROWS($W$2:W141),$W$2:$W$1001,0),MATCH(COLUMNS($AD$1006:AG1006),$AD$1006:$AU$1006,0)), HYPERLINK("#",""), HYPERLINK(CONCATENATE("#metadata!", ADDRESS(INDEX($Y$2:$Y$1001,MATCH(ROWS($W$2:W141),$W$2:$W$1001,0),0), INDEX($AD$1004:$AU$1004,1,MATCH(COLUMNS($AD$1006:AG1006),$AD$1006:$AU$1006,0)))),"Fix")))</f>
        <v xml:space="preserve"> </v>
      </c>
      <c r="F141" s="4" t="str">
        <f ca="1">IF(OR(INDEX($X$2:$X$1001,MATCH(ROWS($W$2:W141),$W$2:$W$1001,0),1)&gt;=100000,INDEX($AD$1005:$AU$1005,1,MATCH(COLUMNS($AD$1006:AH1006),$AD$1006:$AU$1006,0))&gt;=100000), " ",IF(INDEX($AD$2:$AU$1001,MATCH(ROWS($W$2:W141),$W$2:$W$1001,0),MATCH(COLUMNS($AD$1006:AH1006),$AD$1006:$AU$1006,0)), HYPERLINK("#",""), HYPERLINK(CONCATENATE("#metadata!", ADDRESS(INDEX($Y$2:$Y$1001,MATCH(ROWS($W$2:W141),$W$2:$W$1001,0),0), INDEX($AD$1004:$AU$1004,1,MATCH(COLUMNS($AD$1006:AH1006),$AD$1006:$AU$1006,0)))),"Fix")))</f>
        <v xml:space="preserve"> </v>
      </c>
      <c r="G141" s="4" t="str">
        <f ca="1">IF(OR(INDEX($X$2:$X$1001,MATCH(ROWS($W$2:W141),$W$2:$W$1001,0),1)&gt;=100000,INDEX($AD$1005:$AU$1005,1,MATCH(COLUMNS($AD$1006:AI1006),$AD$1006:$AU$1006,0))&gt;=100000), " ",IF(INDEX($AD$2:$AU$1001,MATCH(ROWS($W$2:W141),$W$2:$W$1001,0),MATCH(COLUMNS($AD$1006:AI1006),$AD$1006:$AU$1006,0)), HYPERLINK("#",""), HYPERLINK(CONCATENATE("#metadata!", ADDRESS(INDEX($Y$2:$Y$1001,MATCH(ROWS($W$2:W141),$W$2:$W$1001,0),0), INDEX($AD$1004:$AU$1004,1,MATCH(COLUMNS($AD$1006:AI1006),$AD$1006:$AU$1006,0)))),"Fix")))</f>
        <v xml:space="preserve"> </v>
      </c>
      <c r="H141" s="4" t="str">
        <f ca="1">IF(OR(INDEX($X$2:$X$1001,MATCH(ROWS($W$2:W141),$W$2:$W$1001,0),1)&gt;=100000,INDEX($AD$1005:$AU$1005,1,MATCH(COLUMNS($AD$1006:AJ1006),$AD$1006:$AU$1006,0))&gt;=100000), " ",IF(INDEX($AD$2:$AU$1001,MATCH(ROWS($W$2:W141),$W$2:$W$1001,0),MATCH(COLUMNS($AD$1006:AJ1006),$AD$1006:$AU$1006,0)), HYPERLINK("#",""), HYPERLINK(CONCATENATE("#metadata!", ADDRESS(INDEX($Y$2:$Y$1001,MATCH(ROWS($W$2:W141),$W$2:$W$1001,0),0), INDEX($AD$1004:$AU$1004,1,MATCH(COLUMNS($AD$1006:AJ1006),$AD$1006:$AU$1006,0)))),"Fix")))</f>
        <v xml:space="preserve"> </v>
      </c>
      <c r="I141" s="4" t="str">
        <f ca="1">IF(OR(INDEX($X$2:$X$1001,MATCH(ROWS($W$2:W141),$W$2:$W$1001,0),1)&gt;=100000,INDEX($AD$1005:$AU$1005,1,MATCH(COLUMNS($AD$1006:AK1006),$AD$1006:$AU$1006,0))&gt;=100000), " ",IF(INDEX($AD$2:$AU$1001,MATCH(ROWS($W$2:W141),$W$2:$W$1001,0),MATCH(COLUMNS($AD$1006:AK1006),$AD$1006:$AU$1006,0)), HYPERLINK("#",""), HYPERLINK(CONCATENATE("#metadata!", ADDRESS(INDEX($Y$2:$Y$1001,MATCH(ROWS($W$2:W141),$W$2:$W$1001,0),0), INDEX($AD$1004:$AU$1004,1,MATCH(COLUMNS($AD$1006:AK1006),$AD$1006:$AU$1006,0)))),"Fix")))</f>
        <v xml:space="preserve"> </v>
      </c>
      <c r="J141" s="4" t="str">
        <f ca="1">IF(OR(INDEX($X$2:$X$1001,MATCH(ROWS($W$2:W141),$W$2:$W$1001,0),1)&gt;=100000,INDEX($AD$1005:$AU$1005,1,MATCH(COLUMNS($AD$1006:AL1006),$AD$1006:$AU$1006,0))&gt;=100000), " ",IF(INDEX($AD$2:$AU$1001,MATCH(ROWS($W$2:W141),$W$2:$W$1001,0),MATCH(COLUMNS($AD$1006:AL1006),$AD$1006:$AU$1006,0)), HYPERLINK("#",""), HYPERLINK(CONCATENATE("#metadata!", ADDRESS(INDEX($Y$2:$Y$1001,MATCH(ROWS($W$2:W141),$W$2:$W$1001,0),0), INDEX($AD$1004:$AU$1004,1,MATCH(COLUMNS($AD$1006:AL1006),$AD$1006:$AU$1006,0)))),"Fix")))</f>
        <v xml:space="preserve"> </v>
      </c>
      <c r="K141" s="4" t="str">
        <f ca="1">IF(OR(INDEX($X$2:$X$1001,MATCH(ROWS($W$2:W141),$W$2:$W$1001,0),1)&gt;=100000,INDEX($AD$1005:$AU$1005,1,MATCH(COLUMNS($AD$1006:AM1006),$AD$1006:$AU$1006,0))&gt;=100000), " ",IF(INDEX($AD$2:$AU$1001,MATCH(ROWS($W$2:W141),$W$2:$W$1001,0),MATCH(COLUMNS($AD$1006:AM1006),$AD$1006:$AU$1006,0)), HYPERLINK("#",""), HYPERLINK(CONCATENATE("#metadata!", ADDRESS(INDEX($Y$2:$Y$1001,MATCH(ROWS($W$2:W141),$W$2:$W$1001,0),0), INDEX($AD$1004:$AU$1004,1,MATCH(COLUMNS($AD$1006:AM1006),$AD$1006:$AU$1006,0)))),"Fix")))</f>
        <v xml:space="preserve"> </v>
      </c>
      <c r="L141" s="4" t="str">
        <f ca="1">IF(OR(INDEX($X$2:$X$1001,MATCH(ROWS($W$2:W141),$W$2:$W$1001,0),1)&gt;=100000,INDEX($AD$1005:$AU$1005,1,MATCH(COLUMNS($AD$1006:AN1006),$AD$1006:$AU$1006,0))&gt;=100000), " ",IF(INDEX($AD$2:$AU$1001,MATCH(ROWS($W$2:W141),$W$2:$W$1001,0),MATCH(COLUMNS($AD$1006:AN1006),$AD$1006:$AU$1006,0)), HYPERLINK("#",""), HYPERLINK(CONCATENATE("#metadata!", ADDRESS(INDEX($Y$2:$Y$1001,MATCH(ROWS($W$2:W141),$W$2:$W$1001,0),0), INDEX($AD$1004:$AU$1004,1,MATCH(COLUMNS($AD$1006:AN1006),$AD$1006:$AU$1006,0)))),"Fix")))</f>
        <v xml:space="preserve"> </v>
      </c>
      <c r="M141" s="4" t="str">
        <f ca="1">IF(OR(INDEX($X$2:$X$1001,MATCH(ROWS($W$2:W141),$W$2:$W$1001,0),1)&gt;=100000,INDEX($AD$1005:$AU$1005,1,MATCH(COLUMNS($AD$1006:AO1006),$AD$1006:$AU$1006,0))&gt;=100000), " ",IF(INDEX($AD$2:$AU$1001,MATCH(ROWS($W$2:W141),$W$2:$W$1001,0),MATCH(COLUMNS($AD$1006:AO1006),$AD$1006:$AU$1006,0)), HYPERLINK("#",""), HYPERLINK(CONCATENATE("#metadata!", ADDRESS(INDEX($Y$2:$Y$1001,MATCH(ROWS($W$2:W141),$W$2:$W$1001,0),0), INDEX($AD$1004:$AU$1004,1,MATCH(COLUMNS($AD$1006:AO1006),$AD$1006:$AU$1006,0)))),"Fix")))</f>
        <v xml:space="preserve"> </v>
      </c>
      <c r="N141" s="4" t="str">
        <f ca="1">IF(OR(INDEX($X$2:$X$1001,MATCH(ROWS($W$2:W141),$W$2:$W$1001,0),1)&gt;=100000,INDEX($AD$1005:$AU$1005,1,MATCH(COLUMNS($AD$1006:AP1006),$AD$1006:$AU$1006,0))&gt;=100000), " ",IF(INDEX($AD$2:$AU$1001,MATCH(ROWS($W$2:W141),$W$2:$W$1001,0),MATCH(COLUMNS($AD$1006:AP1006),$AD$1006:$AU$1006,0)), HYPERLINK("#",""), HYPERLINK(CONCATENATE("#metadata!", ADDRESS(INDEX($Y$2:$Y$1001,MATCH(ROWS($W$2:W141),$W$2:$W$1001,0),0), INDEX($AD$1004:$AU$1004,1,MATCH(COLUMNS($AD$1006:AP1006),$AD$1006:$AU$1006,0)))),"Fix")))</f>
        <v xml:space="preserve"> </v>
      </c>
      <c r="O141" s="4" t="str">
        <f ca="1">IF(OR(INDEX($X$2:$X$1001,MATCH(ROWS($W$2:W141),$W$2:$W$1001,0),1)&gt;=100000,INDEX($AD$1005:$AU$1005,1,MATCH(COLUMNS($AD$1006:AQ1006),$AD$1006:$AU$1006,0))&gt;=100000), " ",IF(INDEX($AD$2:$AU$1001,MATCH(ROWS($W$2:W141),$W$2:$W$1001,0),MATCH(COLUMNS($AD$1006:AQ1006),$AD$1006:$AU$1006,0)), HYPERLINK("#",""), HYPERLINK(CONCATENATE("#metadata!", ADDRESS(INDEX($Y$2:$Y$1001,MATCH(ROWS($W$2:W141),$W$2:$W$1001,0),0), INDEX($AD$1004:$AU$1004,1,MATCH(COLUMNS($AD$1006:AQ1006),$AD$1006:$AU$1006,0)))),"Fix")))</f>
        <v xml:space="preserve"> </v>
      </c>
      <c r="P141" s="4" t="str">
        <f ca="1">IF(OR(INDEX($X$2:$X$1001,MATCH(ROWS($W$2:W141),$W$2:$W$1001,0),1)&gt;=100000,INDEX($AD$1005:$AU$1005,1,MATCH(COLUMNS($AD$1006:AR1006),$AD$1006:$AU$1006,0))&gt;=100000), " ",IF(INDEX($AD$2:$AU$1001,MATCH(ROWS($W$2:W141),$W$2:$W$1001,0),MATCH(COLUMNS($AD$1006:AR1006),$AD$1006:$AU$1006,0)), HYPERLINK("#",""), HYPERLINK(CONCATENATE("#metadata!", ADDRESS(INDEX($Y$2:$Y$1001,MATCH(ROWS($W$2:W141),$W$2:$W$1001,0),0), INDEX($AD$1004:$AU$1004,1,MATCH(COLUMNS($AD$1006:AR1006),$AD$1006:$AU$1006,0)))),"Fix")))</f>
        <v xml:space="preserve"> </v>
      </c>
      <c r="Q141" s="4" t="str">
        <f ca="1">IF(OR(INDEX($X$2:$X$1001,MATCH(ROWS($W$2:W141),$W$2:$W$1001,0),1)&gt;=100000,INDEX($AD$1005:$AU$1005,1,MATCH(COLUMNS($AD$1006:AS1006),$AD$1006:$AU$1006,0))&gt;=100000), " ",IF(INDEX($AD$2:$AU$1001,MATCH(ROWS($W$2:W141),$W$2:$W$1001,0),MATCH(COLUMNS($AD$1006:AS1006),$AD$1006:$AU$1006,0)), HYPERLINK("#",""), HYPERLINK(CONCATENATE("#metadata!", ADDRESS(INDEX($Y$2:$Y$1001,MATCH(ROWS($W$2:W141),$W$2:$W$1001,0),0), INDEX($AD$1004:$AU$1004,1,MATCH(COLUMNS($AD$1006:AS1006),$AD$1006:$AU$1006,0)))),"Fix")))</f>
        <v xml:space="preserve"> </v>
      </c>
      <c r="R141" s="4" t="str">
        <f ca="1">IF(OR(INDEX($X$2:$X$1001,MATCH(ROWS($W$2:W141),$W$2:$W$1001,0),1)&gt;=100000,INDEX($AD$1005:$AU$1005,1,MATCH(COLUMNS($AD$1006:AT1006),$AD$1006:$AU$1006,0))&gt;=100000), " ",IF(INDEX($AD$2:$AU$1001,MATCH(ROWS($W$2:W141),$W$2:$W$1001,0),MATCH(COLUMNS($AD$1006:AT1006),$AD$1006:$AU$1006,0)), HYPERLINK("#",""), HYPERLINK(CONCATENATE("#metadata!", ADDRESS(INDEX($Y$2:$Y$1001,MATCH(ROWS($W$2:W141),$W$2:$W$1001,0),0), INDEX($AD$1004:$AU$1004,1,MATCH(COLUMNS($AD$1006:AT1006),$AD$1006:$AU$1006,0)))),"Fix")))</f>
        <v xml:space="preserve"> </v>
      </c>
      <c r="S141" s="4" t="str">
        <f ca="1">IF(OR(INDEX($X$2:$X$1001,MATCH(ROWS($W$2:W141),$W$2:$W$1001,0),1)&gt;=100000,INDEX($AD$1005:$AU$1005,1,MATCH(COLUMNS($AD$1006:AU1006),$AD$1006:$AU$1006,0))&gt;=100000), " ",IF(INDEX($AD$2:$AU$1001,MATCH(ROWS($W$2:W141),$W$2:$W$1001,0),MATCH(COLUMNS($AD$1006:AU1006),$AD$1006:$AU$1006,0)), HYPERLINK("#",""), HYPERLINK(CONCATENATE("#metadata!", ADDRESS(INDEX($Y$2:$Y$1001,MATCH(ROWS($W$2:W141),$W$2:$W$1001,0),0), INDEX($AD$1004:$AU$1004,1,MATCH(COLUMNS($AD$1006:AU1006),$AD$1006:$AU$1006,0)))),"Fix")))</f>
        <v xml:space="preserve"> </v>
      </c>
      <c r="W141">
        <v>140</v>
      </c>
      <c r="X141">
        <v>100141</v>
      </c>
      <c r="Y141">
        <v>141</v>
      </c>
      <c r="Z141" t="b">
        <f t="shared" si="2"/>
        <v>1</v>
      </c>
      <c r="AA141" t="b">
        <f>COUNTBLANK(metadata!B141:S141)=COLUMNS(metadata!B141:S141)</f>
        <v>1</v>
      </c>
      <c r="AB141" t="str">
        <v/>
      </c>
      <c r="AD141" t="b">
        <f ca="1">AND(IF(metadata!B141="",FALSE,TRUE),COUNTIF(metadata!B:B, metadata!B141) = 1,NOT(ISERROR(SUMPRODUCT(SEARCH(MID(metadata!B141,ROW(INDIRECT("1:"&amp;LEN(metadata!B141))), 1),"0123456789abcdefghijklmnopqrstuvwxyzABCDEFGHIJKLMNOPQRSTUVWXYZ.")))))</f>
        <v>0</v>
      </c>
      <c r="AE141" t="b">
        <f>OR(AND(IF(metadata!C141="",FALSE,TRUE),OR(EXACT(metadata!C141,"not applicable"),EXACT(metadata!C141,"missing: not collected"),EXACT(metadata!C141,"missing: not provided"),EXACT(metadata!C141,"missing: restricted access"))),AND(IF(metadata!C141="",FALSE,ISNUMBER(VALUE(metadata!C141))),metadata!C141&gt;0))</f>
        <v>0</v>
      </c>
      <c r="AF141" t="b">
        <f>AND(IF(metadata!D141="",FALSE,TRUE),EXACT(metadata!D141,"missing: not provided"))</f>
        <v>0</v>
      </c>
      <c r="AG141" t="b">
        <f>AND(IF(metadata!E141="",FALSE,TRUE),EXACT(metadata!E141,"Host-associated"))</f>
        <v>0</v>
      </c>
      <c r="AH141" t="b">
        <f>AND(IF(metadata!F141="",FALSE,TRUE),OR(EXACT(metadata!F141,"Animal"),EXACT(metadata!F141,"Fungus"),EXACT(metadata!F141,"Plant")))</f>
        <v>0</v>
      </c>
      <c r="AI141" t="b">
        <f>AND(IF(metadata!G141="",FALSE,TRUE),OR(EXACT(metadata!G141,"Plant secretion"),EXACT(metadata!G141,"Plant rhizosphere"),EXACT(metadata!G141,"Plant surface"),EXACT(metadata!G141,"Plant corpus"),EXACT(metadata!G141,"Fungus surface"),EXACT(metadata!G141,"Fungus corpus"),EXACT(metadata!G141,"Animal surface"),EXACT(metadata!G141,"Animal proximal gut"),EXACT(metadata!G141,"Animal corpus"),EXACT(metadata!G141,"Animal distal gut"),EXACT(metadata!G141,"Animal secretion")))</f>
        <v>0</v>
      </c>
      <c r="AJ141" t="b">
        <f>OR(AND(IF(metadata!H141="",FALSE,TRUE),OR(EXACT(metadata!H141,"missing: not collected"),EXACT(metadata!H141,"missing: not provided"),EXACT(metadata!H141,"missing: restricted access"))),AND(IF(metadata!H141="",FALSE,TRUE),OR(EXACT(metadata!H141,"organism-associated habitat"),EXACT(metadata!H141,"plant-associated habitat"),EXACT(metadata!H141,"animal-associated habitat"),EXACT(metadata!H141,"insecta-associated habitat"),EXACT(metadata!H141,"mammalia-associated habitat"),EXACT(metadata!H141,"human-associated habitat"),EXACT(metadata!H141,"livestock-associated habitat"))))</f>
        <v>0</v>
      </c>
      <c r="AK141" t="b">
        <f>AND(IF(metadata!I141="",FALSE,TRUE),EXACT(metadata!I141,"host-associated"))</f>
        <v>0</v>
      </c>
      <c r="AL141" t="b">
        <f>OR(AND(IF(metadata!J141="",FALSE,TRUE),OR(EXACT(metadata!J141,"not applicable"),EXACT(metadata!J141,"missing: not collected"),EXACT(metadata!J141,"missing: not provided"),EXACT(metadata!J141,"missing: restricted access"))),AND(IF(metadata!J141="",FALSE,ISNUMBER(VALUE(metadata!J141))),metadata!J141&gt;0))</f>
        <v>0</v>
      </c>
      <c r="AM141" t="b">
        <f>AND(IF(metadata!K141="",FALSE,TRUE),EXACT(metadata!K141,"missing: not provided"))</f>
        <v>0</v>
      </c>
      <c r="AN141" t="b">
        <f>IF(metadata!L141="",FALSE,TRUE)</f>
        <v>0</v>
      </c>
      <c r="AO141" t="b">
        <f>IF(metadata!M141="",FALSE,TRUE)</f>
        <v>0</v>
      </c>
      <c r="AP141" t="b">
        <f>OR(AND(IF(metadata!N141="",FALSE,TRUE),OR(EXACT(metadata!N141,"not applicable"),EXACT(metadata!N141,"missing: not collected"),EXACT(metadata!N141,"missing: not provided"))),AND(IF(metadata!N141="",FALSE,IF(ISERROR(INT(metadata!N141)),FALSE,INT(metadata!N141)=metadata!N141)),metadata!N141&gt;0))</f>
        <v>0</v>
      </c>
      <c r="AQ141" t="b">
        <f>AND(IF(metadata!O141="",FALSE,TRUE),EXACT(metadata!O141,"Not applicable"))</f>
        <v>0</v>
      </c>
      <c r="AR141" t="b">
        <f>OR(AND(IF(metadata!P141="",FALSE,TRUE),OR(EXACT(metadata!P141,"not applicable"),EXACT(metadata!P141,"missing: not collected"),EXACT(metadata!P141,"missing: not provided"),EXACT(metadata!P141,"missing: restricted access"))),IF(metadata!P141="",FALSE,IF(ISERROR(INT(metadata!P141)),FALSE,INT(metadata!P141)=metadata!P141)))</f>
        <v>0</v>
      </c>
      <c r="AS141" t="b">
        <f>AND(IF(metadata!Q141="",FALSE,TRUE),EXACT(metadata!Q141,"Not applicable"))</f>
        <v>0</v>
      </c>
      <c r="AT141" t="b">
        <f>OR(AND(IF(metadata!R141="",FALSE,TRUE),OR(EXACT(metadata!R141,"not applicable"),EXACT(metadata!R141,"missing: not collected"),EXACT(metadata!R141,"missing: not provided"),EXACT(metadata!R141,"missing: restricted access"))),AND(IF(metadata!R141="",FALSE,ISNUMBER(VALUE(metadata!R141))),metadata!R141&gt;0))</f>
        <v>0</v>
      </c>
      <c r="AU141" t="b">
        <f>AND(IF(metadata!S141="",FALSE,TRUE),EXACT(metadata!S141,"missing: not provided"))</f>
        <v>0</v>
      </c>
    </row>
    <row r="142" spans="1:47" x14ac:dyDescent="0.2">
      <c r="A142" s="5" t="str">
        <f ca="1">IF(B142=" "," ",HYPERLINK(CONCATENATE("#metadata!",ADDRESS(INDEX($Y$2:$Y$1001,MATCH(ROWS($W$2:W142),$W$2:$W$1001,0),0),1)),INDEX($AB$2:$AB$1001,MATCH(ROWS($W$2:W142),$W$2:$W$1001,0),0)))</f>
        <v xml:space="preserve"> </v>
      </c>
      <c r="B142" s="4" t="str">
        <f ca="1">IF(OR(INDEX($X$2:$X$1001,MATCH(ROWS($W$2:W142),$W$2:$W$1001,0),1)&gt;=100000,INDEX($AD$1005:$AU$1005,1,MATCH(COLUMNS($AD$1006:AD1006),$AD$1006:$AU$1006,0))&gt;=100000), " ",IF(INDEX($AD$2:$AU$1001,MATCH(ROWS($W$2:W142),$W$2:$W$1001,0),MATCH(COLUMNS($AD$1006:AD1006),$AD$1006:$AU$1006,0)), HYPERLINK("#",""), HYPERLINK(CONCATENATE("#metadata!", ADDRESS(INDEX($Y$2:$Y$1001,MATCH(ROWS($W$2:W142),$W$2:$W$1001,0),0), INDEX($AD$1004:$AU$1004,1,MATCH(COLUMNS($AD$1006:AD1006),$AD$1006:$AU$1006,0)))),"Fix")))</f>
        <v xml:space="preserve"> </v>
      </c>
      <c r="C142" s="4" t="str">
        <f ca="1">IF(OR(INDEX($X$2:$X$1001,MATCH(ROWS($W$2:W142),$W$2:$W$1001,0),1)&gt;=100000,INDEX($AD$1005:$AU$1005,1,MATCH(COLUMNS($AD$1006:AE1006),$AD$1006:$AU$1006,0))&gt;=100000), " ",IF(INDEX($AD$2:$AU$1001,MATCH(ROWS($W$2:W142),$W$2:$W$1001,0),MATCH(COLUMNS($AD$1006:AE1006),$AD$1006:$AU$1006,0)), HYPERLINK("#",""), HYPERLINK(CONCATENATE("#metadata!", ADDRESS(INDEX($Y$2:$Y$1001,MATCH(ROWS($W$2:W142),$W$2:$W$1001,0),0), INDEX($AD$1004:$AU$1004,1,MATCH(COLUMNS($AD$1006:AE1006),$AD$1006:$AU$1006,0)))),"Fix")))</f>
        <v xml:space="preserve"> </v>
      </c>
      <c r="D142" s="4" t="str">
        <f ca="1">IF(OR(INDEX($X$2:$X$1001,MATCH(ROWS($W$2:W142),$W$2:$W$1001,0),1)&gt;=100000,INDEX($AD$1005:$AU$1005,1,MATCH(COLUMNS($AD$1006:AF1006),$AD$1006:$AU$1006,0))&gt;=100000), " ",IF(INDEX($AD$2:$AU$1001,MATCH(ROWS($W$2:W142),$W$2:$W$1001,0),MATCH(COLUMNS($AD$1006:AF1006),$AD$1006:$AU$1006,0)), HYPERLINK("#",""), HYPERLINK(CONCATENATE("#metadata!", ADDRESS(INDEX($Y$2:$Y$1001,MATCH(ROWS($W$2:W142),$W$2:$W$1001,0),0), INDEX($AD$1004:$AU$1004,1,MATCH(COLUMNS($AD$1006:AF1006),$AD$1006:$AU$1006,0)))),"Fix")))</f>
        <v xml:space="preserve"> </v>
      </c>
      <c r="E142" s="4" t="str">
        <f ca="1">IF(OR(INDEX($X$2:$X$1001,MATCH(ROWS($W$2:W142),$W$2:$W$1001,0),1)&gt;=100000,INDEX($AD$1005:$AU$1005,1,MATCH(COLUMNS($AD$1006:AG1006),$AD$1006:$AU$1006,0))&gt;=100000), " ",IF(INDEX($AD$2:$AU$1001,MATCH(ROWS($W$2:W142),$W$2:$W$1001,0),MATCH(COLUMNS($AD$1006:AG1006),$AD$1006:$AU$1006,0)), HYPERLINK("#",""), HYPERLINK(CONCATENATE("#metadata!", ADDRESS(INDEX($Y$2:$Y$1001,MATCH(ROWS($W$2:W142),$W$2:$W$1001,0),0), INDEX($AD$1004:$AU$1004,1,MATCH(COLUMNS($AD$1006:AG1006),$AD$1006:$AU$1006,0)))),"Fix")))</f>
        <v xml:space="preserve"> </v>
      </c>
      <c r="F142" s="4" t="str">
        <f ca="1">IF(OR(INDEX($X$2:$X$1001,MATCH(ROWS($W$2:W142),$W$2:$W$1001,0),1)&gt;=100000,INDEX($AD$1005:$AU$1005,1,MATCH(COLUMNS($AD$1006:AH1006),$AD$1006:$AU$1006,0))&gt;=100000), " ",IF(INDEX($AD$2:$AU$1001,MATCH(ROWS($W$2:W142),$W$2:$W$1001,0),MATCH(COLUMNS($AD$1006:AH1006),$AD$1006:$AU$1006,0)), HYPERLINK("#",""), HYPERLINK(CONCATENATE("#metadata!", ADDRESS(INDEX($Y$2:$Y$1001,MATCH(ROWS($W$2:W142),$W$2:$W$1001,0),0), INDEX($AD$1004:$AU$1004,1,MATCH(COLUMNS($AD$1006:AH1006),$AD$1006:$AU$1006,0)))),"Fix")))</f>
        <v xml:space="preserve"> </v>
      </c>
      <c r="G142" s="4" t="str">
        <f ca="1">IF(OR(INDEX($X$2:$X$1001,MATCH(ROWS($W$2:W142),$W$2:$W$1001,0),1)&gt;=100000,INDEX($AD$1005:$AU$1005,1,MATCH(COLUMNS($AD$1006:AI1006),$AD$1006:$AU$1006,0))&gt;=100000), " ",IF(INDEX($AD$2:$AU$1001,MATCH(ROWS($W$2:W142),$W$2:$W$1001,0),MATCH(COLUMNS($AD$1006:AI1006),$AD$1006:$AU$1006,0)), HYPERLINK("#",""), HYPERLINK(CONCATENATE("#metadata!", ADDRESS(INDEX($Y$2:$Y$1001,MATCH(ROWS($W$2:W142),$W$2:$W$1001,0),0), INDEX($AD$1004:$AU$1004,1,MATCH(COLUMNS($AD$1006:AI1006),$AD$1006:$AU$1006,0)))),"Fix")))</f>
        <v xml:space="preserve"> </v>
      </c>
      <c r="H142" s="4" t="str">
        <f ca="1">IF(OR(INDEX($X$2:$X$1001,MATCH(ROWS($W$2:W142),$W$2:$W$1001,0),1)&gt;=100000,INDEX($AD$1005:$AU$1005,1,MATCH(COLUMNS($AD$1006:AJ1006),$AD$1006:$AU$1006,0))&gt;=100000), " ",IF(INDEX($AD$2:$AU$1001,MATCH(ROWS($W$2:W142),$W$2:$W$1001,0),MATCH(COLUMNS($AD$1006:AJ1006),$AD$1006:$AU$1006,0)), HYPERLINK("#",""), HYPERLINK(CONCATENATE("#metadata!", ADDRESS(INDEX($Y$2:$Y$1001,MATCH(ROWS($W$2:W142),$W$2:$W$1001,0),0), INDEX($AD$1004:$AU$1004,1,MATCH(COLUMNS($AD$1006:AJ1006),$AD$1006:$AU$1006,0)))),"Fix")))</f>
        <v xml:space="preserve"> </v>
      </c>
      <c r="I142" s="4" t="str">
        <f ca="1">IF(OR(INDEX($X$2:$X$1001,MATCH(ROWS($W$2:W142),$W$2:$W$1001,0),1)&gt;=100000,INDEX($AD$1005:$AU$1005,1,MATCH(COLUMNS($AD$1006:AK1006),$AD$1006:$AU$1006,0))&gt;=100000), " ",IF(INDEX($AD$2:$AU$1001,MATCH(ROWS($W$2:W142),$W$2:$W$1001,0),MATCH(COLUMNS($AD$1006:AK1006),$AD$1006:$AU$1006,0)), HYPERLINK("#",""), HYPERLINK(CONCATENATE("#metadata!", ADDRESS(INDEX($Y$2:$Y$1001,MATCH(ROWS($W$2:W142),$W$2:$W$1001,0),0), INDEX($AD$1004:$AU$1004,1,MATCH(COLUMNS($AD$1006:AK1006),$AD$1006:$AU$1006,0)))),"Fix")))</f>
        <v xml:space="preserve"> </v>
      </c>
      <c r="J142" s="4" t="str">
        <f ca="1">IF(OR(INDEX($X$2:$X$1001,MATCH(ROWS($W$2:W142),$W$2:$W$1001,0),1)&gt;=100000,INDEX($AD$1005:$AU$1005,1,MATCH(COLUMNS($AD$1006:AL1006),$AD$1006:$AU$1006,0))&gt;=100000), " ",IF(INDEX($AD$2:$AU$1001,MATCH(ROWS($W$2:W142),$W$2:$W$1001,0),MATCH(COLUMNS($AD$1006:AL1006),$AD$1006:$AU$1006,0)), HYPERLINK("#",""), HYPERLINK(CONCATENATE("#metadata!", ADDRESS(INDEX($Y$2:$Y$1001,MATCH(ROWS($W$2:W142),$W$2:$W$1001,0),0), INDEX($AD$1004:$AU$1004,1,MATCH(COLUMNS($AD$1006:AL1006),$AD$1006:$AU$1006,0)))),"Fix")))</f>
        <v xml:space="preserve"> </v>
      </c>
      <c r="K142" s="4" t="str">
        <f ca="1">IF(OR(INDEX($X$2:$X$1001,MATCH(ROWS($W$2:W142),$W$2:$W$1001,0),1)&gt;=100000,INDEX($AD$1005:$AU$1005,1,MATCH(COLUMNS($AD$1006:AM1006),$AD$1006:$AU$1006,0))&gt;=100000), " ",IF(INDEX($AD$2:$AU$1001,MATCH(ROWS($W$2:W142),$W$2:$W$1001,0),MATCH(COLUMNS($AD$1006:AM1006),$AD$1006:$AU$1006,0)), HYPERLINK("#",""), HYPERLINK(CONCATENATE("#metadata!", ADDRESS(INDEX($Y$2:$Y$1001,MATCH(ROWS($W$2:W142),$W$2:$W$1001,0),0), INDEX($AD$1004:$AU$1004,1,MATCH(COLUMNS($AD$1006:AM1006),$AD$1006:$AU$1006,0)))),"Fix")))</f>
        <v xml:space="preserve"> </v>
      </c>
      <c r="L142" s="4" t="str">
        <f ca="1">IF(OR(INDEX($X$2:$X$1001,MATCH(ROWS($W$2:W142),$W$2:$W$1001,0),1)&gt;=100000,INDEX($AD$1005:$AU$1005,1,MATCH(COLUMNS($AD$1006:AN1006),$AD$1006:$AU$1006,0))&gt;=100000), " ",IF(INDEX($AD$2:$AU$1001,MATCH(ROWS($W$2:W142),$W$2:$W$1001,0),MATCH(COLUMNS($AD$1006:AN1006),$AD$1006:$AU$1006,0)), HYPERLINK("#",""), HYPERLINK(CONCATENATE("#metadata!", ADDRESS(INDEX($Y$2:$Y$1001,MATCH(ROWS($W$2:W142),$W$2:$W$1001,0),0), INDEX($AD$1004:$AU$1004,1,MATCH(COLUMNS($AD$1006:AN1006),$AD$1006:$AU$1006,0)))),"Fix")))</f>
        <v xml:space="preserve"> </v>
      </c>
      <c r="M142" s="4" t="str">
        <f ca="1">IF(OR(INDEX($X$2:$X$1001,MATCH(ROWS($W$2:W142),$W$2:$W$1001,0),1)&gt;=100000,INDEX($AD$1005:$AU$1005,1,MATCH(COLUMNS($AD$1006:AO1006),$AD$1006:$AU$1006,0))&gt;=100000), " ",IF(INDEX($AD$2:$AU$1001,MATCH(ROWS($W$2:W142),$W$2:$W$1001,0),MATCH(COLUMNS($AD$1006:AO1006),$AD$1006:$AU$1006,0)), HYPERLINK("#",""), HYPERLINK(CONCATENATE("#metadata!", ADDRESS(INDEX($Y$2:$Y$1001,MATCH(ROWS($W$2:W142),$W$2:$W$1001,0),0), INDEX($AD$1004:$AU$1004,1,MATCH(COLUMNS($AD$1006:AO1006),$AD$1006:$AU$1006,0)))),"Fix")))</f>
        <v xml:space="preserve"> </v>
      </c>
      <c r="N142" s="4" t="str">
        <f ca="1">IF(OR(INDEX($X$2:$X$1001,MATCH(ROWS($W$2:W142),$W$2:$W$1001,0),1)&gt;=100000,INDEX($AD$1005:$AU$1005,1,MATCH(COLUMNS($AD$1006:AP1006),$AD$1006:$AU$1006,0))&gt;=100000), " ",IF(INDEX($AD$2:$AU$1001,MATCH(ROWS($W$2:W142),$W$2:$W$1001,0),MATCH(COLUMNS($AD$1006:AP1006),$AD$1006:$AU$1006,0)), HYPERLINK("#",""), HYPERLINK(CONCATENATE("#metadata!", ADDRESS(INDEX($Y$2:$Y$1001,MATCH(ROWS($W$2:W142),$W$2:$W$1001,0),0), INDEX($AD$1004:$AU$1004,1,MATCH(COLUMNS($AD$1006:AP1006),$AD$1006:$AU$1006,0)))),"Fix")))</f>
        <v xml:space="preserve"> </v>
      </c>
      <c r="O142" s="4" t="str">
        <f ca="1">IF(OR(INDEX($X$2:$X$1001,MATCH(ROWS($W$2:W142),$W$2:$W$1001,0),1)&gt;=100000,INDEX($AD$1005:$AU$1005,1,MATCH(COLUMNS($AD$1006:AQ1006),$AD$1006:$AU$1006,0))&gt;=100000), " ",IF(INDEX($AD$2:$AU$1001,MATCH(ROWS($W$2:W142),$W$2:$W$1001,0),MATCH(COLUMNS($AD$1006:AQ1006),$AD$1006:$AU$1006,0)), HYPERLINK("#",""), HYPERLINK(CONCATENATE("#metadata!", ADDRESS(INDEX($Y$2:$Y$1001,MATCH(ROWS($W$2:W142),$W$2:$W$1001,0),0), INDEX($AD$1004:$AU$1004,1,MATCH(COLUMNS($AD$1006:AQ1006),$AD$1006:$AU$1006,0)))),"Fix")))</f>
        <v xml:space="preserve"> </v>
      </c>
      <c r="P142" s="4" t="str">
        <f ca="1">IF(OR(INDEX($X$2:$X$1001,MATCH(ROWS($W$2:W142),$W$2:$W$1001,0),1)&gt;=100000,INDEX($AD$1005:$AU$1005,1,MATCH(COLUMNS($AD$1006:AR1006),$AD$1006:$AU$1006,0))&gt;=100000), " ",IF(INDEX($AD$2:$AU$1001,MATCH(ROWS($W$2:W142),$W$2:$W$1001,0),MATCH(COLUMNS($AD$1006:AR1006),$AD$1006:$AU$1006,0)), HYPERLINK("#",""), HYPERLINK(CONCATENATE("#metadata!", ADDRESS(INDEX($Y$2:$Y$1001,MATCH(ROWS($W$2:W142),$W$2:$W$1001,0),0), INDEX($AD$1004:$AU$1004,1,MATCH(COLUMNS($AD$1006:AR1006),$AD$1006:$AU$1006,0)))),"Fix")))</f>
        <v xml:space="preserve"> </v>
      </c>
      <c r="Q142" s="4" t="str">
        <f ca="1">IF(OR(INDEX($X$2:$X$1001,MATCH(ROWS($W$2:W142),$W$2:$W$1001,0),1)&gt;=100000,INDEX($AD$1005:$AU$1005,1,MATCH(COLUMNS($AD$1006:AS1006),$AD$1006:$AU$1006,0))&gt;=100000), " ",IF(INDEX($AD$2:$AU$1001,MATCH(ROWS($W$2:W142),$W$2:$W$1001,0),MATCH(COLUMNS($AD$1006:AS1006),$AD$1006:$AU$1006,0)), HYPERLINK("#",""), HYPERLINK(CONCATENATE("#metadata!", ADDRESS(INDEX($Y$2:$Y$1001,MATCH(ROWS($W$2:W142),$W$2:$W$1001,0),0), INDEX($AD$1004:$AU$1004,1,MATCH(COLUMNS($AD$1006:AS1006),$AD$1006:$AU$1006,0)))),"Fix")))</f>
        <v xml:space="preserve"> </v>
      </c>
      <c r="R142" s="4" t="str">
        <f ca="1">IF(OR(INDEX($X$2:$X$1001,MATCH(ROWS($W$2:W142),$W$2:$W$1001,0),1)&gt;=100000,INDEX($AD$1005:$AU$1005,1,MATCH(COLUMNS($AD$1006:AT1006),$AD$1006:$AU$1006,0))&gt;=100000), " ",IF(INDEX($AD$2:$AU$1001,MATCH(ROWS($W$2:W142),$W$2:$W$1001,0),MATCH(COLUMNS($AD$1006:AT1006),$AD$1006:$AU$1006,0)), HYPERLINK("#",""), HYPERLINK(CONCATENATE("#metadata!", ADDRESS(INDEX($Y$2:$Y$1001,MATCH(ROWS($W$2:W142),$W$2:$W$1001,0),0), INDEX($AD$1004:$AU$1004,1,MATCH(COLUMNS($AD$1006:AT1006),$AD$1006:$AU$1006,0)))),"Fix")))</f>
        <v xml:space="preserve"> </v>
      </c>
      <c r="S142" s="4" t="str">
        <f ca="1">IF(OR(INDEX($X$2:$X$1001,MATCH(ROWS($W$2:W142),$W$2:$W$1001,0),1)&gt;=100000,INDEX($AD$1005:$AU$1005,1,MATCH(COLUMNS($AD$1006:AU1006),$AD$1006:$AU$1006,0))&gt;=100000), " ",IF(INDEX($AD$2:$AU$1001,MATCH(ROWS($W$2:W142),$W$2:$W$1001,0),MATCH(COLUMNS($AD$1006:AU1006),$AD$1006:$AU$1006,0)), HYPERLINK("#",""), HYPERLINK(CONCATENATE("#metadata!", ADDRESS(INDEX($Y$2:$Y$1001,MATCH(ROWS($W$2:W142),$W$2:$W$1001,0),0), INDEX($AD$1004:$AU$1004,1,MATCH(COLUMNS($AD$1006:AU1006),$AD$1006:$AU$1006,0)))),"Fix")))</f>
        <v xml:space="preserve"> </v>
      </c>
      <c r="W142">
        <v>141</v>
      </c>
      <c r="X142">
        <v>100142</v>
      </c>
      <c r="Y142">
        <v>142</v>
      </c>
      <c r="Z142" t="b">
        <f t="shared" si="2"/>
        <v>1</v>
      </c>
      <c r="AA142" t="b">
        <f>COUNTBLANK(metadata!B142:S142)=COLUMNS(metadata!B142:S142)</f>
        <v>1</v>
      </c>
      <c r="AB142" t="str">
        <v/>
      </c>
      <c r="AD142" t="b">
        <f ca="1">AND(IF(metadata!B142="",FALSE,TRUE),COUNTIF(metadata!B:B, metadata!B142) = 1,NOT(ISERROR(SUMPRODUCT(SEARCH(MID(metadata!B142,ROW(INDIRECT("1:"&amp;LEN(metadata!B142))), 1),"0123456789abcdefghijklmnopqrstuvwxyzABCDEFGHIJKLMNOPQRSTUVWXYZ.")))))</f>
        <v>0</v>
      </c>
      <c r="AE142" t="b">
        <f>OR(AND(IF(metadata!C142="",FALSE,TRUE),OR(EXACT(metadata!C142,"not applicable"),EXACT(metadata!C142,"missing: not collected"),EXACT(metadata!C142,"missing: not provided"),EXACT(metadata!C142,"missing: restricted access"))),AND(IF(metadata!C142="",FALSE,ISNUMBER(VALUE(metadata!C142))),metadata!C142&gt;0))</f>
        <v>0</v>
      </c>
      <c r="AF142" t="b">
        <f>AND(IF(metadata!D142="",FALSE,TRUE),EXACT(metadata!D142,"missing: not provided"))</f>
        <v>0</v>
      </c>
      <c r="AG142" t="b">
        <f>AND(IF(metadata!E142="",FALSE,TRUE),EXACT(metadata!E142,"Host-associated"))</f>
        <v>0</v>
      </c>
      <c r="AH142" t="b">
        <f>AND(IF(metadata!F142="",FALSE,TRUE),OR(EXACT(metadata!F142,"Animal"),EXACT(metadata!F142,"Fungus"),EXACT(metadata!F142,"Plant")))</f>
        <v>0</v>
      </c>
      <c r="AI142" t="b">
        <f>AND(IF(metadata!G142="",FALSE,TRUE),OR(EXACT(metadata!G142,"Plant secretion"),EXACT(metadata!G142,"Plant rhizosphere"),EXACT(metadata!G142,"Plant surface"),EXACT(metadata!G142,"Plant corpus"),EXACT(metadata!G142,"Fungus surface"),EXACT(metadata!G142,"Fungus corpus"),EXACT(metadata!G142,"Animal surface"),EXACT(metadata!G142,"Animal proximal gut"),EXACT(metadata!G142,"Animal corpus"),EXACT(metadata!G142,"Animal distal gut"),EXACT(metadata!G142,"Animal secretion")))</f>
        <v>0</v>
      </c>
      <c r="AJ142" t="b">
        <f>OR(AND(IF(metadata!H142="",FALSE,TRUE),OR(EXACT(metadata!H142,"missing: not collected"),EXACT(metadata!H142,"missing: not provided"),EXACT(metadata!H142,"missing: restricted access"))),AND(IF(metadata!H142="",FALSE,TRUE),OR(EXACT(metadata!H142,"organism-associated habitat"),EXACT(metadata!H142,"plant-associated habitat"),EXACT(metadata!H142,"animal-associated habitat"),EXACT(metadata!H142,"insecta-associated habitat"),EXACT(metadata!H142,"mammalia-associated habitat"),EXACT(metadata!H142,"human-associated habitat"),EXACT(metadata!H142,"livestock-associated habitat"))))</f>
        <v>0</v>
      </c>
      <c r="AK142" t="b">
        <f>AND(IF(metadata!I142="",FALSE,TRUE),EXACT(metadata!I142,"host-associated"))</f>
        <v>0</v>
      </c>
      <c r="AL142" t="b">
        <f>OR(AND(IF(metadata!J142="",FALSE,TRUE),OR(EXACT(metadata!J142,"not applicable"),EXACT(metadata!J142,"missing: not collected"),EXACT(metadata!J142,"missing: not provided"),EXACT(metadata!J142,"missing: restricted access"))),AND(IF(metadata!J142="",FALSE,ISNUMBER(VALUE(metadata!J142))),metadata!J142&gt;0))</f>
        <v>0</v>
      </c>
      <c r="AM142" t="b">
        <f>AND(IF(metadata!K142="",FALSE,TRUE),EXACT(metadata!K142,"missing: not provided"))</f>
        <v>0</v>
      </c>
      <c r="AN142" t="b">
        <f>IF(metadata!L142="",FALSE,TRUE)</f>
        <v>0</v>
      </c>
      <c r="AO142" t="b">
        <f>IF(metadata!M142="",FALSE,TRUE)</f>
        <v>0</v>
      </c>
      <c r="AP142" t="b">
        <f>OR(AND(IF(metadata!N142="",FALSE,TRUE),OR(EXACT(metadata!N142,"not applicable"),EXACT(metadata!N142,"missing: not collected"),EXACT(metadata!N142,"missing: not provided"))),AND(IF(metadata!N142="",FALSE,IF(ISERROR(INT(metadata!N142)),FALSE,INT(metadata!N142)=metadata!N142)),metadata!N142&gt;0))</f>
        <v>0</v>
      </c>
      <c r="AQ142" t="b">
        <f>AND(IF(metadata!O142="",FALSE,TRUE),EXACT(metadata!O142,"Not applicable"))</f>
        <v>0</v>
      </c>
      <c r="AR142" t="b">
        <f>OR(AND(IF(metadata!P142="",FALSE,TRUE),OR(EXACT(metadata!P142,"not applicable"),EXACT(metadata!P142,"missing: not collected"),EXACT(metadata!P142,"missing: not provided"),EXACT(metadata!P142,"missing: restricted access"))),IF(metadata!P142="",FALSE,IF(ISERROR(INT(metadata!P142)),FALSE,INT(metadata!P142)=metadata!P142)))</f>
        <v>0</v>
      </c>
      <c r="AS142" t="b">
        <f>AND(IF(metadata!Q142="",FALSE,TRUE),EXACT(metadata!Q142,"Not applicable"))</f>
        <v>0</v>
      </c>
      <c r="AT142" t="b">
        <f>OR(AND(IF(metadata!R142="",FALSE,TRUE),OR(EXACT(metadata!R142,"not applicable"),EXACT(metadata!R142,"missing: not collected"),EXACT(metadata!R142,"missing: not provided"),EXACT(metadata!R142,"missing: restricted access"))),AND(IF(metadata!R142="",FALSE,ISNUMBER(VALUE(metadata!R142))),metadata!R142&gt;0))</f>
        <v>0</v>
      </c>
      <c r="AU142" t="b">
        <f>AND(IF(metadata!S142="",FALSE,TRUE),EXACT(metadata!S142,"missing: not provided"))</f>
        <v>0</v>
      </c>
    </row>
    <row r="143" spans="1:47" x14ac:dyDescent="0.2">
      <c r="A143" s="5" t="str">
        <f ca="1">IF(B143=" "," ",HYPERLINK(CONCATENATE("#metadata!",ADDRESS(INDEX($Y$2:$Y$1001,MATCH(ROWS($W$2:W143),$W$2:$W$1001,0),0),1)),INDEX($AB$2:$AB$1001,MATCH(ROWS($W$2:W143),$W$2:$W$1001,0),0)))</f>
        <v xml:space="preserve"> </v>
      </c>
      <c r="B143" s="4" t="str">
        <f ca="1">IF(OR(INDEX($X$2:$X$1001,MATCH(ROWS($W$2:W143),$W$2:$W$1001,0),1)&gt;=100000,INDEX($AD$1005:$AU$1005,1,MATCH(COLUMNS($AD$1006:AD1006),$AD$1006:$AU$1006,0))&gt;=100000), " ",IF(INDEX($AD$2:$AU$1001,MATCH(ROWS($W$2:W143),$W$2:$W$1001,0),MATCH(COLUMNS($AD$1006:AD1006),$AD$1006:$AU$1006,0)), HYPERLINK("#",""), HYPERLINK(CONCATENATE("#metadata!", ADDRESS(INDEX($Y$2:$Y$1001,MATCH(ROWS($W$2:W143),$W$2:$W$1001,0),0), INDEX($AD$1004:$AU$1004,1,MATCH(COLUMNS($AD$1006:AD1006),$AD$1006:$AU$1006,0)))),"Fix")))</f>
        <v xml:space="preserve"> </v>
      </c>
      <c r="C143" s="4" t="str">
        <f ca="1">IF(OR(INDEX($X$2:$X$1001,MATCH(ROWS($W$2:W143),$W$2:$W$1001,0),1)&gt;=100000,INDEX($AD$1005:$AU$1005,1,MATCH(COLUMNS($AD$1006:AE1006),$AD$1006:$AU$1006,0))&gt;=100000), " ",IF(INDEX($AD$2:$AU$1001,MATCH(ROWS($W$2:W143),$W$2:$W$1001,0),MATCH(COLUMNS($AD$1006:AE1006),$AD$1006:$AU$1006,0)), HYPERLINK("#",""), HYPERLINK(CONCATENATE("#metadata!", ADDRESS(INDEX($Y$2:$Y$1001,MATCH(ROWS($W$2:W143),$W$2:$W$1001,0),0), INDEX($AD$1004:$AU$1004,1,MATCH(COLUMNS($AD$1006:AE1006),$AD$1006:$AU$1006,0)))),"Fix")))</f>
        <v xml:space="preserve"> </v>
      </c>
      <c r="D143" s="4" t="str">
        <f ca="1">IF(OR(INDEX($X$2:$X$1001,MATCH(ROWS($W$2:W143),$W$2:$W$1001,0),1)&gt;=100000,INDEX($AD$1005:$AU$1005,1,MATCH(COLUMNS($AD$1006:AF1006),$AD$1006:$AU$1006,0))&gt;=100000), " ",IF(INDEX($AD$2:$AU$1001,MATCH(ROWS($W$2:W143),$W$2:$W$1001,0),MATCH(COLUMNS($AD$1006:AF1006),$AD$1006:$AU$1006,0)), HYPERLINK("#",""), HYPERLINK(CONCATENATE("#metadata!", ADDRESS(INDEX($Y$2:$Y$1001,MATCH(ROWS($W$2:W143),$W$2:$W$1001,0),0), INDEX($AD$1004:$AU$1004,1,MATCH(COLUMNS($AD$1006:AF1006),$AD$1006:$AU$1006,0)))),"Fix")))</f>
        <v xml:space="preserve"> </v>
      </c>
      <c r="E143" s="4" t="str">
        <f ca="1">IF(OR(INDEX($X$2:$X$1001,MATCH(ROWS($W$2:W143),$W$2:$W$1001,0),1)&gt;=100000,INDEX($AD$1005:$AU$1005,1,MATCH(COLUMNS($AD$1006:AG1006),$AD$1006:$AU$1006,0))&gt;=100000), " ",IF(INDEX($AD$2:$AU$1001,MATCH(ROWS($W$2:W143),$W$2:$W$1001,0),MATCH(COLUMNS($AD$1006:AG1006),$AD$1006:$AU$1006,0)), HYPERLINK("#",""), HYPERLINK(CONCATENATE("#metadata!", ADDRESS(INDEX($Y$2:$Y$1001,MATCH(ROWS($W$2:W143),$W$2:$W$1001,0),0), INDEX($AD$1004:$AU$1004,1,MATCH(COLUMNS($AD$1006:AG1006),$AD$1006:$AU$1006,0)))),"Fix")))</f>
        <v xml:space="preserve"> </v>
      </c>
      <c r="F143" s="4" t="str">
        <f ca="1">IF(OR(INDEX($X$2:$X$1001,MATCH(ROWS($W$2:W143),$W$2:$W$1001,0),1)&gt;=100000,INDEX($AD$1005:$AU$1005,1,MATCH(COLUMNS($AD$1006:AH1006),$AD$1006:$AU$1006,0))&gt;=100000), " ",IF(INDEX($AD$2:$AU$1001,MATCH(ROWS($W$2:W143),$W$2:$W$1001,0),MATCH(COLUMNS($AD$1006:AH1006),$AD$1006:$AU$1006,0)), HYPERLINK("#",""), HYPERLINK(CONCATENATE("#metadata!", ADDRESS(INDEX($Y$2:$Y$1001,MATCH(ROWS($W$2:W143),$W$2:$W$1001,0),0), INDEX($AD$1004:$AU$1004,1,MATCH(COLUMNS($AD$1006:AH1006),$AD$1006:$AU$1006,0)))),"Fix")))</f>
        <v xml:space="preserve"> </v>
      </c>
      <c r="G143" s="4" t="str">
        <f ca="1">IF(OR(INDEX($X$2:$X$1001,MATCH(ROWS($W$2:W143),$W$2:$W$1001,0),1)&gt;=100000,INDEX($AD$1005:$AU$1005,1,MATCH(COLUMNS($AD$1006:AI1006),$AD$1006:$AU$1006,0))&gt;=100000), " ",IF(INDEX($AD$2:$AU$1001,MATCH(ROWS($W$2:W143),$W$2:$W$1001,0),MATCH(COLUMNS($AD$1006:AI1006),$AD$1006:$AU$1006,0)), HYPERLINK("#",""), HYPERLINK(CONCATENATE("#metadata!", ADDRESS(INDEX($Y$2:$Y$1001,MATCH(ROWS($W$2:W143),$W$2:$W$1001,0),0), INDEX($AD$1004:$AU$1004,1,MATCH(COLUMNS($AD$1006:AI1006),$AD$1006:$AU$1006,0)))),"Fix")))</f>
        <v xml:space="preserve"> </v>
      </c>
      <c r="H143" s="4" t="str">
        <f ca="1">IF(OR(INDEX($X$2:$X$1001,MATCH(ROWS($W$2:W143),$W$2:$W$1001,0),1)&gt;=100000,INDEX($AD$1005:$AU$1005,1,MATCH(COLUMNS($AD$1006:AJ1006),$AD$1006:$AU$1006,0))&gt;=100000), " ",IF(INDEX($AD$2:$AU$1001,MATCH(ROWS($W$2:W143),$W$2:$W$1001,0),MATCH(COLUMNS($AD$1006:AJ1006),$AD$1006:$AU$1006,0)), HYPERLINK("#",""), HYPERLINK(CONCATENATE("#metadata!", ADDRESS(INDEX($Y$2:$Y$1001,MATCH(ROWS($W$2:W143),$W$2:$W$1001,0),0), INDEX($AD$1004:$AU$1004,1,MATCH(COLUMNS($AD$1006:AJ1006),$AD$1006:$AU$1006,0)))),"Fix")))</f>
        <v xml:space="preserve"> </v>
      </c>
      <c r="I143" s="4" t="str">
        <f ca="1">IF(OR(INDEX($X$2:$X$1001,MATCH(ROWS($W$2:W143),$W$2:$W$1001,0),1)&gt;=100000,INDEX($AD$1005:$AU$1005,1,MATCH(COLUMNS($AD$1006:AK1006),$AD$1006:$AU$1006,0))&gt;=100000), " ",IF(INDEX($AD$2:$AU$1001,MATCH(ROWS($W$2:W143),$W$2:$W$1001,0),MATCH(COLUMNS($AD$1006:AK1006),$AD$1006:$AU$1006,0)), HYPERLINK("#",""), HYPERLINK(CONCATENATE("#metadata!", ADDRESS(INDEX($Y$2:$Y$1001,MATCH(ROWS($W$2:W143),$W$2:$W$1001,0),0), INDEX($AD$1004:$AU$1004,1,MATCH(COLUMNS($AD$1006:AK1006),$AD$1006:$AU$1006,0)))),"Fix")))</f>
        <v xml:space="preserve"> </v>
      </c>
      <c r="J143" s="4" t="str">
        <f ca="1">IF(OR(INDEX($X$2:$X$1001,MATCH(ROWS($W$2:W143),$W$2:$W$1001,0),1)&gt;=100000,INDEX($AD$1005:$AU$1005,1,MATCH(COLUMNS($AD$1006:AL1006),$AD$1006:$AU$1006,0))&gt;=100000), " ",IF(INDEX($AD$2:$AU$1001,MATCH(ROWS($W$2:W143),$W$2:$W$1001,0),MATCH(COLUMNS($AD$1006:AL1006),$AD$1006:$AU$1006,0)), HYPERLINK("#",""), HYPERLINK(CONCATENATE("#metadata!", ADDRESS(INDEX($Y$2:$Y$1001,MATCH(ROWS($W$2:W143),$W$2:$W$1001,0),0), INDEX($AD$1004:$AU$1004,1,MATCH(COLUMNS($AD$1006:AL1006),$AD$1006:$AU$1006,0)))),"Fix")))</f>
        <v xml:space="preserve"> </v>
      </c>
      <c r="K143" s="4" t="str">
        <f ca="1">IF(OR(INDEX($X$2:$X$1001,MATCH(ROWS($W$2:W143),$W$2:$W$1001,0),1)&gt;=100000,INDEX($AD$1005:$AU$1005,1,MATCH(COLUMNS($AD$1006:AM1006),$AD$1006:$AU$1006,0))&gt;=100000), " ",IF(INDEX($AD$2:$AU$1001,MATCH(ROWS($W$2:W143),$W$2:$W$1001,0),MATCH(COLUMNS($AD$1006:AM1006),$AD$1006:$AU$1006,0)), HYPERLINK("#",""), HYPERLINK(CONCATENATE("#metadata!", ADDRESS(INDEX($Y$2:$Y$1001,MATCH(ROWS($W$2:W143),$W$2:$W$1001,0),0), INDEX($AD$1004:$AU$1004,1,MATCH(COLUMNS($AD$1006:AM1006),$AD$1006:$AU$1006,0)))),"Fix")))</f>
        <v xml:space="preserve"> </v>
      </c>
      <c r="L143" s="4" t="str">
        <f ca="1">IF(OR(INDEX($X$2:$X$1001,MATCH(ROWS($W$2:W143),$W$2:$W$1001,0),1)&gt;=100000,INDEX($AD$1005:$AU$1005,1,MATCH(COLUMNS($AD$1006:AN1006),$AD$1006:$AU$1006,0))&gt;=100000), " ",IF(INDEX($AD$2:$AU$1001,MATCH(ROWS($W$2:W143),$W$2:$W$1001,0),MATCH(COLUMNS($AD$1006:AN1006),$AD$1006:$AU$1006,0)), HYPERLINK("#",""), HYPERLINK(CONCATENATE("#metadata!", ADDRESS(INDEX($Y$2:$Y$1001,MATCH(ROWS($W$2:W143),$W$2:$W$1001,0),0), INDEX($AD$1004:$AU$1004,1,MATCH(COLUMNS($AD$1006:AN1006),$AD$1006:$AU$1006,0)))),"Fix")))</f>
        <v xml:space="preserve"> </v>
      </c>
      <c r="M143" s="4" t="str">
        <f ca="1">IF(OR(INDEX($X$2:$X$1001,MATCH(ROWS($W$2:W143),$W$2:$W$1001,0),1)&gt;=100000,INDEX($AD$1005:$AU$1005,1,MATCH(COLUMNS($AD$1006:AO1006),$AD$1006:$AU$1006,0))&gt;=100000), " ",IF(INDEX($AD$2:$AU$1001,MATCH(ROWS($W$2:W143),$W$2:$W$1001,0),MATCH(COLUMNS($AD$1006:AO1006),$AD$1006:$AU$1006,0)), HYPERLINK("#",""), HYPERLINK(CONCATENATE("#metadata!", ADDRESS(INDEX($Y$2:$Y$1001,MATCH(ROWS($W$2:W143),$W$2:$W$1001,0),0), INDEX($AD$1004:$AU$1004,1,MATCH(COLUMNS($AD$1006:AO1006),$AD$1006:$AU$1006,0)))),"Fix")))</f>
        <v xml:space="preserve"> </v>
      </c>
      <c r="N143" s="4" t="str">
        <f ca="1">IF(OR(INDEX($X$2:$X$1001,MATCH(ROWS($W$2:W143),$W$2:$W$1001,0),1)&gt;=100000,INDEX($AD$1005:$AU$1005,1,MATCH(COLUMNS($AD$1006:AP1006),$AD$1006:$AU$1006,0))&gt;=100000), " ",IF(INDEX($AD$2:$AU$1001,MATCH(ROWS($W$2:W143),$W$2:$W$1001,0),MATCH(COLUMNS($AD$1006:AP1006),$AD$1006:$AU$1006,0)), HYPERLINK("#",""), HYPERLINK(CONCATENATE("#metadata!", ADDRESS(INDEX($Y$2:$Y$1001,MATCH(ROWS($W$2:W143),$W$2:$W$1001,0),0), INDEX($AD$1004:$AU$1004,1,MATCH(COLUMNS($AD$1006:AP1006),$AD$1006:$AU$1006,0)))),"Fix")))</f>
        <v xml:space="preserve"> </v>
      </c>
      <c r="O143" s="4" t="str">
        <f ca="1">IF(OR(INDEX($X$2:$X$1001,MATCH(ROWS($W$2:W143),$W$2:$W$1001,0),1)&gt;=100000,INDEX($AD$1005:$AU$1005,1,MATCH(COLUMNS($AD$1006:AQ1006),$AD$1006:$AU$1006,0))&gt;=100000), " ",IF(INDEX($AD$2:$AU$1001,MATCH(ROWS($W$2:W143),$W$2:$W$1001,0),MATCH(COLUMNS($AD$1006:AQ1006),$AD$1006:$AU$1006,0)), HYPERLINK("#",""), HYPERLINK(CONCATENATE("#metadata!", ADDRESS(INDEX($Y$2:$Y$1001,MATCH(ROWS($W$2:W143),$W$2:$W$1001,0),0), INDEX($AD$1004:$AU$1004,1,MATCH(COLUMNS($AD$1006:AQ1006),$AD$1006:$AU$1006,0)))),"Fix")))</f>
        <v xml:space="preserve"> </v>
      </c>
      <c r="P143" s="4" t="str">
        <f ca="1">IF(OR(INDEX($X$2:$X$1001,MATCH(ROWS($W$2:W143),$W$2:$W$1001,0),1)&gt;=100000,INDEX($AD$1005:$AU$1005,1,MATCH(COLUMNS($AD$1006:AR1006),$AD$1006:$AU$1006,0))&gt;=100000), " ",IF(INDEX($AD$2:$AU$1001,MATCH(ROWS($W$2:W143),$W$2:$W$1001,0),MATCH(COLUMNS($AD$1006:AR1006),$AD$1006:$AU$1006,0)), HYPERLINK("#",""), HYPERLINK(CONCATENATE("#metadata!", ADDRESS(INDEX($Y$2:$Y$1001,MATCH(ROWS($W$2:W143),$W$2:$W$1001,0),0), INDEX($AD$1004:$AU$1004,1,MATCH(COLUMNS($AD$1006:AR1006),$AD$1006:$AU$1006,0)))),"Fix")))</f>
        <v xml:space="preserve"> </v>
      </c>
      <c r="Q143" s="4" t="str">
        <f ca="1">IF(OR(INDEX($X$2:$X$1001,MATCH(ROWS($W$2:W143),$W$2:$W$1001,0),1)&gt;=100000,INDEX($AD$1005:$AU$1005,1,MATCH(COLUMNS($AD$1006:AS1006),$AD$1006:$AU$1006,0))&gt;=100000), " ",IF(INDEX($AD$2:$AU$1001,MATCH(ROWS($W$2:W143),$W$2:$W$1001,0),MATCH(COLUMNS($AD$1006:AS1006),$AD$1006:$AU$1006,0)), HYPERLINK("#",""), HYPERLINK(CONCATENATE("#metadata!", ADDRESS(INDEX($Y$2:$Y$1001,MATCH(ROWS($W$2:W143),$W$2:$W$1001,0),0), INDEX($AD$1004:$AU$1004,1,MATCH(COLUMNS($AD$1006:AS1006),$AD$1006:$AU$1006,0)))),"Fix")))</f>
        <v xml:space="preserve"> </v>
      </c>
      <c r="R143" s="4" t="str">
        <f ca="1">IF(OR(INDEX($X$2:$X$1001,MATCH(ROWS($W$2:W143),$W$2:$W$1001,0),1)&gt;=100000,INDEX($AD$1005:$AU$1005,1,MATCH(COLUMNS($AD$1006:AT1006),$AD$1006:$AU$1006,0))&gt;=100000), " ",IF(INDEX($AD$2:$AU$1001,MATCH(ROWS($W$2:W143),$W$2:$W$1001,0),MATCH(COLUMNS($AD$1006:AT1006),$AD$1006:$AU$1006,0)), HYPERLINK("#",""), HYPERLINK(CONCATENATE("#metadata!", ADDRESS(INDEX($Y$2:$Y$1001,MATCH(ROWS($W$2:W143),$W$2:$W$1001,0),0), INDEX($AD$1004:$AU$1004,1,MATCH(COLUMNS($AD$1006:AT1006),$AD$1006:$AU$1006,0)))),"Fix")))</f>
        <v xml:space="preserve"> </v>
      </c>
      <c r="S143" s="4" t="str">
        <f ca="1">IF(OR(INDEX($X$2:$X$1001,MATCH(ROWS($W$2:W143),$W$2:$W$1001,0),1)&gt;=100000,INDEX($AD$1005:$AU$1005,1,MATCH(COLUMNS($AD$1006:AU1006),$AD$1006:$AU$1006,0))&gt;=100000), " ",IF(INDEX($AD$2:$AU$1001,MATCH(ROWS($W$2:W143),$W$2:$W$1001,0),MATCH(COLUMNS($AD$1006:AU1006),$AD$1006:$AU$1006,0)), HYPERLINK("#",""), HYPERLINK(CONCATENATE("#metadata!", ADDRESS(INDEX($Y$2:$Y$1001,MATCH(ROWS($W$2:W143),$W$2:$W$1001,0),0), INDEX($AD$1004:$AU$1004,1,MATCH(COLUMNS($AD$1006:AU1006),$AD$1006:$AU$1006,0)))),"Fix")))</f>
        <v xml:space="preserve"> </v>
      </c>
      <c r="W143">
        <v>142</v>
      </c>
      <c r="X143">
        <v>100143</v>
      </c>
      <c r="Y143">
        <v>143</v>
      </c>
      <c r="Z143" t="b">
        <f t="shared" si="2"/>
        <v>1</v>
      </c>
      <c r="AA143" t="b">
        <f>COUNTBLANK(metadata!B143:S143)=COLUMNS(metadata!B143:S143)</f>
        <v>1</v>
      </c>
      <c r="AB143" t="str">
        <v/>
      </c>
      <c r="AD143" t="b">
        <f ca="1">AND(IF(metadata!B143="",FALSE,TRUE),COUNTIF(metadata!B:B, metadata!B143) = 1,NOT(ISERROR(SUMPRODUCT(SEARCH(MID(metadata!B143,ROW(INDIRECT("1:"&amp;LEN(metadata!B143))), 1),"0123456789abcdefghijklmnopqrstuvwxyzABCDEFGHIJKLMNOPQRSTUVWXYZ.")))))</f>
        <v>0</v>
      </c>
      <c r="AE143" t="b">
        <f>OR(AND(IF(metadata!C143="",FALSE,TRUE),OR(EXACT(metadata!C143,"not applicable"),EXACT(metadata!C143,"missing: not collected"),EXACT(metadata!C143,"missing: not provided"),EXACT(metadata!C143,"missing: restricted access"))),AND(IF(metadata!C143="",FALSE,ISNUMBER(VALUE(metadata!C143))),metadata!C143&gt;0))</f>
        <v>0</v>
      </c>
      <c r="AF143" t="b">
        <f>AND(IF(metadata!D143="",FALSE,TRUE),EXACT(metadata!D143,"missing: not provided"))</f>
        <v>0</v>
      </c>
      <c r="AG143" t="b">
        <f>AND(IF(metadata!E143="",FALSE,TRUE),EXACT(metadata!E143,"Host-associated"))</f>
        <v>0</v>
      </c>
      <c r="AH143" t="b">
        <f>AND(IF(metadata!F143="",FALSE,TRUE),OR(EXACT(metadata!F143,"Animal"),EXACT(metadata!F143,"Fungus"),EXACT(metadata!F143,"Plant")))</f>
        <v>0</v>
      </c>
      <c r="AI143" t="b">
        <f>AND(IF(metadata!G143="",FALSE,TRUE),OR(EXACT(metadata!G143,"Plant secretion"),EXACT(metadata!G143,"Plant rhizosphere"),EXACT(metadata!G143,"Plant surface"),EXACT(metadata!G143,"Plant corpus"),EXACT(metadata!G143,"Fungus surface"),EXACT(metadata!G143,"Fungus corpus"),EXACT(metadata!G143,"Animal surface"),EXACT(metadata!G143,"Animal proximal gut"),EXACT(metadata!G143,"Animal corpus"),EXACT(metadata!G143,"Animal distal gut"),EXACT(metadata!G143,"Animal secretion")))</f>
        <v>0</v>
      </c>
      <c r="AJ143" t="b">
        <f>OR(AND(IF(metadata!H143="",FALSE,TRUE),OR(EXACT(metadata!H143,"missing: not collected"),EXACT(metadata!H143,"missing: not provided"),EXACT(metadata!H143,"missing: restricted access"))),AND(IF(metadata!H143="",FALSE,TRUE),OR(EXACT(metadata!H143,"organism-associated habitat"),EXACT(metadata!H143,"plant-associated habitat"),EXACT(metadata!H143,"animal-associated habitat"),EXACT(metadata!H143,"insecta-associated habitat"),EXACT(metadata!H143,"mammalia-associated habitat"),EXACT(metadata!H143,"human-associated habitat"),EXACT(metadata!H143,"livestock-associated habitat"))))</f>
        <v>0</v>
      </c>
      <c r="AK143" t="b">
        <f>AND(IF(metadata!I143="",FALSE,TRUE),EXACT(metadata!I143,"host-associated"))</f>
        <v>0</v>
      </c>
      <c r="AL143" t="b">
        <f>OR(AND(IF(metadata!J143="",FALSE,TRUE),OR(EXACT(metadata!J143,"not applicable"),EXACT(metadata!J143,"missing: not collected"),EXACT(metadata!J143,"missing: not provided"),EXACT(metadata!J143,"missing: restricted access"))),AND(IF(metadata!J143="",FALSE,ISNUMBER(VALUE(metadata!J143))),metadata!J143&gt;0))</f>
        <v>0</v>
      </c>
      <c r="AM143" t="b">
        <f>AND(IF(metadata!K143="",FALSE,TRUE),EXACT(metadata!K143,"missing: not provided"))</f>
        <v>0</v>
      </c>
      <c r="AN143" t="b">
        <f>IF(metadata!L143="",FALSE,TRUE)</f>
        <v>0</v>
      </c>
      <c r="AO143" t="b">
        <f>IF(metadata!M143="",FALSE,TRUE)</f>
        <v>0</v>
      </c>
      <c r="AP143" t="b">
        <f>OR(AND(IF(metadata!N143="",FALSE,TRUE),OR(EXACT(metadata!N143,"not applicable"),EXACT(metadata!N143,"missing: not collected"),EXACT(metadata!N143,"missing: not provided"))),AND(IF(metadata!N143="",FALSE,IF(ISERROR(INT(metadata!N143)),FALSE,INT(metadata!N143)=metadata!N143)),metadata!N143&gt;0))</f>
        <v>0</v>
      </c>
      <c r="AQ143" t="b">
        <f>AND(IF(metadata!O143="",FALSE,TRUE),EXACT(metadata!O143,"Not applicable"))</f>
        <v>0</v>
      </c>
      <c r="AR143" t="b">
        <f>OR(AND(IF(metadata!P143="",FALSE,TRUE),OR(EXACT(metadata!P143,"not applicable"),EXACT(metadata!P143,"missing: not collected"),EXACT(metadata!P143,"missing: not provided"),EXACT(metadata!P143,"missing: restricted access"))),IF(metadata!P143="",FALSE,IF(ISERROR(INT(metadata!P143)),FALSE,INT(metadata!P143)=metadata!P143)))</f>
        <v>0</v>
      </c>
      <c r="AS143" t="b">
        <f>AND(IF(metadata!Q143="",FALSE,TRUE),EXACT(metadata!Q143,"Not applicable"))</f>
        <v>0</v>
      </c>
      <c r="AT143" t="b">
        <f>OR(AND(IF(metadata!R143="",FALSE,TRUE),OR(EXACT(metadata!R143,"not applicable"),EXACT(metadata!R143,"missing: not collected"),EXACT(metadata!R143,"missing: not provided"),EXACT(metadata!R143,"missing: restricted access"))),AND(IF(metadata!R143="",FALSE,ISNUMBER(VALUE(metadata!R143))),metadata!R143&gt;0))</f>
        <v>0</v>
      </c>
      <c r="AU143" t="b">
        <f>AND(IF(metadata!S143="",FALSE,TRUE),EXACT(metadata!S143,"missing: not provided"))</f>
        <v>0</v>
      </c>
    </row>
    <row r="144" spans="1:47" x14ac:dyDescent="0.2">
      <c r="A144" s="5" t="str">
        <f ca="1">IF(B144=" "," ",HYPERLINK(CONCATENATE("#metadata!",ADDRESS(INDEX($Y$2:$Y$1001,MATCH(ROWS($W$2:W144),$W$2:$W$1001,0),0),1)),INDEX($AB$2:$AB$1001,MATCH(ROWS($W$2:W144),$W$2:$W$1001,0),0)))</f>
        <v xml:space="preserve"> </v>
      </c>
      <c r="B144" s="4" t="str">
        <f ca="1">IF(OR(INDEX($X$2:$X$1001,MATCH(ROWS($W$2:W144),$W$2:$W$1001,0),1)&gt;=100000,INDEX($AD$1005:$AU$1005,1,MATCH(COLUMNS($AD$1006:AD1006),$AD$1006:$AU$1006,0))&gt;=100000), " ",IF(INDEX($AD$2:$AU$1001,MATCH(ROWS($W$2:W144),$W$2:$W$1001,0),MATCH(COLUMNS($AD$1006:AD1006),$AD$1006:$AU$1006,0)), HYPERLINK("#",""), HYPERLINK(CONCATENATE("#metadata!", ADDRESS(INDEX($Y$2:$Y$1001,MATCH(ROWS($W$2:W144),$W$2:$W$1001,0),0), INDEX($AD$1004:$AU$1004,1,MATCH(COLUMNS($AD$1006:AD1006),$AD$1006:$AU$1006,0)))),"Fix")))</f>
        <v xml:space="preserve"> </v>
      </c>
      <c r="C144" s="4" t="str">
        <f ca="1">IF(OR(INDEX($X$2:$X$1001,MATCH(ROWS($W$2:W144),$W$2:$W$1001,0),1)&gt;=100000,INDEX($AD$1005:$AU$1005,1,MATCH(COLUMNS($AD$1006:AE1006),$AD$1006:$AU$1006,0))&gt;=100000), " ",IF(INDEX($AD$2:$AU$1001,MATCH(ROWS($W$2:W144),$W$2:$W$1001,0),MATCH(COLUMNS($AD$1006:AE1006),$AD$1006:$AU$1006,0)), HYPERLINK("#",""), HYPERLINK(CONCATENATE("#metadata!", ADDRESS(INDEX($Y$2:$Y$1001,MATCH(ROWS($W$2:W144),$W$2:$W$1001,0),0), INDEX($AD$1004:$AU$1004,1,MATCH(COLUMNS($AD$1006:AE1006),$AD$1006:$AU$1006,0)))),"Fix")))</f>
        <v xml:space="preserve"> </v>
      </c>
      <c r="D144" s="4" t="str">
        <f ca="1">IF(OR(INDEX($X$2:$X$1001,MATCH(ROWS($W$2:W144),$W$2:$W$1001,0),1)&gt;=100000,INDEX($AD$1005:$AU$1005,1,MATCH(COLUMNS($AD$1006:AF1006),$AD$1006:$AU$1006,0))&gt;=100000), " ",IF(INDEX($AD$2:$AU$1001,MATCH(ROWS($W$2:W144),$W$2:$W$1001,0),MATCH(COLUMNS($AD$1006:AF1006),$AD$1006:$AU$1006,0)), HYPERLINK("#",""), HYPERLINK(CONCATENATE("#metadata!", ADDRESS(INDEX($Y$2:$Y$1001,MATCH(ROWS($W$2:W144),$W$2:$W$1001,0),0), INDEX($AD$1004:$AU$1004,1,MATCH(COLUMNS($AD$1006:AF1006),$AD$1006:$AU$1006,0)))),"Fix")))</f>
        <v xml:space="preserve"> </v>
      </c>
      <c r="E144" s="4" t="str">
        <f ca="1">IF(OR(INDEX($X$2:$X$1001,MATCH(ROWS($W$2:W144),$W$2:$W$1001,0),1)&gt;=100000,INDEX($AD$1005:$AU$1005,1,MATCH(COLUMNS($AD$1006:AG1006),$AD$1006:$AU$1006,0))&gt;=100000), " ",IF(INDEX($AD$2:$AU$1001,MATCH(ROWS($W$2:W144),$W$2:$W$1001,0),MATCH(COLUMNS($AD$1006:AG1006),$AD$1006:$AU$1006,0)), HYPERLINK("#",""), HYPERLINK(CONCATENATE("#metadata!", ADDRESS(INDEX($Y$2:$Y$1001,MATCH(ROWS($W$2:W144),$W$2:$W$1001,0),0), INDEX($AD$1004:$AU$1004,1,MATCH(COLUMNS($AD$1006:AG1006),$AD$1006:$AU$1006,0)))),"Fix")))</f>
        <v xml:space="preserve"> </v>
      </c>
      <c r="F144" s="4" t="str">
        <f ca="1">IF(OR(INDEX($X$2:$X$1001,MATCH(ROWS($W$2:W144),$W$2:$W$1001,0),1)&gt;=100000,INDEX($AD$1005:$AU$1005,1,MATCH(COLUMNS($AD$1006:AH1006),$AD$1006:$AU$1006,0))&gt;=100000), " ",IF(INDEX($AD$2:$AU$1001,MATCH(ROWS($W$2:W144),$W$2:$W$1001,0),MATCH(COLUMNS($AD$1006:AH1006),$AD$1006:$AU$1006,0)), HYPERLINK("#",""), HYPERLINK(CONCATENATE("#metadata!", ADDRESS(INDEX($Y$2:$Y$1001,MATCH(ROWS($W$2:W144),$W$2:$W$1001,0),0), INDEX($AD$1004:$AU$1004,1,MATCH(COLUMNS($AD$1006:AH1006),$AD$1006:$AU$1006,0)))),"Fix")))</f>
        <v xml:space="preserve"> </v>
      </c>
      <c r="G144" s="4" t="str">
        <f ca="1">IF(OR(INDEX($X$2:$X$1001,MATCH(ROWS($W$2:W144),$W$2:$W$1001,0),1)&gt;=100000,INDEX($AD$1005:$AU$1005,1,MATCH(COLUMNS($AD$1006:AI1006),$AD$1006:$AU$1006,0))&gt;=100000), " ",IF(INDEX($AD$2:$AU$1001,MATCH(ROWS($W$2:W144),$W$2:$W$1001,0),MATCH(COLUMNS($AD$1006:AI1006),$AD$1006:$AU$1006,0)), HYPERLINK("#",""), HYPERLINK(CONCATENATE("#metadata!", ADDRESS(INDEX($Y$2:$Y$1001,MATCH(ROWS($W$2:W144),$W$2:$W$1001,0),0), INDEX($AD$1004:$AU$1004,1,MATCH(COLUMNS($AD$1006:AI1006),$AD$1006:$AU$1006,0)))),"Fix")))</f>
        <v xml:space="preserve"> </v>
      </c>
      <c r="H144" s="4" t="str">
        <f ca="1">IF(OR(INDEX($X$2:$X$1001,MATCH(ROWS($W$2:W144),$W$2:$W$1001,0),1)&gt;=100000,INDEX($AD$1005:$AU$1005,1,MATCH(COLUMNS($AD$1006:AJ1006),$AD$1006:$AU$1006,0))&gt;=100000), " ",IF(INDEX($AD$2:$AU$1001,MATCH(ROWS($W$2:W144),$W$2:$W$1001,0),MATCH(COLUMNS($AD$1006:AJ1006),$AD$1006:$AU$1006,0)), HYPERLINK("#",""), HYPERLINK(CONCATENATE("#metadata!", ADDRESS(INDEX($Y$2:$Y$1001,MATCH(ROWS($W$2:W144),$W$2:$W$1001,0),0), INDEX($AD$1004:$AU$1004,1,MATCH(COLUMNS($AD$1006:AJ1006),$AD$1006:$AU$1006,0)))),"Fix")))</f>
        <v xml:space="preserve"> </v>
      </c>
      <c r="I144" s="4" t="str">
        <f ca="1">IF(OR(INDEX($X$2:$X$1001,MATCH(ROWS($W$2:W144),$W$2:$W$1001,0),1)&gt;=100000,INDEX($AD$1005:$AU$1005,1,MATCH(COLUMNS($AD$1006:AK1006),$AD$1006:$AU$1006,0))&gt;=100000), " ",IF(INDEX($AD$2:$AU$1001,MATCH(ROWS($W$2:W144),$W$2:$W$1001,0),MATCH(COLUMNS($AD$1006:AK1006),$AD$1006:$AU$1006,0)), HYPERLINK("#",""), HYPERLINK(CONCATENATE("#metadata!", ADDRESS(INDEX($Y$2:$Y$1001,MATCH(ROWS($W$2:W144),$W$2:$W$1001,0),0), INDEX($AD$1004:$AU$1004,1,MATCH(COLUMNS($AD$1006:AK1006),$AD$1006:$AU$1006,0)))),"Fix")))</f>
        <v xml:space="preserve"> </v>
      </c>
      <c r="J144" s="4" t="str">
        <f ca="1">IF(OR(INDEX($X$2:$X$1001,MATCH(ROWS($W$2:W144),$W$2:$W$1001,0),1)&gt;=100000,INDEX($AD$1005:$AU$1005,1,MATCH(COLUMNS($AD$1006:AL1006),$AD$1006:$AU$1006,0))&gt;=100000), " ",IF(INDEX($AD$2:$AU$1001,MATCH(ROWS($W$2:W144),$W$2:$W$1001,0),MATCH(COLUMNS($AD$1006:AL1006),$AD$1006:$AU$1006,0)), HYPERLINK("#",""), HYPERLINK(CONCATENATE("#metadata!", ADDRESS(INDEX($Y$2:$Y$1001,MATCH(ROWS($W$2:W144),$W$2:$W$1001,0),0), INDEX($AD$1004:$AU$1004,1,MATCH(COLUMNS($AD$1006:AL1006),$AD$1006:$AU$1006,0)))),"Fix")))</f>
        <v xml:space="preserve"> </v>
      </c>
      <c r="K144" s="4" t="str">
        <f ca="1">IF(OR(INDEX($X$2:$X$1001,MATCH(ROWS($W$2:W144),$W$2:$W$1001,0),1)&gt;=100000,INDEX($AD$1005:$AU$1005,1,MATCH(COLUMNS($AD$1006:AM1006),$AD$1006:$AU$1006,0))&gt;=100000), " ",IF(INDEX($AD$2:$AU$1001,MATCH(ROWS($W$2:W144),$W$2:$W$1001,0),MATCH(COLUMNS($AD$1006:AM1006),$AD$1006:$AU$1006,0)), HYPERLINK("#",""), HYPERLINK(CONCATENATE("#metadata!", ADDRESS(INDEX($Y$2:$Y$1001,MATCH(ROWS($W$2:W144),$W$2:$W$1001,0),0), INDEX($AD$1004:$AU$1004,1,MATCH(COLUMNS($AD$1006:AM1006),$AD$1006:$AU$1006,0)))),"Fix")))</f>
        <v xml:space="preserve"> </v>
      </c>
      <c r="L144" s="4" t="str">
        <f ca="1">IF(OR(INDEX($X$2:$X$1001,MATCH(ROWS($W$2:W144),$W$2:$W$1001,0),1)&gt;=100000,INDEX($AD$1005:$AU$1005,1,MATCH(COLUMNS($AD$1006:AN1006),$AD$1006:$AU$1006,0))&gt;=100000), " ",IF(INDEX($AD$2:$AU$1001,MATCH(ROWS($W$2:W144),$W$2:$W$1001,0),MATCH(COLUMNS($AD$1006:AN1006),$AD$1006:$AU$1006,0)), HYPERLINK("#",""), HYPERLINK(CONCATENATE("#metadata!", ADDRESS(INDEX($Y$2:$Y$1001,MATCH(ROWS($W$2:W144),$W$2:$W$1001,0),0), INDEX($AD$1004:$AU$1004,1,MATCH(COLUMNS($AD$1006:AN1006),$AD$1006:$AU$1006,0)))),"Fix")))</f>
        <v xml:space="preserve"> </v>
      </c>
      <c r="M144" s="4" t="str">
        <f ca="1">IF(OR(INDEX($X$2:$X$1001,MATCH(ROWS($W$2:W144),$W$2:$W$1001,0),1)&gt;=100000,INDEX($AD$1005:$AU$1005,1,MATCH(COLUMNS($AD$1006:AO1006),$AD$1006:$AU$1006,0))&gt;=100000), " ",IF(INDEX($AD$2:$AU$1001,MATCH(ROWS($W$2:W144),$W$2:$W$1001,0),MATCH(COLUMNS($AD$1006:AO1006),$AD$1006:$AU$1006,0)), HYPERLINK("#",""), HYPERLINK(CONCATENATE("#metadata!", ADDRESS(INDEX($Y$2:$Y$1001,MATCH(ROWS($W$2:W144),$W$2:$W$1001,0),0), INDEX($AD$1004:$AU$1004,1,MATCH(COLUMNS($AD$1006:AO1006),$AD$1006:$AU$1006,0)))),"Fix")))</f>
        <v xml:space="preserve"> </v>
      </c>
      <c r="N144" s="4" t="str">
        <f ca="1">IF(OR(INDEX($X$2:$X$1001,MATCH(ROWS($W$2:W144),$W$2:$W$1001,0),1)&gt;=100000,INDEX($AD$1005:$AU$1005,1,MATCH(COLUMNS($AD$1006:AP1006),$AD$1006:$AU$1006,0))&gt;=100000), " ",IF(INDEX($AD$2:$AU$1001,MATCH(ROWS($W$2:W144),$W$2:$W$1001,0),MATCH(COLUMNS($AD$1006:AP1006),$AD$1006:$AU$1006,0)), HYPERLINK("#",""), HYPERLINK(CONCATENATE("#metadata!", ADDRESS(INDEX($Y$2:$Y$1001,MATCH(ROWS($W$2:W144),$W$2:$W$1001,0),0), INDEX($AD$1004:$AU$1004,1,MATCH(COLUMNS($AD$1006:AP1006),$AD$1006:$AU$1006,0)))),"Fix")))</f>
        <v xml:space="preserve"> </v>
      </c>
      <c r="O144" s="4" t="str">
        <f ca="1">IF(OR(INDEX($X$2:$X$1001,MATCH(ROWS($W$2:W144),$W$2:$W$1001,0),1)&gt;=100000,INDEX($AD$1005:$AU$1005,1,MATCH(COLUMNS($AD$1006:AQ1006),$AD$1006:$AU$1006,0))&gt;=100000), " ",IF(INDEX($AD$2:$AU$1001,MATCH(ROWS($W$2:W144),$W$2:$W$1001,0),MATCH(COLUMNS($AD$1006:AQ1006),$AD$1006:$AU$1006,0)), HYPERLINK("#",""), HYPERLINK(CONCATENATE("#metadata!", ADDRESS(INDEX($Y$2:$Y$1001,MATCH(ROWS($W$2:W144),$W$2:$W$1001,0),0), INDEX($AD$1004:$AU$1004,1,MATCH(COLUMNS($AD$1006:AQ1006),$AD$1006:$AU$1006,0)))),"Fix")))</f>
        <v xml:space="preserve"> </v>
      </c>
      <c r="P144" s="4" t="str">
        <f ca="1">IF(OR(INDEX($X$2:$X$1001,MATCH(ROWS($W$2:W144),$W$2:$W$1001,0),1)&gt;=100000,INDEX($AD$1005:$AU$1005,1,MATCH(COLUMNS($AD$1006:AR1006),$AD$1006:$AU$1006,0))&gt;=100000), " ",IF(INDEX($AD$2:$AU$1001,MATCH(ROWS($W$2:W144),$W$2:$W$1001,0),MATCH(COLUMNS($AD$1006:AR1006),$AD$1006:$AU$1006,0)), HYPERLINK("#",""), HYPERLINK(CONCATENATE("#metadata!", ADDRESS(INDEX($Y$2:$Y$1001,MATCH(ROWS($W$2:W144),$W$2:$W$1001,0),0), INDEX($AD$1004:$AU$1004,1,MATCH(COLUMNS($AD$1006:AR1006),$AD$1006:$AU$1006,0)))),"Fix")))</f>
        <v xml:space="preserve"> </v>
      </c>
      <c r="Q144" s="4" t="str">
        <f ca="1">IF(OR(INDEX($X$2:$X$1001,MATCH(ROWS($W$2:W144),$W$2:$W$1001,0),1)&gt;=100000,INDEX($AD$1005:$AU$1005,1,MATCH(COLUMNS($AD$1006:AS1006),$AD$1006:$AU$1006,0))&gt;=100000), " ",IF(INDEX($AD$2:$AU$1001,MATCH(ROWS($W$2:W144),$W$2:$W$1001,0),MATCH(COLUMNS($AD$1006:AS1006),$AD$1006:$AU$1006,0)), HYPERLINK("#",""), HYPERLINK(CONCATENATE("#metadata!", ADDRESS(INDEX($Y$2:$Y$1001,MATCH(ROWS($W$2:W144),$W$2:$W$1001,0),0), INDEX($AD$1004:$AU$1004,1,MATCH(COLUMNS($AD$1006:AS1006),$AD$1006:$AU$1006,0)))),"Fix")))</f>
        <v xml:space="preserve"> </v>
      </c>
      <c r="R144" s="4" t="str">
        <f ca="1">IF(OR(INDEX($X$2:$X$1001,MATCH(ROWS($W$2:W144),$W$2:$W$1001,0),1)&gt;=100000,INDEX($AD$1005:$AU$1005,1,MATCH(COLUMNS($AD$1006:AT1006),$AD$1006:$AU$1006,0))&gt;=100000), " ",IF(INDEX($AD$2:$AU$1001,MATCH(ROWS($W$2:W144),$W$2:$W$1001,0),MATCH(COLUMNS($AD$1006:AT1006),$AD$1006:$AU$1006,0)), HYPERLINK("#",""), HYPERLINK(CONCATENATE("#metadata!", ADDRESS(INDEX($Y$2:$Y$1001,MATCH(ROWS($W$2:W144),$W$2:$W$1001,0),0), INDEX($AD$1004:$AU$1004,1,MATCH(COLUMNS($AD$1006:AT1006),$AD$1006:$AU$1006,0)))),"Fix")))</f>
        <v xml:space="preserve"> </v>
      </c>
      <c r="S144" s="4" t="str">
        <f ca="1">IF(OR(INDEX($X$2:$X$1001,MATCH(ROWS($W$2:W144),$W$2:$W$1001,0),1)&gt;=100000,INDEX($AD$1005:$AU$1005,1,MATCH(COLUMNS($AD$1006:AU1006),$AD$1006:$AU$1006,0))&gt;=100000), " ",IF(INDEX($AD$2:$AU$1001,MATCH(ROWS($W$2:W144),$W$2:$W$1001,0),MATCH(COLUMNS($AD$1006:AU1006),$AD$1006:$AU$1006,0)), HYPERLINK("#",""), HYPERLINK(CONCATENATE("#metadata!", ADDRESS(INDEX($Y$2:$Y$1001,MATCH(ROWS($W$2:W144),$W$2:$W$1001,0),0), INDEX($AD$1004:$AU$1004,1,MATCH(COLUMNS($AD$1006:AU1006),$AD$1006:$AU$1006,0)))),"Fix")))</f>
        <v xml:space="preserve"> </v>
      </c>
      <c r="W144">
        <v>143</v>
      </c>
      <c r="X144">
        <v>100144</v>
      </c>
      <c r="Y144">
        <v>144</v>
      </c>
      <c r="Z144" t="b">
        <f t="shared" si="2"/>
        <v>1</v>
      </c>
      <c r="AA144" t="b">
        <f>COUNTBLANK(metadata!B144:S144)=COLUMNS(metadata!B144:S144)</f>
        <v>1</v>
      </c>
      <c r="AB144" t="str">
        <v/>
      </c>
      <c r="AD144" t="b">
        <f ca="1">AND(IF(metadata!B144="",FALSE,TRUE),COUNTIF(metadata!B:B, metadata!B144) = 1,NOT(ISERROR(SUMPRODUCT(SEARCH(MID(metadata!B144,ROW(INDIRECT("1:"&amp;LEN(metadata!B144))), 1),"0123456789abcdefghijklmnopqrstuvwxyzABCDEFGHIJKLMNOPQRSTUVWXYZ.")))))</f>
        <v>0</v>
      </c>
      <c r="AE144" t="b">
        <f>OR(AND(IF(metadata!C144="",FALSE,TRUE),OR(EXACT(metadata!C144,"not applicable"),EXACT(metadata!C144,"missing: not collected"),EXACT(metadata!C144,"missing: not provided"),EXACT(metadata!C144,"missing: restricted access"))),AND(IF(metadata!C144="",FALSE,ISNUMBER(VALUE(metadata!C144))),metadata!C144&gt;0))</f>
        <v>0</v>
      </c>
      <c r="AF144" t="b">
        <f>AND(IF(metadata!D144="",FALSE,TRUE),EXACT(metadata!D144,"missing: not provided"))</f>
        <v>0</v>
      </c>
      <c r="AG144" t="b">
        <f>AND(IF(metadata!E144="",FALSE,TRUE),EXACT(metadata!E144,"Host-associated"))</f>
        <v>0</v>
      </c>
      <c r="AH144" t="b">
        <f>AND(IF(metadata!F144="",FALSE,TRUE),OR(EXACT(metadata!F144,"Animal"),EXACT(metadata!F144,"Fungus"),EXACT(metadata!F144,"Plant")))</f>
        <v>0</v>
      </c>
      <c r="AI144" t="b">
        <f>AND(IF(metadata!G144="",FALSE,TRUE),OR(EXACT(metadata!G144,"Plant secretion"),EXACT(metadata!G144,"Plant rhizosphere"),EXACT(metadata!G144,"Plant surface"),EXACT(metadata!G144,"Plant corpus"),EXACT(metadata!G144,"Fungus surface"),EXACT(metadata!G144,"Fungus corpus"),EXACT(metadata!G144,"Animal surface"),EXACT(metadata!G144,"Animal proximal gut"),EXACT(metadata!G144,"Animal corpus"),EXACT(metadata!G144,"Animal distal gut"),EXACT(metadata!G144,"Animal secretion")))</f>
        <v>0</v>
      </c>
      <c r="AJ144" t="b">
        <f>OR(AND(IF(metadata!H144="",FALSE,TRUE),OR(EXACT(metadata!H144,"missing: not collected"),EXACT(metadata!H144,"missing: not provided"),EXACT(metadata!H144,"missing: restricted access"))),AND(IF(metadata!H144="",FALSE,TRUE),OR(EXACT(metadata!H144,"organism-associated habitat"),EXACT(metadata!H144,"plant-associated habitat"),EXACT(metadata!H144,"animal-associated habitat"),EXACT(metadata!H144,"insecta-associated habitat"),EXACT(metadata!H144,"mammalia-associated habitat"),EXACT(metadata!H144,"human-associated habitat"),EXACT(metadata!H144,"livestock-associated habitat"))))</f>
        <v>0</v>
      </c>
      <c r="AK144" t="b">
        <f>AND(IF(metadata!I144="",FALSE,TRUE),EXACT(metadata!I144,"host-associated"))</f>
        <v>0</v>
      </c>
      <c r="AL144" t="b">
        <f>OR(AND(IF(metadata!J144="",FALSE,TRUE),OR(EXACT(metadata!J144,"not applicable"),EXACT(metadata!J144,"missing: not collected"),EXACT(metadata!J144,"missing: not provided"),EXACT(metadata!J144,"missing: restricted access"))),AND(IF(metadata!J144="",FALSE,ISNUMBER(VALUE(metadata!J144))),metadata!J144&gt;0))</f>
        <v>0</v>
      </c>
      <c r="AM144" t="b">
        <f>AND(IF(metadata!K144="",FALSE,TRUE),EXACT(metadata!K144,"missing: not provided"))</f>
        <v>0</v>
      </c>
      <c r="AN144" t="b">
        <f>IF(metadata!L144="",FALSE,TRUE)</f>
        <v>0</v>
      </c>
      <c r="AO144" t="b">
        <f>IF(metadata!M144="",FALSE,TRUE)</f>
        <v>0</v>
      </c>
      <c r="AP144" t="b">
        <f>OR(AND(IF(metadata!N144="",FALSE,TRUE),OR(EXACT(metadata!N144,"not applicable"),EXACT(metadata!N144,"missing: not collected"),EXACT(metadata!N144,"missing: not provided"))),AND(IF(metadata!N144="",FALSE,IF(ISERROR(INT(metadata!N144)),FALSE,INT(metadata!N144)=metadata!N144)),metadata!N144&gt;0))</f>
        <v>0</v>
      </c>
      <c r="AQ144" t="b">
        <f>AND(IF(metadata!O144="",FALSE,TRUE),EXACT(metadata!O144,"Not applicable"))</f>
        <v>0</v>
      </c>
      <c r="AR144" t="b">
        <f>OR(AND(IF(metadata!P144="",FALSE,TRUE),OR(EXACT(metadata!P144,"not applicable"),EXACT(metadata!P144,"missing: not collected"),EXACT(metadata!P144,"missing: not provided"),EXACT(metadata!P144,"missing: restricted access"))),IF(metadata!P144="",FALSE,IF(ISERROR(INT(metadata!P144)),FALSE,INT(metadata!P144)=metadata!P144)))</f>
        <v>0</v>
      </c>
      <c r="AS144" t="b">
        <f>AND(IF(metadata!Q144="",FALSE,TRUE),EXACT(metadata!Q144,"Not applicable"))</f>
        <v>0</v>
      </c>
      <c r="AT144" t="b">
        <f>OR(AND(IF(metadata!R144="",FALSE,TRUE),OR(EXACT(metadata!R144,"not applicable"),EXACT(metadata!R144,"missing: not collected"),EXACT(metadata!R144,"missing: not provided"),EXACT(metadata!R144,"missing: restricted access"))),AND(IF(metadata!R144="",FALSE,ISNUMBER(VALUE(metadata!R144))),metadata!R144&gt;0))</f>
        <v>0</v>
      </c>
      <c r="AU144" t="b">
        <f>AND(IF(metadata!S144="",FALSE,TRUE),EXACT(metadata!S144,"missing: not provided"))</f>
        <v>0</v>
      </c>
    </row>
    <row r="145" spans="1:47" x14ac:dyDescent="0.2">
      <c r="A145" s="5" t="str">
        <f ca="1">IF(B145=" "," ",HYPERLINK(CONCATENATE("#metadata!",ADDRESS(INDEX($Y$2:$Y$1001,MATCH(ROWS($W$2:W145),$W$2:$W$1001,0),0),1)),INDEX($AB$2:$AB$1001,MATCH(ROWS($W$2:W145),$W$2:$W$1001,0),0)))</f>
        <v xml:space="preserve"> </v>
      </c>
      <c r="B145" s="4" t="str">
        <f ca="1">IF(OR(INDEX($X$2:$X$1001,MATCH(ROWS($W$2:W145),$W$2:$W$1001,0),1)&gt;=100000,INDEX($AD$1005:$AU$1005,1,MATCH(COLUMNS($AD$1006:AD1006),$AD$1006:$AU$1006,0))&gt;=100000), " ",IF(INDEX($AD$2:$AU$1001,MATCH(ROWS($W$2:W145),$W$2:$W$1001,0),MATCH(COLUMNS($AD$1006:AD1006),$AD$1006:$AU$1006,0)), HYPERLINK("#",""), HYPERLINK(CONCATENATE("#metadata!", ADDRESS(INDEX($Y$2:$Y$1001,MATCH(ROWS($W$2:W145),$W$2:$W$1001,0),0), INDEX($AD$1004:$AU$1004,1,MATCH(COLUMNS($AD$1006:AD1006),$AD$1006:$AU$1006,0)))),"Fix")))</f>
        <v xml:space="preserve"> </v>
      </c>
      <c r="C145" s="4" t="str">
        <f ca="1">IF(OR(INDEX($X$2:$X$1001,MATCH(ROWS($W$2:W145),$W$2:$W$1001,0),1)&gt;=100000,INDEX($AD$1005:$AU$1005,1,MATCH(COLUMNS($AD$1006:AE1006),$AD$1006:$AU$1006,0))&gt;=100000), " ",IF(INDEX($AD$2:$AU$1001,MATCH(ROWS($W$2:W145),$W$2:$W$1001,0),MATCH(COLUMNS($AD$1006:AE1006),$AD$1006:$AU$1006,0)), HYPERLINK("#",""), HYPERLINK(CONCATENATE("#metadata!", ADDRESS(INDEX($Y$2:$Y$1001,MATCH(ROWS($W$2:W145),$W$2:$W$1001,0),0), INDEX($AD$1004:$AU$1004,1,MATCH(COLUMNS($AD$1006:AE1006),$AD$1006:$AU$1006,0)))),"Fix")))</f>
        <v xml:space="preserve"> </v>
      </c>
      <c r="D145" s="4" t="str">
        <f ca="1">IF(OR(INDEX($X$2:$X$1001,MATCH(ROWS($W$2:W145),$W$2:$W$1001,0),1)&gt;=100000,INDEX($AD$1005:$AU$1005,1,MATCH(COLUMNS($AD$1006:AF1006),$AD$1006:$AU$1006,0))&gt;=100000), " ",IF(INDEX($AD$2:$AU$1001,MATCH(ROWS($W$2:W145),$W$2:$W$1001,0),MATCH(COLUMNS($AD$1006:AF1006),$AD$1006:$AU$1006,0)), HYPERLINK("#",""), HYPERLINK(CONCATENATE("#metadata!", ADDRESS(INDEX($Y$2:$Y$1001,MATCH(ROWS($W$2:W145),$W$2:$W$1001,0),0), INDEX($AD$1004:$AU$1004,1,MATCH(COLUMNS($AD$1006:AF1006),$AD$1006:$AU$1006,0)))),"Fix")))</f>
        <v xml:space="preserve"> </v>
      </c>
      <c r="E145" s="4" t="str">
        <f ca="1">IF(OR(INDEX($X$2:$X$1001,MATCH(ROWS($W$2:W145),$W$2:$W$1001,0),1)&gt;=100000,INDEX($AD$1005:$AU$1005,1,MATCH(COLUMNS($AD$1006:AG1006),$AD$1006:$AU$1006,0))&gt;=100000), " ",IF(INDEX($AD$2:$AU$1001,MATCH(ROWS($W$2:W145),$W$2:$W$1001,0),MATCH(COLUMNS($AD$1006:AG1006),$AD$1006:$AU$1006,0)), HYPERLINK("#",""), HYPERLINK(CONCATENATE("#metadata!", ADDRESS(INDEX($Y$2:$Y$1001,MATCH(ROWS($W$2:W145),$W$2:$W$1001,0),0), INDEX($AD$1004:$AU$1004,1,MATCH(COLUMNS($AD$1006:AG1006),$AD$1006:$AU$1006,0)))),"Fix")))</f>
        <v xml:space="preserve"> </v>
      </c>
      <c r="F145" s="4" t="str">
        <f ca="1">IF(OR(INDEX($X$2:$X$1001,MATCH(ROWS($W$2:W145),$W$2:$W$1001,0),1)&gt;=100000,INDEX($AD$1005:$AU$1005,1,MATCH(COLUMNS($AD$1006:AH1006),$AD$1006:$AU$1006,0))&gt;=100000), " ",IF(INDEX($AD$2:$AU$1001,MATCH(ROWS($W$2:W145),$W$2:$W$1001,0),MATCH(COLUMNS($AD$1006:AH1006),$AD$1006:$AU$1006,0)), HYPERLINK("#",""), HYPERLINK(CONCATENATE("#metadata!", ADDRESS(INDEX($Y$2:$Y$1001,MATCH(ROWS($W$2:W145),$W$2:$W$1001,0),0), INDEX($AD$1004:$AU$1004,1,MATCH(COLUMNS($AD$1006:AH1006),$AD$1006:$AU$1006,0)))),"Fix")))</f>
        <v xml:space="preserve"> </v>
      </c>
      <c r="G145" s="4" t="str">
        <f ca="1">IF(OR(INDEX($X$2:$X$1001,MATCH(ROWS($W$2:W145),$W$2:$W$1001,0),1)&gt;=100000,INDEX($AD$1005:$AU$1005,1,MATCH(COLUMNS($AD$1006:AI1006),$AD$1006:$AU$1006,0))&gt;=100000), " ",IF(INDEX($AD$2:$AU$1001,MATCH(ROWS($W$2:W145),$W$2:$W$1001,0),MATCH(COLUMNS($AD$1006:AI1006),$AD$1006:$AU$1006,0)), HYPERLINK("#",""), HYPERLINK(CONCATENATE("#metadata!", ADDRESS(INDEX($Y$2:$Y$1001,MATCH(ROWS($W$2:W145),$W$2:$W$1001,0),0), INDEX($AD$1004:$AU$1004,1,MATCH(COLUMNS($AD$1006:AI1006),$AD$1006:$AU$1006,0)))),"Fix")))</f>
        <v xml:space="preserve"> </v>
      </c>
      <c r="H145" s="4" t="str">
        <f ca="1">IF(OR(INDEX($X$2:$X$1001,MATCH(ROWS($W$2:W145),$W$2:$W$1001,0),1)&gt;=100000,INDEX($AD$1005:$AU$1005,1,MATCH(COLUMNS($AD$1006:AJ1006),$AD$1006:$AU$1006,0))&gt;=100000), " ",IF(INDEX($AD$2:$AU$1001,MATCH(ROWS($W$2:W145),$W$2:$W$1001,0),MATCH(COLUMNS($AD$1006:AJ1006),$AD$1006:$AU$1006,0)), HYPERLINK("#",""), HYPERLINK(CONCATENATE("#metadata!", ADDRESS(INDEX($Y$2:$Y$1001,MATCH(ROWS($W$2:W145),$W$2:$W$1001,0),0), INDEX($AD$1004:$AU$1004,1,MATCH(COLUMNS($AD$1006:AJ1006),$AD$1006:$AU$1006,0)))),"Fix")))</f>
        <v xml:space="preserve"> </v>
      </c>
      <c r="I145" s="4" t="str">
        <f ca="1">IF(OR(INDEX($X$2:$X$1001,MATCH(ROWS($W$2:W145),$W$2:$W$1001,0),1)&gt;=100000,INDEX($AD$1005:$AU$1005,1,MATCH(COLUMNS($AD$1006:AK1006),$AD$1006:$AU$1006,0))&gt;=100000), " ",IF(INDEX($AD$2:$AU$1001,MATCH(ROWS($W$2:W145),$W$2:$W$1001,0),MATCH(COLUMNS($AD$1006:AK1006),$AD$1006:$AU$1006,0)), HYPERLINK("#",""), HYPERLINK(CONCATENATE("#metadata!", ADDRESS(INDEX($Y$2:$Y$1001,MATCH(ROWS($W$2:W145),$W$2:$W$1001,0),0), INDEX($AD$1004:$AU$1004,1,MATCH(COLUMNS($AD$1006:AK1006),$AD$1006:$AU$1006,0)))),"Fix")))</f>
        <v xml:space="preserve"> </v>
      </c>
      <c r="J145" s="4" t="str">
        <f ca="1">IF(OR(INDEX($X$2:$X$1001,MATCH(ROWS($W$2:W145),$W$2:$W$1001,0),1)&gt;=100000,INDEX($AD$1005:$AU$1005,1,MATCH(COLUMNS($AD$1006:AL1006),$AD$1006:$AU$1006,0))&gt;=100000), " ",IF(INDEX($AD$2:$AU$1001,MATCH(ROWS($W$2:W145),$W$2:$W$1001,0),MATCH(COLUMNS($AD$1006:AL1006),$AD$1006:$AU$1006,0)), HYPERLINK("#",""), HYPERLINK(CONCATENATE("#metadata!", ADDRESS(INDEX($Y$2:$Y$1001,MATCH(ROWS($W$2:W145),$W$2:$W$1001,0),0), INDEX($AD$1004:$AU$1004,1,MATCH(COLUMNS($AD$1006:AL1006),$AD$1006:$AU$1006,0)))),"Fix")))</f>
        <v xml:space="preserve"> </v>
      </c>
      <c r="K145" s="4" t="str">
        <f ca="1">IF(OR(INDEX($X$2:$X$1001,MATCH(ROWS($W$2:W145),$W$2:$W$1001,0),1)&gt;=100000,INDEX($AD$1005:$AU$1005,1,MATCH(COLUMNS($AD$1006:AM1006),$AD$1006:$AU$1006,0))&gt;=100000), " ",IF(INDEX($AD$2:$AU$1001,MATCH(ROWS($W$2:W145),$W$2:$W$1001,0),MATCH(COLUMNS($AD$1006:AM1006),$AD$1006:$AU$1006,0)), HYPERLINK("#",""), HYPERLINK(CONCATENATE("#metadata!", ADDRESS(INDEX($Y$2:$Y$1001,MATCH(ROWS($W$2:W145),$W$2:$W$1001,0),0), INDEX($AD$1004:$AU$1004,1,MATCH(COLUMNS($AD$1006:AM1006),$AD$1006:$AU$1006,0)))),"Fix")))</f>
        <v xml:space="preserve"> </v>
      </c>
      <c r="L145" s="4" t="str">
        <f ca="1">IF(OR(INDEX($X$2:$X$1001,MATCH(ROWS($W$2:W145),$W$2:$W$1001,0),1)&gt;=100000,INDEX($AD$1005:$AU$1005,1,MATCH(COLUMNS($AD$1006:AN1006),$AD$1006:$AU$1006,0))&gt;=100000), " ",IF(INDEX($AD$2:$AU$1001,MATCH(ROWS($W$2:W145),$W$2:$W$1001,0),MATCH(COLUMNS($AD$1006:AN1006),$AD$1006:$AU$1006,0)), HYPERLINK("#",""), HYPERLINK(CONCATENATE("#metadata!", ADDRESS(INDEX($Y$2:$Y$1001,MATCH(ROWS($W$2:W145),$W$2:$W$1001,0),0), INDEX($AD$1004:$AU$1004,1,MATCH(COLUMNS($AD$1006:AN1006),$AD$1006:$AU$1006,0)))),"Fix")))</f>
        <v xml:space="preserve"> </v>
      </c>
      <c r="M145" s="4" t="str">
        <f ca="1">IF(OR(INDEX($X$2:$X$1001,MATCH(ROWS($W$2:W145),$W$2:$W$1001,0),1)&gt;=100000,INDEX($AD$1005:$AU$1005,1,MATCH(COLUMNS($AD$1006:AO1006),$AD$1006:$AU$1006,0))&gt;=100000), " ",IF(INDEX($AD$2:$AU$1001,MATCH(ROWS($W$2:W145),$W$2:$W$1001,0),MATCH(COLUMNS($AD$1006:AO1006),$AD$1006:$AU$1006,0)), HYPERLINK("#",""), HYPERLINK(CONCATENATE("#metadata!", ADDRESS(INDEX($Y$2:$Y$1001,MATCH(ROWS($W$2:W145),$W$2:$W$1001,0),0), INDEX($AD$1004:$AU$1004,1,MATCH(COLUMNS($AD$1006:AO1006),$AD$1006:$AU$1006,0)))),"Fix")))</f>
        <v xml:space="preserve"> </v>
      </c>
      <c r="N145" s="4" t="str">
        <f ca="1">IF(OR(INDEX($X$2:$X$1001,MATCH(ROWS($W$2:W145),$W$2:$W$1001,0),1)&gt;=100000,INDEX($AD$1005:$AU$1005,1,MATCH(COLUMNS($AD$1006:AP1006),$AD$1006:$AU$1006,0))&gt;=100000), " ",IF(INDEX($AD$2:$AU$1001,MATCH(ROWS($W$2:W145),$W$2:$W$1001,0),MATCH(COLUMNS($AD$1006:AP1006),$AD$1006:$AU$1006,0)), HYPERLINK("#",""), HYPERLINK(CONCATENATE("#metadata!", ADDRESS(INDEX($Y$2:$Y$1001,MATCH(ROWS($W$2:W145),$W$2:$W$1001,0),0), INDEX($AD$1004:$AU$1004,1,MATCH(COLUMNS($AD$1006:AP1006),$AD$1006:$AU$1006,0)))),"Fix")))</f>
        <v xml:space="preserve"> </v>
      </c>
      <c r="O145" s="4" t="str">
        <f ca="1">IF(OR(INDEX($X$2:$X$1001,MATCH(ROWS($W$2:W145),$W$2:$W$1001,0),1)&gt;=100000,INDEX($AD$1005:$AU$1005,1,MATCH(COLUMNS($AD$1006:AQ1006),$AD$1006:$AU$1006,0))&gt;=100000), " ",IF(INDEX($AD$2:$AU$1001,MATCH(ROWS($W$2:W145),$W$2:$W$1001,0),MATCH(COLUMNS($AD$1006:AQ1006),$AD$1006:$AU$1006,0)), HYPERLINK("#",""), HYPERLINK(CONCATENATE("#metadata!", ADDRESS(INDEX($Y$2:$Y$1001,MATCH(ROWS($W$2:W145),$W$2:$W$1001,0),0), INDEX($AD$1004:$AU$1004,1,MATCH(COLUMNS($AD$1006:AQ1006),$AD$1006:$AU$1006,0)))),"Fix")))</f>
        <v xml:space="preserve"> </v>
      </c>
      <c r="P145" s="4" t="str">
        <f ca="1">IF(OR(INDEX($X$2:$X$1001,MATCH(ROWS($W$2:W145),$W$2:$W$1001,0),1)&gt;=100000,INDEX($AD$1005:$AU$1005,1,MATCH(COLUMNS($AD$1006:AR1006),$AD$1006:$AU$1006,0))&gt;=100000), " ",IF(INDEX($AD$2:$AU$1001,MATCH(ROWS($W$2:W145),$W$2:$W$1001,0),MATCH(COLUMNS($AD$1006:AR1006),$AD$1006:$AU$1006,0)), HYPERLINK("#",""), HYPERLINK(CONCATENATE("#metadata!", ADDRESS(INDEX($Y$2:$Y$1001,MATCH(ROWS($W$2:W145),$W$2:$W$1001,0),0), INDEX($AD$1004:$AU$1004,1,MATCH(COLUMNS($AD$1006:AR1006),$AD$1006:$AU$1006,0)))),"Fix")))</f>
        <v xml:space="preserve"> </v>
      </c>
      <c r="Q145" s="4" t="str">
        <f ca="1">IF(OR(INDEX($X$2:$X$1001,MATCH(ROWS($W$2:W145),$W$2:$W$1001,0),1)&gt;=100000,INDEX($AD$1005:$AU$1005,1,MATCH(COLUMNS($AD$1006:AS1006),$AD$1006:$AU$1006,0))&gt;=100000), " ",IF(INDEX($AD$2:$AU$1001,MATCH(ROWS($W$2:W145),$W$2:$W$1001,0),MATCH(COLUMNS($AD$1006:AS1006),$AD$1006:$AU$1006,0)), HYPERLINK("#",""), HYPERLINK(CONCATENATE("#metadata!", ADDRESS(INDEX($Y$2:$Y$1001,MATCH(ROWS($W$2:W145),$W$2:$W$1001,0),0), INDEX($AD$1004:$AU$1004,1,MATCH(COLUMNS($AD$1006:AS1006),$AD$1006:$AU$1006,0)))),"Fix")))</f>
        <v xml:space="preserve"> </v>
      </c>
      <c r="R145" s="4" t="str">
        <f ca="1">IF(OR(INDEX($X$2:$X$1001,MATCH(ROWS($W$2:W145),$W$2:$W$1001,0),1)&gt;=100000,INDEX($AD$1005:$AU$1005,1,MATCH(COLUMNS($AD$1006:AT1006),$AD$1006:$AU$1006,0))&gt;=100000), " ",IF(INDEX($AD$2:$AU$1001,MATCH(ROWS($W$2:W145),$W$2:$W$1001,0),MATCH(COLUMNS($AD$1006:AT1006),$AD$1006:$AU$1006,0)), HYPERLINK("#",""), HYPERLINK(CONCATENATE("#metadata!", ADDRESS(INDEX($Y$2:$Y$1001,MATCH(ROWS($W$2:W145),$W$2:$W$1001,0),0), INDEX($AD$1004:$AU$1004,1,MATCH(COLUMNS($AD$1006:AT1006),$AD$1006:$AU$1006,0)))),"Fix")))</f>
        <v xml:space="preserve"> </v>
      </c>
      <c r="S145" s="4" t="str">
        <f ca="1">IF(OR(INDEX($X$2:$X$1001,MATCH(ROWS($W$2:W145),$W$2:$W$1001,0),1)&gt;=100000,INDEX($AD$1005:$AU$1005,1,MATCH(COLUMNS($AD$1006:AU1006),$AD$1006:$AU$1006,0))&gt;=100000), " ",IF(INDEX($AD$2:$AU$1001,MATCH(ROWS($W$2:W145),$W$2:$W$1001,0),MATCH(COLUMNS($AD$1006:AU1006),$AD$1006:$AU$1006,0)), HYPERLINK("#",""), HYPERLINK(CONCATENATE("#metadata!", ADDRESS(INDEX($Y$2:$Y$1001,MATCH(ROWS($W$2:W145),$W$2:$W$1001,0),0), INDEX($AD$1004:$AU$1004,1,MATCH(COLUMNS($AD$1006:AU1006),$AD$1006:$AU$1006,0)))),"Fix")))</f>
        <v xml:space="preserve"> </v>
      </c>
      <c r="W145">
        <v>144</v>
      </c>
      <c r="X145">
        <v>100145</v>
      </c>
      <c r="Y145">
        <v>145</v>
      </c>
      <c r="Z145" t="b">
        <f t="shared" si="2"/>
        <v>1</v>
      </c>
      <c r="AA145" t="b">
        <f>COUNTBLANK(metadata!B145:S145)=COLUMNS(metadata!B145:S145)</f>
        <v>1</v>
      </c>
      <c r="AB145" t="str">
        <v/>
      </c>
      <c r="AD145" t="b">
        <f ca="1">AND(IF(metadata!B145="",FALSE,TRUE),COUNTIF(metadata!B:B, metadata!B145) = 1,NOT(ISERROR(SUMPRODUCT(SEARCH(MID(metadata!B145,ROW(INDIRECT("1:"&amp;LEN(metadata!B145))), 1),"0123456789abcdefghijklmnopqrstuvwxyzABCDEFGHIJKLMNOPQRSTUVWXYZ.")))))</f>
        <v>0</v>
      </c>
      <c r="AE145" t="b">
        <f>OR(AND(IF(metadata!C145="",FALSE,TRUE),OR(EXACT(metadata!C145,"not applicable"),EXACT(metadata!C145,"missing: not collected"),EXACT(metadata!C145,"missing: not provided"),EXACT(metadata!C145,"missing: restricted access"))),AND(IF(metadata!C145="",FALSE,ISNUMBER(VALUE(metadata!C145))),metadata!C145&gt;0))</f>
        <v>0</v>
      </c>
      <c r="AF145" t="b">
        <f>AND(IF(metadata!D145="",FALSE,TRUE),EXACT(metadata!D145,"missing: not provided"))</f>
        <v>0</v>
      </c>
      <c r="AG145" t="b">
        <f>AND(IF(metadata!E145="",FALSE,TRUE),EXACT(metadata!E145,"Host-associated"))</f>
        <v>0</v>
      </c>
      <c r="AH145" t="b">
        <f>AND(IF(metadata!F145="",FALSE,TRUE),OR(EXACT(metadata!F145,"Animal"),EXACT(metadata!F145,"Fungus"),EXACT(metadata!F145,"Plant")))</f>
        <v>0</v>
      </c>
      <c r="AI145" t="b">
        <f>AND(IF(metadata!G145="",FALSE,TRUE),OR(EXACT(metadata!G145,"Plant secretion"),EXACT(metadata!G145,"Plant rhizosphere"),EXACT(metadata!G145,"Plant surface"),EXACT(metadata!G145,"Plant corpus"),EXACT(metadata!G145,"Fungus surface"),EXACT(metadata!G145,"Fungus corpus"),EXACT(metadata!G145,"Animal surface"),EXACT(metadata!G145,"Animal proximal gut"),EXACT(metadata!G145,"Animal corpus"),EXACT(metadata!G145,"Animal distal gut"),EXACT(metadata!G145,"Animal secretion")))</f>
        <v>0</v>
      </c>
      <c r="AJ145" t="b">
        <f>OR(AND(IF(metadata!H145="",FALSE,TRUE),OR(EXACT(metadata!H145,"missing: not collected"),EXACT(metadata!H145,"missing: not provided"),EXACT(metadata!H145,"missing: restricted access"))),AND(IF(metadata!H145="",FALSE,TRUE),OR(EXACT(metadata!H145,"organism-associated habitat"),EXACT(metadata!H145,"plant-associated habitat"),EXACT(metadata!H145,"animal-associated habitat"),EXACT(metadata!H145,"insecta-associated habitat"),EXACT(metadata!H145,"mammalia-associated habitat"),EXACT(metadata!H145,"human-associated habitat"),EXACT(metadata!H145,"livestock-associated habitat"))))</f>
        <v>0</v>
      </c>
      <c r="AK145" t="b">
        <f>AND(IF(metadata!I145="",FALSE,TRUE),EXACT(metadata!I145,"host-associated"))</f>
        <v>0</v>
      </c>
      <c r="AL145" t="b">
        <f>OR(AND(IF(metadata!J145="",FALSE,TRUE),OR(EXACT(metadata!J145,"not applicable"),EXACT(metadata!J145,"missing: not collected"),EXACT(metadata!J145,"missing: not provided"),EXACT(metadata!J145,"missing: restricted access"))),AND(IF(metadata!J145="",FALSE,ISNUMBER(VALUE(metadata!J145))),metadata!J145&gt;0))</f>
        <v>0</v>
      </c>
      <c r="AM145" t="b">
        <f>AND(IF(metadata!K145="",FALSE,TRUE),EXACT(metadata!K145,"missing: not provided"))</f>
        <v>0</v>
      </c>
      <c r="AN145" t="b">
        <f>IF(metadata!L145="",FALSE,TRUE)</f>
        <v>0</v>
      </c>
      <c r="AO145" t="b">
        <f>IF(metadata!M145="",FALSE,TRUE)</f>
        <v>0</v>
      </c>
      <c r="AP145" t="b">
        <f>OR(AND(IF(metadata!N145="",FALSE,TRUE),OR(EXACT(metadata!N145,"not applicable"),EXACT(metadata!N145,"missing: not collected"),EXACT(metadata!N145,"missing: not provided"))),AND(IF(metadata!N145="",FALSE,IF(ISERROR(INT(metadata!N145)),FALSE,INT(metadata!N145)=metadata!N145)),metadata!N145&gt;0))</f>
        <v>0</v>
      </c>
      <c r="AQ145" t="b">
        <f>AND(IF(metadata!O145="",FALSE,TRUE),EXACT(metadata!O145,"Not applicable"))</f>
        <v>0</v>
      </c>
      <c r="AR145" t="b">
        <f>OR(AND(IF(metadata!P145="",FALSE,TRUE),OR(EXACT(metadata!P145,"not applicable"),EXACT(metadata!P145,"missing: not collected"),EXACT(metadata!P145,"missing: not provided"),EXACT(metadata!P145,"missing: restricted access"))),IF(metadata!P145="",FALSE,IF(ISERROR(INT(metadata!P145)),FALSE,INT(metadata!P145)=metadata!P145)))</f>
        <v>0</v>
      </c>
      <c r="AS145" t="b">
        <f>AND(IF(metadata!Q145="",FALSE,TRUE),EXACT(metadata!Q145,"Not applicable"))</f>
        <v>0</v>
      </c>
      <c r="AT145" t="b">
        <f>OR(AND(IF(metadata!R145="",FALSE,TRUE),OR(EXACT(metadata!R145,"not applicable"),EXACT(metadata!R145,"missing: not collected"),EXACT(metadata!R145,"missing: not provided"),EXACT(metadata!R145,"missing: restricted access"))),AND(IF(metadata!R145="",FALSE,ISNUMBER(VALUE(metadata!R145))),metadata!R145&gt;0))</f>
        <v>0</v>
      </c>
      <c r="AU145" t="b">
        <f>AND(IF(metadata!S145="",FALSE,TRUE),EXACT(metadata!S145,"missing: not provided"))</f>
        <v>0</v>
      </c>
    </row>
    <row r="146" spans="1:47" x14ac:dyDescent="0.2">
      <c r="A146" s="5" t="str">
        <f ca="1">IF(B146=" "," ",HYPERLINK(CONCATENATE("#metadata!",ADDRESS(INDEX($Y$2:$Y$1001,MATCH(ROWS($W$2:W146),$W$2:$W$1001,0),0),1)),INDEX($AB$2:$AB$1001,MATCH(ROWS($W$2:W146),$W$2:$W$1001,0),0)))</f>
        <v xml:space="preserve"> </v>
      </c>
      <c r="B146" s="4" t="str">
        <f ca="1">IF(OR(INDEX($X$2:$X$1001,MATCH(ROWS($W$2:W146),$W$2:$W$1001,0),1)&gt;=100000,INDEX($AD$1005:$AU$1005,1,MATCH(COLUMNS($AD$1006:AD1006),$AD$1006:$AU$1006,0))&gt;=100000), " ",IF(INDEX($AD$2:$AU$1001,MATCH(ROWS($W$2:W146),$W$2:$W$1001,0),MATCH(COLUMNS($AD$1006:AD1006),$AD$1006:$AU$1006,0)), HYPERLINK("#",""), HYPERLINK(CONCATENATE("#metadata!", ADDRESS(INDEX($Y$2:$Y$1001,MATCH(ROWS($W$2:W146),$W$2:$W$1001,0),0), INDEX($AD$1004:$AU$1004,1,MATCH(COLUMNS($AD$1006:AD1006),$AD$1006:$AU$1006,0)))),"Fix")))</f>
        <v xml:space="preserve"> </v>
      </c>
      <c r="C146" s="4" t="str">
        <f ca="1">IF(OR(INDEX($X$2:$X$1001,MATCH(ROWS($W$2:W146),$W$2:$W$1001,0),1)&gt;=100000,INDEX($AD$1005:$AU$1005,1,MATCH(COLUMNS($AD$1006:AE1006),$AD$1006:$AU$1006,0))&gt;=100000), " ",IF(INDEX($AD$2:$AU$1001,MATCH(ROWS($W$2:W146),$W$2:$W$1001,0),MATCH(COLUMNS($AD$1006:AE1006),$AD$1006:$AU$1006,0)), HYPERLINK("#",""), HYPERLINK(CONCATENATE("#metadata!", ADDRESS(INDEX($Y$2:$Y$1001,MATCH(ROWS($W$2:W146),$W$2:$W$1001,0),0), INDEX($AD$1004:$AU$1004,1,MATCH(COLUMNS($AD$1006:AE1006),$AD$1006:$AU$1006,0)))),"Fix")))</f>
        <v xml:space="preserve"> </v>
      </c>
      <c r="D146" s="4" t="str">
        <f ca="1">IF(OR(INDEX($X$2:$X$1001,MATCH(ROWS($W$2:W146),$W$2:$W$1001,0),1)&gt;=100000,INDEX($AD$1005:$AU$1005,1,MATCH(COLUMNS($AD$1006:AF1006),$AD$1006:$AU$1006,0))&gt;=100000), " ",IF(INDEX($AD$2:$AU$1001,MATCH(ROWS($W$2:W146),$W$2:$W$1001,0),MATCH(COLUMNS($AD$1006:AF1006),$AD$1006:$AU$1006,0)), HYPERLINK("#",""), HYPERLINK(CONCATENATE("#metadata!", ADDRESS(INDEX($Y$2:$Y$1001,MATCH(ROWS($W$2:W146),$W$2:$W$1001,0),0), INDEX($AD$1004:$AU$1004,1,MATCH(COLUMNS($AD$1006:AF1006),$AD$1006:$AU$1006,0)))),"Fix")))</f>
        <v xml:space="preserve"> </v>
      </c>
      <c r="E146" s="4" t="str">
        <f ca="1">IF(OR(INDEX($X$2:$X$1001,MATCH(ROWS($W$2:W146),$W$2:$W$1001,0),1)&gt;=100000,INDEX($AD$1005:$AU$1005,1,MATCH(COLUMNS($AD$1006:AG1006),$AD$1006:$AU$1006,0))&gt;=100000), " ",IF(INDEX($AD$2:$AU$1001,MATCH(ROWS($W$2:W146),$W$2:$W$1001,0),MATCH(COLUMNS($AD$1006:AG1006),$AD$1006:$AU$1006,0)), HYPERLINK("#",""), HYPERLINK(CONCATENATE("#metadata!", ADDRESS(INDEX($Y$2:$Y$1001,MATCH(ROWS($W$2:W146),$W$2:$W$1001,0),0), INDEX($AD$1004:$AU$1004,1,MATCH(COLUMNS($AD$1006:AG1006),$AD$1006:$AU$1006,0)))),"Fix")))</f>
        <v xml:space="preserve"> </v>
      </c>
      <c r="F146" s="4" t="str">
        <f ca="1">IF(OR(INDEX($X$2:$X$1001,MATCH(ROWS($W$2:W146),$W$2:$W$1001,0),1)&gt;=100000,INDEX($AD$1005:$AU$1005,1,MATCH(COLUMNS($AD$1006:AH1006),$AD$1006:$AU$1006,0))&gt;=100000), " ",IF(INDEX($AD$2:$AU$1001,MATCH(ROWS($W$2:W146),$W$2:$W$1001,0),MATCH(COLUMNS($AD$1006:AH1006),$AD$1006:$AU$1006,0)), HYPERLINK("#",""), HYPERLINK(CONCATENATE("#metadata!", ADDRESS(INDEX($Y$2:$Y$1001,MATCH(ROWS($W$2:W146),$W$2:$W$1001,0),0), INDEX($AD$1004:$AU$1004,1,MATCH(COLUMNS($AD$1006:AH1006),$AD$1006:$AU$1006,0)))),"Fix")))</f>
        <v xml:space="preserve"> </v>
      </c>
      <c r="G146" s="4" t="str">
        <f ca="1">IF(OR(INDEX($X$2:$X$1001,MATCH(ROWS($W$2:W146),$W$2:$W$1001,0),1)&gt;=100000,INDEX($AD$1005:$AU$1005,1,MATCH(COLUMNS($AD$1006:AI1006),$AD$1006:$AU$1006,0))&gt;=100000), " ",IF(INDEX($AD$2:$AU$1001,MATCH(ROWS($W$2:W146),$W$2:$W$1001,0),MATCH(COLUMNS($AD$1006:AI1006),$AD$1006:$AU$1006,0)), HYPERLINK("#",""), HYPERLINK(CONCATENATE("#metadata!", ADDRESS(INDEX($Y$2:$Y$1001,MATCH(ROWS($W$2:W146),$W$2:$W$1001,0),0), INDEX($AD$1004:$AU$1004,1,MATCH(COLUMNS($AD$1006:AI1006),$AD$1006:$AU$1006,0)))),"Fix")))</f>
        <v xml:space="preserve"> </v>
      </c>
      <c r="H146" s="4" t="str">
        <f ca="1">IF(OR(INDEX($X$2:$X$1001,MATCH(ROWS($W$2:W146),$W$2:$W$1001,0),1)&gt;=100000,INDEX($AD$1005:$AU$1005,1,MATCH(COLUMNS($AD$1006:AJ1006),$AD$1006:$AU$1006,0))&gt;=100000), " ",IF(INDEX($AD$2:$AU$1001,MATCH(ROWS($W$2:W146),$W$2:$W$1001,0),MATCH(COLUMNS($AD$1006:AJ1006),$AD$1006:$AU$1006,0)), HYPERLINK("#",""), HYPERLINK(CONCATENATE("#metadata!", ADDRESS(INDEX($Y$2:$Y$1001,MATCH(ROWS($W$2:W146),$W$2:$W$1001,0),0), INDEX($AD$1004:$AU$1004,1,MATCH(COLUMNS($AD$1006:AJ1006),$AD$1006:$AU$1006,0)))),"Fix")))</f>
        <v xml:space="preserve"> </v>
      </c>
      <c r="I146" s="4" t="str">
        <f ca="1">IF(OR(INDEX($X$2:$X$1001,MATCH(ROWS($W$2:W146),$W$2:$W$1001,0),1)&gt;=100000,INDEX($AD$1005:$AU$1005,1,MATCH(COLUMNS($AD$1006:AK1006),$AD$1006:$AU$1006,0))&gt;=100000), " ",IF(INDEX($AD$2:$AU$1001,MATCH(ROWS($W$2:W146),$W$2:$W$1001,0),MATCH(COLUMNS($AD$1006:AK1006),$AD$1006:$AU$1006,0)), HYPERLINK("#",""), HYPERLINK(CONCATENATE("#metadata!", ADDRESS(INDEX($Y$2:$Y$1001,MATCH(ROWS($W$2:W146),$W$2:$W$1001,0),0), INDEX($AD$1004:$AU$1004,1,MATCH(COLUMNS($AD$1006:AK1006),$AD$1006:$AU$1006,0)))),"Fix")))</f>
        <v xml:space="preserve"> </v>
      </c>
      <c r="J146" s="4" t="str">
        <f ca="1">IF(OR(INDEX($X$2:$X$1001,MATCH(ROWS($W$2:W146),$W$2:$W$1001,0),1)&gt;=100000,INDEX($AD$1005:$AU$1005,1,MATCH(COLUMNS($AD$1006:AL1006),$AD$1006:$AU$1006,0))&gt;=100000), " ",IF(INDEX($AD$2:$AU$1001,MATCH(ROWS($W$2:W146),$W$2:$W$1001,0),MATCH(COLUMNS($AD$1006:AL1006),$AD$1006:$AU$1006,0)), HYPERLINK("#",""), HYPERLINK(CONCATENATE("#metadata!", ADDRESS(INDEX($Y$2:$Y$1001,MATCH(ROWS($W$2:W146),$W$2:$W$1001,0),0), INDEX($AD$1004:$AU$1004,1,MATCH(COLUMNS($AD$1006:AL1006),$AD$1006:$AU$1006,0)))),"Fix")))</f>
        <v xml:space="preserve"> </v>
      </c>
      <c r="K146" s="4" t="str">
        <f ca="1">IF(OR(INDEX($X$2:$X$1001,MATCH(ROWS($W$2:W146),$W$2:$W$1001,0),1)&gt;=100000,INDEX($AD$1005:$AU$1005,1,MATCH(COLUMNS($AD$1006:AM1006),$AD$1006:$AU$1006,0))&gt;=100000), " ",IF(INDEX($AD$2:$AU$1001,MATCH(ROWS($W$2:W146),$W$2:$W$1001,0),MATCH(COLUMNS($AD$1006:AM1006),$AD$1006:$AU$1006,0)), HYPERLINK("#",""), HYPERLINK(CONCATENATE("#metadata!", ADDRESS(INDEX($Y$2:$Y$1001,MATCH(ROWS($W$2:W146),$W$2:$W$1001,0),0), INDEX($AD$1004:$AU$1004,1,MATCH(COLUMNS($AD$1006:AM1006),$AD$1006:$AU$1006,0)))),"Fix")))</f>
        <v xml:space="preserve"> </v>
      </c>
      <c r="L146" s="4" t="str">
        <f ca="1">IF(OR(INDEX($X$2:$X$1001,MATCH(ROWS($W$2:W146),$W$2:$W$1001,0),1)&gt;=100000,INDEX($AD$1005:$AU$1005,1,MATCH(COLUMNS($AD$1006:AN1006),$AD$1006:$AU$1006,0))&gt;=100000), " ",IF(INDEX($AD$2:$AU$1001,MATCH(ROWS($W$2:W146),$W$2:$W$1001,0),MATCH(COLUMNS($AD$1006:AN1006),$AD$1006:$AU$1006,0)), HYPERLINK("#",""), HYPERLINK(CONCATENATE("#metadata!", ADDRESS(INDEX($Y$2:$Y$1001,MATCH(ROWS($W$2:W146),$W$2:$W$1001,0),0), INDEX($AD$1004:$AU$1004,1,MATCH(COLUMNS($AD$1006:AN1006),$AD$1006:$AU$1006,0)))),"Fix")))</f>
        <v xml:space="preserve"> </v>
      </c>
      <c r="M146" s="4" t="str">
        <f ca="1">IF(OR(INDEX($X$2:$X$1001,MATCH(ROWS($W$2:W146),$W$2:$W$1001,0),1)&gt;=100000,INDEX($AD$1005:$AU$1005,1,MATCH(COLUMNS($AD$1006:AO1006),$AD$1006:$AU$1006,0))&gt;=100000), " ",IF(INDEX($AD$2:$AU$1001,MATCH(ROWS($W$2:W146),$W$2:$W$1001,0),MATCH(COLUMNS($AD$1006:AO1006),$AD$1006:$AU$1006,0)), HYPERLINK("#",""), HYPERLINK(CONCATENATE("#metadata!", ADDRESS(INDEX($Y$2:$Y$1001,MATCH(ROWS($W$2:W146),$W$2:$W$1001,0),0), INDEX($AD$1004:$AU$1004,1,MATCH(COLUMNS($AD$1006:AO1006),$AD$1006:$AU$1006,0)))),"Fix")))</f>
        <v xml:space="preserve"> </v>
      </c>
      <c r="N146" s="4" t="str">
        <f ca="1">IF(OR(INDEX($X$2:$X$1001,MATCH(ROWS($W$2:W146),$W$2:$W$1001,0),1)&gt;=100000,INDEX($AD$1005:$AU$1005,1,MATCH(COLUMNS($AD$1006:AP1006),$AD$1006:$AU$1006,0))&gt;=100000), " ",IF(INDEX($AD$2:$AU$1001,MATCH(ROWS($W$2:W146),$W$2:$W$1001,0),MATCH(COLUMNS($AD$1006:AP1006),$AD$1006:$AU$1006,0)), HYPERLINK("#",""), HYPERLINK(CONCATENATE("#metadata!", ADDRESS(INDEX($Y$2:$Y$1001,MATCH(ROWS($W$2:W146),$W$2:$W$1001,0),0), INDEX($AD$1004:$AU$1004,1,MATCH(COLUMNS($AD$1006:AP1006),$AD$1006:$AU$1006,0)))),"Fix")))</f>
        <v xml:space="preserve"> </v>
      </c>
      <c r="O146" s="4" t="str">
        <f ca="1">IF(OR(INDEX($X$2:$X$1001,MATCH(ROWS($W$2:W146),$W$2:$W$1001,0),1)&gt;=100000,INDEX($AD$1005:$AU$1005,1,MATCH(COLUMNS($AD$1006:AQ1006),$AD$1006:$AU$1006,0))&gt;=100000), " ",IF(INDEX($AD$2:$AU$1001,MATCH(ROWS($W$2:W146),$W$2:$W$1001,0),MATCH(COLUMNS($AD$1006:AQ1006),$AD$1006:$AU$1006,0)), HYPERLINK("#",""), HYPERLINK(CONCATENATE("#metadata!", ADDRESS(INDEX($Y$2:$Y$1001,MATCH(ROWS($W$2:W146),$W$2:$W$1001,0),0), INDEX($AD$1004:$AU$1004,1,MATCH(COLUMNS($AD$1006:AQ1006),$AD$1006:$AU$1006,0)))),"Fix")))</f>
        <v xml:space="preserve"> </v>
      </c>
      <c r="P146" s="4" t="str">
        <f ca="1">IF(OR(INDEX($X$2:$X$1001,MATCH(ROWS($W$2:W146),$W$2:$W$1001,0),1)&gt;=100000,INDEX($AD$1005:$AU$1005,1,MATCH(COLUMNS($AD$1006:AR1006),$AD$1006:$AU$1006,0))&gt;=100000), " ",IF(INDEX($AD$2:$AU$1001,MATCH(ROWS($W$2:W146),$W$2:$W$1001,0),MATCH(COLUMNS($AD$1006:AR1006),$AD$1006:$AU$1006,0)), HYPERLINK("#",""), HYPERLINK(CONCATENATE("#metadata!", ADDRESS(INDEX($Y$2:$Y$1001,MATCH(ROWS($W$2:W146),$W$2:$W$1001,0),0), INDEX($AD$1004:$AU$1004,1,MATCH(COLUMNS($AD$1006:AR1006),$AD$1006:$AU$1006,0)))),"Fix")))</f>
        <v xml:space="preserve"> </v>
      </c>
      <c r="Q146" s="4" t="str">
        <f ca="1">IF(OR(INDEX($X$2:$X$1001,MATCH(ROWS($W$2:W146),$W$2:$W$1001,0),1)&gt;=100000,INDEX($AD$1005:$AU$1005,1,MATCH(COLUMNS($AD$1006:AS1006),$AD$1006:$AU$1006,0))&gt;=100000), " ",IF(INDEX($AD$2:$AU$1001,MATCH(ROWS($W$2:W146),$W$2:$W$1001,0),MATCH(COLUMNS($AD$1006:AS1006),$AD$1006:$AU$1006,0)), HYPERLINK("#",""), HYPERLINK(CONCATENATE("#metadata!", ADDRESS(INDEX($Y$2:$Y$1001,MATCH(ROWS($W$2:W146),$W$2:$W$1001,0),0), INDEX($AD$1004:$AU$1004,1,MATCH(COLUMNS($AD$1006:AS1006),$AD$1006:$AU$1006,0)))),"Fix")))</f>
        <v xml:space="preserve"> </v>
      </c>
      <c r="R146" s="4" t="str">
        <f ca="1">IF(OR(INDEX($X$2:$X$1001,MATCH(ROWS($W$2:W146),$W$2:$W$1001,0),1)&gt;=100000,INDEX($AD$1005:$AU$1005,1,MATCH(COLUMNS($AD$1006:AT1006),$AD$1006:$AU$1006,0))&gt;=100000), " ",IF(INDEX($AD$2:$AU$1001,MATCH(ROWS($W$2:W146),$W$2:$W$1001,0),MATCH(COLUMNS($AD$1006:AT1006),$AD$1006:$AU$1006,0)), HYPERLINK("#",""), HYPERLINK(CONCATENATE("#metadata!", ADDRESS(INDEX($Y$2:$Y$1001,MATCH(ROWS($W$2:W146),$W$2:$W$1001,0),0), INDEX($AD$1004:$AU$1004,1,MATCH(COLUMNS($AD$1006:AT1006),$AD$1006:$AU$1006,0)))),"Fix")))</f>
        <v xml:space="preserve"> </v>
      </c>
      <c r="S146" s="4" t="str">
        <f ca="1">IF(OR(INDEX($X$2:$X$1001,MATCH(ROWS($W$2:W146),$W$2:$W$1001,0),1)&gt;=100000,INDEX($AD$1005:$AU$1005,1,MATCH(COLUMNS($AD$1006:AU1006),$AD$1006:$AU$1006,0))&gt;=100000), " ",IF(INDEX($AD$2:$AU$1001,MATCH(ROWS($W$2:W146),$W$2:$W$1001,0),MATCH(COLUMNS($AD$1006:AU1006),$AD$1006:$AU$1006,0)), HYPERLINK("#",""), HYPERLINK(CONCATENATE("#metadata!", ADDRESS(INDEX($Y$2:$Y$1001,MATCH(ROWS($W$2:W146),$W$2:$W$1001,0),0), INDEX($AD$1004:$AU$1004,1,MATCH(COLUMNS($AD$1006:AU1006),$AD$1006:$AU$1006,0)))),"Fix")))</f>
        <v xml:space="preserve"> </v>
      </c>
      <c r="W146">
        <v>145</v>
      </c>
      <c r="X146">
        <v>100146</v>
      </c>
      <c r="Y146">
        <v>146</v>
      </c>
      <c r="Z146" t="b">
        <f t="shared" si="2"/>
        <v>1</v>
      </c>
      <c r="AA146" t="b">
        <f>COUNTBLANK(metadata!B146:S146)=COLUMNS(metadata!B146:S146)</f>
        <v>1</v>
      </c>
      <c r="AB146" t="str">
        <v/>
      </c>
      <c r="AD146" t="b">
        <f ca="1">AND(IF(metadata!B146="",FALSE,TRUE),COUNTIF(metadata!B:B, metadata!B146) = 1,NOT(ISERROR(SUMPRODUCT(SEARCH(MID(metadata!B146,ROW(INDIRECT("1:"&amp;LEN(metadata!B146))), 1),"0123456789abcdefghijklmnopqrstuvwxyzABCDEFGHIJKLMNOPQRSTUVWXYZ.")))))</f>
        <v>0</v>
      </c>
      <c r="AE146" t="b">
        <f>OR(AND(IF(metadata!C146="",FALSE,TRUE),OR(EXACT(metadata!C146,"not applicable"),EXACT(metadata!C146,"missing: not collected"),EXACT(metadata!C146,"missing: not provided"),EXACT(metadata!C146,"missing: restricted access"))),AND(IF(metadata!C146="",FALSE,ISNUMBER(VALUE(metadata!C146))),metadata!C146&gt;0))</f>
        <v>0</v>
      </c>
      <c r="AF146" t="b">
        <f>AND(IF(metadata!D146="",FALSE,TRUE),EXACT(metadata!D146,"missing: not provided"))</f>
        <v>0</v>
      </c>
      <c r="AG146" t="b">
        <f>AND(IF(metadata!E146="",FALSE,TRUE),EXACT(metadata!E146,"Host-associated"))</f>
        <v>0</v>
      </c>
      <c r="AH146" t="b">
        <f>AND(IF(metadata!F146="",FALSE,TRUE),OR(EXACT(metadata!F146,"Animal"),EXACT(metadata!F146,"Fungus"),EXACT(metadata!F146,"Plant")))</f>
        <v>0</v>
      </c>
      <c r="AI146" t="b">
        <f>AND(IF(metadata!G146="",FALSE,TRUE),OR(EXACT(metadata!G146,"Plant secretion"),EXACT(metadata!G146,"Plant rhizosphere"),EXACT(metadata!G146,"Plant surface"),EXACT(metadata!G146,"Plant corpus"),EXACT(metadata!G146,"Fungus surface"),EXACT(metadata!G146,"Fungus corpus"),EXACT(metadata!G146,"Animal surface"),EXACT(metadata!G146,"Animal proximal gut"),EXACT(metadata!G146,"Animal corpus"),EXACT(metadata!G146,"Animal distal gut"),EXACT(metadata!G146,"Animal secretion")))</f>
        <v>0</v>
      </c>
      <c r="AJ146" t="b">
        <f>OR(AND(IF(metadata!H146="",FALSE,TRUE),OR(EXACT(metadata!H146,"missing: not collected"),EXACT(metadata!H146,"missing: not provided"),EXACT(metadata!H146,"missing: restricted access"))),AND(IF(metadata!H146="",FALSE,TRUE),OR(EXACT(metadata!H146,"organism-associated habitat"),EXACT(metadata!H146,"plant-associated habitat"),EXACT(metadata!H146,"animal-associated habitat"),EXACT(metadata!H146,"insecta-associated habitat"),EXACT(metadata!H146,"mammalia-associated habitat"),EXACT(metadata!H146,"human-associated habitat"),EXACT(metadata!H146,"livestock-associated habitat"))))</f>
        <v>0</v>
      </c>
      <c r="AK146" t="b">
        <f>AND(IF(metadata!I146="",FALSE,TRUE),EXACT(metadata!I146,"host-associated"))</f>
        <v>0</v>
      </c>
      <c r="AL146" t="b">
        <f>OR(AND(IF(metadata!J146="",FALSE,TRUE),OR(EXACT(metadata!J146,"not applicable"),EXACT(metadata!J146,"missing: not collected"),EXACT(metadata!J146,"missing: not provided"),EXACT(metadata!J146,"missing: restricted access"))),AND(IF(metadata!J146="",FALSE,ISNUMBER(VALUE(metadata!J146))),metadata!J146&gt;0))</f>
        <v>0</v>
      </c>
      <c r="AM146" t="b">
        <f>AND(IF(metadata!K146="",FALSE,TRUE),EXACT(metadata!K146,"missing: not provided"))</f>
        <v>0</v>
      </c>
      <c r="AN146" t="b">
        <f>IF(metadata!L146="",FALSE,TRUE)</f>
        <v>0</v>
      </c>
      <c r="AO146" t="b">
        <f>IF(metadata!M146="",FALSE,TRUE)</f>
        <v>0</v>
      </c>
      <c r="AP146" t="b">
        <f>OR(AND(IF(metadata!N146="",FALSE,TRUE),OR(EXACT(metadata!N146,"not applicable"),EXACT(metadata!N146,"missing: not collected"),EXACT(metadata!N146,"missing: not provided"))),AND(IF(metadata!N146="",FALSE,IF(ISERROR(INT(metadata!N146)),FALSE,INT(metadata!N146)=metadata!N146)),metadata!N146&gt;0))</f>
        <v>0</v>
      </c>
      <c r="AQ146" t="b">
        <f>AND(IF(metadata!O146="",FALSE,TRUE),EXACT(metadata!O146,"Not applicable"))</f>
        <v>0</v>
      </c>
      <c r="AR146" t="b">
        <f>OR(AND(IF(metadata!P146="",FALSE,TRUE),OR(EXACT(metadata!P146,"not applicable"),EXACT(metadata!P146,"missing: not collected"),EXACT(metadata!P146,"missing: not provided"),EXACT(metadata!P146,"missing: restricted access"))),IF(metadata!P146="",FALSE,IF(ISERROR(INT(metadata!P146)),FALSE,INT(metadata!P146)=metadata!P146)))</f>
        <v>0</v>
      </c>
      <c r="AS146" t="b">
        <f>AND(IF(metadata!Q146="",FALSE,TRUE),EXACT(metadata!Q146,"Not applicable"))</f>
        <v>0</v>
      </c>
      <c r="AT146" t="b">
        <f>OR(AND(IF(metadata!R146="",FALSE,TRUE),OR(EXACT(metadata!R146,"not applicable"),EXACT(metadata!R146,"missing: not collected"),EXACT(metadata!R146,"missing: not provided"),EXACT(metadata!R146,"missing: restricted access"))),AND(IF(metadata!R146="",FALSE,ISNUMBER(VALUE(metadata!R146))),metadata!R146&gt;0))</f>
        <v>0</v>
      </c>
      <c r="AU146" t="b">
        <f>AND(IF(metadata!S146="",FALSE,TRUE),EXACT(metadata!S146,"missing: not provided"))</f>
        <v>0</v>
      </c>
    </row>
    <row r="147" spans="1:47" x14ac:dyDescent="0.2">
      <c r="A147" s="5" t="str">
        <f ca="1">IF(B147=" "," ",HYPERLINK(CONCATENATE("#metadata!",ADDRESS(INDEX($Y$2:$Y$1001,MATCH(ROWS($W$2:W147),$W$2:$W$1001,0),0),1)),INDEX($AB$2:$AB$1001,MATCH(ROWS($W$2:W147),$W$2:$W$1001,0),0)))</f>
        <v xml:space="preserve"> </v>
      </c>
      <c r="B147" s="4" t="str">
        <f ca="1">IF(OR(INDEX($X$2:$X$1001,MATCH(ROWS($W$2:W147),$W$2:$W$1001,0),1)&gt;=100000,INDEX($AD$1005:$AU$1005,1,MATCH(COLUMNS($AD$1006:AD1006),$AD$1006:$AU$1006,0))&gt;=100000), " ",IF(INDEX($AD$2:$AU$1001,MATCH(ROWS($W$2:W147),$W$2:$W$1001,0),MATCH(COLUMNS($AD$1006:AD1006),$AD$1006:$AU$1006,0)), HYPERLINK("#",""), HYPERLINK(CONCATENATE("#metadata!", ADDRESS(INDEX($Y$2:$Y$1001,MATCH(ROWS($W$2:W147),$W$2:$W$1001,0),0), INDEX($AD$1004:$AU$1004,1,MATCH(COLUMNS($AD$1006:AD1006),$AD$1006:$AU$1006,0)))),"Fix")))</f>
        <v xml:space="preserve"> </v>
      </c>
      <c r="C147" s="4" t="str">
        <f ca="1">IF(OR(INDEX($X$2:$X$1001,MATCH(ROWS($W$2:W147),$W$2:$W$1001,0),1)&gt;=100000,INDEX($AD$1005:$AU$1005,1,MATCH(COLUMNS($AD$1006:AE1006),$AD$1006:$AU$1006,0))&gt;=100000), " ",IF(INDEX($AD$2:$AU$1001,MATCH(ROWS($W$2:W147),$W$2:$W$1001,0),MATCH(COLUMNS($AD$1006:AE1006),$AD$1006:$AU$1006,0)), HYPERLINK("#",""), HYPERLINK(CONCATENATE("#metadata!", ADDRESS(INDEX($Y$2:$Y$1001,MATCH(ROWS($W$2:W147),$W$2:$W$1001,0),0), INDEX($AD$1004:$AU$1004,1,MATCH(COLUMNS($AD$1006:AE1006),$AD$1006:$AU$1006,0)))),"Fix")))</f>
        <v xml:space="preserve"> </v>
      </c>
      <c r="D147" s="4" t="str">
        <f ca="1">IF(OR(INDEX($X$2:$X$1001,MATCH(ROWS($W$2:W147),$W$2:$W$1001,0),1)&gt;=100000,INDEX($AD$1005:$AU$1005,1,MATCH(COLUMNS($AD$1006:AF1006),$AD$1006:$AU$1006,0))&gt;=100000), " ",IF(INDEX($AD$2:$AU$1001,MATCH(ROWS($W$2:W147),$W$2:$W$1001,0),MATCH(COLUMNS($AD$1006:AF1006),$AD$1006:$AU$1006,0)), HYPERLINK("#",""), HYPERLINK(CONCATENATE("#metadata!", ADDRESS(INDEX($Y$2:$Y$1001,MATCH(ROWS($W$2:W147),$W$2:$W$1001,0),0), INDEX($AD$1004:$AU$1004,1,MATCH(COLUMNS($AD$1006:AF1006),$AD$1006:$AU$1006,0)))),"Fix")))</f>
        <v xml:space="preserve"> </v>
      </c>
      <c r="E147" s="4" t="str">
        <f ca="1">IF(OR(INDEX($X$2:$X$1001,MATCH(ROWS($W$2:W147),$W$2:$W$1001,0),1)&gt;=100000,INDEX($AD$1005:$AU$1005,1,MATCH(COLUMNS($AD$1006:AG1006),$AD$1006:$AU$1006,0))&gt;=100000), " ",IF(INDEX($AD$2:$AU$1001,MATCH(ROWS($W$2:W147),$W$2:$W$1001,0),MATCH(COLUMNS($AD$1006:AG1006),$AD$1006:$AU$1006,0)), HYPERLINK("#",""), HYPERLINK(CONCATENATE("#metadata!", ADDRESS(INDEX($Y$2:$Y$1001,MATCH(ROWS($W$2:W147),$W$2:$W$1001,0),0), INDEX($AD$1004:$AU$1004,1,MATCH(COLUMNS($AD$1006:AG1006),$AD$1006:$AU$1006,0)))),"Fix")))</f>
        <v xml:space="preserve"> </v>
      </c>
      <c r="F147" s="4" t="str">
        <f ca="1">IF(OR(INDEX($X$2:$X$1001,MATCH(ROWS($W$2:W147),$W$2:$W$1001,0),1)&gt;=100000,INDEX($AD$1005:$AU$1005,1,MATCH(COLUMNS($AD$1006:AH1006),$AD$1006:$AU$1006,0))&gt;=100000), " ",IF(INDEX($AD$2:$AU$1001,MATCH(ROWS($W$2:W147),$W$2:$W$1001,0),MATCH(COLUMNS($AD$1006:AH1006),$AD$1006:$AU$1006,0)), HYPERLINK("#",""), HYPERLINK(CONCATENATE("#metadata!", ADDRESS(INDEX($Y$2:$Y$1001,MATCH(ROWS($W$2:W147),$W$2:$W$1001,0),0), INDEX($AD$1004:$AU$1004,1,MATCH(COLUMNS($AD$1006:AH1006),$AD$1006:$AU$1006,0)))),"Fix")))</f>
        <v xml:space="preserve"> </v>
      </c>
      <c r="G147" s="4" t="str">
        <f ca="1">IF(OR(INDEX($X$2:$X$1001,MATCH(ROWS($W$2:W147),$W$2:$W$1001,0),1)&gt;=100000,INDEX($AD$1005:$AU$1005,1,MATCH(COLUMNS($AD$1006:AI1006),$AD$1006:$AU$1006,0))&gt;=100000), " ",IF(INDEX($AD$2:$AU$1001,MATCH(ROWS($W$2:W147),$W$2:$W$1001,0),MATCH(COLUMNS($AD$1006:AI1006),$AD$1006:$AU$1006,0)), HYPERLINK("#",""), HYPERLINK(CONCATENATE("#metadata!", ADDRESS(INDEX($Y$2:$Y$1001,MATCH(ROWS($W$2:W147),$W$2:$W$1001,0),0), INDEX($AD$1004:$AU$1004,1,MATCH(COLUMNS($AD$1006:AI1006),$AD$1006:$AU$1006,0)))),"Fix")))</f>
        <v xml:space="preserve"> </v>
      </c>
      <c r="H147" s="4" t="str">
        <f ca="1">IF(OR(INDEX($X$2:$X$1001,MATCH(ROWS($W$2:W147),$W$2:$W$1001,0),1)&gt;=100000,INDEX($AD$1005:$AU$1005,1,MATCH(COLUMNS($AD$1006:AJ1006),$AD$1006:$AU$1006,0))&gt;=100000), " ",IF(INDEX($AD$2:$AU$1001,MATCH(ROWS($W$2:W147),$W$2:$W$1001,0),MATCH(COLUMNS($AD$1006:AJ1006),$AD$1006:$AU$1006,0)), HYPERLINK("#",""), HYPERLINK(CONCATENATE("#metadata!", ADDRESS(INDEX($Y$2:$Y$1001,MATCH(ROWS($W$2:W147),$W$2:$W$1001,0),0), INDEX($AD$1004:$AU$1004,1,MATCH(COLUMNS($AD$1006:AJ1006),$AD$1006:$AU$1006,0)))),"Fix")))</f>
        <v xml:space="preserve"> </v>
      </c>
      <c r="I147" s="4" t="str">
        <f ca="1">IF(OR(INDEX($X$2:$X$1001,MATCH(ROWS($W$2:W147),$W$2:$W$1001,0),1)&gt;=100000,INDEX($AD$1005:$AU$1005,1,MATCH(COLUMNS($AD$1006:AK1006),$AD$1006:$AU$1006,0))&gt;=100000), " ",IF(INDEX($AD$2:$AU$1001,MATCH(ROWS($W$2:W147),$W$2:$W$1001,0),MATCH(COLUMNS($AD$1006:AK1006),$AD$1006:$AU$1006,0)), HYPERLINK("#",""), HYPERLINK(CONCATENATE("#metadata!", ADDRESS(INDEX($Y$2:$Y$1001,MATCH(ROWS($W$2:W147),$W$2:$W$1001,0),0), INDEX($AD$1004:$AU$1004,1,MATCH(COLUMNS($AD$1006:AK1006),$AD$1006:$AU$1006,0)))),"Fix")))</f>
        <v xml:space="preserve"> </v>
      </c>
      <c r="J147" s="4" t="str">
        <f ca="1">IF(OR(INDEX($X$2:$X$1001,MATCH(ROWS($W$2:W147),$W$2:$W$1001,0),1)&gt;=100000,INDEX($AD$1005:$AU$1005,1,MATCH(COLUMNS($AD$1006:AL1006),$AD$1006:$AU$1006,0))&gt;=100000), " ",IF(INDEX($AD$2:$AU$1001,MATCH(ROWS($W$2:W147),$W$2:$W$1001,0),MATCH(COLUMNS($AD$1006:AL1006),$AD$1006:$AU$1006,0)), HYPERLINK("#",""), HYPERLINK(CONCATENATE("#metadata!", ADDRESS(INDEX($Y$2:$Y$1001,MATCH(ROWS($W$2:W147),$W$2:$W$1001,0),0), INDEX($AD$1004:$AU$1004,1,MATCH(COLUMNS($AD$1006:AL1006),$AD$1006:$AU$1006,0)))),"Fix")))</f>
        <v xml:space="preserve"> </v>
      </c>
      <c r="K147" s="4" t="str">
        <f ca="1">IF(OR(INDEX($X$2:$X$1001,MATCH(ROWS($W$2:W147),$W$2:$W$1001,0),1)&gt;=100000,INDEX($AD$1005:$AU$1005,1,MATCH(COLUMNS($AD$1006:AM1006),$AD$1006:$AU$1006,0))&gt;=100000), " ",IF(INDEX($AD$2:$AU$1001,MATCH(ROWS($W$2:W147),$W$2:$W$1001,0),MATCH(COLUMNS($AD$1006:AM1006),$AD$1006:$AU$1006,0)), HYPERLINK("#",""), HYPERLINK(CONCATENATE("#metadata!", ADDRESS(INDEX($Y$2:$Y$1001,MATCH(ROWS($W$2:W147),$W$2:$W$1001,0),0), INDEX($AD$1004:$AU$1004,1,MATCH(COLUMNS($AD$1006:AM1006),$AD$1006:$AU$1006,0)))),"Fix")))</f>
        <v xml:space="preserve"> </v>
      </c>
      <c r="L147" s="4" t="str">
        <f ca="1">IF(OR(INDEX($X$2:$X$1001,MATCH(ROWS($W$2:W147),$W$2:$W$1001,0),1)&gt;=100000,INDEX($AD$1005:$AU$1005,1,MATCH(COLUMNS($AD$1006:AN1006),$AD$1006:$AU$1006,0))&gt;=100000), " ",IF(INDEX($AD$2:$AU$1001,MATCH(ROWS($W$2:W147),$W$2:$W$1001,0),MATCH(COLUMNS($AD$1006:AN1006),$AD$1006:$AU$1006,0)), HYPERLINK("#",""), HYPERLINK(CONCATENATE("#metadata!", ADDRESS(INDEX($Y$2:$Y$1001,MATCH(ROWS($W$2:W147),$W$2:$W$1001,0),0), INDEX($AD$1004:$AU$1004,1,MATCH(COLUMNS($AD$1006:AN1006),$AD$1006:$AU$1006,0)))),"Fix")))</f>
        <v xml:space="preserve"> </v>
      </c>
      <c r="M147" s="4" t="str">
        <f ca="1">IF(OR(INDEX($X$2:$X$1001,MATCH(ROWS($W$2:W147),$W$2:$W$1001,0),1)&gt;=100000,INDEX($AD$1005:$AU$1005,1,MATCH(COLUMNS($AD$1006:AO1006),$AD$1006:$AU$1006,0))&gt;=100000), " ",IF(INDEX($AD$2:$AU$1001,MATCH(ROWS($W$2:W147),$W$2:$W$1001,0),MATCH(COLUMNS($AD$1006:AO1006),$AD$1006:$AU$1006,0)), HYPERLINK("#",""), HYPERLINK(CONCATENATE("#metadata!", ADDRESS(INDEX($Y$2:$Y$1001,MATCH(ROWS($W$2:W147),$W$2:$W$1001,0),0), INDEX($AD$1004:$AU$1004,1,MATCH(COLUMNS($AD$1006:AO1006),$AD$1006:$AU$1006,0)))),"Fix")))</f>
        <v xml:space="preserve"> </v>
      </c>
      <c r="N147" s="4" t="str">
        <f ca="1">IF(OR(INDEX($X$2:$X$1001,MATCH(ROWS($W$2:W147),$W$2:$W$1001,0),1)&gt;=100000,INDEX($AD$1005:$AU$1005,1,MATCH(COLUMNS($AD$1006:AP1006),$AD$1006:$AU$1006,0))&gt;=100000), " ",IF(INDEX($AD$2:$AU$1001,MATCH(ROWS($W$2:W147),$W$2:$W$1001,0),MATCH(COLUMNS($AD$1006:AP1006),$AD$1006:$AU$1006,0)), HYPERLINK("#",""), HYPERLINK(CONCATENATE("#metadata!", ADDRESS(INDEX($Y$2:$Y$1001,MATCH(ROWS($W$2:W147),$W$2:$W$1001,0),0), INDEX($AD$1004:$AU$1004,1,MATCH(COLUMNS($AD$1006:AP1006),$AD$1006:$AU$1006,0)))),"Fix")))</f>
        <v xml:space="preserve"> </v>
      </c>
      <c r="O147" s="4" t="str">
        <f ca="1">IF(OR(INDEX($X$2:$X$1001,MATCH(ROWS($W$2:W147),$W$2:$W$1001,0),1)&gt;=100000,INDEX($AD$1005:$AU$1005,1,MATCH(COLUMNS($AD$1006:AQ1006),$AD$1006:$AU$1006,0))&gt;=100000), " ",IF(INDEX($AD$2:$AU$1001,MATCH(ROWS($W$2:W147),$W$2:$W$1001,0),MATCH(COLUMNS($AD$1006:AQ1006),$AD$1006:$AU$1006,0)), HYPERLINK("#",""), HYPERLINK(CONCATENATE("#metadata!", ADDRESS(INDEX($Y$2:$Y$1001,MATCH(ROWS($W$2:W147),$W$2:$W$1001,0),0), INDEX($AD$1004:$AU$1004,1,MATCH(COLUMNS($AD$1006:AQ1006),$AD$1006:$AU$1006,0)))),"Fix")))</f>
        <v xml:space="preserve"> </v>
      </c>
      <c r="P147" s="4" t="str">
        <f ca="1">IF(OR(INDEX($X$2:$X$1001,MATCH(ROWS($W$2:W147),$W$2:$W$1001,0),1)&gt;=100000,INDEX($AD$1005:$AU$1005,1,MATCH(COLUMNS($AD$1006:AR1006),$AD$1006:$AU$1006,0))&gt;=100000), " ",IF(INDEX($AD$2:$AU$1001,MATCH(ROWS($W$2:W147),$W$2:$W$1001,0),MATCH(COLUMNS($AD$1006:AR1006),$AD$1006:$AU$1006,0)), HYPERLINK("#",""), HYPERLINK(CONCATENATE("#metadata!", ADDRESS(INDEX($Y$2:$Y$1001,MATCH(ROWS($W$2:W147),$W$2:$W$1001,0),0), INDEX($AD$1004:$AU$1004,1,MATCH(COLUMNS($AD$1006:AR1006),$AD$1006:$AU$1006,0)))),"Fix")))</f>
        <v xml:space="preserve"> </v>
      </c>
      <c r="Q147" s="4" t="str">
        <f ca="1">IF(OR(INDEX($X$2:$X$1001,MATCH(ROWS($W$2:W147),$W$2:$W$1001,0),1)&gt;=100000,INDEX($AD$1005:$AU$1005,1,MATCH(COLUMNS($AD$1006:AS1006),$AD$1006:$AU$1006,0))&gt;=100000), " ",IF(INDEX($AD$2:$AU$1001,MATCH(ROWS($W$2:W147),$W$2:$W$1001,0),MATCH(COLUMNS($AD$1006:AS1006),$AD$1006:$AU$1006,0)), HYPERLINK("#",""), HYPERLINK(CONCATENATE("#metadata!", ADDRESS(INDEX($Y$2:$Y$1001,MATCH(ROWS($W$2:W147),$W$2:$W$1001,0),0), INDEX($AD$1004:$AU$1004,1,MATCH(COLUMNS($AD$1006:AS1006),$AD$1006:$AU$1006,0)))),"Fix")))</f>
        <v xml:space="preserve"> </v>
      </c>
      <c r="R147" s="4" t="str">
        <f ca="1">IF(OR(INDEX($X$2:$X$1001,MATCH(ROWS($W$2:W147),$W$2:$W$1001,0),1)&gt;=100000,INDEX($AD$1005:$AU$1005,1,MATCH(COLUMNS($AD$1006:AT1006),$AD$1006:$AU$1006,0))&gt;=100000), " ",IF(INDEX($AD$2:$AU$1001,MATCH(ROWS($W$2:W147),$W$2:$W$1001,0),MATCH(COLUMNS($AD$1006:AT1006),$AD$1006:$AU$1006,0)), HYPERLINK("#",""), HYPERLINK(CONCATENATE("#metadata!", ADDRESS(INDEX($Y$2:$Y$1001,MATCH(ROWS($W$2:W147),$W$2:$W$1001,0),0), INDEX($AD$1004:$AU$1004,1,MATCH(COLUMNS($AD$1006:AT1006),$AD$1006:$AU$1006,0)))),"Fix")))</f>
        <v xml:space="preserve"> </v>
      </c>
      <c r="S147" s="4" t="str">
        <f ca="1">IF(OR(INDEX($X$2:$X$1001,MATCH(ROWS($W$2:W147),$W$2:$W$1001,0),1)&gt;=100000,INDEX($AD$1005:$AU$1005,1,MATCH(COLUMNS($AD$1006:AU1006),$AD$1006:$AU$1006,0))&gt;=100000), " ",IF(INDEX($AD$2:$AU$1001,MATCH(ROWS($W$2:W147),$W$2:$W$1001,0),MATCH(COLUMNS($AD$1006:AU1006),$AD$1006:$AU$1006,0)), HYPERLINK("#",""), HYPERLINK(CONCATENATE("#metadata!", ADDRESS(INDEX($Y$2:$Y$1001,MATCH(ROWS($W$2:W147),$W$2:$W$1001,0),0), INDEX($AD$1004:$AU$1004,1,MATCH(COLUMNS($AD$1006:AU1006),$AD$1006:$AU$1006,0)))),"Fix")))</f>
        <v xml:space="preserve"> </v>
      </c>
      <c r="W147">
        <v>146</v>
      </c>
      <c r="X147">
        <v>100147</v>
      </c>
      <c r="Y147">
        <v>147</v>
      </c>
      <c r="Z147" t="b">
        <f t="shared" si="2"/>
        <v>1</v>
      </c>
      <c r="AA147" t="b">
        <f>COUNTBLANK(metadata!B147:S147)=COLUMNS(metadata!B147:S147)</f>
        <v>1</v>
      </c>
      <c r="AB147" t="str">
        <v/>
      </c>
      <c r="AD147" t="b">
        <f ca="1">AND(IF(metadata!B147="",FALSE,TRUE),COUNTIF(metadata!B:B, metadata!B147) = 1,NOT(ISERROR(SUMPRODUCT(SEARCH(MID(metadata!B147,ROW(INDIRECT("1:"&amp;LEN(metadata!B147))), 1),"0123456789abcdefghijklmnopqrstuvwxyzABCDEFGHIJKLMNOPQRSTUVWXYZ.")))))</f>
        <v>0</v>
      </c>
      <c r="AE147" t="b">
        <f>OR(AND(IF(metadata!C147="",FALSE,TRUE),OR(EXACT(metadata!C147,"not applicable"),EXACT(metadata!C147,"missing: not collected"),EXACT(metadata!C147,"missing: not provided"),EXACT(metadata!C147,"missing: restricted access"))),AND(IF(metadata!C147="",FALSE,ISNUMBER(VALUE(metadata!C147))),metadata!C147&gt;0))</f>
        <v>0</v>
      </c>
      <c r="AF147" t="b">
        <f>AND(IF(metadata!D147="",FALSE,TRUE),EXACT(metadata!D147,"missing: not provided"))</f>
        <v>0</v>
      </c>
      <c r="AG147" t="b">
        <f>AND(IF(metadata!E147="",FALSE,TRUE),EXACT(metadata!E147,"Host-associated"))</f>
        <v>0</v>
      </c>
      <c r="AH147" t="b">
        <f>AND(IF(metadata!F147="",FALSE,TRUE),OR(EXACT(metadata!F147,"Animal"),EXACT(metadata!F147,"Fungus"),EXACT(metadata!F147,"Plant")))</f>
        <v>0</v>
      </c>
      <c r="AI147" t="b">
        <f>AND(IF(metadata!G147="",FALSE,TRUE),OR(EXACT(metadata!G147,"Plant secretion"),EXACT(metadata!G147,"Plant rhizosphere"),EXACT(metadata!G147,"Plant surface"),EXACT(metadata!G147,"Plant corpus"),EXACT(metadata!G147,"Fungus surface"),EXACT(metadata!G147,"Fungus corpus"),EXACT(metadata!G147,"Animal surface"),EXACT(metadata!G147,"Animal proximal gut"),EXACT(metadata!G147,"Animal corpus"),EXACT(metadata!G147,"Animal distal gut"),EXACT(metadata!G147,"Animal secretion")))</f>
        <v>0</v>
      </c>
      <c r="AJ147" t="b">
        <f>OR(AND(IF(metadata!H147="",FALSE,TRUE),OR(EXACT(metadata!H147,"missing: not collected"),EXACT(metadata!H147,"missing: not provided"),EXACT(metadata!H147,"missing: restricted access"))),AND(IF(metadata!H147="",FALSE,TRUE),OR(EXACT(metadata!H147,"organism-associated habitat"),EXACT(metadata!H147,"plant-associated habitat"),EXACT(metadata!H147,"animal-associated habitat"),EXACT(metadata!H147,"insecta-associated habitat"),EXACT(metadata!H147,"mammalia-associated habitat"),EXACT(metadata!H147,"human-associated habitat"),EXACT(metadata!H147,"livestock-associated habitat"))))</f>
        <v>0</v>
      </c>
      <c r="AK147" t="b">
        <f>AND(IF(metadata!I147="",FALSE,TRUE),EXACT(metadata!I147,"host-associated"))</f>
        <v>0</v>
      </c>
      <c r="AL147" t="b">
        <f>OR(AND(IF(metadata!J147="",FALSE,TRUE),OR(EXACT(metadata!J147,"not applicable"),EXACT(metadata!J147,"missing: not collected"),EXACT(metadata!J147,"missing: not provided"),EXACT(metadata!J147,"missing: restricted access"))),AND(IF(metadata!J147="",FALSE,ISNUMBER(VALUE(metadata!J147))),metadata!J147&gt;0))</f>
        <v>0</v>
      </c>
      <c r="AM147" t="b">
        <f>AND(IF(metadata!K147="",FALSE,TRUE),EXACT(metadata!K147,"missing: not provided"))</f>
        <v>0</v>
      </c>
      <c r="AN147" t="b">
        <f>IF(metadata!L147="",FALSE,TRUE)</f>
        <v>0</v>
      </c>
      <c r="AO147" t="b">
        <f>IF(metadata!M147="",FALSE,TRUE)</f>
        <v>0</v>
      </c>
      <c r="AP147" t="b">
        <f>OR(AND(IF(metadata!N147="",FALSE,TRUE),OR(EXACT(metadata!N147,"not applicable"),EXACT(metadata!N147,"missing: not collected"),EXACT(metadata!N147,"missing: not provided"))),AND(IF(metadata!N147="",FALSE,IF(ISERROR(INT(metadata!N147)),FALSE,INT(metadata!N147)=metadata!N147)),metadata!N147&gt;0))</f>
        <v>0</v>
      </c>
      <c r="AQ147" t="b">
        <f>AND(IF(metadata!O147="",FALSE,TRUE),EXACT(metadata!O147,"Not applicable"))</f>
        <v>0</v>
      </c>
      <c r="AR147" t="b">
        <f>OR(AND(IF(metadata!P147="",FALSE,TRUE),OR(EXACT(metadata!P147,"not applicable"),EXACT(metadata!P147,"missing: not collected"),EXACT(metadata!P147,"missing: not provided"),EXACT(metadata!P147,"missing: restricted access"))),IF(metadata!P147="",FALSE,IF(ISERROR(INT(metadata!P147)),FALSE,INT(metadata!P147)=metadata!P147)))</f>
        <v>0</v>
      </c>
      <c r="AS147" t="b">
        <f>AND(IF(metadata!Q147="",FALSE,TRUE),EXACT(metadata!Q147,"Not applicable"))</f>
        <v>0</v>
      </c>
      <c r="AT147" t="b">
        <f>OR(AND(IF(metadata!R147="",FALSE,TRUE),OR(EXACT(metadata!R147,"not applicable"),EXACT(metadata!R147,"missing: not collected"),EXACT(metadata!R147,"missing: not provided"),EXACT(metadata!R147,"missing: restricted access"))),AND(IF(metadata!R147="",FALSE,ISNUMBER(VALUE(metadata!R147))),metadata!R147&gt;0))</f>
        <v>0</v>
      </c>
      <c r="AU147" t="b">
        <f>AND(IF(metadata!S147="",FALSE,TRUE),EXACT(metadata!S147,"missing: not provided"))</f>
        <v>0</v>
      </c>
    </row>
    <row r="148" spans="1:47" x14ac:dyDescent="0.2">
      <c r="A148" s="5" t="str">
        <f ca="1">IF(B148=" "," ",HYPERLINK(CONCATENATE("#metadata!",ADDRESS(INDEX($Y$2:$Y$1001,MATCH(ROWS($W$2:W148),$W$2:$W$1001,0),0),1)),INDEX($AB$2:$AB$1001,MATCH(ROWS($W$2:W148),$W$2:$W$1001,0),0)))</f>
        <v xml:space="preserve"> </v>
      </c>
      <c r="B148" s="4" t="str">
        <f ca="1">IF(OR(INDEX($X$2:$X$1001,MATCH(ROWS($W$2:W148),$W$2:$W$1001,0),1)&gt;=100000,INDEX($AD$1005:$AU$1005,1,MATCH(COLUMNS($AD$1006:AD1006),$AD$1006:$AU$1006,0))&gt;=100000), " ",IF(INDEX($AD$2:$AU$1001,MATCH(ROWS($W$2:W148),$W$2:$W$1001,0),MATCH(COLUMNS($AD$1006:AD1006),$AD$1006:$AU$1006,0)), HYPERLINK("#",""), HYPERLINK(CONCATENATE("#metadata!", ADDRESS(INDEX($Y$2:$Y$1001,MATCH(ROWS($W$2:W148),$W$2:$W$1001,0),0), INDEX($AD$1004:$AU$1004,1,MATCH(COLUMNS($AD$1006:AD1006),$AD$1006:$AU$1006,0)))),"Fix")))</f>
        <v xml:space="preserve"> </v>
      </c>
      <c r="C148" s="4" t="str">
        <f ca="1">IF(OR(INDEX($X$2:$X$1001,MATCH(ROWS($W$2:W148),$W$2:$W$1001,0),1)&gt;=100000,INDEX($AD$1005:$AU$1005,1,MATCH(COLUMNS($AD$1006:AE1006),$AD$1006:$AU$1006,0))&gt;=100000), " ",IF(INDEX($AD$2:$AU$1001,MATCH(ROWS($W$2:W148),$W$2:$W$1001,0),MATCH(COLUMNS($AD$1006:AE1006),$AD$1006:$AU$1006,0)), HYPERLINK("#",""), HYPERLINK(CONCATENATE("#metadata!", ADDRESS(INDEX($Y$2:$Y$1001,MATCH(ROWS($W$2:W148),$W$2:$W$1001,0),0), INDEX($AD$1004:$AU$1004,1,MATCH(COLUMNS($AD$1006:AE1006),$AD$1006:$AU$1006,0)))),"Fix")))</f>
        <v xml:space="preserve"> </v>
      </c>
      <c r="D148" s="4" t="str">
        <f ca="1">IF(OR(INDEX($X$2:$X$1001,MATCH(ROWS($W$2:W148),$W$2:$W$1001,0),1)&gt;=100000,INDEX($AD$1005:$AU$1005,1,MATCH(COLUMNS($AD$1006:AF1006),$AD$1006:$AU$1006,0))&gt;=100000), " ",IF(INDEX($AD$2:$AU$1001,MATCH(ROWS($W$2:W148),$W$2:$W$1001,0),MATCH(COLUMNS($AD$1006:AF1006),$AD$1006:$AU$1006,0)), HYPERLINK("#",""), HYPERLINK(CONCATENATE("#metadata!", ADDRESS(INDEX($Y$2:$Y$1001,MATCH(ROWS($W$2:W148),$W$2:$W$1001,0),0), INDEX($AD$1004:$AU$1004,1,MATCH(COLUMNS($AD$1006:AF1006),$AD$1006:$AU$1006,0)))),"Fix")))</f>
        <v xml:space="preserve"> </v>
      </c>
      <c r="E148" s="4" t="str">
        <f ca="1">IF(OR(INDEX($X$2:$X$1001,MATCH(ROWS($W$2:W148),$W$2:$W$1001,0),1)&gt;=100000,INDEX($AD$1005:$AU$1005,1,MATCH(COLUMNS($AD$1006:AG1006),$AD$1006:$AU$1006,0))&gt;=100000), " ",IF(INDEX($AD$2:$AU$1001,MATCH(ROWS($W$2:W148),$W$2:$W$1001,0),MATCH(COLUMNS($AD$1006:AG1006),$AD$1006:$AU$1006,0)), HYPERLINK("#",""), HYPERLINK(CONCATENATE("#metadata!", ADDRESS(INDEX($Y$2:$Y$1001,MATCH(ROWS($W$2:W148),$W$2:$W$1001,0),0), INDEX($AD$1004:$AU$1004,1,MATCH(COLUMNS($AD$1006:AG1006),$AD$1006:$AU$1006,0)))),"Fix")))</f>
        <v xml:space="preserve"> </v>
      </c>
      <c r="F148" s="4" t="str">
        <f ca="1">IF(OR(INDEX($X$2:$X$1001,MATCH(ROWS($W$2:W148),$W$2:$W$1001,0),1)&gt;=100000,INDEX($AD$1005:$AU$1005,1,MATCH(COLUMNS($AD$1006:AH1006),$AD$1006:$AU$1006,0))&gt;=100000), " ",IF(INDEX($AD$2:$AU$1001,MATCH(ROWS($W$2:W148),$W$2:$W$1001,0),MATCH(COLUMNS($AD$1006:AH1006),$AD$1006:$AU$1006,0)), HYPERLINK("#",""), HYPERLINK(CONCATENATE("#metadata!", ADDRESS(INDEX($Y$2:$Y$1001,MATCH(ROWS($W$2:W148),$W$2:$W$1001,0),0), INDEX($AD$1004:$AU$1004,1,MATCH(COLUMNS($AD$1006:AH1006),$AD$1006:$AU$1006,0)))),"Fix")))</f>
        <v xml:space="preserve"> </v>
      </c>
      <c r="G148" s="4" t="str">
        <f ca="1">IF(OR(INDEX($X$2:$X$1001,MATCH(ROWS($W$2:W148),$W$2:$W$1001,0),1)&gt;=100000,INDEX($AD$1005:$AU$1005,1,MATCH(COLUMNS($AD$1006:AI1006),$AD$1006:$AU$1006,0))&gt;=100000), " ",IF(INDEX($AD$2:$AU$1001,MATCH(ROWS($W$2:W148),$W$2:$W$1001,0),MATCH(COLUMNS($AD$1006:AI1006),$AD$1006:$AU$1006,0)), HYPERLINK("#",""), HYPERLINK(CONCATENATE("#metadata!", ADDRESS(INDEX($Y$2:$Y$1001,MATCH(ROWS($W$2:W148),$W$2:$W$1001,0),0), INDEX($AD$1004:$AU$1004,1,MATCH(COLUMNS($AD$1006:AI1006),$AD$1006:$AU$1006,0)))),"Fix")))</f>
        <v xml:space="preserve"> </v>
      </c>
      <c r="H148" s="4" t="str">
        <f ca="1">IF(OR(INDEX($X$2:$X$1001,MATCH(ROWS($W$2:W148),$W$2:$W$1001,0),1)&gt;=100000,INDEX($AD$1005:$AU$1005,1,MATCH(COLUMNS($AD$1006:AJ1006),$AD$1006:$AU$1006,0))&gt;=100000), " ",IF(INDEX($AD$2:$AU$1001,MATCH(ROWS($W$2:W148),$W$2:$W$1001,0),MATCH(COLUMNS($AD$1006:AJ1006),$AD$1006:$AU$1006,0)), HYPERLINK("#",""), HYPERLINK(CONCATENATE("#metadata!", ADDRESS(INDEX($Y$2:$Y$1001,MATCH(ROWS($W$2:W148),$W$2:$W$1001,0),0), INDEX($AD$1004:$AU$1004,1,MATCH(COLUMNS($AD$1006:AJ1006),$AD$1006:$AU$1006,0)))),"Fix")))</f>
        <v xml:space="preserve"> </v>
      </c>
      <c r="I148" s="4" t="str">
        <f ca="1">IF(OR(INDEX($X$2:$X$1001,MATCH(ROWS($W$2:W148),$W$2:$W$1001,0),1)&gt;=100000,INDEX($AD$1005:$AU$1005,1,MATCH(COLUMNS($AD$1006:AK1006),$AD$1006:$AU$1006,0))&gt;=100000), " ",IF(INDEX($AD$2:$AU$1001,MATCH(ROWS($W$2:W148),$W$2:$W$1001,0),MATCH(COLUMNS($AD$1006:AK1006),$AD$1006:$AU$1006,0)), HYPERLINK("#",""), HYPERLINK(CONCATENATE("#metadata!", ADDRESS(INDEX($Y$2:$Y$1001,MATCH(ROWS($W$2:W148),$W$2:$W$1001,0),0), INDEX($AD$1004:$AU$1004,1,MATCH(COLUMNS($AD$1006:AK1006),$AD$1006:$AU$1006,0)))),"Fix")))</f>
        <v xml:space="preserve"> </v>
      </c>
      <c r="J148" s="4" t="str">
        <f ca="1">IF(OR(INDEX($X$2:$X$1001,MATCH(ROWS($W$2:W148),$W$2:$W$1001,0),1)&gt;=100000,INDEX($AD$1005:$AU$1005,1,MATCH(COLUMNS($AD$1006:AL1006),$AD$1006:$AU$1006,0))&gt;=100000), " ",IF(INDEX($AD$2:$AU$1001,MATCH(ROWS($W$2:W148),$W$2:$W$1001,0),MATCH(COLUMNS($AD$1006:AL1006),$AD$1006:$AU$1006,0)), HYPERLINK("#",""), HYPERLINK(CONCATENATE("#metadata!", ADDRESS(INDEX($Y$2:$Y$1001,MATCH(ROWS($W$2:W148),$W$2:$W$1001,0),0), INDEX($AD$1004:$AU$1004,1,MATCH(COLUMNS($AD$1006:AL1006),$AD$1006:$AU$1006,0)))),"Fix")))</f>
        <v xml:space="preserve"> </v>
      </c>
      <c r="K148" s="4" t="str">
        <f ca="1">IF(OR(INDEX($X$2:$X$1001,MATCH(ROWS($W$2:W148),$W$2:$W$1001,0),1)&gt;=100000,INDEX($AD$1005:$AU$1005,1,MATCH(COLUMNS($AD$1006:AM1006),$AD$1006:$AU$1006,0))&gt;=100000), " ",IF(INDEX($AD$2:$AU$1001,MATCH(ROWS($W$2:W148),$W$2:$W$1001,0),MATCH(COLUMNS($AD$1006:AM1006),$AD$1006:$AU$1006,0)), HYPERLINK("#",""), HYPERLINK(CONCATENATE("#metadata!", ADDRESS(INDEX($Y$2:$Y$1001,MATCH(ROWS($W$2:W148),$W$2:$W$1001,0),0), INDEX($AD$1004:$AU$1004,1,MATCH(COLUMNS($AD$1006:AM1006),$AD$1006:$AU$1006,0)))),"Fix")))</f>
        <v xml:space="preserve"> </v>
      </c>
      <c r="L148" s="4" t="str">
        <f ca="1">IF(OR(INDEX($X$2:$X$1001,MATCH(ROWS($W$2:W148),$W$2:$W$1001,0),1)&gt;=100000,INDEX($AD$1005:$AU$1005,1,MATCH(COLUMNS($AD$1006:AN1006),$AD$1006:$AU$1006,0))&gt;=100000), " ",IF(INDEX($AD$2:$AU$1001,MATCH(ROWS($W$2:W148),$W$2:$W$1001,0),MATCH(COLUMNS($AD$1006:AN1006),$AD$1006:$AU$1006,0)), HYPERLINK("#",""), HYPERLINK(CONCATENATE("#metadata!", ADDRESS(INDEX($Y$2:$Y$1001,MATCH(ROWS($W$2:W148),$W$2:$W$1001,0),0), INDEX($AD$1004:$AU$1004,1,MATCH(COLUMNS($AD$1006:AN1006),$AD$1006:$AU$1006,0)))),"Fix")))</f>
        <v xml:space="preserve"> </v>
      </c>
      <c r="M148" s="4" t="str">
        <f ca="1">IF(OR(INDEX($X$2:$X$1001,MATCH(ROWS($W$2:W148),$W$2:$W$1001,0),1)&gt;=100000,INDEX($AD$1005:$AU$1005,1,MATCH(COLUMNS($AD$1006:AO1006),$AD$1006:$AU$1006,0))&gt;=100000), " ",IF(INDEX($AD$2:$AU$1001,MATCH(ROWS($W$2:W148),$W$2:$W$1001,0),MATCH(COLUMNS($AD$1006:AO1006),$AD$1006:$AU$1006,0)), HYPERLINK("#",""), HYPERLINK(CONCATENATE("#metadata!", ADDRESS(INDEX($Y$2:$Y$1001,MATCH(ROWS($W$2:W148),$W$2:$W$1001,0),0), INDEX($AD$1004:$AU$1004,1,MATCH(COLUMNS($AD$1006:AO1006),$AD$1006:$AU$1006,0)))),"Fix")))</f>
        <v xml:space="preserve"> </v>
      </c>
      <c r="N148" s="4" t="str">
        <f ca="1">IF(OR(INDEX($X$2:$X$1001,MATCH(ROWS($W$2:W148),$W$2:$W$1001,0),1)&gt;=100000,INDEX($AD$1005:$AU$1005,1,MATCH(COLUMNS($AD$1006:AP1006),$AD$1006:$AU$1006,0))&gt;=100000), " ",IF(INDEX($AD$2:$AU$1001,MATCH(ROWS($W$2:W148),$W$2:$W$1001,0),MATCH(COLUMNS($AD$1006:AP1006),$AD$1006:$AU$1006,0)), HYPERLINK("#",""), HYPERLINK(CONCATENATE("#metadata!", ADDRESS(INDEX($Y$2:$Y$1001,MATCH(ROWS($W$2:W148),$W$2:$W$1001,0),0), INDEX($AD$1004:$AU$1004,1,MATCH(COLUMNS($AD$1006:AP1006),$AD$1006:$AU$1006,0)))),"Fix")))</f>
        <v xml:space="preserve"> </v>
      </c>
      <c r="O148" s="4" t="str">
        <f ca="1">IF(OR(INDEX($X$2:$X$1001,MATCH(ROWS($W$2:W148),$W$2:$W$1001,0),1)&gt;=100000,INDEX($AD$1005:$AU$1005,1,MATCH(COLUMNS($AD$1006:AQ1006),$AD$1006:$AU$1006,0))&gt;=100000), " ",IF(INDEX($AD$2:$AU$1001,MATCH(ROWS($W$2:W148),$W$2:$W$1001,0),MATCH(COLUMNS($AD$1006:AQ1006),$AD$1006:$AU$1006,0)), HYPERLINK("#",""), HYPERLINK(CONCATENATE("#metadata!", ADDRESS(INDEX($Y$2:$Y$1001,MATCH(ROWS($W$2:W148),$W$2:$W$1001,0),0), INDEX($AD$1004:$AU$1004,1,MATCH(COLUMNS($AD$1006:AQ1006),$AD$1006:$AU$1006,0)))),"Fix")))</f>
        <v xml:space="preserve"> </v>
      </c>
      <c r="P148" s="4" t="str">
        <f ca="1">IF(OR(INDEX($X$2:$X$1001,MATCH(ROWS($W$2:W148),$W$2:$W$1001,0),1)&gt;=100000,INDEX($AD$1005:$AU$1005,1,MATCH(COLUMNS($AD$1006:AR1006),$AD$1006:$AU$1006,0))&gt;=100000), " ",IF(INDEX($AD$2:$AU$1001,MATCH(ROWS($W$2:W148),$W$2:$W$1001,0),MATCH(COLUMNS($AD$1006:AR1006),$AD$1006:$AU$1006,0)), HYPERLINK("#",""), HYPERLINK(CONCATENATE("#metadata!", ADDRESS(INDEX($Y$2:$Y$1001,MATCH(ROWS($W$2:W148),$W$2:$W$1001,0),0), INDEX($AD$1004:$AU$1004,1,MATCH(COLUMNS($AD$1006:AR1006),$AD$1006:$AU$1006,0)))),"Fix")))</f>
        <v xml:space="preserve"> </v>
      </c>
      <c r="Q148" s="4" t="str">
        <f ca="1">IF(OR(INDEX($X$2:$X$1001,MATCH(ROWS($W$2:W148),$W$2:$W$1001,0),1)&gt;=100000,INDEX($AD$1005:$AU$1005,1,MATCH(COLUMNS($AD$1006:AS1006),$AD$1006:$AU$1006,0))&gt;=100000), " ",IF(INDEX($AD$2:$AU$1001,MATCH(ROWS($W$2:W148),$W$2:$W$1001,0),MATCH(COLUMNS($AD$1006:AS1006),$AD$1006:$AU$1006,0)), HYPERLINK("#",""), HYPERLINK(CONCATENATE("#metadata!", ADDRESS(INDEX($Y$2:$Y$1001,MATCH(ROWS($W$2:W148),$W$2:$W$1001,0),0), INDEX($AD$1004:$AU$1004,1,MATCH(COLUMNS($AD$1006:AS1006),$AD$1006:$AU$1006,0)))),"Fix")))</f>
        <v xml:space="preserve"> </v>
      </c>
      <c r="R148" s="4" t="str">
        <f ca="1">IF(OR(INDEX($X$2:$X$1001,MATCH(ROWS($W$2:W148),$W$2:$W$1001,0),1)&gt;=100000,INDEX($AD$1005:$AU$1005,1,MATCH(COLUMNS($AD$1006:AT1006),$AD$1006:$AU$1006,0))&gt;=100000), " ",IF(INDEX($AD$2:$AU$1001,MATCH(ROWS($W$2:W148),$W$2:$W$1001,0),MATCH(COLUMNS($AD$1006:AT1006),$AD$1006:$AU$1006,0)), HYPERLINK("#",""), HYPERLINK(CONCATENATE("#metadata!", ADDRESS(INDEX($Y$2:$Y$1001,MATCH(ROWS($W$2:W148),$W$2:$W$1001,0),0), INDEX($AD$1004:$AU$1004,1,MATCH(COLUMNS($AD$1006:AT1006),$AD$1006:$AU$1006,0)))),"Fix")))</f>
        <v xml:space="preserve"> </v>
      </c>
      <c r="S148" s="4" t="str">
        <f ca="1">IF(OR(INDEX($X$2:$X$1001,MATCH(ROWS($W$2:W148),$W$2:$W$1001,0),1)&gt;=100000,INDEX($AD$1005:$AU$1005,1,MATCH(COLUMNS($AD$1006:AU1006),$AD$1006:$AU$1006,0))&gt;=100000), " ",IF(INDEX($AD$2:$AU$1001,MATCH(ROWS($W$2:W148),$W$2:$W$1001,0),MATCH(COLUMNS($AD$1006:AU1006),$AD$1006:$AU$1006,0)), HYPERLINK("#",""), HYPERLINK(CONCATENATE("#metadata!", ADDRESS(INDEX($Y$2:$Y$1001,MATCH(ROWS($W$2:W148),$W$2:$W$1001,0),0), INDEX($AD$1004:$AU$1004,1,MATCH(COLUMNS($AD$1006:AU1006),$AD$1006:$AU$1006,0)))),"Fix")))</f>
        <v xml:space="preserve"> </v>
      </c>
      <c r="W148">
        <v>147</v>
      </c>
      <c r="X148">
        <v>100148</v>
      </c>
      <c r="Y148">
        <v>148</v>
      </c>
      <c r="Z148" t="b">
        <f t="shared" si="2"/>
        <v>1</v>
      </c>
      <c r="AA148" t="b">
        <f>COUNTBLANK(metadata!B148:S148)=COLUMNS(metadata!B148:S148)</f>
        <v>1</v>
      </c>
      <c r="AB148" t="str">
        <v/>
      </c>
      <c r="AD148" t="b">
        <f ca="1">AND(IF(metadata!B148="",FALSE,TRUE),COUNTIF(metadata!B:B, metadata!B148) = 1,NOT(ISERROR(SUMPRODUCT(SEARCH(MID(metadata!B148,ROW(INDIRECT("1:"&amp;LEN(metadata!B148))), 1),"0123456789abcdefghijklmnopqrstuvwxyzABCDEFGHIJKLMNOPQRSTUVWXYZ.")))))</f>
        <v>0</v>
      </c>
      <c r="AE148" t="b">
        <f>OR(AND(IF(metadata!C148="",FALSE,TRUE),OR(EXACT(metadata!C148,"not applicable"),EXACT(metadata!C148,"missing: not collected"),EXACT(metadata!C148,"missing: not provided"),EXACT(metadata!C148,"missing: restricted access"))),AND(IF(metadata!C148="",FALSE,ISNUMBER(VALUE(metadata!C148))),metadata!C148&gt;0))</f>
        <v>0</v>
      </c>
      <c r="AF148" t="b">
        <f>AND(IF(metadata!D148="",FALSE,TRUE),EXACT(metadata!D148,"missing: not provided"))</f>
        <v>0</v>
      </c>
      <c r="AG148" t="b">
        <f>AND(IF(metadata!E148="",FALSE,TRUE),EXACT(metadata!E148,"Host-associated"))</f>
        <v>0</v>
      </c>
      <c r="AH148" t="b">
        <f>AND(IF(metadata!F148="",FALSE,TRUE),OR(EXACT(metadata!F148,"Animal"),EXACT(metadata!F148,"Fungus"),EXACT(metadata!F148,"Plant")))</f>
        <v>0</v>
      </c>
      <c r="AI148" t="b">
        <f>AND(IF(metadata!G148="",FALSE,TRUE),OR(EXACT(metadata!G148,"Plant secretion"),EXACT(metadata!G148,"Plant rhizosphere"),EXACT(metadata!G148,"Plant surface"),EXACT(metadata!G148,"Plant corpus"),EXACT(metadata!G148,"Fungus surface"),EXACT(metadata!G148,"Fungus corpus"),EXACT(metadata!G148,"Animal surface"),EXACT(metadata!G148,"Animal proximal gut"),EXACT(metadata!G148,"Animal corpus"),EXACT(metadata!G148,"Animal distal gut"),EXACT(metadata!G148,"Animal secretion")))</f>
        <v>0</v>
      </c>
      <c r="AJ148" t="b">
        <f>OR(AND(IF(metadata!H148="",FALSE,TRUE),OR(EXACT(metadata!H148,"missing: not collected"),EXACT(metadata!H148,"missing: not provided"),EXACT(metadata!H148,"missing: restricted access"))),AND(IF(metadata!H148="",FALSE,TRUE),OR(EXACT(metadata!H148,"organism-associated habitat"),EXACT(metadata!H148,"plant-associated habitat"),EXACT(metadata!H148,"animal-associated habitat"),EXACT(metadata!H148,"insecta-associated habitat"),EXACT(metadata!H148,"mammalia-associated habitat"),EXACT(metadata!H148,"human-associated habitat"),EXACT(metadata!H148,"livestock-associated habitat"))))</f>
        <v>0</v>
      </c>
      <c r="AK148" t="b">
        <f>AND(IF(metadata!I148="",FALSE,TRUE),EXACT(metadata!I148,"host-associated"))</f>
        <v>0</v>
      </c>
      <c r="AL148" t="b">
        <f>OR(AND(IF(metadata!J148="",FALSE,TRUE),OR(EXACT(metadata!J148,"not applicable"),EXACT(metadata!J148,"missing: not collected"),EXACT(metadata!J148,"missing: not provided"),EXACT(metadata!J148,"missing: restricted access"))),AND(IF(metadata!J148="",FALSE,ISNUMBER(VALUE(metadata!J148))),metadata!J148&gt;0))</f>
        <v>0</v>
      </c>
      <c r="AM148" t="b">
        <f>AND(IF(metadata!K148="",FALSE,TRUE),EXACT(metadata!K148,"missing: not provided"))</f>
        <v>0</v>
      </c>
      <c r="AN148" t="b">
        <f>IF(metadata!L148="",FALSE,TRUE)</f>
        <v>0</v>
      </c>
      <c r="AO148" t="b">
        <f>IF(metadata!M148="",FALSE,TRUE)</f>
        <v>0</v>
      </c>
      <c r="AP148" t="b">
        <f>OR(AND(IF(metadata!N148="",FALSE,TRUE),OR(EXACT(metadata!N148,"not applicable"),EXACT(metadata!N148,"missing: not collected"),EXACT(metadata!N148,"missing: not provided"))),AND(IF(metadata!N148="",FALSE,IF(ISERROR(INT(metadata!N148)),FALSE,INT(metadata!N148)=metadata!N148)),metadata!N148&gt;0))</f>
        <v>0</v>
      </c>
      <c r="AQ148" t="b">
        <f>AND(IF(metadata!O148="",FALSE,TRUE),EXACT(metadata!O148,"Not applicable"))</f>
        <v>0</v>
      </c>
      <c r="AR148" t="b">
        <f>OR(AND(IF(metadata!P148="",FALSE,TRUE),OR(EXACT(metadata!P148,"not applicable"),EXACT(metadata!P148,"missing: not collected"),EXACT(metadata!P148,"missing: not provided"),EXACT(metadata!P148,"missing: restricted access"))),IF(metadata!P148="",FALSE,IF(ISERROR(INT(metadata!P148)),FALSE,INT(metadata!P148)=metadata!P148)))</f>
        <v>0</v>
      </c>
      <c r="AS148" t="b">
        <f>AND(IF(metadata!Q148="",FALSE,TRUE),EXACT(metadata!Q148,"Not applicable"))</f>
        <v>0</v>
      </c>
      <c r="AT148" t="b">
        <f>OR(AND(IF(metadata!R148="",FALSE,TRUE),OR(EXACT(metadata!R148,"not applicable"),EXACT(metadata!R148,"missing: not collected"),EXACT(metadata!R148,"missing: not provided"),EXACT(metadata!R148,"missing: restricted access"))),AND(IF(metadata!R148="",FALSE,ISNUMBER(VALUE(metadata!R148))),metadata!R148&gt;0))</f>
        <v>0</v>
      </c>
      <c r="AU148" t="b">
        <f>AND(IF(metadata!S148="",FALSE,TRUE),EXACT(metadata!S148,"missing: not provided"))</f>
        <v>0</v>
      </c>
    </row>
    <row r="149" spans="1:47" x14ac:dyDescent="0.2">
      <c r="A149" s="5" t="str">
        <f ca="1">IF(B149=" "," ",HYPERLINK(CONCATENATE("#metadata!",ADDRESS(INDEX($Y$2:$Y$1001,MATCH(ROWS($W$2:W149),$W$2:$W$1001,0),0),1)),INDEX($AB$2:$AB$1001,MATCH(ROWS($W$2:W149),$W$2:$W$1001,0),0)))</f>
        <v xml:space="preserve"> </v>
      </c>
      <c r="B149" s="4" t="str">
        <f ca="1">IF(OR(INDEX($X$2:$X$1001,MATCH(ROWS($W$2:W149),$W$2:$W$1001,0),1)&gt;=100000,INDEX($AD$1005:$AU$1005,1,MATCH(COLUMNS($AD$1006:AD1006),$AD$1006:$AU$1006,0))&gt;=100000), " ",IF(INDEX($AD$2:$AU$1001,MATCH(ROWS($W$2:W149),$W$2:$W$1001,0),MATCH(COLUMNS($AD$1006:AD1006),$AD$1006:$AU$1006,0)), HYPERLINK("#",""), HYPERLINK(CONCATENATE("#metadata!", ADDRESS(INDEX($Y$2:$Y$1001,MATCH(ROWS($W$2:W149),$W$2:$W$1001,0),0), INDEX($AD$1004:$AU$1004,1,MATCH(COLUMNS($AD$1006:AD1006),$AD$1006:$AU$1006,0)))),"Fix")))</f>
        <v xml:space="preserve"> </v>
      </c>
      <c r="C149" s="4" t="str">
        <f ca="1">IF(OR(INDEX($X$2:$X$1001,MATCH(ROWS($W$2:W149),$W$2:$W$1001,0),1)&gt;=100000,INDEX($AD$1005:$AU$1005,1,MATCH(COLUMNS($AD$1006:AE1006),$AD$1006:$AU$1006,0))&gt;=100000), " ",IF(INDEX($AD$2:$AU$1001,MATCH(ROWS($W$2:W149),$W$2:$W$1001,0),MATCH(COLUMNS($AD$1006:AE1006),$AD$1006:$AU$1006,0)), HYPERLINK("#",""), HYPERLINK(CONCATENATE("#metadata!", ADDRESS(INDEX($Y$2:$Y$1001,MATCH(ROWS($W$2:W149),$W$2:$W$1001,0),0), INDEX($AD$1004:$AU$1004,1,MATCH(COLUMNS($AD$1006:AE1006),$AD$1006:$AU$1006,0)))),"Fix")))</f>
        <v xml:space="preserve"> </v>
      </c>
      <c r="D149" s="4" t="str">
        <f ca="1">IF(OR(INDEX($X$2:$X$1001,MATCH(ROWS($W$2:W149),$W$2:$W$1001,0),1)&gt;=100000,INDEX($AD$1005:$AU$1005,1,MATCH(COLUMNS($AD$1006:AF1006),$AD$1006:$AU$1006,0))&gt;=100000), " ",IF(INDEX($AD$2:$AU$1001,MATCH(ROWS($W$2:W149),$W$2:$W$1001,0),MATCH(COLUMNS($AD$1006:AF1006),$AD$1006:$AU$1006,0)), HYPERLINK("#",""), HYPERLINK(CONCATENATE("#metadata!", ADDRESS(INDEX($Y$2:$Y$1001,MATCH(ROWS($W$2:W149),$W$2:$W$1001,0),0), INDEX($AD$1004:$AU$1004,1,MATCH(COLUMNS($AD$1006:AF1006),$AD$1006:$AU$1006,0)))),"Fix")))</f>
        <v xml:space="preserve"> </v>
      </c>
      <c r="E149" s="4" t="str">
        <f ca="1">IF(OR(INDEX($X$2:$X$1001,MATCH(ROWS($W$2:W149),$W$2:$W$1001,0),1)&gt;=100000,INDEX($AD$1005:$AU$1005,1,MATCH(COLUMNS($AD$1006:AG1006),$AD$1006:$AU$1006,0))&gt;=100000), " ",IF(INDEX($AD$2:$AU$1001,MATCH(ROWS($W$2:W149),$W$2:$W$1001,0),MATCH(COLUMNS($AD$1006:AG1006),$AD$1006:$AU$1006,0)), HYPERLINK("#",""), HYPERLINK(CONCATENATE("#metadata!", ADDRESS(INDEX($Y$2:$Y$1001,MATCH(ROWS($W$2:W149),$W$2:$W$1001,0),0), INDEX($AD$1004:$AU$1004,1,MATCH(COLUMNS($AD$1006:AG1006),$AD$1006:$AU$1006,0)))),"Fix")))</f>
        <v xml:space="preserve"> </v>
      </c>
      <c r="F149" s="4" t="str">
        <f ca="1">IF(OR(INDEX($X$2:$X$1001,MATCH(ROWS($W$2:W149),$W$2:$W$1001,0),1)&gt;=100000,INDEX($AD$1005:$AU$1005,1,MATCH(COLUMNS($AD$1006:AH1006),$AD$1006:$AU$1006,0))&gt;=100000), " ",IF(INDEX($AD$2:$AU$1001,MATCH(ROWS($W$2:W149),$W$2:$W$1001,0),MATCH(COLUMNS($AD$1006:AH1006),$AD$1006:$AU$1006,0)), HYPERLINK("#",""), HYPERLINK(CONCATENATE("#metadata!", ADDRESS(INDEX($Y$2:$Y$1001,MATCH(ROWS($W$2:W149),$W$2:$W$1001,0),0), INDEX($AD$1004:$AU$1004,1,MATCH(COLUMNS($AD$1006:AH1006),$AD$1006:$AU$1006,0)))),"Fix")))</f>
        <v xml:space="preserve"> </v>
      </c>
      <c r="G149" s="4" t="str">
        <f ca="1">IF(OR(INDEX($X$2:$X$1001,MATCH(ROWS($W$2:W149),$W$2:$W$1001,0),1)&gt;=100000,INDEX($AD$1005:$AU$1005,1,MATCH(COLUMNS($AD$1006:AI1006),$AD$1006:$AU$1006,0))&gt;=100000), " ",IF(INDEX($AD$2:$AU$1001,MATCH(ROWS($W$2:W149),$W$2:$W$1001,0),MATCH(COLUMNS($AD$1006:AI1006),$AD$1006:$AU$1006,0)), HYPERLINK("#",""), HYPERLINK(CONCATENATE("#metadata!", ADDRESS(INDEX($Y$2:$Y$1001,MATCH(ROWS($W$2:W149),$W$2:$W$1001,0),0), INDEX($AD$1004:$AU$1004,1,MATCH(COLUMNS($AD$1006:AI1006),$AD$1006:$AU$1006,0)))),"Fix")))</f>
        <v xml:space="preserve"> </v>
      </c>
      <c r="H149" s="4" t="str">
        <f ca="1">IF(OR(INDEX($X$2:$X$1001,MATCH(ROWS($W$2:W149),$W$2:$W$1001,0),1)&gt;=100000,INDEX($AD$1005:$AU$1005,1,MATCH(COLUMNS($AD$1006:AJ1006),$AD$1006:$AU$1006,0))&gt;=100000), " ",IF(INDEX($AD$2:$AU$1001,MATCH(ROWS($W$2:W149),$W$2:$W$1001,0),MATCH(COLUMNS($AD$1006:AJ1006),$AD$1006:$AU$1006,0)), HYPERLINK("#",""), HYPERLINK(CONCATENATE("#metadata!", ADDRESS(INDEX($Y$2:$Y$1001,MATCH(ROWS($W$2:W149),$W$2:$W$1001,0),0), INDEX($AD$1004:$AU$1004,1,MATCH(COLUMNS($AD$1006:AJ1006),$AD$1006:$AU$1006,0)))),"Fix")))</f>
        <v xml:space="preserve"> </v>
      </c>
      <c r="I149" s="4" t="str">
        <f ca="1">IF(OR(INDEX($X$2:$X$1001,MATCH(ROWS($W$2:W149),$W$2:$W$1001,0),1)&gt;=100000,INDEX($AD$1005:$AU$1005,1,MATCH(COLUMNS($AD$1006:AK1006),$AD$1006:$AU$1006,0))&gt;=100000), " ",IF(INDEX($AD$2:$AU$1001,MATCH(ROWS($W$2:W149),$W$2:$W$1001,0),MATCH(COLUMNS($AD$1006:AK1006),$AD$1006:$AU$1006,0)), HYPERLINK("#",""), HYPERLINK(CONCATENATE("#metadata!", ADDRESS(INDEX($Y$2:$Y$1001,MATCH(ROWS($W$2:W149),$W$2:$W$1001,0),0), INDEX($AD$1004:$AU$1004,1,MATCH(COLUMNS($AD$1006:AK1006),$AD$1006:$AU$1006,0)))),"Fix")))</f>
        <v xml:space="preserve"> </v>
      </c>
      <c r="J149" s="4" t="str">
        <f ca="1">IF(OR(INDEX($X$2:$X$1001,MATCH(ROWS($W$2:W149),$W$2:$W$1001,0),1)&gt;=100000,INDEX($AD$1005:$AU$1005,1,MATCH(COLUMNS($AD$1006:AL1006),$AD$1006:$AU$1006,0))&gt;=100000), " ",IF(INDEX($AD$2:$AU$1001,MATCH(ROWS($W$2:W149),$W$2:$W$1001,0),MATCH(COLUMNS($AD$1006:AL1006),$AD$1006:$AU$1006,0)), HYPERLINK("#",""), HYPERLINK(CONCATENATE("#metadata!", ADDRESS(INDEX($Y$2:$Y$1001,MATCH(ROWS($W$2:W149),$W$2:$W$1001,0),0), INDEX($AD$1004:$AU$1004,1,MATCH(COLUMNS($AD$1006:AL1006),$AD$1006:$AU$1006,0)))),"Fix")))</f>
        <v xml:space="preserve"> </v>
      </c>
      <c r="K149" s="4" t="str">
        <f ca="1">IF(OR(INDEX($X$2:$X$1001,MATCH(ROWS($W$2:W149),$W$2:$W$1001,0),1)&gt;=100000,INDEX($AD$1005:$AU$1005,1,MATCH(COLUMNS($AD$1006:AM1006),$AD$1006:$AU$1006,0))&gt;=100000), " ",IF(INDEX($AD$2:$AU$1001,MATCH(ROWS($W$2:W149),$W$2:$W$1001,0),MATCH(COLUMNS($AD$1006:AM1006),$AD$1006:$AU$1006,0)), HYPERLINK("#",""), HYPERLINK(CONCATENATE("#metadata!", ADDRESS(INDEX($Y$2:$Y$1001,MATCH(ROWS($W$2:W149),$W$2:$W$1001,0),0), INDEX($AD$1004:$AU$1004,1,MATCH(COLUMNS($AD$1006:AM1006),$AD$1006:$AU$1006,0)))),"Fix")))</f>
        <v xml:space="preserve"> </v>
      </c>
      <c r="L149" s="4" t="str">
        <f ca="1">IF(OR(INDEX($X$2:$X$1001,MATCH(ROWS($W$2:W149),$W$2:$W$1001,0),1)&gt;=100000,INDEX($AD$1005:$AU$1005,1,MATCH(COLUMNS($AD$1006:AN1006),$AD$1006:$AU$1006,0))&gt;=100000), " ",IF(INDEX($AD$2:$AU$1001,MATCH(ROWS($W$2:W149),$W$2:$W$1001,0),MATCH(COLUMNS($AD$1006:AN1006),$AD$1006:$AU$1006,0)), HYPERLINK("#",""), HYPERLINK(CONCATENATE("#metadata!", ADDRESS(INDEX($Y$2:$Y$1001,MATCH(ROWS($W$2:W149),$W$2:$W$1001,0),0), INDEX($AD$1004:$AU$1004,1,MATCH(COLUMNS($AD$1006:AN1006),$AD$1006:$AU$1006,0)))),"Fix")))</f>
        <v xml:space="preserve"> </v>
      </c>
      <c r="M149" s="4" t="str">
        <f ca="1">IF(OR(INDEX($X$2:$X$1001,MATCH(ROWS($W$2:W149),$W$2:$W$1001,0),1)&gt;=100000,INDEX($AD$1005:$AU$1005,1,MATCH(COLUMNS($AD$1006:AO1006),$AD$1006:$AU$1006,0))&gt;=100000), " ",IF(INDEX($AD$2:$AU$1001,MATCH(ROWS($W$2:W149),$W$2:$W$1001,0),MATCH(COLUMNS($AD$1006:AO1006),$AD$1006:$AU$1006,0)), HYPERLINK("#",""), HYPERLINK(CONCATENATE("#metadata!", ADDRESS(INDEX($Y$2:$Y$1001,MATCH(ROWS($W$2:W149),$W$2:$W$1001,0),0), INDEX($AD$1004:$AU$1004,1,MATCH(COLUMNS($AD$1006:AO1006),$AD$1006:$AU$1006,0)))),"Fix")))</f>
        <v xml:space="preserve"> </v>
      </c>
      <c r="N149" s="4" t="str">
        <f ca="1">IF(OR(INDEX($X$2:$X$1001,MATCH(ROWS($W$2:W149),$W$2:$W$1001,0),1)&gt;=100000,INDEX($AD$1005:$AU$1005,1,MATCH(COLUMNS($AD$1006:AP1006),$AD$1006:$AU$1006,0))&gt;=100000), " ",IF(INDEX($AD$2:$AU$1001,MATCH(ROWS($W$2:W149),$W$2:$W$1001,0),MATCH(COLUMNS($AD$1006:AP1006),$AD$1006:$AU$1006,0)), HYPERLINK("#",""), HYPERLINK(CONCATENATE("#metadata!", ADDRESS(INDEX($Y$2:$Y$1001,MATCH(ROWS($W$2:W149),$W$2:$W$1001,0),0), INDEX($AD$1004:$AU$1004,1,MATCH(COLUMNS($AD$1006:AP1006),$AD$1006:$AU$1006,0)))),"Fix")))</f>
        <v xml:space="preserve"> </v>
      </c>
      <c r="O149" s="4" t="str">
        <f ca="1">IF(OR(INDEX($X$2:$X$1001,MATCH(ROWS($W$2:W149),$W$2:$W$1001,0),1)&gt;=100000,INDEX($AD$1005:$AU$1005,1,MATCH(COLUMNS($AD$1006:AQ1006),$AD$1006:$AU$1006,0))&gt;=100000), " ",IF(INDEX($AD$2:$AU$1001,MATCH(ROWS($W$2:W149),$W$2:$W$1001,0),MATCH(COLUMNS($AD$1006:AQ1006),$AD$1006:$AU$1006,0)), HYPERLINK("#",""), HYPERLINK(CONCATENATE("#metadata!", ADDRESS(INDEX($Y$2:$Y$1001,MATCH(ROWS($W$2:W149),$W$2:$W$1001,0),0), INDEX($AD$1004:$AU$1004,1,MATCH(COLUMNS($AD$1006:AQ1006),$AD$1006:$AU$1006,0)))),"Fix")))</f>
        <v xml:space="preserve"> </v>
      </c>
      <c r="P149" s="4" t="str">
        <f ca="1">IF(OR(INDEX($X$2:$X$1001,MATCH(ROWS($W$2:W149),$W$2:$W$1001,0),1)&gt;=100000,INDEX($AD$1005:$AU$1005,1,MATCH(COLUMNS($AD$1006:AR1006),$AD$1006:$AU$1006,0))&gt;=100000), " ",IF(INDEX($AD$2:$AU$1001,MATCH(ROWS($W$2:W149),$W$2:$W$1001,0),MATCH(COLUMNS($AD$1006:AR1006),$AD$1006:$AU$1006,0)), HYPERLINK("#",""), HYPERLINK(CONCATENATE("#metadata!", ADDRESS(INDEX($Y$2:$Y$1001,MATCH(ROWS($W$2:W149),$W$2:$W$1001,0),0), INDEX($AD$1004:$AU$1004,1,MATCH(COLUMNS($AD$1006:AR1006),$AD$1006:$AU$1006,0)))),"Fix")))</f>
        <v xml:space="preserve"> </v>
      </c>
      <c r="Q149" s="4" t="str">
        <f ca="1">IF(OR(INDEX($X$2:$X$1001,MATCH(ROWS($W$2:W149),$W$2:$W$1001,0),1)&gt;=100000,INDEX($AD$1005:$AU$1005,1,MATCH(COLUMNS($AD$1006:AS1006),$AD$1006:$AU$1006,0))&gt;=100000), " ",IF(INDEX($AD$2:$AU$1001,MATCH(ROWS($W$2:W149),$W$2:$W$1001,0),MATCH(COLUMNS($AD$1006:AS1006),$AD$1006:$AU$1006,0)), HYPERLINK("#",""), HYPERLINK(CONCATENATE("#metadata!", ADDRESS(INDEX($Y$2:$Y$1001,MATCH(ROWS($W$2:W149),$W$2:$W$1001,0),0), INDEX($AD$1004:$AU$1004,1,MATCH(COLUMNS($AD$1006:AS1006),$AD$1006:$AU$1006,0)))),"Fix")))</f>
        <v xml:space="preserve"> </v>
      </c>
      <c r="R149" s="4" t="str">
        <f ca="1">IF(OR(INDEX($X$2:$X$1001,MATCH(ROWS($W$2:W149),$W$2:$W$1001,0),1)&gt;=100000,INDEX($AD$1005:$AU$1005,1,MATCH(COLUMNS($AD$1006:AT1006),$AD$1006:$AU$1006,0))&gt;=100000), " ",IF(INDEX($AD$2:$AU$1001,MATCH(ROWS($W$2:W149),$W$2:$W$1001,0),MATCH(COLUMNS($AD$1006:AT1006),$AD$1006:$AU$1006,0)), HYPERLINK("#",""), HYPERLINK(CONCATENATE("#metadata!", ADDRESS(INDEX($Y$2:$Y$1001,MATCH(ROWS($W$2:W149),$W$2:$W$1001,0),0), INDEX($AD$1004:$AU$1004,1,MATCH(COLUMNS($AD$1006:AT1006),$AD$1006:$AU$1006,0)))),"Fix")))</f>
        <v xml:space="preserve"> </v>
      </c>
      <c r="S149" s="4" t="str">
        <f ca="1">IF(OR(INDEX($X$2:$X$1001,MATCH(ROWS($W$2:W149),$W$2:$W$1001,0),1)&gt;=100000,INDEX($AD$1005:$AU$1005,1,MATCH(COLUMNS($AD$1006:AU1006),$AD$1006:$AU$1006,0))&gt;=100000), " ",IF(INDEX($AD$2:$AU$1001,MATCH(ROWS($W$2:W149),$W$2:$W$1001,0),MATCH(COLUMNS($AD$1006:AU1006),$AD$1006:$AU$1006,0)), HYPERLINK("#",""), HYPERLINK(CONCATENATE("#metadata!", ADDRESS(INDEX($Y$2:$Y$1001,MATCH(ROWS($W$2:W149),$W$2:$W$1001,0),0), INDEX($AD$1004:$AU$1004,1,MATCH(COLUMNS($AD$1006:AU1006),$AD$1006:$AU$1006,0)))),"Fix")))</f>
        <v xml:space="preserve"> </v>
      </c>
      <c r="W149">
        <v>148</v>
      </c>
      <c r="X149">
        <v>100149</v>
      </c>
      <c r="Y149">
        <v>149</v>
      </c>
      <c r="Z149" t="b">
        <f t="shared" si="2"/>
        <v>1</v>
      </c>
      <c r="AA149" t="b">
        <f>COUNTBLANK(metadata!B149:S149)=COLUMNS(metadata!B149:S149)</f>
        <v>1</v>
      </c>
      <c r="AB149" t="str">
        <v/>
      </c>
      <c r="AD149" t="b">
        <f ca="1">AND(IF(metadata!B149="",FALSE,TRUE),COUNTIF(metadata!B:B, metadata!B149) = 1,NOT(ISERROR(SUMPRODUCT(SEARCH(MID(metadata!B149,ROW(INDIRECT("1:"&amp;LEN(metadata!B149))), 1),"0123456789abcdefghijklmnopqrstuvwxyzABCDEFGHIJKLMNOPQRSTUVWXYZ.")))))</f>
        <v>0</v>
      </c>
      <c r="AE149" t="b">
        <f>OR(AND(IF(metadata!C149="",FALSE,TRUE),OR(EXACT(metadata!C149,"not applicable"),EXACT(metadata!C149,"missing: not collected"),EXACT(metadata!C149,"missing: not provided"),EXACT(metadata!C149,"missing: restricted access"))),AND(IF(metadata!C149="",FALSE,ISNUMBER(VALUE(metadata!C149))),metadata!C149&gt;0))</f>
        <v>0</v>
      </c>
      <c r="AF149" t="b">
        <f>AND(IF(metadata!D149="",FALSE,TRUE),EXACT(metadata!D149,"missing: not provided"))</f>
        <v>0</v>
      </c>
      <c r="AG149" t="b">
        <f>AND(IF(metadata!E149="",FALSE,TRUE),EXACT(metadata!E149,"Host-associated"))</f>
        <v>0</v>
      </c>
      <c r="AH149" t="b">
        <f>AND(IF(metadata!F149="",FALSE,TRUE),OR(EXACT(metadata!F149,"Animal"),EXACT(metadata!F149,"Fungus"),EXACT(metadata!F149,"Plant")))</f>
        <v>0</v>
      </c>
      <c r="AI149" t="b">
        <f>AND(IF(metadata!G149="",FALSE,TRUE),OR(EXACT(metadata!G149,"Plant secretion"),EXACT(metadata!G149,"Plant rhizosphere"),EXACT(metadata!G149,"Plant surface"),EXACT(metadata!G149,"Plant corpus"),EXACT(metadata!G149,"Fungus surface"),EXACT(metadata!G149,"Fungus corpus"),EXACT(metadata!G149,"Animal surface"),EXACT(metadata!G149,"Animal proximal gut"),EXACT(metadata!G149,"Animal corpus"),EXACT(metadata!G149,"Animal distal gut"),EXACT(metadata!G149,"Animal secretion")))</f>
        <v>0</v>
      </c>
      <c r="AJ149" t="b">
        <f>OR(AND(IF(metadata!H149="",FALSE,TRUE),OR(EXACT(metadata!H149,"missing: not collected"),EXACT(metadata!H149,"missing: not provided"),EXACT(metadata!H149,"missing: restricted access"))),AND(IF(metadata!H149="",FALSE,TRUE),OR(EXACT(metadata!H149,"organism-associated habitat"),EXACT(metadata!H149,"plant-associated habitat"),EXACT(metadata!H149,"animal-associated habitat"),EXACT(metadata!H149,"insecta-associated habitat"),EXACT(metadata!H149,"mammalia-associated habitat"),EXACT(metadata!H149,"human-associated habitat"),EXACT(metadata!H149,"livestock-associated habitat"))))</f>
        <v>0</v>
      </c>
      <c r="AK149" t="b">
        <f>AND(IF(metadata!I149="",FALSE,TRUE),EXACT(metadata!I149,"host-associated"))</f>
        <v>0</v>
      </c>
      <c r="AL149" t="b">
        <f>OR(AND(IF(metadata!J149="",FALSE,TRUE),OR(EXACT(metadata!J149,"not applicable"),EXACT(metadata!J149,"missing: not collected"),EXACT(metadata!J149,"missing: not provided"),EXACT(metadata!J149,"missing: restricted access"))),AND(IF(metadata!J149="",FALSE,ISNUMBER(VALUE(metadata!J149))),metadata!J149&gt;0))</f>
        <v>0</v>
      </c>
      <c r="AM149" t="b">
        <f>AND(IF(metadata!K149="",FALSE,TRUE),EXACT(metadata!K149,"missing: not provided"))</f>
        <v>0</v>
      </c>
      <c r="AN149" t="b">
        <f>IF(metadata!L149="",FALSE,TRUE)</f>
        <v>0</v>
      </c>
      <c r="AO149" t="b">
        <f>IF(metadata!M149="",FALSE,TRUE)</f>
        <v>0</v>
      </c>
      <c r="AP149" t="b">
        <f>OR(AND(IF(metadata!N149="",FALSE,TRUE),OR(EXACT(metadata!N149,"not applicable"),EXACT(metadata!N149,"missing: not collected"),EXACT(metadata!N149,"missing: not provided"))),AND(IF(metadata!N149="",FALSE,IF(ISERROR(INT(metadata!N149)),FALSE,INT(metadata!N149)=metadata!N149)),metadata!N149&gt;0))</f>
        <v>0</v>
      </c>
      <c r="AQ149" t="b">
        <f>AND(IF(metadata!O149="",FALSE,TRUE),EXACT(metadata!O149,"Not applicable"))</f>
        <v>0</v>
      </c>
      <c r="AR149" t="b">
        <f>OR(AND(IF(metadata!P149="",FALSE,TRUE),OR(EXACT(metadata!P149,"not applicable"),EXACT(metadata!P149,"missing: not collected"),EXACT(metadata!P149,"missing: not provided"),EXACT(metadata!P149,"missing: restricted access"))),IF(metadata!P149="",FALSE,IF(ISERROR(INT(metadata!P149)),FALSE,INT(metadata!P149)=metadata!P149)))</f>
        <v>0</v>
      </c>
      <c r="AS149" t="b">
        <f>AND(IF(metadata!Q149="",FALSE,TRUE),EXACT(metadata!Q149,"Not applicable"))</f>
        <v>0</v>
      </c>
      <c r="AT149" t="b">
        <f>OR(AND(IF(metadata!R149="",FALSE,TRUE),OR(EXACT(metadata!R149,"not applicable"),EXACT(metadata!R149,"missing: not collected"),EXACT(metadata!R149,"missing: not provided"),EXACT(metadata!R149,"missing: restricted access"))),AND(IF(metadata!R149="",FALSE,ISNUMBER(VALUE(metadata!R149))),metadata!R149&gt;0))</f>
        <v>0</v>
      </c>
      <c r="AU149" t="b">
        <f>AND(IF(metadata!S149="",FALSE,TRUE),EXACT(metadata!S149,"missing: not provided"))</f>
        <v>0</v>
      </c>
    </row>
    <row r="150" spans="1:47" x14ac:dyDescent="0.2">
      <c r="A150" s="5" t="str">
        <f ca="1">IF(B150=" "," ",HYPERLINK(CONCATENATE("#metadata!",ADDRESS(INDEX($Y$2:$Y$1001,MATCH(ROWS($W$2:W150),$W$2:$W$1001,0),0),1)),INDEX($AB$2:$AB$1001,MATCH(ROWS($W$2:W150),$W$2:$W$1001,0),0)))</f>
        <v xml:space="preserve"> </v>
      </c>
      <c r="B150" s="4" t="str">
        <f ca="1">IF(OR(INDEX($X$2:$X$1001,MATCH(ROWS($W$2:W150),$W$2:$W$1001,0),1)&gt;=100000,INDEX($AD$1005:$AU$1005,1,MATCH(COLUMNS($AD$1006:AD1006),$AD$1006:$AU$1006,0))&gt;=100000), " ",IF(INDEX($AD$2:$AU$1001,MATCH(ROWS($W$2:W150),$W$2:$W$1001,0),MATCH(COLUMNS($AD$1006:AD1006),$AD$1006:$AU$1006,0)), HYPERLINK("#",""), HYPERLINK(CONCATENATE("#metadata!", ADDRESS(INDEX($Y$2:$Y$1001,MATCH(ROWS($W$2:W150),$W$2:$W$1001,0),0), INDEX($AD$1004:$AU$1004,1,MATCH(COLUMNS($AD$1006:AD1006),$AD$1006:$AU$1006,0)))),"Fix")))</f>
        <v xml:space="preserve"> </v>
      </c>
      <c r="C150" s="4" t="str">
        <f ca="1">IF(OR(INDEX($X$2:$X$1001,MATCH(ROWS($W$2:W150),$W$2:$W$1001,0),1)&gt;=100000,INDEX($AD$1005:$AU$1005,1,MATCH(COLUMNS($AD$1006:AE1006),$AD$1006:$AU$1006,0))&gt;=100000), " ",IF(INDEX($AD$2:$AU$1001,MATCH(ROWS($W$2:W150),$W$2:$W$1001,0),MATCH(COLUMNS($AD$1006:AE1006),$AD$1006:$AU$1006,0)), HYPERLINK("#",""), HYPERLINK(CONCATENATE("#metadata!", ADDRESS(INDEX($Y$2:$Y$1001,MATCH(ROWS($W$2:W150),$W$2:$W$1001,0),0), INDEX($AD$1004:$AU$1004,1,MATCH(COLUMNS($AD$1006:AE1006),$AD$1006:$AU$1006,0)))),"Fix")))</f>
        <v xml:space="preserve"> </v>
      </c>
      <c r="D150" s="4" t="str">
        <f ca="1">IF(OR(INDEX($X$2:$X$1001,MATCH(ROWS($W$2:W150),$W$2:$W$1001,0),1)&gt;=100000,INDEX($AD$1005:$AU$1005,1,MATCH(COLUMNS($AD$1006:AF1006),$AD$1006:$AU$1006,0))&gt;=100000), " ",IF(INDEX($AD$2:$AU$1001,MATCH(ROWS($W$2:W150),$W$2:$W$1001,0),MATCH(COLUMNS($AD$1006:AF1006),$AD$1006:$AU$1006,0)), HYPERLINK("#",""), HYPERLINK(CONCATENATE("#metadata!", ADDRESS(INDEX($Y$2:$Y$1001,MATCH(ROWS($W$2:W150),$W$2:$W$1001,0),0), INDEX($AD$1004:$AU$1004,1,MATCH(COLUMNS($AD$1006:AF1006),$AD$1006:$AU$1006,0)))),"Fix")))</f>
        <v xml:space="preserve"> </v>
      </c>
      <c r="E150" s="4" t="str">
        <f ca="1">IF(OR(INDEX($X$2:$X$1001,MATCH(ROWS($W$2:W150),$W$2:$W$1001,0),1)&gt;=100000,INDEX($AD$1005:$AU$1005,1,MATCH(COLUMNS($AD$1006:AG1006),$AD$1006:$AU$1006,0))&gt;=100000), " ",IF(INDEX($AD$2:$AU$1001,MATCH(ROWS($W$2:W150),$W$2:$W$1001,0),MATCH(COLUMNS($AD$1006:AG1006),$AD$1006:$AU$1006,0)), HYPERLINK("#",""), HYPERLINK(CONCATENATE("#metadata!", ADDRESS(INDEX($Y$2:$Y$1001,MATCH(ROWS($W$2:W150),$W$2:$W$1001,0),0), INDEX($AD$1004:$AU$1004,1,MATCH(COLUMNS($AD$1006:AG1006),$AD$1006:$AU$1006,0)))),"Fix")))</f>
        <v xml:space="preserve"> </v>
      </c>
      <c r="F150" s="4" t="str">
        <f ca="1">IF(OR(INDEX($X$2:$X$1001,MATCH(ROWS($W$2:W150),$W$2:$W$1001,0),1)&gt;=100000,INDEX($AD$1005:$AU$1005,1,MATCH(COLUMNS($AD$1006:AH1006),$AD$1006:$AU$1006,0))&gt;=100000), " ",IF(INDEX($AD$2:$AU$1001,MATCH(ROWS($W$2:W150),$W$2:$W$1001,0),MATCH(COLUMNS($AD$1006:AH1006),$AD$1006:$AU$1006,0)), HYPERLINK("#",""), HYPERLINK(CONCATENATE("#metadata!", ADDRESS(INDEX($Y$2:$Y$1001,MATCH(ROWS($W$2:W150),$W$2:$W$1001,0),0), INDEX($AD$1004:$AU$1004,1,MATCH(COLUMNS($AD$1006:AH1006),$AD$1006:$AU$1006,0)))),"Fix")))</f>
        <v xml:space="preserve"> </v>
      </c>
      <c r="G150" s="4" t="str">
        <f ca="1">IF(OR(INDEX($X$2:$X$1001,MATCH(ROWS($W$2:W150),$W$2:$W$1001,0),1)&gt;=100000,INDEX($AD$1005:$AU$1005,1,MATCH(COLUMNS($AD$1006:AI1006),$AD$1006:$AU$1006,0))&gt;=100000), " ",IF(INDEX($AD$2:$AU$1001,MATCH(ROWS($W$2:W150),$W$2:$W$1001,0),MATCH(COLUMNS($AD$1006:AI1006),$AD$1006:$AU$1006,0)), HYPERLINK("#",""), HYPERLINK(CONCATENATE("#metadata!", ADDRESS(INDEX($Y$2:$Y$1001,MATCH(ROWS($W$2:W150),$W$2:$W$1001,0),0), INDEX($AD$1004:$AU$1004,1,MATCH(COLUMNS($AD$1006:AI1006),$AD$1006:$AU$1006,0)))),"Fix")))</f>
        <v xml:space="preserve"> </v>
      </c>
      <c r="H150" s="4" t="str">
        <f ca="1">IF(OR(INDEX($X$2:$X$1001,MATCH(ROWS($W$2:W150),$W$2:$W$1001,0),1)&gt;=100000,INDEX($AD$1005:$AU$1005,1,MATCH(COLUMNS($AD$1006:AJ1006),$AD$1006:$AU$1006,0))&gt;=100000), " ",IF(INDEX($AD$2:$AU$1001,MATCH(ROWS($W$2:W150),$W$2:$W$1001,0),MATCH(COLUMNS($AD$1006:AJ1006),$AD$1006:$AU$1006,0)), HYPERLINK("#",""), HYPERLINK(CONCATENATE("#metadata!", ADDRESS(INDEX($Y$2:$Y$1001,MATCH(ROWS($W$2:W150),$W$2:$W$1001,0),0), INDEX($AD$1004:$AU$1004,1,MATCH(COLUMNS($AD$1006:AJ1006),$AD$1006:$AU$1006,0)))),"Fix")))</f>
        <v xml:space="preserve"> </v>
      </c>
      <c r="I150" s="4" t="str">
        <f ca="1">IF(OR(INDEX($X$2:$X$1001,MATCH(ROWS($W$2:W150),$W$2:$W$1001,0),1)&gt;=100000,INDEX($AD$1005:$AU$1005,1,MATCH(COLUMNS($AD$1006:AK1006),$AD$1006:$AU$1006,0))&gt;=100000), " ",IF(INDEX($AD$2:$AU$1001,MATCH(ROWS($W$2:W150),$W$2:$W$1001,0),MATCH(COLUMNS($AD$1006:AK1006),$AD$1006:$AU$1006,0)), HYPERLINK("#",""), HYPERLINK(CONCATENATE("#metadata!", ADDRESS(INDEX($Y$2:$Y$1001,MATCH(ROWS($W$2:W150),$W$2:$W$1001,0),0), INDEX($AD$1004:$AU$1004,1,MATCH(COLUMNS($AD$1006:AK1006),$AD$1006:$AU$1006,0)))),"Fix")))</f>
        <v xml:space="preserve"> </v>
      </c>
      <c r="J150" s="4" t="str">
        <f ca="1">IF(OR(INDEX($X$2:$X$1001,MATCH(ROWS($W$2:W150),$W$2:$W$1001,0),1)&gt;=100000,INDEX($AD$1005:$AU$1005,1,MATCH(COLUMNS($AD$1006:AL1006),$AD$1006:$AU$1006,0))&gt;=100000), " ",IF(INDEX($AD$2:$AU$1001,MATCH(ROWS($W$2:W150),$W$2:$W$1001,0),MATCH(COLUMNS($AD$1006:AL1006),$AD$1006:$AU$1006,0)), HYPERLINK("#",""), HYPERLINK(CONCATENATE("#metadata!", ADDRESS(INDEX($Y$2:$Y$1001,MATCH(ROWS($W$2:W150),$W$2:$W$1001,0),0), INDEX($AD$1004:$AU$1004,1,MATCH(COLUMNS($AD$1006:AL1006),$AD$1006:$AU$1006,0)))),"Fix")))</f>
        <v xml:space="preserve"> </v>
      </c>
      <c r="K150" s="4" t="str">
        <f ca="1">IF(OR(INDEX($X$2:$X$1001,MATCH(ROWS($W$2:W150),$W$2:$W$1001,0),1)&gt;=100000,INDEX($AD$1005:$AU$1005,1,MATCH(COLUMNS($AD$1006:AM1006),$AD$1006:$AU$1006,0))&gt;=100000), " ",IF(INDEX($AD$2:$AU$1001,MATCH(ROWS($W$2:W150),$W$2:$W$1001,0),MATCH(COLUMNS($AD$1006:AM1006),$AD$1006:$AU$1006,0)), HYPERLINK("#",""), HYPERLINK(CONCATENATE("#metadata!", ADDRESS(INDEX($Y$2:$Y$1001,MATCH(ROWS($W$2:W150),$W$2:$W$1001,0),0), INDEX($AD$1004:$AU$1004,1,MATCH(COLUMNS($AD$1006:AM1006),$AD$1006:$AU$1006,0)))),"Fix")))</f>
        <v xml:space="preserve"> </v>
      </c>
      <c r="L150" s="4" t="str">
        <f ca="1">IF(OR(INDEX($X$2:$X$1001,MATCH(ROWS($W$2:W150),$W$2:$W$1001,0),1)&gt;=100000,INDEX($AD$1005:$AU$1005,1,MATCH(COLUMNS($AD$1006:AN1006),$AD$1006:$AU$1006,0))&gt;=100000), " ",IF(INDEX($AD$2:$AU$1001,MATCH(ROWS($W$2:W150),$W$2:$W$1001,0),MATCH(COLUMNS($AD$1006:AN1006),$AD$1006:$AU$1006,0)), HYPERLINK("#",""), HYPERLINK(CONCATENATE("#metadata!", ADDRESS(INDEX($Y$2:$Y$1001,MATCH(ROWS($W$2:W150),$W$2:$W$1001,0),0), INDEX($AD$1004:$AU$1004,1,MATCH(COLUMNS($AD$1006:AN1006),$AD$1006:$AU$1006,0)))),"Fix")))</f>
        <v xml:space="preserve"> </v>
      </c>
      <c r="M150" s="4" t="str">
        <f ca="1">IF(OR(INDEX($X$2:$X$1001,MATCH(ROWS($W$2:W150),$W$2:$W$1001,0),1)&gt;=100000,INDEX($AD$1005:$AU$1005,1,MATCH(COLUMNS($AD$1006:AO1006),$AD$1006:$AU$1006,0))&gt;=100000), " ",IF(INDEX($AD$2:$AU$1001,MATCH(ROWS($W$2:W150),$W$2:$W$1001,0),MATCH(COLUMNS($AD$1006:AO1006),$AD$1006:$AU$1006,0)), HYPERLINK("#",""), HYPERLINK(CONCATENATE("#metadata!", ADDRESS(INDEX($Y$2:$Y$1001,MATCH(ROWS($W$2:W150),$W$2:$W$1001,0),0), INDEX($AD$1004:$AU$1004,1,MATCH(COLUMNS($AD$1006:AO1006),$AD$1006:$AU$1006,0)))),"Fix")))</f>
        <v xml:space="preserve"> </v>
      </c>
      <c r="N150" s="4" t="str">
        <f ca="1">IF(OR(INDEX($X$2:$X$1001,MATCH(ROWS($W$2:W150),$W$2:$W$1001,0),1)&gt;=100000,INDEX($AD$1005:$AU$1005,1,MATCH(COLUMNS($AD$1006:AP1006),$AD$1006:$AU$1006,0))&gt;=100000), " ",IF(INDEX($AD$2:$AU$1001,MATCH(ROWS($W$2:W150),$W$2:$W$1001,0),MATCH(COLUMNS($AD$1006:AP1006),$AD$1006:$AU$1006,0)), HYPERLINK("#",""), HYPERLINK(CONCATENATE("#metadata!", ADDRESS(INDEX($Y$2:$Y$1001,MATCH(ROWS($W$2:W150),$W$2:$W$1001,0),0), INDEX($AD$1004:$AU$1004,1,MATCH(COLUMNS($AD$1006:AP1006),$AD$1006:$AU$1006,0)))),"Fix")))</f>
        <v xml:space="preserve"> </v>
      </c>
      <c r="O150" s="4" t="str">
        <f ca="1">IF(OR(INDEX($X$2:$X$1001,MATCH(ROWS($W$2:W150),$W$2:$W$1001,0),1)&gt;=100000,INDEX($AD$1005:$AU$1005,1,MATCH(COLUMNS($AD$1006:AQ1006),$AD$1006:$AU$1006,0))&gt;=100000), " ",IF(INDEX($AD$2:$AU$1001,MATCH(ROWS($W$2:W150),$W$2:$W$1001,0),MATCH(COLUMNS($AD$1006:AQ1006),$AD$1006:$AU$1006,0)), HYPERLINK("#",""), HYPERLINK(CONCATENATE("#metadata!", ADDRESS(INDEX($Y$2:$Y$1001,MATCH(ROWS($W$2:W150),$W$2:$W$1001,0),0), INDEX($AD$1004:$AU$1004,1,MATCH(COLUMNS($AD$1006:AQ1006),$AD$1006:$AU$1006,0)))),"Fix")))</f>
        <v xml:space="preserve"> </v>
      </c>
      <c r="P150" s="4" t="str">
        <f ca="1">IF(OR(INDEX($X$2:$X$1001,MATCH(ROWS($W$2:W150),$W$2:$W$1001,0),1)&gt;=100000,INDEX($AD$1005:$AU$1005,1,MATCH(COLUMNS($AD$1006:AR1006),$AD$1006:$AU$1006,0))&gt;=100000), " ",IF(INDEX($AD$2:$AU$1001,MATCH(ROWS($W$2:W150),$W$2:$W$1001,0),MATCH(COLUMNS($AD$1006:AR1006),$AD$1006:$AU$1006,0)), HYPERLINK("#",""), HYPERLINK(CONCATENATE("#metadata!", ADDRESS(INDEX($Y$2:$Y$1001,MATCH(ROWS($W$2:W150),$W$2:$W$1001,0),0), INDEX($AD$1004:$AU$1004,1,MATCH(COLUMNS($AD$1006:AR1006),$AD$1006:$AU$1006,0)))),"Fix")))</f>
        <v xml:space="preserve"> </v>
      </c>
      <c r="Q150" s="4" t="str">
        <f ca="1">IF(OR(INDEX($X$2:$X$1001,MATCH(ROWS($W$2:W150),$W$2:$W$1001,0),1)&gt;=100000,INDEX($AD$1005:$AU$1005,1,MATCH(COLUMNS($AD$1006:AS1006),$AD$1006:$AU$1006,0))&gt;=100000), " ",IF(INDEX($AD$2:$AU$1001,MATCH(ROWS($W$2:W150),$W$2:$W$1001,0),MATCH(COLUMNS($AD$1006:AS1006),$AD$1006:$AU$1006,0)), HYPERLINK("#",""), HYPERLINK(CONCATENATE("#metadata!", ADDRESS(INDEX($Y$2:$Y$1001,MATCH(ROWS($W$2:W150),$W$2:$W$1001,0),0), INDEX($AD$1004:$AU$1004,1,MATCH(COLUMNS($AD$1006:AS1006),$AD$1006:$AU$1006,0)))),"Fix")))</f>
        <v xml:space="preserve"> </v>
      </c>
      <c r="R150" s="4" t="str">
        <f ca="1">IF(OR(INDEX($X$2:$X$1001,MATCH(ROWS($W$2:W150),$W$2:$W$1001,0),1)&gt;=100000,INDEX($AD$1005:$AU$1005,1,MATCH(COLUMNS($AD$1006:AT1006),$AD$1006:$AU$1006,0))&gt;=100000), " ",IF(INDEX($AD$2:$AU$1001,MATCH(ROWS($W$2:W150),$W$2:$W$1001,0),MATCH(COLUMNS($AD$1006:AT1006),$AD$1006:$AU$1006,0)), HYPERLINK("#",""), HYPERLINK(CONCATENATE("#metadata!", ADDRESS(INDEX($Y$2:$Y$1001,MATCH(ROWS($W$2:W150),$W$2:$W$1001,0),0), INDEX($AD$1004:$AU$1004,1,MATCH(COLUMNS($AD$1006:AT1006),$AD$1006:$AU$1006,0)))),"Fix")))</f>
        <v xml:space="preserve"> </v>
      </c>
      <c r="S150" s="4" t="str">
        <f ca="1">IF(OR(INDEX($X$2:$X$1001,MATCH(ROWS($W$2:W150),$W$2:$W$1001,0),1)&gt;=100000,INDEX($AD$1005:$AU$1005,1,MATCH(COLUMNS($AD$1006:AU1006),$AD$1006:$AU$1006,0))&gt;=100000), " ",IF(INDEX($AD$2:$AU$1001,MATCH(ROWS($W$2:W150),$W$2:$W$1001,0),MATCH(COLUMNS($AD$1006:AU1006),$AD$1006:$AU$1006,0)), HYPERLINK("#",""), HYPERLINK(CONCATENATE("#metadata!", ADDRESS(INDEX($Y$2:$Y$1001,MATCH(ROWS($W$2:W150),$W$2:$W$1001,0),0), INDEX($AD$1004:$AU$1004,1,MATCH(COLUMNS($AD$1006:AU1006),$AD$1006:$AU$1006,0)))),"Fix")))</f>
        <v xml:space="preserve"> </v>
      </c>
      <c r="W150">
        <v>149</v>
      </c>
      <c r="X150">
        <v>100150</v>
      </c>
      <c r="Y150">
        <v>150</v>
      </c>
      <c r="Z150" t="b">
        <f t="shared" si="2"/>
        <v>1</v>
      </c>
      <c r="AA150" t="b">
        <f>COUNTBLANK(metadata!B150:S150)=COLUMNS(metadata!B150:S150)</f>
        <v>1</v>
      </c>
      <c r="AB150" t="str">
        <v/>
      </c>
      <c r="AD150" t="b">
        <f ca="1">AND(IF(metadata!B150="",FALSE,TRUE),COUNTIF(metadata!B:B, metadata!B150) = 1,NOT(ISERROR(SUMPRODUCT(SEARCH(MID(metadata!B150,ROW(INDIRECT("1:"&amp;LEN(metadata!B150))), 1),"0123456789abcdefghijklmnopqrstuvwxyzABCDEFGHIJKLMNOPQRSTUVWXYZ.")))))</f>
        <v>0</v>
      </c>
      <c r="AE150" t="b">
        <f>OR(AND(IF(metadata!C150="",FALSE,TRUE),OR(EXACT(metadata!C150,"not applicable"),EXACT(metadata!C150,"missing: not collected"),EXACT(metadata!C150,"missing: not provided"),EXACT(metadata!C150,"missing: restricted access"))),AND(IF(metadata!C150="",FALSE,ISNUMBER(VALUE(metadata!C150))),metadata!C150&gt;0))</f>
        <v>0</v>
      </c>
      <c r="AF150" t="b">
        <f>AND(IF(metadata!D150="",FALSE,TRUE),EXACT(metadata!D150,"missing: not provided"))</f>
        <v>0</v>
      </c>
      <c r="AG150" t="b">
        <f>AND(IF(metadata!E150="",FALSE,TRUE),EXACT(metadata!E150,"Host-associated"))</f>
        <v>0</v>
      </c>
      <c r="AH150" t="b">
        <f>AND(IF(metadata!F150="",FALSE,TRUE),OR(EXACT(metadata!F150,"Animal"),EXACT(metadata!F150,"Fungus"),EXACT(metadata!F150,"Plant")))</f>
        <v>0</v>
      </c>
      <c r="AI150" t="b">
        <f>AND(IF(metadata!G150="",FALSE,TRUE),OR(EXACT(metadata!G150,"Plant secretion"),EXACT(metadata!G150,"Plant rhizosphere"),EXACT(metadata!G150,"Plant surface"),EXACT(metadata!G150,"Plant corpus"),EXACT(metadata!G150,"Fungus surface"),EXACT(metadata!G150,"Fungus corpus"),EXACT(metadata!G150,"Animal surface"),EXACT(metadata!G150,"Animal proximal gut"),EXACT(metadata!G150,"Animal corpus"),EXACT(metadata!G150,"Animal distal gut"),EXACT(metadata!G150,"Animal secretion")))</f>
        <v>0</v>
      </c>
      <c r="AJ150" t="b">
        <f>OR(AND(IF(metadata!H150="",FALSE,TRUE),OR(EXACT(metadata!H150,"missing: not collected"),EXACT(metadata!H150,"missing: not provided"),EXACT(metadata!H150,"missing: restricted access"))),AND(IF(metadata!H150="",FALSE,TRUE),OR(EXACT(metadata!H150,"organism-associated habitat"),EXACT(metadata!H150,"plant-associated habitat"),EXACT(metadata!H150,"animal-associated habitat"),EXACT(metadata!H150,"insecta-associated habitat"),EXACT(metadata!H150,"mammalia-associated habitat"),EXACT(metadata!H150,"human-associated habitat"),EXACT(metadata!H150,"livestock-associated habitat"))))</f>
        <v>0</v>
      </c>
      <c r="AK150" t="b">
        <f>AND(IF(metadata!I150="",FALSE,TRUE),EXACT(metadata!I150,"host-associated"))</f>
        <v>0</v>
      </c>
      <c r="AL150" t="b">
        <f>OR(AND(IF(metadata!J150="",FALSE,TRUE),OR(EXACT(metadata!J150,"not applicable"),EXACT(metadata!J150,"missing: not collected"),EXACT(metadata!J150,"missing: not provided"),EXACT(metadata!J150,"missing: restricted access"))),AND(IF(metadata!J150="",FALSE,ISNUMBER(VALUE(metadata!J150))),metadata!J150&gt;0))</f>
        <v>0</v>
      </c>
      <c r="AM150" t="b">
        <f>AND(IF(metadata!K150="",FALSE,TRUE),EXACT(metadata!K150,"missing: not provided"))</f>
        <v>0</v>
      </c>
      <c r="AN150" t="b">
        <f>IF(metadata!L150="",FALSE,TRUE)</f>
        <v>0</v>
      </c>
      <c r="AO150" t="b">
        <f>IF(metadata!M150="",FALSE,TRUE)</f>
        <v>0</v>
      </c>
      <c r="AP150" t="b">
        <f>OR(AND(IF(metadata!N150="",FALSE,TRUE),OR(EXACT(metadata!N150,"not applicable"),EXACT(metadata!N150,"missing: not collected"),EXACT(metadata!N150,"missing: not provided"))),AND(IF(metadata!N150="",FALSE,IF(ISERROR(INT(metadata!N150)),FALSE,INT(metadata!N150)=metadata!N150)),metadata!N150&gt;0))</f>
        <v>0</v>
      </c>
      <c r="AQ150" t="b">
        <f>AND(IF(metadata!O150="",FALSE,TRUE),EXACT(metadata!O150,"Not applicable"))</f>
        <v>0</v>
      </c>
      <c r="AR150" t="b">
        <f>OR(AND(IF(metadata!P150="",FALSE,TRUE),OR(EXACT(metadata!P150,"not applicable"),EXACT(metadata!P150,"missing: not collected"),EXACT(metadata!P150,"missing: not provided"),EXACT(metadata!P150,"missing: restricted access"))),IF(metadata!P150="",FALSE,IF(ISERROR(INT(metadata!P150)),FALSE,INT(metadata!P150)=metadata!P150)))</f>
        <v>0</v>
      </c>
      <c r="AS150" t="b">
        <f>AND(IF(metadata!Q150="",FALSE,TRUE),EXACT(metadata!Q150,"Not applicable"))</f>
        <v>0</v>
      </c>
      <c r="AT150" t="b">
        <f>OR(AND(IF(metadata!R150="",FALSE,TRUE),OR(EXACT(metadata!R150,"not applicable"),EXACT(metadata!R150,"missing: not collected"),EXACT(metadata!R150,"missing: not provided"),EXACT(metadata!R150,"missing: restricted access"))),AND(IF(metadata!R150="",FALSE,ISNUMBER(VALUE(metadata!R150))),metadata!R150&gt;0))</f>
        <v>0</v>
      </c>
      <c r="AU150" t="b">
        <f>AND(IF(metadata!S150="",FALSE,TRUE),EXACT(metadata!S150,"missing: not provided"))</f>
        <v>0</v>
      </c>
    </row>
    <row r="151" spans="1:47" x14ac:dyDescent="0.2">
      <c r="A151" s="5" t="str">
        <f ca="1">IF(B151=" "," ",HYPERLINK(CONCATENATE("#metadata!",ADDRESS(INDEX($Y$2:$Y$1001,MATCH(ROWS($W$2:W151),$W$2:$W$1001,0),0),1)),INDEX($AB$2:$AB$1001,MATCH(ROWS($W$2:W151),$W$2:$W$1001,0),0)))</f>
        <v xml:space="preserve"> </v>
      </c>
      <c r="B151" s="4" t="str">
        <f ca="1">IF(OR(INDEX($X$2:$X$1001,MATCH(ROWS($W$2:W151),$W$2:$W$1001,0),1)&gt;=100000,INDEX($AD$1005:$AU$1005,1,MATCH(COLUMNS($AD$1006:AD1006),$AD$1006:$AU$1006,0))&gt;=100000), " ",IF(INDEX($AD$2:$AU$1001,MATCH(ROWS($W$2:W151),$W$2:$W$1001,0),MATCH(COLUMNS($AD$1006:AD1006),$AD$1006:$AU$1006,0)), HYPERLINK("#",""), HYPERLINK(CONCATENATE("#metadata!", ADDRESS(INDEX($Y$2:$Y$1001,MATCH(ROWS($W$2:W151),$W$2:$W$1001,0),0), INDEX($AD$1004:$AU$1004,1,MATCH(COLUMNS($AD$1006:AD1006),$AD$1006:$AU$1006,0)))),"Fix")))</f>
        <v xml:space="preserve"> </v>
      </c>
      <c r="C151" s="4" t="str">
        <f ca="1">IF(OR(INDEX($X$2:$X$1001,MATCH(ROWS($W$2:W151),$W$2:$W$1001,0),1)&gt;=100000,INDEX($AD$1005:$AU$1005,1,MATCH(COLUMNS($AD$1006:AE1006),$AD$1006:$AU$1006,0))&gt;=100000), " ",IF(INDEX($AD$2:$AU$1001,MATCH(ROWS($W$2:W151),$W$2:$W$1001,0),MATCH(COLUMNS($AD$1006:AE1006),$AD$1006:$AU$1006,0)), HYPERLINK("#",""), HYPERLINK(CONCATENATE("#metadata!", ADDRESS(INDEX($Y$2:$Y$1001,MATCH(ROWS($W$2:W151),$W$2:$W$1001,0),0), INDEX($AD$1004:$AU$1004,1,MATCH(COLUMNS($AD$1006:AE1006),$AD$1006:$AU$1006,0)))),"Fix")))</f>
        <v xml:space="preserve"> </v>
      </c>
      <c r="D151" s="4" t="str">
        <f ca="1">IF(OR(INDEX($X$2:$X$1001,MATCH(ROWS($W$2:W151),$W$2:$W$1001,0),1)&gt;=100000,INDEX($AD$1005:$AU$1005,1,MATCH(COLUMNS($AD$1006:AF1006),$AD$1006:$AU$1006,0))&gt;=100000), " ",IF(INDEX($AD$2:$AU$1001,MATCH(ROWS($W$2:W151),$W$2:$W$1001,0),MATCH(COLUMNS($AD$1006:AF1006),$AD$1006:$AU$1006,0)), HYPERLINK("#",""), HYPERLINK(CONCATENATE("#metadata!", ADDRESS(INDEX($Y$2:$Y$1001,MATCH(ROWS($W$2:W151),$W$2:$W$1001,0),0), INDEX($AD$1004:$AU$1004,1,MATCH(COLUMNS($AD$1006:AF1006),$AD$1006:$AU$1006,0)))),"Fix")))</f>
        <v xml:space="preserve"> </v>
      </c>
      <c r="E151" s="4" t="str">
        <f ca="1">IF(OR(INDEX($X$2:$X$1001,MATCH(ROWS($W$2:W151),$W$2:$W$1001,0),1)&gt;=100000,INDEX($AD$1005:$AU$1005,1,MATCH(COLUMNS($AD$1006:AG1006),$AD$1006:$AU$1006,0))&gt;=100000), " ",IF(INDEX($AD$2:$AU$1001,MATCH(ROWS($W$2:W151),$W$2:$W$1001,0),MATCH(COLUMNS($AD$1006:AG1006),$AD$1006:$AU$1006,0)), HYPERLINK("#",""), HYPERLINK(CONCATENATE("#metadata!", ADDRESS(INDEX($Y$2:$Y$1001,MATCH(ROWS($W$2:W151),$W$2:$W$1001,0),0), INDEX($AD$1004:$AU$1004,1,MATCH(COLUMNS($AD$1006:AG1006),$AD$1006:$AU$1006,0)))),"Fix")))</f>
        <v xml:space="preserve"> </v>
      </c>
      <c r="F151" s="4" t="str">
        <f ca="1">IF(OR(INDEX($X$2:$X$1001,MATCH(ROWS($W$2:W151),$W$2:$W$1001,0),1)&gt;=100000,INDEX($AD$1005:$AU$1005,1,MATCH(COLUMNS($AD$1006:AH1006),$AD$1006:$AU$1006,0))&gt;=100000), " ",IF(INDEX($AD$2:$AU$1001,MATCH(ROWS($W$2:W151),$W$2:$W$1001,0),MATCH(COLUMNS($AD$1006:AH1006),$AD$1006:$AU$1006,0)), HYPERLINK("#",""), HYPERLINK(CONCATENATE("#metadata!", ADDRESS(INDEX($Y$2:$Y$1001,MATCH(ROWS($W$2:W151),$W$2:$W$1001,0),0), INDEX($AD$1004:$AU$1004,1,MATCH(COLUMNS($AD$1006:AH1006),$AD$1006:$AU$1006,0)))),"Fix")))</f>
        <v xml:space="preserve"> </v>
      </c>
      <c r="G151" s="4" t="str">
        <f ca="1">IF(OR(INDEX($X$2:$X$1001,MATCH(ROWS($W$2:W151),$W$2:$W$1001,0),1)&gt;=100000,INDEX($AD$1005:$AU$1005,1,MATCH(COLUMNS($AD$1006:AI1006),$AD$1006:$AU$1006,0))&gt;=100000), " ",IF(INDEX($AD$2:$AU$1001,MATCH(ROWS($W$2:W151),$W$2:$W$1001,0),MATCH(COLUMNS($AD$1006:AI1006),$AD$1006:$AU$1006,0)), HYPERLINK("#",""), HYPERLINK(CONCATENATE("#metadata!", ADDRESS(INDEX($Y$2:$Y$1001,MATCH(ROWS($W$2:W151),$W$2:$W$1001,0),0), INDEX($AD$1004:$AU$1004,1,MATCH(COLUMNS($AD$1006:AI1006),$AD$1006:$AU$1006,0)))),"Fix")))</f>
        <v xml:space="preserve"> </v>
      </c>
      <c r="H151" s="4" t="str">
        <f ca="1">IF(OR(INDEX($X$2:$X$1001,MATCH(ROWS($W$2:W151),$W$2:$W$1001,0),1)&gt;=100000,INDEX($AD$1005:$AU$1005,1,MATCH(COLUMNS($AD$1006:AJ1006),$AD$1006:$AU$1006,0))&gt;=100000), " ",IF(INDEX($AD$2:$AU$1001,MATCH(ROWS($W$2:W151),$W$2:$W$1001,0),MATCH(COLUMNS($AD$1006:AJ1006),$AD$1006:$AU$1006,0)), HYPERLINK("#",""), HYPERLINK(CONCATENATE("#metadata!", ADDRESS(INDEX($Y$2:$Y$1001,MATCH(ROWS($W$2:W151),$W$2:$W$1001,0),0), INDEX($AD$1004:$AU$1004,1,MATCH(COLUMNS($AD$1006:AJ1006),$AD$1006:$AU$1006,0)))),"Fix")))</f>
        <v xml:space="preserve"> </v>
      </c>
      <c r="I151" s="4" t="str">
        <f ca="1">IF(OR(INDEX($X$2:$X$1001,MATCH(ROWS($W$2:W151),$W$2:$W$1001,0),1)&gt;=100000,INDEX($AD$1005:$AU$1005,1,MATCH(COLUMNS($AD$1006:AK1006),$AD$1006:$AU$1006,0))&gt;=100000), " ",IF(INDEX($AD$2:$AU$1001,MATCH(ROWS($W$2:W151),$W$2:$W$1001,0),MATCH(COLUMNS($AD$1006:AK1006),$AD$1006:$AU$1006,0)), HYPERLINK("#",""), HYPERLINK(CONCATENATE("#metadata!", ADDRESS(INDEX($Y$2:$Y$1001,MATCH(ROWS($W$2:W151),$W$2:$W$1001,0),0), INDEX($AD$1004:$AU$1004,1,MATCH(COLUMNS($AD$1006:AK1006),$AD$1006:$AU$1006,0)))),"Fix")))</f>
        <v xml:space="preserve"> </v>
      </c>
      <c r="J151" s="4" t="str">
        <f ca="1">IF(OR(INDEX($X$2:$X$1001,MATCH(ROWS($W$2:W151),$W$2:$W$1001,0),1)&gt;=100000,INDEX($AD$1005:$AU$1005,1,MATCH(COLUMNS($AD$1006:AL1006),$AD$1006:$AU$1006,0))&gt;=100000), " ",IF(INDEX($AD$2:$AU$1001,MATCH(ROWS($W$2:W151),$W$2:$W$1001,0),MATCH(COLUMNS($AD$1006:AL1006),$AD$1006:$AU$1006,0)), HYPERLINK("#",""), HYPERLINK(CONCATENATE("#metadata!", ADDRESS(INDEX($Y$2:$Y$1001,MATCH(ROWS($W$2:W151),$W$2:$W$1001,0),0), INDEX($AD$1004:$AU$1004,1,MATCH(COLUMNS($AD$1006:AL1006),$AD$1006:$AU$1006,0)))),"Fix")))</f>
        <v xml:space="preserve"> </v>
      </c>
      <c r="K151" s="4" t="str">
        <f ca="1">IF(OR(INDEX($X$2:$X$1001,MATCH(ROWS($W$2:W151),$W$2:$W$1001,0),1)&gt;=100000,INDEX($AD$1005:$AU$1005,1,MATCH(COLUMNS($AD$1006:AM1006),$AD$1006:$AU$1006,0))&gt;=100000), " ",IF(INDEX($AD$2:$AU$1001,MATCH(ROWS($W$2:W151),$W$2:$W$1001,0),MATCH(COLUMNS($AD$1006:AM1006),$AD$1006:$AU$1006,0)), HYPERLINK("#",""), HYPERLINK(CONCATENATE("#metadata!", ADDRESS(INDEX($Y$2:$Y$1001,MATCH(ROWS($W$2:W151),$W$2:$W$1001,0),0), INDEX($AD$1004:$AU$1004,1,MATCH(COLUMNS($AD$1006:AM1006),$AD$1006:$AU$1006,0)))),"Fix")))</f>
        <v xml:space="preserve"> </v>
      </c>
      <c r="L151" s="4" t="str">
        <f ca="1">IF(OR(INDEX($X$2:$X$1001,MATCH(ROWS($W$2:W151),$W$2:$W$1001,0),1)&gt;=100000,INDEX($AD$1005:$AU$1005,1,MATCH(COLUMNS($AD$1006:AN1006),$AD$1006:$AU$1006,0))&gt;=100000), " ",IF(INDEX($AD$2:$AU$1001,MATCH(ROWS($W$2:W151),$W$2:$W$1001,0),MATCH(COLUMNS($AD$1006:AN1006),$AD$1006:$AU$1006,0)), HYPERLINK("#",""), HYPERLINK(CONCATENATE("#metadata!", ADDRESS(INDEX($Y$2:$Y$1001,MATCH(ROWS($W$2:W151),$W$2:$W$1001,0),0), INDEX($AD$1004:$AU$1004,1,MATCH(COLUMNS($AD$1006:AN1006),$AD$1006:$AU$1006,0)))),"Fix")))</f>
        <v xml:space="preserve"> </v>
      </c>
      <c r="M151" s="4" t="str">
        <f ca="1">IF(OR(INDEX($X$2:$X$1001,MATCH(ROWS($W$2:W151),$W$2:$W$1001,0),1)&gt;=100000,INDEX($AD$1005:$AU$1005,1,MATCH(COLUMNS($AD$1006:AO1006),$AD$1006:$AU$1006,0))&gt;=100000), " ",IF(INDEX($AD$2:$AU$1001,MATCH(ROWS($W$2:W151),$W$2:$W$1001,0),MATCH(COLUMNS($AD$1006:AO1006),$AD$1006:$AU$1006,0)), HYPERLINK("#",""), HYPERLINK(CONCATENATE("#metadata!", ADDRESS(INDEX($Y$2:$Y$1001,MATCH(ROWS($W$2:W151),$W$2:$W$1001,0),0), INDEX($AD$1004:$AU$1004,1,MATCH(COLUMNS($AD$1006:AO1006),$AD$1006:$AU$1006,0)))),"Fix")))</f>
        <v xml:space="preserve"> </v>
      </c>
      <c r="N151" s="4" t="str">
        <f ca="1">IF(OR(INDEX($X$2:$X$1001,MATCH(ROWS($W$2:W151),$W$2:$W$1001,0),1)&gt;=100000,INDEX($AD$1005:$AU$1005,1,MATCH(COLUMNS($AD$1006:AP1006),$AD$1006:$AU$1006,0))&gt;=100000), " ",IF(INDEX($AD$2:$AU$1001,MATCH(ROWS($W$2:W151),$W$2:$W$1001,0),MATCH(COLUMNS($AD$1006:AP1006),$AD$1006:$AU$1006,0)), HYPERLINK("#",""), HYPERLINK(CONCATENATE("#metadata!", ADDRESS(INDEX($Y$2:$Y$1001,MATCH(ROWS($W$2:W151),$W$2:$W$1001,0),0), INDEX($AD$1004:$AU$1004,1,MATCH(COLUMNS($AD$1006:AP1006),$AD$1006:$AU$1006,0)))),"Fix")))</f>
        <v xml:space="preserve"> </v>
      </c>
      <c r="O151" s="4" t="str">
        <f ca="1">IF(OR(INDEX($X$2:$X$1001,MATCH(ROWS($W$2:W151),$W$2:$W$1001,0),1)&gt;=100000,INDEX($AD$1005:$AU$1005,1,MATCH(COLUMNS($AD$1006:AQ1006),$AD$1006:$AU$1006,0))&gt;=100000), " ",IF(INDEX($AD$2:$AU$1001,MATCH(ROWS($W$2:W151),$W$2:$W$1001,0),MATCH(COLUMNS($AD$1006:AQ1006),$AD$1006:$AU$1006,0)), HYPERLINK("#",""), HYPERLINK(CONCATENATE("#metadata!", ADDRESS(INDEX($Y$2:$Y$1001,MATCH(ROWS($W$2:W151),$W$2:$W$1001,0),0), INDEX($AD$1004:$AU$1004,1,MATCH(COLUMNS($AD$1006:AQ1006),$AD$1006:$AU$1006,0)))),"Fix")))</f>
        <v xml:space="preserve"> </v>
      </c>
      <c r="P151" s="4" t="str">
        <f ca="1">IF(OR(INDEX($X$2:$X$1001,MATCH(ROWS($W$2:W151),$W$2:$W$1001,0),1)&gt;=100000,INDEX($AD$1005:$AU$1005,1,MATCH(COLUMNS($AD$1006:AR1006),$AD$1006:$AU$1006,0))&gt;=100000), " ",IF(INDEX($AD$2:$AU$1001,MATCH(ROWS($W$2:W151),$W$2:$W$1001,0),MATCH(COLUMNS($AD$1006:AR1006),$AD$1006:$AU$1006,0)), HYPERLINK("#",""), HYPERLINK(CONCATENATE("#metadata!", ADDRESS(INDEX($Y$2:$Y$1001,MATCH(ROWS($W$2:W151),$W$2:$W$1001,0),0), INDEX($AD$1004:$AU$1004,1,MATCH(COLUMNS($AD$1006:AR1006),$AD$1006:$AU$1006,0)))),"Fix")))</f>
        <v xml:space="preserve"> </v>
      </c>
      <c r="Q151" s="4" t="str">
        <f ca="1">IF(OR(INDEX($X$2:$X$1001,MATCH(ROWS($W$2:W151),$W$2:$W$1001,0),1)&gt;=100000,INDEX($AD$1005:$AU$1005,1,MATCH(COLUMNS($AD$1006:AS1006),$AD$1006:$AU$1006,0))&gt;=100000), " ",IF(INDEX($AD$2:$AU$1001,MATCH(ROWS($W$2:W151),$W$2:$W$1001,0),MATCH(COLUMNS($AD$1006:AS1006),$AD$1006:$AU$1006,0)), HYPERLINK("#",""), HYPERLINK(CONCATENATE("#metadata!", ADDRESS(INDEX($Y$2:$Y$1001,MATCH(ROWS($W$2:W151),$W$2:$W$1001,0),0), INDEX($AD$1004:$AU$1004,1,MATCH(COLUMNS($AD$1006:AS1006),$AD$1006:$AU$1006,0)))),"Fix")))</f>
        <v xml:space="preserve"> </v>
      </c>
      <c r="R151" s="4" t="str">
        <f ca="1">IF(OR(INDEX($X$2:$X$1001,MATCH(ROWS($W$2:W151),$W$2:$W$1001,0),1)&gt;=100000,INDEX($AD$1005:$AU$1005,1,MATCH(COLUMNS($AD$1006:AT1006),$AD$1006:$AU$1006,0))&gt;=100000), " ",IF(INDEX($AD$2:$AU$1001,MATCH(ROWS($W$2:W151),$W$2:$W$1001,0),MATCH(COLUMNS($AD$1006:AT1006),$AD$1006:$AU$1006,0)), HYPERLINK("#",""), HYPERLINK(CONCATENATE("#metadata!", ADDRESS(INDEX($Y$2:$Y$1001,MATCH(ROWS($W$2:W151),$W$2:$W$1001,0),0), INDEX($AD$1004:$AU$1004,1,MATCH(COLUMNS($AD$1006:AT1006),$AD$1006:$AU$1006,0)))),"Fix")))</f>
        <v xml:space="preserve"> </v>
      </c>
      <c r="S151" s="4" t="str">
        <f ca="1">IF(OR(INDEX($X$2:$X$1001,MATCH(ROWS($W$2:W151),$W$2:$W$1001,0),1)&gt;=100000,INDEX($AD$1005:$AU$1005,1,MATCH(COLUMNS($AD$1006:AU1006),$AD$1006:$AU$1006,0))&gt;=100000), " ",IF(INDEX($AD$2:$AU$1001,MATCH(ROWS($W$2:W151),$W$2:$W$1001,0),MATCH(COLUMNS($AD$1006:AU1006),$AD$1006:$AU$1006,0)), HYPERLINK("#",""), HYPERLINK(CONCATENATE("#metadata!", ADDRESS(INDEX($Y$2:$Y$1001,MATCH(ROWS($W$2:W151),$W$2:$W$1001,0),0), INDEX($AD$1004:$AU$1004,1,MATCH(COLUMNS($AD$1006:AU1006),$AD$1006:$AU$1006,0)))),"Fix")))</f>
        <v xml:space="preserve"> </v>
      </c>
      <c r="W151">
        <v>150</v>
      </c>
      <c r="X151">
        <v>100151</v>
      </c>
      <c r="Y151">
        <v>151</v>
      </c>
      <c r="Z151" t="b">
        <f t="shared" si="2"/>
        <v>1</v>
      </c>
      <c r="AA151" t="b">
        <f>COUNTBLANK(metadata!B151:S151)=COLUMNS(metadata!B151:S151)</f>
        <v>1</v>
      </c>
      <c r="AB151" t="str">
        <v/>
      </c>
      <c r="AD151" t="b">
        <f ca="1">AND(IF(metadata!B151="",FALSE,TRUE),COUNTIF(metadata!B:B, metadata!B151) = 1,NOT(ISERROR(SUMPRODUCT(SEARCH(MID(metadata!B151,ROW(INDIRECT("1:"&amp;LEN(metadata!B151))), 1),"0123456789abcdefghijklmnopqrstuvwxyzABCDEFGHIJKLMNOPQRSTUVWXYZ.")))))</f>
        <v>0</v>
      </c>
      <c r="AE151" t="b">
        <f>OR(AND(IF(metadata!C151="",FALSE,TRUE),OR(EXACT(metadata!C151,"not applicable"),EXACT(metadata!C151,"missing: not collected"),EXACT(metadata!C151,"missing: not provided"),EXACT(metadata!C151,"missing: restricted access"))),AND(IF(metadata!C151="",FALSE,ISNUMBER(VALUE(metadata!C151))),metadata!C151&gt;0))</f>
        <v>0</v>
      </c>
      <c r="AF151" t="b">
        <f>AND(IF(metadata!D151="",FALSE,TRUE),EXACT(metadata!D151,"missing: not provided"))</f>
        <v>0</v>
      </c>
      <c r="AG151" t="b">
        <f>AND(IF(metadata!E151="",FALSE,TRUE),EXACT(metadata!E151,"Host-associated"))</f>
        <v>0</v>
      </c>
      <c r="AH151" t="b">
        <f>AND(IF(metadata!F151="",FALSE,TRUE),OR(EXACT(metadata!F151,"Animal"),EXACT(metadata!F151,"Fungus"),EXACT(metadata!F151,"Plant")))</f>
        <v>0</v>
      </c>
      <c r="AI151" t="b">
        <f>AND(IF(metadata!G151="",FALSE,TRUE),OR(EXACT(metadata!G151,"Plant secretion"),EXACT(metadata!G151,"Plant rhizosphere"),EXACT(metadata!G151,"Plant surface"),EXACT(metadata!G151,"Plant corpus"),EXACT(metadata!G151,"Fungus surface"),EXACT(metadata!G151,"Fungus corpus"),EXACT(metadata!G151,"Animal surface"),EXACT(metadata!G151,"Animal proximal gut"),EXACT(metadata!G151,"Animal corpus"),EXACT(metadata!G151,"Animal distal gut"),EXACT(metadata!G151,"Animal secretion")))</f>
        <v>0</v>
      </c>
      <c r="AJ151" t="b">
        <f>OR(AND(IF(metadata!H151="",FALSE,TRUE),OR(EXACT(metadata!H151,"missing: not collected"),EXACT(metadata!H151,"missing: not provided"),EXACT(metadata!H151,"missing: restricted access"))),AND(IF(metadata!H151="",FALSE,TRUE),OR(EXACT(metadata!H151,"organism-associated habitat"),EXACT(metadata!H151,"plant-associated habitat"),EXACT(metadata!H151,"animal-associated habitat"),EXACT(metadata!H151,"insecta-associated habitat"),EXACT(metadata!H151,"mammalia-associated habitat"),EXACT(metadata!H151,"human-associated habitat"),EXACT(metadata!H151,"livestock-associated habitat"))))</f>
        <v>0</v>
      </c>
      <c r="AK151" t="b">
        <f>AND(IF(metadata!I151="",FALSE,TRUE),EXACT(metadata!I151,"host-associated"))</f>
        <v>0</v>
      </c>
      <c r="AL151" t="b">
        <f>OR(AND(IF(metadata!J151="",FALSE,TRUE),OR(EXACT(metadata!J151,"not applicable"),EXACT(metadata!J151,"missing: not collected"),EXACT(metadata!J151,"missing: not provided"),EXACT(metadata!J151,"missing: restricted access"))),AND(IF(metadata!J151="",FALSE,ISNUMBER(VALUE(metadata!J151))),metadata!J151&gt;0))</f>
        <v>0</v>
      </c>
      <c r="AM151" t="b">
        <f>AND(IF(metadata!K151="",FALSE,TRUE),EXACT(metadata!K151,"missing: not provided"))</f>
        <v>0</v>
      </c>
      <c r="AN151" t="b">
        <f>IF(metadata!L151="",FALSE,TRUE)</f>
        <v>0</v>
      </c>
      <c r="AO151" t="b">
        <f>IF(metadata!M151="",FALSE,TRUE)</f>
        <v>0</v>
      </c>
      <c r="AP151" t="b">
        <f>OR(AND(IF(metadata!N151="",FALSE,TRUE),OR(EXACT(metadata!N151,"not applicable"),EXACT(metadata!N151,"missing: not collected"),EXACT(metadata!N151,"missing: not provided"))),AND(IF(metadata!N151="",FALSE,IF(ISERROR(INT(metadata!N151)),FALSE,INT(metadata!N151)=metadata!N151)),metadata!N151&gt;0))</f>
        <v>0</v>
      </c>
      <c r="AQ151" t="b">
        <f>AND(IF(metadata!O151="",FALSE,TRUE),EXACT(metadata!O151,"Not applicable"))</f>
        <v>0</v>
      </c>
      <c r="AR151" t="b">
        <f>OR(AND(IF(metadata!P151="",FALSE,TRUE),OR(EXACT(metadata!P151,"not applicable"),EXACT(metadata!P151,"missing: not collected"),EXACT(metadata!P151,"missing: not provided"),EXACT(metadata!P151,"missing: restricted access"))),IF(metadata!P151="",FALSE,IF(ISERROR(INT(metadata!P151)),FALSE,INT(metadata!P151)=metadata!P151)))</f>
        <v>0</v>
      </c>
      <c r="AS151" t="b">
        <f>AND(IF(metadata!Q151="",FALSE,TRUE),EXACT(metadata!Q151,"Not applicable"))</f>
        <v>0</v>
      </c>
      <c r="AT151" t="b">
        <f>OR(AND(IF(metadata!R151="",FALSE,TRUE),OR(EXACT(metadata!R151,"not applicable"),EXACT(metadata!R151,"missing: not collected"),EXACT(metadata!R151,"missing: not provided"),EXACT(metadata!R151,"missing: restricted access"))),AND(IF(metadata!R151="",FALSE,ISNUMBER(VALUE(metadata!R151))),metadata!R151&gt;0))</f>
        <v>0</v>
      </c>
      <c r="AU151" t="b">
        <f>AND(IF(metadata!S151="",FALSE,TRUE),EXACT(metadata!S151,"missing: not provided"))</f>
        <v>0</v>
      </c>
    </row>
    <row r="152" spans="1:47" x14ac:dyDescent="0.2">
      <c r="A152" s="5" t="str">
        <f ca="1">IF(B152=" "," ",HYPERLINK(CONCATENATE("#metadata!",ADDRESS(INDEX($Y$2:$Y$1001,MATCH(ROWS($W$2:W152),$W$2:$W$1001,0),0),1)),INDEX($AB$2:$AB$1001,MATCH(ROWS($W$2:W152),$W$2:$W$1001,0),0)))</f>
        <v xml:space="preserve"> </v>
      </c>
      <c r="B152" s="4" t="str">
        <f ca="1">IF(OR(INDEX($X$2:$X$1001,MATCH(ROWS($W$2:W152),$W$2:$W$1001,0),1)&gt;=100000,INDEX($AD$1005:$AU$1005,1,MATCH(COLUMNS($AD$1006:AD1006),$AD$1006:$AU$1006,0))&gt;=100000), " ",IF(INDEX($AD$2:$AU$1001,MATCH(ROWS($W$2:W152),$W$2:$W$1001,0),MATCH(COLUMNS($AD$1006:AD1006),$AD$1006:$AU$1006,0)), HYPERLINK("#",""), HYPERLINK(CONCATENATE("#metadata!", ADDRESS(INDEX($Y$2:$Y$1001,MATCH(ROWS($W$2:W152),$W$2:$W$1001,0),0), INDEX($AD$1004:$AU$1004,1,MATCH(COLUMNS($AD$1006:AD1006),$AD$1006:$AU$1006,0)))),"Fix")))</f>
        <v xml:space="preserve"> </v>
      </c>
      <c r="C152" s="4" t="str">
        <f ca="1">IF(OR(INDEX($X$2:$X$1001,MATCH(ROWS($W$2:W152),$W$2:$W$1001,0),1)&gt;=100000,INDEX($AD$1005:$AU$1005,1,MATCH(COLUMNS($AD$1006:AE1006),$AD$1006:$AU$1006,0))&gt;=100000), " ",IF(INDEX($AD$2:$AU$1001,MATCH(ROWS($W$2:W152),$W$2:$W$1001,0),MATCH(COLUMNS($AD$1006:AE1006),$AD$1006:$AU$1006,0)), HYPERLINK("#",""), HYPERLINK(CONCATENATE("#metadata!", ADDRESS(INDEX($Y$2:$Y$1001,MATCH(ROWS($W$2:W152),$W$2:$W$1001,0),0), INDEX($AD$1004:$AU$1004,1,MATCH(COLUMNS($AD$1006:AE1006),$AD$1006:$AU$1006,0)))),"Fix")))</f>
        <v xml:space="preserve"> </v>
      </c>
      <c r="D152" s="4" t="str">
        <f ca="1">IF(OR(INDEX($X$2:$X$1001,MATCH(ROWS($W$2:W152),$W$2:$W$1001,0),1)&gt;=100000,INDEX($AD$1005:$AU$1005,1,MATCH(COLUMNS($AD$1006:AF1006),$AD$1006:$AU$1006,0))&gt;=100000), " ",IF(INDEX($AD$2:$AU$1001,MATCH(ROWS($W$2:W152),$W$2:$W$1001,0),MATCH(COLUMNS($AD$1006:AF1006),$AD$1006:$AU$1006,0)), HYPERLINK("#",""), HYPERLINK(CONCATENATE("#metadata!", ADDRESS(INDEX($Y$2:$Y$1001,MATCH(ROWS($W$2:W152),$W$2:$W$1001,0),0), INDEX($AD$1004:$AU$1004,1,MATCH(COLUMNS($AD$1006:AF1006),$AD$1006:$AU$1006,0)))),"Fix")))</f>
        <v xml:space="preserve"> </v>
      </c>
      <c r="E152" s="4" t="str">
        <f ca="1">IF(OR(INDEX($X$2:$X$1001,MATCH(ROWS($W$2:W152),$W$2:$W$1001,0),1)&gt;=100000,INDEX($AD$1005:$AU$1005,1,MATCH(COLUMNS($AD$1006:AG1006),$AD$1006:$AU$1006,0))&gt;=100000), " ",IF(INDEX($AD$2:$AU$1001,MATCH(ROWS($W$2:W152),$W$2:$W$1001,0),MATCH(COLUMNS($AD$1006:AG1006),$AD$1006:$AU$1006,0)), HYPERLINK("#",""), HYPERLINK(CONCATENATE("#metadata!", ADDRESS(INDEX($Y$2:$Y$1001,MATCH(ROWS($W$2:W152),$W$2:$W$1001,0),0), INDEX($AD$1004:$AU$1004,1,MATCH(COLUMNS($AD$1006:AG1006),$AD$1006:$AU$1006,0)))),"Fix")))</f>
        <v xml:space="preserve"> </v>
      </c>
      <c r="F152" s="4" t="str">
        <f ca="1">IF(OR(INDEX($X$2:$X$1001,MATCH(ROWS($W$2:W152),$W$2:$W$1001,0),1)&gt;=100000,INDEX($AD$1005:$AU$1005,1,MATCH(COLUMNS($AD$1006:AH1006),$AD$1006:$AU$1006,0))&gt;=100000), " ",IF(INDEX($AD$2:$AU$1001,MATCH(ROWS($W$2:W152),$W$2:$W$1001,0),MATCH(COLUMNS($AD$1006:AH1006),$AD$1006:$AU$1006,0)), HYPERLINK("#",""), HYPERLINK(CONCATENATE("#metadata!", ADDRESS(INDEX($Y$2:$Y$1001,MATCH(ROWS($W$2:W152),$W$2:$W$1001,0),0), INDEX($AD$1004:$AU$1004,1,MATCH(COLUMNS($AD$1006:AH1006),$AD$1006:$AU$1006,0)))),"Fix")))</f>
        <v xml:space="preserve"> </v>
      </c>
      <c r="G152" s="4" t="str">
        <f ca="1">IF(OR(INDEX($X$2:$X$1001,MATCH(ROWS($W$2:W152),$W$2:$W$1001,0),1)&gt;=100000,INDEX($AD$1005:$AU$1005,1,MATCH(COLUMNS($AD$1006:AI1006),$AD$1006:$AU$1006,0))&gt;=100000), " ",IF(INDEX($AD$2:$AU$1001,MATCH(ROWS($W$2:W152),$W$2:$W$1001,0),MATCH(COLUMNS($AD$1006:AI1006),$AD$1006:$AU$1006,0)), HYPERLINK("#",""), HYPERLINK(CONCATENATE("#metadata!", ADDRESS(INDEX($Y$2:$Y$1001,MATCH(ROWS($W$2:W152),$W$2:$W$1001,0),0), INDEX($AD$1004:$AU$1004,1,MATCH(COLUMNS($AD$1006:AI1006),$AD$1006:$AU$1006,0)))),"Fix")))</f>
        <v xml:space="preserve"> </v>
      </c>
      <c r="H152" s="4" t="str">
        <f ca="1">IF(OR(INDEX($X$2:$X$1001,MATCH(ROWS($W$2:W152),$W$2:$W$1001,0),1)&gt;=100000,INDEX($AD$1005:$AU$1005,1,MATCH(COLUMNS($AD$1006:AJ1006),$AD$1006:$AU$1006,0))&gt;=100000), " ",IF(INDEX($AD$2:$AU$1001,MATCH(ROWS($W$2:W152),$W$2:$W$1001,0),MATCH(COLUMNS($AD$1006:AJ1006),$AD$1006:$AU$1006,0)), HYPERLINK("#",""), HYPERLINK(CONCATENATE("#metadata!", ADDRESS(INDEX($Y$2:$Y$1001,MATCH(ROWS($W$2:W152),$W$2:$W$1001,0),0), INDEX($AD$1004:$AU$1004,1,MATCH(COLUMNS($AD$1006:AJ1006),$AD$1006:$AU$1006,0)))),"Fix")))</f>
        <v xml:space="preserve"> </v>
      </c>
      <c r="I152" s="4" t="str">
        <f ca="1">IF(OR(INDEX($X$2:$X$1001,MATCH(ROWS($W$2:W152),$W$2:$W$1001,0),1)&gt;=100000,INDEX($AD$1005:$AU$1005,1,MATCH(COLUMNS($AD$1006:AK1006),$AD$1006:$AU$1006,0))&gt;=100000), " ",IF(INDEX($AD$2:$AU$1001,MATCH(ROWS($W$2:W152),$W$2:$W$1001,0),MATCH(COLUMNS($AD$1006:AK1006),$AD$1006:$AU$1006,0)), HYPERLINK("#",""), HYPERLINK(CONCATENATE("#metadata!", ADDRESS(INDEX($Y$2:$Y$1001,MATCH(ROWS($W$2:W152),$W$2:$W$1001,0),0), INDEX($AD$1004:$AU$1004,1,MATCH(COLUMNS($AD$1006:AK1006),$AD$1006:$AU$1006,0)))),"Fix")))</f>
        <v xml:space="preserve"> </v>
      </c>
      <c r="J152" s="4" t="str">
        <f ca="1">IF(OR(INDEX($X$2:$X$1001,MATCH(ROWS($W$2:W152),$W$2:$W$1001,0),1)&gt;=100000,INDEX($AD$1005:$AU$1005,1,MATCH(COLUMNS($AD$1006:AL1006),$AD$1006:$AU$1006,0))&gt;=100000), " ",IF(INDEX($AD$2:$AU$1001,MATCH(ROWS($W$2:W152),$W$2:$W$1001,0),MATCH(COLUMNS($AD$1006:AL1006),$AD$1006:$AU$1006,0)), HYPERLINK("#",""), HYPERLINK(CONCATENATE("#metadata!", ADDRESS(INDEX($Y$2:$Y$1001,MATCH(ROWS($W$2:W152),$W$2:$W$1001,0),0), INDEX($AD$1004:$AU$1004,1,MATCH(COLUMNS($AD$1006:AL1006),$AD$1006:$AU$1006,0)))),"Fix")))</f>
        <v xml:space="preserve"> </v>
      </c>
      <c r="K152" s="4" t="str">
        <f ca="1">IF(OR(INDEX($X$2:$X$1001,MATCH(ROWS($W$2:W152),$W$2:$W$1001,0),1)&gt;=100000,INDEX($AD$1005:$AU$1005,1,MATCH(COLUMNS($AD$1006:AM1006),$AD$1006:$AU$1006,0))&gt;=100000), " ",IF(INDEX($AD$2:$AU$1001,MATCH(ROWS($W$2:W152),$W$2:$W$1001,0),MATCH(COLUMNS($AD$1006:AM1006),$AD$1006:$AU$1006,0)), HYPERLINK("#",""), HYPERLINK(CONCATENATE("#metadata!", ADDRESS(INDEX($Y$2:$Y$1001,MATCH(ROWS($W$2:W152),$W$2:$W$1001,0),0), INDEX($AD$1004:$AU$1004,1,MATCH(COLUMNS($AD$1006:AM1006),$AD$1006:$AU$1006,0)))),"Fix")))</f>
        <v xml:space="preserve"> </v>
      </c>
      <c r="L152" s="4" t="str">
        <f ca="1">IF(OR(INDEX($X$2:$X$1001,MATCH(ROWS($W$2:W152),$W$2:$W$1001,0),1)&gt;=100000,INDEX($AD$1005:$AU$1005,1,MATCH(COLUMNS($AD$1006:AN1006),$AD$1006:$AU$1006,0))&gt;=100000), " ",IF(INDEX($AD$2:$AU$1001,MATCH(ROWS($W$2:W152),$W$2:$W$1001,0),MATCH(COLUMNS($AD$1006:AN1006),$AD$1006:$AU$1006,0)), HYPERLINK("#",""), HYPERLINK(CONCATENATE("#metadata!", ADDRESS(INDEX($Y$2:$Y$1001,MATCH(ROWS($W$2:W152),$W$2:$W$1001,0),0), INDEX($AD$1004:$AU$1004,1,MATCH(COLUMNS($AD$1006:AN1006),$AD$1006:$AU$1006,0)))),"Fix")))</f>
        <v xml:space="preserve"> </v>
      </c>
      <c r="M152" s="4" t="str">
        <f ca="1">IF(OR(INDEX($X$2:$X$1001,MATCH(ROWS($W$2:W152),$W$2:$W$1001,0),1)&gt;=100000,INDEX($AD$1005:$AU$1005,1,MATCH(COLUMNS($AD$1006:AO1006),$AD$1006:$AU$1006,0))&gt;=100000), " ",IF(INDEX($AD$2:$AU$1001,MATCH(ROWS($W$2:W152),$W$2:$W$1001,0),MATCH(COLUMNS($AD$1006:AO1006),$AD$1006:$AU$1006,0)), HYPERLINK("#",""), HYPERLINK(CONCATENATE("#metadata!", ADDRESS(INDEX($Y$2:$Y$1001,MATCH(ROWS($W$2:W152),$W$2:$W$1001,0),0), INDEX($AD$1004:$AU$1004,1,MATCH(COLUMNS($AD$1006:AO1006),$AD$1006:$AU$1006,0)))),"Fix")))</f>
        <v xml:space="preserve"> </v>
      </c>
      <c r="N152" s="4" t="str">
        <f ca="1">IF(OR(INDEX($X$2:$X$1001,MATCH(ROWS($W$2:W152),$W$2:$W$1001,0),1)&gt;=100000,INDEX($AD$1005:$AU$1005,1,MATCH(COLUMNS($AD$1006:AP1006),$AD$1006:$AU$1006,0))&gt;=100000), " ",IF(INDEX($AD$2:$AU$1001,MATCH(ROWS($W$2:W152),$W$2:$W$1001,0),MATCH(COLUMNS($AD$1006:AP1006),$AD$1006:$AU$1006,0)), HYPERLINK("#",""), HYPERLINK(CONCATENATE("#metadata!", ADDRESS(INDEX($Y$2:$Y$1001,MATCH(ROWS($W$2:W152),$W$2:$W$1001,0),0), INDEX($AD$1004:$AU$1004,1,MATCH(COLUMNS($AD$1006:AP1006),$AD$1006:$AU$1006,0)))),"Fix")))</f>
        <v xml:space="preserve"> </v>
      </c>
      <c r="O152" s="4" t="str">
        <f ca="1">IF(OR(INDEX($X$2:$X$1001,MATCH(ROWS($W$2:W152),$W$2:$W$1001,0),1)&gt;=100000,INDEX($AD$1005:$AU$1005,1,MATCH(COLUMNS($AD$1006:AQ1006),$AD$1006:$AU$1006,0))&gt;=100000), " ",IF(INDEX($AD$2:$AU$1001,MATCH(ROWS($W$2:W152),$W$2:$W$1001,0),MATCH(COLUMNS($AD$1006:AQ1006),$AD$1006:$AU$1006,0)), HYPERLINK("#",""), HYPERLINK(CONCATENATE("#metadata!", ADDRESS(INDEX($Y$2:$Y$1001,MATCH(ROWS($W$2:W152),$W$2:$W$1001,0),0), INDEX($AD$1004:$AU$1004,1,MATCH(COLUMNS($AD$1006:AQ1006),$AD$1006:$AU$1006,0)))),"Fix")))</f>
        <v xml:space="preserve"> </v>
      </c>
      <c r="P152" s="4" t="str">
        <f ca="1">IF(OR(INDEX($X$2:$X$1001,MATCH(ROWS($W$2:W152),$W$2:$W$1001,0),1)&gt;=100000,INDEX($AD$1005:$AU$1005,1,MATCH(COLUMNS($AD$1006:AR1006),$AD$1006:$AU$1006,0))&gt;=100000), " ",IF(INDEX($AD$2:$AU$1001,MATCH(ROWS($W$2:W152),$W$2:$W$1001,0),MATCH(COLUMNS($AD$1006:AR1006),$AD$1006:$AU$1006,0)), HYPERLINK("#",""), HYPERLINK(CONCATENATE("#metadata!", ADDRESS(INDEX($Y$2:$Y$1001,MATCH(ROWS($W$2:W152),$W$2:$W$1001,0),0), INDEX($AD$1004:$AU$1004,1,MATCH(COLUMNS($AD$1006:AR1006),$AD$1006:$AU$1006,0)))),"Fix")))</f>
        <v xml:space="preserve"> </v>
      </c>
      <c r="Q152" s="4" t="str">
        <f ca="1">IF(OR(INDEX($X$2:$X$1001,MATCH(ROWS($W$2:W152),$W$2:$W$1001,0),1)&gt;=100000,INDEX($AD$1005:$AU$1005,1,MATCH(COLUMNS($AD$1006:AS1006),$AD$1006:$AU$1006,0))&gt;=100000), " ",IF(INDEX($AD$2:$AU$1001,MATCH(ROWS($W$2:W152),$W$2:$W$1001,0),MATCH(COLUMNS($AD$1006:AS1006),$AD$1006:$AU$1006,0)), HYPERLINK("#",""), HYPERLINK(CONCATENATE("#metadata!", ADDRESS(INDEX($Y$2:$Y$1001,MATCH(ROWS($W$2:W152),$W$2:$W$1001,0),0), INDEX($AD$1004:$AU$1004,1,MATCH(COLUMNS($AD$1006:AS1006),$AD$1006:$AU$1006,0)))),"Fix")))</f>
        <v xml:space="preserve"> </v>
      </c>
      <c r="R152" s="4" t="str">
        <f ca="1">IF(OR(INDEX($X$2:$X$1001,MATCH(ROWS($W$2:W152),$W$2:$W$1001,0),1)&gt;=100000,INDEX($AD$1005:$AU$1005,1,MATCH(COLUMNS($AD$1006:AT1006),$AD$1006:$AU$1006,0))&gt;=100000), " ",IF(INDEX($AD$2:$AU$1001,MATCH(ROWS($W$2:W152),$W$2:$W$1001,0),MATCH(COLUMNS($AD$1006:AT1006),$AD$1006:$AU$1006,0)), HYPERLINK("#",""), HYPERLINK(CONCATENATE("#metadata!", ADDRESS(INDEX($Y$2:$Y$1001,MATCH(ROWS($W$2:W152),$W$2:$W$1001,0),0), INDEX($AD$1004:$AU$1004,1,MATCH(COLUMNS($AD$1006:AT1006),$AD$1006:$AU$1006,0)))),"Fix")))</f>
        <v xml:space="preserve"> </v>
      </c>
      <c r="S152" s="4" t="str">
        <f ca="1">IF(OR(INDEX($X$2:$X$1001,MATCH(ROWS($W$2:W152),$W$2:$W$1001,0),1)&gt;=100000,INDEX($AD$1005:$AU$1005,1,MATCH(COLUMNS($AD$1006:AU1006),$AD$1006:$AU$1006,0))&gt;=100000), " ",IF(INDEX($AD$2:$AU$1001,MATCH(ROWS($W$2:W152),$W$2:$W$1001,0),MATCH(COLUMNS($AD$1006:AU1006),$AD$1006:$AU$1006,0)), HYPERLINK("#",""), HYPERLINK(CONCATENATE("#metadata!", ADDRESS(INDEX($Y$2:$Y$1001,MATCH(ROWS($W$2:W152),$W$2:$W$1001,0),0), INDEX($AD$1004:$AU$1004,1,MATCH(COLUMNS($AD$1006:AU1006),$AD$1006:$AU$1006,0)))),"Fix")))</f>
        <v xml:space="preserve"> </v>
      </c>
      <c r="W152">
        <v>151</v>
      </c>
      <c r="X152">
        <v>100152</v>
      </c>
      <c r="Y152">
        <v>152</v>
      </c>
      <c r="Z152" t="b">
        <f t="shared" si="2"/>
        <v>1</v>
      </c>
      <c r="AA152" t="b">
        <f>COUNTBLANK(metadata!B152:S152)=COLUMNS(metadata!B152:S152)</f>
        <v>1</v>
      </c>
      <c r="AB152" t="str">
        <v/>
      </c>
      <c r="AD152" t="b">
        <f ca="1">AND(IF(metadata!B152="",FALSE,TRUE),COUNTIF(metadata!B:B, metadata!B152) = 1,NOT(ISERROR(SUMPRODUCT(SEARCH(MID(metadata!B152,ROW(INDIRECT("1:"&amp;LEN(metadata!B152))), 1),"0123456789abcdefghijklmnopqrstuvwxyzABCDEFGHIJKLMNOPQRSTUVWXYZ.")))))</f>
        <v>0</v>
      </c>
      <c r="AE152" t="b">
        <f>OR(AND(IF(metadata!C152="",FALSE,TRUE),OR(EXACT(metadata!C152,"not applicable"),EXACT(metadata!C152,"missing: not collected"),EXACT(metadata!C152,"missing: not provided"),EXACT(metadata!C152,"missing: restricted access"))),AND(IF(metadata!C152="",FALSE,ISNUMBER(VALUE(metadata!C152))),metadata!C152&gt;0))</f>
        <v>0</v>
      </c>
      <c r="AF152" t="b">
        <f>AND(IF(metadata!D152="",FALSE,TRUE),EXACT(metadata!D152,"missing: not provided"))</f>
        <v>0</v>
      </c>
      <c r="AG152" t="b">
        <f>AND(IF(metadata!E152="",FALSE,TRUE),EXACT(metadata!E152,"Host-associated"))</f>
        <v>0</v>
      </c>
      <c r="AH152" t="b">
        <f>AND(IF(metadata!F152="",FALSE,TRUE),OR(EXACT(metadata!F152,"Animal"),EXACT(metadata!F152,"Fungus"),EXACT(metadata!F152,"Plant")))</f>
        <v>0</v>
      </c>
      <c r="AI152" t="b">
        <f>AND(IF(metadata!G152="",FALSE,TRUE),OR(EXACT(metadata!G152,"Plant secretion"),EXACT(metadata!G152,"Plant rhizosphere"),EXACT(metadata!G152,"Plant surface"),EXACT(metadata!G152,"Plant corpus"),EXACT(metadata!G152,"Fungus surface"),EXACT(metadata!G152,"Fungus corpus"),EXACT(metadata!G152,"Animal surface"),EXACT(metadata!G152,"Animal proximal gut"),EXACT(metadata!G152,"Animal corpus"),EXACT(metadata!G152,"Animal distal gut"),EXACT(metadata!G152,"Animal secretion")))</f>
        <v>0</v>
      </c>
      <c r="AJ152" t="b">
        <f>OR(AND(IF(metadata!H152="",FALSE,TRUE),OR(EXACT(metadata!H152,"missing: not collected"),EXACT(metadata!H152,"missing: not provided"),EXACT(metadata!H152,"missing: restricted access"))),AND(IF(metadata!H152="",FALSE,TRUE),OR(EXACT(metadata!H152,"organism-associated habitat"),EXACT(metadata!H152,"plant-associated habitat"),EXACT(metadata!H152,"animal-associated habitat"),EXACT(metadata!H152,"insecta-associated habitat"),EXACT(metadata!H152,"mammalia-associated habitat"),EXACT(metadata!H152,"human-associated habitat"),EXACT(metadata!H152,"livestock-associated habitat"))))</f>
        <v>0</v>
      </c>
      <c r="AK152" t="b">
        <f>AND(IF(metadata!I152="",FALSE,TRUE),EXACT(metadata!I152,"host-associated"))</f>
        <v>0</v>
      </c>
      <c r="AL152" t="b">
        <f>OR(AND(IF(metadata!J152="",FALSE,TRUE),OR(EXACT(metadata!J152,"not applicable"),EXACT(metadata!J152,"missing: not collected"),EXACT(metadata!J152,"missing: not provided"),EXACT(metadata!J152,"missing: restricted access"))),AND(IF(metadata!J152="",FALSE,ISNUMBER(VALUE(metadata!J152))),metadata!J152&gt;0))</f>
        <v>0</v>
      </c>
      <c r="AM152" t="b">
        <f>AND(IF(metadata!K152="",FALSE,TRUE),EXACT(metadata!K152,"missing: not provided"))</f>
        <v>0</v>
      </c>
      <c r="AN152" t="b">
        <f>IF(metadata!L152="",FALSE,TRUE)</f>
        <v>0</v>
      </c>
      <c r="AO152" t="b">
        <f>IF(metadata!M152="",FALSE,TRUE)</f>
        <v>0</v>
      </c>
      <c r="AP152" t="b">
        <f>OR(AND(IF(metadata!N152="",FALSE,TRUE),OR(EXACT(metadata!N152,"not applicable"),EXACT(metadata!N152,"missing: not collected"),EXACT(metadata!N152,"missing: not provided"))),AND(IF(metadata!N152="",FALSE,IF(ISERROR(INT(metadata!N152)),FALSE,INT(metadata!N152)=metadata!N152)),metadata!N152&gt;0))</f>
        <v>0</v>
      </c>
      <c r="AQ152" t="b">
        <f>AND(IF(metadata!O152="",FALSE,TRUE),EXACT(metadata!O152,"Not applicable"))</f>
        <v>0</v>
      </c>
      <c r="AR152" t="b">
        <f>OR(AND(IF(metadata!P152="",FALSE,TRUE),OR(EXACT(metadata!P152,"not applicable"),EXACT(metadata!P152,"missing: not collected"),EXACT(metadata!P152,"missing: not provided"),EXACT(metadata!P152,"missing: restricted access"))),IF(metadata!P152="",FALSE,IF(ISERROR(INT(metadata!P152)),FALSE,INT(metadata!P152)=metadata!P152)))</f>
        <v>0</v>
      </c>
      <c r="AS152" t="b">
        <f>AND(IF(metadata!Q152="",FALSE,TRUE),EXACT(metadata!Q152,"Not applicable"))</f>
        <v>0</v>
      </c>
      <c r="AT152" t="b">
        <f>OR(AND(IF(metadata!R152="",FALSE,TRUE),OR(EXACT(metadata!R152,"not applicable"),EXACT(metadata!R152,"missing: not collected"),EXACT(metadata!R152,"missing: not provided"),EXACT(metadata!R152,"missing: restricted access"))),AND(IF(metadata!R152="",FALSE,ISNUMBER(VALUE(metadata!R152))),metadata!R152&gt;0))</f>
        <v>0</v>
      </c>
      <c r="AU152" t="b">
        <f>AND(IF(metadata!S152="",FALSE,TRUE),EXACT(metadata!S152,"missing: not provided"))</f>
        <v>0</v>
      </c>
    </row>
    <row r="153" spans="1:47" x14ac:dyDescent="0.2">
      <c r="A153" s="5" t="str">
        <f ca="1">IF(B153=" "," ",HYPERLINK(CONCATENATE("#metadata!",ADDRESS(INDEX($Y$2:$Y$1001,MATCH(ROWS($W$2:W153),$W$2:$W$1001,0),0),1)),INDEX($AB$2:$AB$1001,MATCH(ROWS($W$2:W153),$W$2:$W$1001,0),0)))</f>
        <v xml:space="preserve"> </v>
      </c>
      <c r="B153" s="4" t="str">
        <f ca="1">IF(OR(INDEX($X$2:$X$1001,MATCH(ROWS($W$2:W153),$W$2:$W$1001,0),1)&gt;=100000,INDEX($AD$1005:$AU$1005,1,MATCH(COLUMNS($AD$1006:AD1006),$AD$1006:$AU$1006,0))&gt;=100000), " ",IF(INDEX($AD$2:$AU$1001,MATCH(ROWS($W$2:W153),$W$2:$W$1001,0),MATCH(COLUMNS($AD$1006:AD1006),$AD$1006:$AU$1006,0)), HYPERLINK("#",""), HYPERLINK(CONCATENATE("#metadata!", ADDRESS(INDEX($Y$2:$Y$1001,MATCH(ROWS($W$2:W153),$W$2:$W$1001,0),0), INDEX($AD$1004:$AU$1004,1,MATCH(COLUMNS($AD$1006:AD1006),$AD$1006:$AU$1006,0)))),"Fix")))</f>
        <v xml:space="preserve"> </v>
      </c>
      <c r="C153" s="4" t="str">
        <f ca="1">IF(OR(INDEX($X$2:$X$1001,MATCH(ROWS($W$2:W153),$W$2:$W$1001,0),1)&gt;=100000,INDEX($AD$1005:$AU$1005,1,MATCH(COLUMNS($AD$1006:AE1006),$AD$1006:$AU$1006,0))&gt;=100000), " ",IF(INDEX($AD$2:$AU$1001,MATCH(ROWS($W$2:W153),$W$2:$W$1001,0),MATCH(COLUMNS($AD$1006:AE1006),$AD$1006:$AU$1006,0)), HYPERLINK("#",""), HYPERLINK(CONCATENATE("#metadata!", ADDRESS(INDEX($Y$2:$Y$1001,MATCH(ROWS($W$2:W153),$W$2:$W$1001,0),0), INDEX($AD$1004:$AU$1004,1,MATCH(COLUMNS($AD$1006:AE1006),$AD$1006:$AU$1006,0)))),"Fix")))</f>
        <v xml:space="preserve"> </v>
      </c>
      <c r="D153" s="4" t="str">
        <f ca="1">IF(OR(INDEX($X$2:$X$1001,MATCH(ROWS($W$2:W153),$W$2:$W$1001,0),1)&gt;=100000,INDEX($AD$1005:$AU$1005,1,MATCH(COLUMNS($AD$1006:AF1006),$AD$1006:$AU$1006,0))&gt;=100000), " ",IF(INDEX($AD$2:$AU$1001,MATCH(ROWS($W$2:W153),$W$2:$W$1001,0),MATCH(COLUMNS($AD$1006:AF1006),$AD$1006:$AU$1006,0)), HYPERLINK("#",""), HYPERLINK(CONCATENATE("#metadata!", ADDRESS(INDEX($Y$2:$Y$1001,MATCH(ROWS($W$2:W153),$W$2:$W$1001,0),0), INDEX($AD$1004:$AU$1004,1,MATCH(COLUMNS($AD$1006:AF1006),$AD$1006:$AU$1006,0)))),"Fix")))</f>
        <v xml:space="preserve"> </v>
      </c>
      <c r="E153" s="4" t="str">
        <f ca="1">IF(OR(INDEX($X$2:$X$1001,MATCH(ROWS($W$2:W153),$W$2:$W$1001,0),1)&gt;=100000,INDEX($AD$1005:$AU$1005,1,MATCH(COLUMNS($AD$1006:AG1006),$AD$1006:$AU$1006,0))&gt;=100000), " ",IF(INDEX($AD$2:$AU$1001,MATCH(ROWS($W$2:W153),$W$2:$W$1001,0),MATCH(COLUMNS($AD$1006:AG1006),$AD$1006:$AU$1006,0)), HYPERLINK("#",""), HYPERLINK(CONCATENATE("#metadata!", ADDRESS(INDEX($Y$2:$Y$1001,MATCH(ROWS($W$2:W153),$W$2:$W$1001,0),0), INDEX($AD$1004:$AU$1004,1,MATCH(COLUMNS($AD$1006:AG1006),$AD$1006:$AU$1006,0)))),"Fix")))</f>
        <v xml:space="preserve"> </v>
      </c>
      <c r="F153" s="4" t="str">
        <f ca="1">IF(OR(INDEX($X$2:$X$1001,MATCH(ROWS($W$2:W153),$W$2:$W$1001,0),1)&gt;=100000,INDEX($AD$1005:$AU$1005,1,MATCH(COLUMNS($AD$1006:AH1006),$AD$1006:$AU$1006,0))&gt;=100000), " ",IF(INDEX($AD$2:$AU$1001,MATCH(ROWS($W$2:W153),$W$2:$W$1001,0),MATCH(COLUMNS($AD$1006:AH1006),$AD$1006:$AU$1006,0)), HYPERLINK("#",""), HYPERLINK(CONCATENATE("#metadata!", ADDRESS(INDEX($Y$2:$Y$1001,MATCH(ROWS($W$2:W153),$W$2:$W$1001,0),0), INDEX($AD$1004:$AU$1004,1,MATCH(COLUMNS($AD$1006:AH1006),$AD$1006:$AU$1006,0)))),"Fix")))</f>
        <v xml:space="preserve"> </v>
      </c>
      <c r="G153" s="4" t="str">
        <f ca="1">IF(OR(INDEX($X$2:$X$1001,MATCH(ROWS($W$2:W153),$W$2:$W$1001,0),1)&gt;=100000,INDEX($AD$1005:$AU$1005,1,MATCH(COLUMNS($AD$1006:AI1006),$AD$1006:$AU$1006,0))&gt;=100000), " ",IF(INDEX($AD$2:$AU$1001,MATCH(ROWS($W$2:W153),$W$2:$W$1001,0),MATCH(COLUMNS($AD$1006:AI1006),$AD$1006:$AU$1006,0)), HYPERLINK("#",""), HYPERLINK(CONCATENATE("#metadata!", ADDRESS(INDEX($Y$2:$Y$1001,MATCH(ROWS($W$2:W153),$W$2:$W$1001,0),0), INDEX($AD$1004:$AU$1004,1,MATCH(COLUMNS($AD$1006:AI1006),$AD$1006:$AU$1006,0)))),"Fix")))</f>
        <v xml:space="preserve"> </v>
      </c>
      <c r="H153" s="4" t="str">
        <f ca="1">IF(OR(INDEX($X$2:$X$1001,MATCH(ROWS($W$2:W153),$W$2:$W$1001,0),1)&gt;=100000,INDEX($AD$1005:$AU$1005,1,MATCH(COLUMNS($AD$1006:AJ1006),$AD$1006:$AU$1006,0))&gt;=100000), " ",IF(INDEX($AD$2:$AU$1001,MATCH(ROWS($W$2:W153),$W$2:$W$1001,0),MATCH(COLUMNS($AD$1006:AJ1006),$AD$1006:$AU$1006,0)), HYPERLINK("#",""), HYPERLINK(CONCATENATE("#metadata!", ADDRESS(INDEX($Y$2:$Y$1001,MATCH(ROWS($W$2:W153),$W$2:$W$1001,0),0), INDEX($AD$1004:$AU$1004,1,MATCH(COLUMNS($AD$1006:AJ1006),$AD$1006:$AU$1006,0)))),"Fix")))</f>
        <v xml:space="preserve"> </v>
      </c>
      <c r="I153" s="4" t="str">
        <f ca="1">IF(OR(INDEX($X$2:$X$1001,MATCH(ROWS($W$2:W153),$W$2:$W$1001,0),1)&gt;=100000,INDEX($AD$1005:$AU$1005,1,MATCH(COLUMNS($AD$1006:AK1006),$AD$1006:$AU$1006,0))&gt;=100000), " ",IF(INDEX($AD$2:$AU$1001,MATCH(ROWS($W$2:W153),$W$2:$W$1001,0),MATCH(COLUMNS($AD$1006:AK1006),$AD$1006:$AU$1006,0)), HYPERLINK("#",""), HYPERLINK(CONCATENATE("#metadata!", ADDRESS(INDEX($Y$2:$Y$1001,MATCH(ROWS($W$2:W153),$W$2:$W$1001,0),0), INDEX($AD$1004:$AU$1004,1,MATCH(COLUMNS($AD$1006:AK1006),$AD$1006:$AU$1006,0)))),"Fix")))</f>
        <v xml:space="preserve"> </v>
      </c>
      <c r="J153" s="4" t="str">
        <f ca="1">IF(OR(INDEX($X$2:$X$1001,MATCH(ROWS($W$2:W153),$W$2:$W$1001,0),1)&gt;=100000,INDEX($AD$1005:$AU$1005,1,MATCH(COLUMNS($AD$1006:AL1006),$AD$1006:$AU$1006,0))&gt;=100000), " ",IF(INDEX($AD$2:$AU$1001,MATCH(ROWS($W$2:W153),$W$2:$W$1001,0),MATCH(COLUMNS($AD$1006:AL1006),$AD$1006:$AU$1006,0)), HYPERLINK("#",""), HYPERLINK(CONCATENATE("#metadata!", ADDRESS(INDEX($Y$2:$Y$1001,MATCH(ROWS($W$2:W153),$W$2:$W$1001,0),0), INDEX($AD$1004:$AU$1004,1,MATCH(COLUMNS($AD$1006:AL1006),$AD$1006:$AU$1006,0)))),"Fix")))</f>
        <v xml:space="preserve"> </v>
      </c>
      <c r="K153" s="4" t="str">
        <f ca="1">IF(OR(INDEX($X$2:$X$1001,MATCH(ROWS($W$2:W153),$W$2:$W$1001,0),1)&gt;=100000,INDEX($AD$1005:$AU$1005,1,MATCH(COLUMNS($AD$1006:AM1006),$AD$1006:$AU$1006,0))&gt;=100000), " ",IF(INDEX($AD$2:$AU$1001,MATCH(ROWS($W$2:W153),$W$2:$W$1001,0),MATCH(COLUMNS($AD$1006:AM1006),$AD$1006:$AU$1006,0)), HYPERLINK("#",""), HYPERLINK(CONCATENATE("#metadata!", ADDRESS(INDEX($Y$2:$Y$1001,MATCH(ROWS($W$2:W153),$W$2:$W$1001,0),0), INDEX($AD$1004:$AU$1004,1,MATCH(COLUMNS($AD$1006:AM1006),$AD$1006:$AU$1006,0)))),"Fix")))</f>
        <v xml:space="preserve"> </v>
      </c>
      <c r="L153" s="4" t="str">
        <f ca="1">IF(OR(INDEX($X$2:$X$1001,MATCH(ROWS($W$2:W153),$W$2:$W$1001,0),1)&gt;=100000,INDEX($AD$1005:$AU$1005,1,MATCH(COLUMNS($AD$1006:AN1006),$AD$1006:$AU$1006,0))&gt;=100000), " ",IF(INDEX($AD$2:$AU$1001,MATCH(ROWS($W$2:W153),$W$2:$W$1001,0),MATCH(COLUMNS($AD$1006:AN1006),$AD$1006:$AU$1006,0)), HYPERLINK("#",""), HYPERLINK(CONCATENATE("#metadata!", ADDRESS(INDEX($Y$2:$Y$1001,MATCH(ROWS($W$2:W153),$W$2:$W$1001,0),0), INDEX($AD$1004:$AU$1004,1,MATCH(COLUMNS($AD$1006:AN1006),$AD$1006:$AU$1006,0)))),"Fix")))</f>
        <v xml:space="preserve"> </v>
      </c>
      <c r="M153" s="4" t="str">
        <f ca="1">IF(OR(INDEX($X$2:$X$1001,MATCH(ROWS($W$2:W153),$W$2:$W$1001,0),1)&gt;=100000,INDEX($AD$1005:$AU$1005,1,MATCH(COLUMNS($AD$1006:AO1006),$AD$1006:$AU$1006,0))&gt;=100000), " ",IF(INDEX($AD$2:$AU$1001,MATCH(ROWS($W$2:W153),$W$2:$W$1001,0),MATCH(COLUMNS($AD$1006:AO1006),$AD$1006:$AU$1006,0)), HYPERLINK("#",""), HYPERLINK(CONCATENATE("#metadata!", ADDRESS(INDEX($Y$2:$Y$1001,MATCH(ROWS($W$2:W153),$W$2:$W$1001,0),0), INDEX($AD$1004:$AU$1004,1,MATCH(COLUMNS($AD$1006:AO1006),$AD$1006:$AU$1006,0)))),"Fix")))</f>
        <v xml:space="preserve"> </v>
      </c>
      <c r="N153" s="4" t="str">
        <f ca="1">IF(OR(INDEX($X$2:$X$1001,MATCH(ROWS($W$2:W153),$W$2:$W$1001,0),1)&gt;=100000,INDEX($AD$1005:$AU$1005,1,MATCH(COLUMNS($AD$1006:AP1006),$AD$1006:$AU$1006,0))&gt;=100000), " ",IF(INDEX($AD$2:$AU$1001,MATCH(ROWS($W$2:W153),$W$2:$W$1001,0),MATCH(COLUMNS($AD$1006:AP1006),$AD$1006:$AU$1006,0)), HYPERLINK("#",""), HYPERLINK(CONCATENATE("#metadata!", ADDRESS(INDEX($Y$2:$Y$1001,MATCH(ROWS($W$2:W153),$W$2:$W$1001,0),0), INDEX($AD$1004:$AU$1004,1,MATCH(COLUMNS($AD$1006:AP1006),$AD$1006:$AU$1006,0)))),"Fix")))</f>
        <v xml:space="preserve"> </v>
      </c>
      <c r="O153" s="4" t="str">
        <f ca="1">IF(OR(INDEX($X$2:$X$1001,MATCH(ROWS($W$2:W153),$W$2:$W$1001,0),1)&gt;=100000,INDEX($AD$1005:$AU$1005,1,MATCH(COLUMNS($AD$1006:AQ1006),$AD$1006:$AU$1006,0))&gt;=100000), " ",IF(INDEX($AD$2:$AU$1001,MATCH(ROWS($W$2:W153),$W$2:$W$1001,0),MATCH(COLUMNS($AD$1006:AQ1006),$AD$1006:$AU$1006,0)), HYPERLINK("#",""), HYPERLINK(CONCATENATE("#metadata!", ADDRESS(INDEX($Y$2:$Y$1001,MATCH(ROWS($W$2:W153),$W$2:$W$1001,0),0), INDEX($AD$1004:$AU$1004,1,MATCH(COLUMNS($AD$1006:AQ1006),$AD$1006:$AU$1006,0)))),"Fix")))</f>
        <v xml:space="preserve"> </v>
      </c>
      <c r="P153" s="4" t="str">
        <f ca="1">IF(OR(INDEX($X$2:$X$1001,MATCH(ROWS($W$2:W153),$W$2:$W$1001,0),1)&gt;=100000,INDEX($AD$1005:$AU$1005,1,MATCH(COLUMNS($AD$1006:AR1006),$AD$1006:$AU$1006,0))&gt;=100000), " ",IF(INDEX($AD$2:$AU$1001,MATCH(ROWS($W$2:W153),$W$2:$W$1001,0),MATCH(COLUMNS($AD$1006:AR1006),$AD$1006:$AU$1006,0)), HYPERLINK("#",""), HYPERLINK(CONCATENATE("#metadata!", ADDRESS(INDEX($Y$2:$Y$1001,MATCH(ROWS($W$2:W153),$W$2:$W$1001,0),0), INDEX($AD$1004:$AU$1004,1,MATCH(COLUMNS($AD$1006:AR1006),$AD$1006:$AU$1006,0)))),"Fix")))</f>
        <v xml:space="preserve"> </v>
      </c>
      <c r="Q153" s="4" t="str">
        <f ca="1">IF(OR(INDEX($X$2:$X$1001,MATCH(ROWS($W$2:W153),$W$2:$W$1001,0),1)&gt;=100000,INDEX($AD$1005:$AU$1005,1,MATCH(COLUMNS($AD$1006:AS1006),$AD$1006:$AU$1006,0))&gt;=100000), " ",IF(INDEX($AD$2:$AU$1001,MATCH(ROWS($W$2:W153),$W$2:$W$1001,0),MATCH(COLUMNS($AD$1006:AS1006),$AD$1006:$AU$1006,0)), HYPERLINK("#",""), HYPERLINK(CONCATENATE("#metadata!", ADDRESS(INDEX($Y$2:$Y$1001,MATCH(ROWS($W$2:W153),$W$2:$W$1001,0),0), INDEX($AD$1004:$AU$1004,1,MATCH(COLUMNS($AD$1006:AS1006),$AD$1006:$AU$1006,0)))),"Fix")))</f>
        <v xml:space="preserve"> </v>
      </c>
      <c r="R153" s="4" t="str">
        <f ca="1">IF(OR(INDEX($X$2:$X$1001,MATCH(ROWS($W$2:W153),$W$2:$W$1001,0),1)&gt;=100000,INDEX($AD$1005:$AU$1005,1,MATCH(COLUMNS($AD$1006:AT1006),$AD$1006:$AU$1006,0))&gt;=100000), " ",IF(INDEX($AD$2:$AU$1001,MATCH(ROWS($W$2:W153),$W$2:$W$1001,0),MATCH(COLUMNS($AD$1006:AT1006),$AD$1006:$AU$1006,0)), HYPERLINK("#",""), HYPERLINK(CONCATENATE("#metadata!", ADDRESS(INDEX($Y$2:$Y$1001,MATCH(ROWS($W$2:W153),$W$2:$W$1001,0),0), INDEX($AD$1004:$AU$1004,1,MATCH(COLUMNS($AD$1006:AT1006),$AD$1006:$AU$1006,0)))),"Fix")))</f>
        <v xml:space="preserve"> </v>
      </c>
      <c r="S153" s="4" t="str">
        <f ca="1">IF(OR(INDEX($X$2:$X$1001,MATCH(ROWS($W$2:W153),$W$2:$W$1001,0),1)&gt;=100000,INDEX($AD$1005:$AU$1005,1,MATCH(COLUMNS($AD$1006:AU1006),$AD$1006:$AU$1006,0))&gt;=100000), " ",IF(INDEX($AD$2:$AU$1001,MATCH(ROWS($W$2:W153),$W$2:$W$1001,0),MATCH(COLUMNS($AD$1006:AU1006),$AD$1006:$AU$1006,0)), HYPERLINK("#",""), HYPERLINK(CONCATENATE("#metadata!", ADDRESS(INDEX($Y$2:$Y$1001,MATCH(ROWS($W$2:W153),$W$2:$W$1001,0),0), INDEX($AD$1004:$AU$1004,1,MATCH(COLUMNS($AD$1006:AU1006),$AD$1006:$AU$1006,0)))),"Fix")))</f>
        <v xml:space="preserve"> </v>
      </c>
      <c r="W153">
        <v>152</v>
      </c>
      <c r="X153">
        <v>100153</v>
      </c>
      <c r="Y153">
        <v>153</v>
      </c>
      <c r="Z153" t="b">
        <f t="shared" si="2"/>
        <v>1</v>
      </c>
      <c r="AA153" t="b">
        <f>COUNTBLANK(metadata!B153:S153)=COLUMNS(metadata!B153:S153)</f>
        <v>1</v>
      </c>
      <c r="AB153" t="str">
        <v/>
      </c>
      <c r="AD153" t="b">
        <f ca="1">AND(IF(metadata!B153="",FALSE,TRUE),COUNTIF(metadata!B:B, metadata!B153) = 1,NOT(ISERROR(SUMPRODUCT(SEARCH(MID(metadata!B153,ROW(INDIRECT("1:"&amp;LEN(metadata!B153))), 1),"0123456789abcdefghijklmnopqrstuvwxyzABCDEFGHIJKLMNOPQRSTUVWXYZ.")))))</f>
        <v>0</v>
      </c>
      <c r="AE153" t="b">
        <f>OR(AND(IF(metadata!C153="",FALSE,TRUE),OR(EXACT(metadata!C153,"not applicable"),EXACT(metadata!C153,"missing: not collected"),EXACT(metadata!C153,"missing: not provided"),EXACT(metadata!C153,"missing: restricted access"))),AND(IF(metadata!C153="",FALSE,ISNUMBER(VALUE(metadata!C153))),metadata!C153&gt;0))</f>
        <v>0</v>
      </c>
      <c r="AF153" t="b">
        <f>AND(IF(metadata!D153="",FALSE,TRUE),EXACT(metadata!D153,"missing: not provided"))</f>
        <v>0</v>
      </c>
      <c r="AG153" t="b">
        <f>AND(IF(metadata!E153="",FALSE,TRUE),EXACT(metadata!E153,"Host-associated"))</f>
        <v>0</v>
      </c>
      <c r="AH153" t="b">
        <f>AND(IF(metadata!F153="",FALSE,TRUE),OR(EXACT(metadata!F153,"Animal"),EXACT(metadata!F153,"Fungus"),EXACT(metadata!F153,"Plant")))</f>
        <v>0</v>
      </c>
      <c r="AI153" t="b">
        <f>AND(IF(metadata!G153="",FALSE,TRUE),OR(EXACT(metadata!G153,"Plant secretion"),EXACT(metadata!G153,"Plant rhizosphere"),EXACT(metadata!G153,"Plant surface"),EXACT(metadata!G153,"Plant corpus"),EXACT(metadata!G153,"Fungus surface"),EXACT(metadata!G153,"Fungus corpus"),EXACT(metadata!G153,"Animal surface"),EXACT(metadata!G153,"Animal proximal gut"),EXACT(metadata!G153,"Animal corpus"),EXACT(metadata!G153,"Animal distal gut"),EXACT(metadata!G153,"Animal secretion")))</f>
        <v>0</v>
      </c>
      <c r="AJ153" t="b">
        <f>OR(AND(IF(metadata!H153="",FALSE,TRUE),OR(EXACT(metadata!H153,"missing: not collected"),EXACT(metadata!H153,"missing: not provided"),EXACT(metadata!H153,"missing: restricted access"))),AND(IF(metadata!H153="",FALSE,TRUE),OR(EXACT(metadata!H153,"organism-associated habitat"),EXACT(metadata!H153,"plant-associated habitat"),EXACT(metadata!H153,"animal-associated habitat"),EXACT(metadata!H153,"insecta-associated habitat"),EXACT(metadata!H153,"mammalia-associated habitat"),EXACT(metadata!H153,"human-associated habitat"),EXACT(metadata!H153,"livestock-associated habitat"))))</f>
        <v>0</v>
      </c>
      <c r="AK153" t="b">
        <f>AND(IF(metadata!I153="",FALSE,TRUE),EXACT(metadata!I153,"host-associated"))</f>
        <v>0</v>
      </c>
      <c r="AL153" t="b">
        <f>OR(AND(IF(metadata!J153="",FALSE,TRUE),OR(EXACT(metadata!J153,"not applicable"),EXACT(metadata!J153,"missing: not collected"),EXACT(metadata!J153,"missing: not provided"),EXACT(metadata!J153,"missing: restricted access"))),AND(IF(metadata!J153="",FALSE,ISNUMBER(VALUE(metadata!J153))),metadata!J153&gt;0))</f>
        <v>0</v>
      </c>
      <c r="AM153" t="b">
        <f>AND(IF(metadata!K153="",FALSE,TRUE),EXACT(metadata!K153,"missing: not provided"))</f>
        <v>0</v>
      </c>
      <c r="AN153" t="b">
        <f>IF(metadata!L153="",FALSE,TRUE)</f>
        <v>0</v>
      </c>
      <c r="AO153" t="b">
        <f>IF(metadata!M153="",FALSE,TRUE)</f>
        <v>0</v>
      </c>
      <c r="AP153" t="b">
        <f>OR(AND(IF(metadata!N153="",FALSE,TRUE),OR(EXACT(metadata!N153,"not applicable"),EXACT(metadata!N153,"missing: not collected"),EXACT(metadata!N153,"missing: not provided"))),AND(IF(metadata!N153="",FALSE,IF(ISERROR(INT(metadata!N153)),FALSE,INT(metadata!N153)=metadata!N153)),metadata!N153&gt;0))</f>
        <v>0</v>
      </c>
      <c r="AQ153" t="b">
        <f>AND(IF(metadata!O153="",FALSE,TRUE),EXACT(metadata!O153,"Not applicable"))</f>
        <v>0</v>
      </c>
      <c r="AR153" t="b">
        <f>OR(AND(IF(metadata!P153="",FALSE,TRUE),OR(EXACT(metadata!P153,"not applicable"),EXACT(metadata!P153,"missing: not collected"),EXACT(metadata!P153,"missing: not provided"),EXACT(metadata!P153,"missing: restricted access"))),IF(metadata!P153="",FALSE,IF(ISERROR(INT(metadata!P153)),FALSE,INT(metadata!P153)=metadata!P153)))</f>
        <v>0</v>
      </c>
      <c r="AS153" t="b">
        <f>AND(IF(metadata!Q153="",FALSE,TRUE),EXACT(metadata!Q153,"Not applicable"))</f>
        <v>0</v>
      </c>
      <c r="AT153" t="b">
        <f>OR(AND(IF(metadata!R153="",FALSE,TRUE),OR(EXACT(metadata!R153,"not applicable"),EXACT(metadata!R153,"missing: not collected"),EXACT(metadata!R153,"missing: not provided"),EXACT(metadata!R153,"missing: restricted access"))),AND(IF(metadata!R153="",FALSE,ISNUMBER(VALUE(metadata!R153))),metadata!R153&gt;0))</f>
        <v>0</v>
      </c>
      <c r="AU153" t="b">
        <f>AND(IF(metadata!S153="",FALSE,TRUE),EXACT(metadata!S153,"missing: not provided"))</f>
        <v>0</v>
      </c>
    </row>
    <row r="154" spans="1:47" x14ac:dyDescent="0.2">
      <c r="A154" s="5" t="str">
        <f ca="1">IF(B154=" "," ",HYPERLINK(CONCATENATE("#metadata!",ADDRESS(INDEX($Y$2:$Y$1001,MATCH(ROWS($W$2:W154),$W$2:$W$1001,0),0),1)),INDEX($AB$2:$AB$1001,MATCH(ROWS($W$2:W154),$W$2:$W$1001,0),0)))</f>
        <v xml:space="preserve"> </v>
      </c>
      <c r="B154" s="4" t="str">
        <f ca="1">IF(OR(INDEX($X$2:$X$1001,MATCH(ROWS($W$2:W154),$W$2:$W$1001,0),1)&gt;=100000,INDEX($AD$1005:$AU$1005,1,MATCH(COLUMNS($AD$1006:AD1006),$AD$1006:$AU$1006,0))&gt;=100000), " ",IF(INDEX($AD$2:$AU$1001,MATCH(ROWS($W$2:W154),$W$2:$W$1001,0),MATCH(COLUMNS($AD$1006:AD1006),$AD$1006:$AU$1006,0)), HYPERLINK("#",""), HYPERLINK(CONCATENATE("#metadata!", ADDRESS(INDEX($Y$2:$Y$1001,MATCH(ROWS($W$2:W154),$W$2:$W$1001,0),0), INDEX($AD$1004:$AU$1004,1,MATCH(COLUMNS($AD$1006:AD1006),$AD$1006:$AU$1006,0)))),"Fix")))</f>
        <v xml:space="preserve"> </v>
      </c>
      <c r="C154" s="4" t="str">
        <f ca="1">IF(OR(INDEX($X$2:$X$1001,MATCH(ROWS($W$2:W154),$W$2:$W$1001,0),1)&gt;=100000,INDEX($AD$1005:$AU$1005,1,MATCH(COLUMNS($AD$1006:AE1006),$AD$1006:$AU$1006,0))&gt;=100000), " ",IF(INDEX($AD$2:$AU$1001,MATCH(ROWS($W$2:W154),$W$2:$W$1001,0),MATCH(COLUMNS($AD$1006:AE1006),$AD$1006:$AU$1006,0)), HYPERLINK("#",""), HYPERLINK(CONCATENATE("#metadata!", ADDRESS(INDEX($Y$2:$Y$1001,MATCH(ROWS($W$2:W154),$W$2:$W$1001,0),0), INDEX($AD$1004:$AU$1004,1,MATCH(COLUMNS($AD$1006:AE1006),$AD$1006:$AU$1006,0)))),"Fix")))</f>
        <v xml:space="preserve"> </v>
      </c>
      <c r="D154" s="4" t="str">
        <f ca="1">IF(OR(INDEX($X$2:$X$1001,MATCH(ROWS($W$2:W154),$W$2:$W$1001,0),1)&gt;=100000,INDEX($AD$1005:$AU$1005,1,MATCH(COLUMNS($AD$1006:AF1006),$AD$1006:$AU$1006,0))&gt;=100000), " ",IF(INDEX($AD$2:$AU$1001,MATCH(ROWS($W$2:W154),$W$2:$W$1001,0),MATCH(COLUMNS($AD$1006:AF1006),$AD$1006:$AU$1006,0)), HYPERLINK("#",""), HYPERLINK(CONCATENATE("#metadata!", ADDRESS(INDEX($Y$2:$Y$1001,MATCH(ROWS($W$2:W154),$W$2:$W$1001,0),0), INDEX($AD$1004:$AU$1004,1,MATCH(COLUMNS($AD$1006:AF1006),$AD$1006:$AU$1006,0)))),"Fix")))</f>
        <v xml:space="preserve"> </v>
      </c>
      <c r="E154" s="4" t="str">
        <f ca="1">IF(OR(INDEX($X$2:$X$1001,MATCH(ROWS($W$2:W154),$W$2:$W$1001,0),1)&gt;=100000,INDEX($AD$1005:$AU$1005,1,MATCH(COLUMNS($AD$1006:AG1006),$AD$1006:$AU$1006,0))&gt;=100000), " ",IF(INDEX($AD$2:$AU$1001,MATCH(ROWS($W$2:W154),$W$2:$W$1001,0),MATCH(COLUMNS($AD$1006:AG1006),$AD$1006:$AU$1006,0)), HYPERLINK("#",""), HYPERLINK(CONCATENATE("#metadata!", ADDRESS(INDEX($Y$2:$Y$1001,MATCH(ROWS($W$2:W154),$W$2:$W$1001,0),0), INDEX($AD$1004:$AU$1004,1,MATCH(COLUMNS($AD$1006:AG1006),$AD$1006:$AU$1006,0)))),"Fix")))</f>
        <v xml:space="preserve"> </v>
      </c>
      <c r="F154" s="4" t="str">
        <f ca="1">IF(OR(INDEX($X$2:$X$1001,MATCH(ROWS($W$2:W154),$W$2:$W$1001,0),1)&gt;=100000,INDEX($AD$1005:$AU$1005,1,MATCH(COLUMNS($AD$1006:AH1006),$AD$1006:$AU$1006,0))&gt;=100000), " ",IF(INDEX($AD$2:$AU$1001,MATCH(ROWS($W$2:W154),$W$2:$W$1001,0),MATCH(COLUMNS($AD$1006:AH1006),$AD$1006:$AU$1006,0)), HYPERLINK("#",""), HYPERLINK(CONCATENATE("#metadata!", ADDRESS(INDEX($Y$2:$Y$1001,MATCH(ROWS($W$2:W154),$W$2:$W$1001,0),0), INDEX($AD$1004:$AU$1004,1,MATCH(COLUMNS($AD$1006:AH1006),$AD$1006:$AU$1006,0)))),"Fix")))</f>
        <v xml:space="preserve"> </v>
      </c>
      <c r="G154" s="4" t="str">
        <f ca="1">IF(OR(INDEX($X$2:$X$1001,MATCH(ROWS($W$2:W154),$W$2:$W$1001,0),1)&gt;=100000,INDEX($AD$1005:$AU$1005,1,MATCH(COLUMNS($AD$1006:AI1006),$AD$1006:$AU$1006,0))&gt;=100000), " ",IF(INDEX($AD$2:$AU$1001,MATCH(ROWS($W$2:W154),$W$2:$W$1001,0),MATCH(COLUMNS($AD$1006:AI1006),$AD$1006:$AU$1006,0)), HYPERLINK("#",""), HYPERLINK(CONCATENATE("#metadata!", ADDRESS(INDEX($Y$2:$Y$1001,MATCH(ROWS($W$2:W154),$W$2:$W$1001,0),0), INDEX($AD$1004:$AU$1004,1,MATCH(COLUMNS($AD$1006:AI1006),$AD$1006:$AU$1006,0)))),"Fix")))</f>
        <v xml:space="preserve"> </v>
      </c>
      <c r="H154" s="4" t="str">
        <f ca="1">IF(OR(INDEX($X$2:$X$1001,MATCH(ROWS($W$2:W154),$W$2:$W$1001,0),1)&gt;=100000,INDEX($AD$1005:$AU$1005,1,MATCH(COLUMNS($AD$1006:AJ1006),$AD$1006:$AU$1006,0))&gt;=100000), " ",IF(INDEX($AD$2:$AU$1001,MATCH(ROWS($W$2:W154),$W$2:$W$1001,0),MATCH(COLUMNS($AD$1006:AJ1006),$AD$1006:$AU$1006,0)), HYPERLINK("#",""), HYPERLINK(CONCATENATE("#metadata!", ADDRESS(INDEX($Y$2:$Y$1001,MATCH(ROWS($W$2:W154),$W$2:$W$1001,0),0), INDEX($AD$1004:$AU$1004,1,MATCH(COLUMNS($AD$1006:AJ1006),$AD$1006:$AU$1006,0)))),"Fix")))</f>
        <v xml:space="preserve"> </v>
      </c>
      <c r="I154" s="4" t="str">
        <f ca="1">IF(OR(INDEX($X$2:$X$1001,MATCH(ROWS($W$2:W154),$W$2:$W$1001,0),1)&gt;=100000,INDEX($AD$1005:$AU$1005,1,MATCH(COLUMNS($AD$1006:AK1006),$AD$1006:$AU$1006,0))&gt;=100000), " ",IF(INDEX($AD$2:$AU$1001,MATCH(ROWS($W$2:W154),$W$2:$W$1001,0),MATCH(COLUMNS($AD$1006:AK1006),$AD$1006:$AU$1006,0)), HYPERLINK("#",""), HYPERLINK(CONCATENATE("#metadata!", ADDRESS(INDEX($Y$2:$Y$1001,MATCH(ROWS($W$2:W154),$W$2:$W$1001,0),0), INDEX($AD$1004:$AU$1004,1,MATCH(COLUMNS($AD$1006:AK1006),$AD$1006:$AU$1006,0)))),"Fix")))</f>
        <v xml:space="preserve"> </v>
      </c>
      <c r="J154" s="4" t="str">
        <f ca="1">IF(OR(INDEX($X$2:$X$1001,MATCH(ROWS($W$2:W154),$W$2:$W$1001,0),1)&gt;=100000,INDEX($AD$1005:$AU$1005,1,MATCH(COLUMNS($AD$1006:AL1006),$AD$1006:$AU$1006,0))&gt;=100000), " ",IF(INDEX($AD$2:$AU$1001,MATCH(ROWS($W$2:W154),$W$2:$W$1001,0),MATCH(COLUMNS($AD$1006:AL1006),$AD$1006:$AU$1006,0)), HYPERLINK("#",""), HYPERLINK(CONCATENATE("#metadata!", ADDRESS(INDEX($Y$2:$Y$1001,MATCH(ROWS($W$2:W154),$W$2:$W$1001,0),0), INDEX($AD$1004:$AU$1004,1,MATCH(COLUMNS($AD$1006:AL1006),$AD$1006:$AU$1006,0)))),"Fix")))</f>
        <v xml:space="preserve"> </v>
      </c>
      <c r="K154" s="4" t="str">
        <f ca="1">IF(OR(INDEX($X$2:$X$1001,MATCH(ROWS($W$2:W154),$W$2:$W$1001,0),1)&gt;=100000,INDEX($AD$1005:$AU$1005,1,MATCH(COLUMNS($AD$1006:AM1006),$AD$1006:$AU$1006,0))&gt;=100000), " ",IF(INDEX($AD$2:$AU$1001,MATCH(ROWS($W$2:W154),$W$2:$W$1001,0),MATCH(COLUMNS($AD$1006:AM1006),$AD$1006:$AU$1006,0)), HYPERLINK("#",""), HYPERLINK(CONCATENATE("#metadata!", ADDRESS(INDEX($Y$2:$Y$1001,MATCH(ROWS($W$2:W154),$W$2:$W$1001,0),0), INDEX($AD$1004:$AU$1004,1,MATCH(COLUMNS($AD$1006:AM1006),$AD$1006:$AU$1006,0)))),"Fix")))</f>
        <v xml:space="preserve"> </v>
      </c>
      <c r="L154" s="4" t="str">
        <f ca="1">IF(OR(INDEX($X$2:$X$1001,MATCH(ROWS($W$2:W154),$W$2:$W$1001,0),1)&gt;=100000,INDEX($AD$1005:$AU$1005,1,MATCH(COLUMNS($AD$1006:AN1006),$AD$1006:$AU$1006,0))&gt;=100000), " ",IF(INDEX($AD$2:$AU$1001,MATCH(ROWS($W$2:W154),$W$2:$W$1001,0),MATCH(COLUMNS($AD$1006:AN1006),$AD$1006:$AU$1006,0)), HYPERLINK("#",""), HYPERLINK(CONCATENATE("#metadata!", ADDRESS(INDEX($Y$2:$Y$1001,MATCH(ROWS($W$2:W154),$W$2:$W$1001,0),0), INDEX($AD$1004:$AU$1004,1,MATCH(COLUMNS($AD$1006:AN1006),$AD$1006:$AU$1006,0)))),"Fix")))</f>
        <v xml:space="preserve"> </v>
      </c>
      <c r="M154" s="4" t="str">
        <f ca="1">IF(OR(INDEX($X$2:$X$1001,MATCH(ROWS($W$2:W154),$W$2:$W$1001,0),1)&gt;=100000,INDEX($AD$1005:$AU$1005,1,MATCH(COLUMNS($AD$1006:AO1006),$AD$1006:$AU$1006,0))&gt;=100000), " ",IF(INDEX($AD$2:$AU$1001,MATCH(ROWS($W$2:W154),$W$2:$W$1001,0),MATCH(COLUMNS($AD$1006:AO1006),$AD$1006:$AU$1006,0)), HYPERLINK("#",""), HYPERLINK(CONCATENATE("#metadata!", ADDRESS(INDEX($Y$2:$Y$1001,MATCH(ROWS($W$2:W154),$W$2:$W$1001,0),0), INDEX($AD$1004:$AU$1004,1,MATCH(COLUMNS($AD$1006:AO1006),$AD$1006:$AU$1006,0)))),"Fix")))</f>
        <v xml:space="preserve"> </v>
      </c>
      <c r="N154" s="4" t="str">
        <f ca="1">IF(OR(INDEX($X$2:$X$1001,MATCH(ROWS($W$2:W154),$W$2:$W$1001,0),1)&gt;=100000,INDEX($AD$1005:$AU$1005,1,MATCH(COLUMNS($AD$1006:AP1006),$AD$1006:$AU$1006,0))&gt;=100000), " ",IF(INDEX($AD$2:$AU$1001,MATCH(ROWS($W$2:W154),$W$2:$W$1001,0),MATCH(COLUMNS($AD$1006:AP1006),$AD$1006:$AU$1006,0)), HYPERLINK("#",""), HYPERLINK(CONCATENATE("#metadata!", ADDRESS(INDEX($Y$2:$Y$1001,MATCH(ROWS($W$2:W154),$W$2:$W$1001,0),0), INDEX($AD$1004:$AU$1004,1,MATCH(COLUMNS($AD$1006:AP1006),$AD$1006:$AU$1006,0)))),"Fix")))</f>
        <v xml:space="preserve"> </v>
      </c>
      <c r="O154" s="4" t="str">
        <f ca="1">IF(OR(INDEX($X$2:$X$1001,MATCH(ROWS($W$2:W154),$W$2:$W$1001,0),1)&gt;=100000,INDEX($AD$1005:$AU$1005,1,MATCH(COLUMNS($AD$1006:AQ1006),$AD$1006:$AU$1006,0))&gt;=100000), " ",IF(INDEX($AD$2:$AU$1001,MATCH(ROWS($W$2:W154),$W$2:$W$1001,0),MATCH(COLUMNS($AD$1006:AQ1006),$AD$1006:$AU$1006,0)), HYPERLINK("#",""), HYPERLINK(CONCATENATE("#metadata!", ADDRESS(INDEX($Y$2:$Y$1001,MATCH(ROWS($W$2:W154),$W$2:$W$1001,0),0), INDEX($AD$1004:$AU$1004,1,MATCH(COLUMNS($AD$1006:AQ1006),$AD$1006:$AU$1006,0)))),"Fix")))</f>
        <v xml:space="preserve"> </v>
      </c>
      <c r="P154" s="4" t="str">
        <f ca="1">IF(OR(INDEX($X$2:$X$1001,MATCH(ROWS($W$2:W154),$W$2:$W$1001,0),1)&gt;=100000,INDEX($AD$1005:$AU$1005,1,MATCH(COLUMNS($AD$1006:AR1006),$AD$1006:$AU$1006,0))&gt;=100000), " ",IF(INDEX($AD$2:$AU$1001,MATCH(ROWS($W$2:W154),$W$2:$W$1001,0),MATCH(COLUMNS($AD$1006:AR1006),$AD$1006:$AU$1006,0)), HYPERLINK("#",""), HYPERLINK(CONCATENATE("#metadata!", ADDRESS(INDEX($Y$2:$Y$1001,MATCH(ROWS($W$2:W154),$W$2:$W$1001,0),0), INDEX($AD$1004:$AU$1004,1,MATCH(COLUMNS($AD$1006:AR1006),$AD$1006:$AU$1006,0)))),"Fix")))</f>
        <v xml:space="preserve"> </v>
      </c>
      <c r="Q154" s="4" t="str">
        <f ca="1">IF(OR(INDEX($X$2:$X$1001,MATCH(ROWS($W$2:W154),$W$2:$W$1001,0),1)&gt;=100000,INDEX($AD$1005:$AU$1005,1,MATCH(COLUMNS($AD$1006:AS1006),$AD$1006:$AU$1006,0))&gt;=100000), " ",IF(INDEX($AD$2:$AU$1001,MATCH(ROWS($W$2:W154),$W$2:$W$1001,0),MATCH(COLUMNS($AD$1006:AS1006),$AD$1006:$AU$1006,0)), HYPERLINK("#",""), HYPERLINK(CONCATENATE("#metadata!", ADDRESS(INDEX($Y$2:$Y$1001,MATCH(ROWS($W$2:W154),$W$2:$W$1001,0),0), INDEX($AD$1004:$AU$1004,1,MATCH(COLUMNS($AD$1006:AS1006),$AD$1006:$AU$1006,0)))),"Fix")))</f>
        <v xml:space="preserve"> </v>
      </c>
      <c r="R154" s="4" t="str">
        <f ca="1">IF(OR(INDEX($X$2:$X$1001,MATCH(ROWS($W$2:W154),$W$2:$W$1001,0),1)&gt;=100000,INDEX($AD$1005:$AU$1005,1,MATCH(COLUMNS($AD$1006:AT1006),$AD$1006:$AU$1006,0))&gt;=100000), " ",IF(INDEX($AD$2:$AU$1001,MATCH(ROWS($W$2:W154),$W$2:$W$1001,0),MATCH(COLUMNS($AD$1006:AT1006),$AD$1006:$AU$1006,0)), HYPERLINK("#",""), HYPERLINK(CONCATENATE("#metadata!", ADDRESS(INDEX($Y$2:$Y$1001,MATCH(ROWS($W$2:W154),$W$2:$W$1001,0),0), INDEX($AD$1004:$AU$1004,1,MATCH(COLUMNS($AD$1006:AT1006),$AD$1006:$AU$1006,0)))),"Fix")))</f>
        <v xml:space="preserve"> </v>
      </c>
      <c r="S154" s="4" t="str">
        <f ca="1">IF(OR(INDEX($X$2:$X$1001,MATCH(ROWS($W$2:W154),$W$2:$W$1001,0),1)&gt;=100000,INDEX($AD$1005:$AU$1005,1,MATCH(COLUMNS($AD$1006:AU1006),$AD$1006:$AU$1006,0))&gt;=100000), " ",IF(INDEX($AD$2:$AU$1001,MATCH(ROWS($W$2:W154),$W$2:$W$1001,0),MATCH(COLUMNS($AD$1006:AU1006),$AD$1006:$AU$1006,0)), HYPERLINK("#",""), HYPERLINK(CONCATENATE("#metadata!", ADDRESS(INDEX($Y$2:$Y$1001,MATCH(ROWS($W$2:W154),$W$2:$W$1001,0),0), INDEX($AD$1004:$AU$1004,1,MATCH(COLUMNS($AD$1006:AU1006),$AD$1006:$AU$1006,0)))),"Fix")))</f>
        <v xml:space="preserve"> </v>
      </c>
      <c r="W154">
        <v>153</v>
      </c>
      <c r="X154">
        <v>100154</v>
      </c>
      <c r="Y154">
        <v>154</v>
      </c>
      <c r="Z154" t="b">
        <f t="shared" si="2"/>
        <v>1</v>
      </c>
      <c r="AA154" t="b">
        <f>COUNTBLANK(metadata!B154:S154)=COLUMNS(metadata!B154:S154)</f>
        <v>1</v>
      </c>
      <c r="AB154" t="str">
        <v/>
      </c>
      <c r="AD154" t="b">
        <f ca="1">AND(IF(metadata!B154="",FALSE,TRUE),COUNTIF(metadata!B:B, metadata!B154) = 1,NOT(ISERROR(SUMPRODUCT(SEARCH(MID(metadata!B154,ROW(INDIRECT("1:"&amp;LEN(metadata!B154))), 1),"0123456789abcdefghijklmnopqrstuvwxyzABCDEFGHIJKLMNOPQRSTUVWXYZ.")))))</f>
        <v>0</v>
      </c>
      <c r="AE154" t="b">
        <f>OR(AND(IF(metadata!C154="",FALSE,TRUE),OR(EXACT(metadata!C154,"not applicable"),EXACT(metadata!C154,"missing: not collected"),EXACT(metadata!C154,"missing: not provided"),EXACT(metadata!C154,"missing: restricted access"))),AND(IF(metadata!C154="",FALSE,ISNUMBER(VALUE(metadata!C154))),metadata!C154&gt;0))</f>
        <v>0</v>
      </c>
      <c r="AF154" t="b">
        <f>AND(IF(metadata!D154="",FALSE,TRUE),EXACT(metadata!D154,"missing: not provided"))</f>
        <v>0</v>
      </c>
      <c r="AG154" t="b">
        <f>AND(IF(metadata!E154="",FALSE,TRUE),EXACT(metadata!E154,"Host-associated"))</f>
        <v>0</v>
      </c>
      <c r="AH154" t="b">
        <f>AND(IF(metadata!F154="",FALSE,TRUE),OR(EXACT(metadata!F154,"Animal"),EXACT(metadata!F154,"Fungus"),EXACT(metadata!F154,"Plant")))</f>
        <v>0</v>
      </c>
      <c r="AI154" t="b">
        <f>AND(IF(metadata!G154="",FALSE,TRUE),OR(EXACT(metadata!G154,"Plant secretion"),EXACT(metadata!G154,"Plant rhizosphere"),EXACT(metadata!G154,"Plant surface"),EXACT(metadata!G154,"Plant corpus"),EXACT(metadata!G154,"Fungus surface"),EXACT(metadata!G154,"Fungus corpus"),EXACT(metadata!G154,"Animal surface"),EXACT(metadata!G154,"Animal proximal gut"),EXACT(metadata!G154,"Animal corpus"),EXACT(metadata!G154,"Animal distal gut"),EXACT(metadata!G154,"Animal secretion")))</f>
        <v>0</v>
      </c>
      <c r="AJ154" t="b">
        <f>OR(AND(IF(metadata!H154="",FALSE,TRUE),OR(EXACT(metadata!H154,"missing: not collected"),EXACT(metadata!H154,"missing: not provided"),EXACT(metadata!H154,"missing: restricted access"))),AND(IF(metadata!H154="",FALSE,TRUE),OR(EXACT(metadata!H154,"organism-associated habitat"),EXACT(metadata!H154,"plant-associated habitat"),EXACT(metadata!H154,"animal-associated habitat"),EXACT(metadata!H154,"insecta-associated habitat"),EXACT(metadata!H154,"mammalia-associated habitat"),EXACT(metadata!H154,"human-associated habitat"),EXACT(metadata!H154,"livestock-associated habitat"))))</f>
        <v>0</v>
      </c>
      <c r="AK154" t="b">
        <f>AND(IF(metadata!I154="",FALSE,TRUE),EXACT(metadata!I154,"host-associated"))</f>
        <v>0</v>
      </c>
      <c r="AL154" t="b">
        <f>OR(AND(IF(metadata!J154="",FALSE,TRUE),OR(EXACT(metadata!J154,"not applicable"),EXACT(metadata!J154,"missing: not collected"),EXACT(metadata!J154,"missing: not provided"),EXACT(metadata!J154,"missing: restricted access"))),AND(IF(metadata!J154="",FALSE,ISNUMBER(VALUE(metadata!J154))),metadata!J154&gt;0))</f>
        <v>0</v>
      </c>
      <c r="AM154" t="b">
        <f>AND(IF(metadata!K154="",FALSE,TRUE),EXACT(metadata!K154,"missing: not provided"))</f>
        <v>0</v>
      </c>
      <c r="AN154" t="b">
        <f>IF(metadata!L154="",FALSE,TRUE)</f>
        <v>0</v>
      </c>
      <c r="AO154" t="b">
        <f>IF(metadata!M154="",FALSE,TRUE)</f>
        <v>0</v>
      </c>
      <c r="AP154" t="b">
        <f>OR(AND(IF(metadata!N154="",FALSE,TRUE),OR(EXACT(metadata!N154,"not applicable"),EXACT(metadata!N154,"missing: not collected"),EXACT(metadata!N154,"missing: not provided"))),AND(IF(metadata!N154="",FALSE,IF(ISERROR(INT(metadata!N154)),FALSE,INT(metadata!N154)=metadata!N154)),metadata!N154&gt;0))</f>
        <v>0</v>
      </c>
      <c r="AQ154" t="b">
        <f>AND(IF(metadata!O154="",FALSE,TRUE),EXACT(metadata!O154,"Not applicable"))</f>
        <v>0</v>
      </c>
      <c r="AR154" t="b">
        <f>OR(AND(IF(metadata!P154="",FALSE,TRUE),OR(EXACT(metadata!P154,"not applicable"),EXACT(metadata!P154,"missing: not collected"),EXACT(metadata!P154,"missing: not provided"),EXACT(metadata!P154,"missing: restricted access"))),IF(metadata!P154="",FALSE,IF(ISERROR(INT(metadata!P154)),FALSE,INT(metadata!P154)=metadata!P154)))</f>
        <v>0</v>
      </c>
      <c r="AS154" t="b">
        <f>AND(IF(metadata!Q154="",FALSE,TRUE),EXACT(metadata!Q154,"Not applicable"))</f>
        <v>0</v>
      </c>
      <c r="AT154" t="b">
        <f>OR(AND(IF(metadata!R154="",FALSE,TRUE),OR(EXACT(metadata!R154,"not applicable"),EXACT(metadata!R154,"missing: not collected"),EXACT(metadata!R154,"missing: not provided"),EXACT(metadata!R154,"missing: restricted access"))),AND(IF(metadata!R154="",FALSE,ISNUMBER(VALUE(metadata!R154))),metadata!R154&gt;0))</f>
        <v>0</v>
      </c>
      <c r="AU154" t="b">
        <f>AND(IF(metadata!S154="",FALSE,TRUE),EXACT(metadata!S154,"missing: not provided"))</f>
        <v>0</v>
      </c>
    </row>
    <row r="155" spans="1:47" x14ac:dyDescent="0.2">
      <c r="A155" s="5" t="str">
        <f ca="1">IF(B155=" "," ",HYPERLINK(CONCATENATE("#metadata!",ADDRESS(INDEX($Y$2:$Y$1001,MATCH(ROWS($W$2:W155),$W$2:$W$1001,0),0),1)),INDEX($AB$2:$AB$1001,MATCH(ROWS($W$2:W155),$W$2:$W$1001,0),0)))</f>
        <v xml:space="preserve"> </v>
      </c>
      <c r="B155" s="4" t="str">
        <f ca="1">IF(OR(INDEX($X$2:$X$1001,MATCH(ROWS($W$2:W155),$W$2:$W$1001,0),1)&gt;=100000,INDEX($AD$1005:$AU$1005,1,MATCH(COLUMNS($AD$1006:AD1006),$AD$1006:$AU$1006,0))&gt;=100000), " ",IF(INDEX($AD$2:$AU$1001,MATCH(ROWS($W$2:W155),$W$2:$W$1001,0),MATCH(COLUMNS($AD$1006:AD1006),$AD$1006:$AU$1006,0)), HYPERLINK("#",""), HYPERLINK(CONCATENATE("#metadata!", ADDRESS(INDEX($Y$2:$Y$1001,MATCH(ROWS($W$2:W155),$W$2:$W$1001,0),0), INDEX($AD$1004:$AU$1004,1,MATCH(COLUMNS($AD$1006:AD1006),$AD$1006:$AU$1006,0)))),"Fix")))</f>
        <v xml:space="preserve"> </v>
      </c>
      <c r="C155" s="4" t="str">
        <f ca="1">IF(OR(INDEX($X$2:$X$1001,MATCH(ROWS($W$2:W155),$W$2:$W$1001,0),1)&gt;=100000,INDEX($AD$1005:$AU$1005,1,MATCH(COLUMNS($AD$1006:AE1006),$AD$1006:$AU$1006,0))&gt;=100000), " ",IF(INDEX($AD$2:$AU$1001,MATCH(ROWS($W$2:W155),$W$2:$W$1001,0),MATCH(COLUMNS($AD$1006:AE1006),$AD$1006:$AU$1006,0)), HYPERLINK("#",""), HYPERLINK(CONCATENATE("#metadata!", ADDRESS(INDEX($Y$2:$Y$1001,MATCH(ROWS($W$2:W155),$W$2:$W$1001,0),0), INDEX($AD$1004:$AU$1004,1,MATCH(COLUMNS($AD$1006:AE1006),$AD$1006:$AU$1006,0)))),"Fix")))</f>
        <v xml:space="preserve"> </v>
      </c>
      <c r="D155" s="4" t="str">
        <f ca="1">IF(OR(INDEX($X$2:$X$1001,MATCH(ROWS($W$2:W155),$W$2:$W$1001,0),1)&gt;=100000,INDEX($AD$1005:$AU$1005,1,MATCH(COLUMNS($AD$1006:AF1006),$AD$1006:$AU$1006,0))&gt;=100000), " ",IF(INDEX($AD$2:$AU$1001,MATCH(ROWS($W$2:W155),$W$2:$W$1001,0),MATCH(COLUMNS($AD$1006:AF1006),$AD$1006:$AU$1006,0)), HYPERLINK("#",""), HYPERLINK(CONCATENATE("#metadata!", ADDRESS(INDEX($Y$2:$Y$1001,MATCH(ROWS($W$2:W155),$W$2:$W$1001,0),0), INDEX($AD$1004:$AU$1004,1,MATCH(COLUMNS($AD$1006:AF1006),$AD$1006:$AU$1006,0)))),"Fix")))</f>
        <v xml:space="preserve"> </v>
      </c>
      <c r="E155" s="4" t="str">
        <f ca="1">IF(OR(INDEX($X$2:$X$1001,MATCH(ROWS($W$2:W155),$W$2:$W$1001,0),1)&gt;=100000,INDEX($AD$1005:$AU$1005,1,MATCH(COLUMNS($AD$1006:AG1006),$AD$1006:$AU$1006,0))&gt;=100000), " ",IF(INDEX($AD$2:$AU$1001,MATCH(ROWS($W$2:W155),$W$2:$W$1001,0),MATCH(COLUMNS($AD$1006:AG1006),$AD$1006:$AU$1006,0)), HYPERLINK("#",""), HYPERLINK(CONCATENATE("#metadata!", ADDRESS(INDEX($Y$2:$Y$1001,MATCH(ROWS($W$2:W155),$W$2:$W$1001,0),0), INDEX($AD$1004:$AU$1004,1,MATCH(COLUMNS($AD$1006:AG1006),$AD$1006:$AU$1006,0)))),"Fix")))</f>
        <v xml:space="preserve"> </v>
      </c>
      <c r="F155" s="4" t="str">
        <f ca="1">IF(OR(INDEX($X$2:$X$1001,MATCH(ROWS($W$2:W155),$W$2:$W$1001,0),1)&gt;=100000,INDEX($AD$1005:$AU$1005,1,MATCH(COLUMNS($AD$1006:AH1006),$AD$1006:$AU$1006,0))&gt;=100000), " ",IF(INDEX($AD$2:$AU$1001,MATCH(ROWS($W$2:W155),$W$2:$W$1001,0),MATCH(COLUMNS($AD$1006:AH1006),$AD$1006:$AU$1006,0)), HYPERLINK("#",""), HYPERLINK(CONCATENATE("#metadata!", ADDRESS(INDEX($Y$2:$Y$1001,MATCH(ROWS($W$2:W155),$W$2:$W$1001,0),0), INDEX($AD$1004:$AU$1004,1,MATCH(COLUMNS($AD$1006:AH1006),$AD$1006:$AU$1006,0)))),"Fix")))</f>
        <v xml:space="preserve"> </v>
      </c>
      <c r="G155" s="4" t="str">
        <f ca="1">IF(OR(INDEX($X$2:$X$1001,MATCH(ROWS($W$2:W155),$W$2:$W$1001,0),1)&gt;=100000,INDEX($AD$1005:$AU$1005,1,MATCH(COLUMNS($AD$1006:AI1006),$AD$1006:$AU$1006,0))&gt;=100000), " ",IF(INDEX($AD$2:$AU$1001,MATCH(ROWS($W$2:W155),$W$2:$W$1001,0),MATCH(COLUMNS($AD$1006:AI1006),$AD$1006:$AU$1006,0)), HYPERLINK("#",""), HYPERLINK(CONCATENATE("#metadata!", ADDRESS(INDEX($Y$2:$Y$1001,MATCH(ROWS($W$2:W155),$W$2:$W$1001,0),0), INDEX($AD$1004:$AU$1004,1,MATCH(COLUMNS($AD$1006:AI1006),$AD$1006:$AU$1006,0)))),"Fix")))</f>
        <v xml:space="preserve"> </v>
      </c>
      <c r="H155" s="4" t="str">
        <f ca="1">IF(OR(INDEX($X$2:$X$1001,MATCH(ROWS($W$2:W155),$W$2:$W$1001,0),1)&gt;=100000,INDEX($AD$1005:$AU$1005,1,MATCH(COLUMNS($AD$1006:AJ1006),$AD$1006:$AU$1006,0))&gt;=100000), " ",IF(INDEX($AD$2:$AU$1001,MATCH(ROWS($W$2:W155),$W$2:$W$1001,0),MATCH(COLUMNS($AD$1006:AJ1006),$AD$1006:$AU$1006,0)), HYPERLINK("#",""), HYPERLINK(CONCATENATE("#metadata!", ADDRESS(INDEX($Y$2:$Y$1001,MATCH(ROWS($W$2:W155),$W$2:$W$1001,0),0), INDEX($AD$1004:$AU$1004,1,MATCH(COLUMNS($AD$1006:AJ1006),$AD$1006:$AU$1006,0)))),"Fix")))</f>
        <v xml:space="preserve"> </v>
      </c>
      <c r="I155" s="4" t="str">
        <f ca="1">IF(OR(INDEX($X$2:$X$1001,MATCH(ROWS($W$2:W155),$W$2:$W$1001,0),1)&gt;=100000,INDEX($AD$1005:$AU$1005,1,MATCH(COLUMNS($AD$1006:AK1006),$AD$1006:$AU$1006,0))&gt;=100000), " ",IF(INDEX($AD$2:$AU$1001,MATCH(ROWS($W$2:W155),$W$2:$W$1001,0),MATCH(COLUMNS($AD$1006:AK1006),$AD$1006:$AU$1006,0)), HYPERLINK("#",""), HYPERLINK(CONCATENATE("#metadata!", ADDRESS(INDEX($Y$2:$Y$1001,MATCH(ROWS($W$2:W155),$W$2:$W$1001,0),0), INDEX($AD$1004:$AU$1004,1,MATCH(COLUMNS($AD$1006:AK1006),$AD$1006:$AU$1006,0)))),"Fix")))</f>
        <v xml:space="preserve"> </v>
      </c>
      <c r="J155" s="4" t="str">
        <f ca="1">IF(OR(INDEX($X$2:$X$1001,MATCH(ROWS($W$2:W155),$W$2:$W$1001,0),1)&gt;=100000,INDEX($AD$1005:$AU$1005,1,MATCH(COLUMNS($AD$1006:AL1006),$AD$1006:$AU$1006,0))&gt;=100000), " ",IF(INDEX($AD$2:$AU$1001,MATCH(ROWS($W$2:W155),$W$2:$W$1001,0),MATCH(COLUMNS($AD$1006:AL1006),$AD$1006:$AU$1006,0)), HYPERLINK("#",""), HYPERLINK(CONCATENATE("#metadata!", ADDRESS(INDEX($Y$2:$Y$1001,MATCH(ROWS($W$2:W155),$W$2:$W$1001,0),0), INDEX($AD$1004:$AU$1004,1,MATCH(COLUMNS($AD$1006:AL1006),$AD$1006:$AU$1006,0)))),"Fix")))</f>
        <v xml:space="preserve"> </v>
      </c>
      <c r="K155" s="4" t="str">
        <f ca="1">IF(OR(INDEX($X$2:$X$1001,MATCH(ROWS($W$2:W155),$W$2:$W$1001,0),1)&gt;=100000,INDEX($AD$1005:$AU$1005,1,MATCH(COLUMNS($AD$1006:AM1006),$AD$1006:$AU$1006,0))&gt;=100000), " ",IF(INDEX($AD$2:$AU$1001,MATCH(ROWS($W$2:W155),$W$2:$W$1001,0),MATCH(COLUMNS($AD$1006:AM1006),$AD$1006:$AU$1006,0)), HYPERLINK("#",""), HYPERLINK(CONCATENATE("#metadata!", ADDRESS(INDEX($Y$2:$Y$1001,MATCH(ROWS($W$2:W155),$W$2:$W$1001,0),0), INDEX($AD$1004:$AU$1004,1,MATCH(COLUMNS($AD$1006:AM1006),$AD$1006:$AU$1006,0)))),"Fix")))</f>
        <v xml:space="preserve"> </v>
      </c>
      <c r="L155" s="4" t="str">
        <f ca="1">IF(OR(INDEX($X$2:$X$1001,MATCH(ROWS($W$2:W155),$W$2:$W$1001,0),1)&gt;=100000,INDEX($AD$1005:$AU$1005,1,MATCH(COLUMNS($AD$1006:AN1006),$AD$1006:$AU$1006,0))&gt;=100000), " ",IF(INDEX($AD$2:$AU$1001,MATCH(ROWS($W$2:W155),$W$2:$W$1001,0),MATCH(COLUMNS($AD$1006:AN1006),$AD$1006:$AU$1006,0)), HYPERLINK("#",""), HYPERLINK(CONCATENATE("#metadata!", ADDRESS(INDEX($Y$2:$Y$1001,MATCH(ROWS($W$2:W155),$W$2:$W$1001,0),0), INDEX($AD$1004:$AU$1004,1,MATCH(COLUMNS($AD$1006:AN1006),$AD$1006:$AU$1006,0)))),"Fix")))</f>
        <v xml:space="preserve"> </v>
      </c>
      <c r="M155" s="4" t="str">
        <f ca="1">IF(OR(INDEX($X$2:$X$1001,MATCH(ROWS($W$2:W155),$W$2:$W$1001,0),1)&gt;=100000,INDEX($AD$1005:$AU$1005,1,MATCH(COLUMNS($AD$1006:AO1006),$AD$1006:$AU$1006,0))&gt;=100000), " ",IF(INDEX($AD$2:$AU$1001,MATCH(ROWS($W$2:W155),$W$2:$W$1001,0),MATCH(COLUMNS($AD$1006:AO1006),$AD$1006:$AU$1006,0)), HYPERLINK("#",""), HYPERLINK(CONCATENATE("#metadata!", ADDRESS(INDEX($Y$2:$Y$1001,MATCH(ROWS($W$2:W155),$W$2:$W$1001,0),0), INDEX($AD$1004:$AU$1004,1,MATCH(COLUMNS($AD$1006:AO1006),$AD$1006:$AU$1006,0)))),"Fix")))</f>
        <v xml:space="preserve"> </v>
      </c>
      <c r="N155" s="4" t="str">
        <f ca="1">IF(OR(INDEX($X$2:$X$1001,MATCH(ROWS($W$2:W155),$W$2:$W$1001,0),1)&gt;=100000,INDEX($AD$1005:$AU$1005,1,MATCH(COLUMNS($AD$1006:AP1006),$AD$1006:$AU$1006,0))&gt;=100000), " ",IF(INDEX($AD$2:$AU$1001,MATCH(ROWS($W$2:W155),$W$2:$W$1001,0),MATCH(COLUMNS($AD$1006:AP1006),$AD$1006:$AU$1006,0)), HYPERLINK("#",""), HYPERLINK(CONCATENATE("#metadata!", ADDRESS(INDEX($Y$2:$Y$1001,MATCH(ROWS($W$2:W155),$W$2:$W$1001,0),0), INDEX($AD$1004:$AU$1004,1,MATCH(COLUMNS($AD$1006:AP1006),$AD$1006:$AU$1006,0)))),"Fix")))</f>
        <v xml:space="preserve"> </v>
      </c>
      <c r="O155" s="4" t="str">
        <f ca="1">IF(OR(INDEX($X$2:$X$1001,MATCH(ROWS($W$2:W155),$W$2:$W$1001,0),1)&gt;=100000,INDEX($AD$1005:$AU$1005,1,MATCH(COLUMNS($AD$1006:AQ1006),$AD$1006:$AU$1006,0))&gt;=100000), " ",IF(INDEX($AD$2:$AU$1001,MATCH(ROWS($W$2:W155),$W$2:$W$1001,0),MATCH(COLUMNS($AD$1006:AQ1006),$AD$1006:$AU$1006,0)), HYPERLINK("#",""), HYPERLINK(CONCATENATE("#metadata!", ADDRESS(INDEX($Y$2:$Y$1001,MATCH(ROWS($W$2:W155),$W$2:$W$1001,0),0), INDEX($AD$1004:$AU$1004,1,MATCH(COLUMNS($AD$1006:AQ1006),$AD$1006:$AU$1006,0)))),"Fix")))</f>
        <v xml:space="preserve"> </v>
      </c>
      <c r="P155" s="4" t="str">
        <f ca="1">IF(OR(INDEX($X$2:$X$1001,MATCH(ROWS($W$2:W155),$W$2:$W$1001,0),1)&gt;=100000,INDEX($AD$1005:$AU$1005,1,MATCH(COLUMNS($AD$1006:AR1006),$AD$1006:$AU$1006,0))&gt;=100000), " ",IF(INDEX($AD$2:$AU$1001,MATCH(ROWS($W$2:W155),$W$2:$W$1001,0),MATCH(COLUMNS($AD$1006:AR1006),$AD$1006:$AU$1006,0)), HYPERLINK("#",""), HYPERLINK(CONCATENATE("#metadata!", ADDRESS(INDEX($Y$2:$Y$1001,MATCH(ROWS($W$2:W155),$W$2:$W$1001,0),0), INDEX($AD$1004:$AU$1004,1,MATCH(COLUMNS($AD$1006:AR1006),$AD$1006:$AU$1006,0)))),"Fix")))</f>
        <v xml:space="preserve"> </v>
      </c>
      <c r="Q155" s="4" t="str">
        <f ca="1">IF(OR(INDEX($X$2:$X$1001,MATCH(ROWS($W$2:W155),$W$2:$W$1001,0),1)&gt;=100000,INDEX($AD$1005:$AU$1005,1,MATCH(COLUMNS($AD$1006:AS1006),$AD$1006:$AU$1006,0))&gt;=100000), " ",IF(INDEX($AD$2:$AU$1001,MATCH(ROWS($W$2:W155),$W$2:$W$1001,0),MATCH(COLUMNS($AD$1006:AS1006),$AD$1006:$AU$1006,0)), HYPERLINK("#",""), HYPERLINK(CONCATENATE("#metadata!", ADDRESS(INDEX($Y$2:$Y$1001,MATCH(ROWS($W$2:W155),$W$2:$W$1001,0),0), INDEX($AD$1004:$AU$1004,1,MATCH(COLUMNS($AD$1006:AS1006),$AD$1006:$AU$1006,0)))),"Fix")))</f>
        <v xml:space="preserve"> </v>
      </c>
      <c r="R155" s="4" t="str">
        <f ca="1">IF(OR(INDEX($X$2:$X$1001,MATCH(ROWS($W$2:W155),$W$2:$W$1001,0),1)&gt;=100000,INDEX($AD$1005:$AU$1005,1,MATCH(COLUMNS($AD$1006:AT1006),$AD$1006:$AU$1006,0))&gt;=100000), " ",IF(INDEX($AD$2:$AU$1001,MATCH(ROWS($W$2:W155),$W$2:$W$1001,0),MATCH(COLUMNS($AD$1006:AT1006),$AD$1006:$AU$1006,0)), HYPERLINK("#",""), HYPERLINK(CONCATENATE("#metadata!", ADDRESS(INDEX($Y$2:$Y$1001,MATCH(ROWS($W$2:W155),$W$2:$W$1001,0),0), INDEX($AD$1004:$AU$1004,1,MATCH(COLUMNS($AD$1006:AT1006),$AD$1006:$AU$1006,0)))),"Fix")))</f>
        <v xml:space="preserve"> </v>
      </c>
      <c r="S155" s="4" t="str">
        <f ca="1">IF(OR(INDEX($X$2:$X$1001,MATCH(ROWS($W$2:W155),$W$2:$W$1001,0),1)&gt;=100000,INDEX($AD$1005:$AU$1005,1,MATCH(COLUMNS($AD$1006:AU1006),$AD$1006:$AU$1006,0))&gt;=100000), " ",IF(INDEX($AD$2:$AU$1001,MATCH(ROWS($W$2:W155),$W$2:$W$1001,0),MATCH(COLUMNS($AD$1006:AU1006),$AD$1006:$AU$1006,0)), HYPERLINK("#",""), HYPERLINK(CONCATENATE("#metadata!", ADDRESS(INDEX($Y$2:$Y$1001,MATCH(ROWS($W$2:W155),$W$2:$W$1001,0),0), INDEX($AD$1004:$AU$1004,1,MATCH(COLUMNS($AD$1006:AU1006),$AD$1006:$AU$1006,0)))),"Fix")))</f>
        <v xml:space="preserve"> </v>
      </c>
      <c r="W155">
        <v>154</v>
      </c>
      <c r="X155">
        <v>100155</v>
      </c>
      <c r="Y155">
        <v>155</v>
      </c>
      <c r="Z155" t="b">
        <f t="shared" si="2"/>
        <v>1</v>
      </c>
      <c r="AA155" t="b">
        <f>COUNTBLANK(metadata!B155:S155)=COLUMNS(metadata!B155:S155)</f>
        <v>1</v>
      </c>
      <c r="AB155" t="str">
        <v/>
      </c>
      <c r="AD155" t="b">
        <f ca="1">AND(IF(metadata!B155="",FALSE,TRUE),COUNTIF(metadata!B:B, metadata!B155) = 1,NOT(ISERROR(SUMPRODUCT(SEARCH(MID(metadata!B155,ROW(INDIRECT("1:"&amp;LEN(metadata!B155))), 1),"0123456789abcdefghijklmnopqrstuvwxyzABCDEFGHIJKLMNOPQRSTUVWXYZ.")))))</f>
        <v>0</v>
      </c>
      <c r="AE155" t="b">
        <f>OR(AND(IF(metadata!C155="",FALSE,TRUE),OR(EXACT(metadata!C155,"not applicable"),EXACT(metadata!C155,"missing: not collected"),EXACT(metadata!C155,"missing: not provided"),EXACT(metadata!C155,"missing: restricted access"))),AND(IF(metadata!C155="",FALSE,ISNUMBER(VALUE(metadata!C155))),metadata!C155&gt;0))</f>
        <v>0</v>
      </c>
      <c r="AF155" t="b">
        <f>AND(IF(metadata!D155="",FALSE,TRUE),EXACT(metadata!D155,"missing: not provided"))</f>
        <v>0</v>
      </c>
      <c r="AG155" t="b">
        <f>AND(IF(metadata!E155="",FALSE,TRUE),EXACT(metadata!E155,"Host-associated"))</f>
        <v>0</v>
      </c>
      <c r="AH155" t="b">
        <f>AND(IF(metadata!F155="",FALSE,TRUE),OR(EXACT(metadata!F155,"Animal"),EXACT(metadata!F155,"Fungus"),EXACT(metadata!F155,"Plant")))</f>
        <v>0</v>
      </c>
      <c r="AI155" t="b">
        <f>AND(IF(metadata!G155="",FALSE,TRUE),OR(EXACT(metadata!G155,"Plant secretion"),EXACT(metadata!G155,"Plant rhizosphere"),EXACT(metadata!G155,"Plant surface"),EXACT(metadata!G155,"Plant corpus"),EXACT(metadata!G155,"Fungus surface"),EXACT(metadata!G155,"Fungus corpus"),EXACT(metadata!G155,"Animal surface"),EXACT(metadata!G155,"Animal proximal gut"),EXACT(metadata!G155,"Animal corpus"),EXACT(metadata!G155,"Animal distal gut"),EXACT(metadata!G155,"Animal secretion")))</f>
        <v>0</v>
      </c>
      <c r="AJ155" t="b">
        <f>OR(AND(IF(metadata!H155="",FALSE,TRUE),OR(EXACT(metadata!H155,"missing: not collected"),EXACT(metadata!H155,"missing: not provided"),EXACT(metadata!H155,"missing: restricted access"))),AND(IF(metadata!H155="",FALSE,TRUE),OR(EXACT(metadata!H155,"organism-associated habitat"),EXACT(metadata!H155,"plant-associated habitat"),EXACT(metadata!H155,"animal-associated habitat"),EXACT(metadata!H155,"insecta-associated habitat"),EXACT(metadata!H155,"mammalia-associated habitat"),EXACT(metadata!H155,"human-associated habitat"),EXACT(metadata!H155,"livestock-associated habitat"))))</f>
        <v>0</v>
      </c>
      <c r="AK155" t="b">
        <f>AND(IF(metadata!I155="",FALSE,TRUE),EXACT(metadata!I155,"host-associated"))</f>
        <v>0</v>
      </c>
      <c r="AL155" t="b">
        <f>OR(AND(IF(metadata!J155="",FALSE,TRUE),OR(EXACT(metadata!J155,"not applicable"),EXACT(metadata!J155,"missing: not collected"),EXACT(metadata!J155,"missing: not provided"),EXACT(metadata!J155,"missing: restricted access"))),AND(IF(metadata!J155="",FALSE,ISNUMBER(VALUE(metadata!J155))),metadata!J155&gt;0))</f>
        <v>0</v>
      </c>
      <c r="AM155" t="b">
        <f>AND(IF(metadata!K155="",FALSE,TRUE),EXACT(metadata!K155,"missing: not provided"))</f>
        <v>0</v>
      </c>
      <c r="AN155" t="b">
        <f>IF(metadata!L155="",FALSE,TRUE)</f>
        <v>0</v>
      </c>
      <c r="AO155" t="b">
        <f>IF(metadata!M155="",FALSE,TRUE)</f>
        <v>0</v>
      </c>
      <c r="AP155" t="b">
        <f>OR(AND(IF(metadata!N155="",FALSE,TRUE),OR(EXACT(metadata!N155,"not applicable"),EXACT(metadata!N155,"missing: not collected"),EXACT(metadata!N155,"missing: not provided"))),AND(IF(metadata!N155="",FALSE,IF(ISERROR(INT(metadata!N155)),FALSE,INT(metadata!N155)=metadata!N155)),metadata!N155&gt;0))</f>
        <v>0</v>
      </c>
      <c r="AQ155" t="b">
        <f>AND(IF(metadata!O155="",FALSE,TRUE),EXACT(metadata!O155,"Not applicable"))</f>
        <v>0</v>
      </c>
      <c r="AR155" t="b">
        <f>OR(AND(IF(metadata!P155="",FALSE,TRUE),OR(EXACT(metadata!P155,"not applicable"),EXACT(metadata!P155,"missing: not collected"),EXACT(metadata!P155,"missing: not provided"),EXACT(metadata!P155,"missing: restricted access"))),IF(metadata!P155="",FALSE,IF(ISERROR(INT(metadata!P155)),FALSE,INT(metadata!P155)=metadata!P155)))</f>
        <v>0</v>
      </c>
      <c r="AS155" t="b">
        <f>AND(IF(metadata!Q155="",FALSE,TRUE),EXACT(metadata!Q155,"Not applicable"))</f>
        <v>0</v>
      </c>
      <c r="AT155" t="b">
        <f>OR(AND(IF(metadata!R155="",FALSE,TRUE),OR(EXACT(metadata!R155,"not applicable"),EXACT(metadata!R155,"missing: not collected"),EXACT(metadata!R155,"missing: not provided"),EXACT(metadata!R155,"missing: restricted access"))),AND(IF(metadata!R155="",FALSE,ISNUMBER(VALUE(metadata!R155))),metadata!R155&gt;0))</f>
        <v>0</v>
      </c>
      <c r="AU155" t="b">
        <f>AND(IF(metadata!S155="",FALSE,TRUE),EXACT(metadata!S155,"missing: not provided"))</f>
        <v>0</v>
      </c>
    </row>
    <row r="156" spans="1:47" x14ac:dyDescent="0.2">
      <c r="A156" s="5" t="str">
        <f ca="1">IF(B156=" "," ",HYPERLINK(CONCATENATE("#metadata!",ADDRESS(INDEX($Y$2:$Y$1001,MATCH(ROWS($W$2:W156),$W$2:$W$1001,0),0),1)),INDEX($AB$2:$AB$1001,MATCH(ROWS($W$2:W156),$W$2:$W$1001,0),0)))</f>
        <v xml:space="preserve"> </v>
      </c>
      <c r="B156" s="4" t="str">
        <f ca="1">IF(OR(INDEX($X$2:$X$1001,MATCH(ROWS($W$2:W156),$W$2:$W$1001,0),1)&gt;=100000,INDEX($AD$1005:$AU$1005,1,MATCH(COLUMNS($AD$1006:AD1006),$AD$1006:$AU$1006,0))&gt;=100000), " ",IF(INDEX($AD$2:$AU$1001,MATCH(ROWS($W$2:W156),$W$2:$W$1001,0),MATCH(COLUMNS($AD$1006:AD1006),$AD$1006:$AU$1006,0)), HYPERLINK("#",""), HYPERLINK(CONCATENATE("#metadata!", ADDRESS(INDEX($Y$2:$Y$1001,MATCH(ROWS($W$2:W156),$W$2:$W$1001,0),0), INDEX($AD$1004:$AU$1004,1,MATCH(COLUMNS($AD$1006:AD1006),$AD$1006:$AU$1006,0)))),"Fix")))</f>
        <v xml:space="preserve"> </v>
      </c>
      <c r="C156" s="4" t="str">
        <f ca="1">IF(OR(INDEX($X$2:$X$1001,MATCH(ROWS($W$2:W156),$W$2:$W$1001,0),1)&gt;=100000,INDEX($AD$1005:$AU$1005,1,MATCH(COLUMNS($AD$1006:AE1006),$AD$1006:$AU$1006,0))&gt;=100000), " ",IF(INDEX($AD$2:$AU$1001,MATCH(ROWS($W$2:W156),$W$2:$W$1001,0),MATCH(COLUMNS($AD$1006:AE1006),$AD$1006:$AU$1006,0)), HYPERLINK("#",""), HYPERLINK(CONCATENATE("#metadata!", ADDRESS(INDEX($Y$2:$Y$1001,MATCH(ROWS($W$2:W156),$W$2:$W$1001,0),0), INDEX($AD$1004:$AU$1004,1,MATCH(COLUMNS($AD$1006:AE1006),$AD$1006:$AU$1006,0)))),"Fix")))</f>
        <v xml:space="preserve"> </v>
      </c>
      <c r="D156" s="4" t="str">
        <f ca="1">IF(OR(INDEX($X$2:$X$1001,MATCH(ROWS($W$2:W156),$W$2:$W$1001,0),1)&gt;=100000,INDEX($AD$1005:$AU$1005,1,MATCH(COLUMNS($AD$1006:AF1006),$AD$1006:$AU$1006,0))&gt;=100000), " ",IF(INDEX($AD$2:$AU$1001,MATCH(ROWS($W$2:W156),$W$2:$W$1001,0),MATCH(COLUMNS($AD$1006:AF1006),$AD$1006:$AU$1006,0)), HYPERLINK("#",""), HYPERLINK(CONCATENATE("#metadata!", ADDRESS(INDEX($Y$2:$Y$1001,MATCH(ROWS($W$2:W156),$W$2:$W$1001,0),0), INDEX($AD$1004:$AU$1004,1,MATCH(COLUMNS($AD$1006:AF1006),$AD$1006:$AU$1006,0)))),"Fix")))</f>
        <v xml:space="preserve"> </v>
      </c>
      <c r="E156" s="4" t="str">
        <f ca="1">IF(OR(INDEX($X$2:$X$1001,MATCH(ROWS($W$2:W156),$W$2:$W$1001,0),1)&gt;=100000,INDEX($AD$1005:$AU$1005,1,MATCH(COLUMNS($AD$1006:AG1006),$AD$1006:$AU$1006,0))&gt;=100000), " ",IF(INDEX($AD$2:$AU$1001,MATCH(ROWS($W$2:W156),$W$2:$W$1001,0),MATCH(COLUMNS($AD$1006:AG1006),$AD$1006:$AU$1006,0)), HYPERLINK("#",""), HYPERLINK(CONCATENATE("#metadata!", ADDRESS(INDEX($Y$2:$Y$1001,MATCH(ROWS($W$2:W156),$W$2:$W$1001,0),0), INDEX($AD$1004:$AU$1004,1,MATCH(COLUMNS($AD$1006:AG1006),$AD$1006:$AU$1006,0)))),"Fix")))</f>
        <v xml:space="preserve"> </v>
      </c>
      <c r="F156" s="4" t="str">
        <f ca="1">IF(OR(INDEX($X$2:$X$1001,MATCH(ROWS($W$2:W156),$W$2:$W$1001,0),1)&gt;=100000,INDEX($AD$1005:$AU$1005,1,MATCH(COLUMNS($AD$1006:AH1006),$AD$1006:$AU$1006,0))&gt;=100000), " ",IF(INDEX($AD$2:$AU$1001,MATCH(ROWS($W$2:W156),$W$2:$W$1001,0),MATCH(COLUMNS($AD$1006:AH1006),$AD$1006:$AU$1006,0)), HYPERLINK("#",""), HYPERLINK(CONCATENATE("#metadata!", ADDRESS(INDEX($Y$2:$Y$1001,MATCH(ROWS($W$2:W156),$W$2:$W$1001,0),0), INDEX($AD$1004:$AU$1004,1,MATCH(COLUMNS($AD$1006:AH1006),$AD$1006:$AU$1006,0)))),"Fix")))</f>
        <v xml:space="preserve"> </v>
      </c>
      <c r="G156" s="4" t="str">
        <f ca="1">IF(OR(INDEX($X$2:$X$1001,MATCH(ROWS($W$2:W156),$W$2:$W$1001,0),1)&gt;=100000,INDEX($AD$1005:$AU$1005,1,MATCH(COLUMNS($AD$1006:AI1006),$AD$1006:$AU$1006,0))&gt;=100000), " ",IF(INDEX($AD$2:$AU$1001,MATCH(ROWS($W$2:W156),$W$2:$W$1001,0),MATCH(COLUMNS($AD$1006:AI1006),$AD$1006:$AU$1006,0)), HYPERLINK("#",""), HYPERLINK(CONCATENATE("#metadata!", ADDRESS(INDEX($Y$2:$Y$1001,MATCH(ROWS($W$2:W156),$W$2:$W$1001,0),0), INDEX($AD$1004:$AU$1004,1,MATCH(COLUMNS($AD$1006:AI1006),$AD$1006:$AU$1006,0)))),"Fix")))</f>
        <v xml:space="preserve"> </v>
      </c>
      <c r="H156" s="4" t="str">
        <f ca="1">IF(OR(INDEX($X$2:$X$1001,MATCH(ROWS($W$2:W156),$W$2:$W$1001,0),1)&gt;=100000,INDEX($AD$1005:$AU$1005,1,MATCH(COLUMNS($AD$1006:AJ1006),$AD$1006:$AU$1006,0))&gt;=100000), " ",IF(INDEX($AD$2:$AU$1001,MATCH(ROWS($W$2:W156),$W$2:$W$1001,0),MATCH(COLUMNS($AD$1006:AJ1006),$AD$1006:$AU$1006,0)), HYPERLINK("#",""), HYPERLINK(CONCATENATE("#metadata!", ADDRESS(INDEX($Y$2:$Y$1001,MATCH(ROWS($W$2:W156),$W$2:$W$1001,0),0), INDEX($AD$1004:$AU$1004,1,MATCH(COLUMNS($AD$1006:AJ1006),$AD$1006:$AU$1006,0)))),"Fix")))</f>
        <v xml:space="preserve"> </v>
      </c>
      <c r="I156" s="4" t="str">
        <f ca="1">IF(OR(INDEX($X$2:$X$1001,MATCH(ROWS($W$2:W156),$W$2:$W$1001,0),1)&gt;=100000,INDEX($AD$1005:$AU$1005,1,MATCH(COLUMNS($AD$1006:AK1006),$AD$1006:$AU$1006,0))&gt;=100000), " ",IF(INDEX($AD$2:$AU$1001,MATCH(ROWS($W$2:W156),$W$2:$W$1001,0),MATCH(COLUMNS($AD$1006:AK1006),$AD$1006:$AU$1006,0)), HYPERLINK("#",""), HYPERLINK(CONCATENATE("#metadata!", ADDRESS(INDEX($Y$2:$Y$1001,MATCH(ROWS($W$2:W156),$W$2:$W$1001,0),0), INDEX($AD$1004:$AU$1004,1,MATCH(COLUMNS($AD$1006:AK1006),$AD$1006:$AU$1006,0)))),"Fix")))</f>
        <v xml:space="preserve"> </v>
      </c>
      <c r="J156" s="4" t="str">
        <f ca="1">IF(OR(INDEX($X$2:$X$1001,MATCH(ROWS($W$2:W156),$W$2:$W$1001,0),1)&gt;=100000,INDEX($AD$1005:$AU$1005,1,MATCH(COLUMNS($AD$1006:AL1006),$AD$1006:$AU$1006,0))&gt;=100000), " ",IF(INDEX($AD$2:$AU$1001,MATCH(ROWS($W$2:W156),$W$2:$W$1001,0),MATCH(COLUMNS($AD$1006:AL1006),$AD$1006:$AU$1006,0)), HYPERLINK("#",""), HYPERLINK(CONCATENATE("#metadata!", ADDRESS(INDEX($Y$2:$Y$1001,MATCH(ROWS($W$2:W156),$W$2:$W$1001,0),0), INDEX($AD$1004:$AU$1004,1,MATCH(COLUMNS($AD$1006:AL1006),$AD$1006:$AU$1006,0)))),"Fix")))</f>
        <v xml:space="preserve"> </v>
      </c>
      <c r="K156" s="4" t="str">
        <f ca="1">IF(OR(INDEX($X$2:$X$1001,MATCH(ROWS($W$2:W156),$W$2:$W$1001,0),1)&gt;=100000,INDEX($AD$1005:$AU$1005,1,MATCH(COLUMNS($AD$1006:AM1006),$AD$1006:$AU$1006,0))&gt;=100000), " ",IF(INDEX($AD$2:$AU$1001,MATCH(ROWS($W$2:W156),$W$2:$W$1001,0),MATCH(COLUMNS($AD$1006:AM1006),$AD$1006:$AU$1006,0)), HYPERLINK("#",""), HYPERLINK(CONCATENATE("#metadata!", ADDRESS(INDEX($Y$2:$Y$1001,MATCH(ROWS($W$2:W156),$W$2:$W$1001,0),0), INDEX($AD$1004:$AU$1004,1,MATCH(COLUMNS($AD$1006:AM1006),$AD$1006:$AU$1006,0)))),"Fix")))</f>
        <v xml:space="preserve"> </v>
      </c>
      <c r="L156" s="4" t="str">
        <f ca="1">IF(OR(INDEX($X$2:$X$1001,MATCH(ROWS($W$2:W156),$W$2:$W$1001,0),1)&gt;=100000,INDEX($AD$1005:$AU$1005,1,MATCH(COLUMNS($AD$1006:AN1006),$AD$1006:$AU$1006,0))&gt;=100000), " ",IF(INDEX($AD$2:$AU$1001,MATCH(ROWS($W$2:W156),$W$2:$W$1001,0),MATCH(COLUMNS($AD$1006:AN1006),$AD$1006:$AU$1006,0)), HYPERLINK("#",""), HYPERLINK(CONCATENATE("#metadata!", ADDRESS(INDEX($Y$2:$Y$1001,MATCH(ROWS($W$2:W156),$W$2:$W$1001,0),0), INDEX($AD$1004:$AU$1004,1,MATCH(COLUMNS($AD$1006:AN1006),$AD$1006:$AU$1006,0)))),"Fix")))</f>
        <v xml:space="preserve"> </v>
      </c>
      <c r="M156" s="4" t="str">
        <f ca="1">IF(OR(INDEX($X$2:$X$1001,MATCH(ROWS($W$2:W156),$W$2:$W$1001,0),1)&gt;=100000,INDEX($AD$1005:$AU$1005,1,MATCH(COLUMNS($AD$1006:AO1006),$AD$1006:$AU$1006,0))&gt;=100000), " ",IF(INDEX($AD$2:$AU$1001,MATCH(ROWS($W$2:W156),$W$2:$W$1001,0),MATCH(COLUMNS($AD$1006:AO1006),$AD$1006:$AU$1006,0)), HYPERLINK("#",""), HYPERLINK(CONCATENATE("#metadata!", ADDRESS(INDEX($Y$2:$Y$1001,MATCH(ROWS($W$2:W156),$W$2:$W$1001,0),0), INDEX($AD$1004:$AU$1004,1,MATCH(COLUMNS($AD$1006:AO1006),$AD$1006:$AU$1006,0)))),"Fix")))</f>
        <v xml:space="preserve"> </v>
      </c>
      <c r="N156" s="4" t="str">
        <f ca="1">IF(OR(INDEX($X$2:$X$1001,MATCH(ROWS($W$2:W156),$W$2:$W$1001,0),1)&gt;=100000,INDEX($AD$1005:$AU$1005,1,MATCH(COLUMNS($AD$1006:AP1006),$AD$1006:$AU$1006,0))&gt;=100000), " ",IF(INDEX($AD$2:$AU$1001,MATCH(ROWS($W$2:W156),$W$2:$W$1001,0),MATCH(COLUMNS($AD$1006:AP1006),$AD$1006:$AU$1006,0)), HYPERLINK("#",""), HYPERLINK(CONCATENATE("#metadata!", ADDRESS(INDEX($Y$2:$Y$1001,MATCH(ROWS($W$2:W156),$W$2:$W$1001,0),0), INDEX($AD$1004:$AU$1004,1,MATCH(COLUMNS($AD$1006:AP1006),$AD$1006:$AU$1006,0)))),"Fix")))</f>
        <v xml:space="preserve"> </v>
      </c>
      <c r="O156" s="4" t="str">
        <f ca="1">IF(OR(INDEX($X$2:$X$1001,MATCH(ROWS($W$2:W156),$W$2:$W$1001,0),1)&gt;=100000,INDEX($AD$1005:$AU$1005,1,MATCH(COLUMNS($AD$1006:AQ1006),$AD$1006:$AU$1006,0))&gt;=100000), " ",IF(INDEX($AD$2:$AU$1001,MATCH(ROWS($W$2:W156),$W$2:$W$1001,0),MATCH(COLUMNS($AD$1006:AQ1006),$AD$1006:$AU$1006,0)), HYPERLINK("#",""), HYPERLINK(CONCATENATE("#metadata!", ADDRESS(INDEX($Y$2:$Y$1001,MATCH(ROWS($W$2:W156),$W$2:$W$1001,0),0), INDEX($AD$1004:$AU$1004,1,MATCH(COLUMNS($AD$1006:AQ1006),$AD$1006:$AU$1006,0)))),"Fix")))</f>
        <v xml:space="preserve"> </v>
      </c>
      <c r="P156" s="4" t="str">
        <f ca="1">IF(OR(INDEX($X$2:$X$1001,MATCH(ROWS($W$2:W156),$W$2:$W$1001,0),1)&gt;=100000,INDEX($AD$1005:$AU$1005,1,MATCH(COLUMNS($AD$1006:AR1006),$AD$1006:$AU$1006,0))&gt;=100000), " ",IF(INDEX($AD$2:$AU$1001,MATCH(ROWS($W$2:W156),$W$2:$W$1001,0),MATCH(COLUMNS($AD$1006:AR1006),$AD$1006:$AU$1006,0)), HYPERLINK("#",""), HYPERLINK(CONCATENATE("#metadata!", ADDRESS(INDEX($Y$2:$Y$1001,MATCH(ROWS($W$2:W156),$W$2:$W$1001,0),0), INDEX($AD$1004:$AU$1004,1,MATCH(COLUMNS($AD$1006:AR1006),$AD$1006:$AU$1006,0)))),"Fix")))</f>
        <v xml:space="preserve"> </v>
      </c>
      <c r="Q156" s="4" t="str">
        <f ca="1">IF(OR(INDEX($X$2:$X$1001,MATCH(ROWS($W$2:W156),$W$2:$W$1001,0),1)&gt;=100000,INDEX($AD$1005:$AU$1005,1,MATCH(COLUMNS($AD$1006:AS1006),$AD$1006:$AU$1006,0))&gt;=100000), " ",IF(INDEX($AD$2:$AU$1001,MATCH(ROWS($W$2:W156),$W$2:$W$1001,0),MATCH(COLUMNS($AD$1006:AS1006),$AD$1006:$AU$1006,0)), HYPERLINK("#",""), HYPERLINK(CONCATENATE("#metadata!", ADDRESS(INDEX($Y$2:$Y$1001,MATCH(ROWS($W$2:W156),$W$2:$W$1001,0),0), INDEX($AD$1004:$AU$1004,1,MATCH(COLUMNS($AD$1006:AS1006),$AD$1006:$AU$1006,0)))),"Fix")))</f>
        <v xml:space="preserve"> </v>
      </c>
      <c r="R156" s="4" t="str">
        <f ca="1">IF(OR(INDEX($X$2:$X$1001,MATCH(ROWS($W$2:W156),$W$2:$W$1001,0),1)&gt;=100000,INDEX($AD$1005:$AU$1005,1,MATCH(COLUMNS($AD$1006:AT1006),$AD$1006:$AU$1006,0))&gt;=100000), " ",IF(INDEX($AD$2:$AU$1001,MATCH(ROWS($W$2:W156),$W$2:$W$1001,0),MATCH(COLUMNS($AD$1006:AT1006),$AD$1006:$AU$1006,0)), HYPERLINK("#",""), HYPERLINK(CONCATENATE("#metadata!", ADDRESS(INDEX($Y$2:$Y$1001,MATCH(ROWS($W$2:W156),$W$2:$W$1001,0),0), INDEX($AD$1004:$AU$1004,1,MATCH(COLUMNS($AD$1006:AT1006),$AD$1006:$AU$1006,0)))),"Fix")))</f>
        <v xml:space="preserve"> </v>
      </c>
      <c r="S156" s="4" t="str">
        <f ca="1">IF(OR(INDEX($X$2:$X$1001,MATCH(ROWS($W$2:W156),$W$2:$W$1001,0),1)&gt;=100000,INDEX($AD$1005:$AU$1005,1,MATCH(COLUMNS($AD$1006:AU1006),$AD$1006:$AU$1006,0))&gt;=100000), " ",IF(INDEX($AD$2:$AU$1001,MATCH(ROWS($W$2:W156),$W$2:$W$1001,0),MATCH(COLUMNS($AD$1006:AU1006),$AD$1006:$AU$1006,0)), HYPERLINK("#",""), HYPERLINK(CONCATENATE("#metadata!", ADDRESS(INDEX($Y$2:$Y$1001,MATCH(ROWS($W$2:W156),$W$2:$W$1001,0),0), INDEX($AD$1004:$AU$1004,1,MATCH(COLUMNS($AD$1006:AU1006),$AD$1006:$AU$1006,0)))),"Fix")))</f>
        <v xml:space="preserve"> </v>
      </c>
      <c r="W156">
        <v>155</v>
      </c>
      <c r="X156">
        <v>100156</v>
      </c>
      <c r="Y156">
        <v>156</v>
      </c>
      <c r="Z156" t="b">
        <f t="shared" si="2"/>
        <v>1</v>
      </c>
      <c r="AA156" t="b">
        <f>COUNTBLANK(metadata!B156:S156)=COLUMNS(metadata!B156:S156)</f>
        <v>1</v>
      </c>
      <c r="AB156" t="str">
        <v/>
      </c>
      <c r="AD156" t="b">
        <f ca="1">AND(IF(metadata!B156="",FALSE,TRUE),COUNTIF(metadata!B:B, metadata!B156) = 1,NOT(ISERROR(SUMPRODUCT(SEARCH(MID(metadata!B156,ROW(INDIRECT("1:"&amp;LEN(metadata!B156))), 1),"0123456789abcdefghijklmnopqrstuvwxyzABCDEFGHIJKLMNOPQRSTUVWXYZ.")))))</f>
        <v>0</v>
      </c>
      <c r="AE156" t="b">
        <f>OR(AND(IF(metadata!C156="",FALSE,TRUE),OR(EXACT(metadata!C156,"not applicable"),EXACT(metadata!C156,"missing: not collected"),EXACT(metadata!C156,"missing: not provided"),EXACT(metadata!C156,"missing: restricted access"))),AND(IF(metadata!C156="",FALSE,ISNUMBER(VALUE(metadata!C156))),metadata!C156&gt;0))</f>
        <v>0</v>
      </c>
      <c r="AF156" t="b">
        <f>AND(IF(metadata!D156="",FALSE,TRUE),EXACT(metadata!D156,"missing: not provided"))</f>
        <v>0</v>
      </c>
      <c r="AG156" t="b">
        <f>AND(IF(metadata!E156="",FALSE,TRUE),EXACT(metadata!E156,"Host-associated"))</f>
        <v>0</v>
      </c>
      <c r="AH156" t="b">
        <f>AND(IF(metadata!F156="",FALSE,TRUE),OR(EXACT(metadata!F156,"Animal"),EXACT(metadata!F156,"Fungus"),EXACT(metadata!F156,"Plant")))</f>
        <v>0</v>
      </c>
      <c r="AI156" t="b">
        <f>AND(IF(metadata!G156="",FALSE,TRUE),OR(EXACT(metadata!G156,"Plant secretion"),EXACT(metadata!G156,"Plant rhizosphere"),EXACT(metadata!G156,"Plant surface"),EXACT(metadata!G156,"Plant corpus"),EXACT(metadata!G156,"Fungus surface"),EXACT(metadata!G156,"Fungus corpus"),EXACT(metadata!G156,"Animal surface"),EXACT(metadata!G156,"Animal proximal gut"),EXACT(metadata!G156,"Animal corpus"),EXACT(metadata!G156,"Animal distal gut"),EXACT(metadata!G156,"Animal secretion")))</f>
        <v>0</v>
      </c>
      <c r="AJ156" t="b">
        <f>OR(AND(IF(metadata!H156="",FALSE,TRUE),OR(EXACT(metadata!H156,"missing: not collected"),EXACT(metadata!H156,"missing: not provided"),EXACT(metadata!H156,"missing: restricted access"))),AND(IF(metadata!H156="",FALSE,TRUE),OR(EXACT(metadata!H156,"organism-associated habitat"),EXACT(metadata!H156,"plant-associated habitat"),EXACT(metadata!H156,"animal-associated habitat"),EXACT(metadata!H156,"insecta-associated habitat"),EXACT(metadata!H156,"mammalia-associated habitat"),EXACT(metadata!H156,"human-associated habitat"),EXACT(metadata!H156,"livestock-associated habitat"))))</f>
        <v>0</v>
      </c>
      <c r="AK156" t="b">
        <f>AND(IF(metadata!I156="",FALSE,TRUE),EXACT(metadata!I156,"host-associated"))</f>
        <v>0</v>
      </c>
      <c r="AL156" t="b">
        <f>OR(AND(IF(metadata!J156="",FALSE,TRUE),OR(EXACT(metadata!J156,"not applicable"),EXACT(metadata!J156,"missing: not collected"),EXACT(metadata!J156,"missing: not provided"),EXACT(metadata!J156,"missing: restricted access"))),AND(IF(metadata!J156="",FALSE,ISNUMBER(VALUE(metadata!J156))),metadata!J156&gt;0))</f>
        <v>0</v>
      </c>
      <c r="AM156" t="b">
        <f>AND(IF(metadata!K156="",FALSE,TRUE),EXACT(metadata!K156,"missing: not provided"))</f>
        <v>0</v>
      </c>
      <c r="AN156" t="b">
        <f>IF(metadata!L156="",FALSE,TRUE)</f>
        <v>0</v>
      </c>
      <c r="AO156" t="b">
        <f>IF(metadata!M156="",FALSE,TRUE)</f>
        <v>0</v>
      </c>
      <c r="AP156" t="b">
        <f>OR(AND(IF(metadata!N156="",FALSE,TRUE),OR(EXACT(metadata!N156,"not applicable"),EXACT(metadata!N156,"missing: not collected"),EXACT(metadata!N156,"missing: not provided"))),AND(IF(metadata!N156="",FALSE,IF(ISERROR(INT(metadata!N156)),FALSE,INT(metadata!N156)=metadata!N156)),metadata!N156&gt;0))</f>
        <v>0</v>
      </c>
      <c r="AQ156" t="b">
        <f>AND(IF(metadata!O156="",FALSE,TRUE),EXACT(metadata!O156,"Not applicable"))</f>
        <v>0</v>
      </c>
      <c r="AR156" t="b">
        <f>OR(AND(IF(metadata!P156="",FALSE,TRUE),OR(EXACT(metadata!P156,"not applicable"),EXACT(metadata!P156,"missing: not collected"),EXACT(metadata!P156,"missing: not provided"),EXACT(metadata!P156,"missing: restricted access"))),IF(metadata!P156="",FALSE,IF(ISERROR(INT(metadata!P156)),FALSE,INT(metadata!P156)=metadata!P156)))</f>
        <v>0</v>
      </c>
      <c r="AS156" t="b">
        <f>AND(IF(metadata!Q156="",FALSE,TRUE),EXACT(metadata!Q156,"Not applicable"))</f>
        <v>0</v>
      </c>
      <c r="AT156" t="b">
        <f>OR(AND(IF(metadata!R156="",FALSE,TRUE),OR(EXACT(metadata!R156,"not applicable"),EXACT(metadata!R156,"missing: not collected"),EXACT(metadata!R156,"missing: not provided"),EXACT(metadata!R156,"missing: restricted access"))),AND(IF(metadata!R156="",FALSE,ISNUMBER(VALUE(metadata!R156))),metadata!R156&gt;0))</f>
        <v>0</v>
      </c>
      <c r="AU156" t="b">
        <f>AND(IF(metadata!S156="",FALSE,TRUE),EXACT(metadata!S156,"missing: not provided"))</f>
        <v>0</v>
      </c>
    </row>
    <row r="157" spans="1:47" x14ac:dyDescent="0.2">
      <c r="A157" s="5" t="str">
        <f ca="1">IF(B157=" "," ",HYPERLINK(CONCATENATE("#metadata!",ADDRESS(INDEX($Y$2:$Y$1001,MATCH(ROWS($W$2:W157),$W$2:$W$1001,0),0),1)),INDEX($AB$2:$AB$1001,MATCH(ROWS($W$2:W157),$W$2:$W$1001,0),0)))</f>
        <v xml:space="preserve"> </v>
      </c>
      <c r="B157" s="4" t="str">
        <f ca="1">IF(OR(INDEX($X$2:$X$1001,MATCH(ROWS($W$2:W157),$W$2:$W$1001,0),1)&gt;=100000,INDEX($AD$1005:$AU$1005,1,MATCH(COLUMNS($AD$1006:AD1006),$AD$1006:$AU$1006,0))&gt;=100000), " ",IF(INDEX($AD$2:$AU$1001,MATCH(ROWS($W$2:W157),$W$2:$W$1001,0),MATCH(COLUMNS($AD$1006:AD1006),$AD$1006:$AU$1006,0)), HYPERLINK("#",""), HYPERLINK(CONCATENATE("#metadata!", ADDRESS(INDEX($Y$2:$Y$1001,MATCH(ROWS($W$2:W157),$W$2:$W$1001,0),0), INDEX($AD$1004:$AU$1004,1,MATCH(COLUMNS($AD$1006:AD1006),$AD$1006:$AU$1006,0)))),"Fix")))</f>
        <v xml:space="preserve"> </v>
      </c>
      <c r="C157" s="4" t="str">
        <f ca="1">IF(OR(INDEX($X$2:$X$1001,MATCH(ROWS($W$2:W157),$W$2:$W$1001,0),1)&gt;=100000,INDEX($AD$1005:$AU$1005,1,MATCH(COLUMNS($AD$1006:AE1006),$AD$1006:$AU$1006,0))&gt;=100000), " ",IF(INDEX($AD$2:$AU$1001,MATCH(ROWS($W$2:W157),$W$2:$W$1001,0),MATCH(COLUMNS($AD$1006:AE1006),$AD$1006:$AU$1006,0)), HYPERLINK("#",""), HYPERLINK(CONCATENATE("#metadata!", ADDRESS(INDEX($Y$2:$Y$1001,MATCH(ROWS($W$2:W157),$W$2:$W$1001,0),0), INDEX($AD$1004:$AU$1004,1,MATCH(COLUMNS($AD$1006:AE1006),$AD$1006:$AU$1006,0)))),"Fix")))</f>
        <v xml:space="preserve"> </v>
      </c>
      <c r="D157" s="4" t="str">
        <f ca="1">IF(OR(INDEX($X$2:$X$1001,MATCH(ROWS($W$2:W157),$W$2:$W$1001,0),1)&gt;=100000,INDEX($AD$1005:$AU$1005,1,MATCH(COLUMNS($AD$1006:AF1006),$AD$1006:$AU$1006,0))&gt;=100000), " ",IF(INDEX($AD$2:$AU$1001,MATCH(ROWS($W$2:W157),$W$2:$W$1001,0),MATCH(COLUMNS($AD$1006:AF1006),$AD$1006:$AU$1006,0)), HYPERLINK("#",""), HYPERLINK(CONCATENATE("#metadata!", ADDRESS(INDEX($Y$2:$Y$1001,MATCH(ROWS($W$2:W157),$W$2:$W$1001,0),0), INDEX($AD$1004:$AU$1004,1,MATCH(COLUMNS($AD$1006:AF1006),$AD$1006:$AU$1006,0)))),"Fix")))</f>
        <v xml:space="preserve"> </v>
      </c>
      <c r="E157" s="4" t="str">
        <f ca="1">IF(OR(INDEX($X$2:$X$1001,MATCH(ROWS($W$2:W157),$W$2:$W$1001,0),1)&gt;=100000,INDEX($AD$1005:$AU$1005,1,MATCH(COLUMNS($AD$1006:AG1006),$AD$1006:$AU$1006,0))&gt;=100000), " ",IF(INDEX($AD$2:$AU$1001,MATCH(ROWS($W$2:W157),$W$2:$W$1001,0),MATCH(COLUMNS($AD$1006:AG1006),$AD$1006:$AU$1006,0)), HYPERLINK("#",""), HYPERLINK(CONCATENATE("#metadata!", ADDRESS(INDEX($Y$2:$Y$1001,MATCH(ROWS($W$2:W157),$W$2:$W$1001,0),0), INDEX($AD$1004:$AU$1004,1,MATCH(COLUMNS($AD$1006:AG1006),$AD$1006:$AU$1006,0)))),"Fix")))</f>
        <v xml:space="preserve"> </v>
      </c>
      <c r="F157" s="4" t="str">
        <f ca="1">IF(OR(INDEX($X$2:$X$1001,MATCH(ROWS($W$2:W157),$W$2:$W$1001,0),1)&gt;=100000,INDEX($AD$1005:$AU$1005,1,MATCH(COLUMNS($AD$1006:AH1006),$AD$1006:$AU$1006,0))&gt;=100000), " ",IF(INDEX($AD$2:$AU$1001,MATCH(ROWS($W$2:W157),$W$2:$W$1001,0),MATCH(COLUMNS($AD$1006:AH1006),$AD$1006:$AU$1006,0)), HYPERLINK("#",""), HYPERLINK(CONCATENATE("#metadata!", ADDRESS(INDEX($Y$2:$Y$1001,MATCH(ROWS($W$2:W157),$W$2:$W$1001,0),0), INDEX($AD$1004:$AU$1004,1,MATCH(COLUMNS($AD$1006:AH1006),$AD$1006:$AU$1006,0)))),"Fix")))</f>
        <v xml:space="preserve"> </v>
      </c>
      <c r="G157" s="4" t="str">
        <f ca="1">IF(OR(INDEX($X$2:$X$1001,MATCH(ROWS($W$2:W157),$W$2:$W$1001,0),1)&gt;=100000,INDEX($AD$1005:$AU$1005,1,MATCH(COLUMNS($AD$1006:AI1006),$AD$1006:$AU$1006,0))&gt;=100000), " ",IF(INDEX($AD$2:$AU$1001,MATCH(ROWS($W$2:W157),$W$2:$W$1001,0),MATCH(COLUMNS($AD$1006:AI1006),$AD$1006:$AU$1006,0)), HYPERLINK("#",""), HYPERLINK(CONCATENATE("#metadata!", ADDRESS(INDEX($Y$2:$Y$1001,MATCH(ROWS($W$2:W157),$W$2:$W$1001,0),0), INDEX($AD$1004:$AU$1004,1,MATCH(COLUMNS($AD$1006:AI1006),$AD$1006:$AU$1006,0)))),"Fix")))</f>
        <v xml:space="preserve"> </v>
      </c>
      <c r="H157" s="4" t="str">
        <f ca="1">IF(OR(INDEX($X$2:$X$1001,MATCH(ROWS($W$2:W157),$W$2:$W$1001,0),1)&gt;=100000,INDEX($AD$1005:$AU$1005,1,MATCH(COLUMNS($AD$1006:AJ1006),$AD$1006:$AU$1006,0))&gt;=100000), " ",IF(INDEX($AD$2:$AU$1001,MATCH(ROWS($W$2:W157),$W$2:$W$1001,0),MATCH(COLUMNS($AD$1006:AJ1006),$AD$1006:$AU$1006,0)), HYPERLINK("#",""), HYPERLINK(CONCATENATE("#metadata!", ADDRESS(INDEX($Y$2:$Y$1001,MATCH(ROWS($W$2:W157),$W$2:$W$1001,0),0), INDEX($AD$1004:$AU$1004,1,MATCH(COLUMNS($AD$1006:AJ1006),$AD$1006:$AU$1006,0)))),"Fix")))</f>
        <v xml:space="preserve"> </v>
      </c>
      <c r="I157" s="4" t="str">
        <f ca="1">IF(OR(INDEX($X$2:$X$1001,MATCH(ROWS($W$2:W157),$W$2:$W$1001,0),1)&gt;=100000,INDEX($AD$1005:$AU$1005,1,MATCH(COLUMNS($AD$1006:AK1006),$AD$1006:$AU$1006,0))&gt;=100000), " ",IF(INDEX($AD$2:$AU$1001,MATCH(ROWS($W$2:W157),$W$2:$W$1001,0),MATCH(COLUMNS($AD$1006:AK1006),$AD$1006:$AU$1006,0)), HYPERLINK("#",""), HYPERLINK(CONCATENATE("#metadata!", ADDRESS(INDEX($Y$2:$Y$1001,MATCH(ROWS($W$2:W157),$W$2:$W$1001,0),0), INDEX($AD$1004:$AU$1004,1,MATCH(COLUMNS($AD$1006:AK1006),$AD$1006:$AU$1006,0)))),"Fix")))</f>
        <v xml:space="preserve"> </v>
      </c>
      <c r="J157" s="4" t="str">
        <f ca="1">IF(OR(INDEX($X$2:$X$1001,MATCH(ROWS($W$2:W157),$W$2:$W$1001,0),1)&gt;=100000,INDEX($AD$1005:$AU$1005,1,MATCH(COLUMNS($AD$1006:AL1006),$AD$1006:$AU$1006,0))&gt;=100000), " ",IF(INDEX($AD$2:$AU$1001,MATCH(ROWS($W$2:W157),$W$2:$W$1001,0),MATCH(COLUMNS($AD$1006:AL1006),$AD$1006:$AU$1006,0)), HYPERLINK("#",""), HYPERLINK(CONCATENATE("#metadata!", ADDRESS(INDEX($Y$2:$Y$1001,MATCH(ROWS($W$2:W157),$W$2:$W$1001,0),0), INDEX($AD$1004:$AU$1004,1,MATCH(COLUMNS($AD$1006:AL1006),$AD$1006:$AU$1006,0)))),"Fix")))</f>
        <v xml:space="preserve"> </v>
      </c>
      <c r="K157" s="4" t="str">
        <f ca="1">IF(OR(INDEX($X$2:$X$1001,MATCH(ROWS($W$2:W157),$W$2:$W$1001,0),1)&gt;=100000,INDEX($AD$1005:$AU$1005,1,MATCH(COLUMNS($AD$1006:AM1006),$AD$1006:$AU$1006,0))&gt;=100000), " ",IF(INDEX($AD$2:$AU$1001,MATCH(ROWS($W$2:W157),$W$2:$W$1001,0),MATCH(COLUMNS($AD$1006:AM1006),$AD$1006:$AU$1006,0)), HYPERLINK("#",""), HYPERLINK(CONCATENATE("#metadata!", ADDRESS(INDEX($Y$2:$Y$1001,MATCH(ROWS($W$2:W157),$W$2:$W$1001,0),0), INDEX($AD$1004:$AU$1004,1,MATCH(COLUMNS($AD$1006:AM1006),$AD$1006:$AU$1006,0)))),"Fix")))</f>
        <v xml:space="preserve"> </v>
      </c>
      <c r="L157" s="4" t="str">
        <f ca="1">IF(OR(INDEX($X$2:$X$1001,MATCH(ROWS($W$2:W157),$W$2:$W$1001,0),1)&gt;=100000,INDEX($AD$1005:$AU$1005,1,MATCH(COLUMNS($AD$1006:AN1006),$AD$1006:$AU$1006,0))&gt;=100000), " ",IF(INDEX($AD$2:$AU$1001,MATCH(ROWS($W$2:W157),$W$2:$W$1001,0),MATCH(COLUMNS($AD$1006:AN1006),$AD$1006:$AU$1006,0)), HYPERLINK("#",""), HYPERLINK(CONCATENATE("#metadata!", ADDRESS(INDEX($Y$2:$Y$1001,MATCH(ROWS($W$2:W157),$W$2:$W$1001,0),0), INDEX($AD$1004:$AU$1004,1,MATCH(COLUMNS($AD$1006:AN1006),$AD$1006:$AU$1006,0)))),"Fix")))</f>
        <v xml:space="preserve"> </v>
      </c>
      <c r="M157" s="4" t="str">
        <f ca="1">IF(OR(INDEX($X$2:$X$1001,MATCH(ROWS($W$2:W157),$W$2:$W$1001,0),1)&gt;=100000,INDEX($AD$1005:$AU$1005,1,MATCH(COLUMNS($AD$1006:AO1006),$AD$1006:$AU$1006,0))&gt;=100000), " ",IF(INDEX($AD$2:$AU$1001,MATCH(ROWS($W$2:W157),$W$2:$W$1001,0),MATCH(COLUMNS($AD$1006:AO1006),$AD$1006:$AU$1006,0)), HYPERLINK("#",""), HYPERLINK(CONCATENATE("#metadata!", ADDRESS(INDEX($Y$2:$Y$1001,MATCH(ROWS($W$2:W157),$W$2:$W$1001,0),0), INDEX($AD$1004:$AU$1004,1,MATCH(COLUMNS($AD$1006:AO1006),$AD$1006:$AU$1006,0)))),"Fix")))</f>
        <v xml:space="preserve"> </v>
      </c>
      <c r="N157" s="4" t="str">
        <f ca="1">IF(OR(INDEX($X$2:$X$1001,MATCH(ROWS($W$2:W157),$W$2:$W$1001,0),1)&gt;=100000,INDEX($AD$1005:$AU$1005,1,MATCH(COLUMNS($AD$1006:AP1006),$AD$1006:$AU$1006,0))&gt;=100000), " ",IF(INDEX($AD$2:$AU$1001,MATCH(ROWS($W$2:W157),$W$2:$W$1001,0),MATCH(COLUMNS($AD$1006:AP1006),$AD$1006:$AU$1006,0)), HYPERLINK("#",""), HYPERLINK(CONCATENATE("#metadata!", ADDRESS(INDEX($Y$2:$Y$1001,MATCH(ROWS($W$2:W157),$W$2:$W$1001,0),0), INDEX($AD$1004:$AU$1004,1,MATCH(COLUMNS($AD$1006:AP1006),$AD$1006:$AU$1006,0)))),"Fix")))</f>
        <v xml:space="preserve"> </v>
      </c>
      <c r="O157" s="4" t="str">
        <f ca="1">IF(OR(INDEX($X$2:$X$1001,MATCH(ROWS($W$2:W157),$W$2:$W$1001,0),1)&gt;=100000,INDEX($AD$1005:$AU$1005,1,MATCH(COLUMNS($AD$1006:AQ1006),$AD$1006:$AU$1006,0))&gt;=100000), " ",IF(INDEX($AD$2:$AU$1001,MATCH(ROWS($W$2:W157),$W$2:$W$1001,0),MATCH(COLUMNS($AD$1006:AQ1006),$AD$1006:$AU$1006,0)), HYPERLINK("#",""), HYPERLINK(CONCATENATE("#metadata!", ADDRESS(INDEX($Y$2:$Y$1001,MATCH(ROWS($W$2:W157),$W$2:$W$1001,0),0), INDEX($AD$1004:$AU$1004,1,MATCH(COLUMNS($AD$1006:AQ1006),$AD$1006:$AU$1006,0)))),"Fix")))</f>
        <v xml:space="preserve"> </v>
      </c>
      <c r="P157" s="4" t="str">
        <f ca="1">IF(OR(INDEX($X$2:$X$1001,MATCH(ROWS($W$2:W157),$W$2:$W$1001,0),1)&gt;=100000,INDEX($AD$1005:$AU$1005,1,MATCH(COLUMNS($AD$1006:AR1006),$AD$1006:$AU$1006,0))&gt;=100000), " ",IF(INDEX($AD$2:$AU$1001,MATCH(ROWS($W$2:W157),$W$2:$W$1001,0),MATCH(COLUMNS($AD$1006:AR1006),$AD$1006:$AU$1006,0)), HYPERLINK("#",""), HYPERLINK(CONCATENATE("#metadata!", ADDRESS(INDEX($Y$2:$Y$1001,MATCH(ROWS($W$2:W157),$W$2:$W$1001,0),0), INDEX($AD$1004:$AU$1004,1,MATCH(COLUMNS($AD$1006:AR1006),$AD$1006:$AU$1006,0)))),"Fix")))</f>
        <v xml:space="preserve"> </v>
      </c>
      <c r="Q157" s="4" t="str">
        <f ca="1">IF(OR(INDEX($X$2:$X$1001,MATCH(ROWS($W$2:W157),$W$2:$W$1001,0),1)&gt;=100000,INDEX($AD$1005:$AU$1005,1,MATCH(COLUMNS($AD$1006:AS1006),$AD$1006:$AU$1006,0))&gt;=100000), " ",IF(INDEX($AD$2:$AU$1001,MATCH(ROWS($W$2:W157),$W$2:$W$1001,0),MATCH(COLUMNS($AD$1006:AS1006),$AD$1006:$AU$1006,0)), HYPERLINK("#",""), HYPERLINK(CONCATENATE("#metadata!", ADDRESS(INDEX($Y$2:$Y$1001,MATCH(ROWS($W$2:W157),$W$2:$W$1001,0),0), INDEX($AD$1004:$AU$1004,1,MATCH(COLUMNS($AD$1006:AS1006),$AD$1006:$AU$1006,0)))),"Fix")))</f>
        <v xml:space="preserve"> </v>
      </c>
      <c r="R157" s="4" t="str">
        <f ca="1">IF(OR(INDEX($X$2:$X$1001,MATCH(ROWS($W$2:W157),$W$2:$W$1001,0),1)&gt;=100000,INDEX($AD$1005:$AU$1005,1,MATCH(COLUMNS($AD$1006:AT1006),$AD$1006:$AU$1006,0))&gt;=100000), " ",IF(INDEX($AD$2:$AU$1001,MATCH(ROWS($W$2:W157),$W$2:$W$1001,0),MATCH(COLUMNS($AD$1006:AT1006),$AD$1006:$AU$1006,0)), HYPERLINK("#",""), HYPERLINK(CONCATENATE("#metadata!", ADDRESS(INDEX($Y$2:$Y$1001,MATCH(ROWS($W$2:W157),$W$2:$W$1001,0),0), INDEX($AD$1004:$AU$1004,1,MATCH(COLUMNS($AD$1006:AT1006),$AD$1006:$AU$1006,0)))),"Fix")))</f>
        <v xml:space="preserve"> </v>
      </c>
      <c r="S157" s="4" t="str">
        <f ca="1">IF(OR(INDEX($X$2:$X$1001,MATCH(ROWS($W$2:W157),$W$2:$W$1001,0),1)&gt;=100000,INDEX($AD$1005:$AU$1005,1,MATCH(COLUMNS($AD$1006:AU1006),$AD$1006:$AU$1006,0))&gt;=100000), " ",IF(INDEX($AD$2:$AU$1001,MATCH(ROWS($W$2:W157),$W$2:$W$1001,0),MATCH(COLUMNS($AD$1006:AU1006),$AD$1006:$AU$1006,0)), HYPERLINK("#",""), HYPERLINK(CONCATENATE("#metadata!", ADDRESS(INDEX($Y$2:$Y$1001,MATCH(ROWS($W$2:W157),$W$2:$W$1001,0),0), INDEX($AD$1004:$AU$1004,1,MATCH(COLUMNS($AD$1006:AU1006),$AD$1006:$AU$1006,0)))),"Fix")))</f>
        <v xml:space="preserve"> </v>
      </c>
      <c r="W157">
        <v>156</v>
      </c>
      <c r="X157">
        <v>100157</v>
      </c>
      <c r="Y157">
        <v>157</v>
      </c>
      <c r="Z157" t="b">
        <f t="shared" si="2"/>
        <v>1</v>
      </c>
      <c r="AA157" t="b">
        <f>COUNTBLANK(metadata!B157:S157)=COLUMNS(metadata!B157:S157)</f>
        <v>1</v>
      </c>
      <c r="AB157" t="str">
        <v/>
      </c>
      <c r="AD157" t="b">
        <f ca="1">AND(IF(metadata!B157="",FALSE,TRUE),COUNTIF(metadata!B:B, metadata!B157) = 1,NOT(ISERROR(SUMPRODUCT(SEARCH(MID(metadata!B157,ROW(INDIRECT("1:"&amp;LEN(metadata!B157))), 1),"0123456789abcdefghijklmnopqrstuvwxyzABCDEFGHIJKLMNOPQRSTUVWXYZ.")))))</f>
        <v>0</v>
      </c>
      <c r="AE157" t="b">
        <f>OR(AND(IF(metadata!C157="",FALSE,TRUE),OR(EXACT(metadata!C157,"not applicable"),EXACT(metadata!C157,"missing: not collected"),EXACT(metadata!C157,"missing: not provided"),EXACT(metadata!C157,"missing: restricted access"))),AND(IF(metadata!C157="",FALSE,ISNUMBER(VALUE(metadata!C157))),metadata!C157&gt;0))</f>
        <v>0</v>
      </c>
      <c r="AF157" t="b">
        <f>AND(IF(metadata!D157="",FALSE,TRUE),EXACT(metadata!D157,"missing: not provided"))</f>
        <v>0</v>
      </c>
      <c r="AG157" t="b">
        <f>AND(IF(metadata!E157="",FALSE,TRUE),EXACT(metadata!E157,"Host-associated"))</f>
        <v>0</v>
      </c>
      <c r="AH157" t="b">
        <f>AND(IF(metadata!F157="",FALSE,TRUE),OR(EXACT(metadata!F157,"Animal"),EXACT(metadata!F157,"Fungus"),EXACT(metadata!F157,"Plant")))</f>
        <v>0</v>
      </c>
      <c r="AI157" t="b">
        <f>AND(IF(metadata!G157="",FALSE,TRUE),OR(EXACT(metadata!G157,"Plant secretion"),EXACT(metadata!G157,"Plant rhizosphere"),EXACT(metadata!G157,"Plant surface"),EXACT(metadata!G157,"Plant corpus"),EXACT(metadata!G157,"Fungus surface"),EXACT(metadata!G157,"Fungus corpus"),EXACT(metadata!G157,"Animal surface"),EXACT(metadata!G157,"Animal proximal gut"),EXACT(metadata!G157,"Animal corpus"),EXACT(metadata!G157,"Animal distal gut"),EXACT(metadata!G157,"Animal secretion")))</f>
        <v>0</v>
      </c>
      <c r="AJ157" t="b">
        <f>OR(AND(IF(metadata!H157="",FALSE,TRUE),OR(EXACT(metadata!H157,"missing: not collected"),EXACT(metadata!H157,"missing: not provided"),EXACT(metadata!H157,"missing: restricted access"))),AND(IF(metadata!H157="",FALSE,TRUE),OR(EXACT(metadata!H157,"organism-associated habitat"),EXACT(metadata!H157,"plant-associated habitat"),EXACT(metadata!H157,"animal-associated habitat"),EXACT(metadata!H157,"insecta-associated habitat"),EXACT(metadata!H157,"mammalia-associated habitat"),EXACT(metadata!H157,"human-associated habitat"),EXACT(metadata!H157,"livestock-associated habitat"))))</f>
        <v>0</v>
      </c>
      <c r="AK157" t="b">
        <f>AND(IF(metadata!I157="",FALSE,TRUE),EXACT(metadata!I157,"host-associated"))</f>
        <v>0</v>
      </c>
      <c r="AL157" t="b">
        <f>OR(AND(IF(metadata!J157="",FALSE,TRUE),OR(EXACT(metadata!J157,"not applicable"),EXACT(metadata!J157,"missing: not collected"),EXACT(metadata!J157,"missing: not provided"),EXACT(metadata!J157,"missing: restricted access"))),AND(IF(metadata!J157="",FALSE,ISNUMBER(VALUE(metadata!J157))),metadata!J157&gt;0))</f>
        <v>0</v>
      </c>
      <c r="AM157" t="b">
        <f>AND(IF(metadata!K157="",FALSE,TRUE),EXACT(metadata!K157,"missing: not provided"))</f>
        <v>0</v>
      </c>
      <c r="AN157" t="b">
        <f>IF(metadata!L157="",FALSE,TRUE)</f>
        <v>0</v>
      </c>
      <c r="AO157" t="b">
        <f>IF(metadata!M157="",FALSE,TRUE)</f>
        <v>0</v>
      </c>
      <c r="AP157" t="b">
        <f>OR(AND(IF(metadata!N157="",FALSE,TRUE),OR(EXACT(metadata!N157,"not applicable"),EXACT(metadata!N157,"missing: not collected"),EXACT(metadata!N157,"missing: not provided"))),AND(IF(metadata!N157="",FALSE,IF(ISERROR(INT(metadata!N157)),FALSE,INT(metadata!N157)=metadata!N157)),metadata!N157&gt;0))</f>
        <v>0</v>
      </c>
      <c r="AQ157" t="b">
        <f>AND(IF(metadata!O157="",FALSE,TRUE),EXACT(metadata!O157,"Not applicable"))</f>
        <v>0</v>
      </c>
      <c r="AR157" t="b">
        <f>OR(AND(IF(metadata!P157="",FALSE,TRUE),OR(EXACT(metadata!P157,"not applicable"),EXACT(metadata!P157,"missing: not collected"),EXACT(metadata!P157,"missing: not provided"),EXACT(metadata!P157,"missing: restricted access"))),IF(metadata!P157="",FALSE,IF(ISERROR(INT(metadata!P157)),FALSE,INT(metadata!P157)=metadata!P157)))</f>
        <v>0</v>
      </c>
      <c r="AS157" t="b">
        <f>AND(IF(metadata!Q157="",FALSE,TRUE),EXACT(metadata!Q157,"Not applicable"))</f>
        <v>0</v>
      </c>
      <c r="AT157" t="b">
        <f>OR(AND(IF(metadata!R157="",FALSE,TRUE),OR(EXACT(metadata!R157,"not applicable"),EXACT(metadata!R157,"missing: not collected"),EXACT(metadata!R157,"missing: not provided"),EXACT(metadata!R157,"missing: restricted access"))),AND(IF(metadata!R157="",FALSE,ISNUMBER(VALUE(metadata!R157))),metadata!R157&gt;0))</f>
        <v>0</v>
      </c>
      <c r="AU157" t="b">
        <f>AND(IF(metadata!S157="",FALSE,TRUE),EXACT(metadata!S157,"missing: not provided"))</f>
        <v>0</v>
      </c>
    </row>
    <row r="158" spans="1:47" x14ac:dyDescent="0.2">
      <c r="A158" s="5" t="str">
        <f ca="1">IF(B158=" "," ",HYPERLINK(CONCATENATE("#metadata!",ADDRESS(INDEX($Y$2:$Y$1001,MATCH(ROWS($W$2:W158),$W$2:$W$1001,0),0),1)),INDEX($AB$2:$AB$1001,MATCH(ROWS($W$2:W158),$W$2:$W$1001,0),0)))</f>
        <v xml:space="preserve"> </v>
      </c>
      <c r="B158" s="4" t="str">
        <f ca="1">IF(OR(INDEX($X$2:$X$1001,MATCH(ROWS($W$2:W158),$W$2:$W$1001,0),1)&gt;=100000,INDEX($AD$1005:$AU$1005,1,MATCH(COLUMNS($AD$1006:AD1006),$AD$1006:$AU$1006,0))&gt;=100000), " ",IF(INDEX($AD$2:$AU$1001,MATCH(ROWS($W$2:W158),$W$2:$W$1001,0),MATCH(COLUMNS($AD$1006:AD1006),$AD$1006:$AU$1006,0)), HYPERLINK("#",""), HYPERLINK(CONCATENATE("#metadata!", ADDRESS(INDEX($Y$2:$Y$1001,MATCH(ROWS($W$2:W158),$W$2:$W$1001,0),0), INDEX($AD$1004:$AU$1004,1,MATCH(COLUMNS($AD$1006:AD1006),$AD$1006:$AU$1006,0)))),"Fix")))</f>
        <v xml:space="preserve"> </v>
      </c>
      <c r="C158" s="4" t="str">
        <f ca="1">IF(OR(INDEX($X$2:$X$1001,MATCH(ROWS($W$2:W158),$W$2:$W$1001,0),1)&gt;=100000,INDEX($AD$1005:$AU$1005,1,MATCH(COLUMNS($AD$1006:AE1006),$AD$1006:$AU$1006,0))&gt;=100000), " ",IF(INDEX($AD$2:$AU$1001,MATCH(ROWS($W$2:W158),$W$2:$W$1001,0),MATCH(COLUMNS($AD$1006:AE1006),$AD$1006:$AU$1006,0)), HYPERLINK("#",""), HYPERLINK(CONCATENATE("#metadata!", ADDRESS(INDEX($Y$2:$Y$1001,MATCH(ROWS($W$2:W158),$W$2:$W$1001,0),0), INDEX($AD$1004:$AU$1004,1,MATCH(COLUMNS($AD$1006:AE1006),$AD$1006:$AU$1006,0)))),"Fix")))</f>
        <v xml:space="preserve"> </v>
      </c>
      <c r="D158" s="4" t="str">
        <f ca="1">IF(OR(INDEX($X$2:$X$1001,MATCH(ROWS($W$2:W158),$W$2:$W$1001,0),1)&gt;=100000,INDEX($AD$1005:$AU$1005,1,MATCH(COLUMNS($AD$1006:AF1006),$AD$1006:$AU$1006,0))&gt;=100000), " ",IF(INDEX($AD$2:$AU$1001,MATCH(ROWS($W$2:W158),$W$2:$W$1001,0),MATCH(COLUMNS($AD$1006:AF1006),$AD$1006:$AU$1006,0)), HYPERLINK("#",""), HYPERLINK(CONCATENATE("#metadata!", ADDRESS(INDEX($Y$2:$Y$1001,MATCH(ROWS($W$2:W158),$W$2:$W$1001,0),0), INDEX($AD$1004:$AU$1004,1,MATCH(COLUMNS($AD$1006:AF1006),$AD$1006:$AU$1006,0)))),"Fix")))</f>
        <v xml:space="preserve"> </v>
      </c>
      <c r="E158" s="4" t="str">
        <f ca="1">IF(OR(INDEX($X$2:$X$1001,MATCH(ROWS($W$2:W158),$W$2:$W$1001,0),1)&gt;=100000,INDEX($AD$1005:$AU$1005,1,MATCH(COLUMNS($AD$1006:AG1006),$AD$1006:$AU$1006,0))&gt;=100000), " ",IF(INDEX($AD$2:$AU$1001,MATCH(ROWS($W$2:W158),$W$2:$W$1001,0),MATCH(COLUMNS($AD$1006:AG1006),$AD$1006:$AU$1006,0)), HYPERLINK("#",""), HYPERLINK(CONCATENATE("#metadata!", ADDRESS(INDEX($Y$2:$Y$1001,MATCH(ROWS($W$2:W158),$W$2:$W$1001,0),0), INDEX($AD$1004:$AU$1004,1,MATCH(COLUMNS($AD$1006:AG1006),$AD$1006:$AU$1006,0)))),"Fix")))</f>
        <v xml:space="preserve"> </v>
      </c>
      <c r="F158" s="4" t="str">
        <f ca="1">IF(OR(INDEX($X$2:$X$1001,MATCH(ROWS($W$2:W158),$W$2:$W$1001,0),1)&gt;=100000,INDEX($AD$1005:$AU$1005,1,MATCH(COLUMNS($AD$1006:AH1006),$AD$1006:$AU$1006,0))&gt;=100000), " ",IF(INDEX($AD$2:$AU$1001,MATCH(ROWS($W$2:W158),$W$2:$W$1001,0),MATCH(COLUMNS($AD$1006:AH1006),$AD$1006:$AU$1006,0)), HYPERLINK("#",""), HYPERLINK(CONCATENATE("#metadata!", ADDRESS(INDEX($Y$2:$Y$1001,MATCH(ROWS($W$2:W158),$W$2:$W$1001,0),0), INDEX($AD$1004:$AU$1004,1,MATCH(COLUMNS($AD$1006:AH1006),$AD$1006:$AU$1006,0)))),"Fix")))</f>
        <v xml:space="preserve"> </v>
      </c>
      <c r="G158" s="4" t="str">
        <f ca="1">IF(OR(INDEX($X$2:$X$1001,MATCH(ROWS($W$2:W158),$W$2:$W$1001,0),1)&gt;=100000,INDEX($AD$1005:$AU$1005,1,MATCH(COLUMNS($AD$1006:AI1006),$AD$1006:$AU$1006,0))&gt;=100000), " ",IF(INDEX($AD$2:$AU$1001,MATCH(ROWS($W$2:W158),$W$2:$W$1001,0),MATCH(COLUMNS($AD$1006:AI1006),$AD$1006:$AU$1006,0)), HYPERLINK("#",""), HYPERLINK(CONCATENATE("#metadata!", ADDRESS(INDEX($Y$2:$Y$1001,MATCH(ROWS($W$2:W158),$W$2:$W$1001,0),0), INDEX($AD$1004:$AU$1004,1,MATCH(COLUMNS($AD$1006:AI1006),$AD$1006:$AU$1006,0)))),"Fix")))</f>
        <v xml:space="preserve"> </v>
      </c>
      <c r="H158" s="4" t="str">
        <f ca="1">IF(OR(INDEX($X$2:$X$1001,MATCH(ROWS($W$2:W158),$W$2:$W$1001,0),1)&gt;=100000,INDEX($AD$1005:$AU$1005,1,MATCH(COLUMNS($AD$1006:AJ1006),$AD$1006:$AU$1006,0))&gt;=100000), " ",IF(INDEX($AD$2:$AU$1001,MATCH(ROWS($W$2:W158),$W$2:$W$1001,0),MATCH(COLUMNS($AD$1006:AJ1006),$AD$1006:$AU$1006,0)), HYPERLINK("#",""), HYPERLINK(CONCATENATE("#metadata!", ADDRESS(INDEX($Y$2:$Y$1001,MATCH(ROWS($W$2:W158),$W$2:$W$1001,0),0), INDEX($AD$1004:$AU$1004,1,MATCH(COLUMNS($AD$1006:AJ1006),$AD$1006:$AU$1006,0)))),"Fix")))</f>
        <v xml:space="preserve"> </v>
      </c>
      <c r="I158" s="4" t="str">
        <f ca="1">IF(OR(INDEX($X$2:$X$1001,MATCH(ROWS($W$2:W158),$W$2:$W$1001,0),1)&gt;=100000,INDEX($AD$1005:$AU$1005,1,MATCH(COLUMNS($AD$1006:AK1006),$AD$1006:$AU$1006,0))&gt;=100000), " ",IF(INDEX($AD$2:$AU$1001,MATCH(ROWS($W$2:W158),$W$2:$W$1001,0),MATCH(COLUMNS($AD$1006:AK1006),$AD$1006:$AU$1006,0)), HYPERLINK("#",""), HYPERLINK(CONCATENATE("#metadata!", ADDRESS(INDEX($Y$2:$Y$1001,MATCH(ROWS($W$2:W158),$W$2:$W$1001,0),0), INDEX($AD$1004:$AU$1004,1,MATCH(COLUMNS($AD$1006:AK1006),$AD$1006:$AU$1006,0)))),"Fix")))</f>
        <v xml:space="preserve"> </v>
      </c>
      <c r="J158" s="4" t="str">
        <f ca="1">IF(OR(INDEX($X$2:$X$1001,MATCH(ROWS($W$2:W158),$W$2:$W$1001,0),1)&gt;=100000,INDEX($AD$1005:$AU$1005,1,MATCH(COLUMNS($AD$1006:AL1006),$AD$1006:$AU$1006,0))&gt;=100000), " ",IF(INDEX($AD$2:$AU$1001,MATCH(ROWS($W$2:W158),$W$2:$W$1001,0),MATCH(COLUMNS($AD$1006:AL1006),$AD$1006:$AU$1006,0)), HYPERLINK("#",""), HYPERLINK(CONCATENATE("#metadata!", ADDRESS(INDEX($Y$2:$Y$1001,MATCH(ROWS($W$2:W158),$W$2:$W$1001,0),0), INDEX($AD$1004:$AU$1004,1,MATCH(COLUMNS($AD$1006:AL1006),$AD$1006:$AU$1006,0)))),"Fix")))</f>
        <v xml:space="preserve"> </v>
      </c>
      <c r="K158" s="4" t="str">
        <f ca="1">IF(OR(INDEX($X$2:$X$1001,MATCH(ROWS($W$2:W158),$W$2:$W$1001,0),1)&gt;=100000,INDEX($AD$1005:$AU$1005,1,MATCH(COLUMNS($AD$1006:AM1006),$AD$1006:$AU$1006,0))&gt;=100000), " ",IF(INDEX($AD$2:$AU$1001,MATCH(ROWS($W$2:W158),$W$2:$W$1001,0),MATCH(COLUMNS($AD$1006:AM1006),$AD$1006:$AU$1006,0)), HYPERLINK("#",""), HYPERLINK(CONCATENATE("#metadata!", ADDRESS(INDEX($Y$2:$Y$1001,MATCH(ROWS($W$2:W158),$W$2:$W$1001,0),0), INDEX($AD$1004:$AU$1004,1,MATCH(COLUMNS($AD$1006:AM1006),$AD$1006:$AU$1006,0)))),"Fix")))</f>
        <v xml:space="preserve"> </v>
      </c>
      <c r="L158" s="4" t="str">
        <f ca="1">IF(OR(INDEX($X$2:$X$1001,MATCH(ROWS($W$2:W158),$W$2:$W$1001,0),1)&gt;=100000,INDEX($AD$1005:$AU$1005,1,MATCH(COLUMNS($AD$1006:AN1006),$AD$1006:$AU$1006,0))&gt;=100000), " ",IF(INDEX($AD$2:$AU$1001,MATCH(ROWS($W$2:W158),$W$2:$W$1001,0),MATCH(COLUMNS($AD$1006:AN1006),$AD$1006:$AU$1006,0)), HYPERLINK("#",""), HYPERLINK(CONCATENATE("#metadata!", ADDRESS(INDEX($Y$2:$Y$1001,MATCH(ROWS($W$2:W158),$W$2:$W$1001,0),0), INDEX($AD$1004:$AU$1004,1,MATCH(COLUMNS($AD$1006:AN1006),$AD$1006:$AU$1006,0)))),"Fix")))</f>
        <v xml:space="preserve"> </v>
      </c>
      <c r="M158" s="4" t="str">
        <f ca="1">IF(OR(INDEX($X$2:$X$1001,MATCH(ROWS($W$2:W158),$W$2:$W$1001,0),1)&gt;=100000,INDEX($AD$1005:$AU$1005,1,MATCH(COLUMNS($AD$1006:AO1006),$AD$1006:$AU$1006,0))&gt;=100000), " ",IF(INDEX($AD$2:$AU$1001,MATCH(ROWS($W$2:W158),$W$2:$W$1001,0),MATCH(COLUMNS($AD$1006:AO1006),$AD$1006:$AU$1006,0)), HYPERLINK("#",""), HYPERLINK(CONCATENATE("#metadata!", ADDRESS(INDEX($Y$2:$Y$1001,MATCH(ROWS($W$2:W158),$W$2:$W$1001,0),0), INDEX($AD$1004:$AU$1004,1,MATCH(COLUMNS($AD$1006:AO1006),$AD$1006:$AU$1006,0)))),"Fix")))</f>
        <v xml:space="preserve"> </v>
      </c>
      <c r="N158" s="4" t="str">
        <f ca="1">IF(OR(INDEX($X$2:$X$1001,MATCH(ROWS($W$2:W158),$W$2:$W$1001,0),1)&gt;=100000,INDEX($AD$1005:$AU$1005,1,MATCH(COLUMNS($AD$1006:AP1006),$AD$1006:$AU$1006,0))&gt;=100000), " ",IF(INDEX($AD$2:$AU$1001,MATCH(ROWS($W$2:W158),$W$2:$W$1001,0),MATCH(COLUMNS($AD$1006:AP1006),$AD$1006:$AU$1006,0)), HYPERLINK("#",""), HYPERLINK(CONCATENATE("#metadata!", ADDRESS(INDEX($Y$2:$Y$1001,MATCH(ROWS($W$2:W158),$W$2:$W$1001,0),0), INDEX($AD$1004:$AU$1004,1,MATCH(COLUMNS($AD$1006:AP1006),$AD$1006:$AU$1006,0)))),"Fix")))</f>
        <v xml:space="preserve"> </v>
      </c>
      <c r="O158" s="4" t="str">
        <f ca="1">IF(OR(INDEX($X$2:$X$1001,MATCH(ROWS($W$2:W158),$W$2:$W$1001,0),1)&gt;=100000,INDEX($AD$1005:$AU$1005,1,MATCH(COLUMNS($AD$1006:AQ1006),$AD$1006:$AU$1006,0))&gt;=100000), " ",IF(INDEX($AD$2:$AU$1001,MATCH(ROWS($W$2:W158),$W$2:$W$1001,0),MATCH(COLUMNS($AD$1006:AQ1006),$AD$1006:$AU$1006,0)), HYPERLINK("#",""), HYPERLINK(CONCATENATE("#metadata!", ADDRESS(INDEX($Y$2:$Y$1001,MATCH(ROWS($W$2:W158),$W$2:$W$1001,0),0), INDEX($AD$1004:$AU$1004,1,MATCH(COLUMNS($AD$1006:AQ1006),$AD$1006:$AU$1006,0)))),"Fix")))</f>
        <v xml:space="preserve"> </v>
      </c>
      <c r="P158" s="4" t="str">
        <f ca="1">IF(OR(INDEX($X$2:$X$1001,MATCH(ROWS($W$2:W158),$W$2:$W$1001,0),1)&gt;=100000,INDEX($AD$1005:$AU$1005,1,MATCH(COLUMNS($AD$1006:AR1006),$AD$1006:$AU$1006,0))&gt;=100000), " ",IF(INDEX($AD$2:$AU$1001,MATCH(ROWS($W$2:W158),$W$2:$W$1001,0),MATCH(COLUMNS($AD$1006:AR1006),$AD$1006:$AU$1006,0)), HYPERLINK("#",""), HYPERLINK(CONCATENATE("#metadata!", ADDRESS(INDEX($Y$2:$Y$1001,MATCH(ROWS($W$2:W158),$W$2:$W$1001,0),0), INDEX($AD$1004:$AU$1004,1,MATCH(COLUMNS($AD$1006:AR1006),$AD$1006:$AU$1006,0)))),"Fix")))</f>
        <v xml:space="preserve"> </v>
      </c>
      <c r="Q158" s="4" t="str">
        <f ca="1">IF(OR(INDEX($X$2:$X$1001,MATCH(ROWS($W$2:W158),$W$2:$W$1001,0),1)&gt;=100000,INDEX($AD$1005:$AU$1005,1,MATCH(COLUMNS($AD$1006:AS1006),$AD$1006:$AU$1006,0))&gt;=100000), " ",IF(INDEX($AD$2:$AU$1001,MATCH(ROWS($W$2:W158),$W$2:$W$1001,0),MATCH(COLUMNS($AD$1006:AS1006),$AD$1006:$AU$1006,0)), HYPERLINK("#",""), HYPERLINK(CONCATENATE("#metadata!", ADDRESS(INDEX($Y$2:$Y$1001,MATCH(ROWS($W$2:W158),$W$2:$W$1001,0),0), INDEX($AD$1004:$AU$1004,1,MATCH(COLUMNS($AD$1006:AS1006),$AD$1006:$AU$1006,0)))),"Fix")))</f>
        <v xml:space="preserve"> </v>
      </c>
      <c r="R158" s="4" t="str">
        <f ca="1">IF(OR(INDEX($X$2:$X$1001,MATCH(ROWS($W$2:W158),$W$2:$W$1001,0),1)&gt;=100000,INDEX($AD$1005:$AU$1005,1,MATCH(COLUMNS($AD$1006:AT1006),$AD$1006:$AU$1006,0))&gt;=100000), " ",IF(INDEX($AD$2:$AU$1001,MATCH(ROWS($W$2:W158),$W$2:$W$1001,0),MATCH(COLUMNS($AD$1006:AT1006),$AD$1006:$AU$1006,0)), HYPERLINK("#",""), HYPERLINK(CONCATENATE("#metadata!", ADDRESS(INDEX($Y$2:$Y$1001,MATCH(ROWS($W$2:W158),$W$2:$W$1001,0),0), INDEX($AD$1004:$AU$1004,1,MATCH(COLUMNS($AD$1006:AT1006),$AD$1006:$AU$1006,0)))),"Fix")))</f>
        <v xml:space="preserve"> </v>
      </c>
      <c r="S158" s="4" t="str">
        <f ca="1">IF(OR(INDEX($X$2:$X$1001,MATCH(ROWS($W$2:W158),$W$2:$W$1001,0),1)&gt;=100000,INDEX($AD$1005:$AU$1005,1,MATCH(COLUMNS($AD$1006:AU1006),$AD$1006:$AU$1006,0))&gt;=100000), " ",IF(INDEX($AD$2:$AU$1001,MATCH(ROWS($W$2:W158),$W$2:$W$1001,0),MATCH(COLUMNS($AD$1006:AU1006),$AD$1006:$AU$1006,0)), HYPERLINK("#",""), HYPERLINK(CONCATENATE("#metadata!", ADDRESS(INDEX($Y$2:$Y$1001,MATCH(ROWS($W$2:W158),$W$2:$W$1001,0),0), INDEX($AD$1004:$AU$1004,1,MATCH(COLUMNS($AD$1006:AU1006),$AD$1006:$AU$1006,0)))),"Fix")))</f>
        <v xml:space="preserve"> </v>
      </c>
      <c r="W158">
        <v>157</v>
      </c>
      <c r="X158">
        <v>100158</v>
      </c>
      <c r="Y158">
        <v>158</v>
      </c>
      <c r="Z158" t="b">
        <f t="shared" si="2"/>
        <v>1</v>
      </c>
      <c r="AA158" t="b">
        <f>COUNTBLANK(metadata!B158:S158)=COLUMNS(metadata!B158:S158)</f>
        <v>1</v>
      </c>
      <c r="AB158" t="str">
        <v/>
      </c>
      <c r="AD158" t="b">
        <f ca="1">AND(IF(metadata!B158="",FALSE,TRUE),COUNTIF(metadata!B:B, metadata!B158) = 1,NOT(ISERROR(SUMPRODUCT(SEARCH(MID(metadata!B158,ROW(INDIRECT("1:"&amp;LEN(metadata!B158))), 1),"0123456789abcdefghijklmnopqrstuvwxyzABCDEFGHIJKLMNOPQRSTUVWXYZ.")))))</f>
        <v>0</v>
      </c>
      <c r="AE158" t="b">
        <f>OR(AND(IF(metadata!C158="",FALSE,TRUE),OR(EXACT(metadata!C158,"not applicable"),EXACT(metadata!C158,"missing: not collected"),EXACT(metadata!C158,"missing: not provided"),EXACT(metadata!C158,"missing: restricted access"))),AND(IF(metadata!C158="",FALSE,ISNUMBER(VALUE(metadata!C158))),metadata!C158&gt;0))</f>
        <v>0</v>
      </c>
      <c r="AF158" t="b">
        <f>AND(IF(metadata!D158="",FALSE,TRUE),EXACT(metadata!D158,"missing: not provided"))</f>
        <v>0</v>
      </c>
      <c r="AG158" t="b">
        <f>AND(IF(metadata!E158="",FALSE,TRUE),EXACT(metadata!E158,"Host-associated"))</f>
        <v>0</v>
      </c>
      <c r="AH158" t="b">
        <f>AND(IF(metadata!F158="",FALSE,TRUE),OR(EXACT(metadata!F158,"Animal"),EXACT(metadata!F158,"Fungus"),EXACT(metadata!F158,"Plant")))</f>
        <v>0</v>
      </c>
      <c r="AI158" t="b">
        <f>AND(IF(metadata!G158="",FALSE,TRUE),OR(EXACT(metadata!G158,"Plant secretion"),EXACT(metadata!G158,"Plant rhizosphere"),EXACT(metadata!G158,"Plant surface"),EXACT(metadata!G158,"Plant corpus"),EXACT(metadata!G158,"Fungus surface"),EXACT(metadata!G158,"Fungus corpus"),EXACT(metadata!G158,"Animal surface"),EXACT(metadata!G158,"Animal proximal gut"),EXACT(metadata!G158,"Animal corpus"),EXACT(metadata!G158,"Animal distal gut"),EXACT(metadata!G158,"Animal secretion")))</f>
        <v>0</v>
      </c>
      <c r="AJ158" t="b">
        <f>OR(AND(IF(metadata!H158="",FALSE,TRUE),OR(EXACT(metadata!H158,"missing: not collected"),EXACT(metadata!H158,"missing: not provided"),EXACT(metadata!H158,"missing: restricted access"))),AND(IF(metadata!H158="",FALSE,TRUE),OR(EXACT(metadata!H158,"organism-associated habitat"),EXACT(metadata!H158,"plant-associated habitat"),EXACT(metadata!H158,"animal-associated habitat"),EXACT(metadata!H158,"insecta-associated habitat"),EXACT(metadata!H158,"mammalia-associated habitat"),EXACT(metadata!H158,"human-associated habitat"),EXACT(metadata!H158,"livestock-associated habitat"))))</f>
        <v>0</v>
      </c>
      <c r="AK158" t="b">
        <f>AND(IF(metadata!I158="",FALSE,TRUE),EXACT(metadata!I158,"host-associated"))</f>
        <v>0</v>
      </c>
      <c r="AL158" t="b">
        <f>OR(AND(IF(metadata!J158="",FALSE,TRUE),OR(EXACT(metadata!J158,"not applicable"),EXACT(metadata!J158,"missing: not collected"),EXACT(metadata!J158,"missing: not provided"),EXACT(metadata!J158,"missing: restricted access"))),AND(IF(metadata!J158="",FALSE,ISNUMBER(VALUE(metadata!J158))),metadata!J158&gt;0))</f>
        <v>0</v>
      </c>
      <c r="AM158" t="b">
        <f>AND(IF(metadata!K158="",FALSE,TRUE),EXACT(metadata!K158,"missing: not provided"))</f>
        <v>0</v>
      </c>
      <c r="AN158" t="b">
        <f>IF(metadata!L158="",FALSE,TRUE)</f>
        <v>0</v>
      </c>
      <c r="AO158" t="b">
        <f>IF(metadata!M158="",FALSE,TRUE)</f>
        <v>0</v>
      </c>
      <c r="AP158" t="b">
        <f>OR(AND(IF(metadata!N158="",FALSE,TRUE),OR(EXACT(metadata!N158,"not applicable"),EXACT(metadata!N158,"missing: not collected"),EXACT(metadata!N158,"missing: not provided"))),AND(IF(metadata!N158="",FALSE,IF(ISERROR(INT(metadata!N158)),FALSE,INT(metadata!N158)=metadata!N158)),metadata!N158&gt;0))</f>
        <v>0</v>
      </c>
      <c r="AQ158" t="b">
        <f>AND(IF(metadata!O158="",FALSE,TRUE),EXACT(metadata!O158,"Not applicable"))</f>
        <v>0</v>
      </c>
      <c r="AR158" t="b">
        <f>OR(AND(IF(metadata!P158="",FALSE,TRUE),OR(EXACT(metadata!P158,"not applicable"),EXACT(metadata!P158,"missing: not collected"),EXACT(metadata!P158,"missing: not provided"),EXACT(metadata!P158,"missing: restricted access"))),IF(metadata!P158="",FALSE,IF(ISERROR(INT(metadata!P158)),FALSE,INT(metadata!P158)=metadata!P158)))</f>
        <v>0</v>
      </c>
      <c r="AS158" t="b">
        <f>AND(IF(metadata!Q158="",FALSE,TRUE),EXACT(metadata!Q158,"Not applicable"))</f>
        <v>0</v>
      </c>
      <c r="AT158" t="b">
        <f>OR(AND(IF(metadata!R158="",FALSE,TRUE),OR(EXACT(metadata!R158,"not applicable"),EXACT(metadata!R158,"missing: not collected"),EXACT(metadata!R158,"missing: not provided"),EXACT(metadata!R158,"missing: restricted access"))),AND(IF(metadata!R158="",FALSE,ISNUMBER(VALUE(metadata!R158))),metadata!R158&gt;0))</f>
        <v>0</v>
      </c>
      <c r="AU158" t="b">
        <f>AND(IF(metadata!S158="",FALSE,TRUE),EXACT(metadata!S158,"missing: not provided"))</f>
        <v>0</v>
      </c>
    </row>
    <row r="159" spans="1:47" x14ac:dyDescent="0.2">
      <c r="A159" s="5" t="str">
        <f ca="1">IF(B159=" "," ",HYPERLINK(CONCATENATE("#metadata!",ADDRESS(INDEX($Y$2:$Y$1001,MATCH(ROWS($W$2:W159),$W$2:$W$1001,0),0),1)),INDEX($AB$2:$AB$1001,MATCH(ROWS($W$2:W159),$W$2:$W$1001,0),0)))</f>
        <v xml:space="preserve"> </v>
      </c>
      <c r="B159" s="4" t="str">
        <f ca="1">IF(OR(INDEX($X$2:$X$1001,MATCH(ROWS($W$2:W159),$W$2:$W$1001,0),1)&gt;=100000,INDEX($AD$1005:$AU$1005,1,MATCH(COLUMNS($AD$1006:AD1006),$AD$1006:$AU$1006,0))&gt;=100000), " ",IF(INDEX($AD$2:$AU$1001,MATCH(ROWS($W$2:W159),$W$2:$W$1001,0),MATCH(COLUMNS($AD$1006:AD1006),$AD$1006:$AU$1006,0)), HYPERLINK("#",""), HYPERLINK(CONCATENATE("#metadata!", ADDRESS(INDEX($Y$2:$Y$1001,MATCH(ROWS($W$2:W159),$W$2:$W$1001,0),0), INDEX($AD$1004:$AU$1004,1,MATCH(COLUMNS($AD$1006:AD1006),$AD$1006:$AU$1006,0)))),"Fix")))</f>
        <v xml:space="preserve"> </v>
      </c>
      <c r="C159" s="4" t="str">
        <f ca="1">IF(OR(INDEX($X$2:$X$1001,MATCH(ROWS($W$2:W159),$W$2:$W$1001,0),1)&gt;=100000,INDEX($AD$1005:$AU$1005,1,MATCH(COLUMNS($AD$1006:AE1006),$AD$1006:$AU$1006,0))&gt;=100000), " ",IF(INDEX($AD$2:$AU$1001,MATCH(ROWS($W$2:W159),$W$2:$W$1001,0),MATCH(COLUMNS($AD$1006:AE1006),$AD$1006:$AU$1006,0)), HYPERLINK("#",""), HYPERLINK(CONCATENATE("#metadata!", ADDRESS(INDEX($Y$2:$Y$1001,MATCH(ROWS($W$2:W159),$W$2:$W$1001,0),0), INDEX($AD$1004:$AU$1004,1,MATCH(COLUMNS($AD$1006:AE1006),$AD$1006:$AU$1006,0)))),"Fix")))</f>
        <v xml:space="preserve"> </v>
      </c>
      <c r="D159" s="4" t="str">
        <f ca="1">IF(OR(INDEX($X$2:$X$1001,MATCH(ROWS($W$2:W159),$W$2:$W$1001,0),1)&gt;=100000,INDEX($AD$1005:$AU$1005,1,MATCH(COLUMNS($AD$1006:AF1006),$AD$1006:$AU$1006,0))&gt;=100000), " ",IF(INDEX($AD$2:$AU$1001,MATCH(ROWS($W$2:W159),$W$2:$W$1001,0),MATCH(COLUMNS($AD$1006:AF1006),$AD$1006:$AU$1006,0)), HYPERLINK("#",""), HYPERLINK(CONCATENATE("#metadata!", ADDRESS(INDEX($Y$2:$Y$1001,MATCH(ROWS($W$2:W159),$W$2:$W$1001,0),0), INDEX($AD$1004:$AU$1004,1,MATCH(COLUMNS($AD$1006:AF1006),$AD$1006:$AU$1006,0)))),"Fix")))</f>
        <v xml:space="preserve"> </v>
      </c>
      <c r="E159" s="4" t="str">
        <f ca="1">IF(OR(INDEX($X$2:$X$1001,MATCH(ROWS($W$2:W159),$W$2:$W$1001,0),1)&gt;=100000,INDEX($AD$1005:$AU$1005,1,MATCH(COLUMNS($AD$1006:AG1006),$AD$1006:$AU$1006,0))&gt;=100000), " ",IF(INDEX($AD$2:$AU$1001,MATCH(ROWS($W$2:W159),$W$2:$W$1001,0),MATCH(COLUMNS($AD$1006:AG1006),$AD$1006:$AU$1006,0)), HYPERLINK("#",""), HYPERLINK(CONCATENATE("#metadata!", ADDRESS(INDEX($Y$2:$Y$1001,MATCH(ROWS($W$2:W159),$W$2:$W$1001,0),0), INDEX($AD$1004:$AU$1004,1,MATCH(COLUMNS($AD$1006:AG1006),$AD$1006:$AU$1006,0)))),"Fix")))</f>
        <v xml:space="preserve"> </v>
      </c>
      <c r="F159" s="4" t="str">
        <f ca="1">IF(OR(INDEX($X$2:$X$1001,MATCH(ROWS($W$2:W159),$W$2:$W$1001,0),1)&gt;=100000,INDEX($AD$1005:$AU$1005,1,MATCH(COLUMNS($AD$1006:AH1006),$AD$1006:$AU$1006,0))&gt;=100000), " ",IF(INDEX($AD$2:$AU$1001,MATCH(ROWS($W$2:W159),$W$2:$W$1001,0),MATCH(COLUMNS($AD$1006:AH1006),$AD$1006:$AU$1006,0)), HYPERLINK("#",""), HYPERLINK(CONCATENATE("#metadata!", ADDRESS(INDEX($Y$2:$Y$1001,MATCH(ROWS($W$2:W159),$W$2:$W$1001,0),0), INDEX($AD$1004:$AU$1004,1,MATCH(COLUMNS($AD$1006:AH1006),$AD$1006:$AU$1006,0)))),"Fix")))</f>
        <v xml:space="preserve"> </v>
      </c>
      <c r="G159" s="4" t="str">
        <f ca="1">IF(OR(INDEX($X$2:$X$1001,MATCH(ROWS($W$2:W159),$W$2:$W$1001,0),1)&gt;=100000,INDEX($AD$1005:$AU$1005,1,MATCH(COLUMNS($AD$1006:AI1006),$AD$1006:$AU$1006,0))&gt;=100000), " ",IF(INDEX($AD$2:$AU$1001,MATCH(ROWS($W$2:W159),$W$2:$W$1001,0),MATCH(COLUMNS($AD$1006:AI1006),$AD$1006:$AU$1006,0)), HYPERLINK("#",""), HYPERLINK(CONCATENATE("#metadata!", ADDRESS(INDEX($Y$2:$Y$1001,MATCH(ROWS($W$2:W159),$W$2:$W$1001,0),0), INDEX($AD$1004:$AU$1004,1,MATCH(COLUMNS($AD$1006:AI1006),$AD$1006:$AU$1006,0)))),"Fix")))</f>
        <v xml:space="preserve"> </v>
      </c>
      <c r="H159" s="4" t="str">
        <f ca="1">IF(OR(INDEX($X$2:$X$1001,MATCH(ROWS($W$2:W159),$W$2:$W$1001,0),1)&gt;=100000,INDEX($AD$1005:$AU$1005,1,MATCH(COLUMNS($AD$1006:AJ1006),$AD$1006:$AU$1006,0))&gt;=100000), " ",IF(INDEX($AD$2:$AU$1001,MATCH(ROWS($W$2:W159),$W$2:$W$1001,0),MATCH(COLUMNS($AD$1006:AJ1006),$AD$1006:$AU$1006,0)), HYPERLINK("#",""), HYPERLINK(CONCATENATE("#metadata!", ADDRESS(INDEX($Y$2:$Y$1001,MATCH(ROWS($W$2:W159),$W$2:$W$1001,0),0), INDEX($AD$1004:$AU$1004,1,MATCH(COLUMNS($AD$1006:AJ1006),$AD$1006:$AU$1006,0)))),"Fix")))</f>
        <v xml:space="preserve"> </v>
      </c>
      <c r="I159" s="4" t="str">
        <f ca="1">IF(OR(INDEX($X$2:$X$1001,MATCH(ROWS($W$2:W159),$W$2:$W$1001,0),1)&gt;=100000,INDEX($AD$1005:$AU$1005,1,MATCH(COLUMNS($AD$1006:AK1006),$AD$1006:$AU$1006,0))&gt;=100000), " ",IF(INDEX($AD$2:$AU$1001,MATCH(ROWS($W$2:W159),$W$2:$W$1001,0),MATCH(COLUMNS($AD$1006:AK1006),$AD$1006:$AU$1006,0)), HYPERLINK("#",""), HYPERLINK(CONCATENATE("#metadata!", ADDRESS(INDEX($Y$2:$Y$1001,MATCH(ROWS($W$2:W159),$W$2:$W$1001,0),0), INDEX($AD$1004:$AU$1004,1,MATCH(COLUMNS($AD$1006:AK1006),$AD$1006:$AU$1006,0)))),"Fix")))</f>
        <v xml:space="preserve"> </v>
      </c>
      <c r="J159" s="4" t="str">
        <f ca="1">IF(OR(INDEX($X$2:$X$1001,MATCH(ROWS($W$2:W159),$W$2:$W$1001,0),1)&gt;=100000,INDEX($AD$1005:$AU$1005,1,MATCH(COLUMNS($AD$1006:AL1006),$AD$1006:$AU$1006,0))&gt;=100000), " ",IF(INDEX($AD$2:$AU$1001,MATCH(ROWS($W$2:W159),$W$2:$W$1001,0),MATCH(COLUMNS($AD$1006:AL1006),$AD$1006:$AU$1006,0)), HYPERLINK("#",""), HYPERLINK(CONCATENATE("#metadata!", ADDRESS(INDEX($Y$2:$Y$1001,MATCH(ROWS($W$2:W159),$W$2:$W$1001,0),0), INDEX($AD$1004:$AU$1004,1,MATCH(COLUMNS($AD$1006:AL1006),$AD$1006:$AU$1006,0)))),"Fix")))</f>
        <v xml:space="preserve"> </v>
      </c>
      <c r="K159" s="4" t="str">
        <f ca="1">IF(OR(INDEX($X$2:$X$1001,MATCH(ROWS($W$2:W159),$W$2:$W$1001,0),1)&gt;=100000,INDEX($AD$1005:$AU$1005,1,MATCH(COLUMNS($AD$1006:AM1006),$AD$1006:$AU$1006,0))&gt;=100000), " ",IF(INDEX($AD$2:$AU$1001,MATCH(ROWS($W$2:W159),$W$2:$W$1001,0),MATCH(COLUMNS($AD$1006:AM1006),$AD$1006:$AU$1006,0)), HYPERLINK("#",""), HYPERLINK(CONCATENATE("#metadata!", ADDRESS(INDEX($Y$2:$Y$1001,MATCH(ROWS($W$2:W159),$W$2:$W$1001,0),0), INDEX($AD$1004:$AU$1004,1,MATCH(COLUMNS($AD$1006:AM1006),$AD$1006:$AU$1006,0)))),"Fix")))</f>
        <v xml:space="preserve"> </v>
      </c>
      <c r="L159" s="4" t="str">
        <f ca="1">IF(OR(INDEX($X$2:$X$1001,MATCH(ROWS($W$2:W159),$W$2:$W$1001,0),1)&gt;=100000,INDEX($AD$1005:$AU$1005,1,MATCH(COLUMNS($AD$1006:AN1006),$AD$1006:$AU$1006,0))&gt;=100000), " ",IF(INDEX($AD$2:$AU$1001,MATCH(ROWS($W$2:W159),$W$2:$W$1001,0),MATCH(COLUMNS($AD$1006:AN1006),$AD$1006:$AU$1006,0)), HYPERLINK("#",""), HYPERLINK(CONCATENATE("#metadata!", ADDRESS(INDEX($Y$2:$Y$1001,MATCH(ROWS($W$2:W159),$W$2:$W$1001,0),0), INDEX($AD$1004:$AU$1004,1,MATCH(COLUMNS($AD$1006:AN1006),$AD$1006:$AU$1006,0)))),"Fix")))</f>
        <v xml:space="preserve"> </v>
      </c>
      <c r="M159" s="4" t="str">
        <f ca="1">IF(OR(INDEX($X$2:$X$1001,MATCH(ROWS($W$2:W159),$W$2:$W$1001,0),1)&gt;=100000,INDEX($AD$1005:$AU$1005,1,MATCH(COLUMNS($AD$1006:AO1006),$AD$1006:$AU$1006,0))&gt;=100000), " ",IF(INDEX($AD$2:$AU$1001,MATCH(ROWS($W$2:W159),$W$2:$W$1001,0),MATCH(COLUMNS($AD$1006:AO1006),$AD$1006:$AU$1006,0)), HYPERLINK("#",""), HYPERLINK(CONCATENATE("#metadata!", ADDRESS(INDEX($Y$2:$Y$1001,MATCH(ROWS($W$2:W159),$W$2:$W$1001,0),0), INDEX($AD$1004:$AU$1004,1,MATCH(COLUMNS($AD$1006:AO1006),$AD$1006:$AU$1006,0)))),"Fix")))</f>
        <v xml:space="preserve"> </v>
      </c>
      <c r="N159" s="4" t="str">
        <f ca="1">IF(OR(INDEX($X$2:$X$1001,MATCH(ROWS($W$2:W159),$W$2:$W$1001,0),1)&gt;=100000,INDEX($AD$1005:$AU$1005,1,MATCH(COLUMNS($AD$1006:AP1006),$AD$1006:$AU$1006,0))&gt;=100000), " ",IF(INDEX($AD$2:$AU$1001,MATCH(ROWS($W$2:W159),$W$2:$W$1001,0),MATCH(COLUMNS($AD$1006:AP1006),$AD$1006:$AU$1006,0)), HYPERLINK("#",""), HYPERLINK(CONCATENATE("#metadata!", ADDRESS(INDEX($Y$2:$Y$1001,MATCH(ROWS($W$2:W159),$W$2:$W$1001,0),0), INDEX($AD$1004:$AU$1004,1,MATCH(COLUMNS($AD$1006:AP1006),$AD$1006:$AU$1006,0)))),"Fix")))</f>
        <v xml:space="preserve"> </v>
      </c>
      <c r="O159" s="4" t="str">
        <f ca="1">IF(OR(INDEX($X$2:$X$1001,MATCH(ROWS($W$2:W159),$W$2:$W$1001,0),1)&gt;=100000,INDEX($AD$1005:$AU$1005,1,MATCH(COLUMNS($AD$1006:AQ1006),$AD$1006:$AU$1006,0))&gt;=100000), " ",IF(INDEX($AD$2:$AU$1001,MATCH(ROWS($W$2:W159),$W$2:$W$1001,0),MATCH(COLUMNS($AD$1006:AQ1006),$AD$1006:$AU$1006,0)), HYPERLINK("#",""), HYPERLINK(CONCATENATE("#metadata!", ADDRESS(INDEX($Y$2:$Y$1001,MATCH(ROWS($W$2:W159),$W$2:$W$1001,0),0), INDEX($AD$1004:$AU$1004,1,MATCH(COLUMNS($AD$1006:AQ1006),$AD$1006:$AU$1006,0)))),"Fix")))</f>
        <v xml:space="preserve"> </v>
      </c>
      <c r="P159" s="4" t="str">
        <f ca="1">IF(OR(INDEX($X$2:$X$1001,MATCH(ROWS($W$2:W159),$W$2:$W$1001,0),1)&gt;=100000,INDEX($AD$1005:$AU$1005,1,MATCH(COLUMNS($AD$1006:AR1006),$AD$1006:$AU$1006,0))&gt;=100000), " ",IF(INDEX($AD$2:$AU$1001,MATCH(ROWS($W$2:W159),$W$2:$W$1001,0),MATCH(COLUMNS($AD$1006:AR1006),$AD$1006:$AU$1006,0)), HYPERLINK("#",""), HYPERLINK(CONCATENATE("#metadata!", ADDRESS(INDEX($Y$2:$Y$1001,MATCH(ROWS($W$2:W159),$W$2:$W$1001,0),0), INDEX($AD$1004:$AU$1004,1,MATCH(COLUMNS($AD$1006:AR1006),$AD$1006:$AU$1006,0)))),"Fix")))</f>
        <v xml:space="preserve"> </v>
      </c>
      <c r="Q159" s="4" t="str">
        <f ca="1">IF(OR(INDEX($X$2:$X$1001,MATCH(ROWS($W$2:W159),$W$2:$W$1001,0),1)&gt;=100000,INDEX($AD$1005:$AU$1005,1,MATCH(COLUMNS($AD$1006:AS1006),$AD$1006:$AU$1006,0))&gt;=100000), " ",IF(INDEX($AD$2:$AU$1001,MATCH(ROWS($W$2:W159),$W$2:$W$1001,0),MATCH(COLUMNS($AD$1006:AS1006),$AD$1006:$AU$1006,0)), HYPERLINK("#",""), HYPERLINK(CONCATENATE("#metadata!", ADDRESS(INDEX($Y$2:$Y$1001,MATCH(ROWS($W$2:W159),$W$2:$W$1001,0),0), INDEX($AD$1004:$AU$1004,1,MATCH(COLUMNS($AD$1006:AS1006),$AD$1006:$AU$1006,0)))),"Fix")))</f>
        <v xml:space="preserve"> </v>
      </c>
      <c r="R159" s="4" t="str">
        <f ca="1">IF(OR(INDEX($X$2:$X$1001,MATCH(ROWS($W$2:W159),$W$2:$W$1001,0),1)&gt;=100000,INDEX($AD$1005:$AU$1005,1,MATCH(COLUMNS($AD$1006:AT1006),$AD$1006:$AU$1006,0))&gt;=100000), " ",IF(INDEX($AD$2:$AU$1001,MATCH(ROWS($W$2:W159),$W$2:$W$1001,0),MATCH(COLUMNS($AD$1006:AT1006),$AD$1006:$AU$1006,0)), HYPERLINK("#",""), HYPERLINK(CONCATENATE("#metadata!", ADDRESS(INDEX($Y$2:$Y$1001,MATCH(ROWS($W$2:W159),$W$2:$W$1001,0),0), INDEX($AD$1004:$AU$1004,1,MATCH(COLUMNS($AD$1006:AT1006),$AD$1006:$AU$1006,0)))),"Fix")))</f>
        <v xml:space="preserve"> </v>
      </c>
      <c r="S159" s="4" t="str">
        <f ca="1">IF(OR(INDEX($X$2:$X$1001,MATCH(ROWS($W$2:W159),$W$2:$W$1001,0),1)&gt;=100000,INDEX($AD$1005:$AU$1005,1,MATCH(COLUMNS($AD$1006:AU1006),$AD$1006:$AU$1006,0))&gt;=100000), " ",IF(INDEX($AD$2:$AU$1001,MATCH(ROWS($W$2:W159),$W$2:$W$1001,0),MATCH(COLUMNS($AD$1006:AU1006),$AD$1006:$AU$1006,0)), HYPERLINK("#",""), HYPERLINK(CONCATENATE("#metadata!", ADDRESS(INDEX($Y$2:$Y$1001,MATCH(ROWS($W$2:W159),$W$2:$W$1001,0),0), INDEX($AD$1004:$AU$1004,1,MATCH(COLUMNS($AD$1006:AU1006),$AD$1006:$AU$1006,0)))),"Fix")))</f>
        <v xml:space="preserve"> </v>
      </c>
      <c r="W159">
        <v>158</v>
      </c>
      <c r="X159">
        <v>100159</v>
      </c>
      <c r="Y159">
        <v>159</v>
      </c>
      <c r="Z159" t="b">
        <f t="shared" si="2"/>
        <v>1</v>
      </c>
      <c r="AA159" t="b">
        <f>COUNTBLANK(metadata!B159:S159)=COLUMNS(metadata!B159:S159)</f>
        <v>1</v>
      </c>
      <c r="AB159" t="str">
        <v/>
      </c>
      <c r="AD159" t="b">
        <f ca="1">AND(IF(metadata!B159="",FALSE,TRUE),COUNTIF(metadata!B:B, metadata!B159) = 1,NOT(ISERROR(SUMPRODUCT(SEARCH(MID(metadata!B159,ROW(INDIRECT("1:"&amp;LEN(metadata!B159))), 1),"0123456789abcdefghijklmnopqrstuvwxyzABCDEFGHIJKLMNOPQRSTUVWXYZ.")))))</f>
        <v>0</v>
      </c>
      <c r="AE159" t="b">
        <f>OR(AND(IF(metadata!C159="",FALSE,TRUE),OR(EXACT(metadata!C159,"not applicable"),EXACT(metadata!C159,"missing: not collected"),EXACT(metadata!C159,"missing: not provided"),EXACT(metadata!C159,"missing: restricted access"))),AND(IF(metadata!C159="",FALSE,ISNUMBER(VALUE(metadata!C159))),metadata!C159&gt;0))</f>
        <v>0</v>
      </c>
      <c r="AF159" t="b">
        <f>AND(IF(metadata!D159="",FALSE,TRUE),EXACT(metadata!D159,"missing: not provided"))</f>
        <v>0</v>
      </c>
      <c r="AG159" t="b">
        <f>AND(IF(metadata!E159="",FALSE,TRUE),EXACT(metadata!E159,"Host-associated"))</f>
        <v>0</v>
      </c>
      <c r="AH159" t="b">
        <f>AND(IF(metadata!F159="",FALSE,TRUE),OR(EXACT(metadata!F159,"Animal"),EXACT(metadata!F159,"Fungus"),EXACT(metadata!F159,"Plant")))</f>
        <v>0</v>
      </c>
      <c r="AI159" t="b">
        <f>AND(IF(metadata!G159="",FALSE,TRUE),OR(EXACT(metadata!G159,"Plant secretion"),EXACT(metadata!G159,"Plant rhizosphere"),EXACT(metadata!G159,"Plant surface"),EXACT(metadata!G159,"Plant corpus"),EXACT(metadata!G159,"Fungus surface"),EXACT(metadata!G159,"Fungus corpus"),EXACT(metadata!G159,"Animal surface"),EXACT(metadata!G159,"Animal proximal gut"),EXACT(metadata!G159,"Animal corpus"),EXACT(metadata!G159,"Animal distal gut"),EXACT(metadata!G159,"Animal secretion")))</f>
        <v>0</v>
      </c>
      <c r="AJ159" t="b">
        <f>OR(AND(IF(metadata!H159="",FALSE,TRUE),OR(EXACT(metadata!H159,"missing: not collected"),EXACT(metadata!H159,"missing: not provided"),EXACT(metadata!H159,"missing: restricted access"))),AND(IF(metadata!H159="",FALSE,TRUE),OR(EXACT(metadata!H159,"organism-associated habitat"),EXACT(metadata!H159,"plant-associated habitat"),EXACT(metadata!H159,"animal-associated habitat"),EXACT(metadata!H159,"insecta-associated habitat"),EXACT(metadata!H159,"mammalia-associated habitat"),EXACT(metadata!H159,"human-associated habitat"),EXACT(metadata!H159,"livestock-associated habitat"))))</f>
        <v>0</v>
      </c>
      <c r="AK159" t="b">
        <f>AND(IF(metadata!I159="",FALSE,TRUE),EXACT(metadata!I159,"host-associated"))</f>
        <v>0</v>
      </c>
      <c r="AL159" t="b">
        <f>OR(AND(IF(metadata!J159="",FALSE,TRUE),OR(EXACT(metadata!J159,"not applicable"),EXACT(metadata!J159,"missing: not collected"),EXACT(metadata!J159,"missing: not provided"),EXACT(metadata!J159,"missing: restricted access"))),AND(IF(metadata!J159="",FALSE,ISNUMBER(VALUE(metadata!J159))),metadata!J159&gt;0))</f>
        <v>0</v>
      </c>
      <c r="AM159" t="b">
        <f>AND(IF(metadata!K159="",FALSE,TRUE),EXACT(metadata!K159,"missing: not provided"))</f>
        <v>0</v>
      </c>
      <c r="AN159" t="b">
        <f>IF(metadata!L159="",FALSE,TRUE)</f>
        <v>0</v>
      </c>
      <c r="AO159" t="b">
        <f>IF(metadata!M159="",FALSE,TRUE)</f>
        <v>0</v>
      </c>
      <c r="AP159" t="b">
        <f>OR(AND(IF(metadata!N159="",FALSE,TRUE),OR(EXACT(metadata!N159,"not applicable"),EXACT(metadata!N159,"missing: not collected"),EXACT(metadata!N159,"missing: not provided"))),AND(IF(metadata!N159="",FALSE,IF(ISERROR(INT(metadata!N159)),FALSE,INT(metadata!N159)=metadata!N159)),metadata!N159&gt;0))</f>
        <v>0</v>
      </c>
      <c r="AQ159" t="b">
        <f>AND(IF(metadata!O159="",FALSE,TRUE),EXACT(metadata!O159,"Not applicable"))</f>
        <v>0</v>
      </c>
      <c r="AR159" t="b">
        <f>OR(AND(IF(metadata!P159="",FALSE,TRUE),OR(EXACT(metadata!P159,"not applicable"),EXACT(metadata!P159,"missing: not collected"),EXACT(metadata!P159,"missing: not provided"),EXACT(metadata!P159,"missing: restricted access"))),IF(metadata!P159="",FALSE,IF(ISERROR(INT(metadata!P159)),FALSE,INT(metadata!P159)=metadata!P159)))</f>
        <v>0</v>
      </c>
      <c r="AS159" t="b">
        <f>AND(IF(metadata!Q159="",FALSE,TRUE),EXACT(metadata!Q159,"Not applicable"))</f>
        <v>0</v>
      </c>
      <c r="AT159" t="b">
        <f>OR(AND(IF(metadata!R159="",FALSE,TRUE),OR(EXACT(metadata!R159,"not applicable"),EXACT(metadata!R159,"missing: not collected"),EXACT(metadata!R159,"missing: not provided"),EXACT(metadata!R159,"missing: restricted access"))),AND(IF(metadata!R159="",FALSE,ISNUMBER(VALUE(metadata!R159))),metadata!R159&gt;0))</f>
        <v>0</v>
      </c>
      <c r="AU159" t="b">
        <f>AND(IF(metadata!S159="",FALSE,TRUE),EXACT(metadata!S159,"missing: not provided"))</f>
        <v>0</v>
      </c>
    </row>
    <row r="160" spans="1:47" x14ac:dyDescent="0.2">
      <c r="A160" s="5" t="str">
        <f ca="1">IF(B160=" "," ",HYPERLINK(CONCATENATE("#metadata!",ADDRESS(INDEX($Y$2:$Y$1001,MATCH(ROWS($W$2:W160),$W$2:$W$1001,0),0),1)),INDEX($AB$2:$AB$1001,MATCH(ROWS($W$2:W160),$W$2:$W$1001,0),0)))</f>
        <v xml:space="preserve"> </v>
      </c>
      <c r="B160" s="4" t="str">
        <f ca="1">IF(OR(INDEX($X$2:$X$1001,MATCH(ROWS($W$2:W160),$W$2:$W$1001,0),1)&gt;=100000,INDEX($AD$1005:$AU$1005,1,MATCH(COLUMNS($AD$1006:AD1006),$AD$1006:$AU$1006,0))&gt;=100000), " ",IF(INDEX($AD$2:$AU$1001,MATCH(ROWS($W$2:W160),$W$2:$W$1001,0),MATCH(COLUMNS($AD$1006:AD1006),$AD$1006:$AU$1006,0)), HYPERLINK("#",""), HYPERLINK(CONCATENATE("#metadata!", ADDRESS(INDEX($Y$2:$Y$1001,MATCH(ROWS($W$2:W160),$W$2:$W$1001,0),0), INDEX($AD$1004:$AU$1004,1,MATCH(COLUMNS($AD$1006:AD1006),$AD$1006:$AU$1006,0)))),"Fix")))</f>
        <v xml:space="preserve"> </v>
      </c>
      <c r="C160" s="4" t="str">
        <f ca="1">IF(OR(INDEX($X$2:$X$1001,MATCH(ROWS($W$2:W160),$W$2:$W$1001,0),1)&gt;=100000,INDEX($AD$1005:$AU$1005,1,MATCH(COLUMNS($AD$1006:AE1006),$AD$1006:$AU$1006,0))&gt;=100000), " ",IF(INDEX($AD$2:$AU$1001,MATCH(ROWS($W$2:W160),$W$2:$W$1001,0),MATCH(COLUMNS($AD$1006:AE1006),$AD$1006:$AU$1006,0)), HYPERLINK("#",""), HYPERLINK(CONCATENATE("#metadata!", ADDRESS(INDEX($Y$2:$Y$1001,MATCH(ROWS($W$2:W160),$W$2:$W$1001,0),0), INDEX($AD$1004:$AU$1004,1,MATCH(COLUMNS($AD$1006:AE1006),$AD$1006:$AU$1006,0)))),"Fix")))</f>
        <v xml:space="preserve"> </v>
      </c>
      <c r="D160" s="4" t="str">
        <f ca="1">IF(OR(INDEX($X$2:$X$1001,MATCH(ROWS($W$2:W160),$W$2:$W$1001,0),1)&gt;=100000,INDEX($AD$1005:$AU$1005,1,MATCH(COLUMNS($AD$1006:AF1006),$AD$1006:$AU$1006,0))&gt;=100000), " ",IF(INDEX($AD$2:$AU$1001,MATCH(ROWS($W$2:W160),$W$2:$W$1001,0),MATCH(COLUMNS($AD$1006:AF1006),$AD$1006:$AU$1006,0)), HYPERLINK("#",""), HYPERLINK(CONCATENATE("#metadata!", ADDRESS(INDEX($Y$2:$Y$1001,MATCH(ROWS($W$2:W160),$W$2:$W$1001,0),0), INDEX($AD$1004:$AU$1004,1,MATCH(COLUMNS($AD$1006:AF1006),$AD$1006:$AU$1006,0)))),"Fix")))</f>
        <v xml:space="preserve"> </v>
      </c>
      <c r="E160" s="4" t="str">
        <f ca="1">IF(OR(INDEX($X$2:$X$1001,MATCH(ROWS($W$2:W160),$W$2:$W$1001,0),1)&gt;=100000,INDEX($AD$1005:$AU$1005,1,MATCH(COLUMNS($AD$1006:AG1006),$AD$1006:$AU$1006,0))&gt;=100000), " ",IF(INDEX($AD$2:$AU$1001,MATCH(ROWS($W$2:W160),$W$2:$W$1001,0),MATCH(COLUMNS($AD$1006:AG1006),$AD$1006:$AU$1006,0)), HYPERLINK("#",""), HYPERLINK(CONCATENATE("#metadata!", ADDRESS(INDEX($Y$2:$Y$1001,MATCH(ROWS($W$2:W160),$W$2:$W$1001,0),0), INDEX($AD$1004:$AU$1004,1,MATCH(COLUMNS($AD$1006:AG1006),$AD$1006:$AU$1006,0)))),"Fix")))</f>
        <v xml:space="preserve"> </v>
      </c>
      <c r="F160" s="4" t="str">
        <f ca="1">IF(OR(INDEX($X$2:$X$1001,MATCH(ROWS($W$2:W160),$W$2:$W$1001,0),1)&gt;=100000,INDEX($AD$1005:$AU$1005,1,MATCH(COLUMNS($AD$1006:AH1006),$AD$1006:$AU$1006,0))&gt;=100000), " ",IF(INDEX($AD$2:$AU$1001,MATCH(ROWS($W$2:W160),$W$2:$W$1001,0),MATCH(COLUMNS($AD$1006:AH1006),$AD$1006:$AU$1006,0)), HYPERLINK("#",""), HYPERLINK(CONCATENATE("#metadata!", ADDRESS(INDEX($Y$2:$Y$1001,MATCH(ROWS($W$2:W160),$W$2:$W$1001,0),0), INDEX($AD$1004:$AU$1004,1,MATCH(COLUMNS($AD$1006:AH1006),$AD$1006:$AU$1006,0)))),"Fix")))</f>
        <v xml:space="preserve"> </v>
      </c>
      <c r="G160" s="4" t="str">
        <f ca="1">IF(OR(INDEX($X$2:$X$1001,MATCH(ROWS($W$2:W160),$W$2:$W$1001,0),1)&gt;=100000,INDEX($AD$1005:$AU$1005,1,MATCH(COLUMNS($AD$1006:AI1006),$AD$1006:$AU$1006,0))&gt;=100000), " ",IF(INDEX($AD$2:$AU$1001,MATCH(ROWS($W$2:W160),$W$2:$W$1001,0),MATCH(COLUMNS($AD$1006:AI1006),$AD$1006:$AU$1006,0)), HYPERLINK("#",""), HYPERLINK(CONCATENATE("#metadata!", ADDRESS(INDEX($Y$2:$Y$1001,MATCH(ROWS($W$2:W160),$W$2:$W$1001,0),0), INDEX($AD$1004:$AU$1004,1,MATCH(COLUMNS($AD$1006:AI1006),$AD$1006:$AU$1006,0)))),"Fix")))</f>
        <v xml:space="preserve"> </v>
      </c>
      <c r="H160" s="4" t="str">
        <f ca="1">IF(OR(INDEX($X$2:$X$1001,MATCH(ROWS($W$2:W160),$W$2:$W$1001,0),1)&gt;=100000,INDEX($AD$1005:$AU$1005,1,MATCH(COLUMNS($AD$1006:AJ1006),$AD$1006:$AU$1006,0))&gt;=100000), " ",IF(INDEX($AD$2:$AU$1001,MATCH(ROWS($W$2:W160),$W$2:$W$1001,0),MATCH(COLUMNS($AD$1006:AJ1006),$AD$1006:$AU$1006,0)), HYPERLINK("#",""), HYPERLINK(CONCATENATE("#metadata!", ADDRESS(INDEX($Y$2:$Y$1001,MATCH(ROWS($W$2:W160),$W$2:$W$1001,0),0), INDEX($AD$1004:$AU$1004,1,MATCH(COLUMNS($AD$1006:AJ1006),$AD$1006:$AU$1006,0)))),"Fix")))</f>
        <v xml:space="preserve"> </v>
      </c>
      <c r="I160" s="4" t="str">
        <f ca="1">IF(OR(INDEX($X$2:$X$1001,MATCH(ROWS($W$2:W160),$W$2:$W$1001,0),1)&gt;=100000,INDEX($AD$1005:$AU$1005,1,MATCH(COLUMNS($AD$1006:AK1006),$AD$1006:$AU$1006,0))&gt;=100000), " ",IF(INDEX($AD$2:$AU$1001,MATCH(ROWS($W$2:W160),$W$2:$W$1001,0),MATCH(COLUMNS($AD$1006:AK1006),$AD$1006:$AU$1006,0)), HYPERLINK("#",""), HYPERLINK(CONCATENATE("#metadata!", ADDRESS(INDEX($Y$2:$Y$1001,MATCH(ROWS($W$2:W160),$W$2:$W$1001,0),0), INDEX($AD$1004:$AU$1004,1,MATCH(COLUMNS($AD$1006:AK1006),$AD$1006:$AU$1006,0)))),"Fix")))</f>
        <v xml:space="preserve"> </v>
      </c>
      <c r="J160" s="4" t="str">
        <f ca="1">IF(OR(INDEX($X$2:$X$1001,MATCH(ROWS($W$2:W160),$W$2:$W$1001,0),1)&gt;=100000,INDEX($AD$1005:$AU$1005,1,MATCH(COLUMNS($AD$1006:AL1006),$AD$1006:$AU$1006,0))&gt;=100000), " ",IF(INDEX($AD$2:$AU$1001,MATCH(ROWS($W$2:W160),$W$2:$W$1001,0),MATCH(COLUMNS($AD$1006:AL1006),$AD$1006:$AU$1006,0)), HYPERLINK("#",""), HYPERLINK(CONCATENATE("#metadata!", ADDRESS(INDEX($Y$2:$Y$1001,MATCH(ROWS($W$2:W160),$W$2:$W$1001,0),0), INDEX($AD$1004:$AU$1004,1,MATCH(COLUMNS($AD$1006:AL1006),$AD$1006:$AU$1006,0)))),"Fix")))</f>
        <v xml:space="preserve"> </v>
      </c>
      <c r="K160" s="4" t="str">
        <f ca="1">IF(OR(INDEX($X$2:$X$1001,MATCH(ROWS($W$2:W160),$W$2:$W$1001,0),1)&gt;=100000,INDEX($AD$1005:$AU$1005,1,MATCH(COLUMNS($AD$1006:AM1006),$AD$1006:$AU$1006,0))&gt;=100000), " ",IF(INDEX($AD$2:$AU$1001,MATCH(ROWS($W$2:W160),$W$2:$W$1001,0),MATCH(COLUMNS($AD$1006:AM1006),$AD$1006:$AU$1006,0)), HYPERLINK("#",""), HYPERLINK(CONCATENATE("#metadata!", ADDRESS(INDEX($Y$2:$Y$1001,MATCH(ROWS($W$2:W160),$W$2:$W$1001,0),0), INDEX($AD$1004:$AU$1004,1,MATCH(COLUMNS($AD$1006:AM1006),$AD$1006:$AU$1006,0)))),"Fix")))</f>
        <v xml:space="preserve"> </v>
      </c>
      <c r="L160" s="4" t="str">
        <f ca="1">IF(OR(INDEX($X$2:$X$1001,MATCH(ROWS($W$2:W160),$W$2:$W$1001,0),1)&gt;=100000,INDEX($AD$1005:$AU$1005,1,MATCH(COLUMNS($AD$1006:AN1006),$AD$1006:$AU$1006,0))&gt;=100000), " ",IF(INDEX($AD$2:$AU$1001,MATCH(ROWS($W$2:W160),$W$2:$W$1001,0),MATCH(COLUMNS($AD$1006:AN1006),$AD$1006:$AU$1006,0)), HYPERLINK("#",""), HYPERLINK(CONCATENATE("#metadata!", ADDRESS(INDEX($Y$2:$Y$1001,MATCH(ROWS($W$2:W160),$W$2:$W$1001,0),0), INDEX($AD$1004:$AU$1004,1,MATCH(COLUMNS($AD$1006:AN1006),$AD$1006:$AU$1006,0)))),"Fix")))</f>
        <v xml:space="preserve"> </v>
      </c>
      <c r="M160" s="4" t="str">
        <f ca="1">IF(OR(INDEX($X$2:$X$1001,MATCH(ROWS($W$2:W160),$W$2:$W$1001,0),1)&gt;=100000,INDEX($AD$1005:$AU$1005,1,MATCH(COLUMNS($AD$1006:AO1006),$AD$1006:$AU$1006,0))&gt;=100000), " ",IF(INDEX($AD$2:$AU$1001,MATCH(ROWS($W$2:W160),$W$2:$W$1001,0),MATCH(COLUMNS($AD$1006:AO1006),$AD$1006:$AU$1006,0)), HYPERLINK("#",""), HYPERLINK(CONCATENATE("#metadata!", ADDRESS(INDEX($Y$2:$Y$1001,MATCH(ROWS($W$2:W160),$W$2:$W$1001,0),0), INDEX($AD$1004:$AU$1004,1,MATCH(COLUMNS($AD$1006:AO1006),$AD$1006:$AU$1006,0)))),"Fix")))</f>
        <v xml:space="preserve"> </v>
      </c>
      <c r="N160" s="4" t="str">
        <f ca="1">IF(OR(INDEX($X$2:$X$1001,MATCH(ROWS($W$2:W160),$W$2:$W$1001,0),1)&gt;=100000,INDEX($AD$1005:$AU$1005,1,MATCH(COLUMNS($AD$1006:AP1006),$AD$1006:$AU$1006,0))&gt;=100000), " ",IF(INDEX($AD$2:$AU$1001,MATCH(ROWS($W$2:W160),$W$2:$W$1001,0),MATCH(COLUMNS($AD$1006:AP1006),$AD$1006:$AU$1006,0)), HYPERLINK("#",""), HYPERLINK(CONCATENATE("#metadata!", ADDRESS(INDEX($Y$2:$Y$1001,MATCH(ROWS($W$2:W160),$W$2:$W$1001,0),0), INDEX($AD$1004:$AU$1004,1,MATCH(COLUMNS($AD$1006:AP1006),$AD$1006:$AU$1006,0)))),"Fix")))</f>
        <v xml:space="preserve"> </v>
      </c>
      <c r="O160" s="4" t="str">
        <f ca="1">IF(OR(INDEX($X$2:$X$1001,MATCH(ROWS($W$2:W160),$W$2:$W$1001,0),1)&gt;=100000,INDEX($AD$1005:$AU$1005,1,MATCH(COLUMNS($AD$1006:AQ1006),$AD$1006:$AU$1006,0))&gt;=100000), " ",IF(INDEX($AD$2:$AU$1001,MATCH(ROWS($W$2:W160),$W$2:$W$1001,0),MATCH(COLUMNS($AD$1006:AQ1006),$AD$1006:$AU$1006,0)), HYPERLINK("#",""), HYPERLINK(CONCATENATE("#metadata!", ADDRESS(INDEX($Y$2:$Y$1001,MATCH(ROWS($W$2:W160),$W$2:$W$1001,0),0), INDEX($AD$1004:$AU$1004,1,MATCH(COLUMNS($AD$1006:AQ1006),$AD$1006:$AU$1006,0)))),"Fix")))</f>
        <v xml:space="preserve"> </v>
      </c>
      <c r="P160" s="4" t="str">
        <f ca="1">IF(OR(INDEX($X$2:$X$1001,MATCH(ROWS($W$2:W160),$W$2:$W$1001,0),1)&gt;=100000,INDEX($AD$1005:$AU$1005,1,MATCH(COLUMNS($AD$1006:AR1006),$AD$1006:$AU$1006,0))&gt;=100000), " ",IF(INDEX($AD$2:$AU$1001,MATCH(ROWS($W$2:W160),$W$2:$W$1001,0),MATCH(COLUMNS($AD$1006:AR1006),$AD$1006:$AU$1006,0)), HYPERLINK("#",""), HYPERLINK(CONCATENATE("#metadata!", ADDRESS(INDEX($Y$2:$Y$1001,MATCH(ROWS($W$2:W160),$W$2:$W$1001,0),0), INDEX($AD$1004:$AU$1004,1,MATCH(COLUMNS($AD$1006:AR1006),$AD$1006:$AU$1006,0)))),"Fix")))</f>
        <v xml:space="preserve"> </v>
      </c>
      <c r="Q160" s="4" t="str">
        <f ca="1">IF(OR(INDEX($X$2:$X$1001,MATCH(ROWS($W$2:W160),$W$2:$W$1001,0),1)&gt;=100000,INDEX($AD$1005:$AU$1005,1,MATCH(COLUMNS($AD$1006:AS1006),$AD$1006:$AU$1006,0))&gt;=100000), " ",IF(INDEX($AD$2:$AU$1001,MATCH(ROWS($W$2:W160),$W$2:$W$1001,0),MATCH(COLUMNS($AD$1006:AS1006),$AD$1006:$AU$1006,0)), HYPERLINK("#",""), HYPERLINK(CONCATENATE("#metadata!", ADDRESS(INDEX($Y$2:$Y$1001,MATCH(ROWS($W$2:W160),$W$2:$W$1001,0),0), INDEX($AD$1004:$AU$1004,1,MATCH(COLUMNS($AD$1006:AS1006),$AD$1006:$AU$1006,0)))),"Fix")))</f>
        <v xml:space="preserve"> </v>
      </c>
      <c r="R160" s="4" t="str">
        <f ca="1">IF(OR(INDEX($X$2:$X$1001,MATCH(ROWS($W$2:W160),$W$2:$W$1001,0),1)&gt;=100000,INDEX($AD$1005:$AU$1005,1,MATCH(COLUMNS($AD$1006:AT1006),$AD$1006:$AU$1006,0))&gt;=100000), " ",IF(INDEX($AD$2:$AU$1001,MATCH(ROWS($W$2:W160),$W$2:$W$1001,0),MATCH(COLUMNS($AD$1006:AT1006),$AD$1006:$AU$1006,0)), HYPERLINK("#",""), HYPERLINK(CONCATENATE("#metadata!", ADDRESS(INDEX($Y$2:$Y$1001,MATCH(ROWS($W$2:W160),$W$2:$W$1001,0),0), INDEX($AD$1004:$AU$1004,1,MATCH(COLUMNS($AD$1006:AT1006),$AD$1006:$AU$1006,0)))),"Fix")))</f>
        <v xml:space="preserve"> </v>
      </c>
      <c r="S160" s="4" t="str">
        <f ca="1">IF(OR(INDEX($X$2:$X$1001,MATCH(ROWS($W$2:W160),$W$2:$W$1001,0),1)&gt;=100000,INDEX($AD$1005:$AU$1005,1,MATCH(COLUMNS($AD$1006:AU1006),$AD$1006:$AU$1006,0))&gt;=100000), " ",IF(INDEX($AD$2:$AU$1001,MATCH(ROWS($W$2:W160),$W$2:$W$1001,0),MATCH(COLUMNS($AD$1006:AU1006),$AD$1006:$AU$1006,0)), HYPERLINK("#",""), HYPERLINK(CONCATENATE("#metadata!", ADDRESS(INDEX($Y$2:$Y$1001,MATCH(ROWS($W$2:W160),$W$2:$W$1001,0),0), INDEX($AD$1004:$AU$1004,1,MATCH(COLUMNS($AD$1006:AU1006),$AD$1006:$AU$1006,0)))),"Fix")))</f>
        <v xml:space="preserve"> </v>
      </c>
      <c r="W160">
        <v>159</v>
      </c>
      <c r="X160">
        <v>100160</v>
      </c>
      <c r="Y160">
        <v>160</v>
      </c>
      <c r="Z160" t="b">
        <f t="shared" si="2"/>
        <v>1</v>
      </c>
      <c r="AA160" t="b">
        <f>COUNTBLANK(metadata!B160:S160)=COLUMNS(metadata!B160:S160)</f>
        <v>1</v>
      </c>
      <c r="AB160" t="str">
        <v/>
      </c>
      <c r="AD160" t="b">
        <f ca="1">AND(IF(metadata!B160="",FALSE,TRUE),COUNTIF(metadata!B:B, metadata!B160) = 1,NOT(ISERROR(SUMPRODUCT(SEARCH(MID(metadata!B160,ROW(INDIRECT("1:"&amp;LEN(metadata!B160))), 1),"0123456789abcdefghijklmnopqrstuvwxyzABCDEFGHIJKLMNOPQRSTUVWXYZ.")))))</f>
        <v>0</v>
      </c>
      <c r="AE160" t="b">
        <f>OR(AND(IF(metadata!C160="",FALSE,TRUE),OR(EXACT(metadata!C160,"not applicable"),EXACT(metadata!C160,"missing: not collected"),EXACT(metadata!C160,"missing: not provided"),EXACT(metadata!C160,"missing: restricted access"))),AND(IF(metadata!C160="",FALSE,ISNUMBER(VALUE(metadata!C160))),metadata!C160&gt;0))</f>
        <v>0</v>
      </c>
      <c r="AF160" t="b">
        <f>AND(IF(metadata!D160="",FALSE,TRUE),EXACT(metadata!D160,"missing: not provided"))</f>
        <v>0</v>
      </c>
      <c r="AG160" t="b">
        <f>AND(IF(metadata!E160="",FALSE,TRUE),EXACT(metadata!E160,"Host-associated"))</f>
        <v>0</v>
      </c>
      <c r="AH160" t="b">
        <f>AND(IF(metadata!F160="",FALSE,TRUE),OR(EXACT(metadata!F160,"Animal"),EXACT(metadata!F160,"Fungus"),EXACT(metadata!F160,"Plant")))</f>
        <v>0</v>
      </c>
      <c r="AI160" t="b">
        <f>AND(IF(metadata!G160="",FALSE,TRUE),OR(EXACT(metadata!G160,"Plant secretion"),EXACT(metadata!G160,"Plant rhizosphere"),EXACT(metadata!G160,"Plant surface"),EXACT(metadata!G160,"Plant corpus"),EXACT(metadata!G160,"Fungus surface"),EXACT(metadata!G160,"Fungus corpus"),EXACT(metadata!G160,"Animal surface"),EXACT(metadata!G160,"Animal proximal gut"),EXACT(metadata!G160,"Animal corpus"),EXACT(metadata!G160,"Animal distal gut"),EXACT(metadata!G160,"Animal secretion")))</f>
        <v>0</v>
      </c>
      <c r="AJ160" t="b">
        <f>OR(AND(IF(metadata!H160="",FALSE,TRUE),OR(EXACT(metadata!H160,"missing: not collected"),EXACT(metadata!H160,"missing: not provided"),EXACT(metadata!H160,"missing: restricted access"))),AND(IF(metadata!H160="",FALSE,TRUE),OR(EXACT(metadata!H160,"organism-associated habitat"),EXACT(metadata!H160,"plant-associated habitat"),EXACT(metadata!H160,"animal-associated habitat"),EXACT(metadata!H160,"insecta-associated habitat"),EXACT(metadata!H160,"mammalia-associated habitat"),EXACT(metadata!H160,"human-associated habitat"),EXACT(metadata!H160,"livestock-associated habitat"))))</f>
        <v>0</v>
      </c>
      <c r="AK160" t="b">
        <f>AND(IF(metadata!I160="",FALSE,TRUE),EXACT(metadata!I160,"host-associated"))</f>
        <v>0</v>
      </c>
      <c r="AL160" t="b">
        <f>OR(AND(IF(metadata!J160="",FALSE,TRUE),OR(EXACT(metadata!J160,"not applicable"),EXACT(metadata!J160,"missing: not collected"),EXACT(metadata!J160,"missing: not provided"),EXACT(metadata!J160,"missing: restricted access"))),AND(IF(metadata!J160="",FALSE,ISNUMBER(VALUE(metadata!J160))),metadata!J160&gt;0))</f>
        <v>0</v>
      </c>
      <c r="AM160" t="b">
        <f>AND(IF(metadata!K160="",FALSE,TRUE),EXACT(metadata!K160,"missing: not provided"))</f>
        <v>0</v>
      </c>
      <c r="AN160" t="b">
        <f>IF(metadata!L160="",FALSE,TRUE)</f>
        <v>0</v>
      </c>
      <c r="AO160" t="b">
        <f>IF(metadata!M160="",FALSE,TRUE)</f>
        <v>0</v>
      </c>
      <c r="AP160" t="b">
        <f>OR(AND(IF(metadata!N160="",FALSE,TRUE),OR(EXACT(metadata!N160,"not applicable"),EXACT(metadata!N160,"missing: not collected"),EXACT(metadata!N160,"missing: not provided"))),AND(IF(metadata!N160="",FALSE,IF(ISERROR(INT(metadata!N160)),FALSE,INT(metadata!N160)=metadata!N160)),metadata!N160&gt;0))</f>
        <v>0</v>
      </c>
      <c r="AQ160" t="b">
        <f>AND(IF(metadata!O160="",FALSE,TRUE),EXACT(metadata!O160,"Not applicable"))</f>
        <v>0</v>
      </c>
      <c r="AR160" t="b">
        <f>OR(AND(IF(metadata!P160="",FALSE,TRUE),OR(EXACT(metadata!P160,"not applicable"),EXACT(metadata!P160,"missing: not collected"),EXACT(metadata!P160,"missing: not provided"),EXACT(metadata!P160,"missing: restricted access"))),IF(metadata!P160="",FALSE,IF(ISERROR(INT(metadata!P160)),FALSE,INT(metadata!P160)=metadata!P160)))</f>
        <v>0</v>
      </c>
      <c r="AS160" t="b">
        <f>AND(IF(metadata!Q160="",FALSE,TRUE),EXACT(metadata!Q160,"Not applicable"))</f>
        <v>0</v>
      </c>
      <c r="AT160" t="b">
        <f>OR(AND(IF(metadata!R160="",FALSE,TRUE),OR(EXACT(metadata!R160,"not applicable"),EXACT(metadata!R160,"missing: not collected"),EXACT(metadata!R160,"missing: not provided"),EXACT(metadata!R160,"missing: restricted access"))),AND(IF(metadata!R160="",FALSE,ISNUMBER(VALUE(metadata!R160))),metadata!R160&gt;0))</f>
        <v>0</v>
      </c>
      <c r="AU160" t="b">
        <f>AND(IF(metadata!S160="",FALSE,TRUE),EXACT(metadata!S160,"missing: not provided"))</f>
        <v>0</v>
      </c>
    </row>
    <row r="161" spans="1:47" x14ac:dyDescent="0.2">
      <c r="A161" s="5" t="str">
        <f ca="1">IF(B161=" "," ",HYPERLINK(CONCATENATE("#metadata!",ADDRESS(INDEX($Y$2:$Y$1001,MATCH(ROWS($W$2:W161),$W$2:$W$1001,0),0),1)),INDEX($AB$2:$AB$1001,MATCH(ROWS($W$2:W161),$W$2:$W$1001,0),0)))</f>
        <v xml:space="preserve"> </v>
      </c>
      <c r="B161" s="4" t="str">
        <f ca="1">IF(OR(INDEX($X$2:$X$1001,MATCH(ROWS($W$2:W161),$W$2:$W$1001,0),1)&gt;=100000,INDEX($AD$1005:$AU$1005,1,MATCH(COLUMNS($AD$1006:AD1006),$AD$1006:$AU$1006,0))&gt;=100000), " ",IF(INDEX($AD$2:$AU$1001,MATCH(ROWS($W$2:W161),$W$2:$W$1001,0),MATCH(COLUMNS($AD$1006:AD1006),$AD$1006:$AU$1006,0)), HYPERLINK("#",""), HYPERLINK(CONCATENATE("#metadata!", ADDRESS(INDEX($Y$2:$Y$1001,MATCH(ROWS($W$2:W161),$W$2:$W$1001,0),0), INDEX($AD$1004:$AU$1004,1,MATCH(COLUMNS($AD$1006:AD1006),$AD$1006:$AU$1006,0)))),"Fix")))</f>
        <v xml:space="preserve"> </v>
      </c>
      <c r="C161" s="4" t="str">
        <f ca="1">IF(OR(INDEX($X$2:$X$1001,MATCH(ROWS($W$2:W161),$W$2:$W$1001,0),1)&gt;=100000,INDEX($AD$1005:$AU$1005,1,MATCH(COLUMNS($AD$1006:AE1006),$AD$1006:$AU$1006,0))&gt;=100000), " ",IF(INDEX($AD$2:$AU$1001,MATCH(ROWS($W$2:W161),$W$2:$W$1001,0),MATCH(COLUMNS($AD$1006:AE1006),$AD$1006:$AU$1006,0)), HYPERLINK("#",""), HYPERLINK(CONCATENATE("#metadata!", ADDRESS(INDEX($Y$2:$Y$1001,MATCH(ROWS($W$2:W161),$W$2:$W$1001,0),0), INDEX($AD$1004:$AU$1004,1,MATCH(COLUMNS($AD$1006:AE1006),$AD$1006:$AU$1006,0)))),"Fix")))</f>
        <v xml:space="preserve"> </v>
      </c>
      <c r="D161" s="4" t="str">
        <f ca="1">IF(OR(INDEX($X$2:$X$1001,MATCH(ROWS($W$2:W161),$W$2:$W$1001,0),1)&gt;=100000,INDEX($AD$1005:$AU$1005,1,MATCH(COLUMNS($AD$1006:AF1006),$AD$1006:$AU$1006,0))&gt;=100000), " ",IF(INDEX($AD$2:$AU$1001,MATCH(ROWS($W$2:W161),$W$2:$W$1001,0),MATCH(COLUMNS($AD$1006:AF1006),$AD$1006:$AU$1006,0)), HYPERLINK("#",""), HYPERLINK(CONCATENATE("#metadata!", ADDRESS(INDEX($Y$2:$Y$1001,MATCH(ROWS($W$2:W161),$W$2:$W$1001,0),0), INDEX($AD$1004:$AU$1004,1,MATCH(COLUMNS($AD$1006:AF1006),$AD$1006:$AU$1006,0)))),"Fix")))</f>
        <v xml:space="preserve"> </v>
      </c>
      <c r="E161" s="4" t="str">
        <f ca="1">IF(OR(INDEX($X$2:$X$1001,MATCH(ROWS($W$2:W161),$W$2:$W$1001,0),1)&gt;=100000,INDEX($AD$1005:$AU$1005,1,MATCH(COLUMNS($AD$1006:AG1006),$AD$1006:$AU$1006,0))&gt;=100000), " ",IF(INDEX($AD$2:$AU$1001,MATCH(ROWS($W$2:W161),$W$2:$W$1001,0),MATCH(COLUMNS($AD$1006:AG1006),$AD$1006:$AU$1006,0)), HYPERLINK("#",""), HYPERLINK(CONCATENATE("#metadata!", ADDRESS(INDEX($Y$2:$Y$1001,MATCH(ROWS($W$2:W161),$W$2:$W$1001,0),0), INDEX($AD$1004:$AU$1004,1,MATCH(COLUMNS($AD$1006:AG1006),$AD$1006:$AU$1006,0)))),"Fix")))</f>
        <v xml:space="preserve"> </v>
      </c>
      <c r="F161" s="4" t="str">
        <f ca="1">IF(OR(INDEX($X$2:$X$1001,MATCH(ROWS($W$2:W161),$W$2:$W$1001,0),1)&gt;=100000,INDEX($AD$1005:$AU$1005,1,MATCH(COLUMNS($AD$1006:AH1006),$AD$1006:$AU$1006,0))&gt;=100000), " ",IF(INDEX($AD$2:$AU$1001,MATCH(ROWS($W$2:W161),$W$2:$W$1001,0),MATCH(COLUMNS($AD$1006:AH1006),$AD$1006:$AU$1006,0)), HYPERLINK("#",""), HYPERLINK(CONCATENATE("#metadata!", ADDRESS(INDEX($Y$2:$Y$1001,MATCH(ROWS($W$2:W161),$W$2:$W$1001,0),0), INDEX($AD$1004:$AU$1004,1,MATCH(COLUMNS($AD$1006:AH1006),$AD$1006:$AU$1006,0)))),"Fix")))</f>
        <v xml:space="preserve"> </v>
      </c>
      <c r="G161" s="4" t="str">
        <f ca="1">IF(OR(INDEX($X$2:$X$1001,MATCH(ROWS($W$2:W161),$W$2:$W$1001,0),1)&gt;=100000,INDEX($AD$1005:$AU$1005,1,MATCH(COLUMNS($AD$1006:AI1006),$AD$1006:$AU$1006,0))&gt;=100000), " ",IF(INDEX($AD$2:$AU$1001,MATCH(ROWS($W$2:W161),$W$2:$W$1001,0),MATCH(COLUMNS($AD$1006:AI1006),$AD$1006:$AU$1006,0)), HYPERLINK("#",""), HYPERLINK(CONCATENATE("#metadata!", ADDRESS(INDEX($Y$2:$Y$1001,MATCH(ROWS($W$2:W161),$W$2:$W$1001,0),0), INDEX($AD$1004:$AU$1004,1,MATCH(COLUMNS($AD$1006:AI1006),$AD$1006:$AU$1006,0)))),"Fix")))</f>
        <v xml:space="preserve"> </v>
      </c>
      <c r="H161" s="4" t="str">
        <f ca="1">IF(OR(INDEX($X$2:$X$1001,MATCH(ROWS($W$2:W161),$W$2:$W$1001,0),1)&gt;=100000,INDEX($AD$1005:$AU$1005,1,MATCH(COLUMNS($AD$1006:AJ1006),$AD$1006:$AU$1006,0))&gt;=100000), " ",IF(INDEX($AD$2:$AU$1001,MATCH(ROWS($W$2:W161),$W$2:$W$1001,0),MATCH(COLUMNS($AD$1006:AJ1006),$AD$1006:$AU$1006,0)), HYPERLINK("#",""), HYPERLINK(CONCATENATE("#metadata!", ADDRESS(INDEX($Y$2:$Y$1001,MATCH(ROWS($W$2:W161),$W$2:$W$1001,0),0), INDEX($AD$1004:$AU$1004,1,MATCH(COLUMNS($AD$1006:AJ1006),$AD$1006:$AU$1006,0)))),"Fix")))</f>
        <v xml:space="preserve"> </v>
      </c>
      <c r="I161" s="4" t="str">
        <f ca="1">IF(OR(INDEX($X$2:$X$1001,MATCH(ROWS($W$2:W161),$W$2:$W$1001,0),1)&gt;=100000,INDEX($AD$1005:$AU$1005,1,MATCH(COLUMNS($AD$1006:AK1006),$AD$1006:$AU$1006,0))&gt;=100000), " ",IF(INDEX($AD$2:$AU$1001,MATCH(ROWS($W$2:W161),$W$2:$W$1001,0),MATCH(COLUMNS($AD$1006:AK1006),$AD$1006:$AU$1006,0)), HYPERLINK("#",""), HYPERLINK(CONCATENATE("#metadata!", ADDRESS(INDEX($Y$2:$Y$1001,MATCH(ROWS($W$2:W161),$W$2:$W$1001,0),0), INDEX($AD$1004:$AU$1004,1,MATCH(COLUMNS($AD$1006:AK1006),$AD$1006:$AU$1006,0)))),"Fix")))</f>
        <v xml:space="preserve"> </v>
      </c>
      <c r="J161" s="4" t="str">
        <f ca="1">IF(OR(INDEX($X$2:$X$1001,MATCH(ROWS($W$2:W161),$W$2:$W$1001,0),1)&gt;=100000,INDEX($AD$1005:$AU$1005,1,MATCH(COLUMNS($AD$1006:AL1006),$AD$1006:$AU$1006,0))&gt;=100000), " ",IF(INDEX($AD$2:$AU$1001,MATCH(ROWS($W$2:W161),$W$2:$W$1001,0),MATCH(COLUMNS($AD$1006:AL1006),$AD$1006:$AU$1006,0)), HYPERLINK("#",""), HYPERLINK(CONCATENATE("#metadata!", ADDRESS(INDEX($Y$2:$Y$1001,MATCH(ROWS($W$2:W161),$W$2:$W$1001,0),0), INDEX($AD$1004:$AU$1004,1,MATCH(COLUMNS($AD$1006:AL1006),$AD$1006:$AU$1006,0)))),"Fix")))</f>
        <v xml:space="preserve"> </v>
      </c>
      <c r="K161" s="4" t="str">
        <f ca="1">IF(OR(INDEX($X$2:$X$1001,MATCH(ROWS($W$2:W161),$W$2:$W$1001,0),1)&gt;=100000,INDEX($AD$1005:$AU$1005,1,MATCH(COLUMNS($AD$1006:AM1006),$AD$1006:$AU$1006,0))&gt;=100000), " ",IF(INDEX($AD$2:$AU$1001,MATCH(ROWS($W$2:W161),$W$2:$W$1001,0),MATCH(COLUMNS($AD$1006:AM1006),$AD$1006:$AU$1006,0)), HYPERLINK("#",""), HYPERLINK(CONCATENATE("#metadata!", ADDRESS(INDEX($Y$2:$Y$1001,MATCH(ROWS($W$2:W161),$W$2:$W$1001,0),0), INDEX($AD$1004:$AU$1004,1,MATCH(COLUMNS($AD$1006:AM1006),$AD$1006:$AU$1006,0)))),"Fix")))</f>
        <v xml:space="preserve"> </v>
      </c>
      <c r="L161" s="4" t="str">
        <f ca="1">IF(OR(INDEX($X$2:$X$1001,MATCH(ROWS($W$2:W161),$W$2:$W$1001,0),1)&gt;=100000,INDEX($AD$1005:$AU$1005,1,MATCH(COLUMNS($AD$1006:AN1006),$AD$1006:$AU$1006,0))&gt;=100000), " ",IF(INDEX($AD$2:$AU$1001,MATCH(ROWS($W$2:W161),$W$2:$W$1001,0),MATCH(COLUMNS($AD$1006:AN1006),$AD$1006:$AU$1006,0)), HYPERLINK("#",""), HYPERLINK(CONCATENATE("#metadata!", ADDRESS(INDEX($Y$2:$Y$1001,MATCH(ROWS($W$2:W161),$W$2:$W$1001,0),0), INDEX($AD$1004:$AU$1004,1,MATCH(COLUMNS($AD$1006:AN1006),$AD$1006:$AU$1006,0)))),"Fix")))</f>
        <v xml:space="preserve"> </v>
      </c>
      <c r="M161" s="4" t="str">
        <f ca="1">IF(OR(INDEX($X$2:$X$1001,MATCH(ROWS($W$2:W161),$W$2:$W$1001,0),1)&gt;=100000,INDEX($AD$1005:$AU$1005,1,MATCH(COLUMNS($AD$1006:AO1006),$AD$1006:$AU$1006,0))&gt;=100000), " ",IF(INDEX($AD$2:$AU$1001,MATCH(ROWS($W$2:W161),$W$2:$W$1001,0),MATCH(COLUMNS($AD$1006:AO1006),$AD$1006:$AU$1006,0)), HYPERLINK("#",""), HYPERLINK(CONCATENATE("#metadata!", ADDRESS(INDEX($Y$2:$Y$1001,MATCH(ROWS($W$2:W161),$W$2:$W$1001,0),0), INDEX($AD$1004:$AU$1004,1,MATCH(COLUMNS($AD$1006:AO1006),$AD$1006:$AU$1006,0)))),"Fix")))</f>
        <v xml:space="preserve"> </v>
      </c>
      <c r="N161" s="4" t="str">
        <f ca="1">IF(OR(INDEX($X$2:$X$1001,MATCH(ROWS($W$2:W161),$W$2:$W$1001,0),1)&gt;=100000,INDEX($AD$1005:$AU$1005,1,MATCH(COLUMNS($AD$1006:AP1006),$AD$1006:$AU$1006,0))&gt;=100000), " ",IF(INDEX($AD$2:$AU$1001,MATCH(ROWS($W$2:W161),$W$2:$W$1001,0),MATCH(COLUMNS($AD$1006:AP1006),$AD$1006:$AU$1006,0)), HYPERLINK("#",""), HYPERLINK(CONCATENATE("#metadata!", ADDRESS(INDEX($Y$2:$Y$1001,MATCH(ROWS($W$2:W161),$W$2:$W$1001,0),0), INDEX($AD$1004:$AU$1004,1,MATCH(COLUMNS($AD$1006:AP1006),$AD$1006:$AU$1006,0)))),"Fix")))</f>
        <v xml:space="preserve"> </v>
      </c>
      <c r="O161" s="4" t="str">
        <f ca="1">IF(OR(INDEX($X$2:$X$1001,MATCH(ROWS($W$2:W161),$W$2:$W$1001,0),1)&gt;=100000,INDEX($AD$1005:$AU$1005,1,MATCH(COLUMNS($AD$1006:AQ1006),$AD$1006:$AU$1006,0))&gt;=100000), " ",IF(INDEX($AD$2:$AU$1001,MATCH(ROWS($W$2:W161),$W$2:$W$1001,0),MATCH(COLUMNS($AD$1006:AQ1006),$AD$1006:$AU$1006,0)), HYPERLINK("#",""), HYPERLINK(CONCATENATE("#metadata!", ADDRESS(INDEX($Y$2:$Y$1001,MATCH(ROWS($W$2:W161),$W$2:$W$1001,0),0), INDEX($AD$1004:$AU$1004,1,MATCH(COLUMNS($AD$1006:AQ1006),$AD$1006:$AU$1006,0)))),"Fix")))</f>
        <v xml:space="preserve"> </v>
      </c>
      <c r="P161" s="4" t="str">
        <f ca="1">IF(OR(INDEX($X$2:$X$1001,MATCH(ROWS($W$2:W161),$W$2:$W$1001,0),1)&gt;=100000,INDEX($AD$1005:$AU$1005,1,MATCH(COLUMNS($AD$1006:AR1006),$AD$1006:$AU$1006,0))&gt;=100000), " ",IF(INDEX($AD$2:$AU$1001,MATCH(ROWS($W$2:W161),$W$2:$W$1001,0),MATCH(COLUMNS($AD$1006:AR1006),$AD$1006:$AU$1006,0)), HYPERLINK("#",""), HYPERLINK(CONCATENATE("#metadata!", ADDRESS(INDEX($Y$2:$Y$1001,MATCH(ROWS($W$2:W161),$W$2:$W$1001,0),0), INDEX($AD$1004:$AU$1004,1,MATCH(COLUMNS($AD$1006:AR1006),$AD$1006:$AU$1006,0)))),"Fix")))</f>
        <v xml:space="preserve"> </v>
      </c>
      <c r="Q161" s="4" t="str">
        <f ca="1">IF(OR(INDEX($X$2:$X$1001,MATCH(ROWS($W$2:W161),$W$2:$W$1001,0),1)&gt;=100000,INDEX($AD$1005:$AU$1005,1,MATCH(COLUMNS($AD$1006:AS1006),$AD$1006:$AU$1006,0))&gt;=100000), " ",IF(INDEX($AD$2:$AU$1001,MATCH(ROWS($W$2:W161),$W$2:$W$1001,0),MATCH(COLUMNS($AD$1006:AS1006),$AD$1006:$AU$1006,0)), HYPERLINK("#",""), HYPERLINK(CONCATENATE("#metadata!", ADDRESS(INDEX($Y$2:$Y$1001,MATCH(ROWS($W$2:W161),$W$2:$W$1001,0),0), INDEX($AD$1004:$AU$1004,1,MATCH(COLUMNS($AD$1006:AS1006),$AD$1006:$AU$1006,0)))),"Fix")))</f>
        <v xml:space="preserve"> </v>
      </c>
      <c r="R161" s="4" t="str">
        <f ca="1">IF(OR(INDEX($X$2:$X$1001,MATCH(ROWS($W$2:W161),$W$2:$W$1001,0),1)&gt;=100000,INDEX($AD$1005:$AU$1005,1,MATCH(COLUMNS($AD$1006:AT1006),$AD$1006:$AU$1006,0))&gt;=100000), " ",IF(INDEX($AD$2:$AU$1001,MATCH(ROWS($W$2:W161),$W$2:$W$1001,0),MATCH(COLUMNS($AD$1006:AT1006),$AD$1006:$AU$1006,0)), HYPERLINK("#",""), HYPERLINK(CONCATENATE("#metadata!", ADDRESS(INDEX($Y$2:$Y$1001,MATCH(ROWS($W$2:W161),$W$2:$W$1001,0),0), INDEX($AD$1004:$AU$1004,1,MATCH(COLUMNS($AD$1006:AT1006),$AD$1006:$AU$1006,0)))),"Fix")))</f>
        <v xml:space="preserve"> </v>
      </c>
      <c r="S161" s="4" t="str">
        <f ca="1">IF(OR(INDEX($X$2:$X$1001,MATCH(ROWS($W$2:W161),$W$2:$W$1001,0),1)&gt;=100000,INDEX($AD$1005:$AU$1005,1,MATCH(COLUMNS($AD$1006:AU1006),$AD$1006:$AU$1006,0))&gt;=100000), " ",IF(INDEX($AD$2:$AU$1001,MATCH(ROWS($W$2:W161),$W$2:$W$1001,0),MATCH(COLUMNS($AD$1006:AU1006),$AD$1006:$AU$1006,0)), HYPERLINK("#",""), HYPERLINK(CONCATENATE("#metadata!", ADDRESS(INDEX($Y$2:$Y$1001,MATCH(ROWS($W$2:W161),$W$2:$W$1001,0),0), INDEX($AD$1004:$AU$1004,1,MATCH(COLUMNS($AD$1006:AU1006),$AD$1006:$AU$1006,0)))),"Fix")))</f>
        <v xml:space="preserve"> </v>
      </c>
      <c r="W161">
        <v>160</v>
      </c>
      <c r="X161">
        <v>100161</v>
      </c>
      <c r="Y161">
        <v>161</v>
      </c>
      <c r="Z161" t="b">
        <f t="shared" si="2"/>
        <v>1</v>
      </c>
      <c r="AA161" t="b">
        <f>COUNTBLANK(metadata!B161:S161)=COLUMNS(metadata!B161:S161)</f>
        <v>1</v>
      </c>
      <c r="AB161" t="str">
        <v/>
      </c>
      <c r="AD161" t="b">
        <f ca="1">AND(IF(metadata!B161="",FALSE,TRUE),COUNTIF(metadata!B:B, metadata!B161) = 1,NOT(ISERROR(SUMPRODUCT(SEARCH(MID(metadata!B161,ROW(INDIRECT("1:"&amp;LEN(metadata!B161))), 1),"0123456789abcdefghijklmnopqrstuvwxyzABCDEFGHIJKLMNOPQRSTUVWXYZ.")))))</f>
        <v>0</v>
      </c>
      <c r="AE161" t="b">
        <f>OR(AND(IF(metadata!C161="",FALSE,TRUE),OR(EXACT(metadata!C161,"not applicable"),EXACT(metadata!C161,"missing: not collected"),EXACT(metadata!C161,"missing: not provided"),EXACT(metadata!C161,"missing: restricted access"))),AND(IF(metadata!C161="",FALSE,ISNUMBER(VALUE(metadata!C161))),metadata!C161&gt;0))</f>
        <v>0</v>
      </c>
      <c r="AF161" t="b">
        <f>AND(IF(metadata!D161="",FALSE,TRUE),EXACT(metadata!D161,"missing: not provided"))</f>
        <v>0</v>
      </c>
      <c r="AG161" t="b">
        <f>AND(IF(metadata!E161="",FALSE,TRUE),EXACT(metadata!E161,"Host-associated"))</f>
        <v>0</v>
      </c>
      <c r="AH161" t="b">
        <f>AND(IF(metadata!F161="",FALSE,TRUE),OR(EXACT(metadata!F161,"Animal"),EXACT(metadata!F161,"Fungus"),EXACT(metadata!F161,"Plant")))</f>
        <v>0</v>
      </c>
      <c r="AI161" t="b">
        <f>AND(IF(metadata!G161="",FALSE,TRUE),OR(EXACT(metadata!G161,"Plant secretion"),EXACT(metadata!G161,"Plant rhizosphere"),EXACT(metadata!G161,"Plant surface"),EXACT(metadata!G161,"Plant corpus"),EXACT(metadata!G161,"Fungus surface"),EXACT(metadata!G161,"Fungus corpus"),EXACT(metadata!G161,"Animal surface"),EXACT(metadata!G161,"Animal proximal gut"),EXACT(metadata!G161,"Animal corpus"),EXACT(metadata!G161,"Animal distal gut"),EXACT(metadata!G161,"Animal secretion")))</f>
        <v>0</v>
      </c>
      <c r="AJ161" t="b">
        <f>OR(AND(IF(metadata!H161="",FALSE,TRUE),OR(EXACT(metadata!H161,"missing: not collected"),EXACT(metadata!H161,"missing: not provided"),EXACT(metadata!H161,"missing: restricted access"))),AND(IF(metadata!H161="",FALSE,TRUE),OR(EXACT(metadata!H161,"organism-associated habitat"),EXACT(metadata!H161,"plant-associated habitat"),EXACT(metadata!H161,"animal-associated habitat"),EXACT(metadata!H161,"insecta-associated habitat"),EXACT(metadata!H161,"mammalia-associated habitat"),EXACT(metadata!H161,"human-associated habitat"),EXACT(metadata!H161,"livestock-associated habitat"))))</f>
        <v>0</v>
      </c>
      <c r="AK161" t="b">
        <f>AND(IF(metadata!I161="",FALSE,TRUE),EXACT(metadata!I161,"host-associated"))</f>
        <v>0</v>
      </c>
      <c r="AL161" t="b">
        <f>OR(AND(IF(metadata!J161="",FALSE,TRUE),OR(EXACT(metadata!J161,"not applicable"),EXACT(metadata!J161,"missing: not collected"),EXACT(metadata!J161,"missing: not provided"),EXACT(metadata!J161,"missing: restricted access"))),AND(IF(metadata!J161="",FALSE,ISNUMBER(VALUE(metadata!J161))),metadata!J161&gt;0))</f>
        <v>0</v>
      </c>
      <c r="AM161" t="b">
        <f>AND(IF(metadata!K161="",FALSE,TRUE),EXACT(metadata!K161,"missing: not provided"))</f>
        <v>0</v>
      </c>
      <c r="AN161" t="b">
        <f>IF(metadata!L161="",FALSE,TRUE)</f>
        <v>0</v>
      </c>
      <c r="AO161" t="b">
        <f>IF(metadata!M161="",FALSE,TRUE)</f>
        <v>0</v>
      </c>
      <c r="AP161" t="b">
        <f>OR(AND(IF(metadata!N161="",FALSE,TRUE),OR(EXACT(metadata!N161,"not applicable"),EXACT(metadata!N161,"missing: not collected"),EXACT(metadata!N161,"missing: not provided"))),AND(IF(metadata!N161="",FALSE,IF(ISERROR(INT(metadata!N161)),FALSE,INT(metadata!N161)=metadata!N161)),metadata!N161&gt;0))</f>
        <v>0</v>
      </c>
      <c r="AQ161" t="b">
        <f>AND(IF(metadata!O161="",FALSE,TRUE),EXACT(metadata!O161,"Not applicable"))</f>
        <v>0</v>
      </c>
      <c r="AR161" t="b">
        <f>OR(AND(IF(metadata!P161="",FALSE,TRUE),OR(EXACT(metadata!P161,"not applicable"),EXACT(metadata!P161,"missing: not collected"),EXACT(metadata!P161,"missing: not provided"),EXACT(metadata!P161,"missing: restricted access"))),IF(metadata!P161="",FALSE,IF(ISERROR(INT(metadata!P161)),FALSE,INT(metadata!P161)=metadata!P161)))</f>
        <v>0</v>
      </c>
      <c r="AS161" t="b">
        <f>AND(IF(metadata!Q161="",FALSE,TRUE),EXACT(metadata!Q161,"Not applicable"))</f>
        <v>0</v>
      </c>
      <c r="AT161" t="b">
        <f>OR(AND(IF(metadata!R161="",FALSE,TRUE),OR(EXACT(metadata!R161,"not applicable"),EXACT(metadata!R161,"missing: not collected"),EXACT(metadata!R161,"missing: not provided"),EXACT(metadata!R161,"missing: restricted access"))),AND(IF(metadata!R161="",FALSE,ISNUMBER(VALUE(metadata!R161))),metadata!R161&gt;0))</f>
        <v>0</v>
      </c>
      <c r="AU161" t="b">
        <f>AND(IF(metadata!S161="",FALSE,TRUE),EXACT(metadata!S161,"missing: not provided"))</f>
        <v>0</v>
      </c>
    </row>
    <row r="162" spans="1:47" x14ac:dyDescent="0.2">
      <c r="A162" s="5" t="str">
        <f ca="1">IF(B162=" "," ",HYPERLINK(CONCATENATE("#metadata!",ADDRESS(INDEX($Y$2:$Y$1001,MATCH(ROWS($W$2:W162),$W$2:$W$1001,0),0),1)),INDEX($AB$2:$AB$1001,MATCH(ROWS($W$2:W162),$W$2:$W$1001,0),0)))</f>
        <v xml:space="preserve"> </v>
      </c>
      <c r="B162" s="4" t="str">
        <f ca="1">IF(OR(INDEX($X$2:$X$1001,MATCH(ROWS($W$2:W162),$W$2:$W$1001,0),1)&gt;=100000,INDEX($AD$1005:$AU$1005,1,MATCH(COLUMNS($AD$1006:AD1006),$AD$1006:$AU$1006,0))&gt;=100000), " ",IF(INDEX($AD$2:$AU$1001,MATCH(ROWS($W$2:W162),$W$2:$W$1001,0),MATCH(COLUMNS($AD$1006:AD1006),$AD$1006:$AU$1006,0)), HYPERLINK("#",""), HYPERLINK(CONCATENATE("#metadata!", ADDRESS(INDEX($Y$2:$Y$1001,MATCH(ROWS($W$2:W162),$W$2:$W$1001,0),0), INDEX($AD$1004:$AU$1004,1,MATCH(COLUMNS($AD$1006:AD1006),$AD$1006:$AU$1006,0)))),"Fix")))</f>
        <v xml:space="preserve"> </v>
      </c>
      <c r="C162" s="4" t="str">
        <f ca="1">IF(OR(INDEX($X$2:$X$1001,MATCH(ROWS($W$2:W162),$W$2:$W$1001,0),1)&gt;=100000,INDEX($AD$1005:$AU$1005,1,MATCH(COLUMNS($AD$1006:AE1006),$AD$1006:$AU$1006,0))&gt;=100000), " ",IF(INDEX($AD$2:$AU$1001,MATCH(ROWS($W$2:W162),$W$2:$W$1001,0),MATCH(COLUMNS($AD$1006:AE1006),$AD$1006:$AU$1006,0)), HYPERLINK("#",""), HYPERLINK(CONCATENATE("#metadata!", ADDRESS(INDEX($Y$2:$Y$1001,MATCH(ROWS($W$2:W162),$W$2:$W$1001,0),0), INDEX($AD$1004:$AU$1004,1,MATCH(COLUMNS($AD$1006:AE1006),$AD$1006:$AU$1006,0)))),"Fix")))</f>
        <v xml:space="preserve"> </v>
      </c>
      <c r="D162" s="4" t="str">
        <f ca="1">IF(OR(INDEX($X$2:$X$1001,MATCH(ROWS($W$2:W162),$W$2:$W$1001,0),1)&gt;=100000,INDEX($AD$1005:$AU$1005,1,MATCH(COLUMNS($AD$1006:AF1006),$AD$1006:$AU$1006,0))&gt;=100000), " ",IF(INDEX($AD$2:$AU$1001,MATCH(ROWS($W$2:W162),$W$2:$W$1001,0),MATCH(COLUMNS($AD$1006:AF1006),$AD$1006:$AU$1006,0)), HYPERLINK("#",""), HYPERLINK(CONCATENATE("#metadata!", ADDRESS(INDEX($Y$2:$Y$1001,MATCH(ROWS($W$2:W162),$W$2:$W$1001,0),0), INDEX($AD$1004:$AU$1004,1,MATCH(COLUMNS($AD$1006:AF1006),$AD$1006:$AU$1006,0)))),"Fix")))</f>
        <v xml:space="preserve"> </v>
      </c>
      <c r="E162" s="4" t="str">
        <f ca="1">IF(OR(INDEX($X$2:$X$1001,MATCH(ROWS($W$2:W162),$W$2:$W$1001,0),1)&gt;=100000,INDEX($AD$1005:$AU$1005,1,MATCH(COLUMNS($AD$1006:AG1006),$AD$1006:$AU$1006,0))&gt;=100000), " ",IF(INDEX($AD$2:$AU$1001,MATCH(ROWS($W$2:W162),$W$2:$W$1001,0),MATCH(COLUMNS($AD$1006:AG1006),$AD$1006:$AU$1006,0)), HYPERLINK("#",""), HYPERLINK(CONCATENATE("#metadata!", ADDRESS(INDEX($Y$2:$Y$1001,MATCH(ROWS($W$2:W162),$W$2:$W$1001,0),0), INDEX($AD$1004:$AU$1004,1,MATCH(COLUMNS($AD$1006:AG1006),$AD$1006:$AU$1006,0)))),"Fix")))</f>
        <v xml:space="preserve"> </v>
      </c>
      <c r="F162" s="4" t="str">
        <f ca="1">IF(OR(INDEX($X$2:$X$1001,MATCH(ROWS($W$2:W162),$W$2:$W$1001,0),1)&gt;=100000,INDEX($AD$1005:$AU$1005,1,MATCH(COLUMNS($AD$1006:AH1006),$AD$1006:$AU$1006,0))&gt;=100000), " ",IF(INDEX($AD$2:$AU$1001,MATCH(ROWS($W$2:W162),$W$2:$W$1001,0),MATCH(COLUMNS($AD$1006:AH1006),$AD$1006:$AU$1006,0)), HYPERLINK("#",""), HYPERLINK(CONCATENATE("#metadata!", ADDRESS(INDEX($Y$2:$Y$1001,MATCH(ROWS($W$2:W162),$W$2:$W$1001,0),0), INDEX($AD$1004:$AU$1004,1,MATCH(COLUMNS($AD$1006:AH1006),$AD$1006:$AU$1006,0)))),"Fix")))</f>
        <v xml:space="preserve"> </v>
      </c>
      <c r="G162" s="4" t="str">
        <f ca="1">IF(OR(INDEX($X$2:$X$1001,MATCH(ROWS($W$2:W162),$W$2:$W$1001,0),1)&gt;=100000,INDEX($AD$1005:$AU$1005,1,MATCH(COLUMNS($AD$1006:AI1006),$AD$1006:$AU$1006,0))&gt;=100000), " ",IF(INDEX($AD$2:$AU$1001,MATCH(ROWS($W$2:W162),$W$2:$W$1001,0),MATCH(COLUMNS($AD$1006:AI1006),$AD$1006:$AU$1006,0)), HYPERLINK("#",""), HYPERLINK(CONCATENATE("#metadata!", ADDRESS(INDEX($Y$2:$Y$1001,MATCH(ROWS($W$2:W162),$W$2:$W$1001,0),0), INDEX($AD$1004:$AU$1004,1,MATCH(COLUMNS($AD$1006:AI1006),$AD$1006:$AU$1006,0)))),"Fix")))</f>
        <v xml:space="preserve"> </v>
      </c>
      <c r="H162" s="4" t="str">
        <f ca="1">IF(OR(INDEX($X$2:$X$1001,MATCH(ROWS($W$2:W162),$W$2:$W$1001,0),1)&gt;=100000,INDEX($AD$1005:$AU$1005,1,MATCH(COLUMNS($AD$1006:AJ1006),$AD$1006:$AU$1006,0))&gt;=100000), " ",IF(INDEX($AD$2:$AU$1001,MATCH(ROWS($W$2:W162),$W$2:$W$1001,0),MATCH(COLUMNS($AD$1006:AJ1006),$AD$1006:$AU$1006,0)), HYPERLINK("#",""), HYPERLINK(CONCATENATE("#metadata!", ADDRESS(INDEX($Y$2:$Y$1001,MATCH(ROWS($W$2:W162),$W$2:$W$1001,0),0), INDEX($AD$1004:$AU$1004,1,MATCH(COLUMNS($AD$1006:AJ1006),$AD$1006:$AU$1006,0)))),"Fix")))</f>
        <v xml:space="preserve"> </v>
      </c>
      <c r="I162" s="4" t="str">
        <f ca="1">IF(OR(INDEX($X$2:$X$1001,MATCH(ROWS($W$2:W162),$W$2:$W$1001,0),1)&gt;=100000,INDEX($AD$1005:$AU$1005,1,MATCH(COLUMNS($AD$1006:AK1006),$AD$1006:$AU$1006,0))&gt;=100000), " ",IF(INDEX($AD$2:$AU$1001,MATCH(ROWS($W$2:W162),$W$2:$W$1001,0),MATCH(COLUMNS($AD$1006:AK1006),$AD$1006:$AU$1006,0)), HYPERLINK("#",""), HYPERLINK(CONCATENATE("#metadata!", ADDRESS(INDEX($Y$2:$Y$1001,MATCH(ROWS($W$2:W162),$W$2:$W$1001,0),0), INDEX($AD$1004:$AU$1004,1,MATCH(COLUMNS($AD$1006:AK1006),$AD$1006:$AU$1006,0)))),"Fix")))</f>
        <v xml:space="preserve"> </v>
      </c>
      <c r="J162" s="4" t="str">
        <f ca="1">IF(OR(INDEX($X$2:$X$1001,MATCH(ROWS($W$2:W162),$W$2:$W$1001,0),1)&gt;=100000,INDEX($AD$1005:$AU$1005,1,MATCH(COLUMNS($AD$1006:AL1006),$AD$1006:$AU$1006,0))&gt;=100000), " ",IF(INDEX($AD$2:$AU$1001,MATCH(ROWS($W$2:W162),$W$2:$W$1001,0),MATCH(COLUMNS($AD$1006:AL1006),$AD$1006:$AU$1006,0)), HYPERLINK("#",""), HYPERLINK(CONCATENATE("#metadata!", ADDRESS(INDEX($Y$2:$Y$1001,MATCH(ROWS($W$2:W162),$W$2:$W$1001,0),0), INDEX($AD$1004:$AU$1004,1,MATCH(COLUMNS($AD$1006:AL1006),$AD$1006:$AU$1006,0)))),"Fix")))</f>
        <v xml:space="preserve"> </v>
      </c>
      <c r="K162" s="4" t="str">
        <f ca="1">IF(OR(INDEX($X$2:$X$1001,MATCH(ROWS($W$2:W162),$W$2:$W$1001,0),1)&gt;=100000,INDEX($AD$1005:$AU$1005,1,MATCH(COLUMNS($AD$1006:AM1006),$AD$1006:$AU$1006,0))&gt;=100000), " ",IF(INDEX($AD$2:$AU$1001,MATCH(ROWS($W$2:W162),$W$2:$W$1001,0),MATCH(COLUMNS($AD$1006:AM1006),$AD$1006:$AU$1006,0)), HYPERLINK("#",""), HYPERLINK(CONCATENATE("#metadata!", ADDRESS(INDEX($Y$2:$Y$1001,MATCH(ROWS($W$2:W162),$W$2:$W$1001,0),0), INDEX($AD$1004:$AU$1004,1,MATCH(COLUMNS($AD$1006:AM1006),$AD$1006:$AU$1006,0)))),"Fix")))</f>
        <v xml:space="preserve"> </v>
      </c>
      <c r="L162" s="4" t="str">
        <f ca="1">IF(OR(INDEX($X$2:$X$1001,MATCH(ROWS($W$2:W162),$W$2:$W$1001,0),1)&gt;=100000,INDEX($AD$1005:$AU$1005,1,MATCH(COLUMNS($AD$1006:AN1006),$AD$1006:$AU$1006,0))&gt;=100000), " ",IF(INDEX($AD$2:$AU$1001,MATCH(ROWS($W$2:W162),$W$2:$W$1001,0),MATCH(COLUMNS($AD$1006:AN1006),$AD$1006:$AU$1006,0)), HYPERLINK("#",""), HYPERLINK(CONCATENATE("#metadata!", ADDRESS(INDEX($Y$2:$Y$1001,MATCH(ROWS($W$2:W162),$W$2:$W$1001,0),0), INDEX($AD$1004:$AU$1004,1,MATCH(COLUMNS($AD$1006:AN1006),$AD$1006:$AU$1006,0)))),"Fix")))</f>
        <v xml:space="preserve"> </v>
      </c>
      <c r="M162" s="4" t="str">
        <f ca="1">IF(OR(INDEX($X$2:$X$1001,MATCH(ROWS($W$2:W162),$W$2:$W$1001,0),1)&gt;=100000,INDEX($AD$1005:$AU$1005,1,MATCH(COLUMNS($AD$1006:AO1006),$AD$1006:$AU$1006,0))&gt;=100000), " ",IF(INDEX($AD$2:$AU$1001,MATCH(ROWS($W$2:W162),$W$2:$W$1001,0),MATCH(COLUMNS($AD$1006:AO1006),$AD$1006:$AU$1006,0)), HYPERLINK("#",""), HYPERLINK(CONCATENATE("#metadata!", ADDRESS(INDEX($Y$2:$Y$1001,MATCH(ROWS($W$2:W162),$W$2:$W$1001,0),0), INDEX($AD$1004:$AU$1004,1,MATCH(COLUMNS($AD$1006:AO1006),$AD$1006:$AU$1006,0)))),"Fix")))</f>
        <v xml:space="preserve"> </v>
      </c>
      <c r="N162" s="4" t="str">
        <f ca="1">IF(OR(INDEX($X$2:$X$1001,MATCH(ROWS($W$2:W162),$W$2:$W$1001,0),1)&gt;=100000,INDEX($AD$1005:$AU$1005,1,MATCH(COLUMNS($AD$1006:AP1006),$AD$1006:$AU$1006,0))&gt;=100000), " ",IF(INDEX($AD$2:$AU$1001,MATCH(ROWS($W$2:W162),$W$2:$W$1001,0),MATCH(COLUMNS($AD$1006:AP1006),$AD$1006:$AU$1006,0)), HYPERLINK("#",""), HYPERLINK(CONCATENATE("#metadata!", ADDRESS(INDEX($Y$2:$Y$1001,MATCH(ROWS($W$2:W162),$W$2:$W$1001,0),0), INDEX($AD$1004:$AU$1004,1,MATCH(COLUMNS($AD$1006:AP1006),$AD$1006:$AU$1006,0)))),"Fix")))</f>
        <v xml:space="preserve"> </v>
      </c>
      <c r="O162" s="4" t="str">
        <f ca="1">IF(OR(INDEX($X$2:$X$1001,MATCH(ROWS($W$2:W162),$W$2:$W$1001,0),1)&gt;=100000,INDEX($AD$1005:$AU$1005,1,MATCH(COLUMNS($AD$1006:AQ1006),$AD$1006:$AU$1006,0))&gt;=100000), " ",IF(INDEX($AD$2:$AU$1001,MATCH(ROWS($W$2:W162),$W$2:$W$1001,0),MATCH(COLUMNS($AD$1006:AQ1006),$AD$1006:$AU$1006,0)), HYPERLINK("#",""), HYPERLINK(CONCATENATE("#metadata!", ADDRESS(INDEX($Y$2:$Y$1001,MATCH(ROWS($W$2:W162),$W$2:$W$1001,0),0), INDEX($AD$1004:$AU$1004,1,MATCH(COLUMNS($AD$1006:AQ1006),$AD$1006:$AU$1006,0)))),"Fix")))</f>
        <v xml:space="preserve"> </v>
      </c>
      <c r="P162" s="4" t="str">
        <f ca="1">IF(OR(INDEX($X$2:$X$1001,MATCH(ROWS($W$2:W162),$W$2:$W$1001,0),1)&gt;=100000,INDEX($AD$1005:$AU$1005,1,MATCH(COLUMNS($AD$1006:AR1006),$AD$1006:$AU$1006,0))&gt;=100000), " ",IF(INDEX($AD$2:$AU$1001,MATCH(ROWS($W$2:W162),$W$2:$W$1001,0),MATCH(COLUMNS($AD$1006:AR1006),$AD$1006:$AU$1006,0)), HYPERLINK("#",""), HYPERLINK(CONCATENATE("#metadata!", ADDRESS(INDEX($Y$2:$Y$1001,MATCH(ROWS($W$2:W162),$W$2:$W$1001,0),0), INDEX($AD$1004:$AU$1004,1,MATCH(COLUMNS($AD$1006:AR1006),$AD$1006:$AU$1006,0)))),"Fix")))</f>
        <v xml:space="preserve"> </v>
      </c>
      <c r="Q162" s="4" t="str">
        <f ca="1">IF(OR(INDEX($X$2:$X$1001,MATCH(ROWS($W$2:W162),$W$2:$W$1001,0),1)&gt;=100000,INDEX($AD$1005:$AU$1005,1,MATCH(COLUMNS($AD$1006:AS1006),$AD$1006:$AU$1006,0))&gt;=100000), " ",IF(INDEX($AD$2:$AU$1001,MATCH(ROWS($W$2:W162),$W$2:$W$1001,0),MATCH(COLUMNS($AD$1006:AS1006),$AD$1006:$AU$1006,0)), HYPERLINK("#",""), HYPERLINK(CONCATENATE("#metadata!", ADDRESS(INDEX($Y$2:$Y$1001,MATCH(ROWS($W$2:W162),$W$2:$W$1001,0),0), INDEX($AD$1004:$AU$1004,1,MATCH(COLUMNS($AD$1006:AS1006),$AD$1006:$AU$1006,0)))),"Fix")))</f>
        <v xml:space="preserve"> </v>
      </c>
      <c r="R162" s="4" t="str">
        <f ca="1">IF(OR(INDEX($X$2:$X$1001,MATCH(ROWS($W$2:W162),$W$2:$W$1001,0),1)&gt;=100000,INDEX($AD$1005:$AU$1005,1,MATCH(COLUMNS($AD$1006:AT1006),$AD$1006:$AU$1006,0))&gt;=100000), " ",IF(INDEX($AD$2:$AU$1001,MATCH(ROWS($W$2:W162),$W$2:$W$1001,0),MATCH(COLUMNS($AD$1006:AT1006),$AD$1006:$AU$1006,0)), HYPERLINK("#",""), HYPERLINK(CONCATENATE("#metadata!", ADDRESS(INDEX($Y$2:$Y$1001,MATCH(ROWS($W$2:W162),$W$2:$W$1001,0),0), INDEX($AD$1004:$AU$1004,1,MATCH(COLUMNS($AD$1006:AT1006),$AD$1006:$AU$1006,0)))),"Fix")))</f>
        <v xml:space="preserve"> </v>
      </c>
      <c r="S162" s="4" t="str">
        <f ca="1">IF(OR(INDEX($X$2:$X$1001,MATCH(ROWS($W$2:W162),$W$2:$W$1001,0),1)&gt;=100000,INDEX($AD$1005:$AU$1005,1,MATCH(COLUMNS($AD$1006:AU1006),$AD$1006:$AU$1006,0))&gt;=100000), " ",IF(INDEX($AD$2:$AU$1001,MATCH(ROWS($W$2:W162),$W$2:$W$1001,0),MATCH(COLUMNS($AD$1006:AU1006),$AD$1006:$AU$1006,0)), HYPERLINK("#",""), HYPERLINK(CONCATENATE("#metadata!", ADDRESS(INDEX($Y$2:$Y$1001,MATCH(ROWS($W$2:W162),$W$2:$W$1001,0),0), INDEX($AD$1004:$AU$1004,1,MATCH(COLUMNS($AD$1006:AU1006),$AD$1006:$AU$1006,0)))),"Fix")))</f>
        <v xml:space="preserve"> </v>
      </c>
      <c r="W162">
        <v>161</v>
      </c>
      <c r="X162">
        <v>100162</v>
      </c>
      <c r="Y162">
        <v>162</v>
      </c>
      <c r="Z162" t="b">
        <f t="shared" si="2"/>
        <v>1</v>
      </c>
      <c r="AA162" t="b">
        <f>COUNTBLANK(metadata!B162:S162)=COLUMNS(metadata!B162:S162)</f>
        <v>1</v>
      </c>
      <c r="AB162" t="str">
        <v/>
      </c>
      <c r="AD162" t="b">
        <f ca="1">AND(IF(metadata!B162="",FALSE,TRUE),COUNTIF(metadata!B:B, metadata!B162) = 1,NOT(ISERROR(SUMPRODUCT(SEARCH(MID(metadata!B162,ROW(INDIRECT("1:"&amp;LEN(metadata!B162))), 1),"0123456789abcdefghijklmnopqrstuvwxyzABCDEFGHIJKLMNOPQRSTUVWXYZ.")))))</f>
        <v>0</v>
      </c>
      <c r="AE162" t="b">
        <f>OR(AND(IF(metadata!C162="",FALSE,TRUE),OR(EXACT(metadata!C162,"not applicable"),EXACT(metadata!C162,"missing: not collected"),EXACT(metadata!C162,"missing: not provided"),EXACT(metadata!C162,"missing: restricted access"))),AND(IF(metadata!C162="",FALSE,ISNUMBER(VALUE(metadata!C162))),metadata!C162&gt;0))</f>
        <v>0</v>
      </c>
      <c r="AF162" t="b">
        <f>AND(IF(metadata!D162="",FALSE,TRUE),EXACT(metadata!D162,"missing: not provided"))</f>
        <v>0</v>
      </c>
      <c r="AG162" t="b">
        <f>AND(IF(metadata!E162="",FALSE,TRUE),EXACT(metadata!E162,"Host-associated"))</f>
        <v>0</v>
      </c>
      <c r="AH162" t="b">
        <f>AND(IF(metadata!F162="",FALSE,TRUE),OR(EXACT(metadata!F162,"Animal"),EXACT(metadata!F162,"Fungus"),EXACT(metadata!F162,"Plant")))</f>
        <v>0</v>
      </c>
      <c r="AI162" t="b">
        <f>AND(IF(metadata!G162="",FALSE,TRUE),OR(EXACT(metadata!G162,"Plant secretion"),EXACT(metadata!G162,"Plant rhizosphere"),EXACT(metadata!G162,"Plant surface"),EXACT(metadata!G162,"Plant corpus"),EXACT(metadata!G162,"Fungus surface"),EXACT(metadata!G162,"Fungus corpus"),EXACT(metadata!G162,"Animal surface"),EXACT(metadata!G162,"Animal proximal gut"),EXACT(metadata!G162,"Animal corpus"),EXACT(metadata!G162,"Animal distal gut"),EXACT(metadata!G162,"Animal secretion")))</f>
        <v>0</v>
      </c>
      <c r="AJ162" t="b">
        <f>OR(AND(IF(metadata!H162="",FALSE,TRUE),OR(EXACT(metadata!H162,"missing: not collected"),EXACT(metadata!H162,"missing: not provided"),EXACT(metadata!H162,"missing: restricted access"))),AND(IF(metadata!H162="",FALSE,TRUE),OR(EXACT(metadata!H162,"organism-associated habitat"),EXACT(metadata!H162,"plant-associated habitat"),EXACT(metadata!H162,"animal-associated habitat"),EXACT(metadata!H162,"insecta-associated habitat"),EXACT(metadata!H162,"mammalia-associated habitat"),EXACT(metadata!H162,"human-associated habitat"),EXACT(metadata!H162,"livestock-associated habitat"))))</f>
        <v>0</v>
      </c>
      <c r="AK162" t="b">
        <f>AND(IF(metadata!I162="",FALSE,TRUE),EXACT(metadata!I162,"host-associated"))</f>
        <v>0</v>
      </c>
      <c r="AL162" t="b">
        <f>OR(AND(IF(metadata!J162="",FALSE,TRUE),OR(EXACT(metadata!J162,"not applicable"),EXACT(metadata!J162,"missing: not collected"),EXACT(metadata!J162,"missing: not provided"),EXACT(metadata!J162,"missing: restricted access"))),AND(IF(metadata!J162="",FALSE,ISNUMBER(VALUE(metadata!J162))),metadata!J162&gt;0))</f>
        <v>0</v>
      </c>
      <c r="AM162" t="b">
        <f>AND(IF(metadata!K162="",FALSE,TRUE),EXACT(metadata!K162,"missing: not provided"))</f>
        <v>0</v>
      </c>
      <c r="AN162" t="b">
        <f>IF(metadata!L162="",FALSE,TRUE)</f>
        <v>0</v>
      </c>
      <c r="AO162" t="b">
        <f>IF(metadata!M162="",FALSE,TRUE)</f>
        <v>0</v>
      </c>
      <c r="AP162" t="b">
        <f>OR(AND(IF(metadata!N162="",FALSE,TRUE),OR(EXACT(metadata!N162,"not applicable"),EXACT(metadata!N162,"missing: not collected"),EXACT(metadata!N162,"missing: not provided"))),AND(IF(metadata!N162="",FALSE,IF(ISERROR(INT(metadata!N162)),FALSE,INT(metadata!N162)=metadata!N162)),metadata!N162&gt;0))</f>
        <v>0</v>
      </c>
      <c r="AQ162" t="b">
        <f>AND(IF(metadata!O162="",FALSE,TRUE),EXACT(metadata!O162,"Not applicable"))</f>
        <v>0</v>
      </c>
      <c r="AR162" t="b">
        <f>OR(AND(IF(metadata!P162="",FALSE,TRUE),OR(EXACT(metadata!P162,"not applicable"),EXACT(metadata!P162,"missing: not collected"),EXACT(metadata!P162,"missing: not provided"),EXACT(metadata!P162,"missing: restricted access"))),IF(metadata!P162="",FALSE,IF(ISERROR(INT(metadata!P162)),FALSE,INT(metadata!P162)=metadata!P162)))</f>
        <v>0</v>
      </c>
      <c r="AS162" t="b">
        <f>AND(IF(metadata!Q162="",FALSE,TRUE),EXACT(metadata!Q162,"Not applicable"))</f>
        <v>0</v>
      </c>
      <c r="AT162" t="b">
        <f>OR(AND(IF(metadata!R162="",FALSE,TRUE),OR(EXACT(metadata!R162,"not applicable"),EXACT(metadata!R162,"missing: not collected"),EXACT(metadata!R162,"missing: not provided"),EXACT(metadata!R162,"missing: restricted access"))),AND(IF(metadata!R162="",FALSE,ISNUMBER(VALUE(metadata!R162))),metadata!R162&gt;0))</f>
        <v>0</v>
      </c>
      <c r="AU162" t="b">
        <f>AND(IF(metadata!S162="",FALSE,TRUE),EXACT(metadata!S162,"missing: not provided"))</f>
        <v>0</v>
      </c>
    </row>
    <row r="163" spans="1:47" x14ac:dyDescent="0.2">
      <c r="A163" s="5" t="str">
        <f ca="1">IF(B163=" "," ",HYPERLINK(CONCATENATE("#metadata!",ADDRESS(INDEX($Y$2:$Y$1001,MATCH(ROWS($W$2:W163),$W$2:$W$1001,0),0),1)),INDEX($AB$2:$AB$1001,MATCH(ROWS($W$2:W163),$W$2:$W$1001,0),0)))</f>
        <v xml:space="preserve"> </v>
      </c>
      <c r="B163" s="4" t="str">
        <f ca="1">IF(OR(INDEX($X$2:$X$1001,MATCH(ROWS($W$2:W163),$W$2:$W$1001,0),1)&gt;=100000,INDEX($AD$1005:$AU$1005,1,MATCH(COLUMNS($AD$1006:AD1006),$AD$1006:$AU$1006,0))&gt;=100000), " ",IF(INDEX($AD$2:$AU$1001,MATCH(ROWS($W$2:W163),$W$2:$W$1001,0),MATCH(COLUMNS($AD$1006:AD1006),$AD$1006:$AU$1006,0)), HYPERLINK("#",""), HYPERLINK(CONCATENATE("#metadata!", ADDRESS(INDEX($Y$2:$Y$1001,MATCH(ROWS($W$2:W163),$W$2:$W$1001,0),0), INDEX($AD$1004:$AU$1004,1,MATCH(COLUMNS($AD$1006:AD1006),$AD$1006:$AU$1006,0)))),"Fix")))</f>
        <v xml:space="preserve"> </v>
      </c>
      <c r="C163" s="4" t="str">
        <f ca="1">IF(OR(INDEX($X$2:$X$1001,MATCH(ROWS($W$2:W163),$W$2:$W$1001,0),1)&gt;=100000,INDEX($AD$1005:$AU$1005,1,MATCH(COLUMNS($AD$1006:AE1006),$AD$1006:$AU$1006,0))&gt;=100000), " ",IF(INDEX($AD$2:$AU$1001,MATCH(ROWS($W$2:W163),$W$2:$W$1001,0),MATCH(COLUMNS($AD$1006:AE1006),$AD$1006:$AU$1006,0)), HYPERLINK("#",""), HYPERLINK(CONCATENATE("#metadata!", ADDRESS(INDEX($Y$2:$Y$1001,MATCH(ROWS($W$2:W163),$W$2:$W$1001,0),0), INDEX($AD$1004:$AU$1004,1,MATCH(COLUMNS($AD$1006:AE1006),$AD$1006:$AU$1006,0)))),"Fix")))</f>
        <v xml:space="preserve"> </v>
      </c>
      <c r="D163" s="4" t="str">
        <f ca="1">IF(OR(INDEX($X$2:$X$1001,MATCH(ROWS($W$2:W163),$W$2:$W$1001,0),1)&gt;=100000,INDEX($AD$1005:$AU$1005,1,MATCH(COLUMNS($AD$1006:AF1006),$AD$1006:$AU$1006,0))&gt;=100000), " ",IF(INDEX($AD$2:$AU$1001,MATCH(ROWS($W$2:W163),$W$2:$W$1001,0),MATCH(COLUMNS($AD$1006:AF1006),$AD$1006:$AU$1006,0)), HYPERLINK("#",""), HYPERLINK(CONCATENATE("#metadata!", ADDRESS(INDEX($Y$2:$Y$1001,MATCH(ROWS($W$2:W163),$W$2:$W$1001,0),0), INDEX($AD$1004:$AU$1004,1,MATCH(COLUMNS($AD$1006:AF1006),$AD$1006:$AU$1006,0)))),"Fix")))</f>
        <v xml:space="preserve"> </v>
      </c>
      <c r="E163" s="4" t="str">
        <f ca="1">IF(OR(INDEX($X$2:$X$1001,MATCH(ROWS($W$2:W163),$W$2:$W$1001,0),1)&gt;=100000,INDEX($AD$1005:$AU$1005,1,MATCH(COLUMNS($AD$1006:AG1006),$AD$1006:$AU$1006,0))&gt;=100000), " ",IF(INDEX($AD$2:$AU$1001,MATCH(ROWS($W$2:W163),$W$2:$W$1001,0),MATCH(COLUMNS($AD$1006:AG1006),$AD$1006:$AU$1006,0)), HYPERLINK("#",""), HYPERLINK(CONCATENATE("#metadata!", ADDRESS(INDEX($Y$2:$Y$1001,MATCH(ROWS($W$2:W163),$W$2:$W$1001,0),0), INDEX($AD$1004:$AU$1004,1,MATCH(COLUMNS($AD$1006:AG1006),$AD$1006:$AU$1006,0)))),"Fix")))</f>
        <v xml:space="preserve"> </v>
      </c>
      <c r="F163" s="4" t="str">
        <f ca="1">IF(OR(INDEX($X$2:$X$1001,MATCH(ROWS($W$2:W163),$W$2:$W$1001,0),1)&gt;=100000,INDEX($AD$1005:$AU$1005,1,MATCH(COLUMNS($AD$1006:AH1006),$AD$1006:$AU$1006,0))&gt;=100000), " ",IF(INDEX($AD$2:$AU$1001,MATCH(ROWS($W$2:W163),$W$2:$W$1001,0),MATCH(COLUMNS($AD$1006:AH1006),$AD$1006:$AU$1006,0)), HYPERLINK("#",""), HYPERLINK(CONCATENATE("#metadata!", ADDRESS(INDEX($Y$2:$Y$1001,MATCH(ROWS($W$2:W163),$W$2:$W$1001,0),0), INDEX($AD$1004:$AU$1004,1,MATCH(COLUMNS($AD$1006:AH1006),$AD$1006:$AU$1006,0)))),"Fix")))</f>
        <v xml:space="preserve"> </v>
      </c>
      <c r="G163" s="4" t="str">
        <f ca="1">IF(OR(INDEX($X$2:$X$1001,MATCH(ROWS($W$2:W163),$W$2:$W$1001,0),1)&gt;=100000,INDEX($AD$1005:$AU$1005,1,MATCH(COLUMNS($AD$1006:AI1006),$AD$1006:$AU$1006,0))&gt;=100000), " ",IF(INDEX($AD$2:$AU$1001,MATCH(ROWS($W$2:W163),$W$2:$W$1001,0),MATCH(COLUMNS($AD$1006:AI1006),$AD$1006:$AU$1006,0)), HYPERLINK("#",""), HYPERLINK(CONCATENATE("#metadata!", ADDRESS(INDEX($Y$2:$Y$1001,MATCH(ROWS($W$2:W163),$W$2:$W$1001,0),0), INDEX($AD$1004:$AU$1004,1,MATCH(COLUMNS($AD$1006:AI1006),$AD$1006:$AU$1006,0)))),"Fix")))</f>
        <v xml:space="preserve"> </v>
      </c>
      <c r="H163" s="4" t="str">
        <f ca="1">IF(OR(INDEX($X$2:$X$1001,MATCH(ROWS($W$2:W163),$W$2:$W$1001,0),1)&gt;=100000,INDEX($AD$1005:$AU$1005,1,MATCH(COLUMNS($AD$1006:AJ1006),$AD$1006:$AU$1006,0))&gt;=100000), " ",IF(INDEX($AD$2:$AU$1001,MATCH(ROWS($W$2:W163),$W$2:$W$1001,0),MATCH(COLUMNS($AD$1006:AJ1006),$AD$1006:$AU$1006,0)), HYPERLINK("#",""), HYPERLINK(CONCATENATE("#metadata!", ADDRESS(INDEX($Y$2:$Y$1001,MATCH(ROWS($W$2:W163),$W$2:$W$1001,0),0), INDEX($AD$1004:$AU$1004,1,MATCH(COLUMNS($AD$1006:AJ1006),$AD$1006:$AU$1006,0)))),"Fix")))</f>
        <v xml:space="preserve"> </v>
      </c>
      <c r="I163" s="4" t="str">
        <f ca="1">IF(OR(INDEX($X$2:$X$1001,MATCH(ROWS($W$2:W163),$W$2:$W$1001,0),1)&gt;=100000,INDEX($AD$1005:$AU$1005,1,MATCH(COLUMNS($AD$1006:AK1006),$AD$1006:$AU$1006,0))&gt;=100000), " ",IF(INDEX($AD$2:$AU$1001,MATCH(ROWS($W$2:W163),$W$2:$W$1001,0),MATCH(COLUMNS($AD$1006:AK1006),$AD$1006:$AU$1006,0)), HYPERLINK("#",""), HYPERLINK(CONCATENATE("#metadata!", ADDRESS(INDEX($Y$2:$Y$1001,MATCH(ROWS($W$2:W163),$W$2:$W$1001,0),0), INDEX($AD$1004:$AU$1004,1,MATCH(COLUMNS($AD$1006:AK1006),$AD$1006:$AU$1006,0)))),"Fix")))</f>
        <v xml:space="preserve"> </v>
      </c>
      <c r="J163" s="4" t="str">
        <f ca="1">IF(OR(INDEX($X$2:$X$1001,MATCH(ROWS($W$2:W163),$W$2:$W$1001,0),1)&gt;=100000,INDEX($AD$1005:$AU$1005,1,MATCH(COLUMNS($AD$1006:AL1006),$AD$1006:$AU$1006,0))&gt;=100000), " ",IF(INDEX($AD$2:$AU$1001,MATCH(ROWS($W$2:W163),$W$2:$W$1001,0),MATCH(COLUMNS($AD$1006:AL1006),$AD$1006:$AU$1006,0)), HYPERLINK("#",""), HYPERLINK(CONCATENATE("#metadata!", ADDRESS(INDEX($Y$2:$Y$1001,MATCH(ROWS($W$2:W163),$W$2:$W$1001,0),0), INDEX($AD$1004:$AU$1004,1,MATCH(COLUMNS($AD$1006:AL1006),$AD$1006:$AU$1006,0)))),"Fix")))</f>
        <v xml:space="preserve"> </v>
      </c>
      <c r="K163" s="4" t="str">
        <f ca="1">IF(OR(INDEX($X$2:$X$1001,MATCH(ROWS($W$2:W163),$W$2:$W$1001,0),1)&gt;=100000,INDEX($AD$1005:$AU$1005,1,MATCH(COLUMNS($AD$1006:AM1006),$AD$1006:$AU$1006,0))&gt;=100000), " ",IF(INDEX($AD$2:$AU$1001,MATCH(ROWS($W$2:W163),$W$2:$W$1001,0),MATCH(COLUMNS($AD$1006:AM1006),$AD$1006:$AU$1006,0)), HYPERLINK("#",""), HYPERLINK(CONCATENATE("#metadata!", ADDRESS(INDEX($Y$2:$Y$1001,MATCH(ROWS($W$2:W163),$W$2:$W$1001,0),0), INDEX($AD$1004:$AU$1004,1,MATCH(COLUMNS($AD$1006:AM1006),$AD$1006:$AU$1006,0)))),"Fix")))</f>
        <v xml:space="preserve"> </v>
      </c>
      <c r="L163" s="4" t="str">
        <f ca="1">IF(OR(INDEX($X$2:$X$1001,MATCH(ROWS($W$2:W163),$W$2:$W$1001,0),1)&gt;=100000,INDEX($AD$1005:$AU$1005,1,MATCH(COLUMNS($AD$1006:AN1006),$AD$1006:$AU$1006,0))&gt;=100000), " ",IF(INDEX($AD$2:$AU$1001,MATCH(ROWS($W$2:W163),$W$2:$W$1001,0),MATCH(COLUMNS($AD$1006:AN1006),$AD$1006:$AU$1006,0)), HYPERLINK("#",""), HYPERLINK(CONCATENATE("#metadata!", ADDRESS(INDEX($Y$2:$Y$1001,MATCH(ROWS($W$2:W163),$W$2:$W$1001,0),0), INDEX($AD$1004:$AU$1004,1,MATCH(COLUMNS($AD$1006:AN1006),$AD$1006:$AU$1006,0)))),"Fix")))</f>
        <v xml:space="preserve"> </v>
      </c>
      <c r="M163" s="4" t="str">
        <f ca="1">IF(OR(INDEX($X$2:$X$1001,MATCH(ROWS($W$2:W163),$W$2:$W$1001,0),1)&gt;=100000,INDEX($AD$1005:$AU$1005,1,MATCH(COLUMNS($AD$1006:AO1006),$AD$1006:$AU$1006,0))&gt;=100000), " ",IF(INDEX($AD$2:$AU$1001,MATCH(ROWS($W$2:W163),$W$2:$W$1001,0),MATCH(COLUMNS($AD$1006:AO1006),$AD$1006:$AU$1006,0)), HYPERLINK("#",""), HYPERLINK(CONCATENATE("#metadata!", ADDRESS(INDEX($Y$2:$Y$1001,MATCH(ROWS($W$2:W163),$W$2:$W$1001,0),0), INDEX($AD$1004:$AU$1004,1,MATCH(COLUMNS($AD$1006:AO1006),$AD$1006:$AU$1006,0)))),"Fix")))</f>
        <v xml:space="preserve"> </v>
      </c>
      <c r="N163" s="4" t="str">
        <f ca="1">IF(OR(INDEX($X$2:$X$1001,MATCH(ROWS($W$2:W163),$W$2:$W$1001,0),1)&gt;=100000,INDEX($AD$1005:$AU$1005,1,MATCH(COLUMNS($AD$1006:AP1006),$AD$1006:$AU$1006,0))&gt;=100000), " ",IF(INDEX($AD$2:$AU$1001,MATCH(ROWS($W$2:W163),$W$2:$W$1001,0),MATCH(COLUMNS($AD$1006:AP1006),$AD$1006:$AU$1006,0)), HYPERLINK("#",""), HYPERLINK(CONCATENATE("#metadata!", ADDRESS(INDEX($Y$2:$Y$1001,MATCH(ROWS($W$2:W163),$W$2:$W$1001,0),0), INDEX($AD$1004:$AU$1004,1,MATCH(COLUMNS($AD$1006:AP1006),$AD$1006:$AU$1006,0)))),"Fix")))</f>
        <v xml:space="preserve"> </v>
      </c>
      <c r="O163" s="4" t="str">
        <f ca="1">IF(OR(INDEX($X$2:$X$1001,MATCH(ROWS($W$2:W163),$W$2:$W$1001,0),1)&gt;=100000,INDEX($AD$1005:$AU$1005,1,MATCH(COLUMNS($AD$1006:AQ1006),$AD$1006:$AU$1006,0))&gt;=100000), " ",IF(INDEX($AD$2:$AU$1001,MATCH(ROWS($W$2:W163),$W$2:$W$1001,0),MATCH(COLUMNS($AD$1006:AQ1006),$AD$1006:$AU$1006,0)), HYPERLINK("#",""), HYPERLINK(CONCATENATE("#metadata!", ADDRESS(INDEX($Y$2:$Y$1001,MATCH(ROWS($W$2:W163),$W$2:$W$1001,0),0), INDEX($AD$1004:$AU$1004,1,MATCH(COLUMNS($AD$1006:AQ1006),$AD$1006:$AU$1006,0)))),"Fix")))</f>
        <v xml:space="preserve"> </v>
      </c>
      <c r="P163" s="4" t="str">
        <f ca="1">IF(OR(INDEX($X$2:$X$1001,MATCH(ROWS($W$2:W163),$W$2:$W$1001,0),1)&gt;=100000,INDEX($AD$1005:$AU$1005,1,MATCH(COLUMNS($AD$1006:AR1006),$AD$1006:$AU$1006,0))&gt;=100000), " ",IF(INDEX($AD$2:$AU$1001,MATCH(ROWS($W$2:W163),$W$2:$W$1001,0),MATCH(COLUMNS($AD$1006:AR1006),$AD$1006:$AU$1006,0)), HYPERLINK("#",""), HYPERLINK(CONCATENATE("#metadata!", ADDRESS(INDEX($Y$2:$Y$1001,MATCH(ROWS($W$2:W163),$W$2:$W$1001,0),0), INDEX($AD$1004:$AU$1004,1,MATCH(COLUMNS($AD$1006:AR1006),$AD$1006:$AU$1006,0)))),"Fix")))</f>
        <v xml:space="preserve"> </v>
      </c>
      <c r="Q163" s="4" t="str">
        <f ca="1">IF(OR(INDEX($X$2:$X$1001,MATCH(ROWS($W$2:W163),$W$2:$W$1001,0),1)&gt;=100000,INDEX($AD$1005:$AU$1005,1,MATCH(COLUMNS($AD$1006:AS1006),$AD$1006:$AU$1006,0))&gt;=100000), " ",IF(INDEX($AD$2:$AU$1001,MATCH(ROWS($W$2:W163),$W$2:$W$1001,0),MATCH(COLUMNS($AD$1006:AS1006),$AD$1006:$AU$1006,0)), HYPERLINK("#",""), HYPERLINK(CONCATENATE("#metadata!", ADDRESS(INDEX($Y$2:$Y$1001,MATCH(ROWS($W$2:W163),$W$2:$W$1001,0),0), INDEX($AD$1004:$AU$1004,1,MATCH(COLUMNS($AD$1006:AS1006),$AD$1006:$AU$1006,0)))),"Fix")))</f>
        <v xml:space="preserve"> </v>
      </c>
      <c r="R163" s="4" t="str">
        <f ca="1">IF(OR(INDEX($X$2:$X$1001,MATCH(ROWS($W$2:W163),$W$2:$W$1001,0),1)&gt;=100000,INDEX($AD$1005:$AU$1005,1,MATCH(COLUMNS($AD$1006:AT1006),$AD$1006:$AU$1006,0))&gt;=100000), " ",IF(INDEX($AD$2:$AU$1001,MATCH(ROWS($W$2:W163),$W$2:$W$1001,0),MATCH(COLUMNS($AD$1006:AT1006),$AD$1006:$AU$1006,0)), HYPERLINK("#",""), HYPERLINK(CONCATENATE("#metadata!", ADDRESS(INDEX($Y$2:$Y$1001,MATCH(ROWS($W$2:W163),$W$2:$W$1001,0),0), INDEX($AD$1004:$AU$1004,1,MATCH(COLUMNS($AD$1006:AT1006),$AD$1006:$AU$1006,0)))),"Fix")))</f>
        <v xml:space="preserve"> </v>
      </c>
      <c r="S163" s="4" t="str">
        <f ca="1">IF(OR(INDEX($X$2:$X$1001,MATCH(ROWS($W$2:W163),$W$2:$W$1001,0),1)&gt;=100000,INDEX($AD$1005:$AU$1005,1,MATCH(COLUMNS($AD$1006:AU1006),$AD$1006:$AU$1006,0))&gt;=100000), " ",IF(INDEX($AD$2:$AU$1001,MATCH(ROWS($W$2:W163),$W$2:$W$1001,0),MATCH(COLUMNS($AD$1006:AU1006),$AD$1006:$AU$1006,0)), HYPERLINK("#",""), HYPERLINK(CONCATENATE("#metadata!", ADDRESS(INDEX($Y$2:$Y$1001,MATCH(ROWS($W$2:W163),$W$2:$W$1001,0),0), INDEX($AD$1004:$AU$1004,1,MATCH(COLUMNS($AD$1006:AU1006),$AD$1006:$AU$1006,0)))),"Fix")))</f>
        <v xml:space="preserve"> </v>
      </c>
      <c r="W163">
        <v>162</v>
      </c>
      <c r="X163">
        <v>100163</v>
      </c>
      <c r="Y163">
        <v>163</v>
      </c>
      <c r="Z163" t="b">
        <f t="shared" si="2"/>
        <v>1</v>
      </c>
      <c r="AA163" t="b">
        <f>COUNTBLANK(metadata!B163:S163)=COLUMNS(metadata!B163:S163)</f>
        <v>1</v>
      </c>
      <c r="AB163" t="str">
        <v/>
      </c>
      <c r="AD163" t="b">
        <f ca="1">AND(IF(metadata!B163="",FALSE,TRUE),COUNTIF(metadata!B:B, metadata!B163) = 1,NOT(ISERROR(SUMPRODUCT(SEARCH(MID(metadata!B163,ROW(INDIRECT("1:"&amp;LEN(metadata!B163))), 1),"0123456789abcdefghijklmnopqrstuvwxyzABCDEFGHIJKLMNOPQRSTUVWXYZ.")))))</f>
        <v>0</v>
      </c>
      <c r="AE163" t="b">
        <f>OR(AND(IF(metadata!C163="",FALSE,TRUE),OR(EXACT(metadata!C163,"not applicable"),EXACT(metadata!C163,"missing: not collected"),EXACT(metadata!C163,"missing: not provided"),EXACT(metadata!C163,"missing: restricted access"))),AND(IF(metadata!C163="",FALSE,ISNUMBER(VALUE(metadata!C163))),metadata!C163&gt;0))</f>
        <v>0</v>
      </c>
      <c r="AF163" t="b">
        <f>AND(IF(metadata!D163="",FALSE,TRUE),EXACT(metadata!D163,"missing: not provided"))</f>
        <v>0</v>
      </c>
      <c r="AG163" t="b">
        <f>AND(IF(metadata!E163="",FALSE,TRUE),EXACT(metadata!E163,"Host-associated"))</f>
        <v>0</v>
      </c>
      <c r="AH163" t="b">
        <f>AND(IF(metadata!F163="",FALSE,TRUE),OR(EXACT(metadata!F163,"Animal"),EXACT(metadata!F163,"Fungus"),EXACT(metadata!F163,"Plant")))</f>
        <v>0</v>
      </c>
      <c r="AI163" t="b">
        <f>AND(IF(metadata!G163="",FALSE,TRUE),OR(EXACT(metadata!G163,"Plant secretion"),EXACT(metadata!G163,"Plant rhizosphere"),EXACT(metadata!G163,"Plant surface"),EXACT(metadata!G163,"Plant corpus"),EXACT(metadata!G163,"Fungus surface"),EXACT(metadata!G163,"Fungus corpus"),EXACT(metadata!G163,"Animal surface"),EXACT(metadata!G163,"Animal proximal gut"),EXACT(metadata!G163,"Animal corpus"),EXACT(metadata!G163,"Animal distal gut"),EXACT(metadata!G163,"Animal secretion")))</f>
        <v>0</v>
      </c>
      <c r="AJ163" t="b">
        <f>OR(AND(IF(metadata!H163="",FALSE,TRUE),OR(EXACT(metadata!H163,"missing: not collected"),EXACT(metadata!H163,"missing: not provided"),EXACT(metadata!H163,"missing: restricted access"))),AND(IF(metadata!H163="",FALSE,TRUE),OR(EXACT(metadata!H163,"organism-associated habitat"),EXACT(metadata!H163,"plant-associated habitat"),EXACT(metadata!H163,"animal-associated habitat"),EXACT(metadata!H163,"insecta-associated habitat"),EXACT(metadata!H163,"mammalia-associated habitat"),EXACT(metadata!H163,"human-associated habitat"),EXACT(metadata!H163,"livestock-associated habitat"))))</f>
        <v>0</v>
      </c>
      <c r="AK163" t="b">
        <f>AND(IF(metadata!I163="",FALSE,TRUE),EXACT(metadata!I163,"host-associated"))</f>
        <v>0</v>
      </c>
      <c r="AL163" t="b">
        <f>OR(AND(IF(metadata!J163="",FALSE,TRUE),OR(EXACT(metadata!J163,"not applicable"),EXACT(metadata!J163,"missing: not collected"),EXACT(metadata!J163,"missing: not provided"),EXACT(metadata!J163,"missing: restricted access"))),AND(IF(metadata!J163="",FALSE,ISNUMBER(VALUE(metadata!J163))),metadata!J163&gt;0))</f>
        <v>0</v>
      </c>
      <c r="AM163" t="b">
        <f>AND(IF(metadata!K163="",FALSE,TRUE),EXACT(metadata!K163,"missing: not provided"))</f>
        <v>0</v>
      </c>
      <c r="AN163" t="b">
        <f>IF(metadata!L163="",FALSE,TRUE)</f>
        <v>0</v>
      </c>
      <c r="AO163" t="b">
        <f>IF(metadata!M163="",FALSE,TRUE)</f>
        <v>0</v>
      </c>
      <c r="AP163" t="b">
        <f>OR(AND(IF(metadata!N163="",FALSE,TRUE),OR(EXACT(metadata!N163,"not applicable"),EXACT(metadata!N163,"missing: not collected"),EXACT(metadata!N163,"missing: not provided"))),AND(IF(metadata!N163="",FALSE,IF(ISERROR(INT(metadata!N163)),FALSE,INT(metadata!N163)=metadata!N163)),metadata!N163&gt;0))</f>
        <v>0</v>
      </c>
      <c r="AQ163" t="b">
        <f>AND(IF(metadata!O163="",FALSE,TRUE),EXACT(metadata!O163,"Not applicable"))</f>
        <v>0</v>
      </c>
      <c r="AR163" t="b">
        <f>OR(AND(IF(metadata!P163="",FALSE,TRUE),OR(EXACT(metadata!P163,"not applicable"),EXACT(metadata!P163,"missing: not collected"),EXACT(metadata!P163,"missing: not provided"),EXACT(metadata!P163,"missing: restricted access"))),IF(metadata!P163="",FALSE,IF(ISERROR(INT(metadata!P163)),FALSE,INT(metadata!P163)=metadata!P163)))</f>
        <v>0</v>
      </c>
      <c r="AS163" t="b">
        <f>AND(IF(metadata!Q163="",FALSE,TRUE),EXACT(metadata!Q163,"Not applicable"))</f>
        <v>0</v>
      </c>
      <c r="AT163" t="b">
        <f>OR(AND(IF(metadata!R163="",FALSE,TRUE),OR(EXACT(metadata!R163,"not applicable"),EXACT(metadata!R163,"missing: not collected"),EXACT(metadata!R163,"missing: not provided"),EXACT(metadata!R163,"missing: restricted access"))),AND(IF(metadata!R163="",FALSE,ISNUMBER(VALUE(metadata!R163))),metadata!R163&gt;0))</f>
        <v>0</v>
      </c>
      <c r="AU163" t="b">
        <f>AND(IF(metadata!S163="",FALSE,TRUE),EXACT(metadata!S163,"missing: not provided"))</f>
        <v>0</v>
      </c>
    </row>
    <row r="164" spans="1:47" x14ac:dyDescent="0.2">
      <c r="A164" s="5" t="str">
        <f ca="1">IF(B164=" "," ",HYPERLINK(CONCATENATE("#metadata!",ADDRESS(INDEX($Y$2:$Y$1001,MATCH(ROWS($W$2:W164),$W$2:$W$1001,0),0),1)),INDEX($AB$2:$AB$1001,MATCH(ROWS($W$2:W164),$W$2:$W$1001,0),0)))</f>
        <v xml:space="preserve"> </v>
      </c>
      <c r="B164" s="4" t="str">
        <f ca="1">IF(OR(INDEX($X$2:$X$1001,MATCH(ROWS($W$2:W164),$W$2:$W$1001,0),1)&gt;=100000,INDEX($AD$1005:$AU$1005,1,MATCH(COLUMNS($AD$1006:AD1006),$AD$1006:$AU$1006,0))&gt;=100000), " ",IF(INDEX($AD$2:$AU$1001,MATCH(ROWS($W$2:W164),$W$2:$W$1001,0),MATCH(COLUMNS($AD$1006:AD1006),$AD$1006:$AU$1006,0)), HYPERLINK("#",""), HYPERLINK(CONCATENATE("#metadata!", ADDRESS(INDEX($Y$2:$Y$1001,MATCH(ROWS($W$2:W164),$W$2:$W$1001,0),0), INDEX($AD$1004:$AU$1004,1,MATCH(COLUMNS($AD$1006:AD1006),$AD$1006:$AU$1006,0)))),"Fix")))</f>
        <v xml:space="preserve"> </v>
      </c>
      <c r="C164" s="4" t="str">
        <f ca="1">IF(OR(INDEX($X$2:$X$1001,MATCH(ROWS($W$2:W164),$W$2:$W$1001,0),1)&gt;=100000,INDEX($AD$1005:$AU$1005,1,MATCH(COLUMNS($AD$1006:AE1006),$AD$1006:$AU$1006,0))&gt;=100000), " ",IF(INDEX($AD$2:$AU$1001,MATCH(ROWS($W$2:W164),$W$2:$W$1001,0),MATCH(COLUMNS($AD$1006:AE1006),$AD$1006:$AU$1006,0)), HYPERLINK("#",""), HYPERLINK(CONCATENATE("#metadata!", ADDRESS(INDEX($Y$2:$Y$1001,MATCH(ROWS($W$2:W164),$W$2:$W$1001,0),0), INDEX($AD$1004:$AU$1004,1,MATCH(COLUMNS($AD$1006:AE1006),$AD$1006:$AU$1006,0)))),"Fix")))</f>
        <v xml:space="preserve"> </v>
      </c>
      <c r="D164" s="4" t="str">
        <f ca="1">IF(OR(INDEX($X$2:$X$1001,MATCH(ROWS($W$2:W164),$W$2:$W$1001,0),1)&gt;=100000,INDEX($AD$1005:$AU$1005,1,MATCH(COLUMNS($AD$1006:AF1006),$AD$1006:$AU$1006,0))&gt;=100000), " ",IF(INDEX($AD$2:$AU$1001,MATCH(ROWS($W$2:W164),$W$2:$W$1001,0),MATCH(COLUMNS($AD$1006:AF1006),$AD$1006:$AU$1006,0)), HYPERLINK("#",""), HYPERLINK(CONCATENATE("#metadata!", ADDRESS(INDEX($Y$2:$Y$1001,MATCH(ROWS($W$2:W164),$W$2:$W$1001,0),0), INDEX($AD$1004:$AU$1004,1,MATCH(COLUMNS($AD$1006:AF1006),$AD$1006:$AU$1006,0)))),"Fix")))</f>
        <v xml:space="preserve"> </v>
      </c>
      <c r="E164" s="4" t="str">
        <f ca="1">IF(OR(INDEX($X$2:$X$1001,MATCH(ROWS($W$2:W164),$W$2:$W$1001,0),1)&gt;=100000,INDEX($AD$1005:$AU$1005,1,MATCH(COLUMNS($AD$1006:AG1006),$AD$1006:$AU$1006,0))&gt;=100000), " ",IF(INDEX($AD$2:$AU$1001,MATCH(ROWS($W$2:W164),$W$2:$W$1001,0),MATCH(COLUMNS($AD$1006:AG1006),$AD$1006:$AU$1006,0)), HYPERLINK("#",""), HYPERLINK(CONCATENATE("#metadata!", ADDRESS(INDEX($Y$2:$Y$1001,MATCH(ROWS($W$2:W164),$W$2:$W$1001,0),0), INDEX($AD$1004:$AU$1004,1,MATCH(COLUMNS($AD$1006:AG1006),$AD$1006:$AU$1006,0)))),"Fix")))</f>
        <v xml:space="preserve"> </v>
      </c>
      <c r="F164" s="4" t="str">
        <f ca="1">IF(OR(INDEX($X$2:$X$1001,MATCH(ROWS($W$2:W164),$W$2:$W$1001,0),1)&gt;=100000,INDEX($AD$1005:$AU$1005,1,MATCH(COLUMNS($AD$1006:AH1006),$AD$1006:$AU$1006,0))&gt;=100000), " ",IF(INDEX($AD$2:$AU$1001,MATCH(ROWS($W$2:W164),$W$2:$W$1001,0),MATCH(COLUMNS($AD$1006:AH1006),$AD$1006:$AU$1006,0)), HYPERLINK("#",""), HYPERLINK(CONCATENATE("#metadata!", ADDRESS(INDEX($Y$2:$Y$1001,MATCH(ROWS($W$2:W164),$W$2:$W$1001,0),0), INDEX($AD$1004:$AU$1004,1,MATCH(COLUMNS($AD$1006:AH1006),$AD$1006:$AU$1006,0)))),"Fix")))</f>
        <v xml:space="preserve"> </v>
      </c>
      <c r="G164" s="4" t="str">
        <f ca="1">IF(OR(INDEX($X$2:$X$1001,MATCH(ROWS($W$2:W164),$W$2:$W$1001,0),1)&gt;=100000,INDEX($AD$1005:$AU$1005,1,MATCH(COLUMNS($AD$1006:AI1006),$AD$1006:$AU$1006,0))&gt;=100000), " ",IF(INDEX($AD$2:$AU$1001,MATCH(ROWS($W$2:W164),$W$2:$W$1001,0),MATCH(COLUMNS($AD$1006:AI1006),$AD$1006:$AU$1006,0)), HYPERLINK("#",""), HYPERLINK(CONCATENATE("#metadata!", ADDRESS(INDEX($Y$2:$Y$1001,MATCH(ROWS($W$2:W164),$W$2:$W$1001,0),0), INDEX($AD$1004:$AU$1004,1,MATCH(COLUMNS($AD$1006:AI1006),$AD$1006:$AU$1006,0)))),"Fix")))</f>
        <v xml:space="preserve"> </v>
      </c>
      <c r="H164" s="4" t="str">
        <f ca="1">IF(OR(INDEX($X$2:$X$1001,MATCH(ROWS($W$2:W164),$W$2:$W$1001,0),1)&gt;=100000,INDEX($AD$1005:$AU$1005,1,MATCH(COLUMNS($AD$1006:AJ1006),$AD$1006:$AU$1006,0))&gt;=100000), " ",IF(INDEX($AD$2:$AU$1001,MATCH(ROWS($W$2:W164),$W$2:$W$1001,0),MATCH(COLUMNS($AD$1006:AJ1006),$AD$1006:$AU$1006,0)), HYPERLINK("#",""), HYPERLINK(CONCATENATE("#metadata!", ADDRESS(INDEX($Y$2:$Y$1001,MATCH(ROWS($W$2:W164),$W$2:$W$1001,0),0), INDEX($AD$1004:$AU$1004,1,MATCH(COLUMNS($AD$1006:AJ1006),$AD$1006:$AU$1006,0)))),"Fix")))</f>
        <v xml:space="preserve"> </v>
      </c>
      <c r="I164" s="4" t="str">
        <f ca="1">IF(OR(INDEX($X$2:$X$1001,MATCH(ROWS($W$2:W164),$W$2:$W$1001,0),1)&gt;=100000,INDEX($AD$1005:$AU$1005,1,MATCH(COLUMNS($AD$1006:AK1006),$AD$1006:$AU$1006,0))&gt;=100000), " ",IF(INDEX($AD$2:$AU$1001,MATCH(ROWS($W$2:W164),$W$2:$W$1001,0),MATCH(COLUMNS($AD$1006:AK1006),$AD$1006:$AU$1006,0)), HYPERLINK("#",""), HYPERLINK(CONCATENATE("#metadata!", ADDRESS(INDEX($Y$2:$Y$1001,MATCH(ROWS($W$2:W164),$W$2:$W$1001,0),0), INDEX($AD$1004:$AU$1004,1,MATCH(COLUMNS($AD$1006:AK1006),$AD$1006:$AU$1006,0)))),"Fix")))</f>
        <v xml:space="preserve"> </v>
      </c>
      <c r="J164" s="4" t="str">
        <f ca="1">IF(OR(INDEX($X$2:$X$1001,MATCH(ROWS($W$2:W164),$W$2:$W$1001,0),1)&gt;=100000,INDEX($AD$1005:$AU$1005,1,MATCH(COLUMNS($AD$1006:AL1006),$AD$1006:$AU$1006,0))&gt;=100000), " ",IF(INDEX($AD$2:$AU$1001,MATCH(ROWS($W$2:W164),$W$2:$W$1001,0),MATCH(COLUMNS($AD$1006:AL1006),$AD$1006:$AU$1006,0)), HYPERLINK("#",""), HYPERLINK(CONCATENATE("#metadata!", ADDRESS(INDEX($Y$2:$Y$1001,MATCH(ROWS($W$2:W164),$W$2:$W$1001,0),0), INDEX($AD$1004:$AU$1004,1,MATCH(COLUMNS($AD$1006:AL1006),$AD$1006:$AU$1006,0)))),"Fix")))</f>
        <v xml:space="preserve"> </v>
      </c>
      <c r="K164" s="4" t="str">
        <f ca="1">IF(OR(INDEX($X$2:$X$1001,MATCH(ROWS($W$2:W164),$W$2:$W$1001,0),1)&gt;=100000,INDEX($AD$1005:$AU$1005,1,MATCH(COLUMNS($AD$1006:AM1006),$AD$1006:$AU$1006,0))&gt;=100000), " ",IF(INDEX($AD$2:$AU$1001,MATCH(ROWS($W$2:W164),$W$2:$W$1001,0),MATCH(COLUMNS($AD$1006:AM1006),$AD$1006:$AU$1006,0)), HYPERLINK("#",""), HYPERLINK(CONCATENATE("#metadata!", ADDRESS(INDEX($Y$2:$Y$1001,MATCH(ROWS($W$2:W164),$W$2:$W$1001,0),0), INDEX($AD$1004:$AU$1004,1,MATCH(COLUMNS($AD$1006:AM1006),$AD$1006:$AU$1006,0)))),"Fix")))</f>
        <v xml:space="preserve"> </v>
      </c>
      <c r="L164" s="4" t="str">
        <f ca="1">IF(OR(INDEX($X$2:$X$1001,MATCH(ROWS($W$2:W164),$W$2:$W$1001,0),1)&gt;=100000,INDEX($AD$1005:$AU$1005,1,MATCH(COLUMNS($AD$1006:AN1006),$AD$1006:$AU$1006,0))&gt;=100000), " ",IF(INDEX($AD$2:$AU$1001,MATCH(ROWS($W$2:W164),$W$2:$W$1001,0),MATCH(COLUMNS($AD$1006:AN1006),$AD$1006:$AU$1006,0)), HYPERLINK("#",""), HYPERLINK(CONCATENATE("#metadata!", ADDRESS(INDEX($Y$2:$Y$1001,MATCH(ROWS($W$2:W164),$W$2:$W$1001,0),0), INDEX($AD$1004:$AU$1004,1,MATCH(COLUMNS($AD$1006:AN1006),$AD$1006:$AU$1006,0)))),"Fix")))</f>
        <v xml:space="preserve"> </v>
      </c>
      <c r="M164" s="4" t="str">
        <f ca="1">IF(OR(INDEX($X$2:$X$1001,MATCH(ROWS($W$2:W164),$W$2:$W$1001,0),1)&gt;=100000,INDEX($AD$1005:$AU$1005,1,MATCH(COLUMNS($AD$1006:AO1006),$AD$1006:$AU$1006,0))&gt;=100000), " ",IF(INDEX($AD$2:$AU$1001,MATCH(ROWS($W$2:W164),$W$2:$W$1001,0),MATCH(COLUMNS($AD$1006:AO1006),$AD$1006:$AU$1006,0)), HYPERLINK("#",""), HYPERLINK(CONCATENATE("#metadata!", ADDRESS(INDEX($Y$2:$Y$1001,MATCH(ROWS($W$2:W164),$W$2:$W$1001,0),0), INDEX($AD$1004:$AU$1004,1,MATCH(COLUMNS($AD$1006:AO1006),$AD$1006:$AU$1006,0)))),"Fix")))</f>
        <v xml:space="preserve"> </v>
      </c>
      <c r="N164" s="4" t="str">
        <f ca="1">IF(OR(INDEX($X$2:$X$1001,MATCH(ROWS($W$2:W164),$W$2:$W$1001,0),1)&gt;=100000,INDEX($AD$1005:$AU$1005,1,MATCH(COLUMNS($AD$1006:AP1006),$AD$1006:$AU$1006,0))&gt;=100000), " ",IF(INDEX($AD$2:$AU$1001,MATCH(ROWS($W$2:W164),$W$2:$W$1001,0),MATCH(COLUMNS($AD$1006:AP1006),$AD$1006:$AU$1006,0)), HYPERLINK("#",""), HYPERLINK(CONCATENATE("#metadata!", ADDRESS(INDEX($Y$2:$Y$1001,MATCH(ROWS($W$2:W164),$W$2:$W$1001,0),0), INDEX($AD$1004:$AU$1004,1,MATCH(COLUMNS($AD$1006:AP1006),$AD$1006:$AU$1006,0)))),"Fix")))</f>
        <v xml:space="preserve"> </v>
      </c>
      <c r="O164" s="4" t="str">
        <f ca="1">IF(OR(INDEX($X$2:$X$1001,MATCH(ROWS($W$2:W164),$W$2:$W$1001,0),1)&gt;=100000,INDEX($AD$1005:$AU$1005,1,MATCH(COLUMNS($AD$1006:AQ1006),$AD$1006:$AU$1006,0))&gt;=100000), " ",IF(INDEX($AD$2:$AU$1001,MATCH(ROWS($W$2:W164),$W$2:$W$1001,0),MATCH(COLUMNS($AD$1006:AQ1006),$AD$1006:$AU$1006,0)), HYPERLINK("#",""), HYPERLINK(CONCATENATE("#metadata!", ADDRESS(INDEX($Y$2:$Y$1001,MATCH(ROWS($W$2:W164),$W$2:$W$1001,0),0), INDEX($AD$1004:$AU$1004,1,MATCH(COLUMNS($AD$1006:AQ1006),$AD$1006:$AU$1006,0)))),"Fix")))</f>
        <v xml:space="preserve"> </v>
      </c>
      <c r="P164" s="4" t="str">
        <f ca="1">IF(OR(INDEX($X$2:$X$1001,MATCH(ROWS($W$2:W164),$W$2:$W$1001,0),1)&gt;=100000,INDEX($AD$1005:$AU$1005,1,MATCH(COLUMNS($AD$1006:AR1006),$AD$1006:$AU$1006,0))&gt;=100000), " ",IF(INDEX($AD$2:$AU$1001,MATCH(ROWS($W$2:W164),$W$2:$W$1001,0),MATCH(COLUMNS($AD$1006:AR1006),$AD$1006:$AU$1006,0)), HYPERLINK("#",""), HYPERLINK(CONCATENATE("#metadata!", ADDRESS(INDEX($Y$2:$Y$1001,MATCH(ROWS($W$2:W164),$W$2:$W$1001,0),0), INDEX($AD$1004:$AU$1004,1,MATCH(COLUMNS($AD$1006:AR1006),$AD$1006:$AU$1006,0)))),"Fix")))</f>
        <v xml:space="preserve"> </v>
      </c>
      <c r="Q164" s="4" t="str">
        <f ca="1">IF(OR(INDEX($X$2:$X$1001,MATCH(ROWS($W$2:W164),$W$2:$W$1001,0),1)&gt;=100000,INDEX($AD$1005:$AU$1005,1,MATCH(COLUMNS($AD$1006:AS1006),$AD$1006:$AU$1006,0))&gt;=100000), " ",IF(INDEX($AD$2:$AU$1001,MATCH(ROWS($W$2:W164),$W$2:$W$1001,0),MATCH(COLUMNS($AD$1006:AS1006),$AD$1006:$AU$1006,0)), HYPERLINK("#",""), HYPERLINK(CONCATENATE("#metadata!", ADDRESS(INDEX($Y$2:$Y$1001,MATCH(ROWS($W$2:W164),$W$2:$W$1001,0),0), INDEX($AD$1004:$AU$1004,1,MATCH(COLUMNS($AD$1006:AS1006),$AD$1006:$AU$1006,0)))),"Fix")))</f>
        <v xml:space="preserve"> </v>
      </c>
      <c r="R164" s="4" t="str">
        <f ca="1">IF(OR(INDEX($X$2:$X$1001,MATCH(ROWS($W$2:W164),$W$2:$W$1001,0),1)&gt;=100000,INDEX($AD$1005:$AU$1005,1,MATCH(COLUMNS($AD$1006:AT1006),$AD$1006:$AU$1006,0))&gt;=100000), " ",IF(INDEX($AD$2:$AU$1001,MATCH(ROWS($W$2:W164),$W$2:$W$1001,0),MATCH(COLUMNS($AD$1006:AT1006),$AD$1006:$AU$1006,0)), HYPERLINK("#",""), HYPERLINK(CONCATENATE("#metadata!", ADDRESS(INDEX($Y$2:$Y$1001,MATCH(ROWS($W$2:W164),$W$2:$W$1001,0),0), INDEX($AD$1004:$AU$1004,1,MATCH(COLUMNS($AD$1006:AT1006),$AD$1006:$AU$1006,0)))),"Fix")))</f>
        <v xml:space="preserve"> </v>
      </c>
      <c r="S164" s="4" t="str">
        <f ca="1">IF(OR(INDEX($X$2:$X$1001,MATCH(ROWS($W$2:W164),$W$2:$W$1001,0),1)&gt;=100000,INDEX($AD$1005:$AU$1005,1,MATCH(COLUMNS($AD$1006:AU1006),$AD$1006:$AU$1006,0))&gt;=100000), " ",IF(INDEX($AD$2:$AU$1001,MATCH(ROWS($W$2:W164),$W$2:$W$1001,0),MATCH(COLUMNS($AD$1006:AU1006),$AD$1006:$AU$1006,0)), HYPERLINK("#",""), HYPERLINK(CONCATENATE("#metadata!", ADDRESS(INDEX($Y$2:$Y$1001,MATCH(ROWS($W$2:W164),$W$2:$W$1001,0),0), INDEX($AD$1004:$AU$1004,1,MATCH(COLUMNS($AD$1006:AU1006),$AD$1006:$AU$1006,0)))),"Fix")))</f>
        <v xml:space="preserve"> </v>
      </c>
      <c r="W164">
        <v>163</v>
      </c>
      <c r="X164">
        <v>100164</v>
      </c>
      <c r="Y164">
        <v>164</v>
      </c>
      <c r="Z164" t="b">
        <f t="shared" si="2"/>
        <v>1</v>
      </c>
      <c r="AA164" t="b">
        <f>COUNTBLANK(metadata!B164:S164)=COLUMNS(metadata!B164:S164)</f>
        <v>1</v>
      </c>
      <c r="AB164" t="str">
        <v/>
      </c>
      <c r="AD164" t="b">
        <f ca="1">AND(IF(metadata!B164="",FALSE,TRUE),COUNTIF(metadata!B:B, metadata!B164) = 1,NOT(ISERROR(SUMPRODUCT(SEARCH(MID(metadata!B164,ROW(INDIRECT("1:"&amp;LEN(metadata!B164))), 1),"0123456789abcdefghijklmnopqrstuvwxyzABCDEFGHIJKLMNOPQRSTUVWXYZ.")))))</f>
        <v>0</v>
      </c>
      <c r="AE164" t="b">
        <f>OR(AND(IF(metadata!C164="",FALSE,TRUE),OR(EXACT(metadata!C164,"not applicable"),EXACT(metadata!C164,"missing: not collected"),EXACT(metadata!C164,"missing: not provided"),EXACT(metadata!C164,"missing: restricted access"))),AND(IF(metadata!C164="",FALSE,ISNUMBER(VALUE(metadata!C164))),metadata!C164&gt;0))</f>
        <v>0</v>
      </c>
      <c r="AF164" t="b">
        <f>AND(IF(metadata!D164="",FALSE,TRUE),EXACT(metadata!D164,"missing: not provided"))</f>
        <v>0</v>
      </c>
      <c r="AG164" t="b">
        <f>AND(IF(metadata!E164="",FALSE,TRUE),EXACT(metadata!E164,"Host-associated"))</f>
        <v>0</v>
      </c>
      <c r="AH164" t="b">
        <f>AND(IF(metadata!F164="",FALSE,TRUE),OR(EXACT(metadata!F164,"Animal"),EXACT(metadata!F164,"Fungus"),EXACT(metadata!F164,"Plant")))</f>
        <v>0</v>
      </c>
      <c r="AI164" t="b">
        <f>AND(IF(metadata!G164="",FALSE,TRUE),OR(EXACT(metadata!G164,"Plant secretion"),EXACT(metadata!G164,"Plant rhizosphere"),EXACT(metadata!G164,"Plant surface"),EXACT(metadata!G164,"Plant corpus"),EXACT(metadata!G164,"Fungus surface"),EXACT(metadata!G164,"Fungus corpus"),EXACT(metadata!G164,"Animal surface"),EXACT(metadata!G164,"Animal proximal gut"),EXACT(metadata!G164,"Animal corpus"),EXACT(metadata!G164,"Animal distal gut"),EXACT(metadata!G164,"Animal secretion")))</f>
        <v>0</v>
      </c>
      <c r="AJ164" t="b">
        <f>OR(AND(IF(metadata!H164="",FALSE,TRUE),OR(EXACT(metadata!H164,"missing: not collected"),EXACT(metadata!H164,"missing: not provided"),EXACT(metadata!H164,"missing: restricted access"))),AND(IF(metadata!H164="",FALSE,TRUE),OR(EXACT(metadata!H164,"organism-associated habitat"),EXACT(metadata!H164,"plant-associated habitat"),EXACT(metadata!H164,"animal-associated habitat"),EXACT(metadata!H164,"insecta-associated habitat"),EXACT(metadata!H164,"mammalia-associated habitat"),EXACT(metadata!H164,"human-associated habitat"),EXACT(metadata!H164,"livestock-associated habitat"))))</f>
        <v>0</v>
      </c>
      <c r="AK164" t="b">
        <f>AND(IF(metadata!I164="",FALSE,TRUE),EXACT(metadata!I164,"host-associated"))</f>
        <v>0</v>
      </c>
      <c r="AL164" t="b">
        <f>OR(AND(IF(metadata!J164="",FALSE,TRUE),OR(EXACT(metadata!J164,"not applicable"),EXACT(metadata!J164,"missing: not collected"),EXACT(metadata!J164,"missing: not provided"),EXACT(metadata!J164,"missing: restricted access"))),AND(IF(metadata!J164="",FALSE,ISNUMBER(VALUE(metadata!J164))),metadata!J164&gt;0))</f>
        <v>0</v>
      </c>
      <c r="AM164" t="b">
        <f>AND(IF(metadata!K164="",FALSE,TRUE),EXACT(metadata!K164,"missing: not provided"))</f>
        <v>0</v>
      </c>
      <c r="AN164" t="b">
        <f>IF(metadata!L164="",FALSE,TRUE)</f>
        <v>0</v>
      </c>
      <c r="AO164" t="b">
        <f>IF(metadata!M164="",FALSE,TRUE)</f>
        <v>0</v>
      </c>
      <c r="AP164" t="b">
        <f>OR(AND(IF(metadata!N164="",FALSE,TRUE),OR(EXACT(metadata!N164,"not applicable"),EXACT(metadata!N164,"missing: not collected"),EXACT(metadata!N164,"missing: not provided"))),AND(IF(metadata!N164="",FALSE,IF(ISERROR(INT(metadata!N164)),FALSE,INT(metadata!N164)=metadata!N164)),metadata!N164&gt;0))</f>
        <v>0</v>
      </c>
      <c r="AQ164" t="b">
        <f>AND(IF(metadata!O164="",FALSE,TRUE),EXACT(metadata!O164,"Not applicable"))</f>
        <v>0</v>
      </c>
      <c r="AR164" t="b">
        <f>OR(AND(IF(metadata!P164="",FALSE,TRUE),OR(EXACT(metadata!P164,"not applicable"),EXACT(metadata!P164,"missing: not collected"),EXACT(metadata!P164,"missing: not provided"),EXACT(metadata!P164,"missing: restricted access"))),IF(metadata!P164="",FALSE,IF(ISERROR(INT(metadata!P164)),FALSE,INT(metadata!P164)=metadata!P164)))</f>
        <v>0</v>
      </c>
      <c r="AS164" t="b">
        <f>AND(IF(metadata!Q164="",FALSE,TRUE),EXACT(metadata!Q164,"Not applicable"))</f>
        <v>0</v>
      </c>
      <c r="AT164" t="b">
        <f>OR(AND(IF(metadata!R164="",FALSE,TRUE),OR(EXACT(metadata!R164,"not applicable"),EXACT(metadata!R164,"missing: not collected"),EXACT(metadata!R164,"missing: not provided"),EXACT(metadata!R164,"missing: restricted access"))),AND(IF(metadata!R164="",FALSE,ISNUMBER(VALUE(metadata!R164))),metadata!R164&gt;0))</f>
        <v>0</v>
      </c>
      <c r="AU164" t="b">
        <f>AND(IF(metadata!S164="",FALSE,TRUE),EXACT(metadata!S164,"missing: not provided"))</f>
        <v>0</v>
      </c>
    </row>
    <row r="165" spans="1:47" x14ac:dyDescent="0.2">
      <c r="A165" s="5" t="str">
        <f ca="1">IF(B165=" "," ",HYPERLINK(CONCATENATE("#metadata!",ADDRESS(INDEX($Y$2:$Y$1001,MATCH(ROWS($W$2:W165),$W$2:$W$1001,0),0),1)),INDEX($AB$2:$AB$1001,MATCH(ROWS($W$2:W165),$W$2:$W$1001,0),0)))</f>
        <v xml:space="preserve"> </v>
      </c>
      <c r="B165" s="4" t="str">
        <f ca="1">IF(OR(INDEX($X$2:$X$1001,MATCH(ROWS($W$2:W165),$W$2:$W$1001,0),1)&gt;=100000,INDEX($AD$1005:$AU$1005,1,MATCH(COLUMNS($AD$1006:AD1006),$AD$1006:$AU$1006,0))&gt;=100000), " ",IF(INDEX($AD$2:$AU$1001,MATCH(ROWS($W$2:W165),$W$2:$W$1001,0),MATCH(COLUMNS($AD$1006:AD1006),$AD$1006:$AU$1006,0)), HYPERLINK("#",""), HYPERLINK(CONCATENATE("#metadata!", ADDRESS(INDEX($Y$2:$Y$1001,MATCH(ROWS($W$2:W165),$W$2:$W$1001,0),0), INDEX($AD$1004:$AU$1004,1,MATCH(COLUMNS($AD$1006:AD1006),$AD$1006:$AU$1006,0)))),"Fix")))</f>
        <v xml:space="preserve"> </v>
      </c>
      <c r="C165" s="4" t="str">
        <f ca="1">IF(OR(INDEX($X$2:$X$1001,MATCH(ROWS($W$2:W165),$W$2:$W$1001,0),1)&gt;=100000,INDEX($AD$1005:$AU$1005,1,MATCH(COLUMNS($AD$1006:AE1006),$AD$1006:$AU$1006,0))&gt;=100000), " ",IF(INDEX($AD$2:$AU$1001,MATCH(ROWS($W$2:W165),$W$2:$W$1001,0),MATCH(COLUMNS($AD$1006:AE1006),$AD$1006:$AU$1006,0)), HYPERLINK("#",""), HYPERLINK(CONCATENATE("#metadata!", ADDRESS(INDEX($Y$2:$Y$1001,MATCH(ROWS($W$2:W165),$W$2:$W$1001,0),0), INDEX($AD$1004:$AU$1004,1,MATCH(COLUMNS($AD$1006:AE1006),$AD$1006:$AU$1006,0)))),"Fix")))</f>
        <v xml:space="preserve"> </v>
      </c>
      <c r="D165" s="4" t="str">
        <f ca="1">IF(OR(INDEX($X$2:$X$1001,MATCH(ROWS($W$2:W165),$W$2:$W$1001,0),1)&gt;=100000,INDEX($AD$1005:$AU$1005,1,MATCH(COLUMNS($AD$1006:AF1006),$AD$1006:$AU$1006,0))&gt;=100000), " ",IF(INDEX($AD$2:$AU$1001,MATCH(ROWS($W$2:W165),$W$2:$W$1001,0),MATCH(COLUMNS($AD$1006:AF1006),$AD$1006:$AU$1006,0)), HYPERLINK("#",""), HYPERLINK(CONCATENATE("#metadata!", ADDRESS(INDEX($Y$2:$Y$1001,MATCH(ROWS($W$2:W165),$W$2:$W$1001,0),0), INDEX($AD$1004:$AU$1004,1,MATCH(COLUMNS($AD$1006:AF1006),$AD$1006:$AU$1006,0)))),"Fix")))</f>
        <v xml:space="preserve"> </v>
      </c>
      <c r="E165" s="4" t="str">
        <f ca="1">IF(OR(INDEX($X$2:$X$1001,MATCH(ROWS($W$2:W165),$W$2:$W$1001,0),1)&gt;=100000,INDEX($AD$1005:$AU$1005,1,MATCH(COLUMNS($AD$1006:AG1006),$AD$1006:$AU$1006,0))&gt;=100000), " ",IF(INDEX($AD$2:$AU$1001,MATCH(ROWS($W$2:W165),$W$2:$W$1001,0),MATCH(COLUMNS($AD$1006:AG1006),$AD$1006:$AU$1006,0)), HYPERLINK("#",""), HYPERLINK(CONCATENATE("#metadata!", ADDRESS(INDEX($Y$2:$Y$1001,MATCH(ROWS($W$2:W165),$W$2:$W$1001,0),0), INDEX($AD$1004:$AU$1004,1,MATCH(COLUMNS($AD$1006:AG1006),$AD$1006:$AU$1006,0)))),"Fix")))</f>
        <v xml:space="preserve"> </v>
      </c>
      <c r="F165" s="4" t="str">
        <f ca="1">IF(OR(INDEX($X$2:$X$1001,MATCH(ROWS($W$2:W165),$W$2:$W$1001,0),1)&gt;=100000,INDEX($AD$1005:$AU$1005,1,MATCH(COLUMNS($AD$1006:AH1006),$AD$1006:$AU$1006,0))&gt;=100000), " ",IF(INDEX($AD$2:$AU$1001,MATCH(ROWS($W$2:W165),$W$2:$W$1001,0),MATCH(COLUMNS($AD$1006:AH1006),$AD$1006:$AU$1006,0)), HYPERLINK("#",""), HYPERLINK(CONCATENATE("#metadata!", ADDRESS(INDEX($Y$2:$Y$1001,MATCH(ROWS($W$2:W165),$W$2:$W$1001,0),0), INDEX($AD$1004:$AU$1004,1,MATCH(COLUMNS($AD$1006:AH1006),$AD$1006:$AU$1006,0)))),"Fix")))</f>
        <v xml:space="preserve"> </v>
      </c>
      <c r="G165" s="4" t="str">
        <f ca="1">IF(OR(INDEX($X$2:$X$1001,MATCH(ROWS($W$2:W165),$W$2:$W$1001,0),1)&gt;=100000,INDEX($AD$1005:$AU$1005,1,MATCH(COLUMNS($AD$1006:AI1006),$AD$1006:$AU$1006,0))&gt;=100000), " ",IF(INDEX($AD$2:$AU$1001,MATCH(ROWS($W$2:W165),$W$2:$W$1001,0),MATCH(COLUMNS($AD$1006:AI1006),$AD$1006:$AU$1006,0)), HYPERLINK("#",""), HYPERLINK(CONCATENATE("#metadata!", ADDRESS(INDEX($Y$2:$Y$1001,MATCH(ROWS($W$2:W165),$W$2:$W$1001,0),0), INDEX($AD$1004:$AU$1004,1,MATCH(COLUMNS($AD$1006:AI1006),$AD$1006:$AU$1006,0)))),"Fix")))</f>
        <v xml:space="preserve"> </v>
      </c>
      <c r="H165" s="4" t="str">
        <f ca="1">IF(OR(INDEX($X$2:$X$1001,MATCH(ROWS($W$2:W165),$W$2:$W$1001,0),1)&gt;=100000,INDEX($AD$1005:$AU$1005,1,MATCH(COLUMNS($AD$1006:AJ1006),$AD$1006:$AU$1006,0))&gt;=100000), " ",IF(INDEX($AD$2:$AU$1001,MATCH(ROWS($W$2:W165),$W$2:$W$1001,0),MATCH(COLUMNS($AD$1006:AJ1006),$AD$1006:$AU$1006,0)), HYPERLINK("#",""), HYPERLINK(CONCATENATE("#metadata!", ADDRESS(INDEX($Y$2:$Y$1001,MATCH(ROWS($W$2:W165),$W$2:$W$1001,0),0), INDEX($AD$1004:$AU$1004,1,MATCH(COLUMNS($AD$1006:AJ1006),$AD$1006:$AU$1006,0)))),"Fix")))</f>
        <v xml:space="preserve"> </v>
      </c>
      <c r="I165" s="4" t="str">
        <f ca="1">IF(OR(INDEX($X$2:$X$1001,MATCH(ROWS($W$2:W165),$W$2:$W$1001,0),1)&gt;=100000,INDEX($AD$1005:$AU$1005,1,MATCH(COLUMNS($AD$1006:AK1006),$AD$1006:$AU$1006,0))&gt;=100000), " ",IF(INDEX($AD$2:$AU$1001,MATCH(ROWS($W$2:W165),$W$2:$W$1001,0),MATCH(COLUMNS($AD$1006:AK1006),$AD$1006:$AU$1006,0)), HYPERLINK("#",""), HYPERLINK(CONCATENATE("#metadata!", ADDRESS(INDEX($Y$2:$Y$1001,MATCH(ROWS($W$2:W165),$W$2:$W$1001,0),0), INDEX($AD$1004:$AU$1004,1,MATCH(COLUMNS($AD$1006:AK1006),$AD$1006:$AU$1006,0)))),"Fix")))</f>
        <v xml:space="preserve"> </v>
      </c>
      <c r="J165" s="4" t="str">
        <f ca="1">IF(OR(INDEX($X$2:$X$1001,MATCH(ROWS($W$2:W165),$W$2:$W$1001,0),1)&gt;=100000,INDEX($AD$1005:$AU$1005,1,MATCH(COLUMNS($AD$1006:AL1006),$AD$1006:$AU$1006,0))&gt;=100000), " ",IF(INDEX($AD$2:$AU$1001,MATCH(ROWS($W$2:W165),$W$2:$W$1001,0),MATCH(COLUMNS($AD$1006:AL1006),$AD$1006:$AU$1006,0)), HYPERLINK("#",""), HYPERLINK(CONCATENATE("#metadata!", ADDRESS(INDEX($Y$2:$Y$1001,MATCH(ROWS($W$2:W165),$W$2:$W$1001,0),0), INDEX($AD$1004:$AU$1004,1,MATCH(COLUMNS($AD$1006:AL1006),$AD$1006:$AU$1006,0)))),"Fix")))</f>
        <v xml:space="preserve"> </v>
      </c>
      <c r="K165" s="4" t="str">
        <f ca="1">IF(OR(INDEX($X$2:$X$1001,MATCH(ROWS($W$2:W165),$W$2:$W$1001,0),1)&gt;=100000,INDEX($AD$1005:$AU$1005,1,MATCH(COLUMNS($AD$1006:AM1006),$AD$1006:$AU$1006,0))&gt;=100000), " ",IF(INDEX($AD$2:$AU$1001,MATCH(ROWS($W$2:W165),$W$2:$W$1001,0),MATCH(COLUMNS($AD$1006:AM1006),$AD$1006:$AU$1006,0)), HYPERLINK("#",""), HYPERLINK(CONCATENATE("#metadata!", ADDRESS(INDEX($Y$2:$Y$1001,MATCH(ROWS($W$2:W165),$W$2:$W$1001,0),0), INDEX($AD$1004:$AU$1004,1,MATCH(COLUMNS($AD$1006:AM1006),$AD$1006:$AU$1006,0)))),"Fix")))</f>
        <v xml:space="preserve"> </v>
      </c>
      <c r="L165" s="4" t="str">
        <f ca="1">IF(OR(INDEX($X$2:$X$1001,MATCH(ROWS($W$2:W165),$W$2:$W$1001,0),1)&gt;=100000,INDEX($AD$1005:$AU$1005,1,MATCH(COLUMNS($AD$1006:AN1006),$AD$1006:$AU$1006,0))&gt;=100000), " ",IF(INDEX($AD$2:$AU$1001,MATCH(ROWS($W$2:W165),$W$2:$W$1001,0),MATCH(COLUMNS($AD$1006:AN1006),$AD$1006:$AU$1006,0)), HYPERLINK("#",""), HYPERLINK(CONCATENATE("#metadata!", ADDRESS(INDEX($Y$2:$Y$1001,MATCH(ROWS($W$2:W165),$W$2:$W$1001,0),0), INDEX($AD$1004:$AU$1004,1,MATCH(COLUMNS($AD$1006:AN1006),$AD$1006:$AU$1006,0)))),"Fix")))</f>
        <v xml:space="preserve"> </v>
      </c>
      <c r="M165" s="4" t="str">
        <f ca="1">IF(OR(INDEX($X$2:$X$1001,MATCH(ROWS($W$2:W165),$W$2:$W$1001,0),1)&gt;=100000,INDEX($AD$1005:$AU$1005,1,MATCH(COLUMNS($AD$1006:AO1006),$AD$1006:$AU$1006,0))&gt;=100000), " ",IF(INDEX($AD$2:$AU$1001,MATCH(ROWS($W$2:W165),$W$2:$W$1001,0),MATCH(COLUMNS($AD$1006:AO1006),$AD$1006:$AU$1006,0)), HYPERLINK("#",""), HYPERLINK(CONCATENATE("#metadata!", ADDRESS(INDEX($Y$2:$Y$1001,MATCH(ROWS($W$2:W165),$W$2:$W$1001,0),0), INDEX($AD$1004:$AU$1004,1,MATCH(COLUMNS($AD$1006:AO1006),$AD$1006:$AU$1006,0)))),"Fix")))</f>
        <v xml:space="preserve"> </v>
      </c>
      <c r="N165" s="4" t="str">
        <f ca="1">IF(OR(INDEX($X$2:$X$1001,MATCH(ROWS($W$2:W165),$W$2:$W$1001,0),1)&gt;=100000,INDEX($AD$1005:$AU$1005,1,MATCH(COLUMNS($AD$1006:AP1006),$AD$1006:$AU$1006,0))&gt;=100000), " ",IF(INDEX($AD$2:$AU$1001,MATCH(ROWS($W$2:W165),$W$2:$W$1001,0),MATCH(COLUMNS($AD$1006:AP1006),$AD$1006:$AU$1006,0)), HYPERLINK("#",""), HYPERLINK(CONCATENATE("#metadata!", ADDRESS(INDEX($Y$2:$Y$1001,MATCH(ROWS($W$2:W165),$W$2:$W$1001,0),0), INDEX($AD$1004:$AU$1004,1,MATCH(COLUMNS($AD$1006:AP1006),$AD$1006:$AU$1006,0)))),"Fix")))</f>
        <v xml:space="preserve"> </v>
      </c>
      <c r="O165" s="4" t="str">
        <f ca="1">IF(OR(INDEX($X$2:$X$1001,MATCH(ROWS($W$2:W165),$W$2:$W$1001,0),1)&gt;=100000,INDEX($AD$1005:$AU$1005,1,MATCH(COLUMNS($AD$1006:AQ1006),$AD$1006:$AU$1006,0))&gt;=100000), " ",IF(INDEX($AD$2:$AU$1001,MATCH(ROWS($W$2:W165),$W$2:$W$1001,0),MATCH(COLUMNS($AD$1006:AQ1006),$AD$1006:$AU$1006,0)), HYPERLINK("#",""), HYPERLINK(CONCATENATE("#metadata!", ADDRESS(INDEX($Y$2:$Y$1001,MATCH(ROWS($W$2:W165),$W$2:$W$1001,0),0), INDEX($AD$1004:$AU$1004,1,MATCH(COLUMNS($AD$1006:AQ1006),$AD$1006:$AU$1006,0)))),"Fix")))</f>
        <v xml:space="preserve"> </v>
      </c>
      <c r="P165" s="4" t="str">
        <f ca="1">IF(OR(INDEX($X$2:$X$1001,MATCH(ROWS($W$2:W165),$W$2:$W$1001,0),1)&gt;=100000,INDEX($AD$1005:$AU$1005,1,MATCH(COLUMNS($AD$1006:AR1006),$AD$1006:$AU$1006,0))&gt;=100000), " ",IF(INDEX($AD$2:$AU$1001,MATCH(ROWS($W$2:W165),$W$2:$W$1001,0),MATCH(COLUMNS($AD$1006:AR1006),$AD$1006:$AU$1006,0)), HYPERLINK("#",""), HYPERLINK(CONCATENATE("#metadata!", ADDRESS(INDEX($Y$2:$Y$1001,MATCH(ROWS($W$2:W165),$W$2:$W$1001,0),0), INDEX($AD$1004:$AU$1004,1,MATCH(COLUMNS($AD$1006:AR1006),$AD$1006:$AU$1006,0)))),"Fix")))</f>
        <v xml:space="preserve"> </v>
      </c>
      <c r="Q165" s="4" t="str">
        <f ca="1">IF(OR(INDEX($X$2:$X$1001,MATCH(ROWS($W$2:W165),$W$2:$W$1001,0),1)&gt;=100000,INDEX($AD$1005:$AU$1005,1,MATCH(COLUMNS($AD$1006:AS1006),$AD$1006:$AU$1006,0))&gt;=100000), " ",IF(INDEX($AD$2:$AU$1001,MATCH(ROWS($W$2:W165),$W$2:$W$1001,0),MATCH(COLUMNS($AD$1006:AS1006),$AD$1006:$AU$1006,0)), HYPERLINK("#",""), HYPERLINK(CONCATENATE("#metadata!", ADDRESS(INDEX($Y$2:$Y$1001,MATCH(ROWS($W$2:W165),$W$2:$W$1001,0),0), INDEX($AD$1004:$AU$1004,1,MATCH(COLUMNS($AD$1006:AS1006),$AD$1006:$AU$1006,0)))),"Fix")))</f>
        <v xml:space="preserve"> </v>
      </c>
      <c r="R165" s="4" t="str">
        <f ca="1">IF(OR(INDEX($X$2:$X$1001,MATCH(ROWS($W$2:W165),$W$2:$W$1001,0),1)&gt;=100000,INDEX($AD$1005:$AU$1005,1,MATCH(COLUMNS($AD$1006:AT1006),$AD$1006:$AU$1006,0))&gt;=100000), " ",IF(INDEX($AD$2:$AU$1001,MATCH(ROWS($W$2:W165),$W$2:$W$1001,0),MATCH(COLUMNS($AD$1006:AT1006),$AD$1006:$AU$1006,0)), HYPERLINK("#",""), HYPERLINK(CONCATENATE("#metadata!", ADDRESS(INDEX($Y$2:$Y$1001,MATCH(ROWS($W$2:W165),$W$2:$W$1001,0),0), INDEX($AD$1004:$AU$1004,1,MATCH(COLUMNS($AD$1006:AT1006),$AD$1006:$AU$1006,0)))),"Fix")))</f>
        <v xml:space="preserve"> </v>
      </c>
      <c r="S165" s="4" t="str">
        <f ca="1">IF(OR(INDEX($X$2:$X$1001,MATCH(ROWS($W$2:W165),$W$2:$W$1001,0),1)&gt;=100000,INDEX($AD$1005:$AU$1005,1,MATCH(COLUMNS($AD$1006:AU1006),$AD$1006:$AU$1006,0))&gt;=100000), " ",IF(INDEX($AD$2:$AU$1001,MATCH(ROWS($W$2:W165),$W$2:$W$1001,0),MATCH(COLUMNS($AD$1006:AU1006),$AD$1006:$AU$1006,0)), HYPERLINK("#",""), HYPERLINK(CONCATENATE("#metadata!", ADDRESS(INDEX($Y$2:$Y$1001,MATCH(ROWS($W$2:W165),$W$2:$W$1001,0),0), INDEX($AD$1004:$AU$1004,1,MATCH(COLUMNS($AD$1006:AU1006),$AD$1006:$AU$1006,0)))),"Fix")))</f>
        <v xml:space="preserve"> </v>
      </c>
      <c r="W165">
        <v>164</v>
      </c>
      <c r="X165">
        <v>100165</v>
      </c>
      <c r="Y165">
        <v>165</v>
      </c>
      <c r="Z165" t="b">
        <f t="shared" si="2"/>
        <v>1</v>
      </c>
      <c r="AA165" t="b">
        <f>COUNTBLANK(metadata!B165:S165)=COLUMNS(metadata!B165:S165)</f>
        <v>1</v>
      </c>
      <c r="AB165" t="str">
        <v/>
      </c>
      <c r="AD165" t="b">
        <f ca="1">AND(IF(metadata!B165="",FALSE,TRUE),COUNTIF(metadata!B:B, metadata!B165) = 1,NOT(ISERROR(SUMPRODUCT(SEARCH(MID(metadata!B165,ROW(INDIRECT("1:"&amp;LEN(metadata!B165))), 1),"0123456789abcdefghijklmnopqrstuvwxyzABCDEFGHIJKLMNOPQRSTUVWXYZ.")))))</f>
        <v>0</v>
      </c>
      <c r="AE165" t="b">
        <f>OR(AND(IF(metadata!C165="",FALSE,TRUE),OR(EXACT(metadata!C165,"not applicable"),EXACT(metadata!C165,"missing: not collected"),EXACT(metadata!C165,"missing: not provided"),EXACT(metadata!C165,"missing: restricted access"))),AND(IF(metadata!C165="",FALSE,ISNUMBER(VALUE(metadata!C165))),metadata!C165&gt;0))</f>
        <v>0</v>
      </c>
      <c r="AF165" t="b">
        <f>AND(IF(metadata!D165="",FALSE,TRUE),EXACT(metadata!D165,"missing: not provided"))</f>
        <v>0</v>
      </c>
      <c r="AG165" t="b">
        <f>AND(IF(metadata!E165="",FALSE,TRUE),EXACT(metadata!E165,"Host-associated"))</f>
        <v>0</v>
      </c>
      <c r="AH165" t="b">
        <f>AND(IF(metadata!F165="",FALSE,TRUE),OR(EXACT(metadata!F165,"Animal"),EXACT(metadata!F165,"Fungus"),EXACT(metadata!F165,"Plant")))</f>
        <v>0</v>
      </c>
      <c r="AI165" t="b">
        <f>AND(IF(metadata!G165="",FALSE,TRUE),OR(EXACT(metadata!G165,"Plant secretion"),EXACT(metadata!G165,"Plant rhizosphere"),EXACT(metadata!G165,"Plant surface"),EXACT(metadata!G165,"Plant corpus"),EXACT(metadata!G165,"Fungus surface"),EXACT(metadata!G165,"Fungus corpus"),EXACT(metadata!G165,"Animal surface"),EXACT(metadata!G165,"Animal proximal gut"),EXACT(metadata!G165,"Animal corpus"),EXACT(metadata!G165,"Animal distal gut"),EXACT(metadata!G165,"Animal secretion")))</f>
        <v>0</v>
      </c>
      <c r="AJ165" t="b">
        <f>OR(AND(IF(metadata!H165="",FALSE,TRUE),OR(EXACT(metadata!H165,"missing: not collected"),EXACT(metadata!H165,"missing: not provided"),EXACT(metadata!H165,"missing: restricted access"))),AND(IF(metadata!H165="",FALSE,TRUE),OR(EXACT(metadata!H165,"organism-associated habitat"),EXACT(metadata!H165,"plant-associated habitat"),EXACT(metadata!H165,"animal-associated habitat"),EXACT(metadata!H165,"insecta-associated habitat"),EXACT(metadata!H165,"mammalia-associated habitat"),EXACT(metadata!H165,"human-associated habitat"),EXACT(metadata!H165,"livestock-associated habitat"))))</f>
        <v>0</v>
      </c>
      <c r="AK165" t="b">
        <f>AND(IF(metadata!I165="",FALSE,TRUE),EXACT(metadata!I165,"host-associated"))</f>
        <v>0</v>
      </c>
      <c r="AL165" t="b">
        <f>OR(AND(IF(metadata!J165="",FALSE,TRUE),OR(EXACT(metadata!J165,"not applicable"),EXACT(metadata!J165,"missing: not collected"),EXACT(metadata!J165,"missing: not provided"),EXACT(metadata!J165,"missing: restricted access"))),AND(IF(metadata!J165="",FALSE,ISNUMBER(VALUE(metadata!J165))),metadata!J165&gt;0))</f>
        <v>0</v>
      </c>
      <c r="AM165" t="b">
        <f>AND(IF(metadata!K165="",FALSE,TRUE),EXACT(metadata!K165,"missing: not provided"))</f>
        <v>0</v>
      </c>
      <c r="AN165" t="b">
        <f>IF(metadata!L165="",FALSE,TRUE)</f>
        <v>0</v>
      </c>
      <c r="AO165" t="b">
        <f>IF(metadata!M165="",FALSE,TRUE)</f>
        <v>0</v>
      </c>
      <c r="AP165" t="b">
        <f>OR(AND(IF(metadata!N165="",FALSE,TRUE),OR(EXACT(metadata!N165,"not applicable"),EXACT(metadata!N165,"missing: not collected"),EXACT(metadata!N165,"missing: not provided"))),AND(IF(metadata!N165="",FALSE,IF(ISERROR(INT(metadata!N165)),FALSE,INT(metadata!N165)=metadata!N165)),metadata!N165&gt;0))</f>
        <v>0</v>
      </c>
      <c r="AQ165" t="b">
        <f>AND(IF(metadata!O165="",FALSE,TRUE),EXACT(metadata!O165,"Not applicable"))</f>
        <v>0</v>
      </c>
      <c r="AR165" t="b">
        <f>OR(AND(IF(metadata!P165="",FALSE,TRUE),OR(EXACT(metadata!P165,"not applicable"),EXACT(metadata!P165,"missing: not collected"),EXACT(metadata!P165,"missing: not provided"),EXACT(metadata!P165,"missing: restricted access"))),IF(metadata!P165="",FALSE,IF(ISERROR(INT(metadata!P165)),FALSE,INT(metadata!P165)=metadata!P165)))</f>
        <v>0</v>
      </c>
      <c r="AS165" t="b">
        <f>AND(IF(metadata!Q165="",FALSE,TRUE),EXACT(metadata!Q165,"Not applicable"))</f>
        <v>0</v>
      </c>
      <c r="AT165" t="b">
        <f>OR(AND(IF(metadata!R165="",FALSE,TRUE),OR(EXACT(metadata!R165,"not applicable"),EXACT(metadata!R165,"missing: not collected"),EXACT(metadata!R165,"missing: not provided"),EXACT(metadata!R165,"missing: restricted access"))),AND(IF(metadata!R165="",FALSE,ISNUMBER(VALUE(metadata!R165))),metadata!R165&gt;0))</f>
        <v>0</v>
      </c>
      <c r="AU165" t="b">
        <f>AND(IF(metadata!S165="",FALSE,TRUE),EXACT(metadata!S165,"missing: not provided"))</f>
        <v>0</v>
      </c>
    </row>
    <row r="166" spans="1:47" x14ac:dyDescent="0.2">
      <c r="A166" s="5" t="str">
        <f ca="1">IF(B166=" "," ",HYPERLINK(CONCATENATE("#metadata!",ADDRESS(INDEX($Y$2:$Y$1001,MATCH(ROWS($W$2:W166),$W$2:$W$1001,0),0),1)),INDEX($AB$2:$AB$1001,MATCH(ROWS($W$2:W166),$W$2:$W$1001,0),0)))</f>
        <v xml:space="preserve"> </v>
      </c>
      <c r="B166" s="4" t="str">
        <f ca="1">IF(OR(INDEX($X$2:$X$1001,MATCH(ROWS($W$2:W166),$W$2:$W$1001,0),1)&gt;=100000,INDEX($AD$1005:$AU$1005,1,MATCH(COLUMNS($AD$1006:AD1006),$AD$1006:$AU$1006,0))&gt;=100000), " ",IF(INDEX($AD$2:$AU$1001,MATCH(ROWS($W$2:W166),$W$2:$W$1001,0),MATCH(COLUMNS($AD$1006:AD1006),$AD$1006:$AU$1006,0)), HYPERLINK("#",""), HYPERLINK(CONCATENATE("#metadata!", ADDRESS(INDEX($Y$2:$Y$1001,MATCH(ROWS($W$2:W166),$W$2:$W$1001,0),0), INDEX($AD$1004:$AU$1004,1,MATCH(COLUMNS($AD$1006:AD1006),$AD$1006:$AU$1006,0)))),"Fix")))</f>
        <v xml:space="preserve"> </v>
      </c>
      <c r="C166" s="4" t="str">
        <f ca="1">IF(OR(INDEX($X$2:$X$1001,MATCH(ROWS($W$2:W166),$W$2:$W$1001,0),1)&gt;=100000,INDEX($AD$1005:$AU$1005,1,MATCH(COLUMNS($AD$1006:AE1006),$AD$1006:$AU$1006,0))&gt;=100000), " ",IF(INDEX($AD$2:$AU$1001,MATCH(ROWS($W$2:W166),$W$2:$W$1001,0),MATCH(COLUMNS($AD$1006:AE1006),$AD$1006:$AU$1006,0)), HYPERLINK("#",""), HYPERLINK(CONCATENATE("#metadata!", ADDRESS(INDEX($Y$2:$Y$1001,MATCH(ROWS($W$2:W166),$W$2:$W$1001,0),0), INDEX($AD$1004:$AU$1004,1,MATCH(COLUMNS($AD$1006:AE1006),$AD$1006:$AU$1006,0)))),"Fix")))</f>
        <v xml:space="preserve"> </v>
      </c>
      <c r="D166" s="4" t="str">
        <f ca="1">IF(OR(INDEX($X$2:$X$1001,MATCH(ROWS($W$2:W166),$W$2:$W$1001,0),1)&gt;=100000,INDEX($AD$1005:$AU$1005,1,MATCH(COLUMNS($AD$1006:AF1006),$AD$1006:$AU$1006,0))&gt;=100000), " ",IF(INDEX($AD$2:$AU$1001,MATCH(ROWS($W$2:W166),$W$2:$W$1001,0),MATCH(COLUMNS($AD$1006:AF1006),$AD$1006:$AU$1006,0)), HYPERLINK("#",""), HYPERLINK(CONCATENATE("#metadata!", ADDRESS(INDEX($Y$2:$Y$1001,MATCH(ROWS($W$2:W166),$W$2:$W$1001,0),0), INDEX($AD$1004:$AU$1004,1,MATCH(COLUMNS($AD$1006:AF1006),$AD$1006:$AU$1006,0)))),"Fix")))</f>
        <v xml:space="preserve"> </v>
      </c>
      <c r="E166" s="4" t="str">
        <f ca="1">IF(OR(INDEX($X$2:$X$1001,MATCH(ROWS($W$2:W166),$W$2:$W$1001,0),1)&gt;=100000,INDEX($AD$1005:$AU$1005,1,MATCH(COLUMNS($AD$1006:AG1006),$AD$1006:$AU$1006,0))&gt;=100000), " ",IF(INDEX($AD$2:$AU$1001,MATCH(ROWS($W$2:W166),$W$2:$W$1001,0),MATCH(COLUMNS($AD$1006:AG1006),$AD$1006:$AU$1006,0)), HYPERLINK("#",""), HYPERLINK(CONCATENATE("#metadata!", ADDRESS(INDEX($Y$2:$Y$1001,MATCH(ROWS($W$2:W166),$W$2:$W$1001,0),0), INDEX($AD$1004:$AU$1004,1,MATCH(COLUMNS($AD$1006:AG1006),$AD$1006:$AU$1006,0)))),"Fix")))</f>
        <v xml:space="preserve"> </v>
      </c>
      <c r="F166" s="4" t="str">
        <f ca="1">IF(OR(INDEX($X$2:$X$1001,MATCH(ROWS($W$2:W166),$W$2:$W$1001,0),1)&gt;=100000,INDEX($AD$1005:$AU$1005,1,MATCH(COLUMNS($AD$1006:AH1006),$AD$1006:$AU$1006,0))&gt;=100000), " ",IF(INDEX($AD$2:$AU$1001,MATCH(ROWS($W$2:W166),$W$2:$W$1001,0),MATCH(COLUMNS($AD$1006:AH1006),$AD$1006:$AU$1006,0)), HYPERLINK("#",""), HYPERLINK(CONCATENATE("#metadata!", ADDRESS(INDEX($Y$2:$Y$1001,MATCH(ROWS($W$2:W166),$W$2:$W$1001,0),0), INDEX($AD$1004:$AU$1004,1,MATCH(COLUMNS($AD$1006:AH1006),$AD$1006:$AU$1006,0)))),"Fix")))</f>
        <v xml:space="preserve"> </v>
      </c>
      <c r="G166" s="4" t="str">
        <f ca="1">IF(OR(INDEX($X$2:$X$1001,MATCH(ROWS($W$2:W166),$W$2:$W$1001,0),1)&gt;=100000,INDEX($AD$1005:$AU$1005,1,MATCH(COLUMNS($AD$1006:AI1006),$AD$1006:$AU$1006,0))&gt;=100000), " ",IF(INDEX($AD$2:$AU$1001,MATCH(ROWS($W$2:W166),$W$2:$W$1001,0),MATCH(COLUMNS($AD$1006:AI1006),$AD$1006:$AU$1006,0)), HYPERLINK("#",""), HYPERLINK(CONCATENATE("#metadata!", ADDRESS(INDEX($Y$2:$Y$1001,MATCH(ROWS($W$2:W166),$W$2:$W$1001,0),0), INDEX($AD$1004:$AU$1004,1,MATCH(COLUMNS($AD$1006:AI1006),$AD$1006:$AU$1006,0)))),"Fix")))</f>
        <v xml:space="preserve"> </v>
      </c>
      <c r="H166" s="4" t="str">
        <f ca="1">IF(OR(INDEX($X$2:$X$1001,MATCH(ROWS($W$2:W166),$W$2:$W$1001,0),1)&gt;=100000,INDEX($AD$1005:$AU$1005,1,MATCH(COLUMNS($AD$1006:AJ1006),$AD$1006:$AU$1006,0))&gt;=100000), " ",IF(INDEX($AD$2:$AU$1001,MATCH(ROWS($W$2:W166),$W$2:$W$1001,0),MATCH(COLUMNS($AD$1006:AJ1006),$AD$1006:$AU$1006,0)), HYPERLINK("#",""), HYPERLINK(CONCATENATE("#metadata!", ADDRESS(INDEX($Y$2:$Y$1001,MATCH(ROWS($W$2:W166),$W$2:$W$1001,0),0), INDEX($AD$1004:$AU$1004,1,MATCH(COLUMNS($AD$1006:AJ1006),$AD$1006:$AU$1006,0)))),"Fix")))</f>
        <v xml:space="preserve"> </v>
      </c>
      <c r="I166" s="4" t="str">
        <f ca="1">IF(OR(INDEX($X$2:$X$1001,MATCH(ROWS($W$2:W166),$W$2:$W$1001,0),1)&gt;=100000,INDEX($AD$1005:$AU$1005,1,MATCH(COLUMNS($AD$1006:AK1006),$AD$1006:$AU$1006,0))&gt;=100000), " ",IF(INDEX($AD$2:$AU$1001,MATCH(ROWS($W$2:W166),$W$2:$W$1001,0),MATCH(COLUMNS($AD$1006:AK1006),$AD$1006:$AU$1006,0)), HYPERLINK("#",""), HYPERLINK(CONCATENATE("#metadata!", ADDRESS(INDEX($Y$2:$Y$1001,MATCH(ROWS($W$2:W166),$W$2:$W$1001,0),0), INDEX($AD$1004:$AU$1004,1,MATCH(COLUMNS($AD$1006:AK1006),$AD$1006:$AU$1006,0)))),"Fix")))</f>
        <v xml:space="preserve"> </v>
      </c>
      <c r="J166" s="4" t="str">
        <f ca="1">IF(OR(INDEX($X$2:$X$1001,MATCH(ROWS($W$2:W166),$W$2:$W$1001,0),1)&gt;=100000,INDEX($AD$1005:$AU$1005,1,MATCH(COLUMNS($AD$1006:AL1006),$AD$1006:$AU$1006,0))&gt;=100000), " ",IF(INDEX($AD$2:$AU$1001,MATCH(ROWS($W$2:W166),$W$2:$W$1001,0),MATCH(COLUMNS($AD$1006:AL1006),$AD$1006:$AU$1006,0)), HYPERLINK("#",""), HYPERLINK(CONCATENATE("#metadata!", ADDRESS(INDEX($Y$2:$Y$1001,MATCH(ROWS($W$2:W166),$W$2:$W$1001,0),0), INDEX($AD$1004:$AU$1004,1,MATCH(COLUMNS($AD$1006:AL1006),$AD$1006:$AU$1006,0)))),"Fix")))</f>
        <v xml:space="preserve"> </v>
      </c>
      <c r="K166" s="4" t="str">
        <f ca="1">IF(OR(INDEX($X$2:$X$1001,MATCH(ROWS($W$2:W166),$W$2:$W$1001,0),1)&gt;=100000,INDEX($AD$1005:$AU$1005,1,MATCH(COLUMNS($AD$1006:AM1006),$AD$1006:$AU$1006,0))&gt;=100000), " ",IF(INDEX($AD$2:$AU$1001,MATCH(ROWS($W$2:W166),$W$2:$W$1001,0),MATCH(COLUMNS($AD$1006:AM1006),$AD$1006:$AU$1006,0)), HYPERLINK("#",""), HYPERLINK(CONCATENATE("#metadata!", ADDRESS(INDEX($Y$2:$Y$1001,MATCH(ROWS($W$2:W166),$W$2:$W$1001,0),0), INDEX($AD$1004:$AU$1004,1,MATCH(COLUMNS($AD$1006:AM1006),$AD$1006:$AU$1006,0)))),"Fix")))</f>
        <v xml:space="preserve"> </v>
      </c>
      <c r="L166" s="4" t="str">
        <f ca="1">IF(OR(INDEX($X$2:$X$1001,MATCH(ROWS($W$2:W166),$W$2:$W$1001,0),1)&gt;=100000,INDEX($AD$1005:$AU$1005,1,MATCH(COLUMNS($AD$1006:AN1006),$AD$1006:$AU$1006,0))&gt;=100000), " ",IF(INDEX($AD$2:$AU$1001,MATCH(ROWS($W$2:W166),$W$2:$W$1001,0),MATCH(COLUMNS($AD$1006:AN1006),$AD$1006:$AU$1006,0)), HYPERLINK("#",""), HYPERLINK(CONCATENATE("#metadata!", ADDRESS(INDEX($Y$2:$Y$1001,MATCH(ROWS($W$2:W166),$W$2:$W$1001,0),0), INDEX($AD$1004:$AU$1004,1,MATCH(COLUMNS($AD$1006:AN1006),$AD$1006:$AU$1006,0)))),"Fix")))</f>
        <v xml:space="preserve"> </v>
      </c>
      <c r="M166" s="4" t="str">
        <f ca="1">IF(OR(INDEX($X$2:$X$1001,MATCH(ROWS($W$2:W166),$W$2:$W$1001,0),1)&gt;=100000,INDEX($AD$1005:$AU$1005,1,MATCH(COLUMNS($AD$1006:AO1006),$AD$1006:$AU$1006,0))&gt;=100000), " ",IF(INDEX($AD$2:$AU$1001,MATCH(ROWS($W$2:W166),$W$2:$W$1001,0),MATCH(COLUMNS($AD$1006:AO1006),$AD$1006:$AU$1006,0)), HYPERLINK("#",""), HYPERLINK(CONCATENATE("#metadata!", ADDRESS(INDEX($Y$2:$Y$1001,MATCH(ROWS($W$2:W166),$W$2:$W$1001,0),0), INDEX($AD$1004:$AU$1004,1,MATCH(COLUMNS($AD$1006:AO1006),$AD$1006:$AU$1006,0)))),"Fix")))</f>
        <v xml:space="preserve"> </v>
      </c>
      <c r="N166" s="4" t="str">
        <f ca="1">IF(OR(INDEX($X$2:$X$1001,MATCH(ROWS($W$2:W166),$W$2:$W$1001,0),1)&gt;=100000,INDEX($AD$1005:$AU$1005,1,MATCH(COLUMNS($AD$1006:AP1006),$AD$1006:$AU$1006,0))&gt;=100000), " ",IF(INDEX($AD$2:$AU$1001,MATCH(ROWS($W$2:W166),$W$2:$W$1001,0),MATCH(COLUMNS($AD$1006:AP1006),$AD$1006:$AU$1006,0)), HYPERLINK("#",""), HYPERLINK(CONCATENATE("#metadata!", ADDRESS(INDEX($Y$2:$Y$1001,MATCH(ROWS($W$2:W166),$W$2:$W$1001,0),0), INDEX($AD$1004:$AU$1004,1,MATCH(COLUMNS($AD$1006:AP1006),$AD$1006:$AU$1006,0)))),"Fix")))</f>
        <v xml:space="preserve"> </v>
      </c>
      <c r="O166" s="4" t="str">
        <f ca="1">IF(OR(INDEX($X$2:$X$1001,MATCH(ROWS($W$2:W166),$W$2:$W$1001,0),1)&gt;=100000,INDEX($AD$1005:$AU$1005,1,MATCH(COLUMNS($AD$1006:AQ1006),$AD$1006:$AU$1006,0))&gt;=100000), " ",IF(INDEX($AD$2:$AU$1001,MATCH(ROWS($W$2:W166),$W$2:$W$1001,0),MATCH(COLUMNS($AD$1006:AQ1006),$AD$1006:$AU$1006,0)), HYPERLINK("#",""), HYPERLINK(CONCATENATE("#metadata!", ADDRESS(INDEX($Y$2:$Y$1001,MATCH(ROWS($W$2:W166),$W$2:$W$1001,0),0), INDEX($AD$1004:$AU$1004,1,MATCH(COLUMNS($AD$1006:AQ1006),$AD$1006:$AU$1006,0)))),"Fix")))</f>
        <v xml:space="preserve"> </v>
      </c>
      <c r="P166" s="4" t="str">
        <f ca="1">IF(OR(INDEX($X$2:$X$1001,MATCH(ROWS($W$2:W166),$W$2:$W$1001,0),1)&gt;=100000,INDEX($AD$1005:$AU$1005,1,MATCH(COLUMNS($AD$1006:AR1006),$AD$1006:$AU$1006,0))&gt;=100000), " ",IF(INDEX($AD$2:$AU$1001,MATCH(ROWS($W$2:W166),$W$2:$W$1001,0),MATCH(COLUMNS($AD$1006:AR1006),$AD$1006:$AU$1006,0)), HYPERLINK("#",""), HYPERLINK(CONCATENATE("#metadata!", ADDRESS(INDEX($Y$2:$Y$1001,MATCH(ROWS($W$2:W166),$W$2:$W$1001,0),0), INDEX($AD$1004:$AU$1004,1,MATCH(COLUMNS($AD$1006:AR1006),$AD$1006:$AU$1006,0)))),"Fix")))</f>
        <v xml:space="preserve"> </v>
      </c>
      <c r="Q166" s="4" t="str">
        <f ca="1">IF(OR(INDEX($X$2:$X$1001,MATCH(ROWS($W$2:W166),$W$2:$W$1001,0),1)&gt;=100000,INDEX($AD$1005:$AU$1005,1,MATCH(COLUMNS($AD$1006:AS1006),$AD$1006:$AU$1006,0))&gt;=100000), " ",IF(INDEX($AD$2:$AU$1001,MATCH(ROWS($W$2:W166),$W$2:$W$1001,0),MATCH(COLUMNS($AD$1006:AS1006),$AD$1006:$AU$1006,0)), HYPERLINK("#",""), HYPERLINK(CONCATENATE("#metadata!", ADDRESS(INDEX($Y$2:$Y$1001,MATCH(ROWS($W$2:W166),$W$2:$W$1001,0),0), INDEX($AD$1004:$AU$1004,1,MATCH(COLUMNS($AD$1006:AS1006),$AD$1006:$AU$1006,0)))),"Fix")))</f>
        <v xml:space="preserve"> </v>
      </c>
      <c r="R166" s="4" t="str">
        <f ca="1">IF(OR(INDEX($X$2:$X$1001,MATCH(ROWS($W$2:W166),$W$2:$W$1001,0),1)&gt;=100000,INDEX($AD$1005:$AU$1005,1,MATCH(COLUMNS($AD$1006:AT1006),$AD$1006:$AU$1006,0))&gt;=100000), " ",IF(INDEX($AD$2:$AU$1001,MATCH(ROWS($W$2:W166),$W$2:$W$1001,0),MATCH(COLUMNS($AD$1006:AT1006),$AD$1006:$AU$1006,0)), HYPERLINK("#",""), HYPERLINK(CONCATENATE("#metadata!", ADDRESS(INDEX($Y$2:$Y$1001,MATCH(ROWS($W$2:W166),$W$2:$W$1001,0),0), INDEX($AD$1004:$AU$1004,1,MATCH(COLUMNS($AD$1006:AT1006),$AD$1006:$AU$1006,0)))),"Fix")))</f>
        <v xml:space="preserve"> </v>
      </c>
      <c r="S166" s="4" t="str">
        <f ca="1">IF(OR(INDEX($X$2:$X$1001,MATCH(ROWS($W$2:W166),$W$2:$W$1001,0),1)&gt;=100000,INDEX($AD$1005:$AU$1005,1,MATCH(COLUMNS($AD$1006:AU1006),$AD$1006:$AU$1006,0))&gt;=100000), " ",IF(INDEX($AD$2:$AU$1001,MATCH(ROWS($W$2:W166),$W$2:$W$1001,0),MATCH(COLUMNS($AD$1006:AU1006),$AD$1006:$AU$1006,0)), HYPERLINK("#",""), HYPERLINK(CONCATENATE("#metadata!", ADDRESS(INDEX($Y$2:$Y$1001,MATCH(ROWS($W$2:W166),$W$2:$W$1001,0),0), INDEX($AD$1004:$AU$1004,1,MATCH(COLUMNS($AD$1006:AU1006),$AD$1006:$AU$1006,0)))),"Fix")))</f>
        <v xml:space="preserve"> </v>
      </c>
      <c r="W166">
        <v>165</v>
      </c>
      <c r="X166">
        <v>100166</v>
      </c>
      <c r="Y166">
        <v>166</v>
      </c>
      <c r="Z166" t="b">
        <f t="shared" si="2"/>
        <v>1</v>
      </c>
      <c r="AA166" t="b">
        <f>COUNTBLANK(metadata!B166:S166)=COLUMNS(metadata!B166:S166)</f>
        <v>1</v>
      </c>
      <c r="AB166" t="str">
        <v/>
      </c>
      <c r="AD166" t="b">
        <f ca="1">AND(IF(metadata!B166="",FALSE,TRUE),COUNTIF(metadata!B:B, metadata!B166) = 1,NOT(ISERROR(SUMPRODUCT(SEARCH(MID(metadata!B166,ROW(INDIRECT("1:"&amp;LEN(metadata!B166))), 1),"0123456789abcdefghijklmnopqrstuvwxyzABCDEFGHIJKLMNOPQRSTUVWXYZ.")))))</f>
        <v>0</v>
      </c>
      <c r="AE166" t="b">
        <f>OR(AND(IF(metadata!C166="",FALSE,TRUE),OR(EXACT(metadata!C166,"not applicable"),EXACT(metadata!C166,"missing: not collected"),EXACT(metadata!C166,"missing: not provided"),EXACT(metadata!C166,"missing: restricted access"))),AND(IF(metadata!C166="",FALSE,ISNUMBER(VALUE(metadata!C166))),metadata!C166&gt;0))</f>
        <v>0</v>
      </c>
      <c r="AF166" t="b">
        <f>AND(IF(metadata!D166="",FALSE,TRUE),EXACT(metadata!D166,"missing: not provided"))</f>
        <v>0</v>
      </c>
      <c r="AG166" t="b">
        <f>AND(IF(metadata!E166="",FALSE,TRUE),EXACT(metadata!E166,"Host-associated"))</f>
        <v>0</v>
      </c>
      <c r="AH166" t="b">
        <f>AND(IF(metadata!F166="",FALSE,TRUE),OR(EXACT(metadata!F166,"Animal"),EXACT(metadata!F166,"Fungus"),EXACT(metadata!F166,"Plant")))</f>
        <v>0</v>
      </c>
      <c r="AI166" t="b">
        <f>AND(IF(metadata!G166="",FALSE,TRUE),OR(EXACT(metadata!G166,"Plant secretion"),EXACT(metadata!G166,"Plant rhizosphere"),EXACT(metadata!G166,"Plant surface"),EXACT(metadata!G166,"Plant corpus"),EXACT(metadata!G166,"Fungus surface"),EXACT(metadata!G166,"Fungus corpus"),EXACT(metadata!G166,"Animal surface"),EXACT(metadata!G166,"Animal proximal gut"),EXACT(metadata!G166,"Animal corpus"),EXACT(metadata!G166,"Animal distal gut"),EXACT(metadata!G166,"Animal secretion")))</f>
        <v>0</v>
      </c>
      <c r="AJ166" t="b">
        <f>OR(AND(IF(metadata!H166="",FALSE,TRUE),OR(EXACT(metadata!H166,"missing: not collected"),EXACT(metadata!H166,"missing: not provided"),EXACT(metadata!H166,"missing: restricted access"))),AND(IF(metadata!H166="",FALSE,TRUE),OR(EXACT(metadata!H166,"organism-associated habitat"),EXACT(metadata!H166,"plant-associated habitat"),EXACT(metadata!H166,"animal-associated habitat"),EXACT(metadata!H166,"insecta-associated habitat"),EXACT(metadata!H166,"mammalia-associated habitat"),EXACT(metadata!H166,"human-associated habitat"),EXACT(metadata!H166,"livestock-associated habitat"))))</f>
        <v>0</v>
      </c>
      <c r="AK166" t="b">
        <f>AND(IF(metadata!I166="",FALSE,TRUE),EXACT(metadata!I166,"host-associated"))</f>
        <v>0</v>
      </c>
      <c r="AL166" t="b">
        <f>OR(AND(IF(metadata!J166="",FALSE,TRUE),OR(EXACT(metadata!J166,"not applicable"),EXACT(metadata!J166,"missing: not collected"),EXACT(metadata!J166,"missing: not provided"),EXACT(metadata!J166,"missing: restricted access"))),AND(IF(metadata!J166="",FALSE,ISNUMBER(VALUE(metadata!J166))),metadata!J166&gt;0))</f>
        <v>0</v>
      </c>
      <c r="AM166" t="b">
        <f>AND(IF(metadata!K166="",FALSE,TRUE),EXACT(metadata!K166,"missing: not provided"))</f>
        <v>0</v>
      </c>
      <c r="AN166" t="b">
        <f>IF(metadata!L166="",FALSE,TRUE)</f>
        <v>0</v>
      </c>
      <c r="AO166" t="b">
        <f>IF(metadata!M166="",FALSE,TRUE)</f>
        <v>0</v>
      </c>
      <c r="AP166" t="b">
        <f>OR(AND(IF(metadata!N166="",FALSE,TRUE),OR(EXACT(metadata!N166,"not applicable"),EXACT(metadata!N166,"missing: not collected"),EXACT(metadata!N166,"missing: not provided"))),AND(IF(metadata!N166="",FALSE,IF(ISERROR(INT(metadata!N166)),FALSE,INT(metadata!N166)=metadata!N166)),metadata!N166&gt;0))</f>
        <v>0</v>
      </c>
      <c r="AQ166" t="b">
        <f>AND(IF(metadata!O166="",FALSE,TRUE),EXACT(metadata!O166,"Not applicable"))</f>
        <v>0</v>
      </c>
      <c r="AR166" t="b">
        <f>OR(AND(IF(metadata!P166="",FALSE,TRUE),OR(EXACT(metadata!P166,"not applicable"),EXACT(metadata!P166,"missing: not collected"),EXACT(metadata!P166,"missing: not provided"),EXACT(metadata!P166,"missing: restricted access"))),IF(metadata!P166="",FALSE,IF(ISERROR(INT(metadata!P166)),FALSE,INT(metadata!P166)=metadata!P166)))</f>
        <v>0</v>
      </c>
      <c r="AS166" t="b">
        <f>AND(IF(metadata!Q166="",FALSE,TRUE),EXACT(metadata!Q166,"Not applicable"))</f>
        <v>0</v>
      </c>
      <c r="AT166" t="b">
        <f>OR(AND(IF(metadata!R166="",FALSE,TRUE),OR(EXACT(metadata!R166,"not applicable"),EXACT(metadata!R166,"missing: not collected"),EXACT(metadata!R166,"missing: not provided"),EXACT(metadata!R166,"missing: restricted access"))),AND(IF(metadata!R166="",FALSE,ISNUMBER(VALUE(metadata!R166))),metadata!R166&gt;0))</f>
        <v>0</v>
      </c>
      <c r="AU166" t="b">
        <f>AND(IF(metadata!S166="",FALSE,TRUE),EXACT(metadata!S166,"missing: not provided"))</f>
        <v>0</v>
      </c>
    </row>
    <row r="167" spans="1:47" x14ac:dyDescent="0.2">
      <c r="A167" s="5" t="str">
        <f ca="1">IF(B167=" "," ",HYPERLINK(CONCATENATE("#metadata!",ADDRESS(INDEX($Y$2:$Y$1001,MATCH(ROWS($W$2:W167),$W$2:$W$1001,0),0),1)),INDEX($AB$2:$AB$1001,MATCH(ROWS($W$2:W167),$W$2:$W$1001,0),0)))</f>
        <v xml:space="preserve"> </v>
      </c>
      <c r="B167" s="4" t="str">
        <f ca="1">IF(OR(INDEX($X$2:$X$1001,MATCH(ROWS($W$2:W167),$W$2:$W$1001,0),1)&gt;=100000,INDEX($AD$1005:$AU$1005,1,MATCH(COLUMNS($AD$1006:AD1006),$AD$1006:$AU$1006,0))&gt;=100000), " ",IF(INDEX($AD$2:$AU$1001,MATCH(ROWS($W$2:W167),$W$2:$W$1001,0),MATCH(COLUMNS($AD$1006:AD1006),$AD$1006:$AU$1006,0)), HYPERLINK("#",""), HYPERLINK(CONCATENATE("#metadata!", ADDRESS(INDEX($Y$2:$Y$1001,MATCH(ROWS($W$2:W167),$W$2:$W$1001,0),0), INDEX($AD$1004:$AU$1004,1,MATCH(COLUMNS($AD$1006:AD1006),$AD$1006:$AU$1006,0)))),"Fix")))</f>
        <v xml:space="preserve"> </v>
      </c>
      <c r="C167" s="4" t="str">
        <f ca="1">IF(OR(INDEX($X$2:$X$1001,MATCH(ROWS($W$2:W167),$W$2:$W$1001,0),1)&gt;=100000,INDEX($AD$1005:$AU$1005,1,MATCH(COLUMNS($AD$1006:AE1006),$AD$1006:$AU$1006,0))&gt;=100000), " ",IF(INDEX($AD$2:$AU$1001,MATCH(ROWS($W$2:W167),$W$2:$W$1001,0),MATCH(COLUMNS($AD$1006:AE1006),$AD$1006:$AU$1006,0)), HYPERLINK("#",""), HYPERLINK(CONCATENATE("#metadata!", ADDRESS(INDEX($Y$2:$Y$1001,MATCH(ROWS($W$2:W167),$W$2:$W$1001,0),0), INDEX($AD$1004:$AU$1004,1,MATCH(COLUMNS($AD$1006:AE1006),$AD$1006:$AU$1006,0)))),"Fix")))</f>
        <v xml:space="preserve"> </v>
      </c>
      <c r="D167" s="4" t="str">
        <f ca="1">IF(OR(INDEX($X$2:$X$1001,MATCH(ROWS($W$2:W167),$W$2:$W$1001,0),1)&gt;=100000,INDEX($AD$1005:$AU$1005,1,MATCH(COLUMNS($AD$1006:AF1006),$AD$1006:$AU$1006,0))&gt;=100000), " ",IF(INDEX($AD$2:$AU$1001,MATCH(ROWS($W$2:W167),$W$2:$W$1001,0),MATCH(COLUMNS($AD$1006:AF1006),$AD$1006:$AU$1006,0)), HYPERLINK("#",""), HYPERLINK(CONCATENATE("#metadata!", ADDRESS(INDEX($Y$2:$Y$1001,MATCH(ROWS($W$2:W167),$W$2:$W$1001,0),0), INDEX($AD$1004:$AU$1004,1,MATCH(COLUMNS($AD$1006:AF1006),$AD$1006:$AU$1006,0)))),"Fix")))</f>
        <v xml:space="preserve"> </v>
      </c>
      <c r="E167" s="4" t="str">
        <f ca="1">IF(OR(INDEX($X$2:$X$1001,MATCH(ROWS($W$2:W167),$W$2:$W$1001,0),1)&gt;=100000,INDEX($AD$1005:$AU$1005,1,MATCH(COLUMNS($AD$1006:AG1006),$AD$1006:$AU$1006,0))&gt;=100000), " ",IF(INDEX($AD$2:$AU$1001,MATCH(ROWS($W$2:W167),$W$2:$W$1001,0),MATCH(COLUMNS($AD$1006:AG1006),$AD$1006:$AU$1006,0)), HYPERLINK("#",""), HYPERLINK(CONCATENATE("#metadata!", ADDRESS(INDEX($Y$2:$Y$1001,MATCH(ROWS($W$2:W167),$W$2:$W$1001,0),0), INDEX($AD$1004:$AU$1004,1,MATCH(COLUMNS($AD$1006:AG1006),$AD$1006:$AU$1006,0)))),"Fix")))</f>
        <v xml:space="preserve"> </v>
      </c>
      <c r="F167" s="4" t="str">
        <f ca="1">IF(OR(INDEX($X$2:$X$1001,MATCH(ROWS($W$2:W167),$W$2:$W$1001,0),1)&gt;=100000,INDEX($AD$1005:$AU$1005,1,MATCH(COLUMNS($AD$1006:AH1006),$AD$1006:$AU$1006,0))&gt;=100000), " ",IF(INDEX($AD$2:$AU$1001,MATCH(ROWS($W$2:W167),$W$2:$W$1001,0),MATCH(COLUMNS($AD$1006:AH1006),$AD$1006:$AU$1006,0)), HYPERLINK("#",""), HYPERLINK(CONCATENATE("#metadata!", ADDRESS(INDEX($Y$2:$Y$1001,MATCH(ROWS($W$2:W167),$W$2:$W$1001,0),0), INDEX($AD$1004:$AU$1004,1,MATCH(COLUMNS($AD$1006:AH1006),$AD$1006:$AU$1006,0)))),"Fix")))</f>
        <v xml:space="preserve"> </v>
      </c>
      <c r="G167" s="4" t="str">
        <f ca="1">IF(OR(INDEX($X$2:$X$1001,MATCH(ROWS($W$2:W167),$W$2:$W$1001,0),1)&gt;=100000,INDEX($AD$1005:$AU$1005,1,MATCH(COLUMNS($AD$1006:AI1006),$AD$1006:$AU$1006,0))&gt;=100000), " ",IF(INDEX($AD$2:$AU$1001,MATCH(ROWS($W$2:W167),$W$2:$W$1001,0),MATCH(COLUMNS($AD$1006:AI1006),$AD$1006:$AU$1006,0)), HYPERLINK("#",""), HYPERLINK(CONCATENATE("#metadata!", ADDRESS(INDEX($Y$2:$Y$1001,MATCH(ROWS($W$2:W167),$W$2:$W$1001,0),0), INDEX($AD$1004:$AU$1004,1,MATCH(COLUMNS($AD$1006:AI1006),$AD$1006:$AU$1006,0)))),"Fix")))</f>
        <v xml:space="preserve"> </v>
      </c>
      <c r="H167" s="4" t="str">
        <f ca="1">IF(OR(INDEX($X$2:$X$1001,MATCH(ROWS($W$2:W167),$W$2:$W$1001,0),1)&gt;=100000,INDEX($AD$1005:$AU$1005,1,MATCH(COLUMNS($AD$1006:AJ1006),$AD$1006:$AU$1006,0))&gt;=100000), " ",IF(INDEX($AD$2:$AU$1001,MATCH(ROWS($W$2:W167),$W$2:$W$1001,0),MATCH(COLUMNS($AD$1006:AJ1006),$AD$1006:$AU$1006,0)), HYPERLINK("#",""), HYPERLINK(CONCATENATE("#metadata!", ADDRESS(INDEX($Y$2:$Y$1001,MATCH(ROWS($W$2:W167),$W$2:$W$1001,0),0), INDEX($AD$1004:$AU$1004,1,MATCH(COLUMNS($AD$1006:AJ1006),$AD$1006:$AU$1006,0)))),"Fix")))</f>
        <v xml:space="preserve"> </v>
      </c>
      <c r="I167" s="4" t="str">
        <f ca="1">IF(OR(INDEX($X$2:$X$1001,MATCH(ROWS($W$2:W167),$W$2:$W$1001,0),1)&gt;=100000,INDEX($AD$1005:$AU$1005,1,MATCH(COLUMNS($AD$1006:AK1006),$AD$1006:$AU$1006,0))&gt;=100000), " ",IF(INDEX($AD$2:$AU$1001,MATCH(ROWS($W$2:W167),$W$2:$W$1001,0),MATCH(COLUMNS($AD$1006:AK1006),$AD$1006:$AU$1006,0)), HYPERLINK("#",""), HYPERLINK(CONCATENATE("#metadata!", ADDRESS(INDEX($Y$2:$Y$1001,MATCH(ROWS($W$2:W167),$W$2:$W$1001,0),0), INDEX($AD$1004:$AU$1004,1,MATCH(COLUMNS($AD$1006:AK1006),$AD$1006:$AU$1006,0)))),"Fix")))</f>
        <v xml:space="preserve"> </v>
      </c>
      <c r="J167" s="4" t="str">
        <f ca="1">IF(OR(INDEX($X$2:$X$1001,MATCH(ROWS($W$2:W167),$W$2:$W$1001,0),1)&gt;=100000,INDEX($AD$1005:$AU$1005,1,MATCH(COLUMNS($AD$1006:AL1006),$AD$1006:$AU$1006,0))&gt;=100000), " ",IF(INDEX($AD$2:$AU$1001,MATCH(ROWS($W$2:W167),$W$2:$W$1001,0),MATCH(COLUMNS($AD$1006:AL1006),$AD$1006:$AU$1006,0)), HYPERLINK("#",""), HYPERLINK(CONCATENATE("#metadata!", ADDRESS(INDEX($Y$2:$Y$1001,MATCH(ROWS($W$2:W167),$W$2:$W$1001,0),0), INDEX($AD$1004:$AU$1004,1,MATCH(COLUMNS($AD$1006:AL1006),$AD$1006:$AU$1006,0)))),"Fix")))</f>
        <v xml:space="preserve"> </v>
      </c>
      <c r="K167" s="4" t="str">
        <f ca="1">IF(OR(INDEX($X$2:$X$1001,MATCH(ROWS($W$2:W167),$W$2:$W$1001,0),1)&gt;=100000,INDEX($AD$1005:$AU$1005,1,MATCH(COLUMNS($AD$1006:AM1006),$AD$1006:$AU$1006,0))&gt;=100000), " ",IF(INDEX($AD$2:$AU$1001,MATCH(ROWS($W$2:W167),$W$2:$W$1001,0),MATCH(COLUMNS($AD$1006:AM1006),$AD$1006:$AU$1006,0)), HYPERLINK("#",""), HYPERLINK(CONCATENATE("#metadata!", ADDRESS(INDEX($Y$2:$Y$1001,MATCH(ROWS($W$2:W167),$W$2:$W$1001,0),0), INDEX($AD$1004:$AU$1004,1,MATCH(COLUMNS($AD$1006:AM1006),$AD$1006:$AU$1006,0)))),"Fix")))</f>
        <v xml:space="preserve"> </v>
      </c>
      <c r="L167" s="4" t="str">
        <f ca="1">IF(OR(INDEX($X$2:$X$1001,MATCH(ROWS($W$2:W167),$W$2:$W$1001,0),1)&gt;=100000,INDEX($AD$1005:$AU$1005,1,MATCH(COLUMNS($AD$1006:AN1006),$AD$1006:$AU$1006,0))&gt;=100000), " ",IF(INDEX($AD$2:$AU$1001,MATCH(ROWS($W$2:W167),$W$2:$W$1001,0),MATCH(COLUMNS($AD$1006:AN1006),$AD$1006:$AU$1006,0)), HYPERLINK("#",""), HYPERLINK(CONCATENATE("#metadata!", ADDRESS(INDEX($Y$2:$Y$1001,MATCH(ROWS($W$2:W167),$W$2:$W$1001,0),0), INDEX($AD$1004:$AU$1004,1,MATCH(COLUMNS($AD$1006:AN1006),$AD$1006:$AU$1006,0)))),"Fix")))</f>
        <v xml:space="preserve"> </v>
      </c>
      <c r="M167" s="4" t="str">
        <f ca="1">IF(OR(INDEX($X$2:$X$1001,MATCH(ROWS($W$2:W167),$W$2:$W$1001,0),1)&gt;=100000,INDEX($AD$1005:$AU$1005,1,MATCH(COLUMNS($AD$1006:AO1006),$AD$1006:$AU$1006,0))&gt;=100000), " ",IF(INDEX($AD$2:$AU$1001,MATCH(ROWS($W$2:W167),$W$2:$W$1001,0),MATCH(COLUMNS($AD$1006:AO1006),$AD$1006:$AU$1006,0)), HYPERLINK("#",""), HYPERLINK(CONCATENATE("#metadata!", ADDRESS(INDEX($Y$2:$Y$1001,MATCH(ROWS($W$2:W167),$W$2:$W$1001,0),0), INDEX($AD$1004:$AU$1004,1,MATCH(COLUMNS($AD$1006:AO1006),$AD$1006:$AU$1006,0)))),"Fix")))</f>
        <v xml:space="preserve"> </v>
      </c>
      <c r="N167" s="4" t="str">
        <f ca="1">IF(OR(INDEX($X$2:$X$1001,MATCH(ROWS($W$2:W167),$W$2:$W$1001,0),1)&gt;=100000,INDEX($AD$1005:$AU$1005,1,MATCH(COLUMNS($AD$1006:AP1006),$AD$1006:$AU$1006,0))&gt;=100000), " ",IF(INDEX($AD$2:$AU$1001,MATCH(ROWS($W$2:W167),$W$2:$W$1001,0),MATCH(COLUMNS($AD$1006:AP1006),$AD$1006:$AU$1006,0)), HYPERLINK("#",""), HYPERLINK(CONCATENATE("#metadata!", ADDRESS(INDEX($Y$2:$Y$1001,MATCH(ROWS($W$2:W167),$W$2:$W$1001,0),0), INDEX($AD$1004:$AU$1004,1,MATCH(COLUMNS($AD$1006:AP1006),$AD$1006:$AU$1006,0)))),"Fix")))</f>
        <v xml:space="preserve"> </v>
      </c>
      <c r="O167" s="4" t="str">
        <f ca="1">IF(OR(INDEX($X$2:$X$1001,MATCH(ROWS($W$2:W167),$W$2:$W$1001,0),1)&gt;=100000,INDEX($AD$1005:$AU$1005,1,MATCH(COLUMNS($AD$1006:AQ1006),$AD$1006:$AU$1006,0))&gt;=100000), " ",IF(INDEX($AD$2:$AU$1001,MATCH(ROWS($W$2:W167),$W$2:$W$1001,0),MATCH(COLUMNS($AD$1006:AQ1006),$AD$1006:$AU$1006,0)), HYPERLINK("#",""), HYPERLINK(CONCATENATE("#metadata!", ADDRESS(INDEX($Y$2:$Y$1001,MATCH(ROWS($W$2:W167),$W$2:$W$1001,0),0), INDEX($AD$1004:$AU$1004,1,MATCH(COLUMNS($AD$1006:AQ1006),$AD$1006:$AU$1006,0)))),"Fix")))</f>
        <v xml:space="preserve"> </v>
      </c>
      <c r="P167" s="4" t="str">
        <f ca="1">IF(OR(INDEX($X$2:$X$1001,MATCH(ROWS($W$2:W167),$W$2:$W$1001,0),1)&gt;=100000,INDEX($AD$1005:$AU$1005,1,MATCH(COLUMNS($AD$1006:AR1006),$AD$1006:$AU$1006,0))&gt;=100000), " ",IF(INDEX($AD$2:$AU$1001,MATCH(ROWS($W$2:W167),$W$2:$W$1001,0),MATCH(COLUMNS($AD$1006:AR1006),$AD$1006:$AU$1006,0)), HYPERLINK("#",""), HYPERLINK(CONCATENATE("#metadata!", ADDRESS(INDEX($Y$2:$Y$1001,MATCH(ROWS($W$2:W167),$W$2:$W$1001,0),0), INDEX($AD$1004:$AU$1004,1,MATCH(COLUMNS($AD$1006:AR1006),$AD$1006:$AU$1006,0)))),"Fix")))</f>
        <v xml:space="preserve"> </v>
      </c>
      <c r="Q167" s="4" t="str">
        <f ca="1">IF(OR(INDEX($X$2:$X$1001,MATCH(ROWS($W$2:W167),$W$2:$W$1001,0),1)&gt;=100000,INDEX($AD$1005:$AU$1005,1,MATCH(COLUMNS($AD$1006:AS1006),$AD$1006:$AU$1006,0))&gt;=100000), " ",IF(INDEX($AD$2:$AU$1001,MATCH(ROWS($W$2:W167),$W$2:$W$1001,0),MATCH(COLUMNS($AD$1006:AS1006),$AD$1006:$AU$1006,0)), HYPERLINK("#",""), HYPERLINK(CONCATENATE("#metadata!", ADDRESS(INDEX($Y$2:$Y$1001,MATCH(ROWS($W$2:W167),$W$2:$W$1001,0),0), INDEX($AD$1004:$AU$1004,1,MATCH(COLUMNS($AD$1006:AS1006),$AD$1006:$AU$1006,0)))),"Fix")))</f>
        <v xml:space="preserve"> </v>
      </c>
      <c r="R167" s="4" t="str">
        <f ca="1">IF(OR(INDEX($X$2:$X$1001,MATCH(ROWS($W$2:W167),$W$2:$W$1001,0),1)&gt;=100000,INDEX($AD$1005:$AU$1005,1,MATCH(COLUMNS($AD$1006:AT1006),$AD$1006:$AU$1006,0))&gt;=100000), " ",IF(INDEX($AD$2:$AU$1001,MATCH(ROWS($W$2:W167),$W$2:$W$1001,0),MATCH(COLUMNS($AD$1006:AT1006),$AD$1006:$AU$1006,0)), HYPERLINK("#",""), HYPERLINK(CONCATENATE("#metadata!", ADDRESS(INDEX($Y$2:$Y$1001,MATCH(ROWS($W$2:W167),$W$2:$W$1001,0),0), INDEX($AD$1004:$AU$1004,1,MATCH(COLUMNS($AD$1006:AT1006),$AD$1006:$AU$1006,0)))),"Fix")))</f>
        <v xml:space="preserve"> </v>
      </c>
      <c r="S167" s="4" t="str">
        <f ca="1">IF(OR(INDEX($X$2:$X$1001,MATCH(ROWS($W$2:W167),$W$2:$W$1001,0),1)&gt;=100000,INDEX($AD$1005:$AU$1005,1,MATCH(COLUMNS($AD$1006:AU1006),$AD$1006:$AU$1006,0))&gt;=100000), " ",IF(INDEX($AD$2:$AU$1001,MATCH(ROWS($W$2:W167),$W$2:$W$1001,0),MATCH(COLUMNS($AD$1006:AU1006),$AD$1006:$AU$1006,0)), HYPERLINK("#",""), HYPERLINK(CONCATENATE("#metadata!", ADDRESS(INDEX($Y$2:$Y$1001,MATCH(ROWS($W$2:W167),$W$2:$W$1001,0),0), INDEX($AD$1004:$AU$1004,1,MATCH(COLUMNS($AD$1006:AU1006),$AD$1006:$AU$1006,0)))),"Fix")))</f>
        <v xml:space="preserve"> </v>
      </c>
      <c r="W167">
        <v>166</v>
      </c>
      <c r="X167">
        <v>100167</v>
      </c>
      <c r="Y167">
        <v>167</v>
      </c>
      <c r="Z167" t="b">
        <f t="shared" si="2"/>
        <v>1</v>
      </c>
      <c r="AA167" t="b">
        <f>COUNTBLANK(metadata!B167:S167)=COLUMNS(metadata!B167:S167)</f>
        <v>1</v>
      </c>
      <c r="AB167" t="str">
        <v/>
      </c>
      <c r="AD167" t="b">
        <f ca="1">AND(IF(metadata!B167="",FALSE,TRUE),COUNTIF(metadata!B:B, metadata!B167) = 1,NOT(ISERROR(SUMPRODUCT(SEARCH(MID(metadata!B167,ROW(INDIRECT("1:"&amp;LEN(metadata!B167))), 1),"0123456789abcdefghijklmnopqrstuvwxyzABCDEFGHIJKLMNOPQRSTUVWXYZ.")))))</f>
        <v>0</v>
      </c>
      <c r="AE167" t="b">
        <f>OR(AND(IF(metadata!C167="",FALSE,TRUE),OR(EXACT(metadata!C167,"not applicable"),EXACT(metadata!C167,"missing: not collected"),EXACT(metadata!C167,"missing: not provided"),EXACT(metadata!C167,"missing: restricted access"))),AND(IF(metadata!C167="",FALSE,ISNUMBER(VALUE(metadata!C167))),metadata!C167&gt;0))</f>
        <v>0</v>
      </c>
      <c r="AF167" t="b">
        <f>AND(IF(metadata!D167="",FALSE,TRUE),EXACT(metadata!D167,"missing: not provided"))</f>
        <v>0</v>
      </c>
      <c r="AG167" t="b">
        <f>AND(IF(metadata!E167="",FALSE,TRUE),EXACT(metadata!E167,"Host-associated"))</f>
        <v>0</v>
      </c>
      <c r="AH167" t="b">
        <f>AND(IF(metadata!F167="",FALSE,TRUE),OR(EXACT(metadata!F167,"Animal"),EXACT(metadata!F167,"Fungus"),EXACT(metadata!F167,"Plant")))</f>
        <v>0</v>
      </c>
      <c r="AI167" t="b">
        <f>AND(IF(metadata!G167="",FALSE,TRUE),OR(EXACT(metadata!G167,"Plant secretion"),EXACT(metadata!G167,"Plant rhizosphere"),EXACT(metadata!G167,"Plant surface"),EXACT(metadata!G167,"Plant corpus"),EXACT(metadata!G167,"Fungus surface"),EXACT(metadata!G167,"Fungus corpus"),EXACT(metadata!G167,"Animal surface"),EXACT(metadata!G167,"Animal proximal gut"),EXACT(metadata!G167,"Animal corpus"),EXACT(metadata!G167,"Animal distal gut"),EXACT(metadata!G167,"Animal secretion")))</f>
        <v>0</v>
      </c>
      <c r="AJ167" t="b">
        <f>OR(AND(IF(metadata!H167="",FALSE,TRUE),OR(EXACT(metadata!H167,"missing: not collected"),EXACT(metadata!H167,"missing: not provided"),EXACT(metadata!H167,"missing: restricted access"))),AND(IF(metadata!H167="",FALSE,TRUE),OR(EXACT(metadata!H167,"organism-associated habitat"),EXACT(metadata!H167,"plant-associated habitat"),EXACT(metadata!H167,"animal-associated habitat"),EXACT(metadata!H167,"insecta-associated habitat"),EXACT(metadata!H167,"mammalia-associated habitat"),EXACT(metadata!H167,"human-associated habitat"),EXACT(metadata!H167,"livestock-associated habitat"))))</f>
        <v>0</v>
      </c>
      <c r="AK167" t="b">
        <f>AND(IF(metadata!I167="",FALSE,TRUE),EXACT(metadata!I167,"host-associated"))</f>
        <v>0</v>
      </c>
      <c r="AL167" t="b">
        <f>OR(AND(IF(metadata!J167="",FALSE,TRUE),OR(EXACT(metadata!J167,"not applicable"),EXACT(metadata!J167,"missing: not collected"),EXACT(metadata!J167,"missing: not provided"),EXACT(metadata!J167,"missing: restricted access"))),AND(IF(metadata!J167="",FALSE,ISNUMBER(VALUE(metadata!J167))),metadata!J167&gt;0))</f>
        <v>0</v>
      </c>
      <c r="AM167" t="b">
        <f>AND(IF(metadata!K167="",FALSE,TRUE),EXACT(metadata!K167,"missing: not provided"))</f>
        <v>0</v>
      </c>
      <c r="AN167" t="b">
        <f>IF(metadata!L167="",FALSE,TRUE)</f>
        <v>0</v>
      </c>
      <c r="AO167" t="b">
        <f>IF(metadata!M167="",FALSE,TRUE)</f>
        <v>0</v>
      </c>
      <c r="AP167" t="b">
        <f>OR(AND(IF(metadata!N167="",FALSE,TRUE),OR(EXACT(metadata!N167,"not applicable"),EXACT(metadata!N167,"missing: not collected"),EXACT(metadata!N167,"missing: not provided"))),AND(IF(metadata!N167="",FALSE,IF(ISERROR(INT(metadata!N167)),FALSE,INT(metadata!N167)=metadata!N167)),metadata!N167&gt;0))</f>
        <v>0</v>
      </c>
      <c r="AQ167" t="b">
        <f>AND(IF(metadata!O167="",FALSE,TRUE),EXACT(metadata!O167,"Not applicable"))</f>
        <v>0</v>
      </c>
      <c r="AR167" t="b">
        <f>OR(AND(IF(metadata!P167="",FALSE,TRUE),OR(EXACT(metadata!P167,"not applicable"),EXACT(metadata!P167,"missing: not collected"),EXACT(metadata!P167,"missing: not provided"),EXACT(metadata!P167,"missing: restricted access"))),IF(metadata!P167="",FALSE,IF(ISERROR(INT(metadata!P167)),FALSE,INT(metadata!P167)=metadata!P167)))</f>
        <v>0</v>
      </c>
      <c r="AS167" t="b">
        <f>AND(IF(metadata!Q167="",FALSE,TRUE),EXACT(metadata!Q167,"Not applicable"))</f>
        <v>0</v>
      </c>
      <c r="AT167" t="b">
        <f>OR(AND(IF(metadata!R167="",FALSE,TRUE),OR(EXACT(metadata!R167,"not applicable"),EXACT(metadata!R167,"missing: not collected"),EXACT(metadata!R167,"missing: not provided"),EXACT(metadata!R167,"missing: restricted access"))),AND(IF(metadata!R167="",FALSE,ISNUMBER(VALUE(metadata!R167))),metadata!R167&gt;0))</f>
        <v>0</v>
      </c>
      <c r="AU167" t="b">
        <f>AND(IF(metadata!S167="",FALSE,TRUE),EXACT(metadata!S167,"missing: not provided"))</f>
        <v>0</v>
      </c>
    </row>
    <row r="168" spans="1:47" x14ac:dyDescent="0.2">
      <c r="A168" s="5" t="str">
        <f ca="1">IF(B168=" "," ",HYPERLINK(CONCATENATE("#metadata!",ADDRESS(INDEX($Y$2:$Y$1001,MATCH(ROWS($W$2:W168),$W$2:$W$1001,0),0),1)),INDEX($AB$2:$AB$1001,MATCH(ROWS($W$2:W168),$W$2:$W$1001,0),0)))</f>
        <v xml:space="preserve"> </v>
      </c>
      <c r="B168" s="4" t="str">
        <f ca="1">IF(OR(INDEX($X$2:$X$1001,MATCH(ROWS($W$2:W168),$W$2:$W$1001,0),1)&gt;=100000,INDEX($AD$1005:$AU$1005,1,MATCH(COLUMNS($AD$1006:AD1006),$AD$1006:$AU$1006,0))&gt;=100000), " ",IF(INDEX($AD$2:$AU$1001,MATCH(ROWS($W$2:W168),$W$2:$W$1001,0),MATCH(COLUMNS($AD$1006:AD1006),$AD$1006:$AU$1006,0)), HYPERLINK("#",""), HYPERLINK(CONCATENATE("#metadata!", ADDRESS(INDEX($Y$2:$Y$1001,MATCH(ROWS($W$2:W168),$W$2:$W$1001,0),0), INDEX($AD$1004:$AU$1004,1,MATCH(COLUMNS($AD$1006:AD1006),$AD$1006:$AU$1006,0)))),"Fix")))</f>
        <v xml:space="preserve"> </v>
      </c>
      <c r="C168" s="4" t="str">
        <f ca="1">IF(OR(INDEX($X$2:$X$1001,MATCH(ROWS($W$2:W168),$W$2:$W$1001,0),1)&gt;=100000,INDEX($AD$1005:$AU$1005,1,MATCH(COLUMNS($AD$1006:AE1006),$AD$1006:$AU$1006,0))&gt;=100000), " ",IF(INDEX($AD$2:$AU$1001,MATCH(ROWS($W$2:W168),$W$2:$W$1001,0),MATCH(COLUMNS($AD$1006:AE1006),$AD$1006:$AU$1006,0)), HYPERLINK("#",""), HYPERLINK(CONCATENATE("#metadata!", ADDRESS(INDEX($Y$2:$Y$1001,MATCH(ROWS($W$2:W168),$W$2:$W$1001,0),0), INDEX($AD$1004:$AU$1004,1,MATCH(COLUMNS($AD$1006:AE1006),$AD$1006:$AU$1006,0)))),"Fix")))</f>
        <v xml:space="preserve"> </v>
      </c>
      <c r="D168" s="4" t="str">
        <f ca="1">IF(OR(INDEX($X$2:$X$1001,MATCH(ROWS($W$2:W168),$W$2:$W$1001,0),1)&gt;=100000,INDEX($AD$1005:$AU$1005,1,MATCH(COLUMNS($AD$1006:AF1006),$AD$1006:$AU$1006,0))&gt;=100000), " ",IF(INDEX($AD$2:$AU$1001,MATCH(ROWS($W$2:W168),$W$2:$W$1001,0),MATCH(COLUMNS($AD$1006:AF1006),$AD$1006:$AU$1006,0)), HYPERLINK("#",""), HYPERLINK(CONCATENATE("#metadata!", ADDRESS(INDEX($Y$2:$Y$1001,MATCH(ROWS($W$2:W168),$W$2:$W$1001,0),0), INDEX($AD$1004:$AU$1004,1,MATCH(COLUMNS($AD$1006:AF1006),$AD$1006:$AU$1006,0)))),"Fix")))</f>
        <v xml:space="preserve"> </v>
      </c>
      <c r="E168" s="4" t="str">
        <f ca="1">IF(OR(INDEX($X$2:$X$1001,MATCH(ROWS($W$2:W168),$W$2:$W$1001,0),1)&gt;=100000,INDEX($AD$1005:$AU$1005,1,MATCH(COLUMNS($AD$1006:AG1006),$AD$1006:$AU$1006,0))&gt;=100000), " ",IF(INDEX($AD$2:$AU$1001,MATCH(ROWS($W$2:W168),$W$2:$W$1001,0),MATCH(COLUMNS($AD$1006:AG1006),$AD$1006:$AU$1006,0)), HYPERLINK("#",""), HYPERLINK(CONCATENATE("#metadata!", ADDRESS(INDEX($Y$2:$Y$1001,MATCH(ROWS($W$2:W168),$W$2:$W$1001,0),0), INDEX($AD$1004:$AU$1004,1,MATCH(COLUMNS($AD$1006:AG1006),$AD$1006:$AU$1006,0)))),"Fix")))</f>
        <v xml:space="preserve"> </v>
      </c>
      <c r="F168" s="4" t="str">
        <f ca="1">IF(OR(INDEX($X$2:$X$1001,MATCH(ROWS($W$2:W168),$W$2:$W$1001,0),1)&gt;=100000,INDEX($AD$1005:$AU$1005,1,MATCH(COLUMNS($AD$1006:AH1006),$AD$1006:$AU$1006,0))&gt;=100000), " ",IF(INDEX($AD$2:$AU$1001,MATCH(ROWS($W$2:W168),$W$2:$W$1001,0),MATCH(COLUMNS($AD$1006:AH1006),$AD$1006:$AU$1006,0)), HYPERLINK("#",""), HYPERLINK(CONCATENATE("#metadata!", ADDRESS(INDEX($Y$2:$Y$1001,MATCH(ROWS($W$2:W168),$W$2:$W$1001,0),0), INDEX($AD$1004:$AU$1004,1,MATCH(COLUMNS($AD$1006:AH1006),$AD$1006:$AU$1006,0)))),"Fix")))</f>
        <v xml:space="preserve"> </v>
      </c>
      <c r="G168" s="4" t="str">
        <f ca="1">IF(OR(INDEX($X$2:$X$1001,MATCH(ROWS($W$2:W168),$W$2:$W$1001,0),1)&gt;=100000,INDEX($AD$1005:$AU$1005,1,MATCH(COLUMNS($AD$1006:AI1006),$AD$1006:$AU$1006,0))&gt;=100000), " ",IF(INDEX($AD$2:$AU$1001,MATCH(ROWS($W$2:W168),$W$2:$W$1001,0),MATCH(COLUMNS($AD$1006:AI1006),$AD$1006:$AU$1006,0)), HYPERLINK("#",""), HYPERLINK(CONCATENATE("#metadata!", ADDRESS(INDEX($Y$2:$Y$1001,MATCH(ROWS($W$2:W168),$W$2:$W$1001,0),0), INDEX($AD$1004:$AU$1004,1,MATCH(COLUMNS($AD$1006:AI1006),$AD$1006:$AU$1006,0)))),"Fix")))</f>
        <v xml:space="preserve"> </v>
      </c>
      <c r="H168" s="4" t="str">
        <f ca="1">IF(OR(INDEX($X$2:$X$1001,MATCH(ROWS($W$2:W168),$W$2:$W$1001,0),1)&gt;=100000,INDEX($AD$1005:$AU$1005,1,MATCH(COLUMNS($AD$1006:AJ1006),$AD$1006:$AU$1006,0))&gt;=100000), " ",IF(INDEX($AD$2:$AU$1001,MATCH(ROWS($W$2:W168),$W$2:$W$1001,0),MATCH(COLUMNS($AD$1006:AJ1006),$AD$1006:$AU$1006,0)), HYPERLINK("#",""), HYPERLINK(CONCATENATE("#metadata!", ADDRESS(INDEX($Y$2:$Y$1001,MATCH(ROWS($W$2:W168),$W$2:$W$1001,0),0), INDEX($AD$1004:$AU$1004,1,MATCH(COLUMNS($AD$1006:AJ1006),$AD$1006:$AU$1006,0)))),"Fix")))</f>
        <v xml:space="preserve"> </v>
      </c>
      <c r="I168" s="4" t="str">
        <f ca="1">IF(OR(INDEX($X$2:$X$1001,MATCH(ROWS($W$2:W168),$W$2:$W$1001,0),1)&gt;=100000,INDEX($AD$1005:$AU$1005,1,MATCH(COLUMNS($AD$1006:AK1006),$AD$1006:$AU$1006,0))&gt;=100000), " ",IF(INDEX($AD$2:$AU$1001,MATCH(ROWS($W$2:W168),$W$2:$W$1001,0),MATCH(COLUMNS($AD$1006:AK1006),$AD$1006:$AU$1006,0)), HYPERLINK("#",""), HYPERLINK(CONCATENATE("#metadata!", ADDRESS(INDEX($Y$2:$Y$1001,MATCH(ROWS($W$2:W168),$W$2:$W$1001,0),0), INDEX($AD$1004:$AU$1004,1,MATCH(COLUMNS($AD$1006:AK1006),$AD$1006:$AU$1006,0)))),"Fix")))</f>
        <v xml:space="preserve"> </v>
      </c>
      <c r="J168" s="4" t="str">
        <f ca="1">IF(OR(INDEX($X$2:$X$1001,MATCH(ROWS($W$2:W168),$W$2:$W$1001,0),1)&gt;=100000,INDEX($AD$1005:$AU$1005,1,MATCH(COLUMNS($AD$1006:AL1006),$AD$1006:$AU$1006,0))&gt;=100000), " ",IF(INDEX($AD$2:$AU$1001,MATCH(ROWS($W$2:W168),$W$2:$W$1001,0),MATCH(COLUMNS($AD$1006:AL1006),$AD$1006:$AU$1006,0)), HYPERLINK("#",""), HYPERLINK(CONCATENATE("#metadata!", ADDRESS(INDEX($Y$2:$Y$1001,MATCH(ROWS($W$2:W168),$W$2:$W$1001,0),0), INDEX($AD$1004:$AU$1004,1,MATCH(COLUMNS($AD$1006:AL1006),$AD$1006:$AU$1006,0)))),"Fix")))</f>
        <v xml:space="preserve"> </v>
      </c>
      <c r="K168" s="4" t="str">
        <f ca="1">IF(OR(INDEX($X$2:$X$1001,MATCH(ROWS($W$2:W168),$W$2:$W$1001,0),1)&gt;=100000,INDEX($AD$1005:$AU$1005,1,MATCH(COLUMNS($AD$1006:AM1006),$AD$1006:$AU$1006,0))&gt;=100000), " ",IF(INDEX($AD$2:$AU$1001,MATCH(ROWS($W$2:W168),$W$2:$W$1001,0),MATCH(COLUMNS($AD$1006:AM1006),$AD$1006:$AU$1006,0)), HYPERLINK("#",""), HYPERLINK(CONCATENATE("#metadata!", ADDRESS(INDEX($Y$2:$Y$1001,MATCH(ROWS($W$2:W168),$W$2:$W$1001,0),0), INDEX($AD$1004:$AU$1004,1,MATCH(COLUMNS($AD$1006:AM1006),$AD$1006:$AU$1006,0)))),"Fix")))</f>
        <v xml:space="preserve"> </v>
      </c>
      <c r="L168" s="4" t="str">
        <f ca="1">IF(OR(INDEX($X$2:$X$1001,MATCH(ROWS($W$2:W168),$W$2:$W$1001,0),1)&gt;=100000,INDEX($AD$1005:$AU$1005,1,MATCH(COLUMNS($AD$1006:AN1006),$AD$1006:$AU$1006,0))&gt;=100000), " ",IF(INDEX($AD$2:$AU$1001,MATCH(ROWS($W$2:W168),$W$2:$W$1001,0),MATCH(COLUMNS($AD$1006:AN1006),$AD$1006:$AU$1006,0)), HYPERLINK("#",""), HYPERLINK(CONCATENATE("#metadata!", ADDRESS(INDEX($Y$2:$Y$1001,MATCH(ROWS($W$2:W168),$W$2:$W$1001,0),0), INDEX($AD$1004:$AU$1004,1,MATCH(COLUMNS($AD$1006:AN1006),$AD$1006:$AU$1006,0)))),"Fix")))</f>
        <v xml:space="preserve"> </v>
      </c>
      <c r="M168" s="4" t="str">
        <f ca="1">IF(OR(INDEX($X$2:$X$1001,MATCH(ROWS($W$2:W168),$W$2:$W$1001,0),1)&gt;=100000,INDEX($AD$1005:$AU$1005,1,MATCH(COLUMNS($AD$1006:AO1006),$AD$1006:$AU$1006,0))&gt;=100000), " ",IF(INDEX($AD$2:$AU$1001,MATCH(ROWS($W$2:W168),$W$2:$W$1001,0),MATCH(COLUMNS($AD$1006:AO1006),$AD$1006:$AU$1006,0)), HYPERLINK("#",""), HYPERLINK(CONCATENATE("#metadata!", ADDRESS(INDEX($Y$2:$Y$1001,MATCH(ROWS($W$2:W168),$W$2:$W$1001,0),0), INDEX($AD$1004:$AU$1004,1,MATCH(COLUMNS($AD$1006:AO1006),$AD$1006:$AU$1006,0)))),"Fix")))</f>
        <v xml:space="preserve"> </v>
      </c>
      <c r="N168" s="4" t="str">
        <f ca="1">IF(OR(INDEX($X$2:$X$1001,MATCH(ROWS($W$2:W168),$W$2:$W$1001,0),1)&gt;=100000,INDEX($AD$1005:$AU$1005,1,MATCH(COLUMNS($AD$1006:AP1006),$AD$1006:$AU$1006,0))&gt;=100000), " ",IF(INDEX($AD$2:$AU$1001,MATCH(ROWS($W$2:W168),$W$2:$W$1001,0),MATCH(COLUMNS($AD$1006:AP1006),$AD$1006:$AU$1006,0)), HYPERLINK("#",""), HYPERLINK(CONCATENATE("#metadata!", ADDRESS(INDEX($Y$2:$Y$1001,MATCH(ROWS($W$2:W168),$W$2:$W$1001,0),0), INDEX($AD$1004:$AU$1004,1,MATCH(COLUMNS($AD$1006:AP1006),$AD$1006:$AU$1006,0)))),"Fix")))</f>
        <v xml:space="preserve"> </v>
      </c>
      <c r="O168" s="4" t="str">
        <f ca="1">IF(OR(INDEX($X$2:$X$1001,MATCH(ROWS($W$2:W168),$W$2:$W$1001,0),1)&gt;=100000,INDEX($AD$1005:$AU$1005,1,MATCH(COLUMNS($AD$1006:AQ1006),$AD$1006:$AU$1006,0))&gt;=100000), " ",IF(INDEX($AD$2:$AU$1001,MATCH(ROWS($W$2:W168),$W$2:$W$1001,0),MATCH(COLUMNS($AD$1006:AQ1006),$AD$1006:$AU$1006,0)), HYPERLINK("#",""), HYPERLINK(CONCATENATE("#metadata!", ADDRESS(INDEX($Y$2:$Y$1001,MATCH(ROWS($W$2:W168),$W$2:$W$1001,0),0), INDEX($AD$1004:$AU$1004,1,MATCH(COLUMNS($AD$1006:AQ1006),$AD$1006:$AU$1006,0)))),"Fix")))</f>
        <v xml:space="preserve"> </v>
      </c>
      <c r="P168" s="4" t="str">
        <f ca="1">IF(OR(INDEX($X$2:$X$1001,MATCH(ROWS($W$2:W168),$W$2:$W$1001,0),1)&gt;=100000,INDEX($AD$1005:$AU$1005,1,MATCH(COLUMNS($AD$1006:AR1006),$AD$1006:$AU$1006,0))&gt;=100000), " ",IF(INDEX($AD$2:$AU$1001,MATCH(ROWS($W$2:W168),$W$2:$W$1001,0),MATCH(COLUMNS($AD$1006:AR1006),$AD$1006:$AU$1006,0)), HYPERLINK("#",""), HYPERLINK(CONCATENATE("#metadata!", ADDRESS(INDEX($Y$2:$Y$1001,MATCH(ROWS($W$2:W168),$W$2:$W$1001,0),0), INDEX($AD$1004:$AU$1004,1,MATCH(COLUMNS($AD$1006:AR1006),$AD$1006:$AU$1006,0)))),"Fix")))</f>
        <v xml:space="preserve"> </v>
      </c>
      <c r="Q168" s="4" t="str">
        <f ca="1">IF(OR(INDEX($X$2:$X$1001,MATCH(ROWS($W$2:W168),$W$2:$W$1001,0),1)&gt;=100000,INDEX($AD$1005:$AU$1005,1,MATCH(COLUMNS($AD$1006:AS1006),$AD$1006:$AU$1006,0))&gt;=100000), " ",IF(INDEX($AD$2:$AU$1001,MATCH(ROWS($W$2:W168),$W$2:$W$1001,0),MATCH(COLUMNS($AD$1006:AS1006),$AD$1006:$AU$1006,0)), HYPERLINK("#",""), HYPERLINK(CONCATENATE("#metadata!", ADDRESS(INDEX($Y$2:$Y$1001,MATCH(ROWS($W$2:W168),$W$2:$W$1001,0),0), INDEX($AD$1004:$AU$1004,1,MATCH(COLUMNS($AD$1006:AS1006),$AD$1006:$AU$1006,0)))),"Fix")))</f>
        <v xml:space="preserve"> </v>
      </c>
      <c r="R168" s="4" t="str">
        <f ca="1">IF(OR(INDEX($X$2:$X$1001,MATCH(ROWS($W$2:W168),$W$2:$W$1001,0),1)&gt;=100000,INDEX($AD$1005:$AU$1005,1,MATCH(COLUMNS($AD$1006:AT1006),$AD$1006:$AU$1006,0))&gt;=100000), " ",IF(INDEX($AD$2:$AU$1001,MATCH(ROWS($W$2:W168),$W$2:$W$1001,0),MATCH(COLUMNS($AD$1006:AT1006),$AD$1006:$AU$1006,0)), HYPERLINK("#",""), HYPERLINK(CONCATENATE("#metadata!", ADDRESS(INDEX($Y$2:$Y$1001,MATCH(ROWS($W$2:W168),$W$2:$W$1001,0),0), INDEX($AD$1004:$AU$1004,1,MATCH(COLUMNS($AD$1006:AT1006),$AD$1006:$AU$1006,0)))),"Fix")))</f>
        <v xml:space="preserve"> </v>
      </c>
      <c r="S168" s="4" t="str">
        <f ca="1">IF(OR(INDEX($X$2:$X$1001,MATCH(ROWS($W$2:W168),$W$2:$W$1001,0),1)&gt;=100000,INDEX($AD$1005:$AU$1005,1,MATCH(COLUMNS($AD$1006:AU1006),$AD$1006:$AU$1006,0))&gt;=100000), " ",IF(INDEX($AD$2:$AU$1001,MATCH(ROWS($W$2:W168),$W$2:$W$1001,0),MATCH(COLUMNS($AD$1006:AU1006),$AD$1006:$AU$1006,0)), HYPERLINK("#",""), HYPERLINK(CONCATENATE("#metadata!", ADDRESS(INDEX($Y$2:$Y$1001,MATCH(ROWS($W$2:W168),$W$2:$W$1001,0),0), INDEX($AD$1004:$AU$1004,1,MATCH(COLUMNS($AD$1006:AU1006),$AD$1006:$AU$1006,0)))),"Fix")))</f>
        <v xml:space="preserve"> </v>
      </c>
      <c r="W168">
        <v>167</v>
      </c>
      <c r="X168">
        <v>100168</v>
      </c>
      <c r="Y168">
        <v>168</v>
      </c>
      <c r="Z168" t="b">
        <f t="shared" si="2"/>
        <v>1</v>
      </c>
      <c r="AA168" t="b">
        <f>COUNTBLANK(metadata!B168:S168)=COLUMNS(metadata!B168:S168)</f>
        <v>1</v>
      </c>
      <c r="AB168" t="str">
        <v/>
      </c>
      <c r="AD168" t="b">
        <f ca="1">AND(IF(metadata!B168="",FALSE,TRUE),COUNTIF(metadata!B:B, metadata!B168) = 1,NOT(ISERROR(SUMPRODUCT(SEARCH(MID(metadata!B168,ROW(INDIRECT("1:"&amp;LEN(metadata!B168))), 1),"0123456789abcdefghijklmnopqrstuvwxyzABCDEFGHIJKLMNOPQRSTUVWXYZ.")))))</f>
        <v>0</v>
      </c>
      <c r="AE168" t="b">
        <f>OR(AND(IF(metadata!C168="",FALSE,TRUE),OR(EXACT(metadata!C168,"not applicable"),EXACT(metadata!C168,"missing: not collected"),EXACT(metadata!C168,"missing: not provided"),EXACT(metadata!C168,"missing: restricted access"))),AND(IF(metadata!C168="",FALSE,ISNUMBER(VALUE(metadata!C168))),metadata!C168&gt;0))</f>
        <v>0</v>
      </c>
      <c r="AF168" t="b">
        <f>AND(IF(metadata!D168="",FALSE,TRUE),EXACT(metadata!D168,"missing: not provided"))</f>
        <v>0</v>
      </c>
      <c r="AG168" t="b">
        <f>AND(IF(metadata!E168="",FALSE,TRUE),EXACT(metadata!E168,"Host-associated"))</f>
        <v>0</v>
      </c>
      <c r="AH168" t="b">
        <f>AND(IF(metadata!F168="",FALSE,TRUE),OR(EXACT(metadata!F168,"Animal"),EXACT(metadata!F168,"Fungus"),EXACT(metadata!F168,"Plant")))</f>
        <v>0</v>
      </c>
      <c r="AI168" t="b">
        <f>AND(IF(metadata!G168="",FALSE,TRUE),OR(EXACT(metadata!G168,"Plant secretion"),EXACT(metadata!G168,"Plant rhizosphere"),EXACT(metadata!G168,"Plant surface"),EXACT(metadata!G168,"Plant corpus"),EXACT(metadata!G168,"Fungus surface"),EXACT(metadata!G168,"Fungus corpus"),EXACT(metadata!G168,"Animal surface"),EXACT(metadata!G168,"Animal proximal gut"),EXACT(metadata!G168,"Animal corpus"),EXACT(metadata!G168,"Animal distal gut"),EXACT(metadata!G168,"Animal secretion")))</f>
        <v>0</v>
      </c>
      <c r="AJ168" t="b">
        <f>OR(AND(IF(metadata!H168="",FALSE,TRUE),OR(EXACT(metadata!H168,"missing: not collected"),EXACT(metadata!H168,"missing: not provided"),EXACT(metadata!H168,"missing: restricted access"))),AND(IF(metadata!H168="",FALSE,TRUE),OR(EXACT(metadata!H168,"organism-associated habitat"),EXACT(metadata!H168,"plant-associated habitat"),EXACT(metadata!H168,"animal-associated habitat"),EXACT(metadata!H168,"insecta-associated habitat"),EXACT(metadata!H168,"mammalia-associated habitat"),EXACT(metadata!H168,"human-associated habitat"),EXACT(metadata!H168,"livestock-associated habitat"))))</f>
        <v>0</v>
      </c>
      <c r="AK168" t="b">
        <f>AND(IF(metadata!I168="",FALSE,TRUE),EXACT(metadata!I168,"host-associated"))</f>
        <v>0</v>
      </c>
      <c r="AL168" t="b">
        <f>OR(AND(IF(metadata!J168="",FALSE,TRUE),OR(EXACT(metadata!J168,"not applicable"),EXACT(metadata!J168,"missing: not collected"),EXACT(metadata!J168,"missing: not provided"),EXACT(metadata!J168,"missing: restricted access"))),AND(IF(metadata!J168="",FALSE,ISNUMBER(VALUE(metadata!J168))),metadata!J168&gt;0))</f>
        <v>0</v>
      </c>
      <c r="AM168" t="b">
        <f>AND(IF(metadata!K168="",FALSE,TRUE),EXACT(metadata!K168,"missing: not provided"))</f>
        <v>0</v>
      </c>
      <c r="AN168" t="b">
        <f>IF(metadata!L168="",FALSE,TRUE)</f>
        <v>0</v>
      </c>
      <c r="AO168" t="b">
        <f>IF(metadata!M168="",FALSE,TRUE)</f>
        <v>0</v>
      </c>
      <c r="AP168" t="b">
        <f>OR(AND(IF(metadata!N168="",FALSE,TRUE),OR(EXACT(metadata!N168,"not applicable"),EXACT(metadata!N168,"missing: not collected"),EXACT(metadata!N168,"missing: not provided"))),AND(IF(metadata!N168="",FALSE,IF(ISERROR(INT(metadata!N168)),FALSE,INT(metadata!N168)=metadata!N168)),metadata!N168&gt;0))</f>
        <v>0</v>
      </c>
      <c r="AQ168" t="b">
        <f>AND(IF(metadata!O168="",FALSE,TRUE),EXACT(metadata!O168,"Not applicable"))</f>
        <v>0</v>
      </c>
      <c r="AR168" t="b">
        <f>OR(AND(IF(metadata!P168="",FALSE,TRUE),OR(EXACT(metadata!P168,"not applicable"),EXACT(metadata!P168,"missing: not collected"),EXACT(metadata!P168,"missing: not provided"),EXACT(metadata!P168,"missing: restricted access"))),IF(metadata!P168="",FALSE,IF(ISERROR(INT(metadata!P168)),FALSE,INT(metadata!P168)=metadata!P168)))</f>
        <v>0</v>
      </c>
      <c r="AS168" t="b">
        <f>AND(IF(metadata!Q168="",FALSE,TRUE),EXACT(metadata!Q168,"Not applicable"))</f>
        <v>0</v>
      </c>
      <c r="AT168" t="b">
        <f>OR(AND(IF(metadata!R168="",FALSE,TRUE),OR(EXACT(metadata!R168,"not applicable"),EXACT(metadata!R168,"missing: not collected"),EXACT(metadata!R168,"missing: not provided"),EXACT(metadata!R168,"missing: restricted access"))),AND(IF(metadata!R168="",FALSE,ISNUMBER(VALUE(metadata!R168))),metadata!R168&gt;0))</f>
        <v>0</v>
      </c>
      <c r="AU168" t="b">
        <f>AND(IF(metadata!S168="",FALSE,TRUE),EXACT(metadata!S168,"missing: not provided"))</f>
        <v>0</v>
      </c>
    </row>
    <row r="169" spans="1:47" x14ac:dyDescent="0.2">
      <c r="A169" s="5" t="str">
        <f ca="1">IF(B169=" "," ",HYPERLINK(CONCATENATE("#metadata!",ADDRESS(INDEX($Y$2:$Y$1001,MATCH(ROWS($W$2:W169),$W$2:$W$1001,0),0),1)),INDEX($AB$2:$AB$1001,MATCH(ROWS($W$2:W169),$W$2:$W$1001,0),0)))</f>
        <v xml:space="preserve"> </v>
      </c>
      <c r="B169" s="4" t="str">
        <f ca="1">IF(OR(INDEX($X$2:$X$1001,MATCH(ROWS($W$2:W169),$W$2:$W$1001,0),1)&gt;=100000,INDEX($AD$1005:$AU$1005,1,MATCH(COLUMNS($AD$1006:AD1006),$AD$1006:$AU$1006,0))&gt;=100000), " ",IF(INDEX($AD$2:$AU$1001,MATCH(ROWS($W$2:W169),$W$2:$W$1001,0),MATCH(COLUMNS($AD$1006:AD1006),$AD$1006:$AU$1006,0)), HYPERLINK("#",""), HYPERLINK(CONCATENATE("#metadata!", ADDRESS(INDEX($Y$2:$Y$1001,MATCH(ROWS($W$2:W169),$W$2:$W$1001,0),0), INDEX($AD$1004:$AU$1004,1,MATCH(COLUMNS($AD$1006:AD1006),$AD$1006:$AU$1006,0)))),"Fix")))</f>
        <v xml:space="preserve"> </v>
      </c>
      <c r="C169" s="4" t="str">
        <f ca="1">IF(OR(INDEX($X$2:$X$1001,MATCH(ROWS($W$2:W169),$W$2:$W$1001,0),1)&gt;=100000,INDEX($AD$1005:$AU$1005,1,MATCH(COLUMNS($AD$1006:AE1006),$AD$1006:$AU$1006,0))&gt;=100000), " ",IF(INDEX($AD$2:$AU$1001,MATCH(ROWS($W$2:W169),$W$2:$W$1001,0),MATCH(COLUMNS($AD$1006:AE1006),$AD$1006:$AU$1006,0)), HYPERLINK("#",""), HYPERLINK(CONCATENATE("#metadata!", ADDRESS(INDEX($Y$2:$Y$1001,MATCH(ROWS($W$2:W169),$W$2:$W$1001,0),0), INDEX($AD$1004:$AU$1004,1,MATCH(COLUMNS($AD$1006:AE1006),$AD$1006:$AU$1006,0)))),"Fix")))</f>
        <v xml:space="preserve"> </v>
      </c>
      <c r="D169" s="4" t="str">
        <f ca="1">IF(OR(INDEX($X$2:$X$1001,MATCH(ROWS($W$2:W169),$W$2:$W$1001,0),1)&gt;=100000,INDEX($AD$1005:$AU$1005,1,MATCH(COLUMNS($AD$1006:AF1006),$AD$1006:$AU$1006,0))&gt;=100000), " ",IF(INDEX($AD$2:$AU$1001,MATCH(ROWS($W$2:W169),$W$2:$W$1001,0),MATCH(COLUMNS($AD$1006:AF1006),$AD$1006:$AU$1006,0)), HYPERLINK("#",""), HYPERLINK(CONCATENATE("#metadata!", ADDRESS(INDEX($Y$2:$Y$1001,MATCH(ROWS($W$2:W169),$W$2:$W$1001,0),0), INDEX($AD$1004:$AU$1004,1,MATCH(COLUMNS($AD$1006:AF1006),$AD$1006:$AU$1006,0)))),"Fix")))</f>
        <v xml:space="preserve"> </v>
      </c>
      <c r="E169" s="4" t="str">
        <f ca="1">IF(OR(INDEX($X$2:$X$1001,MATCH(ROWS($W$2:W169),$W$2:$W$1001,0),1)&gt;=100000,INDEX($AD$1005:$AU$1005,1,MATCH(COLUMNS($AD$1006:AG1006),$AD$1006:$AU$1006,0))&gt;=100000), " ",IF(INDEX($AD$2:$AU$1001,MATCH(ROWS($W$2:W169),$W$2:$W$1001,0),MATCH(COLUMNS($AD$1006:AG1006),$AD$1006:$AU$1006,0)), HYPERLINK("#",""), HYPERLINK(CONCATENATE("#metadata!", ADDRESS(INDEX($Y$2:$Y$1001,MATCH(ROWS($W$2:W169),$W$2:$W$1001,0),0), INDEX($AD$1004:$AU$1004,1,MATCH(COLUMNS($AD$1006:AG1006),$AD$1006:$AU$1006,0)))),"Fix")))</f>
        <v xml:space="preserve"> </v>
      </c>
      <c r="F169" s="4" t="str">
        <f ca="1">IF(OR(INDEX($X$2:$X$1001,MATCH(ROWS($W$2:W169),$W$2:$W$1001,0),1)&gt;=100000,INDEX($AD$1005:$AU$1005,1,MATCH(COLUMNS($AD$1006:AH1006),$AD$1006:$AU$1006,0))&gt;=100000), " ",IF(INDEX($AD$2:$AU$1001,MATCH(ROWS($W$2:W169),$W$2:$W$1001,0),MATCH(COLUMNS($AD$1006:AH1006),$AD$1006:$AU$1006,0)), HYPERLINK("#",""), HYPERLINK(CONCATENATE("#metadata!", ADDRESS(INDEX($Y$2:$Y$1001,MATCH(ROWS($W$2:W169),$W$2:$W$1001,0),0), INDEX($AD$1004:$AU$1004,1,MATCH(COLUMNS($AD$1006:AH1006),$AD$1006:$AU$1006,0)))),"Fix")))</f>
        <v xml:space="preserve"> </v>
      </c>
      <c r="G169" s="4" t="str">
        <f ca="1">IF(OR(INDEX($X$2:$X$1001,MATCH(ROWS($W$2:W169),$W$2:$W$1001,0),1)&gt;=100000,INDEX($AD$1005:$AU$1005,1,MATCH(COLUMNS($AD$1006:AI1006),$AD$1006:$AU$1006,0))&gt;=100000), " ",IF(INDEX($AD$2:$AU$1001,MATCH(ROWS($W$2:W169),$W$2:$W$1001,0),MATCH(COLUMNS($AD$1006:AI1006),$AD$1006:$AU$1006,0)), HYPERLINK("#",""), HYPERLINK(CONCATENATE("#metadata!", ADDRESS(INDEX($Y$2:$Y$1001,MATCH(ROWS($W$2:W169),$W$2:$W$1001,0),0), INDEX($AD$1004:$AU$1004,1,MATCH(COLUMNS($AD$1006:AI1006),$AD$1006:$AU$1006,0)))),"Fix")))</f>
        <v xml:space="preserve"> </v>
      </c>
      <c r="H169" s="4" t="str">
        <f ca="1">IF(OR(INDEX($X$2:$X$1001,MATCH(ROWS($W$2:W169),$W$2:$W$1001,0),1)&gt;=100000,INDEX($AD$1005:$AU$1005,1,MATCH(COLUMNS($AD$1006:AJ1006),$AD$1006:$AU$1006,0))&gt;=100000), " ",IF(INDEX($AD$2:$AU$1001,MATCH(ROWS($W$2:W169),$W$2:$W$1001,0),MATCH(COLUMNS($AD$1006:AJ1006),$AD$1006:$AU$1006,0)), HYPERLINK("#",""), HYPERLINK(CONCATENATE("#metadata!", ADDRESS(INDEX($Y$2:$Y$1001,MATCH(ROWS($W$2:W169),$W$2:$W$1001,0),0), INDEX($AD$1004:$AU$1004,1,MATCH(COLUMNS($AD$1006:AJ1006),$AD$1006:$AU$1006,0)))),"Fix")))</f>
        <v xml:space="preserve"> </v>
      </c>
      <c r="I169" s="4" t="str">
        <f ca="1">IF(OR(INDEX($X$2:$X$1001,MATCH(ROWS($W$2:W169),$W$2:$W$1001,0),1)&gt;=100000,INDEX($AD$1005:$AU$1005,1,MATCH(COLUMNS($AD$1006:AK1006),$AD$1006:$AU$1006,0))&gt;=100000), " ",IF(INDEX($AD$2:$AU$1001,MATCH(ROWS($W$2:W169),$W$2:$W$1001,0),MATCH(COLUMNS($AD$1006:AK1006),$AD$1006:$AU$1006,0)), HYPERLINK("#",""), HYPERLINK(CONCATENATE("#metadata!", ADDRESS(INDEX($Y$2:$Y$1001,MATCH(ROWS($W$2:W169),$W$2:$W$1001,0),0), INDEX($AD$1004:$AU$1004,1,MATCH(COLUMNS($AD$1006:AK1006),$AD$1006:$AU$1006,0)))),"Fix")))</f>
        <v xml:space="preserve"> </v>
      </c>
      <c r="J169" s="4" t="str">
        <f ca="1">IF(OR(INDEX($X$2:$X$1001,MATCH(ROWS($W$2:W169),$W$2:$W$1001,0),1)&gt;=100000,INDEX($AD$1005:$AU$1005,1,MATCH(COLUMNS($AD$1006:AL1006),$AD$1006:$AU$1006,0))&gt;=100000), " ",IF(INDEX($AD$2:$AU$1001,MATCH(ROWS($W$2:W169),$W$2:$W$1001,0),MATCH(COLUMNS($AD$1006:AL1006),$AD$1006:$AU$1006,0)), HYPERLINK("#",""), HYPERLINK(CONCATENATE("#metadata!", ADDRESS(INDEX($Y$2:$Y$1001,MATCH(ROWS($W$2:W169),$W$2:$W$1001,0),0), INDEX($AD$1004:$AU$1004,1,MATCH(COLUMNS($AD$1006:AL1006),$AD$1006:$AU$1006,0)))),"Fix")))</f>
        <v xml:space="preserve"> </v>
      </c>
      <c r="K169" s="4" t="str">
        <f ca="1">IF(OR(INDEX($X$2:$X$1001,MATCH(ROWS($W$2:W169),$W$2:$W$1001,0),1)&gt;=100000,INDEX($AD$1005:$AU$1005,1,MATCH(COLUMNS($AD$1006:AM1006),$AD$1006:$AU$1006,0))&gt;=100000), " ",IF(INDEX($AD$2:$AU$1001,MATCH(ROWS($W$2:W169),$W$2:$W$1001,0),MATCH(COLUMNS($AD$1006:AM1006),$AD$1006:$AU$1006,0)), HYPERLINK("#",""), HYPERLINK(CONCATENATE("#metadata!", ADDRESS(INDEX($Y$2:$Y$1001,MATCH(ROWS($W$2:W169),$W$2:$W$1001,0),0), INDEX($AD$1004:$AU$1004,1,MATCH(COLUMNS($AD$1006:AM1006),$AD$1006:$AU$1006,0)))),"Fix")))</f>
        <v xml:space="preserve"> </v>
      </c>
      <c r="L169" s="4" t="str">
        <f ca="1">IF(OR(INDEX($X$2:$X$1001,MATCH(ROWS($W$2:W169),$W$2:$W$1001,0),1)&gt;=100000,INDEX($AD$1005:$AU$1005,1,MATCH(COLUMNS($AD$1006:AN1006),$AD$1006:$AU$1006,0))&gt;=100000), " ",IF(INDEX($AD$2:$AU$1001,MATCH(ROWS($W$2:W169),$W$2:$W$1001,0),MATCH(COLUMNS($AD$1006:AN1006),$AD$1006:$AU$1006,0)), HYPERLINK("#",""), HYPERLINK(CONCATENATE("#metadata!", ADDRESS(INDEX($Y$2:$Y$1001,MATCH(ROWS($W$2:W169),$W$2:$W$1001,0),0), INDEX($AD$1004:$AU$1004,1,MATCH(COLUMNS($AD$1006:AN1006),$AD$1006:$AU$1006,0)))),"Fix")))</f>
        <v xml:space="preserve"> </v>
      </c>
      <c r="M169" s="4" t="str">
        <f ca="1">IF(OR(INDEX($X$2:$X$1001,MATCH(ROWS($W$2:W169),$W$2:$W$1001,0),1)&gt;=100000,INDEX($AD$1005:$AU$1005,1,MATCH(COLUMNS($AD$1006:AO1006),$AD$1006:$AU$1006,0))&gt;=100000), " ",IF(INDEX($AD$2:$AU$1001,MATCH(ROWS($W$2:W169),$W$2:$W$1001,0),MATCH(COLUMNS($AD$1006:AO1006),$AD$1006:$AU$1006,0)), HYPERLINK("#",""), HYPERLINK(CONCATENATE("#metadata!", ADDRESS(INDEX($Y$2:$Y$1001,MATCH(ROWS($W$2:W169),$W$2:$W$1001,0),0), INDEX($AD$1004:$AU$1004,1,MATCH(COLUMNS($AD$1006:AO1006),$AD$1006:$AU$1006,0)))),"Fix")))</f>
        <v xml:space="preserve"> </v>
      </c>
      <c r="N169" s="4" t="str">
        <f ca="1">IF(OR(INDEX($X$2:$X$1001,MATCH(ROWS($W$2:W169),$W$2:$W$1001,0),1)&gt;=100000,INDEX($AD$1005:$AU$1005,1,MATCH(COLUMNS($AD$1006:AP1006),$AD$1006:$AU$1006,0))&gt;=100000), " ",IF(INDEX($AD$2:$AU$1001,MATCH(ROWS($W$2:W169),$W$2:$W$1001,0),MATCH(COLUMNS($AD$1006:AP1006),$AD$1006:$AU$1006,0)), HYPERLINK("#",""), HYPERLINK(CONCATENATE("#metadata!", ADDRESS(INDEX($Y$2:$Y$1001,MATCH(ROWS($W$2:W169),$W$2:$W$1001,0),0), INDEX($AD$1004:$AU$1004,1,MATCH(COLUMNS($AD$1006:AP1006),$AD$1006:$AU$1006,0)))),"Fix")))</f>
        <v xml:space="preserve"> </v>
      </c>
      <c r="O169" s="4" t="str">
        <f ca="1">IF(OR(INDEX($X$2:$X$1001,MATCH(ROWS($W$2:W169),$W$2:$W$1001,0),1)&gt;=100000,INDEX($AD$1005:$AU$1005,1,MATCH(COLUMNS($AD$1006:AQ1006),$AD$1006:$AU$1006,0))&gt;=100000), " ",IF(INDEX($AD$2:$AU$1001,MATCH(ROWS($W$2:W169),$W$2:$W$1001,0),MATCH(COLUMNS($AD$1006:AQ1006),$AD$1006:$AU$1006,0)), HYPERLINK("#",""), HYPERLINK(CONCATENATE("#metadata!", ADDRESS(INDEX($Y$2:$Y$1001,MATCH(ROWS($W$2:W169),$W$2:$W$1001,0),0), INDEX($AD$1004:$AU$1004,1,MATCH(COLUMNS($AD$1006:AQ1006),$AD$1006:$AU$1006,0)))),"Fix")))</f>
        <v xml:space="preserve"> </v>
      </c>
      <c r="P169" s="4" t="str">
        <f ca="1">IF(OR(INDEX($X$2:$X$1001,MATCH(ROWS($W$2:W169),$W$2:$W$1001,0),1)&gt;=100000,INDEX($AD$1005:$AU$1005,1,MATCH(COLUMNS($AD$1006:AR1006),$AD$1006:$AU$1006,0))&gt;=100000), " ",IF(INDEX($AD$2:$AU$1001,MATCH(ROWS($W$2:W169),$W$2:$W$1001,0),MATCH(COLUMNS($AD$1006:AR1006),$AD$1006:$AU$1006,0)), HYPERLINK("#",""), HYPERLINK(CONCATENATE("#metadata!", ADDRESS(INDEX($Y$2:$Y$1001,MATCH(ROWS($W$2:W169),$W$2:$W$1001,0),0), INDEX($AD$1004:$AU$1004,1,MATCH(COLUMNS($AD$1006:AR1006),$AD$1006:$AU$1006,0)))),"Fix")))</f>
        <v xml:space="preserve"> </v>
      </c>
      <c r="Q169" s="4" t="str">
        <f ca="1">IF(OR(INDEX($X$2:$X$1001,MATCH(ROWS($W$2:W169),$W$2:$W$1001,0),1)&gt;=100000,INDEX($AD$1005:$AU$1005,1,MATCH(COLUMNS($AD$1006:AS1006),$AD$1006:$AU$1006,0))&gt;=100000), " ",IF(INDEX($AD$2:$AU$1001,MATCH(ROWS($W$2:W169),$W$2:$W$1001,0),MATCH(COLUMNS($AD$1006:AS1006),$AD$1006:$AU$1006,0)), HYPERLINK("#",""), HYPERLINK(CONCATENATE("#metadata!", ADDRESS(INDEX($Y$2:$Y$1001,MATCH(ROWS($W$2:W169),$W$2:$W$1001,0),0), INDEX($AD$1004:$AU$1004,1,MATCH(COLUMNS($AD$1006:AS1006),$AD$1006:$AU$1006,0)))),"Fix")))</f>
        <v xml:space="preserve"> </v>
      </c>
      <c r="R169" s="4" t="str">
        <f ca="1">IF(OR(INDEX($X$2:$X$1001,MATCH(ROWS($W$2:W169),$W$2:$W$1001,0),1)&gt;=100000,INDEX($AD$1005:$AU$1005,1,MATCH(COLUMNS($AD$1006:AT1006),$AD$1006:$AU$1006,0))&gt;=100000), " ",IF(INDEX($AD$2:$AU$1001,MATCH(ROWS($W$2:W169),$W$2:$W$1001,0),MATCH(COLUMNS($AD$1006:AT1006),$AD$1006:$AU$1006,0)), HYPERLINK("#",""), HYPERLINK(CONCATENATE("#metadata!", ADDRESS(INDEX($Y$2:$Y$1001,MATCH(ROWS($W$2:W169),$W$2:$W$1001,0),0), INDEX($AD$1004:$AU$1004,1,MATCH(COLUMNS($AD$1006:AT1006),$AD$1006:$AU$1006,0)))),"Fix")))</f>
        <v xml:space="preserve"> </v>
      </c>
      <c r="S169" s="4" t="str">
        <f ca="1">IF(OR(INDEX($X$2:$X$1001,MATCH(ROWS($W$2:W169),$W$2:$W$1001,0),1)&gt;=100000,INDEX($AD$1005:$AU$1005,1,MATCH(COLUMNS($AD$1006:AU1006),$AD$1006:$AU$1006,0))&gt;=100000), " ",IF(INDEX($AD$2:$AU$1001,MATCH(ROWS($W$2:W169),$W$2:$W$1001,0),MATCH(COLUMNS($AD$1006:AU1006),$AD$1006:$AU$1006,0)), HYPERLINK("#",""), HYPERLINK(CONCATENATE("#metadata!", ADDRESS(INDEX($Y$2:$Y$1001,MATCH(ROWS($W$2:W169),$W$2:$W$1001,0),0), INDEX($AD$1004:$AU$1004,1,MATCH(COLUMNS($AD$1006:AU1006),$AD$1006:$AU$1006,0)))),"Fix")))</f>
        <v xml:space="preserve"> </v>
      </c>
      <c r="W169">
        <v>168</v>
      </c>
      <c r="X169">
        <v>100169</v>
      </c>
      <c r="Y169">
        <v>169</v>
      </c>
      <c r="Z169" t="b">
        <f t="shared" si="2"/>
        <v>1</v>
      </c>
      <c r="AA169" t="b">
        <f>COUNTBLANK(metadata!B169:S169)=COLUMNS(metadata!B169:S169)</f>
        <v>1</v>
      </c>
      <c r="AB169" t="str">
        <v/>
      </c>
      <c r="AD169" t="b">
        <f ca="1">AND(IF(metadata!B169="",FALSE,TRUE),COUNTIF(metadata!B:B, metadata!B169) = 1,NOT(ISERROR(SUMPRODUCT(SEARCH(MID(metadata!B169,ROW(INDIRECT("1:"&amp;LEN(metadata!B169))), 1),"0123456789abcdefghijklmnopqrstuvwxyzABCDEFGHIJKLMNOPQRSTUVWXYZ.")))))</f>
        <v>0</v>
      </c>
      <c r="AE169" t="b">
        <f>OR(AND(IF(metadata!C169="",FALSE,TRUE),OR(EXACT(metadata!C169,"not applicable"),EXACT(metadata!C169,"missing: not collected"),EXACT(metadata!C169,"missing: not provided"),EXACT(metadata!C169,"missing: restricted access"))),AND(IF(metadata!C169="",FALSE,ISNUMBER(VALUE(metadata!C169))),metadata!C169&gt;0))</f>
        <v>0</v>
      </c>
      <c r="AF169" t="b">
        <f>AND(IF(metadata!D169="",FALSE,TRUE),EXACT(metadata!D169,"missing: not provided"))</f>
        <v>0</v>
      </c>
      <c r="AG169" t="b">
        <f>AND(IF(metadata!E169="",FALSE,TRUE),EXACT(metadata!E169,"Host-associated"))</f>
        <v>0</v>
      </c>
      <c r="AH169" t="b">
        <f>AND(IF(metadata!F169="",FALSE,TRUE),OR(EXACT(metadata!F169,"Animal"),EXACT(metadata!F169,"Fungus"),EXACT(metadata!F169,"Plant")))</f>
        <v>0</v>
      </c>
      <c r="AI169" t="b">
        <f>AND(IF(metadata!G169="",FALSE,TRUE),OR(EXACT(metadata!G169,"Plant secretion"),EXACT(metadata!G169,"Plant rhizosphere"),EXACT(metadata!G169,"Plant surface"),EXACT(metadata!G169,"Plant corpus"),EXACT(metadata!G169,"Fungus surface"),EXACT(metadata!G169,"Fungus corpus"),EXACT(metadata!G169,"Animal surface"),EXACT(metadata!G169,"Animal proximal gut"),EXACT(metadata!G169,"Animal corpus"),EXACT(metadata!G169,"Animal distal gut"),EXACT(metadata!G169,"Animal secretion")))</f>
        <v>0</v>
      </c>
      <c r="AJ169" t="b">
        <f>OR(AND(IF(metadata!H169="",FALSE,TRUE),OR(EXACT(metadata!H169,"missing: not collected"),EXACT(metadata!H169,"missing: not provided"),EXACT(metadata!H169,"missing: restricted access"))),AND(IF(metadata!H169="",FALSE,TRUE),OR(EXACT(metadata!H169,"organism-associated habitat"),EXACT(metadata!H169,"plant-associated habitat"),EXACT(metadata!H169,"animal-associated habitat"),EXACT(metadata!H169,"insecta-associated habitat"),EXACT(metadata!H169,"mammalia-associated habitat"),EXACT(metadata!H169,"human-associated habitat"),EXACT(metadata!H169,"livestock-associated habitat"))))</f>
        <v>0</v>
      </c>
      <c r="AK169" t="b">
        <f>AND(IF(metadata!I169="",FALSE,TRUE),EXACT(metadata!I169,"host-associated"))</f>
        <v>0</v>
      </c>
      <c r="AL169" t="b">
        <f>OR(AND(IF(metadata!J169="",FALSE,TRUE),OR(EXACT(metadata!J169,"not applicable"),EXACT(metadata!J169,"missing: not collected"),EXACT(metadata!J169,"missing: not provided"),EXACT(metadata!J169,"missing: restricted access"))),AND(IF(metadata!J169="",FALSE,ISNUMBER(VALUE(metadata!J169))),metadata!J169&gt;0))</f>
        <v>0</v>
      </c>
      <c r="AM169" t="b">
        <f>AND(IF(metadata!K169="",FALSE,TRUE),EXACT(metadata!K169,"missing: not provided"))</f>
        <v>0</v>
      </c>
      <c r="AN169" t="b">
        <f>IF(metadata!L169="",FALSE,TRUE)</f>
        <v>0</v>
      </c>
      <c r="AO169" t="b">
        <f>IF(metadata!M169="",FALSE,TRUE)</f>
        <v>0</v>
      </c>
      <c r="AP169" t="b">
        <f>OR(AND(IF(metadata!N169="",FALSE,TRUE),OR(EXACT(metadata!N169,"not applicable"),EXACT(metadata!N169,"missing: not collected"),EXACT(metadata!N169,"missing: not provided"))),AND(IF(metadata!N169="",FALSE,IF(ISERROR(INT(metadata!N169)),FALSE,INT(metadata!N169)=metadata!N169)),metadata!N169&gt;0))</f>
        <v>0</v>
      </c>
      <c r="AQ169" t="b">
        <f>AND(IF(metadata!O169="",FALSE,TRUE),EXACT(metadata!O169,"Not applicable"))</f>
        <v>0</v>
      </c>
      <c r="AR169" t="b">
        <f>OR(AND(IF(metadata!P169="",FALSE,TRUE),OR(EXACT(metadata!P169,"not applicable"),EXACT(metadata!P169,"missing: not collected"),EXACT(metadata!P169,"missing: not provided"),EXACT(metadata!P169,"missing: restricted access"))),IF(metadata!P169="",FALSE,IF(ISERROR(INT(metadata!P169)),FALSE,INT(metadata!P169)=metadata!P169)))</f>
        <v>0</v>
      </c>
      <c r="AS169" t="b">
        <f>AND(IF(metadata!Q169="",FALSE,TRUE),EXACT(metadata!Q169,"Not applicable"))</f>
        <v>0</v>
      </c>
      <c r="AT169" t="b">
        <f>OR(AND(IF(metadata!R169="",FALSE,TRUE),OR(EXACT(metadata!R169,"not applicable"),EXACT(metadata!R169,"missing: not collected"),EXACT(metadata!R169,"missing: not provided"),EXACT(metadata!R169,"missing: restricted access"))),AND(IF(metadata!R169="",FALSE,ISNUMBER(VALUE(metadata!R169))),metadata!R169&gt;0))</f>
        <v>0</v>
      </c>
      <c r="AU169" t="b">
        <f>AND(IF(metadata!S169="",FALSE,TRUE),EXACT(metadata!S169,"missing: not provided"))</f>
        <v>0</v>
      </c>
    </row>
    <row r="170" spans="1:47" x14ac:dyDescent="0.2">
      <c r="A170" s="5" t="str">
        <f ca="1">IF(B170=" "," ",HYPERLINK(CONCATENATE("#metadata!",ADDRESS(INDEX($Y$2:$Y$1001,MATCH(ROWS($W$2:W170),$W$2:$W$1001,0),0),1)),INDEX($AB$2:$AB$1001,MATCH(ROWS($W$2:W170),$W$2:$W$1001,0),0)))</f>
        <v xml:space="preserve"> </v>
      </c>
      <c r="B170" s="4" t="str">
        <f ca="1">IF(OR(INDEX($X$2:$X$1001,MATCH(ROWS($W$2:W170),$W$2:$W$1001,0),1)&gt;=100000,INDEX($AD$1005:$AU$1005,1,MATCH(COLUMNS($AD$1006:AD1006),$AD$1006:$AU$1006,0))&gt;=100000), " ",IF(INDEX($AD$2:$AU$1001,MATCH(ROWS($W$2:W170),$W$2:$W$1001,0),MATCH(COLUMNS($AD$1006:AD1006),$AD$1006:$AU$1006,0)), HYPERLINK("#",""), HYPERLINK(CONCATENATE("#metadata!", ADDRESS(INDEX($Y$2:$Y$1001,MATCH(ROWS($W$2:W170),$W$2:$W$1001,0),0), INDEX($AD$1004:$AU$1004,1,MATCH(COLUMNS($AD$1006:AD1006),$AD$1006:$AU$1006,0)))),"Fix")))</f>
        <v xml:space="preserve"> </v>
      </c>
      <c r="C170" s="4" t="str">
        <f ca="1">IF(OR(INDEX($X$2:$X$1001,MATCH(ROWS($W$2:W170),$W$2:$W$1001,0),1)&gt;=100000,INDEX($AD$1005:$AU$1005,1,MATCH(COLUMNS($AD$1006:AE1006),$AD$1006:$AU$1006,0))&gt;=100000), " ",IF(INDEX($AD$2:$AU$1001,MATCH(ROWS($W$2:W170),$W$2:$W$1001,0),MATCH(COLUMNS($AD$1006:AE1006),$AD$1006:$AU$1006,0)), HYPERLINK("#",""), HYPERLINK(CONCATENATE("#metadata!", ADDRESS(INDEX($Y$2:$Y$1001,MATCH(ROWS($W$2:W170),$W$2:$W$1001,0),0), INDEX($AD$1004:$AU$1004,1,MATCH(COLUMNS($AD$1006:AE1006),$AD$1006:$AU$1006,0)))),"Fix")))</f>
        <v xml:space="preserve"> </v>
      </c>
      <c r="D170" s="4" t="str">
        <f ca="1">IF(OR(INDEX($X$2:$X$1001,MATCH(ROWS($W$2:W170),$W$2:$W$1001,0),1)&gt;=100000,INDEX($AD$1005:$AU$1005,1,MATCH(COLUMNS($AD$1006:AF1006),$AD$1006:$AU$1006,0))&gt;=100000), " ",IF(INDEX($AD$2:$AU$1001,MATCH(ROWS($W$2:W170),$W$2:$W$1001,0),MATCH(COLUMNS($AD$1006:AF1006),$AD$1006:$AU$1006,0)), HYPERLINK("#",""), HYPERLINK(CONCATENATE("#metadata!", ADDRESS(INDEX($Y$2:$Y$1001,MATCH(ROWS($W$2:W170),$W$2:$W$1001,0),0), INDEX($AD$1004:$AU$1004,1,MATCH(COLUMNS($AD$1006:AF1006),$AD$1006:$AU$1006,0)))),"Fix")))</f>
        <v xml:space="preserve"> </v>
      </c>
      <c r="E170" s="4" t="str">
        <f ca="1">IF(OR(INDEX($X$2:$X$1001,MATCH(ROWS($W$2:W170),$W$2:$W$1001,0),1)&gt;=100000,INDEX($AD$1005:$AU$1005,1,MATCH(COLUMNS($AD$1006:AG1006),$AD$1006:$AU$1006,0))&gt;=100000), " ",IF(INDEX($AD$2:$AU$1001,MATCH(ROWS($W$2:W170),$W$2:$W$1001,0),MATCH(COLUMNS($AD$1006:AG1006),$AD$1006:$AU$1006,0)), HYPERLINK("#",""), HYPERLINK(CONCATENATE("#metadata!", ADDRESS(INDEX($Y$2:$Y$1001,MATCH(ROWS($W$2:W170),$W$2:$W$1001,0),0), INDEX($AD$1004:$AU$1004,1,MATCH(COLUMNS($AD$1006:AG1006),$AD$1006:$AU$1006,0)))),"Fix")))</f>
        <v xml:space="preserve"> </v>
      </c>
      <c r="F170" s="4" t="str">
        <f ca="1">IF(OR(INDEX($X$2:$X$1001,MATCH(ROWS($W$2:W170),$W$2:$W$1001,0),1)&gt;=100000,INDEX($AD$1005:$AU$1005,1,MATCH(COLUMNS($AD$1006:AH1006),$AD$1006:$AU$1006,0))&gt;=100000), " ",IF(INDEX($AD$2:$AU$1001,MATCH(ROWS($W$2:W170),$W$2:$W$1001,0),MATCH(COLUMNS($AD$1006:AH1006),$AD$1006:$AU$1006,0)), HYPERLINK("#",""), HYPERLINK(CONCATENATE("#metadata!", ADDRESS(INDEX($Y$2:$Y$1001,MATCH(ROWS($W$2:W170),$W$2:$W$1001,0),0), INDEX($AD$1004:$AU$1004,1,MATCH(COLUMNS($AD$1006:AH1006),$AD$1006:$AU$1006,0)))),"Fix")))</f>
        <v xml:space="preserve"> </v>
      </c>
      <c r="G170" s="4" t="str">
        <f ca="1">IF(OR(INDEX($X$2:$X$1001,MATCH(ROWS($W$2:W170),$W$2:$W$1001,0),1)&gt;=100000,INDEX($AD$1005:$AU$1005,1,MATCH(COLUMNS($AD$1006:AI1006),$AD$1006:$AU$1006,0))&gt;=100000), " ",IF(INDEX($AD$2:$AU$1001,MATCH(ROWS($W$2:W170),$W$2:$W$1001,0),MATCH(COLUMNS($AD$1006:AI1006),$AD$1006:$AU$1006,0)), HYPERLINK("#",""), HYPERLINK(CONCATENATE("#metadata!", ADDRESS(INDEX($Y$2:$Y$1001,MATCH(ROWS($W$2:W170),$W$2:$W$1001,0),0), INDEX($AD$1004:$AU$1004,1,MATCH(COLUMNS($AD$1006:AI1006),$AD$1006:$AU$1006,0)))),"Fix")))</f>
        <v xml:space="preserve"> </v>
      </c>
      <c r="H170" s="4" t="str">
        <f ca="1">IF(OR(INDEX($X$2:$X$1001,MATCH(ROWS($W$2:W170),$W$2:$W$1001,0),1)&gt;=100000,INDEX($AD$1005:$AU$1005,1,MATCH(COLUMNS($AD$1006:AJ1006),$AD$1006:$AU$1006,0))&gt;=100000), " ",IF(INDEX($AD$2:$AU$1001,MATCH(ROWS($W$2:W170),$W$2:$W$1001,0),MATCH(COLUMNS($AD$1006:AJ1006),$AD$1006:$AU$1006,0)), HYPERLINK("#",""), HYPERLINK(CONCATENATE("#metadata!", ADDRESS(INDEX($Y$2:$Y$1001,MATCH(ROWS($W$2:W170),$W$2:$W$1001,0),0), INDEX($AD$1004:$AU$1004,1,MATCH(COLUMNS($AD$1006:AJ1006),$AD$1006:$AU$1006,0)))),"Fix")))</f>
        <v xml:space="preserve"> </v>
      </c>
      <c r="I170" s="4" t="str">
        <f ca="1">IF(OR(INDEX($X$2:$X$1001,MATCH(ROWS($W$2:W170),$W$2:$W$1001,0),1)&gt;=100000,INDEX($AD$1005:$AU$1005,1,MATCH(COLUMNS($AD$1006:AK1006),$AD$1006:$AU$1006,0))&gt;=100000), " ",IF(INDEX($AD$2:$AU$1001,MATCH(ROWS($W$2:W170),$W$2:$W$1001,0),MATCH(COLUMNS($AD$1006:AK1006),$AD$1006:$AU$1006,0)), HYPERLINK("#",""), HYPERLINK(CONCATENATE("#metadata!", ADDRESS(INDEX($Y$2:$Y$1001,MATCH(ROWS($W$2:W170),$W$2:$W$1001,0),0), INDEX($AD$1004:$AU$1004,1,MATCH(COLUMNS($AD$1006:AK1006),$AD$1006:$AU$1006,0)))),"Fix")))</f>
        <v xml:space="preserve"> </v>
      </c>
      <c r="J170" s="4" t="str">
        <f ca="1">IF(OR(INDEX($X$2:$X$1001,MATCH(ROWS($W$2:W170),$W$2:$W$1001,0),1)&gt;=100000,INDEX($AD$1005:$AU$1005,1,MATCH(COLUMNS($AD$1006:AL1006),$AD$1006:$AU$1006,0))&gt;=100000), " ",IF(INDEX($AD$2:$AU$1001,MATCH(ROWS($W$2:W170),$W$2:$W$1001,0),MATCH(COLUMNS($AD$1006:AL1006),$AD$1006:$AU$1006,0)), HYPERLINK("#",""), HYPERLINK(CONCATENATE("#metadata!", ADDRESS(INDEX($Y$2:$Y$1001,MATCH(ROWS($W$2:W170),$W$2:$W$1001,0),0), INDEX($AD$1004:$AU$1004,1,MATCH(COLUMNS($AD$1006:AL1006),$AD$1006:$AU$1006,0)))),"Fix")))</f>
        <v xml:space="preserve"> </v>
      </c>
      <c r="K170" s="4" t="str">
        <f ca="1">IF(OR(INDEX($X$2:$X$1001,MATCH(ROWS($W$2:W170),$W$2:$W$1001,0),1)&gt;=100000,INDEX($AD$1005:$AU$1005,1,MATCH(COLUMNS($AD$1006:AM1006),$AD$1006:$AU$1006,0))&gt;=100000), " ",IF(INDEX($AD$2:$AU$1001,MATCH(ROWS($W$2:W170),$W$2:$W$1001,0),MATCH(COLUMNS($AD$1006:AM1006),$AD$1006:$AU$1006,0)), HYPERLINK("#",""), HYPERLINK(CONCATENATE("#metadata!", ADDRESS(INDEX($Y$2:$Y$1001,MATCH(ROWS($W$2:W170),$W$2:$W$1001,0),0), INDEX($AD$1004:$AU$1004,1,MATCH(COLUMNS($AD$1006:AM1006),$AD$1006:$AU$1006,0)))),"Fix")))</f>
        <v xml:space="preserve"> </v>
      </c>
      <c r="L170" s="4" t="str">
        <f ca="1">IF(OR(INDEX($X$2:$X$1001,MATCH(ROWS($W$2:W170),$W$2:$W$1001,0),1)&gt;=100000,INDEX($AD$1005:$AU$1005,1,MATCH(COLUMNS($AD$1006:AN1006),$AD$1006:$AU$1006,0))&gt;=100000), " ",IF(INDEX($AD$2:$AU$1001,MATCH(ROWS($W$2:W170),$W$2:$W$1001,0),MATCH(COLUMNS($AD$1006:AN1006),$AD$1006:$AU$1006,0)), HYPERLINK("#",""), HYPERLINK(CONCATENATE("#metadata!", ADDRESS(INDEX($Y$2:$Y$1001,MATCH(ROWS($W$2:W170),$W$2:$W$1001,0),0), INDEX($AD$1004:$AU$1004,1,MATCH(COLUMNS($AD$1006:AN1006),$AD$1006:$AU$1006,0)))),"Fix")))</f>
        <v xml:space="preserve"> </v>
      </c>
      <c r="M170" s="4" t="str">
        <f ca="1">IF(OR(INDEX($X$2:$X$1001,MATCH(ROWS($W$2:W170),$W$2:$W$1001,0),1)&gt;=100000,INDEX($AD$1005:$AU$1005,1,MATCH(COLUMNS($AD$1006:AO1006),$AD$1006:$AU$1006,0))&gt;=100000), " ",IF(INDEX($AD$2:$AU$1001,MATCH(ROWS($W$2:W170),$W$2:$W$1001,0),MATCH(COLUMNS($AD$1006:AO1006),$AD$1006:$AU$1006,0)), HYPERLINK("#",""), HYPERLINK(CONCATENATE("#metadata!", ADDRESS(INDEX($Y$2:$Y$1001,MATCH(ROWS($W$2:W170),$W$2:$W$1001,0),0), INDEX($AD$1004:$AU$1004,1,MATCH(COLUMNS($AD$1006:AO1006),$AD$1006:$AU$1006,0)))),"Fix")))</f>
        <v xml:space="preserve"> </v>
      </c>
      <c r="N170" s="4" t="str">
        <f ca="1">IF(OR(INDEX($X$2:$X$1001,MATCH(ROWS($W$2:W170),$W$2:$W$1001,0),1)&gt;=100000,INDEX($AD$1005:$AU$1005,1,MATCH(COLUMNS($AD$1006:AP1006),$AD$1006:$AU$1006,0))&gt;=100000), " ",IF(INDEX($AD$2:$AU$1001,MATCH(ROWS($W$2:W170),$W$2:$W$1001,0),MATCH(COLUMNS($AD$1006:AP1006),$AD$1006:$AU$1006,0)), HYPERLINK("#",""), HYPERLINK(CONCATENATE("#metadata!", ADDRESS(INDEX($Y$2:$Y$1001,MATCH(ROWS($W$2:W170),$W$2:$W$1001,0),0), INDEX($AD$1004:$AU$1004,1,MATCH(COLUMNS($AD$1006:AP1006),$AD$1006:$AU$1006,0)))),"Fix")))</f>
        <v xml:space="preserve"> </v>
      </c>
      <c r="O170" s="4" t="str">
        <f ca="1">IF(OR(INDEX($X$2:$X$1001,MATCH(ROWS($W$2:W170),$W$2:$W$1001,0),1)&gt;=100000,INDEX($AD$1005:$AU$1005,1,MATCH(COLUMNS($AD$1006:AQ1006),$AD$1006:$AU$1006,0))&gt;=100000), " ",IF(INDEX($AD$2:$AU$1001,MATCH(ROWS($W$2:W170),$W$2:$W$1001,0),MATCH(COLUMNS($AD$1006:AQ1006),$AD$1006:$AU$1006,0)), HYPERLINK("#",""), HYPERLINK(CONCATENATE("#metadata!", ADDRESS(INDEX($Y$2:$Y$1001,MATCH(ROWS($W$2:W170),$W$2:$W$1001,0),0), INDEX($AD$1004:$AU$1004,1,MATCH(COLUMNS($AD$1006:AQ1006),$AD$1006:$AU$1006,0)))),"Fix")))</f>
        <v xml:space="preserve"> </v>
      </c>
      <c r="P170" s="4" t="str">
        <f ca="1">IF(OR(INDEX($X$2:$X$1001,MATCH(ROWS($W$2:W170),$W$2:$W$1001,0),1)&gt;=100000,INDEX($AD$1005:$AU$1005,1,MATCH(COLUMNS($AD$1006:AR1006),$AD$1006:$AU$1006,0))&gt;=100000), " ",IF(INDEX($AD$2:$AU$1001,MATCH(ROWS($W$2:W170),$W$2:$W$1001,0),MATCH(COLUMNS($AD$1006:AR1006),$AD$1006:$AU$1006,0)), HYPERLINK("#",""), HYPERLINK(CONCATENATE("#metadata!", ADDRESS(INDEX($Y$2:$Y$1001,MATCH(ROWS($W$2:W170),$W$2:$W$1001,0),0), INDEX($AD$1004:$AU$1004,1,MATCH(COLUMNS($AD$1006:AR1006),$AD$1006:$AU$1006,0)))),"Fix")))</f>
        <v xml:space="preserve"> </v>
      </c>
      <c r="Q170" s="4" t="str">
        <f ca="1">IF(OR(INDEX($X$2:$X$1001,MATCH(ROWS($W$2:W170),$W$2:$W$1001,0),1)&gt;=100000,INDEX($AD$1005:$AU$1005,1,MATCH(COLUMNS($AD$1006:AS1006),$AD$1006:$AU$1006,0))&gt;=100000), " ",IF(INDEX($AD$2:$AU$1001,MATCH(ROWS($W$2:W170),$W$2:$W$1001,0),MATCH(COLUMNS($AD$1006:AS1006),$AD$1006:$AU$1006,0)), HYPERLINK("#",""), HYPERLINK(CONCATENATE("#metadata!", ADDRESS(INDEX($Y$2:$Y$1001,MATCH(ROWS($W$2:W170),$W$2:$W$1001,0),0), INDEX($AD$1004:$AU$1004,1,MATCH(COLUMNS($AD$1006:AS1006),$AD$1006:$AU$1006,0)))),"Fix")))</f>
        <v xml:space="preserve"> </v>
      </c>
      <c r="R170" s="4" t="str">
        <f ca="1">IF(OR(INDEX($X$2:$X$1001,MATCH(ROWS($W$2:W170),$W$2:$W$1001,0),1)&gt;=100000,INDEX($AD$1005:$AU$1005,1,MATCH(COLUMNS($AD$1006:AT1006),$AD$1006:$AU$1006,0))&gt;=100000), " ",IF(INDEX($AD$2:$AU$1001,MATCH(ROWS($W$2:W170),$W$2:$W$1001,0),MATCH(COLUMNS($AD$1006:AT1006),$AD$1006:$AU$1006,0)), HYPERLINK("#",""), HYPERLINK(CONCATENATE("#metadata!", ADDRESS(INDEX($Y$2:$Y$1001,MATCH(ROWS($W$2:W170),$W$2:$W$1001,0),0), INDEX($AD$1004:$AU$1004,1,MATCH(COLUMNS($AD$1006:AT1006),$AD$1006:$AU$1006,0)))),"Fix")))</f>
        <v xml:space="preserve"> </v>
      </c>
      <c r="S170" s="4" t="str">
        <f ca="1">IF(OR(INDEX($X$2:$X$1001,MATCH(ROWS($W$2:W170),$W$2:$W$1001,0),1)&gt;=100000,INDEX($AD$1005:$AU$1005,1,MATCH(COLUMNS($AD$1006:AU1006),$AD$1006:$AU$1006,0))&gt;=100000), " ",IF(INDEX($AD$2:$AU$1001,MATCH(ROWS($W$2:W170),$W$2:$W$1001,0),MATCH(COLUMNS($AD$1006:AU1006),$AD$1006:$AU$1006,0)), HYPERLINK("#",""), HYPERLINK(CONCATENATE("#metadata!", ADDRESS(INDEX($Y$2:$Y$1001,MATCH(ROWS($W$2:W170),$W$2:$W$1001,0),0), INDEX($AD$1004:$AU$1004,1,MATCH(COLUMNS($AD$1006:AU1006),$AD$1006:$AU$1006,0)))),"Fix")))</f>
        <v xml:space="preserve"> </v>
      </c>
      <c r="W170">
        <v>169</v>
      </c>
      <c r="X170">
        <v>100170</v>
      </c>
      <c r="Y170">
        <v>170</v>
      </c>
      <c r="Z170" t="b">
        <f t="shared" si="2"/>
        <v>1</v>
      </c>
      <c r="AA170" t="b">
        <f>COUNTBLANK(metadata!B170:S170)=COLUMNS(metadata!B170:S170)</f>
        <v>1</v>
      </c>
      <c r="AB170" t="str">
        <v/>
      </c>
      <c r="AD170" t="b">
        <f ca="1">AND(IF(metadata!B170="",FALSE,TRUE),COUNTIF(metadata!B:B, metadata!B170) = 1,NOT(ISERROR(SUMPRODUCT(SEARCH(MID(metadata!B170,ROW(INDIRECT("1:"&amp;LEN(metadata!B170))), 1),"0123456789abcdefghijklmnopqrstuvwxyzABCDEFGHIJKLMNOPQRSTUVWXYZ.")))))</f>
        <v>0</v>
      </c>
      <c r="AE170" t="b">
        <f>OR(AND(IF(metadata!C170="",FALSE,TRUE),OR(EXACT(metadata!C170,"not applicable"),EXACT(metadata!C170,"missing: not collected"),EXACT(metadata!C170,"missing: not provided"),EXACT(metadata!C170,"missing: restricted access"))),AND(IF(metadata!C170="",FALSE,ISNUMBER(VALUE(metadata!C170))),metadata!C170&gt;0))</f>
        <v>0</v>
      </c>
      <c r="AF170" t="b">
        <f>AND(IF(metadata!D170="",FALSE,TRUE),EXACT(metadata!D170,"missing: not provided"))</f>
        <v>0</v>
      </c>
      <c r="AG170" t="b">
        <f>AND(IF(metadata!E170="",FALSE,TRUE),EXACT(metadata!E170,"Host-associated"))</f>
        <v>0</v>
      </c>
      <c r="AH170" t="b">
        <f>AND(IF(metadata!F170="",FALSE,TRUE),OR(EXACT(metadata!F170,"Animal"),EXACT(metadata!F170,"Fungus"),EXACT(metadata!F170,"Plant")))</f>
        <v>0</v>
      </c>
      <c r="AI170" t="b">
        <f>AND(IF(metadata!G170="",FALSE,TRUE),OR(EXACT(metadata!G170,"Plant secretion"),EXACT(metadata!G170,"Plant rhizosphere"),EXACT(metadata!G170,"Plant surface"),EXACT(metadata!G170,"Plant corpus"),EXACT(metadata!G170,"Fungus surface"),EXACT(metadata!G170,"Fungus corpus"),EXACT(metadata!G170,"Animal surface"),EXACT(metadata!G170,"Animal proximal gut"),EXACT(metadata!G170,"Animal corpus"),EXACT(metadata!G170,"Animal distal gut"),EXACT(metadata!G170,"Animal secretion")))</f>
        <v>0</v>
      </c>
      <c r="AJ170" t="b">
        <f>OR(AND(IF(metadata!H170="",FALSE,TRUE),OR(EXACT(metadata!H170,"missing: not collected"),EXACT(metadata!H170,"missing: not provided"),EXACT(metadata!H170,"missing: restricted access"))),AND(IF(metadata!H170="",FALSE,TRUE),OR(EXACT(metadata!H170,"organism-associated habitat"),EXACT(metadata!H170,"plant-associated habitat"),EXACT(metadata!H170,"animal-associated habitat"),EXACT(metadata!H170,"insecta-associated habitat"),EXACT(metadata!H170,"mammalia-associated habitat"),EXACT(metadata!H170,"human-associated habitat"),EXACT(metadata!H170,"livestock-associated habitat"))))</f>
        <v>0</v>
      </c>
      <c r="AK170" t="b">
        <f>AND(IF(metadata!I170="",FALSE,TRUE),EXACT(metadata!I170,"host-associated"))</f>
        <v>0</v>
      </c>
      <c r="AL170" t="b">
        <f>OR(AND(IF(metadata!J170="",FALSE,TRUE),OR(EXACT(metadata!J170,"not applicable"),EXACT(metadata!J170,"missing: not collected"),EXACT(metadata!J170,"missing: not provided"),EXACT(metadata!J170,"missing: restricted access"))),AND(IF(metadata!J170="",FALSE,ISNUMBER(VALUE(metadata!J170))),metadata!J170&gt;0))</f>
        <v>0</v>
      </c>
      <c r="AM170" t="b">
        <f>AND(IF(metadata!K170="",FALSE,TRUE),EXACT(metadata!K170,"missing: not provided"))</f>
        <v>0</v>
      </c>
      <c r="AN170" t="b">
        <f>IF(metadata!L170="",FALSE,TRUE)</f>
        <v>0</v>
      </c>
      <c r="AO170" t="b">
        <f>IF(metadata!M170="",FALSE,TRUE)</f>
        <v>0</v>
      </c>
      <c r="AP170" t="b">
        <f>OR(AND(IF(metadata!N170="",FALSE,TRUE),OR(EXACT(metadata!N170,"not applicable"),EXACT(metadata!N170,"missing: not collected"),EXACT(metadata!N170,"missing: not provided"))),AND(IF(metadata!N170="",FALSE,IF(ISERROR(INT(metadata!N170)),FALSE,INT(metadata!N170)=metadata!N170)),metadata!N170&gt;0))</f>
        <v>0</v>
      </c>
      <c r="AQ170" t="b">
        <f>AND(IF(metadata!O170="",FALSE,TRUE),EXACT(metadata!O170,"Not applicable"))</f>
        <v>0</v>
      </c>
      <c r="AR170" t="b">
        <f>OR(AND(IF(metadata!P170="",FALSE,TRUE),OR(EXACT(metadata!P170,"not applicable"),EXACT(metadata!P170,"missing: not collected"),EXACT(metadata!P170,"missing: not provided"),EXACT(metadata!P170,"missing: restricted access"))),IF(metadata!P170="",FALSE,IF(ISERROR(INT(metadata!P170)),FALSE,INT(metadata!P170)=metadata!P170)))</f>
        <v>0</v>
      </c>
      <c r="AS170" t="b">
        <f>AND(IF(metadata!Q170="",FALSE,TRUE),EXACT(metadata!Q170,"Not applicable"))</f>
        <v>0</v>
      </c>
      <c r="AT170" t="b">
        <f>OR(AND(IF(metadata!R170="",FALSE,TRUE),OR(EXACT(metadata!R170,"not applicable"),EXACT(metadata!R170,"missing: not collected"),EXACT(metadata!R170,"missing: not provided"),EXACT(metadata!R170,"missing: restricted access"))),AND(IF(metadata!R170="",FALSE,ISNUMBER(VALUE(metadata!R170))),metadata!R170&gt;0))</f>
        <v>0</v>
      </c>
      <c r="AU170" t="b">
        <f>AND(IF(metadata!S170="",FALSE,TRUE),EXACT(metadata!S170,"missing: not provided"))</f>
        <v>0</v>
      </c>
    </row>
    <row r="171" spans="1:47" x14ac:dyDescent="0.2">
      <c r="A171" s="5" t="str">
        <f ca="1">IF(B171=" "," ",HYPERLINK(CONCATENATE("#metadata!",ADDRESS(INDEX($Y$2:$Y$1001,MATCH(ROWS($W$2:W171),$W$2:$W$1001,0),0),1)),INDEX($AB$2:$AB$1001,MATCH(ROWS($W$2:W171),$W$2:$W$1001,0),0)))</f>
        <v xml:space="preserve"> </v>
      </c>
      <c r="B171" s="4" t="str">
        <f ca="1">IF(OR(INDEX($X$2:$X$1001,MATCH(ROWS($W$2:W171),$W$2:$W$1001,0),1)&gt;=100000,INDEX($AD$1005:$AU$1005,1,MATCH(COLUMNS($AD$1006:AD1006),$AD$1006:$AU$1006,0))&gt;=100000), " ",IF(INDEX($AD$2:$AU$1001,MATCH(ROWS($W$2:W171),$W$2:$W$1001,0),MATCH(COLUMNS($AD$1006:AD1006),$AD$1006:$AU$1006,0)), HYPERLINK("#",""), HYPERLINK(CONCATENATE("#metadata!", ADDRESS(INDEX($Y$2:$Y$1001,MATCH(ROWS($W$2:W171),$W$2:$W$1001,0),0), INDEX($AD$1004:$AU$1004,1,MATCH(COLUMNS($AD$1006:AD1006),$AD$1006:$AU$1006,0)))),"Fix")))</f>
        <v xml:space="preserve"> </v>
      </c>
      <c r="C171" s="4" t="str">
        <f ca="1">IF(OR(INDEX($X$2:$X$1001,MATCH(ROWS($W$2:W171),$W$2:$W$1001,0),1)&gt;=100000,INDEX($AD$1005:$AU$1005,1,MATCH(COLUMNS($AD$1006:AE1006),$AD$1006:$AU$1006,0))&gt;=100000), " ",IF(INDEX($AD$2:$AU$1001,MATCH(ROWS($W$2:W171),$W$2:$W$1001,0),MATCH(COLUMNS($AD$1006:AE1006),$AD$1006:$AU$1006,0)), HYPERLINK("#",""), HYPERLINK(CONCATENATE("#metadata!", ADDRESS(INDEX($Y$2:$Y$1001,MATCH(ROWS($W$2:W171),$W$2:$W$1001,0),0), INDEX($AD$1004:$AU$1004,1,MATCH(COLUMNS($AD$1006:AE1006),$AD$1006:$AU$1006,0)))),"Fix")))</f>
        <v xml:space="preserve"> </v>
      </c>
      <c r="D171" s="4" t="str">
        <f ca="1">IF(OR(INDEX($X$2:$X$1001,MATCH(ROWS($W$2:W171),$W$2:$W$1001,0),1)&gt;=100000,INDEX($AD$1005:$AU$1005,1,MATCH(COLUMNS($AD$1006:AF1006),$AD$1006:$AU$1006,0))&gt;=100000), " ",IF(INDEX($AD$2:$AU$1001,MATCH(ROWS($W$2:W171),$W$2:$W$1001,0),MATCH(COLUMNS($AD$1006:AF1006),$AD$1006:$AU$1006,0)), HYPERLINK("#",""), HYPERLINK(CONCATENATE("#metadata!", ADDRESS(INDEX($Y$2:$Y$1001,MATCH(ROWS($W$2:W171),$W$2:$W$1001,0),0), INDEX($AD$1004:$AU$1004,1,MATCH(COLUMNS($AD$1006:AF1006),$AD$1006:$AU$1006,0)))),"Fix")))</f>
        <v xml:space="preserve"> </v>
      </c>
      <c r="E171" s="4" t="str">
        <f ca="1">IF(OR(INDEX($X$2:$X$1001,MATCH(ROWS($W$2:W171),$W$2:$W$1001,0),1)&gt;=100000,INDEX($AD$1005:$AU$1005,1,MATCH(COLUMNS($AD$1006:AG1006),$AD$1006:$AU$1006,0))&gt;=100000), " ",IF(INDEX($AD$2:$AU$1001,MATCH(ROWS($W$2:W171),$W$2:$W$1001,0),MATCH(COLUMNS($AD$1006:AG1006),$AD$1006:$AU$1006,0)), HYPERLINK("#",""), HYPERLINK(CONCATENATE("#metadata!", ADDRESS(INDEX($Y$2:$Y$1001,MATCH(ROWS($W$2:W171),$W$2:$W$1001,0),0), INDEX($AD$1004:$AU$1004,1,MATCH(COLUMNS($AD$1006:AG1006),$AD$1006:$AU$1006,0)))),"Fix")))</f>
        <v xml:space="preserve"> </v>
      </c>
      <c r="F171" s="4" t="str">
        <f ca="1">IF(OR(INDEX($X$2:$X$1001,MATCH(ROWS($W$2:W171),$W$2:$W$1001,0),1)&gt;=100000,INDEX($AD$1005:$AU$1005,1,MATCH(COLUMNS($AD$1006:AH1006),$AD$1006:$AU$1006,0))&gt;=100000), " ",IF(INDEX($AD$2:$AU$1001,MATCH(ROWS($W$2:W171),$W$2:$W$1001,0),MATCH(COLUMNS($AD$1006:AH1006),$AD$1006:$AU$1006,0)), HYPERLINK("#",""), HYPERLINK(CONCATENATE("#metadata!", ADDRESS(INDEX($Y$2:$Y$1001,MATCH(ROWS($W$2:W171),$W$2:$W$1001,0),0), INDEX($AD$1004:$AU$1004,1,MATCH(COLUMNS($AD$1006:AH1006),$AD$1006:$AU$1006,0)))),"Fix")))</f>
        <v xml:space="preserve"> </v>
      </c>
      <c r="G171" s="4" t="str">
        <f ca="1">IF(OR(INDEX($X$2:$X$1001,MATCH(ROWS($W$2:W171),$W$2:$W$1001,0),1)&gt;=100000,INDEX($AD$1005:$AU$1005,1,MATCH(COLUMNS($AD$1006:AI1006),$AD$1006:$AU$1006,0))&gt;=100000), " ",IF(INDEX($AD$2:$AU$1001,MATCH(ROWS($W$2:W171),$W$2:$W$1001,0),MATCH(COLUMNS($AD$1006:AI1006),$AD$1006:$AU$1006,0)), HYPERLINK("#",""), HYPERLINK(CONCATENATE("#metadata!", ADDRESS(INDEX($Y$2:$Y$1001,MATCH(ROWS($W$2:W171),$W$2:$W$1001,0),0), INDEX($AD$1004:$AU$1004,1,MATCH(COLUMNS($AD$1006:AI1006),$AD$1006:$AU$1006,0)))),"Fix")))</f>
        <v xml:space="preserve"> </v>
      </c>
      <c r="H171" s="4" t="str">
        <f ca="1">IF(OR(INDEX($X$2:$X$1001,MATCH(ROWS($W$2:W171),$W$2:$W$1001,0),1)&gt;=100000,INDEX($AD$1005:$AU$1005,1,MATCH(COLUMNS($AD$1006:AJ1006),$AD$1006:$AU$1006,0))&gt;=100000), " ",IF(INDEX($AD$2:$AU$1001,MATCH(ROWS($W$2:W171),$W$2:$W$1001,0),MATCH(COLUMNS($AD$1006:AJ1006),$AD$1006:$AU$1006,0)), HYPERLINK("#",""), HYPERLINK(CONCATENATE("#metadata!", ADDRESS(INDEX($Y$2:$Y$1001,MATCH(ROWS($W$2:W171),$W$2:$W$1001,0),0), INDEX($AD$1004:$AU$1004,1,MATCH(COLUMNS($AD$1006:AJ1006),$AD$1006:$AU$1006,0)))),"Fix")))</f>
        <v xml:space="preserve"> </v>
      </c>
      <c r="I171" s="4" t="str">
        <f ca="1">IF(OR(INDEX($X$2:$X$1001,MATCH(ROWS($W$2:W171),$W$2:$W$1001,0),1)&gt;=100000,INDEX($AD$1005:$AU$1005,1,MATCH(COLUMNS($AD$1006:AK1006),$AD$1006:$AU$1006,0))&gt;=100000), " ",IF(INDEX($AD$2:$AU$1001,MATCH(ROWS($W$2:W171),$W$2:$W$1001,0),MATCH(COLUMNS($AD$1006:AK1006),$AD$1006:$AU$1006,0)), HYPERLINK("#",""), HYPERLINK(CONCATENATE("#metadata!", ADDRESS(INDEX($Y$2:$Y$1001,MATCH(ROWS($W$2:W171),$W$2:$W$1001,0),0), INDEX($AD$1004:$AU$1004,1,MATCH(COLUMNS($AD$1006:AK1006),$AD$1006:$AU$1006,0)))),"Fix")))</f>
        <v xml:space="preserve"> </v>
      </c>
      <c r="J171" s="4" t="str">
        <f ca="1">IF(OR(INDEX($X$2:$X$1001,MATCH(ROWS($W$2:W171),$W$2:$W$1001,0),1)&gt;=100000,INDEX($AD$1005:$AU$1005,1,MATCH(COLUMNS($AD$1006:AL1006),$AD$1006:$AU$1006,0))&gt;=100000), " ",IF(INDEX($AD$2:$AU$1001,MATCH(ROWS($W$2:W171),$W$2:$W$1001,0),MATCH(COLUMNS($AD$1006:AL1006),$AD$1006:$AU$1006,0)), HYPERLINK("#",""), HYPERLINK(CONCATENATE("#metadata!", ADDRESS(INDEX($Y$2:$Y$1001,MATCH(ROWS($W$2:W171),$W$2:$W$1001,0),0), INDEX($AD$1004:$AU$1004,1,MATCH(COLUMNS($AD$1006:AL1006),$AD$1006:$AU$1006,0)))),"Fix")))</f>
        <v xml:space="preserve"> </v>
      </c>
      <c r="K171" s="4" t="str">
        <f ca="1">IF(OR(INDEX($X$2:$X$1001,MATCH(ROWS($W$2:W171),$W$2:$W$1001,0),1)&gt;=100000,INDEX($AD$1005:$AU$1005,1,MATCH(COLUMNS($AD$1006:AM1006),$AD$1006:$AU$1006,0))&gt;=100000), " ",IF(INDEX($AD$2:$AU$1001,MATCH(ROWS($W$2:W171),$W$2:$W$1001,0),MATCH(COLUMNS($AD$1006:AM1006),$AD$1006:$AU$1006,0)), HYPERLINK("#",""), HYPERLINK(CONCATENATE("#metadata!", ADDRESS(INDEX($Y$2:$Y$1001,MATCH(ROWS($W$2:W171),$W$2:$W$1001,0),0), INDEX($AD$1004:$AU$1004,1,MATCH(COLUMNS($AD$1006:AM1006),$AD$1006:$AU$1006,0)))),"Fix")))</f>
        <v xml:space="preserve"> </v>
      </c>
      <c r="L171" s="4" t="str">
        <f ca="1">IF(OR(INDEX($X$2:$X$1001,MATCH(ROWS($W$2:W171),$W$2:$W$1001,0),1)&gt;=100000,INDEX($AD$1005:$AU$1005,1,MATCH(COLUMNS($AD$1006:AN1006),$AD$1006:$AU$1006,0))&gt;=100000), " ",IF(INDEX($AD$2:$AU$1001,MATCH(ROWS($W$2:W171),$W$2:$W$1001,0),MATCH(COLUMNS($AD$1006:AN1006),$AD$1006:$AU$1006,0)), HYPERLINK("#",""), HYPERLINK(CONCATENATE("#metadata!", ADDRESS(INDEX($Y$2:$Y$1001,MATCH(ROWS($W$2:W171),$W$2:$W$1001,0),0), INDEX($AD$1004:$AU$1004,1,MATCH(COLUMNS($AD$1006:AN1006),$AD$1006:$AU$1006,0)))),"Fix")))</f>
        <v xml:space="preserve"> </v>
      </c>
      <c r="M171" s="4" t="str">
        <f ca="1">IF(OR(INDEX($X$2:$X$1001,MATCH(ROWS($W$2:W171),$W$2:$W$1001,0),1)&gt;=100000,INDEX($AD$1005:$AU$1005,1,MATCH(COLUMNS($AD$1006:AO1006),$AD$1006:$AU$1006,0))&gt;=100000), " ",IF(INDEX($AD$2:$AU$1001,MATCH(ROWS($W$2:W171),$W$2:$W$1001,0),MATCH(COLUMNS($AD$1006:AO1006),$AD$1006:$AU$1006,0)), HYPERLINK("#",""), HYPERLINK(CONCATENATE("#metadata!", ADDRESS(INDEX($Y$2:$Y$1001,MATCH(ROWS($W$2:W171),$W$2:$W$1001,0),0), INDEX($AD$1004:$AU$1004,1,MATCH(COLUMNS($AD$1006:AO1006),$AD$1006:$AU$1006,0)))),"Fix")))</f>
        <v xml:space="preserve"> </v>
      </c>
      <c r="N171" s="4" t="str">
        <f ca="1">IF(OR(INDEX($X$2:$X$1001,MATCH(ROWS($W$2:W171),$W$2:$W$1001,0),1)&gt;=100000,INDEX($AD$1005:$AU$1005,1,MATCH(COLUMNS($AD$1006:AP1006),$AD$1006:$AU$1006,0))&gt;=100000), " ",IF(INDEX($AD$2:$AU$1001,MATCH(ROWS($W$2:W171),$W$2:$W$1001,0),MATCH(COLUMNS($AD$1006:AP1006),$AD$1006:$AU$1006,0)), HYPERLINK("#",""), HYPERLINK(CONCATENATE("#metadata!", ADDRESS(INDEX($Y$2:$Y$1001,MATCH(ROWS($W$2:W171),$W$2:$W$1001,0),0), INDEX($AD$1004:$AU$1004,1,MATCH(COLUMNS($AD$1006:AP1006),$AD$1006:$AU$1006,0)))),"Fix")))</f>
        <v xml:space="preserve"> </v>
      </c>
      <c r="O171" s="4" t="str">
        <f ca="1">IF(OR(INDEX($X$2:$X$1001,MATCH(ROWS($W$2:W171),$W$2:$W$1001,0),1)&gt;=100000,INDEX($AD$1005:$AU$1005,1,MATCH(COLUMNS($AD$1006:AQ1006),$AD$1006:$AU$1006,0))&gt;=100000), " ",IF(INDEX($AD$2:$AU$1001,MATCH(ROWS($W$2:W171),$W$2:$W$1001,0),MATCH(COLUMNS($AD$1006:AQ1006),$AD$1006:$AU$1006,0)), HYPERLINK("#",""), HYPERLINK(CONCATENATE("#metadata!", ADDRESS(INDEX($Y$2:$Y$1001,MATCH(ROWS($W$2:W171),$W$2:$W$1001,0),0), INDEX($AD$1004:$AU$1004,1,MATCH(COLUMNS($AD$1006:AQ1006),$AD$1006:$AU$1006,0)))),"Fix")))</f>
        <v xml:space="preserve"> </v>
      </c>
      <c r="P171" s="4" t="str">
        <f ca="1">IF(OR(INDEX($X$2:$X$1001,MATCH(ROWS($W$2:W171),$W$2:$W$1001,0),1)&gt;=100000,INDEX($AD$1005:$AU$1005,1,MATCH(COLUMNS($AD$1006:AR1006),$AD$1006:$AU$1006,0))&gt;=100000), " ",IF(INDEX($AD$2:$AU$1001,MATCH(ROWS($W$2:W171),$W$2:$W$1001,0),MATCH(COLUMNS($AD$1006:AR1006),$AD$1006:$AU$1006,0)), HYPERLINK("#",""), HYPERLINK(CONCATENATE("#metadata!", ADDRESS(INDEX($Y$2:$Y$1001,MATCH(ROWS($W$2:W171),$W$2:$W$1001,0),0), INDEX($AD$1004:$AU$1004,1,MATCH(COLUMNS($AD$1006:AR1006),$AD$1006:$AU$1006,0)))),"Fix")))</f>
        <v xml:space="preserve"> </v>
      </c>
      <c r="Q171" s="4" t="str">
        <f ca="1">IF(OR(INDEX($X$2:$X$1001,MATCH(ROWS($W$2:W171),$W$2:$W$1001,0),1)&gt;=100000,INDEX($AD$1005:$AU$1005,1,MATCH(COLUMNS($AD$1006:AS1006),$AD$1006:$AU$1006,0))&gt;=100000), " ",IF(INDEX($AD$2:$AU$1001,MATCH(ROWS($W$2:W171),$W$2:$W$1001,0),MATCH(COLUMNS($AD$1006:AS1006),$AD$1006:$AU$1006,0)), HYPERLINK("#",""), HYPERLINK(CONCATENATE("#metadata!", ADDRESS(INDEX($Y$2:$Y$1001,MATCH(ROWS($W$2:W171),$W$2:$W$1001,0),0), INDEX($AD$1004:$AU$1004,1,MATCH(COLUMNS($AD$1006:AS1006),$AD$1006:$AU$1006,0)))),"Fix")))</f>
        <v xml:space="preserve"> </v>
      </c>
      <c r="R171" s="4" t="str">
        <f ca="1">IF(OR(INDEX($X$2:$X$1001,MATCH(ROWS($W$2:W171),$W$2:$W$1001,0),1)&gt;=100000,INDEX($AD$1005:$AU$1005,1,MATCH(COLUMNS($AD$1006:AT1006),$AD$1006:$AU$1006,0))&gt;=100000), " ",IF(INDEX($AD$2:$AU$1001,MATCH(ROWS($W$2:W171),$W$2:$W$1001,0),MATCH(COLUMNS($AD$1006:AT1006),$AD$1006:$AU$1006,0)), HYPERLINK("#",""), HYPERLINK(CONCATENATE("#metadata!", ADDRESS(INDEX($Y$2:$Y$1001,MATCH(ROWS($W$2:W171),$W$2:$W$1001,0),0), INDEX($AD$1004:$AU$1004,1,MATCH(COLUMNS($AD$1006:AT1006),$AD$1006:$AU$1006,0)))),"Fix")))</f>
        <v xml:space="preserve"> </v>
      </c>
      <c r="S171" s="4" t="str">
        <f ca="1">IF(OR(INDEX($X$2:$X$1001,MATCH(ROWS($W$2:W171),$W$2:$W$1001,0),1)&gt;=100000,INDEX($AD$1005:$AU$1005,1,MATCH(COLUMNS($AD$1006:AU1006),$AD$1006:$AU$1006,0))&gt;=100000), " ",IF(INDEX($AD$2:$AU$1001,MATCH(ROWS($W$2:W171),$W$2:$W$1001,0),MATCH(COLUMNS($AD$1006:AU1006),$AD$1006:$AU$1006,0)), HYPERLINK("#",""), HYPERLINK(CONCATENATE("#metadata!", ADDRESS(INDEX($Y$2:$Y$1001,MATCH(ROWS($W$2:W171),$W$2:$W$1001,0),0), INDEX($AD$1004:$AU$1004,1,MATCH(COLUMNS($AD$1006:AU1006),$AD$1006:$AU$1006,0)))),"Fix")))</f>
        <v xml:space="preserve"> </v>
      </c>
      <c r="W171">
        <v>170</v>
      </c>
      <c r="X171">
        <v>100171</v>
      </c>
      <c r="Y171">
        <v>171</v>
      </c>
      <c r="Z171" t="b">
        <f t="shared" si="2"/>
        <v>1</v>
      </c>
      <c r="AA171" t="b">
        <f>COUNTBLANK(metadata!B171:S171)=COLUMNS(metadata!B171:S171)</f>
        <v>1</v>
      </c>
      <c r="AB171" t="str">
        <v/>
      </c>
      <c r="AD171" t="b">
        <f ca="1">AND(IF(metadata!B171="",FALSE,TRUE),COUNTIF(metadata!B:B, metadata!B171) = 1,NOT(ISERROR(SUMPRODUCT(SEARCH(MID(metadata!B171,ROW(INDIRECT("1:"&amp;LEN(metadata!B171))), 1),"0123456789abcdefghijklmnopqrstuvwxyzABCDEFGHIJKLMNOPQRSTUVWXYZ.")))))</f>
        <v>0</v>
      </c>
      <c r="AE171" t="b">
        <f>OR(AND(IF(metadata!C171="",FALSE,TRUE),OR(EXACT(metadata!C171,"not applicable"),EXACT(metadata!C171,"missing: not collected"),EXACT(metadata!C171,"missing: not provided"),EXACT(metadata!C171,"missing: restricted access"))),AND(IF(metadata!C171="",FALSE,ISNUMBER(VALUE(metadata!C171))),metadata!C171&gt;0))</f>
        <v>0</v>
      </c>
      <c r="AF171" t="b">
        <f>AND(IF(metadata!D171="",FALSE,TRUE),EXACT(metadata!D171,"missing: not provided"))</f>
        <v>0</v>
      </c>
      <c r="AG171" t="b">
        <f>AND(IF(metadata!E171="",FALSE,TRUE),EXACT(metadata!E171,"Host-associated"))</f>
        <v>0</v>
      </c>
      <c r="AH171" t="b">
        <f>AND(IF(metadata!F171="",FALSE,TRUE),OR(EXACT(metadata!F171,"Animal"),EXACT(metadata!F171,"Fungus"),EXACT(metadata!F171,"Plant")))</f>
        <v>0</v>
      </c>
      <c r="AI171" t="b">
        <f>AND(IF(metadata!G171="",FALSE,TRUE),OR(EXACT(metadata!G171,"Plant secretion"),EXACT(metadata!G171,"Plant rhizosphere"),EXACT(metadata!G171,"Plant surface"),EXACT(metadata!G171,"Plant corpus"),EXACT(metadata!G171,"Fungus surface"),EXACT(metadata!G171,"Fungus corpus"),EXACT(metadata!G171,"Animal surface"),EXACT(metadata!G171,"Animal proximal gut"),EXACT(metadata!G171,"Animal corpus"),EXACT(metadata!G171,"Animal distal gut"),EXACT(metadata!G171,"Animal secretion")))</f>
        <v>0</v>
      </c>
      <c r="AJ171" t="b">
        <f>OR(AND(IF(metadata!H171="",FALSE,TRUE),OR(EXACT(metadata!H171,"missing: not collected"),EXACT(metadata!H171,"missing: not provided"),EXACT(metadata!H171,"missing: restricted access"))),AND(IF(metadata!H171="",FALSE,TRUE),OR(EXACT(metadata!H171,"organism-associated habitat"),EXACT(metadata!H171,"plant-associated habitat"),EXACT(metadata!H171,"animal-associated habitat"),EXACT(metadata!H171,"insecta-associated habitat"),EXACT(metadata!H171,"mammalia-associated habitat"),EXACT(metadata!H171,"human-associated habitat"),EXACT(metadata!H171,"livestock-associated habitat"))))</f>
        <v>0</v>
      </c>
      <c r="AK171" t="b">
        <f>AND(IF(metadata!I171="",FALSE,TRUE),EXACT(metadata!I171,"host-associated"))</f>
        <v>0</v>
      </c>
      <c r="AL171" t="b">
        <f>OR(AND(IF(metadata!J171="",FALSE,TRUE),OR(EXACT(metadata!J171,"not applicable"),EXACT(metadata!J171,"missing: not collected"),EXACT(metadata!J171,"missing: not provided"),EXACT(metadata!J171,"missing: restricted access"))),AND(IF(metadata!J171="",FALSE,ISNUMBER(VALUE(metadata!J171))),metadata!J171&gt;0))</f>
        <v>0</v>
      </c>
      <c r="AM171" t="b">
        <f>AND(IF(metadata!K171="",FALSE,TRUE),EXACT(metadata!K171,"missing: not provided"))</f>
        <v>0</v>
      </c>
      <c r="AN171" t="b">
        <f>IF(metadata!L171="",FALSE,TRUE)</f>
        <v>0</v>
      </c>
      <c r="AO171" t="b">
        <f>IF(metadata!M171="",FALSE,TRUE)</f>
        <v>0</v>
      </c>
      <c r="AP171" t="b">
        <f>OR(AND(IF(metadata!N171="",FALSE,TRUE),OR(EXACT(metadata!N171,"not applicable"),EXACT(metadata!N171,"missing: not collected"),EXACT(metadata!N171,"missing: not provided"))),AND(IF(metadata!N171="",FALSE,IF(ISERROR(INT(metadata!N171)),FALSE,INT(metadata!N171)=metadata!N171)),metadata!N171&gt;0))</f>
        <v>0</v>
      </c>
      <c r="AQ171" t="b">
        <f>AND(IF(metadata!O171="",FALSE,TRUE),EXACT(metadata!O171,"Not applicable"))</f>
        <v>0</v>
      </c>
      <c r="AR171" t="b">
        <f>OR(AND(IF(metadata!P171="",FALSE,TRUE),OR(EXACT(metadata!P171,"not applicable"),EXACT(metadata!P171,"missing: not collected"),EXACT(metadata!P171,"missing: not provided"),EXACT(metadata!P171,"missing: restricted access"))),IF(metadata!P171="",FALSE,IF(ISERROR(INT(metadata!P171)),FALSE,INT(metadata!P171)=metadata!P171)))</f>
        <v>0</v>
      </c>
      <c r="AS171" t="b">
        <f>AND(IF(metadata!Q171="",FALSE,TRUE),EXACT(metadata!Q171,"Not applicable"))</f>
        <v>0</v>
      </c>
      <c r="AT171" t="b">
        <f>OR(AND(IF(metadata!R171="",FALSE,TRUE),OR(EXACT(metadata!R171,"not applicable"),EXACT(metadata!R171,"missing: not collected"),EXACT(metadata!R171,"missing: not provided"),EXACT(metadata!R171,"missing: restricted access"))),AND(IF(metadata!R171="",FALSE,ISNUMBER(VALUE(metadata!R171))),metadata!R171&gt;0))</f>
        <v>0</v>
      </c>
      <c r="AU171" t="b">
        <f>AND(IF(metadata!S171="",FALSE,TRUE),EXACT(metadata!S171,"missing: not provided"))</f>
        <v>0</v>
      </c>
    </row>
    <row r="172" spans="1:47" x14ac:dyDescent="0.2">
      <c r="A172" s="5" t="str">
        <f ca="1">IF(B172=" "," ",HYPERLINK(CONCATENATE("#metadata!",ADDRESS(INDEX($Y$2:$Y$1001,MATCH(ROWS($W$2:W172),$W$2:$W$1001,0),0),1)),INDEX($AB$2:$AB$1001,MATCH(ROWS($W$2:W172),$W$2:$W$1001,0),0)))</f>
        <v xml:space="preserve"> </v>
      </c>
      <c r="B172" s="4" t="str">
        <f ca="1">IF(OR(INDEX($X$2:$X$1001,MATCH(ROWS($W$2:W172),$W$2:$W$1001,0),1)&gt;=100000,INDEX($AD$1005:$AU$1005,1,MATCH(COLUMNS($AD$1006:AD1006),$AD$1006:$AU$1006,0))&gt;=100000), " ",IF(INDEX($AD$2:$AU$1001,MATCH(ROWS($W$2:W172),$W$2:$W$1001,0),MATCH(COLUMNS($AD$1006:AD1006),$AD$1006:$AU$1006,0)), HYPERLINK("#",""), HYPERLINK(CONCATENATE("#metadata!", ADDRESS(INDEX($Y$2:$Y$1001,MATCH(ROWS($W$2:W172),$W$2:$W$1001,0),0), INDEX($AD$1004:$AU$1004,1,MATCH(COLUMNS($AD$1006:AD1006),$AD$1006:$AU$1006,0)))),"Fix")))</f>
        <v xml:space="preserve"> </v>
      </c>
      <c r="C172" s="4" t="str">
        <f ca="1">IF(OR(INDEX($X$2:$X$1001,MATCH(ROWS($W$2:W172),$W$2:$W$1001,0),1)&gt;=100000,INDEX($AD$1005:$AU$1005,1,MATCH(COLUMNS($AD$1006:AE1006),$AD$1006:$AU$1006,0))&gt;=100000), " ",IF(INDEX($AD$2:$AU$1001,MATCH(ROWS($W$2:W172),$W$2:$W$1001,0),MATCH(COLUMNS($AD$1006:AE1006),$AD$1006:$AU$1006,0)), HYPERLINK("#",""), HYPERLINK(CONCATENATE("#metadata!", ADDRESS(INDEX($Y$2:$Y$1001,MATCH(ROWS($W$2:W172),$W$2:$W$1001,0),0), INDEX($AD$1004:$AU$1004,1,MATCH(COLUMNS($AD$1006:AE1006),$AD$1006:$AU$1006,0)))),"Fix")))</f>
        <v xml:space="preserve"> </v>
      </c>
      <c r="D172" s="4" t="str">
        <f ca="1">IF(OR(INDEX($X$2:$X$1001,MATCH(ROWS($W$2:W172),$W$2:$W$1001,0),1)&gt;=100000,INDEX($AD$1005:$AU$1005,1,MATCH(COLUMNS($AD$1006:AF1006),$AD$1006:$AU$1006,0))&gt;=100000), " ",IF(INDEX($AD$2:$AU$1001,MATCH(ROWS($W$2:W172),$W$2:$W$1001,0),MATCH(COLUMNS($AD$1006:AF1006),$AD$1006:$AU$1006,0)), HYPERLINK("#",""), HYPERLINK(CONCATENATE("#metadata!", ADDRESS(INDEX($Y$2:$Y$1001,MATCH(ROWS($W$2:W172),$W$2:$W$1001,0),0), INDEX($AD$1004:$AU$1004,1,MATCH(COLUMNS($AD$1006:AF1006),$AD$1006:$AU$1006,0)))),"Fix")))</f>
        <v xml:space="preserve"> </v>
      </c>
      <c r="E172" s="4" t="str">
        <f ca="1">IF(OR(INDEX($X$2:$X$1001,MATCH(ROWS($W$2:W172),$W$2:$W$1001,0),1)&gt;=100000,INDEX($AD$1005:$AU$1005,1,MATCH(COLUMNS($AD$1006:AG1006),$AD$1006:$AU$1006,0))&gt;=100000), " ",IF(INDEX($AD$2:$AU$1001,MATCH(ROWS($W$2:W172),$W$2:$W$1001,0),MATCH(COLUMNS($AD$1006:AG1006),$AD$1006:$AU$1006,0)), HYPERLINK("#",""), HYPERLINK(CONCATENATE("#metadata!", ADDRESS(INDEX($Y$2:$Y$1001,MATCH(ROWS($W$2:W172),$W$2:$W$1001,0),0), INDEX($AD$1004:$AU$1004,1,MATCH(COLUMNS($AD$1006:AG1006),$AD$1006:$AU$1006,0)))),"Fix")))</f>
        <v xml:space="preserve"> </v>
      </c>
      <c r="F172" s="4" t="str">
        <f ca="1">IF(OR(INDEX($X$2:$X$1001,MATCH(ROWS($W$2:W172),$W$2:$W$1001,0),1)&gt;=100000,INDEX($AD$1005:$AU$1005,1,MATCH(COLUMNS($AD$1006:AH1006),$AD$1006:$AU$1006,0))&gt;=100000), " ",IF(INDEX($AD$2:$AU$1001,MATCH(ROWS($W$2:W172),$W$2:$W$1001,0),MATCH(COLUMNS($AD$1006:AH1006),$AD$1006:$AU$1006,0)), HYPERLINK("#",""), HYPERLINK(CONCATENATE("#metadata!", ADDRESS(INDEX($Y$2:$Y$1001,MATCH(ROWS($W$2:W172),$W$2:$W$1001,0),0), INDEX($AD$1004:$AU$1004,1,MATCH(COLUMNS($AD$1006:AH1006),$AD$1006:$AU$1006,0)))),"Fix")))</f>
        <v xml:space="preserve"> </v>
      </c>
      <c r="G172" s="4" t="str">
        <f ca="1">IF(OR(INDEX($X$2:$X$1001,MATCH(ROWS($W$2:W172),$W$2:$W$1001,0),1)&gt;=100000,INDEX($AD$1005:$AU$1005,1,MATCH(COLUMNS($AD$1006:AI1006),$AD$1006:$AU$1006,0))&gt;=100000), " ",IF(INDEX($AD$2:$AU$1001,MATCH(ROWS($W$2:W172),$W$2:$W$1001,0),MATCH(COLUMNS($AD$1006:AI1006),$AD$1006:$AU$1006,0)), HYPERLINK("#",""), HYPERLINK(CONCATENATE("#metadata!", ADDRESS(INDEX($Y$2:$Y$1001,MATCH(ROWS($W$2:W172),$W$2:$W$1001,0),0), INDEX($AD$1004:$AU$1004,1,MATCH(COLUMNS($AD$1006:AI1006),$AD$1006:$AU$1006,0)))),"Fix")))</f>
        <v xml:space="preserve"> </v>
      </c>
      <c r="H172" s="4" t="str">
        <f ca="1">IF(OR(INDEX($X$2:$X$1001,MATCH(ROWS($W$2:W172),$W$2:$W$1001,0),1)&gt;=100000,INDEX($AD$1005:$AU$1005,1,MATCH(COLUMNS($AD$1006:AJ1006),$AD$1006:$AU$1006,0))&gt;=100000), " ",IF(INDEX($AD$2:$AU$1001,MATCH(ROWS($W$2:W172),$W$2:$W$1001,0),MATCH(COLUMNS($AD$1006:AJ1006),$AD$1006:$AU$1006,0)), HYPERLINK("#",""), HYPERLINK(CONCATENATE("#metadata!", ADDRESS(INDEX($Y$2:$Y$1001,MATCH(ROWS($W$2:W172),$W$2:$W$1001,0),0), INDEX($AD$1004:$AU$1004,1,MATCH(COLUMNS($AD$1006:AJ1006),$AD$1006:$AU$1006,0)))),"Fix")))</f>
        <v xml:space="preserve"> </v>
      </c>
      <c r="I172" s="4" t="str">
        <f ca="1">IF(OR(INDEX($X$2:$X$1001,MATCH(ROWS($W$2:W172),$W$2:$W$1001,0),1)&gt;=100000,INDEX($AD$1005:$AU$1005,1,MATCH(COLUMNS($AD$1006:AK1006),$AD$1006:$AU$1006,0))&gt;=100000), " ",IF(INDEX($AD$2:$AU$1001,MATCH(ROWS($W$2:W172),$W$2:$W$1001,0),MATCH(COLUMNS($AD$1006:AK1006),$AD$1006:$AU$1006,0)), HYPERLINK("#",""), HYPERLINK(CONCATENATE("#metadata!", ADDRESS(INDEX($Y$2:$Y$1001,MATCH(ROWS($W$2:W172),$W$2:$W$1001,0),0), INDEX($AD$1004:$AU$1004,1,MATCH(COLUMNS($AD$1006:AK1006),$AD$1006:$AU$1006,0)))),"Fix")))</f>
        <v xml:space="preserve"> </v>
      </c>
      <c r="J172" s="4" t="str">
        <f ca="1">IF(OR(INDEX($X$2:$X$1001,MATCH(ROWS($W$2:W172),$W$2:$W$1001,0),1)&gt;=100000,INDEX($AD$1005:$AU$1005,1,MATCH(COLUMNS($AD$1006:AL1006),$AD$1006:$AU$1006,0))&gt;=100000), " ",IF(INDEX($AD$2:$AU$1001,MATCH(ROWS($W$2:W172),$W$2:$W$1001,0),MATCH(COLUMNS($AD$1006:AL1006),$AD$1006:$AU$1006,0)), HYPERLINK("#",""), HYPERLINK(CONCATENATE("#metadata!", ADDRESS(INDEX($Y$2:$Y$1001,MATCH(ROWS($W$2:W172),$W$2:$W$1001,0),0), INDEX($AD$1004:$AU$1004,1,MATCH(COLUMNS($AD$1006:AL1006),$AD$1006:$AU$1006,0)))),"Fix")))</f>
        <v xml:space="preserve"> </v>
      </c>
      <c r="K172" s="4" t="str">
        <f ca="1">IF(OR(INDEX($X$2:$X$1001,MATCH(ROWS($W$2:W172),$W$2:$W$1001,0),1)&gt;=100000,INDEX($AD$1005:$AU$1005,1,MATCH(COLUMNS($AD$1006:AM1006),$AD$1006:$AU$1006,0))&gt;=100000), " ",IF(INDEX($AD$2:$AU$1001,MATCH(ROWS($W$2:W172),$W$2:$W$1001,0),MATCH(COLUMNS($AD$1006:AM1006),$AD$1006:$AU$1006,0)), HYPERLINK("#",""), HYPERLINK(CONCATENATE("#metadata!", ADDRESS(INDEX($Y$2:$Y$1001,MATCH(ROWS($W$2:W172),$W$2:$W$1001,0),0), INDEX($AD$1004:$AU$1004,1,MATCH(COLUMNS($AD$1006:AM1006),$AD$1006:$AU$1006,0)))),"Fix")))</f>
        <v xml:space="preserve"> </v>
      </c>
      <c r="L172" s="4" t="str">
        <f ca="1">IF(OR(INDEX($X$2:$X$1001,MATCH(ROWS($W$2:W172),$W$2:$W$1001,0),1)&gt;=100000,INDEX($AD$1005:$AU$1005,1,MATCH(COLUMNS($AD$1006:AN1006),$AD$1006:$AU$1006,0))&gt;=100000), " ",IF(INDEX($AD$2:$AU$1001,MATCH(ROWS($W$2:W172),$W$2:$W$1001,0),MATCH(COLUMNS($AD$1006:AN1006),$AD$1006:$AU$1006,0)), HYPERLINK("#",""), HYPERLINK(CONCATENATE("#metadata!", ADDRESS(INDEX($Y$2:$Y$1001,MATCH(ROWS($W$2:W172),$W$2:$W$1001,0),0), INDEX($AD$1004:$AU$1004,1,MATCH(COLUMNS($AD$1006:AN1006),$AD$1006:$AU$1006,0)))),"Fix")))</f>
        <v xml:space="preserve"> </v>
      </c>
      <c r="M172" s="4" t="str">
        <f ca="1">IF(OR(INDEX($X$2:$X$1001,MATCH(ROWS($W$2:W172),$W$2:$W$1001,0),1)&gt;=100000,INDEX($AD$1005:$AU$1005,1,MATCH(COLUMNS($AD$1006:AO1006),$AD$1006:$AU$1006,0))&gt;=100000), " ",IF(INDEX($AD$2:$AU$1001,MATCH(ROWS($W$2:W172),$W$2:$W$1001,0),MATCH(COLUMNS($AD$1006:AO1006),$AD$1006:$AU$1006,0)), HYPERLINK("#",""), HYPERLINK(CONCATENATE("#metadata!", ADDRESS(INDEX($Y$2:$Y$1001,MATCH(ROWS($W$2:W172),$W$2:$W$1001,0),0), INDEX($AD$1004:$AU$1004,1,MATCH(COLUMNS($AD$1006:AO1006),$AD$1006:$AU$1006,0)))),"Fix")))</f>
        <v xml:space="preserve"> </v>
      </c>
      <c r="N172" s="4" t="str">
        <f ca="1">IF(OR(INDEX($X$2:$X$1001,MATCH(ROWS($W$2:W172),$W$2:$W$1001,0),1)&gt;=100000,INDEX($AD$1005:$AU$1005,1,MATCH(COLUMNS($AD$1006:AP1006),$AD$1006:$AU$1006,0))&gt;=100000), " ",IF(INDEX($AD$2:$AU$1001,MATCH(ROWS($W$2:W172),$W$2:$W$1001,0),MATCH(COLUMNS($AD$1006:AP1006),$AD$1006:$AU$1006,0)), HYPERLINK("#",""), HYPERLINK(CONCATENATE("#metadata!", ADDRESS(INDEX($Y$2:$Y$1001,MATCH(ROWS($W$2:W172),$W$2:$W$1001,0),0), INDEX($AD$1004:$AU$1004,1,MATCH(COLUMNS($AD$1006:AP1006),$AD$1006:$AU$1006,0)))),"Fix")))</f>
        <v xml:space="preserve"> </v>
      </c>
      <c r="O172" s="4" t="str">
        <f ca="1">IF(OR(INDEX($X$2:$X$1001,MATCH(ROWS($W$2:W172),$W$2:$W$1001,0),1)&gt;=100000,INDEX($AD$1005:$AU$1005,1,MATCH(COLUMNS($AD$1006:AQ1006),$AD$1006:$AU$1006,0))&gt;=100000), " ",IF(INDEX($AD$2:$AU$1001,MATCH(ROWS($W$2:W172),$W$2:$W$1001,0),MATCH(COLUMNS($AD$1006:AQ1006),$AD$1006:$AU$1006,0)), HYPERLINK("#",""), HYPERLINK(CONCATENATE("#metadata!", ADDRESS(INDEX($Y$2:$Y$1001,MATCH(ROWS($W$2:W172),$W$2:$W$1001,0),0), INDEX($AD$1004:$AU$1004,1,MATCH(COLUMNS($AD$1006:AQ1006),$AD$1006:$AU$1006,0)))),"Fix")))</f>
        <v xml:space="preserve"> </v>
      </c>
      <c r="P172" s="4" t="str">
        <f ca="1">IF(OR(INDEX($X$2:$X$1001,MATCH(ROWS($W$2:W172),$W$2:$W$1001,0),1)&gt;=100000,INDEX($AD$1005:$AU$1005,1,MATCH(COLUMNS($AD$1006:AR1006),$AD$1006:$AU$1006,0))&gt;=100000), " ",IF(INDEX($AD$2:$AU$1001,MATCH(ROWS($W$2:W172),$W$2:$W$1001,0),MATCH(COLUMNS($AD$1006:AR1006),$AD$1006:$AU$1006,0)), HYPERLINK("#",""), HYPERLINK(CONCATENATE("#metadata!", ADDRESS(INDEX($Y$2:$Y$1001,MATCH(ROWS($W$2:W172),$W$2:$W$1001,0),0), INDEX($AD$1004:$AU$1004,1,MATCH(COLUMNS($AD$1006:AR1006),$AD$1006:$AU$1006,0)))),"Fix")))</f>
        <v xml:space="preserve"> </v>
      </c>
      <c r="Q172" s="4" t="str">
        <f ca="1">IF(OR(INDEX($X$2:$X$1001,MATCH(ROWS($W$2:W172),$W$2:$W$1001,0),1)&gt;=100000,INDEX($AD$1005:$AU$1005,1,MATCH(COLUMNS($AD$1006:AS1006),$AD$1006:$AU$1006,0))&gt;=100000), " ",IF(INDEX($AD$2:$AU$1001,MATCH(ROWS($W$2:W172),$W$2:$W$1001,0),MATCH(COLUMNS($AD$1006:AS1006),$AD$1006:$AU$1006,0)), HYPERLINK("#",""), HYPERLINK(CONCATENATE("#metadata!", ADDRESS(INDEX($Y$2:$Y$1001,MATCH(ROWS($W$2:W172),$W$2:$W$1001,0),0), INDEX($AD$1004:$AU$1004,1,MATCH(COLUMNS($AD$1006:AS1006),$AD$1006:$AU$1006,0)))),"Fix")))</f>
        <v xml:space="preserve"> </v>
      </c>
      <c r="R172" s="4" t="str">
        <f ca="1">IF(OR(INDEX($X$2:$X$1001,MATCH(ROWS($W$2:W172),$W$2:$W$1001,0),1)&gt;=100000,INDEX($AD$1005:$AU$1005,1,MATCH(COLUMNS($AD$1006:AT1006),$AD$1006:$AU$1006,0))&gt;=100000), " ",IF(INDEX($AD$2:$AU$1001,MATCH(ROWS($W$2:W172),$W$2:$W$1001,0),MATCH(COLUMNS($AD$1006:AT1006),$AD$1006:$AU$1006,0)), HYPERLINK("#",""), HYPERLINK(CONCATENATE("#metadata!", ADDRESS(INDEX($Y$2:$Y$1001,MATCH(ROWS($W$2:W172),$W$2:$W$1001,0),0), INDEX($AD$1004:$AU$1004,1,MATCH(COLUMNS($AD$1006:AT1006),$AD$1006:$AU$1006,0)))),"Fix")))</f>
        <v xml:space="preserve"> </v>
      </c>
      <c r="S172" s="4" t="str">
        <f ca="1">IF(OR(INDEX($X$2:$X$1001,MATCH(ROWS($W$2:W172),$W$2:$W$1001,0),1)&gt;=100000,INDEX($AD$1005:$AU$1005,1,MATCH(COLUMNS($AD$1006:AU1006),$AD$1006:$AU$1006,0))&gt;=100000), " ",IF(INDEX($AD$2:$AU$1001,MATCH(ROWS($W$2:W172),$W$2:$W$1001,0),MATCH(COLUMNS($AD$1006:AU1006),$AD$1006:$AU$1006,0)), HYPERLINK("#",""), HYPERLINK(CONCATENATE("#metadata!", ADDRESS(INDEX($Y$2:$Y$1001,MATCH(ROWS($W$2:W172),$W$2:$W$1001,0),0), INDEX($AD$1004:$AU$1004,1,MATCH(COLUMNS($AD$1006:AU1006),$AD$1006:$AU$1006,0)))),"Fix")))</f>
        <v xml:space="preserve"> </v>
      </c>
      <c r="W172">
        <v>171</v>
      </c>
      <c r="X172">
        <v>100172</v>
      </c>
      <c r="Y172">
        <v>172</v>
      </c>
      <c r="Z172" t="b">
        <f t="shared" si="2"/>
        <v>1</v>
      </c>
      <c r="AA172" t="b">
        <f>COUNTBLANK(metadata!B172:S172)=COLUMNS(metadata!B172:S172)</f>
        <v>1</v>
      </c>
      <c r="AB172" t="str">
        <v/>
      </c>
      <c r="AD172" t="b">
        <f ca="1">AND(IF(metadata!B172="",FALSE,TRUE),COUNTIF(metadata!B:B, metadata!B172) = 1,NOT(ISERROR(SUMPRODUCT(SEARCH(MID(metadata!B172,ROW(INDIRECT("1:"&amp;LEN(metadata!B172))), 1),"0123456789abcdefghijklmnopqrstuvwxyzABCDEFGHIJKLMNOPQRSTUVWXYZ.")))))</f>
        <v>0</v>
      </c>
      <c r="AE172" t="b">
        <f>OR(AND(IF(metadata!C172="",FALSE,TRUE),OR(EXACT(metadata!C172,"not applicable"),EXACT(metadata!C172,"missing: not collected"),EXACT(metadata!C172,"missing: not provided"),EXACT(metadata!C172,"missing: restricted access"))),AND(IF(metadata!C172="",FALSE,ISNUMBER(VALUE(metadata!C172))),metadata!C172&gt;0))</f>
        <v>0</v>
      </c>
      <c r="AF172" t="b">
        <f>AND(IF(metadata!D172="",FALSE,TRUE),EXACT(metadata!D172,"missing: not provided"))</f>
        <v>0</v>
      </c>
      <c r="AG172" t="b">
        <f>AND(IF(metadata!E172="",FALSE,TRUE),EXACT(metadata!E172,"Host-associated"))</f>
        <v>0</v>
      </c>
      <c r="AH172" t="b">
        <f>AND(IF(metadata!F172="",FALSE,TRUE),OR(EXACT(metadata!F172,"Animal"),EXACT(metadata!F172,"Fungus"),EXACT(metadata!F172,"Plant")))</f>
        <v>0</v>
      </c>
      <c r="AI172" t="b">
        <f>AND(IF(metadata!G172="",FALSE,TRUE),OR(EXACT(metadata!G172,"Plant secretion"),EXACT(metadata!G172,"Plant rhizosphere"),EXACT(metadata!G172,"Plant surface"),EXACT(metadata!G172,"Plant corpus"),EXACT(metadata!G172,"Fungus surface"),EXACT(metadata!G172,"Fungus corpus"),EXACT(metadata!G172,"Animal surface"),EXACT(metadata!G172,"Animal proximal gut"),EXACT(metadata!G172,"Animal corpus"),EXACT(metadata!G172,"Animal distal gut"),EXACT(metadata!G172,"Animal secretion")))</f>
        <v>0</v>
      </c>
      <c r="AJ172" t="b">
        <f>OR(AND(IF(metadata!H172="",FALSE,TRUE),OR(EXACT(metadata!H172,"missing: not collected"),EXACT(metadata!H172,"missing: not provided"),EXACT(metadata!H172,"missing: restricted access"))),AND(IF(metadata!H172="",FALSE,TRUE),OR(EXACT(metadata!H172,"organism-associated habitat"),EXACT(metadata!H172,"plant-associated habitat"),EXACT(metadata!H172,"animal-associated habitat"),EXACT(metadata!H172,"insecta-associated habitat"),EXACT(metadata!H172,"mammalia-associated habitat"),EXACT(metadata!H172,"human-associated habitat"),EXACT(metadata!H172,"livestock-associated habitat"))))</f>
        <v>0</v>
      </c>
      <c r="AK172" t="b">
        <f>AND(IF(metadata!I172="",FALSE,TRUE),EXACT(metadata!I172,"host-associated"))</f>
        <v>0</v>
      </c>
      <c r="AL172" t="b">
        <f>OR(AND(IF(metadata!J172="",FALSE,TRUE),OR(EXACT(metadata!J172,"not applicable"),EXACT(metadata!J172,"missing: not collected"),EXACT(metadata!J172,"missing: not provided"),EXACT(metadata!J172,"missing: restricted access"))),AND(IF(metadata!J172="",FALSE,ISNUMBER(VALUE(metadata!J172))),metadata!J172&gt;0))</f>
        <v>0</v>
      </c>
      <c r="AM172" t="b">
        <f>AND(IF(metadata!K172="",FALSE,TRUE),EXACT(metadata!K172,"missing: not provided"))</f>
        <v>0</v>
      </c>
      <c r="AN172" t="b">
        <f>IF(metadata!L172="",FALSE,TRUE)</f>
        <v>0</v>
      </c>
      <c r="AO172" t="b">
        <f>IF(metadata!M172="",FALSE,TRUE)</f>
        <v>0</v>
      </c>
      <c r="AP172" t="b">
        <f>OR(AND(IF(metadata!N172="",FALSE,TRUE),OR(EXACT(metadata!N172,"not applicable"),EXACT(metadata!N172,"missing: not collected"),EXACT(metadata!N172,"missing: not provided"))),AND(IF(metadata!N172="",FALSE,IF(ISERROR(INT(metadata!N172)),FALSE,INT(metadata!N172)=metadata!N172)),metadata!N172&gt;0))</f>
        <v>0</v>
      </c>
      <c r="AQ172" t="b">
        <f>AND(IF(metadata!O172="",FALSE,TRUE),EXACT(metadata!O172,"Not applicable"))</f>
        <v>0</v>
      </c>
      <c r="AR172" t="b">
        <f>OR(AND(IF(metadata!P172="",FALSE,TRUE),OR(EXACT(metadata!P172,"not applicable"),EXACT(metadata!P172,"missing: not collected"),EXACT(metadata!P172,"missing: not provided"),EXACT(metadata!P172,"missing: restricted access"))),IF(metadata!P172="",FALSE,IF(ISERROR(INT(metadata!P172)),FALSE,INT(metadata!P172)=metadata!P172)))</f>
        <v>0</v>
      </c>
      <c r="AS172" t="b">
        <f>AND(IF(metadata!Q172="",FALSE,TRUE),EXACT(metadata!Q172,"Not applicable"))</f>
        <v>0</v>
      </c>
      <c r="AT172" t="b">
        <f>OR(AND(IF(metadata!R172="",FALSE,TRUE),OR(EXACT(metadata!R172,"not applicable"),EXACT(metadata!R172,"missing: not collected"),EXACT(metadata!R172,"missing: not provided"),EXACT(metadata!R172,"missing: restricted access"))),AND(IF(metadata!R172="",FALSE,ISNUMBER(VALUE(metadata!R172))),metadata!R172&gt;0))</f>
        <v>0</v>
      </c>
      <c r="AU172" t="b">
        <f>AND(IF(metadata!S172="",FALSE,TRUE),EXACT(metadata!S172,"missing: not provided"))</f>
        <v>0</v>
      </c>
    </row>
    <row r="173" spans="1:47" x14ac:dyDescent="0.2">
      <c r="A173" s="5" t="str">
        <f ca="1">IF(B173=" "," ",HYPERLINK(CONCATENATE("#metadata!",ADDRESS(INDEX($Y$2:$Y$1001,MATCH(ROWS($W$2:W173),$W$2:$W$1001,0),0),1)),INDEX($AB$2:$AB$1001,MATCH(ROWS($W$2:W173),$W$2:$W$1001,0),0)))</f>
        <v xml:space="preserve"> </v>
      </c>
      <c r="B173" s="4" t="str">
        <f ca="1">IF(OR(INDEX($X$2:$X$1001,MATCH(ROWS($W$2:W173),$W$2:$W$1001,0),1)&gt;=100000,INDEX($AD$1005:$AU$1005,1,MATCH(COLUMNS($AD$1006:AD1006),$AD$1006:$AU$1006,0))&gt;=100000), " ",IF(INDEX($AD$2:$AU$1001,MATCH(ROWS($W$2:W173),$W$2:$W$1001,0),MATCH(COLUMNS($AD$1006:AD1006),$AD$1006:$AU$1006,0)), HYPERLINK("#",""), HYPERLINK(CONCATENATE("#metadata!", ADDRESS(INDEX($Y$2:$Y$1001,MATCH(ROWS($W$2:W173),$W$2:$W$1001,0),0), INDEX($AD$1004:$AU$1004,1,MATCH(COLUMNS($AD$1006:AD1006),$AD$1006:$AU$1006,0)))),"Fix")))</f>
        <v xml:space="preserve"> </v>
      </c>
      <c r="C173" s="4" t="str">
        <f ca="1">IF(OR(INDEX($X$2:$X$1001,MATCH(ROWS($W$2:W173),$W$2:$W$1001,0),1)&gt;=100000,INDEX($AD$1005:$AU$1005,1,MATCH(COLUMNS($AD$1006:AE1006),$AD$1006:$AU$1006,0))&gt;=100000), " ",IF(INDEX($AD$2:$AU$1001,MATCH(ROWS($W$2:W173),$W$2:$W$1001,0),MATCH(COLUMNS($AD$1006:AE1006),$AD$1006:$AU$1006,0)), HYPERLINK("#",""), HYPERLINK(CONCATENATE("#metadata!", ADDRESS(INDEX($Y$2:$Y$1001,MATCH(ROWS($W$2:W173),$W$2:$W$1001,0),0), INDEX($AD$1004:$AU$1004,1,MATCH(COLUMNS($AD$1006:AE1006),$AD$1006:$AU$1006,0)))),"Fix")))</f>
        <v xml:space="preserve"> </v>
      </c>
      <c r="D173" s="4" t="str">
        <f ca="1">IF(OR(INDEX($X$2:$X$1001,MATCH(ROWS($W$2:W173),$W$2:$W$1001,0),1)&gt;=100000,INDEX($AD$1005:$AU$1005,1,MATCH(COLUMNS($AD$1006:AF1006),$AD$1006:$AU$1006,0))&gt;=100000), " ",IF(INDEX($AD$2:$AU$1001,MATCH(ROWS($W$2:W173),$W$2:$W$1001,0),MATCH(COLUMNS($AD$1006:AF1006),$AD$1006:$AU$1006,0)), HYPERLINK("#",""), HYPERLINK(CONCATENATE("#metadata!", ADDRESS(INDEX($Y$2:$Y$1001,MATCH(ROWS($W$2:W173),$W$2:$W$1001,0),0), INDEX($AD$1004:$AU$1004,1,MATCH(COLUMNS($AD$1006:AF1006),$AD$1006:$AU$1006,0)))),"Fix")))</f>
        <v xml:space="preserve"> </v>
      </c>
      <c r="E173" s="4" t="str">
        <f ca="1">IF(OR(INDEX($X$2:$X$1001,MATCH(ROWS($W$2:W173),$W$2:$W$1001,0),1)&gt;=100000,INDEX($AD$1005:$AU$1005,1,MATCH(COLUMNS($AD$1006:AG1006),$AD$1006:$AU$1006,0))&gt;=100000), " ",IF(INDEX($AD$2:$AU$1001,MATCH(ROWS($W$2:W173),$W$2:$W$1001,0),MATCH(COLUMNS($AD$1006:AG1006),$AD$1006:$AU$1006,0)), HYPERLINK("#",""), HYPERLINK(CONCATENATE("#metadata!", ADDRESS(INDEX($Y$2:$Y$1001,MATCH(ROWS($W$2:W173),$W$2:$W$1001,0),0), INDEX($AD$1004:$AU$1004,1,MATCH(COLUMNS($AD$1006:AG1006),$AD$1006:$AU$1006,0)))),"Fix")))</f>
        <v xml:space="preserve"> </v>
      </c>
      <c r="F173" s="4" t="str">
        <f ca="1">IF(OR(INDEX($X$2:$X$1001,MATCH(ROWS($W$2:W173),$W$2:$W$1001,0),1)&gt;=100000,INDEX($AD$1005:$AU$1005,1,MATCH(COLUMNS($AD$1006:AH1006),$AD$1006:$AU$1006,0))&gt;=100000), " ",IF(INDEX($AD$2:$AU$1001,MATCH(ROWS($W$2:W173),$W$2:$W$1001,0),MATCH(COLUMNS($AD$1006:AH1006),$AD$1006:$AU$1006,0)), HYPERLINK("#",""), HYPERLINK(CONCATENATE("#metadata!", ADDRESS(INDEX($Y$2:$Y$1001,MATCH(ROWS($W$2:W173),$W$2:$W$1001,0),0), INDEX($AD$1004:$AU$1004,1,MATCH(COLUMNS($AD$1006:AH1006),$AD$1006:$AU$1006,0)))),"Fix")))</f>
        <v xml:space="preserve"> </v>
      </c>
      <c r="G173" s="4" t="str">
        <f ca="1">IF(OR(INDEX($X$2:$X$1001,MATCH(ROWS($W$2:W173),$W$2:$W$1001,0),1)&gt;=100000,INDEX($AD$1005:$AU$1005,1,MATCH(COLUMNS($AD$1006:AI1006),$AD$1006:$AU$1006,0))&gt;=100000), " ",IF(INDEX($AD$2:$AU$1001,MATCH(ROWS($W$2:W173),$W$2:$W$1001,0),MATCH(COLUMNS($AD$1006:AI1006),$AD$1006:$AU$1006,0)), HYPERLINK("#",""), HYPERLINK(CONCATENATE("#metadata!", ADDRESS(INDEX($Y$2:$Y$1001,MATCH(ROWS($W$2:W173),$W$2:$W$1001,0),0), INDEX($AD$1004:$AU$1004,1,MATCH(COLUMNS($AD$1006:AI1006),$AD$1006:$AU$1006,0)))),"Fix")))</f>
        <v xml:space="preserve"> </v>
      </c>
      <c r="H173" s="4" t="str">
        <f ca="1">IF(OR(INDEX($X$2:$X$1001,MATCH(ROWS($W$2:W173),$W$2:$W$1001,0),1)&gt;=100000,INDEX($AD$1005:$AU$1005,1,MATCH(COLUMNS($AD$1006:AJ1006),$AD$1006:$AU$1006,0))&gt;=100000), " ",IF(INDEX($AD$2:$AU$1001,MATCH(ROWS($W$2:W173),$W$2:$W$1001,0),MATCH(COLUMNS($AD$1006:AJ1006),$AD$1006:$AU$1006,0)), HYPERLINK("#",""), HYPERLINK(CONCATENATE("#metadata!", ADDRESS(INDEX($Y$2:$Y$1001,MATCH(ROWS($W$2:W173),$W$2:$W$1001,0),0), INDEX($AD$1004:$AU$1004,1,MATCH(COLUMNS($AD$1006:AJ1006),$AD$1006:$AU$1006,0)))),"Fix")))</f>
        <v xml:space="preserve"> </v>
      </c>
      <c r="I173" s="4" t="str">
        <f ca="1">IF(OR(INDEX($X$2:$X$1001,MATCH(ROWS($W$2:W173),$W$2:$W$1001,0),1)&gt;=100000,INDEX($AD$1005:$AU$1005,1,MATCH(COLUMNS($AD$1006:AK1006),$AD$1006:$AU$1006,0))&gt;=100000), " ",IF(INDEX($AD$2:$AU$1001,MATCH(ROWS($W$2:W173),$W$2:$W$1001,0),MATCH(COLUMNS($AD$1006:AK1006),$AD$1006:$AU$1006,0)), HYPERLINK("#",""), HYPERLINK(CONCATENATE("#metadata!", ADDRESS(INDEX($Y$2:$Y$1001,MATCH(ROWS($W$2:W173),$W$2:$W$1001,0),0), INDEX($AD$1004:$AU$1004,1,MATCH(COLUMNS($AD$1006:AK1006),$AD$1006:$AU$1006,0)))),"Fix")))</f>
        <v xml:space="preserve"> </v>
      </c>
      <c r="J173" s="4" t="str">
        <f ca="1">IF(OR(INDEX($X$2:$X$1001,MATCH(ROWS($W$2:W173),$W$2:$W$1001,0),1)&gt;=100000,INDEX($AD$1005:$AU$1005,1,MATCH(COLUMNS($AD$1006:AL1006),$AD$1006:$AU$1006,0))&gt;=100000), " ",IF(INDEX($AD$2:$AU$1001,MATCH(ROWS($W$2:W173),$W$2:$W$1001,0),MATCH(COLUMNS($AD$1006:AL1006),$AD$1006:$AU$1006,0)), HYPERLINK("#",""), HYPERLINK(CONCATENATE("#metadata!", ADDRESS(INDEX($Y$2:$Y$1001,MATCH(ROWS($W$2:W173),$W$2:$W$1001,0),0), INDEX($AD$1004:$AU$1004,1,MATCH(COLUMNS($AD$1006:AL1006),$AD$1006:$AU$1006,0)))),"Fix")))</f>
        <v xml:space="preserve"> </v>
      </c>
      <c r="K173" s="4" t="str">
        <f ca="1">IF(OR(INDEX($X$2:$X$1001,MATCH(ROWS($W$2:W173),$W$2:$W$1001,0),1)&gt;=100000,INDEX($AD$1005:$AU$1005,1,MATCH(COLUMNS($AD$1006:AM1006),$AD$1006:$AU$1006,0))&gt;=100000), " ",IF(INDEX($AD$2:$AU$1001,MATCH(ROWS($W$2:W173),$W$2:$W$1001,0),MATCH(COLUMNS($AD$1006:AM1006),$AD$1006:$AU$1006,0)), HYPERLINK("#",""), HYPERLINK(CONCATENATE("#metadata!", ADDRESS(INDEX($Y$2:$Y$1001,MATCH(ROWS($W$2:W173),$W$2:$W$1001,0),0), INDEX($AD$1004:$AU$1004,1,MATCH(COLUMNS($AD$1006:AM1006),$AD$1006:$AU$1006,0)))),"Fix")))</f>
        <v xml:space="preserve"> </v>
      </c>
      <c r="L173" s="4" t="str">
        <f ca="1">IF(OR(INDEX($X$2:$X$1001,MATCH(ROWS($W$2:W173),$W$2:$W$1001,0),1)&gt;=100000,INDEX($AD$1005:$AU$1005,1,MATCH(COLUMNS($AD$1006:AN1006),$AD$1006:$AU$1006,0))&gt;=100000), " ",IF(INDEX($AD$2:$AU$1001,MATCH(ROWS($W$2:W173),$W$2:$W$1001,0),MATCH(COLUMNS($AD$1006:AN1006),$AD$1006:$AU$1006,0)), HYPERLINK("#",""), HYPERLINK(CONCATENATE("#metadata!", ADDRESS(INDEX($Y$2:$Y$1001,MATCH(ROWS($W$2:W173),$W$2:$W$1001,0),0), INDEX($AD$1004:$AU$1004,1,MATCH(COLUMNS($AD$1006:AN1006),$AD$1006:$AU$1006,0)))),"Fix")))</f>
        <v xml:space="preserve"> </v>
      </c>
      <c r="M173" s="4" t="str">
        <f ca="1">IF(OR(INDEX($X$2:$X$1001,MATCH(ROWS($W$2:W173),$W$2:$W$1001,0),1)&gt;=100000,INDEX($AD$1005:$AU$1005,1,MATCH(COLUMNS($AD$1006:AO1006),$AD$1006:$AU$1006,0))&gt;=100000), " ",IF(INDEX($AD$2:$AU$1001,MATCH(ROWS($W$2:W173),$W$2:$W$1001,0),MATCH(COLUMNS($AD$1006:AO1006),$AD$1006:$AU$1006,0)), HYPERLINK("#",""), HYPERLINK(CONCATENATE("#metadata!", ADDRESS(INDEX($Y$2:$Y$1001,MATCH(ROWS($W$2:W173),$W$2:$W$1001,0),0), INDEX($AD$1004:$AU$1004,1,MATCH(COLUMNS($AD$1006:AO1006),$AD$1006:$AU$1006,0)))),"Fix")))</f>
        <v xml:space="preserve"> </v>
      </c>
      <c r="N173" s="4" t="str">
        <f ca="1">IF(OR(INDEX($X$2:$X$1001,MATCH(ROWS($W$2:W173),$W$2:$W$1001,0),1)&gt;=100000,INDEX($AD$1005:$AU$1005,1,MATCH(COLUMNS($AD$1006:AP1006),$AD$1006:$AU$1006,0))&gt;=100000), " ",IF(INDEX($AD$2:$AU$1001,MATCH(ROWS($W$2:W173),$W$2:$W$1001,0),MATCH(COLUMNS($AD$1006:AP1006),$AD$1006:$AU$1006,0)), HYPERLINK("#",""), HYPERLINK(CONCATENATE("#metadata!", ADDRESS(INDEX($Y$2:$Y$1001,MATCH(ROWS($W$2:W173),$W$2:$W$1001,0),0), INDEX($AD$1004:$AU$1004,1,MATCH(COLUMNS($AD$1006:AP1006),$AD$1006:$AU$1006,0)))),"Fix")))</f>
        <v xml:space="preserve"> </v>
      </c>
      <c r="O173" s="4" t="str">
        <f ca="1">IF(OR(INDEX($X$2:$X$1001,MATCH(ROWS($W$2:W173),$W$2:$W$1001,0),1)&gt;=100000,INDEX($AD$1005:$AU$1005,1,MATCH(COLUMNS($AD$1006:AQ1006),$AD$1006:$AU$1006,0))&gt;=100000), " ",IF(INDEX($AD$2:$AU$1001,MATCH(ROWS($W$2:W173),$W$2:$W$1001,0),MATCH(COLUMNS($AD$1006:AQ1006),$AD$1006:$AU$1006,0)), HYPERLINK("#",""), HYPERLINK(CONCATENATE("#metadata!", ADDRESS(INDEX($Y$2:$Y$1001,MATCH(ROWS($W$2:W173),$W$2:$W$1001,0),0), INDEX($AD$1004:$AU$1004,1,MATCH(COLUMNS($AD$1006:AQ1006),$AD$1006:$AU$1006,0)))),"Fix")))</f>
        <v xml:space="preserve"> </v>
      </c>
      <c r="P173" s="4" t="str">
        <f ca="1">IF(OR(INDEX($X$2:$X$1001,MATCH(ROWS($W$2:W173),$W$2:$W$1001,0),1)&gt;=100000,INDEX($AD$1005:$AU$1005,1,MATCH(COLUMNS($AD$1006:AR1006),$AD$1006:$AU$1006,0))&gt;=100000), " ",IF(INDEX($AD$2:$AU$1001,MATCH(ROWS($W$2:W173),$W$2:$W$1001,0),MATCH(COLUMNS($AD$1006:AR1006),$AD$1006:$AU$1006,0)), HYPERLINK("#",""), HYPERLINK(CONCATENATE("#metadata!", ADDRESS(INDEX($Y$2:$Y$1001,MATCH(ROWS($W$2:W173),$W$2:$W$1001,0),0), INDEX($AD$1004:$AU$1004,1,MATCH(COLUMNS($AD$1006:AR1006),$AD$1006:$AU$1006,0)))),"Fix")))</f>
        <v xml:space="preserve"> </v>
      </c>
      <c r="Q173" s="4" t="str">
        <f ca="1">IF(OR(INDEX($X$2:$X$1001,MATCH(ROWS($W$2:W173),$W$2:$W$1001,0),1)&gt;=100000,INDEX($AD$1005:$AU$1005,1,MATCH(COLUMNS($AD$1006:AS1006),$AD$1006:$AU$1006,0))&gt;=100000), " ",IF(INDEX($AD$2:$AU$1001,MATCH(ROWS($W$2:W173),$W$2:$W$1001,0),MATCH(COLUMNS($AD$1006:AS1006),$AD$1006:$AU$1006,0)), HYPERLINK("#",""), HYPERLINK(CONCATENATE("#metadata!", ADDRESS(INDEX($Y$2:$Y$1001,MATCH(ROWS($W$2:W173),$W$2:$W$1001,0),0), INDEX($AD$1004:$AU$1004,1,MATCH(COLUMNS($AD$1006:AS1006),$AD$1006:$AU$1006,0)))),"Fix")))</f>
        <v xml:space="preserve"> </v>
      </c>
      <c r="R173" s="4" t="str">
        <f ca="1">IF(OR(INDEX($X$2:$X$1001,MATCH(ROWS($W$2:W173),$W$2:$W$1001,0),1)&gt;=100000,INDEX($AD$1005:$AU$1005,1,MATCH(COLUMNS($AD$1006:AT1006),$AD$1006:$AU$1006,0))&gt;=100000), " ",IF(INDEX($AD$2:$AU$1001,MATCH(ROWS($W$2:W173),$W$2:$W$1001,0),MATCH(COLUMNS($AD$1006:AT1006),$AD$1006:$AU$1006,0)), HYPERLINK("#",""), HYPERLINK(CONCATENATE("#metadata!", ADDRESS(INDEX($Y$2:$Y$1001,MATCH(ROWS($W$2:W173),$W$2:$W$1001,0),0), INDEX($AD$1004:$AU$1004,1,MATCH(COLUMNS($AD$1006:AT1006),$AD$1006:$AU$1006,0)))),"Fix")))</f>
        <v xml:space="preserve"> </v>
      </c>
      <c r="S173" s="4" t="str">
        <f ca="1">IF(OR(INDEX($X$2:$X$1001,MATCH(ROWS($W$2:W173),$W$2:$W$1001,0),1)&gt;=100000,INDEX($AD$1005:$AU$1005,1,MATCH(COLUMNS($AD$1006:AU1006),$AD$1006:$AU$1006,0))&gt;=100000), " ",IF(INDEX($AD$2:$AU$1001,MATCH(ROWS($W$2:W173),$W$2:$W$1001,0),MATCH(COLUMNS($AD$1006:AU1006),$AD$1006:$AU$1006,0)), HYPERLINK("#",""), HYPERLINK(CONCATENATE("#metadata!", ADDRESS(INDEX($Y$2:$Y$1001,MATCH(ROWS($W$2:W173),$W$2:$W$1001,0),0), INDEX($AD$1004:$AU$1004,1,MATCH(COLUMNS($AD$1006:AU1006),$AD$1006:$AU$1006,0)))),"Fix")))</f>
        <v xml:space="preserve"> </v>
      </c>
      <c r="W173">
        <v>172</v>
      </c>
      <c r="X173">
        <v>100173</v>
      </c>
      <c r="Y173">
        <v>173</v>
      </c>
      <c r="Z173" t="b">
        <f t="shared" si="2"/>
        <v>1</v>
      </c>
      <c r="AA173" t="b">
        <f>COUNTBLANK(metadata!B173:S173)=COLUMNS(metadata!B173:S173)</f>
        <v>1</v>
      </c>
      <c r="AB173" t="str">
        <v/>
      </c>
      <c r="AD173" t="b">
        <f ca="1">AND(IF(metadata!B173="",FALSE,TRUE),COUNTIF(metadata!B:B, metadata!B173) = 1,NOT(ISERROR(SUMPRODUCT(SEARCH(MID(metadata!B173,ROW(INDIRECT("1:"&amp;LEN(metadata!B173))), 1),"0123456789abcdefghijklmnopqrstuvwxyzABCDEFGHIJKLMNOPQRSTUVWXYZ.")))))</f>
        <v>0</v>
      </c>
      <c r="AE173" t="b">
        <f>OR(AND(IF(metadata!C173="",FALSE,TRUE),OR(EXACT(metadata!C173,"not applicable"),EXACT(metadata!C173,"missing: not collected"),EXACT(metadata!C173,"missing: not provided"),EXACT(metadata!C173,"missing: restricted access"))),AND(IF(metadata!C173="",FALSE,ISNUMBER(VALUE(metadata!C173))),metadata!C173&gt;0))</f>
        <v>0</v>
      </c>
      <c r="AF173" t="b">
        <f>AND(IF(metadata!D173="",FALSE,TRUE),EXACT(metadata!D173,"missing: not provided"))</f>
        <v>0</v>
      </c>
      <c r="AG173" t="b">
        <f>AND(IF(metadata!E173="",FALSE,TRUE),EXACT(metadata!E173,"Host-associated"))</f>
        <v>0</v>
      </c>
      <c r="AH173" t="b">
        <f>AND(IF(metadata!F173="",FALSE,TRUE),OR(EXACT(metadata!F173,"Animal"),EXACT(metadata!F173,"Fungus"),EXACT(metadata!F173,"Plant")))</f>
        <v>0</v>
      </c>
      <c r="AI173" t="b">
        <f>AND(IF(metadata!G173="",FALSE,TRUE),OR(EXACT(metadata!G173,"Plant secretion"),EXACT(metadata!G173,"Plant rhizosphere"),EXACT(metadata!G173,"Plant surface"),EXACT(metadata!G173,"Plant corpus"),EXACT(metadata!G173,"Fungus surface"),EXACT(metadata!G173,"Fungus corpus"),EXACT(metadata!G173,"Animal surface"),EXACT(metadata!G173,"Animal proximal gut"),EXACT(metadata!G173,"Animal corpus"),EXACT(metadata!G173,"Animal distal gut"),EXACT(metadata!G173,"Animal secretion")))</f>
        <v>0</v>
      </c>
      <c r="AJ173" t="b">
        <f>OR(AND(IF(metadata!H173="",FALSE,TRUE),OR(EXACT(metadata!H173,"missing: not collected"),EXACT(metadata!H173,"missing: not provided"),EXACT(metadata!H173,"missing: restricted access"))),AND(IF(metadata!H173="",FALSE,TRUE),OR(EXACT(metadata!H173,"organism-associated habitat"),EXACT(metadata!H173,"plant-associated habitat"),EXACT(metadata!H173,"animal-associated habitat"),EXACT(metadata!H173,"insecta-associated habitat"),EXACT(metadata!H173,"mammalia-associated habitat"),EXACT(metadata!H173,"human-associated habitat"),EXACT(metadata!H173,"livestock-associated habitat"))))</f>
        <v>0</v>
      </c>
      <c r="AK173" t="b">
        <f>AND(IF(metadata!I173="",FALSE,TRUE),EXACT(metadata!I173,"host-associated"))</f>
        <v>0</v>
      </c>
      <c r="AL173" t="b">
        <f>OR(AND(IF(metadata!J173="",FALSE,TRUE),OR(EXACT(metadata!J173,"not applicable"),EXACT(metadata!J173,"missing: not collected"),EXACT(metadata!J173,"missing: not provided"),EXACT(metadata!J173,"missing: restricted access"))),AND(IF(metadata!J173="",FALSE,ISNUMBER(VALUE(metadata!J173))),metadata!J173&gt;0))</f>
        <v>0</v>
      </c>
      <c r="AM173" t="b">
        <f>AND(IF(metadata!K173="",FALSE,TRUE),EXACT(metadata!K173,"missing: not provided"))</f>
        <v>0</v>
      </c>
      <c r="AN173" t="b">
        <f>IF(metadata!L173="",FALSE,TRUE)</f>
        <v>0</v>
      </c>
      <c r="AO173" t="b">
        <f>IF(metadata!M173="",FALSE,TRUE)</f>
        <v>0</v>
      </c>
      <c r="AP173" t="b">
        <f>OR(AND(IF(metadata!N173="",FALSE,TRUE),OR(EXACT(metadata!N173,"not applicable"),EXACT(metadata!N173,"missing: not collected"),EXACT(metadata!N173,"missing: not provided"))),AND(IF(metadata!N173="",FALSE,IF(ISERROR(INT(metadata!N173)),FALSE,INT(metadata!N173)=metadata!N173)),metadata!N173&gt;0))</f>
        <v>0</v>
      </c>
      <c r="AQ173" t="b">
        <f>AND(IF(metadata!O173="",FALSE,TRUE),EXACT(metadata!O173,"Not applicable"))</f>
        <v>0</v>
      </c>
      <c r="AR173" t="b">
        <f>OR(AND(IF(metadata!P173="",FALSE,TRUE),OR(EXACT(metadata!P173,"not applicable"),EXACT(metadata!P173,"missing: not collected"),EXACT(metadata!P173,"missing: not provided"),EXACT(metadata!P173,"missing: restricted access"))),IF(metadata!P173="",FALSE,IF(ISERROR(INT(metadata!P173)),FALSE,INT(metadata!P173)=metadata!P173)))</f>
        <v>0</v>
      </c>
      <c r="AS173" t="b">
        <f>AND(IF(metadata!Q173="",FALSE,TRUE),EXACT(metadata!Q173,"Not applicable"))</f>
        <v>0</v>
      </c>
      <c r="AT173" t="b">
        <f>OR(AND(IF(metadata!R173="",FALSE,TRUE),OR(EXACT(metadata!R173,"not applicable"),EXACT(metadata!R173,"missing: not collected"),EXACT(metadata!R173,"missing: not provided"),EXACT(metadata!R173,"missing: restricted access"))),AND(IF(metadata!R173="",FALSE,ISNUMBER(VALUE(metadata!R173))),metadata!R173&gt;0))</f>
        <v>0</v>
      </c>
      <c r="AU173" t="b">
        <f>AND(IF(metadata!S173="",FALSE,TRUE),EXACT(metadata!S173,"missing: not provided"))</f>
        <v>0</v>
      </c>
    </row>
    <row r="174" spans="1:47" x14ac:dyDescent="0.2">
      <c r="A174" s="5" t="str">
        <f ca="1">IF(B174=" "," ",HYPERLINK(CONCATENATE("#metadata!",ADDRESS(INDEX($Y$2:$Y$1001,MATCH(ROWS($W$2:W174),$W$2:$W$1001,0),0),1)),INDEX($AB$2:$AB$1001,MATCH(ROWS($W$2:W174),$W$2:$W$1001,0),0)))</f>
        <v xml:space="preserve"> </v>
      </c>
      <c r="B174" s="4" t="str">
        <f ca="1">IF(OR(INDEX($X$2:$X$1001,MATCH(ROWS($W$2:W174),$W$2:$W$1001,0),1)&gt;=100000,INDEX($AD$1005:$AU$1005,1,MATCH(COLUMNS($AD$1006:AD1006),$AD$1006:$AU$1006,0))&gt;=100000), " ",IF(INDEX($AD$2:$AU$1001,MATCH(ROWS($W$2:W174),$W$2:$W$1001,0),MATCH(COLUMNS($AD$1006:AD1006),$AD$1006:$AU$1006,0)), HYPERLINK("#",""), HYPERLINK(CONCATENATE("#metadata!", ADDRESS(INDEX($Y$2:$Y$1001,MATCH(ROWS($W$2:W174),$W$2:$W$1001,0),0), INDEX($AD$1004:$AU$1004,1,MATCH(COLUMNS($AD$1006:AD1006),$AD$1006:$AU$1006,0)))),"Fix")))</f>
        <v xml:space="preserve"> </v>
      </c>
      <c r="C174" s="4" t="str">
        <f ca="1">IF(OR(INDEX($X$2:$X$1001,MATCH(ROWS($W$2:W174),$W$2:$W$1001,0),1)&gt;=100000,INDEX($AD$1005:$AU$1005,1,MATCH(COLUMNS($AD$1006:AE1006),$AD$1006:$AU$1006,0))&gt;=100000), " ",IF(INDEX($AD$2:$AU$1001,MATCH(ROWS($W$2:W174),$W$2:$W$1001,0),MATCH(COLUMNS($AD$1006:AE1006),$AD$1006:$AU$1006,0)), HYPERLINK("#",""), HYPERLINK(CONCATENATE("#metadata!", ADDRESS(INDEX($Y$2:$Y$1001,MATCH(ROWS($W$2:W174),$W$2:$W$1001,0),0), INDEX($AD$1004:$AU$1004,1,MATCH(COLUMNS($AD$1006:AE1006),$AD$1006:$AU$1006,0)))),"Fix")))</f>
        <v xml:space="preserve"> </v>
      </c>
      <c r="D174" s="4" t="str">
        <f ca="1">IF(OR(INDEX($X$2:$X$1001,MATCH(ROWS($W$2:W174),$W$2:$W$1001,0),1)&gt;=100000,INDEX($AD$1005:$AU$1005,1,MATCH(COLUMNS($AD$1006:AF1006),$AD$1006:$AU$1006,0))&gt;=100000), " ",IF(INDEX($AD$2:$AU$1001,MATCH(ROWS($W$2:W174),$W$2:$W$1001,0),MATCH(COLUMNS($AD$1006:AF1006),$AD$1006:$AU$1006,0)), HYPERLINK("#",""), HYPERLINK(CONCATENATE("#metadata!", ADDRESS(INDEX($Y$2:$Y$1001,MATCH(ROWS($W$2:W174),$W$2:$W$1001,0),0), INDEX($AD$1004:$AU$1004,1,MATCH(COLUMNS($AD$1006:AF1006),$AD$1006:$AU$1006,0)))),"Fix")))</f>
        <v xml:space="preserve"> </v>
      </c>
      <c r="E174" s="4" t="str">
        <f ca="1">IF(OR(INDEX($X$2:$X$1001,MATCH(ROWS($W$2:W174),$W$2:$W$1001,0),1)&gt;=100000,INDEX($AD$1005:$AU$1005,1,MATCH(COLUMNS($AD$1006:AG1006),$AD$1006:$AU$1006,0))&gt;=100000), " ",IF(INDEX($AD$2:$AU$1001,MATCH(ROWS($W$2:W174),$W$2:$W$1001,0),MATCH(COLUMNS($AD$1006:AG1006),$AD$1006:$AU$1006,0)), HYPERLINK("#",""), HYPERLINK(CONCATENATE("#metadata!", ADDRESS(INDEX($Y$2:$Y$1001,MATCH(ROWS($W$2:W174),$W$2:$W$1001,0),0), INDEX($AD$1004:$AU$1004,1,MATCH(COLUMNS($AD$1006:AG1006),$AD$1006:$AU$1006,0)))),"Fix")))</f>
        <v xml:space="preserve"> </v>
      </c>
      <c r="F174" s="4" t="str">
        <f ca="1">IF(OR(INDEX($X$2:$X$1001,MATCH(ROWS($W$2:W174),$W$2:$W$1001,0),1)&gt;=100000,INDEX($AD$1005:$AU$1005,1,MATCH(COLUMNS($AD$1006:AH1006),$AD$1006:$AU$1006,0))&gt;=100000), " ",IF(INDEX($AD$2:$AU$1001,MATCH(ROWS($W$2:W174),$W$2:$W$1001,0),MATCH(COLUMNS($AD$1006:AH1006),$AD$1006:$AU$1006,0)), HYPERLINK("#",""), HYPERLINK(CONCATENATE("#metadata!", ADDRESS(INDEX($Y$2:$Y$1001,MATCH(ROWS($W$2:W174),$W$2:$W$1001,0),0), INDEX($AD$1004:$AU$1004,1,MATCH(COLUMNS($AD$1006:AH1006),$AD$1006:$AU$1006,0)))),"Fix")))</f>
        <v xml:space="preserve"> </v>
      </c>
      <c r="G174" s="4" t="str">
        <f ca="1">IF(OR(INDEX($X$2:$X$1001,MATCH(ROWS($W$2:W174),$W$2:$W$1001,0),1)&gt;=100000,INDEX($AD$1005:$AU$1005,1,MATCH(COLUMNS($AD$1006:AI1006),$AD$1006:$AU$1006,0))&gt;=100000), " ",IF(INDEX($AD$2:$AU$1001,MATCH(ROWS($W$2:W174),$W$2:$W$1001,0),MATCH(COLUMNS($AD$1006:AI1006),$AD$1006:$AU$1006,0)), HYPERLINK("#",""), HYPERLINK(CONCATENATE("#metadata!", ADDRESS(INDEX($Y$2:$Y$1001,MATCH(ROWS($W$2:W174),$W$2:$W$1001,0),0), INDEX($AD$1004:$AU$1004,1,MATCH(COLUMNS($AD$1006:AI1006),$AD$1006:$AU$1006,0)))),"Fix")))</f>
        <v xml:space="preserve"> </v>
      </c>
      <c r="H174" s="4" t="str">
        <f ca="1">IF(OR(INDEX($X$2:$X$1001,MATCH(ROWS($W$2:W174),$W$2:$W$1001,0),1)&gt;=100000,INDEX($AD$1005:$AU$1005,1,MATCH(COLUMNS($AD$1006:AJ1006),$AD$1006:$AU$1006,0))&gt;=100000), " ",IF(INDEX($AD$2:$AU$1001,MATCH(ROWS($W$2:W174),$W$2:$W$1001,0),MATCH(COLUMNS($AD$1006:AJ1006),$AD$1006:$AU$1006,0)), HYPERLINK("#",""), HYPERLINK(CONCATENATE("#metadata!", ADDRESS(INDEX($Y$2:$Y$1001,MATCH(ROWS($W$2:W174),$W$2:$W$1001,0),0), INDEX($AD$1004:$AU$1004,1,MATCH(COLUMNS($AD$1006:AJ1006),$AD$1006:$AU$1006,0)))),"Fix")))</f>
        <v xml:space="preserve"> </v>
      </c>
      <c r="I174" s="4" t="str">
        <f ca="1">IF(OR(INDEX($X$2:$X$1001,MATCH(ROWS($W$2:W174),$W$2:$W$1001,0),1)&gt;=100000,INDEX($AD$1005:$AU$1005,1,MATCH(COLUMNS($AD$1006:AK1006),$AD$1006:$AU$1006,0))&gt;=100000), " ",IF(INDEX($AD$2:$AU$1001,MATCH(ROWS($W$2:W174),$W$2:$W$1001,0),MATCH(COLUMNS($AD$1006:AK1006),$AD$1006:$AU$1006,0)), HYPERLINK("#",""), HYPERLINK(CONCATENATE("#metadata!", ADDRESS(INDEX($Y$2:$Y$1001,MATCH(ROWS($W$2:W174),$W$2:$W$1001,0),0), INDEX($AD$1004:$AU$1004,1,MATCH(COLUMNS($AD$1006:AK1006),$AD$1006:$AU$1006,0)))),"Fix")))</f>
        <v xml:space="preserve"> </v>
      </c>
      <c r="J174" s="4" t="str">
        <f ca="1">IF(OR(INDEX($X$2:$X$1001,MATCH(ROWS($W$2:W174),$W$2:$W$1001,0),1)&gt;=100000,INDEX($AD$1005:$AU$1005,1,MATCH(COLUMNS($AD$1006:AL1006),$AD$1006:$AU$1006,0))&gt;=100000), " ",IF(INDEX($AD$2:$AU$1001,MATCH(ROWS($W$2:W174),$W$2:$W$1001,0),MATCH(COLUMNS($AD$1006:AL1006),$AD$1006:$AU$1006,0)), HYPERLINK("#",""), HYPERLINK(CONCATENATE("#metadata!", ADDRESS(INDEX($Y$2:$Y$1001,MATCH(ROWS($W$2:W174),$W$2:$W$1001,0),0), INDEX($AD$1004:$AU$1004,1,MATCH(COLUMNS($AD$1006:AL1006),$AD$1006:$AU$1006,0)))),"Fix")))</f>
        <v xml:space="preserve"> </v>
      </c>
      <c r="K174" s="4" t="str">
        <f ca="1">IF(OR(INDEX($X$2:$X$1001,MATCH(ROWS($W$2:W174),$W$2:$W$1001,0),1)&gt;=100000,INDEX($AD$1005:$AU$1005,1,MATCH(COLUMNS($AD$1006:AM1006),$AD$1006:$AU$1006,0))&gt;=100000), " ",IF(INDEX($AD$2:$AU$1001,MATCH(ROWS($W$2:W174),$W$2:$W$1001,0),MATCH(COLUMNS($AD$1006:AM1006),$AD$1006:$AU$1006,0)), HYPERLINK("#",""), HYPERLINK(CONCATENATE("#metadata!", ADDRESS(INDEX($Y$2:$Y$1001,MATCH(ROWS($W$2:W174),$W$2:$W$1001,0),0), INDEX($AD$1004:$AU$1004,1,MATCH(COLUMNS($AD$1006:AM1006),$AD$1006:$AU$1006,0)))),"Fix")))</f>
        <v xml:space="preserve"> </v>
      </c>
      <c r="L174" s="4" t="str">
        <f ca="1">IF(OR(INDEX($X$2:$X$1001,MATCH(ROWS($W$2:W174),$W$2:$W$1001,0),1)&gt;=100000,INDEX($AD$1005:$AU$1005,1,MATCH(COLUMNS($AD$1006:AN1006),$AD$1006:$AU$1006,0))&gt;=100000), " ",IF(INDEX($AD$2:$AU$1001,MATCH(ROWS($W$2:W174),$W$2:$W$1001,0),MATCH(COLUMNS($AD$1006:AN1006),$AD$1006:$AU$1006,0)), HYPERLINK("#",""), HYPERLINK(CONCATENATE("#metadata!", ADDRESS(INDEX($Y$2:$Y$1001,MATCH(ROWS($W$2:W174),$W$2:$W$1001,0),0), INDEX($AD$1004:$AU$1004,1,MATCH(COLUMNS($AD$1006:AN1006),$AD$1006:$AU$1006,0)))),"Fix")))</f>
        <v xml:space="preserve"> </v>
      </c>
      <c r="M174" s="4" t="str">
        <f ca="1">IF(OR(INDEX($X$2:$X$1001,MATCH(ROWS($W$2:W174),$W$2:$W$1001,0),1)&gt;=100000,INDEX($AD$1005:$AU$1005,1,MATCH(COLUMNS($AD$1006:AO1006),$AD$1006:$AU$1006,0))&gt;=100000), " ",IF(INDEX($AD$2:$AU$1001,MATCH(ROWS($W$2:W174),$W$2:$W$1001,0),MATCH(COLUMNS($AD$1006:AO1006),$AD$1006:$AU$1006,0)), HYPERLINK("#",""), HYPERLINK(CONCATENATE("#metadata!", ADDRESS(INDEX($Y$2:$Y$1001,MATCH(ROWS($W$2:W174),$W$2:$W$1001,0),0), INDEX($AD$1004:$AU$1004,1,MATCH(COLUMNS($AD$1006:AO1006),$AD$1006:$AU$1006,0)))),"Fix")))</f>
        <v xml:space="preserve"> </v>
      </c>
      <c r="N174" s="4" t="str">
        <f ca="1">IF(OR(INDEX($X$2:$X$1001,MATCH(ROWS($W$2:W174),$W$2:$W$1001,0),1)&gt;=100000,INDEX($AD$1005:$AU$1005,1,MATCH(COLUMNS($AD$1006:AP1006),$AD$1006:$AU$1006,0))&gt;=100000), " ",IF(INDEX($AD$2:$AU$1001,MATCH(ROWS($W$2:W174),$W$2:$W$1001,0),MATCH(COLUMNS($AD$1006:AP1006),$AD$1006:$AU$1006,0)), HYPERLINK("#",""), HYPERLINK(CONCATENATE("#metadata!", ADDRESS(INDEX($Y$2:$Y$1001,MATCH(ROWS($W$2:W174),$W$2:$W$1001,0),0), INDEX($AD$1004:$AU$1004,1,MATCH(COLUMNS($AD$1006:AP1006),$AD$1006:$AU$1006,0)))),"Fix")))</f>
        <v xml:space="preserve"> </v>
      </c>
      <c r="O174" s="4" t="str">
        <f ca="1">IF(OR(INDEX($X$2:$X$1001,MATCH(ROWS($W$2:W174),$W$2:$W$1001,0),1)&gt;=100000,INDEX($AD$1005:$AU$1005,1,MATCH(COLUMNS($AD$1006:AQ1006),$AD$1006:$AU$1006,0))&gt;=100000), " ",IF(INDEX($AD$2:$AU$1001,MATCH(ROWS($W$2:W174),$W$2:$W$1001,0),MATCH(COLUMNS($AD$1006:AQ1006),$AD$1006:$AU$1006,0)), HYPERLINK("#",""), HYPERLINK(CONCATENATE("#metadata!", ADDRESS(INDEX($Y$2:$Y$1001,MATCH(ROWS($W$2:W174),$W$2:$W$1001,0),0), INDEX($AD$1004:$AU$1004,1,MATCH(COLUMNS($AD$1006:AQ1006),$AD$1006:$AU$1006,0)))),"Fix")))</f>
        <v xml:space="preserve"> </v>
      </c>
      <c r="P174" s="4" t="str">
        <f ca="1">IF(OR(INDEX($X$2:$X$1001,MATCH(ROWS($W$2:W174),$W$2:$W$1001,0),1)&gt;=100000,INDEX($AD$1005:$AU$1005,1,MATCH(COLUMNS($AD$1006:AR1006),$AD$1006:$AU$1006,0))&gt;=100000), " ",IF(INDEX($AD$2:$AU$1001,MATCH(ROWS($W$2:W174),$W$2:$W$1001,0),MATCH(COLUMNS($AD$1006:AR1006),$AD$1006:$AU$1006,0)), HYPERLINK("#",""), HYPERLINK(CONCATENATE("#metadata!", ADDRESS(INDEX($Y$2:$Y$1001,MATCH(ROWS($W$2:W174),$W$2:$W$1001,0),0), INDEX($AD$1004:$AU$1004,1,MATCH(COLUMNS($AD$1006:AR1006),$AD$1006:$AU$1006,0)))),"Fix")))</f>
        <v xml:space="preserve"> </v>
      </c>
      <c r="Q174" s="4" t="str">
        <f ca="1">IF(OR(INDEX($X$2:$X$1001,MATCH(ROWS($W$2:W174),$W$2:$W$1001,0),1)&gt;=100000,INDEX($AD$1005:$AU$1005,1,MATCH(COLUMNS($AD$1006:AS1006),$AD$1006:$AU$1006,0))&gt;=100000), " ",IF(INDEX($AD$2:$AU$1001,MATCH(ROWS($W$2:W174),$W$2:$W$1001,0),MATCH(COLUMNS($AD$1006:AS1006),$AD$1006:$AU$1006,0)), HYPERLINK("#",""), HYPERLINK(CONCATENATE("#metadata!", ADDRESS(INDEX($Y$2:$Y$1001,MATCH(ROWS($W$2:W174),$W$2:$W$1001,0),0), INDEX($AD$1004:$AU$1004,1,MATCH(COLUMNS($AD$1006:AS1006),$AD$1006:$AU$1006,0)))),"Fix")))</f>
        <v xml:space="preserve"> </v>
      </c>
      <c r="R174" s="4" t="str">
        <f ca="1">IF(OR(INDEX($X$2:$X$1001,MATCH(ROWS($W$2:W174),$W$2:$W$1001,0),1)&gt;=100000,INDEX($AD$1005:$AU$1005,1,MATCH(COLUMNS($AD$1006:AT1006),$AD$1006:$AU$1006,0))&gt;=100000), " ",IF(INDEX($AD$2:$AU$1001,MATCH(ROWS($W$2:W174),$W$2:$W$1001,0),MATCH(COLUMNS($AD$1006:AT1006),$AD$1006:$AU$1006,0)), HYPERLINK("#",""), HYPERLINK(CONCATENATE("#metadata!", ADDRESS(INDEX($Y$2:$Y$1001,MATCH(ROWS($W$2:W174),$W$2:$W$1001,0),0), INDEX($AD$1004:$AU$1004,1,MATCH(COLUMNS($AD$1006:AT1006),$AD$1006:$AU$1006,0)))),"Fix")))</f>
        <v xml:space="preserve"> </v>
      </c>
      <c r="S174" s="4" t="str">
        <f ca="1">IF(OR(INDEX($X$2:$X$1001,MATCH(ROWS($W$2:W174),$W$2:$W$1001,0),1)&gt;=100000,INDEX($AD$1005:$AU$1005,1,MATCH(COLUMNS($AD$1006:AU1006),$AD$1006:$AU$1006,0))&gt;=100000), " ",IF(INDEX($AD$2:$AU$1001,MATCH(ROWS($W$2:W174),$W$2:$W$1001,0),MATCH(COLUMNS($AD$1006:AU1006),$AD$1006:$AU$1006,0)), HYPERLINK("#",""), HYPERLINK(CONCATENATE("#metadata!", ADDRESS(INDEX($Y$2:$Y$1001,MATCH(ROWS($W$2:W174),$W$2:$W$1001,0),0), INDEX($AD$1004:$AU$1004,1,MATCH(COLUMNS($AD$1006:AU1006),$AD$1006:$AU$1006,0)))),"Fix")))</f>
        <v xml:space="preserve"> </v>
      </c>
      <c r="W174">
        <v>173</v>
      </c>
      <c r="X174">
        <v>100174</v>
      </c>
      <c r="Y174">
        <v>174</v>
      </c>
      <c r="Z174" t="b">
        <f t="shared" si="2"/>
        <v>1</v>
      </c>
      <c r="AA174" t="b">
        <f>COUNTBLANK(metadata!B174:S174)=COLUMNS(metadata!B174:S174)</f>
        <v>1</v>
      </c>
      <c r="AB174" t="str">
        <v/>
      </c>
      <c r="AD174" t="b">
        <f ca="1">AND(IF(metadata!B174="",FALSE,TRUE),COUNTIF(metadata!B:B, metadata!B174) = 1,NOT(ISERROR(SUMPRODUCT(SEARCH(MID(metadata!B174,ROW(INDIRECT("1:"&amp;LEN(metadata!B174))), 1),"0123456789abcdefghijklmnopqrstuvwxyzABCDEFGHIJKLMNOPQRSTUVWXYZ.")))))</f>
        <v>0</v>
      </c>
      <c r="AE174" t="b">
        <f>OR(AND(IF(metadata!C174="",FALSE,TRUE),OR(EXACT(metadata!C174,"not applicable"),EXACT(metadata!C174,"missing: not collected"),EXACT(metadata!C174,"missing: not provided"),EXACT(metadata!C174,"missing: restricted access"))),AND(IF(metadata!C174="",FALSE,ISNUMBER(VALUE(metadata!C174))),metadata!C174&gt;0))</f>
        <v>0</v>
      </c>
      <c r="AF174" t="b">
        <f>AND(IF(metadata!D174="",FALSE,TRUE),EXACT(metadata!D174,"missing: not provided"))</f>
        <v>0</v>
      </c>
      <c r="AG174" t="b">
        <f>AND(IF(metadata!E174="",FALSE,TRUE),EXACT(metadata!E174,"Host-associated"))</f>
        <v>0</v>
      </c>
      <c r="AH174" t="b">
        <f>AND(IF(metadata!F174="",FALSE,TRUE),OR(EXACT(metadata!F174,"Animal"),EXACT(metadata!F174,"Fungus"),EXACT(metadata!F174,"Plant")))</f>
        <v>0</v>
      </c>
      <c r="AI174" t="b">
        <f>AND(IF(metadata!G174="",FALSE,TRUE),OR(EXACT(metadata!G174,"Plant secretion"),EXACT(metadata!G174,"Plant rhizosphere"),EXACT(metadata!G174,"Plant surface"),EXACT(metadata!G174,"Plant corpus"),EXACT(metadata!G174,"Fungus surface"),EXACT(metadata!G174,"Fungus corpus"),EXACT(metadata!G174,"Animal surface"),EXACT(metadata!G174,"Animal proximal gut"),EXACT(metadata!G174,"Animal corpus"),EXACT(metadata!G174,"Animal distal gut"),EXACT(metadata!G174,"Animal secretion")))</f>
        <v>0</v>
      </c>
      <c r="AJ174" t="b">
        <f>OR(AND(IF(metadata!H174="",FALSE,TRUE),OR(EXACT(metadata!H174,"missing: not collected"),EXACT(metadata!H174,"missing: not provided"),EXACT(metadata!H174,"missing: restricted access"))),AND(IF(metadata!H174="",FALSE,TRUE),OR(EXACT(metadata!H174,"organism-associated habitat"),EXACT(metadata!H174,"plant-associated habitat"),EXACT(metadata!H174,"animal-associated habitat"),EXACT(metadata!H174,"insecta-associated habitat"),EXACT(metadata!H174,"mammalia-associated habitat"),EXACT(metadata!H174,"human-associated habitat"),EXACT(metadata!H174,"livestock-associated habitat"))))</f>
        <v>0</v>
      </c>
      <c r="AK174" t="b">
        <f>AND(IF(metadata!I174="",FALSE,TRUE),EXACT(metadata!I174,"host-associated"))</f>
        <v>0</v>
      </c>
      <c r="AL174" t="b">
        <f>OR(AND(IF(metadata!J174="",FALSE,TRUE),OR(EXACT(metadata!J174,"not applicable"),EXACT(metadata!J174,"missing: not collected"),EXACT(metadata!J174,"missing: not provided"),EXACT(metadata!J174,"missing: restricted access"))),AND(IF(metadata!J174="",FALSE,ISNUMBER(VALUE(metadata!J174))),metadata!J174&gt;0))</f>
        <v>0</v>
      </c>
      <c r="AM174" t="b">
        <f>AND(IF(metadata!K174="",FALSE,TRUE),EXACT(metadata!K174,"missing: not provided"))</f>
        <v>0</v>
      </c>
      <c r="AN174" t="b">
        <f>IF(metadata!L174="",FALSE,TRUE)</f>
        <v>0</v>
      </c>
      <c r="AO174" t="b">
        <f>IF(metadata!M174="",FALSE,TRUE)</f>
        <v>0</v>
      </c>
      <c r="AP174" t="b">
        <f>OR(AND(IF(metadata!N174="",FALSE,TRUE),OR(EXACT(metadata!N174,"not applicable"),EXACT(metadata!N174,"missing: not collected"),EXACT(metadata!N174,"missing: not provided"))),AND(IF(metadata!N174="",FALSE,IF(ISERROR(INT(metadata!N174)),FALSE,INT(metadata!N174)=metadata!N174)),metadata!N174&gt;0))</f>
        <v>0</v>
      </c>
      <c r="AQ174" t="b">
        <f>AND(IF(metadata!O174="",FALSE,TRUE),EXACT(metadata!O174,"Not applicable"))</f>
        <v>0</v>
      </c>
      <c r="AR174" t="b">
        <f>OR(AND(IF(metadata!P174="",FALSE,TRUE),OR(EXACT(metadata!P174,"not applicable"),EXACT(metadata!P174,"missing: not collected"),EXACT(metadata!P174,"missing: not provided"),EXACT(metadata!P174,"missing: restricted access"))),IF(metadata!P174="",FALSE,IF(ISERROR(INT(metadata!P174)),FALSE,INT(metadata!P174)=metadata!P174)))</f>
        <v>0</v>
      </c>
      <c r="AS174" t="b">
        <f>AND(IF(metadata!Q174="",FALSE,TRUE),EXACT(metadata!Q174,"Not applicable"))</f>
        <v>0</v>
      </c>
      <c r="AT174" t="b">
        <f>OR(AND(IF(metadata!R174="",FALSE,TRUE),OR(EXACT(metadata!R174,"not applicable"),EXACT(metadata!R174,"missing: not collected"),EXACT(metadata!R174,"missing: not provided"),EXACT(metadata!R174,"missing: restricted access"))),AND(IF(metadata!R174="",FALSE,ISNUMBER(VALUE(metadata!R174))),metadata!R174&gt;0))</f>
        <v>0</v>
      </c>
      <c r="AU174" t="b">
        <f>AND(IF(metadata!S174="",FALSE,TRUE),EXACT(metadata!S174,"missing: not provided"))</f>
        <v>0</v>
      </c>
    </row>
    <row r="175" spans="1:47" x14ac:dyDescent="0.2">
      <c r="A175" s="5" t="str">
        <f ca="1">IF(B175=" "," ",HYPERLINK(CONCATENATE("#metadata!",ADDRESS(INDEX($Y$2:$Y$1001,MATCH(ROWS($W$2:W175),$W$2:$W$1001,0),0),1)),INDEX($AB$2:$AB$1001,MATCH(ROWS($W$2:W175),$W$2:$W$1001,0),0)))</f>
        <v xml:space="preserve"> </v>
      </c>
      <c r="B175" s="4" t="str">
        <f ca="1">IF(OR(INDEX($X$2:$X$1001,MATCH(ROWS($W$2:W175),$W$2:$W$1001,0),1)&gt;=100000,INDEX($AD$1005:$AU$1005,1,MATCH(COLUMNS($AD$1006:AD1006),$AD$1006:$AU$1006,0))&gt;=100000), " ",IF(INDEX($AD$2:$AU$1001,MATCH(ROWS($W$2:W175),$W$2:$W$1001,0),MATCH(COLUMNS($AD$1006:AD1006),$AD$1006:$AU$1006,0)), HYPERLINK("#",""), HYPERLINK(CONCATENATE("#metadata!", ADDRESS(INDEX($Y$2:$Y$1001,MATCH(ROWS($W$2:W175),$W$2:$W$1001,0),0), INDEX($AD$1004:$AU$1004,1,MATCH(COLUMNS($AD$1006:AD1006),$AD$1006:$AU$1006,0)))),"Fix")))</f>
        <v xml:space="preserve"> </v>
      </c>
      <c r="C175" s="4" t="str">
        <f ca="1">IF(OR(INDEX($X$2:$X$1001,MATCH(ROWS($W$2:W175),$W$2:$W$1001,0),1)&gt;=100000,INDEX($AD$1005:$AU$1005,1,MATCH(COLUMNS($AD$1006:AE1006),$AD$1006:$AU$1006,0))&gt;=100000), " ",IF(INDEX($AD$2:$AU$1001,MATCH(ROWS($W$2:W175),$W$2:$W$1001,0),MATCH(COLUMNS($AD$1006:AE1006),$AD$1006:$AU$1006,0)), HYPERLINK("#",""), HYPERLINK(CONCATENATE("#metadata!", ADDRESS(INDEX($Y$2:$Y$1001,MATCH(ROWS($W$2:W175),$W$2:$W$1001,0),0), INDEX($AD$1004:$AU$1004,1,MATCH(COLUMNS($AD$1006:AE1006),$AD$1006:$AU$1006,0)))),"Fix")))</f>
        <v xml:space="preserve"> </v>
      </c>
      <c r="D175" s="4" t="str">
        <f ca="1">IF(OR(INDEX($X$2:$X$1001,MATCH(ROWS($W$2:W175),$W$2:$W$1001,0),1)&gt;=100000,INDEX($AD$1005:$AU$1005,1,MATCH(COLUMNS($AD$1006:AF1006),$AD$1006:$AU$1006,0))&gt;=100000), " ",IF(INDEX($AD$2:$AU$1001,MATCH(ROWS($W$2:W175),$W$2:$W$1001,0),MATCH(COLUMNS($AD$1006:AF1006),$AD$1006:$AU$1006,0)), HYPERLINK("#",""), HYPERLINK(CONCATENATE("#metadata!", ADDRESS(INDEX($Y$2:$Y$1001,MATCH(ROWS($W$2:W175),$W$2:$W$1001,0),0), INDEX($AD$1004:$AU$1004,1,MATCH(COLUMNS($AD$1006:AF1006),$AD$1006:$AU$1006,0)))),"Fix")))</f>
        <v xml:space="preserve"> </v>
      </c>
      <c r="E175" s="4" t="str">
        <f ca="1">IF(OR(INDEX($X$2:$X$1001,MATCH(ROWS($W$2:W175),$W$2:$W$1001,0),1)&gt;=100000,INDEX($AD$1005:$AU$1005,1,MATCH(COLUMNS($AD$1006:AG1006),$AD$1006:$AU$1006,0))&gt;=100000), " ",IF(INDEX($AD$2:$AU$1001,MATCH(ROWS($W$2:W175),$W$2:$W$1001,0),MATCH(COLUMNS($AD$1006:AG1006),$AD$1006:$AU$1006,0)), HYPERLINK("#",""), HYPERLINK(CONCATENATE("#metadata!", ADDRESS(INDEX($Y$2:$Y$1001,MATCH(ROWS($W$2:W175),$W$2:$W$1001,0),0), INDEX($AD$1004:$AU$1004,1,MATCH(COLUMNS($AD$1006:AG1006),$AD$1006:$AU$1006,0)))),"Fix")))</f>
        <v xml:space="preserve"> </v>
      </c>
      <c r="F175" s="4" t="str">
        <f ca="1">IF(OR(INDEX($X$2:$X$1001,MATCH(ROWS($W$2:W175),$W$2:$W$1001,0),1)&gt;=100000,INDEX($AD$1005:$AU$1005,1,MATCH(COLUMNS($AD$1006:AH1006),$AD$1006:$AU$1006,0))&gt;=100000), " ",IF(INDEX($AD$2:$AU$1001,MATCH(ROWS($W$2:W175),$W$2:$W$1001,0),MATCH(COLUMNS($AD$1006:AH1006),$AD$1006:$AU$1006,0)), HYPERLINK("#",""), HYPERLINK(CONCATENATE("#metadata!", ADDRESS(INDEX($Y$2:$Y$1001,MATCH(ROWS($W$2:W175),$W$2:$W$1001,0),0), INDEX($AD$1004:$AU$1004,1,MATCH(COLUMNS($AD$1006:AH1006),$AD$1006:$AU$1006,0)))),"Fix")))</f>
        <v xml:space="preserve"> </v>
      </c>
      <c r="G175" s="4" t="str">
        <f ca="1">IF(OR(INDEX($X$2:$X$1001,MATCH(ROWS($W$2:W175),$W$2:$W$1001,0),1)&gt;=100000,INDEX($AD$1005:$AU$1005,1,MATCH(COLUMNS($AD$1006:AI1006),$AD$1006:$AU$1006,0))&gt;=100000), " ",IF(INDEX($AD$2:$AU$1001,MATCH(ROWS($W$2:W175),$W$2:$W$1001,0),MATCH(COLUMNS($AD$1006:AI1006),$AD$1006:$AU$1006,0)), HYPERLINK("#",""), HYPERLINK(CONCATENATE("#metadata!", ADDRESS(INDEX($Y$2:$Y$1001,MATCH(ROWS($W$2:W175),$W$2:$W$1001,0),0), INDEX($AD$1004:$AU$1004,1,MATCH(COLUMNS($AD$1006:AI1006),$AD$1006:$AU$1006,0)))),"Fix")))</f>
        <v xml:space="preserve"> </v>
      </c>
      <c r="H175" s="4" t="str">
        <f ca="1">IF(OR(INDEX($X$2:$X$1001,MATCH(ROWS($W$2:W175),$W$2:$W$1001,0),1)&gt;=100000,INDEX($AD$1005:$AU$1005,1,MATCH(COLUMNS($AD$1006:AJ1006),$AD$1006:$AU$1006,0))&gt;=100000), " ",IF(INDEX($AD$2:$AU$1001,MATCH(ROWS($W$2:W175),$W$2:$W$1001,0),MATCH(COLUMNS($AD$1006:AJ1006),$AD$1006:$AU$1006,0)), HYPERLINK("#",""), HYPERLINK(CONCATENATE("#metadata!", ADDRESS(INDEX($Y$2:$Y$1001,MATCH(ROWS($W$2:W175),$W$2:$W$1001,0),0), INDEX($AD$1004:$AU$1004,1,MATCH(COLUMNS($AD$1006:AJ1006),$AD$1006:$AU$1006,0)))),"Fix")))</f>
        <v xml:space="preserve"> </v>
      </c>
      <c r="I175" s="4" t="str">
        <f ca="1">IF(OR(INDEX($X$2:$X$1001,MATCH(ROWS($W$2:W175),$W$2:$W$1001,0),1)&gt;=100000,INDEX($AD$1005:$AU$1005,1,MATCH(COLUMNS($AD$1006:AK1006),$AD$1006:$AU$1006,0))&gt;=100000), " ",IF(INDEX($AD$2:$AU$1001,MATCH(ROWS($W$2:W175),$W$2:$W$1001,0),MATCH(COLUMNS($AD$1006:AK1006),$AD$1006:$AU$1006,0)), HYPERLINK("#",""), HYPERLINK(CONCATENATE("#metadata!", ADDRESS(INDEX($Y$2:$Y$1001,MATCH(ROWS($W$2:W175),$W$2:$W$1001,0),0), INDEX($AD$1004:$AU$1004,1,MATCH(COLUMNS($AD$1006:AK1006),$AD$1006:$AU$1006,0)))),"Fix")))</f>
        <v xml:space="preserve"> </v>
      </c>
      <c r="J175" s="4" t="str">
        <f ca="1">IF(OR(INDEX($X$2:$X$1001,MATCH(ROWS($W$2:W175),$W$2:$W$1001,0),1)&gt;=100000,INDEX($AD$1005:$AU$1005,1,MATCH(COLUMNS($AD$1006:AL1006),$AD$1006:$AU$1006,0))&gt;=100000), " ",IF(INDEX($AD$2:$AU$1001,MATCH(ROWS($W$2:W175),$W$2:$W$1001,0),MATCH(COLUMNS($AD$1006:AL1006),$AD$1006:$AU$1006,0)), HYPERLINK("#",""), HYPERLINK(CONCATENATE("#metadata!", ADDRESS(INDEX($Y$2:$Y$1001,MATCH(ROWS($W$2:W175),$W$2:$W$1001,0),0), INDEX($AD$1004:$AU$1004,1,MATCH(COLUMNS($AD$1006:AL1006),$AD$1006:$AU$1006,0)))),"Fix")))</f>
        <v xml:space="preserve"> </v>
      </c>
      <c r="K175" s="4" t="str">
        <f ca="1">IF(OR(INDEX($X$2:$X$1001,MATCH(ROWS($W$2:W175),$W$2:$W$1001,0),1)&gt;=100000,INDEX($AD$1005:$AU$1005,1,MATCH(COLUMNS($AD$1006:AM1006),$AD$1006:$AU$1006,0))&gt;=100000), " ",IF(INDEX($AD$2:$AU$1001,MATCH(ROWS($W$2:W175),$W$2:$W$1001,0),MATCH(COLUMNS($AD$1006:AM1006),$AD$1006:$AU$1006,0)), HYPERLINK("#",""), HYPERLINK(CONCATENATE("#metadata!", ADDRESS(INDEX($Y$2:$Y$1001,MATCH(ROWS($W$2:W175),$W$2:$W$1001,0),0), INDEX($AD$1004:$AU$1004,1,MATCH(COLUMNS($AD$1006:AM1006),$AD$1006:$AU$1006,0)))),"Fix")))</f>
        <v xml:space="preserve"> </v>
      </c>
      <c r="L175" s="4" t="str">
        <f ca="1">IF(OR(INDEX($X$2:$X$1001,MATCH(ROWS($W$2:W175),$W$2:$W$1001,0),1)&gt;=100000,INDEX($AD$1005:$AU$1005,1,MATCH(COLUMNS($AD$1006:AN1006),$AD$1006:$AU$1006,0))&gt;=100000), " ",IF(INDEX($AD$2:$AU$1001,MATCH(ROWS($W$2:W175),$W$2:$W$1001,0),MATCH(COLUMNS($AD$1006:AN1006),$AD$1006:$AU$1006,0)), HYPERLINK("#",""), HYPERLINK(CONCATENATE("#metadata!", ADDRESS(INDEX($Y$2:$Y$1001,MATCH(ROWS($W$2:W175),$W$2:$W$1001,0),0), INDEX($AD$1004:$AU$1004,1,MATCH(COLUMNS($AD$1006:AN1006),$AD$1006:$AU$1006,0)))),"Fix")))</f>
        <v xml:space="preserve"> </v>
      </c>
      <c r="M175" s="4" t="str">
        <f ca="1">IF(OR(INDEX($X$2:$X$1001,MATCH(ROWS($W$2:W175),$W$2:$W$1001,0),1)&gt;=100000,INDEX($AD$1005:$AU$1005,1,MATCH(COLUMNS($AD$1006:AO1006),$AD$1006:$AU$1006,0))&gt;=100000), " ",IF(INDEX($AD$2:$AU$1001,MATCH(ROWS($W$2:W175),$W$2:$W$1001,0),MATCH(COLUMNS($AD$1006:AO1006),$AD$1006:$AU$1006,0)), HYPERLINK("#",""), HYPERLINK(CONCATENATE("#metadata!", ADDRESS(INDEX($Y$2:$Y$1001,MATCH(ROWS($W$2:W175),$W$2:$W$1001,0),0), INDEX($AD$1004:$AU$1004,1,MATCH(COLUMNS($AD$1006:AO1006),$AD$1006:$AU$1006,0)))),"Fix")))</f>
        <v xml:space="preserve"> </v>
      </c>
      <c r="N175" s="4" t="str">
        <f ca="1">IF(OR(INDEX($X$2:$X$1001,MATCH(ROWS($W$2:W175),$W$2:$W$1001,0),1)&gt;=100000,INDEX($AD$1005:$AU$1005,1,MATCH(COLUMNS($AD$1006:AP1006),$AD$1006:$AU$1006,0))&gt;=100000), " ",IF(INDEX($AD$2:$AU$1001,MATCH(ROWS($W$2:W175),$W$2:$W$1001,0),MATCH(COLUMNS($AD$1006:AP1006),$AD$1006:$AU$1006,0)), HYPERLINK("#",""), HYPERLINK(CONCATENATE("#metadata!", ADDRESS(INDEX($Y$2:$Y$1001,MATCH(ROWS($W$2:W175),$W$2:$W$1001,0),0), INDEX($AD$1004:$AU$1004,1,MATCH(COLUMNS($AD$1006:AP1006),$AD$1006:$AU$1006,0)))),"Fix")))</f>
        <v xml:space="preserve"> </v>
      </c>
      <c r="O175" s="4" t="str">
        <f ca="1">IF(OR(INDEX($X$2:$X$1001,MATCH(ROWS($W$2:W175),$W$2:$W$1001,0),1)&gt;=100000,INDEX($AD$1005:$AU$1005,1,MATCH(COLUMNS($AD$1006:AQ1006),$AD$1006:$AU$1006,0))&gt;=100000), " ",IF(INDEX($AD$2:$AU$1001,MATCH(ROWS($W$2:W175),$W$2:$W$1001,0),MATCH(COLUMNS($AD$1006:AQ1006),$AD$1006:$AU$1006,0)), HYPERLINK("#",""), HYPERLINK(CONCATENATE("#metadata!", ADDRESS(INDEX($Y$2:$Y$1001,MATCH(ROWS($W$2:W175),$W$2:$W$1001,0),0), INDEX($AD$1004:$AU$1004,1,MATCH(COLUMNS($AD$1006:AQ1006),$AD$1006:$AU$1006,0)))),"Fix")))</f>
        <v xml:space="preserve"> </v>
      </c>
      <c r="P175" s="4" t="str">
        <f ca="1">IF(OR(INDEX($X$2:$X$1001,MATCH(ROWS($W$2:W175),$W$2:$W$1001,0),1)&gt;=100000,INDEX($AD$1005:$AU$1005,1,MATCH(COLUMNS($AD$1006:AR1006),$AD$1006:$AU$1006,0))&gt;=100000), " ",IF(INDEX($AD$2:$AU$1001,MATCH(ROWS($W$2:W175),$W$2:$W$1001,0),MATCH(COLUMNS($AD$1006:AR1006),$AD$1006:$AU$1006,0)), HYPERLINK("#",""), HYPERLINK(CONCATENATE("#metadata!", ADDRESS(INDEX($Y$2:$Y$1001,MATCH(ROWS($W$2:W175),$W$2:$W$1001,0),0), INDEX($AD$1004:$AU$1004,1,MATCH(COLUMNS($AD$1006:AR1006),$AD$1006:$AU$1006,0)))),"Fix")))</f>
        <v xml:space="preserve"> </v>
      </c>
      <c r="Q175" s="4" t="str">
        <f ca="1">IF(OR(INDEX($X$2:$X$1001,MATCH(ROWS($W$2:W175),$W$2:$W$1001,0),1)&gt;=100000,INDEX($AD$1005:$AU$1005,1,MATCH(COLUMNS($AD$1006:AS1006),$AD$1006:$AU$1006,0))&gt;=100000), " ",IF(INDEX($AD$2:$AU$1001,MATCH(ROWS($W$2:W175),$W$2:$W$1001,0),MATCH(COLUMNS($AD$1006:AS1006),$AD$1006:$AU$1006,0)), HYPERLINK("#",""), HYPERLINK(CONCATENATE("#metadata!", ADDRESS(INDEX($Y$2:$Y$1001,MATCH(ROWS($W$2:W175),$W$2:$W$1001,0),0), INDEX($AD$1004:$AU$1004,1,MATCH(COLUMNS($AD$1006:AS1006),$AD$1006:$AU$1006,0)))),"Fix")))</f>
        <v xml:space="preserve"> </v>
      </c>
      <c r="R175" s="4" t="str">
        <f ca="1">IF(OR(INDEX($X$2:$X$1001,MATCH(ROWS($W$2:W175),$W$2:$W$1001,0),1)&gt;=100000,INDEX($AD$1005:$AU$1005,1,MATCH(COLUMNS($AD$1006:AT1006),$AD$1006:$AU$1006,0))&gt;=100000), " ",IF(INDEX($AD$2:$AU$1001,MATCH(ROWS($W$2:W175),$W$2:$W$1001,0),MATCH(COLUMNS($AD$1006:AT1006),$AD$1006:$AU$1006,0)), HYPERLINK("#",""), HYPERLINK(CONCATENATE("#metadata!", ADDRESS(INDEX($Y$2:$Y$1001,MATCH(ROWS($W$2:W175),$W$2:$W$1001,0),0), INDEX($AD$1004:$AU$1004,1,MATCH(COLUMNS($AD$1006:AT1006),$AD$1006:$AU$1006,0)))),"Fix")))</f>
        <v xml:space="preserve"> </v>
      </c>
      <c r="S175" s="4" t="str">
        <f ca="1">IF(OR(INDEX($X$2:$X$1001,MATCH(ROWS($W$2:W175),$W$2:$W$1001,0),1)&gt;=100000,INDEX($AD$1005:$AU$1005,1,MATCH(COLUMNS($AD$1006:AU1006),$AD$1006:$AU$1006,0))&gt;=100000), " ",IF(INDEX($AD$2:$AU$1001,MATCH(ROWS($W$2:W175),$W$2:$W$1001,0),MATCH(COLUMNS($AD$1006:AU1006),$AD$1006:$AU$1006,0)), HYPERLINK("#",""), HYPERLINK(CONCATENATE("#metadata!", ADDRESS(INDEX($Y$2:$Y$1001,MATCH(ROWS($W$2:W175),$W$2:$W$1001,0),0), INDEX($AD$1004:$AU$1004,1,MATCH(COLUMNS($AD$1006:AU1006),$AD$1006:$AU$1006,0)))),"Fix")))</f>
        <v xml:space="preserve"> </v>
      </c>
      <c r="W175">
        <v>174</v>
      </c>
      <c r="X175">
        <v>100175</v>
      </c>
      <c r="Y175">
        <v>175</v>
      </c>
      <c r="Z175" t="b">
        <f t="shared" si="2"/>
        <v>1</v>
      </c>
      <c r="AA175" t="b">
        <f>COUNTBLANK(metadata!B175:S175)=COLUMNS(metadata!B175:S175)</f>
        <v>1</v>
      </c>
      <c r="AB175" t="str">
        <v/>
      </c>
      <c r="AD175" t="b">
        <f ca="1">AND(IF(metadata!B175="",FALSE,TRUE),COUNTIF(metadata!B:B, metadata!B175) = 1,NOT(ISERROR(SUMPRODUCT(SEARCH(MID(metadata!B175,ROW(INDIRECT("1:"&amp;LEN(metadata!B175))), 1),"0123456789abcdefghijklmnopqrstuvwxyzABCDEFGHIJKLMNOPQRSTUVWXYZ.")))))</f>
        <v>0</v>
      </c>
      <c r="AE175" t="b">
        <f>OR(AND(IF(metadata!C175="",FALSE,TRUE),OR(EXACT(metadata!C175,"not applicable"),EXACT(metadata!C175,"missing: not collected"),EXACT(metadata!C175,"missing: not provided"),EXACT(metadata!C175,"missing: restricted access"))),AND(IF(metadata!C175="",FALSE,ISNUMBER(VALUE(metadata!C175))),metadata!C175&gt;0))</f>
        <v>0</v>
      </c>
      <c r="AF175" t="b">
        <f>AND(IF(metadata!D175="",FALSE,TRUE),EXACT(metadata!D175,"missing: not provided"))</f>
        <v>0</v>
      </c>
      <c r="AG175" t="b">
        <f>AND(IF(metadata!E175="",FALSE,TRUE),EXACT(metadata!E175,"Host-associated"))</f>
        <v>0</v>
      </c>
      <c r="AH175" t="b">
        <f>AND(IF(metadata!F175="",FALSE,TRUE),OR(EXACT(metadata!F175,"Animal"),EXACT(metadata!F175,"Fungus"),EXACT(metadata!F175,"Plant")))</f>
        <v>0</v>
      </c>
      <c r="AI175" t="b">
        <f>AND(IF(metadata!G175="",FALSE,TRUE),OR(EXACT(metadata!G175,"Plant secretion"),EXACT(metadata!G175,"Plant rhizosphere"),EXACT(metadata!G175,"Plant surface"),EXACT(metadata!G175,"Plant corpus"),EXACT(metadata!G175,"Fungus surface"),EXACT(metadata!G175,"Fungus corpus"),EXACT(metadata!G175,"Animal surface"),EXACT(metadata!G175,"Animal proximal gut"),EXACT(metadata!G175,"Animal corpus"),EXACT(metadata!G175,"Animal distal gut"),EXACT(metadata!G175,"Animal secretion")))</f>
        <v>0</v>
      </c>
      <c r="AJ175" t="b">
        <f>OR(AND(IF(metadata!H175="",FALSE,TRUE),OR(EXACT(metadata!H175,"missing: not collected"),EXACT(metadata!H175,"missing: not provided"),EXACT(metadata!H175,"missing: restricted access"))),AND(IF(metadata!H175="",FALSE,TRUE),OR(EXACT(metadata!H175,"organism-associated habitat"),EXACT(metadata!H175,"plant-associated habitat"),EXACT(metadata!H175,"animal-associated habitat"),EXACT(metadata!H175,"insecta-associated habitat"),EXACT(metadata!H175,"mammalia-associated habitat"),EXACT(metadata!H175,"human-associated habitat"),EXACT(metadata!H175,"livestock-associated habitat"))))</f>
        <v>0</v>
      </c>
      <c r="AK175" t="b">
        <f>AND(IF(metadata!I175="",FALSE,TRUE),EXACT(metadata!I175,"host-associated"))</f>
        <v>0</v>
      </c>
      <c r="AL175" t="b">
        <f>OR(AND(IF(metadata!J175="",FALSE,TRUE),OR(EXACT(metadata!J175,"not applicable"),EXACT(metadata!J175,"missing: not collected"),EXACT(metadata!J175,"missing: not provided"),EXACT(metadata!J175,"missing: restricted access"))),AND(IF(metadata!J175="",FALSE,ISNUMBER(VALUE(metadata!J175))),metadata!J175&gt;0))</f>
        <v>0</v>
      </c>
      <c r="AM175" t="b">
        <f>AND(IF(metadata!K175="",FALSE,TRUE),EXACT(metadata!K175,"missing: not provided"))</f>
        <v>0</v>
      </c>
      <c r="AN175" t="b">
        <f>IF(metadata!L175="",FALSE,TRUE)</f>
        <v>0</v>
      </c>
      <c r="AO175" t="b">
        <f>IF(metadata!M175="",FALSE,TRUE)</f>
        <v>0</v>
      </c>
      <c r="AP175" t="b">
        <f>OR(AND(IF(metadata!N175="",FALSE,TRUE),OR(EXACT(metadata!N175,"not applicable"),EXACT(metadata!N175,"missing: not collected"),EXACT(metadata!N175,"missing: not provided"))),AND(IF(metadata!N175="",FALSE,IF(ISERROR(INT(metadata!N175)),FALSE,INT(metadata!N175)=metadata!N175)),metadata!N175&gt;0))</f>
        <v>0</v>
      </c>
      <c r="AQ175" t="b">
        <f>AND(IF(metadata!O175="",FALSE,TRUE),EXACT(metadata!O175,"Not applicable"))</f>
        <v>0</v>
      </c>
      <c r="AR175" t="b">
        <f>OR(AND(IF(metadata!P175="",FALSE,TRUE),OR(EXACT(metadata!P175,"not applicable"),EXACT(metadata!P175,"missing: not collected"),EXACT(metadata!P175,"missing: not provided"),EXACT(metadata!P175,"missing: restricted access"))),IF(metadata!P175="",FALSE,IF(ISERROR(INT(metadata!P175)),FALSE,INT(metadata!P175)=metadata!P175)))</f>
        <v>0</v>
      </c>
      <c r="AS175" t="b">
        <f>AND(IF(metadata!Q175="",FALSE,TRUE),EXACT(metadata!Q175,"Not applicable"))</f>
        <v>0</v>
      </c>
      <c r="AT175" t="b">
        <f>OR(AND(IF(metadata!R175="",FALSE,TRUE),OR(EXACT(metadata!R175,"not applicable"),EXACT(metadata!R175,"missing: not collected"),EXACT(metadata!R175,"missing: not provided"),EXACT(metadata!R175,"missing: restricted access"))),AND(IF(metadata!R175="",FALSE,ISNUMBER(VALUE(metadata!R175))),metadata!R175&gt;0))</f>
        <v>0</v>
      </c>
      <c r="AU175" t="b">
        <f>AND(IF(metadata!S175="",FALSE,TRUE),EXACT(metadata!S175,"missing: not provided"))</f>
        <v>0</v>
      </c>
    </row>
    <row r="176" spans="1:47" x14ac:dyDescent="0.2">
      <c r="A176" s="5" t="str">
        <f ca="1">IF(B176=" "," ",HYPERLINK(CONCATENATE("#metadata!",ADDRESS(INDEX($Y$2:$Y$1001,MATCH(ROWS($W$2:W176),$W$2:$W$1001,0),0),1)),INDEX($AB$2:$AB$1001,MATCH(ROWS($W$2:W176),$W$2:$W$1001,0),0)))</f>
        <v xml:space="preserve"> </v>
      </c>
      <c r="B176" s="4" t="str">
        <f ca="1">IF(OR(INDEX($X$2:$X$1001,MATCH(ROWS($W$2:W176),$W$2:$W$1001,0),1)&gt;=100000,INDEX($AD$1005:$AU$1005,1,MATCH(COLUMNS($AD$1006:AD1006),$AD$1006:$AU$1006,0))&gt;=100000), " ",IF(INDEX($AD$2:$AU$1001,MATCH(ROWS($W$2:W176),$W$2:$W$1001,0),MATCH(COLUMNS($AD$1006:AD1006),$AD$1006:$AU$1006,0)), HYPERLINK("#",""), HYPERLINK(CONCATENATE("#metadata!", ADDRESS(INDEX($Y$2:$Y$1001,MATCH(ROWS($W$2:W176),$W$2:$W$1001,0),0), INDEX($AD$1004:$AU$1004,1,MATCH(COLUMNS($AD$1006:AD1006),$AD$1006:$AU$1006,0)))),"Fix")))</f>
        <v xml:space="preserve"> </v>
      </c>
      <c r="C176" s="4" t="str">
        <f ca="1">IF(OR(INDEX($X$2:$X$1001,MATCH(ROWS($W$2:W176),$W$2:$W$1001,0),1)&gt;=100000,INDEX($AD$1005:$AU$1005,1,MATCH(COLUMNS($AD$1006:AE1006),$AD$1006:$AU$1006,0))&gt;=100000), " ",IF(INDEX($AD$2:$AU$1001,MATCH(ROWS($W$2:W176),$W$2:$W$1001,0),MATCH(COLUMNS($AD$1006:AE1006),$AD$1006:$AU$1006,0)), HYPERLINK("#",""), HYPERLINK(CONCATENATE("#metadata!", ADDRESS(INDEX($Y$2:$Y$1001,MATCH(ROWS($W$2:W176),$W$2:$W$1001,0),0), INDEX($AD$1004:$AU$1004,1,MATCH(COLUMNS($AD$1006:AE1006),$AD$1006:$AU$1006,0)))),"Fix")))</f>
        <v xml:space="preserve"> </v>
      </c>
      <c r="D176" s="4" t="str">
        <f ca="1">IF(OR(INDEX($X$2:$X$1001,MATCH(ROWS($W$2:W176),$W$2:$W$1001,0),1)&gt;=100000,INDEX($AD$1005:$AU$1005,1,MATCH(COLUMNS($AD$1006:AF1006),$AD$1006:$AU$1006,0))&gt;=100000), " ",IF(INDEX($AD$2:$AU$1001,MATCH(ROWS($W$2:W176),$W$2:$W$1001,0),MATCH(COLUMNS($AD$1006:AF1006),$AD$1006:$AU$1006,0)), HYPERLINK("#",""), HYPERLINK(CONCATENATE("#metadata!", ADDRESS(INDEX($Y$2:$Y$1001,MATCH(ROWS($W$2:W176),$W$2:$W$1001,0),0), INDEX($AD$1004:$AU$1004,1,MATCH(COLUMNS($AD$1006:AF1006),$AD$1006:$AU$1006,0)))),"Fix")))</f>
        <v xml:space="preserve"> </v>
      </c>
      <c r="E176" s="4" t="str">
        <f ca="1">IF(OR(INDEX($X$2:$X$1001,MATCH(ROWS($W$2:W176),$W$2:$W$1001,0),1)&gt;=100000,INDEX($AD$1005:$AU$1005,1,MATCH(COLUMNS($AD$1006:AG1006),$AD$1006:$AU$1006,0))&gt;=100000), " ",IF(INDEX($AD$2:$AU$1001,MATCH(ROWS($W$2:W176),$W$2:$W$1001,0),MATCH(COLUMNS($AD$1006:AG1006),$AD$1006:$AU$1006,0)), HYPERLINK("#",""), HYPERLINK(CONCATENATE("#metadata!", ADDRESS(INDEX($Y$2:$Y$1001,MATCH(ROWS($W$2:W176),$W$2:$W$1001,0),0), INDEX($AD$1004:$AU$1004,1,MATCH(COLUMNS($AD$1006:AG1006),$AD$1006:$AU$1006,0)))),"Fix")))</f>
        <v xml:space="preserve"> </v>
      </c>
      <c r="F176" s="4" t="str">
        <f ca="1">IF(OR(INDEX($X$2:$X$1001,MATCH(ROWS($W$2:W176),$W$2:$W$1001,0),1)&gt;=100000,INDEX($AD$1005:$AU$1005,1,MATCH(COLUMNS($AD$1006:AH1006),$AD$1006:$AU$1006,0))&gt;=100000), " ",IF(INDEX($AD$2:$AU$1001,MATCH(ROWS($W$2:W176),$W$2:$W$1001,0),MATCH(COLUMNS($AD$1006:AH1006),$AD$1006:$AU$1006,0)), HYPERLINK("#",""), HYPERLINK(CONCATENATE("#metadata!", ADDRESS(INDEX($Y$2:$Y$1001,MATCH(ROWS($W$2:W176),$W$2:$W$1001,0),0), INDEX($AD$1004:$AU$1004,1,MATCH(COLUMNS($AD$1006:AH1006),$AD$1006:$AU$1006,0)))),"Fix")))</f>
        <v xml:space="preserve"> </v>
      </c>
      <c r="G176" s="4" t="str">
        <f ca="1">IF(OR(INDEX($X$2:$X$1001,MATCH(ROWS($W$2:W176),$W$2:$W$1001,0),1)&gt;=100000,INDEX($AD$1005:$AU$1005,1,MATCH(COLUMNS($AD$1006:AI1006),$AD$1006:$AU$1006,0))&gt;=100000), " ",IF(INDEX($AD$2:$AU$1001,MATCH(ROWS($W$2:W176),$W$2:$W$1001,0),MATCH(COLUMNS($AD$1006:AI1006),$AD$1006:$AU$1006,0)), HYPERLINK("#",""), HYPERLINK(CONCATENATE("#metadata!", ADDRESS(INDEX($Y$2:$Y$1001,MATCH(ROWS($W$2:W176),$W$2:$W$1001,0),0), INDEX($AD$1004:$AU$1004,1,MATCH(COLUMNS($AD$1006:AI1006),$AD$1006:$AU$1006,0)))),"Fix")))</f>
        <v xml:space="preserve"> </v>
      </c>
      <c r="H176" s="4" t="str">
        <f ca="1">IF(OR(INDEX($X$2:$X$1001,MATCH(ROWS($W$2:W176),$W$2:$W$1001,0),1)&gt;=100000,INDEX($AD$1005:$AU$1005,1,MATCH(COLUMNS($AD$1006:AJ1006),$AD$1006:$AU$1006,0))&gt;=100000), " ",IF(INDEX($AD$2:$AU$1001,MATCH(ROWS($W$2:W176),$W$2:$W$1001,0),MATCH(COLUMNS($AD$1006:AJ1006),$AD$1006:$AU$1006,0)), HYPERLINK("#",""), HYPERLINK(CONCATENATE("#metadata!", ADDRESS(INDEX($Y$2:$Y$1001,MATCH(ROWS($W$2:W176),$W$2:$W$1001,0),0), INDEX($AD$1004:$AU$1004,1,MATCH(COLUMNS($AD$1006:AJ1006),$AD$1006:$AU$1006,0)))),"Fix")))</f>
        <v xml:space="preserve"> </v>
      </c>
      <c r="I176" s="4" t="str">
        <f ca="1">IF(OR(INDEX($X$2:$X$1001,MATCH(ROWS($W$2:W176),$W$2:$W$1001,0),1)&gt;=100000,INDEX($AD$1005:$AU$1005,1,MATCH(COLUMNS($AD$1006:AK1006),$AD$1006:$AU$1006,0))&gt;=100000), " ",IF(INDEX($AD$2:$AU$1001,MATCH(ROWS($W$2:W176),$W$2:$W$1001,0),MATCH(COLUMNS($AD$1006:AK1006),$AD$1006:$AU$1006,0)), HYPERLINK("#",""), HYPERLINK(CONCATENATE("#metadata!", ADDRESS(INDEX($Y$2:$Y$1001,MATCH(ROWS($W$2:W176),$W$2:$W$1001,0),0), INDEX($AD$1004:$AU$1004,1,MATCH(COLUMNS($AD$1006:AK1006),$AD$1006:$AU$1006,0)))),"Fix")))</f>
        <v xml:space="preserve"> </v>
      </c>
      <c r="J176" s="4" t="str">
        <f ca="1">IF(OR(INDEX($X$2:$X$1001,MATCH(ROWS($W$2:W176),$W$2:$W$1001,0),1)&gt;=100000,INDEX($AD$1005:$AU$1005,1,MATCH(COLUMNS($AD$1006:AL1006),$AD$1006:$AU$1006,0))&gt;=100000), " ",IF(INDEX($AD$2:$AU$1001,MATCH(ROWS($W$2:W176),$W$2:$W$1001,0),MATCH(COLUMNS($AD$1006:AL1006),$AD$1006:$AU$1006,0)), HYPERLINK("#",""), HYPERLINK(CONCATENATE("#metadata!", ADDRESS(INDEX($Y$2:$Y$1001,MATCH(ROWS($W$2:W176),$W$2:$W$1001,0),0), INDEX($AD$1004:$AU$1004,1,MATCH(COLUMNS($AD$1006:AL1006),$AD$1006:$AU$1006,0)))),"Fix")))</f>
        <v xml:space="preserve"> </v>
      </c>
      <c r="K176" s="4" t="str">
        <f ca="1">IF(OR(INDEX($X$2:$X$1001,MATCH(ROWS($W$2:W176),$W$2:$W$1001,0),1)&gt;=100000,INDEX($AD$1005:$AU$1005,1,MATCH(COLUMNS($AD$1006:AM1006),$AD$1006:$AU$1006,0))&gt;=100000), " ",IF(INDEX($AD$2:$AU$1001,MATCH(ROWS($W$2:W176),$W$2:$W$1001,0),MATCH(COLUMNS($AD$1006:AM1006),$AD$1006:$AU$1006,0)), HYPERLINK("#",""), HYPERLINK(CONCATENATE("#metadata!", ADDRESS(INDEX($Y$2:$Y$1001,MATCH(ROWS($W$2:W176),$W$2:$W$1001,0),0), INDEX($AD$1004:$AU$1004,1,MATCH(COLUMNS($AD$1006:AM1006),$AD$1006:$AU$1006,0)))),"Fix")))</f>
        <v xml:space="preserve"> </v>
      </c>
      <c r="L176" s="4" t="str">
        <f ca="1">IF(OR(INDEX($X$2:$X$1001,MATCH(ROWS($W$2:W176),$W$2:$W$1001,0),1)&gt;=100000,INDEX($AD$1005:$AU$1005,1,MATCH(COLUMNS($AD$1006:AN1006),$AD$1006:$AU$1006,0))&gt;=100000), " ",IF(INDEX($AD$2:$AU$1001,MATCH(ROWS($W$2:W176),$W$2:$W$1001,0),MATCH(COLUMNS($AD$1006:AN1006),$AD$1006:$AU$1006,0)), HYPERLINK("#",""), HYPERLINK(CONCATENATE("#metadata!", ADDRESS(INDEX($Y$2:$Y$1001,MATCH(ROWS($W$2:W176),$W$2:$W$1001,0),0), INDEX($AD$1004:$AU$1004,1,MATCH(COLUMNS($AD$1006:AN1006),$AD$1006:$AU$1006,0)))),"Fix")))</f>
        <v xml:space="preserve"> </v>
      </c>
      <c r="M176" s="4" t="str">
        <f ca="1">IF(OR(INDEX($X$2:$X$1001,MATCH(ROWS($W$2:W176),$W$2:$W$1001,0),1)&gt;=100000,INDEX($AD$1005:$AU$1005,1,MATCH(COLUMNS($AD$1006:AO1006),$AD$1006:$AU$1006,0))&gt;=100000), " ",IF(INDEX($AD$2:$AU$1001,MATCH(ROWS($W$2:W176),$W$2:$W$1001,0),MATCH(COLUMNS($AD$1006:AO1006),$AD$1006:$AU$1006,0)), HYPERLINK("#",""), HYPERLINK(CONCATENATE("#metadata!", ADDRESS(INDEX($Y$2:$Y$1001,MATCH(ROWS($W$2:W176),$W$2:$W$1001,0),0), INDEX($AD$1004:$AU$1004,1,MATCH(COLUMNS($AD$1006:AO1006),$AD$1006:$AU$1006,0)))),"Fix")))</f>
        <v xml:space="preserve"> </v>
      </c>
      <c r="N176" s="4" t="str">
        <f ca="1">IF(OR(INDEX($X$2:$X$1001,MATCH(ROWS($W$2:W176),$W$2:$W$1001,0),1)&gt;=100000,INDEX($AD$1005:$AU$1005,1,MATCH(COLUMNS($AD$1006:AP1006),$AD$1006:$AU$1006,0))&gt;=100000), " ",IF(INDEX($AD$2:$AU$1001,MATCH(ROWS($W$2:W176),$W$2:$W$1001,0),MATCH(COLUMNS($AD$1006:AP1006),$AD$1006:$AU$1006,0)), HYPERLINK("#",""), HYPERLINK(CONCATENATE("#metadata!", ADDRESS(INDEX($Y$2:$Y$1001,MATCH(ROWS($W$2:W176),$W$2:$W$1001,0),0), INDEX($AD$1004:$AU$1004,1,MATCH(COLUMNS($AD$1006:AP1006),$AD$1006:$AU$1006,0)))),"Fix")))</f>
        <v xml:space="preserve"> </v>
      </c>
      <c r="O176" s="4" t="str">
        <f ca="1">IF(OR(INDEX($X$2:$X$1001,MATCH(ROWS($W$2:W176),$W$2:$W$1001,0),1)&gt;=100000,INDEX($AD$1005:$AU$1005,1,MATCH(COLUMNS($AD$1006:AQ1006),$AD$1006:$AU$1006,0))&gt;=100000), " ",IF(INDEX($AD$2:$AU$1001,MATCH(ROWS($W$2:W176),$W$2:$W$1001,0),MATCH(COLUMNS($AD$1006:AQ1006),$AD$1006:$AU$1006,0)), HYPERLINK("#",""), HYPERLINK(CONCATENATE("#metadata!", ADDRESS(INDEX($Y$2:$Y$1001,MATCH(ROWS($W$2:W176),$W$2:$W$1001,0),0), INDEX($AD$1004:$AU$1004,1,MATCH(COLUMNS($AD$1006:AQ1006),$AD$1006:$AU$1006,0)))),"Fix")))</f>
        <v xml:space="preserve"> </v>
      </c>
      <c r="P176" s="4" t="str">
        <f ca="1">IF(OR(INDEX($X$2:$X$1001,MATCH(ROWS($W$2:W176),$W$2:$W$1001,0),1)&gt;=100000,INDEX($AD$1005:$AU$1005,1,MATCH(COLUMNS($AD$1006:AR1006),$AD$1006:$AU$1006,0))&gt;=100000), " ",IF(INDEX($AD$2:$AU$1001,MATCH(ROWS($W$2:W176),$W$2:$W$1001,0),MATCH(COLUMNS($AD$1006:AR1006),$AD$1006:$AU$1006,0)), HYPERLINK("#",""), HYPERLINK(CONCATENATE("#metadata!", ADDRESS(INDEX($Y$2:$Y$1001,MATCH(ROWS($W$2:W176),$W$2:$W$1001,0),0), INDEX($AD$1004:$AU$1004,1,MATCH(COLUMNS($AD$1006:AR1006),$AD$1006:$AU$1006,0)))),"Fix")))</f>
        <v xml:space="preserve"> </v>
      </c>
      <c r="Q176" s="4" t="str">
        <f ca="1">IF(OR(INDEX($X$2:$X$1001,MATCH(ROWS($W$2:W176),$W$2:$W$1001,0),1)&gt;=100000,INDEX($AD$1005:$AU$1005,1,MATCH(COLUMNS($AD$1006:AS1006),$AD$1006:$AU$1006,0))&gt;=100000), " ",IF(INDEX($AD$2:$AU$1001,MATCH(ROWS($W$2:W176),$W$2:$W$1001,0),MATCH(COLUMNS($AD$1006:AS1006),$AD$1006:$AU$1006,0)), HYPERLINK("#",""), HYPERLINK(CONCATENATE("#metadata!", ADDRESS(INDEX($Y$2:$Y$1001,MATCH(ROWS($W$2:W176),$W$2:$W$1001,0),0), INDEX($AD$1004:$AU$1004,1,MATCH(COLUMNS($AD$1006:AS1006),$AD$1006:$AU$1006,0)))),"Fix")))</f>
        <v xml:space="preserve"> </v>
      </c>
      <c r="R176" s="4" t="str">
        <f ca="1">IF(OR(INDEX($X$2:$X$1001,MATCH(ROWS($W$2:W176),$W$2:$W$1001,0),1)&gt;=100000,INDEX($AD$1005:$AU$1005,1,MATCH(COLUMNS($AD$1006:AT1006),$AD$1006:$AU$1006,0))&gt;=100000), " ",IF(INDEX($AD$2:$AU$1001,MATCH(ROWS($W$2:W176),$W$2:$W$1001,0),MATCH(COLUMNS($AD$1006:AT1006),$AD$1006:$AU$1006,0)), HYPERLINK("#",""), HYPERLINK(CONCATENATE("#metadata!", ADDRESS(INDEX($Y$2:$Y$1001,MATCH(ROWS($W$2:W176),$W$2:$W$1001,0),0), INDEX($AD$1004:$AU$1004,1,MATCH(COLUMNS($AD$1006:AT1006),$AD$1006:$AU$1006,0)))),"Fix")))</f>
        <v xml:space="preserve"> </v>
      </c>
      <c r="S176" s="4" t="str">
        <f ca="1">IF(OR(INDEX($X$2:$X$1001,MATCH(ROWS($W$2:W176),$W$2:$W$1001,0),1)&gt;=100000,INDEX($AD$1005:$AU$1005,1,MATCH(COLUMNS($AD$1006:AU1006),$AD$1006:$AU$1006,0))&gt;=100000), " ",IF(INDEX($AD$2:$AU$1001,MATCH(ROWS($W$2:W176),$W$2:$W$1001,0),MATCH(COLUMNS($AD$1006:AU1006),$AD$1006:$AU$1006,0)), HYPERLINK("#",""), HYPERLINK(CONCATENATE("#metadata!", ADDRESS(INDEX($Y$2:$Y$1001,MATCH(ROWS($W$2:W176),$W$2:$W$1001,0),0), INDEX($AD$1004:$AU$1004,1,MATCH(COLUMNS($AD$1006:AU1006),$AD$1006:$AU$1006,0)))),"Fix")))</f>
        <v xml:space="preserve"> </v>
      </c>
      <c r="W176">
        <v>175</v>
      </c>
      <c r="X176">
        <v>100176</v>
      </c>
      <c r="Y176">
        <v>176</v>
      </c>
      <c r="Z176" t="b">
        <f t="shared" si="2"/>
        <v>1</v>
      </c>
      <c r="AA176" t="b">
        <f>COUNTBLANK(metadata!B176:S176)=COLUMNS(metadata!B176:S176)</f>
        <v>1</v>
      </c>
      <c r="AB176" t="str">
        <v/>
      </c>
      <c r="AD176" t="b">
        <f ca="1">AND(IF(metadata!B176="",FALSE,TRUE),COUNTIF(metadata!B:B, metadata!B176) = 1,NOT(ISERROR(SUMPRODUCT(SEARCH(MID(metadata!B176,ROW(INDIRECT("1:"&amp;LEN(metadata!B176))), 1),"0123456789abcdefghijklmnopqrstuvwxyzABCDEFGHIJKLMNOPQRSTUVWXYZ.")))))</f>
        <v>0</v>
      </c>
      <c r="AE176" t="b">
        <f>OR(AND(IF(metadata!C176="",FALSE,TRUE),OR(EXACT(metadata!C176,"not applicable"),EXACT(metadata!C176,"missing: not collected"),EXACT(metadata!C176,"missing: not provided"),EXACT(metadata!C176,"missing: restricted access"))),AND(IF(metadata!C176="",FALSE,ISNUMBER(VALUE(metadata!C176))),metadata!C176&gt;0))</f>
        <v>0</v>
      </c>
      <c r="AF176" t="b">
        <f>AND(IF(metadata!D176="",FALSE,TRUE),EXACT(metadata!D176,"missing: not provided"))</f>
        <v>0</v>
      </c>
      <c r="AG176" t="b">
        <f>AND(IF(metadata!E176="",FALSE,TRUE),EXACT(metadata!E176,"Host-associated"))</f>
        <v>0</v>
      </c>
      <c r="AH176" t="b">
        <f>AND(IF(metadata!F176="",FALSE,TRUE),OR(EXACT(metadata!F176,"Animal"),EXACT(metadata!F176,"Fungus"),EXACT(metadata!F176,"Plant")))</f>
        <v>0</v>
      </c>
      <c r="AI176" t="b">
        <f>AND(IF(metadata!G176="",FALSE,TRUE),OR(EXACT(metadata!G176,"Plant secretion"),EXACT(metadata!G176,"Plant rhizosphere"),EXACT(metadata!G176,"Plant surface"),EXACT(metadata!G176,"Plant corpus"),EXACT(metadata!G176,"Fungus surface"),EXACT(metadata!G176,"Fungus corpus"),EXACT(metadata!G176,"Animal surface"),EXACT(metadata!G176,"Animal proximal gut"),EXACT(metadata!G176,"Animal corpus"),EXACT(metadata!G176,"Animal distal gut"),EXACT(metadata!G176,"Animal secretion")))</f>
        <v>0</v>
      </c>
      <c r="AJ176" t="b">
        <f>OR(AND(IF(metadata!H176="",FALSE,TRUE),OR(EXACT(metadata!H176,"missing: not collected"),EXACT(metadata!H176,"missing: not provided"),EXACT(metadata!H176,"missing: restricted access"))),AND(IF(metadata!H176="",FALSE,TRUE),OR(EXACT(metadata!H176,"organism-associated habitat"),EXACT(metadata!H176,"plant-associated habitat"),EXACT(metadata!H176,"animal-associated habitat"),EXACT(metadata!H176,"insecta-associated habitat"),EXACT(metadata!H176,"mammalia-associated habitat"),EXACT(metadata!H176,"human-associated habitat"),EXACT(metadata!H176,"livestock-associated habitat"))))</f>
        <v>0</v>
      </c>
      <c r="AK176" t="b">
        <f>AND(IF(metadata!I176="",FALSE,TRUE),EXACT(metadata!I176,"host-associated"))</f>
        <v>0</v>
      </c>
      <c r="AL176" t="b">
        <f>OR(AND(IF(metadata!J176="",FALSE,TRUE),OR(EXACT(metadata!J176,"not applicable"),EXACT(metadata!J176,"missing: not collected"),EXACT(metadata!J176,"missing: not provided"),EXACT(metadata!J176,"missing: restricted access"))),AND(IF(metadata!J176="",FALSE,ISNUMBER(VALUE(metadata!J176))),metadata!J176&gt;0))</f>
        <v>0</v>
      </c>
      <c r="AM176" t="b">
        <f>AND(IF(metadata!K176="",FALSE,TRUE),EXACT(metadata!K176,"missing: not provided"))</f>
        <v>0</v>
      </c>
      <c r="AN176" t="b">
        <f>IF(metadata!L176="",FALSE,TRUE)</f>
        <v>0</v>
      </c>
      <c r="AO176" t="b">
        <f>IF(metadata!M176="",FALSE,TRUE)</f>
        <v>0</v>
      </c>
      <c r="AP176" t="b">
        <f>OR(AND(IF(metadata!N176="",FALSE,TRUE),OR(EXACT(metadata!N176,"not applicable"),EXACT(metadata!N176,"missing: not collected"),EXACT(metadata!N176,"missing: not provided"))),AND(IF(metadata!N176="",FALSE,IF(ISERROR(INT(metadata!N176)),FALSE,INT(metadata!N176)=metadata!N176)),metadata!N176&gt;0))</f>
        <v>0</v>
      </c>
      <c r="AQ176" t="b">
        <f>AND(IF(metadata!O176="",FALSE,TRUE),EXACT(metadata!O176,"Not applicable"))</f>
        <v>0</v>
      </c>
      <c r="AR176" t="b">
        <f>OR(AND(IF(metadata!P176="",FALSE,TRUE),OR(EXACT(metadata!P176,"not applicable"),EXACT(metadata!P176,"missing: not collected"),EXACT(metadata!P176,"missing: not provided"),EXACT(metadata!P176,"missing: restricted access"))),IF(metadata!P176="",FALSE,IF(ISERROR(INT(metadata!P176)),FALSE,INT(metadata!P176)=metadata!P176)))</f>
        <v>0</v>
      </c>
      <c r="AS176" t="b">
        <f>AND(IF(metadata!Q176="",FALSE,TRUE),EXACT(metadata!Q176,"Not applicable"))</f>
        <v>0</v>
      </c>
      <c r="AT176" t="b">
        <f>OR(AND(IF(metadata!R176="",FALSE,TRUE),OR(EXACT(metadata!R176,"not applicable"),EXACT(metadata!R176,"missing: not collected"),EXACT(metadata!R176,"missing: not provided"),EXACT(metadata!R176,"missing: restricted access"))),AND(IF(metadata!R176="",FALSE,ISNUMBER(VALUE(metadata!R176))),metadata!R176&gt;0))</f>
        <v>0</v>
      </c>
      <c r="AU176" t="b">
        <f>AND(IF(metadata!S176="",FALSE,TRUE),EXACT(metadata!S176,"missing: not provided"))</f>
        <v>0</v>
      </c>
    </row>
    <row r="177" spans="1:47" x14ac:dyDescent="0.2">
      <c r="A177" s="5" t="str">
        <f ca="1">IF(B177=" "," ",HYPERLINK(CONCATENATE("#metadata!",ADDRESS(INDEX($Y$2:$Y$1001,MATCH(ROWS($W$2:W177),$W$2:$W$1001,0),0),1)),INDEX($AB$2:$AB$1001,MATCH(ROWS($W$2:W177),$W$2:$W$1001,0),0)))</f>
        <v xml:space="preserve"> </v>
      </c>
      <c r="B177" s="4" t="str">
        <f ca="1">IF(OR(INDEX($X$2:$X$1001,MATCH(ROWS($W$2:W177),$W$2:$W$1001,0),1)&gt;=100000,INDEX($AD$1005:$AU$1005,1,MATCH(COLUMNS($AD$1006:AD1006),$AD$1006:$AU$1006,0))&gt;=100000), " ",IF(INDEX($AD$2:$AU$1001,MATCH(ROWS($W$2:W177),$W$2:$W$1001,0),MATCH(COLUMNS($AD$1006:AD1006),$AD$1006:$AU$1006,0)), HYPERLINK("#",""), HYPERLINK(CONCATENATE("#metadata!", ADDRESS(INDEX($Y$2:$Y$1001,MATCH(ROWS($W$2:W177),$W$2:$W$1001,0),0), INDEX($AD$1004:$AU$1004,1,MATCH(COLUMNS($AD$1006:AD1006),$AD$1006:$AU$1006,0)))),"Fix")))</f>
        <v xml:space="preserve"> </v>
      </c>
      <c r="C177" s="4" t="str">
        <f ca="1">IF(OR(INDEX($X$2:$X$1001,MATCH(ROWS($W$2:W177),$W$2:$W$1001,0),1)&gt;=100000,INDEX($AD$1005:$AU$1005,1,MATCH(COLUMNS($AD$1006:AE1006),$AD$1006:$AU$1006,0))&gt;=100000), " ",IF(INDEX($AD$2:$AU$1001,MATCH(ROWS($W$2:W177),$W$2:$W$1001,0),MATCH(COLUMNS($AD$1006:AE1006),$AD$1006:$AU$1006,0)), HYPERLINK("#",""), HYPERLINK(CONCATENATE("#metadata!", ADDRESS(INDEX($Y$2:$Y$1001,MATCH(ROWS($W$2:W177),$W$2:$W$1001,0),0), INDEX($AD$1004:$AU$1004,1,MATCH(COLUMNS($AD$1006:AE1006),$AD$1006:$AU$1006,0)))),"Fix")))</f>
        <v xml:space="preserve"> </v>
      </c>
      <c r="D177" s="4" t="str">
        <f ca="1">IF(OR(INDEX($X$2:$X$1001,MATCH(ROWS($W$2:W177),$W$2:$W$1001,0),1)&gt;=100000,INDEX($AD$1005:$AU$1005,1,MATCH(COLUMNS($AD$1006:AF1006),$AD$1006:$AU$1006,0))&gt;=100000), " ",IF(INDEX($AD$2:$AU$1001,MATCH(ROWS($W$2:W177),$W$2:$W$1001,0),MATCH(COLUMNS($AD$1006:AF1006),$AD$1006:$AU$1006,0)), HYPERLINK("#",""), HYPERLINK(CONCATENATE("#metadata!", ADDRESS(INDEX($Y$2:$Y$1001,MATCH(ROWS($W$2:W177),$W$2:$W$1001,0),0), INDEX($AD$1004:$AU$1004,1,MATCH(COLUMNS($AD$1006:AF1006),$AD$1006:$AU$1006,0)))),"Fix")))</f>
        <v xml:space="preserve"> </v>
      </c>
      <c r="E177" s="4" t="str">
        <f ca="1">IF(OR(INDEX($X$2:$X$1001,MATCH(ROWS($W$2:W177),$W$2:$W$1001,0),1)&gt;=100000,INDEX($AD$1005:$AU$1005,1,MATCH(COLUMNS($AD$1006:AG1006),$AD$1006:$AU$1006,0))&gt;=100000), " ",IF(INDEX($AD$2:$AU$1001,MATCH(ROWS($W$2:W177),$W$2:$W$1001,0),MATCH(COLUMNS($AD$1006:AG1006),$AD$1006:$AU$1006,0)), HYPERLINK("#",""), HYPERLINK(CONCATENATE("#metadata!", ADDRESS(INDEX($Y$2:$Y$1001,MATCH(ROWS($W$2:W177),$W$2:$W$1001,0),0), INDEX($AD$1004:$AU$1004,1,MATCH(COLUMNS($AD$1006:AG1006),$AD$1006:$AU$1006,0)))),"Fix")))</f>
        <v xml:space="preserve"> </v>
      </c>
      <c r="F177" s="4" t="str">
        <f ca="1">IF(OR(INDEX($X$2:$X$1001,MATCH(ROWS($W$2:W177),$W$2:$W$1001,0),1)&gt;=100000,INDEX($AD$1005:$AU$1005,1,MATCH(COLUMNS($AD$1006:AH1006),$AD$1006:$AU$1006,0))&gt;=100000), " ",IF(INDEX($AD$2:$AU$1001,MATCH(ROWS($W$2:W177),$W$2:$W$1001,0),MATCH(COLUMNS($AD$1006:AH1006),$AD$1006:$AU$1006,0)), HYPERLINK("#",""), HYPERLINK(CONCATENATE("#metadata!", ADDRESS(INDEX($Y$2:$Y$1001,MATCH(ROWS($W$2:W177),$W$2:$W$1001,0),0), INDEX($AD$1004:$AU$1004,1,MATCH(COLUMNS($AD$1006:AH1006),$AD$1006:$AU$1006,0)))),"Fix")))</f>
        <v xml:space="preserve"> </v>
      </c>
      <c r="G177" s="4" t="str">
        <f ca="1">IF(OR(INDEX($X$2:$X$1001,MATCH(ROWS($W$2:W177),$W$2:$W$1001,0),1)&gt;=100000,INDEX($AD$1005:$AU$1005,1,MATCH(COLUMNS($AD$1006:AI1006),$AD$1006:$AU$1006,0))&gt;=100000), " ",IF(INDEX($AD$2:$AU$1001,MATCH(ROWS($W$2:W177),$W$2:$W$1001,0),MATCH(COLUMNS($AD$1006:AI1006),$AD$1006:$AU$1006,0)), HYPERLINK("#",""), HYPERLINK(CONCATENATE("#metadata!", ADDRESS(INDEX($Y$2:$Y$1001,MATCH(ROWS($W$2:W177),$W$2:$W$1001,0),0), INDEX($AD$1004:$AU$1004,1,MATCH(COLUMNS($AD$1006:AI1006),$AD$1006:$AU$1006,0)))),"Fix")))</f>
        <v xml:space="preserve"> </v>
      </c>
      <c r="H177" s="4" t="str">
        <f ca="1">IF(OR(INDEX($X$2:$X$1001,MATCH(ROWS($W$2:W177),$W$2:$W$1001,0),1)&gt;=100000,INDEX($AD$1005:$AU$1005,1,MATCH(COLUMNS($AD$1006:AJ1006),$AD$1006:$AU$1006,0))&gt;=100000), " ",IF(INDEX($AD$2:$AU$1001,MATCH(ROWS($W$2:W177),$W$2:$W$1001,0),MATCH(COLUMNS($AD$1006:AJ1006),$AD$1006:$AU$1006,0)), HYPERLINK("#",""), HYPERLINK(CONCATENATE("#metadata!", ADDRESS(INDEX($Y$2:$Y$1001,MATCH(ROWS($W$2:W177),$W$2:$W$1001,0),0), INDEX($AD$1004:$AU$1004,1,MATCH(COLUMNS($AD$1006:AJ1006),$AD$1006:$AU$1006,0)))),"Fix")))</f>
        <v xml:space="preserve"> </v>
      </c>
      <c r="I177" s="4" t="str">
        <f ca="1">IF(OR(INDEX($X$2:$X$1001,MATCH(ROWS($W$2:W177),$W$2:$W$1001,0),1)&gt;=100000,INDEX($AD$1005:$AU$1005,1,MATCH(COLUMNS($AD$1006:AK1006),$AD$1006:$AU$1006,0))&gt;=100000), " ",IF(INDEX($AD$2:$AU$1001,MATCH(ROWS($W$2:W177),$W$2:$W$1001,0),MATCH(COLUMNS($AD$1006:AK1006),$AD$1006:$AU$1006,0)), HYPERLINK("#",""), HYPERLINK(CONCATENATE("#metadata!", ADDRESS(INDEX($Y$2:$Y$1001,MATCH(ROWS($W$2:W177),$W$2:$W$1001,0),0), INDEX($AD$1004:$AU$1004,1,MATCH(COLUMNS($AD$1006:AK1006),$AD$1006:$AU$1006,0)))),"Fix")))</f>
        <v xml:space="preserve"> </v>
      </c>
      <c r="J177" s="4" t="str">
        <f ca="1">IF(OR(INDEX($X$2:$X$1001,MATCH(ROWS($W$2:W177),$W$2:$W$1001,0),1)&gt;=100000,INDEX($AD$1005:$AU$1005,1,MATCH(COLUMNS($AD$1006:AL1006),$AD$1006:$AU$1006,0))&gt;=100000), " ",IF(INDEX($AD$2:$AU$1001,MATCH(ROWS($W$2:W177),$W$2:$W$1001,0),MATCH(COLUMNS($AD$1006:AL1006),$AD$1006:$AU$1006,0)), HYPERLINK("#",""), HYPERLINK(CONCATENATE("#metadata!", ADDRESS(INDEX($Y$2:$Y$1001,MATCH(ROWS($W$2:W177),$W$2:$W$1001,0),0), INDEX($AD$1004:$AU$1004,1,MATCH(COLUMNS($AD$1006:AL1006),$AD$1006:$AU$1006,0)))),"Fix")))</f>
        <v xml:space="preserve"> </v>
      </c>
      <c r="K177" s="4" t="str">
        <f ca="1">IF(OR(INDEX($X$2:$X$1001,MATCH(ROWS($W$2:W177),$W$2:$W$1001,0),1)&gt;=100000,INDEX($AD$1005:$AU$1005,1,MATCH(COLUMNS($AD$1006:AM1006),$AD$1006:$AU$1006,0))&gt;=100000), " ",IF(INDEX($AD$2:$AU$1001,MATCH(ROWS($W$2:W177),$W$2:$W$1001,0),MATCH(COLUMNS($AD$1006:AM1006),$AD$1006:$AU$1006,0)), HYPERLINK("#",""), HYPERLINK(CONCATENATE("#metadata!", ADDRESS(INDEX($Y$2:$Y$1001,MATCH(ROWS($W$2:W177),$W$2:$W$1001,0),0), INDEX($AD$1004:$AU$1004,1,MATCH(COLUMNS($AD$1006:AM1006),$AD$1006:$AU$1006,0)))),"Fix")))</f>
        <v xml:space="preserve"> </v>
      </c>
      <c r="L177" s="4" t="str">
        <f ca="1">IF(OR(INDEX($X$2:$X$1001,MATCH(ROWS($W$2:W177),$W$2:$W$1001,0),1)&gt;=100000,INDEX($AD$1005:$AU$1005,1,MATCH(COLUMNS($AD$1006:AN1006),$AD$1006:$AU$1006,0))&gt;=100000), " ",IF(INDEX($AD$2:$AU$1001,MATCH(ROWS($W$2:W177),$W$2:$W$1001,0),MATCH(COLUMNS($AD$1006:AN1006),$AD$1006:$AU$1006,0)), HYPERLINK("#",""), HYPERLINK(CONCATENATE("#metadata!", ADDRESS(INDEX($Y$2:$Y$1001,MATCH(ROWS($W$2:W177),$W$2:$W$1001,0),0), INDEX($AD$1004:$AU$1004,1,MATCH(COLUMNS($AD$1006:AN1006),$AD$1006:$AU$1006,0)))),"Fix")))</f>
        <v xml:space="preserve"> </v>
      </c>
      <c r="M177" s="4" t="str">
        <f ca="1">IF(OR(INDEX($X$2:$X$1001,MATCH(ROWS($W$2:W177),$W$2:$W$1001,0),1)&gt;=100000,INDEX($AD$1005:$AU$1005,1,MATCH(COLUMNS($AD$1006:AO1006),$AD$1006:$AU$1006,0))&gt;=100000), " ",IF(INDEX($AD$2:$AU$1001,MATCH(ROWS($W$2:W177),$W$2:$W$1001,0),MATCH(COLUMNS($AD$1006:AO1006),$AD$1006:$AU$1006,0)), HYPERLINK("#",""), HYPERLINK(CONCATENATE("#metadata!", ADDRESS(INDEX($Y$2:$Y$1001,MATCH(ROWS($W$2:W177),$W$2:$W$1001,0),0), INDEX($AD$1004:$AU$1004,1,MATCH(COLUMNS($AD$1006:AO1006),$AD$1006:$AU$1006,0)))),"Fix")))</f>
        <v xml:space="preserve"> </v>
      </c>
      <c r="N177" s="4" t="str">
        <f ca="1">IF(OR(INDEX($X$2:$X$1001,MATCH(ROWS($W$2:W177),$W$2:$W$1001,0),1)&gt;=100000,INDEX($AD$1005:$AU$1005,1,MATCH(COLUMNS($AD$1006:AP1006),$AD$1006:$AU$1006,0))&gt;=100000), " ",IF(INDEX($AD$2:$AU$1001,MATCH(ROWS($W$2:W177),$W$2:$W$1001,0),MATCH(COLUMNS($AD$1006:AP1006),$AD$1006:$AU$1006,0)), HYPERLINK("#",""), HYPERLINK(CONCATENATE("#metadata!", ADDRESS(INDEX($Y$2:$Y$1001,MATCH(ROWS($W$2:W177),$W$2:$W$1001,0),0), INDEX($AD$1004:$AU$1004,1,MATCH(COLUMNS($AD$1006:AP1006),$AD$1006:$AU$1006,0)))),"Fix")))</f>
        <v xml:space="preserve"> </v>
      </c>
      <c r="O177" s="4" t="str">
        <f ca="1">IF(OR(INDEX($X$2:$X$1001,MATCH(ROWS($W$2:W177),$W$2:$W$1001,0),1)&gt;=100000,INDEX($AD$1005:$AU$1005,1,MATCH(COLUMNS($AD$1006:AQ1006),$AD$1006:$AU$1006,0))&gt;=100000), " ",IF(INDEX($AD$2:$AU$1001,MATCH(ROWS($W$2:W177),$W$2:$W$1001,0),MATCH(COLUMNS($AD$1006:AQ1006),$AD$1006:$AU$1006,0)), HYPERLINK("#",""), HYPERLINK(CONCATENATE("#metadata!", ADDRESS(INDEX($Y$2:$Y$1001,MATCH(ROWS($W$2:W177),$W$2:$W$1001,0),0), INDEX($AD$1004:$AU$1004,1,MATCH(COLUMNS($AD$1006:AQ1006),$AD$1006:$AU$1006,0)))),"Fix")))</f>
        <v xml:space="preserve"> </v>
      </c>
      <c r="P177" s="4" t="str">
        <f ca="1">IF(OR(INDEX($X$2:$X$1001,MATCH(ROWS($W$2:W177),$W$2:$W$1001,0),1)&gt;=100000,INDEX($AD$1005:$AU$1005,1,MATCH(COLUMNS($AD$1006:AR1006),$AD$1006:$AU$1006,0))&gt;=100000), " ",IF(INDEX($AD$2:$AU$1001,MATCH(ROWS($W$2:W177),$W$2:$W$1001,0),MATCH(COLUMNS($AD$1006:AR1006),$AD$1006:$AU$1006,0)), HYPERLINK("#",""), HYPERLINK(CONCATENATE("#metadata!", ADDRESS(INDEX($Y$2:$Y$1001,MATCH(ROWS($W$2:W177),$W$2:$W$1001,0),0), INDEX($AD$1004:$AU$1004,1,MATCH(COLUMNS($AD$1006:AR1006),$AD$1006:$AU$1006,0)))),"Fix")))</f>
        <v xml:space="preserve"> </v>
      </c>
      <c r="Q177" s="4" t="str">
        <f ca="1">IF(OR(INDEX($X$2:$X$1001,MATCH(ROWS($W$2:W177),$W$2:$W$1001,0),1)&gt;=100000,INDEX($AD$1005:$AU$1005,1,MATCH(COLUMNS($AD$1006:AS1006),$AD$1006:$AU$1006,0))&gt;=100000), " ",IF(INDEX($AD$2:$AU$1001,MATCH(ROWS($W$2:W177),$W$2:$W$1001,0),MATCH(COLUMNS($AD$1006:AS1006),$AD$1006:$AU$1006,0)), HYPERLINK("#",""), HYPERLINK(CONCATENATE("#metadata!", ADDRESS(INDEX($Y$2:$Y$1001,MATCH(ROWS($W$2:W177),$W$2:$W$1001,0),0), INDEX($AD$1004:$AU$1004,1,MATCH(COLUMNS($AD$1006:AS1006),$AD$1006:$AU$1006,0)))),"Fix")))</f>
        <v xml:space="preserve"> </v>
      </c>
      <c r="R177" s="4" t="str">
        <f ca="1">IF(OR(INDEX($X$2:$X$1001,MATCH(ROWS($W$2:W177),$W$2:$W$1001,0),1)&gt;=100000,INDEX($AD$1005:$AU$1005,1,MATCH(COLUMNS($AD$1006:AT1006),$AD$1006:$AU$1006,0))&gt;=100000), " ",IF(INDEX($AD$2:$AU$1001,MATCH(ROWS($W$2:W177),$W$2:$W$1001,0),MATCH(COLUMNS($AD$1006:AT1006),$AD$1006:$AU$1006,0)), HYPERLINK("#",""), HYPERLINK(CONCATENATE("#metadata!", ADDRESS(INDEX($Y$2:$Y$1001,MATCH(ROWS($W$2:W177),$W$2:$W$1001,0),0), INDEX($AD$1004:$AU$1004,1,MATCH(COLUMNS($AD$1006:AT1006),$AD$1006:$AU$1006,0)))),"Fix")))</f>
        <v xml:space="preserve"> </v>
      </c>
      <c r="S177" s="4" t="str">
        <f ca="1">IF(OR(INDEX($X$2:$X$1001,MATCH(ROWS($W$2:W177),$W$2:$W$1001,0),1)&gt;=100000,INDEX($AD$1005:$AU$1005,1,MATCH(COLUMNS($AD$1006:AU1006),$AD$1006:$AU$1006,0))&gt;=100000), " ",IF(INDEX($AD$2:$AU$1001,MATCH(ROWS($W$2:W177),$W$2:$W$1001,0),MATCH(COLUMNS($AD$1006:AU1006),$AD$1006:$AU$1006,0)), HYPERLINK("#",""), HYPERLINK(CONCATENATE("#metadata!", ADDRESS(INDEX($Y$2:$Y$1001,MATCH(ROWS($W$2:W177),$W$2:$W$1001,0),0), INDEX($AD$1004:$AU$1004,1,MATCH(COLUMNS($AD$1006:AU1006),$AD$1006:$AU$1006,0)))),"Fix")))</f>
        <v xml:space="preserve"> </v>
      </c>
      <c r="W177">
        <v>176</v>
      </c>
      <c r="X177">
        <v>100177</v>
      </c>
      <c r="Y177">
        <v>177</v>
      </c>
      <c r="Z177" t="b">
        <f t="shared" si="2"/>
        <v>1</v>
      </c>
      <c r="AA177" t="b">
        <f>COUNTBLANK(metadata!B177:S177)=COLUMNS(metadata!B177:S177)</f>
        <v>1</v>
      </c>
      <c r="AB177" t="str">
        <v/>
      </c>
      <c r="AD177" t="b">
        <f ca="1">AND(IF(metadata!B177="",FALSE,TRUE),COUNTIF(metadata!B:B, metadata!B177) = 1,NOT(ISERROR(SUMPRODUCT(SEARCH(MID(metadata!B177,ROW(INDIRECT("1:"&amp;LEN(metadata!B177))), 1),"0123456789abcdefghijklmnopqrstuvwxyzABCDEFGHIJKLMNOPQRSTUVWXYZ.")))))</f>
        <v>0</v>
      </c>
      <c r="AE177" t="b">
        <f>OR(AND(IF(metadata!C177="",FALSE,TRUE),OR(EXACT(metadata!C177,"not applicable"),EXACT(metadata!C177,"missing: not collected"),EXACT(metadata!C177,"missing: not provided"),EXACT(metadata!C177,"missing: restricted access"))),AND(IF(metadata!C177="",FALSE,ISNUMBER(VALUE(metadata!C177))),metadata!C177&gt;0))</f>
        <v>0</v>
      </c>
      <c r="AF177" t="b">
        <f>AND(IF(metadata!D177="",FALSE,TRUE),EXACT(metadata!D177,"missing: not provided"))</f>
        <v>0</v>
      </c>
      <c r="AG177" t="b">
        <f>AND(IF(metadata!E177="",FALSE,TRUE),EXACT(metadata!E177,"Host-associated"))</f>
        <v>0</v>
      </c>
      <c r="AH177" t="b">
        <f>AND(IF(metadata!F177="",FALSE,TRUE),OR(EXACT(metadata!F177,"Animal"),EXACT(metadata!F177,"Fungus"),EXACT(metadata!F177,"Plant")))</f>
        <v>0</v>
      </c>
      <c r="AI177" t="b">
        <f>AND(IF(metadata!G177="",FALSE,TRUE),OR(EXACT(metadata!G177,"Plant secretion"),EXACT(metadata!G177,"Plant rhizosphere"),EXACT(metadata!G177,"Plant surface"),EXACT(metadata!G177,"Plant corpus"),EXACT(metadata!G177,"Fungus surface"),EXACT(metadata!G177,"Fungus corpus"),EXACT(metadata!G177,"Animal surface"),EXACT(metadata!G177,"Animal proximal gut"),EXACT(metadata!G177,"Animal corpus"),EXACT(metadata!G177,"Animal distal gut"),EXACT(metadata!G177,"Animal secretion")))</f>
        <v>0</v>
      </c>
      <c r="AJ177" t="b">
        <f>OR(AND(IF(metadata!H177="",FALSE,TRUE),OR(EXACT(metadata!H177,"missing: not collected"),EXACT(metadata!H177,"missing: not provided"),EXACT(metadata!H177,"missing: restricted access"))),AND(IF(metadata!H177="",FALSE,TRUE),OR(EXACT(metadata!H177,"organism-associated habitat"),EXACT(metadata!H177,"plant-associated habitat"),EXACT(metadata!H177,"animal-associated habitat"),EXACT(metadata!H177,"insecta-associated habitat"),EXACT(metadata!H177,"mammalia-associated habitat"),EXACT(metadata!H177,"human-associated habitat"),EXACT(metadata!H177,"livestock-associated habitat"))))</f>
        <v>0</v>
      </c>
      <c r="AK177" t="b">
        <f>AND(IF(metadata!I177="",FALSE,TRUE),EXACT(metadata!I177,"host-associated"))</f>
        <v>0</v>
      </c>
      <c r="AL177" t="b">
        <f>OR(AND(IF(metadata!J177="",FALSE,TRUE),OR(EXACT(metadata!J177,"not applicable"),EXACT(metadata!J177,"missing: not collected"),EXACT(metadata!J177,"missing: not provided"),EXACT(metadata!J177,"missing: restricted access"))),AND(IF(metadata!J177="",FALSE,ISNUMBER(VALUE(metadata!J177))),metadata!J177&gt;0))</f>
        <v>0</v>
      </c>
      <c r="AM177" t="b">
        <f>AND(IF(metadata!K177="",FALSE,TRUE),EXACT(metadata!K177,"missing: not provided"))</f>
        <v>0</v>
      </c>
      <c r="AN177" t="b">
        <f>IF(metadata!L177="",FALSE,TRUE)</f>
        <v>0</v>
      </c>
      <c r="AO177" t="b">
        <f>IF(metadata!M177="",FALSE,TRUE)</f>
        <v>0</v>
      </c>
      <c r="AP177" t="b">
        <f>OR(AND(IF(metadata!N177="",FALSE,TRUE),OR(EXACT(metadata!N177,"not applicable"),EXACT(metadata!N177,"missing: not collected"),EXACT(metadata!N177,"missing: not provided"))),AND(IF(metadata!N177="",FALSE,IF(ISERROR(INT(metadata!N177)),FALSE,INT(metadata!N177)=metadata!N177)),metadata!N177&gt;0))</f>
        <v>0</v>
      </c>
      <c r="AQ177" t="b">
        <f>AND(IF(metadata!O177="",FALSE,TRUE),EXACT(metadata!O177,"Not applicable"))</f>
        <v>0</v>
      </c>
      <c r="AR177" t="b">
        <f>OR(AND(IF(metadata!P177="",FALSE,TRUE),OR(EXACT(metadata!P177,"not applicable"),EXACT(metadata!P177,"missing: not collected"),EXACT(metadata!P177,"missing: not provided"),EXACT(metadata!P177,"missing: restricted access"))),IF(metadata!P177="",FALSE,IF(ISERROR(INT(metadata!P177)),FALSE,INT(metadata!P177)=metadata!P177)))</f>
        <v>0</v>
      </c>
      <c r="AS177" t="b">
        <f>AND(IF(metadata!Q177="",FALSE,TRUE),EXACT(metadata!Q177,"Not applicable"))</f>
        <v>0</v>
      </c>
      <c r="AT177" t="b">
        <f>OR(AND(IF(metadata!R177="",FALSE,TRUE),OR(EXACT(metadata!R177,"not applicable"),EXACT(metadata!R177,"missing: not collected"),EXACT(metadata!R177,"missing: not provided"),EXACT(metadata!R177,"missing: restricted access"))),AND(IF(metadata!R177="",FALSE,ISNUMBER(VALUE(metadata!R177))),metadata!R177&gt;0))</f>
        <v>0</v>
      </c>
      <c r="AU177" t="b">
        <f>AND(IF(metadata!S177="",FALSE,TRUE),EXACT(metadata!S177,"missing: not provided"))</f>
        <v>0</v>
      </c>
    </row>
    <row r="178" spans="1:47" x14ac:dyDescent="0.2">
      <c r="A178" s="5" t="str">
        <f ca="1">IF(B178=" "," ",HYPERLINK(CONCATENATE("#metadata!",ADDRESS(INDEX($Y$2:$Y$1001,MATCH(ROWS($W$2:W178),$W$2:$W$1001,0),0),1)),INDEX($AB$2:$AB$1001,MATCH(ROWS($W$2:W178),$W$2:$W$1001,0),0)))</f>
        <v xml:space="preserve"> </v>
      </c>
      <c r="B178" s="4" t="str">
        <f ca="1">IF(OR(INDEX($X$2:$X$1001,MATCH(ROWS($W$2:W178),$W$2:$W$1001,0),1)&gt;=100000,INDEX($AD$1005:$AU$1005,1,MATCH(COLUMNS($AD$1006:AD1006),$AD$1006:$AU$1006,0))&gt;=100000), " ",IF(INDEX($AD$2:$AU$1001,MATCH(ROWS($W$2:W178),$W$2:$W$1001,0),MATCH(COLUMNS($AD$1006:AD1006),$AD$1006:$AU$1006,0)), HYPERLINK("#",""), HYPERLINK(CONCATENATE("#metadata!", ADDRESS(INDEX($Y$2:$Y$1001,MATCH(ROWS($W$2:W178),$W$2:$W$1001,0),0), INDEX($AD$1004:$AU$1004,1,MATCH(COLUMNS($AD$1006:AD1006),$AD$1006:$AU$1006,0)))),"Fix")))</f>
        <v xml:space="preserve"> </v>
      </c>
      <c r="C178" s="4" t="str">
        <f ca="1">IF(OR(INDEX($X$2:$X$1001,MATCH(ROWS($W$2:W178),$W$2:$W$1001,0),1)&gt;=100000,INDEX($AD$1005:$AU$1005,1,MATCH(COLUMNS($AD$1006:AE1006),$AD$1006:$AU$1006,0))&gt;=100000), " ",IF(INDEX($AD$2:$AU$1001,MATCH(ROWS($W$2:W178),$W$2:$W$1001,0),MATCH(COLUMNS($AD$1006:AE1006),$AD$1006:$AU$1006,0)), HYPERLINK("#",""), HYPERLINK(CONCATENATE("#metadata!", ADDRESS(INDEX($Y$2:$Y$1001,MATCH(ROWS($W$2:W178),$W$2:$W$1001,0),0), INDEX($AD$1004:$AU$1004,1,MATCH(COLUMNS($AD$1006:AE1006),$AD$1006:$AU$1006,0)))),"Fix")))</f>
        <v xml:space="preserve"> </v>
      </c>
      <c r="D178" s="4" t="str">
        <f ca="1">IF(OR(INDEX($X$2:$X$1001,MATCH(ROWS($W$2:W178),$W$2:$W$1001,0),1)&gt;=100000,INDEX($AD$1005:$AU$1005,1,MATCH(COLUMNS($AD$1006:AF1006),$AD$1006:$AU$1006,0))&gt;=100000), " ",IF(INDEX($AD$2:$AU$1001,MATCH(ROWS($W$2:W178),$W$2:$W$1001,0),MATCH(COLUMNS($AD$1006:AF1006),$AD$1006:$AU$1006,0)), HYPERLINK("#",""), HYPERLINK(CONCATENATE("#metadata!", ADDRESS(INDEX($Y$2:$Y$1001,MATCH(ROWS($W$2:W178),$W$2:$W$1001,0),0), INDEX($AD$1004:$AU$1004,1,MATCH(COLUMNS($AD$1006:AF1006),$AD$1006:$AU$1006,0)))),"Fix")))</f>
        <v xml:space="preserve"> </v>
      </c>
      <c r="E178" s="4" t="str">
        <f ca="1">IF(OR(INDEX($X$2:$X$1001,MATCH(ROWS($W$2:W178),$W$2:$W$1001,0),1)&gt;=100000,INDEX($AD$1005:$AU$1005,1,MATCH(COLUMNS($AD$1006:AG1006),$AD$1006:$AU$1006,0))&gt;=100000), " ",IF(INDEX($AD$2:$AU$1001,MATCH(ROWS($W$2:W178),$W$2:$W$1001,0),MATCH(COLUMNS($AD$1006:AG1006),$AD$1006:$AU$1006,0)), HYPERLINK("#",""), HYPERLINK(CONCATENATE("#metadata!", ADDRESS(INDEX($Y$2:$Y$1001,MATCH(ROWS($W$2:W178),$W$2:$W$1001,0),0), INDEX($AD$1004:$AU$1004,1,MATCH(COLUMNS($AD$1006:AG1006),$AD$1006:$AU$1006,0)))),"Fix")))</f>
        <v xml:space="preserve"> </v>
      </c>
      <c r="F178" s="4" t="str">
        <f ca="1">IF(OR(INDEX($X$2:$X$1001,MATCH(ROWS($W$2:W178),$W$2:$W$1001,0),1)&gt;=100000,INDEX($AD$1005:$AU$1005,1,MATCH(COLUMNS($AD$1006:AH1006),$AD$1006:$AU$1006,0))&gt;=100000), " ",IF(INDEX($AD$2:$AU$1001,MATCH(ROWS($W$2:W178),$W$2:$W$1001,0),MATCH(COLUMNS($AD$1006:AH1006),$AD$1006:$AU$1006,0)), HYPERLINK("#",""), HYPERLINK(CONCATENATE("#metadata!", ADDRESS(INDEX($Y$2:$Y$1001,MATCH(ROWS($W$2:W178),$W$2:$W$1001,0),0), INDEX($AD$1004:$AU$1004,1,MATCH(COLUMNS($AD$1006:AH1006),$AD$1006:$AU$1006,0)))),"Fix")))</f>
        <v xml:space="preserve"> </v>
      </c>
      <c r="G178" s="4" t="str">
        <f ca="1">IF(OR(INDEX($X$2:$X$1001,MATCH(ROWS($W$2:W178),$W$2:$W$1001,0),1)&gt;=100000,INDEX($AD$1005:$AU$1005,1,MATCH(COLUMNS($AD$1006:AI1006),$AD$1006:$AU$1006,0))&gt;=100000), " ",IF(INDEX($AD$2:$AU$1001,MATCH(ROWS($W$2:W178),$W$2:$W$1001,0),MATCH(COLUMNS($AD$1006:AI1006),$AD$1006:$AU$1006,0)), HYPERLINK("#",""), HYPERLINK(CONCATENATE("#metadata!", ADDRESS(INDEX($Y$2:$Y$1001,MATCH(ROWS($W$2:W178),$W$2:$W$1001,0),0), INDEX($AD$1004:$AU$1004,1,MATCH(COLUMNS($AD$1006:AI1006),$AD$1006:$AU$1006,0)))),"Fix")))</f>
        <v xml:space="preserve"> </v>
      </c>
      <c r="H178" s="4" t="str">
        <f ca="1">IF(OR(INDEX($X$2:$X$1001,MATCH(ROWS($W$2:W178),$W$2:$W$1001,0),1)&gt;=100000,INDEX($AD$1005:$AU$1005,1,MATCH(COLUMNS($AD$1006:AJ1006),$AD$1006:$AU$1006,0))&gt;=100000), " ",IF(INDEX($AD$2:$AU$1001,MATCH(ROWS($W$2:W178),$W$2:$W$1001,0),MATCH(COLUMNS($AD$1006:AJ1006),$AD$1006:$AU$1006,0)), HYPERLINK("#",""), HYPERLINK(CONCATENATE("#metadata!", ADDRESS(INDEX($Y$2:$Y$1001,MATCH(ROWS($W$2:W178),$W$2:$W$1001,0),0), INDEX($AD$1004:$AU$1004,1,MATCH(COLUMNS($AD$1006:AJ1006),$AD$1006:$AU$1006,0)))),"Fix")))</f>
        <v xml:space="preserve"> </v>
      </c>
      <c r="I178" s="4" t="str">
        <f ca="1">IF(OR(INDEX($X$2:$X$1001,MATCH(ROWS($W$2:W178),$W$2:$W$1001,0),1)&gt;=100000,INDEX($AD$1005:$AU$1005,1,MATCH(COLUMNS($AD$1006:AK1006),$AD$1006:$AU$1006,0))&gt;=100000), " ",IF(INDEX($AD$2:$AU$1001,MATCH(ROWS($W$2:W178),$W$2:$W$1001,0),MATCH(COLUMNS($AD$1006:AK1006),$AD$1006:$AU$1006,0)), HYPERLINK("#",""), HYPERLINK(CONCATENATE("#metadata!", ADDRESS(INDEX($Y$2:$Y$1001,MATCH(ROWS($W$2:W178),$W$2:$W$1001,0),0), INDEX($AD$1004:$AU$1004,1,MATCH(COLUMNS($AD$1006:AK1006),$AD$1006:$AU$1006,0)))),"Fix")))</f>
        <v xml:space="preserve"> </v>
      </c>
      <c r="J178" s="4" t="str">
        <f ca="1">IF(OR(INDEX($X$2:$X$1001,MATCH(ROWS($W$2:W178),$W$2:$W$1001,0),1)&gt;=100000,INDEX($AD$1005:$AU$1005,1,MATCH(COLUMNS($AD$1006:AL1006),$AD$1006:$AU$1006,0))&gt;=100000), " ",IF(INDEX($AD$2:$AU$1001,MATCH(ROWS($W$2:W178),$W$2:$W$1001,0),MATCH(COLUMNS($AD$1006:AL1006),$AD$1006:$AU$1006,0)), HYPERLINK("#",""), HYPERLINK(CONCATENATE("#metadata!", ADDRESS(INDEX($Y$2:$Y$1001,MATCH(ROWS($W$2:W178),$W$2:$W$1001,0),0), INDEX($AD$1004:$AU$1004,1,MATCH(COLUMNS($AD$1006:AL1006),$AD$1006:$AU$1006,0)))),"Fix")))</f>
        <v xml:space="preserve"> </v>
      </c>
      <c r="K178" s="4" t="str">
        <f ca="1">IF(OR(INDEX($X$2:$X$1001,MATCH(ROWS($W$2:W178),$W$2:$W$1001,0),1)&gt;=100000,INDEX($AD$1005:$AU$1005,1,MATCH(COLUMNS($AD$1006:AM1006),$AD$1006:$AU$1006,0))&gt;=100000), " ",IF(INDEX($AD$2:$AU$1001,MATCH(ROWS($W$2:W178),$W$2:$W$1001,0),MATCH(COLUMNS($AD$1006:AM1006),$AD$1006:$AU$1006,0)), HYPERLINK("#",""), HYPERLINK(CONCATENATE("#metadata!", ADDRESS(INDEX($Y$2:$Y$1001,MATCH(ROWS($W$2:W178),$W$2:$W$1001,0),0), INDEX($AD$1004:$AU$1004,1,MATCH(COLUMNS($AD$1006:AM1006),$AD$1006:$AU$1006,0)))),"Fix")))</f>
        <v xml:space="preserve"> </v>
      </c>
      <c r="L178" s="4" t="str">
        <f ca="1">IF(OR(INDEX($X$2:$X$1001,MATCH(ROWS($W$2:W178),$W$2:$W$1001,0),1)&gt;=100000,INDEX($AD$1005:$AU$1005,1,MATCH(COLUMNS($AD$1006:AN1006),$AD$1006:$AU$1006,0))&gt;=100000), " ",IF(INDEX($AD$2:$AU$1001,MATCH(ROWS($W$2:W178),$W$2:$W$1001,0),MATCH(COLUMNS($AD$1006:AN1006),$AD$1006:$AU$1006,0)), HYPERLINK("#",""), HYPERLINK(CONCATENATE("#metadata!", ADDRESS(INDEX($Y$2:$Y$1001,MATCH(ROWS($W$2:W178),$W$2:$W$1001,0),0), INDEX($AD$1004:$AU$1004,1,MATCH(COLUMNS($AD$1006:AN1006),$AD$1006:$AU$1006,0)))),"Fix")))</f>
        <v xml:space="preserve"> </v>
      </c>
      <c r="M178" s="4" t="str">
        <f ca="1">IF(OR(INDEX($X$2:$X$1001,MATCH(ROWS($W$2:W178),$W$2:$W$1001,0),1)&gt;=100000,INDEX($AD$1005:$AU$1005,1,MATCH(COLUMNS($AD$1006:AO1006),$AD$1006:$AU$1006,0))&gt;=100000), " ",IF(INDEX($AD$2:$AU$1001,MATCH(ROWS($W$2:W178),$W$2:$W$1001,0),MATCH(COLUMNS($AD$1006:AO1006),$AD$1006:$AU$1006,0)), HYPERLINK("#",""), HYPERLINK(CONCATENATE("#metadata!", ADDRESS(INDEX($Y$2:$Y$1001,MATCH(ROWS($W$2:W178),$W$2:$W$1001,0),0), INDEX($AD$1004:$AU$1004,1,MATCH(COLUMNS($AD$1006:AO1006),$AD$1006:$AU$1006,0)))),"Fix")))</f>
        <v xml:space="preserve"> </v>
      </c>
      <c r="N178" s="4" t="str">
        <f ca="1">IF(OR(INDEX($X$2:$X$1001,MATCH(ROWS($W$2:W178),$W$2:$W$1001,0),1)&gt;=100000,INDEX($AD$1005:$AU$1005,1,MATCH(COLUMNS($AD$1006:AP1006),$AD$1006:$AU$1006,0))&gt;=100000), " ",IF(INDEX($AD$2:$AU$1001,MATCH(ROWS($W$2:W178),$W$2:$W$1001,0),MATCH(COLUMNS($AD$1006:AP1006),$AD$1006:$AU$1006,0)), HYPERLINK("#",""), HYPERLINK(CONCATENATE("#metadata!", ADDRESS(INDEX($Y$2:$Y$1001,MATCH(ROWS($W$2:W178),$W$2:$W$1001,0),0), INDEX($AD$1004:$AU$1004,1,MATCH(COLUMNS($AD$1006:AP1006),$AD$1006:$AU$1006,0)))),"Fix")))</f>
        <v xml:space="preserve"> </v>
      </c>
      <c r="O178" s="4" t="str">
        <f ca="1">IF(OR(INDEX($X$2:$X$1001,MATCH(ROWS($W$2:W178),$W$2:$W$1001,0),1)&gt;=100000,INDEX($AD$1005:$AU$1005,1,MATCH(COLUMNS($AD$1006:AQ1006),$AD$1006:$AU$1006,0))&gt;=100000), " ",IF(INDEX($AD$2:$AU$1001,MATCH(ROWS($W$2:W178),$W$2:$W$1001,0),MATCH(COLUMNS($AD$1006:AQ1006),$AD$1006:$AU$1006,0)), HYPERLINK("#",""), HYPERLINK(CONCATENATE("#metadata!", ADDRESS(INDEX($Y$2:$Y$1001,MATCH(ROWS($W$2:W178),$W$2:$W$1001,0),0), INDEX($AD$1004:$AU$1004,1,MATCH(COLUMNS($AD$1006:AQ1006),$AD$1006:$AU$1006,0)))),"Fix")))</f>
        <v xml:space="preserve"> </v>
      </c>
      <c r="P178" s="4" t="str">
        <f ca="1">IF(OR(INDEX($X$2:$X$1001,MATCH(ROWS($W$2:W178),$W$2:$W$1001,0),1)&gt;=100000,INDEX($AD$1005:$AU$1005,1,MATCH(COLUMNS($AD$1006:AR1006),$AD$1006:$AU$1006,0))&gt;=100000), " ",IF(INDEX($AD$2:$AU$1001,MATCH(ROWS($W$2:W178),$W$2:$W$1001,0),MATCH(COLUMNS($AD$1006:AR1006),$AD$1006:$AU$1006,0)), HYPERLINK("#",""), HYPERLINK(CONCATENATE("#metadata!", ADDRESS(INDEX($Y$2:$Y$1001,MATCH(ROWS($W$2:W178),$W$2:$W$1001,0),0), INDEX($AD$1004:$AU$1004,1,MATCH(COLUMNS($AD$1006:AR1006),$AD$1006:$AU$1006,0)))),"Fix")))</f>
        <v xml:space="preserve"> </v>
      </c>
      <c r="Q178" s="4" t="str">
        <f ca="1">IF(OR(INDEX($X$2:$X$1001,MATCH(ROWS($W$2:W178),$W$2:$W$1001,0),1)&gt;=100000,INDEX($AD$1005:$AU$1005,1,MATCH(COLUMNS($AD$1006:AS1006),$AD$1006:$AU$1006,0))&gt;=100000), " ",IF(INDEX($AD$2:$AU$1001,MATCH(ROWS($W$2:W178),$W$2:$W$1001,0),MATCH(COLUMNS($AD$1006:AS1006),$AD$1006:$AU$1006,0)), HYPERLINK("#",""), HYPERLINK(CONCATENATE("#metadata!", ADDRESS(INDEX($Y$2:$Y$1001,MATCH(ROWS($W$2:W178),$W$2:$W$1001,0),0), INDEX($AD$1004:$AU$1004,1,MATCH(COLUMNS($AD$1006:AS1006),$AD$1006:$AU$1006,0)))),"Fix")))</f>
        <v xml:space="preserve"> </v>
      </c>
      <c r="R178" s="4" t="str">
        <f ca="1">IF(OR(INDEX($X$2:$X$1001,MATCH(ROWS($W$2:W178),$W$2:$W$1001,0),1)&gt;=100000,INDEX($AD$1005:$AU$1005,1,MATCH(COLUMNS($AD$1006:AT1006),$AD$1006:$AU$1006,0))&gt;=100000), " ",IF(INDEX($AD$2:$AU$1001,MATCH(ROWS($W$2:W178),$W$2:$W$1001,0),MATCH(COLUMNS($AD$1006:AT1006),$AD$1006:$AU$1006,0)), HYPERLINK("#",""), HYPERLINK(CONCATENATE("#metadata!", ADDRESS(INDEX($Y$2:$Y$1001,MATCH(ROWS($W$2:W178),$W$2:$W$1001,0),0), INDEX($AD$1004:$AU$1004,1,MATCH(COLUMNS($AD$1006:AT1006),$AD$1006:$AU$1006,0)))),"Fix")))</f>
        <v xml:space="preserve"> </v>
      </c>
      <c r="S178" s="4" t="str">
        <f ca="1">IF(OR(INDEX($X$2:$X$1001,MATCH(ROWS($W$2:W178),$W$2:$W$1001,0),1)&gt;=100000,INDEX($AD$1005:$AU$1005,1,MATCH(COLUMNS($AD$1006:AU1006),$AD$1006:$AU$1006,0))&gt;=100000), " ",IF(INDEX($AD$2:$AU$1001,MATCH(ROWS($W$2:W178),$W$2:$W$1001,0),MATCH(COLUMNS($AD$1006:AU1006),$AD$1006:$AU$1006,0)), HYPERLINK("#",""), HYPERLINK(CONCATENATE("#metadata!", ADDRESS(INDEX($Y$2:$Y$1001,MATCH(ROWS($W$2:W178),$W$2:$W$1001,0),0), INDEX($AD$1004:$AU$1004,1,MATCH(COLUMNS($AD$1006:AU1006),$AD$1006:$AU$1006,0)))),"Fix")))</f>
        <v xml:space="preserve"> </v>
      </c>
      <c r="W178">
        <v>177</v>
      </c>
      <c r="X178">
        <v>100178</v>
      </c>
      <c r="Y178">
        <v>178</v>
      </c>
      <c r="Z178" t="b">
        <f t="shared" si="2"/>
        <v>1</v>
      </c>
      <c r="AA178" t="b">
        <f>COUNTBLANK(metadata!B178:S178)=COLUMNS(metadata!B178:S178)</f>
        <v>1</v>
      </c>
      <c r="AB178" t="str">
        <v/>
      </c>
      <c r="AD178" t="b">
        <f ca="1">AND(IF(metadata!B178="",FALSE,TRUE),COUNTIF(metadata!B:B, metadata!B178) = 1,NOT(ISERROR(SUMPRODUCT(SEARCH(MID(metadata!B178,ROW(INDIRECT("1:"&amp;LEN(metadata!B178))), 1),"0123456789abcdefghijklmnopqrstuvwxyzABCDEFGHIJKLMNOPQRSTUVWXYZ.")))))</f>
        <v>0</v>
      </c>
      <c r="AE178" t="b">
        <f>OR(AND(IF(metadata!C178="",FALSE,TRUE),OR(EXACT(metadata!C178,"not applicable"),EXACT(metadata!C178,"missing: not collected"),EXACT(metadata!C178,"missing: not provided"),EXACT(metadata!C178,"missing: restricted access"))),AND(IF(metadata!C178="",FALSE,ISNUMBER(VALUE(metadata!C178))),metadata!C178&gt;0))</f>
        <v>0</v>
      </c>
      <c r="AF178" t="b">
        <f>AND(IF(metadata!D178="",FALSE,TRUE),EXACT(metadata!D178,"missing: not provided"))</f>
        <v>0</v>
      </c>
      <c r="AG178" t="b">
        <f>AND(IF(metadata!E178="",FALSE,TRUE),EXACT(metadata!E178,"Host-associated"))</f>
        <v>0</v>
      </c>
      <c r="AH178" t="b">
        <f>AND(IF(metadata!F178="",FALSE,TRUE),OR(EXACT(metadata!F178,"Animal"),EXACT(metadata!F178,"Fungus"),EXACT(metadata!F178,"Plant")))</f>
        <v>0</v>
      </c>
      <c r="AI178" t="b">
        <f>AND(IF(metadata!G178="",FALSE,TRUE),OR(EXACT(metadata!G178,"Plant secretion"),EXACT(metadata!G178,"Plant rhizosphere"),EXACT(metadata!G178,"Plant surface"),EXACT(metadata!G178,"Plant corpus"),EXACT(metadata!G178,"Fungus surface"),EXACT(metadata!G178,"Fungus corpus"),EXACT(metadata!G178,"Animal surface"),EXACT(metadata!G178,"Animal proximal gut"),EXACT(metadata!G178,"Animal corpus"),EXACT(metadata!G178,"Animal distal gut"),EXACT(metadata!G178,"Animal secretion")))</f>
        <v>0</v>
      </c>
      <c r="AJ178" t="b">
        <f>OR(AND(IF(metadata!H178="",FALSE,TRUE),OR(EXACT(metadata!H178,"missing: not collected"),EXACT(metadata!H178,"missing: not provided"),EXACT(metadata!H178,"missing: restricted access"))),AND(IF(metadata!H178="",FALSE,TRUE),OR(EXACT(metadata!H178,"organism-associated habitat"),EXACT(metadata!H178,"plant-associated habitat"),EXACT(metadata!H178,"animal-associated habitat"),EXACT(metadata!H178,"insecta-associated habitat"),EXACT(metadata!H178,"mammalia-associated habitat"),EXACT(metadata!H178,"human-associated habitat"),EXACT(metadata!H178,"livestock-associated habitat"))))</f>
        <v>0</v>
      </c>
      <c r="AK178" t="b">
        <f>AND(IF(metadata!I178="",FALSE,TRUE),EXACT(metadata!I178,"host-associated"))</f>
        <v>0</v>
      </c>
      <c r="AL178" t="b">
        <f>OR(AND(IF(metadata!J178="",FALSE,TRUE),OR(EXACT(metadata!J178,"not applicable"),EXACT(metadata!J178,"missing: not collected"),EXACT(metadata!J178,"missing: not provided"),EXACT(metadata!J178,"missing: restricted access"))),AND(IF(metadata!J178="",FALSE,ISNUMBER(VALUE(metadata!J178))),metadata!J178&gt;0))</f>
        <v>0</v>
      </c>
      <c r="AM178" t="b">
        <f>AND(IF(metadata!K178="",FALSE,TRUE),EXACT(metadata!K178,"missing: not provided"))</f>
        <v>0</v>
      </c>
      <c r="AN178" t="b">
        <f>IF(metadata!L178="",FALSE,TRUE)</f>
        <v>0</v>
      </c>
      <c r="AO178" t="b">
        <f>IF(metadata!M178="",FALSE,TRUE)</f>
        <v>0</v>
      </c>
      <c r="AP178" t="b">
        <f>OR(AND(IF(metadata!N178="",FALSE,TRUE),OR(EXACT(metadata!N178,"not applicable"),EXACT(metadata!N178,"missing: not collected"),EXACT(metadata!N178,"missing: not provided"))),AND(IF(metadata!N178="",FALSE,IF(ISERROR(INT(metadata!N178)),FALSE,INT(metadata!N178)=metadata!N178)),metadata!N178&gt;0))</f>
        <v>0</v>
      </c>
      <c r="AQ178" t="b">
        <f>AND(IF(metadata!O178="",FALSE,TRUE),EXACT(metadata!O178,"Not applicable"))</f>
        <v>0</v>
      </c>
      <c r="AR178" t="b">
        <f>OR(AND(IF(metadata!P178="",FALSE,TRUE),OR(EXACT(metadata!P178,"not applicable"),EXACT(metadata!P178,"missing: not collected"),EXACT(metadata!P178,"missing: not provided"),EXACT(metadata!P178,"missing: restricted access"))),IF(metadata!P178="",FALSE,IF(ISERROR(INT(metadata!P178)),FALSE,INT(metadata!P178)=metadata!P178)))</f>
        <v>0</v>
      </c>
      <c r="AS178" t="b">
        <f>AND(IF(metadata!Q178="",FALSE,TRUE),EXACT(metadata!Q178,"Not applicable"))</f>
        <v>0</v>
      </c>
      <c r="AT178" t="b">
        <f>OR(AND(IF(metadata!R178="",FALSE,TRUE),OR(EXACT(metadata!R178,"not applicable"),EXACT(metadata!R178,"missing: not collected"),EXACT(metadata!R178,"missing: not provided"),EXACT(metadata!R178,"missing: restricted access"))),AND(IF(metadata!R178="",FALSE,ISNUMBER(VALUE(metadata!R178))),metadata!R178&gt;0))</f>
        <v>0</v>
      </c>
      <c r="AU178" t="b">
        <f>AND(IF(metadata!S178="",FALSE,TRUE),EXACT(metadata!S178,"missing: not provided"))</f>
        <v>0</v>
      </c>
    </row>
    <row r="179" spans="1:47" x14ac:dyDescent="0.2">
      <c r="A179" s="5" t="str">
        <f ca="1">IF(B179=" "," ",HYPERLINK(CONCATENATE("#metadata!",ADDRESS(INDEX($Y$2:$Y$1001,MATCH(ROWS($W$2:W179),$W$2:$W$1001,0),0),1)),INDEX($AB$2:$AB$1001,MATCH(ROWS($W$2:W179),$W$2:$W$1001,0),0)))</f>
        <v xml:space="preserve"> </v>
      </c>
      <c r="B179" s="4" t="str">
        <f ca="1">IF(OR(INDEX($X$2:$X$1001,MATCH(ROWS($W$2:W179),$W$2:$W$1001,0),1)&gt;=100000,INDEX($AD$1005:$AU$1005,1,MATCH(COLUMNS($AD$1006:AD1006),$AD$1006:$AU$1006,0))&gt;=100000), " ",IF(INDEX($AD$2:$AU$1001,MATCH(ROWS($W$2:W179),$W$2:$W$1001,0),MATCH(COLUMNS($AD$1006:AD1006),$AD$1006:$AU$1006,0)), HYPERLINK("#",""), HYPERLINK(CONCATENATE("#metadata!", ADDRESS(INDEX($Y$2:$Y$1001,MATCH(ROWS($W$2:W179),$W$2:$W$1001,0),0), INDEX($AD$1004:$AU$1004,1,MATCH(COLUMNS($AD$1006:AD1006),$AD$1006:$AU$1006,0)))),"Fix")))</f>
        <v xml:space="preserve"> </v>
      </c>
      <c r="C179" s="4" t="str">
        <f ca="1">IF(OR(INDEX($X$2:$X$1001,MATCH(ROWS($W$2:W179),$W$2:$W$1001,0),1)&gt;=100000,INDEX($AD$1005:$AU$1005,1,MATCH(COLUMNS($AD$1006:AE1006),$AD$1006:$AU$1006,0))&gt;=100000), " ",IF(INDEX($AD$2:$AU$1001,MATCH(ROWS($W$2:W179),$W$2:$W$1001,0),MATCH(COLUMNS($AD$1006:AE1006),$AD$1006:$AU$1006,0)), HYPERLINK("#",""), HYPERLINK(CONCATENATE("#metadata!", ADDRESS(INDEX($Y$2:$Y$1001,MATCH(ROWS($W$2:W179),$W$2:$W$1001,0),0), INDEX($AD$1004:$AU$1004,1,MATCH(COLUMNS($AD$1006:AE1006),$AD$1006:$AU$1006,0)))),"Fix")))</f>
        <v xml:space="preserve"> </v>
      </c>
      <c r="D179" s="4" t="str">
        <f ca="1">IF(OR(INDEX($X$2:$X$1001,MATCH(ROWS($W$2:W179),$W$2:$W$1001,0),1)&gt;=100000,INDEX($AD$1005:$AU$1005,1,MATCH(COLUMNS($AD$1006:AF1006),$AD$1006:$AU$1006,0))&gt;=100000), " ",IF(INDEX($AD$2:$AU$1001,MATCH(ROWS($W$2:W179),$W$2:$W$1001,0),MATCH(COLUMNS($AD$1006:AF1006),$AD$1006:$AU$1006,0)), HYPERLINK("#",""), HYPERLINK(CONCATENATE("#metadata!", ADDRESS(INDEX($Y$2:$Y$1001,MATCH(ROWS($W$2:W179),$W$2:$W$1001,0),0), INDEX($AD$1004:$AU$1004,1,MATCH(COLUMNS($AD$1006:AF1006),$AD$1006:$AU$1006,0)))),"Fix")))</f>
        <v xml:space="preserve"> </v>
      </c>
      <c r="E179" s="4" t="str">
        <f ca="1">IF(OR(INDEX($X$2:$X$1001,MATCH(ROWS($W$2:W179),$W$2:$W$1001,0),1)&gt;=100000,INDEX($AD$1005:$AU$1005,1,MATCH(COLUMNS($AD$1006:AG1006),$AD$1006:$AU$1006,0))&gt;=100000), " ",IF(INDEX($AD$2:$AU$1001,MATCH(ROWS($W$2:W179),$W$2:$W$1001,0),MATCH(COLUMNS($AD$1006:AG1006),$AD$1006:$AU$1006,0)), HYPERLINK("#",""), HYPERLINK(CONCATENATE("#metadata!", ADDRESS(INDEX($Y$2:$Y$1001,MATCH(ROWS($W$2:W179),$W$2:$W$1001,0),0), INDEX($AD$1004:$AU$1004,1,MATCH(COLUMNS($AD$1006:AG1006),$AD$1006:$AU$1006,0)))),"Fix")))</f>
        <v xml:space="preserve"> </v>
      </c>
      <c r="F179" s="4" t="str">
        <f ca="1">IF(OR(INDEX($X$2:$X$1001,MATCH(ROWS($W$2:W179),$W$2:$W$1001,0),1)&gt;=100000,INDEX($AD$1005:$AU$1005,1,MATCH(COLUMNS($AD$1006:AH1006),$AD$1006:$AU$1006,0))&gt;=100000), " ",IF(INDEX($AD$2:$AU$1001,MATCH(ROWS($W$2:W179),$W$2:$W$1001,0),MATCH(COLUMNS($AD$1006:AH1006),$AD$1006:$AU$1006,0)), HYPERLINK("#",""), HYPERLINK(CONCATENATE("#metadata!", ADDRESS(INDEX($Y$2:$Y$1001,MATCH(ROWS($W$2:W179),$W$2:$W$1001,0),0), INDEX($AD$1004:$AU$1004,1,MATCH(COLUMNS($AD$1006:AH1006),$AD$1006:$AU$1006,0)))),"Fix")))</f>
        <v xml:space="preserve"> </v>
      </c>
      <c r="G179" s="4" t="str">
        <f ca="1">IF(OR(INDEX($X$2:$X$1001,MATCH(ROWS($W$2:W179),$W$2:$W$1001,0),1)&gt;=100000,INDEX($AD$1005:$AU$1005,1,MATCH(COLUMNS($AD$1006:AI1006),$AD$1006:$AU$1006,0))&gt;=100000), " ",IF(INDEX($AD$2:$AU$1001,MATCH(ROWS($W$2:W179),$W$2:$W$1001,0),MATCH(COLUMNS($AD$1006:AI1006),$AD$1006:$AU$1006,0)), HYPERLINK("#",""), HYPERLINK(CONCATENATE("#metadata!", ADDRESS(INDEX($Y$2:$Y$1001,MATCH(ROWS($W$2:W179),$W$2:$W$1001,0),0), INDEX($AD$1004:$AU$1004,1,MATCH(COLUMNS($AD$1006:AI1006),$AD$1006:$AU$1006,0)))),"Fix")))</f>
        <v xml:space="preserve"> </v>
      </c>
      <c r="H179" s="4" t="str">
        <f ca="1">IF(OR(INDEX($X$2:$X$1001,MATCH(ROWS($W$2:W179),$W$2:$W$1001,0),1)&gt;=100000,INDEX($AD$1005:$AU$1005,1,MATCH(COLUMNS($AD$1006:AJ1006),$AD$1006:$AU$1006,0))&gt;=100000), " ",IF(INDEX($AD$2:$AU$1001,MATCH(ROWS($W$2:W179),$W$2:$W$1001,0),MATCH(COLUMNS($AD$1006:AJ1006),$AD$1006:$AU$1006,0)), HYPERLINK("#",""), HYPERLINK(CONCATENATE("#metadata!", ADDRESS(INDEX($Y$2:$Y$1001,MATCH(ROWS($W$2:W179),$W$2:$W$1001,0),0), INDEX($AD$1004:$AU$1004,1,MATCH(COLUMNS($AD$1006:AJ1006),$AD$1006:$AU$1006,0)))),"Fix")))</f>
        <v xml:space="preserve"> </v>
      </c>
      <c r="I179" s="4" t="str">
        <f ca="1">IF(OR(INDEX($X$2:$X$1001,MATCH(ROWS($W$2:W179),$W$2:$W$1001,0),1)&gt;=100000,INDEX($AD$1005:$AU$1005,1,MATCH(COLUMNS($AD$1006:AK1006),$AD$1006:$AU$1006,0))&gt;=100000), " ",IF(INDEX($AD$2:$AU$1001,MATCH(ROWS($W$2:W179),$W$2:$W$1001,0),MATCH(COLUMNS($AD$1006:AK1006),$AD$1006:$AU$1006,0)), HYPERLINK("#",""), HYPERLINK(CONCATENATE("#metadata!", ADDRESS(INDEX($Y$2:$Y$1001,MATCH(ROWS($W$2:W179),$W$2:$W$1001,0),0), INDEX($AD$1004:$AU$1004,1,MATCH(COLUMNS($AD$1006:AK1006),$AD$1006:$AU$1006,0)))),"Fix")))</f>
        <v xml:space="preserve"> </v>
      </c>
      <c r="J179" s="4" t="str">
        <f ca="1">IF(OR(INDEX($X$2:$X$1001,MATCH(ROWS($W$2:W179),$W$2:$W$1001,0),1)&gt;=100000,INDEX($AD$1005:$AU$1005,1,MATCH(COLUMNS($AD$1006:AL1006),$AD$1006:$AU$1006,0))&gt;=100000), " ",IF(INDEX($AD$2:$AU$1001,MATCH(ROWS($W$2:W179),$W$2:$W$1001,0),MATCH(COLUMNS($AD$1006:AL1006),$AD$1006:$AU$1006,0)), HYPERLINK("#",""), HYPERLINK(CONCATENATE("#metadata!", ADDRESS(INDEX($Y$2:$Y$1001,MATCH(ROWS($W$2:W179),$W$2:$W$1001,0),0), INDEX($AD$1004:$AU$1004,1,MATCH(COLUMNS($AD$1006:AL1006),$AD$1006:$AU$1006,0)))),"Fix")))</f>
        <v xml:space="preserve"> </v>
      </c>
      <c r="K179" s="4" t="str">
        <f ca="1">IF(OR(INDEX($X$2:$X$1001,MATCH(ROWS($W$2:W179),$W$2:$W$1001,0),1)&gt;=100000,INDEX($AD$1005:$AU$1005,1,MATCH(COLUMNS($AD$1006:AM1006),$AD$1006:$AU$1006,0))&gt;=100000), " ",IF(INDEX($AD$2:$AU$1001,MATCH(ROWS($W$2:W179),$W$2:$W$1001,0),MATCH(COLUMNS($AD$1006:AM1006),$AD$1006:$AU$1006,0)), HYPERLINK("#",""), HYPERLINK(CONCATENATE("#metadata!", ADDRESS(INDEX($Y$2:$Y$1001,MATCH(ROWS($W$2:W179),$W$2:$W$1001,0),0), INDEX($AD$1004:$AU$1004,1,MATCH(COLUMNS($AD$1006:AM1006),$AD$1006:$AU$1006,0)))),"Fix")))</f>
        <v xml:space="preserve"> </v>
      </c>
      <c r="L179" s="4" t="str">
        <f ca="1">IF(OR(INDEX($X$2:$X$1001,MATCH(ROWS($W$2:W179),$W$2:$W$1001,0),1)&gt;=100000,INDEX($AD$1005:$AU$1005,1,MATCH(COLUMNS($AD$1006:AN1006),$AD$1006:$AU$1006,0))&gt;=100000), " ",IF(INDEX($AD$2:$AU$1001,MATCH(ROWS($W$2:W179),$W$2:$W$1001,0),MATCH(COLUMNS($AD$1006:AN1006),$AD$1006:$AU$1006,0)), HYPERLINK("#",""), HYPERLINK(CONCATENATE("#metadata!", ADDRESS(INDEX($Y$2:$Y$1001,MATCH(ROWS($W$2:W179),$W$2:$W$1001,0),0), INDEX($AD$1004:$AU$1004,1,MATCH(COLUMNS($AD$1006:AN1006),$AD$1006:$AU$1006,0)))),"Fix")))</f>
        <v xml:space="preserve"> </v>
      </c>
      <c r="M179" s="4" t="str">
        <f ca="1">IF(OR(INDEX($X$2:$X$1001,MATCH(ROWS($W$2:W179),$W$2:$W$1001,0),1)&gt;=100000,INDEX($AD$1005:$AU$1005,1,MATCH(COLUMNS($AD$1006:AO1006),$AD$1006:$AU$1006,0))&gt;=100000), " ",IF(INDEX($AD$2:$AU$1001,MATCH(ROWS($W$2:W179),$W$2:$W$1001,0),MATCH(COLUMNS($AD$1006:AO1006),$AD$1006:$AU$1006,0)), HYPERLINK("#",""), HYPERLINK(CONCATENATE("#metadata!", ADDRESS(INDEX($Y$2:$Y$1001,MATCH(ROWS($W$2:W179),$W$2:$W$1001,0),0), INDEX($AD$1004:$AU$1004,1,MATCH(COLUMNS($AD$1006:AO1006),$AD$1006:$AU$1006,0)))),"Fix")))</f>
        <v xml:space="preserve"> </v>
      </c>
      <c r="N179" s="4" t="str">
        <f ca="1">IF(OR(INDEX($X$2:$X$1001,MATCH(ROWS($W$2:W179),$W$2:$W$1001,0),1)&gt;=100000,INDEX($AD$1005:$AU$1005,1,MATCH(COLUMNS($AD$1006:AP1006),$AD$1006:$AU$1006,0))&gt;=100000), " ",IF(INDEX($AD$2:$AU$1001,MATCH(ROWS($W$2:W179),$W$2:$W$1001,0),MATCH(COLUMNS($AD$1006:AP1006),$AD$1006:$AU$1006,0)), HYPERLINK("#",""), HYPERLINK(CONCATENATE("#metadata!", ADDRESS(INDEX($Y$2:$Y$1001,MATCH(ROWS($W$2:W179),$W$2:$W$1001,0),0), INDEX($AD$1004:$AU$1004,1,MATCH(COLUMNS($AD$1006:AP1006),$AD$1006:$AU$1006,0)))),"Fix")))</f>
        <v xml:space="preserve"> </v>
      </c>
      <c r="O179" s="4" t="str">
        <f ca="1">IF(OR(INDEX($X$2:$X$1001,MATCH(ROWS($W$2:W179),$W$2:$W$1001,0),1)&gt;=100000,INDEX($AD$1005:$AU$1005,1,MATCH(COLUMNS($AD$1006:AQ1006),$AD$1006:$AU$1006,0))&gt;=100000), " ",IF(INDEX($AD$2:$AU$1001,MATCH(ROWS($W$2:W179),$W$2:$W$1001,0),MATCH(COLUMNS($AD$1006:AQ1006),$AD$1006:$AU$1006,0)), HYPERLINK("#",""), HYPERLINK(CONCATENATE("#metadata!", ADDRESS(INDEX($Y$2:$Y$1001,MATCH(ROWS($W$2:W179),$W$2:$W$1001,0),0), INDEX($AD$1004:$AU$1004,1,MATCH(COLUMNS($AD$1006:AQ1006),$AD$1006:$AU$1006,0)))),"Fix")))</f>
        <v xml:space="preserve"> </v>
      </c>
      <c r="P179" s="4" t="str">
        <f ca="1">IF(OR(INDEX($X$2:$X$1001,MATCH(ROWS($W$2:W179),$W$2:$W$1001,0),1)&gt;=100000,INDEX($AD$1005:$AU$1005,1,MATCH(COLUMNS($AD$1006:AR1006),$AD$1006:$AU$1006,0))&gt;=100000), " ",IF(INDEX($AD$2:$AU$1001,MATCH(ROWS($W$2:W179),$W$2:$W$1001,0),MATCH(COLUMNS($AD$1006:AR1006),$AD$1006:$AU$1006,0)), HYPERLINK("#",""), HYPERLINK(CONCATENATE("#metadata!", ADDRESS(INDEX($Y$2:$Y$1001,MATCH(ROWS($W$2:W179),$W$2:$W$1001,0),0), INDEX($AD$1004:$AU$1004,1,MATCH(COLUMNS($AD$1006:AR1006),$AD$1006:$AU$1006,0)))),"Fix")))</f>
        <v xml:space="preserve"> </v>
      </c>
      <c r="Q179" s="4" t="str">
        <f ca="1">IF(OR(INDEX($X$2:$X$1001,MATCH(ROWS($W$2:W179),$W$2:$W$1001,0),1)&gt;=100000,INDEX($AD$1005:$AU$1005,1,MATCH(COLUMNS($AD$1006:AS1006),$AD$1006:$AU$1006,0))&gt;=100000), " ",IF(INDEX($AD$2:$AU$1001,MATCH(ROWS($W$2:W179),$W$2:$W$1001,0),MATCH(COLUMNS($AD$1006:AS1006),$AD$1006:$AU$1006,0)), HYPERLINK("#",""), HYPERLINK(CONCATENATE("#metadata!", ADDRESS(INDEX($Y$2:$Y$1001,MATCH(ROWS($W$2:W179),$W$2:$W$1001,0),0), INDEX($AD$1004:$AU$1004,1,MATCH(COLUMNS($AD$1006:AS1006),$AD$1006:$AU$1006,0)))),"Fix")))</f>
        <v xml:space="preserve"> </v>
      </c>
      <c r="R179" s="4" t="str">
        <f ca="1">IF(OR(INDEX($X$2:$X$1001,MATCH(ROWS($W$2:W179),$W$2:$W$1001,0),1)&gt;=100000,INDEX($AD$1005:$AU$1005,1,MATCH(COLUMNS($AD$1006:AT1006),$AD$1006:$AU$1006,0))&gt;=100000), " ",IF(INDEX($AD$2:$AU$1001,MATCH(ROWS($W$2:W179),$W$2:$W$1001,0),MATCH(COLUMNS($AD$1006:AT1006),$AD$1006:$AU$1006,0)), HYPERLINK("#",""), HYPERLINK(CONCATENATE("#metadata!", ADDRESS(INDEX($Y$2:$Y$1001,MATCH(ROWS($W$2:W179),$W$2:$W$1001,0),0), INDEX($AD$1004:$AU$1004,1,MATCH(COLUMNS($AD$1006:AT1006),$AD$1006:$AU$1006,0)))),"Fix")))</f>
        <v xml:space="preserve"> </v>
      </c>
      <c r="S179" s="4" t="str">
        <f ca="1">IF(OR(INDEX($X$2:$X$1001,MATCH(ROWS($W$2:W179),$W$2:$W$1001,0),1)&gt;=100000,INDEX($AD$1005:$AU$1005,1,MATCH(COLUMNS($AD$1006:AU1006),$AD$1006:$AU$1006,0))&gt;=100000), " ",IF(INDEX($AD$2:$AU$1001,MATCH(ROWS($W$2:W179),$W$2:$W$1001,0),MATCH(COLUMNS($AD$1006:AU1006),$AD$1006:$AU$1006,0)), HYPERLINK("#",""), HYPERLINK(CONCATENATE("#metadata!", ADDRESS(INDEX($Y$2:$Y$1001,MATCH(ROWS($W$2:W179),$W$2:$W$1001,0),0), INDEX($AD$1004:$AU$1004,1,MATCH(COLUMNS($AD$1006:AU1006),$AD$1006:$AU$1006,0)))),"Fix")))</f>
        <v xml:space="preserve"> </v>
      </c>
      <c r="W179">
        <v>178</v>
      </c>
      <c r="X179">
        <v>100179</v>
      </c>
      <c r="Y179">
        <v>179</v>
      </c>
      <c r="Z179" t="b">
        <f t="shared" si="2"/>
        <v>1</v>
      </c>
      <c r="AA179" t="b">
        <f>COUNTBLANK(metadata!B179:S179)=COLUMNS(metadata!B179:S179)</f>
        <v>1</v>
      </c>
      <c r="AB179" t="str">
        <v/>
      </c>
      <c r="AD179" t="b">
        <f ca="1">AND(IF(metadata!B179="",FALSE,TRUE),COUNTIF(metadata!B:B, metadata!B179) = 1,NOT(ISERROR(SUMPRODUCT(SEARCH(MID(metadata!B179,ROW(INDIRECT("1:"&amp;LEN(metadata!B179))), 1),"0123456789abcdefghijklmnopqrstuvwxyzABCDEFGHIJKLMNOPQRSTUVWXYZ.")))))</f>
        <v>0</v>
      </c>
      <c r="AE179" t="b">
        <f>OR(AND(IF(metadata!C179="",FALSE,TRUE),OR(EXACT(metadata!C179,"not applicable"),EXACT(metadata!C179,"missing: not collected"),EXACT(metadata!C179,"missing: not provided"),EXACT(metadata!C179,"missing: restricted access"))),AND(IF(metadata!C179="",FALSE,ISNUMBER(VALUE(metadata!C179))),metadata!C179&gt;0))</f>
        <v>0</v>
      </c>
      <c r="AF179" t="b">
        <f>AND(IF(metadata!D179="",FALSE,TRUE),EXACT(metadata!D179,"missing: not provided"))</f>
        <v>0</v>
      </c>
      <c r="AG179" t="b">
        <f>AND(IF(metadata!E179="",FALSE,TRUE),EXACT(metadata!E179,"Host-associated"))</f>
        <v>0</v>
      </c>
      <c r="AH179" t="b">
        <f>AND(IF(metadata!F179="",FALSE,TRUE),OR(EXACT(metadata!F179,"Animal"),EXACT(metadata!F179,"Fungus"),EXACT(metadata!F179,"Plant")))</f>
        <v>0</v>
      </c>
      <c r="AI179" t="b">
        <f>AND(IF(metadata!G179="",FALSE,TRUE),OR(EXACT(metadata!G179,"Plant secretion"),EXACT(metadata!G179,"Plant rhizosphere"),EXACT(metadata!G179,"Plant surface"),EXACT(metadata!G179,"Plant corpus"),EXACT(metadata!G179,"Fungus surface"),EXACT(metadata!G179,"Fungus corpus"),EXACT(metadata!G179,"Animal surface"),EXACT(metadata!G179,"Animal proximal gut"),EXACT(metadata!G179,"Animal corpus"),EXACT(metadata!G179,"Animal distal gut"),EXACT(metadata!G179,"Animal secretion")))</f>
        <v>0</v>
      </c>
      <c r="AJ179" t="b">
        <f>OR(AND(IF(metadata!H179="",FALSE,TRUE),OR(EXACT(metadata!H179,"missing: not collected"),EXACT(metadata!H179,"missing: not provided"),EXACT(metadata!H179,"missing: restricted access"))),AND(IF(metadata!H179="",FALSE,TRUE),OR(EXACT(metadata!H179,"organism-associated habitat"),EXACT(metadata!H179,"plant-associated habitat"),EXACT(metadata!H179,"animal-associated habitat"),EXACT(metadata!H179,"insecta-associated habitat"),EXACT(metadata!H179,"mammalia-associated habitat"),EXACT(metadata!H179,"human-associated habitat"),EXACT(metadata!H179,"livestock-associated habitat"))))</f>
        <v>0</v>
      </c>
      <c r="AK179" t="b">
        <f>AND(IF(metadata!I179="",FALSE,TRUE),EXACT(metadata!I179,"host-associated"))</f>
        <v>0</v>
      </c>
      <c r="AL179" t="b">
        <f>OR(AND(IF(metadata!J179="",FALSE,TRUE),OR(EXACT(metadata!J179,"not applicable"),EXACT(metadata!J179,"missing: not collected"),EXACT(metadata!J179,"missing: not provided"),EXACT(metadata!J179,"missing: restricted access"))),AND(IF(metadata!J179="",FALSE,ISNUMBER(VALUE(metadata!J179))),metadata!J179&gt;0))</f>
        <v>0</v>
      </c>
      <c r="AM179" t="b">
        <f>AND(IF(metadata!K179="",FALSE,TRUE),EXACT(metadata!K179,"missing: not provided"))</f>
        <v>0</v>
      </c>
      <c r="AN179" t="b">
        <f>IF(metadata!L179="",FALSE,TRUE)</f>
        <v>0</v>
      </c>
      <c r="AO179" t="b">
        <f>IF(metadata!M179="",FALSE,TRUE)</f>
        <v>0</v>
      </c>
      <c r="AP179" t="b">
        <f>OR(AND(IF(metadata!N179="",FALSE,TRUE),OR(EXACT(metadata!N179,"not applicable"),EXACT(metadata!N179,"missing: not collected"),EXACT(metadata!N179,"missing: not provided"))),AND(IF(metadata!N179="",FALSE,IF(ISERROR(INT(metadata!N179)),FALSE,INT(metadata!N179)=metadata!N179)),metadata!N179&gt;0))</f>
        <v>0</v>
      </c>
      <c r="AQ179" t="b">
        <f>AND(IF(metadata!O179="",FALSE,TRUE),EXACT(metadata!O179,"Not applicable"))</f>
        <v>0</v>
      </c>
      <c r="AR179" t="b">
        <f>OR(AND(IF(metadata!P179="",FALSE,TRUE),OR(EXACT(metadata!P179,"not applicable"),EXACT(metadata!P179,"missing: not collected"),EXACT(metadata!P179,"missing: not provided"),EXACT(metadata!P179,"missing: restricted access"))),IF(metadata!P179="",FALSE,IF(ISERROR(INT(metadata!P179)),FALSE,INT(metadata!P179)=metadata!P179)))</f>
        <v>0</v>
      </c>
      <c r="AS179" t="b">
        <f>AND(IF(metadata!Q179="",FALSE,TRUE),EXACT(metadata!Q179,"Not applicable"))</f>
        <v>0</v>
      </c>
      <c r="AT179" t="b">
        <f>OR(AND(IF(metadata!R179="",FALSE,TRUE),OR(EXACT(metadata!R179,"not applicable"),EXACT(metadata!R179,"missing: not collected"),EXACT(metadata!R179,"missing: not provided"),EXACT(metadata!R179,"missing: restricted access"))),AND(IF(metadata!R179="",FALSE,ISNUMBER(VALUE(metadata!R179))),metadata!R179&gt;0))</f>
        <v>0</v>
      </c>
      <c r="AU179" t="b">
        <f>AND(IF(metadata!S179="",FALSE,TRUE),EXACT(metadata!S179,"missing: not provided"))</f>
        <v>0</v>
      </c>
    </row>
    <row r="180" spans="1:47" x14ac:dyDescent="0.2">
      <c r="A180" s="5" t="str">
        <f ca="1">IF(B180=" "," ",HYPERLINK(CONCATENATE("#metadata!",ADDRESS(INDEX($Y$2:$Y$1001,MATCH(ROWS($W$2:W180),$W$2:$W$1001,0),0),1)),INDEX($AB$2:$AB$1001,MATCH(ROWS($W$2:W180),$W$2:$W$1001,0),0)))</f>
        <v xml:space="preserve"> </v>
      </c>
      <c r="B180" s="4" t="str">
        <f ca="1">IF(OR(INDEX($X$2:$X$1001,MATCH(ROWS($W$2:W180),$W$2:$W$1001,0),1)&gt;=100000,INDEX($AD$1005:$AU$1005,1,MATCH(COLUMNS($AD$1006:AD1006),$AD$1006:$AU$1006,0))&gt;=100000), " ",IF(INDEX($AD$2:$AU$1001,MATCH(ROWS($W$2:W180),$W$2:$W$1001,0),MATCH(COLUMNS($AD$1006:AD1006),$AD$1006:$AU$1006,0)), HYPERLINK("#",""), HYPERLINK(CONCATENATE("#metadata!", ADDRESS(INDEX($Y$2:$Y$1001,MATCH(ROWS($W$2:W180),$W$2:$W$1001,0),0), INDEX($AD$1004:$AU$1004,1,MATCH(COLUMNS($AD$1006:AD1006),$AD$1006:$AU$1006,0)))),"Fix")))</f>
        <v xml:space="preserve"> </v>
      </c>
      <c r="C180" s="4" t="str">
        <f ca="1">IF(OR(INDEX($X$2:$X$1001,MATCH(ROWS($W$2:W180),$W$2:$W$1001,0),1)&gt;=100000,INDEX($AD$1005:$AU$1005,1,MATCH(COLUMNS($AD$1006:AE1006),$AD$1006:$AU$1006,0))&gt;=100000), " ",IF(INDEX($AD$2:$AU$1001,MATCH(ROWS($W$2:W180),$W$2:$W$1001,0),MATCH(COLUMNS($AD$1006:AE1006),$AD$1006:$AU$1006,0)), HYPERLINK("#",""), HYPERLINK(CONCATENATE("#metadata!", ADDRESS(INDEX($Y$2:$Y$1001,MATCH(ROWS($W$2:W180),$W$2:$W$1001,0),0), INDEX($AD$1004:$AU$1004,1,MATCH(COLUMNS($AD$1006:AE1006),$AD$1006:$AU$1006,0)))),"Fix")))</f>
        <v xml:space="preserve"> </v>
      </c>
      <c r="D180" s="4" t="str">
        <f ca="1">IF(OR(INDEX($X$2:$X$1001,MATCH(ROWS($W$2:W180),$W$2:$W$1001,0),1)&gt;=100000,INDEX($AD$1005:$AU$1005,1,MATCH(COLUMNS($AD$1006:AF1006),$AD$1006:$AU$1006,0))&gt;=100000), " ",IF(INDEX($AD$2:$AU$1001,MATCH(ROWS($W$2:W180),$W$2:$W$1001,0),MATCH(COLUMNS($AD$1006:AF1006),$AD$1006:$AU$1006,0)), HYPERLINK("#",""), HYPERLINK(CONCATENATE("#metadata!", ADDRESS(INDEX($Y$2:$Y$1001,MATCH(ROWS($W$2:W180),$W$2:$W$1001,0),0), INDEX($AD$1004:$AU$1004,1,MATCH(COLUMNS($AD$1006:AF1006),$AD$1006:$AU$1006,0)))),"Fix")))</f>
        <v xml:space="preserve"> </v>
      </c>
      <c r="E180" s="4" t="str">
        <f ca="1">IF(OR(INDEX($X$2:$X$1001,MATCH(ROWS($W$2:W180),$W$2:$W$1001,0),1)&gt;=100000,INDEX($AD$1005:$AU$1005,1,MATCH(COLUMNS($AD$1006:AG1006),$AD$1006:$AU$1006,0))&gt;=100000), " ",IF(INDEX($AD$2:$AU$1001,MATCH(ROWS($W$2:W180),$W$2:$W$1001,0),MATCH(COLUMNS($AD$1006:AG1006),$AD$1006:$AU$1006,0)), HYPERLINK("#",""), HYPERLINK(CONCATENATE("#metadata!", ADDRESS(INDEX($Y$2:$Y$1001,MATCH(ROWS($W$2:W180),$W$2:$W$1001,0),0), INDEX($AD$1004:$AU$1004,1,MATCH(COLUMNS($AD$1006:AG1006),$AD$1006:$AU$1006,0)))),"Fix")))</f>
        <v xml:space="preserve"> </v>
      </c>
      <c r="F180" s="4" t="str">
        <f ca="1">IF(OR(INDEX($X$2:$X$1001,MATCH(ROWS($W$2:W180),$W$2:$W$1001,0),1)&gt;=100000,INDEX($AD$1005:$AU$1005,1,MATCH(COLUMNS($AD$1006:AH1006),$AD$1006:$AU$1006,0))&gt;=100000), " ",IF(INDEX($AD$2:$AU$1001,MATCH(ROWS($W$2:W180),$W$2:$W$1001,0),MATCH(COLUMNS($AD$1006:AH1006),$AD$1006:$AU$1006,0)), HYPERLINK("#",""), HYPERLINK(CONCATENATE("#metadata!", ADDRESS(INDEX($Y$2:$Y$1001,MATCH(ROWS($W$2:W180),$W$2:$W$1001,0),0), INDEX($AD$1004:$AU$1004,1,MATCH(COLUMNS($AD$1006:AH1006),$AD$1006:$AU$1006,0)))),"Fix")))</f>
        <v xml:space="preserve"> </v>
      </c>
      <c r="G180" s="4" t="str">
        <f ca="1">IF(OR(INDEX($X$2:$X$1001,MATCH(ROWS($W$2:W180),$W$2:$W$1001,0),1)&gt;=100000,INDEX($AD$1005:$AU$1005,1,MATCH(COLUMNS($AD$1006:AI1006),$AD$1006:$AU$1006,0))&gt;=100000), " ",IF(INDEX($AD$2:$AU$1001,MATCH(ROWS($W$2:W180),$W$2:$W$1001,0),MATCH(COLUMNS($AD$1006:AI1006),$AD$1006:$AU$1006,0)), HYPERLINK("#",""), HYPERLINK(CONCATENATE("#metadata!", ADDRESS(INDEX($Y$2:$Y$1001,MATCH(ROWS($W$2:W180),$W$2:$W$1001,0),0), INDEX($AD$1004:$AU$1004,1,MATCH(COLUMNS($AD$1006:AI1006),$AD$1006:$AU$1006,0)))),"Fix")))</f>
        <v xml:space="preserve"> </v>
      </c>
      <c r="H180" s="4" t="str">
        <f ca="1">IF(OR(INDEX($X$2:$X$1001,MATCH(ROWS($W$2:W180),$W$2:$W$1001,0),1)&gt;=100000,INDEX($AD$1005:$AU$1005,1,MATCH(COLUMNS($AD$1006:AJ1006),$AD$1006:$AU$1006,0))&gt;=100000), " ",IF(INDEX($AD$2:$AU$1001,MATCH(ROWS($W$2:W180),$W$2:$W$1001,0),MATCH(COLUMNS($AD$1006:AJ1006),$AD$1006:$AU$1006,0)), HYPERLINK("#",""), HYPERLINK(CONCATENATE("#metadata!", ADDRESS(INDEX($Y$2:$Y$1001,MATCH(ROWS($W$2:W180),$W$2:$W$1001,0),0), INDEX($AD$1004:$AU$1004,1,MATCH(COLUMNS($AD$1006:AJ1006),$AD$1006:$AU$1006,0)))),"Fix")))</f>
        <v xml:space="preserve"> </v>
      </c>
      <c r="I180" s="4" t="str">
        <f ca="1">IF(OR(INDEX($X$2:$X$1001,MATCH(ROWS($W$2:W180),$W$2:$W$1001,0),1)&gt;=100000,INDEX($AD$1005:$AU$1005,1,MATCH(COLUMNS($AD$1006:AK1006),$AD$1006:$AU$1006,0))&gt;=100000), " ",IF(INDEX($AD$2:$AU$1001,MATCH(ROWS($W$2:W180),$W$2:$W$1001,0),MATCH(COLUMNS($AD$1006:AK1006),$AD$1006:$AU$1006,0)), HYPERLINK("#",""), HYPERLINK(CONCATENATE("#metadata!", ADDRESS(INDEX($Y$2:$Y$1001,MATCH(ROWS($W$2:W180),$W$2:$W$1001,0),0), INDEX($AD$1004:$AU$1004,1,MATCH(COLUMNS($AD$1006:AK1006),$AD$1006:$AU$1006,0)))),"Fix")))</f>
        <v xml:space="preserve"> </v>
      </c>
      <c r="J180" s="4" t="str">
        <f ca="1">IF(OR(INDEX($X$2:$X$1001,MATCH(ROWS($W$2:W180),$W$2:$W$1001,0),1)&gt;=100000,INDEX($AD$1005:$AU$1005,1,MATCH(COLUMNS($AD$1006:AL1006),$AD$1006:$AU$1006,0))&gt;=100000), " ",IF(INDEX($AD$2:$AU$1001,MATCH(ROWS($W$2:W180),$W$2:$W$1001,0),MATCH(COLUMNS($AD$1006:AL1006),$AD$1006:$AU$1006,0)), HYPERLINK("#",""), HYPERLINK(CONCATENATE("#metadata!", ADDRESS(INDEX($Y$2:$Y$1001,MATCH(ROWS($W$2:W180),$W$2:$W$1001,0),0), INDEX($AD$1004:$AU$1004,1,MATCH(COLUMNS($AD$1006:AL1006),$AD$1006:$AU$1006,0)))),"Fix")))</f>
        <v xml:space="preserve"> </v>
      </c>
      <c r="K180" s="4" t="str">
        <f ca="1">IF(OR(INDEX($X$2:$X$1001,MATCH(ROWS($W$2:W180),$W$2:$W$1001,0),1)&gt;=100000,INDEX($AD$1005:$AU$1005,1,MATCH(COLUMNS($AD$1006:AM1006),$AD$1006:$AU$1006,0))&gt;=100000), " ",IF(INDEX($AD$2:$AU$1001,MATCH(ROWS($W$2:W180),$W$2:$W$1001,0),MATCH(COLUMNS($AD$1006:AM1006),$AD$1006:$AU$1006,0)), HYPERLINK("#",""), HYPERLINK(CONCATENATE("#metadata!", ADDRESS(INDEX($Y$2:$Y$1001,MATCH(ROWS($W$2:W180),$W$2:$W$1001,0),0), INDEX($AD$1004:$AU$1004,1,MATCH(COLUMNS($AD$1006:AM1006),$AD$1006:$AU$1006,0)))),"Fix")))</f>
        <v xml:space="preserve"> </v>
      </c>
      <c r="L180" s="4" t="str">
        <f ca="1">IF(OR(INDEX($X$2:$X$1001,MATCH(ROWS($W$2:W180),$W$2:$W$1001,0),1)&gt;=100000,INDEX($AD$1005:$AU$1005,1,MATCH(COLUMNS($AD$1006:AN1006),$AD$1006:$AU$1006,0))&gt;=100000), " ",IF(INDEX($AD$2:$AU$1001,MATCH(ROWS($W$2:W180),$W$2:$W$1001,0),MATCH(COLUMNS($AD$1006:AN1006),$AD$1006:$AU$1006,0)), HYPERLINK("#",""), HYPERLINK(CONCATENATE("#metadata!", ADDRESS(INDEX($Y$2:$Y$1001,MATCH(ROWS($W$2:W180),$W$2:$W$1001,0),0), INDEX($AD$1004:$AU$1004,1,MATCH(COLUMNS($AD$1006:AN1006),$AD$1006:$AU$1006,0)))),"Fix")))</f>
        <v xml:space="preserve"> </v>
      </c>
      <c r="M180" s="4" t="str">
        <f ca="1">IF(OR(INDEX($X$2:$X$1001,MATCH(ROWS($W$2:W180),$W$2:$W$1001,0),1)&gt;=100000,INDEX($AD$1005:$AU$1005,1,MATCH(COLUMNS($AD$1006:AO1006),$AD$1006:$AU$1006,0))&gt;=100000), " ",IF(INDEX($AD$2:$AU$1001,MATCH(ROWS($W$2:W180),$W$2:$W$1001,0),MATCH(COLUMNS($AD$1006:AO1006),$AD$1006:$AU$1006,0)), HYPERLINK("#",""), HYPERLINK(CONCATENATE("#metadata!", ADDRESS(INDEX($Y$2:$Y$1001,MATCH(ROWS($W$2:W180),$W$2:$W$1001,0),0), INDEX($AD$1004:$AU$1004,1,MATCH(COLUMNS($AD$1006:AO1006),$AD$1006:$AU$1006,0)))),"Fix")))</f>
        <v xml:space="preserve"> </v>
      </c>
      <c r="N180" s="4" t="str">
        <f ca="1">IF(OR(INDEX($X$2:$X$1001,MATCH(ROWS($W$2:W180),$W$2:$W$1001,0),1)&gt;=100000,INDEX($AD$1005:$AU$1005,1,MATCH(COLUMNS($AD$1006:AP1006),$AD$1006:$AU$1006,0))&gt;=100000), " ",IF(INDEX($AD$2:$AU$1001,MATCH(ROWS($W$2:W180),$W$2:$W$1001,0),MATCH(COLUMNS($AD$1006:AP1006),$AD$1006:$AU$1006,0)), HYPERLINK("#",""), HYPERLINK(CONCATENATE("#metadata!", ADDRESS(INDEX($Y$2:$Y$1001,MATCH(ROWS($W$2:W180),$W$2:$W$1001,0),0), INDEX($AD$1004:$AU$1004,1,MATCH(COLUMNS($AD$1006:AP1006),$AD$1006:$AU$1006,0)))),"Fix")))</f>
        <v xml:space="preserve"> </v>
      </c>
      <c r="O180" s="4" t="str">
        <f ca="1">IF(OR(INDEX($X$2:$X$1001,MATCH(ROWS($W$2:W180),$W$2:$W$1001,0),1)&gt;=100000,INDEX($AD$1005:$AU$1005,1,MATCH(COLUMNS($AD$1006:AQ1006),$AD$1006:$AU$1006,0))&gt;=100000), " ",IF(INDEX($AD$2:$AU$1001,MATCH(ROWS($W$2:W180),$W$2:$W$1001,0),MATCH(COLUMNS($AD$1006:AQ1006),$AD$1006:$AU$1006,0)), HYPERLINK("#",""), HYPERLINK(CONCATENATE("#metadata!", ADDRESS(INDEX($Y$2:$Y$1001,MATCH(ROWS($W$2:W180),$W$2:$W$1001,0),0), INDEX($AD$1004:$AU$1004,1,MATCH(COLUMNS($AD$1006:AQ1006),$AD$1006:$AU$1006,0)))),"Fix")))</f>
        <v xml:space="preserve"> </v>
      </c>
      <c r="P180" s="4" t="str">
        <f ca="1">IF(OR(INDEX($X$2:$X$1001,MATCH(ROWS($W$2:W180),$W$2:$W$1001,0),1)&gt;=100000,INDEX($AD$1005:$AU$1005,1,MATCH(COLUMNS($AD$1006:AR1006),$AD$1006:$AU$1006,0))&gt;=100000), " ",IF(INDEX($AD$2:$AU$1001,MATCH(ROWS($W$2:W180),$W$2:$W$1001,0),MATCH(COLUMNS($AD$1006:AR1006),$AD$1006:$AU$1006,0)), HYPERLINK("#",""), HYPERLINK(CONCATENATE("#metadata!", ADDRESS(INDEX($Y$2:$Y$1001,MATCH(ROWS($W$2:W180),$W$2:$W$1001,0),0), INDEX($AD$1004:$AU$1004,1,MATCH(COLUMNS($AD$1006:AR1006),$AD$1006:$AU$1006,0)))),"Fix")))</f>
        <v xml:space="preserve"> </v>
      </c>
      <c r="Q180" s="4" t="str">
        <f ca="1">IF(OR(INDEX($X$2:$X$1001,MATCH(ROWS($W$2:W180),$W$2:$W$1001,0),1)&gt;=100000,INDEX($AD$1005:$AU$1005,1,MATCH(COLUMNS($AD$1006:AS1006),$AD$1006:$AU$1006,0))&gt;=100000), " ",IF(INDEX($AD$2:$AU$1001,MATCH(ROWS($W$2:W180),$W$2:$W$1001,0),MATCH(COLUMNS($AD$1006:AS1006),$AD$1006:$AU$1006,0)), HYPERLINK("#",""), HYPERLINK(CONCATENATE("#metadata!", ADDRESS(INDEX($Y$2:$Y$1001,MATCH(ROWS($W$2:W180),$W$2:$W$1001,0),0), INDEX($AD$1004:$AU$1004,1,MATCH(COLUMNS($AD$1006:AS1006),$AD$1006:$AU$1006,0)))),"Fix")))</f>
        <v xml:space="preserve"> </v>
      </c>
      <c r="R180" s="4" t="str">
        <f ca="1">IF(OR(INDEX($X$2:$X$1001,MATCH(ROWS($W$2:W180),$W$2:$W$1001,0),1)&gt;=100000,INDEX($AD$1005:$AU$1005,1,MATCH(COLUMNS($AD$1006:AT1006),$AD$1006:$AU$1006,0))&gt;=100000), " ",IF(INDEX($AD$2:$AU$1001,MATCH(ROWS($W$2:W180),$W$2:$W$1001,0),MATCH(COLUMNS($AD$1006:AT1006),$AD$1006:$AU$1006,0)), HYPERLINK("#",""), HYPERLINK(CONCATENATE("#metadata!", ADDRESS(INDEX($Y$2:$Y$1001,MATCH(ROWS($W$2:W180),$W$2:$W$1001,0),0), INDEX($AD$1004:$AU$1004,1,MATCH(COLUMNS($AD$1006:AT1006),$AD$1006:$AU$1006,0)))),"Fix")))</f>
        <v xml:space="preserve"> </v>
      </c>
      <c r="S180" s="4" t="str">
        <f ca="1">IF(OR(INDEX($X$2:$X$1001,MATCH(ROWS($W$2:W180),$W$2:$W$1001,0),1)&gt;=100000,INDEX($AD$1005:$AU$1005,1,MATCH(COLUMNS($AD$1006:AU1006),$AD$1006:$AU$1006,0))&gt;=100000), " ",IF(INDEX($AD$2:$AU$1001,MATCH(ROWS($W$2:W180),$W$2:$W$1001,0),MATCH(COLUMNS($AD$1006:AU1006),$AD$1006:$AU$1006,0)), HYPERLINK("#",""), HYPERLINK(CONCATENATE("#metadata!", ADDRESS(INDEX($Y$2:$Y$1001,MATCH(ROWS($W$2:W180),$W$2:$W$1001,0),0), INDEX($AD$1004:$AU$1004,1,MATCH(COLUMNS($AD$1006:AU1006),$AD$1006:$AU$1006,0)))),"Fix")))</f>
        <v xml:space="preserve"> </v>
      </c>
      <c r="W180">
        <v>179</v>
      </c>
      <c r="X180">
        <v>100180</v>
      </c>
      <c r="Y180">
        <v>180</v>
      </c>
      <c r="Z180" t="b">
        <f t="shared" si="2"/>
        <v>1</v>
      </c>
      <c r="AA180" t="b">
        <f>COUNTBLANK(metadata!B180:S180)=COLUMNS(metadata!B180:S180)</f>
        <v>1</v>
      </c>
      <c r="AB180" t="str">
        <v/>
      </c>
      <c r="AD180" t="b">
        <f ca="1">AND(IF(metadata!B180="",FALSE,TRUE),COUNTIF(metadata!B:B, metadata!B180) = 1,NOT(ISERROR(SUMPRODUCT(SEARCH(MID(metadata!B180,ROW(INDIRECT("1:"&amp;LEN(metadata!B180))), 1),"0123456789abcdefghijklmnopqrstuvwxyzABCDEFGHIJKLMNOPQRSTUVWXYZ.")))))</f>
        <v>0</v>
      </c>
      <c r="AE180" t="b">
        <f>OR(AND(IF(metadata!C180="",FALSE,TRUE),OR(EXACT(metadata!C180,"not applicable"),EXACT(metadata!C180,"missing: not collected"),EXACT(metadata!C180,"missing: not provided"),EXACT(metadata!C180,"missing: restricted access"))),AND(IF(metadata!C180="",FALSE,ISNUMBER(VALUE(metadata!C180))),metadata!C180&gt;0))</f>
        <v>0</v>
      </c>
      <c r="AF180" t="b">
        <f>AND(IF(metadata!D180="",FALSE,TRUE),EXACT(metadata!D180,"missing: not provided"))</f>
        <v>0</v>
      </c>
      <c r="AG180" t="b">
        <f>AND(IF(metadata!E180="",FALSE,TRUE),EXACT(metadata!E180,"Host-associated"))</f>
        <v>0</v>
      </c>
      <c r="AH180" t="b">
        <f>AND(IF(metadata!F180="",FALSE,TRUE),OR(EXACT(metadata!F180,"Animal"),EXACT(metadata!F180,"Fungus"),EXACT(metadata!F180,"Plant")))</f>
        <v>0</v>
      </c>
      <c r="AI180" t="b">
        <f>AND(IF(metadata!G180="",FALSE,TRUE),OR(EXACT(metadata!G180,"Plant secretion"),EXACT(metadata!G180,"Plant rhizosphere"),EXACT(metadata!G180,"Plant surface"),EXACT(metadata!G180,"Plant corpus"),EXACT(metadata!G180,"Fungus surface"),EXACT(metadata!G180,"Fungus corpus"),EXACT(metadata!G180,"Animal surface"),EXACT(metadata!G180,"Animal proximal gut"),EXACT(metadata!G180,"Animal corpus"),EXACT(metadata!G180,"Animal distal gut"),EXACT(metadata!G180,"Animal secretion")))</f>
        <v>0</v>
      </c>
      <c r="AJ180" t="b">
        <f>OR(AND(IF(metadata!H180="",FALSE,TRUE),OR(EXACT(metadata!H180,"missing: not collected"),EXACT(metadata!H180,"missing: not provided"),EXACT(metadata!H180,"missing: restricted access"))),AND(IF(metadata!H180="",FALSE,TRUE),OR(EXACT(metadata!H180,"organism-associated habitat"),EXACT(metadata!H180,"plant-associated habitat"),EXACT(metadata!H180,"animal-associated habitat"),EXACT(metadata!H180,"insecta-associated habitat"),EXACT(metadata!H180,"mammalia-associated habitat"),EXACT(metadata!H180,"human-associated habitat"),EXACT(metadata!H180,"livestock-associated habitat"))))</f>
        <v>0</v>
      </c>
      <c r="AK180" t="b">
        <f>AND(IF(metadata!I180="",FALSE,TRUE),EXACT(metadata!I180,"host-associated"))</f>
        <v>0</v>
      </c>
      <c r="AL180" t="b">
        <f>OR(AND(IF(metadata!J180="",FALSE,TRUE),OR(EXACT(metadata!J180,"not applicable"),EXACT(metadata!J180,"missing: not collected"),EXACT(metadata!J180,"missing: not provided"),EXACT(metadata!J180,"missing: restricted access"))),AND(IF(metadata!J180="",FALSE,ISNUMBER(VALUE(metadata!J180))),metadata!J180&gt;0))</f>
        <v>0</v>
      </c>
      <c r="AM180" t="b">
        <f>AND(IF(metadata!K180="",FALSE,TRUE),EXACT(metadata!K180,"missing: not provided"))</f>
        <v>0</v>
      </c>
      <c r="AN180" t="b">
        <f>IF(metadata!L180="",FALSE,TRUE)</f>
        <v>0</v>
      </c>
      <c r="AO180" t="b">
        <f>IF(metadata!M180="",FALSE,TRUE)</f>
        <v>0</v>
      </c>
      <c r="AP180" t="b">
        <f>OR(AND(IF(metadata!N180="",FALSE,TRUE),OR(EXACT(metadata!N180,"not applicable"),EXACT(metadata!N180,"missing: not collected"),EXACT(metadata!N180,"missing: not provided"))),AND(IF(metadata!N180="",FALSE,IF(ISERROR(INT(metadata!N180)),FALSE,INT(metadata!N180)=metadata!N180)),metadata!N180&gt;0))</f>
        <v>0</v>
      </c>
      <c r="AQ180" t="b">
        <f>AND(IF(metadata!O180="",FALSE,TRUE),EXACT(metadata!O180,"Not applicable"))</f>
        <v>0</v>
      </c>
      <c r="AR180" t="b">
        <f>OR(AND(IF(metadata!P180="",FALSE,TRUE),OR(EXACT(metadata!P180,"not applicable"),EXACT(metadata!P180,"missing: not collected"),EXACT(metadata!P180,"missing: not provided"),EXACT(metadata!P180,"missing: restricted access"))),IF(metadata!P180="",FALSE,IF(ISERROR(INT(metadata!P180)),FALSE,INT(metadata!P180)=metadata!P180)))</f>
        <v>0</v>
      </c>
      <c r="AS180" t="b">
        <f>AND(IF(metadata!Q180="",FALSE,TRUE),EXACT(metadata!Q180,"Not applicable"))</f>
        <v>0</v>
      </c>
      <c r="AT180" t="b">
        <f>OR(AND(IF(metadata!R180="",FALSE,TRUE),OR(EXACT(metadata!R180,"not applicable"),EXACT(metadata!R180,"missing: not collected"),EXACT(metadata!R180,"missing: not provided"),EXACT(metadata!R180,"missing: restricted access"))),AND(IF(metadata!R180="",FALSE,ISNUMBER(VALUE(metadata!R180))),metadata!R180&gt;0))</f>
        <v>0</v>
      </c>
      <c r="AU180" t="b">
        <f>AND(IF(metadata!S180="",FALSE,TRUE),EXACT(metadata!S180,"missing: not provided"))</f>
        <v>0</v>
      </c>
    </row>
    <row r="181" spans="1:47" x14ac:dyDescent="0.2">
      <c r="A181" s="5" t="str">
        <f ca="1">IF(B181=" "," ",HYPERLINK(CONCATENATE("#metadata!",ADDRESS(INDEX($Y$2:$Y$1001,MATCH(ROWS($W$2:W181),$W$2:$W$1001,0),0),1)),INDEX($AB$2:$AB$1001,MATCH(ROWS($W$2:W181),$W$2:$W$1001,0),0)))</f>
        <v xml:space="preserve"> </v>
      </c>
      <c r="B181" s="4" t="str">
        <f ca="1">IF(OR(INDEX($X$2:$X$1001,MATCH(ROWS($W$2:W181),$W$2:$W$1001,0),1)&gt;=100000,INDEX($AD$1005:$AU$1005,1,MATCH(COLUMNS($AD$1006:AD1006),$AD$1006:$AU$1006,0))&gt;=100000), " ",IF(INDEX($AD$2:$AU$1001,MATCH(ROWS($W$2:W181),$W$2:$W$1001,0),MATCH(COLUMNS($AD$1006:AD1006),$AD$1006:$AU$1006,0)), HYPERLINK("#",""), HYPERLINK(CONCATENATE("#metadata!", ADDRESS(INDEX($Y$2:$Y$1001,MATCH(ROWS($W$2:W181),$W$2:$W$1001,0),0), INDEX($AD$1004:$AU$1004,1,MATCH(COLUMNS($AD$1006:AD1006),$AD$1006:$AU$1006,0)))),"Fix")))</f>
        <v xml:space="preserve"> </v>
      </c>
      <c r="C181" s="4" t="str">
        <f ca="1">IF(OR(INDEX($X$2:$X$1001,MATCH(ROWS($W$2:W181),$W$2:$W$1001,0),1)&gt;=100000,INDEX($AD$1005:$AU$1005,1,MATCH(COLUMNS($AD$1006:AE1006),$AD$1006:$AU$1006,0))&gt;=100000), " ",IF(INDEX($AD$2:$AU$1001,MATCH(ROWS($W$2:W181),$W$2:$W$1001,0),MATCH(COLUMNS($AD$1006:AE1006),$AD$1006:$AU$1006,0)), HYPERLINK("#",""), HYPERLINK(CONCATENATE("#metadata!", ADDRESS(INDEX($Y$2:$Y$1001,MATCH(ROWS($W$2:W181),$W$2:$W$1001,0),0), INDEX($AD$1004:$AU$1004,1,MATCH(COLUMNS($AD$1006:AE1006),$AD$1006:$AU$1006,0)))),"Fix")))</f>
        <v xml:space="preserve"> </v>
      </c>
      <c r="D181" s="4" t="str">
        <f ca="1">IF(OR(INDEX($X$2:$X$1001,MATCH(ROWS($W$2:W181),$W$2:$W$1001,0),1)&gt;=100000,INDEX($AD$1005:$AU$1005,1,MATCH(COLUMNS($AD$1006:AF1006),$AD$1006:$AU$1006,0))&gt;=100000), " ",IF(INDEX($AD$2:$AU$1001,MATCH(ROWS($W$2:W181),$W$2:$W$1001,0),MATCH(COLUMNS($AD$1006:AF1006),$AD$1006:$AU$1006,0)), HYPERLINK("#",""), HYPERLINK(CONCATENATE("#metadata!", ADDRESS(INDEX($Y$2:$Y$1001,MATCH(ROWS($W$2:W181),$W$2:$W$1001,0),0), INDEX($AD$1004:$AU$1004,1,MATCH(COLUMNS($AD$1006:AF1006),$AD$1006:$AU$1006,0)))),"Fix")))</f>
        <v xml:space="preserve"> </v>
      </c>
      <c r="E181" s="4" t="str">
        <f ca="1">IF(OR(INDEX($X$2:$X$1001,MATCH(ROWS($W$2:W181),$W$2:$W$1001,0),1)&gt;=100000,INDEX($AD$1005:$AU$1005,1,MATCH(COLUMNS($AD$1006:AG1006),$AD$1006:$AU$1006,0))&gt;=100000), " ",IF(INDEX($AD$2:$AU$1001,MATCH(ROWS($W$2:W181),$W$2:$W$1001,0),MATCH(COLUMNS($AD$1006:AG1006),$AD$1006:$AU$1006,0)), HYPERLINK("#",""), HYPERLINK(CONCATENATE("#metadata!", ADDRESS(INDEX($Y$2:$Y$1001,MATCH(ROWS($W$2:W181),$W$2:$W$1001,0),0), INDEX($AD$1004:$AU$1004,1,MATCH(COLUMNS($AD$1006:AG1006),$AD$1006:$AU$1006,0)))),"Fix")))</f>
        <v xml:space="preserve"> </v>
      </c>
      <c r="F181" s="4" t="str">
        <f ca="1">IF(OR(INDEX($X$2:$X$1001,MATCH(ROWS($W$2:W181),$W$2:$W$1001,0),1)&gt;=100000,INDEX($AD$1005:$AU$1005,1,MATCH(COLUMNS($AD$1006:AH1006),$AD$1006:$AU$1006,0))&gt;=100000), " ",IF(INDEX($AD$2:$AU$1001,MATCH(ROWS($W$2:W181),$W$2:$W$1001,0),MATCH(COLUMNS($AD$1006:AH1006),$AD$1006:$AU$1006,0)), HYPERLINK("#",""), HYPERLINK(CONCATENATE("#metadata!", ADDRESS(INDEX($Y$2:$Y$1001,MATCH(ROWS($W$2:W181),$W$2:$W$1001,0),0), INDEX($AD$1004:$AU$1004,1,MATCH(COLUMNS($AD$1006:AH1006),$AD$1006:$AU$1006,0)))),"Fix")))</f>
        <v xml:space="preserve"> </v>
      </c>
      <c r="G181" s="4" t="str">
        <f ca="1">IF(OR(INDEX($X$2:$X$1001,MATCH(ROWS($W$2:W181),$W$2:$W$1001,0),1)&gt;=100000,INDEX($AD$1005:$AU$1005,1,MATCH(COLUMNS($AD$1006:AI1006),$AD$1006:$AU$1006,0))&gt;=100000), " ",IF(INDEX($AD$2:$AU$1001,MATCH(ROWS($W$2:W181),$W$2:$W$1001,0),MATCH(COLUMNS($AD$1006:AI1006),$AD$1006:$AU$1006,0)), HYPERLINK("#",""), HYPERLINK(CONCATENATE("#metadata!", ADDRESS(INDEX($Y$2:$Y$1001,MATCH(ROWS($W$2:W181),$W$2:$W$1001,0),0), INDEX($AD$1004:$AU$1004,1,MATCH(COLUMNS($AD$1006:AI1006),$AD$1006:$AU$1006,0)))),"Fix")))</f>
        <v xml:space="preserve"> </v>
      </c>
      <c r="H181" s="4" t="str">
        <f ca="1">IF(OR(INDEX($X$2:$X$1001,MATCH(ROWS($W$2:W181),$W$2:$W$1001,0),1)&gt;=100000,INDEX($AD$1005:$AU$1005,1,MATCH(COLUMNS($AD$1006:AJ1006),$AD$1006:$AU$1006,0))&gt;=100000), " ",IF(INDEX($AD$2:$AU$1001,MATCH(ROWS($W$2:W181),$W$2:$W$1001,0),MATCH(COLUMNS($AD$1006:AJ1006),$AD$1006:$AU$1006,0)), HYPERLINK("#",""), HYPERLINK(CONCATENATE("#metadata!", ADDRESS(INDEX($Y$2:$Y$1001,MATCH(ROWS($W$2:W181),$W$2:$W$1001,0),0), INDEX($AD$1004:$AU$1004,1,MATCH(COLUMNS($AD$1006:AJ1006),$AD$1006:$AU$1006,0)))),"Fix")))</f>
        <v xml:space="preserve"> </v>
      </c>
      <c r="I181" s="4" t="str">
        <f ca="1">IF(OR(INDEX($X$2:$X$1001,MATCH(ROWS($W$2:W181),$W$2:$W$1001,0),1)&gt;=100000,INDEX($AD$1005:$AU$1005,1,MATCH(COLUMNS($AD$1006:AK1006),$AD$1006:$AU$1006,0))&gt;=100000), " ",IF(INDEX($AD$2:$AU$1001,MATCH(ROWS($W$2:W181),$W$2:$W$1001,0),MATCH(COLUMNS($AD$1006:AK1006),$AD$1006:$AU$1006,0)), HYPERLINK("#",""), HYPERLINK(CONCATENATE("#metadata!", ADDRESS(INDEX($Y$2:$Y$1001,MATCH(ROWS($W$2:W181),$W$2:$W$1001,0),0), INDEX($AD$1004:$AU$1004,1,MATCH(COLUMNS($AD$1006:AK1006),$AD$1006:$AU$1006,0)))),"Fix")))</f>
        <v xml:space="preserve"> </v>
      </c>
      <c r="J181" s="4" t="str">
        <f ca="1">IF(OR(INDEX($X$2:$X$1001,MATCH(ROWS($W$2:W181),$W$2:$W$1001,0),1)&gt;=100000,INDEX($AD$1005:$AU$1005,1,MATCH(COLUMNS($AD$1006:AL1006),$AD$1006:$AU$1006,0))&gt;=100000), " ",IF(INDEX($AD$2:$AU$1001,MATCH(ROWS($W$2:W181),$W$2:$W$1001,0),MATCH(COLUMNS($AD$1006:AL1006),$AD$1006:$AU$1006,0)), HYPERLINK("#",""), HYPERLINK(CONCATENATE("#metadata!", ADDRESS(INDEX($Y$2:$Y$1001,MATCH(ROWS($W$2:W181),$W$2:$W$1001,0),0), INDEX($AD$1004:$AU$1004,1,MATCH(COLUMNS($AD$1006:AL1006),$AD$1006:$AU$1006,0)))),"Fix")))</f>
        <v xml:space="preserve"> </v>
      </c>
      <c r="K181" s="4" t="str">
        <f ca="1">IF(OR(INDEX($X$2:$X$1001,MATCH(ROWS($W$2:W181),$W$2:$W$1001,0),1)&gt;=100000,INDEX($AD$1005:$AU$1005,1,MATCH(COLUMNS($AD$1006:AM1006),$AD$1006:$AU$1006,0))&gt;=100000), " ",IF(INDEX($AD$2:$AU$1001,MATCH(ROWS($W$2:W181),$W$2:$W$1001,0),MATCH(COLUMNS($AD$1006:AM1006),$AD$1006:$AU$1006,0)), HYPERLINK("#",""), HYPERLINK(CONCATENATE("#metadata!", ADDRESS(INDEX($Y$2:$Y$1001,MATCH(ROWS($W$2:W181),$W$2:$W$1001,0),0), INDEX($AD$1004:$AU$1004,1,MATCH(COLUMNS($AD$1006:AM1006),$AD$1006:$AU$1006,0)))),"Fix")))</f>
        <v xml:space="preserve"> </v>
      </c>
      <c r="L181" s="4" t="str">
        <f ca="1">IF(OR(INDEX($X$2:$X$1001,MATCH(ROWS($W$2:W181),$W$2:$W$1001,0),1)&gt;=100000,INDEX($AD$1005:$AU$1005,1,MATCH(COLUMNS($AD$1006:AN1006),$AD$1006:$AU$1006,0))&gt;=100000), " ",IF(INDEX($AD$2:$AU$1001,MATCH(ROWS($W$2:W181),$W$2:$W$1001,0),MATCH(COLUMNS($AD$1006:AN1006),$AD$1006:$AU$1006,0)), HYPERLINK("#",""), HYPERLINK(CONCATENATE("#metadata!", ADDRESS(INDEX($Y$2:$Y$1001,MATCH(ROWS($W$2:W181),$W$2:$W$1001,0),0), INDEX($AD$1004:$AU$1004,1,MATCH(COLUMNS($AD$1006:AN1006),$AD$1006:$AU$1006,0)))),"Fix")))</f>
        <v xml:space="preserve"> </v>
      </c>
      <c r="M181" s="4" t="str">
        <f ca="1">IF(OR(INDEX($X$2:$X$1001,MATCH(ROWS($W$2:W181),$W$2:$W$1001,0),1)&gt;=100000,INDEX($AD$1005:$AU$1005,1,MATCH(COLUMNS($AD$1006:AO1006),$AD$1006:$AU$1006,0))&gt;=100000), " ",IF(INDEX($AD$2:$AU$1001,MATCH(ROWS($W$2:W181),$W$2:$W$1001,0),MATCH(COLUMNS($AD$1006:AO1006),$AD$1006:$AU$1006,0)), HYPERLINK("#",""), HYPERLINK(CONCATENATE("#metadata!", ADDRESS(INDEX($Y$2:$Y$1001,MATCH(ROWS($W$2:W181),$W$2:$W$1001,0),0), INDEX($AD$1004:$AU$1004,1,MATCH(COLUMNS($AD$1006:AO1006),$AD$1006:$AU$1006,0)))),"Fix")))</f>
        <v xml:space="preserve"> </v>
      </c>
      <c r="N181" s="4" t="str">
        <f ca="1">IF(OR(INDEX($X$2:$X$1001,MATCH(ROWS($W$2:W181),$W$2:$W$1001,0),1)&gt;=100000,INDEX($AD$1005:$AU$1005,1,MATCH(COLUMNS($AD$1006:AP1006),$AD$1006:$AU$1006,0))&gt;=100000), " ",IF(INDEX($AD$2:$AU$1001,MATCH(ROWS($W$2:W181),$W$2:$W$1001,0),MATCH(COLUMNS($AD$1006:AP1006),$AD$1006:$AU$1006,0)), HYPERLINK("#",""), HYPERLINK(CONCATENATE("#metadata!", ADDRESS(INDEX($Y$2:$Y$1001,MATCH(ROWS($W$2:W181),$W$2:$W$1001,0),0), INDEX($AD$1004:$AU$1004,1,MATCH(COLUMNS($AD$1006:AP1006),$AD$1006:$AU$1006,0)))),"Fix")))</f>
        <v xml:space="preserve"> </v>
      </c>
      <c r="O181" s="4" t="str">
        <f ca="1">IF(OR(INDEX($X$2:$X$1001,MATCH(ROWS($W$2:W181),$W$2:$W$1001,0),1)&gt;=100000,INDEX($AD$1005:$AU$1005,1,MATCH(COLUMNS($AD$1006:AQ1006),$AD$1006:$AU$1006,0))&gt;=100000), " ",IF(INDEX($AD$2:$AU$1001,MATCH(ROWS($W$2:W181),$W$2:$W$1001,0),MATCH(COLUMNS($AD$1006:AQ1006),$AD$1006:$AU$1006,0)), HYPERLINK("#",""), HYPERLINK(CONCATENATE("#metadata!", ADDRESS(INDEX($Y$2:$Y$1001,MATCH(ROWS($W$2:W181),$W$2:$W$1001,0),0), INDEX($AD$1004:$AU$1004,1,MATCH(COLUMNS($AD$1006:AQ1006),$AD$1006:$AU$1006,0)))),"Fix")))</f>
        <v xml:space="preserve"> </v>
      </c>
      <c r="P181" s="4" t="str">
        <f ca="1">IF(OR(INDEX($X$2:$X$1001,MATCH(ROWS($W$2:W181),$W$2:$W$1001,0),1)&gt;=100000,INDEX($AD$1005:$AU$1005,1,MATCH(COLUMNS($AD$1006:AR1006),$AD$1006:$AU$1006,0))&gt;=100000), " ",IF(INDEX($AD$2:$AU$1001,MATCH(ROWS($W$2:W181),$W$2:$W$1001,0),MATCH(COLUMNS($AD$1006:AR1006),$AD$1006:$AU$1006,0)), HYPERLINK("#",""), HYPERLINK(CONCATENATE("#metadata!", ADDRESS(INDEX($Y$2:$Y$1001,MATCH(ROWS($W$2:W181),$W$2:$W$1001,0),0), INDEX($AD$1004:$AU$1004,1,MATCH(COLUMNS($AD$1006:AR1006),$AD$1006:$AU$1006,0)))),"Fix")))</f>
        <v xml:space="preserve"> </v>
      </c>
      <c r="Q181" s="4" t="str">
        <f ca="1">IF(OR(INDEX($X$2:$X$1001,MATCH(ROWS($W$2:W181),$W$2:$W$1001,0),1)&gt;=100000,INDEX($AD$1005:$AU$1005,1,MATCH(COLUMNS($AD$1006:AS1006),$AD$1006:$AU$1006,0))&gt;=100000), " ",IF(INDEX($AD$2:$AU$1001,MATCH(ROWS($W$2:W181),$W$2:$W$1001,0),MATCH(COLUMNS($AD$1006:AS1006),$AD$1006:$AU$1006,0)), HYPERLINK("#",""), HYPERLINK(CONCATENATE("#metadata!", ADDRESS(INDEX($Y$2:$Y$1001,MATCH(ROWS($W$2:W181),$W$2:$W$1001,0),0), INDEX($AD$1004:$AU$1004,1,MATCH(COLUMNS($AD$1006:AS1006),$AD$1006:$AU$1006,0)))),"Fix")))</f>
        <v xml:space="preserve"> </v>
      </c>
      <c r="R181" s="4" t="str">
        <f ca="1">IF(OR(INDEX($X$2:$X$1001,MATCH(ROWS($W$2:W181),$W$2:$W$1001,0),1)&gt;=100000,INDEX($AD$1005:$AU$1005,1,MATCH(COLUMNS($AD$1006:AT1006),$AD$1006:$AU$1006,0))&gt;=100000), " ",IF(INDEX($AD$2:$AU$1001,MATCH(ROWS($W$2:W181),$W$2:$W$1001,0),MATCH(COLUMNS($AD$1006:AT1006),$AD$1006:$AU$1006,0)), HYPERLINK("#",""), HYPERLINK(CONCATENATE("#metadata!", ADDRESS(INDEX($Y$2:$Y$1001,MATCH(ROWS($W$2:W181),$W$2:$W$1001,0),0), INDEX($AD$1004:$AU$1004,1,MATCH(COLUMNS($AD$1006:AT1006),$AD$1006:$AU$1006,0)))),"Fix")))</f>
        <v xml:space="preserve"> </v>
      </c>
      <c r="S181" s="4" t="str">
        <f ca="1">IF(OR(INDEX($X$2:$X$1001,MATCH(ROWS($W$2:W181),$W$2:$W$1001,0),1)&gt;=100000,INDEX($AD$1005:$AU$1005,1,MATCH(COLUMNS($AD$1006:AU1006),$AD$1006:$AU$1006,0))&gt;=100000), " ",IF(INDEX($AD$2:$AU$1001,MATCH(ROWS($W$2:W181),$W$2:$W$1001,0),MATCH(COLUMNS($AD$1006:AU1006),$AD$1006:$AU$1006,0)), HYPERLINK("#",""), HYPERLINK(CONCATENATE("#metadata!", ADDRESS(INDEX($Y$2:$Y$1001,MATCH(ROWS($W$2:W181),$W$2:$W$1001,0),0), INDEX($AD$1004:$AU$1004,1,MATCH(COLUMNS($AD$1006:AU1006),$AD$1006:$AU$1006,0)))),"Fix")))</f>
        <v xml:space="preserve"> </v>
      </c>
      <c r="W181">
        <v>180</v>
      </c>
      <c r="X181">
        <v>100181</v>
      </c>
      <c r="Y181">
        <v>181</v>
      </c>
      <c r="Z181" t="b">
        <f t="shared" si="2"/>
        <v>1</v>
      </c>
      <c r="AA181" t="b">
        <f>COUNTBLANK(metadata!B181:S181)=COLUMNS(metadata!B181:S181)</f>
        <v>1</v>
      </c>
      <c r="AB181" t="str">
        <v/>
      </c>
      <c r="AD181" t="b">
        <f ca="1">AND(IF(metadata!B181="",FALSE,TRUE),COUNTIF(metadata!B:B, metadata!B181) = 1,NOT(ISERROR(SUMPRODUCT(SEARCH(MID(metadata!B181,ROW(INDIRECT("1:"&amp;LEN(metadata!B181))), 1),"0123456789abcdefghijklmnopqrstuvwxyzABCDEFGHIJKLMNOPQRSTUVWXYZ.")))))</f>
        <v>0</v>
      </c>
      <c r="AE181" t="b">
        <f>OR(AND(IF(metadata!C181="",FALSE,TRUE),OR(EXACT(metadata!C181,"not applicable"),EXACT(metadata!C181,"missing: not collected"),EXACT(metadata!C181,"missing: not provided"),EXACT(metadata!C181,"missing: restricted access"))),AND(IF(metadata!C181="",FALSE,ISNUMBER(VALUE(metadata!C181))),metadata!C181&gt;0))</f>
        <v>0</v>
      </c>
      <c r="AF181" t="b">
        <f>AND(IF(metadata!D181="",FALSE,TRUE),EXACT(metadata!D181,"missing: not provided"))</f>
        <v>0</v>
      </c>
      <c r="AG181" t="b">
        <f>AND(IF(metadata!E181="",FALSE,TRUE),EXACT(metadata!E181,"Host-associated"))</f>
        <v>0</v>
      </c>
      <c r="AH181" t="b">
        <f>AND(IF(metadata!F181="",FALSE,TRUE),OR(EXACT(metadata!F181,"Animal"),EXACT(metadata!F181,"Fungus"),EXACT(metadata!F181,"Plant")))</f>
        <v>0</v>
      </c>
      <c r="AI181" t="b">
        <f>AND(IF(metadata!G181="",FALSE,TRUE),OR(EXACT(metadata!G181,"Plant secretion"),EXACT(metadata!G181,"Plant rhizosphere"),EXACT(metadata!G181,"Plant surface"),EXACT(metadata!G181,"Plant corpus"),EXACT(metadata!G181,"Fungus surface"),EXACT(metadata!G181,"Fungus corpus"),EXACT(metadata!G181,"Animal surface"),EXACT(metadata!G181,"Animal proximal gut"),EXACT(metadata!G181,"Animal corpus"),EXACT(metadata!G181,"Animal distal gut"),EXACT(metadata!G181,"Animal secretion")))</f>
        <v>0</v>
      </c>
      <c r="AJ181" t="b">
        <f>OR(AND(IF(metadata!H181="",FALSE,TRUE),OR(EXACT(metadata!H181,"missing: not collected"),EXACT(metadata!H181,"missing: not provided"),EXACT(metadata!H181,"missing: restricted access"))),AND(IF(metadata!H181="",FALSE,TRUE),OR(EXACT(metadata!H181,"organism-associated habitat"),EXACT(metadata!H181,"plant-associated habitat"),EXACT(metadata!H181,"animal-associated habitat"),EXACT(metadata!H181,"insecta-associated habitat"),EXACT(metadata!H181,"mammalia-associated habitat"),EXACT(metadata!H181,"human-associated habitat"),EXACT(metadata!H181,"livestock-associated habitat"))))</f>
        <v>0</v>
      </c>
      <c r="AK181" t="b">
        <f>AND(IF(metadata!I181="",FALSE,TRUE),EXACT(metadata!I181,"host-associated"))</f>
        <v>0</v>
      </c>
      <c r="AL181" t="b">
        <f>OR(AND(IF(metadata!J181="",FALSE,TRUE),OR(EXACT(metadata!J181,"not applicable"),EXACT(metadata!J181,"missing: not collected"),EXACT(metadata!J181,"missing: not provided"),EXACT(metadata!J181,"missing: restricted access"))),AND(IF(metadata!J181="",FALSE,ISNUMBER(VALUE(metadata!J181))),metadata!J181&gt;0))</f>
        <v>0</v>
      </c>
      <c r="AM181" t="b">
        <f>AND(IF(metadata!K181="",FALSE,TRUE),EXACT(metadata!K181,"missing: not provided"))</f>
        <v>0</v>
      </c>
      <c r="AN181" t="b">
        <f>IF(metadata!L181="",FALSE,TRUE)</f>
        <v>0</v>
      </c>
      <c r="AO181" t="b">
        <f>IF(metadata!M181="",FALSE,TRUE)</f>
        <v>0</v>
      </c>
      <c r="AP181" t="b">
        <f>OR(AND(IF(metadata!N181="",FALSE,TRUE),OR(EXACT(metadata!N181,"not applicable"),EXACT(metadata!N181,"missing: not collected"),EXACT(metadata!N181,"missing: not provided"))),AND(IF(metadata!N181="",FALSE,IF(ISERROR(INT(metadata!N181)),FALSE,INT(metadata!N181)=metadata!N181)),metadata!N181&gt;0))</f>
        <v>0</v>
      </c>
      <c r="AQ181" t="b">
        <f>AND(IF(metadata!O181="",FALSE,TRUE),EXACT(metadata!O181,"Not applicable"))</f>
        <v>0</v>
      </c>
      <c r="AR181" t="b">
        <f>OR(AND(IF(metadata!P181="",FALSE,TRUE),OR(EXACT(metadata!P181,"not applicable"),EXACT(metadata!P181,"missing: not collected"),EXACT(metadata!P181,"missing: not provided"),EXACT(metadata!P181,"missing: restricted access"))),IF(metadata!P181="",FALSE,IF(ISERROR(INT(metadata!P181)),FALSE,INT(metadata!P181)=metadata!P181)))</f>
        <v>0</v>
      </c>
      <c r="AS181" t="b">
        <f>AND(IF(metadata!Q181="",FALSE,TRUE),EXACT(metadata!Q181,"Not applicable"))</f>
        <v>0</v>
      </c>
      <c r="AT181" t="b">
        <f>OR(AND(IF(metadata!R181="",FALSE,TRUE),OR(EXACT(metadata!R181,"not applicable"),EXACT(metadata!R181,"missing: not collected"),EXACT(metadata!R181,"missing: not provided"),EXACT(metadata!R181,"missing: restricted access"))),AND(IF(metadata!R181="",FALSE,ISNUMBER(VALUE(metadata!R181))),metadata!R181&gt;0))</f>
        <v>0</v>
      </c>
      <c r="AU181" t="b">
        <f>AND(IF(metadata!S181="",FALSE,TRUE),EXACT(metadata!S181,"missing: not provided"))</f>
        <v>0</v>
      </c>
    </row>
    <row r="182" spans="1:47" x14ac:dyDescent="0.2">
      <c r="A182" s="5" t="str">
        <f ca="1">IF(B182=" "," ",HYPERLINK(CONCATENATE("#metadata!",ADDRESS(INDEX($Y$2:$Y$1001,MATCH(ROWS($W$2:W182),$W$2:$W$1001,0),0),1)),INDEX($AB$2:$AB$1001,MATCH(ROWS($W$2:W182),$W$2:$W$1001,0),0)))</f>
        <v xml:space="preserve"> </v>
      </c>
      <c r="B182" s="4" t="str">
        <f ca="1">IF(OR(INDEX($X$2:$X$1001,MATCH(ROWS($W$2:W182),$W$2:$W$1001,0),1)&gt;=100000,INDEX($AD$1005:$AU$1005,1,MATCH(COLUMNS($AD$1006:AD1006),$AD$1006:$AU$1006,0))&gt;=100000), " ",IF(INDEX($AD$2:$AU$1001,MATCH(ROWS($W$2:W182),$W$2:$W$1001,0),MATCH(COLUMNS($AD$1006:AD1006),$AD$1006:$AU$1006,0)), HYPERLINK("#",""), HYPERLINK(CONCATENATE("#metadata!", ADDRESS(INDEX($Y$2:$Y$1001,MATCH(ROWS($W$2:W182),$W$2:$W$1001,0),0), INDEX($AD$1004:$AU$1004,1,MATCH(COLUMNS($AD$1006:AD1006),$AD$1006:$AU$1006,0)))),"Fix")))</f>
        <v xml:space="preserve"> </v>
      </c>
      <c r="C182" s="4" t="str">
        <f ca="1">IF(OR(INDEX($X$2:$X$1001,MATCH(ROWS($W$2:W182),$W$2:$W$1001,0),1)&gt;=100000,INDEX($AD$1005:$AU$1005,1,MATCH(COLUMNS($AD$1006:AE1006),$AD$1006:$AU$1006,0))&gt;=100000), " ",IF(INDEX($AD$2:$AU$1001,MATCH(ROWS($W$2:W182),$W$2:$W$1001,0),MATCH(COLUMNS($AD$1006:AE1006),$AD$1006:$AU$1006,0)), HYPERLINK("#",""), HYPERLINK(CONCATENATE("#metadata!", ADDRESS(INDEX($Y$2:$Y$1001,MATCH(ROWS($W$2:W182),$W$2:$W$1001,0),0), INDEX($AD$1004:$AU$1004,1,MATCH(COLUMNS($AD$1006:AE1006),$AD$1006:$AU$1006,0)))),"Fix")))</f>
        <v xml:space="preserve"> </v>
      </c>
      <c r="D182" s="4" t="str">
        <f ca="1">IF(OR(INDEX($X$2:$X$1001,MATCH(ROWS($W$2:W182),$W$2:$W$1001,0),1)&gt;=100000,INDEX($AD$1005:$AU$1005,1,MATCH(COLUMNS($AD$1006:AF1006),$AD$1006:$AU$1006,0))&gt;=100000), " ",IF(INDEX($AD$2:$AU$1001,MATCH(ROWS($W$2:W182),$W$2:$W$1001,0),MATCH(COLUMNS($AD$1006:AF1006),$AD$1006:$AU$1006,0)), HYPERLINK("#",""), HYPERLINK(CONCATENATE("#metadata!", ADDRESS(INDEX($Y$2:$Y$1001,MATCH(ROWS($W$2:W182),$W$2:$W$1001,0),0), INDEX($AD$1004:$AU$1004,1,MATCH(COLUMNS($AD$1006:AF1006),$AD$1006:$AU$1006,0)))),"Fix")))</f>
        <v xml:space="preserve"> </v>
      </c>
      <c r="E182" s="4" t="str">
        <f ca="1">IF(OR(INDEX($X$2:$X$1001,MATCH(ROWS($W$2:W182),$W$2:$W$1001,0),1)&gt;=100000,INDEX($AD$1005:$AU$1005,1,MATCH(COLUMNS($AD$1006:AG1006),$AD$1006:$AU$1006,0))&gt;=100000), " ",IF(INDEX($AD$2:$AU$1001,MATCH(ROWS($W$2:W182),$W$2:$W$1001,0),MATCH(COLUMNS($AD$1006:AG1006),$AD$1006:$AU$1006,0)), HYPERLINK("#",""), HYPERLINK(CONCATENATE("#metadata!", ADDRESS(INDEX($Y$2:$Y$1001,MATCH(ROWS($W$2:W182),$W$2:$W$1001,0),0), INDEX($AD$1004:$AU$1004,1,MATCH(COLUMNS($AD$1006:AG1006),$AD$1006:$AU$1006,0)))),"Fix")))</f>
        <v xml:space="preserve"> </v>
      </c>
      <c r="F182" s="4" t="str">
        <f ca="1">IF(OR(INDEX($X$2:$X$1001,MATCH(ROWS($W$2:W182),$W$2:$W$1001,0),1)&gt;=100000,INDEX($AD$1005:$AU$1005,1,MATCH(COLUMNS($AD$1006:AH1006),$AD$1006:$AU$1006,0))&gt;=100000), " ",IF(INDEX($AD$2:$AU$1001,MATCH(ROWS($W$2:W182),$W$2:$W$1001,0),MATCH(COLUMNS($AD$1006:AH1006),$AD$1006:$AU$1006,0)), HYPERLINK("#",""), HYPERLINK(CONCATENATE("#metadata!", ADDRESS(INDEX($Y$2:$Y$1001,MATCH(ROWS($W$2:W182),$W$2:$W$1001,0),0), INDEX($AD$1004:$AU$1004,1,MATCH(COLUMNS($AD$1006:AH1006),$AD$1006:$AU$1006,0)))),"Fix")))</f>
        <v xml:space="preserve"> </v>
      </c>
      <c r="G182" s="4" t="str">
        <f ca="1">IF(OR(INDEX($X$2:$X$1001,MATCH(ROWS($W$2:W182),$W$2:$W$1001,0),1)&gt;=100000,INDEX($AD$1005:$AU$1005,1,MATCH(COLUMNS($AD$1006:AI1006),$AD$1006:$AU$1006,0))&gt;=100000), " ",IF(INDEX($AD$2:$AU$1001,MATCH(ROWS($W$2:W182),$W$2:$W$1001,0),MATCH(COLUMNS($AD$1006:AI1006),$AD$1006:$AU$1006,0)), HYPERLINK("#",""), HYPERLINK(CONCATENATE("#metadata!", ADDRESS(INDEX($Y$2:$Y$1001,MATCH(ROWS($W$2:W182),$W$2:$W$1001,0),0), INDEX($AD$1004:$AU$1004,1,MATCH(COLUMNS($AD$1006:AI1006),$AD$1006:$AU$1006,0)))),"Fix")))</f>
        <v xml:space="preserve"> </v>
      </c>
      <c r="H182" s="4" t="str">
        <f ca="1">IF(OR(INDEX($X$2:$X$1001,MATCH(ROWS($W$2:W182),$W$2:$W$1001,0),1)&gt;=100000,INDEX($AD$1005:$AU$1005,1,MATCH(COLUMNS($AD$1006:AJ1006),$AD$1006:$AU$1006,0))&gt;=100000), " ",IF(INDEX($AD$2:$AU$1001,MATCH(ROWS($W$2:W182),$W$2:$W$1001,0),MATCH(COLUMNS($AD$1006:AJ1006),$AD$1006:$AU$1006,0)), HYPERLINK("#",""), HYPERLINK(CONCATENATE("#metadata!", ADDRESS(INDEX($Y$2:$Y$1001,MATCH(ROWS($W$2:W182),$W$2:$W$1001,0),0), INDEX($AD$1004:$AU$1004,1,MATCH(COLUMNS($AD$1006:AJ1006),$AD$1006:$AU$1006,0)))),"Fix")))</f>
        <v xml:space="preserve"> </v>
      </c>
      <c r="I182" s="4" t="str">
        <f ca="1">IF(OR(INDEX($X$2:$X$1001,MATCH(ROWS($W$2:W182),$W$2:$W$1001,0),1)&gt;=100000,INDEX($AD$1005:$AU$1005,1,MATCH(COLUMNS($AD$1006:AK1006),$AD$1006:$AU$1006,0))&gt;=100000), " ",IF(INDEX($AD$2:$AU$1001,MATCH(ROWS($W$2:W182),$W$2:$W$1001,0),MATCH(COLUMNS($AD$1006:AK1006),$AD$1006:$AU$1006,0)), HYPERLINK("#",""), HYPERLINK(CONCATENATE("#metadata!", ADDRESS(INDEX($Y$2:$Y$1001,MATCH(ROWS($W$2:W182),$W$2:$W$1001,0),0), INDEX($AD$1004:$AU$1004,1,MATCH(COLUMNS($AD$1006:AK1006),$AD$1006:$AU$1006,0)))),"Fix")))</f>
        <v xml:space="preserve"> </v>
      </c>
      <c r="J182" s="4" t="str">
        <f ca="1">IF(OR(INDEX($X$2:$X$1001,MATCH(ROWS($W$2:W182),$W$2:$W$1001,0),1)&gt;=100000,INDEX($AD$1005:$AU$1005,1,MATCH(COLUMNS($AD$1006:AL1006),$AD$1006:$AU$1006,0))&gt;=100000), " ",IF(INDEX($AD$2:$AU$1001,MATCH(ROWS($W$2:W182),$W$2:$W$1001,0),MATCH(COLUMNS($AD$1006:AL1006),$AD$1006:$AU$1006,0)), HYPERLINK("#",""), HYPERLINK(CONCATENATE("#metadata!", ADDRESS(INDEX($Y$2:$Y$1001,MATCH(ROWS($W$2:W182),$W$2:$W$1001,0),0), INDEX($AD$1004:$AU$1004,1,MATCH(COLUMNS($AD$1006:AL1006),$AD$1006:$AU$1006,0)))),"Fix")))</f>
        <v xml:space="preserve"> </v>
      </c>
      <c r="K182" s="4" t="str">
        <f ca="1">IF(OR(INDEX($X$2:$X$1001,MATCH(ROWS($W$2:W182),$W$2:$W$1001,0),1)&gt;=100000,INDEX($AD$1005:$AU$1005,1,MATCH(COLUMNS($AD$1006:AM1006),$AD$1006:$AU$1006,0))&gt;=100000), " ",IF(INDEX($AD$2:$AU$1001,MATCH(ROWS($W$2:W182),$W$2:$W$1001,0),MATCH(COLUMNS($AD$1006:AM1006),$AD$1006:$AU$1006,0)), HYPERLINK("#",""), HYPERLINK(CONCATENATE("#metadata!", ADDRESS(INDEX($Y$2:$Y$1001,MATCH(ROWS($W$2:W182),$W$2:$W$1001,0),0), INDEX($AD$1004:$AU$1004,1,MATCH(COLUMNS($AD$1006:AM1006),$AD$1006:$AU$1006,0)))),"Fix")))</f>
        <v xml:space="preserve"> </v>
      </c>
      <c r="L182" s="4" t="str">
        <f ca="1">IF(OR(INDEX($X$2:$X$1001,MATCH(ROWS($W$2:W182),$W$2:$W$1001,0),1)&gt;=100000,INDEX($AD$1005:$AU$1005,1,MATCH(COLUMNS($AD$1006:AN1006),$AD$1006:$AU$1006,0))&gt;=100000), " ",IF(INDEX($AD$2:$AU$1001,MATCH(ROWS($W$2:W182),$W$2:$W$1001,0),MATCH(COLUMNS($AD$1006:AN1006),$AD$1006:$AU$1006,0)), HYPERLINK("#",""), HYPERLINK(CONCATENATE("#metadata!", ADDRESS(INDEX($Y$2:$Y$1001,MATCH(ROWS($W$2:W182),$W$2:$W$1001,0),0), INDEX($AD$1004:$AU$1004,1,MATCH(COLUMNS($AD$1006:AN1006),$AD$1006:$AU$1006,0)))),"Fix")))</f>
        <v xml:space="preserve"> </v>
      </c>
      <c r="M182" s="4" t="str">
        <f ca="1">IF(OR(INDEX($X$2:$X$1001,MATCH(ROWS($W$2:W182),$W$2:$W$1001,0),1)&gt;=100000,INDEX($AD$1005:$AU$1005,1,MATCH(COLUMNS($AD$1006:AO1006),$AD$1006:$AU$1006,0))&gt;=100000), " ",IF(INDEX($AD$2:$AU$1001,MATCH(ROWS($W$2:W182),$W$2:$W$1001,0),MATCH(COLUMNS($AD$1006:AO1006),$AD$1006:$AU$1006,0)), HYPERLINK("#",""), HYPERLINK(CONCATENATE("#metadata!", ADDRESS(INDEX($Y$2:$Y$1001,MATCH(ROWS($W$2:W182),$W$2:$W$1001,0),0), INDEX($AD$1004:$AU$1004,1,MATCH(COLUMNS($AD$1006:AO1006),$AD$1006:$AU$1006,0)))),"Fix")))</f>
        <v xml:space="preserve"> </v>
      </c>
      <c r="N182" s="4" t="str">
        <f ca="1">IF(OR(INDEX($X$2:$X$1001,MATCH(ROWS($W$2:W182),$W$2:$W$1001,0),1)&gt;=100000,INDEX($AD$1005:$AU$1005,1,MATCH(COLUMNS($AD$1006:AP1006),$AD$1006:$AU$1006,0))&gt;=100000), " ",IF(INDEX($AD$2:$AU$1001,MATCH(ROWS($W$2:W182),$W$2:$W$1001,0),MATCH(COLUMNS($AD$1006:AP1006),$AD$1006:$AU$1006,0)), HYPERLINK("#",""), HYPERLINK(CONCATENATE("#metadata!", ADDRESS(INDEX($Y$2:$Y$1001,MATCH(ROWS($W$2:W182),$W$2:$W$1001,0),0), INDEX($AD$1004:$AU$1004,1,MATCH(COLUMNS($AD$1006:AP1006),$AD$1006:$AU$1006,0)))),"Fix")))</f>
        <v xml:space="preserve"> </v>
      </c>
      <c r="O182" s="4" t="str">
        <f ca="1">IF(OR(INDEX($X$2:$X$1001,MATCH(ROWS($W$2:W182),$W$2:$W$1001,0),1)&gt;=100000,INDEX($AD$1005:$AU$1005,1,MATCH(COLUMNS($AD$1006:AQ1006),$AD$1006:$AU$1006,0))&gt;=100000), " ",IF(INDEX($AD$2:$AU$1001,MATCH(ROWS($W$2:W182),$W$2:$W$1001,0),MATCH(COLUMNS($AD$1006:AQ1006),$AD$1006:$AU$1006,0)), HYPERLINK("#",""), HYPERLINK(CONCATENATE("#metadata!", ADDRESS(INDEX($Y$2:$Y$1001,MATCH(ROWS($W$2:W182),$W$2:$W$1001,0),0), INDEX($AD$1004:$AU$1004,1,MATCH(COLUMNS($AD$1006:AQ1006),$AD$1006:$AU$1006,0)))),"Fix")))</f>
        <v xml:space="preserve"> </v>
      </c>
      <c r="P182" s="4" t="str">
        <f ca="1">IF(OR(INDEX($X$2:$X$1001,MATCH(ROWS($W$2:W182),$W$2:$W$1001,0),1)&gt;=100000,INDEX($AD$1005:$AU$1005,1,MATCH(COLUMNS($AD$1006:AR1006),$AD$1006:$AU$1006,0))&gt;=100000), " ",IF(INDEX($AD$2:$AU$1001,MATCH(ROWS($W$2:W182),$W$2:$W$1001,0),MATCH(COLUMNS($AD$1006:AR1006),$AD$1006:$AU$1006,0)), HYPERLINK("#",""), HYPERLINK(CONCATENATE("#metadata!", ADDRESS(INDEX($Y$2:$Y$1001,MATCH(ROWS($W$2:W182),$W$2:$W$1001,0),0), INDEX($AD$1004:$AU$1004,1,MATCH(COLUMNS($AD$1006:AR1006),$AD$1006:$AU$1006,0)))),"Fix")))</f>
        <v xml:space="preserve"> </v>
      </c>
      <c r="Q182" s="4" t="str">
        <f ca="1">IF(OR(INDEX($X$2:$X$1001,MATCH(ROWS($W$2:W182),$W$2:$W$1001,0),1)&gt;=100000,INDEX($AD$1005:$AU$1005,1,MATCH(COLUMNS($AD$1006:AS1006),$AD$1006:$AU$1006,0))&gt;=100000), " ",IF(INDEX($AD$2:$AU$1001,MATCH(ROWS($W$2:W182),$W$2:$W$1001,0),MATCH(COLUMNS($AD$1006:AS1006),$AD$1006:$AU$1006,0)), HYPERLINK("#",""), HYPERLINK(CONCATENATE("#metadata!", ADDRESS(INDEX($Y$2:$Y$1001,MATCH(ROWS($W$2:W182),$W$2:$W$1001,0),0), INDEX($AD$1004:$AU$1004,1,MATCH(COLUMNS($AD$1006:AS1006),$AD$1006:$AU$1006,0)))),"Fix")))</f>
        <v xml:space="preserve"> </v>
      </c>
      <c r="R182" s="4" t="str">
        <f ca="1">IF(OR(INDEX($X$2:$X$1001,MATCH(ROWS($W$2:W182),$W$2:$W$1001,0),1)&gt;=100000,INDEX($AD$1005:$AU$1005,1,MATCH(COLUMNS($AD$1006:AT1006),$AD$1006:$AU$1006,0))&gt;=100000), " ",IF(INDEX($AD$2:$AU$1001,MATCH(ROWS($W$2:W182),$W$2:$W$1001,0),MATCH(COLUMNS($AD$1006:AT1006),$AD$1006:$AU$1006,0)), HYPERLINK("#",""), HYPERLINK(CONCATENATE("#metadata!", ADDRESS(INDEX($Y$2:$Y$1001,MATCH(ROWS($W$2:W182),$W$2:$W$1001,0),0), INDEX($AD$1004:$AU$1004,1,MATCH(COLUMNS($AD$1006:AT1006),$AD$1006:$AU$1006,0)))),"Fix")))</f>
        <v xml:space="preserve"> </v>
      </c>
      <c r="S182" s="4" t="str">
        <f ca="1">IF(OR(INDEX($X$2:$X$1001,MATCH(ROWS($W$2:W182),$W$2:$W$1001,0),1)&gt;=100000,INDEX($AD$1005:$AU$1005,1,MATCH(COLUMNS($AD$1006:AU1006),$AD$1006:$AU$1006,0))&gt;=100000), " ",IF(INDEX($AD$2:$AU$1001,MATCH(ROWS($W$2:W182),$W$2:$W$1001,0),MATCH(COLUMNS($AD$1006:AU1006),$AD$1006:$AU$1006,0)), HYPERLINK("#",""), HYPERLINK(CONCATENATE("#metadata!", ADDRESS(INDEX($Y$2:$Y$1001,MATCH(ROWS($W$2:W182),$W$2:$W$1001,0),0), INDEX($AD$1004:$AU$1004,1,MATCH(COLUMNS($AD$1006:AU1006),$AD$1006:$AU$1006,0)))),"Fix")))</f>
        <v xml:space="preserve"> </v>
      </c>
      <c r="W182">
        <v>181</v>
      </c>
      <c r="X182">
        <v>100182</v>
      </c>
      <c r="Y182">
        <v>182</v>
      </c>
      <c r="Z182" t="b">
        <f t="shared" si="2"/>
        <v>1</v>
      </c>
      <c r="AA182" t="b">
        <f>COUNTBLANK(metadata!B182:S182)=COLUMNS(metadata!B182:S182)</f>
        <v>1</v>
      </c>
      <c r="AB182" t="str">
        <v/>
      </c>
      <c r="AD182" t="b">
        <f ca="1">AND(IF(metadata!B182="",FALSE,TRUE),COUNTIF(metadata!B:B, metadata!B182) = 1,NOT(ISERROR(SUMPRODUCT(SEARCH(MID(metadata!B182,ROW(INDIRECT("1:"&amp;LEN(metadata!B182))), 1),"0123456789abcdefghijklmnopqrstuvwxyzABCDEFGHIJKLMNOPQRSTUVWXYZ.")))))</f>
        <v>0</v>
      </c>
      <c r="AE182" t="b">
        <f>OR(AND(IF(metadata!C182="",FALSE,TRUE),OR(EXACT(metadata!C182,"not applicable"),EXACT(metadata!C182,"missing: not collected"),EXACT(metadata!C182,"missing: not provided"),EXACT(metadata!C182,"missing: restricted access"))),AND(IF(metadata!C182="",FALSE,ISNUMBER(VALUE(metadata!C182))),metadata!C182&gt;0))</f>
        <v>0</v>
      </c>
      <c r="AF182" t="b">
        <f>AND(IF(metadata!D182="",FALSE,TRUE),EXACT(metadata!D182,"missing: not provided"))</f>
        <v>0</v>
      </c>
      <c r="AG182" t="b">
        <f>AND(IF(metadata!E182="",FALSE,TRUE),EXACT(metadata!E182,"Host-associated"))</f>
        <v>0</v>
      </c>
      <c r="AH182" t="b">
        <f>AND(IF(metadata!F182="",FALSE,TRUE),OR(EXACT(metadata!F182,"Animal"),EXACT(metadata!F182,"Fungus"),EXACT(metadata!F182,"Plant")))</f>
        <v>0</v>
      </c>
      <c r="AI182" t="b">
        <f>AND(IF(metadata!G182="",FALSE,TRUE),OR(EXACT(metadata!G182,"Plant secretion"),EXACT(metadata!G182,"Plant rhizosphere"),EXACT(metadata!G182,"Plant surface"),EXACT(metadata!G182,"Plant corpus"),EXACT(metadata!G182,"Fungus surface"),EXACT(metadata!G182,"Fungus corpus"),EXACT(metadata!G182,"Animal surface"),EXACT(metadata!G182,"Animal proximal gut"),EXACT(metadata!G182,"Animal corpus"),EXACT(metadata!G182,"Animal distal gut"),EXACT(metadata!G182,"Animal secretion")))</f>
        <v>0</v>
      </c>
      <c r="AJ182" t="b">
        <f>OR(AND(IF(metadata!H182="",FALSE,TRUE),OR(EXACT(metadata!H182,"missing: not collected"),EXACT(metadata!H182,"missing: not provided"),EXACT(metadata!H182,"missing: restricted access"))),AND(IF(metadata!H182="",FALSE,TRUE),OR(EXACT(metadata!H182,"organism-associated habitat"),EXACT(metadata!H182,"plant-associated habitat"),EXACT(metadata!H182,"animal-associated habitat"),EXACT(metadata!H182,"insecta-associated habitat"),EXACT(metadata!H182,"mammalia-associated habitat"),EXACT(metadata!H182,"human-associated habitat"),EXACT(metadata!H182,"livestock-associated habitat"))))</f>
        <v>0</v>
      </c>
      <c r="AK182" t="b">
        <f>AND(IF(metadata!I182="",FALSE,TRUE),EXACT(metadata!I182,"host-associated"))</f>
        <v>0</v>
      </c>
      <c r="AL182" t="b">
        <f>OR(AND(IF(metadata!J182="",FALSE,TRUE),OR(EXACT(metadata!J182,"not applicable"),EXACT(metadata!J182,"missing: not collected"),EXACT(metadata!J182,"missing: not provided"),EXACT(metadata!J182,"missing: restricted access"))),AND(IF(metadata!J182="",FALSE,ISNUMBER(VALUE(metadata!J182))),metadata!J182&gt;0))</f>
        <v>0</v>
      </c>
      <c r="AM182" t="b">
        <f>AND(IF(metadata!K182="",FALSE,TRUE),EXACT(metadata!K182,"missing: not provided"))</f>
        <v>0</v>
      </c>
      <c r="AN182" t="b">
        <f>IF(metadata!L182="",FALSE,TRUE)</f>
        <v>0</v>
      </c>
      <c r="AO182" t="b">
        <f>IF(metadata!M182="",FALSE,TRUE)</f>
        <v>0</v>
      </c>
      <c r="AP182" t="b">
        <f>OR(AND(IF(metadata!N182="",FALSE,TRUE),OR(EXACT(metadata!N182,"not applicable"),EXACT(metadata!N182,"missing: not collected"),EXACT(metadata!N182,"missing: not provided"))),AND(IF(metadata!N182="",FALSE,IF(ISERROR(INT(metadata!N182)),FALSE,INT(metadata!N182)=metadata!N182)),metadata!N182&gt;0))</f>
        <v>0</v>
      </c>
      <c r="AQ182" t="b">
        <f>AND(IF(metadata!O182="",FALSE,TRUE),EXACT(metadata!O182,"Not applicable"))</f>
        <v>0</v>
      </c>
      <c r="AR182" t="b">
        <f>OR(AND(IF(metadata!P182="",FALSE,TRUE),OR(EXACT(metadata!P182,"not applicable"),EXACT(metadata!P182,"missing: not collected"),EXACT(metadata!P182,"missing: not provided"),EXACT(metadata!P182,"missing: restricted access"))),IF(metadata!P182="",FALSE,IF(ISERROR(INT(metadata!P182)),FALSE,INT(metadata!P182)=metadata!P182)))</f>
        <v>0</v>
      </c>
      <c r="AS182" t="b">
        <f>AND(IF(metadata!Q182="",FALSE,TRUE),EXACT(metadata!Q182,"Not applicable"))</f>
        <v>0</v>
      </c>
      <c r="AT182" t="b">
        <f>OR(AND(IF(metadata!R182="",FALSE,TRUE),OR(EXACT(metadata!R182,"not applicable"),EXACT(metadata!R182,"missing: not collected"),EXACT(metadata!R182,"missing: not provided"),EXACT(metadata!R182,"missing: restricted access"))),AND(IF(metadata!R182="",FALSE,ISNUMBER(VALUE(metadata!R182))),metadata!R182&gt;0))</f>
        <v>0</v>
      </c>
      <c r="AU182" t="b">
        <f>AND(IF(metadata!S182="",FALSE,TRUE),EXACT(metadata!S182,"missing: not provided"))</f>
        <v>0</v>
      </c>
    </row>
    <row r="183" spans="1:47" x14ac:dyDescent="0.2">
      <c r="A183" s="5" t="str">
        <f ca="1">IF(B183=" "," ",HYPERLINK(CONCATENATE("#metadata!",ADDRESS(INDEX($Y$2:$Y$1001,MATCH(ROWS($W$2:W183),$W$2:$W$1001,0),0),1)),INDEX($AB$2:$AB$1001,MATCH(ROWS($W$2:W183),$W$2:$W$1001,0),0)))</f>
        <v xml:space="preserve"> </v>
      </c>
      <c r="B183" s="4" t="str">
        <f ca="1">IF(OR(INDEX($X$2:$X$1001,MATCH(ROWS($W$2:W183),$W$2:$W$1001,0),1)&gt;=100000,INDEX($AD$1005:$AU$1005,1,MATCH(COLUMNS($AD$1006:AD1006),$AD$1006:$AU$1006,0))&gt;=100000), " ",IF(INDEX($AD$2:$AU$1001,MATCH(ROWS($W$2:W183),$W$2:$W$1001,0),MATCH(COLUMNS($AD$1006:AD1006),$AD$1006:$AU$1006,0)), HYPERLINK("#",""), HYPERLINK(CONCATENATE("#metadata!", ADDRESS(INDEX($Y$2:$Y$1001,MATCH(ROWS($W$2:W183),$W$2:$W$1001,0),0), INDEX($AD$1004:$AU$1004,1,MATCH(COLUMNS($AD$1006:AD1006),$AD$1006:$AU$1006,0)))),"Fix")))</f>
        <v xml:space="preserve"> </v>
      </c>
      <c r="C183" s="4" t="str">
        <f ca="1">IF(OR(INDEX($X$2:$X$1001,MATCH(ROWS($W$2:W183),$W$2:$W$1001,0),1)&gt;=100000,INDEX($AD$1005:$AU$1005,1,MATCH(COLUMNS($AD$1006:AE1006),$AD$1006:$AU$1006,0))&gt;=100000), " ",IF(INDEX($AD$2:$AU$1001,MATCH(ROWS($W$2:W183),$W$2:$W$1001,0),MATCH(COLUMNS($AD$1006:AE1006),$AD$1006:$AU$1006,0)), HYPERLINK("#",""), HYPERLINK(CONCATENATE("#metadata!", ADDRESS(INDEX($Y$2:$Y$1001,MATCH(ROWS($W$2:W183),$W$2:$W$1001,0),0), INDEX($AD$1004:$AU$1004,1,MATCH(COLUMNS($AD$1006:AE1006),$AD$1006:$AU$1006,0)))),"Fix")))</f>
        <v xml:space="preserve"> </v>
      </c>
      <c r="D183" s="4" t="str">
        <f ca="1">IF(OR(INDEX($X$2:$X$1001,MATCH(ROWS($W$2:W183),$W$2:$W$1001,0),1)&gt;=100000,INDEX($AD$1005:$AU$1005,1,MATCH(COLUMNS($AD$1006:AF1006),$AD$1006:$AU$1006,0))&gt;=100000), " ",IF(INDEX($AD$2:$AU$1001,MATCH(ROWS($W$2:W183),$W$2:$W$1001,0),MATCH(COLUMNS($AD$1006:AF1006),$AD$1006:$AU$1006,0)), HYPERLINK("#",""), HYPERLINK(CONCATENATE("#metadata!", ADDRESS(INDEX($Y$2:$Y$1001,MATCH(ROWS($W$2:W183),$W$2:$W$1001,0),0), INDEX($AD$1004:$AU$1004,1,MATCH(COLUMNS($AD$1006:AF1006),$AD$1006:$AU$1006,0)))),"Fix")))</f>
        <v xml:space="preserve"> </v>
      </c>
      <c r="E183" s="4" t="str">
        <f ca="1">IF(OR(INDEX($X$2:$X$1001,MATCH(ROWS($W$2:W183),$W$2:$W$1001,0),1)&gt;=100000,INDEX($AD$1005:$AU$1005,1,MATCH(COLUMNS($AD$1006:AG1006),$AD$1006:$AU$1006,0))&gt;=100000), " ",IF(INDEX($AD$2:$AU$1001,MATCH(ROWS($W$2:W183),$W$2:$W$1001,0),MATCH(COLUMNS($AD$1006:AG1006),$AD$1006:$AU$1006,0)), HYPERLINK("#",""), HYPERLINK(CONCATENATE("#metadata!", ADDRESS(INDEX($Y$2:$Y$1001,MATCH(ROWS($W$2:W183),$W$2:$W$1001,0),0), INDEX($AD$1004:$AU$1004,1,MATCH(COLUMNS($AD$1006:AG1006),$AD$1006:$AU$1006,0)))),"Fix")))</f>
        <v xml:space="preserve"> </v>
      </c>
      <c r="F183" s="4" t="str">
        <f ca="1">IF(OR(INDEX($X$2:$X$1001,MATCH(ROWS($W$2:W183),$W$2:$W$1001,0),1)&gt;=100000,INDEX($AD$1005:$AU$1005,1,MATCH(COLUMNS($AD$1006:AH1006),$AD$1006:$AU$1006,0))&gt;=100000), " ",IF(INDEX($AD$2:$AU$1001,MATCH(ROWS($W$2:W183),$W$2:$W$1001,0),MATCH(COLUMNS($AD$1006:AH1006),$AD$1006:$AU$1006,0)), HYPERLINK("#",""), HYPERLINK(CONCATENATE("#metadata!", ADDRESS(INDEX($Y$2:$Y$1001,MATCH(ROWS($W$2:W183),$W$2:$W$1001,0),0), INDEX($AD$1004:$AU$1004,1,MATCH(COLUMNS($AD$1006:AH1006),$AD$1006:$AU$1006,0)))),"Fix")))</f>
        <v xml:space="preserve"> </v>
      </c>
      <c r="G183" s="4" t="str">
        <f ca="1">IF(OR(INDEX($X$2:$X$1001,MATCH(ROWS($W$2:W183),$W$2:$W$1001,0),1)&gt;=100000,INDEX($AD$1005:$AU$1005,1,MATCH(COLUMNS($AD$1006:AI1006),$AD$1006:$AU$1006,0))&gt;=100000), " ",IF(INDEX($AD$2:$AU$1001,MATCH(ROWS($W$2:W183),$W$2:$W$1001,0),MATCH(COLUMNS($AD$1006:AI1006),$AD$1006:$AU$1006,0)), HYPERLINK("#",""), HYPERLINK(CONCATENATE("#metadata!", ADDRESS(INDEX($Y$2:$Y$1001,MATCH(ROWS($W$2:W183),$W$2:$W$1001,0),0), INDEX($AD$1004:$AU$1004,1,MATCH(COLUMNS($AD$1006:AI1006),$AD$1006:$AU$1006,0)))),"Fix")))</f>
        <v xml:space="preserve"> </v>
      </c>
      <c r="H183" s="4" t="str">
        <f ca="1">IF(OR(INDEX($X$2:$X$1001,MATCH(ROWS($W$2:W183),$W$2:$W$1001,0),1)&gt;=100000,INDEX($AD$1005:$AU$1005,1,MATCH(COLUMNS($AD$1006:AJ1006),$AD$1006:$AU$1006,0))&gt;=100000), " ",IF(INDEX($AD$2:$AU$1001,MATCH(ROWS($W$2:W183),$W$2:$W$1001,0),MATCH(COLUMNS($AD$1006:AJ1006),$AD$1006:$AU$1006,0)), HYPERLINK("#",""), HYPERLINK(CONCATENATE("#metadata!", ADDRESS(INDEX($Y$2:$Y$1001,MATCH(ROWS($W$2:W183),$W$2:$W$1001,0),0), INDEX($AD$1004:$AU$1004,1,MATCH(COLUMNS($AD$1006:AJ1006),$AD$1006:$AU$1006,0)))),"Fix")))</f>
        <v xml:space="preserve"> </v>
      </c>
      <c r="I183" s="4" t="str">
        <f ca="1">IF(OR(INDEX($X$2:$X$1001,MATCH(ROWS($W$2:W183),$W$2:$W$1001,0),1)&gt;=100000,INDEX($AD$1005:$AU$1005,1,MATCH(COLUMNS($AD$1006:AK1006),$AD$1006:$AU$1006,0))&gt;=100000), " ",IF(INDEX($AD$2:$AU$1001,MATCH(ROWS($W$2:W183),$W$2:$W$1001,0),MATCH(COLUMNS($AD$1006:AK1006),$AD$1006:$AU$1006,0)), HYPERLINK("#",""), HYPERLINK(CONCATENATE("#metadata!", ADDRESS(INDEX($Y$2:$Y$1001,MATCH(ROWS($W$2:W183),$W$2:$W$1001,0),0), INDEX($AD$1004:$AU$1004,1,MATCH(COLUMNS($AD$1006:AK1006),$AD$1006:$AU$1006,0)))),"Fix")))</f>
        <v xml:space="preserve"> </v>
      </c>
      <c r="J183" s="4" t="str">
        <f ca="1">IF(OR(INDEX($X$2:$X$1001,MATCH(ROWS($W$2:W183),$W$2:$W$1001,0),1)&gt;=100000,INDEX($AD$1005:$AU$1005,1,MATCH(COLUMNS($AD$1006:AL1006),$AD$1006:$AU$1006,0))&gt;=100000), " ",IF(INDEX($AD$2:$AU$1001,MATCH(ROWS($W$2:W183),$W$2:$W$1001,0),MATCH(COLUMNS($AD$1006:AL1006),$AD$1006:$AU$1006,0)), HYPERLINK("#",""), HYPERLINK(CONCATENATE("#metadata!", ADDRESS(INDEX($Y$2:$Y$1001,MATCH(ROWS($W$2:W183),$W$2:$W$1001,0),0), INDEX($AD$1004:$AU$1004,1,MATCH(COLUMNS($AD$1006:AL1006),$AD$1006:$AU$1006,0)))),"Fix")))</f>
        <v xml:space="preserve"> </v>
      </c>
      <c r="K183" s="4" t="str">
        <f ca="1">IF(OR(INDEX($X$2:$X$1001,MATCH(ROWS($W$2:W183),$W$2:$W$1001,0),1)&gt;=100000,INDEX($AD$1005:$AU$1005,1,MATCH(COLUMNS($AD$1006:AM1006),$AD$1006:$AU$1006,0))&gt;=100000), " ",IF(INDEX($AD$2:$AU$1001,MATCH(ROWS($W$2:W183),$W$2:$W$1001,0),MATCH(COLUMNS($AD$1006:AM1006),$AD$1006:$AU$1006,0)), HYPERLINK("#",""), HYPERLINK(CONCATENATE("#metadata!", ADDRESS(INDEX($Y$2:$Y$1001,MATCH(ROWS($W$2:W183),$W$2:$W$1001,0),0), INDEX($AD$1004:$AU$1004,1,MATCH(COLUMNS($AD$1006:AM1006),$AD$1006:$AU$1006,0)))),"Fix")))</f>
        <v xml:space="preserve"> </v>
      </c>
      <c r="L183" s="4" t="str">
        <f ca="1">IF(OR(INDEX($X$2:$X$1001,MATCH(ROWS($W$2:W183),$W$2:$W$1001,0),1)&gt;=100000,INDEX($AD$1005:$AU$1005,1,MATCH(COLUMNS($AD$1006:AN1006),$AD$1006:$AU$1006,0))&gt;=100000), " ",IF(INDEX($AD$2:$AU$1001,MATCH(ROWS($W$2:W183),$W$2:$W$1001,0),MATCH(COLUMNS($AD$1006:AN1006),$AD$1006:$AU$1006,0)), HYPERLINK("#",""), HYPERLINK(CONCATENATE("#metadata!", ADDRESS(INDEX($Y$2:$Y$1001,MATCH(ROWS($W$2:W183),$W$2:$W$1001,0),0), INDEX($AD$1004:$AU$1004,1,MATCH(COLUMNS($AD$1006:AN1006),$AD$1006:$AU$1006,0)))),"Fix")))</f>
        <v xml:space="preserve"> </v>
      </c>
      <c r="M183" s="4" t="str">
        <f ca="1">IF(OR(INDEX($X$2:$X$1001,MATCH(ROWS($W$2:W183),$W$2:$W$1001,0),1)&gt;=100000,INDEX($AD$1005:$AU$1005,1,MATCH(COLUMNS($AD$1006:AO1006),$AD$1006:$AU$1006,0))&gt;=100000), " ",IF(INDEX($AD$2:$AU$1001,MATCH(ROWS($W$2:W183),$W$2:$W$1001,0),MATCH(COLUMNS($AD$1006:AO1006),$AD$1006:$AU$1006,0)), HYPERLINK("#",""), HYPERLINK(CONCATENATE("#metadata!", ADDRESS(INDEX($Y$2:$Y$1001,MATCH(ROWS($W$2:W183),$W$2:$W$1001,0),0), INDEX($AD$1004:$AU$1004,1,MATCH(COLUMNS($AD$1006:AO1006),$AD$1006:$AU$1006,0)))),"Fix")))</f>
        <v xml:space="preserve"> </v>
      </c>
      <c r="N183" s="4" t="str">
        <f ca="1">IF(OR(INDEX($X$2:$X$1001,MATCH(ROWS($W$2:W183),$W$2:$W$1001,0),1)&gt;=100000,INDEX($AD$1005:$AU$1005,1,MATCH(COLUMNS($AD$1006:AP1006),$AD$1006:$AU$1006,0))&gt;=100000), " ",IF(INDEX($AD$2:$AU$1001,MATCH(ROWS($W$2:W183),$W$2:$W$1001,0),MATCH(COLUMNS($AD$1006:AP1006),$AD$1006:$AU$1006,0)), HYPERLINK("#",""), HYPERLINK(CONCATENATE("#metadata!", ADDRESS(INDEX($Y$2:$Y$1001,MATCH(ROWS($W$2:W183),$W$2:$W$1001,0),0), INDEX($AD$1004:$AU$1004,1,MATCH(COLUMNS($AD$1006:AP1006),$AD$1006:$AU$1006,0)))),"Fix")))</f>
        <v xml:space="preserve"> </v>
      </c>
      <c r="O183" s="4" t="str">
        <f ca="1">IF(OR(INDEX($X$2:$X$1001,MATCH(ROWS($W$2:W183),$W$2:$W$1001,0),1)&gt;=100000,INDEX($AD$1005:$AU$1005,1,MATCH(COLUMNS($AD$1006:AQ1006),$AD$1006:$AU$1006,0))&gt;=100000), " ",IF(INDEX($AD$2:$AU$1001,MATCH(ROWS($W$2:W183),$W$2:$W$1001,0),MATCH(COLUMNS($AD$1006:AQ1006),$AD$1006:$AU$1006,0)), HYPERLINK("#",""), HYPERLINK(CONCATENATE("#metadata!", ADDRESS(INDEX($Y$2:$Y$1001,MATCH(ROWS($W$2:W183),$W$2:$W$1001,0),0), INDEX($AD$1004:$AU$1004,1,MATCH(COLUMNS($AD$1006:AQ1006),$AD$1006:$AU$1006,0)))),"Fix")))</f>
        <v xml:space="preserve"> </v>
      </c>
      <c r="P183" s="4" t="str">
        <f ca="1">IF(OR(INDEX($X$2:$X$1001,MATCH(ROWS($W$2:W183),$W$2:$W$1001,0),1)&gt;=100000,INDEX($AD$1005:$AU$1005,1,MATCH(COLUMNS($AD$1006:AR1006),$AD$1006:$AU$1006,0))&gt;=100000), " ",IF(INDEX($AD$2:$AU$1001,MATCH(ROWS($W$2:W183),$W$2:$W$1001,0),MATCH(COLUMNS($AD$1006:AR1006),$AD$1006:$AU$1006,0)), HYPERLINK("#",""), HYPERLINK(CONCATENATE("#metadata!", ADDRESS(INDEX($Y$2:$Y$1001,MATCH(ROWS($W$2:W183),$W$2:$W$1001,0),0), INDEX($AD$1004:$AU$1004,1,MATCH(COLUMNS($AD$1006:AR1006),$AD$1006:$AU$1006,0)))),"Fix")))</f>
        <v xml:space="preserve"> </v>
      </c>
      <c r="Q183" s="4" t="str">
        <f ca="1">IF(OR(INDEX($X$2:$X$1001,MATCH(ROWS($W$2:W183),$W$2:$W$1001,0),1)&gt;=100000,INDEX($AD$1005:$AU$1005,1,MATCH(COLUMNS($AD$1006:AS1006),$AD$1006:$AU$1006,0))&gt;=100000), " ",IF(INDEX($AD$2:$AU$1001,MATCH(ROWS($W$2:W183),$W$2:$W$1001,0),MATCH(COLUMNS($AD$1006:AS1006),$AD$1006:$AU$1006,0)), HYPERLINK("#",""), HYPERLINK(CONCATENATE("#metadata!", ADDRESS(INDEX($Y$2:$Y$1001,MATCH(ROWS($W$2:W183),$W$2:$W$1001,0),0), INDEX($AD$1004:$AU$1004,1,MATCH(COLUMNS($AD$1006:AS1006),$AD$1006:$AU$1006,0)))),"Fix")))</f>
        <v xml:space="preserve"> </v>
      </c>
      <c r="R183" s="4" t="str">
        <f ca="1">IF(OR(INDEX($X$2:$X$1001,MATCH(ROWS($W$2:W183),$W$2:$W$1001,0),1)&gt;=100000,INDEX($AD$1005:$AU$1005,1,MATCH(COLUMNS($AD$1006:AT1006),$AD$1006:$AU$1006,0))&gt;=100000), " ",IF(INDEX($AD$2:$AU$1001,MATCH(ROWS($W$2:W183),$W$2:$W$1001,0),MATCH(COLUMNS($AD$1006:AT1006),$AD$1006:$AU$1006,0)), HYPERLINK("#",""), HYPERLINK(CONCATENATE("#metadata!", ADDRESS(INDEX($Y$2:$Y$1001,MATCH(ROWS($W$2:W183),$W$2:$W$1001,0),0), INDEX($AD$1004:$AU$1004,1,MATCH(COLUMNS($AD$1006:AT1006),$AD$1006:$AU$1006,0)))),"Fix")))</f>
        <v xml:space="preserve"> </v>
      </c>
      <c r="S183" s="4" t="str">
        <f ca="1">IF(OR(INDEX($X$2:$X$1001,MATCH(ROWS($W$2:W183),$W$2:$W$1001,0),1)&gt;=100000,INDEX($AD$1005:$AU$1005,1,MATCH(COLUMNS($AD$1006:AU1006),$AD$1006:$AU$1006,0))&gt;=100000), " ",IF(INDEX($AD$2:$AU$1001,MATCH(ROWS($W$2:W183),$W$2:$W$1001,0),MATCH(COLUMNS($AD$1006:AU1006),$AD$1006:$AU$1006,0)), HYPERLINK("#",""), HYPERLINK(CONCATENATE("#metadata!", ADDRESS(INDEX($Y$2:$Y$1001,MATCH(ROWS($W$2:W183),$W$2:$W$1001,0),0), INDEX($AD$1004:$AU$1004,1,MATCH(COLUMNS($AD$1006:AU1006),$AD$1006:$AU$1006,0)))),"Fix")))</f>
        <v xml:space="preserve"> </v>
      </c>
      <c r="W183">
        <v>182</v>
      </c>
      <c r="X183">
        <v>100183</v>
      </c>
      <c r="Y183">
        <v>183</v>
      </c>
      <c r="Z183" t="b">
        <f t="shared" si="2"/>
        <v>1</v>
      </c>
      <c r="AA183" t="b">
        <f>COUNTBLANK(metadata!B183:S183)=COLUMNS(metadata!B183:S183)</f>
        <v>1</v>
      </c>
      <c r="AB183" t="str">
        <v/>
      </c>
      <c r="AD183" t="b">
        <f ca="1">AND(IF(metadata!B183="",FALSE,TRUE),COUNTIF(metadata!B:B, metadata!B183) = 1,NOT(ISERROR(SUMPRODUCT(SEARCH(MID(metadata!B183,ROW(INDIRECT("1:"&amp;LEN(metadata!B183))), 1),"0123456789abcdefghijklmnopqrstuvwxyzABCDEFGHIJKLMNOPQRSTUVWXYZ.")))))</f>
        <v>0</v>
      </c>
      <c r="AE183" t="b">
        <f>OR(AND(IF(metadata!C183="",FALSE,TRUE),OR(EXACT(metadata!C183,"not applicable"),EXACT(metadata!C183,"missing: not collected"),EXACT(metadata!C183,"missing: not provided"),EXACT(metadata!C183,"missing: restricted access"))),AND(IF(metadata!C183="",FALSE,ISNUMBER(VALUE(metadata!C183))),metadata!C183&gt;0))</f>
        <v>0</v>
      </c>
      <c r="AF183" t="b">
        <f>AND(IF(metadata!D183="",FALSE,TRUE),EXACT(metadata!D183,"missing: not provided"))</f>
        <v>0</v>
      </c>
      <c r="AG183" t="b">
        <f>AND(IF(metadata!E183="",FALSE,TRUE),EXACT(metadata!E183,"Host-associated"))</f>
        <v>0</v>
      </c>
      <c r="AH183" t="b">
        <f>AND(IF(metadata!F183="",FALSE,TRUE),OR(EXACT(metadata!F183,"Animal"),EXACT(metadata!F183,"Fungus"),EXACT(metadata!F183,"Plant")))</f>
        <v>0</v>
      </c>
      <c r="AI183" t="b">
        <f>AND(IF(metadata!G183="",FALSE,TRUE),OR(EXACT(metadata!G183,"Plant secretion"),EXACT(metadata!G183,"Plant rhizosphere"),EXACT(metadata!G183,"Plant surface"),EXACT(metadata!G183,"Plant corpus"),EXACT(metadata!G183,"Fungus surface"),EXACT(metadata!G183,"Fungus corpus"),EXACT(metadata!G183,"Animal surface"),EXACT(metadata!G183,"Animal proximal gut"),EXACT(metadata!G183,"Animal corpus"),EXACT(metadata!G183,"Animal distal gut"),EXACT(metadata!G183,"Animal secretion")))</f>
        <v>0</v>
      </c>
      <c r="AJ183" t="b">
        <f>OR(AND(IF(metadata!H183="",FALSE,TRUE),OR(EXACT(metadata!H183,"missing: not collected"),EXACT(metadata!H183,"missing: not provided"),EXACT(metadata!H183,"missing: restricted access"))),AND(IF(metadata!H183="",FALSE,TRUE),OR(EXACT(metadata!H183,"organism-associated habitat"),EXACT(metadata!H183,"plant-associated habitat"),EXACT(metadata!H183,"animal-associated habitat"),EXACT(metadata!H183,"insecta-associated habitat"),EXACT(metadata!H183,"mammalia-associated habitat"),EXACT(metadata!H183,"human-associated habitat"),EXACT(metadata!H183,"livestock-associated habitat"))))</f>
        <v>0</v>
      </c>
      <c r="AK183" t="b">
        <f>AND(IF(metadata!I183="",FALSE,TRUE),EXACT(metadata!I183,"host-associated"))</f>
        <v>0</v>
      </c>
      <c r="AL183" t="b">
        <f>OR(AND(IF(metadata!J183="",FALSE,TRUE),OR(EXACT(metadata!J183,"not applicable"),EXACT(metadata!J183,"missing: not collected"),EXACT(metadata!J183,"missing: not provided"),EXACT(metadata!J183,"missing: restricted access"))),AND(IF(metadata!J183="",FALSE,ISNUMBER(VALUE(metadata!J183))),metadata!J183&gt;0))</f>
        <v>0</v>
      </c>
      <c r="AM183" t="b">
        <f>AND(IF(metadata!K183="",FALSE,TRUE),EXACT(metadata!K183,"missing: not provided"))</f>
        <v>0</v>
      </c>
      <c r="AN183" t="b">
        <f>IF(metadata!L183="",FALSE,TRUE)</f>
        <v>0</v>
      </c>
      <c r="AO183" t="b">
        <f>IF(metadata!M183="",FALSE,TRUE)</f>
        <v>0</v>
      </c>
      <c r="AP183" t="b">
        <f>OR(AND(IF(metadata!N183="",FALSE,TRUE),OR(EXACT(metadata!N183,"not applicable"),EXACT(metadata!N183,"missing: not collected"),EXACT(metadata!N183,"missing: not provided"))),AND(IF(metadata!N183="",FALSE,IF(ISERROR(INT(metadata!N183)),FALSE,INT(metadata!N183)=metadata!N183)),metadata!N183&gt;0))</f>
        <v>0</v>
      </c>
      <c r="AQ183" t="b">
        <f>AND(IF(metadata!O183="",FALSE,TRUE),EXACT(metadata!O183,"Not applicable"))</f>
        <v>0</v>
      </c>
      <c r="AR183" t="b">
        <f>OR(AND(IF(metadata!P183="",FALSE,TRUE),OR(EXACT(metadata!P183,"not applicable"),EXACT(metadata!P183,"missing: not collected"),EXACT(metadata!P183,"missing: not provided"),EXACT(metadata!P183,"missing: restricted access"))),IF(metadata!P183="",FALSE,IF(ISERROR(INT(metadata!P183)),FALSE,INT(metadata!P183)=metadata!P183)))</f>
        <v>0</v>
      </c>
      <c r="AS183" t="b">
        <f>AND(IF(metadata!Q183="",FALSE,TRUE),EXACT(metadata!Q183,"Not applicable"))</f>
        <v>0</v>
      </c>
      <c r="AT183" t="b">
        <f>OR(AND(IF(metadata!R183="",FALSE,TRUE),OR(EXACT(metadata!R183,"not applicable"),EXACT(metadata!R183,"missing: not collected"),EXACT(metadata!R183,"missing: not provided"),EXACT(metadata!R183,"missing: restricted access"))),AND(IF(metadata!R183="",FALSE,ISNUMBER(VALUE(metadata!R183))),metadata!R183&gt;0))</f>
        <v>0</v>
      </c>
      <c r="AU183" t="b">
        <f>AND(IF(metadata!S183="",FALSE,TRUE),EXACT(metadata!S183,"missing: not provided"))</f>
        <v>0</v>
      </c>
    </row>
    <row r="184" spans="1:47" x14ac:dyDescent="0.2">
      <c r="A184" s="5" t="str">
        <f ca="1">IF(B184=" "," ",HYPERLINK(CONCATENATE("#metadata!",ADDRESS(INDEX($Y$2:$Y$1001,MATCH(ROWS($W$2:W184),$W$2:$W$1001,0),0),1)),INDEX($AB$2:$AB$1001,MATCH(ROWS($W$2:W184),$W$2:$W$1001,0),0)))</f>
        <v xml:space="preserve"> </v>
      </c>
      <c r="B184" s="4" t="str">
        <f ca="1">IF(OR(INDEX($X$2:$X$1001,MATCH(ROWS($W$2:W184),$W$2:$W$1001,0),1)&gt;=100000,INDEX($AD$1005:$AU$1005,1,MATCH(COLUMNS($AD$1006:AD1006),$AD$1006:$AU$1006,0))&gt;=100000), " ",IF(INDEX($AD$2:$AU$1001,MATCH(ROWS($W$2:W184),$W$2:$W$1001,0),MATCH(COLUMNS($AD$1006:AD1006),$AD$1006:$AU$1006,0)), HYPERLINK("#",""), HYPERLINK(CONCATENATE("#metadata!", ADDRESS(INDEX($Y$2:$Y$1001,MATCH(ROWS($W$2:W184),$W$2:$W$1001,0),0), INDEX($AD$1004:$AU$1004,1,MATCH(COLUMNS($AD$1006:AD1006),$AD$1006:$AU$1006,0)))),"Fix")))</f>
        <v xml:space="preserve"> </v>
      </c>
      <c r="C184" s="4" t="str">
        <f ca="1">IF(OR(INDEX($X$2:$X$1001,MATCH(ROWS($W$2:W184),$W$2:$W$1001,0),1)&gt;=100000,INDEX($AD$1005:$AU$1005,1,MATCH(COLUMNS($AD$1006:AE1006),$AD$1006:$AU$1006,0))&gt;=100000), " ",IF(INDEX($AD$2:$AU$1001,MATCH(ROWS($W$2:W184),$W$2:$W$1001,0),MATCH(COLUMNS($AD$1006:AE1006),$AD$1006:$AU$1006,0)), HYPERLINK("#",""), HYPERLINK(CONCATENATE("#metadata!", ADDRESS(INDEX($Y$2:$Y$1001,MATCH(ROWS($W$2:W184),$W$2:$W$1001,0),0), INDEX($AD$1004:$AU$1004,1,MATCH(COLUMNS($AD$1006:AE1006),$AD$1006:$AU$1006,0)))),"Fix")))</f>
        <v xml:space="preserve"> </v>
      </c>
      <c r="D184" s="4" t="str">
        <f ca="1">IF(OR(INDEX($X$2:$X$1001,MATCH(ROWS($W$2:W184),$W$2:$W$1001,0),1)&gt;=100000,INDEX($AD$1005:$AU$1005,1,MATCH(COLUMNS($AD$1006:AF1006),$AD$1006:$AU$1006,0))&gt;=100000), " ",IF(INDEX($AD$2:$AU$1001,MATCH(ROWS($W$2:W184),$W$2:$W$1001,0),MATCH(COLUMNS($AD$1006:AF1006),$AD$1006:$AU$1006,0)), HYPERLINK("#",""), HYPERLINK(CONCATENATE("#metadata!", ADDRESS(INDEX($Y$2:$Y$1001,MATCH(ROWS($W$2:W184),$W$2:$W$1001,0),0), INDEX($AD$1004:$AU$1004,1,MATCH(COLUMNS($AD$1006:AF1006),$AD$1006:$AU$1006,0)))),"Fix")))</f>
        <v xml:space="preserve"> </v>
      </c>
      <c r="E184" s="4" t="str">
        <f ca="1">IF(OR(INDEX($X$2:$X$1001,MATCH(ROWS($W$2:W184),$W$2:$W$1001,0),1)&gt;=100000,INDEX($AD$1005:$AU$1005,1,MATCH(COLUMNS($AD$1006:AG1006),$AD$1006:$AU$1006,0))&gt;=100000), " ",IF(INDEX($AD$2:$AU$1001,MATCH(ROWS($W$2:W184),$W$2:$W$1001,0),MATCH(COLUMNS($AD$1006:AG1006),$AD$1006:$AU$1006,0)), HYPERLINK("#",""), HYPERLINK(CONCATENATE("#metadata!", ADDRESS(INDEX($Y$2:$Y$1001,MATCH(ROWS($W$2:W184),$W$2:$W$1001,0),0), INDEX($AD$1004:$AU$1004,1,MATCH(COLUMNS($AD$1006:AG1006),$AD$1006:$AU$1006,0)))),"Fix")))</f>
        <v xml:space="preserve"> </v>
      </c>
      <c r="F184" s="4" t="str">
        <f ca="1">IF(OR(INDEX($X$2:$X$1001,MATCH(ROWS($W$2:W184),$W$2:$W$1001,0),1)&gt;=100000,INDEX($AD$1005:$AU$1005,1,MATCH(COLUMNS($AD$1006:AH1006),$AD$1006:$AU$1006,0))&gt;=100000), " ",IF(INDEX($AD$2:$AU$1001,MATCH(ROWS($W$2:W184),$W$2:$W$1001,0),MATCH(COLUMNS($AD$1006:AH1006),$AD$1006:$AU$1006,0)), HYPERLINK("#",""), HYPERLINK(CONCATENATE("#metadata!", ADDRESS(INDEX($Y$2:$Y$1001,MATCH(ROWS($W$2:W184),$W$2:$W$1001,0),0), INDEX($AD$1004:$AU$1004,1,MATCH(COLUMNS($AD$1006:AH1006),$AD$1006:$AU$1006,0)))),"Fix")))</f>
        <v xml:space="preserve"> </v>
      </c>
      <c r="G184" s="4" t="str">
        <f ca="1">IF(OR(INDEX($X$2:$X$1001,MATCH(ROWS($W$2:W184),$W$2:$W$1001,0),1)&gt;=100000,INDEX($AD$1005:$AU$1005,1,MATCH(COLUMNS($AD$1006:AI1006),$AD$1006:$AU$1006,0))&gt;=100000), " ",IF(INDEX($AD$2:$AU$1001,MATCH(ROWS($W$2:W184),$W$2:$W$1001,0),MATCH(COLUMNS($AD$1006:AI1006),$AD$1006:$AU$1006,0)), HYPERLINK("#",""), HYPERLINK(CONCATENATE("#metadata!", ADDRESS(INDEX($Y$2:$Y$1001,MATCH(ROWS($W$2:W184),$W$2:$W$1001,0),0), INDEX($AD$1004:$AU$1004,1,MATCH(COLUMNS($AD$1006:AI1006),$AD$1006:$AU$1006,0)))),"Fix")))</f>
        <v xml:space="preserve"> </v>
      </c>
      <c r="H184" s="4" t="str">
        <f ca="1">IF(OR(INDEX($X$2:$X$1001,MATCH(ROWS($W$2:W184),$W$2:$W$1001,0),1)&gt;=100000,INDEX($AD$1005:$AU$1005,1,MATCH(COLUMNS($AD$1006:AJ1006),$AD$1006:$AU$1006,0))&gt;=100000), " ",IF(INDEX($AD$2:$AU$1001,MATCH(ROWS($W$2:W184),$W$2:$W$1001,0),MATCH(COLUMNS($AD$1006:AJ1006),$AD$1006:$AU$1006,0)), HYPERLINK("#",""), HYPERLINK(CONCATENATE("#metadata!", ADDRESS(INDEX($Y$2:$Y$1001,MATCH(ROWS($W$2:W184),$W$2:$W$1001,0),0), INDEX($AD$1004:$AU$1004,1,MATCH(COLUMNS($AD$1006:AJ1006),$AD$1006:$AU$1006,0)))),"Fix")))</f>
        <v xml:space="preserve"> </v>
      </c>
      <c r="I184" s="4" t="str">
        <f ca="1">IF(OR(INDEX($X$2:$X$1001,MATCH(ROWS($W$2:W184),$W$2:$W$1001,0),1)&gt;=100000,INDEX($AD$1005:$AU$1005,1,MATCH(COLUMNS($AD$1006:AK1006),$AD$1006:$AU$1006,0))&gt;=100000), " ",IF(INDEX($AD$2:$AU$1001,MATCH(ROWS($W$2:W184),$W$2:$W$1001,0),MATCH(COLUMNS($AD$1006:AK1006),$AD$1006:$AU$1006,0)), HYPERLINK("#",""), HYPERLINK(CONCATENATE("#metadata!", ADDRESS(INDEX($Y$2:$Y$1001,MATCH(ROWS($W$2:W184),$W$2:$W$1001,0),0), INDEX($AD$1004:$AU$1004,1,MATCH(COLUMNS($AD$1006:AK1006),$AD$1006:$AU$1006,0)))),"Fix")))</f>
        <v xml:space="preserve"> </v>
      </c>
      <c r="J184" s="4" t="str">
        <f ca="1">IF(OR(INDEX($X$2:$X$1001,MATCH(ROWS($W$2:W184),$W$2:$W$1001,0),1)&gt;=100000,INDEX($AD$1005:$AU$1005,1,MATCH(COLUMNS($AD$1006:AL1006),$AD$1006:$AU$1006,0))&gt;=100000), " ",IF(INDEX($AD$2:$AU$1001,MATCH(ROWS($W$2:W184),$W$2:$W$1001,0),MATCH(COLUMNS($AD$1006:AL1006),$AD$1006:$AU$1006,0)), HYPERLINK("#",""), HYPERLINK(CONCATENATE("#metadata!", ADDRESS(INDEX($Y$2:$Y$1001,MATCH(ROWS($W$2:W184),$W$2:$W$1001,0),0), INDEX($AD$1004:$AU$1004,1,MATCH(COLUMNS($AD$1006:AL1006),$AD$1006:$AU$1006,0)))),"Fix")))</f>
        <v xml:space="preserve"> </v>
      </c>
      <c r="K184" s="4" t="str">
        <f ca="1">IF(OR(INDEX($X$2:$X$1001,MATCH(ROWS($W$2:W184),$W$2:$W$1001,0),1)&gt;=100000,INDEX($AD$1005:$AU$1005,1,MATCH(COLUMNS($AD$1006:AM1006),$AD$1006:$AU$1006,0))&gt;=100000), " ",IF(INDEX($AD$2:$AU$1001,MATCH(ROWS($W$2:W184),$W$2:$W$1001,0),MATCH(COLUMNS($AD$1006:AM1006),$AD$1006:$AU$1006,0)), HYPERLINK("#",""), HYPERLINK(CONCATENATE("#metadata!", ADDRESS(INDEX($Y$2:$Y$1001,MATCH(ROWS($W$2:W184),$W$2:$W$1001,0),0), INDEX($AD$1004:$AU$1004,1,MATCH(COLUMNS($AD$1006:AM1006),$AD$1006:$AU$1006,0)))),"Fix")))</f>
        <v xml:space="preserve"> </v>
      </c>
      <c r="L184" s="4" t="str">
        <f ca="1">IF(OR(INDEX($X$2:$X$1001,MATCH(ROWS($W$2:W184),$W$2:$W$1001,0),1)&gt;=100000,INDEX($AD$1005:$AU$1005,1,MATCH(COLUMNS($AD$1006:AN1006),$AD$1006:$AU$1006,0))&gt;=100000), " ",IF(INDEX($AD$2:$AU$1001,MATCH(ROWS($W$2:W184),$W$2:$W$1001,0),MATCH(COLUMNS($AD$1006:AN1006),$AD$1006:$AU$1006,0)), HYPERLINK("#",""), HYPERLINK(CONCATENATE("#metadata!", ADDRESS(INDEX($Y$2:$Y$1001,MATCH(ROWS($W$2:W184),$W$2:$W$1001,0),0), INDEX($AD$1004:$AU$1004,1,MATCH(COLUMNS($AD$1006:AN1006),$AD$1006:$AU$1006,0)))),"Fix")))</f>
        <v xml:space="preserve"> </v>
      </c>
      <c r="M184" s="4" t="str">
        <f ca="1">IF(OR(INDEX($X$2:$X$1001,MATCH(ROWS($W$2:W184),$W$2:$W$1001,0),1)&gt;=100000,INDEX($AD$1005:$AU$1005,1,MATCH(COLUMNS($AD$1006:AO1006),$AD$1006:$AU$1006,0))&gt;=100000), " ",IF(INDEX($AD$2:$AU$1001,MATCH(ROWS($W$2:W184),$W$2:$W$1001,0),MATCH(COLUMNS($AD$1006:AO1006),$AD$1006:$AU$1006,0)), HYPERLINK("#",""), HYPERLINK(CONCATENATE("#metadata!", ADDRESS(INDEX($Y$2:$Y$1001,MATCH(ROWS($W$2:W184),$W$2:$W$1001,0),0), INDEX($AD$1004:$AU$1004,1,MATCH(COLUMNS($AD$1006:AO1006),$AD$1006:$AU$1006,0)))),"Fix")))</f>
        <v xml:space="preserve"> </v>
      </c>
      <c r="N184" s="4" t="str">
        <f ca="1">IF(OR(INDEX($X$2:$X$1001,MATCH(ROWS($W$2:W184),$W$2:$W$1001,0),1)&gt;=100000,INDEX($AD$1005:$AU$1005,1,MATCH(COLUMNS($AD$1006:AP1006),$AD$1006:$AU$1006,0))&gt;=100000), " ",IF(INDEX($AD$2:$AU$1001,MATCH(ROWS($W$2:W184),$W$2:$W$1001,0),MATCH(COLUMNS($AD$1006:AP1006),$AD$1006:$AU$1006,0)), HYPERLINK("#",""), HYPERLINK(CONCATENATE("#metadata!", ADDRESS(INDEX($Y$2:$Y$1001,MATCH(ROWS($W$2:W184),$W$2:$W$1001,0),0), INDEX($AD$1004:$AU$1004,1,MATCH(COLUMNS($AD$1006:AP1006),$AD$1006:$AU$1006,0)))),"Fix")))</f>
        <v xml:space="preserve"> </v>
      </c>
      <c r="O184" s="4" t="str">
        <f ca="1">IF(OR(INDEX($X$2:$X$1001,MATCH(ROWS($W$2:W184),$W$2:$W$1001,0),1)&gt;=100000,INDEX($AD$1005:$AU$1005,1,MATCH(COLUMNS($AD$1006:AQ1006),$AD$1006:$AU$1006,0))&gt;=100000), " ",IF(INDEX($AD$2:$AU$1001,MATCH(ROWS($W$2:W184),$W$2:$W$1001,0),MATCH(COLUMNS($AD$1006:AQ1006),$AD$1006:$AU$1006,0)), HYPERLINK("#",""), HYPERLINK(CONCATENATE("#metadata!", ADDRESS(INDEX($Y$2:$Y$1001,MATCH(ROWS($W$2:W184),$W$2:$W$1001,0),0), INDEX($AD$1004:$AU$1004,1,MATCH(COLUMNS($AD$1006:AQ1006),$AD$1006:$AU$1006,0)))),"Fix")))</f>
        <v xml:space="preserve"> </v>
      </c>
      <c r="P184" s="4" t="str">
        <f ca="1">IF(OR(INDEX($X$2:$X$1001,MATCH(ROWS($W$2:W184),$W$2:$W$1001,0),1)&gt;=100000,INDEX($AD$1005:$AU$1005,1,MATCH(COLUMNS($AD$1006:AR1006),$AD$1006:$AU$1006,0))&gt;=100000), " ",IF(INDEX($AD$2:$AU$1001,MATCH(ROWS($W$2:W184),$W$2:$W$1001,0),MATCH(COLUMNS($AD$1006:AR1006),$AD$1006:$AU$1006,0)), HYPERLINK("#",""), HYPERLINK(CONCATENATE("#metadata!", ADDRESS(INDEX($Y$2:$Y$1001,MATCH(ROWS($W$2:W184),$W$2:$W$1001,0),0), INDEX($AD$1004:$AU$1004,1,MATCH(COLUMNS($AD$1006:AR1006),$AD$1006:$AU$1006,0)))),"Fix")))</f>
        <v xml:space="preserve"> </v>
      </c>
      <c r="Q184" s="4" t="str">
        <f ca="1">IF(OR(INDEX($X$2:$X$1001,MATCH(ROWS($W$2:W184),$W$2:$W$1001,0),1)&gt;=100000,INDEX($AD$1005:$AU$1005,1,MATCH(COLUMNS($AD$1006:AS1006),$AD$1006:$AU$1006,0))&gt;=100000), " ",IF(INDEX($AD$2:$AU$1001,MATCH(ROWS($W$2:W184),$W$2:$W$1001,0),MATCH(COLUMNS($AD$1006:AS1006),$AD$1006:$AU$1006,0)), HYPERLINK("#",""), HYPERLINK(CONCATENATE("#metadata!", ADDRESS(INDEX($Y$2:$Y$1001,MATCH(ROWS($W$2:W184),$W$2:$W$1001,0),0), INDEX($AD$1004:$AU$1004,1,MATCH(COLUMNS($AD$1006:AS1006),$AD$1006:$AU$1006,0)))),"Fix")))</f>
        <v xml:space="preserve"> </v>
      </c>
      <c r="R184" s="4" t="str">
        <f ca="1">IF(OR(INDEX($X$2:$X$1001,MATCH(ROWS($W$2:W184),$W$2:$W$1001,0),1)&gt;=100000,INDEX($AD$1005:$AU$1005,1,MATCH(COLUMNS($AD$1006:AT1006),$AD$1006:$AU$1006,0))&gt;=100000), " ",IF(INDEX($AD$2:$AU$1001,MATCH(ROWS($W$2:W184),$W$2:$W$1001,0),MATCH(COLUMNS($AD$1006:AT1006),$AD$1006:$AU$1006,0)), HYPERLINK("#",""), HYPERLINK(CONCATENATE("#metadata!", ADDRESS(INDEX($Y$2:$Y$1001,MATCH(ROWS($W$2:W184),$W$2:$W$1001,0),0), INDEX($AD$1004:$AU$1004,1,MATCH(COLUMNS($AD$1006:AT1006),$AD$1006:$AU$1006,0)))),"Fix")))</f>
        <v xml:space="preserve"> </v>
      </c>
      <c r="S184" s="4" t="str">
        <f ca="1">IF(OR(INDEX($X$2:$X$1001,MATCH(ROWS($W$2:W184),$W$2:$W$1001,0),1)&gt;=100000,INDEX($AD$1005:$AU$1005,1,MATCH(COLUMNS($AD$1006:AU1006),$AD$1006:$AU$1006,0))&gt;=100000), " ",IF(INDEX($AD$2:$AU$1001,MATCH(ROWS($W$2:W184),$W$2:$W$1001,0),MATCH(COLUMNS($AD$1006:AU1006),$AD$1006:$AU$1006,0)), HYPERLINK("#",""), HYPERLINK(CONCATENATE("#metadata!", ADDRESS(INDEX($Y$2:$Y$1001,MATCH(ROWS($W$2:W184),$W$2:$W$1001,0),0), INDEX($AD$1004:$AU$1004,1,MATCH(COLUMNS($AD$1006:AU1006),$AD$1006:$AU$1006,0)))),"Fix")))</f>
        <v xml:space="preserve"> </v>
      </c>
      <c r="W184">
        <v>183</v>
      </c>
      <c r="X184">
        <v>100184</v>
      </c>
      <c r="Y184">
        <v>184</v>
      </c>
      <c r="Z184" t="b">
        <f t="shared" si="2"/>
        <v>1</v>
      </c>
      <c r="AA184" t="b">
        <f>COUNTBLANK(metadata!B184:S184)=COLUMNS(metadata!B184:S184)</f>
        <v>1</v>
      </c>
      <c r="AB184" t="str">
        <v/>
      </c>
      <c r="AD184" t="b">
        <f ca="1">AND(IF(metadata!B184="",FALSE,TRUE),COUNTIF(metadata!B:B, metadata!B184) = 1,NOT(ISERROR(SUMPRODUCT(SEARCH(MID(metadata!B184,ROW(INDIRECT("1:"&amp;LEN(metadata!B184))), 1),"0123456789abcdefghijklmnopqrstuvwxyzABCDEFGHIJKLMNOPQRSTUVWXYZ.")))))</f>
        <v>0</v>
      </c>
      <c r="AE184" t="b">
        <f>OR(AND(IF(metadata!C184="",FALSE,TRUE),OR(EXACT(metadata!C184,"not applicable"),EXACT(metadata!C184,"missing: not collected"),EXACT(metadata!C184,"missing: not provided"),EXACT(metadata!C184,"missing: restricted access"))),AND(IF(metadata!C184="",FALSE,ISNUMBER(VALUE(metadata!C184))),metadata!C184&gt;0))</f>
        <v>0</v>
      </c>
      <c r="AF184" t="b">
        <f>AND(IF(metadata!D184="",FALSE,TRUE),EXACT(metadata!D184,"missing: not provided"))</f>
        <v>0</v>
      </c>
      <c r="AG184" t="b">
        <f>AND(IF(metadata!E184="",FALSE,TRUE),EXACT(metadata!E184,"Host-associated"))</f>
        <v>0</v>
      </c>
      <c r="AH184" t="b">
        <f>AND(IF(metadata!F184="",FALSE,TRUE),OR(EXACT(metadata!F184,"Animal"),EXACT(metadata!F184,"Fungus"),EXACT(metadata!F184,"Plant")))</f>
        <v>0</v>
      </c>
      <c r="AI184" t="b">
        <f>AND(IF(metadata!G184="",FALSE,TRUE),OR(EXACT(metadata!G184,"Plant secretion"),EXACT(metadata!G184,"Plant rhizosphere"),EXACT(metadata!G184,"Plant surface"),EXACT(metadata!G184,"Plant corpus"),EXACT(metadata!G184,"Fungus surface"),EXACT(metadata!G184,"Fungus corpus"),EXACT(metadata!G184,"Animal surface"),EXACT(metadata!G184,"Animal proximal gut"),EXACT(metadata!G184,"Animal corpus"),EXACT(metadata!G184,"Animal distal gut"),EXACT(metadata!G184,"Animal secretion")))</f>
        <v>0</v>
      </c>
      <c r="AJ184" t="b">
        <f>OR(AND(IF(metadata!H184="",FALSE,TRUE),OR(EXACT(metadata!H184,"missing: not collected"),EXACT(metadata!H184,"missing: not provided"),EXACT(metadata!H184,"missing: restricted access"))),AND(IF(metadata!H184="",FALSE,TRUE),OR(EXACT(metadata!H184,"organism-associated habitat"),EXACT(metadata!H184,"plant-associated habitat"),EXACT(metadata!H184,"animal-associated habitat"),EXACT(metadata!H184,"insecta-associated habitat"),EXACT(metadata!H184,"mammalia-associated habitat"),EXACT(metadata!H184,"human-associated habitat"),EXACT(metadata!H184,"livestock-associated habitat"))))</f>
        <v>0</v>
      </c>
      <c r="AK184" t="b">
        <f>AND(IF(metadata!I184="",FALSE,TRUE),EXACT(metadata!I184,"host-associated"))</f>
        <v>0</v>
      </c>
      <c r="AL184" t="b">
        <f>OR(AND(IF(metadata!J184="",FALSE,TRUE),OR(EXACT(metadata!J184,"not applicable"),EXACT(metadata!J184,"missing: not collected"),EXACT(metadata!J184,"missing: not provided"),EXACT(metadata!J184,"missing: restricted access"))),AND(IF(metadata!J184="",FALSE,ISNUMBER(VALUE(metadata!J184))),metadata!J184&gt;0))</f>
        <v>0</v>
      </c>
      <c r="AM184" t="b">
        <f>AND(IF(metadata!K184="",FALSE,TRUE),EXACT(metadata!K184,"missing: not provided"))</f>
        <v>0</v>
      </c>
      <c r="AN184" t="b">
        <f>IF(metadata!L184="",FALSE,TRUE)</f>
        <v>0</v>
      </c>
      <c r="AO184" t="b">
        <f>IF(metadata!M184="",FALSE,TRUE)</f>
        <v>0</v>
      </c>
      <c r="AP184" t="b">
        <f>OR(AND(IF(metadata!N184="",FALSE,TRUE),OR(EXACT(metadata!N184,"not applicable"),EXACT(metadata!N184,"missing: not collected"),EXACT(metadata!N184,"missing: not provided"))),AND(IF(metadata!N184="",FALSE,IF(ISERROR(INT(metadata!N184)),FALSE,INT(metadata!N184)=metadata!N184)),metadata!N184&gt;0))</f>
        <v>0</v>
      </c>
      <c r="AQ184" t="b">
        <f>AND(IF(metadata!O184="",FALSE,TRUE),EXACT(metadata!O184,"Not applicable"))</f>
        <v>0</v>
      </c>
      <c r="AR184" t="b">
        <f>OR(AND(IF(metadata!P184="",FALSE,TRUE),OR(EXACT(metadata!P184,"not applicable"),EXACT(metadata!P184,"missing: not collected"),EXACT(metadata!P184,"missing: not provided"),EXACT(metadata!P184,"missing: restricted access"))),IF(metadata!P184="",FALSE,IF(ISERROR(INT(metadata!P184)),FALSE,INT(metadata!P184)=metadata!P184)))</f>
        <v>0</v>
      </c>
      <c r="AS184" t="b">
        <f>AND(IF(metadata!Q184="",FALSE,TRUE),EXACT(metadata!Q184,"Not applicable"))</f>
        <v>0</v>
      </c>
      <c r="AT184" t="b">
        <f>OR(AND(IF(metadata!R184="",FALSE,TRUE),OR(EXACT(metadata!R184,"not applicable"),EXACT(metadata!R184,"missing: not collected"),EXACT(metadata!R184,"missing: not provided"),EXACT(metadata!R184,"missing: restricted access"))),AND(IF(metadata!R184="",FALSE,ISNUMBER(VALUE(metadata!R184))),metadata!R184&gt;0))</f>
        <v>0</v>
      </c>
      <c r="AU184" t="b">
        <f>AND(IF(metadata!S184="",FALSE,TRUE),EXACT(metadata!S184,"missing: not provided"))</f>
        <v>0</v>
      </c>
    </row>
    <row r="185" spans="1:47" x14ac:dyDescent="0.2">
      <c r="A185" s="5" t="str">
        <f ca="1">IF(B185=" "," ",HYPERLINK(CONCATENATE("#metadata!",ADDRESS(INDEX($Y$2:$Y$1001,MATCH(ROWS($W$2:W185),$W$2:$W$1001,0),0),1)),INDEX($AB$2:$AB$1001,MATCH(ROWS($W$2:W185),$W$2:$W$1001,0),0)))</f>
        <v xml:space="preserve"> </v>
      </c>
      <c r="B185" s="4" t="str">
        <f ca="1">IF(OR(INDEX($X$2:$X$1001,MATCH(ROWS($W$2:W185),$W$2:$W$1001,0),1)&gt;=100000,INDEX($AD$1005:$AU$1005,1,MATCH(COLUMNS($AD$1006:AD1006),$AD$1006:$AU$1006,0))&gt;=100000), " ",IF(INDEX($AD$2:$AU$1001,MATCH(ROWS($W$2:W185),$W$2:$W$1001,0),MATCH(COLUMNS($AD$1006:AD1006),$AD$1006:$AU$1006,0)), HYPERLINK("#",""), HYPERLINK(CONCATENATE("#metadata!", ADDRESS(INDEX($Y$2:$Y$1001,MATCH(ROWS($W$2:W185),$W$2:$W$1001,0),0), INDEX($AD$1004:$AU$1004,1,MATCH(COLUMNS($AD$1006:AD1006),$AD$1006:$AU$1006,0)))),"Fix")))</f>
        <v xml:space="preserve"> </v>
      </c>
      <c r="C185" s="4" t="str">
        <f ca="1">IF(OR(INDEX($X$2:$X$1001,MATCH(ROWS($W$2:W185),$W$2:$W$1001,0),1)&gt;=100000,INDEX($AD$1005:$AU$1005,1,MATCH(COLUMNS($AD$1006:AE1006),$AD$1006:$AU$1006,0))&gt;=100000), " ",IF(INDEX($AD$2:$AU$1001,MATCH(ROWS($W$2:W185),$W$2:$W$1001,0),MATCH(COLUMNS($AD$1006:AE1006),$AD$1006:$AU$1006,0)), HYPERLINK("#",""), HYPERLINK(CONCATENATE("#metadata!", ADDRESS(INDEX($Y$2:$Y$1001,MATCH(ROWS($W$2:W185),$W$2:$W$1001,0),0), INDEX($AD$1004:$AU$1004,1,MATCH(COLUMNS($AD$1006:AE1006),$AD$1006:$AU$1006,0)))),"Fix")))</f>
        <v xml:space="preserve"> </v>
      </c>
      <c r="D185" s="4" t="str">
        <f ca="1">IF(OR(INDEX($X$2:$X$1001,MATCH(ROWS($W$2:W185),$W$2:$W$1001,0),1)&gt;=100000,INDEX($AD$1005:$AU$1005,1,MATCH(COLUMNS($AD$1006:AF1006),$AD$1006:$AU$1006,0))&gt;=100000), " ",IF(INDEX($AD$2:$AU$1001,MATCH(ROWS($W$2:W185),$W$2:$W$1001,0),MATCH(COLUMNS($AD$1006:AF1006),$AD$1006:$AU$1006,0)), HYPERLINK("#",""), HYPERLINK(CONCATENATE("#metadata!", ADDRESS(INDEX($Y$2:$Y$1001,MATCH(ROWS($W$2:W185),$W$2:$W$1001,0),0), INDEX($AD$1004:$AU$1004,1,MATCH(COLUMNS($AD$1006:AF1006),$AD$1006:$AU$1006,0)))),"Fix")))</f>
        <v xml:space="preserve"> </v>
      </c>
      <c r="E185" s="4" t="str">
        <f ca="1">IF(OR(INDEX($X$2:$X$1001,MATCH(ROWS($W$2:W185),$W$2:$W$1001,0),1)&gt;=100000,INDEX($AD$1005:$AU$1005,1,MATCH(COLUMNS($AD$1006:AG1006),$AD$1006:$AU$1006,0))&gt;=100000), " ",IF(INDEX($AD$2:$AU$1001,MATCH(ROWS($W$2:W185),$W$2:$W$1001,0),MATCH(COLUMNS($AD$1006:AG1006),$AD$1006:$AU$1006,0)), HYPERLINK("#",""), HYPERLINK(CONCATENATE("#metadata!", ADDRESS(INDEX($Y$2:$Y$1001,MATCH(ROWS($W$2:W185),$W$2:$W$1001,0),0), INDEX($AD$1004:$AU$1004,1,MATCH(COLUMNS($AD$1006:AG1006),$AD$1006:$AU$1006,0)))),"Fix")))</f>
        <v xml:space="preserve"> </v>
      </c>
      <c r="F185" s="4" t="str">
        <f ca="1">IF(OR(INDEX($X$2:$X$1001,MATCH(ROWS($W$2:W185),$W$2:$W$1001,0),1)&gt;=100000,INDEX($AD$1005:$AU$1005,1,MATCH(COLUMNS($AD$1006:AH1006),$AD$1006:$AU$1006,0))&gt;=100000), " ",IF(INDEX($AD$2:$AU$1001,MATCH(ROWS($W$2:W185),$W$2:$W$1001,0),MATCH(COLUMNS($AD$1006:AH1006),$AD$1006:$AU$1006,0)), HYPERLINK("#",""), HYPERLINK(CONCATENATE("#metadata!", ADDRESS(INDEX($Y$2:$Y$1001,MATCH(ROWS($W$2:W185),$W$2:$W$1001,0),0), INDEX($AD$1004:$AU$1004,1,MATCH(COLUMNS($AD$1006:AH1006),$AD$1006:$AU$1006,0)))),"Fix")))</f>
        <v xml:space="preserve"> </v>
      </c>
      <c r="G185" s="4" t="str">
        <f ca="1">IF(OR(INDEX($X$2:$X$1001,MATCH(ROWS($W$2:W185),$W$2:$W$1001,0),1)&gt;=100000,INDEX($AD$1005:$AU$1005,1,MATCH(COLUMNS($AD$1006:AI1006),$AD$1006:$AU$1006,0))&gt;=100000), " ",IF(INDEX($AD$2:$AU$1001,MATCH(ROWS($W$2:W185),$W$2:$W$1001,0),MATCH(COLUMNS($AD$1006:AI1006),$AD$1006:$AU$1006,0)), HYPERLINK("#",""), HYPERLINK(CONCATENATE("#metadata!", ADDRESS(INDEX($Y$2:$Y$1001,MATCH(ROWS($W$2:W185),$W$2:$W$1001,0),0), INDEX($AD$1004:$AU$1004,1,MATCH(COLUMNS($AD$1006:AI1006),$AD$1006:$AU$1006,0)))),"Fix")))</f>
        <v xml:space="preserve"> </v>
      </c>
      <c r="H185" s="4" t="str">
        <f ca="1">IF(OR(INDEX($X$2:$X$1001,MATCH(ROWS($W$2:W185),$W$2:$W$1001,0),1)&gt;=100000,INDEX($AD$1005:$AU$1005,1,MATCH(COLUMNS($AD$1006:AJ1006),$AD$1006:$AU$1006,0))&gt;=100000), " ",IF(INDEX($AD$2:$AU$1001,MATCH(ROWS($W$2:W185),$W$2:$W$1001,0),MATCH(COLUMNS($AD$1006:AJ1006),$AD$1006:$AU$1006,0)), HYPERLINK("#",""), HYPERLINK(CONCATENATE("#metadata!", ADDRESS(INDEX($Y$2:$Y$1001,MATCH(ROWS($W$2:W185),$W$2:$W$1001,0),0), INDEX($AD$1004:$AU$1004,1,MATCH(COLUMNS($AD$1006:AJ1006),$AD$1006:$AU$1006,0)))),"Fix")))</f>
        <v xml:space="preserve"> </v>
      </c>
      <c r="I185" s="4" t="str">
        <f ca="1">IF(OR(INDEX($X$2:$X$1001,MATCH(ROWS($W$2:W185),$W$2:$W$1001,0),1)&gt;=100000,INDEX($AD$1005:$AU$1005,1,MATCH(COLUMNS($AD$1006:AK1006),$AD$1006:$AU$1006,0))&gt;=100000), " ",IF(INDEX($AD$2:$AU$1001,MATCH(ROWS($W$2:W185),$W$2:$W$1001,0),MATCH(COLUMNS($AD$1006:AK1006),$AD$1006:$AU$1006,0)), HYPERLINK("#",""), HYPERLINK(CONCATENATE("#metadata!", ADDRESS(INDEX($Y$2:$Y$1001,MATCH(ROWS($W$2:W185),$W$2:$W$1001,0),0), INDEX($AD$1004:$AU$1004,1,MATCH(COLUMNS($AD$1006:AK1006),$AD$1006:$AU$1006,0)))),"Fix")))</f>
        <v xml:space="preserve"> </v>
      </c>
      <c r="J185" s="4" t="str">
        <f ca="1">IF(OR(INDEX($X$2:$X$1001,MATCH(ROWS($W$2:W185),$W$2:$W$1001,0),1)&gt;=100000,INDEX($AD$1005:$AU$1005,1,MATCH(COLUMNS($AD$1006:AL1006),$AD$1006:$AU$1006,0))&gt;=100000), " ",IF(INDEX($AD$2:$AU$1001,MATCH(ROWS($W$2:W185),$W$2:$W$1001,0),MATCH(COLUMNS($AD$1006:AL1006),$AD$1006:$AU$1006,0)), HYPERLINK("#",""), HYPERLINK(CONCATENATE("#metadata!", ADDRESS(INDEX($Y$2:$Y$1001,MATCH(ROWS($W$2:W185),$W$2:$W$1001,0),0), INDEX($AD$1004:$AU$1004,1,MATCH(COLUMNS($AD$1006:AL1006),$AD$1006:$AU$1006,0)))),"Fix")))</f>
        <v xml:space="preserve"> </v>
      </c>
      <c r="K185" s="4" t="str">
        <f ca="1">IF(OR(INDEX($X$2:$X$1001,MATCH(ROWS($W$2:W185),$W$2:$W$1001,0),1)&gt;=100000,INDEX($AD$1005:$AU$1005,1,MATCH(COLUMNS($AD$1006:AM1006),$AD$1006:$AU$1006,0))&gt;=100000), " ",IF(INDEX($AD$2:$AU$1001,MATCH(ROWS($W$2:W185),$W$2:$W$1001,0),MATCH(COLUMNS($AD$1006:AM1006),$AD$1006:$AU$1006,0)), HYPERLINK("#",""), HYPERLINK(CONCATENATE("#metadata!", ADDRESS(INDEX($Y$2:$Y$1001,MATCH(ROWS($W$2:W185),$W$2:$W$1001,0),0), INDEX($AD$1004:$AU$1004,1,MATCH(COLUMNS($AD$1006:AM1006),$AD$1006:$AU$1006,0)))),"Fix")))</f>
        <v xml:space="preserve"> </v>
      </c>
      <c r="L185" s="4" t="str">
        <f ca="1">IF(OR(INDEX($X$2:$X$1001,MATCH(ROWS($W$2:W185),$W$2:$W$1001,0),1)&gt;=100000,INDEX($AD$1005:$AU$1005,1,MATCH(COLUMNS($AD$1006:AN1006),$AD$1006:$AU$1006,0))&gt;=100000), " ",IF(INDEX($AD$2:$AU$1001,MATCH(ROWS($W$2:W185),$W$2:$W$1001,0),MATCH(COLUMNS($AD$1006:AN1006),$AD$1006:$AU$1006,0)), HYPERLINK("#",""), HYPERLINK(CONCATENATE("#metadata!", ADDRESS(INDEX($Y$2:$Y$1001,MATCH(ROWS($W$2:W185),$W$2:$W$1001,0),0), INDEX($AD$1004:$AU$1004,1,MATCH(COLUMNS($AD$1006:AN1006),$AD$1006:$AU$1006,0)))),"Fix")))</f>
        <v xml:space="preserve"> </v>
      </c>
      <c r="M185" s="4" t="str">
        <f ca="1">IF(OR(INDEX($X$2:$X$1001,MATCH(ROWS($W$2:W185),$W$2:$W$1001,0),1)&gt;=100000,INDEX($AD$1005:$AU$1005,1,MATCH(COLUMNS($AD$1006:AO1006),$AD$1006:$AU$1006,0))&gt;=100000), " ",IF(INDEX($AD$2:$AU$1001,MATCH(ROWS($W$2:W185),$W$2:$W$1001,0),MATCH(COLUMNS($AD$1006:AO1006),$AD$1006:$AU$1006,0)), HYPERLINK("#",""), HYPERLINK(CONCATENATE("#metadata!", ADDRESS(INDEX($Y$2:$Y$1001,MATCH(ROWS($W$2:W185),$W$2:$W$1001,0),0), INDEX($AD$1004:$AU$1004,1,MATCH(COLUMNS($AD$1006:AO1006),$AD$1006:$AU$1006,0)))),"Fix")))</f>
        <v xml:space="preserve"> </v>
      </c>
      <c r="N185" s="4" t="str">
        <f ca="1">IF(OR(INDEX($X$2:$X$1001,MATCH(ROWS($W$2:W185),$W$2:$W$1001,0),1)&gt;=100000,INDEX($AD$1005:$AU$1005,1,MATCH(COLUMNS($AD$1006:AP1006),$AD$1006:$AU$1006,0))&gt;=100000), " ",IF(INDEX($AD$2:$AU$1001,MATCH(ROWS($W$2:W185),$W$2:$W$1001,0),MATCH(COLUMNS($AD$1006:AP1006),$AD$1006:$AU$1006,0)), HYPERLINK("#",""), HYPERLINK(CONCATENATE("#metadata!", ADDRESS(INDEX($Y$2:$Y$1001,MATCH(ROWS($W$2:W185),$W$2:$W$1001,0),0), INDEX($AD$1004:$AU$1004,1,MATCH(COLUMNS($AD$1006:AP1006),$AD$1006:$AU$1006,0)))),"Fix")))</f>
        <v xml:space="preserve"> </v>
      </c>
      <c r="O185" s="4" t="str">
        <f ca="1">IF(OR(INDEX($X$2:$X$1001,MATCH(ROWS($W$2:W185),$W$2:$W$1001,0),1)&gt;=100000,INDEX($AD$1005:$AU$1005,1,MATCH(COLUMNS($AD$1006:AQ1006),$AD$1006:$AU$1006,0))&gt;=100000), " ",IF(INDEX($AD$2:$AU$1001,MATCH(ROWS($W$2:W185),$W$2:$W$1001,0),MATCH(COLUMNS($AD$1006:AQ1006),$AD$1006:$AU$1006,0)), HYPERLINK("#",""), HYPERLINK(CONCATENATE("#metadata!", ADDRESS(INDEX($Y$2:$Y$1001,MATCH(ROWS($W$2:W185),$W$2:$W$1001,0),0), INDEX($AD$1004:$AU$1004,1,MATCH(COLUMNS($AD$1006:AQ1006),$AD$1006:$AU$1006,0)))),"Fix")))</f>
        <v xml:space="preserve"> </v>
      </c>
      <c r="P185" s="4" t="str">
        <f ca="1">IF(OR(INDEX($X$2:$X$1001,MATCH(ROWS($W$2:W185),$W$2:$W$1001,0),1)&gt;=100000,INDEX($AD$1005:$AU$1005,1,MATCH(COLUMNS($AD$1006:AR1006),$AD$1006:$AU$1006,0))&gt;=100000), " ",IF(INDEX($AD$2:$AU$1001,MATCH(ROWS($W$2:W185),$W$2:$W$1001,0),MATCH(COLUMNS($AD$1006:AR1006),$AD$1006:$AU$1006,0)), HYPERLINK("#",""), HYPERLINK(CONCATENATE("#metadata!", ADDRESS(INDEX($Y$2:$Y$1001,MATCH(ROWS($W$2:W185),$W$2:$W$1001,0),0), INDEX($AD$1004:$AU$1004,1,MATCH(COLUMNS($AD$1006:AR1006),$AD$1006:$AU$1006,0)))),"Fix")))</f>
        <v xml:space="preserve"> </v>
      </c>
      <c r="Q185" s="4" t="str">
        <f ca="1">IF(OR(INDEX($X$2:$X$1001,MATCH(ROWS($W$2:W185),$W$2:$W$1001,0),1)&gt;=100000,INDEX($AD$1005:$AU$1005,1,MATCH(COLUMNS($AD$1006:AS1006),$AD$1006:$AU$1006,0))&gt;=100000), " ",IF(INDEX($AD$2:$AU$1001,MATCH(ROWS($W$2:W185),$W$2:$W$1001,0),MATCH(COLUMNS($AD$1006:AS1006),$AD$1006:$AU$1006,0)), HYPERLINK("#",""), HYPERLINK(CONCATENATE("#metadata!", ADDRESS(INDEX($Y$2:$Y$1001,MATCH(ROWS($W$2:W185),$W$2:$W$1001,0),0), INDEX($AD$1004:$AU$1004,1,MATCH(COLUMNS($AD$1006:AS1006),$AD$1006:$AU$1006,0)))),"Fix")))</f>
        <v xml:space="preserve"> </v>
      </c>
      <c r="R185" s="4" t="str">
        <f ca="1">IF(OR(INDEX($X$2:$X$1001,MATCH(ROWS($W$2:W185),$W$2:$W$1001,0),1)&gt;=100000,INDEX($AD$1005:$AU$1005,1,MATCH(COLUMNS($AD$1006:AT1006),$AD$1006:$AU$1006,0))&gt;=100000), " ",IF(INDEX($AD$2:$AU$1001,MATCH(ROWS($W$2:W185),$W$2:$W$1001,0),MATCH(COLUMNS($AD$1006:AT1006),$AD$1006:$AU$1006,0)), HYPERLINK("#",""), HYPERLINK(CONCATENATE("#metadata!", ADDRESS(INDEX($Y$2:$Y$1001,MATCH(ROWS($W$2:W185),$W$2:$W$1001,0),0), INDEX($AD$1004:$AU$1004,1,MATCH(COLUMNS($AD$1006:AT1006),$AD$1006:$AU$1006,0)))),"Fix")))</f>
        <v xml:space="preserve"> </v>
      </c>
      <c r="S185" s="4" t="str">
        <f ca="1">IF(OR(INDEX($X$2:$X$1001,MATCH(ROWS($W$2:W185),$W$2:$W$1001,0),1)&gt;=100000,INDEX($AD$1005:$AU$1005,1,MATCH(COLUMNS($AD$1006:AU1006),$AD$1006:$AU$1006,0))&gt;=100000), " ",IF(INDEX($AD$2:$AU$1001,MATCH(ROWS($W$2:W185),$W$2:$W$1001,0),MATCH(COLUMNS($AD$1006:AU1006),$AD$1006:$AU$1006,0)), HYPERLINK("#",""), HYPERLINK(CONCATENATE("#metadata!", ADDRESS(INDEX($Y$2:$Y$1001,MATCH(ROWS($W$2:W185),$W$2:$W$1001,0),0), INDEX($AD$1004:$AU$1004,1,MATCH(COLUMNS($AD$1006:AU1006),$AD$1006:$AU$1006,0)))),"Fix")))</f>
        <v xml:space="preserve"> </v>
      </c>
      <c r="W185">
        <v>184</v>
      </c>
      <c r="X185">
        <v>100185</v>
      </c>
      <c r="Y185">
        <v>185</v>
      </c>
      <c r="Z185" t="b">
        <f t="shared" si="2"/>
        <v>1</v>
      </c>
      <c r="AA185" t="b">
        <f>COUNTBLANK(metadata!B185:S185)=COLUMNS(metadata!B185:S185)</f>
        <v>1</v>
      </c>
      <c r="AB185" t="str">
        <v/>
      </c>
      <c r="AD185" t="b">
        <f ca="1">AND(IF(metadata!B185="",FALSE,TRUE),COUNTIF(metadata!B:B, metadata!B185) = 1,NOT(ISERROR(SUMPRODUCT(SEARCH(MID(metadata!B185,ROW(INDIRECT("1:"&amp;LEN(metadata!B185))), 1),"0123456789abcdefghijklmnopqrstuvwxyzABCDEFGHIJKLMNOPQRSTUVWXYZ.")))))</f>
        <v>0</v>
      </c>
      <c r="AE185" t="b">
        <f>OR(AND(IF(metadata!C185="",FALSE,TRUE),OR(EXACT(metadata!C185,"not applicable"),EXACT(metadata!C185,"missing: not collected"),EXACT(metadata!C185,"missing: not provided"),EXACT(metadata!C185,"missing: restricted access"))),AND(IF(metadata!C185="",FALSE,ISNUMBER(VALUE(metadata!C185))),metadata!C185&gt;0))</f>
        <v>0</v>
      </c>
      <c r="AF185" t="b">
        <f>AND(IF(metadata!D185="",FALSE,TRUE),EXACT(metadata!D185,"missing: not provided"))</f>
        <v>0</v>
      </c>
      <c r="AG185" t="b">
        <f>AND(IF(metadata!E185="",FALSE,TRUE),EXACT(metadata!E185,"Host-associated"))</f>
        <v>0</v>
      </c>
      <c r="AH185" t="b">
        <f>AND(IF(metadata!F185="",FALSE,TRUE),OR(EXACT(metadata!F185,"Animal"),EXACT(metadata!F185,"Fungus"),EXACT(metadata!F185,"Plant")))</f>
        <v>0</v>
      </c>
      <c r="AI185" t="b">
        <f>AND(IF(metadata!G185="",FALSE,TRUE),OR(EXACT(metadata!G185,"Plant secretion"),EXACT(metadata!G185,"Plant rhizosphere"),EXACT(metadata!G185,"Plant surface"),EXACT(metadata!G185,"Plant corpus"),EXACT(metadata!G185,"Fungus surface"),EXACT(metadata!G185,"Fungus corpus"),EXACT(metadata!G185,"Animal surface"),EXACT(metadata!G185,"Animal proximal gut"),EXACT(metadata!G185,"Animal corpus"),EXACT(metadata!G185,"Animal distal gut"),EXACT(metadata!G185,"Animal secretion")))</f>
        <v>0</v>
      </c>
      <c r="AJ185" t="b">
        <f>OR(AND(IF(metadata!H185="",FALSE,TRUE),OR(EXACT(metadata!H185,"missing: not collected"),EXACT(metadata!H185,"missing: not provided"),EXACT(metadata!H185,"missing: restricted access"))),AND(IF(metadata!H185="",FALSE,TRUE),OR(EXACT(metadata!H185,"organism-associated habitat"),EXACT(metadata!H185,"plant-associated habitat"),EXACT(metadata!H185,"animal-associated habitat"),EXACT(metadata!H185,"insecta-associated habitat"),EXACT(metadata!H185,"mammalia-associated habitat"),EXACT(metadata!H185,"human-associated habitat"),EXACT(metadata!H185,"livestock-associated habitat"))))</f>
        <v>0</v>
      </c>
      <c r="AK185" t="b">
        <f>AND(IF(metadata!I185="",FALSE,TRUE),EXACT(metadata!I185,"host-associated"))</f>
        <v>0</v>
      </c>
      <c r="AL185" t="b">
        <f>OR(AND(IF(metadata!J185="",FALSE,TRUE),OR(EXACT(metadata!J185,"not applicable"),EXACT(metadata!J185,"missing: not collected"),EXACT(metadata!J185,"missing: not provided"),EXACT(metadata!J185,"missing: restricted access"))),AND(IF(metadata!J185="",FALSE,ISNUMBER(VALUE(metadata!J185))),metadata!J185&gt;0))</f>
        <v>0</v>
      </c>
      <c r="AM185" t="b">
        <f>AND(IF(metadata!K185="",FALSE,TRUE),EXACT(metadata!K185,"missing: not provided"))</f>
        <v>0</v>
      </c>
      <c r="AN185" t="b">
        <f>IF(metadata!L185="",FALSE,TRUE)</f>
        <v>0</v>
      </c>
      <c r="AO185" t="b">
        <f>IF(metadata!M185="",FALSE,TRUE)</f>
        <v>0</v>
      </c>
      <c r="AP185" t="b">
        <f>OR(AND(IF(metadata!N185="",FALSE,TRUE),OR(EXACT(metadata!N185,"not applicable"),EXACT(metadata!N185,"missing: not collected"),EXACT(metadata!N185,"missing: not provided"))),AND(IF(metadata!N185="",FALSE,IF(ISERROR(INT(metadata!N185)),FALSE,INT(metadata!N185)=metadata!N185)),metadata!N185&gt;0))</f>
        <v>0</v>
      </c>
      <c r="AQ185" t="b">
        <f>AND(IF(metadata!O185="",FALSE,TRUE),EXACT(metadata!O185,"Not applicable"))</f>
        <v>0</v>
      </c>
      <c r="AR185" t="b">
        <f>OR(AND(IF(metadata!P185="",FALSE,TRUE),OR(EXACT(metadata!P185,"not applicable"),EXACT(metadata!P185,"missing: not collected"),EXACT(metadata!P185,"missing: not provided"),EXACT(metadata!P185,"missing: restricted access"))),IF(metadata!P185="",FALSE,IF(ISERROR(INT(metadata!P185)),FALSE,INT(metadata!P185)=metadata!P185)))</f>
        <v>0</v>
      </c>
      <c r="AS185" t="b">
        <f>AND(IF(metadata!Q185="",FALSE,TRUE),EXACT(metadata!Q185,"Not applicable"))</f>
        <v>0</v>
      </c>
      <c r="AT185" t="b">
        <f>OR(AND(IF(metadata!R185="",FALSE,TRUE),OR(EXACT(metadata!R185,"not applicable"),EXACT(metadata!R185,"missing: not collected"),EXACT(metadata!R185,"missing: not provided"),EXACT(metadata!R185,"missing: restricted access"))),AND(IF(metadata!R185="",FALSE,ISNUMBER(VALUE(metadata!R185))),metadata!R185&gt;0))</f>
        <v>0</v>
      </c>
      <c r="AU185" t="b">
        <f>AND(IF(metadata!S185="",FALSE,TRUE),EXACT(metadata!S185,"missing: not provided"))</f>
        <v>0</v>
      </c>
    </row>
    <row r="186" spans="1:47" x14ac:dyDescent="0.2">
      <c r="A186" s="5" t="str">
        <f ca="1">IF(B186=" "," ",HYPERLINK(CONCATENATE("#metadata!",ADDRESS(INDEX($Y$2:$Y$1001,MATCH(ROWS($W$2:W186),$W$2:$W$1001,0),0),1)),INDEX($AB$2:$AB$1001,MATCH(ROWS($W$2:W186),$W$2:$W$1001,0),0)))</f>
        <v xml:space="preserve"> </v>
      </c>
      <c r="B186" s="4" t="str">
        <f ca="1">IF(OR(INDEX($X$2:$X$1001,MATCH(ROWS($W$2:W186),$W$2:$W$1001,0),1)&gt;=100000,INDEX($AD$1005:$AU$1005,1,MATCH(COLUMNS($AD$1006:AD1006),$AD$1006:$AU$1006,0))&gt;=100000), " ",IF(INDEX($AD$2:$AU$1001,MATCH(ROWS($W$2:W186),$W$2:$W$1001,0),MATCH(COLUMNS($AD$1006:AD1006),$AD$1006:$AU$1006,0)), HYPERLINK("#",""), HYPERLINK(CONCATENATE("#metadata!", ADDRESS(INDEX($Y$2:$Y$1001,MATCH(ROWS($W$2:W186),$W$2:$W$1001,0),0), INDEX($AD$1004:$AU$1004,1,MATCH(COLUMNS($AD$1006:AD1006),$AD$1006:$AU$1006,0)))),"Fix")))</f>
        <v xml:space="preserve"> </v>
      </c>
      <c r="C186" s="4" t="str">
        <f ca="1">IF(OR(INDEX($X$2:$X$1001,MATCH(ROWS($W$2:W186),$W$2:$W$1001,0),1)&gt;=100000,INDEX($AD$1005:$AU$1005,1,MATCH(COLUMNS($AD$1006:AE1006),$AD$1006:$AU$1006,0))&gt;=100000), " ",IF(INDEX($AD$2:$AU$1001,MATCH(ROWS($W$2:W186),$W$2:$W$1001,0),MATCH(COLUMNS($AD$1006:AE1006),$AD$1006:$AU$1006,0)), HYPERLINK("#",""), HYPERLINK(CONCATENATE("#metadata!", ADDRESS(INDEX($Y$2:$Y$1001,MATCH(ROWS($W$2:W186),$W$2:$W$1001,0),0), INDEX($AD$1004:$AU$1004,1,MATCH(COLUMNS($AD$1006:AE1006),$AD$1006:$AU$1006,0)))),"Fix")))</f>
        <v xml:space="preserve"> </v>
      </c>
      <c r="D186" s="4" t="str">
        <f ca="1">IF(OR(INDEX($X$2:$X$1001,MATCH(ROWS($W$2:W186),$W$2:$W$1001,0),1)&gt;=100000,INDEX($AD$1005:$AU$1005,1,MATCH(COLUMNS($AD$1006:AF1006),$AD$1006:$AU$1006,0))&gt;=100000), " ",IF(INDEX($AD$2:$AU$1001,MATCH(ROWS($W$2:W186),$W$2:$W$1001,0),MATCH(COLUMNS($AD$1006:AF1006),$AD$1006:$AU$1006,0)), HYPERLINK("#",""), HYPERLINK(CONCATENATE("#metadata!", ADDRESS(INDEX($Y$2:$Y$1001,MATCH(ROWS($W$2:W186),$W$2:$W$1001,0),0), INDEX($AD$1004:$AU$1004,1,MATCH(COLUMNS($AD$1006:AF1006),$AD$1006:$AU$1006,0)))),"Fix")))</f>
        <v xml:space="preserve"> </v>
      </c>
      <c r="E186" s="4" t="str">
        <f ca="1">IF(OR(INDEX($X$2:$X$1001,MATCH(ROWS($W$2:W186),$W$2:$W$1001,0),1)&gt;=100000,INDEX($AD$1005:$AU$1005,1,MATCH(COLUMNS($AD$1006:AG1006),$AD$1006:$AU$1006,0))&gt;=100000), " ",IF(INDEX($AD$2:$AU$1001,MATCH(ROWS($W$2:W186),$W$2:$W$1001,0),MATCH(COLUMNS($AD$1006:AG1006),$AD$1006:$AU$1006,0)), HYPERLINK("#",""), HYPERLINK(CONCATENATE("#metadata!", ADDRESS(INDEX($Y$2:$Y$1001,MATCH(ROWS($W$2:W186),$W$2:$W$1001,0),0), INDEX($AD$1004:$AU$1004,1,MATCH(COLUMNS($AD$1006:AG1006),$AD$1006:$AU$1006,0)))),"Fix")))</f>
        <v xml:space="preserve"> </v>
      </c>
      <c r="F186" s="4" t="str">
        <f ca="1">IF(OR(INDEX($X$2:$X$1001,MATCH(ROWS($W$2:W186),$W$2:$W$1001,0),1)&gt;=100000,INDEX($AD$1005:$AU$1005,1,MATCH(COLUMNS($AD$1006:AH1006),$AD$1006:$AU$1006,0))&gt;=100000), " ",IF(INDEX($AD$2:$AU$1001,MATCH(ROWS($W$2:W186),$W$2:$W$1001,0),MATCH(COLUMNS($AD$1006:AH1006),$AD$1006:$AU$1006,0)), HYPERLINK("#",""), HYPERLINK(CONCATENATE("#metadata!", ADDRESS(INDEX($Y$2:$Y$1001,MATCH(ROWS($W$2:W186),$W$2:$W$1001,0),0), INDEX($AD$1004:$AU$1004,1,MATCH(COLUMNS($AD$1006:AH1006),$AD$1006:$AU$1006,0)))),"Fix")))</f>
        <v xml:space="preserve"> </v>
      </c>
      <c r="G186" s="4" t="str">
        <f ca="1">IF(OR(INDEX($X$2:$X$1001,MATCH(ROWS($W$2:W186),$W$2:$W$1001,0),1)&gt;=100000,INDEX($AD$1005:$AU$1005,1,MATCH(COLUMNS($AD$1006:AI1006),$AD$1006:$AU$1006,0))&gt;=100000), " ",IF(INDEX($AD$2:$AU$1001,MATCH(ROWS($W$2:W186),$W$2:$W$1001,0),MATCH(COLUMNS($AD$1006:AI1006),$AD$1006:$AU$1006,0)), HYPERLINK("#",""), HYPERLINK(CONCATENATE("#metadata!", ADDRESS(INDEX($Y$2:$Y$1001,MATCH(ROWS($W$2:W186),$W$2:$W$1001,0),0), INDEX($AD$1004:$AU$1004,1,MATCH(COLUMNS($AD$1006:AI1006),$AD$1006:$AU$1006,0)))),"Fix")))</f>
        <v xml:space="preserve"> </v>
      </c>
      <c r="H186" s="4" t="str">
        <f ca="1">IF(OR(INDEX($X$2:$X$1001,MATCH(ROWS($W$2:W186),$W$2:$W$1001,0),1)&gt;=100000,INDEX($AD$1005:$AU$1005,1,MATCH(COLUMNS($AD$1006:AJ1006),$AD$1006:$AU$1006,0))&gt;=100000), " ",IF(INDEX($AD$2:$AU$1001,MATCH(ROWS($W$2:W186),$W$2:$W$1001,0),MATCH(COLUMNS($AD$1006:AJ1006),$AD$1006:$AU$1006,0)), HYPERLINK("#",""), HYPERLINK(CONCATENATE("#metadata!", ADDRESS(INDEX($Y$2:$Y$1001,MATCH(ROWS($W$2:W186),$W$2:$W$1001,0),0), INDEX($AD$1004:$AU$1004,1,MATCH(COLUMNS($AD$1006:AJ1006),$AD$1006:$AU$1006,0)))),"Fix")))</f>
        <v xml:space="preserve"> </v>
      </c>
      <c r="I186" s="4" t="str">
        <f ca="1">IF(OR(INDEX($X$2:$X$1001,MATCH(ROWS($W$2:W186),$W$2:$W$1001,0),1)&gt;=100000,INDEX($AD$1005:$AU$1005,1,MATCH(COLUMNS($AD$1006:AK1006),$AD$1006:$AU$1006,0))&gt;=100000), " ",IF(INDEX($AD$2:$AU$1001,MATCH(ROWS($W$2:W186),$W$2:$W$1001,0),MATCH(COLUMNS($AD$1006:AK1006),$AD$1006:$AU$1006,0)), HYPERLINK("#",""), HYPERLINK(CONCATENATE("#metadata!", ADDRESS(INDEX($Y$2:$Y$1001,MATCH(ROWS($W$2:W186),$W$2:$W$1001,0),0), INDEX($AD$1004:$AU$1004,1,MATCH(COLUMNS($AD$1006:AK1006),$AD$1006:$AU$1006,0)))),"Fix")))</f>
        <v xml:space="preserve"> </v>
      </c>
      <c r="J186" s="4" t="str">
        <f ca="1">IF(OR(INDEX($X$2:$X$1001,MATCH(ROWS($W$2:W186),$W$2:$W$1001,0),1)&gt;=100000,INDEX($AD$1005:$AU$1005,1,MATCH(COLUMNS($AD$1006:AL1006),$AD$1006:$AU$1006,0))&gt;=100000), " ",IF(INDEX($AD$2:$AU$1001,MATCH(ROWS($W$2:W186),$W$2:$W$1001,0),MATCH(COLUMNS($AD$1006:AL1006),$AD$1006:$AU$1006,0)), HYPERLINK("#",""), HYPERLINK(CONCATENATE("#metadata!", ADDRESS(INDEX($Y$2:$Y$1001,MATCH(ROWS($W$2:W186),$W$2:$W$1001,0),0), INDEX($AD$1004:$AU$1004,1,MATCH(COLUMNS($AD$1006:AL1006),$AD$1006:$AU$1006,0)))),"Fix")))</f>
        <v xml:space="preserve"> </v>
      </c>
      <c r="K186" s="4" t="str">
        <f ca="1">IF(OR(INDEX($X$2:$X$1001,MATCH(ROWS($W$2:W186),$W$2:$W$1001,0),1)&gt;=100000,INDEX($AD$1005:$AU$1005,1,MATCH(COLUMNS($AD$1006:AM1006),$AD$1006:$AU$1006,0))&gt;=100000), " ",IF(INDEX($AD$2:$AU$1001,MATCH(ROWS($W$2:W186),$W$2:$W$1001,0),MATCH(COLUMNS($AD$1006:AM1006),$AD$1006:$AU$1006,0)), HYPERLINK("#",""), HYPERLINK(CONCATENATE("#metadata!", ADDRESS(INDEX($Y$2:$Y$1001,MATCH(ROWS($W$2:W186),$W$2:$W$1001,0),0), INDEX($AD$1004:$AU$1004,1,MATCH(COLUMNS($AD$1006:AM1006),$AD$1006:$AU$1006,0)))),"Fix")))</f>
        <v xml:space="preserve"> </v>
      </c>
      <c r="L186" s="4" t="str">
        <f ca="1">IF(OR(INDEX($X$2:$X$1001,MATCH(ROWS($W$2:W186),$W$2:$W$1001,0),1)&gt;=100000,INDEX($AD$1005:$AU$1005,1,MATCH(COLUMNS($AD$1006:AN1006),$AD$1006:$AU$1006,0))&gt;=100000), " ",IF(INDEX($AD$2:$AU$1001,MATCH(ROWS($W$2:W186),$W$2:$W$1001,0),MATCH(COLUMNS($AD$1006:AN1006),$AD$1006:$AU$1006,0)), HYPERLINK("#",""), HYPERLINK(CONCATENATE("#metadata!", ADDRESS(INDEX($Y$2:$Y$1001,MATCH(ROWS($W$2:W186),$W$2:$W$1001,0),0), INDEX($AD$1004:$AU$1004,1,MATCH(COLUMNS($AD$1006:AN1006),$AD$1006:$AU$1006,0)))),"Fix")))</f>
        <v xml:space="preserve"> </v>
      </c>
      <c r="M186" s="4" t="str">
        <f ca="1">IF(OR(INDEX($X$2:$X$1001,MATCH(ROWS($W$2:W186),$W$2:$W$1001,0),1)&gt;=100000,INDEX($AD$1005:$AU$1005,1,MATCH(COLUMNS($AD$1006:AO1006),$AD$1006:$AU$1006,0))&gt;=100000), " ",IF(INDEX($AD$2:$AU$1001,MATCH(ROWS($W$2:W186),$W$2:$W$1001,0),MATCH(COLUMNS($AD$1006:AO1006),$AD$1006:$AU$1006,0)), HYPERLINK("#",""), HYPERLINK(CONCATENATE("#metadata!", ADDRESS(INDEX($Y$2:$Y$1001,MATCH(ROWS($W$2:W186),$W$2:$W$1001,0),0), INDEX($AD$1004:$AU$1004,1,MATCH(COLUMNS($AD$1006:AO1006),$AD$1006:$AU$1006,0)))),"Fix")))</f>
        <v xml:space="preserve"> </v>
      </c>
      <c r="N186" s="4" t="str">
        <f ca="1">IF(OR(INDEX($X$2:$X$1001,MATCH(ROWS($W$2:W186),$W$2:$W$1001,0),1)&gt;=100000,INDEX($AD$1005:$AU$1005,1,MATCH(COLUMNS($AD$1006:AP1006),$AD$1006:$AU$1006,0))&gt;=100000), " ",IF(INDEX($AD$2:$AU$1001,MATCH(ROWS($W$2:W186),$W$2:$W$1001,0),MATCH(COLUMNS($AD$1006:AP1006),$AD$1006:$AU$1006,0)), HYPERLINK("#",""), HYPERLINK(CONCATENATE("#metadata!", ADDRESS(INDEX($Y$2:$Y$1001,MATCH(ROWS($W$2:W186),$W$2:$W$1001,0),0), INDEX($AD$1004:$AU$1004,1,MATCH(COLUMNS($AD$1006:AP1006),$AD$1006:$AU$1006,0)))),"Fix")))</f>
        <v xml:space="preserve"> </v>
      </c>
      <c r="O186" s="4" t="str">
        <f ca="1">IF(OR(INDEX($X$2:$X$1001,MATCH(ROWS($W$2:W186),$W$2:$W$1001,0),1)&gt;=100000,INDEX($AD$1005:$AU$1005,1,MATCH(COLUMNS($AD$1006:AQ1006),$AD$1006:$AU$1006,0))&gt;=100000), " ",IF(INDEX($AD$2:$AU$1001,MATCH(ROWS($W$2:W186),$W$2:$W$1001,0),MATCH(COLUMNS($AD$1006:AQ1006),$AD$1006:$AU$1006,0)), HYPERLINK("#",""), HYPERLINK(CONCATENATE("#metadata!", ADDRESS(INDEX($Y$2:$Y$1001,MATCH(ROWS($W$2:W186),$W$2:$W$1001,0),0), INDEX($AD$1004:$AU$1004,1,MATCH(COLUMNS($AD$1006:AQ1006),$AD$1006:$AU$1006,0)))),"Fix")))</f>
        <v xml:space="preserve"> </v>
      </c>
      <c r="P186" s="4" t="str">
        <f ca="1">IF(OR(INDEX($X$2:$X$1001,MATCH(ROWS($W$2:W186),$W$2:$W$1001,0),1)&gt;=100000,INDEX($AD$1005:$AU$1005,1,MATCH(COLUMNS($AD$1006:AR1006),$AD$1006:$AU$1006,0))&gt;=100000), " ",IF(INDEX($AD$2:$AU$1001,MATCH(ROWS($W$2:W186),$W$2:$W$1001,0),MATCH(COLUMNS($AD$1006:AR1006),$AD$1006:$AU$1006,0)), HYPERLINK("#",""), HYPERLINK(CONCATENATE("#metadata!", ADDRESS(INDEX($Y$2:$Y$1001,MATCH(ROWS($W$2:W186),$W$2:$W$1001,0),0), INDEX($AD$1004:$AU$1004,1,MATCH(COLUMNS($AD$1006:AR1006),$AD$1006:$AU$1006,0)))),"Fix")))</f>
        <v xml:space="preserve"> </v>
      </c>
      <c r="Q186" s="4" t="str">
        <f ca="1">IF(OR(INDEX($X$2:$X$1001,MATCH(ROWS($W$2:W186),$W$2:$W$1001,0),1)&gt;=100000,INDEX($AD$1005:$AU$1005,1,MATCH(COLUMNS($AD$1006:AS1006),$AD$1006:$AU$1006,0))&gt;=100000), " ",IF(INDEX($AD$2:$AU$1001,MATCH(ROWS($W$2:W186),$W$2:$W$1001,0),MATCH(COLUMNS($AD$1006:AS1006),$AD$1006:$AU$1006,0)), HYPERLINK("#",""), HYPERLINK(CONCATENATE("#metadata!", ADDRESS(INDEX($Y$2:$Y$1001,MATCH(ROWS($W$2:W186),$W$2:$W$1001,0),0), INDEX($AD$1004:$AU$1004,1,MATCH(COLUMNS($AD$1006:AS1006),$AD$1006:$AU$1006,0)))),"Fix")))</f>
        <v xml:space="preserve"> </v>
      </c>
      <c r="R186" s="4" t="str">
        <f ca="1">IF(OR(INDEX($X$2:$X$1001,MATCH(ROWS($W$2:W186),$W$2:$W$1001,0),1)&gt;=100000,INDEX($AD$1005:$AU$1005,1,MATCH(COLUMNS($AD$1006:AT1006),$AD$1006:$AU$1006,0))&gt;=100000), " ",IF(INDEX($AD$2:$AU$1001,MATCH(ROWS($W$2:W186),$W$2:$W$1001,0),MATCH(COLUMNS($AD$1006:AT1006),$AD$1006:$AU$1006,0)), HYPERLINK("#",""), HYPERLINK(CONCATENATE("#metadata!", ADDRESS(INDEX($Y$2:$Y$1001,MATCH(ROWS($W$2:W186),$W$2:$W$1001,0),0), INDEX($AD$1004:$AU$1004,1,MATCH(COLUMNS($AD$1006:AT1006),$AD$1006:$AU$1006,0)))),"Fix")))</f>
        <v xml:space="preserve"> </v>
      </c>
      <c r="S186" s="4" t="str">
        <f ca="1">IF(OR(INDEX($X$2:$X$1001,MATCH(ROWS($W$2:W186),$W$2:$W$1001,0),1)&gt;=100000,INDEX($AD$1005:$AU$1005,1,MATCH(COLUMNS($AD$1006:AU1006),$AD$1006:$AU$1006,0))&gt;=100000), " ",IF(INDEX($AD$2:$AU$1001,MATCH(ROWS($W$2:W186),$W$2:$W$1001,0),MATCH(COLUMNS($AD$1006:AU1006),$AD$1006:$AU$1006,0)), HYPERLINK("#",""), HYPERLINK(CONCATENATE("#metadata!", ADDRESS(INDEX($Y$2:$Y$1001,MATCH(ROWS($W$2:W186),$W$2:$W$1001,0),0), INDEX($AD$1004:$AU$1004,1,MATCH(COLUMNS($AD$1006:AU1006),$AD$1006:$AU$1006,0)))),"Fix")))</f>
        <v xml:space="preserve"> </v>
      </c>
      <c r="W186">
        <v>185</v>
      </c>
      <c r="X186">
        <v>100186</v>
      </c>
      <c r="Y186">
        <v>186</v>
      </c>
      <c r="Z186" t="b">
        <f t="shared" si="2"/>
        <v>1</v>
      </c>
      <c r="AA186" t="b">
        <f>COUNTBLANK(metadata!B186:S186)=COLUMNS(metadata!B186:S186)</f>
        <v>1</v>
      </c>
      <c r="AB186" t="str">
        <v/>
      </c>
      <c r="AD186" t="b">
        <f ca="1">AND(IF(metadata!B186="",FALSE,TRUE),COUNTIF(metadata!B:B, metadata!B186) = 1,NOT(ISERROR(SUMPRODUCT(SEARCH(MID(metadata!B186,ROW(INDIRECT("1:"&amp;LEN(metadata!B186))), 1),"0123456789abcdefghijklmnopqrstuvwxyzABCDEFGHIJKLMNOPQRSTUVWXYZ.")))))</f>
        <v>0</v>
      </c>
      <c r="AE186" t="b">
        <f>OR(AND(IF(metadata!C186="",FALSE,TRUE),OR(EXACT(metadata!C186,"not applicable"),EXACT(metadata!C186,"missing: not collected"),EXACT(metadata!C186,"missing: not provided"),EXACT(metadata!C186,"missing: restricted access"))),AND(IF(metadata!C186="",FALSE,ISNUMBER(VALUE(metadata!C186))),metadata!C186&gt;0))</f>
        <v>0</v>
      </c>
      <c r="AF186" t="b">
        <f>AND(IF(metadata!D186="",FALSE,TRUE),EXACT(metadata!D186,"missing: not provided"))</f>
        <v>0</v>
      </c>
      <c r="AG186" t="b">
        <f>AND(IF(metadata!E186="",FALSE,TRUE),EXACT(metadata!E186,"Host-associated"))</f>
        <v>0</v>
      </c>
      <c r="AH186" t="b">
        <f>AND(IF(metadata!F186="",FALSE,TRUE),OR(EXACT(metadata!F186,"Animal"),EXACT(metadata!F186,"Fungus"),EXACT(metadata!F186,"Plant")))</f>
        <v>0</v>
      </c>
      <c r="AI186" t="b">
        <f>AND(IF(metadata!G186="",FALSE,TRUE),OR(EXACT(metadata!G186,"Plant secretion"),EXACT(metadata!G186,"Plant rhizosphere"),EXACT(metadata!G186,"Plant surface"),EXACT(metadata!G186,"Plant corpus"),EXACT(metadata!G186,"Fungus surface"),EXACT(metadata!G186,"Fungus corpus"),EXACT(metadata!G186,"Animal surface"),EXACT(metadata!G186,"Animal proximal gut"),EXACT(metadata!G186,"Animal corpus"),EXACT(metadata!G186,"Animal distal gut"),EXACT(metadata!G186,"Animal secretion")))</f>
        <v>0</v>
      </c>
      <c r="AJ186" t="b">
        <f>OR(AND(IF(metadata!H186="",FALSE,TRUE),OR(EXACT(metadata!H186,"missing: not collected"),EXACT(metadata!H186,"missing: not provided"),EXACT(metadata!H186,"missing: restricted access"))),AND(IF(metadata!H186="",FALSE,TRUE),OR(EXACT(metadata!H186,"organism-associated habitat"),EXACT(metadata!H186,"plant-associated habitat"),EXACT(metadata!H186,"animal-associated habitat"),EXACT(metadata!H186,"insecta-associated habitat"),EXACT(metadata!H186,"mammalia-associated habitat"),EXACT(metadata!H186,"human-associated habitat"),EXACT(metadata!H186,"livestock-associated habitat"))))</f>
        <v>0</v>
      </c>
      <c r="AK186" t="b">
        <f>AND(IF(metadata!I186="",FALSE,TRUE),EXACT(metadata!I186,"host-associated"))</f>
        <v>0</v>
      </c>
      <c r="AL186" t="b">
        <f>OR(AND(IF(metadata!J186="",FALSE,TRUE),OR(EXACT(metadata!J186,"not applicable"),EXACT(metadata!J186,"missing: not collected"),EXACT(metadata!J186,"missing: not provided"),EXACT(metadata!J186,"missing: restricted access"))),AND(IF(metadata!J186="",FALSE,ISNUMBER(VALUE(metadata!J186))),metadata!J186&gt;0))</f>
        <v>0</v>
      </c>
      <c r="AM186" t="b">
        <f>AND(IF(metadata!K186="",FALSE,TRUE),EXACT(metadata!K186,"missing: not provided"))</f>
        <v>0</v>
      </c>
      <c r="AN186" t="b">
        <f>IF(metadata!L186="",FALSE,TRUE)</f>
        <v>0</v>
      </c>
      <c r="AO186" t="b">
        <f>IF(metadata!M186="",FALSE,TRUE)</f>
        <v>0</v>
      </c>
      <c r="AP186" t="b">
        <f>OR(AND(IF(metadata!N186="",FALSE,TRUE),OR(EXACT(metadata!N186,"not applicable"),EXACT(metadata!N186,"missing: not collected"),EXACT(metadata!N186,"missing: not provided"))),AND(IF(metadata!N186="",FALSE,IF(ISERROR(INT(metadata!N186)),FALSE,INT(metadata!N186)=metadata!N186)),metadata!N186&gt;0))</f>
        <v>0</v>
      </c>
      <c r="AQ186" t="b">
        <f>AND(IF(metadata!O186="",FALSE,TRUE),EXACT(metadata!O186,"Not applicable"))</f>
        <v>0</v>
      </c>
      <c r="AR186" t="b">
        <f>OR(AND(IF(metadata!P186="",FALSE,TRUE),OR(EXACT(metadata!P186,"not applicable"),EXACT(metadata!P186,"missing: not collected"),EXACT(metadata!P186,"missing: not provided"),EXACT(metadata!P186,"missing: restricted access"))),IF(metadata!P186="",FALSE,IF(ISERROR(INT(metadata!P186)),FALSE,INT(metadata!P186)=metadata!P186)))</f>
        <v>0</v>
      </c>
      <c r="AS186" t="b">
        <f>AND(IF(metadata!Q186="",FALSE,TRUE),EXACT(metadata!Q186,"Not applicable"))</f>
        <v>0</v>
      </c>
      <c r="AT186" t="b">
        <f>OR(AND(IF(metadata!R186="",FALSE,TRUE),OR(EXACT(metadata!R186,"not applicable"),EXACT(metadata!R186,"missing: not collected"),EXACT(metadata!R186,"missing: not provided"),EXACT(metadata!R186,"missing: restricted access"))),AND(IF(metadata!R186="",FALSE,ISNUMBER(VALUE(metadata!R186))),metadata!R186&gt;0))</f>
        <v>0</v>
      </c>
      <c r="AU186" t="b">
        <f>AND(IF(metadata!S186="",FALSE,TRUE),EXACT(metadata!S186,"missing: not provided"))</f>
        <v>0</v>
      </c>
    </row>
    <row r="187" spans="1:47" x14ac:dyDescent="0.2">
      <c r="A187" s="5" t="str">
        <f ca="1">IF(B187=" "," ",HYPERLINK(CONCATENATE("#metadata!",ADDRESS(INDEX($Y$2:$Y$1001,MATCH(ROWS($W$2:W187),$W$2:$W$1001,0),0),1)),INDEX($AB$2:$AB$1001,MATCH(ROWS($W$2:W187),$W$2:$W$1001,0),0)))</f>
        <v xml:space="preserve"> </v>
      </c>
      <c r="B187" s="4" t="str">
        <f ca="1">IF(OR(INDEX($X$2:$X$1001,MATCH(ROWS($W$2:W187),$W$2:$W$1001,0),1)&gt;=100000,INDEX($AD$1005:$AU$1005,1,MATCH(COLUMNS($AD$1006:AD1006),$AD$1006:$AU$1006,0))&gt;=100000), " ",IF(INDEX($AD$2:$AU$1001,MATCH(ROWS($W$2:W187),$W$2:$W$1001,0),MATCH(COLUMNS($AD$1006:AD1006),$AD$1006:$AU$1006,0)), HYPERLINK("#",""), HYPERLINK(CONCATENATE("#metadata!", ADDRESS(INDEX($Y$2:$Y$1001,MATCH(ROWS($W$2:W187),$W$2:$W$1001,0),0), INDEX($AD$1004:$AU$1004,1,MATCH(COLUMNS($AD$1006:AD1006),$AD$1006:$AU$1006,0)))),"Fix")))</f>
        <v xml:space="preserve"> </v>
      </c>
      <c r="C187" s="4" t="str">
        <f ca="1">IF(OR(INDEX($X$2:$X$1001,MATCH(ROWS($W$2:W187),$W$2:$W$1001,0),1)&gt;=100000,INDEX($AD$1005:$AU$1005,1,MATCH(COLUMNS($AD$1006:AE1006),$AD$1006:$AU$1006,0))&gt;=100000), " ",IF(INDEX($AD$2:$AU$1001,MATCH(ROWS($W$2:W187),$W$2:$W$1001,0),MATCH(COLUMNS($AD$1006:AE1006),$AD$1006:$AU$1006,0)), HYPERLINK("#",""), HYPERLINK(CONCATENATE("#metadata!", ADDRESS(INDEX($Y$2:$Y$1001,MATCH(ROWS($W$2:W187),$W$2:$W$1001,0),0), INDEX($AD$1004:$AU$1004,1,MATCH(COLUMNS($AD$1006:AE1006),$AD$1006:$AU$1006,0)))),"Fix")))</f>
        <v xml:space="preserve"> </v>
      </c>
      <c r="D187" s="4" t="str">
        <f ca="1">IF(OR(INDEX($X$2:$X$1001,MATCH(ROWS($W$2:W187),$W$2:$W$1001,0),1)&gt;=100000,INDEX($AD$1005:$AU$1005,1,MATCH(COLUMNS($AD$1006:AF1006),$AD$1006:$AU$1006,0))&gt;=100000), " ",IF(INDEX($AD$2:$AU$1001,MATCH(ROWS($W$2:W187),$W$2:$W$1001,0),MATCH(COLUMNS($AD$1006:AF1006),$AD$1006:$AU$1006,0)), HYPERLINK("#",""), HYPERLINK(CONCATENATE("#metadata!", ADDRESS(INDEX($Y$2:$Y$1001,MATCH(ROWS($W$2:W187),$W$2:$W$1001,0),0), INDEX($AD$1004:$AU$1004,1,MATCH(COLUMNS($AD$1006:AF1006),$AD$1006:$AU$1006,0)))),"Fix")))</f>
        <v xml:space="preserve"> </v>
      </c>
      <c r="E187" s="4" t="str">
        <f ca="1">IF(OR(INDEX($X$2:$X$1001,MATCH(ROWS($W$2:W187),$W$2:$W$1001,0),1)&gt;=100000,INDEX($AD$1005:$AU$1005,1,MATCH(COLUMNS($AD$1006:AG1006),$AD$1006:$AU$1006,0))&gt;=100000), " ",IF(INDEX($AD$2:$AU$1001,MATCH(ROWS($W$2:W187),$W$2:$W$1001,0),MATCH(COLUMNS($AD$1006:AG1006),$AD$1006:$AU$1006,0)), HYPERLINK("#",""), HYPERLINK(CONCATENATE("#metadata!", ADDRESS(INDEX($Y$2:$Y$1001,MATCH(ROWS($W$2:W187),$W$2:$W$1001,0),0), INDEX($AD$1004:$AU$1004,1,MATCH(COLUMNS($AD$1006:AG1006),$AD$1006:$AU$1006,0)))),"Fix")))</f>
        <v xml:space="preserve"> </v>
      </c>
      <c r="F187" s="4" t="str">
        <f ca="1">IF(OR(INDEX($X$2:$X$1001,MATCH(ROWS($W$2:W187),$W$2:$W$1001,0),1)&gt;=100000,INDEX($AD$1005:$AU$1005,1,MATCH(COLUMNS($AD$1006:AH1006),$AD$1006:$AU$1006,0))&gt;=100000), " ",IF(INDEX($AD$2:$AU$1001,MATCH(ROWS($W$2:W187),$W$2:$W$1001,0),MATCH(COLUMNS($AD$1006:AH1006),$AD$1006:$AU$1006,0)), HYPERLINK("#",""), HYPERLINK(CONCATENATE("#metadata!", ADDRESS(INDEX($Y$2:$Y$1001,MATCH(ROWS($W$2:W187),$W$2:$W$1001,0),0), INDEX($AD$1004:$AU$1004,1,MATCH(COLUMNS($AD$1006:AH1006),$AD$1006:$AU$1006,0)))),"Fix")))</f>
        <v xml:space="preserve"> </v>
      </c>
      <c r="G187" s="4" t="str">
        <f ca="1">IF(OR(INDEX($X$2:$X$1001,MATCH(ROWS($W$2:W187),$W$2:$W$1001,0),1)&gt;=100000,INDEX($AD$1005:$AU$1005,1,MATCH(COLUMNS($AD$1006:AI1006),$AD$1006:$AU$1006,0))&gt;=100000), " ",IF(INDEX($AD$2:$AU$1001,MATCH(ROWS($W$2:W187),$W$2:$W$1001,0),MATCH(COLUMNS($AD$1006:AI1006),$AD$1006:$AU$1006,0)), HYPERLINK("#",""), HYPERLINK(CONCATENATE("#metadata!", ADDRESS(INDEX($Y$2:$Y$1001,MATCH(ROWS($W$2:W187),$W$2:$W$1001,0),0), INDEX($AD$1004:$AU$1004,1,MATCH(COLUMNS($AD$1006:AI1006),$AD$1006:$AU$1006,0)))),"Fix")))</f>
        <v xml:space="preserve"> </v>
      </c>
      <c r="H187" s="4" t="str">
        <f ca="1">IF(OR(INDEX($X$2:$X$1001,MATCH(ROWS($W$2:W187),$W$2:$W$1001,0),1)&gt;=100000,INDEX($AD$1005:$AU$1005,1,MATCH(COLUMNS($AD$1006:AJ1006),$AD$1006:$AU$1006,0))&gt;=100000), " ",IF(INDEX($AD$2:$AU$1001,MATCH(ROWS($W$2:W187),$W$2:$W$1001,0),MATCH(COLUMNS($AD$1006:AJ1006),$AD$1006:$AU$1006,0)), HYPERLINK("#",""), HYPERLINK(CONCATENATE("#metadata!", ADDRESS(INDEX($Y$2:$Y$1001,MATCH(ROWS($W$2:W187),$W$2:$W$1001,0),0), INDEX($AD$1004:$AU$1004,1,MATCH(COLUMNS($AD$1006:AJ1006),$AD$1006:$AU$1006,0)))),"Fix")))</f>
        <v xml:space="preserve"> </v>
      </c>
      <c r="I187" s="4" t="str">
        <f ca="1">IF(OR(INDEX($X$2:$X$1001,MATCH(ROWS($W$2:W187),$W$2:$W$1001,0),1)&gt;=100000,INDEX($AD$1005:$AU$1005,1,MATCH(COLUMNS($AD$1006:AK1006),$AD$1006:$AU$1006,0))&gt;=100000), " ",IF(INDEX($AD$2:$AU$1001,MATCH(ROWS($W$2:W187),$W$2:$W$1001,0),MATCH(COLUMNS($AD$1006:AK1006),$AD$1006:$AU$1006,0)), HYPERLINK("#",""), HYPERLINK(CONCATENATE("#metadata!", ADDRESS(INDEX($Y$2:$Y$1001,MATCH(ROWS($W$2:W187),$W$2:$W$1001,0),0), INDEX($AD$1004:$AU$1004,1,MATCH(COLUMNS($AD$1006:AK1006),$AD$1006:$AU$1006,0)))),"Fix")))</f>
        <v xml:space="preserve"> </v>
      </c>
      <c r="J187" s="4" t="str">
        <f ca="1">IF(OR(INDEX($X$2:$X$1001,MATCH(ROWS($W$2:W187),$W$2:$W$1001,0),1)&gt;=100000,INDEX($AD$1005:$AU$1005,1,MATCH(COLUMNS($AD$1006:AL1006),$AD$1006:$AU$1006,0))&gt;=100000), " ",IF(INDEX($AD$2:$AU$1001,MATCH(ROWS($W$2:W187),$W$2:$W$1001,0),MATCH(COLUMNS($AD$1006:AL1006),$AD$1006:$AU$1006,0)), HYPERLINK("#",""), HYPERLINK(CONCATENATE("#metadata!", ADDRESS(INDEX($Y$2:$Y$1001,MATCH(ROWS($W$2:W187),$W$2:$W$1001,0),0), INDEX($AD$1004:$AU$1004,1,MATCH(COLUMNS($AD$1006:AL1006),$AD$1006:$AU$1006,0)))),"Fix")))</f>
        <v xml:space="preserve"> </v>
      </c>
      <c r="K187" s="4" t="str">
        <f ca="1">IF(OR(INDEX($X$2:$X$1001,MATCH(ROWS($W$2:W187),$W$2:$W$1001,0),1)&gt;=100000,INDEX($AD$1005:$AU$1005,1,MATCH(COLUMNS($AD$1006:AM1006),$AD$1006:$AU$1006,0))&gt;=100000), " ",IF(INDEX($AD$2:$AU$1001,MATCH(ROWS($W$2:W187),$W$2:$W$1001,0),MATCH(COLUMNS($AD$1006:AM1006),$AD$1006:$AU$1006,0)), HYPERLINK("#",""), HYPERLINK(CONCATENATE("#metadata!", ADDRESS(INDEX($Y$2:$Y$1001,MATCH(ROWS($W$2:W187),$W$2:$W$1001,0),0), INDEX($AD$1004:$AU$1004,1,MATCH(COLUMNS($AD$1006:AM1006),$AD$1006:$AU$1006,0)))),"Fix")))</f>
        <v xml:space="preserve"> </v>
      </c>
      <c r="L187" s="4" t="str">
        <f ca="1">IF(OR(INDEX($X$2:$X$1001,MATCH(ROWS($W$2:W187),$W$2:$W$1001,0),1)&gt;=100000,INDEX($AD$1005:$AU$1005,1,MATCH(COLUMNS($AD$1006:AN1006),$AD$1006:$AU$1006,0))&gt;=100000), " ",IF(INDEX($AD$2:$AU$1001,MATCH(ROWS($W$2:W187),$W$2:$W$1001,0),MATCH(COLUMNS($AD$1006:AN1006),$AD$1006:$AU$1006,0)), HYPERLINK("#",""), HYPERLINK(CONCATENATE("#metadata!", ADDRESS(INDEX($Y$2:$Y$1001,MATCH(ROWS($W$2:W187),$W$2:$W$1001,0),0), INDEX($AD$1004:$AU$1004,1,MATCH(COLUMNS($AD$1006:AN1006),$AD$1006:$AU$1006,0)))),"Fix")))</f>
        <v xml:space="preserve"> </v>
      </c>
      <c r="M187" s="4" t="str">
        <f ca="1">IF(OR(INDEX($X$2:$X$1001,MATCH(ROWS($W$2:W187),$W$2:$W$1001,0),1)&gt;=100000,INDEX($AD$1005:$AU$1005,1,MATCH(COLUMNS($AD$1006:AO1006),$AD$1006:$AU$1006,0))&gt;=100000), " ",IF(INDEX($AD$2:$AU$1001,MATCH(ROWS($W$2:W187),$W$2:$W$1001,0),MATCH(COLUMNS($AD$1006:AO1006),$AD$1006:$AU$1006,0)), HYPERLINK("#",""), HYPERLINK(CONCATENATE("#metadata!", ADDRESS(INDEX($Y$2:$Y$1001,MATCH(ROWS($W$2:W187),$W$2:$W$1001,0),0), INDEX($AD$1004:$AU$1004,1,MATCH(COLUMNS($AD$1006:AO1006),$AD$1006:$AU$1006,0)))),"Fix")))</f>
        <v xml:space="preserve"> </v>
      </c>
      <c r="N187" s="4" t="str">
        <f ca="1">IF(OR(INDEX($X$2:$X$1001,MATCH(ROWS($W$2:W187),$W$2:$W$1001,0),1)&gt;=100000,INDEX($AD$1005:$AU$1005,1,MATCH(COLUMNS($AD$1006:AP1006),$AD$1006:$AU$1006,0))&gt;=100000), " ",IF(INDEX($AD$2:$AU$1001,MATCH(ROWS($W$2:W187),$W$2:$W$1001,0),MATCH(COLUMNS($AD$1006:AP1006),$AD$1006:$AU$1006,0)), HYPERLINK("#",""), HYPERLINK(CONCATENATE("#metadata!", ADDRESS(INDEX($Y$2:$Y$1001,MATCH(ROWS($W$2:W187),$W$2:$W$1001,0),0), INDEX($AD$1004:$AU$1004,1,MATCH(COLUMNS($AD$1006:AP1006),$AD$1006:$AU$1006,0)))),"Fix")))</f>
        <v xml:space="preserve"> </v>
      </c>
      <c r="O187" s="4" t="str">
        <f ca="1">IF(OR(INDEX($X$2:$X$1001,MATCH(ROWS($W$2:W187),$W$2:$W$1001,0),1)&gt;=100000,INDEX($AD$1005:$AU$1005,1,MATCH(COLUMNS($AD$1006:AQ1006),$AD$1006:$AU$1006,0))&gt;=100000), " ",IF(INDEX($AD$2:$AU$1001,MATCH(ROWS($W$2:W187),$W$2:$W$1001,0),MATCH(COLUMNS($AD$1006:AQ1006),$AD$1006:$AU$1006,0)), HYPERLINK("#",""), HYPERLINK(CONCATENATE("#metadata!", ADDRESS(INDEX($Y$2:$Y$1001,MATCH(ROWS($W$2:W187),$W$2:$W$1001,0),0), INDEX($AD$1004:$AU$1004,1,MATCH(COLUMNS($AD$1006:AQ1006),$AD$1006:$AU$1006,0)))),"Fix")))</f>
        <v xml:space="preserve"> </v>
      </c>
      <c r="P187" s="4" t="str">
        <f ca="1">IF(OR(INDEX($X$2:$X$1001,MATCH(ROWS($W$2:W187),$W$2:$W$1001,0),1)&gt;=100000,INDEX($AD$1005:$AU$1005,1,MATCH(COLUMNS($AD$1006:AR1006),$AD$1006:$AU$1006,0))&gt;=100000), " ",IF(INDEX($AD$2:$AU$1001,MATCH(ROWS($W$2:W187),$W$2:$W$1001,0),MATCH(COLUMNS($AD$1006:AR1006),$AD$1006:$AU$1006,0)), HYPERLINK("#",""), HYPERLINK(CONCATENATE("#metadata!", ADDRESS(INDEX($Y$2:$Y$1001,MATCH(ROWS($W$2:W187),$W$2:$W$1001,0),0), INDEX($AD$1004:$AU$1004,1,MATCH(COLUMNS($AD$1006:AR1006),$AD$1006:$AU$1006,0)))),"Fix")))</f>
        <v xml:space="preserve"> </v>
      </c>
      <c r="Q187" s="4" t="str">
        <f ca="1">IF(OR(INDEX($X$2:$X$1001,MATCH(ROWS($W$2:W187),$W$2:$W$1001,0),1)&gt;=100000,INDEX($AD$1005:$AU$1005,1,MATCH(COLUMNS($AD$1006:AS1006),$AD$1006:$AU$1006,0))&gt;=100000), " ",IF(INDEX($AD$2:$AU$1001,MATCH(ROWS($W$2:W187),$W$2:$W$1001,0),MATCH(COLUMNS($AD$1006:AS1006),$AD$1006:$AU$1006,0)), HYPERLINK("#",""), HYPERLINK(CONCATENATE("#metadata!", ADDRESS(INDEX($Y$2:$Y$1001,MATCH(ROWS($W$2:W187),$W$2:$W$1001,0),0), INDEX($AD$1004:$AU$1004,1,MATCH(COLUMNS($AD$1006:AS1006),$AD$1006:$AU$1006,0)))),"Fix")))</f>
        <v xml:space="preserve"> </v>
      </c>
      <c r="R187" s="4" t="str">
        <f ca="1">IF(OR(INDEX($X$2:$X$1001,MATCH(ROWS($W$2:W187),$W$2:$W$1001,0),1)&gt;=100000,INDEX($AD$1005:$AU$1005,1,MATCH(COLUMNS($AD$1006:AT1006),$AD$1006:$AU$1006,0))&gt;=100000), " ",IF(INDEX($AD$2:$AU$1001,MATCH(ROWS($W$2:W187),$W$2:$W$1001,0),MATCH(COLUMNS($AD$1006:AT1006),$AD$1006:$AU$1006,0)), HYPERLINK("#",""), HYPERLINK(CONCATENATE("#metadata!", ADDRESS(INDEX($Y$2:$Y$1001,MATCH(ROWS($W$2:W187),$W$2:$W$1001,0),0), INDEX($AD$1004:$AU$1004,1,MATCH(COLUMNS($AD$1006:AT1006),$AD$1006:$AU$1006,0)))),"Fix")))</f>
        <v xml:space="preserve"> </v>
      </c>
      <c r="S187" s="4" t="str">
        <f ca="1">IF(OR(INDEX($X$2:$X$1001,MATCH(ROWS($W$2:W187),$W$2:$W$1001,0),1)&gt;=100000,INDEX($AD$1005:$AU$1005,1,MATCH(COLUMNS($AD$1006:AU1006),$AD$1006:$AU$1006,0))&gt;=100000), " ",IF(INDEX($AD$2:$AU$1001,MATCH(ROWS($W$2:W187),$W$2:$W$1001,0),MATCH(COLUMNS($AD$1006:AU1006),$AD$1006:$AU$1006,0)), HYPERLINK("#",""), HYPERLINK(CONCATENATE("#metadata!", ADDRESS(INDEX($Y$2:$Y$1001,MATCH(ROWS($W$2:W187),$W$2:$W$1001,0),0), INDEX($AD$1004:$AU$1004,1,MATCH(COLUMNS($AD$1006:AU1006),$AD$1006:$AU$1006,0)))),"Fix")))</f>
        <v xml:space="preserve"> </v>
      </c>
      <c r="W187">
        <v>186</v>
      </c>
      <c r="X187">
        <v>100187</v>
      </c>
      <c r="Y187">
        <v>187</v>
      </c>
      <c r="Z187" t="b">
        <f t="shared" si="2"/>
        <v>1</v>
      </c>
      <c r="AA187" t="b">
        <f>COUNTBLANK(metadata!B187:S187)=COLUMNS(metadata!B187:S187)</f>
        <v>1</v>
      </c>
      <c r="AB187" t="str">
        <v/>
      </c>
      <c r="AD187" t="b">
        <f ca="1">AND(IF(metadata!B187="",FALSE,TRUE),COUNTIF(metadata!B:B, metadata!B187) = 1,NOT(ISERROR(SUMPRODUCT(SEARCH(MID(metadata!B187,ROW(INDIRECT("1:"&amp;LEN(metadata!B187))), 1),"0123456789abcdefghijklmnopqrstuvwxyzABCDEFGHIJKLMNOPQRSTUVWXYZ.")))))</f>
        <v>0</v>
      </c>
      <c r="AE187" t="b">
        <f>OR(AND(IF(metadata!C187="",FALSE,TRUE),OR(EXACT(metadata!C187,"not applicable"),EXACT(metadata!C187,"missing: not collected"),EXACT(metadata!C187,"missing: not provided"),EXACT(metadata!C187,"missing: restricted access"))),AND(IF(metadata!C187="",FALSE,ISNUMBER(VALUE(metadata!C187))),metadata!C187&gt;0))</f>
        <v>0</v>
      </c>
      <c r="AF187" t="b">
        <f>AND(IF(metadata!D187="",FALSE,TRUE),EXACT(metadata!D187,"missing: not provided"))</f>
        <v>0</v>
      </c>
      <c r="AG187" t="b">
        <f>AND(IF(metadata!E187="",FALSE,TRUE),EXACT(metadata!E187,"Host-associated"))</f>
        <v>0</v>
      </c>
      <c r="AH187" t="b">
        <f>AND(IF(metadata!F187="",FALSE,TRUE),OR(EXACT(metadata!F187,"Animal"),EXACT(metadata!F187,"Fungus"),EXACT(metadata!F187,"Plant")))</f>
        <v>0</v>
      </c>
      <c r="AI187" t="b">
        <f>AND(IF(metadata!G187="",FALSE,TRUE),OR(EXACT(metadata!G187,"Plant secretion"),EXACT(metadata!G187,"Plant rhizosphere"),EXACT(metadata!G187,"Plant surface"),EXACT(metadata!G187,"Plant corpus"),EXACT(metadata!G187,"Fungus surface"),EXACT(metadata!G187,"Fungus corpus"),EXACT(metadata!G187,"Animal surface"),EXACT(metadata!G187,"Animal proximal gut"),EXACT(metadata!G187,"Animal corpus"),EXACT(metadata!G187,"Animal distal gut"),EXACT(metadata!G187,"Animal secretion")))</f>
        <v>0</v>
      </c>
      <c r="AJ187" t="b">
        <f>OR(AND(IF(metadata!H187="",FALSE,TRUE),OR(EXACT(metadata!H187,"missing: not collected"),EXACT(metadata!H187,"missing: not provided"),EXACT(metadata!H187,"missing: restricted access"))),AND(IF(metadata!H187="",FALSE,TRUE),OR(EXACT(metadata!H187,"organism-associated habitat"),EXACT(metadata!H187,"plant-associated habitat"),EXACT(metadata!H187,"animal-associated habitat"),EXACT(metadata!H187,"insecta-associated habitat"),EXACT(metadata!H187,"mammalia-associated habitat"),EXACT(metadata!H187,"human-associated habitat"),EXACT(metadata!H187,"livestock-associated habitat"))))</f>
        <v>0</v>
      </c>
      <c r="AK187" t="b">
        <f>AND(IF(metadata!I187="",FALSE,TRUE),EXACT(metadata!I187,"host-associated"))</f>
        <v>0</v>
      </c>
      <c r="AL187" t="b">
        <f>OR(AND(IF(metadata!J187="",FALSE,TRUE),OR(EXACT(metadata!J187,"not applicable"),EXACT(metadata!J187,"missing: not collected"),EXACT(metadata!J187,"missing: not provided"),EXACT(metadata!J187,"missing: restricted access"))),AND(IF(metadata!J187="",FALSE,ISNUMBER(VALUE(metadata!J187))),metadata!J187&gt;0))</f>
        <v>0</v>
      </c>
      <c r="AM187" t="b">
        <f>AND(IF(metadata!K187="",FALSE,TRUE),EXACT(metadata!K187,"missing: not provided"))</f>
        <v>0</v>
      </c>
      <c r="AN187" t="b">
        <f>IF(metadata!L187="",FALSE,TRUE)</f>
        <v>0</v>
      </c>
      <c r="AO187" t="b">
        <f>IF(metadata!M187="",FALSE,TRUE)</f>
        <v>0</v>
      </c>
      <c r="AP187" t="b">
        <f>OR(AND(IF(metadata!N187="",FALSE,TRUE),OR(EXACT(metadata!N187,"not applicable"),EXACT(metadata!N187,"missing: not collected"),EXACT(metadata!N187,"missing: not provided"))),AND(IF(metadata!N187="",FALSE,IF(ISERROR(INT(metadata!N187)),FALSE,INT(metadata!N187)=metadata!N187)),metadata!N187&gt;0))</f>
        <v>0</v>
      </c>
      <c r="AQ187" t="b">
        <f>AND(IF(metadata!O187="",FALSE,TRUE),EXACT(metadata!O187,"Not applicable"))</f>
        <v>0</v>
      </c>
      <c r="AR187" t="b">
        <f>OR(AND(IF(metadata!P187="",FALSE,TRUE),OR(EXACT(metadata!P187,"not applicable"),EXACT(metadata!P187,"missing: not collected"),EXACT(metadata!P187,"missing: not provided"),EXACT(metadata!P187,"missing: restricted access"))),IF(metadata!P187="",FALSE,IF(ISERROR(INT(metadata!P187)),FALSE,INT(metadata!P187)=metadata!P187)))</f>
        <v>0</v>
      </c>
      <c r="AS187" t="b">
        <f>AND(IF(metadata!Q187="",FALSE,TRUE),EXACT(metadata!Q187,"Not applicable"))</f>
        <v>0</v>
      </c>
      <c r="AT187" t="b">
        <f>OR(AND(IF(metadata!R187="",FALSE,TRUE),OR(EXACT(metadata!R187,"not applicable"),EXACT(metadata!R187,"missing: not collected"),EXACT(metadata!R187,"missing: not provided"),EXACT(metadata!R187,"missing: restricted access"))),AND(IF(metadata!R187="",FALSE,ISNUMBER(VALUE(metadata!R187))),metadata!R187&gt;0))</f>
        <v>0</v>
      </c>
      <c r="AU187" t="b">
        <f>AND(IF(metadata!S187="",FALSE,TRUE),EXACT(metadata!S187,"missing: not provided"))</f>
        <v>0</v>
      </c>
    </row>
    <row r="188" spans="1:47" x14ac:dyDescent="0.2">
      <c r="A188" s="5" t="str">
        <f ca="1">IF(B188=" "," ",HYPERLINK(CONCATENATE("#metadata!",ADDRESS(INDEX($Y$2:$Y$1001,MATCH(ROWS($W$2:W188),$W$2:$W$1001,0),0),1)),INDEX($AB$2:$AB$1001,MATCH(ROWS($W$2:W188),$W$2:$W$1001,0),0)))</f>
        <v xml:space="preserve"> </v>
      </c>
      <c r="B188" s="4" t="str">
        <f ca="1">IF(OR(INDEX($X$2:$X$1001,MATCH(ROWS($W$2:W188),$W$2:$W$1001,0),1)&gt;=100000,INDEX($AD$1005:$AU$1005,1,MATCH(COLUMNS($AD$1006:AD1006),$AD$1006:$AU$1006,0))&gt;=100000), " ",IF(INDEX($AD$2:$AU$1001,MATCH(ROWS($W$2:W188),$W$2:$W$1001,0),MATCH(COLUMNS($AD$1006:AD1006),$AD$1006:$AU$1006,0)), HYPERLINK("#",""), HYPERLINK(CONCATENATE("#metadata!", ADDRESS(INDEX($Y$2:$Y$1001,MATCH(ROWS($W$2:W188),$W$2:$W$1001,0),0), INDEX($AD$1004:$AU$1004,1,MATCH(COLUMNS($AD$1006:AD1006),$AD$1006:$AU$1006,0)))),"Fix")))</f>
        <v xml:space="preserve"> </v>
      </c>
      <c r="C188" s="4" t="str">
        <f ca="1">IF(OR(INDEX($X$2:$X$1001,MATCH(ROWS($W$2:W188),$W$2:$W$1001,0),1)&gt;=100000,INDEX($AD$1005:$AU$1005,1,MATCH(COLUMNS($AD$1006:AE1006),$AD$1006:$AU$1006,0))&gt;=100000), " ",IF(INDEX($AD$2:$AU$1001,MATCH(ROWS($W$2:W188),$W$2:$W$1001,0),MATCH(COLUMNS($AD$1006:AE1006),$AD$1006:$AU$1006,0)), HYPERLINK("#",""), HYPERLINK(CONCATENATE("#metadata!", ADDRESS(INDEX($Y$2:$Y$1001,MATCH(ROWS($W$2:W188),$W$2:$W$1001,0),0), INDEX($AD$1004:$AU$1004,1,MATCH(COLUMNS($AD$1006:AE1006),$AD$1006:$AU$1006,0)))),"Fix")))</f>
        <v xml:space="preserve"> </v>
      </c>
      <c r="D188" s="4" t="str">
        <f ca="1">IF(OR(INDEX($X$2:$X$1001,MATCH(ROWS($W$2:W188),$W$2:$W$1001,0),1)&gt;=100000,INDEX($AD$1005:$AU$1005,1,MATCH(COLUMNS($AD$1006:AF1006),$AD$1006:$AU$1006,0))&gt;=100000), " ",IF(INDEX($AD$2:$AU$1001,MATCH(ROWS($W$2:W188),$W$2:$W$1001,0),MATCH(COLUMNS($AD$1006:AF1006),$AD$1006:$AU$1006,0)), HYPERLINK("#",""), HYPERLINK(CONCATENATE("#metadata!", ADDRESS(INDEX($Y$2:$Y$1001,MATCH(ROWS($W$2:W188),$W$2:$W$1001,0),0), INDEX($AD$1004:$AU$1004,1,MATCH(COLUMNS($AD$1006:AF1006),$AD$1006:$AU$1006,0)))),"Fix")))</f>
        <v xml:space="preserve"> </v>
      </c>
      <c r="E188" s="4" t="str">
        <f ca="1">IF(OR(INDEX($X$2:$X$1001,MATCH(ROWS($W$2:W188),$W$2:$W$1001,0),1)&gt;=100000,INDEX($AD$1005:$AU$1005,1,MATCH(COLUMNS($AD$1006:AG1006),$AD$1006:$AU$1006,0))&gt;=100000), " ",IF(INDEX($AD$2:$AU$1001,MATCH(ROWS($W$2:W188),$W$2:$W$1001,0),MATCH(COLUMNS($AD$1006:AG1006),$AD$1006:$AU$1006,0)), HYPERLINK("#",""), HYPERLINK(CONCATENATE("#metadata!", ADDRESS(INDEX($Y$2:$Y$1001,MATCH(ROWS($W$2:W188),$W$2:$W$1001,0),0), INDEX($AD$1004:$AU$1004,1,MATCH(COLUMNS($AD$1006:AG1006),$AD$1006:$AU$1006,0)))),"Fix")))</f>
        <v xml:space="preserve"> </v>
      </c>
      <c r="F188" s="4" t="str">
        <f ca="1">IF(OR(INDEX($X$2:$X$1001,MATCH(ROWS($W$2:W188),$W$2:$W$1001,0),1)&gt;=100000,INDEX($AD$1005:$AU$1005,1,MATCH(COLUMNS($AD$1006:AH1006),$AD$1006:$AU$1006,0))&gt;=100000), " ",IF(INDEX($AD$2:$AU$1001,MATCH(ROWS($W$2:W188),$W$2:$W$1001,0),MATCH(COLUMNS($AD$1006:AH1006),$AD$1006:$AU$1006,0)), HYPERLINK("#",""), HYPERLINK(CONCATENATE("#metadata!", ADDRESS(INDEX($Y$2:$Y$1001,MATCH(ROWS($W$2:W188),$W$2:$W$1001,0),0), INDEX($AD$1004:$AU$1004,1,MATCH(COLUMNS($AD$1006:AH1006),$AD$1006:$AU$1006,0)))),"Fix")))</f>
        <v xml:space="preserve"> </v>
      </c>
      <c r="G188" s="4" t="str">
        <f ca="1">IF(OR(INDEX($X$2:$X$1001,MATCH(ROWS($W$2:W188),$W$2:$W$1001,0),1)&gt;=100000,INDEX($AD$1005:$AU$1005,1,MATCH(COLUMNS($AD$1006:AI1006),$AD$1006:$AU$1006,0))&gt;=100000), " ",IF(INDEX($AD$2:$AU$1001,MATCH(ROWS($W$2:W188),$W$2:$W$1001,0),MATCH(COLUMNS($AD$1006:AI1006),$AD$1006:$AU$1006,0)), HYPERLINK("#",""), HYPERLINK(CONCATENATE("#metadata!", ADDRESS(INDEX($Y$2:$Y$1001,MATCH(ROWS($W$2:W188),$W$2:$W$1001,0),0), INDEX($AD$1004:$AU$1004,1,MATCH(COLUMNS($AD$1006:AI1006),$AD$1006:$AU$1006,0)))),"Fix")))</f>
        <v xml:space="preserve"> </v>
      </c>
      <c r="H188" s="4" t="str">
        <f ca="1">IF(OR(INDEX($X$2:$X$1001,MATCH(ROWS($W$2:W188),$W$2:$W$1001,0),1)&gt;=100000,INDEX($AD$1005:$AU$1005,1,MATCH(COLUMNS($AD$1006:AJ1006),$AD$1006:$AU$1006,0))&gt;=100000), " ",IF(INDEX($AD$2:$AU$1001,MATCH(ROWS($W$2:W188),$W$2:$W$1001,0),MATCH(COLUMNS($AD$1006:AJ1006),$AD$1006:$AU$1006,0)), HYPERLINK("#",""), HYPERLINK(CONCATENATE("#metadata!", ADDRESS(INDEX($Y$2:$Y$1001,MATCH(ROWS($W$2:W188),$W$2:$W$1001,0),0), INDEX($AD$1004:$AU$1004,1,MATCH(COLUMNS($AD$1006:AJ1006),$AD$1006:$AU$1006,0)))),"Fix")))</f>
        <v xml:space="preserve"> </v>
      </c>
      <c r="I188" s="4" t="str">
        <f ca="1">IF(OR(INDEX($X$2:$X$1001,MATCH(ROWS($W$2:W188),$W$2:$W$1001,0),1)&gt;=100000,INDEX($AD$1005:$AU$1005,1,MATCH(COLUMNS($AD$1006:AK1006),$AD$1006:$AU$1006,0))&gt;=100000), " ",IF(INDEX($AD$2:$AU$1001,MATCH(ROWS($W$2:W188),$W$2:$W$1001,0),MATCH(COLUMNS($AD$1006:AK1006),$AD$1006:$AU$1006,0)), HYPERLINK("#",""), HYPERLINK(CONCATENATE("#metadata!", ADDRESS(INDEX($Y$2:$Y$1001,MATCH(ROWS($W$2:W188),$W$2:$W$1001,0),0), INDEX($AD$1004:$AU$1004,1,MATCH(COLUMNS($AD$1006:AK1006),$AD$1006:$AU$1006,0)))),"Fix")))</f>
        <v xml:space="preserve"> </v>
      </c>
      <c r="J188" s="4" t="str">
        <f ca="1">IF(OR(INDEX($X$2:$X$1001,MATCH(ROWS($W$2:W188),$W$2:$W$1001,0),1)&gt;=100000,INDEX($AD$1005:$AU$1005,1,MATCH(COLUMNS($AD$1006:AL1006),$AD$1006:$AU$1006,0))&gt;=100000), " ",IF(INDEX($AD$2:$AU$1001,MATCH(ROWS($W$2:W188),$W$2:$W$1001,0),MATCH(COLUMNS($AD$1006:AL1006),$AD$1006:$AU$1006,0)), HYPERLINK("#",""), HYPERLINK(CONCATENATE("#metadata!", ADDRESS(INDEX($Y$2:$Y$1001,MATCH(ROWS($W$2:W188),$W$2:$W$1001,0),0), INDEX($AD$1004:$AU$1004,1,MATCH(COLUMNS($AD$1006:AL1006),$AD$1006:$AU$1006,0)))),"Fix")))</f>
        <v xml:space="preserve"> </v>
      </c>
      <c r="K188" s="4" t="str">
        <f ca="1">IF(OR(INDEX($X$2:$X$1001,MATCH(ROWS($W$2:W188),$W$2:$W$1001,0),1)&gt;=100000,INDEX($AD$1005:$AU$1005,1,MATCH(COLUMNS($AD$1006:AM1006),$AD$1006:$AU$1006,0))&gt;=100000), " ",IF(INDEX($AD$2:$AU$1001,MATCH(ROWS($W$2:W188),$W$2:$W$1001,0),MATCH(COLUMNS($AD$1006:AM1006),$AD$1006:$AU$1006,0)), HYPERLINK("#",""), HYPERLINK(CONCATENATE("#metadata!", ADDRESS(INDEX($Y$2:$Y$1001,MATCH(ROWS($W$2:W188),$W$2:$W$1001,0),0), INDEX($AD$1004:$AU$1004,1,MATCH(COLUMNS($AD$1006:AM1006),$AD$1006:$AU$1006,0)))),"Fix")))</f>
        <v xml:space="preserve"> </v>
      </c>
      <c r="L188" s="4" t="str">
        <f ca="1">IF(OR(INDEX($X$2:$X$1001,MATCH(ROWS($W$2:W188),$W$2:$W$1001,0),1)&gt;=100000,INDEX($AD$1005:$AU$1005,1,MATCH(COLUMNS($AD$1006:AN1006),$AD$1006:$AU$1006,0))&gt;=100000), " ",IF(INDEX($AD$2:$AU$1001,MATCH(ROWS($W$2:W188),$W$2:$W$1001,0),MATCH(COLUMNS($AD$1006:AN1006),$AD$1006:$AU$1006,0)), HYPERLINK("#",""), HYPERLINK(CONCATENATE("#metadata!", ADDRESS(INDEX($Y$2:$Y$1001,MATCH(ROWS($W$2:W188),$W$2:$W$1001,0),0), INDEX($AD$1004:$AU$1004,1,MATCH(COLUMNS($AD$1006:AN1006),$AD$1006:$AU$1006,0)))),"Fix")))</f>
        <v xml:space="preserve"> </v>
      </c>
      <c r="M188" s="4" t="str">
        <f ca="1">IF(OR(INDEX($X$2:$X$1001,MATCH(ROWS($W$2:W188),$W$2:$W$1001,0),1)&gt;=100000,INDEX($AD$1005:$AU$1005,1,MATCH(COLUMNS($AD$1006:AO1006),$AD$1006:$AU$1006,0))&gt;=100000), " ",IF(INDEX($AD$2:$AU$1001,MATCH(ROWS($W$2:W188),$W$2:$W$1001,0),MATCH(COLUMNS($AD$1006:AO1006),$AD$1006:$AU$1006,0)), HYPERLINK("#",""), HYPERLINK(CONCATENATE("#metadata!", ADDRESS(INDEX($Y$2:$Y$1001,MATCH(ROWS($W$2:W188),$W$2:$W$1001,0),0), INDEX($AD$1004:$AU$1004,1,MATCH(COLUMNS($AD$1006:AO1006),$AD$1006:$AU$1006,0)))),"Fix")))</f>
        <v xml:space="preserve"> </v>
      </c>
      <c r="N188" s="4" t="str">
        <f ca="1">IF(OR(INDEX($X$2:$X$1001,MATCH(ROWS($W$2:W188),$W$2:$W$1001,0),1)&gt;=100000,INDEX($AD$1005:$AU$1005,1,MATCH(COLUMNS($AD$1006:AP1006),$AD$1006:$AU$1006,0))&gt;=100000), " ",IF(INDEX($AD$2:$AU$1001,MATCH(ROWS($W$2:W188),$W$2:$W$1001,0),MATCH(COLUMNS($AD$1006:AP1006),$AD$1006:$AU$1006,0)), HYPERLINK("#",""), HYPERLINK(CONCATENATE("#metadata!", ADDRESS(INDEX($Y$2:$Y$1001,MATCH(ROWS($W$2:W188),$W$2:$W$1001,0),0), INDEX($AD$1004:$AU$1004,1,MATCH(COLUMNS($AD$1006:AP1006),$AD$1006:$AU$1006,0)))),"Fix")))</f>
        <v xml:space="preserve"> </v>
      </c>
      <c r="O188" s="4" t="str">
        <f ca="1">IF(OR(INDEX($X$2:$X$1001,MATCH(ROWS($W$2:W188),$W$2:$W$1001,0),1)&gt;=100000,INDEX($AD$1005:$AU$1005,1,MATCH(COLUMNS($AD$1006:AQ1006),$AD$1006:$AU$1006,0))&gt;=100000), " ",IF(INDEX($AD$2:$AU$1001,MATCH(ROWS($W$2:W188),$W$2:$W$1001,0),MATCH(COLUMNS($AD$1006:AQ1006),$AD$1006:$AU$1006,0)), HYPERLINK("#",""), HYPERLINK(CONCATENATE("#metadata!", ADDRESS(INDEX($Y$2:$Y$1001,MATCH(ROWS($W$2:W188),$W$2:$W$1001,0),0), INDEX($AD$1004:$AU$1004,1,MATCH(COLUMNS($AD$1006:AQ1006),$AD$1006:$AU$1006,0)))),"Fix")))</f>
        <v xml:space="preserve"> </v>
      </c>
      <c r="P188" s="4" t="str">
        <f ca="1">IF(OR(INDEX($X$2:$X$1001,MATCH(ROWS($W$2:W188),$W$2:$W$1001,0),1)&gt;=100000,INDEX($AD$1005:$AU$1005,1,MATCH(COLUMNS($AD$1006:AR1006),$AD$1006:$AU$1006,0))&gt;=100000), " ",IF(INDEX($AD$2:$AU$1001,MATCH(ROWS($W$2:W188),$W$2:$W$1001,0),MATCH(COLUMNS($AD$1006:AR1006),$AD$1006:$AU$1006,0)), HYPERLINK("#",""), HYPERLINK(CONCATENATE("#metadata!", ADDRESS(INDEX($Y$2:$Y$1001,MATCH(ROWS($W$2:W188),$W$2:$W$1001,0),0), INDEX($AD$1004:$AU$1004,1,MATCH(COLUMNS($AD$1006:AR1006),$AD$1006:$AU$1006,0)))),"Fix")))</f>
        <v xml:space="preserve"> </v>
      </c>
      <c r="Q188" s="4" t="str">
        <f ca="1">IF(OR(INDEX($X$2:$X$1001,MATCH(ROWS($W$2:W188),$W$2:$W$1001,0),1)&gt;=100000,INDEX($AD$1005:$AU$1005,1,MATCH(COLUMNS($AD$1006:AS1006),$AD$1006:$AU$1006,0))&gt;=100000), " ",IF(INDEX($AD$2:$AU$1001,MATCH(ROWS($W$2:W188),$W$2:$W$1001,0),MATCH(COLUMNS($AD$1006:AS1006),$AD$1006:$AU$1006,0)), HYPERLINK("#",""), HYPERLINK(CONCATENATE("#metadata!", ADDRESS(INDEX($Y$2:$Y$1001,MATCH(ROWS($W$2:W188),$W$2:$W$1001,0),0), INDEX($AD$1004:$AU$1004,1,MATCH(COLUMNS($AD$1006:AS1006),$AD$1006:$AU$1006,0)))),"Fix")))</f>
        <v xml:space="preserve"> </v>
      </c>
      <c r="R188" s="4" t="str">
        <f ca="1">IF(OR(INDEX($X$2:$X$1001,MATCH(ROWS($W$2:W188),$W$2:$W$1001,0),1)&gt;=100000,INDEX($AD$1005:$AU$1005,1,MATCH(COLUMNS($AD$1006:AT1006),$AD$1006:$AU$1006,0))&gt;=100000), " ",IF(INDEX($AD$2:$AU$1001,MATCH(ROWS($W$2:W188),$W$2:$W$1001,0),MATCH(COLUMNS($AD$1006:AT1006),$AD$1006:$AU$1006,0)), HYPERLINK("#",""), HYPERLINK(CONCATENATE("#metadata!", ADDRESS(INDEX($Y$2:$Y$1001,MATCH(ROWS($W$2:W188),$W$2:$W$1001,0),0), INDEX($AD$1004:$AU$1004,1,MATCH(COLUMNS($AD$1006:AT1006),$AD$1006:$AU$1006,0)))),"Fix")))</f>
        <v xml:space="preserve"> </v>
      </c>
      <c r="S188" s="4" t="str">
        <f ca="1">IF(OR(INDEX($X$2:$X$1001,MATCH(ROWS($W$2:W188),$W$2:$W$1001,0),1)&gt;=100000,INDEX($AD$1005:$AU$1005,1,MATCH(COLUMNS($AD$1006:AU1006),$AD$1006:$AU$1006,0))&gt;=100000), " ",IF(INDEX($AD$2:$AU$1001,MATCH(ROWS($W$2:W188),$W$2:$W$1001,0),MATCH(COLUMNS($AD$1006:AU1006),$AD$1006:$AU$1006,0)), HYPERLINK("#",""), HYPERLINK(CONCATENATE("#metadata!", ADDRESS(INDEX($Y$2:$Y$1001,MATCH(ROWS($W$2:W188),$W$2:$W$1001,0),0), INDEX($AD$1004:$AU$1004,1,MATCH(COLUMNS($AD$1006:AU1006),$AD$1006:$AU$1006,0)))),"Fix")))</f>
        <v xml:space="preserve"> </v>
      </c>
      <c r="W188">
        <v>187</v>
      </c>
      <c r="X188">
        <v>100188</v>
      </c>
      <c r="Y188">
        <v>188</v>
      </c>
      <c r="Z188" t="b">
        <f t="shared" si="2"/>
        <v>1</v>
      </c>
      <c r="AA188" t="b">
        <f>COUNTBLANK(metadata!B188:S188)=COLUMNS(metadata!B188:S188)</f>
        <v>1</v>
      </c>
      <c r="AB188" t="str">
        <v/>
      </c>
      <c r="AD188" t="b">
        <f ca="1">AND(IF(metadata!B188="",FALSE,TRUE),COUNTIF(metadata!B:B, metadata!B188) = 1,NOT(ISERROR(SUMPRODUCT(SEARCH(MID(metadata!B188,ROW(INDIRECT("1:"&amp;LEN(metadata!B188))), 1),"0123456789abcdefghijklmnopqrstuvwxyzABCDEFGHIJKLMNOPQRSTUVWXYZ.")))))</f>
        <v>0</v>
      </c>
      <c r="AE188" t="b">
        <f>OR(AND(IF(metadata!C188="",FALSE,TRUE),OR(EXACT(metadata!C188,"not applicable"),EXACT(metadata!C188,"missing: not collected"),EXACT(metadata!C188,"missing: not provided"),EXACT(metadata!C188,"missing: restricted access"))),AND(IF(metadata!C188="",FALSE,ISNUMBER(VALUE(metadata!C188))),metadata!C188&gt;0))</f>
        <v>0</v>
      </c>
      <c r="AF188" t="b">
        <f>AND(IF(metadata!D188="",FALSE,TRUE),EXACT(metadata!D188,"missing: not provided"))</f>
        <v>0</v>
      </c>
      <c r="AG188" t="b">
        <f>AND(IF(metadata!E188="",FALSE,TRUE),EXACT(metadata!E188,"Host-associated"))</f>
        <v>0</v>
      </c>
      <c r="AH188" t="b">
        <f>AND(IF(metadata!F188="",FALSE,TRUE),OR(EXACT(metadata!F188,"Animal"),EXACT(metadata!F188,"Fungus"),EXACT(metadata!F188,"Plant")))</f>
        <v>0</v>
      </c>
      <c r="AI188" t="b">
        <f>AND(IF(metadata!G188="",FALSE,TRUE),OR(EXACT(metadata!G188,"Plant secretion"),EXACT(metadata!G188,"Plant rhizosphere"),EXACT(metadata!G188,"Plant surface"),EXACT(metadata!G188,"Plant corpus"),EXACT(metadata!G188,"Fungus surface"),EXACT(metadata!G188,"Fungus corpus"),EXACT(metadata!G188,"Animal surface"),EXACT(metadata!G188,"Animal proximal gut"),EXACT(metadata!G188,"Animal corpus"),EXACT(metadata!G188,"Animal distal gut"),EXACT(metadata!G188,"Animal secretion")))</f>
        <v>0</v>
      </c>
      <c r="AJ188" t="b">
        <f>OR(AND(IF(metadata!H188="",FALSE,TRUE),OR(EXACT(metadata!H188,"missing: not collected"),EXACT(metadata!H188,"missing: not provided"),EXACT(metadata!H188,"missing: restricted access"))),AND(IF(metadata!H188="",FALSE,TRUE),OR(EXACT(metadata!H188,"organism-associated habitat"),EXACT(metadata!H188,"plant-associated habitat"),EXACT(metadata!H188,"animal-associated habitat"),EXACT(metadata!H188,"insecta-associated habitat"),EXACT(metadata!H188,"mammalia-associated habitat"),EXACT(metadata!H188,"human-associated habitat"),EXACT(metadata!H188,"livestock-associated habitat"))))</f>
        <v>0</v>
      </c>
      <c r="AK188" t="b">
        <f>AND(IF(metadata!I188="",FALSE,TRUE),EXACT(metadata!I188,"host-associated"))</f>
        <v>0</v>
      </c>
      <c r="AL188" t="b">
        <f>OR(AND(IF(metadata!J188="",FALSE,TRUE),OR(EXACT(metadata!J188,"not applicable"),EXACT(metadata!J188,"missing: not collected"),EXACT(metadata!J188,"missing: not provided"),EXACT(metadata!J188,"missing: restricted access"))),AND(IF(metadata!J188="",FALSE,ISNUMBER(VALUE(metadata!J188))),metadata!J188&gt;0))</f>
        <v>0</v>
      </c>
      <c r="AM188" t="b">
        <f>AND(IF(metadata!K188="",FALSE,TRUE),EXACT(metadata!K188,"missing: not provided"))</f>
        <v>0</v>
      </c>
      <c r="AN188" t="b">
        <f>IF(metadata!L188="",FALSE,TRUE)</f>
        <v>0</v>
      </c>
      <c r="AO188" t="b">
        <f>IF(metadata!M188="",FALSE,TRUE)</f>
        <v>0</v>
      </c>
      <c r="AP188" t="b">
        <f>OR(AND(IF(metadata!N188="",FALSE,TRUE),OR(EXACT(metadata!N188,"not applicable"),EXACT(metadata!N188,"missing: not collected"),EXACT(metadata!N188,"missing: not provided"))),AND(IF(metadata!N188="",FALSE,IF(ISERROR(INT(metadata!N188)),FALSE,INT(metadata!N188)=metadata!N188)),metadata!N188&gt;0))</f>
        <v>0</v>
      </c>
      <c r="AQ188" t="b">
        <f>AND(IF(metadata!O188="",FALSE,TRUE),EXACT(metadata!O188,"Not applicable"))</f>
        <v>0</v>
      </c>
      <c r="AR188" t="b">
        <f>OR(AND(IF(metadata!P188="",FALSE,TRUE),OR(EXACT(metadata!P188,"not applicable"),EXACT(metadata!P188,"missing: not collected"),EXACT(metadata!P188,"missing: not provided"),EXACT(metadata!P188,"missing: restricted access"))),IF(metadata!P188="",FALSE,IF(ISERROR(INT(metadata!P188)),FALSE,INT(metadata!P188)=metadata!P188)))</f>
        <v>0</v>
      </c>
      <c r="AS188" t="b">
        <f>AND(IF(metadata!Q188="",FALSE,TRUE),EXACT(metadata!Q188,"Not applicable"))</f>
        <v>0</v>
      </c>
      <c r="AT188" t="b">
        <f>OR(AND(IF(metadata!R188="",FALSE,TRUE),OR(EXACT(metadata!R188,"not applicable"),EXACT(metadata!R188,"missing: not collected"),EXACT(metadata!R188,"missing: not provided"),EXACT(metadata!R188,"missing: restricted access"))),AND(IF(metadata!R188="",FALSE,ISNUMBER(VALUE(metadata!R188))),metadata!R188&gt;0))</f>
        <v>0</v>
      </c>
      <c r="AU188" t="b">
        <f>AND(IF(metadata!S188="",FALSE,TRUE),EXACT(metadata!S188,"missing: not provided"))</f>
        <v>0</v>
      </c>
    </row>
    <row r="189" spans="1:47" x14ac:dyDescent="0.2">
      <c r="A189" s="5" t="str">
        <f ca="1">IF(B189=" "," ",HYPERLINK(CONCATENATE("#metadata!",ADDRESS(INDEX($Y$2:$Y$1001,MATCH(ROWS($W$2:W189),$W$2:$W$1001,0),0),1)),INDEX($AB$2:$AB$1001,MATCH(ROWS($W$2:W189),$W$2:$W$1001,0),0)))</f>
        <v xml:space="preserve"> </v>
      </c>
      <c r="B189" s="4" t="str">
        <f ca="1">IF(OR(INDEX($X$2:$X$1001,MATCH(ROWS($W$2:W189),$W$2:$W$1001,0),1)&gt;=100000,INDEX($AD$1005:$AU$1005,1,MATCH(COLUMNS($AD$1006:AD1006),$AD$1006:$AU$1006,0))&gt;=100000), " ",IF(INDEX($AD$2:$AU$1001,MATCH(ROWS($W$2:W189),$W$2:$W$1001,0),MATCH(COLUMNS($AD$1006:AD1006),$AD$1006:$AU$1006,0)), HYPERLINK("#",""), HYPERLINK(CONCATENATE("#metadata!", ADDRESS(INDEX($Y$2:$Y$1001,MATCH(ROWS($W$2:W189),$W$2:$W$1001,0),0), INDEX($AD$1004:$AU$1004,1,MATCH(COLUMNS($AD$1006:AD1006),$AD$1006:$AU$1006,0)))),"Fix")))</f>
        <v xml:space="preserve"> </v>
      </c>
      <c r="C189" s="4" t="str">
        <f ca="1">IF(OR(INDEX($X$2:$X$1001,MATCH(ROWS($W$2:W189),$W$2:$W$1001,0),1)&gt;=100000,INDEX($AD$1005:$AU$1005,1,MATCH(COLUMNS($AD$1006:AE1006),$AD$1006:$AU$1006,0))&gt;=100000), " ",IF(INDEX($AD$2:$AU$1001,MATCH(ROWS($W$2:W189),$W$2:$W$1001,0),MATCH(COLUMNS($AD$1006:AE1006),$AD$1006:$AU$1006,0)), HYPERLINK("#",""), HYPERLINK(CONCATENATE("#metadata!", ADDRESS(INDEX($Y$2:$Y$1001,MATCH(ROWS($W$2:W189),$W$2:$W$1001,0),0), INDEX($AD$1004:$AU$1004,1,MATCH(COLUMNS($AD$1006:AE1006),$AD$1006:$AU$1006,0)))),"Fix")))</f>
        <v xml:space="preserve"> </v>
      </c>
      <c r="D189" s="4" t="str">
        <f ca="1">IF(OR(INDEX($X$2:$X$1001,MATCH(ROWS($W$2:W189),$W$2:$W$1001,0),1)&gt;=100000,INDEX($AD$1005:$AU$1005,1,MATCH(COLUMNS($AD$1006:AF1006),$AD$1006:$AU$1006,0))&gt;=100000), " ",IF(INDEX($AD$2:$AU$1001,MATCH(ROWS($W$2:W189),$W$2:$W$1001,0),MATCH(COLUMNS($AD$1006:AF1006),$AD$1006:$AU$1006,0)), HYPERLINK("#",""), HYPERLINK(CONCATENATE("#metadata!", ADDRESS(INDEX($Y$2:$Y$1001,MATCH(ROWS($W$2:W189),$W$2:$W$1001,0),0), INDEX($AD$1004:$AU$1004,1,MATCH(COLUMNS($AD$1006:AF1006),$AD$1006:$AU$1006,0)))),"Fix")))</f>
        <v xml:space="preserve"> </v>
      </c>
      <c r="E189" s="4" t="str">
        <f ca="1">IF(OR(INDEX($X$2:$X$1001,MATCH(ROWS($W$2:W189),$W$2:$W$1001,0),1)&gt;=100000,INDEX($AD$1005:$AU$1005,1,MATCH(COLUMNS($AD$1006:AG1006),$AD$1006:$AU$1006,0))&gt;=100000), " ",IF(INDEX($AD$2:$AU$1001,MATCH(ROWS($W$2:W189),$W$2:$W$1001,0),MATCH(COLUMNS($AD$1006:AG1006),$AD$1006:$AU$1006,0)), HYPERLINK("#",""), HYPERLINK(CONCATENATE("#metadata!", ADDRESS(INDEX($Y$2:$Y$1001,MATCH(ROWS($W$2:W189),$W$2:$W$1001,0),0), INDEX($AD$1004:$AU$1004,1,MATCH(COLUMNS($AD$1006:AG1006),$AD$1006:$AU$1006,0)))),"Fix")))</f>
        <v xml:space="preserve"> </v>
      </c>
      <c r="F189" s="4" t="str">
        <f ca="1">IF(OR(INDEX($X$2:$X$1001,MATCH(ROWS($W$2:W189),$W$2:$W$1001,0),1)&gt;=100000,INDEX($AD$1005:$AU$1005,1,MATCH(COLUMNS($AD$1006:AH1006),$AD$1006:$AU$1006,0))&gt;=100000), " ",IF(INDEX($AD$2:$AU$1001,MATCH(ROWS($W$2:W189),$W$2:$W$1001,0),MATCH(COLUMNS($AD$1006:AH1006),$AD$1006:$AU$1006,0)), HYPERLINK("#",""), HYPERLINK(CONCATENATE("#metadata!", ADDRESS(INDEX($Y$2:$Y$1001,MATCH(ROWS($W$2:W189),$W$2:$W$1001,0),0), INDEX($AD$1004:$AU$1004,1,MATCH(COLUMNS($AD$1006:AH1006),$AD$1006:$AU$1006,0)))),"Fix")))</f>
        <v xml:space="preserve"> </v>
      </c>
      <c r="G189" s="4" t="str">
        <f ca="1">IF(OR(INDEX($X$2:$X$1001,MATCH(ROWS($W$2:W189),$W$2:$W$1001,0),1)&gt;=100000,INDEX($AD$1005:$AU$1005,1,MATCH(COLUMNS($AD$1006:AI1006),$AD$1006:$AU$1006,0))&gt;=100000), " ",IF(INDEX($AD$2:$AU$1001,MATCH(ROWS($W$2:W189),$W$2:$W$1001,0),MATCH(COLUMNS($AD$1006:AI1006),$AD$1006:$AU$1006,0)), HYPERLINK("#",""), HYPERLINK(CONCATENATE("#metadata!", ADDRESS(INDEX($Y$2:$Y$1001,MATCH(ROWS($W$2:W189),$W$2:$W$1001,0),0), INDEX($AD$1004:$AU$1004,1,MATCH(COLUMNS($AD$1006:AI1006),$AD$1006:$AU$1006,0)))),"Fix")))</f>
        <v xml:space="preserve"> </v>
      </c>
      <c r="H189" s="4" t="str">
        <f ca="1">IF(OR(INDEX($X$2:$X$1001,MATCH(ROWS($W$2:W189),$W$2:$W$1001,0),1)&gt;=100000,INDEX($AD$1005:$AU$1005,1,MATCH(COLUMNS($AD$1006:AJ1006),$AD$1006:$AU$1006,0))&gt;=100000), " ",IF(INDEX($AD$2:$AU$1001,MATCH(ROWS($W$2:W189),$W$2:$W$1001,0),MATCH(COLUMNS($AD$1006:AJ1006),$AD$1006:$AU$1006,0)), HYPERLINK("#",""), HYPERLINK(CONCATENATE("#metadata!", ADDRESS(INDEX($Y$2:$Y$1001,MATCH(ROWS($W$2:W189),$W$2:$W$1001,0),0), INDEX($AD$1004:$AU$1004,1,MATCH(COLUMNS($AD$1006:AJ1006),$AD$1006:$AU$1006,0)))),"Fix")))</f>
        <v xml:space="preserve"> </v>
      </c>
      <c r="I189" s="4" t="str">
        <f ca="1">IF(OR(INDEX($X$2:$X$1001,MATCH(ROWS($W$2:W189),$W$2:$W$1001,0),1)&gt;=100000,INDEX($AD$1005:$AU$1005,1,MATCH(COLUMNS($AD$1006:AK1006),$AD$1006:$AU$1006,0))&gt;=100000), " ",IF(INDEX($AD$2:$AU$1001,MATCH(ROWS($W$2:W189),$W$2:$W$1001,0),MATCH(COLUMNS($AD$1006:AK1006),$AD$1006:$AU$1006,0)), HYPERLINK("#",""), HYPERLINK(CONCATENATE("#metadata!", ADDRESS(INDEX($Y$2:$Y$1001,MATCH(ROWS($W$2:W189),$W$2:$W$1001,0),0), INDEX($AD$1004:$AU$1004,1,MATCH(COLUMNS($AD$1006:AK1006),$AD$1006:$AU$1006,0)))),"Fix")))</f>
        <v xml:space="preserve"> </v>
      </c>
      <c r="J189" s="4" t="str">
        <f ca="1">IF(OR(INDEX($X$2:$X$1001,MATCH(ROWS($W$2:W189),$W$2:$W$1001,0),1)&gt;=100000,INDEX($AD$1005:$AU$1005,1,MATCH(COLUMNS($AD$1006:AL1006),$AD$1006:$AU$1006,0))&gt;=100000), " ",IF(INDEX($AD$2:$AU$1001,MATCH(ROWS($W$2:W189),$W$2:$W$1001,0),MATCH(COLUMNS($AD$1006:AL1006),$AD$1006:$AU$1006,0)), HYPERLINK("#",""), HYPERLINK(CONCATENATE("#metadata!", ADDRESS(INDEX($Y$2:$Y$1001,MATCH(ROWS($W$2:W189),$W$2:$W$1001,0),0), INDEX($AD$1004:$AU$1004,1,MATCH(COLUMNS($AD$1006:AL1006),$AD$1006:$AU$1006,0)))),"Fix")))</f>
        <v xml:space="preserve"> </v>
      </c>
      <c r="K189" s="4" t="str">
        <f ca="1">IF(OR(INDEX($X$2:$X$1001,MATCH(ROWS($W$2:W189),$W$2:$W$1001,0),1)&gt;=100000,INDEX($AD$1005:$AU$1005,1,MATCH(COLUMNS($AD$1006:AM1006),$AD$1006:$AU$1006,0))&gt;=100000), " ",IF(INDEX($AD$2:$AU$1001,MATCH(ROWS($W$2:W189),$W$2:$W$1001,0),MATCH(COLUMNS($AD$1006:AM1006),$AD$1006:$AU$1006,0)), HYPERLINK("#",""), HYPERLINK(CONCATENATE("#metadata!", ADDRESS(INDEX($Y$2:$Y$1001,MATCH(ROWS($W$2:W189),$W$2:$W$1001,0),0), INDEX($AD$1004:$AU$1004,1,MATCH(COLUMNS($AD$1006:AM1006),$AD$1006:$AU$1006,0)))),"Fix")))</f>
        <v xml:space="preserve"> </v>
      </c>
      <c r="L189" s="4" t="str">
        <f ca="1">IF(OR(INDEX($X$2:$X$1001,MATCH(ROWS($W$2:W189),$W$2:$W$1001,0),1)&gt;=100000,INDEX($AD$1005:$AU$1005,1,MATCH(COLUMNS($AD$1006:AN1006),$AD$1006:$AU$1006,0))&gt;=100000), " ",IF(INDEX($AD$2:$AU$1001,MATCH(ROWS($W$2:W189),$W$2:$W$1001,0),MATCH(COLUMNS($AD$1006:AN1006),$AD$1006:$AU$1006,0)), HYPERLINK("#",""), HYPERLINK(CONCATENATE("#metadata!", ADDRESS(INDEX($Y$2:$Y$1001,MATCH(ROWS($W$2:W189),$W$2:$W$1001,0),0), INDEX($AD$1004:$AU$1004,1,MATCH(COLUMNS($AD$1006:AN1006),$AD$1006:$AU$1006,0)))),"Fix")))</f>
        <v xml:space="preserve"> </v>
      </c>
      <c r="M189" s="4" t="str">
        <f ca="1">IF(OR(INDEX($X$2:$X$1001,MATCH(ROWS($W$2:W189),$W$2:$W$1001,0),1)&gt;=100000,INDEX($AD$1005:$AU$1005,1,MATCH(COLUMNS($AD$1006:AO1006),$AD$1006:$AU$1006,0))&gt;=100000), " ",IF(INDEX($AD$2:$AU$1001,MATCH(ROWS($W$2:W189),$W$2:$W$1001,0),MATCH(COLUMNS($AD$1006:AO1006),$AD$1006:$AU$1006,0)), HYPERLINK("#",""), HYPERLINK(CONCATENATE("#metadata!", ADDRESS(INDEX($Y$2:$Y$1001,MATCH(ROWS($W$2:W189),$W$2:$W$1001,0),0), INDEX($AD$1004:$AU$1004,1,MATCH(COLUMNS($AD$1006:AO1006),$AD$1006:$AU$1006,0)))),"Fix")))</f>
        <v xml:space="preserve"> </v>
      </c>
      <c r="N189" s="4" t="str">
        <f ca="1">IF(OR(INDEX($X$2:$X$1001,MATCH(ROWS($W$2:W189),$W$2:$W$1001,0),1)&gt;=100000,INDEX($AD$1005:$AU$1005,1,MATCH(COLUMNS($AD$1006:AP1006),$AD$1006:$AU$1006,0))&gt;=100000), " ",IF(INDEX($AD$2:$AU$1001,MATCH(ROWS($W$2:W189),$W$2:$W$1001,0),MATCH(COLUMNS($AD$1006:AP1006),$AD$1006:$AU$1006,0)), HYPERLINK("#",""), HYPERLINK(CONCATENATE("#metadata!", ADDRESS(INDEX($Y$2:$Y$1001,MATCH(ROWS($W$2:W189),$W$2:$W$1001,0),0), INDEX($AD$1004:$AU$1004,1,MATCH(COLUMNS($AD$1006:AP1006),$AD$1006:$AU$1006,0)))),"Fix")))</f>
        <v xml:space="preserve"> </v>
      </c>
      <c r="O189" s="4" t="str">
        <f ca="1">IF(OR(INDEX($X$2:$X$1001,MATCH(ROWS($W$2:W189),$W$2:$W$1001,0),1)&gt;=100000,INDEX($AD$1005:$AU$1005,1,MATCH(COLUMNS($AD$1006:AQ1006),$AD$1006:$AU$1006,0))&gt;=100000), " ",IF(INDEX($AD$2:$AU$1001,MATCH(ROWS($W$2:W189),$W$2:$W$1001,0),MATCH(COLUMNS($AD$1006:AQ1006),$AD$1006:$AU$1006,0)), HYPERLINK("#",""), HYPERLINK(CONCATENATE("#metadata!", ADDRESS(INDEX($Y$2:$Y$1001,MATCH(ROWS($W$2:W189),$W$2:$W$1001,0),0), INDEX($AD$1004:$AU$1004,1,MATCH(COLUMNS($AD$1006:AQ1006),$AD$1006:$AU$1006,0)))),"Fix")))</f>
        <v xml:space="preserve"> </v>
      </c>
      <c r="P189" s="4" t="str">
        <f ca="1">IF(OR(INDEX($X$2:$X$1001,MATCH(ROWS($W$2:W189),$W$2:$W$1001,0),1)&gt;=100000,INDEX($AD$1005:$AU$1005,1,MATCH(COLUMNS($AD$1006:AR1006),$AD$1006:$AU$1006,0))&gt;=100000), " ",IF(INDEX($AD$2:$AU$1001,MATCH(ROWS($W$2:W189),$W$2:$W$1001,0),MATCH(COLUMNS($AD$1006:AR1006),$AD$1006:$AU$1006,0)), HYPERLINK("#",""), HYPERLINK(CONCATENATE("#metadata!", ADDRESS(INDEX($Y$2:$Y$1001,MATCH(ROWS($W$2:W189),$W$2:$W$1001,0),0), INDEX($AD$1004:$AU$1004,1,MATCH(COLUMNS($AD$1006:AR1006),$AD$1006:$AU$1006,0)))),"Fix")))</f>
        <v xml:space="preserve"> </v>
      </c>
      <c r="Q189" s="4" t="str">
        <f ca="1">IF(OR(INDEX($X$2:$X$1001,MATCH(ROWS($W$2:W189),$W$2:$W$1001,0),1)&gt;=100000,INDEX($AD$1005:$AU$1005,1,MATCH(COLUMNS($AD$1006:AS1006),$AD$1006:$AU$1006,0))&gt;=100000), " ",IF(INDEX($AD$2:$AU$1001,MATCH(ROWS($W$2:W189),$W$2:$W$1001,0),MATCH(COLUMNS($AD$1006:AS1006),$AD$1006:$AU$1006,0)), HYPERLINK("#",""), HYPERLINK(CONCATENATE("#metadata!", ADDRESS(INDEX($Y$2:$Y$1001,MATCH(ROWS($W$2:W189),$W$2:$W$1001,0),0), INDEX($AD$1004:$AU$1004,1,MATCH(COLUMNS($AD$1006:AS1006),$AD$1006:$AU$1006,0)))),"Fix")))</f>
        <v xml:space="preserve"> </v>
      </c>
      <c r="R189" s="4" t="str">
        <f ca="1">IF(OR(INDEX($X$2:$X$1001,MATCH(ROWS($W$2:W189),$W$2:$W$1001,0),1)&gt;=100000,INDEX($AD$1005:$AU$1005,1,MATCH(COLUMNS($AD$1006:AT1006),$AD$1006:$AU$1006,0))&gt;=100000), " ",IF(INDEX($AD$2:$AU$1001,MATCH(ROWS($W$2:W189),$W$2:$W$1001,0),MATCH(COLUMNS($AD$1006:AT1006),$AD$1006:$AU$1006,0)), HYPERLINK("#",""), HYPERLINK(CONCATENATE("#metadata!", ADDRESS(INDEX($Y$2:$Y$1001,MATCH(ROWS($W$2:W189),$W$2:$W$1001,0),0), INDEX($AD$1004:$AU$1004,1,MATCH(COLUMNS($AD$1006:AT1006),$AD$1006:$AU$1006,0)))),"Fix")))</f>
        <v xml:space="preserve"> </v>
      </c>
      <c r="S189" s="4" t="str">
        <f ca="1">IF(OR(INDEX($X$2:$X$1001,MATCH(ROWS($W$2:W189),$W$2:$W$1001,0),1)&gt;=100000,INDEX($AD$1005:$AU$1005,1,MATCH(COLUMNS($AD$1006:AU1006),$AD$1006:$AU$1006,0))&gt;=100000), " ",IF(INDEX($AD$2:$AU$1001,MATCH(ROWS($W$2:W189),$W$2:$W$1001,0),MATCH(COLUMNS($AD$1006:AU1006),$AD$1006:$AU$1006,0)), HYPERLINK("#",""), HYPERLINK(CONCATENATE("#metadata!", ADDRESS(INDEX($Y$2:$Y$1001,MATCH(ROWS($W$2:W189),$W$2:$W$1001,0),0), INDEX($AD$1004:$AU$1004,1,MATCH(COLUMNS($AD$1006:AU1006),$AD$1006:$AU$1006,0)))),"Fix")))</f>
        <v xml:space="preserve"> </v>
      </c>
      <c r="W189">
        <v>188</v>
      </c>
      <c r="X189">
        <v>100189</v>
      </c>
      <c r="Y189">
        <v>189</v>
      </c>
      <c r="Z189" t="b">
        <f t="shared" si="2"/>
        <v>1</v>
      </c>
      <c r="AA189" t="b">
        <f>COUNTBLANK(metadata!B189:S189)=COLUMNS(metadata!B189:S189)</f>
        <v>1</v>
      </c>
      <c r="AB189" t="str">
        <v/>
      </c>
      <c r="AD189" t="b">
        <f ca="1">AND(IF(metadata!B189="",FALSE,TRUE),COUNTIF(metadata!B:B, metadata!B189) = 1,NOT(ISERROR(SUMPRODUCT(SEARCH(MID(metadata!B189,ROW(INDIRECT("1:"&amp;LEN(metadata!B189))), 1),"0123456789abcdefghijklmnopqrstuvwxyzABCDEFGHIJKLMNOPQRSTUVWXYZ.")))))</f>
        <v>0</v>
      </c>
      <c r="AE189" t="b">
        <f>OR(AND(IF(metadata!C189="",FALSE,TRUE),OR(EXACT(metadata!C189,"not applicable"),EXACT(metadata!C189,"missing: not collected"),EXACT(metadata!C189,"missing: not provided"),EXACT(metadata!C189,"missing: restricted access"))),AND(IF(metadata!C189="",FALSE,ISNUMBER(VALUE(metadata!C189))),metadata!C189&gt;0))</f>
        <v>0</v>
      </c>
      <c r="AF189" t="b">
        <f>AND(IF(metadata!D189="",FALSE,TRUE),EXACT(metadata!D189,"missing: not provided"))</f>
        <v>0</v>
      </c>
      <c r="AG189" t="b">
        <f>AND(IF(metadata!E189="",FALSE,TRUE),EXACT(metadata!E189,"Host-associated"))</f>
        <v>0</v>
      </c>
      <c r="AH189" t="b">
        <f>AND(IF(metadata!F189="",FALSE,TRUE),OR(EXACT(metadata!F189,"Animal"),EXACT(metadata!F189,"Fungus"),EXACT(metadata!F189,"Plant")))</f>
        <v>0</v>
      </c>
      <c r="AI189" t="b">
        <f>AND(IF(metadata!G189="",FALSE,TRUE),OR(EXACT(metadata!G189,"Plant secretion"),EXACT(metadata!G189,"Plant rhizosphere"),EXACT(metadata!G189,"Plant surface"),EXACT(metadata!G189,"Plant corpus"),EXACT(metadata!G189,"Fungus surface"),EXACT(metadata!G189,"Fungus corpus"),EXACT(metadata!G189,"Animal surface"),EXACT(metadata!G189,"Animal proximal gut"),EXACT(metadata!G189,"Animal corpus"),EXACT(metadata!G189,"Animal distal gut"),EXACT(metadata!G189,"Animal secretion")))</f>
        <v>0</v>
      </c>
      <c r="AJ189" t="b">
        <f>OR(AND(IF(metadata!H189="",FALSE,TRUE),OR(EXACT(metadata!H189,"missing: not collected"),EXACT(metadata!H189,"missing: not provided"),EXACT(metadata!H189,"missing: restricted access"))),AND(IF(metadata!H189="",FALSE,TRUE),OR(EXACT(metadata!H189,"organism-associated habitat"),EXACT(metadata!H189,"plant-associated habitat"),EXACT(metadata!H189,"animal-associated habitat"),EXACT(metadata!H189,"insecta-associated habitat"),EXACT(metadata!H189,"mammalia-associated habitat"),EXACT(metadata!H189,"human-associated habitat"),EXACT(metadata!H189,"livestock-associated habitat"))))</f>
        <v>0</v>
      </c>
      <c r="AK189" t="b">
        <f>AND(IF(metadata!I189="",FALSE,TRUE),EXACT(metadata!I189,"host-associated"))</f>
        <v>0</v>
      </c>
      <c r="AL189" t="b">
        <f>OR(AND(IF(metadata!J189="",FALSE,TRUE),OR(EXACT(metadata!J189,"not applicable"),EXACT(metadata!J189,"missing: not collected"),EXACT(metadata!J189,"missing: not provided"),EXACT(metadata!J189,"missing: restricted access"))),AND(IF(metadata!J189="",FALSE,ISNUMBER(VALUE(metadata!J189))),metadata!J189&gt;0))</f>
        <v>0</v>
      </c>
      <c r="AM189" t="b">
        <f>AND(IF(metadata!K189="",FALSE,TRUE),EXACT(metadata!K189,"missing: not provided"))</f>
        <v>0</v>
      </c>
      <c r="AN189" t="b">
        <f>IF(metadata!L189="",FALSE,TRUE)</f>
        <v>0</v>
      </c>
      <c r="AO189" t="b">
        <f>IF(metadata!M189="",FALSE,TRUE)</f>
        <v>0</v>
      </c>
      <c r="AP189" t="b">
        <f>OR(AND(IF(metadata!N189="",FALSE,TRUE),OR(EXACT(metadata!N189,"not applicable"),EXACT(metadata!N189,"missing: not collected"),EXACT(metadata!N189,"missing: not provided"))),AND(IF(metadata!N189="",FALSE,IF(ISERROR(INT(metadata!N189)),FALSE,INT(metadata!N189)=metadata!N189)),metadata!N189&gt;0))</f>
        <v>0</v>
      </c>
      <c r="AQ189" t="b">
        <f>AND(IF(metadata!O189="",FALSE,TRUE),EXACT(metadata!O189,"Not applicable"))</f>
        <v>0</v>
      </c>
      <c r="AR189" t="b">
        <f>OR(AND(IF(metadata!P189="",FALSE,TRUE),OR(EXACT(metadata!P189,"not applicable"),EXACT(metadata!P189,"missing: not collected"),EXACT(metadata!P189,"missing: not provided"),EXACT(metadata!P189,"missing: restricted access"))),IF(metadata!P189="",FALSE,IF(ISERROR(INT(metadata!P189)),FALSE,INT(metadata!P189)=metadata!P189)))</f>
        <v>0</v>
      </c>
      <c r="AS189" t="b">
        <f>AND(IF(metadata!Q189="",FALSE,TRUE),EXACT(metadata!Q189,"Not applicable"))</f>
        <v>0</v>
      </c>
      <c r="AT189" t="b">
        <f>OR(AND(IF(metadata!R189="",FALSE,TRUE),OR(EXACT(metadata!R189,"not applicable"),EXACT(metadata!R189,"missing: not collected"),EXACT(metadata!R189,"missing: not provided"),EXACT(metadata!R189,"missing: restricted access"))),AND(IF(metadata!R189="",FALSE,ISNUMBER(VALUE(metadata!R189))),metadata!R189&gt;0))</f>
        <v>0</v>
      </c>
      <c r="AU189" t="b">
        <f>AND(IF(metadata!S189="",FALSE,TRUE),EXACT(metadata!S189,"missing: not provided"))</f>
        <v>0</v>
      </c>
    </row>
    <row r="190" spans="1:47" x14ac:dyDescent="0.2">
      <c r="A190" s="5" t="str">
        <f ca="1">IF(B190=" "," ",HYPERLINK(CONCATENATE("#metadata!",ADDRESS(INDEX($Y$2:$Y$1001,MATCH(ROWS($W$2:W190),$W$2:$W$1001,0),0),1)),INDEX($AB$2:$AB$1001,MATCH(ROWS($W$2:W190),$W$2:$W$1001,0),0)))</f>
        <v xml:space="preserve"> </v>
      </c>
      <c r="B190" s="4" t="str">
        <f ca="1">IF(OR(INDEX($X$2:$X$1001,MATCH(ROWS($W$2:W190),$W$2:$W$1001,0),1)&gt;=100000,INDEX($AD$1005:$AU$1005,1,MATCH(COLUMNS($AD$1006:AD1006),$AD$1006:$AU$1006,0))&gt;=100000), " ",IF(INDEX($AD$2:$AU$1001,MATCH(ROWS($W$2:W190),$W$2:$W$1001,0),MATCH(COLUMNS($AD$1006:AD1006),$AD$1006:$AU$1006,0)), HYPERLINK("#",""), HYPERLINK(CONCATENATE("#metadata!", ADDRESS(INDEX($Y$2:$Y$1001,MATCH(ROWS($W$2:W190),$W$2:$W$1001,0),0), INDEX($AD$1004:$AU$1004,1,MATCH(COLUMNS($AD$1006:AD1006),$AD$1006:$AU$1006,0)))),"Fix")))</f>
        <v xml:space="preserve"> </v>
      </c>
      <c r="C190" s="4" t="str">
        <f ca="1">IF(OR(INDEX($X$2:$X$1001,MATCH(ROWS($W$2:W190),$W$2:$W$1001,0),1)&gt;=100000,INDEX($AD$1005:$AU$1005,1,MATCH(COLUMNS($AD$1006:AE1006),$AD$1006:$AU$1006,0))&gt;=100000), " ",IF(INDEX($AD$2:$AU$1001,MATCH(ROWS($W$2:W190),$W$2:$W$1001,0),MATCH(COLUMNS($AD$1006:AE1006),$AD$1006:$AU$1006,0)), HYPERLINK("#",""), HYPERLINK(CONCATENATE("#metadata!", ADDRESS(INDEX($Y$2:$Y$1001,MATCH(ROWS($W$2:W190),$W$2:$W$1001,0),0), INDEX($AD$1004:$AU$1004,1,MATCH(COLUMNS($AD$1006:AE1006),$AD$1006:$AU$1006,0)))),"Fix")))</f>
        <v xml:space="preserve"> </v>
      </c>
      <c r="D190" s="4" t="str">
        <f ca="1">IF(OR(INDEX($X$2:$X$1001,MATCH(ROWS($W$2:W190),$W$2:$W$1001,0),1)&gt;=100000,INDEX($AD$1005:$AU$1005,1,MATCH(COLUMNS($AD$1006:AF1006),$AD$1006:$AU$1006,0))&gt;=100000), " ",IF(INDEX($AD$2:$AU$1001,MATCH(ROWS($W$2:W190),$W$2:$W$1001,0),MATCH(COLUMNS($AD$1006:AF1006),$AD$1006:$AU$1006,0)), HYPERLINK("#",""), HYPERLINK(CONCATENATE("#metadata!", ADDRESS(INDEX($Y$2:$Y$1001,MATCH(ROWS($W$2:W190),$W$2:$W$1001,0),0), INDEX($AD$1004:$AU$1004,1,MATCH(COLUMNS($AD$1006:AF1006),$AD$1006:$AU$1006,0)))),"Fix")))</f>
        <v xml:space="preserve"> </v>
      </c>
      <c r="E190" s="4" t="str">
        <f ca="1">IF(OR(INDEX($X$2:$X$1001,MATCH(ROWS($W$2:W190),$W$2:$W$1001,0),1)&gt;=100000,INDEX($AD$1005:$AU$1005,1,MATCH(COLUMNS($AD$1006:AG1006),$AD$1006:$AU$1006,0))&gt;=100000), " ",IF(INDEX($AD$2:$AU$1001,MATCH(ROWS($W$2:W190),$W$2:$W$1001,0),MATCH(COLUMNS($AD$1006:AG1006),$AD$1006:$AU$1006,0)), HYPERLINK("#",""), HYPERLINK(CONCATENATE("#metadata!", ADDRESS(INDEX($Y$2:$Y$1001,MATCH(ROWS($W$2:W190),$W$2:$W$1001,0),0), INDEX($AD$1004:$AU$1004,1,MATCH(COLUMNS($AD$1006:AG1006),$AD$1006:$AU$1006,0)))),"Fix")))</f>
        <v xml:space="preserve"> </v>
      </c>
      <c r="F190" s="4" t="str">
        <f ca="1">IF(OR(INDEX($X$2:$X$1001,MATCH(ROWS($W$2:W190),$W$2:$W$1001,0),1)&gt;=100000,INDEX($AD$1005:$AU$1005,1,MATCH(COLUMNS($AD$1006:AH1006),$AD$1006:$AU$1006,0))&gt;=100000), " ",IF(INDEX($AD$2:$AU$1001,MATCH(ROWS($W$2:W190),$W$2:$W$1001,0),MATCH(COLUMNS($AD$1006:AH1006),$AD$1006:$AU$1006,0)), HYPERLINK("#",""), HYPERLINK(CONCATENATE("#metadata!", ADDRESS(INDEX($Y$2:$Y$1001,MATCH(ROWS($W$2:W190),$W$2:$W$1001,0),0), INDEX($AD$1004:$AU$1004,1,MATCH(COLUMNS($AD$1006:AH1006),$AD$1006:$AU$1006,0)))),"Fix")))</f>
        <v xml:space="preserve"> </v>
      </c>
      <c r="G190" s="4" t="str">
        <f ca="1">IF(OR(INDEX($X$2:$X$1001,MATCH(ROWS($W$2:W190),$W$2:$W$1001,0),1)&gt;=100000,INDEX($AD$1005:$AU$1005,1,MATCH(COLUMNS($AD$1006:AI1006),$AD$1006:$AU$1006,0))&gt;=100000), " ",IF(INDEX($AD$2:$AU$1001,MATCH(ROWS($W$2:W190),$W$2:$W$1001,0),MATCH(COLUMNS($AD$1006:AI1006),$AD$1006:$AU$1006,0)), HYPERLINK("#",""), HYPERLINK(CONCATENATE("#metadata!", ADDRESS(INDEX($Y$2:$Y$1001,MATCH(ROWS($W$2:W190),$W$2:$W$1001,0),0), INDEX($AD$1004:$AU$1004,1,MATCH(COLUMNS($AD$1006:AI1006),$AD$1006:$AU$1006,0)))),"Fix")))</f>
        <v xml:space="preserve"> </v>
      </c>
      <c r="H190" s="4" t="str">
        <f ca="1">IF(OR(INDEX($X$2:$X$1001,MATCH(ROWS($W$2:W190),$W$2:$W$1001,0),1)&gt;=100000,INDEX($AD$1005:$AU$1005,1,MATCH(COLUMNS($AD$1006:AJ1006),$AD$1006:$AU$1006,0))&gt;=100000), " ",IF(INDEX($AD$2:$AU$1001,MATCH(ROWS($W$2:W190),$W$2:$W$1001,0),MATCH(COLUMNS($AD$1006:AJ1006),$AD$1006:$AU$1006,0)), HYPERLINK("#",""), HYPERLINK(CONCATENATE("#metadata!", ADDRESS(INDEX($Y$2:$Y$1001,MATCH(ROWS($W$2:W190),$W$2:$W$1001,0),0), INDEX($AD$1004:$AU$1004,1,MATCH(COLUMNS($AD$1006:AJ1006),$AD$1006:$AU$1006,0)))),"Fix")))</f>
        <v xml:space="preserve"> </v>
      </c>
      <c r="I190" s="4" t="str">
        <f ca="1">IF(OR(INDEX($X$2:$X$1001,MATCH(ROWS($W$2:W190),$W$2:$W$1001,0),1)&gt;=100000,INDEX($AD$1005:$AU$1005,1,MATCH(COLUMNS($AD$1006:AK1006),$AD$1006:$AU$1006,0))&gt;=100000), " ",IF(INDEX($AD$2:$AU$1001,MATCH(ROWS($W$2:W190),$W$2:$W$1001,0),MATCH(COLUMNS($AD$1006:AK1006),$AD$1006:$AU$1006,0)), HYPERLINK("#",""), HYPERLINK(CONCATENATE("#metadata!", ADDRESS(INDEX($Y$2:$Y$1001,MATCH(ROWS($W$2:W190),$W$2:$W$1001,0),0), INDEX($AD$1004:$AU$1004,1,MATCH(COLUMNS($AD$1006:AK1006),$AD$1006:$AU$1006,0)))),"Fix")))</f>
        <v xml:space="preserve"> </v>
      </c>
      <c r="J190" s="4" t="str">
        <f ca="1">IF(OR(INDEX($X$2:$X$1001,MATCH(ROWS($W$2:W190),$W$2:$W$1001,0),1)&gt;=100000,INDEX($AD$1005:$AU$1005,1,MATCH(COLUMNS($AD$1006:AL1006),$AD$1006:$AU$1006,0))&gt;=100000), " ",IF(INDEX($AD$2:$AU$1001,MATCH(ROWS($W$2:W190),$W$2:$W$1001,0),MATCH(COLUMNS($AD$1006:AL1006),$AD$1006:$AU$1006,0)), HYPERLINK("#",""), HYPERLINK(CONCATENATE("#metadata!", ADDRESS(INDEX($Y$2:$Y$1001,MATCH(ROWS($W$2:W190),$W$2:$W$1001,0),0), INDEX($AD$1004:$AU$1004,1,MATCH(COLUMNS($AD$1006:AL1006),$AD$1006:$AU$1006,0)))),"Fix")))</f>
        <v xml:space="preserve"> </v>
      </c>
      <c r="K190" s="4" t="str">
        <f ca="1">IF(OR(INDEX($X$2:$X$1001,MATCH(ROWS($W$2:W190),$W$2:$W$1001,0),1)&gt;=100000,INDEX($AD$1005:$AU$1005,1,MATCH(COLUMNS($AD$1006:AM1006),$AD$1006:$AU$1006,0))&gt;=100000), " ",IF(INDEX($AD$2:$AU$1001,MATCH(ROWS($W$2:W190),$W$2:$W$1001,0),MATCH(COLUMNS($AD$1006:AM1006),$AD$1006:$AU$1006,0)), HYPERLINK("#",""), HYPERLINK(CONCATENATE("#metadata!", ADDRESS(INDEX($Y$2:$Y$1001,MATCH(ROWS($W$2:W190),$W$2:$W$1001,0),0), INDEX($AD$1004:$AU$1004,1,MATCH(COLUMNS($AD$1006:AM1006),$AD$1006:$AU$1006,0)))),"Fix")))</f>
        <v xml:space="preserve"> </v>
      </c>
      <c r="L190" s="4" t="str">
        <f ca="1">IF(OR(INDEX($X$2:$X$1001,MATCH(ROWS($W$2:W190),$W$2:$W$1001,0),1)&gt;=100000,INDEX($AD$1005:$AU$1005,1,MATCH(COLUMNS($AD$1006:AN1006),$AD$1006:$AU$1006,0))&gt;=100000), " ",IF(INDEX($AD$2:$AU$1001,MATCH(ROWS($W$2:W190),$W$2:$W$1001,0),MATCH(COLUMNS($AD$1006:AN1006),$AD$1006:$AU$1006,0)), HYPERLINK("#",""), HYPERLINK(CONCATENATE("#metadata!", ADDRESS(INDEX($Y$2:$Y$1001,MATCH(ROWS($W$2:W190),$W$2:$W$1001,0),0), INDEX($AD$1004:$AU$1004,1,MATCH(COLUMNS($AD$1006:AN1006),$AD$1006:$AU$1006,0)))),"Fix")))</f>
        <v xml:space="preserve"> </v>
      </c>
      <c r="M190" s="4" t="str">
        <f ca="1">IF(OR(INDEX($X$2:$X$1001,MATCH(ROWS($W$2:W190),$W$2:$W$1001,0),1)&gt;=100000,INDEX($AD$1005:$AU$1005,1,MATCH(COLUMNS($AD$1006:AO1006),$AD$1006:$AU$1006,0))&gt;=100000), " ",IF(INDEX($AD$2:$AU$1001,MATCH(ROWS($W$2:W190),$W$2:$W$1001,0),MATCH(COLUMNS($AD$1006:AO1006),$AD$1006:$AU$1006,0)), HYPERLINK("#",""), HYPERLINK(CONCATENATE("#metadata!", ADDRESS(INDEX($Y$2:$Y$1001,MATCH(ROWS($W$2:W190),$W$2:$W$1001,0),0), INDEX($AD$1004:$AU$1004,1,MATCH(COLUMNS($AD$1006:AO1006),$AD$1006:$AU$1006,0)))),"Fix")))</f>
        <v xml:space="preserve"> </v>
      </c>
      <c r="N190" s="4" t="str">
        <f ca="1">IF(OR(INDEX($X$2:$X$1001,MATCH(ROWS($W$2:W190),$W$2:$W$1001,0),1)&gt;=100000,INDEX($AD$1005:$AU$1005,1,MATCH(COLUMNS($AD$1006:AP1006),$AD$1006:$AU$1006,0))&gt;=100000), " ",IF(INDEX($AD$2:$AU$1001,MATCH(ROWS($W$2:W190),$W$2:$W$1001,0),MATCH(COLUMNS($AD$1006:AP1006),$AD$1006:$AU$1006,0)), HYPERLINK("#",""), HYPERLINK(CONCATENATE("#metadata!", ADDRESS(INDEX($Y$2:$Y$1001,MATCH(ROWS($W$2:W190),$W$2:$W$1001,0),0), INDEX($AD$1004:$AU$1004,1,MATCH(COLUMNS($AD$1006:AP1006),$AD$1006:$AU$1006,0)))),"Fix")))</f>
        <v xml:space="preserve"> </v>
      </c>
      <c r="O190" s="4" t="str">
        <f ca="1">IF(OR(INDEX($X$2:$X$1001,MATCH(ROWS($W$2:W190),$W$2:$W$1001,0),1)&gt;=100000,INDEX($AD$1005:$AU$1005,1,MATCH(COLUMNS($AD$1006:AQ1006),$AD$1006:$AU$1006,0))&gt;=100000), " ",IF(INDEX($AD$2:$AU$1001,MATCH(ROWS($W$2:W190),$W$2:$W$1001,0),MATCH(COLUMNS($AD$1006:AQ1006),$AD$1006:$AU$1006,0)), HYPERLINK("#",""), HYPERLINK(CONCATENATE("#metadata!", ADDRESS(INDEX($Y$2:$Y$1001,MATCH(ROWS($W$2:W190),$W$2:$W$1001,0),0), INDEX($AD$1004:$AU$1004,1,MATCH(COLUMNS($AD$1006:AQ1006),$AD$1006:$AU$1006,0)))),"Fix")))</f>
        <v xml:space="preserve"> </v>
      </c>
      <c r="P190" s="4" t="str">
        <f ca="1">IF(OR(INDEX($X$2:$X$1001,MATCH(ROWS($W$2:W190),$W$2:$W$1001,0),1)&gt;=100000,INDEX($AD$1005:$AU$1005,1,MATCH(COLUMNS($AD$1006:AR1006),$AD$1006:$AU$1006,0))&gt;=100000), " ",IF(INDEX($AD$2:$AU$1001,MATCH(ROWS($W$2:W190),$W$2:$W$1001,0),MATCH(COLUMNS($AD$1006:AR1006),$AD$1006:$AU$1006,0)), HYPERLINK("#",""), HYPERLINK(CONCATENATE("#metadata!", ADDRESS(INDEX($Y$2:$Y$1001,MATCH(ROWS($W$2:W190),$W$2:$W$1001,0),0), INDEX($AD$1004:$AU$1004,1,MATCH(COLUMNS($AD$1006:AR1006),$AD$1006:$AU$1006,0)))),"Fix")))</f>
        <v xml:space="preserve"> </v>
      </c>
      <c r="Q190" s="4" t="str">
        <f ca="1">IF(OR(INDEX($X$2:$X$1001,MATCH(ROWS($W$2:W190),$W$2:$W$1001,0),1)&gt;=100000,INDEX($AD$1005:$AU$1005,1,MATCH(COLUMNS($AD$1006:AS1006),$AD$1006:$AU$1006,0))&gt;=100000), " ",IF(INDEX($AD$2:$AU$1001,MATCH(ROWS($W$2:W190),$W$2:$W$1001,0),MATCH(COLUMNS($AD$1006:AS1006),$AD$1006:$AU$1006,0)), HYPERLINK("#",""), HYPERLINK(CONCATENATE("#metadata!", ADDRESS(INDEX($Y$2:$Y$1001,MATCH(ROWS($W$2:W190),$W$2:$W$1001,0),0), INDEX($AD$1004:$AU$1004,1,MATCH(COLUMNS($AD$1006:AS1006),$AD$1006:$AU$1006,0)))),"Fix")))</f>
        <v xml:space="preserve"> </v>
      </c>
      <c r="R190" s="4" t="str">
        <f ca="1">IF(OR(INDEX($X$2:$X$1001,MATCH(ROWS($W$2:W190),$W$2:$W$1001,0),1)&gt;=100000,INDEX($AD$1005:$AU$1005,1,MATCH(COLUMNS($AD$1006:AT1006),$AD$1006:$AU$1006,0))&gt;=100000), " ",IF(INDEX($AD$2:$AU$1001,MATCH(ROWS($W$2:W190),$W$2:$W$1001,0),MATCH(COLUMNS($AD$1006:AT1006),$AD$1006:$AU$1006,0)), HYPERLINK("#",""), HYPERLINK(CONCATENATE("#metadata!", ADDRESS(INDEX($Y$2:$Y$1001,MATCH(ROWS($W$2:W190),$W$2:$W$1001,0),0), INDEX($AD$1004:$AU$1004,1,MATCH(COLUMNS($AD$1006:AT1006),$AD$1006:$AU$1006,0)))),"Fix")))</f>
        <v xml:space="preserve"> </v>
      </c>
      <c r="S190" s="4" t="str">
        <f ca="1">IF(OR(INDEX($X$2:$X$1001,MATCH(ROWS($W$2:W190),$W$2:$W$1001,0),1)&gt;=100000,INDEX($AD$1005:$AU$1005,1,MATCH(COLUMNS($AD$1006:AU1006),$AD$1006:$AU$1006,0))&gt;=100000), " ",IF(INDEX($AD$2:$AU$1001,MATCH(ROWS($W$2:W190),$W$2:$W$1001,0),MATCH(COLUMNS($AD$1006:AU1006),$AD$1006:$AU$1006,0)), HYPERLINK("#",""), HYPERLINK(CONCATENATE("#metadata!", ADDRESS(INDEX($Y$2:$Y$1001,MATCH(ROWS($W$2:W190),$W$2:$W$1001,0),0), INDEX($AD$1004:$AU$1004,1,MATCH(COLUMNS($AD$1006:AU1006),$AD$1006:$AU$1006,0)))),"Fix")))</f>
        <v xml:space="preserve"> </v>
      </c>
      <c r="W190">
        <v>189</v>
      </c>
      <c r="X190">
        <v>100190</v>
      </c>
      <c r="Y190">
        <v>190</v>
      </c>
      <c r="Z190" t="b">
        <f t="shared" si="2"/>
        <v>1</v>
      </c>
      <c r="AA190" t="b">
        <f>COUNTBLANK(metadata!B190:S190)=COLUMNS(metadata!B190:S190)</f>
        <v>1</v>
      </c>
      <c r="AB190" t="str">
        <v/>
      </c>
      <c r="AD190" t="b">
        <f ca="1">AND(IF(metadata!B190="",FALSE,TRUE),COUNTIF(metadata!B:B, metadata!B190) = 1,NOT(ISERROR(SUMPRODUCT(SEARCH(MID(metadata!B190,ROW(INDIRECT("1:"&amp;LEN(metadata!B190))), 1),"0123456789abcdefghijklmnopqrstuvwxyzABCDEFGHIJKLMNOPQRSTUVWXYZ.")))))</f>
        <v>0</v>
      </c>
      <c r="AE190" t="b">
        <f>OR(AND(IF(metadata!C190="",FALSE,TRUE),OR(EXACT(metadata!C190,"not applicable"),EXACT(metadata!C190,"missing: not collected"),EXACT(metadata!C190,"missing: not provided"),EXACT(metadata!C190,"missing: restricted access"))),AND(IF(metadata!C190="",FALSE,ISNUMBER(VALUE(metadata!C190))),metadata!C190&gt;0))</f>
        <v>0</v>
      </c>
      <c r="AF190" t="b">
        <f>AND(IF(metadata!D190="",FALSE,TRUE),EXACT(metadata!D190,"missing: not provided"))</f>
        <v>0</v>
      </c>
      <c r="AG190" t="b">
        <f>AND(IF(metadata!E190="",FALSE,TRUE),EXACT(metadata!E190,"Host-associated"))</f>
        <v>0</v>
      </c>
      <c r="AH190" t="b">
        <f>AND(IF(metadata!F190="",FALSE,TRUE),OR(EXACT(metadata!F190,"Animal"),EXACT(metadata!F190,"Fungus"),EXACT(metadata!F190,"Plant")))</f>
        <v>0</v>
      </c>
      <c r="AI190" t="b">
        <f>AND(IF(metadata!G190="",FALSE,TRUE),OR(EXACT(metadata!G190,"Plant secretion"),EXACT(metadata!G190,"Plant rhizosphere"),EXACT(metadata!G190,"Plant surface"),EXACT(metadata!G190,"Plant corpus"),EXACT(metadata!G190,"Fungus surface"),EXACT(metadata!G190,"Fungus corpus"),EXACT(metadata!G190,"Animal surface"),EXACT(metadata!G190,"Animal proximal gut"),EXACT(metadata!G190,"Animal corpus"),EXACT(metadata!G190,"Animal distal gut"),EXACT(metadata!G190,"Animal secretion")))</f>
        <v>0</v>
      </c>
      <c r="AJ190" t="b">
        <f>OR(AND(IF(metadata!H190="",FALSE,TRUE),OR(EXACT(metadata!H190,"missing: not collected"),EXACT(metadata!H190,"missing: not provided"),EXACT(metadata!H190,"missing: restricted access"))),AND(IF(metadata!H190="",FALSE,TRUE),OR(EXACT(metadata!H190,"organism-associated habitat"),EXACT(metadata!H190,"plant-associated habitat"),EXACT(metadata!H190,"animal-associated habitat"),EXACT(metadata!H190,"insecta-associated habitat"),EXACT(metadata!H190,"mammalia-associated habitat"),EXACT(metadata!H190,"human-associated habitat"),EXACT(metadata!H190,"livestock-associated habitat"))))</f>
        <v>0</v>
      </c>
      <c r="AK190" t="b">
        <f>AND(IF(metadata!I190="",FALSE,TRUE),EXACT(metadata!I190,"host-associated"))</f>
        <v>0</v>
      </c>
      <c r="AL190" t="b">
        <f>OR(AND(IF(metadata!J190="",FALSE,TRUE),OR(EXACT(metadata!J190,"not applicable"),EXACT(metadata!J190,"missing: not collected"),EXACT(metadata!J190,"missing: not provided"),EXACT(metadata!J190,"missing: restricted access"))),AND(IF(metadata!J190="",FALSE,ISNUMBER(VALUE(metadata!J190))),metadata!J190&gt;0))</f>
        <v>0</v>
      </c>
      <c r="AM190" t="b">
        <f>AND(IF(metadata!K190="",FALSE,TRUE),EXACT(metadata!K190,"missing: not provided"))</f>
        <v>0</v>
      </c>
      <c r="AN190" t="b">
        <f>IF(metadata!L190="",FALSE,TRUE)</f>
        <v>0</v>
      </c>
      <c r="AO190" t="b">
        <f>IF(metadata!M190="",FALSE,TRUE)</f>
        <v>0</v>
      </c>
      <c r="AP190" t="b">
        <f>OR(AND(IF(metadata!N190="",FALSE,TRUE),OR(EXACT(metadata!N190,"not applicable"),EXACT(metadata!N190,"missing: not collected"),EXACT(metadata!N190,"missing: not provided"))),AND(IF(metadata!N190="",FALSE,IF(ISERROR(INT(metadata!N190)),FALSE,INT(metadata!N190)=metadata!N190)),metadata!N190&gt;0))</f>
        <v>0</v>
      </c>
      <c r="AQ190" t="b">
        <f>AND(IF(metadata!O190="",FALSE,TRUE),EXACT(metadata!O190,"Not applicable"))</f>
        <v>0</v>
      </c>
      <c r="AR190" t="b">
        <f>OR(AND(IF(metadata!P190="",FALSE,TRUE),OR(EXACT(metadata!P190,"not applicable"),EXACT(metadata!P190,"missing: not collected"),EXACT(metadata!P190,"missing: not provided"),EXACT(metadata!P190,"missing: restricted access"))),IF(metadata!P190="",FALSE,IF(ISERROR(INT(metadata!P190)),FALSE,INT(metadata!P190)=metadata!P190)))</f>
        <v>0</v>
      </c>
      <c r="AS190" t="b">
        <f>AND(IF(metadata!Q190="",FALSE,TRUE),EXACT(metadata!Q190,"Not applicable"))</f>
        <v>0</v>
      </c>
      <c r="AT190" t="b">
        <f>OR(AND(IF(metadata!R190="",FALSE,TRUE),OR(EXACT(metadata!R190,"not applicable"),EXACT(metadata!R190,"missing: not collected"),EXACT(metadata!R190,"missing: not provided"),EXACT(metadata!R190,"missing: restricted access"))),AND(IF(metadata!R190="",FALSE,ISNUMBER(VALUE(metadata!R190))),metadata!R190&gt;0))</f>
        <v>0</v>
      </c>
      <c r="AU190" t="b">
        <f>AND(IF(metadata!S190="",FALSE,TRUE),EXACT(metadata!S190,"missing: not provided"))</f>
        <v>0</v>
      </c>
    </row>
    <row r="191" spans="1:47" x14ac:dyDescent="0.2">
      <c r="A191" s="5" t="str">
        <f ca="1">IF(B191=" "," ",HYPERLINK(CONCATENATE("#metadata!",ADDRESS(INDEX($Y$2:$Y$1001,MATCH(ROWS($W$2:W191),$W$2:$W$1001,0),0),1)),INDEX($AB$2:$AB$1001,MATCH(ROWS($W$2:W191),$W$2:$W$1001,0),0)))</f>
        <v xml:space="preserve"> </v>
      </c>
      <c r="B191" s="4" t="str">
        <f ca="1">IF(OR(INDEX($X$2:$X$1001,MATCH(ROWS($W$2:W191),$W$2:$W$1001,0),1)&gt;=100000,INDEX($AD$1005:$AU$1005,1,MATCH(COLUMNS($AD$1006:AD1006),$AD$1006:$AU$1006,0))&gt;=100000), " ",IF(INDEX($AD$2:$AU$1001,MATCH(ROWS($W$2:W191),$W$2:$W$1001,0),MATCH(COLUMNS($AD$1006:AD1006),$AD$1006:$AU$1006,0)), HYPERLINK("#",""), HYPERLINK(CONCATENATE("#metadata!", ADDRESS(INDEX($Y$2:$Y$1001,MATCH(ROWS($W$2:W191),$W$2:$W$1001,0),0), INDEX($AD$1004:$AU$1004,1,MATCH(COLUMNS($AD$1006:AD1006),$AD$1006:$AU$1006,0)))),"Fix")))</f>
        <v xml:space="preserve"> </v>
      </c>
      <c r="C191" s="4" t="str">
        <f ca="1">IF(OR(INDEX($X$2:$X$1001,MATCH(ROWS($W$2:W191),$W$2:$W$1001,0),1)&gt;=100000,INDEX($AD$1005:$AU$1005,1,MATCH(COLUMNS($AD$1006:AE1006),$AD$1006:$AU$1006,0))&gt;=100000), " ",IF(INDEX($AD$2:$AU$1001,MATCH(ROWS($W$2:W191),$W$2:$W$1001,0),MATCH(COLUMNS($AD$1006:AE1006),$AD$1006:$AU$1006,0)), HYPERLINK("#",""), HYPERLINK(CONCATENATE("#metadata!", ADDRESS(INDEX($Y$2:$Y$1001,MATCH(ROWS($W$2:W191),$W$2:$W$1001,0),0), INDEX($AD$1004:$AU$1004,1,MATCH(COLUMNS($AD$1006:AE1006),$AD$1006:$AU$1006,0)))),"Fix")))</f>
        <v xml:space="preserve"> </v>
      </c>
      <c r="D191" s="4" t="str">
        <f ca="1">IF(OR(INDEX($X$2:$X$1001,MATCH(ROWS($W$2:W191),$W$2:$W$1001,0),1)&gt;=100000,INDEX($AD$1005:$AU$1005,1,MATCH(COLUMNS($AD$1006:AF1006),$AD$1006:$AU$1006,0))&gt;=100000), " ",IF(INDEX($AD$2:$AU$1001,MATCH(ROWS($W$2:W191),$W$2:$W$1001,0),MATCH(COLUMNS($AD$1006:AF1006),$AD$1006:$AU$1006,0)), HYPERLINK("#",""), HYPERLINK(CONCATENATE("#metadata!", ADDRESS(INDEX($Y$2:$Y$1001,MATCH(ROWS($W$2:W191),$W$2:$W$1001,0),0), INDEX($AD$1004:$AU$1004,1,MATCH(COLUMNS($AD$1006:AF1006),$AD$1006:$AU$1006,0)))),"Fix")))</f>
        <v xml:space="preserve"> </v>
      </c>
      <c r="E191" s="4" t="str">
        <f ca="1">IF(OR(INDEX($X$2:$X$1001,MATCH(ROWS($W$2:W191),$W$2:$W$1001,0),1)&gt;=100000,INDEX($AD$1005:$AU$1005,1,MATCH(COLUMNS($AD$1006:AG1006),$AD$1006:$AU$1006,0))&gt;=100000), " ",IF(INDEX($AD$2:$AU$1001,MATCH(ROWS($W$2:W191),$W$2:$W$1001,0),MATCH(COLUMNS($AD$1006:AG1006),$AD$1006:$AU$1006,0)), HYPERLINK("#",""), HYPERLINK(CONCATENATE("#metadata!", ADDRESS(INDEX($Y$2:$Y$1001,MATCH(ROWS($W$2:W191),$W$2:$W$1001,0),0), INDEX($AD$1004:$AU$1004,1,MATCH(COLUMNS($AD$1006:AG1006),$AD$1006:$AU$1006,0)))),"Fix")))</f>
        <v xml:space="preserve"> </v>
      </c>
      <c r="F191" s="4" t="str">
        <f ca="1">IF(OR(INDEX($X$2:$X$1001,MATCH(ROWS($W$2:W191),$W$2:$W$1001,0),1)&gt;=100000,INDEX($AD$1005:$AU$1005,1,MATCH(COLUMNS($AD$1006:AH1006),$AD$1006:$AU$1006,0))&gt;=100000), " ",IF(INDEX($AD$2:$AU$1001,MATCH(ROWS($W$2:W191),$W$2:$W$1001,0),MATCH(COLUMNS($AD$1006:AH1006),$AD$1006:$AU$1006,0)), HYPERLINK("#",""), HYPERLINK(CONCATENATE("#metadata!", ADDRESS(INDEX($Y$2:$Y$1001,MATCH(ROWS($W$2:W191),$W$2:$W$1001,0),0), INDEX($AD$1004:$AU$1004,1,MATCH(COLUMNS($AD$1006:AH1006),$AD$1006:$AU$1006,0)))),"Fix")))</f>
        <v xml:space="preserve"> </v>
      </c>
      <c r="G191" s="4" t="str">
        <f ca="1">IF(OR(INDEX($X$2:$X$1001,MATCH(ROWS($W$2:W191),$W$2:$W$1001,0),1)&gt;=100000,INDEX($AD$1005:$AU$1005,1,MATCH(COLUMNS($AD$1006:AI1006),$AD$1006:$AU$1006,0))&gt;=100000), " ",IF(INDEX($AD$2:$AU$1001,MATCH(ROWS($W$2:W191),$W$2:$W$1001,0),MATCH(COLUMNS($AD$1006:AI1006),$AD$1006:$AU$1006,0)), HYPERLINK("#",""), HYPERLINK(CONCATENATE("#metadata!", ADDRESS(INDEX($Y$2:$Y$1001,MATCH(ROWS($W$2:W191),$W$2:$W$1001,0),0), INDEX($AD$1004:$AU$1004,1,MATCH(COLUMNS($AD$1006:AI1006),$AD$1006:$AU$1006,0)))),"Fix")))</f>
        <v xml:space="preserve"> </v>
      </c>
      <c r="H191" s="4" t="str">
        <f ca="1">IF(OR(INDEX($X$2:$X$1001,MATCH(ROWS($W$2:W191),$W$2:$W$1001,0),1)&gt;=100000,INDEX($AD$1005:$AU$1005,1,MATCH(COLUMNS($AD$1006:AJ1006),$AD$1006:$AU$1006,0))&gt;=100000), " ",IF(INDEX($AD$2:$AU$1001,MATCH(ROWS($W$2:W191),$W$2:$W$1001,0),MATCH(COLUMNS($AD$1006:AJ1006),$AD$1006:$AU$1006,0)), HYPERLINK("#",""), HYPERLINK(CONCATENATE("#metadata!", ADDRESS(INDEX($Y$2:$Y$1001,MATCH(ROWS($W$2:W191),$W$2:$W$1001,0),0), INDEX($AD$1004:$AU$1004,1,MATCH(COLUMNS($AD$1006:AJ1006),$AD$1006:$AU$1006,0)))),"Fix")))</f>
        <v xml:space="preserve"> </v>
      </c>
      <c r="I191" s="4" t="str">
        <f ca="1">IF(OR(INDEX($X$2:$X$1001,MATCH(ROWS($W$2:W191),$W$2:$W$1001,0),1)&gt;=100000,INDEX($AD$1005:$AU$1005,1,MATCH(COLUMNS($AD$1006:AK1006),$AD$1006:$AU$1006,0))&gt;=100000), " ",IF(INDEX($AD$2:$AU$1001,MATCH(ROWS($W$2:W191),$W$2:$W$1001,0),MATCH(COLUMNS($AD$1006:AK1006),$AD$1006:$AU$1006,0)), HYPERLINK("#",""), HYPERLINK(CONCATENATE("#metadata!", ADDRESS(INDEX($Y$2:$Y$1001,MATCH(ROWS($W$2:W191),$W$2:$W$1001,0),0), INDEX($AD$1004:$AU$1004,1,MATCH(COLUMNS($AD$1006:AK1006),$AD$1006:$AU$1006,0)))),"Fix")))</f>
        <v xml:space="preserve"> </v>
      </c>
      <c r="J191" s="4" t="str">
        <f ca="1">IF(OR(INDEX($X$2:$X$1001,MATCH(ROWS($W$2:W191),$W$2:$W$1001,0),1)&gt;=100000,INDEX($AD$1005:$AU$1005,1,MATCH(COLUMNS($AD$1006:AL1006),$AD$1006:$AU$1006,0))&gt;=100000), " ",IF(INDEX($AD$2:$AU$1001,MATCH(ROWS($W$2:W191),$W$2:$W$1001,0),MATCH(COLUMNS($AD$1006:AL1006),$AD$1006:$AU$1006,0)), HYPERLINK("#",""), HYPERLINK(CONCATENATE("#metadata!", ADDRESS(INDEX($Y$2:$Y$1001,MATCH(ROWS($W$2:W191),$W$2:$W$1001,0),0), INDEX($AD$1004:$AU$1004,1,MATCH(COLUMNS($AD$1006:AL1006),$AD$1006:$AU$1006,0)))),"Fix")))</f>
        <v xml:space="preserve"> </v>
      </c>
      <c r="K191" s="4" t="str">
        <f ca="1">IF(OR(INDEX($X$2:$X$1001,MATCH(ROWS($W$2:W191),$W$2:$W$1001,0),1)&gt;=100000,INDEX($AD$1005:$AU$1005,1,MATCH(COLUMNS($AD$1006:AM1006),$AD$1006:$AU$1006,0))&gt;=100000), " ",IF(INDEX($AD$2:$AU$1001,MATCH(ROWS($W$2:W191),$W$2:$W$1001,0),MATCH(COLUMNS($AD$1006:AM1006),$AD$1006:$AU$1006,0)), HYPERLINK("#",""), HYPERLINK(CONCATENATE("#metadata!", ADDRESS(INDEX($Y$2:$Y$1001,MATCH(ROWS($W$2:W191),$W$2:$W$1001,0),0), INDEX($AD$1004:$AU$1004,1,MATCH(COLUMNS($AD$1006:AM1006),$AD$1006:$AU$1006,0)))),"Fix")))</f>
        <v xml:space="preserve"> </v>
      </c>
      <c r="L191" s="4" t="str">
        <f ca="1">IF(OR(INDEX($X$2:$X$1001,MATCH(ROWS($W$2:W191),$W$2:$W$1001,0),1)&gt;=100000,INDEX($AD$1005:$AU$1005,1,MATCH(COLUMNS($AD$1006:AN1006),$AD$1006:$AU$1006,0))&gt;=100000), " ",IF(INDEX($AD$2:$AU$1001,MATCH(ROWS($W$2:W191),$W$2:$W$1001,0),MATCH(COLUMNS($AD$1006:AN1006),$AD$1006:$AU$1006,0)), HYPERLINK("#",""), HYPERLINK(CONCATENATE("#metadata!", ADDRESS(INDEX($Y$2:$Y$1001,MATCH(ROWS($W$2:W191),$W$2:$W$1001,0),0), INDEX($AD$1004:$AU$1004,1,MATCH(COLUMNS($AD$1006:AN1006),$AD$1006:$AU$1006,0)))),"Fix")))</f>
        <v xml:space="preserve"> </v>
      </c>
      <c r="M191" s="4" t="str">
        <f ca="1">IF(OR(INDEX($X$2:$X$1001,MATCH(ROWS($W$2:W191),$W$2:$W$1001,0),1)&gt;=100000,INDEX($AD$1005:$AU$1005,1,MATCH(COLUMNS($AD$1006:AO1006),$AD$1006:$AU$1006,0))&gt;=100000), " ",IF(INDEX($AD$2:$AU$1001,MATCH(ROWS($W$2:W191),$W$2:$W$1001,0),MATCH(COLUMNS($AD$1006:AO1006),$AD$1006:$AU$1006,0)), HYPERLINK("#",""), HYPERLINK(CONCATENATE("#metadata!", ADDRESS(INDEX($Y$2:$Y$1001,MATCH(ROWS($W$2:W191),$W$2:$W$1001,0),0), INDEX($AD$1004:$AU$1004,1,MATCH(COLUMNS($AD$1006:AO1006),$AD$1006:$AU$1006,0)))),"Fix")))</f>
        <v xml:space="preserve"> </v>
      </c>
      <c r="N191" s="4" t="str">
        <f ca="1">IF(OR(INDEX($X$2:$X$1001,MATCH(ROWS($W$2:W191),$W$2:$W$1001,0),1)&gt;=100000,INDEX($AD$1005:$AU$1005,1,MATCH(COLUMNS($AD$1006:AP1006),$AD$1006:$AU$1006,0))&gt;=100000), " ",IF(INDEX($AD$2:$AU$1001,MATCH(ROWS($W$2:W191),$W$2:$W$1001,0),MATCH(COLUMNS($AD$1006:AP1006),$AD$1006:$AU$1006,0)), HYPERLINK("#",""), HYPERLINK(CONCATENATE("#metadata!", ADDRESS(INDEX($Y$2:$Y$1001,MATCH(ROWS($W$2:W191),$W$2:$W$1001,0),0), INDEX($AD$1004:$AU$1004,1,MATCH(COLUMNS($AD$1006:AP1006),$AD$1006:$AU$1006,0)))),"Fix")))</f>
        <v xml:space="preserve"> </v>
      </c>
      <c r="O191" s="4" t="str">
        <f ca="1">IF(OR(INDEX($X$2:$X$1001,MATCH(ROWS($W$2:W191),$W$2:$W$1001,0),1)&gt;=100000,INDEX($AD$1005:$AU$1005,1,MATCH(COLUMNS($AD$1006:AQ1006),$AD$1006:$AU$1006,0))&gt;=100000), " ",IF(INDEX($AD$2:$AU$1001,MATCH(ROWS($W$2:W191),$W$2:$W$1001,0),MATCH(COLUMNS($AD$1006:AQ1006),$AD$1006:$AU$1006,0)), HYPERLINK("#",""), HYPERLINK(CONCATENATE("#metadata!", ADDRESS(INDEX($Y$2:$Y$1001,MATCH(ROWS($W$2:W191),$W$2:$W$1001,0),0), INDEX($AD$1004:$AU$1004,1,MATCH(COLUMNS($AD$1006:AQ1006),$AD$1006:$AU$1006,0)))),"Fix")))</f>
        <v xml:space="preserve"> </v>
      </c>
      <c r="P191" s="4" t="str">
        <f ca="1">IF(OR(INDEX($X$2:$X$1001,MATCH(ROWS($W$2:W191),$W$2:$W$1001,0),1)&gt;=100000,INDEX($AD$1005:$AU$1005,1,MATCH(COLUMNS($AD$1006:AR1006),$AD$1006:$AU$1006,0))&gt;=100000), " ",IF(INDEX($AD$2:$AU$1001,MATCH(ROWS($W$2:W191),$W$2:$W$1001,0),MATCH(COLUMNS($AD$1006:AR1006),$AD$1006:$AU$1006,0)), HYPERLINK("#",""), HYPERLINK(CONCATENATE("#metadata!", ADDRESS(INDEX($Y$2:$Y$1001,MATCH(ROWS($W$2:W191),$W$2:$W$1001,0),0), INDEX($AD$1004:$AU$1004,1,MATCH(COLUMNS($AD$1006:AR1006),$AD$1006:$AU$1006,0)))),"Fix")))</f>
        <v xml:space="preserve"> </v>
      </c>
      <c r="Q191" s="4" t="str">
        <f ca="1">IF(OR(INDEX($X$2:$X$1001,MATCH(ROWS($W$2:W191),$W$2:$W$1001,0),1)&gt;=100000,INDEX($AD$1005:$AU$1005,1,MATCH(COLUMNS($AD$1006:AS1006),$AD$1006:$AU$1006,0))&gt;=100000), " ",IF(INDEX($AD$2:$AU$1001,MATCH(ROWS($W$2:W191),$W$2:$W$1001,0),MATCH(COLUMNS($AD$1006:AS1006),$AD$1006:$AU$1006,0)), HYPERLINK("#",""), HYPERLINK(CONCATENATE("#metadata!", ADDRESS(INDEX($Y$2:$Y$1001,MATCH(ROWS($W$2:W191),$W$2:$W$1001,0),0), INDEX($AD$1004:$AU$1004,1,MATCH(COLUMNS($AD$1006:AS1006),$AD$1006:$AU$1006,0)))),"Fix")))</f>
        <v xml:space="preserve"> </v>
      </c>
      <c r="R191" s="4" t="str">
        <f ca="1">IF(OR(INDEX($X$2:$X$1001,MATCH(ROWS($W$2:W191),$W$2:$W$1001,0),1)&gt;=100000,INDEX($AD$1005:$AU$1005,1,MATCH(COLUMNS($AD$1006:AT1006),$AD$1006:$AU$1006,0))&gt;=100000), " ",IF(INDEX($AD$2:$AU$1001,MATCH(ROWS($W$2:W191),$W$2:$W$1001,0),MATCH(COLUMNS($AD$1006:AT1006),$AD$1006:$AU$1006,0)), HYPERLINK("#",""), HYPERLINK(CONCATENATE("#metadata!", ADDRESS(INDEX($Y$2:$Y$1001,MATCH(ROWS($W$2:W191),$W$2:$W$1001,0),0), INDEX($AD$1004:$AU$1004,1,MATCH(COLUMNS($AD$1006:AT1006),$AD$1006:$AU$1006,0)))),"Fix")))</f>
        <v xml:space="preserve"> </v>
      </c>
      <c r="S191" s="4" t="str">
        <f ca="1">IF(OR(INDEX($X$2:$X$1001,MATCH(ROWS($W$2:W191),$W$2:$W$1001,0),1)&gt;=100000,INDEX($AD$1005:$AU$1005,1,MATCH(COLUMNS($AD$1006:AU1006),$AD$1006:$AU$1006,0))&gt;=100000), " ",IF(INDEX($AD$2:$AU$1001,MATCH(ROWS($W$2:W191),$W$2:$W$1001,0),MATCH(COLUMNS($AD$1006:AU1006),$AD$1006:$AU$1006,0)), HYPERLINK("#",""), HYPERLINK(CONCATENATE("#metadata!", ADDRESS(INDEX($Y$2:$Y$1001,MATCH(ROWS($W$2:W191),$W$2:$W$1001,0),0), INDEX($AD$1004:$AU$1004,1,MATCH(COLUMNS($AD$1006:AU1006),$AD$1006:$AU$1006,0)))),"Fix")))</f>
        <v xml:space="preserve"> </v>
      </c>
      <c r="W191">
        <v>190</v>
      </c>
      <c r="X191">
        <v>100191</v>
      </c>
      <c r="Y191">
        <v>191</v>
      </c>
      <c r="Z191" t="b">
        <f t="shared" si="2"/>
        <v>1</v>
      </c>
      <c r="AA191" t="b">
        <f>COUNTBLANK(metadata!B191:S191)=COLUMNS(metadata!B191:S191)</f>
        <v>1</v>
      </c>
      <c r="AB191" t="str">
        <v/>
      </c>
      <c r="AD191" t="b">
        <f ca="1">AND(IF(metadata!B191="",FALSE,TRUE),COUNTIF(metadata!B:B, metadata!B191) = 1,NOT(ISERROR(SUMPRODUCT(SEARCH(MID(metadata!B191,ROW(INDIRECT("1:"&amp;LEN(metadata!B191))), 1),"0123456789abcdefghijklmnopqrstuvwxyzABCDEFGHIJKLMNOPQRSTUVWXYZ.")))))</f>
        <v>0</v>
      </c>
      <c r="AE191" t="b">
        <f>OR(AND(IF(metadata!C191="",FALSE,TRUE),OR(EXACT(metadata!C191,"not applicable"),EXACT(metadata!C191,"missing: not collected"),EXACT(metadata!C191,"missing: not provided"),EXACT(metadata!C191,"missing: restricted access"))),AND(IF(metadata!C191="",FALSE,ISNUMBER(VALUE(metadata!C191))),metadata!C191&gt;0))</f>
        <v>0</v>
      </c>
      <c r="AF191" t="b">
        <f>AND(IF(metadata!D191="",FALSE,TRUE),EXACT(metadata!D191,"missing: not provided"))</f>
        <v>0</v>
      </c>
      <c r="AG191" t="b">
        <f>AND(IF(metadata!E191="",FALSE,TRUE),EXACT(metadata!E191,"Host-associated"))</f>
        <v>0</v>
      </c>
      <c r="AH191" t="b">
        <f>AND(IF(metadata!F191="",FALSE,TRUE),OR(EXACT(metadata!F191,"Animal"),EXACT(metadata!F191,"Fungus"),EXACT(metadata!F191,"Plant")))</f>
        <v>0</v>
      </c>
      <c r="AI191" t="b">
        <f>AND(IF(metadata!G191="",FALSE,TRUE),OR(EXACT(metadata!G191,"Plant secretion"),EXACT(metadata!G191,"Plant rhizosphere"),EXACT(metadata!G191,"Plant surface"),EXACT(metadata!G191,"Plant corpus"),EXACT(metadata!G191,"Fungus surface"),EXACT(metadata!G191,"Fungus corpus"),EXACT(metadata!G191,"Animal surface"),EXACT(metadata!G191,"Animal proximal gut"),EXACT(metadata!G191,"Animal corpus"),EXACT(metadata!G191,"Animal distal gut"),EXACT(metadata!G191,"Animal secretion")))</f>
        <v>0</v>
      </c>
      <c r="AJ191" t="b">
        <f>OR(AND(IF(metadata!H191="",FALSE,TRUE),OR(EXACT(metadata!H191,"missing: not collected"),EXACT(metadata!H191,"missing: not provided"),EXACT(metadata!H191,"missing: restricted access"))),AND(IF(metadata!H191="",FALSE,TRUE),OR(EXACT(metadata!H191,"organism-associated habitat"),EXACT(metadata!H191,"plant-associated habitat"),EXACT(metadata!H191,"animal-associated habitat"),EXACT(metadata!H191,"insecta-associated habitat"),EXACT(metadata!H191,"mammalia-associated habitat"),EXACT(metadata!H191,"human-associated habitat"),EXACT(metadata!H191,"livestock-associated habitat"))))</f>
        <v>0</v>
      </c>
      <c r="AK191" t="b">
        <f>AND(IF(metadata!I191="",FALSE,TRUE),EXACT(metadata!I191,"host-associated"))</f>
        <v>0</v>
      </c>
      <c r="AL191" t="b">
        <f>OR(AND(IF(metadata!J191="",FALSE,TRUE),OR(EXACT(metadata!J191,"not applicable"),EXACT(metadata!J191,"missing: not collected"),EXACT(metadata!J191,"missing: not provided"),EXACT(metadata!J191,"missing: restricted access"))),AND(IF(metadata!J191="",FALSE,ISNUMBER(VALUE(metadata!J191))),metadata!J191&gt;0))</f>
        <v>0</v>
      </c>
      <c r="AM191" t="b">
        <f>AND(IF(metadata!K191="",FALSE,TRUE),EXACT(metadata!K191,"missing: not provided"))</f>
        <v>0</v>
      </c>
      <c r="AN191" t="b">
        <f>IF(metadata!L191="",FALSE,TRUE)</f>
        <v>0</v>
      </c>
      <c r="AO191" t="b">
        <f>IF(metadata!M191="",FALSE,TRUE)</f>
        <v>0</v>
      </c>
      <c r="AP191" t="b">
        <f>OR(AND(IF(metadata!N191="",FALSE,TRUE),OR(EXACT(metadata!N191,"not applicable"),EXACT(metadata!N191,"missing: not collected"),EXACT(metadata!N191,"missing: not provided"))),AND(IF(metadata!N191="",FALSE,IF(ISERROR(INT(metadata!N191)),FALSE,INT(metadata!N191)=metadata!N191)),metadata!N191&gt;0))</f>
        <v>0</v>
      </c>
      <c r="AQ191" t="b">
        <f>AND(IF(metadata!O191="",FALSE,TRUE),EXACT(metadata!O191,"Not applicable"))</f>
        <v>0</v>
      </c>
      <c r="AR191" t="b">
        <f>OR(AND(IF(metadata!P191="",FALSE,TRUE),OR(EXACT(metadata!P191,"not applicable"),EXACT(metadata!P191,"missing: not collected"),EXACT(metadata!P191,"missing: not provided"),EXACT(metadata!P191,"missing: restricted access"))),IF(metadata!P191="",FALSE,IF(ISERROR(INT(metadata!P191)),FALSE,INT(metadata!P191)=metadata!P191)))</f>
        <v>0</v>
      </c>
      <c r="AS191" t="b">
        <f>AND(IF(metadata!Q191="",FALSE,TRUE),EXACT(metadata!Q191,"Not applicable"))</f>
        <v>0</v>
      </c>
      <c r="AT191" t="b">
        <f>OR(AND(IF(metadata!R191="",FALSE,TRUE),OR(EXACT(metadata!R191,"not applicable"),EXACT(metadata!R191,"missing: not collected"),EXACT(metadata!R191,"missing: not provided"),EXACT(metadata!R191,"missing: restricted access"))),AND(IF(metadata!R191="",FALSE,ISNUMBER(VALUE(metadata!R191))),metadata!R191&gt;0))</f>
        <v>0</v>
      </c>
      <c r="AU191" t="b">
        <f>AND(IF(metadata!S191="",FALSE,TRUE),EXACT(metadata!S191,"missing: not provided"))</f>
        <v>0</v>
      </c>
    </row>
    <row r="192" spans="1:47" x14ac:dyDescent="0.2">
      <c r="A192" s="5" t="str">
        <f ca="1">IF(B192=" "," ",HYPERLINK(CONCATENATE("#metadata!",ADDRESS(INDEX($Y$2:$Y$1001,MATCH(ROWS($W$2:W192),$W$2:$W$1001,0),0),1)),INDEX($AB$2:$AB$1001,MATCH(ROWS($W$2:W192),$W$2:$W$1001,0),0)))</f>
        <v xml:space="preserve"> </v>
      </c>
      <c r="B192" s="4" t="str">
        <f ca="1">IF(OR(INDEX($X$2:$X$1001,MATCH(ROWS($W$2:W192),$W$2:$W$1001,0),1)&gt;=100000,INDEX($AD$1005:$AU$1005,1,MATCH(COLUMNS($AD$1006:AD1006),$AD$1006:$AU$1006,0))&gt;=100000), " ",IF(INDEX($AD$2:$AU$1001,MATCH(ROWS($W$2:W192),$W$2:$W$1001,0),MATCH(COLUMNS($AD$1006:AD1006),$AD$1006:$AU$1006,0)), HYPERLINK("#",""), HYPERLINK(CONCATENATE("#metadata!", ADDRESS(INDEX($Y$2:$Y$1001,MATCH(ROWS($W$2:W192),$W$2:$W$1001,0),0), INDEX($AD$1004:$AU$1004,1,MATCH(COLUMNS($AD$1006:AD1006),$AD$1006:$AU$1006,0)))),"Fix")))</f>
        <v xml:space="preserve"> </v>
      </c>
      <c r="C192" s="4" t="str">
        <f ca="1">IF(OR(INDEX($X$2:$X$1001,MATCH(ROWS($W$2:W192),$W$2:$W$1001,0),1)&gt;=100000,INDEX($AD$1005:$AU$1005,1,MATCH(COLUMNS($AD$1006:AE1006),$AD$1006:$AU$1006,0))&gt;=100000), " ",IF(INDEX($AD$2:$AU$1001,MATCH(ROWS($W$2:W192),$W$2:$W$1001,0),MATCH(COLUMNS($AD$1006:AE1006),$AD$1006:$AU$1006,0)), HYPERLINK("#",""), HYPERLINK(CONCATENATE("#metadata!", ADDRESS(INDEX($Y$2:$Y$1001,MATCH(ROWS($W$2:W192),$W$2:$W$1001,0),0), INDEX($AD$1004:$AU$1004,1,MATCH(COLUMNS($AD$1006:AE1006),$AD$1006:$AU$1006,0)))),"Fix")))</f>
        <v xml:space="preserve"> </v>
      </c>
      <c r="D192" s="4" t="str">
        <f ca="1">IF(OR(INDEX($X$2:$X$1001,MATCH(ROWS($W$2:W192),$W$2:$W$1001,0),1)&gt;=100000,INDEX($AD$1005:$AU$1005,1,MATCH(COLUMNS($AD$1006:AF1006),$AD$1006:$AU$1006,0))&gt;=100000), " ",IF(INDEX($AD$2:$AU$1001,MATCH(ROWS($W$2:W192),$W$2:$W$1001,0),MATCH(COLUMNS($AD$1006:AF1006),$AD$1006:$AU$1006,0)), HYPERLINK("#",""), HYPERLINK(CONCATENATE("#metadata!", ADDRESS(INDEX($Y$2:$Y$1001,MATCH(ROWS($W$2:W192),$W$2:$W$1001,0),0), INDEX($AD$1004:$AU$1004,1,MATCH(COLUMNS($AD$1006:AF1006),$AD$1006:$AU$1006,0)))),"Fix")))</f>
        <v xml:space="preserve"> </v>
      </c>
      <c r="E192" s="4" t="str">
        <f ca="1">IF(OR(INDEX($X$2:$X$1001,MATCH(ROWS($W$2:W192),$W$2:$W$1001,0),1)&gt;=100000,INDEX($AD$1005:$AU$1005,1,MATCH(COLUMNS($AD$1006:AG1006),$AD$1006:$AU$1006,0))&gt;=100000), " ",IF(INDEX($AD$2:$AU$1001,MATCH(ROWS($W$2:W192),$W$2:$W$1001,0),MATCH(COLUMNS($AD$1006:AG1006),$AD$1006:$AU$1006,0)), HYPERLINK("#",""), HYPERLINK(CONCATENATE("#metadata!", ADDRESS(INDEX($Y$2:$Y$1001,MATCH(ROWS($W$2:W192),$W$2:$W$1001,0),0), INDEX($AD$1004:$AU$1004,1,MATCH(COLUMNS($AD$1006:AG1006),$AD$1006:$AU$1006,0)))),"Fix")))</f>
        <v xml:space="preserve"> </v>
      </c>
      <c r="F192" s="4" t="str">
        <f ca="1">IF(OR(INDEX($X$2:$X$1001,MATCH(ROWS($W$2:W192),$W$2:$W$1001,0),1)&gt;=100000,INDEX($AD$1005:$AU$1005,1,MATCH(COLUMNS($AD$1006:AH1006),$AD$1006:$AU$1006,0))&gt;=100000), " ",IF(INDEX($AD$2:$AU$1001,MATCH(ROWS($W$2:W192),$W$2:$W$1001,0),MATCH(COLUMNS($AD$1006:AH1006),$AD$1006:$AU$1006,0)), HYPERLINK("#",""), HYPERLINK(CONCATENATE("#metadata!", ADDRESS(INDEX($Y$2:$Y$1001,MATCH(ROWS($W$2:W192),$W$2:$W$1001,0),0), INDEX($AD$1004:$AU$1004,1,MATCH(COLUMNS($AD$1006:AH1006),$AD$1006:$AU$1006,0)))),"Fix")))</f>
        <v xml:space="preserve"> </v>
      </c>
      <c r="G192" s="4" t="str">
        <f ca="1">IF(OR(INDEX($X$2:$X$1001,MATCH(ROWS($W$2:W192),$W$2:$W$1001,0),1)&gt;=100000,INDEX($AD$1005:$AU$1005,1,MATCH(COLUMNS($AD$1006:AI1006),$AD$1006:$AU$1006,0))&gt;=100000), " ",IF(INDEX($AD$2:$AU$1001,MATCH(ROWS($W$2:W192),$W$2:$W$1001,0),MATCH(COLUMNS($AD$1006:AI1006),$AD$1006:$AU$1006,0)), HYPERLINK("#",""), HYPERLINK(CONCATENATE("#metadata!", ADDRESS(INDEX($Y$2:$Y$1001,MATCH(ROWS($W$2:W192),$W$2:$W$1001,0),0), INDEX($AD$1004:$AU$1004,1,MATCH(COLUMNS($AD$1006:AI1006),$AD$1006:$AU$1006,0)))),"Fix")))</f>
        <v xml:space="preserve"> </v>
      </c>
      <c r="H192" s="4" t="str">
        <f ca="1">IF(OR(INDEX($X$2:$X$1001,MATCH(ROWS($W$2:W192),$W$2:$W$1001,0),1)&gt;=100000,INDEX($AD$1005:$AU$1005,1,MATCH(COLUMNS($AD$1006:AJ1006),$AD$1006:$AU$1006,0))&gt;=100000), " ",IF(INDEX($AD$2:$AU$1001,MATCH(ROWS($W$2:W192),$W$2:$W$1001,0),MATCH(COLUMNS($AD$1006:AJ1006),$AD$1006:$AU$1006,0)), HYPERLINK("#",""), HYPERLINK(CONCATENATE("#metadata!", ADDRESS(INDEX($Y$2:$Y$1001,MATCH(ROWS($W$2:W192),$W$2:$W$1001,0),0), INDEX($AD$1004:$AU$1004,1,MATCH(COLUMNS($AD$1006:AJ1006),$AD$1006:$AU$1006,0)))),"Fix")))</f>
        <v xml:space="preserve"> </v>
      </c>
      <c r="I192" s="4" t="str">
        <f ca="1">IF(OR(INDEX($X$2:$X$1001,MATCH(ROWS($W$2:W192),$W$2:$W$1001,0),1)&gt;=100000,INDEX($AD$1005:$AU$1005,1,MATCH(COLUMNS($AD$1006:AK1006),$AD$1006:$AU$1006,0))&gt;=100000), " ",IF(INDEX($AD$2:$AU$1001,MATCH(ROWS($W$2:W192),$W$2:$W$1001,0),MATCH(COLUMNS($AD$1006:AK1006),$AD$1006:$AU$1006,0)), HYPERLINK("#",""), HYPERLINK(CONCATENATE("#metadata!", ADDRESS(INDEX($Y$2:$Y$1001,MATCH(ROWS($W$2:W192),$W$2:$W$1001,0),0), INDEX($AD$1004:$AU$1004,1,MATCH(COLUMNS($AD$1006:AK1006),$AD$1006:$AU$1006,0)))),"Fix")))</f>
        <v xml:space="preserve"> </v>
      </c>
      <c r="J192" s="4" t="str">
        <f ca="1">IF(OR(INDEX($X$2:$X$1001,MATCH(ROWS($W$2:W192),$W$2:$W$1001,0),1)&gt;=100000,INDEX($AD$1005:$AU$1005,1,MATCH(COLUMNS($AD$1006:AL1006),$AD$1006:$AU$1006,0))&gt;=100000), " ",IF(INDEX($AD$2:$AU$1001,MATCH(ROWS($W$2:W192),$W$2:$W$1001,0),MATCH(COLUMNS($AD$1006:AL1006),$AD$1006:$AU$1006,0)), HYPERLINK("#",""), HYPERLINK(CONCATENATE("#metadata!", ADDRESS(INDEX($Y$2:$Y$1001,MATCH(ROWS($W$2:W192),$W$2:$W$1001,0),0), INDEX($AD$1004:$AU$1004,1,MATCH(COLUMNS($AD$1006:AL1006),$AD$1006:$AU$1006,0)))),"Fix")))</f>
        <v xml:space="preserve"> </v>
      </c>
      <c r="K192" s="4" t="str">
        <f ca="1">IF(OR(INDEX($X$2:$X$1001,MATCH(ROWS($W$2:W192),$W$2:$W$1001,0),1)&gt;=100000,INDEX($AD$1005:$AU$1005,1,MATCH(COLUMNS($AD$1006:AM1006),$AD$1006:$AU$1006,0))&gt;=100000), " ",IF(INDEX($AD$2:$AU$1001,MATCH(ROWS($W$2:W192),$W$2:$W$1001,0),MATCH(COLUMNS($AD$1006:AM1006),$AD$1006:$AU$1006,0)), HYPERLINK("#",""), HYPERLINK(CONCATENATE("#metadata!", ADDRESS(INDEX($Y$2:$Y$1001,MATCH(ROWS($W$2:W192),$W$2:$W$1001,0),0), INDEX($AD$1004:$AU$1004,1,MATCH(COLUMNS($AD$1006:AM1006),$AD$1006:$AU$1006,0)))),"Fix")))</f>
        <v xml:space="preserve"> </v>
      </c>
      <c r="L192" s="4" t="str">
        <f ca="1">IF(OR(INDEX($X$2:$X$1001,MATCH(ROWS($W$2:W192),$W$2:$W$1001,0),1)&gt;=100000,INDEX($AD$1005:$AU$1005,1,MATCH(COLUMNS($AD$1006:AN1006),$AD$1006:$AU$1006,0))&gt;=100000), " ",IF(INDEX($AD$2:$AU$1001,MATCH(ROWS($W$2:W192),$W$2:$W$1001,0),MATCH(COLUMNS($AD$1006:AN1006),$AD$1006:$AU$1006,0)), HYPERLINK("#",""), HYPERLINK(CONCATENATE("#metadata!", ADDRESS(INDEX($Y$2:$Y$1001,MATCH(ROWS($W$2:W192),$W$2:$W$1001,0),0), INDEX($AD$1004:$AU$1004,1,MATCH(COLUMNS($AD$1006:AN1006),$AD$1006:$AU$1006,0)))),"Fix")))</f>
        <v xml:space="preserve"> </v>
      </c>
      <c r="M192" s="4" t="str">
        <f ca="1">IF(OR(INDEX($X$2:$X$1001,MATCH(ROWS($W$2:W192),$W$2:$W$1001,0),1)&gt;=100000,INDEX($AD$1005:$AU$1005,1,MATCH(COLUMNS($AD$1006:AO1006),$AD$1006:$AU$1006,0))&gt;=100000), " ",IF(INDEX($AD$2:$AU$1001,MATCH(ROWS($W$2:W192),$W$2:$W$1001,0),MATCH(COLUMNS($AD$1006:AO1006),$AD$1006:$AU$1006,0)), HYPERLINK("#",""), HYPERLINK(CONCATENATE("#metadata!", ADDRESS(INDEX($Y$2:$Y$1001,MATCH(ROWS($W$2:W192),$W$2:$W$1001,0),0), INDEX($AD$1004:$AU$1004,1,MATCH(COLUMNS($AD$1006:AO1006),$AD$1006:$AU$1006,0)))),"Fix")))</f>
        <v xml:space="preserve"> </v>
      </c>
      <c r="N192" s="4" t="str">
        <f ca="1">IF(OR(INDEX($X$2:$X$1001,MATCH(ROWS($W$2:W192),$W$2:$W$1001,0),1)&gt;=100000,INDEX($AD$1005:$AU$1005,1,MATCH(COLUMNS($AD$1006:AP1006),$AD$1006:$AU$1006,0))&gt;=100000), " ",IF(INDEX($AD$2:$AU$1001,MATCH(ROWS($W$2:W192),$W$2:$W$1001,0),MATCH(COLUMNS($AD$1006:AP1006),$AD$1006:$AU$1006,0)), HYPERLINK("#",""), HYPERLINK(CONCATENATE("#metadata!", ADDRESS(INDEX($Y$2:$Y$1001,MATCH(ROWS($W$2:W192),$W$2:$W$1001,0),0), INDEX($AD$1004:$AU$1004,1,MATCH(COLUMNS($AD$1006:AP1006),$AD$1006:$AU$1006,0)))),"Fix")))</f>
        <v xml:space="preserve"> </v>
      </c>
      <c r="O192" s="4" t="str">
        <f ca="1">IF(OR(INDEX($X$2:$X$1001,MATCH(ROWS($W$2:W192),$W$2:$W$1001,0),1)&gt;=100000,INDEX($AD$1005:$AU$1005,1,MATCH(COLUMNS($AD$1006:AQ1006),$AD$1006:$AU$1006,0))&gt;=100000), " ",IF(INDEX($AD$2:$AU$1001,MATCH(ROWS($W$2:W192),$W$2:$W$1001,0),MATCH(COLUMNS($AD$1006:AQ1006),$AD$1006:$AU$1006,0)), HYPERLINK("#",""), HYPERLINK(CONCATENATE("#metadata!", ADDRESS(INDEX($Y$2:$Y$1001,MATCH(ROWS($W$2:W192),$W$2:$W$1001,0),0), INDEX($AD$1004:$AU$1004,1,MATCH(COLUMNS($AD$1006:AQ1006),$AD$1006:$AU$1006,0)))),"Fix")))</f>
        <v xml:space="preserve"> </v>
      </c>
      <c r="P192" s="4" t="str">
        <f ca="1">IF(OR(INDEX($X$2:$X$1001,MATCH(ROWS($W$2:W192),$W$2:$W$1001,0),1)&gt;=100000,INDEX($AD$1005:$AU$1005,1,MATCH(COLUMNS($AD$1006:AR1006),$AD$1006:$AU$1006,0))&gt;=100000), " ",IF(INDEX($AD$2:$AU$1001,MATCH(ROWS($W$2:W192),$W$2:$W$1001,0),MATCH(COLUMNS($AD$1006:AR1006),$AD$1006:$AU$1006,0)), HYPERLINK("#",""), HYPERLINK(CONCATENATE("#metadata!", ADDRESS(INDEX($Y$2:$Y$1001,MATCH(ROWS($W$2:W192),$W$2:$W$1001,0),0), INDEX($AD$1004:$AU$1004,1,MATCH(COLUMNS($AD$1006:AR1006),$AD$1006:$AU$1006,0)))),"Fix")))</f>
        <v xml:space="preserve"> </v>
      </c>
      <c r="Q192" s="4" t="str">
        <f ca="1">IF(OR(INDEX($X$2:$X$1001,MATCH(ROWS($W$2:W192),$W$2:$W$1001,0),1)&gt;=100000,INDEX($AD$1005:$AU$1005,1,MATCH(COLUMNS($AD$1006:AS1006),$AD$1006:$AU$1006,0))&gt;=100000), " ",IF(INDEX($AD$2:$AU$1001,MATCH(ROWS($W$2:W192),$W$2:$W$1001,0),MATCH(COLUMNS($AD$1006:AS1006),$AD$1006:$AU$1006,0)), HYPERLINK("#",""), HYPERLINK(CONCATENATE("#metadata!", ADDRESS(INDEX($Y$2:$Y$1001,MATCH(ROWS($W$2:W192),$W$2:$W$1001,0),0), INDEX($AD$1004:$AU$1004,1,MATCH(COLUMNS($AD$1006:AS1006),$AD$1006:$AU$1006,0)))),"Fix")))</f>
        <v xml:space="preserve"> </v>
      </c>
      <c r="R192" s="4" t="str">
        <f ca="1">IF(OR(INDEX($X$2:$X$1001,MATCH(ROWS($W$2:W192),$W$2:$W$1001,0),1)&gt;=100000,INDEX($AD$1005:$AU$1005,1,MATCH(COLUMNS($AD$1006:AT1006),$AD$1006:$AU$1006,0))&gt;=100000), " ",IF(INDEX($AD$2:$AU$1001,MATCH(ROWS($W$2:W192),$W$2:$W$1001,0),MATCH(COLUMNS($AD$1006:AT1006),$AD$1006:$AU$1006,0)), HYPERLINK("#",""), HYPERLINK(CONCATENATE("#metadata!", ADDRESS(INDEX($Y$2:$Y$1001,MATCH(ROWS($W$2:W192),$W$2:$W$1001,0),0), INDEX($AD$1004:$AU$1004,1,MATCH(COLUMNS($AD$1006:AT1006),$AD$1006:$AU$1006,0)))),"Fix")))</f>
        <v xml:space="preserve"> </v>
      </c>
      <c r="S192" s="4" t="str">
        <f ca="1">IF(OR(INDEX($X$2:$X$1001,MATCH(ROWS($W$2:W192),$W$2:$W$1001,0),1)&gt;=100000,INDEX($AD$1005:$AU$1005,1,MATCH(COLUMNS($AD$1006:AU1006),$AD$1006:$AU$1006,0))&gt;=100000), " ",IF(INDEX($AD$2:$AU$1001,MATCH(ROWS($W$2:W192),$W$2:$W$1001,0),MATCH(COLUMNS($AD$1006:AU1006),$AD$1006:$AU$1006,0)), HYPERLINK("#",""), HYPERLINK(CONCATENATE("#metadata!", ADDRESS(INDEX($Y$2:$Y$1001,MATCH(ROWS($W$2:W192),$W$2:$W$1001,0),0), INDEX($AD$1004:$AU$1004,1,MATCH(COLUMNS($AD$1006:AU1006),$AD$1006:$AU$1006,0)))),"Fix")))</f>
        <v xml:space="preserve"> </v>
      </c>
      <c r="W192">
        <v>191</v>
      </c>
      <c r="X192">
        <v>100192</v>
      </c>
      <c r="Y192">
        <v>192</v>
      </c>
      <c r="Z192" t="b">
        <f t="shared" si="2"/>
        <v>1</v>
      </c>
      <c r="AA192" t="b">
        <f>COUNTBLANK(metadata!B192:S192)=COLUMNS(metadata!B192:S192)</f>
        <v>1</v>
      </c>
      <c r="AB192" t="str">
        <v/>
      </c>
      <c r="AD192" t="b">
        <f ca="1">AND(IF(metadata!B192="",FALSE,TRUE),COUNTIF(metadata!B:B, metadata!B192) = 1,NOT(ISERROR(SUMPRODUCT(SEARCH(MID(metadata!B192,ROW(INDIRECT("1:"&amp;LEN(metadata!B192))), 1),"0123456789abcdefghijklmnopqrstuvwxyzABCDEFGHIJKLMNOPQRSTUVWXYZ.")))))</f>
        <v>0</v>
      </c>
      <c r="AE192" t="b">
        <f>OR(AND(IF(metadata!C192="",FALSE,TRUE),OR(EXACT(metadata!C192,"not applicable"),EXACT(metadata!C192,"missing: not collected"),EXACT(metadata!C192,"missing: not provided"),EXACT(metadata!C192,"missing: restricted access"))),AND(IF(metadata!C192="",FALSE,ISNUMBER(VALUE(metadata!C192))),metadata!C192&gt;0))</f>
        <v>0</v>
      </c>
      <c r="AF192" t="b">
        <f>AND(IF(metadata!D192="",FALSE,TRUE),EXACT(metadata!D192,"missing: not provided"))</f>
        <v>0</v>
      </c>
      <c r="AG192" t="b">
        <f>AND(IF(metadata!E192="",FALSE,TRUE),EXACT(metadata!E192,"Host-associated"))</f>
        <v>0</v>
      </c>
      <c r="AH192" t="b">
        <f>AND(IF(metadata!F192="",FALSE,TRUE),OR(EXACT(metadata!F192,"Animal"),EXACT(metadata!F192,"Fungus"),EXACT(metadata!F192,"Plant")))</f>
        <v>0</v>
      </c>
      <c r="AI192" t="b">
        <f>AND(IF(metadata!G192="",FALSE,TRUE),OR(EXACT(metadata!G192,"Plant secretion"),EXACT(metadata!G192,"Plant rhizosphere"),EXACT(metadata!G192,"Plant surface"),EXACT(metadata!G192,"Plant corpus"),EXACT(metadata!G192,"Fungus surface"),EXACT(metadata!G192,"Fungus corpus"),EXACT(metadata!G192,"Animal surface"),EXACT(metadata!G192,"Animal proximal gut"),EXACT(metadata!G192,"Animal corpus"),EXACT(metadata!G192,"Animal distal gut"),EXACT(metadata!G192,"Animal secretion")))</f>
        <v>0</v>
      </c>
      <c r="AJ192" t="b">
        <f>OR(AND(IF(metadata!H192="",FALSE,TRUE),OR(EXACT(metadata!H192,"missing: not collected"),EXACT(metadata!H192,"missing: not provided"),EXACT(metadata!H192,"missing: restricted access"))),AND(IF(metadata!H192="",FALSE,TRUE),OR(EXACT(metadata!H192,"organism-associated habitat"),EXACT(metadata!H192,"plant-associated habitat"),EXACT(metadata!H192,"animal-associated habitat"),EXACT(metadata!H192,"insecta-associated habitat"),EXACT(metadata!H192,"mammalia-associated habitat"),EXACT(metadata!H192,"human-associated habitat"),EXACT(metadata!H192,"livestock-associated habitat"))))</f>
        <v>0</v>
      </c>
      <c r="AK192" t="b">
        <f>AND(IF(metadata!I192="",FALSE,TRUE),EXACT(metadata!I192,"host-associated"))</f>
        <v>0</v>
      </c>
      <c r="AL192" t="b">
        <f>OR(AND(IF(metadata!J192="",FALSE,TRUE),OR(EXACT(metadata!J192,"not applicable"),EXACT(metadata!J192,"missing: not collected"),EXACT(metadata!J192,"missing: not provided"),EXACT(metadata!J192,"missing: restricted access"))),AND(IF(metadata!J192="",FALSE,ISNUMBER(VALUE(metadata!J192))),metadata!J192&gt;0))</f>
        <v>0</v>
      </c>
      <c r="AM192" t="b">
        <f>AND(IF(metadata!K192="",FALSE,TRUE),EXACT(metadata!K192,"missing: not provided"))</f>
        <v>0</v>
      </c>
      <c r="AN192" t="b">
        <f>IF(metadata!L192="",FALSE,TRUE)</f>
        <v>0</v>
      </c>
      <c r="AO192" t="b">
        <f>IF(metadata!M192="",FALSE,TRUE)</f>
        <v>0</v>
      </c>
      <c r="AP192" t="b">
        <f>OR(AND(IF(metadata!N192="",FALSE,TRUE),OR(EXACT(metadata!N192,"not applicable"),EXACT(metadata!N192,"missing: not collected"),EXACT(metadata!N192,"missing: not provided"))),AND(IF(metadata!N192="",FALSE,IF(ISERROR(INT(metadata!N192)),FALSE,INT(metadata!N192)=metadata!N192)),metadata!N192&gt;0))</f>
        <v>0</v>
      </c>
      <c r="AQ192" t="b">
        <f>AND(IF(metadata!O192="",FALSE,TRUE),EXACT(metadata!O192,"Not applicable"))</f>
        <v>0</v>
      </c>
      <c r="AR192" t="b">
        <f>OR(AND(IF(metadata!P192="",FALSE,TRUE),OR(EXACT(metadata!P192,"not applicable"),EXACT(metadata!P192,"missing: not collected"),EXACT(metadata!P192,"missing: not provided"),EXACT(metadata!P192,"missing: restricted access"))),IF(metadata!P192="",FALSE,IF(ISERROR(INT(metadata!P192)),FALSE,INT(metadata!P192)=metadata!P192)))</f>
        <v>0</v>
      </c>
      <c r="AS192" t="b">
        <f>AND(IF(metadata!Q192="",FALSE,TRUE),EXACT(metadata!Q192,"Not applicable"))</f>
        <v>0</v>
      </c>
      <c r="AT192" t="b">
        <f>OR(AND(IF(metadata!R192="",FALSE,TRUE),OR(EXACT(metadata!R192,"not applicable"),EXACT(metadata!R192,"missing: not collected"),EXACT(metadata!R192,"missing: not provided"),EXACT(metadata!R192,"missing: restricted access"))),AND(IF(metadata!R192="",FALSE,ISNUMBER(VALUE(metadata!R192))),metadata!R192&gt;0))</f>
        <v>0</v>
      </c>
      <c r="AU192" t="b">
        <f>AND(IF(metadata!S192="",FALSE,TRUE),EXACT(metadata!S192,"missing: not provided"))</f>
        <v>0</v>
      </c>
    </row>
    <row r="193" spans="1:47" x14ac:dyDescent="0.2">
      <c r="A193" s="5" t="str">
        <f ca="1">IF(B193=" "," ",HYPERLINK(CONCATENATE("#metadata!",ADDRESS(INDEX($Y$2:$Y$1001,MATCH(ROWS($W$2:W193),$W$2:$W$1001,0),0),1)),INDEX($AB$2:$AB$1001,MATCH(ROWS($W$2:W193),$W$2:$W$1001,0),0)))</f>
        <v xml:space="preserve"> </v>
      </c>
      <c r="B193" s="4" t="str">
        <f ca="1">IF(OR(INDEX($X$2:$X$1001,MATCH(ROWS($W$2:W193),$W$2:$W$1001,0),1)&gt;=100000,INDEX($AD$1005:$AU$1005,1,MATCH(COLUMNS($AD$1006:AD1006),$AD$1006:$AU$1006,0))&gt;=100000), " ",IF(INDEX($AD$2:$AU$1001,MATCH(ROWS($W$2:W193),$W$2:$W$1001,0),MATCH(COLUMNS($AD$1006:AD1006),$AD$1006:$AU$1006,0)), HYPERLINK("#",""), HYPERLINK(CONCATENATE("#metadata!", ADDRESS(INDEX($Y$2:$Y$1001,MATCH(ROWS($W$2:W193),$W$2:$W$1001,0),0), INDEX($AD$1004:$AU$1004,1,MATCH(COLUMNS($AD$1006:AD1006),$AD$1006:$AU$1006,0)))),"Fix")))</f>
        <v xml:space="preserve"> </v>
      </c>
      <c r="C193" s="4" t="str">
        <f ca="1">IF(OR(INDEX($X$2:$X$1001,MATCH(ROWS($W$2:W193),$W$2:$W$1001,0),1)&gt;=100000,INDEX($AD$1005:$AU$1005,1,MATCH(COLUMNS($AD$1006:AE1006),$AD$1006:$AU$1006,0))&gt;=100000), " ",IF(INDEX($AD$2:$AU$1001,MATCH(ROWS($W$2:W193),$W$2:$W$1001,0),MATCH(COLUMNS($AD$1006:AE1006),$AD$1006:$AU$1006,0)), HYPERLINK("#",""), HYPERLINK(CONCATENATE("#metadata!", ADDRESS(INDEX($Y$2:$Y$1001,MATCH(ROWS($W$2:W193),$W$2:$W$1001,0),0), INDEX($AD$1004:$AU$1004,1,MATCH(COLUMNS($AD$1006:AE1006),$AD$1006:$AU$1006,0)))),"Fix")))</f>
        <v xml:space="preserve"> </v>
      </c>
      <c r="D193" s="4" t="str">
        <f ca="1">IF(OR(INDEX($X$2:$X$1001,MATCH(ROWS($W$2:W193),$W$2:$W$1001,0),1)&gt;=100000,INDEX($AD$1005:$AU$1005,1,MATCH(COLUMNS($AD$1006:AF1006),$AD$1006:$AU$1006,0))&gt;=100000), " ",IF(INDEX($AD$2:$AU$1001,MATCH(ROWS($W$2:W193),$W$2:$W$1001,0),MATCH(COLUMNS($AD$1006:AF1006),$AD$1006:$AU$1006,0)), HYPERLINK("#",""), HYPERLINK(CONCATENATE("#metadata!", ADDRESS(INDEX($Y$2:$Y$1001,MATCH(ROWS($W$2:W193),$W$2:$W$1001,0),0), INDEX($AD$1004:$AU$1004,1,MATCH(COLUMNS($AD$1006:AF1006),$AD$1006:$AU$1006,0)))),"Fix")))</f>
        <v xml:space="preserve"> </v>
      </c>
      <c r="E193" s="4" t="str">
        <f ca="1">IF(OR(INDEX($X$2:$X$1001,MATCH(ROWS($W$2:W193),$W$2:$W$1001,0),1)&gt;=100000,INDEX($AD$1005:$AU$1005,1,MATCH(COLUMNS($AD$1006:AG1006),$AD$1006:$AU$1006,0))&gt;=100000), " ",IF(INDEX($AD$2:$AU$1001,MATCH(ROWS($W$2:W193),$W$2:$W$1001,0),MATCH(COLUMNS($AD$1006:AG1006),$AD$1006:$AU$1006,0)), HYPERLINK("#",""), HYPERLINK(CONCATENATE("#metadata!", ADDRESS(INDEX($Y$2:$Y$1001,MATCH(ROWS($W$2:W193),$W$2:$W$1001,0),0), INDEX($AD$1004:$AU$1004,1,MATCH(COLUMNS($AD$1006:AG1006),$AD$1006:$AU$1006,0)))),"Fix")))</f>
        <v xml:space="preserve"> </v>
      </c>
      <c r="F193" s="4" t="str">
        <f ca="1">IF(OR(INDEX($X$2:$X$1001,MATCH(ROWS($W$2:W193),$W$2:$W$1001,0),1)&gt;=100000,INDEX($AD$1005:$AU$1005,1,MATCH(COLUMNS($AD$1006:AH1006),$AD$1006:$AU$1006,0))&gt;=100000), " ",IF(INDEX($AD$2:$AU$1001,MATCH(ROWS($W$2:W193),$W$2:$W$1001,0),MATCH(COLUMNS($AD$1006:AH1006),$AD$1006:$AU$1006,0)), HYPERLINK("#",""), HYPERLINK(CONCATENATE("#metadata!", ADDRESS(INDEX($Y$2:$Y$1001,MATCH(ROWS($W$2:W193),$W$2:$W$1001,0),0), INDEX($AD$1004:$AU$1004,1,MATCH(COLUMNS($AD$1006:AH1006),$AD$1006:$AU$1006,0)))),"Fix")))</f>
        <v xml:space="preserve"> </v>
      </c>
      <c r="G193" s="4" t="str">
        <f ca="1">IF(OR(INDEX($X$2:$X$1001,MATCH(ROWS($W$2:W193),$W$2:$W$1001,0),1)&gt;=100000,INDEX($AD$1005:$AU$1005,1,MATCH(COLUMNS($AD$1006:AI1006),$AD$1006:$AU$1006,0))&gt;=100000), " ",IF(INDEX($AD$2:$AU$1001,MATCH(ROWS($W$2:W193),$W$2:$W$1001,0),MATCH(COLUMNS($AD$1006:AI1006),$AD$1006:$AU$1006,0)), HYPERLINK("#",""), HYPERLINK(CONCATENATE("#metadata!", ADDRESS(INDEX($Y$2:$Y$1001,MATCH(ROWS($W$2:W193),$W$2:$W$1001,0),0), INDEX($AD$1004:$AU$1004,1,MATCH(COLUMNS($AD$1006:AI1006),$AD$1006:$AU$1006,0)))),"Fix")))</f>
        <v xml:space="preserve"> </v>
      </c>
      <c r="H193" s="4" t="str">
        <f ca="1">IF(OR(INDEX($X$2:$X$1001,MATCH(ROWS($W$2:W193),$W$2:$W$1001,0),1)&gt;=100000,INDEX($AD$1005:$AU$1005,1,MATCH(COLUMNS($AD$1006:AJ1006),$AD$1006:$AU$1006,0))&gt;=100000), " ",IF(INDEX($AD$2:$AU$1001,MATCH(ROWS($W$2:W193),$W$2:$W$1001,0),MATCH(COLUMNS($AD$1006:AJ1006),$AD$1006:$AU$1006,0)), HYPERLINK("#",""), HYPERLINK(CONCATENATE("#metadata!", ADDRESS(INDEX($Y$2:$Y$1001,MATCH(ROWS($W$2:W193),$W$2:$W$1001,0),0), INDEX($AD$1004:$AU$1004,1,MATCH(COLUMNS($AD$1006:AJ1006),$AD$1006:$AU$1006,0)))),"Fix")))</f>
        <v xml:space="preserve"> </v>
      </c>
      <c r="I193" s="4" t="str">
        <f ca="1">IF(OR(INDEX($X$2:$X$1001,MATCH(ROWS($W$2:W193),$W$2:$W$1001,0),1)&gt;=100000,INDEX($AD$1005:$AU$1005,1,MATCH(COLUMNS($AD$1006:AK1006),$AD$1006:$AU$1006,0))&gt;=100000), " ",IF(INDEX($AD$2:$AU$1001,MATCH(ROWS($W$2:W193),$W$2:$W$1001,0),MATCH(COLUMNS($AD$1006:AK1006),$AD$1006:$AU$1006,0)), HYPERLINK("#",""), HYPERLINK(CONCATENATE("#metadata!", ADDRESS(INDEX($Y$2:$Y$1001,MATCH(ROWS($W$2:W193),$W$2:$W$1001,0),0), INDEX($AD$1004:$AU$1004,1,MATCH(COLUMNS($AD$1006:AK1006),$AD$1006:$AU$1006,0)))),"Fix")))</f>
        <v xml:space="preserve"> </v>
      </c>
      <c r="J193" s="4" t="str">
        <f ca="1">IF(OR(INDEX($X$2:$X$1001,MATCH(ROWS($W$2:W193),$W$2:$W$1001,0),1)&gt;=100000,INDEX($AD$1005:$AU$1005,1,MATCH(COLUMNS($AD$1006:AL1006),$AD$1006:$AU$1006,0))&gt;=100000), " ",IF(INDEX($AD$2:$AU$1001,MATCH(ROWS($W$2:W193),$W$2:$W$1001,0),MATCH(COLUMNS($AD$1006:AL1006),$AD$1006:$AU$1006,0)), HYPERLINK("#",""), HYPERLINK(CONCATENATE("#metadata!", ADDRESS(INDEX($Y$2:$Y$1001,MATCH(ROWS($W$2:W193),$W$2:$W$1001,0),0), INDEX($AD$1004:$AU$1004,1,MATCH(COLUMNS($AD$1006:AL1006),$AD$1006:$AU$1006,0)))),"Fix")))</f>
        <v xml:space="preserve"> </v>
      </c>
      <c r="K193" s="4" t="str">
        <f ca="1">IF(OR(INDEX($X$2:$X$1001,MATCH(ROWS($W$2:W193),$W$2:$W$1001,0),1)&gt;=100000,INDEX($AD$1005:$AU$1005,1,MATCH(COLUMNS($AD$1006:AM1006),$AD$1006:$AU$1006,0))&gt;=100000), " ",IF(INDEX($AD$2:$AU$1001,MATCH(ROWS($W$2:W193),$W$2:$W$1001,0),MATCH(COLUMNS($AD$1006:AM1006),$AD$1006:$AU$1006,0)), HYPERLINK("#",""), HYPERLINK(CONCATENATE("#metadata!", ADDRESS(INDEX($Y$2:$Y$1001,MATCH(ROWS($W$2:W193),$W$2:$W$1001,0),0), INDEX($AD$1004:$AU$1004,1,MATCH(COLUMNS($AD$1006:AM1006),$AD$1006:$AU$1006,0)))),"Fix")))</f>
        <v xml:space="preserve"> </v>
      </c>
      <c r="L193" s="4" t="str">
        <f ca="1">IF(OR(INDEX($X$2:$X$1001,MATCH(ROWS($W$2:W193),$W$2:$W$1001,0),1)&gt;=100000,INDEX($AD$1005:$AU$1005,1,MATCH(COLUMNS($AD$1006:AN1006),$AD$1006:$AU$1006,0))&gt;=100000), " ",IF(INDEX($AD$2:$AU$1001,MATCH(ROWS($W$2:W193),$W$2:$W$1001,0),MATCH(COLUMNS($AD$1006:AN1006),$AD$1006:$AU$1006,0)), HYPERLINK("#",""), HYPERLINK(CONCATENATE("#metadata!", ADDRESS(INDEX($Y$2:$Y$1001,MATCH(ROWS($W$2:W193),$W$2:$W$1001,0),0), INDEX($AD$1004:$AU$1004,1,MATCH(COLUMNS($AD$1006:AN1006),$AD$1006:$AU$1006,0)))),"Fix")))</f>
        <v xml:space="preserve"> </v>
      </c>
      <c r="M193" s="4" t="str">
        <f ca="1">IF(OR(INDEX($X$2:$X$1001,MATCH(ROWS($W$2:W193),$W$2:$W$1001,0),1)&gt;=100000,INDEX($AD$1005:$AU$1005,1,MATCH(COLUMNS($AD$1006:AO1006),$AD$1006:$AU$1006,0))&gt;=100000), " ",IF(INDEX($AD$2:$AU$1001,MATCH(ROWS($W$2:W193),$W$2:$W$1001,0),MATCH(COLUMNS($AD$1006:AO1006),$AD$1006:$AU$1006,0)), HYPERLINK("#",""), HYPERLINK(CONCATENATE("#metadata!", ADDRESS(INDEX($Y$2:$Y$1001,MATCH(ROWS($W$2:W193),$W$2:$W$1001,0),0), INDEX($AD$1004:$AU$1004,1,MATCH(COLUMNS($AD$1006:AO1006),$AD$1006:$AU$1006,0)))),"Fix")))</f>
        <v xml:space="preserve"> </v>
      </c>
      <c r="N193" s="4" t="str">
        <f ca="1">IF(OR(INDEX($X$2:$X$1001,MATCH(ROWS($W$2:W193),$W$2:$W$1001,0),1)&gt;=100000,INDEX($AD$1005:$AU$1005,1,MATCH(COLUMNS($AD$1006:AP1006),$AD$1006:$AU$1006,0))&gt;=100000), " ",IF(INDEX($AD$2:$AU$1001,MATCH(ROWS($W$2:W193),$W$2:$W$1001,0),MATCH(COLUMNS($AD$1006:AP1006),$AD$1006:$AU$1006,0)), HYPERLINK("#",""), HYPERLINK(CONCATENATE("#metadata!", ADDRESS(INDEX($Y$2:$Y$1001,MATCH(ROWS($W$2:W193),$W$2:$W$1001,0),0), INDEX($AD$1004:$AU$1004,1,MATCH(COLUMNS($AD$1006:AP1006),$AD$1006:$AU$1006,0)))),"Fix")))</f>
        <v xml:space="preserve"> </v>
      </c>
      <c r="O193" s="4" t="str">
        <f ca="1">IF(OR(INDEX($X$2:$X$1001,MATCH(ROWS($W$2:W193),$W$2:$W$1001,0),1)&gt;=100000,INDEX($AD$1005:$AU$1005,1,MATCH(COLUMNS($AD$1006:AQ1006),$AD$1006:$AU$1006,0))&gt;=100000), " ",IF(INDEX($AD$2:$AU$1001,MATCH(ROWS($W$2:W193),$W$2:$W$1001,0),MATCH(COLUMNS($AD$1006:AQ1006),$AD$1006:$AU$1006,0)), HYPERLINK("#",""), HYPERLINK(CONCATENATE("#metadata!", ADDRESS(INDEX($Y$2:$Y$1001,MATCH(ROWS($W$2:W193),$W$2:$W$1001,0),0), INDEX($AD$1004:$AU$1004,1,MATCH(COLUMNS($AD$1006:AQ1006),$AD$1006:$AU$1006,0)))),"Fix")))</f>
        <v xml:space="preserve"> </v>
      </c>
      <c r="P193" s="4" t="str">
        <f ca="1">IF(OR(INDEX($X$2:$X$1001,MATCH(ROWS($W$2:W193),$W$2:$W$1001,0),1)&gt;=100000,INDEX($AD$1005:$AU$1005,1,MATCH(COLUMNS($AD$1006:AR1006),$AD$1006:$AU$1006,0))&gt;=100000), " ",IF(INDEX($AD$2:$AU$1001,MATCH(ROWS($W$2:W193),$W$2:$W$1001,0),MATCH(COLUMNS($AD$1006:AR1006),$AD$1006:$AU$1006,0)), HYPERLINK("#",""), HYPERLINK(CONCATENATE("#metadata!", ADDRESS(INDEX($Y$2:$Y$1001,MATCH(ROWS($W$2:W193),$W$2:$W$1001,0),0), INDEX($AD$1004:$AU$1004,1,MATCH(COLUMNS($AD$1006:AR1006),$AD$1006:$AU$1006,0)))),"Fix")))</f>
        <v xml:space="preserve"> </v>
      </c>
      <c r="Q193" s="4" t="str">
        <f ca="1">IF(OR(INDEX($X$2:$X$1001,MATCH(ROWS($W$2:W193),$W$2:$W$1001,0),1)&gt;=100000,INDEX($AD$1005:$AU$1005,1,MATCH(COLUMNS($AD$1006:AS1006),$AD$1006:$AU$1006,0))&gt;=100000), " ",IF(INDEX($AD$2:$AU$1001,MATCH(ROWS($W$2:W193),$W$2:$W$1001,0),MATCH(COLUMNS($AD$1006:AS1006),$AD$1006:$AU$1006,0)), HYPERLINK("#",""), HYPERLINK(CONCATENATE("#metadata!", ADDRESS(INDEX($Y$2:$Y$1001,MATCH(ROWS($W$2:W193),$W$2:$W$1001,0),0), INDEX($AD$1004:$AU$1004,1,MATCH(COLUMNS($AD$1006:AS1006),$AD$1006:$AU$1006,0)))),"Fix")))</f>
        <v xml:space="preserve"> </v>
      </c>
      <c r="R193" s="4" t="str">
        <f ca="1">IF(OR(INDEX($X$2:$X$1001,MATCH(ROWS($W$2:W193),$W$2:$W$1001,0),1)&gt;=100000,INDEX($AD$1005:$AU$1005,1,MATCH(COLUMNS($AD$1006:AT1006),$AD$1006:$AU$1006,0))&gt;=100000), " ",IF(INDEX($AD$2:$AU$1001,MATCH(ROWS($W$2:W193),$W$2:$W$1001,0),MATCH(COLUMNS($AD$1006:AT1006),$AD$1006:$AU$1006,0)), HYPERLINK("#",""), HYPERLINK(CONCATENATE("#metadata!", ADDRESS(INDEX($Y$2:$Y$1001,MATCH(ROWS($W$2:W193),$W$2:$W$1001,0),0), INDEX($AD$1004:$AU$1004,1,MATCH(COLUMNS($AD$1006:AT1006),$AD$1006:$AU$1006,0)))),"Fix")))</f>
        <v xml:space="preserve"> </v>
      </c>
      <c r="S193" s="4" t="str">
        <f ca="1">IF(OR(INDEX($X$2:$X$1001,MATCH(ROWS($W$2:W193),$W$2:$W$1001,0),1)&gt;=100000,INDEX($AD$1005:$AU$1005,1,MATCH(COLUMNS($AD$1006:AU1006),$AD$1006:$AU$1006,0))&gt;=100000), " ",IF(INDEX($AD$2:$AU$1001,MATCH(ROWS($W$2:W193),$W$2:$W$1001,0),MATCH(COLUMNS($AD$1006:AU1006),$AD$1006:$AU$1006,0)), HYPERLINK("#",""), HYPERLINK(CONCATENATE("#metadata!", ADDRESS(INDEX($Y$2:$Y$1001,MATCH(ROWS($W$2:W193),$W$2:$W$1001,0),0), INDEX($AD$1004:$AU$1004,1,MATCH(COLUMNS($AD$1006:AU1006),$AD$1006:$AU$1006,0)))),"Fix")))</f>
        <v xml:space="preserve"> </v>
      </c>
      <c r="W193">
        <v>192</v>
      </c>
      <c r="X193">
        <v>100193</v>
      </c>
      <c r="Y193">
        <v>193</v>
      </c>
      <c r="Z193" t="b">
        <f t="shared" si="2"/>
        <v>1</v>
      </c>
      <c r="AA193" t="b">
        <f>COUNTBLANK(metadata!B193:S193)=COLUMNS(metadata!B193:S193)</f>
        <v>1</v>
      </c>
      <c r="AB193" t="str">
        <v/>
      </c>
      <c r="AD193" t="b">
        <f ca="1">AND(IF(metadata!B193="",FALSE,TRUE),COUNTIF(metadata!B:B, metadata!B193) = 1,NOT(ISERROR(SUMPRODUCT(SEARCH(MID(metadata!B193,ROW(INDIRECT("1:"&amp;LEN(metadata!B193))), 1),"0123456789abcdefghijklmnopqrstuvwxyzABCDEFGHIJKLMNOPQRSTUVWXYZ.")))))</f>
        <v>0</v>
      </c>
      <c r="AE193" t="b">
        <f>OR(AND(IF(metadata!C193="",FALSE,TRUE),OR(EXACT(metadata!C193,"not applicable"),EXACT(metadata!C193,"missing: not collected"),EXACT(metadata!C193,"missing: not provided"),EXACT(metadata!C193,"missing: restricted access"))),AND(IF(metadata!C193="",FALSE,ISNUMBER(VALUE(metadata!C193))),metadata!C193&gt;0))</f>
        <v>0</v>
      </c>
      <c r="AF193" t="b">
        <f>AND(IF(metadata!D193="",FALSE,TRUE),EXACT(metadata!D193,"missing: not provided"))</f>
        <v>0</v>
      </c>
      <c r="AG193" t="b">
        <f>AND(IF(metadata!E193="",FALSE,TRUE),EXACT(metadata!E193,"Host-associated"))</f>
        <v>0</v>
      </c>
      <c r="AH193" t="b">
        <f>AND(IF(metadata!F193="",FALSE,TRUE),OR(EXACT(metadata!F193,"Animal"),EXACT(metadata!F193,"Fungus"),EXACT(metadata!F193,"Plant")))</f>
        <v>0</v>
      </c>
      <c r="AI193" t="b">
        <f>AND(IF(metadata!G193="",FALSE,TRUE),OR(EXACT(metadata!G193,"Plant secretion"),EXACT(metadata!G193,"Plant rhizosphere"),EXACT(metadata!G193,"Plant surface"),EXACT(metadata!G193,"Plant corpus"),EXACT(metadata!G193,"Fungus surface"),EXACT(metadata!G193,"Fungus corpus"),EXACT(metadata!G193,"Animal surface"),EXACT(metadata!G193,"Animal proximal gut"),EXACT(metadata!G193,"Animal corpus"),EXACT(metadata!G193,"Animal distal gut"),EXACT(metadata!G193,"Animal secretion")))</f>
        <v>0</v>
      </c>
      <c r="AJ193" t="b">
        <f>OR(AND(IF(metadata!H193="",FALSE,TRUE),OR(EXACT(metadata!H193,"missing: not collected"),EXACT(metadata!H193,"missing: not provided"),EXACT(metadata!H193,"missing: restricted access"))),AND(IF(metadata!H193="",FALSE,TRUE),OR(EXACT(metadata!H193,"organism-associated habitat"),EXACT(metadata!H193,"plant-associated habitat"),EXACT(metadata!H193,"animal-associated habitat"),EXACT(metadata!H193,"insecta-associated habitat"),EXACT(metadata!H193,"mammalia-associated habitat"),EXACT(metadata!H193,"human-associated habitat"),EXACT(metadata!H193,"livestock-associated habitat"))))</f>
        <v>0</v>
      </c>
      <c r="AK193" t="b">
        <f>AND(IF(metadata!I193="",FALSE,TRUE),EXACT(metadata!I193,"host-associated"))</f>
        <v>0</v>
      </c>
      <c r="AL193" t="b">
        <f>OR(AND(IF(metadata!J193="",FALSE,TRUE),OR(EXACT(metadata!J193,"not applicable"),EXACT(metadata!J193,"missing: not collected"),EXACT(metadata!J193,"missing: not provided"),EXACT(metadata!J193,"missing: restricted access"))),AND(IF(metadata!J193="",FALSE,ISNUMBER(VALUE(metadata!J193))),metadata!J193&gt;0))</f>
        <v>0</v>
      </c>
      <c r="AM193" t="b">
        <f>AND(IF(metadata!K193="",FALSE,TRUE),EXACT(metadata!K193,"missing: not provided"))</f>
        <v>0</v>
      </c>
      <c r="AN193" t="b">
        <f>IF(metadata!L193="",FALSE,TRUE)</f>
        <v>0</v>
      </c>
      <c r="AO193" t="b">
        <f>IF(metadata!M193="",FALSE,TRUE)</f>
        <v>0</v>
      </c>
      <c r="AP193" t="b">
        <f>OR(AND(IF(metadata!N193="",FALSE,TRUE),OR(EXACT(metadata!N193,"not applicable"),EXACT(metadata!N193,"missing: not collected"),EXACT(metadata!N193,"missing: not provided"))),AND(IF(metadata!N193="",FALSE,IF(ISERROR(INT(metadata!N193)),FALSE,INT(metadata!N193)=metadata!N193)),metadata!N193&gt;0))</f>
        <v>0</v>
      </c>
      <c r="AQ193" t="b">
        <f>AND(IF(metadata!O193="",FALSE,TRUE),EXACT(metadata!O193,"Not applicable"))</f>
        <v>0</v>
      </c>
      <c r="AR193" t="b">
        <f>OR(AND(IF(metadata!P193="",FALSE,TRUE),OR(EXACT(metadata!P193,"not applicable"),EXACT(metadata!P193,"missing: not collected"),EXACT(metadata!P193,"missing: not provided"),EXACT(metadata!P193,"missing: restricted access"))),IF(metadata!P193="",FALSE,IF(ISERROR(INT(metadata!P193)),FALSE,INT(metadata!P193)=metadata!P193)))</f>
        <v>0</v>
      </c>
      <c r="AS193" t="b">
        <f>AND(IF(metadata!Q193="",FALSE,TRUE),EXACT(metadata!Q193,"Not applicable"))</f>
        <v>0</v>
      </c>
      <c r="AT193" t="b">
        <f>OR(AND(IF(metadata!R193="",FALSE,TRUE),OR(EXACT(metadata!R193,"not applicable"),EXACT(metadata!R193,"missing: not collected"),EXACT(metadata!R193,"missing: not provided"),EXACT(metadata!R193,"missing: restricted access"))),AND(IF(metadata!R193="",FALSE,ISNUMBER(VALUE(metadata!R193))),metadata!R193&gt;0))</f>
        <v>0</v>
      </c>
      <c r="AU193" t="b">
        <f>AND(IF(metadata!S193="",FALSE,TRUE),EXACT(metadata!S193,"missing: not provided"))</f>
        <v>0</v>
      </c>
    </row>
    <row r="194" spans="1:47" x14ac:dyDescent="0.2">
      <c r="A194" s="5" t="str">
        <f ca="1">IF(B194=" "," ",HYPERLINK(CONCATENATE("#metadata!",ADDRESS(INDEX($Y$2:$Y$1001,MATCH(ROWS($W$2:W194),$W$2:$W$1001,0),0),1)),INDEX($AB$2:$AB$1001,MATCH(ROWS($W$2:W194),$W$2:$W$1001,0),0)))</f>
        <v xml:space="preserve"> </v>
      </c>
      <c r="B194" s="4" t="str">
        <f ca="1">IF(OR(INDEX($X$2:$X$1001,MATCH(ROWS($W$2:W194),$W$2:$W$1001,0),1)&gt;=100000,INDEX($AD$1005:$AU$1005,1,MATCH(COLUMNS($AD$1006:AD1006),$AD$1006:$AU$1006,0))&gt;=100000), " ",IF(INDEX($AD$2:$AU$1001,MATCH(ROWS($W$2:W194),$W$2:$W$1001,0),MATCH(COLUMNS($AD$1006:AD1006),$AD$1006:$AU$1006,0)), HYPERLINK("#",""), HYPERLINK(CONCATENATE("#metadata!", ADDRESS(INDEX($Y$2:$Y$1001,MATCH(ROWS($W$2:W194),$W$2:$W$1001,0),0), INDEX($AD$1004:$AU$1004,1,MATCH(COLUMNS($AD$1006:AD1006),$AD$1006:$AU$1006,0)))),"Fix")))</f>
        <v xml:space="preserve"> </v>
      </c>
      <c r="C194" s="4" t="str">
        <f ca="1">IF(OR(INDEX($X$2:$X$1001,MATCH(ROWS($W$2:W194),$W$2:$W$1001,0),1)&gt;=100000,INDEX($AD$1005:$AU$1005,1,MATCH(COLUMNS($AD$1006:AE1006),$AD$1006:$AU$1006,0))&gt;=100000), " ",IF(INDEX($AD$2:$AU$1001,MATCH(ROWS($W$2:W194),$W$2:$W$1001,0),MATCH(COLUMNS($AD$1006:AE1006),$AD$1006:$AU$1006,0)), HYPERLINK("#",""), HYPERLINK(CONCATENATE("#metadata!", ADDRESS(INDEX($Y$2:$Y$1001,MATCH(ROWS($W$2:W194),$W$2:$W$1001,0),0), INDEX($AD$1004:$AU$1004,1,MATCH(COLUMNS($AD$1006:AE1006),$AD$1006:$AU$1006,0)))),"Fix")))</f>
        <v xml:space="preserve"> </v>
      </c>
      <c r="D194" s="4" t="str">
        <f ca="1">IF(OR(INDEX($X$2:$X$1001,MATCH(ROWS($W$2:W194),$W$2:$W$1001,0),1)&gt;=100000,INDEX($AD$1005:$AU$1005,1,MATCH(COLUMNS($AD$1006:AF1006),$AD$1006:$AU$1006,0))&gt;=100000), " ",IF(INDEX($AD$2:$AU$1001,MATCH(ROWS($W$2:W194),$W$2:$W$1001,0),MATCH(COLUMNS($AD$1006:AF1006),$AD$1006:$AU$1006,0)), HYPERLINK("#",""), HYPERLINK(CONCATENATE("#metadata!", ADDRESS(INDEX($Y$2:$Y$1001,MATCH(ROWS($W$2:W194),$W$2:$W$1001,0),0), INDEX($AD$1004:$AU$1004,1,MATCH(COLUMNS($AD$1006:AF1006),$AD$1006:$AU$1006,0)))),"Fix")))</f>
        <v xml:space="preserve"> </v>
      </c>
      <c r="E194" s="4" t="str">
        <f ca="1">IF(OR(INDEX($X$2:$X$1001,MATCH(ROWS($W$2:W194),$W$2:$W$1001,0),1)&gt;=100000,INDEX($AD$1005:$AU$1005,1,MATCH(COLUMNS($AD$1006:AG1006),$AD$1006:$AU$1006,0))&gt;=100000), " ",IF(INDEX($AD$2:$AU$1001,MATCH(ROWS($W$2:W194),$W$2:$W$1001,0),MATCH(COLUMNS($AD$1006:AG1006),$AD$1006:$AU$1006,0)), HYPERLINK("#",""), HYPERLINK(CONCATENATE("#metadata!", ADDRESS(INDEX($Y$2:$Y$1001,MATCH(ROWS($W$2:W194),$W$2:$W$1001,0),0), INDEX($AD$1004:$AU$1004,1,MATCH(COLUMNS($AD$1006:AG1006),$AD$1006:$AU$1006,0)))),"Fix")))</f>
        <v xml:space="preserve"> </v>
      </c>
      <c r="F194" s="4" t="str">
        <f ca="1">IF(OR(INDEX($X$2:$X$1001,MATCH(ROWS($W$2:W194),$W$2:$W$1001,0),1)&gt;=100000,INDEX($AD$1005:$AU$1005,1,MATCH(COLUMNS($AD$1006:AH1006),$AD$1006:$AU$1006,0))&gt;=100000), " ",IF(INDEX($AD$2:$AU$1001,MATCH(ROWS($W$2:W194),$W$2:$W$1001,0),MATCH(COLUMNS($AD$1006:AH1006),$AD$1006:$AU$1006,0)), HYPERLINK("#",""), HYPERLINK(CONCATENATE("#metadata!", ADDRESS(INDEX($Y$2:$Y$1001,MATCH(ROWS($W$2:W194),$W$2:$W$1001,0),0), INDEX($AD$1004:$AU$1004,1,MATCH(COLUMNS($AD$1006:AH1006),$AD$1006:$AU$1006,0)))),"Fix")))</f>
        <v xml:space="preserve"> </v>
      </c>
      <c r="G194" s="4" t="str">
        <f ca="1">IF(OR(INDEX($X$2:$X$1001,MATCH(ROWS($W$2:W194),$W$2:$W$1001,0),1)&gt;=100000,INDEX($AD$1005:$AU$1005,1,MATCH(COLUMNS($AD$1006:AI1006),$AD$1006:$AU$1006,0))&gt;=100000), " ",IF(INDEX($AD$2:$AU$1001,MATCH(ROWS($W$2:W194),$W$2:$W$1001,0),MATCH(COLUMNS($AD$1006:AI1006),$AD$1006:$AU$1006,0)), HYPERLINK("#",""), HYPERLINK(CONCATENATE("#metadata!", ADDRESS(INDEX($Y$2:$Y$1001,MATCH(ROWS($W$2:W194),$W$2:$W$1001,0),0), INDEX($AD$1004:$AU$1004,1,MATCH(COLUMNS($AD$1006:AI1006),$AD$1006:$AU$1006,0)))),"Fix")))</f>
        <v xml:space="preserve"> </v>
      </c>
      <c r="H194" s="4" t="str">
        <f ca="1">IF(OR(INDEX($X$2:$X$1001,MATCH(ROWS($W$2:W194),$W$2:$W$1001,0),1)&gt;=100000,INDEX($AD$1005:$AU$1005,1,MATCH(COLUMNS($AD$1006:AJ1006),$AD$1006:$AU$1006,0))&gt;=100000), " ",IF(INDEX($AD$2:$AU$1001,MATCH(ROWS($W$2:W194),$W$2:$W$1001,0),MATCH(COLUMNS($AD$1006:AJ1006),$AD$1006:$AU$1006,0)), HYPERLINK("#",""), HYPERLINK(CONCATENATE("#metadata!", ADDRESS(INDEX($Y$2:$Y$1001,MATCH(ROWS($W$2:W194),$W$2:$W$1001,0),0), INDEX($AD$1004:$AU$1004,1,MATCH(COLUMNS($AD$1006:AJ1006),$AD$1006:$AU$1006,0)))),"Fix")))</f>
        <v xml:space="preserve"> </v>
      </c>
      <c r="I194" s="4" t="str">
        <f ca="1">IF(OR(INDEX($X$2:$X$1001,MATCH(ROWS($W$2:W194),$W$2:$W$1001,0),1)&gt;=100000,INDEX($AD$1005:$AU$1005,1,MATCH(COLUMNS($AD$1006:AK1006),$AD$1006:$AU$1006,0))&gt;=100000), " ",IF(INDEX($AD$2:$AU$1001,MATCH(ROWS($W$2:W194),$W$2:$W$1001,0),MATCH(COLUMNS($AD$1006:AK1006),$AD$1006:$AU$1006,0)), HYPERLINK("#",""), HYPERLINK(CONCATENATE("#metadata!", ADDRESS(INDEX($Y$2:$Y$1001,MATCH(ROWS($W$2:W194),$W$2:$W$1001,0),0), INDEX($AD$1004:$AU$1004,1,MATCH(COLUMNS($AD$1006:AK1006),$AD$1006:$AU$1006,0)))),"Fix")))</f>
        <v xml:space="preserve"> </v>
      </c>
      <c r="J194" s="4" t="str">
        <f ca="1">IF(OR(INDEX($X$2:$X$1001,MATCH(ROWS($W$2:W194),$W$2:$W$1001,0),1)&gt;=100000,INDEX($AD$1005:$AU$1005,1,MATCH(COLUMNS($AD$1006:AL1006),$AD$1006:$AU$1006,0))&gt;=100000), " ",IF(INDEX($AD$2:$AU$1001,MATCH(ROWS($W$2:W194),$W$2:$W$1001,0),MATCH(COLUMNS($AD$1006:AL1006),$AD$1006:$AU$1006,0)), HYPERLINK("#",""), HYPERLINK(CONCATENATE("#metadata!", ADDRESS(INDEX($Y$2:$Y$1001,MATCH(ROWS($W$2:W194),$W$2:$W$1001,0),0), INDEX($AD$1004:$AU$1004,1,MATCH(COLUMNS($AD$1006:AL1006),$AD$1006:$AU$1006,0)))),"Fix")))</f>
        <v xml:space="preserve"> </v>
      </c>
      <c r="K194" s="4" t="str">
        <f ca="1">IF(OR(INDEX($X$2:$X$1001,MATCH(ROWS($W$2:W194),$W$2:$W$1001,0),1)&gt;=100000,INDEX($AD$1005:$AU$1005,1,MATCH(COLUMNS($AD$1006:AM1006),$AD$1006:$AU$1006,0))&gt;=100000), " ",IF(INDEX($AD$2:$AU$1001,MATCH(ROWS($W$2:W194),$W$2:$W$1001,0),MATCH(COLUMNS($AD$1006:AM1006),$AD$1006:$AU$1006,0)), HYPERLINK("#",""), HYPERLINK(CONCATENATE("#metadata!", ADDRESS(INDEX($Y$2:$Y$1001,MATCH(ROWS($W$2:W194),$W$2:$W$1001,0),0), INDEX($AD$1004:$AU$1004,1,MATCH(COLUMNS($AD$1006:AM1006),$AD$1006:$AU$1006,0)))),"Fix")))</f>
        <v xml:space="preserve"> </v>
      </c>
      <c r="L194" s="4" t="str">
        <f ca="1">IF(OR(INDEX($X$2:$X$1001,MATCH(ROWS($W$2:W194),$W$2:$W$1001,0),1)&gt;=100000,INDEX($AD$1005:$AU$1005,1,MATCH(COLUMNS($AD$1006:AN1006),$AD$1006:$AU$1006,0))&gt;=100000), " ",IF(INDEX($AD$2:$AU$1001,MATCH(ROWS($W$2:W194),$W$2:$W$1001,0),MATCH(COLUMNS($AD$1006:AN1006),$AD$1006:$AU$1006,0)), HYPERLINK("#",""), HYPERLINK(CONCATENATE("#metadata!", ADDRESS(INDEX($Y$2:$Y$1001,MATCH(ROWS($W$2:W194),$W$2:$W$1001,0),0), INDEX($AD$1004:$AU$1004,1,MATCH(COLUMNS($AD$1006:AN1006),$AD$1006:$AU$1006,0)))),"Fix")))</f>
        <v xml:space="preserve"> </v>
      </c>
      <c r="M194" s="4" t="str">
        <f ca="1">IF(OR(INDEX($X$2:$X$1001,MATCH(ROWS($W$2:W194),$W$2:$W$1001,0),1)&gt;=100000,INDEX($AD$1005:$AU$1005,1,MATCH(COLUMNS($AD$1006:AO1006),$AD$1006:$AU$1006,0))&gt;=100000), " ",IF(INDEX($AD$2:$AU$1001,MATCH(ROWS($W$2:W194),$W$2:$W$1001,0),MATCH(COLUMNS($AD$1006:AO1006),$AD$1006:$AU$1006,0)), HYPERLINK("#",""), HYPERLINK(CONCATENATE("#metadata!", ADDRESS(INDEX($Y$2:$Y$1001,MATCH(ROWS($W$2:W194),$W$2:$W$1001,0),0), INDEX($AD$1004:$AU$1004,1,MATCH(COLUMNS($AD$1006:AO1006),$AD$1006:$AU$1006,0)))),"Fix")))</f>
        <v xml:space="preserve"> </v>
      </c>
      <c r="N194" s="4" t="str">
        <f ca="1">IF(OR(INDEX($X$2:$X$1001,MATCH(ROWS($W$2:W194),$W$2:$W$1001,0),1)&gt;=100000,INDEX($AD$1005:$AU$1005,1,MATCH(COLUMNS($AD$1006:AP1006),$AD$1006:$AU$1006,0))&gt;=100000), " ",IF(INDEX($AD$2:$AU$1001,MATCH(ROWS($W$2:W194),$W$2:$W$1001,0),MATCH(COLUMNS($AD$1006:AP1006),$AD$1006:$AU$1006,0)), HYPERLINK("#",""), HYPERLINK(CONCATENATE("#metadata!", ADDRESS(INDEX($Y$2:$Y$1001,MATCH(ROWS($W$2:W194),$W$2:$W$1001,0),0), INDEX($AD$1004:$AU$1004,1,MATCH(COLUMNS($AD$1006:AP1006),$AD$1006:$AU$1006,0)))),"Fix")))</f>
        <v xml:space="preserve"> </v>
      </c>
      <c r="O194" s="4" t="str">
        <f ca="1">IF(OR(INDEX($X$2:$X$1001,MATCH(ROWS($W$2:W194),$W$2:$W$1001,0),1)&gt;=100000,INDEX($AD$1005:$AU$1005,1,MATCH(COLUMNS($AD$1006:AQ1006),$AD$1006:$AU$1006,0))&gt;=100000), " ",IF(INDEX($AD$2:$AU$1001,MATCH(ROWS($W$2:W194),$W$2:$W$1001,0),MATCH(COLUMNS($AD$1006:AQ1006),$AD$1006:$AU$1006,0)), HYPERLINK("#",""), HYPERLINK(CONCATENATE("#metadata!", ADDRESS(INDEX($Y$2:$Y$1001,MATCH(ROWS($W$2:W194),$W$2:$W$1001,0),0), INDEX($AD$1004:$AU$1004,1,MATCH(COLUMNS($AD$1006:AQ1006),$AD$1006:$AU$1006,0)))),"Fix")))</f>
        <v xml:space="preserve"> </v>
      </c>
      <c r="P194" s="4" t="str">
        <f ca="1">IF(OR(INDEX($X$2:$X$1001,MATCH(ROWS($W$2:W194),$W$2:$W$1001,0),1)&gt;=100000,INDEX($AD$1005:$AU$1005,1,MATCH(COLUMNS($AD$1006:AR1006),$AD$1006:$AU$1006,0))&gt;=100000), " ",IF(INDEX($AD$2:$AU$1001,MATCH(ROWS($W$2:W194),$W$2:$W$1001,0),MATCH(COLUMNS($AD$1006:AR1006),$AD$1006:$AU$1006,0)), HYPERLINK("#",""), HYPERLINK(CONCATENATE("#metadata!", ADDRESS(INDEX($Y$2:$Y$1001,MATCH(ROWS($W$2:W194),$W$2:$W$1001,0),0), INDEX($AD$1004:$AU$1004,1,MATCH(COLUMNS($AD$1006:AR1006),$AD$1006:$AU$1006,0)))),"Fix")))</f>
        <v xml:space="preserve"> </v>
      </c>
      <c r="Q194" s="4" t="str">
        <f ca="1">IF(OR(INDEX($X$2:$X$1001,MATCH(ROWS($W$2:W194),$W$2:$W$1001,0),1)&gt;=100000,INDEX($AD$1005:$AU$1005,1,MATCH(COLUMNS($AD$1006:AS1006),$AD$1006:$AU$1006,0))&gt;=100000), " ",IF(INDEX($AD$2:$AU$1001,MATCH(ROWS($W$2:W194),$W$2:$W$1001,0),MATCH(COLUMNS($AD$1006:AS1006),$AD$1006:$AU$1006,0)), HYPERLINK("#",""), HYPERLINK(CONCATENATE("#metadata!", ADDRESS(INDEX($Y$2:$Y$1001,MATCH(ROWS($W$2:W194),$W$2:$W$1001,0),0), INDEX($AD$1004:$AU$1004,1,MATCH(COLUMNS($AD$1006:AS1006),$AD$1006:$AU$1006,0)))),"Fix")))</f>
        <v xml:space="preserve"> </v>
      </c>
      <c r="R194" s="4" t="str">
        <f ca="1">IF(OR(INDEX($X$2:$X$1001,MATCH(ROWS($W$2:W194),$W$2:$W$1001,0),1)&gt;=100000,INDEX($AD$1005:$AU$1005,1,MATCH(COLUMNS($AD$1006:AT1006),$AD$1006:$AU$1006,0))&gt;=100000), " ",IF(INDEX($AD$2:$AU$1001,MATCH(ROWS($W$2:W194),$W$2:$W$1001,0),MATCH(COLUMNS($AD$1006:AT1006),$AD$1006:$AU$1006,0)), HYPERLINK("#",""), HYPERLINK(CONCATENATE("#metadata!", ADDRESS(INDEX($Y$2:$Y$1001,MATCH(ROWS($W$2:W194),$W$2:$W$1001,0),0), INDEX($AD$1004:$AU$1004,1,MATCH(COLUMNS($AD$1006:AT1006),$AD$1006:$AU$1006,0)))),"Fix")))</f>
        <v xml:space="preserve"> </v>
      </c>
      <c r="S194" s="4" t="str">
        <f ca="1">IF(OR(INDEX($X$2:$X$1001,MATCH(ROWS($W$2:W194),$W$2:$W$1001,0),1)&gt;=100000,INDEX($AD$1005:$AU$1005,1,MATCH(COLUMNS($AD$1006:AU1006),$AD$1006:$AU$1006,0))&gt;=100000), " ",IF(INDEX($AD$2:$AU$1001,MATCH(ROWS($W$2:W194),$W$2:$W$1001,0),MATCH(COLUMNS($AD$1006:AU1006),$AD$1006:$AU$1006,0)), HYPERLINK("#",""), HYPERLINK(CONCATENATE("#metadata!", ADDRESS(INDEX($Y$2:$Y$1001,MATCH(ROWS($W$2:W194),$W$2:$W$1001,0),0), INDEX($AD$1004:$AU$1004,1,MATCH(COLUMNS($AD$1006:AU1006),$AD$1006:$AU$1006,0)))),"Fix")))</f>
        <v xml:space="preserve"> </v>
      </c>
      <c r="W194">
        <v>193</v>
      </c>
      <c r="X194">
        <v>100194</v>
      </c>
      <c r="Y194">
        <v>194</v>
      </c>
      <c r="Z194" t="b">
        <f t="shared" ref="Z194:Z257" si="3">IF(AA194,TRUE,AND(AD194:AU194))</f>
        <v>1</v>
      </c>
      <c r="AA194" t="b">
        <f>COUNTBLANK(metadata!B194:S194)=COLUMNS(metadata!B194:S194)</f>
        <v>1</v>
      </c>
      <c r="AB194" t="str">
        <v/>
      </c>
      <c r="AD194" t="b">
        <f ca="1">AND(IF(metadata!B194="",FALSE,TRUE),COUNTIF(metadata!B:B, metadata!B194) = 1,NOT(ISERROR(SUMPRODUCT(SEARCH(MID(metadata!B194,ROW(INDIRECT("1:"&amp;LEN(metadata!B194))), 1),"0123456789abcdefghijklmnopqrstuvwxyzABCDEFGHIJKLMNOPQRSTUVWXYZ.")))))</f>
        <v>0</v>
      </c>
      <c r="AE194" t="b">
        <f>OR(AND(IF(metadata!C194="",FALSE,TRUE),OR(EXACT(metadata!C194,"not applicable"),EXACT(metadata!C194,"missing: not collected"),EXACT(metadata!C194,"missing: not provided"),EXACT(metadata!C194,"missing: restricted access"))),AND(IF(metadata!C194="",FALSE,ISNUMBER(VALUE(metadata!C194))),metadata!C194&gt;0))</f>
        <v>0</v>
      </c>
      <c r="AF194" t="b">
        <f>AND(IF(metadata!D194="",FALSE,TRUE),EXACT(metadata!D194,"missing: not provided"))</f>
        <v>0</v>
      </c>
      <c r="AG194" t="b">
        <f>AND(IF(metadata!E194="",FALSE,TRUE),EXACT(metadata!E194,"Host-associated"))</f>
        <v>0</v>
      </c>
      <c r="AH194" t="b">
        <f>AND(IF(metadata!F194="",FALSE,TRUE),OR(EXACT(metadata!F194,"Animal"),EXACT(metadata!F194,"Fungus"),EXACT(metadata!F194,"Plant")))</f>
        <v>0</v>
      </c>
      <c r="AI194" t="b">
        <f>AND(IF(metadata!G194="",FALSE,TRUE),OR(EXACT(metadata!G194,"Plant secretion"),EXACT(metadata!G194,"Plant rhizosphere"),EXACT(metadata!G194,"Plant surface"),EXACT(metadata!G194,"Plant corpus"),EXACT(metadata!G194,"Fungus surface"),EXACT(metadata!G194,"Fungus corpus"),EXACT(metadata!G194,"Animal surface"),EXACT(metadata!G194,"Animal proximal gut"),EXACT(metadata!G194,"Animal corpus"),EXACT(metadata!G194,"Animal distal gut"),EXACT(metadata!G194,"Animal secretion")))</f>
        <v>0</v>
      </c>
      <c r="AJ194" t="b">
        <f>OR(AND(IF(metadata!H194="",FALSE,TRUE),OR(EXACT(metadata!H194,"missing: not collected"),EXACT(metadata!H194,"missing: not provided"),EXACT(metadata!H194,"missing: restricted access"))),AND(IF(metadata!H194="",FALSE,TRUE),OR(EXACT(metadata!H194,"organism-associated habitat"),EXACT(metadata!H194,"plant-associated habitat"),EXACT(metadata!H194,"animal-associated habitat"),EXACT(metadata!H194,"insecta-associated habitat"),EXACT(metadata!H194,"mammalia-associated habitat"),EXACT(metadata!H194,"human-associated habitat"),EXACT(metadata!H194,"livestock-associated habitat"))))</f>
        <v>0</v>
      </c>
      <c r="AK194" t="b">
        <f>AND(IF(metadata!I194="",FALSE,TRUE),EXACT(metadata!I194,"host-associated"))</f>
        <v>0</v>
      </c>
      <c r="AL194" t="b">
        <f>OR(AND(IF(metadata!J194="",FALSE,TRUE),OR(EXACT(metadata!J194,"not applicable"),EXACT(metadata!J194,"missing: not collected"),EXACT(metadata!J194,"missing: not provided"),EXACT(metadata!J194,"missing: restricted access"))),AND(IF(metadata!J194="",FALSE,ISNUMBER(VALUE(metadata!J194))),metadata!J194&gt;0))</f>
        <v>0</v>
      </c>
      <c r="AM194" t="b">
        <f>AND(IF(metadata!K194="",FALSE,TRUE),EXACT(metadata!K194,"missing: not provided"))</f>
        <v>0</v>
      </c>
      <c r="AN194" t="b">
        <f>IF(metadata!L194="",FALSE,TRUE)</f>
        <v>0</v>
      </c>
      <c r="AO194" t="b">
        <f>IF(metadata!M194="",FALSE,TRUE)</f>
        <v>0</v>
      </c>
      <c r="AP194" t="b">
        <f>OR(AND(IF(metadata!N194="",FALSE,TRUE),OR(EXACT(metadata!N194,"not applicable"),EXACT(metadata!N194,"missing: not collected"),EXACT(metadata!N194,"missing: not provided"))),AND(IF(metadata!N194="",FALSE,IF(ISERROR(INT(metadata!N194)),FALSE,INT(metadata!N194)=metadata!N194)),metadata!N194&gt;0))</f>
        <v>0</v>
      </c>
      <c r="AQ194" t="b">
        <f>AND(IF(metadata!O194="",FALSE,TRUE),EXACT(metadata!O194,"Not applicable"))</f>
        <v>0</v>
      </c>
      <c r="AR194" t="b">
        <f>OR(AND(IF(metadata!P194="",FALSE,TRUE),OR(EXACT(metadata!P194,"not applicable"),EXACT(metadata!P194,"missing: not collected"),EXACT(metadata!P194,"missing: not provided"),EXACT(metadata!P194,"missing: restricted access"))),IF(metadata!P194="",FALSE,IF(ISERROR(INT(metadata!P194)),FALSE,INT(metadata!P194)=metadata!P194)))</f>
        <v>0</v>
      </c>
      <c r="AS194" t="b">
        <f>AND(IF(metadata!Q194="",FALSE,TRUE),EXACT(metadata!Q194,"Not applicable"))</f>
        <v>0</v>
      </c>
      <c r="AT194" t="b">
        <f>OR(AND(IF(metadata!R194="",FALSE,TRUE),OR(EXACT(metadata!R194,"not applicable"),EXACT(metadata!R194,"missing: not collected"),EXACT(metadata!R194,"missing: not provided"),EXACT(metadata!R194,"missing: restricted access"))),AND(IF(metadata!R194="",FALSE,ISNUMBER(VALUE(metadata!R194))),metadata!R194&gt;0))</f>
        <v>0</v>
      </c>
      <c r="AU194" t="b">
        <f>AND(IF(metadata!S194="",FALSE,TRUE),EXACT(metadata!S194,"missing: not provided"))</f>
        <v>0</v>
      </c>
    </row>
    <row r="195" spans="1:47" x14ac:dyDescent="0.2">
      <c r="A195" s="5" t="str">
        <f ca="1">IF(B195=" "," ",HYPERLINK(CONCATENATE("#metadata!",ADDRESS(INDEX($Y$2:$Y$1001,MATCH(ROWS($W$2:W195),$W$2:$W$1001,0),0),1)),INDEX($AB$2:$AB$1001,MATCH(ROWS($W$2:W195),$W$2:$W$1001,0),0)))</f>
        <v xml:space="preserve"> </v>
      </c>
      <c r="B195" s="4" t="str">
        <f ca="1">IF(OR(INDEX($X$2:$X$1001,MATCH(ROWS($W$2:W195),$W$2:$W$1001,0),1)&gt;=100000,INDEX($AD$1005:$AU$1005,1,MATCH(COLUMNS($AD$1006:AD1006),$AD$1006:$AU$1006,0))&gt;=100000), " ",IF(INDEX($AD$2:$AU$1001,MATCH(ROWS($W$2:W195),$W$2:$W$1001,0),MATCH(COLUMNS($AD$1006:AD1006),$AD$1006:$AU$1006,0)), HYPERLINK("#",""), HYPERLINK(CONCATENATE("#metadata!", ADDRESS(INDEX($Y$2:$Y$1001,MATCH(ROWS($W$2:W195),$W$2:$W$1001,0),0), INDEX($AD$1004:$AU$1004,1,MATCH(COLUMNS($AD$1006:AD1006),$AD$1006:$AU$1006,0)))),"Fix")))</f>
        <v xml:space="preserve"> </v>
      </c>
      <c r="C195" s="4" t="str">
        <f ca="1">IF(OR(INDEX($X$2:$X$1001,MATCH(ROWS($W$2:W195),$W$2:$W$1001,0),1)&gt;=100000,INDEX($AD$1005:$AU$1005,1,MATCH(COLUMNS($AD$1006:AE1006),$AD$1006:$AU$1006,0))&gt;=100000), " ",IF(INDEX($AD$2:$AU$1001,MATCH(ROWS($W$2:W195),$W$2:$W$1001,0),MATCH(COLUMNS($AD$1006:AE1006),$AD$1006:$AU$1006,0)), HYPERLINK("#",""), HYPERLINK(CONCATENATE("#metadata!", ADDRESS(INDEX($Y$2:$Y$1001,MATCH(ROWS($W$2:W195),$W$2:$W$1001,0),0), INDEX($AD$1004:$AU$1004,1,MATCH(COLUMNS($AD$1006:AE1006),$AD$1006:$AU$1006,0)))),"Fix")))</f>
        <v xml:space="preserve"> </v>
      </c>
      <c r="D195" s="4" t="str">
        <f ca="1">IF(OR(INDEX($X$2:$X$1001,MATCH(ROWS($W$2:W195),$W$2:$W$1001,0),1)&gt;=100000,INDEX($AD$1005:$AU$1005,1,MATCH(COLUMNS($AD$1006:AF1006),$AD$1006:$AU$1006,0))&gt;=100000), " ",IF(INDEX($AD$2:$AU$1001,MATCH(ROWS($W$2:W195),$W$2:$W$1001,0),MATCH(COLUMNS($AD$1006:AF1006),$AD$1006:$AU$1006,0)), HYPERLINK("#",""), HYPERLINK(CONCATENATE("#metadata!", ADDRESS(INDEX($Y$2:$Y$1001,MATCH(ROWS($W$2:W195),$W$2:$W$1001,0),0), INDEX($AD$1004:$AU$1004,1,MATCH(COLUMNS($AD$1006:AF1006),$AD$1006:$AU$1006,0)))),"Fix")))</f>
        <v xml:space="preserve"> </v>
      </c>
      <c r="E195" s="4" t="str">
        <f ca="1">IF(OR(INDEX($X$2:$X$1001,MATCH(ROWS($W$2:W195),$W$2:$W$1001,0),1)&gt;=100000,INDEX($AD$1005:$AU$1005,1,MATCH(COLUMNS($AD$1006:AG1006),$AD$1006:$AU$1006,0))&gt;=100000), " ",IF(INDEX($AD$2:$AU$1001,MATCH(ROWS($W$2:W195),$W$2:$W$1001,0),MATCH(COLUMNS($AD$1006:AG1006),$AD$1006:$AU$1006,0)), HYPERLINK("#",""), HYPERLINK(CONCATENATE("#metadata!", ADDRESS(INDEX($Y$2:$Y$1001,MATCH(ROWS($W$2:W195),$W$2:$W$1001,0),0), INDEX($AD$1004:$AU$1004,1,MATCH(COLUMNS($AD$1006:AG1006),$AD$1006:$AU$1006,0)))),"Fix")))</f>
        <v xml:space="preserve"> </v>
      </c>
      <c r="F195" s="4" t="str">
        <f ca="1">IF(OR(INDEX($X$2:$X$1001,MATCH(ROWS($W$2:W195),$W$2:$W$1001,0),1)&gt;=100000,INDEX($AD$1005:$AU$1005,1,MATCH(COLUMNS($AD$1006:AH1006),$AD$1006:$AU$1006,0))&gt;=100000), " ",IF(INDEX($AD$2:$AU$1001,MATCH(ROWS($W$2:W195),$W$2:$W$1001,0),MATCH(COLUMNS($AD$1006:AH1006),$AD$1006:$AU$1006,0)), HYPERLINK("#",""), HYPERLINK(CONCATENATE("#metadata!", ADDRESS(INDEX($Y$2:$Y$1001,MATCH(ROWS($W$2:W195),$W$2:$W$1001,0),0), INDEX($AD$1004:$AU$1004,1,MATCH(COLUMNS($AD$1006:AH1006),$AD$1006:$AU$1006,0)))),"Fix")))</f>
        <v xml:space="preserve"> </v>
      </c>
      <c r="G195" s="4" t="str">
        <f ca="1">IF(OR(INDEX($X$2:$X$1001,MATCH(ROWS($W$2:W195),$W$2:$W$1001,0),1)&gt;=100000,INDEX($AD$1005:$AU$1005,1,MATCH(COLUMNS($AD$1006:AI1006),$AD$1006:$AU$1006,0))&gt;=100000), " ",IF(INDEX($AD$2:$AU$1001,MATCH(ROWS($W$2:W195),$W$2:$W$1001,0),MATCH(COLUMNS($AD$1006:AI1006),$AD$1006:$AU$1006,0)), HYPERLINK("#",""), HYPERLINK(CONCATENATE("#metadata!", ADDRESS(INDEX($Y$2:$Y$1001,MATCH(ROWS($W$2:W195),$W$2:$W$1001,0),0), INDEX($AD$1004:$AU$1004,1,MATCH(COLUMNS($AD$1006:AI1006),$AD$1006:$AU$1006,0)))),"Fix")))</f>
        <v xml:space="preserve"> </v>
      </c>
      <c r="H195" s="4" t="str">
        <f ca="1">IF(OR(INDEX($X$2:$X$1001,MATCH(ROWS($W$2:W195),$W$2:$W$1001,0),1)&gt;=100000,INDEX($AD$1005:$AU$1005,1,MATCH(COLUMNS($AD$1006:AJ1006),$AD$1006:$AU$1006,0))&gt;=100000), " ",IF(INDEX($AD$2:$AU$1001,MATCH(ROWS($W$2:W195),$W$2:$W$1001,0),MATCH(COLUMNS($AD$1006:AJ1006),$AD$1006:$AU$1006,0)), HYPERLINK("#",""), HYPERLINK(CONCATENATE("#metadata!", ADDRESS(INDEX($Y$2:$Y$1001,MATCH(ROWS($W$2:W195),$W$2:$W$1001,0),0), INDEX($AD$1004:$AU$1004,1,MATCH(COLUMNS($AD$1006:AJ1006),$AD$1006:$AU$1006,0)))),"Fix")))</f>
        <v xml:space="preserve"> </v>
      </c>
      <c r="I195" s="4" t="str">
        <f ca="1">IF(OR(INDEX($X$2:$X$1001,MATCH(ROWS($W$2:W195),$W$2:$W$1001,0),1)&gt;=100000,INDEX($AD$1005:$AU$1005,1,MATCH(COLUMNS($AD$1006:AK1006),$AD$1006:$AU$1006,0))&gt;=100000), " ",IF(INDEX($AD$2:$AU$1001,MATCH(ROWS($W$2:W195),$W$2:$W$1001,0),MATCH(COLUMNS($AD$1006:AK1006),$AD$1006:$AU$1006,0)), HYPERLINK("#",""), HYPERLINK(CONCATENATE("#metadata!", ADDRESS(INDEX($Y$2:$Y$1001,MATCH(ROWS($W$2:W195),$W$2:$W$1001,0),0), INDEX($AD$1004:$AU$1004,1,MATCH(COLUMNS($AD$1006:AK1006),$AD$1006:$AU$1006,0)))),"Fix")))</f>
        <v xml:space="preserve"> </v>
      </c>
      <c r="J195" s="4" t="str">
        <f ca="1">IF(OR(INDEX($X$2:$X$1001,MATCH(ROWS($W$2:W195),$W$2:$W$1001,0),1)&gt;=100000,INDEX($AD$1005:$AU$1005,1,MATCH(COLUMNS($AD$1006:AL1006),$AD$1006:$AU$1006,0))&gt;=100000), " ",IF(INDEX($AD$2:$AU$1001,MATCH(ROWS($W$2:W195),$W$2:$W$1001,0),MATCH(COLUMNS($AD$1006:AL1006),$AD$1006:$AU$1006,0)), HYPERLINK("#",""), HYPERLINK(CONCATENATE("#metadata!", ADDRESS(INDEX($Y$2:$Y$1001,MATCH(ROWS($W$2:W195),$W$2:$W$1001,0),0), INDEX($AD$1004:$AU$1004,1,MATCH(COLUMNS($AD$1006:AL1006),$AD$1006:$AU$1006,0)))),"Fix")))</f>
        <v xml:space="preserve"> </v>
      </c>
      <c r="K195" s="4" t="str">
        <f ca="1">IF(OR(INDEX($X$2:$X$1001,MATCH(ROWS($W$2:W195),$W$2:$W$1001,0),1)&gt;=100000,INDEX($AD$1005:$AU$1005,1,MATCH(COLUMNS($AD$1006:AM1006),$AD$1006:$AU$1006,0))&gt;=100000), " ",IF(INDEX($AD$2:$AU$1001,MATCH(ROWS($W$2:W195),$W$2:$W$1001,0),MATCH(COLUMNS($AD$1006:AM1006),$AD$1006:$AU$1006,0)), HYPERLINK("#",""), HYPERLINK(CONCATENATE("#metadata!", ADDRESS(INDEX($Y$2:$Y$1001,MATCH(ROWS($W$2:W195),$W$2:$W$1001,0),0), INDEX($AD$1004:$AU$1004,1,MATCH(COLUMNS($AD$1006:AM1006),$AD$1006:$AU$1006,0)))),"Fix")))</f>
        <v xml:space="preserve"> </v>
      </c>
      <c r="L195" s="4" t="str">
        <f ca="1">IF(OR(INDEX($X$2:$X$1001,MATCH(ROWS($W$2:W195),$W$2:$W$1001,0),1)&gt;=100000,INDEX($AD$1005:$AU$1005,1,MATCH(COLUMNS($AD$1006:AN1006),$AD$1006:$AU$1006,0))&gt;=100000), " ",IF(INDEX($AD$2:$AU$1001,MATCH(ROWS($W$2:W195),$W$2:$W$1001,0),MATCH(COLUMNS($AD$1006:AN1006),$AD$1006:$AU$1006,0)), HYPERLINK("#",""), HYPERLINK(CONCATENATE("#metadata!", ADDRESS(INDEX($Y$2:$Y$1001,MATCH(ROWS($W$2:W195),$W$2:$W$1001,0),0), INDEX($AD$1004:$AU$1004,1,MATCH(COLUMNS($AD$1006:AN1006),$AD$1006:$AU$1006,0)))),"Fix")))</f>
        <v xml:space="preserve"> </v>
      </c>
      <c r="M195" s="4" t="str">
        <f ca="1">IF(OR(INDEX($X$2:$X$1001,MATCH(ROWS($W$2:W195),$W$2:$W$1001,0),1)&gt;=100000,INDEX($AD$1005:$AU$1005,1,MATCH(COLUMNS($AD$1006:AO1006),$AD$1006:$AU$1006,0))&gt;=100000), " ",IF(INDEX($AD$2:$AU$1001,MATCH(ROWS($W$2:W195),$W$2:$W$1001,0),MATCH(COLUMNS($AD$1006:AO1006),$AD$1006:$AU$1006,0)), HYPERLINK("#",""), HYPERLINK(CONCATENATE("#metadata!", ADDRESS(INDEX($Y$2:$Y$1001,MATCH(ROWS($W$2:W195),$W$2:$W$1001,0),0), INDEX($AD$1004:$AU$1004,1,MATCH(COLUMNS($AD$1006:AO1006),$AD$1006:$AU$1006,0)))),"Fix")))</f>
        <v xml:space="preserve"> </v>
      </c>
      <c r="N195" s="4" t="str">
        <f ca="1">IF(OR(INDEX($X$2:$X$1001,MATCH(ROWS($W$2:W195),$W$2:$W$1001,0),1)&gt;=100000,INDEX($AD$1005:$AU$1005,1,MATCH(COLUMNS($AD$1006:AP1006),$AD$1006:$AU$1006,0))&gt;=100000), " ",IF(INDEX($AD$2:$AU$1001,MATCH(ROWS($W$2:W195),$W$2:$W$1001,0),MATCH(COLUMNS($AD$1006:AP1006),$AD$1006:$AU$1006,0)), HYPERLINK("#",""), HYPERLINK(CONCATENATE("#metadata!", ADDRESS(INDEX($Y$2:$Y$1001,MATCH(ROWS($W$2:W195),$W$2:$W$1001,0),0), INDEX($AD$1004:$AU$1004,1,MATCH(COLUMNS($AD$1006:AP1006),$AD$1006:$AU$1006,0)))),"Fix")))</f>
        <v xml:space="preserve"> </v>
      </c>
      <c r="O195" s="4" t="str">
        <f ca="1">IF(OR(INDEX($X$2:$X$1001,MATCH(ROWS($W$2:W195),$W$2:$W$1001,0),1)&gt;=100000,INDEX($AD$1005:$AU$1005,1,MATCH(COLUMNS($AD$1006:AQ1006),$AD$1006:$AU$1006,0))&gt;=100000), " ",IF(INDEX($AD$2:$AU$1001,MATCH(ROWS($W$2:W195),$W$2:$W$1001,0),MATCH(COLUMNS($AD$1006:AQ1006),$AD$1006:$AU$1006,0)), HYPERLINK("#",""), HYPERLINK(CONCATENATE("#metadata!", ADDRESS(INDEX($Y$2:$Y$1001,MATCH(ROWS($W$2:W195),$W$2:$W$1001,0),0), INDEX($AD$1004:$AU$1004,1,MATCH(COLUMNS($AD$1006:AQ1006),$AD$1006:$AU$1006,0)))),"Fix")))</f>
        <v xml:space="preserve"> </v>
      </c>
      <c r="P195" s="4" t="str">
        <f ca="1">IF(OR(INDEX($X$2:$X$1001,MATCH(ROWS($W$2:W195),$W$2:$W$1001,0),1)&gt;=100000,INDEX($AD$1005:$AU$1005,1,MATCH(COLUMNS($AD$1006:AR1006),$AD$1006:$AU$1006,0))&gt;=100000), " ",IF(INDEX($AD$2:$AU$1001,MATCH(ROWS($W$2:W195),$W$2:$W$1001,0),MATCH(COLUMNS($AD$1006:AR1006),$AD$1006:$AU$1006,0)), HYPERLINK("#",""), HYPERLINK(CONCATENATE("#metadata!", ADDRESS(INDEX($Y$2:$Y$1001,MATCH(ROWS($W$2:W195),$W$2:$W$1001,0),0), INDEX($AD$1004:$AU$1004,1,MATCH(COLUMNS($AD$1006:AR1006),$AD$1006:$AU$1006,0)))),"Fix")))</f>
        <v xml:space="preserve"> </v>
      </c>
      <c r="Q195" s="4" t="str">
        <f ca="1">IF(OR(INDEX($X$2:$X$1001,MATCH(ROWS($W$2:W195),$W$2:$W$1001,0),1)&gt;=100000,INDEX($AD$1005:$AU$1005,1,MATCH(COLUMNS($AD$1006:AS1006),$AD$1006:$AU$1006,0))&gt;=100000), " ",IF(INDEX($AD$2:$AU$1001,MATCH(ROWS($W$2:W195),$W$2:$W$1001,0),MATCH(COLUMNS($AD$1006:AS1006),$AD$1006:$AU$1006,0)), HYPERLINK("#",""), HYPERLINK(CONCATENATE("#metadata!", ADDRESS(INDEX($Y$2:$Y$1001,MATCH(ROWS($W$2:W195),$W$2:$W$1001,0),0), INDEX($AD$1004:$AU$1004,1,MATCH(COLUMNS($AD$1006:AS1006),$AD$1006:$AU$1006,0)))),"Fix")))</f>
        <v xml:space="preserve"> </v>
      </c>
      <c r="R195" s="4" t="str">
        <f ca="1">IF(OR(INDEX($X$2:$X$1001,MATCH(ROWS($W$2:W195),$W$2:$W$1001,0),1)&gt;=100000,INDEX($AD$1005:$AU$1005,1,MATCH(COLUMNS($AD$1006:AT1006),$AD$1006:$AU$1006,0))&gt;=100000), " ",IF(INDEX($AD$2:$AU$1001,MATCH(ROWS($W$2:W195),$W$2:$W$1001,0),MATCH(COLUMNS($AD$1006:AT1006),$AD$1006:$AU$1006,0)), HYPERLINK("#",""), HYPERLINK(CONCATENATE("#metadata!", ADDRESS(INDEX($Y$2:$Y$1001,MATCH(ROWS($W$2:W195),$W$2:$W$1001,0),0), INDEX($AD$1004:$AU$1004,1,MATCH(COLUMNS($AD$1006:AT1006),$AD$1006:$AU$1006,0)))),"Fix")))</f>
        <v xml:space="preserve"> </v>
      </c>
      <c r="S195" s="4" t="str">
        <f ca="1">IF(OR(INDEX($X$2:$X$1001,MATCH(ROWS($W$2:W195),$W$2:$W$1001,0),1)&gt;=100000,INDEX($AD$1005:$AU$1005,1,MATCH(COLUMNS($AD$1006:AU1006),$AD$1006:$AU$1006,0))&gt;=100000), " ",IF(INDEX($AD$2:$AU$1001,MATCH(ROWS($W$2:W195),$W$2:$W$1001,0),MATCH(COLUMNS($AD$1006:AU1006),$AD$1006:$AU$1006,0)), HYPERLINK("#",""), HYPERLINK(CONCATENATE("#metadata!", ADDRESS(INDEX($Y$2:$Y$1001,MATCH(ROWS($W$2:W195),$W$2:$W$1001,0),0), INDEX($AD$1004:$AU$1004,1,MATCH(COLUMNS($AD$1006:AU1006),$AD$1006:$AU$1006,0)))),"Fix")))</f>
        <v xml:space="preserve"> </v>
      </c>
      <c r="W195">
        <v>194</v>
      </c>
      <c r="X195">
        <v>100195</v>
      </c>
      <c r="Y195">
        <v>195</v>
      </c>
      <c r="Z195" t="b">
        <f t="shared" si="3"/>
        <v>1</v>
      </c>
      <c r="AA195" t="b">
        <f>COUNTBLANK(metadata!B195:S195)=COLUMNS(metadata!B195:S195)</f>
        <v>1</v>
      </c>
      <c r="AB195" t="str">
        <v/>
      </c>
      <c r="AD195" t="b">
        <f ca="1">AND(IF(metadata!B195="",FALSE,TRUE),COUNTIF(metadata!B:B, metadata!B195) = 1,NOT(ISERROR(SUMPRODUCT(SEARCH(MID(metadata!B195,ROW(INDIRECT("1:"&amp;LEN(metadata!B195))), 1),"0123456789abcdefghijklmnopqrstuvwxyzABCDEFGHIJKLMNOPQRSTUVWXYZ.")))))</f>
        <v>0</v>
      </c>
      <c r="AE195" t="b">
        <f>OR(AND(IF(metadata!C195="",FALSE,TRUE),OR(EXACT(metadata!C195,"not applicable"),EXACT(metadata!C195,"missing: not collected"),EXACT(metadata!C195,"missing: not provided"),EXACT(metadata!C195,"missing: restricted access"))),AND(IF(metadata!C195="",FALSE,ISNUMBER(VALUE(metadata!C195))),metadata!C195&gt;0))</f>
        <v>0</v>
      </c>
      <c r="AF195" t="b">
        <f>AND(IF(metadata!D195="",FALSE,TRUE),EXACT(metadata!D195,"missing: not provided"))</f>
        <v>0</v>
      </c>
      <c r="AG195" t="b">
        <f>AND(IF(metadata!E195="",FALSE,TRUE),EXACT(metadata!E195,"Host-associated"))</f>
        <v>0</v>
      </c>
      <c r="AH195" t="b">
        <f>AND(IF(metadata!F195="",FALSE,TRUE),OR(EXACT(metadata!F195,"Animal"),EXACT(metadata!F195,"Fungus"),EXACT(metadata!F195,"Plant")))</f>
        <v>0</v>
      </c>
      <c r="AI195" t="b">
        <f>AND(IF(metadata!G195="",FALSE,TRUE),OR(EXACT(metadata!G195,"Plant secretion"),EXACT(metadata!G195,"Plant rhizosphere"),EXACT(metadata!G195,"Plant surface"),EXACT(metadata!G195,"Plant corpus"),EXACT(metadata!G195,"Fungus surface"),EXACT(metadata!G195,"Fungus corpus"),EXACT(metadata!G195,"Animal surface"),EXACT(metadata!G195,"Animal proximal gut"),EXACT(metadata!G195,"Animal corpus"),EXACT(metadata!G195,"Animal distal gut"),EXACT(metadata!G195,"Animal secretion")))</f>
        <v>0</v>
      </c>
      <c r="AJ195" t="b">
        <f>OR(AND(IF(metadata!H195="",FALSE,TRUE),OR(EXACT(metadata!H195,"missing: not collected"),EXACT(metadata!H195,"missing: not provided"),EXACT(metadata!H195,"missing: restricted access"))),AND(IF(metadata!H195="",FALSE,TRUE),OR(EXACT(metadata!H195,"organism-associated habitat"),EXACT(metadata!H195,"plant-associated habitat"),EXACT(metadata!H195,"animal-associated habitat"),EXACT(metadata!H195,"insecta-associated habitat"),EXACT(metadata!H195,"mammalia-associated habitat"),EXACT(metadata!H195,"human-associated habitat"),EXACT(metadata!H195,"livestock-associated habitat"))))</f>
        <v>0</v>
      </c>
      <c r="AK195" t="b">
        <f>AND(IF(metadata!I195="",FALSE,TRUE),EXACT(metadata!I195,"host-associated"))</f>
        <v>0</v>
      </c>
      <c r="AL195" t="b">
        <f>OR(AND(IF(metadata!J195="",FALSE,TRUE),OR(EXACT(metadata!J195,"not applicable"),EXACT(metadata!J195,"missing: not collected"),EXACT(metadata!J195,"missing: not provided"),EXACT(metadata!J195,"missing: restricted access"))),AND(IF(metadata!J195="",FALSE,ISNUMBER(VALUE(metadata!J195))),metadata!J195&gt;0))</f>
        <v>0</v>
      </c>
      <c r="AM195" t="b">
        <f>AND(IF(metadata!K195="",FALSE,TRUE),EXACT(metadata!K195,"missing: not provided"))</f>
        <v>0</v>
      </c>
      <c r="AN195" t="b">
        <f>IF(metadata!L195="",FALSE,TRUE)</f>
        <v>0</v>
      </c>
      <c r="AO195" t="b">
        <f>IF(metadata!M195="",FALSE,TRUE)</f>
        <v>0</v>
      </c>
      <c r="AP195" t="b">
        <f>OR(AND(IF(metadata!N195="",FALSE,TRUE),OR(EXACT(metadata!N195,"not applicable"),EXACT(metadata!N195,"missing: not collected"),EXACT(metadata!N195,"missing: not provided"))),AND(IF(metadata!N195="",FALSE,IF(ISERROR(INT(metadata!N195)),FALSE,INT(metadata!N195)=metadata!N195)),metadata!N195&gt;0))</f>
        <v>0</v>
      </c>
      <c r="AQ195" t="b">
        <f>AND(IF(metadata!O195="",FALSE,TRUE),EXACT(metadata!O195,"Not applicable"))</f>
        <v>0</v>
      </c>
      <c r="AR195" t="b">
        <f>OR(AND(IF(metadata!P195="",FALSE,TRUE),OR(EXACT(metadata!P195,"not applicable"),EXACT(metadata!P195,"missing: not collected"),EXACT(metadata!P195,"missing: not provided"),EXACT(metadata!P195,"missing: restricted access"))),IF(metadata!P195="",FALSE,IF(ISERROR(INT(metadata!P195)),FALSE,INT(metadata!P195)=metadata!P195)))</f>
        <v>0</v>
      </c>
      <c r="AS195" t="b">
        <f>AND(IF(metadata!Q195="",FALSE,TRUE),EXACT(metadata!Q195,"Not applicable"))</f>
        <v>0</v>
      </c>
      <c r="AT195" t="b">
        <f>OR(AND(IF(metadata!R195="",FALSE,TRUE),OR(EXACT(metadata!R195,"not applicable"),EXACT(metadata!R195,"missing: not collected"),EXACT(metadata!R195,"missing: not provided"),EXACT(metadata!R195,"missing: restricted access"))),AND(IF(metadata!R195="",FALSE,ISNUMBER(VALUE(metadata!R195))),metadata!R195&gt;0))</f>
        <v>0</v>
      </c>
      <c r="AU195" t="b">
        <f>AND(IF(metadata!S195="",FALSE,TRUE),EXACT(metadata!S195,"missing: not provided"))</f>
        <v>0</v>
      </c>
    </row>
    <row r="196" spans="1:47" x14ac:dyDescent="0.2">
      <c r="A196" s="5" t="str">
        <f ca="1">IF(B196=" "," ",HYPERLINK(CONCATENATE("#metadata!",ADDRESS(INDEX($Y$2:$Y$1001,MATCH(ROWS($W$2:W196),$W$2:$W$1001,0),0),1)),INDEX($AB$2:$AB$1001,MATCH(ROWS($W$2:W196),$W$2:$W$1001,0),0)))</f>
        <v xml:space="preserve"> </v>
      </c>
      <c r="B196" s="4" t="str">
        <f ca="1">IF(OR(INDEX($X$2:$X$1001,MATCH(ROWS($W$2:W196),$W$2:$W$1001,0),1)&gt;=100000,INDEX($AD$1005:$AU$1005,1,MATCH(COLUMNS($AD$1006:AD1006),$AD$1006:$AU$1006,0))&gt;=100000), " ",IF(INDEX($AD$2:$AU$1001,MATCH(ROWS($W$2:W196),$W$2:$W$1001,0),MATCH(COLUMNS($AD$1006:AD1006),$AD$1006:$AU$1006,0)), HYPERLINK("#",""), HYPERLINK(CONCATENATE("#metadata!", ADDRESS(INDEX($Y$2:$Y$1001,MATCH(ROWS($W$2:W196),$W$2:$W$1001,0),0), INDEX($AD$1004:$AU$1004,1,MATCH(COLUMNS($AD$1006:AD1006),$AD$1006:$AU$1006,0)))),"Fix")))</f>
        <v xml:space="preserve"> </v>
      </c>
      <c r="C196" s="4" t="str">
        <f ca="1">IF(OR(INDEX($X$2:$X$1001,MATCH(ROWS($W$2:W196),$W$2:$W$1001,0),1)&gt;=100000,INDEX($AD$1005:$AU$1005,1,MATCH(COLUMNS($AD$1006:AE1006),$AD$1006:$AU$1006,0))&gt;=100000), " ",IF(INDEX($AD$2:$AU$1001,MATCH(ROWS($W$2:W196),$W$2:$W$1001,0),MATCH(COLUMNS($AD$1006:AE1006),$AD$1006:$AU$1006,0)), HYPERLINK("#",""), HYPERLINK(CONCATENATE("#metadata!", ADDRESS(INDEX($Y$2:$Y$1001,MATCH(ROWS($W$2:W196),$W$2:$W$1001,0),0), INDEX($AD$1004:$AU$1004,1,MATCH(COLUMNS($AD$1006:AE1006),$AD$1006:$AU$1006,0)))),"Fix")))</f>
        <v xml:space="preserve"> </v>
      </c>
      <c r="D196" s="4" t="str">
        <f ca="1">IF(OR(INDEX($X$2:$X$1001,MATCH(ROWS($W$2:W196),$W$2:$W$1001,0),1)&gt;=100000,INDEX($AD$1005:$AU$1005,1,MATCH(COLUMNS($AD$1006:AF1006),$AD$1006:$AU$1006,0))&gt;=100000), " ",IF(INDEX($AD$2:$AU$1001,MATCH(ROWS($W$2:W196),$W$2:$W$1001,0),MATCH(COLUMNS($AD$1006:AF1006),$AD$1006:$AU$1006,0)), HYPERLINK("#",""), HYPERLINK(CONCATENATE("#metadata!", ADDRESS(INDEX($Y$2:$Y$1001,MATCH(ROWS($W$2:W196),$W$2:$W$1001,0),0), INDEX($AD$1004:$AU$1004,1,MATCH(COLUMNS($AD$1006:AF1006),$AD$1006:$AU$1006,0)))),"Fix")))</f>
        <v xml:space="preserve"> </v>
      </c>
      <c r="E196" s="4" t="str">
        <f ca="1">IF(OR(INDEX($X$2:$X$1001,MATCH(ROWS($W$2:W196),$W$2:$W$1001,0),1)&gt;=100000,INDEX($AD$1005:$AU$1005,1,MATCH(COLUMNS($AD$1006:AG1006),$AD$1006:$AU$1006,0))&gt;=100000), " ",IF(INDEX($AD$2:$AU$1001,MATCH(ROWS($W$2:W196),$W$2:$W$1001,0),MATCH(COLUMNS($AD$1006:AG1006),$AD$1006:$AU$1006,0)), HYPERLINK("#",""), HYPERLINK(CONCATENATE("#metadata!", ADDRESS(INDEX($Y$2:$Y$1001,MATCH(ROWS($W$2:W196),$W$2:$W$1001,0),0), INDEX($AD$1004:$AU$1004,1,MATCH(COLUMNS($AD$1006:AG1006),$AD$1006:$AU$1006,0)))),"Fix")))</f>
        <v xml:space="preserve"> </v>
      </c>
      <c r="F196" s="4" t="str">
        <f ca="1">IF(OR(INDEX($X$2:$X$1001,MATCH(ROWS($W$2:W196),$W$2:$W$1001,0),1)&gt;=100000,INDEX($AD$1005:$AU$1005,1,MATCH(COLUMNS($AD$1006:AH1006),$AD$1006:$AU$1006,0))&gt;=100000), " ",IF(INDEX($AD$2:$AU$1001,MATCH(ROWS($W$2:W196),$W$2:$W$1001,0),MATCH(COLUMNS($AD$1006:AH1006),$AD$1006:$AU$1006,0)), HYPERLINK("#",""), HYPERLINK(CONCATENATE("#metadata!", ADDRESS(INDEX($Y$2:$Y$1001,MATCH(ROWS($W$2:W196),$W$2:$W$1001,0),0), INDEX($AD$1004:$AU$1004,1,MATCH(COLUMNS($AD$1006:AH1006),$AD$1006:$AU$1006,0)))),"Fix")))</f>
        <v xml:space="preserve"> </v>
      </c>
      <c r="G196" s="4" t="str">
        <f ca="1">IF(OR(INDEX($X$2:$X$1001,MATCH(ROWS($W$2:W196),$W$2:$W$1001,0),1)&gt;=100000,INDEX($AD$1005:$AU$1005,1,MATCH(COLUMNS($AD$1006:AI1006),$AD$1006:$AU$1006,0))&gt;=100000), " ",IF(INDEX($AD$2:$AU$1001,MATCH(ROWS($W$2:W196),$W$2:$W$1001,0),MATCH(COLUMNS($AD$1006:AI1006),$AD$1006:$AU$1006,0)), HYPERLINK("#",""), HYPERLINK(CONCATENATE("#metadata!", ADDRESS(INDEX($Y$2:$Y$1001,MATCH(ROWS($W$2:W196),$W$2:$W$1001,0),0), INDEX($AD$1004:$AU$1004,1,MATCH(COLUMNS($AD$1006:AI1006),$AD$1006:$AU$1006,0)))),"Fix")))</f>
        <v xml:space="preserve"> </v>
      </c>
      <c r="H196" s="4" t="str">
        <f ca="1">IF(OR(INDEX($X$2:$X$1001,MATCH(ROWS($W$2:W196),$W$2:$W$1001,0),1)&gt;=100000,INDEX($AD$1005:$AU$1005,1,MATCH(COLUMNS($AD$1006:AJ1006),$AD$1006:$AU$1006,0))&gt;=100000), " ",IF(INDEX($AD$2:$AU$1001,MATCH(ROWS($W$2:W196),$W$2:$W$1001,0),MATCH(COLUMNS($AD$1006:AJ1006),$AD$1006:$AU$1006,0)), HYPERLINK("#",""), HYPERLINK(CONCATENATE("#metadata!", ADDRESS(INDEX($Y$2:$Y$1001,MATCH(ROWS($W$2:W196),$W$2:$W$1001,0),0), INDEX($AD$1004:$AU$1004,1,MATCH(COLUMNS($AD$1006:AJ1006),$AD$1006:$AU$1006,0)))),"Fix")))</f>
        <v xml:space="preserve"> </v>
      </c>
      <c r="I196" s="4" t="str">
        <f ca="1">IF(OR(INDEX($X$2:$X$1001,MATCH(ROWS($W$2:W196),$W$2:$W$1001,0),1)&gt;=100000,INDEX($AD$1005:$AU$1005,1,MATCH(COLUMNS($AD$1006:AK1006),$AD$1006:$AU$1006,0))&gt;=100000), " ",IF(INDEX($AD$2:$AU$1001,MATCH(ROWS($W$2:W196),$W$2:$W$1001,0),MATCH(COLUMNS($AD$1006:AK1006),$AD$1006:$AU$1006,0)), HYPERLINK("#",""), HYPERLINK(CONCATENATE("#metadata!", ADDRESS(INDEX($Y$2:$Y$1001,MATCH(ROWS($W$2:W196),$W$2:$W$1001,0),0), INDEX($AD$1004:$AU$1004,1,MATCH(COLUMNS($AD$1006:AK1006),$AD$1006:$AU$1006,0)))),"Fix")))</f>
        <v xml:space="preserve"> </v>
      </c>
      <c r="J196" s="4" t="str">
        <f ca="1">IF(OR(INDEX($X$2:$X$1001,MATCH(ROWS($W$2:W196),$W$2:$W$1001,0),1)&gt;=100000,INDEX($AD$1005:$AU$1005,1,MATCH(COLUMNS($AD$1006:AL1006),$AD$1006:$AU$1006,0))&gt;=100000), " ",IF(INDEX($AD$2:$AU$1001,MATCH(ROWS($W$2:W196),$W$2:$W$1001,0),MATCH(COLUMNS($AD$1006:AL1006),$AD$1006:$AU$1006,0)), HYPERLINK("#",""), HYPERLINK(CONCATENATE("#metadata!", ADDRESS(INDEX($Y$2:$Y$1001,MATCH(ROWS($W$2:W196),$W$2:$W$1001,0),0), INDEX($AD$1004:$AU$1004,1,MATCH(COLUMNS($AD$1006:AL1006),$AD$1006:$AU$1006,0)))),"Fix")))</f>
        <v xml:space="preserve"> </v>
      </c>
      <c r="K196" s="4" t="str">
        <f ca="1">IF(OR(INDEX($X$2:$X$1001,MATCH(ROWS($W$2:W196),$W$2:$W$1001,0),1)&gt;=100000,INDEX($AD$1005:$AU$1005,1,MATCH(COLUMNS($AD$1006:AM1006),$AD$1006:$AU$1006,0))&gt;=100000), " ",IF(INDEX($AD$2:$AU$1001,MATCH(ROWS($W$2:W196),$W$2:$W$1001,0),MATCH(COLUMNS($AD$1006:AM1006),$AD$1006:$AU$1006,0)), HYPERLINK("#",""), HYPERLINK(CONCATENATE("#metadata!", ADDRESS(INDEX($Y$2:$Y$1001,MATCH(ROWS($W$2:W196),$W$2:$W$1001,0),0), INDEX($AD$1004:$AU$1004,1,MATCH(COLUMNS($AD$1006:AM1006),$AD$1006:$AU$1006,0)))),"Fix")))</f>
        <v xml:space="preserve"> </v>
      </c>
      <c r="L196" s="4" t="str">
        <f ca="1">IF(OR(INDEX($X$2:$X$1001,MATCH(ROWS($W$2:W196),$W$2:$W$1001,0),1)&gt;=100000,INDEX($AD$1005:$AU$1005,1,MATCH(COLUMNS($AD$1006:AN1006),$AD$1006:$AU$1006,0))&gt;=100000), " ",IF(INDEX($AD$2:$AU$1001,MATCH(ROWS($W$2:W196),$W$2:$W$1001,0),MATCH(COLUMNS($AD$1006:AN1006),$AD$1006:$AU$1006,0)), HYPERLINK("#",""), HYPERLINK(CONCATENATE("#metadata!", ADDRESS(INDEX($Y$2:$Y$1001,MATCH(ROWS($W$2:W196),$W$2:$W$1001,0),0), INDEX($AD$1004:$AU$1004,1,MATCH(COLUMNS($AD$1006:AN1006),$AD$1006:$AU$1006,0)))),"Fix")))</f>
        <v xml:space="preserve"> </v>
      </c>
      <c r="M196" s="4" t="str">
        <f ca="1">IF(OR(INDEX($X$2:$X$1001,MATCH(ROWS($W$2:W196),$W$2:$W$1001,0),1)&gt;=100000,INDEX($AD$1005:$AU$1005,1,MATCH(COLUMNS($AD$1006:AO1006),$AD$1006:$AU$1006,0))&gt;=100000), " ",IF(INDEX($AD$2:$AU$1001,MATCH(ROWS($W$2:W196),$W$2:$W$1001,0),MATCH(COLUMNS($AD$1006:AO1006),$AD$1006:$AU$1006,0)), HYPERLINK("#",""), HYPERLINK(CONCATENATE("#metadata!", ADDRESS(INDEX($Y$2:$Y$1001,MATCH(ROWS($W$2:W196),$W$2:$W$1001,0),0), INDEX($AD$1004:$AU$1004,1,MATCH(COLUMNS($AD$1006:AO1006),$AD$1006:$AU$1006,0)))),"Fix")))</f>
        <v xml:space="preserve"> </v>
      </c>
      <c r="N196" s="4" t="str">
        <f ca="1">IF(OR(INDEX($X$2:$X$1001,MATCH(ROWS($W$2:W196),$W$2:$W$1001,0),1)&gt;=100000,INDEX($AD$1005:$AU$1005,1,MATCH(COLUMNS($AD$1006:AP1006),$AD$1006:$AU$1006,0))&gt;=100000), " ",IF(INDEX($AD$2:$AU$1001,MATCH(ROWS($W$2:W196),$W$2:$W$1001,0),MATCH(COLUMNS($AD$1006:AP1006),$AD$1006:$AU$1006,0)), HYPERLINK("#",""), HYPERLINK(CONCATENATE("#metadata!", ADDRESS(INDEX($Y$2:$Y$1001,MATCH(ROWS($W$2:W196),$W$2:$W$1001,0),0), INDEX($AD$1004:$AU$1004,1,MATCH(COLUMNS($AD$1006:AP1006),$AD$1006:$AU$1006,0)))),"Fix")))</f>
        <v xml:space="preserve"> </v>
      </c>
      <c r="O196" s="4" t="str">
        <f ca="1">IF(OR(INDEX($X$2:$X$1001,MATCH(ROWS($W$2:W196),$W$2:$W$1001,0),1)&gt;=100000,INDEX($AD$1005:$AU$1005,1,MATCH(COLUMNS($AD$1006:AQ1006),$AD$1006:$AU$1006,0))&gt;=100000), " ",IF(INDEX($AD$2:$AU$1001,MATCH(ROWS($W$2:W196),$W$2:$W$1001,0),MATCH(COLUMNS($AD$1006:AQ1006),$AD$1006:$AU$1006,0)), HYPERLINK("#",""), HYPERLINK(CONCATENATE("#metadata!", ADDRESS(INDEX($Y$2:$Y$1001,MATCH(ROWS($W$2:W196),$W$2:$W$1001,0),0), INDEX($AD$1004:$AU$1004,1,MATCH(COLUMNS($AD$1006:AQ1006),$AD$1006:$AU$1006,0)))),"Fix")))</f>
        <v xml:space="preserve"> </v>
      </c>
      <c r="P196" s="4" t="str">
        <f ca="1">IF(OR(INDEX($X$2:$X$1001,MATCH(ROWS($W$2:W196),$W$2:$W$1001,0),1)&gt;=100000,INDEX($AD$1005:$AU$1005,1,MATCH(COLUMNS($AD$1006:AR1006),$AD$1006:$AU$1006,0))&gt;=100000), " ",IF(INDEX($AD$2:$AU$1001,MATCH(ROWS($W$2:W196),$W$2:$W$1001,0),MATCH(COLUMNS($AD$1006:AR1006),$AD$1006:$AU$1006,0)), HYPERLINK("#",""), HYPERLINK(CONCATENATE("#metadata!", ADDRESS(INDEX($Y$2:$Y$1001,MATCH(ROWS($W$2:W196),$W$2:$W$1001,0),0), INDEX($AD$1004:$AU$1004,1,MATCH(COLUMNS($AD$1006:AR1006),$AD$1006:$AU$1006,0)))),"Fix")))</f>
        <v xml:space="preserve"> </v>
      </c>
      <c r="Q196" s="4" t="str">
        <f ca="1">IF(OR(INDEX($X$2:$X$1001,MATCH(ROWS($W$2:W196),$W$2:$W$1001,0),1)&gt;=100000,INDEX($AD$1005:$AU$1005,1,MATCH(COLUMNS($AD$1006:AS1006),$AD$1006:$AU$1006,0))&gt;=100000), " ",IF(INDEX($AD$2:$AU$1001,MATCH(ROWS($W$2:W196),$W$2:$W$1001,0),MATCH(COLUMNS($AD$1006:AS1006),$AD$1006:$AU$1006,0)), HYPERLINK("#",""), HYPERLINK(CONCATENATE("#metadata!", ADDRESS(INDEX($Y$2:$Y$1001,MATCH(ROWS($W$2:W196),$W$2:$W$1001,0),0), INDEX($AD$1004:$AU$1004,1,MATCH(COLUMNS($AD$1006:AS1006),$AD$1006:$AU$1006,0)))),"Fix")))</f>
        <v xml:space="preserve"> </v>
      </c>
      <c r="R196" s="4" t="str">
        <f ca="1">IF(OR(INDEX($X$2:$X$1001,MATCH(ROWS($W$2:W196),$W$2:$W$1001,0),1)&gt;=100000,INDEX($AD$1005:$AU$1005,1,MATCH(COLUMNS($AD$1006:AT1006),$AD$1006:$AU$1006,0))&gt;=100000), " ",IF(INDEX($AD$2:$AU$1001,MATCH(ROWS($W$2:W196),$W$2:$W$1001,0),MATCH(COLUMNS($AD$1006:AT1006),$AD$1006:$AU$1006,0)), HYPERLINK("#",""), HYPERLINK(CONCATENATE("#metadata!", ADDRESS(INDEX($Y$2:$Y$1001,MATCH(ROWS($W$2:W196),$W$2:$W$1001,0),0), INDEX($AD$1004:$AU$1004,1,MATCH(COLUMNS($AD$1006:AT1006),$AD$1006:$AU$1006,0)))),"Fix")))</f>
        <v xml:space="preserve"> </v>
      </c>
      <c r="S196" s="4" t="str">
        <f ca="1">IF(OR(INDEX($X$2:$X$1001,MATCH(ROWS($W$2:W196),$W$2:$W$1001,0),1)&gt;=100000,INDEX($AD$1005:$AU$1005,1,MATCH(COLUMNS($AD$1006:AU1006),$AD$1006:$AU$1006,0))&gt;=100000), " ",IF(INDEX($AD$2:$AU$1001,MATCH(ROWS($W$2:W196),$W$2:$W$1001,0),MATCH(COLUMNS($AD$1006:AU1006),$AD$1006:$AU$1006,0)), HYPERLINK("#",""), HYPERLINK(CONCATENATE("#metadata!", ADDRESS(INDEX($Y$2:$Y$1001,MATCH(ROWS($W$2:W196),$W$2:$W$1001,0),0), INDEX($AD$1004:$AU$1004,1,MATCH(COLUMNS($AD$1006:AU1006),$AD$1006:$AU$1006,0)))),"Fix")))</f>
        <v xml:space="preserve"> </v>
      </c>
      <c r="W196">
        <v>195</v>
      </c>
      <c r="X196">
        <v>100196</v>
      </c>
      <c r="Y196">
        <v>196</v>
      </c>
      <c r="Z196" t="b">
        <f t="shared" si="3"/>
        <v>1</v>
      </c>
      <c r="AA196" t="b">
        <f>COUNTBLANK(metadata!B196:S196)=COLUMNS(metadata!B196:S196)</f>
        <v>1</v>
      </c>
      <c r="AB196" t="str">
        <v/>
      </c>
      <c r="AD196" t="b">
        <f ca="1">AND(IF(metadata!B196="",FALSE,TRUE),COUNTIF(metadata!B:B, metadata!B196) = 1,NOT(ISERROR(SUMPRODUCT(SEARCH(MID(metadata!B196,ROW(INDIRECT("1:"&amp;LEN(metadata!B196))), 1),"0123456789abcdefghijklmnopqrstuvwxyzABCDEFGHIJKLMNOPQRSTUVWXYZ.")))))</f>
        <v>0</v>
      </c>
      <c r="AE196" t="b">
        <f>OR(AND(IF(metadata!C196="",FALSE,TRUE),OR(EXACT(metadata!C196,"not applicable"),EXACT(metadata!C196,"missing: not collected"),EXACT(metadata!C196,"missing: not provided"),EXACT(metadata!C196,"missing: restricted access"))),AND(IF(metadata!C196="",FALSE,ISNUMBER(VALUE(metadata!C196))),metadata!C196&gt;0))</f>
        <v>0</v>
      </c>
      <c r="AF196" t="b">
        <f>AND(IF(metadata!D196="",FALSE,TRUE),EXACT(metadata!D196,"missing: not provided"))</f>
        <v>0</v>
      </c>
      <c r="AG196" t="b">
        <f>AND(IF(metadata!E196="",FALSE,TRUE),EXACT(metadata!E196,"Host-associated"))</f>
        <v>0</v>
      </c>
      <c r="AH196" t="b">
        <f>AND(IF(metadata!F196="",FALSE,TRUE),OR(EXACT(metadata!F196,"Animal"),EXACT(metadata!F196,"Fungus"),EXACT(metadata!F196,"Plant")))</f>
        <v>0</v>
      </c>
      <c r="AI196" t="b">
        <f>AND(IF(metadata!G196="",FALSE,TRUE),OR(EXACT(metadata!G196,"Plant secretion"),EXACT(metadata!G196,"Plant rhizosphere"),EXACT(metadata!G196,"Plant surface"),EXACT(metadata!G196,"Plant corpus"),EXACT(metadata!G196,"Fungus surface"),EXACT(metadata!G196,"Fungus corpus"),EXACT(metadata!G196,"Animal surface"),EXACT(metadata!G196,"Animal proximal gut"),EXACT(metadata!G196,"Animal corpus"),EXACT(metadata!G196,"Animal distal gut"),EXACT(metadata!G196,"Animal secretion")))</f>
        <v>0</v>
      </c>
      <c r="AJ196" t="b">
        <f>OR(AND(IF(metadata!H196="",FALSE,TRUE),OR(EXACT(metadata!H196,"missing: not collected"),EXACT(metadata!H196,"missing: not provided"),EXACT(metadata!H196,"missing: restricted access"))),AND(IF(metadata!H196="",FALSE,TRUE),OR(EXACT(metadata!H196,"organism-associated habitat"),EXACT(metadata!H196,"plant-associated habitat"),EXACT(metadata!H196,"animal-associated habitat"),EXACT(metadata!H196,"insecta-associated habitat"),EXACT(metadata!H196,"mammalia-associated habitat"),EXACT(metadata!H196,"human-associated habitat"),EXACT(metadata!H196,"livestock-associated habitat"))))</f>
        <v>0</v>
      </c>
      <c r="AK196" t="b">
        <f>AND(IF(metadata!I196="",FALSE,TRUE),EXACT(metadata!I196,"host-associated"))</f>
        <v>0</v>
      </c>
      <c r="AL196" t="b">
        <f>OR(AND(IF(metadata!J196="",FALSE,TRUE),OR(EXACT(metadata!J196,"not applicable"),EXACT(metadata!J196,"missing: not collected"),EXACT(metadata!J196,"missing: not provided"),EXACT(metadata!J196,"missing: restricted access"))),AND(IF(metadata!J196="",FALSE,ISNUMBER(VALUE(metadata!J196))),metadata!J196&gt;0))</f>
        <v>0</v>
      </c>
      <c r="AM196" t="b">
        <f>AND(IF(metadata!K196="",FALSE,TRUE),EXACT(metadata!K196,"missing: not provided"))</f>
        <v>0</v>
      </c>
      <c r="AN196" t="b">
        <f>IF(metadata!L196="",FALSE,TRUE)</f>
        <v>0</v>
      </c>
      <c r="AO196" t="b">
        <f>IF(metadata!M196="",FALSE,TRUE)</f>
        <v>0</v>
      </c>
      <c r="AP196" t="b">
        <f>OR(AND(IF(metadata!N196="",FALSE,TRUE),OR(EXACT(metadata!N196,"not applicable"),EXACT(metadata!N196,"missing: not collected"),EXACT(metadata!N196,"missing: not provided"))),AND(IF(metadata!N196="",FALSE,IF(ISERROR(INT(metadata!N196)),FALSE,INT(metadata!N196)=metadata!N196)),metadata!N196&gt;0))</f>
        <v>0</v>
      </c>
      <c r="AQ196" t="b">
        <f>AND(IF(metadata!O196="",FALSE,TRUE),EXACT(metadata!O196,"Not applicable"))</f>
        <v>0</v>
      </c>
      <c r="AR196" t="b">
        <f>OR(AND(IF(metadata!P196="",FALSE,TRUE),OR(EXACT(metadata!P196,"not applicable"),EXACT(metadata!P196,"missing: not collected"),EXACT(metadata!P196,"missing: not provided"),EXACT(metadata!P196,"missing: restricted access"))),IF(metadata!P196="",FALSE,IF(ISERROR(INT(metadata!P196)),FALSE,INT(metadata!P196)=metadata!P196)))</f>
        <v>0</v>
      </c>
      <c r="AS196" t="b">
        <f>AND(IF(metadata!Q196="",FALSE,TRUE),EXACT(metadata!Q196,"Not applicable"))</f>
        <v>0</v>
      </c>
      <c r="AT196" t="b">
        <f>OR(AND(IF(metadata!R196="",FALSE,TRUE),OR(EXACT(metadata!R196,"not applicable"),EXACT(metadata!R196,"missing: not collected"),EXACT(metadata!R196,"missing: not provided"),EXACT(metadata!R196,"missing: restricted access"))),AND(IF(metadata!R196="",FALSE,ISNUMBER(VALUE(metadata!R196))),metadata!R196&gt;0))</f>
        <v>0</v>
      </c>
      <c r="AU196" t="b">
        <f>AND(IF(metadata!S196="",FALSE,TRUE),EXACT(metadata!S196,"missing: not provided"))</f>
        <v>0</v>
      </c>
    </row>
    <row r="197" spans="1:47" x14ac:dyDescent="0.2">
      <c r="A197" s="5" t="str">
        <f ca="1">IF(B197=" "," ",HYPERLINK(CONCATENATE("#metadata!",ADDRESS(INDEX($Y$2:$Y$1001,MATCH(ROWS($W$2:W197),$W$2:$W$1001,0),0),1)),INDEX($AB$2:$AB$1001,MATCH(ROWS($W$2:W197),$W$2:$W$1001,0),0)))</f>
        <v xml:space="preserve"> </v>
      </c>
      <c r="B197" s="4" t="str">
        <f ca="1">IF(OR(INDEX($X$2:$X$1001,MATCH(ROWS($W$2:W197),$W$2:$W$1001,0),1)&gt;=100000,INDEX($AD$1005:$AU$1005,1,MATCH(COLUMNS($AD$1006:AD1006),$AD$1006:$AU$1006,0))&gt;=100000), " ",IF(INDEX($AD$2:$AU$1001,MATCH(ROWS($W$2:W197),$W$2:$W$1001,0),MATCH(COLUMNS($AD$1006:AD1006),$AD$1006:$AU$1006,0)), HYPERLINK("#",""), HYPERLINK(CONCATENATE("#metadata!", ADDRESS(INDEX($Y$2:$Y$1001,MATCH(ROWS($W$2:W197),$W$2:$W$1001,0),0), INDEX($AD$1004:$AU$1004,1,MATCH(COLUMNS($AD$1006:AD1006),$AD$1006:$AU$1006,0)))),"Fix")))</f>
        <v xml:space="preserve"> </v>
      </c>
      <c r="C197" s="4" t="str">
        <f ca="1">IF(OR(INDEX($X$2:$X$1001,MATCH(ROWS($W$2:W197),$W$2:$W$1001,0),1)&gt;=100000,INDEX($AD$1005:$AU$1005,1,MATCH(COLUMNS($AD$1006:AE1006),$AD$1006:$AU$1006,0))&gt;=100000), " ",IF(INDEX($AD$2:$AU$1001,MATCH(ROWS($W$2:W197),$W$2:$W$1001,0),MATCH(COLUMNS($AD$1006:AE1006),$AD$1006:$AU$1006,0)), HYPERLINK("#",""), HYPERLINK(CONCATENATE("#metadata!", ADDRESS(INDEX($Y$2:$Y$1001,MATCH(ROWS($W$2:W197),$W$2:$W$1001,0),0), INDEX($AD$1004:$AU$1004,1,MATCH(COLUMNS($AD$1006:AE1006),$AD$1006:$AU$1006,0)))),"Fix")))</f>
        <v xml:space="preserve"> </v>
      </c>
      <c r="D197" s="4" t="str">
        <f ca="1">IF(OR(INDEX($X$2:$X$1001,MATCH(ROWS($W$2:W197),$W$2:$W$1001,0),1)&gt;=100000,INDEX($AD$1005:$AU$1005,1,MATCH(COLUMNS($AD$1006:AF1006),$AD$1006:$AU$1006,0))&gt;=100000), " ",IF(INDEX($AD$2:$AU$1001,MATCH(ROWS($W$2:W197),$W$2:$W$1001,0),MATCH(COLUMNS($AD$1006:AF1006),$AD$1006:$AU$1006,0)), HYPERLINK("#",""), HYPERLINK(CONCATENATE("#metadata!", ADDRESS(INDEX($Y$2:$Y$1001,MATCH(ROWS($W$2:W197),$W$2:$W$1001,0),0), INDEX($AD$1004:$AU$1004,1,MATCH(COLUMNS($AD$1006:AF1006),$AD$1006:$AU$1006,0)))),"Fix")))</f>
        <v xml:space="preserve"> </v>
      </c>
      <c r="E197" s="4" t="str">
        <f ca="1">IF(OR(INDEX($X$2:$X$1001,MATCH(ROWS($W$2:W197),$W$2:$W$1001,0),1)&gt;=100000,INDEX($AD$1005:$AU$1005,1,MATCH(COLUMNS($AD$1006:AG1006),$AD$1006:$AU$1006,0))&gt;=100000), " ",IF(INDEX($AD$2:$AU$1001,MATCH(ROWS($W$2:W197),$W$2:$W$1001,0),MATCH(COLUMNS($AD$1006:AG1006),$AD$1006:$AU$1006,0)), HYPERLINK("#",""), HYPERLINK(CONCATENATE("#metadata!", ADDRESS(INDEX($Y$2:$Y$1001,MATCH(ROWS($W$2:W197),$W$2:$W$1001,0),0), INDEX($AD$1004:$AU$1004,1,MATCH(COLUMNS($AD$1006:AG1006),$AD$1006:$AU$1006,0)))),"Fix")))</f>
        <v xml:space="preserve"> </v>
      </c>
      <c r="F197" s="4" t="str">
        <f ca="1">IF(OR(INDEX($X$2:$X$1001,MATCH(ROWS($W$2:W197),$W$2:$W$1001,0),1)&gt;=100000,INDEX($AD$1005:$AU$1005,1,MATCH(COLUMNS($AD$1006:AH1006),$AD$1006:$AU$1006,0))&gt;=100000), " ",IF(INDEX($AD$2:$AU$1001,MATCH(ROWS($W$2:W197),$W$2:$W$1001,0),MATCH(COLUMNS($AD$1006:AH1006),$AD$1006:$AU$1006,0)), HYPERLINK("#",""), HYPERLINK(CONCATENATE("#metadata!", ADDRESS(INDEX($Y$2:$Y$1001,MATCH(ROWS($W$2:W197),$W$2:$W$1001,0),0), INDEX($AD$1004:$AU$1004,1,MATCH(COLUMNS($AD$1006:AH1006),$AD$1006:$AU$1006,0)))),"Fix")))</f>
        <v xml:space="preserve"> </v>
      </c>
      <c r="G197" s="4" t="str">
        <f ca="1">IF(OR(INDEX($X$2:$X$1001,MATCH(ROWS($W$2:W197),$W$2:$W$1001,0),1)&gt;=100000,INDEX($AD$1005:$AU$1005,1,MATCH(COLUMNS($AD$1006:AI1006),$AD$1006:$AU$1006,0))&gt;=100000), " ",IF(INDEX($AD$2:$AU$1001,MATCH(ROWS($W$2:W197),$W$2:$W$1001,0),MATCH(COLUMNS($AD$1006:AI1006),$AD$1006:$AU$1006,0)), HYPERLINK("#",""), HYPERLINK(CONCATENATE("#metadata!", ADDRESS(INDEX($Y$2:$Y$1001,MATCH(ROWS($W$2:W197),$W$2:$W$1001,0),0), INDEX($AD$1004:$AU$1004,1,MATCH(COLUMNS($AD$1006:AI1006),$AD$1006:$AU$1006,0)))),"Fix")))</f>
        <v xml:space="preserve"> </v>
      </c>
      <c r="H197" s="4" t="str">
        <f ca="1">IF(OR(INDEX($X$2:$X$1001,MATCH(ROWS($W$2:W197),$W$2:$W$1001,0),1)&gt;=100000,INDEX($AD$1005:$AU$1005,1,MATCH(COLUMNS($AD$1006:AJ1006),$AD$1006:$AU$1006,0))&gt;=100000), " ",IF(INDEX($AD$2:$AU$1001,MATCH(ROWS($W$2:W197),$W$2:$W$1001,0),MATCH(COLUMNS($AD$1006:AJ1006),$AD$1006:$AU$1006,0)), HYPERLINK("#",""), HYPERLINK(CONCATENATE("#metadata!", ADDRESS(INDEX($Y$2:$Y$1001,MATCH(ROWS($W$2:W197),$W$2:$W$1001,0),0), INDEX($AD$1004:$AU$1004,1,MATCH(COLUMNS($AD$1006:AJ1006),$AD$1006:$AU$1006,0)))),"Fix")))</f>
        <v xml:space="preserve"> </v>
      </c>
      <c r="I197" s="4" t="str">
        <f ca="1">IF(OR(INDEX($X$2:$X$1001,MATCH(ROWS($W$2:W197),$W$2:$W$1001,0),1)&gt;=100000,INDEX($AD$1005:$AU$1005,1,MATCH(COLUMNS($AD$1006:AK1006),$AD$1006:$AU$1006,0))&gt;=100000), " ",IF(INDEX($AD$2:$AU$1001,MATCH(ROWS($W$2:W197),$W$2:$W$1001,0),MATCH(COLUMNS($AD$1006:AK1006),$AD$1006:$AU$1006,0)), HYPERLINK("#",""), HYPERLINK(CONCATENATE("#metadata!", ADDRESS(INDEX($Y$2:$Y$1001,MATCH(ROWS($W$2:W197),$W$2:$W$1001,0),0), INDEX($AD$1004:$AU$1004,1,MATCH(COLUMNS($AD$1006:AK1006),$AD$1006:$AU$1006,0)))),"Fix")))</f>
        <v xml:space="preserve"> </v>
      </c>
      <c r="J197" s="4" t="str">
        <f ca="1">IF(OR(INDEX($X$2:$X$1001,MATCH(ROWS($W$2:W197),$W$2:$W$1001,0),1)&gt;=100000,INDEX($AD$1005:$AU$1005,1,MATCH(COLUMNS($AD$1006:AL1006),$AD$1006:$AU$1006,0))&gt;=100000), " ",IF(INDEX($AD$2:$AU$1001,MATCH(ROWS($W$2:W197),$W$2:$W$1001,0),MATCH(COLUMNS($AD$1006:AL1006),$AD$1006:$AU$1006,0)), HYPERLINK("#",""), HYPERLINK(CONCATENATE("#metadata!", ADDRESS(INDEX($Y$2:$Y$1001,MATCH(ROWS($W$2:W197),$W$2:$W$1001,0),0), INDEX($AD$1004:$AU$1004,1,MATCH(COLUMNS($AD$1006:AL1006),$AD$1006:$AU$1006,0)))),"Fix")))</f>
        <v xml:space="preserve"> </v>
      </c>
      <c r="K197" s="4" t="str">
        <f ca="1">IF(OR(INDEX($X$2:$X$1001,MATCH(ROWS($W$2:W197),$W$2:$W$1001,0),1)&gt;=100000,INDEX($AD$1005:$AU$1005,1,MATCH(COLUMNS($AD$1006:AM1006),$AD$1006:$AU$1006,0))&gt;=100000), " ",IF(INDEX($AD$2:$AU$1001,MATCH(ROWS($W$2:W197),$W$2:$W$1001,0),MATCH(COLUMNS($AD$1006:AM1006),$AD$1006:$AU$1006,0)), HYPERLINK("#",""), HYPERLINK(CONCATENATE("#metadata!", ADDRESS(INDEX($Y$2:$Y$1001,MATCH(ROWS($W$2:W197),$W$2:$W$1001,0),0), INDEX($AD$1004:$AU$1004,1,MATCH(COLUMNS($AD$1006:AM1006),$AD$1006:$AU$1006,0)))),"Fix")))</f>
        <v xml:space="preserve"> </v>
      </c>
      <c r="L197" s="4" t="str">
        <f ca="1">IF(OR(INDEX($X$2:$X$1001,MATCH(ROWS($W$2:W197),$W$2:$W$1001,0),1)&gt;=100000,INDEX($AD$1005:$AU$1005,1,MATCH(COLUMNS($AD$1006:AN1006),$AD$1006:$AU$1006,0))&gt;=100000), " ",IF(INDEX($AD$2:$AU$1001,MATCH(ROWS($W$2:W197),$W$2:$W$1001,0),MATCH(COLUMNS($AD$1006:AN1006),$AD$1006:$AU$1006,0)), HYPERLINK("#",""), HYPERLINK(CONCATENATE("#metadata!", ADDRESS(INDEX($Y$2:$Y$1001,MATCH(ROWS($W$2:W197),$W$2:$W$1001,0),0), INDEX($AD$1004:$AU$1004,1,MATCH(COLUMNS($AD$1006:AN1006),$AD$1006:$AU$1006,0)))),"Fix")))</f>
        <v xml:space="preserve"> </v>
      </c>
      <c r="M197" s="4" t="str">
        <f ca="1">IF(OR(INDEX($X$2:$X$1001,MATCH(ROWS($W$2:W197),$W$2:$W$1001,0),1)&gt;=100000,INDEX($AD$1005:$AU$1005,1,MATCH(COLUMNS($AD$1006:AO1006),$AD$1006:$AU$1006,0))&gt;=100000), " ",IF(INDEX($AD$2:$AU$1001,MATCH(ROWS($W$2:W197),$W$2:$W$1001,0),MATCH(COLUMNS($AD$1006:AO1006),$AD$1006:$AU$1006,0)), HYPERLINK("#",""), HYPERLINK(CONCATENATE("#metadata!", ADDRESS(INDEX($Y$2:$Y$1001,MATCH(ROWS($W$2:W197),$W$2:$W$1001,0),0), INDEX($AD$1004:$AU$1004,1,MATCH(COLUMNS($AD$1006:AO1006),$AD$1006:$AU$1006,0)))),"Fix")))</f>
        <v xml:space="preserve"> </v>
      </c>
      <c r="N197" s="4" t="str">
        <f ca="1">IF(OR(INDEX($X$2:$X$1001,MATCH(ROWS($W$2:W197),$W$2:$W$1001,0),1)&gt;=100000,INDEX($AD$1005:$AU$1005,1,MATCH(COLUMNS($AD$1006:AP1006),$AD$1006:$AU$1006,0))&gt;=100000), " ",IF(INDEX($AD$2:$AU$1001,MATCH(ROWS($W$2:W197),$W$2:$W$1001,0),MATCH(COLUMNS($AD$1006:AP1006),$AD$1006:$AU$1006,0)), HYPERLINK("#",""), HYPERLINK(CONCATENATE("#metadata!", ADDRESS(INDEX($Y$2:$Y$1001,MATCH(ROWS($W$2:W197),$W$2:$W$1001,0),0), INDEX($AD$1004:$AU$1004,1,MATCH(COLUMNS($AD$1006:AP1006),$AD$1006:$AU$1006,0)))),"Fix")))</f>
        <v xml:space="preserve"> </v>
      </c>
      <c r="O197" s="4" t="str">
        <f ca="1">IF(OR(INDEX($X$2:$X$1001,MATCH(ROWS($W$2:W197),$W$2:$W$1001,0),1)&gt;=100000,INDEX($AD$1005:$AU$1005,1,MATCH(COLUMNS($AD$1006:AQ1006),$AD$1006:$AU$1006,0))&gt;=100000), " ",IF(INDEX($AD$2:$AU$1001,MATCH(ROWS($W$2:W197),$W$2:$W$1001,0),MATCH(COLUMNS($AD$1006:AQ1006),$AD$1006:$AU$1006,0)), HYPERLINK("#",""), HYPERLINK(CONCATENATE("#metadata!", ADDRESS(INDEX($Y$2:$Y$1001,MATCH(ROWS($W$2:W197),$W$2:$W$1001,0),0), INDEX($AD$1004:$AU$1004,1,MATCH(COLUMNS($AD$1006:AQ1006),$AD$1006:$AU$1006,0)))),"Fix")))</f>
        <v xml:space="preserve"> </v>
      </c>
      <c r="P197" s="4" t="str">
        <f ca="1">IF(OR(INDEX($X$2:$X$1001,MATCH(ROWS($W$2:W197),$W$2:$W$1001,0),1)&gt;=100000,INDEX($AD$1005:$AU$1005,1,MATCH(COLUMNS($AD$1006:AR1006),$AD$1006:$AU$1006,0))&gt;=100000), " ",IF(INDEX($AD$2:$AU$1001,MATCH(ROWS($W$2:W197),$W$2:$W$1001,0),MATCH(COLUMNS($AD$1006:AR1006),$AD$1006:$AU$1006,0)), HYPERLINK("#",""), HYPERLINK(CONCATENATE("#metadata!", ADDRESS(INDEX($Y$2:$Y$1001,MATCH(ROWS($W$2:W197),$W$2:$W$1001,0),0), INDEX($AD$1004:$AU$1004,1,MATCH(COLUMNS($AD$1006:AR1006),$AD$1006:$AU$1006,0)))),"Fix")))</f>
        <v xml:space="preserve"> </v>
      </c>
      <c r="Q197" s="4" t="str">
        <f ca="1">IF(OR(INDEX($X$2:$X$1001,MATCH(ROWS($W$2:W197),$W$2:$W$1001,0),1)&gt;=100000,INDEX($AD$1005:$AU$1005,1,MATCH(COLUMNS($AD$1006:AS1006),$AD$1006:$AU$1006,0))&gt;=100000), " ",IF(INDEX($AD$2:$AU$1001,MATCH(ROWS($W$2:W197),$W$2:$W$1001,0),MATCH(COLUMNS($AD$1006:AS1006),$AD$1006:$AU$1006,0)), HYPERLINK("#",""), HYPERLINK(CONCATENATE("#metadata!", ADDRESS(INDEX($Y$2:$Y$1001,MATCH(ROWS($W$2:W197),$W$2:$W$1001,0),0), INDEX($AD$1004:$AU$1004,1,MATCH(COLUMNS($AD$1006:AS1006),$AD$1006:$AU$1006,0)))),"Fix")))</f>
        <v xml:space="preserve"> </v>
      </c>
      <c r="R197" s="4" t="str">
        <f ca="1">IF(OR(INDEX($X$2:$X$1001,MATCH(ROWS($W$2:W197),$W$2:$W$1001,0),1)&gt;=100000,INDEX($AD$1005:$AU$1005,1,MATCH(COLUMNS($AD$1006:AT1006),$AD$1006:$AU$1006,0))&gt;=100000), " ",IF(INDEX($AD$2:$AU$1001,MATCH(ROWS($W$2:W197),$W$2:$W$1001,0),MATCH(COLUMNS($AD$1006:AT1006),$AD$1006:$AU$1006,0)), HYPERLINK("#",""), HYPERLINK(CONCATENATE("#metadata!", ADDRESS(INDEX($Y$2:$Y$1001,MATCH(ROWS($W$2:W197),$W$2:$W$1001,0),0), INDEX($AD$1004:$AU$1004,1,MATCH(COLUMNS($AD$1006:AT1006),$AD$1006:$AU$1006,0)))),"Fix")))</f>
        <v xml:space="preserve"> </v>
      </c>
      <c r="S197" s="4" t="str">
        <f ca="1">IF(OR(INDEX($X$2:$X$1001,MATCH(ROWS($W$2:W197),$W$2:$W$1001,0),1)&gt;=100000,INDEX($AD$1005:$AU$1005,1,MATCH(COLUMNS($AD$1006:AU1006),$AD$1006:$AU$1006,0))&gt;=100000), " ",IF(INDEX($AD$2:$AU$1001,MATCH(ROWS($W$2:W197),$W$2:$W$1001,0),MATCH(COLUMNS($AD$1006:AU1006),$AD$1006:$AU$1006,0)), HYPERLINK("#",""), HYPERLINK(CONCATENATE("#metadata!", ADDRESS(INDEX($Y$2:$Y$1001,MATCH(ROWS($W$2:W197),$W$2:$W$1001,0),0), INDEX($AD$1004:$AU$1004,1,MATCH(COLUMNS($AD$1006:AU1006),$AD$1006:$AU$1006,0)))),"Fix")))</f>
        <v xml:space="preserve"> </v>
      </c>
      <c r="W197">
        <v>196</v>
      </c>
      <c r="X197">
        <v>100197</v>
      </c>
      <c r="Y197">
        <v>197</v>
      </c>
      <c r="Z197" t="b">
        <f t="shared" si="3"/>
        <v>1</v>
      </c>
      <c r="AA197" t="b">
        <f>COUNTBLANK(metadata!B197:S197)=COLUMNS(metadata!B197:S197)</f>
        <v>1</v>
      </c>
      <c r="AB197" t="str">
        <v/>
      </c>
      <c r="AD197" t="b">
        <f ca="1">AND(IF(metadata!B197="",FALSE,TRUE),COUNTIF(metadata!B:B, metadata!B197) = 1,NOT(ISERROR(SUMPRODUCT(SEARCH(MID(metadata!B197,ROW(INDIRECT("1:"&amp;LEN(metadata!B197))), 1),"0123456789abcdefghijklmnopqrstuvwxyzABCDEFGHIJKLMNOPQRSTUVWXYZ.")))))</f>
        <v>0</v>
      </c>
      <c r="AE197" t="b">
        <f>OR(AND(IF(metadata!C197="",FALSE,TRUE),OR(EXACT(metadata!C197,"not applicable"),EXACT(metadata!C197,"missing: not collected"),EXACT(metadata!C197,"missing: not provided"),EXACT(metadata!C197,"missing: restricted access"))),AND(IF(metadata!C197="",FALSE,ISNUMBER(VALUE(metadata!C197))),metadata!C197&gt;0))</f>
        <v>0</v>
      </c>
      <c r="AF197" t="b">
        <f>AND(IF(metadata!D197="",FALSE,TRUE),EXACT(metadata!D197,"missing: not provided"))</f>
        <v>0</v>
      </c>
      <c r="AG197" t="b">
        <f>AND(IF(metadata!E197="",FALSE,TRUE),EXACT(metadata!E197,"Host-associated"))</f>
        <v>0</v>
      </c>
      <c r="AH197" t="b">
        <f>AND(IF(metadata!F197="",FALSE,TRUE),OR(EXACT(metadata!F197,"Animal"),EXACT(metadata!F197,"Fungus"),EXACT(metadata!F197,"Plant")))</f>
        <v>0</v>
      </c>
      <c r="AI197" t="b">
        <f>AND(IF(metadata!G197="",FALSE,TRUE),OR(EXACT(metadata!G197,"Plant secretion"),EXACT(metadata!G197,"Plant rhizosphere"),EXACT(metadata!G197,"Plant surface"),EXACT(metadata!G197,"Plant corpus"),EXACT(metadata!G197,"Fungus surface"),EXACT(metadata!G197,"Fungus corpus"),EXACT(metadata!G197,"Animal surface"),EXACT(metadata!G197,"Animal proximal gut"),EXACT(metadata!G197,"Animal corpus"),EXACT(metadata!G197,"Animal distal gut"),EXACT(metadata!G197,"Animal secretion")))</f>
        <v>0</v>
      </c>
      <c r="AJ197" t="b">
        <f>OR(AND(IF(metadata!H197="",FALSE,TRUE),OR(EXACT(metadata!H197,"missing: not collected"),EXACT(metadata!H197,"missing: not provided"),EXACT(metadata!H197,"missing: restricted access"))),AND(IF(metadata!H197="",FALSE,TRUE),OR(EXACT(metadata!H197,"organism-associated habitat"),EXACT(metadata!H197,"plant-associated habitat"),EXACT(metadata!H197,"animal-associated habitat"),EXACT(metadata!H197,"insecta-associated habitat"),EXACT(metadata!H197,"mammalia-associated habitat"),EXACT(metadata!H197,"human-associated habitat"),EXACT(metadata!H197,"livestock-associated habitat"))))</f>
        <v>0</v>
      </c>
      <c r="AK197" t="b">
        <f>AND(IF(metadata!I197="",FALSE,TRUE),EXACT(metadata!I197,"host-associated"))</f>
        <v>0</v>
      </c>
      <c r="AL197" t="b">
        <f>OR(AND(IF(metadata!J197="",FALSE,TRUE),OR(EXACT(metadata!J197,"not applicable"),EXACT(metadata!J197,"missing: not collected"),EXACT(metadata!J197,"missing: not provided"),EXACT(metadata!J197,"missing: restricted access"))),AND(IF(metadata!J197="",FALSE,ISNUMBER(VALUE(metadata!J197))),metadata!J197&gt;0))</f>
        <v>0</v>
      </c>
      <c r="AM197" t="b">
        <f>AND(IF(metadata!K197="",FALSE,TRUE),EXACT(metadata!K197,"missing: not provided"))</f>
        <v>0</v>
      </c>
      <c r="AN197" t="b">
        <f>IF(metadata!L197="",FALSE,TRUE)</f>
        <v>0</v>
      </c>
      <c r="AO197" t="b">
        <f>IF(metadata!M197="",FALSE,TRUE)</f>
        <v>0</v>
      </c>
      <c r="AP197" t="b">
        <f>OR(AND(IF(metadata!N197="",FALSE,TRUE),OR(EXACT(metadata!N197,"not applicable"),EXACT(metadata!N197,"missing: not collected"),EXACT(metadata!N197,"missing: not provided"))),AND(IF(metadata!N197="",FALSE,IF(ISERROR(INT(metadata!N197)),FALSE,INT(metadata!N197)=metadata!N197)),metadata!N197&gt;0))</f>
        <v>0</v>
      </c>
      <c r="AQ197" t="b">
        <f>AND(IF(metadata!O197="",FALSE,TRUE),EXACT(metadata!O197,"Not applicable"))</f>
        <v>0</v>
      </c>
      <c r="AR197" t="b">
        <f>OR(AND(IF(metadata!P197="",FALSE,TRUE),OR(EXACT(metadata!P197,"not applicable"),EXACT(metadata!P197,"missing: not collected"),EXACT(metadata!P197,"missing: not provided"),EXACT(metadata!P197,"missing: restricted access"))),IF(metadata!P197="",FALSE,IF(ISERROR(INT(metadata!P197)),FALSE,INT(metadata!P197)=metadata!P197)))</f>
        <v>0</v>
      </c>
      <c r="AS197" t="b">
        <f>AND(IF(metadata!Q197="",FALSE,TRUE),EXACT(metadata!Q197,"Not applicable"))</f>
        <v>0</v>
      </c>
      <c r="AT197" t="b">
        <f>OR(AND(IF(metadata!R197="",FALSE,TRUE),OR(EXACT(metadata!R197,"not applicable"),EXACT(metadata!R197,"missing: not collected"),EXACT(metadata!R197,"missing: not provided"),EXACT(metadata!R197,"missing: restricted access"))),AND(IF(metadata!R197="",FALSE,ISNUMBER(VALUE(metadata!R197))),metadata!R197&gt;0))</f>
        <v>0</v>
      </c>
      <c r="AU197" t="b">
        <f>AND(IF(metadata!S197="",FALSE,TRUE),EXACT(metadata!S197,"missing: not provided"))</f>
        <v>0</v>
      </c>
    </row>
    <row r="198" spans="1:47" x14ac:dyDescent="0.2">
      <c r="A198" s="5" t="str">
        <f ca="1">IF(B198=" "," ",HYPERLINK(CONCATENATE("#metadata!",ADDRESS(INDEX($Y$2:$Y$1001,MATCH(ROWS($W$2:W198),$W$2:$W$1001,0),0),1)),INDEX($AB$2:$AB$1001,MATCH(ROWS($W$2:W198),$W$2:$W$1001,0),0)))</f>
        <v xml:space="preserve"> </v>
      </c>
      <c r="B198" s="4" t="str">
        <f ca="1">IF(OR(INDEX($X$2:$X$1001,MATCH(ROWS($W$2:W198),$W$2:$W$1001,0),1)&gt;=100000,INDEX($AD$1005:$AU$1005,1,MATCH(COLUMNS($AD$1006:AD1006),$AD$1006:$AU$1006,0))&gt;=100000), " ",IF(INDEX($AD$2:$AU$1001,MATCH(ROWS($W$2:W198),$W$2:$W$1001,0),MATCH(COLUMNS($AD$1006:AD1006),$AD$1006:$AU$1006,0)), HYPERLINK("#",""), HYPERLINK(CONCATENATE("#metadata!", ADDRESS(INDEX($Y$2:$Y$1001,MATCH(ROWS($W$2:W198),$W$2:$W$1001,0),0), INDEX($AD$1004:$AU$1004,1,MATCH(COLUMNS($AD$1006:AD1006),$AD$1006:$AU$1006,0)))),"Fix")))</f>
        <v xml:space="preserve"> </v>
      </c>
      <c r="C198" s="4" t="str">
        <f ca="1">IF(OR(INDEX($X$2:$X$1001,MATCH(ROWS($W$2:W198),$W$2:$W$1001,0),1)&gt;=100000,INDEX($AD$1005:$AU$1005,1,MATCH(COLUMNS($AD$1006:AE1006),$AD$1006:$AU$1006,0))&gt;=100000), " ",IF(INDEX($AD$2:$AU$1001,MATCH(ROWS($W$2:W198),$W$2:$W$1001,0),MATCH(COLUMNS($AD$1006:AE1006),$AD$1006:$AU$1006,0)), HYPERLINK("#",""), HYPERLINK(CONCATENATE("#metadata!", ADDRESS(INDEX($Y$2:$Y$1001,MATCH(ROWS($W$2:W198),$W$2:$W$1001,0),0), INDEX($AD$1004:$AU$1004,1,MATCH(COLUMNS($AD$1006:AE1006),$AD$1006:$AU$1006,0)))),"Fix")))</f>
        <v xml:space="preserve"> </v>
      </c>
      <c r="D198" s="4" t="str">
        <f ca="1">IF(OR(INDEX($X$2:$X$1001,MATCH(ROWS($W$2:W198),$W$2:$W$1001,0),1)&gt;=100000,INDEX($AD$1005:$AU$1005,1,MATCH(COLUMNS($AD$1006:AF1006),$AD$1006:$AU$1006,0))&gt;=100000), " ",IF(INDEX($AD$2:$AU$1001,MATCH(ROWS($W$2:W198),$W$2:$W$1001,0),MATCH(COLUMNS($AD$1006:AF1006),$AD$1006:$AU$1006,0)), HYPERLINK("#",""), HYPERLINK(CONCATENATE("#metadata!", ADDRESS(INDEX($Y$2:$Y$1001,MATCH(ROWS($W$2:W198),$W$2:$W$1001,0),0), INDEX($AD$1004:$AU$1004,1,MATCH(COLUMNS($AD$1006:AF1006),$AD$1006:$AU$1006,0)))),"Fix")))</f>
        <v xml:space="preserve"> </v>
      </c>
      <c r="E198" s="4" t="str">
        <f ca="1">IF(OR(INDEX($X$2:$X$1001,MATCH(ROWS($W$2:W198),$W$2:$W$1001,0),1)&gt;=100000,INDEX($AD$1005:$AU$1005,1,MATCH(COLUMNS($AD$1006:AG1006),$AD$1006:$AU$1006,0))&gt;=100000), " ",IF(INDEX($AD$2:$AU$1001,MATCH(ROWS($W$2:W198),$W$2:$W$1001,0),MATCH(COLUMNS($AD$1006:AG1006),$AD$1006:$AU$1006,0)), HYPERLINK("#",""), HYPERLINK(CONCATENATE("#metadata!", ADDRESS(INDEX($Y$2:$Y$1001,MATCH(ROWS($W$2:W198),$W$2:$W$1001,0),0), INDEX($AD$1004:$AU$1004,1,MATCH(COLUMNS($AD$1006:AG1006),$AD$1006:$AU$1006,0)))),"Fix")))</f>
        <v xml:space="preserve"> </v>
      </c>
      <c r="F198" s="4" t="str">
        <f ca="1">IF(OR(INDEX($X$2:$X$1001,MATCH(ROWS($W$2:W198),$W$2:$W$1001,0),1)&gt;=100000,INDEX($AD$1005:$AU$1005,1,MATCH(COLUMNS($AD$1006:AH1006),$AD$1006:$AU$1006,0))&gt;=100000), " ",IF(INDEX($AD$2:$AU$1001,MATCH(ROWS($W$2:W198),$W$2:$W$1001,0),MATCH(COLUMNS($AD$1006:AH1006),$AD$1006:$AU$1006,0)), HYPERLINK("#",""), HYPERLINK(CONCATENATE("#metadata!", ADDRESS(INDEX($Y$2:$Y$1001,MATCH(ROWS($W$2:W198),$W$2:$W$1001,0),0), INDEX($AD$1004:$AU$1004,1,MATCH(COLUMNS($AD$1006:AH1006),$AD$1006:$AU$1006,0)))),"Fix")))</f>
        <v xml:space="preserve"> </v>
      </c>
      <c r="G198" s="4" t="str">
        <f ca="1">IF(OR(INDEX($X$2:$X$1001,MATCH(ROWS($W$2:W198),$W$2:$W$1001,0),1)&gt;=100000,INDEX($AD$1005:$AU$1005,1,MATCH(COLUMNS($AD$1006:AI1006),$AD$1006:$AU$1006,0))&gt;=100000), " ",IF(INDEX($AD$2:$AU$1001,MATCH(ROWS($W$2:W198),$W$2:$W$1001,0),MATCH(COLUMNS($AD$1006:AI1006),$AD$1006:$AU$1006,0)), HYPERLINK("#",""), HYPERLINK(CONCATENATE("#metadata!", ADDRESS(INDEX($Y$2:$Y$1001,MATCH(ROWS($W$2:W198),$W$2:$W$1001,0),0), INDEX($AD$1004:$AU$1004,1,MATCH(COLUMNS($AD$1006:AI1006),$AD$1006:$AU$1006,0)))),"Fix")))</f>
        <v xml:space="preserve"> </v>
      </c>
      <c r="H198" s="4" t="str">
        <f ca="1">IF(OR(INDEX($X$2:$X$1001,MATCH(ROWS($W$2:W198),$W$2:$W$1001,0),1)&gt;=100000,INDEX($AD$1005:$AU$1005,1,MATCH(COLUMNS($AD$1006:AJ1006),$AD$1006:$AU$1006,0))&gt;=100000), " ",IF(INDEX($AD$2:$AU$1001,MATCH(ROWS($W$2:W198),$W$2:$W$1001,0),MATCH(COLUMNS($AD$1006:AJ1006),$AD$1006:$AU$1006,0)), HYPERLINK("#",""), HYPERLINK(CONCATENATE("#metadata!", ADDRESS(INDEX($Y$2:$Y$1001,MATCH(ROWS($W$2:W198),$W$2:$W$1001,0),0), INDEX($AD$1004:$AU$1004,1,MATCH(COLUMNS($AD$1006:AJ1006),$AD$1006:$AU$1006,0)))),"Fix")))</f>
        <v xml:space="preserve"> </v>
      </c>
      <c r="I198" s="4" t="str">
        <f ca="1">IF(OR(INDEX($X$2:$X$1001,MATCH(ROWS($W$2:W198),$W$2:$W$1001,0),1)&gt;=100000,INDEX($AD$1005:$AU$1005,1,MATCH(COLUMNS($AD$1006:AK1006),$AD$1006:$AU$1006,0))&gt;=100000), " ",IF(INDEX($AD$2:$AU$1001,MATCH(ROWS($W$2:W198),$W$2:$W$1001,0),MATCH(COLUMNS($AD$1006:AK1006),$AD$1006:$AU$1006,0)), HYPERLINK("#",""), HYPERLINK(CONCATENATE("#metadata!", ADDRESS(INDEX($Y$2:$Y$1001,MATCH(ROWS($W$2:W198),$W$2:$W$1001,0),0), INDEX($AD$1004:$AU$1004,1,MATCH(COLUMNS($AD$1006:AK1006),$AD$1006:$AU$1006,0)))),"Fix")))</f>
        <v xml:space="preserve"> </v>
      </c>
      <c r="J198" s="4" t="str">
        <f ca="1">IF(OR(INDEX($X$2:$X$1001,MATCH(ROWS($W$2:W198),$W$2:$W$1001,0),1)&gt;=100000,INDEX($AD$1005:$AU$1005,1,MATCH(COLUMNS($AD$1006:AL1006),$AD$1006:$AU$1006,0))&gt;=100000), " ",IF(INDEX($AD$2:$AU$1001,MATCH(ROWS($W$2:W198),$W$2:$W$1001,0),MATCH(COLUMNS($AD$1006:AL1006),$AD$1006:$AU$1006,0)), HYPERLINK("#",""), HYPERLINK(CONCATENATE("#metadata!", ADDRESS(INDEX($Y$2:$Y$1001,MATCH(ROWS($W$2:W198),$W$2:$W$1001,0),0), INDEX($AD$1004:$AU$1004,1,MATCH(COLUMNS($AD$1006:AL1006),$AD$1006:$AU$1006,0)))),"Fix")))</f>
        <v xml:space="preserve"> </v>
      </c>
      <c r="K198" s="4" t="str">
        <f ca="1">IF(OR(INDEX($X$2:$X$1001,MATCH(ROWS($W$2:W198),$W$2:$W$1001,0),1)&gt;=100000,INDEX($AD$1005:$AU$1005,1,MATCH(COLUMNS($AD$1006:AM1006),$AD$1006:$AU$1006,0))&gt;=100000), " ",IF(INDEX($AD$2:$AU$1001,MATCH(ROWS($W$2:W198),$W$2:$W$1001,0),MATCH(COLUMNS($AD$1006:AM1006),$AD$1006:$AU$1006,0)), HYPERLINK("#",""), HYPERLINK(CONCATENATE("#metadata!", ADDRESS(INDEX($Y$2:$Y$1001,MATCH(ROWS($W$2:W198),$W$2:$W$1001,0),0), INDEX($AD$1004:$AU$1004,1,MATCH(COLUMNS($AD$1006:AM1006),$AD$1006:$AU$1006,0)))),"Fix")))</f>
        <v xml:space="preserve"> </v>
      </c>
      <c r="L198" s="4" t="str">
        <f ca="1">IF(OR(INDEX($X$2:$X$1001,MATCH(ROWS($W$2:W198),$W$2:$W$1001,0),1)&gt;=100000,INDEX($AD$1005:$AU$1005,1,MATCH(COLUMNS($AD$1006:AN1006),$AD$1006:$AU$1006,0))&gt;=100000), " ",IF(INDEX($AD$2:$AU$1001,MATCH(ROWS($W$2:W198),$W$2:$W$1001,0),MATCH(COLUMNS($AD$1006:AN1006),$AD$1006:$AU$1006,0)), HYPERLINK("#",""), HYPERLINK(CONCATENATE("#metadata!", ADDRESS(INDEX($Y$2:$Y$1001,MATCH(ROWS($W$2:W198),$W$2:$W$1001,0),0), INDEX($AD$1004:$AU$1004,1,MATCH(COLUMNS($AD$1006:AN1006),$AD$1006:$AU$1006,0)))),"Fix")))</f>
        <v xml:space="preserve"> </v>
      </c>
      <c r="M198" s="4" t="str">
        <f ca="1">IF(OR(INDEX($X$2:$X$1001,MATCH(ROWS($W$2:W198),$W$2:$W$1001,0),1)&gt;=100000,INDEX($AD$1005:$AU$1005,1,MATCH(COLUMNS($AD$1006:AO1006),$AD$1006:$AU$1006,0))&gt;=100000), " ",IF(INDEX($AD$2:$AU$1001,MATCH(ROWS($W$2:W198),$W$2:$W$1001,0),MATCH(COLUMNS($AD$1006:AO1006),$AD$1006:$AU$1006,0)), HYPERLINK("#",""), HYPERLINK(CONCATENATE("#metadata!", ADDRESS(INDEX($Y$2:$Y$1001,MATCH(ROWS($W$2:W198),$W$2:$W$1001,0),0), INDEX($AD$1004:$AU$1004,1,MATCH(COLUMNS($AD$1006:AO1006),$AD$1006:$AU$1006,0)))),"Fix")))</f>
        <v xml:space="preserve"> </v>
      </c>
      <c r="N198" s="4" t="str">
        <f ca="1">IF(OR(INDEX($X$2:$X$1001,MATCH(ROWS($W$2:W198),$W$2:$W$1001,0),1)&gt;=100000,INDEX($AD$1005:$AU$1005,1,MATCH(COLUMNS($AD$1006:AP1006),$AD$1006:$AU$1006,0))&gt;=100000), " ",IF(INDEX($AD$2:$AU$1001,MATCH(ROWS($W$2:W198),$W$2:$W$1001,0),MATCH(COLUMNS($AD$1006:AP1006),$AD$1006:$AU$1006,0)), HYPERLINK("#",""), HYPERLINK(CONCATENATE("#metadata!", ADDRESS(INDEX($Y$2:$Y$1001,MATCH(ROWS($W$2:W198),$W$2:$W$1001,0),0), INDEX($AD$1004:$AU$1004,1,MATCH(COLUMNS($AD$1006:AP1006),$AD$1006:$AU$1006,0)))),"Fix")))</f>
        <v xml:space="preserve"> </v>
      </c>
      <c r="O198" s="4" t="str">
        <f ca="1">IF(OR(INDEX($X$2:$X$1001,MATCH(ROWS($W$2:W198),$W$2:$W$1001,0),1)&gt;=100000,INDEX($AD$1005:$AU$1005,1,MATCH(COLUMNS($AD$1006:AQ1006),$AD$1006:$AU$1006,0))&gt;=100000), " ",IF(INDEX($AD$2:$AU$1001,MATCH(ROWS($W$2:W198),$W$2:$W$1001,0),MATCH(COLUMNS($AD$1006:AQ1006),$AD$1006:$AU$1006,0)), HYPERLINK("#",""), HYPERLINK(CONCATENATE("#metadata!", ADDRESS(INDEX($Y$2:$Y$1001,MATCH(ROWS($W$2:W198),$W$2:$W$1001,0),0), INDEX($AD$1004:$AU$1004,1,MATCH(COLUMNS($AD$1006:AQ1006),$AD$1006:$AU$1006,0)))),"Fix")))</f>
        <v xml:space="preserve"> </v>
      </c>
      <c r="P198" s="4" t="str">
        <f ca="1">IF(OR(INDEX($X$2:$X$1001,MATCH(ROWS($W$2:W198),$W$2:$W$1001,0),1)&gt;=100000,INDEX($AD$1005:$AU$1005,1,MATCH(COLUMNS($AD$1006:AR1006),$AD$1006:$AU$1006,0))&gt;=100000), " ",IF(INDEX($AD$2:$AU$1001,MATCH(ROWS($W$2:W198),$W$2:$W$1001,0),MATCH(COLUMNS($AD$1006:AR1006),$AD$1006:$AU$1006,0)), HYPERLINK("#",""), HYPERLINK(CONCATENATE("#metadata!", ADDRESS(INDEX($Y$2:$Y$1001,MATCH(ROWS($W$2:W198),$W$2:$W$1001,0),0), INDEX($AD$1004:$AU$1004,1,MATCH(COLUMNS($AD$1006:AR1006),$AD$1006:$AU$1006,0)))),"Fix")))</f>
        <v xml:space="preserve"> </v>
      </c>
      <c r="Q198" s="4" t="str">
        <f ca="1">IF(OR(INDEX($X$2:$X$1001,MATCH(ROWS($W$2:W198),$W$2:$W$1001,0),1)&gt;=100000,INDEX($AD$1005:$AU$1005,1,MATCH(COLUMNS($AD$1006:AS1006),$AD$1006:$AU$1006,0))&gt;=100000), " ",IF(INDEX($AD$2:$AU$1001,MATCH(ROWS($W$2:W198),$W$2:$W$1001,0),MATCH(COLUMNS($AD$1006:AS1006),$AD$1006:$AU$1006,0)), HYPERLINK("#",""), HYPERLINK(CONCATENATE("#metadata!", ADDRESS(INDEX($Y$2:$Y$1001,MATCH(ROWS($W$2:W198),$W$2:$W$1001,0),0), INDEX($AD$1004:$AU$1004,1,MATCH(COLUMNS($AD$1006:AS1006),$AD$1006:$AU$1006,0)))),"Fix")))</f>
        <v xml:space="preserve"> </v>
      </c>
      <c r="R198" s="4" t="str">
        <f ca="1">IF(OR(INDEX($X$2:$X$1001,MATCH(ROWS($W$2:W198),$W$2:$W$1001,0),1)&gt;=100000,INDEX($AD$1005:$AU$1005,1,MATCH(COLUMNS($AD$1006:AT1006),$AD$1006:$AU$1006,0))&gt;=100000), " ",IF(INDEX($AD$2:$AU$1001,MATCH(ROWS($W$2:W198),$W$2:$W$1001,0),MATCH(COLUMNS($AD$1006:AT1006),$AD$1006:$AU$1006,0)), HYPERLINK("#",""), HYPERLINK(CONCATENATE("#metadata!", ADDRESS(INDEX($Y$2:$Y$1001,MATCH(ROWS($W$2:W198),$W$2:$W$1001,0),0), INDEX($AD$1004:$AU$1004,1,MATCH(COLUMNS($AD$1006:AT1006),$AD$1006:$AU$1006,0)))),"Fix")))</f>
        <v xml:space="preserve"> </v>
      </c>
      <c r="S198" s="4" t="str">
        <f ca="1">IF(OR(INDEX($X$2:$X$1001,MATCH(ROWS($W$2:W198),$W$2:$W$1001,0),1)&gt;=100000,INDEX($AD$1005:$AU$1005,1,MATCH(COLUMNS($AD$1006:AU1006),$AD$1006:$AU$1006,0))&gt;=100000), " ",IF(INDEX($AD$2:$AU$1001,MATCH(ROWS($W$2:W198),$W$2:$W$1001,0),MATCH(COLUMNS($AD$1006:AU1006),$AD$1006:$AU$1006,0)), HYPERLINK("#",""), HYPERLINK(CONCATENATE("#metadata!", ADDRESS(INDEX($Y$2:$Y$1001,MATCH(ROWS($W$2:W198),$W$2:$W$1001,0),0), INDEX($AD$1004:$AU$1004,1,MATCH(COLUMNS($AD$1006:AU1006),$AD$1006:$AU$1006,0)))),"Fix")))</f>
        <v xml:space="preserve"> </v>
      </c>
      <c r="W198">
        <v>197</v>
      </c>
      <c r="X198">
        <v>100198</v>
      </c>
      <c r="Y198">
        <v>198</v>
      </c>
      <c r="Z198" t="b">
        <f t="shared" si="3"/>
        <v>1</v>
      </c>
      <c r="AA198" t="b">
        <f>COUNTBLANK(metadata!B198:S198)=COLUMNS(metadata!B198:S198)</f>
        <v>1</v>
      </c>
      <c r="AB198" t="str">
        <v/>
      </c>
      <c r="AD198" t="b">
        <f ca="1">AND(IF(metadata!B198="",FALSE,TRUE),COUNTIF(metadata!B:B, metadata!B198) = 1,NOT(ISERROR(SUMPRODUCT(SEARCH(MID(metadata!B198,ROW(INDIRECT("1:"&amp;LEN(metadata!B198))), 1),"0123456789abcdefghijklmnopqrstuvwxyzABCDEFGHIJKLMNOPQRSTUVWXYZ.")))))</f>
        <v>0</v>
      </c>
      <c r="AE198" t="b">
        <f>OR(AND(IF(metadata!C198="",FALSE,TRUE),OR(EXACT(metadata!C198,"not applicable"),EXACT(metadata!C198,"missing: not collected"),EXACT(metadata!C198,"missing: not provided"),EXACT(metadata!C198,"missing: restricted access"))),AND(IF(metadata!C198="",FALSE,ISNUMBER(VALUE(metadata!C198))),metadata!C198&gt;0))</f>
        <v>0</v>
      </c>
      <c r="AF198" t="b">
        <f>AND(IF(metadata!D198="",FALSE,TRUE),EXACT(metadata!D198,"missing: not provided"))</f>
        <v>0</v>
      </c>
      <c r="AG198" t="b">
        <f>AND(IF(metadata!E198="",FALSE,TRUE),EXACT(metadata!E198,"Host-associated"))</f>
        <v>0</v>
      </c>
      <c r="AH198" t="b">
        <f>AND(IF(metadata!F198="",FALSE,TRUE),OR(EXACT(metadata!F198,"Animal"),EXACT(metadata!F198,"Fungus"),EXACT(metadata!F198,"Plant")))</f>
        <v>0</v>
      </c>
      <c r="AI198" t="b">
        <f>AND(IF(metadata!G198="",FALSE,TRUE),OR(EXACT(metadata!G198,"Plant secretion"),EXACT(metadata!G198,"Plant rhizosphere"),EXACT(metadata!G198,"Plant surface"),EXACT(metadata!G198,"Plant corpus"),EXACT(metadata!G198,"Fungus surface"),EXACT(metadata!G198,"Fungus corpus"),EXACT(metadata!G198,"Animal surface"),EXACT(metadata!G198,"Animal proximal gut"),EXACT(metadata!G198,"Animal corpus"),EXACT(metadata!G198,"Animal distal gut"),EXACT(metadata!G198,"Animal secretion")))</f>
        <v>0</v>
      </c>
      <c r="AJ198" t="b">
        <f>OR(AND(IF(metadata!H198="",FALSE,TRUE),OR(EXACT(metadata!H198,"missing: not collected"),EXACT(metadata!H198,"missing: not provided"),EXACT(metadata!H198,"missing: restricted access"))),AND(IF(metadata!H198="",FALSE,TRUE),OR(EXACT(metadata!H198,"organism-associated habitat"),EXACT(metadata!H198,"plant-associated habitat"),EXACT(metadata!H198,"animal-associated habitat"),EXACT(metadata!H198,"insecta-associated habitat"),EXACT(metadata!H198,"mammalia-associated habitat"),EXACT(metadata!H198,"human-associated habitat"),EXACT(metadata!H198,"livestock-associated habitat"))))</f>
        <v>0</v>
      </c>
      <c r="AK198" t="b">
        <f>AND(IF(metadata!I198="",FALSE,TRUE),EXACT(metadata!I198,"host-associated"))</f>
        <v>0</v>
      </c>
      <c r="AL198" t="b">
        <f>OR(AND(IF(metadata!J198="",FALSE,TRUE),OR(EXACT(metadata!J198,"not applicable"),EXACT(metadata!J198,"missing: not collected"),EXACT(metadata!J198,"missing: not provided"),EXACT(metadata!J198,"missing: restricted access"))),AND(IF(metadata!J198="",FALSE,ISNUMBER(VALUE(metadata!J198))),metadata!J198&gt;0))</f>
        <v>0</v>
      </c>
      <c r="AM198" t="b">
        <f>AND(IF(metadata!K198="",FALSE,TRUE),EXACT(metadata!K198,"missing: not provided"))</f>
        <v>0</v>
      </c>
      <c r="AN198" t="b">
        <f>IF(metadata!L198="",FALSE,TRUE)</f>
        <v>0</v>
      </c>
      <c r="AO198" t="b">
        <f>IF(metadata!M198="",FALSE,TRUE)</f>
        <v>0</v>
      </c>
      <c r="AP198" t="b">
        <f>OR(AND(IF(metadata!N198="",FALSE,TRUE),OR(EXACT(metadata!N198,"not applicable"),EXACT(metadata!N198,"missing: not collected"),EXACT(metadata!N198,"missing: not provided"))),AND(IF(metadata!N198="",FALSE,IF(ISERROR(INT(metadata!N198)),FALSE,INT(metadata!N198)=metadata!N198)),metadata!N198&gt;0))</f>
        <v>0</v>
      </c>
      <c r="AQ198" t="b">
        <f>AND(IF(metadata!O198="",FALSE,TRUE),EXACT(metadata!O198,"Not applicable"))</f>
        <v>0</v>
      </c>
      <c r="AR198" t="b">
        <f>OR(AND(IF(metadata!P198="",FALSE,TRUE),OR(EXACT(metadata!P198,"not applicable"),EXACT(metadata!P198,"missing: not collected"),EXACT(metadata!P198,"missing: not provided"),EXACT(metadata!P198,"missing: restricted access"))),IF(metadata!P198="",FALSE,IF(ISERROR(INT(metadata!P198)),FALSE,INT(metadata!P198)=metadata!P198)))</f>
        <v>0</v>
      </c>
      <c r="AS198" t="b">
        <f>AND(IF(metadata!Q198="",FALSE,TRUE),EXACT(metadata!Q198,"Not applicable"))</f>
        <v>0</v>
      </c>
      <c r="AT198" t="b">
        <f>OR(AND(IF(metadata!R198="",FALSE,TRUE),OR(EXACT(metadata!R198,"not applicable"),EXACT(metadata!R198,"missing: not collected"),EXACT(metadata!R198,"missing: not provided"),EXACT(metadata!R198,"missing: restricted access"))),AND(IF(metadata!R198="",FALSE,ISNUMBER(VALUE(metadata!R198))),metadata!R198&gt;0))</f>
        <v>0</v>
      </c>
      <c r="AU198" t="b">
        <f>AND(IF(metadata!S198="",FALSE,TRUE),EXACT(metadata!S198,"missing: not provided"))</f>
        <v>0</v>
      </c>
    </row>
    <row r="199" spans="1:47" x14ac:dyDescent="0.2">
      <c r="A199" s="5" t="str">
        <f ca="1">IF(B199=" "," ",HYPERLINK(CONCATENATE("#metadata!",ADDRESS(INDEX($Y$2:$Y$1001,MATCH(ROWS($W$2:W199),$W$2:$W$1001,0),0),1)),INDEX($AB$2:$AB$1001,MATCH(ROWS($W$2:W199),$W$2:$W$1001,0),0)))</f>
        <v xml:space="preserve"> </v>
      </c>
      <c r="B199" s="4" t="str">
        <f ca="1">IF(OR(INDEX($X$2:$X$1001,MATCH(ROWS($W$2:W199),$W$2:$W$1001,0),1)&gt;=100000,INDEX($AD$1005:$AU$1005,1,MATCH(COLUMNS($AD$1006:AD1006),$AD$1006:$AU$1006,0))&gt;=100000), " ",IF(INDEX($AD$2:$AU$1001,MATCH(ROWS($W$2:W199),$W$2:$W$1001,0),MATCH(COLUMNS($AD$1006:AD1006),$AD$1006:$AU$1006,0)), HYPERLINK("#",""), HYPERLINK(CONCATENATE("#metadata!", ADDRESS(INDEX($Y$2:$Y$1001,MATCH(ROWS($W$2:W199),$W$2:$W$1001,0),0), INDEX($AD$1004:$AU$1004,1,MATCH(COLUMNS($AD$1006:AD1006),$AD$1006:$AU$1006,0)))),"Fix")))</f>
        <v xml:space="preserve"> </v>
      </c>
      <c r="C199" s="4" t="str">
        <f ca="1">IF(OR(INDEX($X$2:$X$1001,MATCH(ROWS($W$2:W199),$W$2:$W$1001,0),1)&gt;=100000,INDEX($AD$1005:$AU$1005,1,MATCH(COLUMNS($AD$1006:AE1006),$AD$1006:$AU$1006,0))&gt;=100000), " ",IF(INDEX($AD$2:$AU$1001,MATCH(ROWS($W$2:W199),$W$2:$W$1001,0),MATCH(COLUMNS($AD$1006:AE1006),$AD$1006:$AU$1006,0)), HYPERLINK("#",""), HYPERLINK(CONCATENATE("#metadata!", ADDRESS(INDEX($Y$2:$Y$1001,MATCH(ROWS($W$2:W199),$W$2:$W$1001,0),0), INDEX($AD$1004:$AU$1004,1,MATCH(COLUMNS($AD$1006:AE1006),$AD$1006:$AU$1006,0)))),"Fix")))</f>
        <v xml:space="preserve"> </v>
      </c>
      <c r="D199" s="4" t="str">
        <f ca="1">IF(OR(INDEX($X$2:$X$1001,MATCH(ROWS($W$2:W199),$W$2:$W$1001,0),1)&gt;=100000,INDEX($AD$1005:$AU$1005,1,MATCH(COLUMNS($AD$1006:AF1006),$AD$1006:$AU$1006,0))&gt;=100000), " ",IF(INDEX($AD$2:$AU$1001,MATCH(ROWS($W$2:W199),$W$2:$W$1001,0),MATCH(COLUMNS($AD$1006:AF1006),$AD$1006:$AU$1006,0)), HYPERLINK("#",""), HYPERLINK(CONCATENATE("#metadata!", ADDRESS(INDEX($Y$2:$Y$1001,MATCH(ROWS($W$2:W199),$W$2:$W$1001,0),0), INDEX($AD$1004:$AU$1004,1,MATCH(COLUMNS($AD$1006:AF1006),$AD$1006:$AU$1006,0)))),"Fix")))</f>
        <v xml:space="preserve"> </v>
      </c>
      <c r="E199" s="4" t="str">
        <f ca="1">IF(OR(INDEX($X$2:$X$1001,MATCH(ROWS($W$2:W199),$W$2:$W$1001,0),1)&gt;=100000,INDEX($AD$1005:$AU$1005,1,MATCH(COLUMNS($AD$1006:AG1006),$AD$1006:$AU$1006,0))&gt;=100000), " ",IF(INDEX($AD$2:$AU$1001,MATCH(ROWS($W$2:W199),$W$2:$W$1001,0),MATCH(COLUMNS($AD$1006:AG1006),$AD$1006:$AU$1006,0)), HYPERLINK("#",""), HYPERLINK(CONCATENATE("#metadata!", ADDRESS(INDEX($Y$2:$Y$1001,MATCH(ROWS($W$2:W199),$W$2:$W$1001,0),0), INDEX($AD$1004:$AU$1004,1,MATCH(COLUMNS($AD$1006:AG1006),$AD$1006:$AU$1006,0)))),"Fix")))</f>
        <v xml:space="preserve"> </v>
      </c>
      <c r="F199" s="4" t="str">
        <f ca="1">IF(OR(INDEX($X$2:$X$1001,MATCH(ROWS($W$2:W199),$W$2:$W$1001,0),1)&gt;=100000,INDEX($AD$1005:$AU$1005,1,MATCH(COLUMNS($AD$1006:AH1006),$AD$1006:$AU$1006,0))&gt;=100000), " ",IF(INDEX($AD$2:$AU$1001,MATCH(ROWS($W$2:W199),$W$2:$W$1001,0),MATCH(COLUMNS($AD$1006:AH1006),$AD$1006:$AU$1006,0)), HYPERLINK("#",""), HYPERLINK(CONCATENATE("#metadata!", ADDRESS(INDEX($Y$2:$Y$1001,MATCH(ROWS($W$2:W199),$W$2:$W$1001,0),0), INDEX($AD$1004:$AU$1004,1,MATCH(COLUMNS($AD$1006:AH1006),$AD$1006:$AU$1006,0)))),"Fix")))</f>
        <v xml:space="preserve"> </v>
      </c>
      <c r="G199" s="4" t="str">
        <f ca="1">IF(OR(INDEX($X$2:$X$1001,MATCH(ROWS($W$2:W199),$W$2:$W$1001,0),1)&gt;=100000,INDEX($AD$1005:$AU$1005,1,MATCH(COLUMNS($AD$1006:AI1006),$AD$1006:$AU$1006,0))&gt;=100000), " ",IF(INDEX($AD$2:$AU$1001,MATCH(ROWS($W$2:W199),$W$2:$W$1001,0),MATCH(COLUMNS($AD$1006:AI1006),$AD$1006:$AU$1006,0)), HYPERLINK("#",""), HYPERLINK(CONCATENATE("#metadata!", ADDRESS(INDEX($Y$2:$Y$1001,MATCH(ROWS($W$2:W199),$W$2:$W$1001,0),0), INDEX($AD$1004:$AU$1004,1,MATCH(COLUMNS($AD$1006:AI1006),$AD$1006:$AU$1006,0)))),"Fix")))</f>
        <v xml:space="preserve"> </v>
      </c>
      <c r="H199" s="4" t="str">
        <f ca="1">IF(OR(INDEX($X$2:$X$1001,MATCH(ROWS($W$2:W199),$W$2:$W$1001,0),1)&gt;=100000,INDEX($AD$1005:$AU$1005,1,MATCH(COLUMNS($AD$1006:AJ1006),$AD$1006:$AU$1006,0))&gt;=100000), " ",IF(INDEX($AD$2:$AU$1001,MATCH(ROWS($W$2:W199),$W$2:$W$1001,0),MATCH(COLUMNS($AD$1006:AJ1006),$AD$1006:$AU$1006,0)), HYPERLINK("#",""), HYPERLINK(CONCATENATE("#metadata!", ADDRESS(INDEX($Y$2:$Y$1001,MATCH(ROWS($W$2:W199),$W$2:$W$1001,0),0), INDEX($AD$1004:$AU$1004,1,MATCH(COLUMNS($AD$1006:AJ1006),$AD$1006:$AU$1006,0)))),"Fix")))</f>
        <v xml:space="preserve"> </v>
      </c>
      <c r="I199" s="4" t="str">
        <f ca="1">IF(OR(INDEX($X$2:$X$1001,MATCH(ROWS($W$2:W199),$W$2:$W$1001,0),1)&gt;=100000,INDEX($AD$1005:$AU$1005,1,MATCH(COLUMNS($AD$1006:AK1006),$AD$1006:$AU$1006,0))&gt;=100000), " ",IF(INDEX($AD$2:$AU$1001,MATCH(ROWS($W$2:W199),$W$2:$W$1001,0),MATCH(COLUMNS($AD$1006:AK1006),$AD$1006:$AU$1006,0)), HYPERLINK("#",""), HYPERLINK(CONCATENATE("#metadata!", ADDRESS(INDEX($Y$2:$Y$1001,MATCH(ROWS($W$2:W199),$W$2:$W$1001,0),0), INDEX($AD$1004:$AU$1004,1,MATCH(COLUMNS($AD$1006:AK1006),$AD$1006:$AU$1006,0)))),"Fix")))</f>
        <v xml:space="preserve"> </v>
      </c>
      <c r="J199" s="4" t="str">
        <f ca="1">IF(OR(INDEX($X$2:$X$1001,MATCH(ROWS($W$2:W199),$W$2:$W$1001,0),1)&gt;=100000,INDEX($AD$1005:$AU$1005,1,MATCH(COLUMNS($AD$1006:AL1006),$AD$1006:$AU$1006,0))&gt;=100000), " ",IF(INDEX($AD$2:$AU$1001,MATCH(ROWS($W$2:W199),$W$2:$W$1001,0),MATCH(COLUMNS($AD$1006:AL1006),$AD$1006:$AU$1006,0)), HYPERLINK("#",""), HYPERLINK(CONCATENATE("#metadata!", ADDRESS(INDEX($Y$2:$Y$1001,MATCH(ROWS($W$2:W199),$W$2:$W$1001,0),0), INDEX($AD$1004:$AU$1004,1,MATCH(COLUMNS($AD$1006:AL1006),$AD$1006:$AU$1006,0)))),"Fix")))</f>
        <v xml:space="preserve"> </v>
      </c>
      <c r="K199" s="4" t="str">
        <f ca="1">IF(OR(INDEX($X$2:$X$1001,MATCH(ROWS($W$2:W199),$W$2:$W$1001,0),1)&gt;=100000,INDEX($AD$1005:$AU$1005,1,MATCH(COLUMNS($AD$1006:AM1006),$AD$1006:$AU$1006,0))&gt;=100000), " ",IF(INDEX($AD$2:$AU$1001,MATCH(ROWS($W$2:W199),$W$2:$W$1001,0),MATCH(COLUMNS($AD$1006:AM1006),$AD$1006:$AU$1006,0)), HYPERLINK("#",""), HYPERLINK(CONCATENATE("#metadata!", ADDRESS(INDEX($Y$2:$Y$1001,MATCH(ROWS($W$2:W199),$W$2:$W$1001,0),0), INDEX($AD$1004:$AU$1004,1,MATCH(COLUMNS($AD$1006:AM1006),$AD$1006:$AU$1006,0)))),"Fix")))</f>
        <v xml:space="preserve"> </v>
      </c>
      <c r="L199" s="4" t="str">
        <f ca="1">IF(OR(INDEX($X$2:$X$1001,MATCH(ROWS($W$2:W199),$W$2:$W$1001,0),1)&gt;=100000,INDEX($AD$1005:$AU$1005,1,MATCH(COLUMNS($AD$1006:AN1006),$AD$1006:$AU$1006,0))&gt;=100000), " ",IF(INDEX($AD$2:$AU$1001,MATCH(ROWS($W$2:W199),$W$2:$W$1001,0),MATCH(COLUMNS($AD$1006:AN1006),$AD$1006:$AU$1006,0)), HYPERLINK("#",""), HYPERLINK(CONCATENATE("#metadata!", ADDRESS(INDEX($Y$2:$Y$1001,MATCH(ROWS($W$2:W199),$W$2:$W$1001,0),0), INDEX($AD$1004:$AU$1004,1,MATCH(COLUMNS($AD$1006:AN1006),$AD$1006:$AU$1006,0)))),"Fix")))</f>
        <v xml:space="preserve"> </v>
      </c>
      <c r="M199" s="4" t="str">
        <f ca="1">IF(OR(INDEX($X$2:$X$1001,MATCH(ROWS($W$2:W199),$W$2:$W$1001,0),1)&gt;=100000,INDEX($AD$1005:$AU$1005,1,MATCH(COLUMNS($AD$1006:AO1006),$AD$1006:$AU$1006,0))&gt;=100000), " ",IF(INDEX($AD$2:$AU$1001,MATCH(ROWS($W$2:W199),$W$2:$W$1001,0),MATCH(COLUMNS($AD$1006:AO1006),$AD$1006:$AU$1006,0)), HYPERLINK("#",""), HYPERLINK(CONCATENATE("#metadata!", ADDRESS(INDEX($Y$2:$Y$1001,MATCH(ROWS($W$2:W199),$W$2:$W$1001,0),0), INDEX($AD$1004:$AU$1004,1,MATCH(COLUMNS($AD$1006:AO1006),$AD$1006:$AU$1006,0)))),"Fix")))</f>
        <v xml:space="preserve"> </v>
      </c>
      <c r="N199" s="4" t="str">
        <f ca="1">IF(OR(INDEX($X$2:$X$1001,MATCH(ROWS($W$2:W199),$W$2:$W$1001,0),1)&gt;=100000,INDEX($AD$1005:$AU$1005,1,MATCH(COLUMNS($AD$1006:AP1006),$AD$1006:$AU$1006,0))&gt;=100000), " ",IF(INDEX($AD$2:$AU$1001,MATCH(ROWS($W$2:W199),$W$2:$W$1001,0),MATCH(COLUMNS($AD$1006:AP1006),$AD$1006:$AU$1006,0)), HYPERLINK("#",""), HYPERLINK(CONCATENATE("#metadata!", ADDRESS(INDEX($Y$2:$Y$1001,MATCH(ROWS($W$2:W199),$W$2:$W$1001,0),0), INDEX($AD$1004:$AU$1004,1,MATCH(COLUMNS($AD$1006:AP1006),$AD$1006:$AU$1006,0)))),"Fix")))</f>
        <v xml:space="preserve"> </v>
      </c>
      <c r="O199" s="4" t="str">
        <f ca="1">IF(OR(INDEX($X$2:$X$1001,MATCH(ROWS($W$2:W199),$W$2:$W$1001,0),1)&gt;=100000,INDEX($AD$1005:$AU$1005,1,MATCH(COLUMNS($AD$1006:AQ1006),$AD$1006:$AU$1006,0))&gt;=100000), " ",IF(INDEX($AD$2:$AU$1001,MATCH(ROWS($W$2:W199),$W$2:$W$1001,0),MATCH(COLUMNS($AD$1006:AQ1006),$AD$1006:$AU$1006,0)), HYPERLINK("#",""), HYPERLINK(CONCATENATE("#metadata!", ADDRESS(INDEX($Y$2:$Y$1001,MATCH(ROWS($W$2:W199),$W$2:$W$1001,0),0), INDEX($AD$1004:$AU$1004,1,MATCH(COLUMNS($AD$1006:AQ1006),$AD$1006:$AU$1006,0)))),"Fix")))</f>
        <v xml:space="preserve"> </v>
      </c>
      <c r="P199" s="4" t="str">
        <f ca="1">IF(OR(INDEX($X$2:$X$1001,MATCH(ROWS($W$2:W199),$W$2:$W$1001,0),1)&gt;=100000,INDEX($AD$1005:$AU$1005,1,MATCH(COLUMNS($AD$1006:AR1006),$AD$1006:$AU$1006,0))&gt;=100000), " ",IF(INDEX($AD$2:$AU$1001,MATCH(ROWS($W$2:W199),$W$2:$W$1001,0),MATCH(COLUMNS($AD$1006:AR1006),$AD$1006:$AU$1006,0)), HYPERLINK("#",""), HYPERLINK(CONCATENATE("#metadata!", ADDRESS(INDEX($Y$2:$Y$1001,MATCH(ROWS($W$2:W199),$W$2:$W$1001,0),0), INDEX($AD$1004:$AU$1004,1,MATCH(COLUMNS($AD$1006:AR1006),$AD$1006:$AU$1006,0)))),"Fix")))</f>
        <v xml:space="preserve"> </v>
      </c>
      <c r="Q199" s="4" t="str">
        <f ca="1">IF(OR(INDEX($X$2:$X$1001,MATCH(ROWS($W$2:W199),$W$2:$W$1001,0),1)&gt;=100000,INDEX($AD$1005:$AU$1005,1,MATCH(COLUMNS($AD$1006:AS1006),$AD$1006:$AU$1006,0))&gt;=100000), " ",IF(INDEX($AD$2:$AU$1001,MATCH(ROWS($W$2:W199),$W$2:$W$1001,0),MATCH(COLUMNS($AD$1006:AS1006),$AD$1006:$AU$1006,0)), HYPERLINK("#",""), HYPERLINK(CONCATENATE("#metadata!", ADDRESS(INDEX($Y$2:$Y$1001,MATCH(ROWS($W$2:W199),$W$2:$W$1001,0),0), INDEX($AD$1004:$AU$1004,1,MATCH(COLUMNS($AD$1006:AS1006),$AD$1006:$AU$1006,0)))),"Fix")))</f>
        <v xml:space="preserve"> </v>
      </c>
      <c r="R199" s="4" t="str">
        <f ca="1">IF(OR(INDEX($X$2:$X$1001,MATCH(ROWS($W$2:W199),$W$2:$W$1001,0),1)&gt;=100000,INDEX($AD$1005:$AU$1005,1,MATCH(COLUMNS($AD$1006:AT1006),$AD$1006:$AU$1006,0))&gt;=100000), " ",IF(INDEX($AD$2:$AU$1001,MATCH(ROWS($W$2:W199),$W$2:$W$1001,0),MATCH(COLUMNS($AD$1006:AT1006),$AD$1006:$AU$1006,0)), HYPERLINK("#",""), HYPERLINK(CONCATENATE("#metadata!", ADDRESS(INDEX($Y$2:$Y$1001,MATCH(ROWS($W$2:W199),$W$2:$W$1001,0),0), INDEX($AD$1004:$AU$1004,1,MATCH(COLUMNS($AD$1006:AT1006),$AD$1006:$AU$1006,0)))),"Fix")))</f>
        <v xml:space="preserve"> </v>
      </c>
      <c r="S199" s="4" t="str">
        <f ca="1">IF(OR(INDEX($X$2:$X$1001,MATCH(ROWS($W$2:W199),$W$2:$W$1001,0),1)&gt;=100000,INDEX($AD$1005:$AU$1005,1,MATCH(COLUMNS($AD$1006:AU1006),$AD$1006:$AU$1006,0))&gt;=100000), " ",IF(INDEX($AD$2:$AU$1001,MATCH(ROWS($W$2:W199),$W$2:$W$1001,0),MATCH(COLUMNS($AD$1006:AU1006),$AD$1006:$AU$1006,0)), HYPERLINK("#",""), HYPERLINK(CONCATENATE("#metadata!", ADDRESS(INDEX($Y$2:$Y$1001,MATCH(ROWS($W$2:W199),$W$2:$W$1001,0),0), INDEX($AD$1004:$AU$1004,1,MATCH(COLUMNS($AD$1006:AU1006),$AD$1006:$AU$1006,0)))),"Fix")))</f>
        <v xml:space="preserve"> </v>
      </c>
      <c r="W199">
        <v>198</v>
      </c>
      <c r="X199">
        <v>100199</v>
      </c>
      <c r="Y199">
        <v>199</v>
      </c>
      <c r="Z199" t="b">
        <f t="shared" si="3"/>
        <v>1</v>
      </c>
      <c r="AA199" t="b">
        <f>COUNTBLANK(metadata!B199:S199)=COLUMNS(metadata!B199:S199)</f>
        <v>1</v>
      </c>
      <c r="AB199" t="str">
        <v/>
      </c>
      <c r="AD199" t="b">
        <f ca="1">AND(IF(metadata!B199="",FALSE,TRUE),COUNTIF(metadata!B:B, metadata!B199) = 1,NOT(ISERROR(SUMPRODUCT(SEARCH(MID(metadata!B199,ROW(INDIRECT("1:"&amp;LEN(metadata!B199))), 1),"0123456789abcdefghijklmnopqrstuvwxyzABCDEFGHIJKLMNOPQRSTUVWXYZ.")))))</f>
        <v>0</v>
      </c>
      <c r="AE199" t="b">
        <f>OR(AND(IF(metadata!C199="",FALSE,TRUE),OR(EXACT(metadata!C199,"not applicable"),EXACT(metadata!C199,"missing: not collected"),EXACT(metadata!C199,"missing: not provided"),EXACT(metadata!C199,"missing: restricted access"))),AND(IF(metadata!C199="",FALSE,ISNUMBER(VALUE(metadata!C199))),metadata!C199&gt;0))</f>
        <v>0</v>
      </c>
      <c r="AF199" t="b">
        <f>AND(IF(metadata!D199="",FALSE,TRUE),EXACT(metadata!D199,"missing: not provided"))</f>
        <v>0</v>
      </c>
      <c r="AG199" t="b">
        <f>AND(IF(metadata!E199="",FALSE,TRUE),EXACT(metadata!E199,"Host-associated"))</f>
        <v>0</v>
      </c>
      <c r="AH199" t="b">
        <f>AND(IF(metadata!F199="",FALSE,TRUE),OR(EXACT(metadata!F199,"Animal"),EXACT(metadata!F199,"Fungus"),EXACT(metadata!F199,"Plant")))</f>
        <v>0</v>
      </c>
      <c r="AI199" t="b">
        <f>AND(IF(metadata!G199="",FALSE,TRUE),OR(EXACT(metadata!G199,"Plant secretion"),EXACT(metadata!G199,"Plant rhizosphere"),EXACT(metadata!G199,"Plant surface"),EXACT(metadata!G199,"Plant corpus"),EXACT(metadata!G199,"Fungus surface"),EXACT(metadata!G199,"Fungus corpus"),EXACT(metadata!G199,"Animal surface"),EXACT(metadata!G199,"Animal proximal gut"),EXACT(metadata!G199,"Animal corpus"),EXACT(metadata!G199,"Animal distal gut"),EXACT(metadata!G199,"Animal secretion")))</f>
        <v>0</v>
      </c>
      <c r="AJ199" t="b">
        <f>OR(AND(IF(metadata!H199="",FALSE,TRUE),OR(EXACT(metadata!H199,"missing: not collected"),EXACT(metadata!H199,"missing: not provided"),EXACT(metadata!H199,"missing: restricted access"))),AND(IF(metadata!H199="",FALSE,TRUE),OR(EXACT(metadata!H199,"organism-associated habitat"),EXACT(metadata!H199,"plant-associated habitat"),EXACT(metadata!H199,"animal-associated habitat"),EXACT(metadata!H199,"insecta-associated habitat"),EXACT(metadata!H199,"mammalia-associated habitat"),EXACT(metadata!H199,"human-associated habitat"),EXACT(metadata!H199,"livestock-associated habitat"))))</f>
        <v>0</v>
      </c>
      <c r="AK199" t="b">
        <f>AND(IF(metadata!I199="",FALSE,TRUE),EXACT(metadata!I199,"host-associated"))</f>
        <v>0</v>
      </c>
      <c r="AL199" t="b">
        <f>OR(AND(IF(metadata!J199="",FALSE,TRUE),OR(EXACT(metadata!J199,"not applicable"),EXACT(metadata!J199,"missing: not collected"),EXACT(metadata!J199,"missing: not provided"),EXACT(metadata!J199,"missing: restricted access"))),AND(IF(metadata!J199="",FALSE,ISNUMBER(VALUE(metadata!J199))),metadata!J199&gt;0))</f>
        <v>0</v>
      </c>
      <c r="AM199" t="b">
        <f>AND(IF(metadata!K199="",FALSE,TRUE),EXACT(metadata!K199,"missing: not provided"))</f>
        <v>0</v>
      </c>
      <c r="AN199" t="b">
        <f>IF(metadata!L199="",FALSE,TRUE)</f>
        <v>0</v>
      </c>
      <c r="AO199" t="b">
        <f>IF(metadata!M199="",FALSE,TRUE)</f>
        <v>0</v>
      </c>
      <c r="AP199" t="b">
        <f>OR(AND(IF(metadata!N199="",FALSE,TRUE),OR(EXACT(metadata!N199,"not applicable"),EXACT(metadata!N199,"missing: not collected"),EXACT(metadata!N199,"missing: not provided"))),AND(IF(metadata!N199="",FALSE,IF(ISERROR(INT(metadata!N199)),FALSE,INT(metadata!N199)=metadata!N199)),metadata!N199&gt;0))</f>
        <v>0</v>
      </c>
      <c r="AQ199" t="b">
        <f>AND(IF(metadata!O199="",FALSE,TRUE),EXACT(metadata!O199,"Not applicable"))</f>
        <v>0</v>
      </c>
      <c r="AR199" t="b">
        <f>OR(AND(IF(metadata!P199="",FALSE,TRUE),OR(EXACT(metadata!P199,"not applicable"),EXACT(metadata!P199,"missing: not collected"),EXACT(metadata!P199,"missing: not provided"),EXACT(metadata!P199,"missing: restricted access"))),IF(metadata!P199="",FALSE,IF(ISERROR(INT(metadata!P199)),FALSE,INT(metadata!P199)=metadata!P199)))</f>
        <v>0</v>
      </c>
      <c r="AS199" t="b">
        <f>AND(IF(metadata!Q199="",FALSE,TRUE),EXACT(metadata!Q199,"Not applicable"))</f>
        <v>0</v>
      </c>
      <c r="AT199" t="b">
        <f>OR(AND(IF(metadata!R199="",FALSE,TRUE),OR(EXACT(metadata!R199,"not applicable"),EXACT(metadata!R199,"missing: not collected"),EXACT(metadata!R199,"missing: not provided"),EXACT(metadata!R199,"missing: restricted access"))),AND(IF(metadata!R199="",FALSE,ISNUMBER(VALUE(metadata!R199))),metadata!R199&gt;0))</f>
        <v>0</v>
      </c>
      <c r="AU199" t="b">
        <f>AND(IF(metadata!S199="",FALSE,TRUE),EXACT(metadata!S199,"missing: not provided"))</f>
        <v>0</v>
      </c>
    </row>
    <row r="200" spans="1:47" x14ac:dyDescent="0.2">
      <c r="A200" s="5" t="str">
        <f ca="1">IF(B200=" "," ",HYPERLINK(CONCATENATE("#metadata!",ADDRESS(INDEX($Y$2:$Y$1001,MATCH(ROWS($W$2:W200),$W$2:$W$1001,0),0),1)),INDEX($AB$2:$AB$1001,MATCH(ROWS($W$2:W200),$W$2:$W$1001,0),0)))</f>
        <v xml:space="preserve"> </v>
      </c>
      <c r="B200" s="4" t="str">
        <f ca="1">IF(OR(INDEX($X$2:$X$1001,MATCH(ROWS($W$2:W200),$W$2:$W$1001,0),1)&gt;=100000,INDEX($AD$1005:$AU$1005,1,MATCH(COLUMNS($AD$1006:AD1006),$AD$1006:$AU$1006,0))&gt;=100000), " ",IF(INDEX($AD$2:$AU$1001,MATCH(ROWS($W$2:W200),$W$2:$W$1001,0),MATCH(COLUMNS($AD$1006:AD1006),$AD$1006:$AU$1006,0)), HYPERLINK("#",""), HYPERLINK(CONCATENATE("#metadata!", ADDRESS(INDEX($Y$2:$Y$1001,MATCH(ROWS($W$2:W200),$W$2:$W$1001,0),0), INDEX($AD$1004:$AU$1004,1,MATCH(COLUMNS($AD$1006:AD1006),$AD$1006:$AU$1006,0)))),"Fix")))</f>
        <v xml:space="preserve"> </v>
      </c>
      <c r="C200" s="4" t="str">
        <f ca="1">IF(OR(INDEX($X$2:$X$1001,MATCH(ROWS($W$2:W200),$W$2:$W$1001,0),1)&gt;=100000,INDEX($AD$1005:$AU$1005,1,MATCH(COLUMNS($AD$1006:AE1006),$AD$1006:$AU$1006,0))&gt;=100000), " ",IF(INDEX($AD$2:$AU$1001,MATCH(ROWS($W$2:W200),$W$2:$W$1001,0),MATCH(COLUMNS($AD$1006:AE1006),$AD$1006:$AU$1006,0)), HYPERLINK("#",""), HYPERLINK(CONCATENATE("#metadata!", ADDRESS(INDEX($Y$2:$Y$1001,MATCH(ROWS($W$2:W200),$W$2:$W$1001,0),0), INDEX($AD$1004:$AU$1004,1,MATCH(COLUMNS($AD$1006:AE1006),$AD$1006:$AU$1006,0)))),"Fix")))</f>
        <v xml:space="preserve"> </v>
      </c>
      <c r="D200" s="4" t="str">
        <f ca="1">IF(OR(INDEX($X$2:$X$1001,MATCH(ROWS($W$2:W200),$W$2:$W$1001,0),1)&gt;=100000,INDEX($AD$1005:$AU$1005,1,MATCH(COLUMNS($AD$1006:AF1006),$AD$1006:$AU$1006,0))&gt;=100000), " ",IF(INDEX($AD$2:$AU$1001,MATCH(ROWS($W$2:W200),$W$2:$W$1001,0),MATCH(COLUMNS($AD$1006:AF1006),$AD$1006:$AU$1006,0)), HYPERLINK("#",""), HYPERLINK(CONCATENATE("#metadata!", ADDRESS(INDEX($Y$2:$Y$1001,MATCH(ROWS($W$2:W200),$W$2:$W$1001,0),0), INDEX($AD$1004:$AU$1004,1,MATCH(COLUMNS($AD$1006:AF1006),$AD$1006:$AU$1006,0)))),"Fix")))</f>
        <v xml:space="preserve"> </v>
      </c>
      <c r="E200" s="4" t="str">
        <f ca="1">IF(OR(INDEX($X$2:$X$1001,MATCH(ROWS($W$2:W200),$W$2:$W$1001,0),1)&gt;=100000,INDEX($AD$1005:$AU$1005,1,MATCH(COLUMNS($AD$1006:AG1006),$AD$1006:$AU$1006,0))&gt;=100000), " ",IF(INDEX($AD$2:$AU$1001,MATCH(ROWS($W$2:W200),$W$2:$W$1001,0),MATCH(COLUMNS($AD$1006:AG1006),$AD$1006:$AU$1006,0)), HYPERLINK("#",""), HYPERLINK(CONCATENATE("#metadata!", ADDRESS(INDEX($Y$2:$Y$1001,MATCH(ROWS($W$2:W200),$W$2:$W$1001,0),0), INDEX($AD$1004:$AU$1004,1,MATCH(COLUMNS($AD$1006:AG1006),$AD$1006:$AU$1006,0)))),"Fix")))</f>
        <v xml:space="preserve"> </v>
      </c>
      <c r="F200" s="4" t="str">
        <f ca="1">IF(OR(INDEX($X$2:$X$1001,MATCH(ROWS($W$2:W200),$W$2:$W$1001,0),1)&gt;=100000,INDEX($AD$1005:$AU$1005,1,MATCH(COLUMNS($AD$1006:AH1006),$AD$1006:$AU$1006,0))&gt;=100000), " ",IF(INDEX($AD$2:$AU$1001,MATCH(ROWS($W$2:W200),$W$2:$W$1001,0),MATCH(COLUMNS($AD$1006:AH1006),$AD$1006:$AU$1006,0)), HYPERLINK("#",""), HYPERLINK(CONCATENATE("#metadata!", ADDRESS(INDEX($Y$2:$Y$1001,MATCH(ROWS($W$2:W200),$W$2:$W$1001,0),0), INDEX($AD$1004:$AU$1004,1,MATCH(COLUMNS($AD$1006:AH1006),$AD$1006:$AU$1006,0)))),"Fix")))</f>
        <v xml:space="preserve"> </v>
      </c>
      <c r="G200" s="4" t="str">
        <f ca="1">IF(OR(INDEX($X$2:$X$1001,MATCH(ROWS($W$2:W200),$W$2:$W$1001,0),1)&gt;=100000,INDEX($AD$1005:$AU$1005,1,MATCH(COLUMNS($AD$1006:AI1006),$AD$1006:$AU$1006,0))&gt;=100000), " ",IF(INDEX($AD$2:$AU$1001,MATCH(ROWS($W$2:W200),$W$2:$W$1001,0),MATCH(COLUMNS($AD$1006:AI1006),$AD$1006:$AU$1006,0)), HYPERLINK("#",""), HYPERLINK(CONCATENATE("#metadata!", ADDRESS(INDEX($Y$2:$Y$1001,MATCH(ROWS($W$2:W200),$W$2:$W$1001,0),0), INDEX($AD$1004:$AU$1004,1,MATCH(COLUMNS($AD$1006:AI1006),$AD$1006:$AU$1006,0)))),"Fix")))</f>
        <v xml:space="preserve"> </v>
      </c>
      <c r="H200" s="4" t="str">
        <f ca="1">IF(OR(INDEX($X$2:$X$1001,MATCH(ROWS($W$2:W200),$W$2:$W$1001,0),1)&gt;=100000,INDEX($AD$1005:$AU$1005,1,MATCH(COLUMNS($AD$1006:AJ1006),$AD$1006:$AU$1006,0))&gt;=100000), " ",IF(INDEX($AD$2:$AU$1001,MATCH(ROWS($W$2:W200),$W$2:$W$1001,0),MATCH(COLUMNS($AD$1006:AJ1006),$AD$1006:$AU$1006,0)), HYPERLINK("#",""), HYPERLINK(CONCATENATE("#metadata!", ADDRESS(INDEX($Y$2:$Y$1001,MATCH(ROWS($W$2:W200),$W$2:$W$1001,0),0), INDEX($AD$1004:$AU$1004,1,MATCH(COLUMNS($AD$1006:AJ1006),$AD$1006:$AU$1006,0)))),"Fix")))</f>
        <v xml:space="preserve"> </v>
      </c>
      <c r="I200" s="4" t="str">
        <f ca="1">IF(OR(INDEX($X$2:$X$1001,MATCH(ROWS($W$2:W200),$W$2:$W$1001,0),1)&gt;=100000,INDEX($AD$1005:$AU$1005,1,MATCH(COLUMNS($AD$1006:AK1006),$AD$1006:$AU$1006,0))&gt;=100000), " ",IF(INDEX($AD$2:$AU$1001,MATCH(ROWS($W$2:W200),$W$2:$W$1001,0),MATCH(COLUMNS($AD$1006:AK1006),$AD$1006:$AU$1006,0)), HYPERLINK("#",""), HYPERLINK(CONCATENATE("#metadata!", ADDRESS(INDEX($Y$2:$Y$1001,MATCH(ROWS($W$2:W200),$W$2:$W$1001,0),0), INDEX($AD$1004:$AU$1004,1,MATCH(COLUMNS($AD$1006:AK1006),$AD$1006:$AU$1006,0)))),"Fix")))</f>
        <v xml:space="preserve"> </v>
      </c>
      <c r="J200" s="4" t="str">
        <f ca="1">IF(OR(INDEX($X$2:$X$1001,MATCH(ROWS($W$2:W200),$W$2:$W$1001,0),1)&gt;=100000,INDEX($AD$1005:$AU$1005,1,MATCH(COLUMNS($AD$1006:AL1006),$AD$1006:$AU$1006,0))&gt;=100000), " ",IF(INDEX($AD$2:$AU$1001,MATCH(ROWS($W$2:W200),$W$2:$W$1001,0),MATCH(COLUMNS($AD$1006:AL1006),$AD$1006:$AU$1006,0)), HYPERLINK("#",""), HYPERLINK(CONCATENATE("#metadata!", ADDRESS(INDEX($Y$2:$Y$1001,MATCH(ROWS($W$2:W200),$W$2:$W$1001,0),0), INDEX($AD$1004:$AU$1004,1,MATCH(COLUMNS($AD$1006:AL1006),$AD$1006:$AU$1006,0)))),"Fix")))</f>
        <v xml:space="preserve"> </v>
      </c>
      <c r="K200" s="4" t="str">
        <f ca="1">IF(OR(INDEX($X$2:$X$1001,MATCH(ROWS($W$2:W200),$W$2:$W$1001,0),1)&gt;=100000,INDEX($AD$1005:$AU$1005,1,MATCH(COLUMNS($AD$1006:AM1006),$AD$1006:$AU$1006,0))&gt;=100000), " ",IF(INDEX($AD$2:$AU$1001,MATCH(ROWS($W$2:W200),$W$2:$W$1001,0),MATCH(COLUMNS($AD$1006:AM1006),$AD$1006:$AU$1006,0)), HYPERLINK("#",""), HYPERLINK(CONCATENATE("#metadata!", ADDRESS(INDEX($Y$2:$Y$1001,MATCH(ROWS($W$2:W200),$W$2:$W$1001,0),0), INDEX($AD$1004:$AU$1004,1,MATCH(COLUMNS($AD$1006:AM1006),$AD$1006:$AU$1006,0)))),"Fix")))</f>
        <v xml:space="preserve"> </v>
      </c>
      <c r="L200" s="4" t="str">
        <f ca="1">IF(OR(INDEX($X$2:$X$1001,MATCH(ROWS($W$2:W200),$W$2:$W$1001,0),1)&gt;=100000,INDEX($AD$1005:$AU$1005,1,MATCH(COLUMNS($AD$1006:AN1006),$AD$1006:$AU$1006,0))&gt;=100000), " ",IF(INDEX($AD$2:$AU$1001,MATCH(ROWS($W$2:W200),$W$2:$W$1001,0),MATCH(COLUMNS($AD$1006:AN1006),$AD$1006:$AU$1006,0)), HYPERLINK("#",""), HYPERLINK(CONCATENATE("#metadata!", ADDRESS(INDEX($Y$2:$Y$1001,MATCH(ROWS($W$2:W200),$W$2:$W$1001,0),0), INDEX($AD$1004:$AU$1004,1,MATCH(COLUMNS($AD$1006:AN1006),$AD$1006:$AU$1006,0)))),"Fix")))</f>
        <v xml:space="preserve"> </v>
      </c>
      <c r="M200" s="4" t="str">
        <f ca="1">IF(OR(INDEX($X$2:$X$1001,MATCH(ROWS($W$2:W200),$W$2:$W$1001,0),1)&gt;=100000,INDEX($AD$1005:$AU$1005,1,MATCH(COLUMNS($AD$1006:AO1006),$AD$1006:$AU$1006,0))&gt;=100000), " ",IF(INDEX($AD$2:$AU$1001,MATCH(ROWS($W$2:W200),$W$2:$W$1001,0),MATCH(COLUMNS($AD$1006:AO1006),$AD$1006:$AU$1006,0)), HYPERLINK("#",""), HYPERLINK(CONCATENATE("#metadata!", ADDRESS(INDEX($Y$2:$Y$1001,MATCH(ROWS($W$2:W200),$W$2:$W$1001,0),0), INDEX($AD$1004:$AU$1004,1,MATCH(COLUMNS($AD$1006:AO1006),$AD$1006:$AU$1006,0)))),"Fix")))</f>
        <v xml:space="preserve"> </v>
      </c>
      <c r="N200" s="4" t="str">
        <f ca="1">IF(OR(INDEX($X$2:$X$1001,MATCH(ROWS($W$2:W200),$W$2:$W$1001,0),1)&gt;=100000,INDEX($AD$1005:$AU$1005,1,MATCH(COLUMNS($AD$1006:AP1006),$AD$1006:$AU$1006,0))&gt;=100000), " ",IF(INDEX($AD$2:$AU$1001,MATCH(ROWS($W$2:W200),$W$2:$W$1001,0),MATCH(COLUMNS($AD$1006:AP1006),$AD$1006:$AU$1006,0)), HYPERLINK("#",""), HYPERLINK(CONCATENATE("#metadata!", ADDRESS(INDEX($Y$2:$Y$1001,MATCH(ROWS($W$2:W200),$W$2:$W$1001,0),0), INDEX($AD$1004:$AU$1004,1,MATCH(COLUMNS($AD$1006:AP1006),$AD$1006:$AU$1006,0)))),"Fix")))</f>
        <v xml:space="preserve"> </v>
      </c>
      <c r="O200" s="4" t="str">
        <f ca="1">IF(OR(INDEX($X$2:$X$1001,MATCH(ROWS($W$2:W200),$W$2:$W$1001,0),1)&gt;=100000,INDEX($AD$1005:$AU$1005,1,MATCH(COLUMNS($AD$1006:AQ1006),$AD$1006:$AU$1006,0))&gt;=100000), " ",IF(INDEX($AD$2:$AU$1001,MATCH(ROWS($W$2:W200),$W$2:$W$1001,0),MATCH(COLUMNS($AD$1006:AQ1006),$AD$1006:$AU$1006,0)), HYPERLINK("#",""), HYPERLINK(CONCATENATE("#metadata!", ADDRESS(INDEX($Y$2:$Y$1001,MATCH(ROWS($W$2:W200),$W$2:$W$1001,0),0), INDEX($AD$1004:$AU$1004,1,MATCH(COLUMNS($AD$1006:AQ1006),$AD$1006:$AU$1006,0)))),"Fix")))</f>
        <v xml:space="preserve"> </v>
      </c>
      <c r="P200" s="4" t="str">
        <f ca="1">IF(OR(INDEX($X$2:$X$1001,MATCH(ROWS($W$2:W200),$W$2:$W$1001,0),1)&gt;=100000,INDEX($AD$1005:$AU$1005,1,MATCH(COLUMNS($AD$1006:AR1006),$AD$1006:$AU$1006,0))&gt;=100000), " ",IF(INDEX($AD$2:$AU$1001,MATCH(ROWS($W$2:W200),$W$2:$W$1001,0),MATCH(COLUMNS($AD$1006:AR1006),$AD$1006:$AU$1006,0)), HYPERLINK("#",""), HYPERLINK(CONCATENATE("#metadata!", ADDRESS(INDEX($Y$2:$Y$1001,MATCH(ROWS($W$2:W200),$W$2:$W$1001,0),0), INDEX($AD$1004:$AU$1004,1,MATCH(COLUMNS($AD$1006:AR1006),$AD$1006:$AU$1006,0)))),"Fix")))</f>
        <v xml:space="preserve"> </v>
      </c>
      <c r="Q200" s="4" t="str">
        <f ca="1">IF(OR(INDEX($X$2:$X$1001,MATCH(ROWS($W$2:W200),$W$2:$W$1001,0),1)&gt;=100000,INDEX($AD$1005:$AU$1005,1,MATCH(COLUMNS($AD$1006:AS1006),$AD$1006:$AU$1006,0))&gt;=100000), " ",IF(INDEX($AD$2:$AU$1001,MATCH(ROWS($W$2:W200),$W$2:$W$1001,0),MATCH(COLUMNS($AD$1006:AS1006),$AD$1006:$AU$1006,0)), HYPERLINK("#",""), HYPERLINK(CONCATENATE("#metadata!", ADDRESS(INDEX($Y$2:$Y$1001,MATCH(ROWS($W$2:W200),$W$2:$W$1001,0),0), INDEX($AD$1004:$AU$1004,1,MATCH(COLUMNS($AD$1006:AS1006),$AD$1006:$AU$1006,0)))),"Fix")))</f>
        <v xml:space="preserve"> </v>
      </c>
      <c r="R200" s="4" t="str">
        <f ca="1">IF(OR(INDEX($X$2:$X$1001,MATCH(ROWS($W$2:W200),$W$2:$W$1001,0),1)&gt;=100000,INDEX($AD$1005:$AU$1005,1,MATCH(COLUMNS($AD$1006:AT1006),$AD$1006:$AU$1006,0))&gt;=100000), " ",IF(INDEX($AD$2:$AU$1001,MATCH(ROWS($W$2:W200),$W$2:$W$1001,0),MATCH(COLUMNS($AD$1006:AT1006),$AD$1006:$AU$1006,0)), HYPERLINK("#",""), HYPERLINK(CONCATENATE("#metadata!", ADDRESS(INDEX($Y$2:$Y$1001,MATCH(ROWS($W$2:W200),$W$2:$W$1001,0),0), INDEX($AD$1004:$AU$1004,1,MATCH(COLUMNS($AD$1006:AT1006),$AD$1006:$AU$1006,0)))),"Fix")))</f>
        <v xml:space="preserve"> </v>
      </c>
      <c r="S200" s="4" t="str">
        <f ca="1">IF(OR(INDEX($X$2:$X$1001,MATCH(ROWS($W$2:W200),$W$2:$W$1001,0),1)&gt;=100000,INDEX($AD$1005:$AU$1005,1,MATCH(COLUMNS($AD$1006:AU1006),$AD$1006:$AU$1006,0))&gt;=100000), " ",IF(INDEX($AD$2:$AU$1001,MATCH(ROWS($W$2:W200),$W$2:$W$1001,0),MATCH(COLUMNS($AD$1006:AU1006),$AD$1006:$AU$1006,0)), HYPERLINK("#",""), HYPERLINK(CONCATENATE("#metadata!", ADDRESS(INDEX($Y$2:$Y$1001,MATCH(ROWS($W$2:W200),$W$2:$W$1001,0),0), INDEX($AD$1004:$AU$1004,1,MATCH(COLUMNS($AD$1006:AU1006),$AD$1006:$AU$1006,0)))),"Fix")))</f>
        <v xml:space="preserve"> </v>
      </c>
      <c r="W200">
        <v>199</v>
      </c>
      <c r="X200">
        <v>100200</v>
      </c>
      <c r="Y200">
        <v>200</v>
      </c>
      <c r="Z200" t="b">
        <f t="shared" si="3"/>
        <v>1</v>
      </c>
      <c r="AA200" t="b">
        <f>COUNTBLANK(metadata!B200:S200)=COLUMNS(metadata!B200:S200)</f>
        <v>1</v>
      </c>
      <c r="AB200" t="str">
        <v/>
      </c>
      <c r="AD200" t="b">
        <f ca="1">AND(IF(metadata!B200="",FALSE,TRUE),COUNTIF(metadata!B:B, metadata!B200) = 1,NOT(ISERROR(SUMPRODUCT(SEARCH(MID(metadata!B200,ROW(INDIRECT("1:"&amp;LEN(metadata!B200))), 1),"0123456789abcdefghijklmnopqrstuvwxyzABCDEFGHIJKLMNOPQRSTUVWXYZ.")))))</f>
        <v>0</v>
      </c>
      <c r="AE200" t="b">
        <f>OR(AND(IF(metadata!C200="",FALSE,TRUE),OR(EXACT(metadata!C200,"not applicable"),EXACT(metadata!C200,"missing: not collected"),EXACT(metadata!C200,"missing: not provided"),EXACT(metadata!C200,"missing: restricted access"))),AND(IF(metadata!C200="",FALSE,ISNUMBER(VALUE(metadata!C200))),metadata!C200&gt;0))</f>
        <v>0</v>
      </c>
      <c r="AF200" t="b">
        <f>AND(IF(metadata!D200="",FALSE,TRUE),EXACT(metadata!D200,"missing: not provided"))</f>
        <v>0</v>
      </c>
      <c r="AG200" t="b">
        <f>AND(IF(metadata!E200="",FALSE,TRUE),EXACT(metadata!E200,"Host-associated"))</f>
        <v>0</v>
      </c>
      <c r="AH200" t="b">
        <f>AND(IF(metadata!F200="",FALSE,TRUE),OR(EXACT(metadata!F200,"Animal"),EXACT(metadata!F200,"Fungus"),EXACT(metadata!F200,"Plant")))</f>
        <v>0</v>
      </c>
      <c r="AI200" t="b">
        <f>AND(IF(metadata!G200="",FALSE,TRUE),OR(EXACT(metadata!G200,"Plant secretion"),EXACT(metadata!G200,"Plant rhizosphere"),EXACT(metadata!G200,"Plant surface"),EXACT(metadata!G200,"Plant corpus"),EXACT(metadata!G200,"Fungus surface"),EXACT(metadata!G200,"Fungus corpus"),EXACT(metadata!G200,"Animal surface"),EXACT(metadata!G200,"Animal proximal gut"),EXACT(metadata!G200,"Animal corpus"),EXACT(metadata!G200,"Animal distal gut"),EXACT(metadata!G200,"Animal secretion")))</f>
        <v>0</v>
      </c>
      <c r="AJ200" t="b">
        <f>OR(AND(IF(metadata!H200="",FALSE,TRUE),OR(EXACT(metadata!H200,"missing: not collected"),EXACT(metadata!H200,"missing: not provided"),EXACT(metadata!H200,"missing: restricted access"))),AND(IF(metadata!H200="",FALSE,TRUE),OR(EXACT(metadata!H200,"organism-associated habitat"),EXACT(metadata!H200,"plant-associated habitat"),EXACT(metadata!H200,"animal-associated habitat"),EXACT(metadata!H200,"insecta-associated habitat"),EXACT(metadata!H200,"mammalia-associated habitat"),EXACT(metadata!H200,"human-associated habitat"),EXACT(metadata!H200,"livestock-associated habitat"))))</f>
        <v>0</v>
      </c>
      <c r="AK200" t="b">
        <f>AND(IF(metadata!I200="",FALSE,TRUE),EXACT(metadata!I200,"host-associated"))</f>
        <v>0</v>
      </c>
      <c r="AL200" t="b">
        <f>OR(AND(IF(metadata!J200="",FALSE,TRUE),OR(EXACT(metadata!J200,"not applicable"),EXACT(metadata!J200,"missing: not collected"),EXACT(metadata!J200,"missing: not provided"),EXACT(metadata!J200,"missing: restricted access"))),AND(IF(metadata!J200="",FALSE,ISNUMBER(VALUE(metadata!J200))),metadata!J200&gt;0))</f>
        <v>0</v>
      </c>
      <c r="AM200" t="b">
        <f>AND(IF(metadata!K200="",FALSE,TRUE),EXACT(metadata!K200,"missing: not provided"))</f>
        <v>0</v>
      </c>
      <c r="AN200" t="b">
        <f>IF(metadata!L200="",FALSE,TRUE)</f>
        <v>0</v>
      </c>
      <c r="AO200" t="b">
        <f>IF(metadata!M200="",FALSE,TRUE)</f>
        <v>0</v>
      </c>
      <c r="AP200" t="b">
        <f>OR(AND(IF(metadata!N200="",FALSE,TRUE),OR(EXACT(metadata!N200,"not applicable"),EXACT(metadata!N200,"missing: not collected"),EXACT(metadata!N200,"missing: not provided"))),AND(IF(metadata!N200="",FALSE,IF(ISERROR(INT(metadata!N200)),FALSE,INT(metadata!N200)=metadata!N200)),metadata!N200&gt;0))</f>
        <v>0</v>
      </c>
      <c r="AQ200" t="b">
        <f>AND(IF(metadata!O200="",FALSE,TRUE),EXACT(metadata!O200,"Not applicable"))</f>
        <v>0</v>
      </c>
      <c r="AR200" t="b">
        <f>OR(AND(IF(metadata!P200="",FALSE,TRUE),OR(EXACT(metadata!P200,"not applicable"),EXACT(metadata!P200,"missing: not collected"),EXACT(metadata!P200,"missing: not provided"),EXACT(metadata!P200,"missing: restricted access"))),IF(metadata!P200="",FALSE,IF(ISERROR(INT(metadata!P200)),FALSE,INT(metadata!P200)=metadata!P200)))</f>
        <v>0</v>
      </c>
      <c r="AS200" t="b">
        <f>AND(IF(metadata!Q200="",FALSE,TRUE),EXACT(metadata!Q200,"Not applicable"))</f>
        <v>0</v>
      </c>
      <c r="AT200" t="b">
        <f>OR(AND(IF(metadata!R200="",FALSE,TRUE),OR(EXACT(metadata!R200,"not applicable"),EXACT(metadata!R200,"missing: not collected"),EXACT(metadata!R200,"missing: not provided"),EXACT(metadata!R200,"missing: restricted access"))),AND(IF(metadata!R200="",FALSE,ISNUMBER(VALUE(metadata!R200))),metadata!R200&gt;0))</f>
        <v>0</v>
      </c>
      <c r="AU200" t="b">
        <f>AND(IF(metadata!S200="",FALSE,TRUE),EXACT(metadata!S200,"missing: not provided"))</f>
        <v>0</v>
      </c>
    </row>
    <row r="201" spans="1:47" x14ac:dyDescent="0.2">
      <c r="A201" s="5" t="str">
        <f ca="1">IF(B201=" "," ",HYPERLINK(CONCATENATE("#metadata!",ADDRESS(INDEX($Y$2:$Y$1001,MATCH(ROWS($W$2:W201),$W$2:$W$1001,0),0),1)),INDEX($AB$2:$AB$1001,MATCH(ROWS($W$2:W201),$W$2:$W$1001,0),0)))</f>
        <v xml:space="preserve"> </v>
      </c>
      <c r="B201" s="4" t="str">
        <f ca="1">IF(OR(INDEX($X$2:$X$1001,MATCH(ROWS($W$2:W201),$W$2:$W$1001,0),1)&gt;=100000,INDEX($AD$1005:$AU$1005,1,MATCH(COLUMNS($AD$1006:AD1006),$AD$1006:$AU$1006,0))&gt;=100000), " ",IF(INDEX($AD$2:$AU$1001,MATCH(ROWS($W$2:W201),$W$2:$W$1001,0),MATCH(COLUMNS($AD$1006:AD1006),$AD$1006:$AU$1006,0)), HYPERLINK("#",""), HYPERLINK(CONCATENATE("#metadata!", ADDRESS(INDEX($Y$2:$Y$1001,MATCH(ROWS($W$2:W201),$W$2:$W$1001,0),0), INDEX($AD$1004:$AU$1004,1,MATCH(COLUMNS($AD$1006:AD1006),$AD$1006:$AU$1006,0)))),"Fix")))</f>
        <v xml:space="preserve"> </v>
      </c>
      <c r="C201" s="4" t="str">
        <f ca="1">IF(OR(INDEX($X$2:$X$1001,MATCH(ROWS($W$2:W201),$W$2:$W$1001,0),1)&gt;=100000,INDEX($AD$1005:$AU$1005,1,MATCH(COLUMNS($AD$1006:AE1006),$AD$1006:$AU$1006,0))&gt;=100000), " ",IF(INDEX($AD$2:$AU$1001,MATCH(ROWS($W$2:W201),$W$2:$W$1001,0),MATCH(COLUMNS($AD$1006:AE1006),$AD$1006:$AU$1006,0)), HYPERLINK("#",""), HYPERLINK(CONCATENATE("#metadata!", ADDRESS(INDEX($Y$2:$Y$1001,MATCH(ROWS($W$2:W201),$W$2:$W$1001,0),0), INDEX($AD$1004:$AU$1004,1,MATCH(COLUMNS($AD$1006:AE1006),$AD$1006:$AU$1006,0)))),"Fix")))</f>
        <v xml:space="preserve"> </v>
      </c>
      <c r="D201" s="4" t="str">
        <f ca="1">IF(OR(INDEX($X$2:$X$1001,MATCH(ROWS($W$2:W201),$W$2:$W$1001,0),1)&gt;=100000,INDEX($AD$1005:$AU$1005,1,MATCH(COLUMNS($AD$1006:AF1006),$AD$1006:$AU$1006,0))&gt;=100000), " ",IF(INDEX($AD$2:$AU$1001,MATCH(ROWS($W$2:W201),$W$2:$W$1001,0),MATCH(COLUMNS($AD$1006:AF1006),$AD$1006:$AU$1006,0)), HYPERLINK("#",""), HYPERLINK(CONCATENATE("#metadata!", ADDRESS(INDEX($Y$2:$Y$1001,MATCH(ROWS($W$2:W201),$W$2:$W$1001,0),0), INDEX($AD$1004:$AU$1004,1,MATCH(COLUMNS($AD$1006:AF1006),$AD$1006:$AU$1006,0)))),"Fix")))</f>
        <v xml:space="preserve"> </v>
      </c>
      <c r="E201" s="4" t="str">
        <f ca="1">IF(OR(INDEX($X$2:$X$1001,MATCH(ROWS($W$2:W201),$W$2:$W$1001,0),1)&gt;=100000,INDEX($AD$1005:$AU$1005,1,MATCH(COLUMNS($AD$1006:AG1006),$AD$1006:$AU$1006,0))&gt;=100000), " ",IF(INDEX($AD$2:$AU$1001,MATCH(ROWS($W$2:W201),$W$2:$W$1001,0),MATCH(COLUMNS($AD$1006:AG1006),$AD$1006:$AU$1006,0)), HYPERLINK("#",""), HYPERLINK(CONCATENATE("#metadata!", ADDRESS(INDEX($Y$2:$Y$1001,MATCH(ROWS($W$2:W201),$W$2:$W$1001,0),0), INDEX($AD$1004:$AU$1004,1,MATCH(COLUMNS($AD$1006:AG1006),$AD$1006:$AU$1006,0)))),"Fix")))</f>
        <v xml:space="preserve"> </v>
      </c>
      <c r="F201" s="4" t="str">
        <f ca="1">IF(OR(INDEX($X$2:$X$1001,MATCH(ROWS($W$2:W201),$W$2:$W$1001,0),1)&gt;=100000,INDEX($AD$1005:$AU$1005,1,MATCH(COLUMNS($AD$1006:AH1006),$AD$1006:$AU$1006,0))&gt;=100000), " ",IF(INDEX($AD$2:$AU$1001,MATCH(ROWS($W$2:W201),$W$2:$W$1001,0),MATCH(COLUMNS($AD$1006:AH1006),$AD$1006:$AU$1006,0)), HYPERLINK("#",""), HYPERLINK(CONCATENATE("#metadata!", ADDRESS(INDEX($Y$2:$Y$1001,MATCH(ROWS($W$2:W201),$W$2:$W$1001,0),0), INDEX($AD$1004:$AU$1004,1,MATCH(COLUMNS($AD$1006:AH1006),$AD$1006:$AU$1006,0)))),"Fix")))</f>
        <v xml:space="preserve"> </v>
      </c>
      <c r="G201" s="4" t="str">
        <f ca="1">IF(OR(INDEX($X$2:$X$1001,MATCH(ROWS($W$2:W201),$W$2:$W$1001,0),1)&gt;=100000,INDEX($AD$1005:$AU$1005,1,MATCH(COLUMNS($AD$1006:AI1006),$AD$1006:$AU$1006,0))&gt;=100000), " ",IF(INDEX($AD$2:$AU$1001,MATCH(ROWS($W$2:W201),$W$2:$W$1001,0),MATCH(COLUMNS($AD$1006:AI1006),$AD$1006:$AU$1006,0)), HYPERLINK("#",""), HYPERLINK(CONCATENATE("#metadata!", ADDRESS(INDEX($Y$2:$Y$1001,MATCH(ROWS($W$2:W201),$W$2:$W$1001,0),0), INDEX($AD$1004:$AU$1004,1,MATCH(COLUMNS($AD$1006:AI1006),$AD$1006:$AU$1006,0)))),"Fix")))</f>
        <v xml:space="preserve"> </v>
      </c>
      <c r="H201" s="4" t="str">
        <f ca="1">IF(OR(INDEX($X$2:$X$1001,MATCH(ROWS($W$2:W201),$W$2:$W$1001,0),1)&gt;=100000,INDEX($AD$1005:$AU$1005,1,MATCH(COLUMNS($AD$1006:AJ1006),$AD$1006:$AU$1006,0))&gt;=100000), " ",IF(INDEX($AD$2:$AU$1001,MATCH(ROWS($W$2:W201),$W$2:$W$1001,0),MATCH(COLUMNS($AD$1006:AJ1006),$AD$1006:$AU$1006,0)), HYPERLINK("#",""), HYPERLINK(CONCATENATE("#metadata!", ADDRESS(INDEX($Y$2:$Y$1001,MATCH(ROWS($W$2:W201),$W$2:$W$1001,0),0), INDEX($AD$1004:$AU$1004,1,MATCH(COLUMNS($AD$1006:AJ1006),$AD$1006:$AU$1006,0)))),"Fix")))</f>
        <v xml:space="preserve"> </v>
      </c>
      <c r="I201" s="4" t="str">
        <f ca="1">IF(OR(INDEX($X$2:$X$1001,MATCH(ROWS($W$2:W201),$W$2:$W$1001,0),1)&gt;=100000,INDEX($AD$1005:$AU$1005,1,MATCH(COLUMNS($AD$1006:AK1006),$AD$1006:$AU$1006,0))&gt;=100000), " ",IF(INDEX($AD$2:$AU$1001,MATCH(ROWS($W$2:W201),$W$2:$W$1001,0),MATCH(COLUMNS($AD$1006:AK1006),$AD$1006:$AU$1006,0)), HYPERLINK("#",""), HYPERLINK(CONCATENATE("#metadata!", ADDRESS(INDEX($Y$2:$Y$1001,MATCH(ROWS($W$2:W201),$W$2:$W$1001,0),0), INDEX($AD$1004:$AU$1004,1,MATCH(COLUMNS($AD$1006:AK1006),$AD$1006:$AU$1006,0)))),"Fix")))</f>
        <v xml:space="preserve"> </v>
      </c>
      <c r="J201" s="4" t="str">
        <f ca="1">IF(OR(INDEX($X$2:$X$1001,MATCH(ROWS($W$2:W201),$W$2:$W$1001,0),1)&gt;=100000,INDEX($AD$1005:$AU$1005,1,MATCH(COLUMNS($AD$1006:AL1006),$AD$1006:$AU$1006,0))&gt;=100000), " ",IF(INDEX($AD$2:$AU$1001,MATCH(ROWS($W$2:W201),$W$2:$W$1001,0),MATCH(COLUMNS($AD$1006:AL1006),$AD$1006:$AU$1006,0)), HYPERLINK("#",""), HYPERLINK(CONCATENATE("#metadata!", ADDRESS(INDEX($Y$2:$Y$1001,MATCH(ROWS($W$2:W201),$W$2:$W$1001,0),0), INDEX($AD$1004:$AU$1004,1,MATCH(COLUMNS($AD$1006:AL1006),$AD$1006:$AU$1006,0)))),"Fix")))</f>
        <v xml:space="preserve"> </v>
      </c>
      <c r="K201" s="4" t="str">
        <f ca="1">IF(OR(INDEX($X$2:$X$1001,MATCH(ROWS($W$2:W201),$W$2:$W$1001,0),1)&gt;=100000,INDEX($AD$1005:$AU$1005,1,MATCH(COLUMNS($AD$1006:AM1006),$AD$1006:$AU$1006,0))&gt;=100000), " ",IF(INDEX($AD$2:$AU$1001,MATCH(ROWS($W$2:W201),$W$2:$W$1001,0),MATCH(COLUMNS($AD$1006:AM1006),$AD$1006:$AU$1006,0)), HYPERLINK("#",""), HYPERLINK(CONCATENATE("#metadata!", ADDRESS(INDEX($Y$2:$Y$1001,MATCH(ROWS($W$2:W201),$W$2:$W$1001,0),0), INDEX($AD$1004:$AU$1004,1,MATCH(COLUMNS($AD$1006:AM1006),$AD$1006:$AU$1006,0)))),"Fix")))</f>
        <v xml:space="preserve"> </v>
      </c>
      <c r="L201" s="4" t="str">
        <f ca="1">IF(OR(INDEX($X$2:$X$1001,MATCH(ROWS($W$2:W201),$W$2:$W$1001,0),1)&gt;=100000,INDEX($AD$1005:$AU$1005,1,MATCH(COLUMNS($AD$1006:AN1006),$AD$1006:$AU$1006,0))&gt;=100000), " ",IF(INDEX($AD$2:$AU$1001,MATCH(ROWS($W$2:W201),$W$2:$W$1001,0),MATCH(COLUMNS($AD$1006:AN1006),$AD$1006:$AU$1006,0)), HYPERLINK("#",""), HYPERLINK(CONCATENATE("#metadata!", ADDRESS(INDEX($Y$2:$Y$1001,MATCH(ROWS($W$2:W201),$W$2:$W$1001,0),0), INDEX($AD$1004:$AU$1004,1,MATCH(COLUMNS($AD$1006:AN1006),$AD$1006:$AU$1006,0)))),"Fix")))</f>
        <v xml:space="preserve"> </v>
      </c>
      <c r="M201" s="4" t="str">
        <f ca="1">IF(OR(INDEX($X$2:$X$1001,MATCH(ROWS($W$2:W201),$W$2:$W$1001,0),1)&gt;=100000,INDEX($AD$1005:$AU$1005,1,MATCH(COLUMNS($AD$1006:AO1006),$AD$1006:$AU$1006,0))&gt;=100000), " ",IF(INDEX($AD$2:$AU$1001,MATCH(ROWS($W$2:W201),$W$2:$W$1001,0),MATCH(COLUMNS($AD$1006:AO1006),$AD$1006:$AU$1006,0)), HYPERLINK("#",""), HYPERLINK(CONCATENATE("#metadata!", ADDRESS(INDEX($Y$2:$Y$1001,MATCH(ROWS($W$2:W201),$W$2:$W$1001,0),0), INDEX($AD$1004:$AU$1004,1,MATCH(COLUMNS($AD$1006:AO1006),$AD$1006:$AU$1006,0)))),"Fix")))</f>
        <v xml:space="preserve"> </v>
      </c>
      <c r="N201" s="4" t="str">
        <f ca="1">IF(OR(INDEX($X$2:$X$1001,MATCH(ROWS($W$2:W201),$W$2:$W$1001,0),1)&gt;=100000,INDEX($AD$1005:$AU$1005,1,MATCH(COLUMNS($AD$1006:AP1006),$AD$1006:$AU$1006,0))&gt;=100000), " ",IF(INDEX($AD$2:$AU$1001,MATCH(ROWS($W$2:W201),$W$2:$W$1001,0),MATCH(COLUMNS($AD$1006:AP1006),$AD$1006:$AU$1006,0)), HYPERLINK("#",""), HYPERLINK(CONCATENATE("#metadata!", ADDRESS(INDEX($Y$2:$Y$1001,MATCH(ROWS($W$2:W201),$W$2:$W$1001,0),0), INDEX($AD$1004:$AU$1004,1,MATCH(COLUMNS($AD$1006:AP1006),$AD$1006:$AU$1006,0)))),"Fix")))</f>
        <v xml:space="preserve"> </v>
      </c>
      <c r="O201" s="4" t="str">
        <f ca="1">IF(OR(INDEX($X$2:$X$1001,MATCH(ROWS($W$2:W201),$W$2:$W$1001,0),1)&gt;=100000,INDEX($AD$1005:$AU$1005,1,MATCH(COLUMNS($AD$1006:AQ1006),$AD$1006:$AU$1006,0))&gt;=100000), " ",IF(INDEX($AD$2:$AU$1001,MATCH(ROWS($W$2:W201),$W$2:$W$1001,0),MATCH(COLUMNS($AD$1006:AQ1006),$AD$1006:$AU$1006,0)), HYPERLINK("#",""), HYPERLINK(CONCATENATE("#metadata!", ADDRESS(INDEX($Y$2:$Y$1001,MATCH(ROWS($W$2:W201),$W$2:$W$1001,0),0), INDEX($AD$1004:$AU$1004,1,MATCH(COLUMNS($AD$1006:AQ1006),$AD$1006:$AU$1006,0)))),"Fix")))</f>
        <v xml:space="preserve"> </v>
      </c>
      <c r="P201" s="4" t="str">
        <f ca="1">IF(OR(INDEX($X$2:$X$1001,MATCH(ROWS($W$2:W201),$W$2:$W$1001,0),1)&gt;=100000,INDEX($AD$1005:$AU$1005,1,MATCH(COLUMNS($AD$1006:AR1006),$AD$1006:$AU$1006,0))&gt;=100000), " ",IF(INDEX($AD$2:$AU$1001,MATCH(ROWS($W$2:W201),$W$2:$W$1001,0),MATCH(COLUMNS($AD$1006:AR1006),$AD$1006:$AU$1006,0)), HYPERLINK("#",""), HYPERLINK(CONCATENATE("#metadata!", ADDRESS(INDEX($Y$2:$Y$1001,MATCH(ROWS($W$2:W201),$W$2:$W$1001,0),0), INDEX($AD$1004:$AU$1004,1,MATCH(COLUMNS($AD$1006:AR1006),$AD$1006:$AU$1006,0)))),"Fix")))</f>
        <v xml:space="preserve"> </v>
      </c>
      <c r="Q201" s="4" t="str">
        <f ca="1">IF(OR(INDEX($X$2:$X$1001,MATCH(ROWS($W$2:W201),$W$2:$W$1001,0),1)&gt;=100000,INDEX($AD$1005:$AU$1005,1,MATCH(COLUMNS($AD$1006:AS1006),$AD$1006:$AU$1006,0))&gt;=100000), " ",IF(INDEX($AD$2:$AU$1001,MATCH(ROWS($W$2:W201),$W$2:$W$1001,0),MATCH(COLUMNS($AD$1006:AS1006),$AD$1006:$AU$1006,0)), HYPERLINK("#",""), HYPERLINK(CONCATENATE("#metadata!", ADDRESS(INDEX($Y$2:$Y$1001,MATCH(ROWS($W$2:W201),$W$2:$W$1001,0),0), INDEX($AD$1004:$AU$1004,1,MATCH(COLUMNS($AD$1006:AS1006),$AD$1006:$AU$1006,0)))),"Fix")))</f>
        <v xml:space="preserve"> </v>
      </c>
      <c r="R201" s="4" t="str">
        <f ca="1">IF(OR(INDEX($X$2:$X$1001,MATCH(ROWS($W$2:W201),$W$2:$W$1001,0),1)&gt;=100000,INDEX($AD$1005:$AU$1005,1,MATCH(COLUMNS($AD$1006:AT1006),$AD$1006:$AU$1006,0))&gt;=100000), " ",IF(INDEX($AD$2:$AU$1001,MATCH(ROWS($W$2:W201),$W$2:$W$1001,0),MATCH(COLUMNS($AD$1006:AT1006),$AD$1006:$AU$1006,0)), HYPERLINK("#",""), HYPERLINK(CONCATENATE("#metadata!", ADDRESS(INDEX($Y$2:$Y$1001,MATCH(ROWS($W$2:W201),$W$2:$W$1001,0),0), INDEX($AD$1004:$AU$1004,1,MATCH(COLUMNS($AD$1006:AT1006),$AD$1006:$AU$1006,0)))),"Fix")))</f>
        <v xml:space="preserve"> </v>
      </c>
      <c r="S201" s="4" t="str">
        <f ca="1">IF(OR(INDEX($X$2:$X$1001,MATCH(ROWS($W$2:W201),$W$2:$W$1001,0),1)&gt;=100000,INDEX($AD$1005:$AU$1005,1,MATCH(COLUMNS($AD$1006:AU1006),$AD$1006:$AU$1006,0))&gt;=100000), " ",IF(INDEX($AD$2:$AU$1001,MATCH(ROWS($W$2:W201),$W$2:$W$1001,0),MATCH(COLUMNS($AD$1006:AU1006),$AD$1006:$AU$1006,0)), HYPERLINK("#",""), HYPERLINK(CONCATENATE("#metadata!", ADDRESS(INDEX($Y$2:$Y$1001,MATCH(ROWS($W$2:W201),$W$2:$W$1001,0),0), INDEX($AD$1004:$AU$1004,1,MATCH(COLUMNS($AD$1006:AU1006),$AD$1006:$AU$1006,0)))),"Fix")))</f>
        <v xml:space="preserve"> </v>
      </c>
      <c r="W201">
        <v>200</v>
      </c>
      <c r="X201">
        <v>100201</v>
      </c>
      <c r="Y201">
        <v>201</v>
      </c>
      <c r="Z201" t="b">
        <f t="shared" si="3"/>
        <v>1</v>
      </c>
      <c r="AA201" t="b">
        <f>COUNTBLANK(metadata!B201:S201)=COLUMNS(metadata!B201:S201)</f>
        <v>1</v>
      </c>
      <c r="AB201" t="str">
        <v/>
      </c>
      <c r="AD201" t="b">
        <f ca="1">AND(IF(metadata!B201="",FALSE,TRUE),COUNTIF(metadata!B:B, metadata!B201) = 1,NOT(ISERROR(SUMPRODUCT(SEARCH(MID(metadata!B201,ROW(INDIRECT("1:"&amp;LEN(metadata!B201))), 1),"0123456789abcdefghijklmnopqrstuvwxyzABCDEFGHIJKLMNOPQRSTUVWXYZ.")))))</f>
        <v>0</v>
      </c>
      <c r="AE201" t="b">
        <f>OR(AND(IF(metadata!C201="",FALSE,TRUE),OR(EXACT(metadata!C201,"not applicable"),EXACT(metadata!C201,"missing: not collected"),EXACT(metadata!C201,"missing: not provided"),EXACT(metadata!C201,"missing: restricted access"))),AND(IF(metadata!C201="",FALSE,ISNUMBER(VALUE(metadata!C201))),metadata!C201&gt;0))</f>
        <v>0</v>
      </c>
      <c r="AF201" t="b">
        <f>AND(IF(metadata!D201="",FALSE,TRUE),EXACT(metadata!D201,"missing: not provided"))</f>
        <v>0</v>
      </c>
      <c r="AG201" t="b">
        <f>AND(IF(metadata!E201="",FALSE,TRUE),EXACT(metadata!E201,"Host-associated"))</f>
        <v>0</v>
      </c>
      <c r="AH201" t="b">
        <f>AND(IF(metadata!F201="",FALSE,TRUE),OR(EXACT(metadata!F201,"Animal"),EXACT(metadata!F201,"Fungus"),EXACT(metadata!F201,"Plant")))</f>
        <v>0</v>
      </c>
      <c r="AI201" t="b">
        <f>AND(IF(metadata!G201="",FALSE,TRUE),OR(EXACT(metadata!G201,"Plant secretion"),EXACT(metadata!G201,"Plant rhizosphere"),EXACT(metadata!G201,"Plant surface"),EXACT(metadata!G201,"Plant corpus"),EXACT(metadata!G201,"Fungus surface"),EXACT(metadata!G201,"Fungus corpus"),EXACT(metadata!G201,"Animal surface"),EXACT(metadata!G201,"Animal proximal gut"),EXACT(metadata!G201,"Animal corpus"),EXACT(metadata!G201,"Animal distal gut"),EXACT(metadata!G201,"Animal secretion")))</f>
        <v>0</v>
      </c>
      <c r="AJ201" t="b">
        <f>OR(AND(IF(metadata!H201="",FALSE,TRUE),OR(EXACT(metadata!H201,"missing: not collected"),EXACT(metadata!H201,"missing: not provided"),EXACT(metadata!H201,"missing: restricted access"))),AND(IF(metadata!H201="",FALSE,TRUE),OR(EXACT(metadata!H201,"organism-associated habitat"),EXACT(metadata!H201,"plant-associated habitat"),EXACT(metadata!H201,"animal-associated habitat"),EXACT(metadata!H201,"insecta-associated habitat"),EXACT(metadata!H201,"mammalia-associated habitat"),EXACT(metadata!H201,"human-associated habitat"),EXACT(metadata!H201,"livestock-associated habitat"))))</f>
        <v>0</v>
      </c>
      <c r="AK201" t="b">
        <f>AND(IF(metadata!I201="",FALSE,TRUE),EXACT(metadata!I201,"host-associated"))</f>
        <v>0</v>
      </c>
      <c r="AL201" t="b">
        <f>OR(AND(IF(metadata!J201="",FALSE,TRUE),OR(EXACT(metadata!J201,"not applicable"),EXACT(metadata!J201,"missing: not collected"),EXACT(metadata!J201,"missing: not provided"),EXACT(metadata!J201,"missing: restricted access"))),AND(IF(metadata!J201="",FALSE,ISNUMBER(VALUE(metadata!J201))),metadata!J201&gt;0))</f>
        <v>0</v>
      </c>
      <c r="AM201" t="b">
        <f>AND(IF(metadata!K201="",FALSE,TRUE),EXACT(metadata!K201,"missing: not provided"))</f>
        <v>0</v>
      </c>
      <c r="AN201" t="b">
        <f>IF(metadata!L201="",FALSE,TRUE)</f>
        <v>0</v>
      </c>
      <c r="AO201" t="b">
        <f>IF(metadata!M201="",FALSE,TRUE)</f>
        <v>0</v>
      </c>
      <c r="AP201" t="b">
        <f>OR(AND(IF(metadata!N201="",FALSE,TRUE),OR(EXACT(metadata!N201,"not applicable"),EXACT(metadata!N201,"missing: not collected"),EXACT(metadata!N201,"missing: not provided"))),AND(IF(metadata!N201="",FALSE,IF(ISERROR(INT(metadata!N201)),FALSE,INT(metadata!N201)=metadata!N201)),metadata!N201&gt;0))</f>
        <v>0</v>
      </c>
      <c r="AQ201" t="b">
        <f>AND(IF(metadata!O201="",FALSE,TRUE),EXACT(metadata!O201,"Not applicable"))</f>
        <v>0</v>
      </c>
      <c r="AR201" t="b">
        <f>OR(AND(IF(metadata!P201="",FALSE,TRUE),OR(EXACT(metadata!P201,"not applicable"),EXACT(metadata!P201,"missing: not collected"),EXACT(metadata!P201,"missing: not provided"),EXACT(metadata!P201,"missing: restricted access"))),IF(metadata!P201="",FALSE,IF(ISERROR(INT(metadata!P201)),FALSE,INT(metadata!P201)=metadata!P201)))</f>
        <v>0</v>
      </c>
      <c r="AS201" t="b">
        <f>AND(IF(metadata!Q201="",FALSE,TRUE),EXACT(metadata!Q201,"Not applicable"))</f>
        <v>0</v>
      </c>
      <c r="AT201" t="b">
        <f>OR(AND(IF(metadata!R201="",FALSE,TRUE),OR(EXACT(metadata!R201,"not applicable"),EXACT(metadata!R201,"missing: not collected"),EXACT(metadata!R201,"missing: not provided"),EXACT(metadata!R201,"missing: restricted access"))),AND(IF(metadata!R201="",FALSE,ISNUMBER(VALUE(metadata!R201))),metadata!R201&gt;0))</f>
        <v>0</v>
      </c>
      <c r="AU201" t="b">
        <f>AND(IF(metadata!S201="",FALSE,TRUE),EXACT(metadata!S201,"missing: not provided"))</f>
        <v>0</v>
      </c>
    </row>
    <row r="202" spans="1:47" x14ac:dyDescent="0.2">
      <c r="A202" s="5" t="str">
        <f ca="1">IF(B202=" "," ",HYPERLINK(CONCATENATE("#metadata!",ADDRESS(INDEX($Y$2:$Y$1001,MATCH(ROWS($W$2:W202),$W$2:$W$1001,0),0),1)),INDEX($AB$2:$AB$1001,MATCH(ROWS($W$2:W202),$W$2:$W$1001,0),0)))</f>
        <v xml:space="preserve"> </v>
      </c>
      <c r="B202" s="4" t="str">
        <f ca="1">IF(OR(INDEX($X$2:$X$1001,MATCH(ROWS($W$2:W202),$W$2:$W$1001,0),1)&gt;=100000,INDEX($AD$1005:$AU$1005,1,MATCH(COLUMNS($AD$1006:AD1006),$AD$1006:$AU$1006,0))&gt;=100000), " ",IF(INDEX($AD$2:$AU$1001,MATCH(ROWS($W$2:W202),$W$2:$W$1001,0),MATCH(COLUMNS($AD$1006:AD1006),$AD$1006:$AU$1006,0)), HYPERLINK("#",""), HYPERLINK(CONCATENATE("#metadata!", ADDRESS(INDEX($Y$2:$Y$1001,MATCH(ROWS($W$2:W202),$W$2:$W$1001,0),0), INDEX($AD$1004:$AU$1004,1,MATCH(COLUMNS($AD$1006:AD1006),$AD$1006:$AU$1006,0)))),"Fix")))</f>
        <v xml:space="preserve"> </v>
      </c>
      <c r="C202" s="4" t="str">
        <f ca="1">IF(OR(INDEX($X$2:$X$1001,MATCH(ROWS($W$2:W202),$W$2:$W$1001,0),1)&gt;=100000,INDEX($AD$1005:$AU$1005,1,MATCH(COLUMNS($AD$1006:AE1006),$AD$1006:$AU$1006,0))&gt;=100000), " ",IF(INDEX($AD$2:$AU$1001,MATCH(ROWS($W$2:W202),$W$2:$W$1001,0),MATCH(COLUMNS($AD$1006:AE1006),$AD$1006:$AU$1006,0)), HYPERLINK("#",""), HYPERLINK(CONCATENATE("#metadata!", ADDRESS(INDEX($Y$2:$Y$1001,MATCH(ROWS($W$2:W202),$W$2:$W$1001,0),0), INDEX($AD$1004:$AU$1004,1,MATCH(COLUMNS($AD$1006:AE1006),$AD$1006:$AU$1006,0)))),"Fix")))</f>
        <v xml:space="preserve"> </v>
      </c>
      <c r="D202" s="4" t="str">
        <f ca="1">IF(OR(INDEX($X$2:$X$1001,MATCH(ROWS($W$2:W202),$W$2:$W$1001,0),1)&gt;=100000,INDEX($AD$1005:$AU$1005,1,MATCH(COLUMNS($AD$1006:AF1006),$AD$1006:$AU$1006,0))&gt;=100000), " ",IF(INDEX($AD$2:$AU$1001,MATCH(ROWS($W$2:W202),$W$2:$W$1001,0),MATCH(COLUMNS($AD$1006:AF1006),$AD$1006:$AU$1006,0)), HYPERLINK("#",""), HYPERLINK(CONCATENATE("#metadata!", ADDRESS(INDEX($Y$2:$Y$1001,MATCH(ROWS($W$2:W202),$W$2:$W$1001,0),0), INDEX($AD$1004:$AU$1004,1,MATCH(COLUMNS($AD$1006:AF1006),$AD$1006:$AU$1006,0)))),"Fix")))</f>
        <v xml:space="preserve"> </v>
      </c>
      <c r="E202" s="4" t="str">
        <f ca="1">IF(OR(INDEX($X$2:$X$1001,MATCH(ROWS($W$2:W202),$W$2:$W$1001,0),1)&gt;=100000,INDEX($AD$1005:$AU$1005,1,MATCH(COLUMNS($AD$1006:AG1006),$AD$1006:$AU$1006,0))&gt;=100000), " ",IF(INDEX($AD$2:$AU$1001,MATCH(ROWS($W$2:W202),$W$2:$W$1001,0),MATCH(COLUMNS($AD$1006:AG1006),$AD$1006:$AU$1006,0)), HYPERLINK("#",""), HYPERLINK(CONCATENATE("#metadata!", ADDRESS(INDEX($Y$2:$Y$1001,MATCH(ROWS($W$2:W202),$W$2:$W$1001,0),0), INDEX($AD$1004:$AU$1004,1,MATCH(COLUMNS($AD$1006:AG1006),$AD$1006:$AU$1006,0)))),"Fix")))</f>
        <v xml:space="preserve"> </v>
      </c>
      <c r="F202" s="4" t="str">
        <f ca="1">IF(OR(INDEX($X$2:$X$1001,MATCH(ROWS($W$2:W202),$W$2:$W$1001,0),1)&gt;=100000,INDEX($AD$1005:$AU$1005,1,MATCH(COLUMNS($AD$1006:AH1006),$AD$1006:$AU$1006,0))&gt;=100000), " ",IF(INDEX($AD$2:$AU$1001,MATCH(ROWS($W$2:W202),$W$2:$W$1001,0),MATCH(COLUMNS($AD$1006:AH1006),$AD$1006:$AU$1006,0)), HYPERLINK("#",""), HYPERLINK(CONCATENATE("#metadata!", ADDRESS(INDEX($Y$2:$Y$1001,MATCH(ROWS($W$2:W202),$W$2:$W$1001,0),0), INDEX($AD$1004:$AU$1004,1,MATCH(COLUMNS($AD$1006:AH1006),$AD$1006:$AU$1006,0)))),"Fix")))</f>
        <v xml:space="preserve"> </v>
      </c>
      <c r="G202" s="4" t="str">
        <f ca="1">IF(OR(INDEX($X$2:$X$1001,MATCH(ROWS($W$2:W202),$W$2:$W$1001,0),1)&gt;=100000,INDEX($AD$1005:$AU$1005,1,MATCH(COLUMNS($AD$1006:AI1006),$AD$1006:$AU$1006,0))&gt;=100000), " ",IF(INDEX($AD$2:$AU$1001,MATCH(ROWS($W$2:W202),$W$2:$W$1001,0),MATCH(COLUMNS($AD$1006:AI1006),$AD$1006:$AU$1006,0)), HYPERLINK("#",""), HYPERLINK(CONCATENATE("#metadata!", ADDRESS(INDEX($Y$2:$Y$1001,MATCH(ROWS($W$2:W202),$W$2:$W$1001,0),0), INDEX($AD$1004:$AU$1004,1,MATCH(COLUMNS($AD$1006:AI1006),$AD$1006:$AU$1006,0)))),"Fix")))</f>
        <v xml:space="preserve"> </v>
      </c>
      <c r="H202" s="4" t="str">
        <f ca="1">IF(OR(INDEX($X$2:$X$1001,MATCH(ROWS($W$2:W202),$W$2:$W$1001,0),1)&gt;=100000,INDEX($AD$1005:$AU$1005,1,MATCH(COLUMNS($AD$1006:AJ1006),$AD$1006:$AU$1006,0))&gt;=100000), " ",IF(INDEX($AD$2:$AU$1001,MATCH(ROWS($W$2:W202),$W$2:$W$1001,0),MATCH(COLUMNS($AD$1006:AJ1006),$AD$1006:$AU$1006,0)), HYPERLINK("#",""), HYPERLINK(CONCATENATE("#metadata!", ADDRESS(INDEX($Y$2:$Y$1001,MATCH(ROWS($W$2:W202),$W$2:$W$1001,0),0), INDEX($AD$1004:$AU$1004,1,MATCH(COLUMNS($AD$1006:AJ1006),$AD$1006:$AU$1006,0)))),"Fix")))</f>
        <v xml:space="preserve"> </v>
      </c>
      <c r="I202" s="4" t="str">
        <f ca="1">IF(OR(INDEX($X$2:$X$1001,MATCH(ROWS($W$2:W202),$W$2:$W$1001,0),1)&gt;=100000,INDEX($AD$1005:$AU$1005,1,MATCH(COLUMNS($AD$1006:AK1006),$AD$1006:$AU$1006,0))&gt;=100000), " ",IF(INDEX($AD$2:$AU$1001,MATCH(ROWS($W$2:W202),$W$2:$W$1001,0),MATCH(COLUMNS($AD$1006:AK1006),$AD$1006:$AU$1006,0)), HYPERLINK("#",""), HYPERLINK(CONCATENATE("#metadata!", ADDRESS(INDEX($Y$2:$Y$1001,MATCH(ROWS($W$2:W202),$W$2:$W$1001,0),0), INDEX($AD$1004:$AU$1004,1,MATCH(COLUMNS($AD$1006:AK1006),$AD$1006:$AU$1006,0)))),"Fix")))</f>
        <v xml:space="preserve"> </v>
      </c>
      <c r="J202" s="4" t="str">
        <f ca="1">IF(OR(INDEX($X$2:$X$1001,MATCH(ROWS($W$2:W202),$W$2:$W$1001,0),1)&gt;=100000,INDEX($AD$1005:$AU$1005,1,MATCH(COLUMNS($AD$1006:AL1006),$AD$1006:$AU$1006,0))&gt;=100000), " ",IF(INDEX($AD$2:$AU$1001,MATCH(ROWS($W$2:W202),$W$2:$W$1001,0),MATCH(COLUMNS($AD$1006:AL1006),$AD$1006:$AU$1006,0)), HYPERLINK("#",""), HYPERLINK(CONCATENATE("#metadata!", ADDRESS(INDEX($Y$2:$Y$1001,MATCH(ROWS($W$2:W202),$W$2:$W$1001,0),0), INDEX($AD$1004:$AU$1004,1,MATCH(COLUMNS($AD$1006:AL1006),$AD$1006:$AU$1006,0)))),"Fix")))</f>
        <v xml:space="preserve"> </v>
      </c>
      <c r="K202" s="4" t="str">
        <f ca="1">IF(OR(INDEX($X$2:$X$1001,MATCH(ROWS($W$2:W202),$W$2:$W$1001,0),1)&gt;=100000,INDEX($AD$1005:$AU$1005,1,MATCH(COLUMNS($AD$1006:AM1006),$AD$1006:$AU$1006,0))&gt;=100000), " ",IF(INDEX($AD$2:$AU$1001,MATCH(ROWS($W$2:W202),$W$2:$W$1001,0),MATCH(COLUMNS($AD$1006:AM1006),$AD$1006:$AU$1006,0)), HYPERLINK("#",""), HYPERLINK(CONCATENATE("#metadata!", ADDRESS(INDEX($Y$2:$Y$1001,MATCH(ROWS($W$2:W202),$W$2:$W$1001,0),0), INDEX($AD$1004:$AU$1004,1,MATCH(COLUMNS($AD$1006:AM1006),$AD$1006:$AU$1006,0)))),"Fix")))</f>
        <v xml:space="preserve"> </v>
      </c>
      <c r="L202" s="4" t="str">
        <f ca="1">IF(OR(INDEX($X$2:$X$1001,MATCH(ROWS($W$2:W202),$W$2:$W$1001,0),1)&gt;=100000,INDEX($AD$1005:$AU$1005,1,MATCH(COLUMNS($AD$1006:AN1006),$AD$1006:$AU$1006,0))&gt;=100000), " ",IF(INDEX($AD$2:$AU$1001,MATCH(ROWS($W$2:W202),$W$2:$W$1001,0),MATCH(COLUMNS($AD$1006:AN1006),$AD$1006:$AU$1006,0)), HYPERLINK("#",""), HYPERLINK(CONCATENATE("#metadata!", ADDRESS(INDEX($Y$2:$Y$1001,MATCH(ROWS($W$2:W202),$W$2:$W$1001,0),0), INDEX($AD$1004:$AU$1004,1,MATCH(COLUMNS($AD$1006:AN1006),$AD$1006:$AU$1006,0)))),"Fix")))</f>
        <v xml:space="preserve"> </v>
      </c>
      <c r="M202" s="4" t="str">
        <f ca="1">IF(OR(INDEX($X$2:$X$1001,MATCH(ROWS($W$2:W202),$W$2:$W$1001,0),1)&gt;=100000,INDEX($AD$1005:$AU$1005,1,MATCH(COLUMNS($AD$1006:AO1006),$AD$1006:$AU$1006,0))&gt;=100000), " ",IF(INDEX($AD$2:$AU$1001,MATCH(ROWS($W$2:W202),$W$2:$W$1001,0),MATCH(COLUMNS($AD$1006:AO1006),$AD$1006:$AU$1006,0)), HYPERLINK("#",""), HYPERLINK(CONCATENATE("#metadata!", ADDRESS(INDEX($Y$2:$Y$1001,MATCH(ROWS($W$2:W202),$W$2:$W$1001,0),0), INDEX($AD$1004:$AU$1004,1,MATCH(COLUMNS($AD$1006:AO1006),$AD$1006:$AU$1006,0)))),"Fix")))</f>
        <v xml:space="preserve"> </v>
      </c>
      <c r="N202" s="4" t="str">
        <f ca="1">IF(OR(INDEX($X$2:$X$1001,MATCH(ROWS($W$2:W202),$W$2:$W$1001,0),1)&gt;=100000,INDEX($AD$1005:$AU$1005,1,MATCH(COLUMNS($AD$1006:AP1006),$AD$1006:$AU$1006,0))&gt;=100000), " ",IF(INDEX($AD$2:$AU$1001,MATCH(ROWS($W$2:W202),$W$2:$W$1001,0),MATCH(COLUMNS($AD$1006:AP1006),$AD$1006:$AU$1006,0)), HYPERLINK("#",""), HYPERLINK(CONCATENATE("#metadata!", ADDRESS(INDEX($Y$2:$Y$1001,MATCH(ROWS($W$2:W202),$W$2:$W$1001,0),0), INDEX($AD$1004:$AU$1004,1,MATCH(COLUMNS($AD$1006:AP1006),$AD$1006:$AU$1006,0)))),"Fix")))</f>
        <v xml:space="preserve"> </v>
      </c>
      <c r="O202" s="4" t="str">
        <f ca="1">IF(OR(INDEX($X$2:$X$1001,MATCH(ROWS($W$2:W202),$W$2:$W$1001,0),1)&gt;=100000,INDEX($AD$1005:$AU$1005,1,MATCH(COLUMNS($AD$1006:AQ1006),$AD$1006:$AU$1006,0))&gt;=100000), " ",IF(INDEX($AD$2:$AU$1001,MATCH(ROWS($W$2:W202),$W$2:$W$1001,0),MATCH(COLUMNS($AD$1006:AQ1006),$AD$1006:$AU$1006,0)), HYPERLINK("#",""), HYPERLINK(CONCATENATE("#metadata!", ADDRESS(INDEX($Y$2:$Y$1001,MATCH(ROWS($W$2:W202),$W$2:$W$1001,0),0), INDEX($AD$1004:$AU$1004,1,MATCH(COLUMNS($AD$1006:AQ1006),$AD$1006:$AU$1006,0)))),"Fix")))</f>
        <v xml:space="preserve"> </v>
      </c>
      <c r="P202" s="4" t="str">
        <f ca="1">IF(OR(INDEX($X$2:$X$1001,MATCH(ROWS($W$2:W202),$W$2:$W$1001,0),1)&gt;=100000,INDEX($AD$1005:$AU$1005,1,MATCH(COLUMNS($AD$1006:AR1006),$AD$1006:$AU$1006,0))&gt;=100000), " ",IF(INDEX($AD$2:$AU$1001,MATCH(ROWS($W$2:W202),$W$2:$W$1001,0),MATCH(COLUMNS($AD$1006:AR1006),$AD$1006:$AU$1006,0)), HYPERLINK("#",""), HYPERLINK(CONCATENATE("#metadata!", ADDRESS(INDEX($Y$2:$Y$1001,MATCH(ROWS($W$2:W202),$W$2:$W$1001,0),0), INDEX($AD$1004:$AU$1004,1,MATCH(COLUMNS($AD$1006:AR1006),$AD$1006:$AU$1006,0)))),"Fix")))</f>
        <v xml:space="preserve"> </v>
      </c>
      <c r="Q202" s="4" t="str">
        <f ca="1">IF(OR(INDEX($X$2:$X$1001,MATCH(ROWS($W$2:W202),$W$2:$W$1001,0),1)&gt;=100000,INDEX($AD$1005:$AU$1005,1,MATCH(COLUMNS($AD$1006:AS1006),$AD$1006:$AU$1006,0))&gt;=100000), " ",IF(INDEX($AD$2:$AU$1001,MATCH(ROWS($W$2:W202),$W$2:$W$1001,0),MATCH(COLUMNS($AD$1006:AS1006),$AD$1006:$AU$1006,0)), HYPERLINK("#",""), HYPERLINK(CONCATENATE("#metadata!", ADDRESS(INDEX($Y$2:$Y$1001,MATCH(ROWS($W$2:W202),$W$2:$W$1001,0),0), INDEX($AD$1004:$AU$1004,1,MATCH(COLUMNS($AD$1006:AS1006),$AD$1006:$AU$1006,0)))),"Fix")))</f>
        <v xml:space="preserve"> </v>
      </c>
      <c r="R202" s="4" t="str">
        <f ca="1">IF(OR(INDEX($X$2:$X$1001,MATCH(ROWS($W$2:W202),$W$2:$W$1001,0),1)&gt;=100000,INDEX($AD$1005:$AU$1005,1,MATCH(COLUMNS($AD$1006:AT1006),$AD$1006:$AU$1006,0))&gt;=100000), " ",IF(INDEX($AD$2:$AU$1001,MATCH(ROWS($W$2:W202),$W$2:$W$1001,0),MATCH(COLUMNS($AD$1006:AT1006),$AD$1006:$AU$1006,0)), HYPERLINK("#",""), HYPERLINK(CONCATENATE("#metadata!", ADDRESS(INDEX($Y$2:$Y$1001,MATCH(ROWS($W$2:W202),$W$2:$W$1001,0),0), INDEX($AD$1004:$AU$1004,1,MATCH(COLUMNS($AD$1006:AT1006),$AD$1006:$AU$1006,0)))),"Fix")))</f>
        <v xml:space="preserve"> </v>
      </c>
      <c r="S202" s="4" t="str">
        <f ca="1">IF(OR(INDEX($X$2:$X$1001,MATCH(ROWS($W$2:W202),$W$2:$W$1001,0),1)&gt;=100000,INDEX($AD$1005:$AU$1005,1,MATCH(COLUMNS($AD$1006:AU1006),$AD$1006:$AU$1006,0))&gt;=100000), " ",IF(INDEX($AD$2:$AU$1001,MATCH(ROWS($W$2:W202),$W$2:$W$1001,0),MATCH(COLUMNS($AD$1006:AU1006),$AD$1006:$AU$1006,0)), HYPERLINK("#",""), HYPERLINK(CONCATENATE("#metadata!", ADDRESS(INDEX($Y$2:$Y$1001,MATCH(ROWS($W$2:W202),$W$2:$W$1001,0),0), INDEX($AD$1004:$AU$1004,1,MATCH(COLUMNS($AD$1006:AU1006),$AD$1006:$AU$1006,0)))),"Fix")))</f>
        <v xml:space="preserve"> </v>
      </c>
      <c r="W202">
        <v>201</v>
      </c>
      <c r="X202">
        <v>100202</v>
      </c>
      <c r="Y202">
        <v>202</v>
      </c>
      <c r="Z202" t="b">
        <f t="shared" si="3"/>
        <v>1</v>
      </c>
      <c r="AA202" t="b">
        <f>COUNTBLANK(metadata!B202:S202)=COLUMNS(metadata!B202:S202)</f>
        <v>1</v>
      </c>
      <c r="AB202" t="str">
        <v/>
      </c>
      <c r="AD202" t="b">
        <f ca="1">AND(IF(metadata!B202="",FALSE,TRUE),COUNTIF(metadata!B:B, metadata!B202) = 1,NOT(ISERROR(SUMPRODUCT(SEARCH(MID(metadata!B202,ROW(INDIRECT("1:"&amp;LEN(metadata!B202))), 1),"0123456789abcdefghijklmnopqrstuvwxyzABCDEFGHIJKLMNOPQRSTUVWXYZ.")))))</f>
        <v>0</v>
      </c>
      <c r="AE202" t="b">
        <f>OR(AND(IF(metadata!C202="",FALSE,TRUE),OR(EXACT(metadata!C202,"not applicable"),EXACT(metadata!C202,"missing: not collected"),EXACT(metadata!C202,"missing: not provided"),EXACT(metadata!C202,"missing: restricted access"))),AND(IF(metadata!C202="",FALSE,ISNUMBER(VALUE(metadata!C202))),metadata!C202&gt;0))</f>
        <v>0</v>
      </c>
      <c r="AF202" t="b">
        <f>AND(IF(metadata!D202="",FALSE,TRUE),EXACT(metadata!D202,"missing: not provided"))</f>
        <v>0</v>
      </c>
      <c r="AG202" t="b">
        <f>AND(IF(metadata!E202="",FALSE,TRUE),EXACT(metadata!E202,"Host-associated"))</f>
        <v>0</v>
      </c>
      <c r="AH202" t="b">
        <f>AND(IF(metadata!F202="",FALSE,TRUE),OR(EXACT(metadata!F202,"Animal"),EXACT(metadata!F202,"Fungus"),EXACT(metadata!F202,"Plant")))</f>
        <v>0</v>
      </c>
      <c r="AI202" t="b">
        <f>AND(IF(metadata!G202="",FALSE,TRUE),OR(EXACT(metadata!G202,"Plant secretion"),EXACT(metadata!G202,"Plant rhizosphere"),EXACT(metadata!G202,"Plant surface"),EXACT(metadata!G202,"Plant corpus"),EXACT(metadata!G202,"Fungus surface"),EXACT(metadata!G202,"Fungus corpus"),EXACT(metadata!G202,"Animal surface"),EXACT(metadata!G202,"Animal proximal gut"),EXACT(metadata!G202,"Animal corpus"),EXACT(metadata!G202,"Animal distal gut"),EXACT(metadata!G202,"Animal secretion")))</f>
        <v>0</v>
      </c>
      <c r="AJ202" t="b">
        <f>OR(AND(IF(metadata!H202="",FALSE,TRUE),OR(EXACT(metadata!H202,"missing: not collected"),EXACT(metadata!H202,"missing: not provided"),EXACT(metadata!H202,"missing: restricted access"))),AND(IF(metadata!H202="",FALSE,TRUE),OR(EXACT(metadata!H202,"organism-associated habitat"),EXACT(metadata!H202,"plant-associated habitat"),EXACT(metadata!H202,"animal-associated habitat"),EXACT(metadata!H202,"insecta-associated habitat"),EXACT(metadata!H202,"mammalia-associated habitat"),EXACT(metadata!H202,"human-associated habitat"),EXACT(metadata!H202,"livestock-associated habitat"))))</f>
        <v>0</v>
      </c>
      <c r="AK202" t="b">
        <f>AND(IF(metadata!I202="",FALSE,TRUE),EXACT(metadata!I202,"host-associated"))</f>
        <v>0</v>
      </c>
      <c r="AL202" t="b">
        <f>OR(AND(IF(metadata!J202="",FALSE,TRUE),OR(EXACT(metadata!J202,"not applicable"),EXACT(metadata!J202,"missing: not collected"),EXACT(metadata!J202,"missing: not provided"),EXACT(metadata!J202,"missing: restricted access"))),AND(IF(metadata!J202="",FALSE,ISNUMBER(VALUE(metadata!J202))),metadata!J202&gt;0))</f>
        <v>0</v>
      </c>
      <c r="AM202" t="b">
        <f>AND(IF(metadata!K202="",FALSE,TRUE),EXACT(metadata!K202,"missing: not provided"))</f>
        <v>0</v>
      </c>
      <c r="AN202" t="b">
        <f>IF(metadata!L202="",FALSE,TRUE)</f>
        <v>0</v>
      </c>
      <c r="AO202" t="b">
        <f>IF(metadata!M202="",FALSE,TRUE)</f>
        <v>0</v>
      </c>
      <c r="AP202" t="b">
        <f>OR(AND(IF(metadata!N202="",FALSE,TRUE),OR(EXACT(metadata!N202,"not applicable"),EXACT(metadata!N202,"missing: not collected"),EXACT(metadata!N202,"missing: not provided"))),AND(IF(metadata!N202="",FALSE,IF(ISERROR(INT(metadata!N202)),FALSE,INT(metadata!N202)=metadata!N202)),metadata!N202&gt;0))</f>
        <v>0</v>
      </c>
      <c r="AQ202" t="b">
        <f>AND(IF(metadata!O202="",FALSE,TRUE),EXACT(metadata!O202,"Not applicable"))</f>
        <v>0</v>
      </c>
      <c r="AR202" t="b">
        <f>OR(AND(IF(metadata!P202="",FALSE,TRUE),OR(EXACT(metadata!P202,"not applicable"),EXACT(metadata!P202,"missing: not collected"),EXACT(metadata!P202,"missing: not provided"),EXACT(metadata!P202,"missing: restricted access"))),IF(metadata!P202="",FALSE,IF(ISERROR(INT(metadata!P202)),FALSE,INT(metadata!P202)=metadata!P202)))</f>
        <v>0</v>
      </c>
      <c r="AS202" t="b">
        <f>AND(IF(metadata!Q202="",FALSE,TRUE),EXACT(metadata!Q202,"Not applicable"))</f>
        <v>0</v>
      </c>
      <c r="AT202" t="b">
        <f>OR(AND(IF(metadata!R202="",FALSE,TRUE),OR(EXACT(metadata!R202,"not applicable"),EXACT(metadata!R202,"missing: not collected"),EXACT(metadata!R202,"missing: not provided"),EXACT(metadata!R202,"missing: restricted access"))),AND(IF(metadata!R202="",FALSE,ISNUMBER(VALUE(metadata!R202))),metadata!R202&gt;0))</f>
        <v>0</v>
      </c>
      <c r="AU202" t="b">
        <f>AND(IF(metadata!S202="",FALSE,TRUE),EXACT(metadata!S202,"missing: not provided"))</f>
        <v>0</v>
      </c>
    </row>
    <row r="203" spans="1:47" x14ac:dyDescent="0.2">
      <c r="A203" s="5" t="str">
        <f ca="1">IF(B203=" "," ",HYPERLINK(CONCATENATE("#metadata!",ADDRESS(INDEX($Y$2:$Y$1001,MATCH(ROWS($W$2:W203),$W$2:$W$1001,0),0),1)),INDEX($AB$2:$AB$1001,MATCH(ROWS($W$2:W203),$W$2:$W$1001,0),0)))</f>
        <v xml:space="preserve"> </v>
      </c>
      <c r="B203" s="4" t="str">
        <f ca="1">IF(OR(INDEX($X$2:$X$1001,MATCH(ROWS($W$2:W203),$W$2:$W$1001,0),1)&gt;=100000,INDEX($AD$1005:$AU$1005,1,MATCH(COLUMNS($AD$1006:AD1006),$AD$1006:$AU$1006,0))&gt;=100000), " ",IF(INDEX($AD$2:$AU$1001,MATCH(ROWS($W$2:W203),$W$2:$W$1001,0),MATCH(COLUMNS($AD$1006:AD1006),$AD$1006:$AU$1006,0)), HYPERLINK("#",""), HYPERLINK(CONCATENATE("#metadata!", ADDRESS(INDEX($Y$2:$Y$1001,MATCH(ROWS($W$2:W203),$W$2:$W$1001,0),0), INDEX($AD$1004:$AU$1004,1,MATCH(COLUMNS($AD$1006:AD1006),$AD$1006:$AU$1006,0)))),"Fix")))</f>
        <v xml:space="preserve"> </v>
      </c>
      <c r="C203" s="4" t="str">
        <f ca="1">IF(OR(INDEX($X$2:$X$1001,MATCH(ROWS($W$2:W203),$W$2:$W$1001,0),1)&gt;=100000,INDEX($AD$1005:$AU$1005,1,MATCH(COLUMNS($AD$1006:AE1006),$AD$1006:$AU$1006,0))&gt;=100000), " ",IF(INDEX($AD$2:$AU$1001,MATCH(ROWS($W$2:W203),$W$2:$W$1001,0),MATCH(COLUMNS($AD$1006:AE1006),$AD$1006:$AU$1006,0)), HYPERLINK("#",""), HYPERLINK(CONCATENATE("#metadata!", ADDRESS(INDEX($Y$2:$Y$1001,MATCH(ROWS($W$2:W203),$W$2:$W$1001,0),0), INDEX($AD$1004:$AU$1004,1,MATCH(COLUMNS($AD$1006:AE1006),$AD$1006:$AU$1006,0)))),"Fix")))</f>
        <v xml:space="preserve"> </v>
      </c>
      <c r="D203" s="4" t="str">
        <f ca="1">IF(OR(INDEX($X$2:$X$1001,MATCH(ROWS($W$2:W203),$W$2:$W$1001,0),1)&gt;=100000,INDEX($AD$1005:$AU$1005,1,MATCH(COLUMNS($AD$1006:AF1006),$AD$1006:$AU$1006,0))&gt;=100000), " ",IF(INDEX($AD$2:$AU$1001,MATCH(ROWS($W$2:W203),$W$2:$W$1001,0),MATCH(COLUMNS($AD$1006:AF1006),$AD$1006:$AU$1006,0)), HYPERLINK("#",""), HYPERLINK(CONCATENATE("#metadata!", ADDRESS(INDEX($Y$2:$Y$1001,MATCH(ROWS($W$2:W203),$W$2:$W$1001,0),0), INDEX($AD$1004:$AU$1004,1,MATCH(COLUMNS($AD$1006:AF1006),$AD$1006:$AU$1006,0)))),"Fix")))</f>
        <v xml:space="preserve"> </v>
      </c>
      <c r="E203" s="4" t="str">
        <f ca="1">IF(OR(INDEX($X$2:$X$1001,MATCH(ROWS($W$2:W203),$W$2:$W$1001,0),1)&gt;=100000,INDEX($AD$1005:$AU$1005,1,MATCH(COLUMNS($AD$1006:AG1006),$AD$1006:$AU$1006,0))&gt;=100000), " ",IF(INDEX($AD$2:$AU$1001,MATCH(ROWS($W$2:W203),$W$2:$W$1001,0),MATCH(COLUMNS($AD$1006:AG1006),$AD$1006:$AU$1006,0)), HYPERLINK("#",""), HYPERLINK(CONCATENATE("#metadata!", ADDRESS(INDEX($Y$2:$Y$1001,MATCH(ROWS($W$2:W203),$W$2:$W$1001,0),0), INDEX($AD$1004:$AU$1004,1,MATCH(COLUMNS($AD$1006:AG1006),$AD$1006:$AU$1006,0)))),"Fix")))</f>
        <v xml:space="preserve"> </v>
      </c>
      <c r="F203" s="4" t="str">
        <f ca="1">IF(OR(INDEX($X$2:$X$1001,MATCH(ROWS($W$2:W203),$W$2:$W$1001,0),1)&gt;=100000,INDEX($AD$1005:$AU$1005,1,MATCH(COLUMNS($AD$1006:AH1006),$AD$1006:$AU$1006,0))&gt;=100000), " ",IF(INDEX($AD$2:$AU$1001,MATCH(ROWS($W$2:W203),$W$2:$W$1001,0),MATCH(COLUMNS($AD$1006:AH1006),$AD$1006:$AU$1006,0)), HYPERLINK("#",""), HYPERLINK(CONCATENATE("#metadata!", ADDRESS(INDEX($Y$2:$Y$1001,MATCH(ROWS($W$2:W203),$W$2:$W$1001,0),0), INDEX($AD$1004:$AU$1004,1,MATCH(COLUMNS($AD$1006:AH1006),$AD$1006:$AU$1006,0)))),"Fix")))</f>
        <v xml:space="preserve"> </v>
      </c>
      <c r="G203" s="4" t="str">
        <f ca="1">IF(OR(INDEX($X$2:$X$1001,MATCH(ROWS($W$2:W203),$W$2:$W$1001,0),1)&gt;=100000,INDEX($AD$1005:$AU$1005,1,MATCH(COLUMNS($AD$1006:AI1006),$AD$1006:$AU$1006,0))&gt;=100000), " ",IF(INDEX($AD$2:$AU$1001,MATCH(ROWS($W$2:W203),$W$2:$W$1001,0),MATCH(COLUMNS($AD$1006:AI1006),$AD$1006:$AU$1006,0)), HYPERLINK("#",""), HYPERLINK(CONCATENATE("#metadata!", ADDRESS(INDEX($Y$2:$Y$1001,MATCH(ROWS($W$2:W203),$W$2:$W$1001,0),0), INDEX($AD$1004:$AU$1004,1,MATCH(COLUMNS($AD$1006:AI1006),$AD$1006:$AU$1006,0)))),"Fix")))</f>
        <v xml:space="preserve"> </v>
      </c>
      <c r="H203" s="4" t="str">
        <f ca="1">IF(OR(INDEX($X$2:$X$1001,MATCH(ROWS($W$2:W203),$W$2:$W$1001,0),1)&gt;=100000,INDEX($AD$1005:$AU$1005,1,MATCH(COLUMNS($AD$1006:AJ1006),$AD$1006:$AU$1006,0))&gt;=100000), " ",IF(INDEX($AD$2:$AU$1001,MATCH(ROWS($W$2:W203),$W$2:$W$1001,0),MATCH(COLUMNS($AD$1006:AJ1006),$AD$1006:$AU$1006,0)), HYPERLINK("#",""), HYPERLINK(CONCATENATE("#metadata!", ADDRESS(INDEX($Y$2:$Y$1001,MATCH(ROWS($W$2:W203),$W$2:$W$1001,0),0), INDEX($AD$1004:$AU$1004,1,MATCH(COLUMNS($AD$1006:AJ1006),$AD$1006:$AU$1006,0)))),"Fix")))</f>
        <v xml:space="preserve"> </v>
      </c>
      <c r="I203" s="4" t="str">
        <f ca="1">IF(OR(INDEX($X$2:$X$1001,MATCH(ROWS($W$2:W203),$W$2:$W$1001,0),1)&gt;=100000,INDEX($AD$1005:$AU$1005,1,MATCH(COLUMNS($AD$1006:AK1006),$AD$1006:$AU$1006,0))&gt;=100000), " ",IF(INDEX($AD$2:$AU$1001,MATCH(ROWS($W$2:W203),$W$2:$W$1001,0),MATCH(COLUMNS($AD$1006:AK1006),$AD$1006:$AU$1006,0)), HYPERLINK("#",""), HYPERLINK(CONCATENATE("#metadata!", ADDRESS(INDEX($Y$2:$Y$1001,MATCH(ROWS($W$2:W203),$W$2:$W$1001,0),0), INDEX($AD$1004:$AU$1004,1,MATCH(COLUMNS($AD$1006:AK1006),$AD$1006:$AU$1006,0)))),"Fix")))</f>
        <v xml:space="preserve"> </v>
      </c>
      <c r="J203" s="4" t="str">
        <f ca="1">IF(OR(INDEX($X$2:$X$1001,MATCH(ROWS($W$2:W203),$W$2:$W$1001,0),1)&gt;=100000,INDEX($AD$1005:$AU$1005,1,MATCH(COLUMNS($AD$1006:AL1006),$AD$1006:$AU$1006,0))&gt;=100000), " ",IF(INDEX($AD$2:$AU$1001,MATCH(ROWS($W$2:W203),$W$2:$W$1001,0),MATCH(COLUMNS($AD$1006:AL1006),$AD$1006:$AU$1006,0)), HYPERLINK("#",""), HYPERLINK(CONCATENATE("#metadata!", ADDRESS(INDEX($Y$2:$Y$1001,MATCH(ROWS($W$2:W203),$W$2:$W$1001,0),0), INDEX($AD$1004:$AU$1004,1,MATCH(COLUMNS($AD$1006:AL1006),$AD$1006:$AU$1006,0)))),"Fix")))</f>
        <v xml:space="preserve"> </v>
      </c>
      <c r="K203" s="4" t="str">
        <f ca="1">IF(OR(INDEX($X$2:$X$1001,MATCH(ROWS($W$2:W203),$W$2:$W$1001,0),1)&gt;=100000,INDEX($AD$1005:$AU$1005,1,MATCH(COLUMNS($AD$1006:AM1006),$AD$1006:$AU$1006,0))&gt;=100000), " ",IF(INDEX($AD$2:$AU$1001,MATCH(ROWS($W$2:W203),$W$2:$W$1001,0),MATCH(COLUMNS($AD$1006:AM1006),$AD$1006:$AU$1006,0)), HYPERLINK("#",""), HYPERLINK(CONCATENATE("#metadata!", ADDRESS(INDEX($Y$2:$Y$1001,MATCH(ROWS($W$2:W203),$W$2:$W$1001,0),0), INDEX($AD$1004:$AU$1004,1,MATCH(COLUMNS($AD$1006:AM1006),$AD$1006:$AU$1006,0)))),"Fix")))</f>
        <v xml:space="preserve"> </v>
      </c>
      <c r="L203" s="4" t="str">
        <f ca="1">IF(OR(INDEX($X$2:$X$1001,MATCH(ROWS($W$2:W203),$W$2:$W$1001,0),1)&gt;=100000,INDEX($AD$1005:$AU$1005,1,MATCH(COLUMNS($AD$1006:AN1006),$AD$1006:$AU$1006,0))&gt;=100000), " ",IF(INDEX($AD$2:$AU$1001,MATCH(ROWS($W$2:W203),$W$2:$W$1001,0),MATCH(COLUMNS($AD$1006:AN1006),$AD$1006:$AU$1006,0)), HYPERLINK("#",""), HYPERLINK(CONCATENATE("#metadata!", ADDRESS(INDEX($Y$2:$Y$1001,MATCH(ROWS($W$2:W203),$W$2:$W$1001,0),0), INDEX($AD$1004:$AU$1004,1,MATCH(COLUMNS($AD$1006:AN1006),$AD$1006:$AU$1006,0)))),"Fix")))</f>
        <v xml:space="preserve"> </v>
      </c>
      <c r="M203" s="4" t="str">
        <f ca="1">IF(OR(INDEX($X$2:$X$1001,MATCH(ROWS($W$2:W203),$W$2:$W$1001,0),1)&gt;=100000,INDEX($AD$1005:$AU$1005,1,MATCH(COLUMNS($AD$1006:AO1006),$AD$1006:$AU$1006,0))&gt;=100000), " ",IF(INDEX($AD$2:$AU$1001,MATCH(ROWS($W$2:W203),$W$2:$W$1001,0),MATCH(COLUMNS($AD$1006:AO1006),$AD$1006:$AU$1006,0)), HYPERLINK("#",""), HYPERLINK(CONCATENATE("#metadata!", ADDRESS(INDEX($Y$2:$Y$1001,MATCH(ROWS($W$2:W203),$W$2:$W$1001,0),0), INDEX($AD$1004:$AU$1004,1,MATCH(COLUMNS($AD$1006:AO1006),$AD$1006:$AU$1006,0)))),"Fix")))</f>
        <v xml:space="preserve"> </v>
      </c>
      <c r="N203" s="4" t="str">
        <f ca="1">IF(OR(INDEX($X$2:$X$1001,MATCH(ROWS($W$2:W203),$W$2:$W$1001,0),1)&gt;=100000,INDEX($AD$1005:$AU$1005,1,MATCH(COLUMNS($AD$1006:AP1006),$AD$1006:$AU$1006,0))&gt;=100000), " ",IF(INDEX($AD$2:$AU$1001,MATCH(ROWS($W$2:W203),$W$2:$W$1001,0),MATCH(COLUMNS($AD$1006:AP1006),$AD$1006:$AU$1006,0)), HYPERLINK("#",""), HYPERLINK(CONCATENATE("#metadata!", ADDRESS(INDEX($Y$2:$Y$1001,MATCH(ROWS($W$2:W203),$W$2:$W$1001,0),0), INDEX($AD$1004:$AU$1004,1,MATCH(COLUMNS($AD$1006:AP1006),$AD$1006:$AU$1006,0)))),"Fix")))</f>
        <v xml:space="preserve"> </v>
      </c>
      <c r="O203" s="4" t="str">
        <f ca="1">IF(OR(INDEX($X$2:$X$1001,MATCH(ROWS($W$2:W203),$W$2:$W$1001,0),1)&gt;=100000,INDEX($AD$1005:$AU$1005,1,MATCH(COLUMNS($AD$1006:AQ1006),$AD$1006:$AU$1006,0))&gt;=100000), " ",IF(INDEX($AD$2:$AU$1001,MATCH(ROWS($W$2:W203),$W$2:$W$1001,0),MATCH(COLUMNS($AD$1006:AQ1006),$AD$1006:$AU$1006,0)), HYPERLINK("#",""), HYPERLINK(CONCATENATE("#metadata!", ADDRESS(INDEX($Y$2:$Y$1001,MATCH(ROWS($W$2:W203),$W$2:$W$1001,0),0), INDEX($AD$1004:$AU$1004,1,MATCH(COLUMNS($AD$1006:AQ1006),$AD$1006:$AU$1006,0)))),"Fix")))</f>
        <v xml:space="preserve"> </v>
      </c>
      <c r="P203" s="4" t="str">
        <f ca="1">IF(OR(INDEX($X$2:$X$1001,MATCH(ROWS($W$2:W203),$W$2:$W$1001,0),1)&gt;=100000,INDEX($AD$1005:$AU$1005,1,MATCH(COLUMNS($AD$1006:AR1006),$AD$1006:$AU$1006,0))&gt;=100000), " ",IF(INDEX($AD$2:$AU$1001,MATCH(ROWS($W$2:W203),$W$2:$W$1001,0),MATCH(COLUMNS($AD$1006:AR1006),$AD$1006:$AU$1006,0)), HYPERLINK("#",""), HYPERLINK(CONCATENATE("#metadata!", ADDRESS(INDEX($Y$2:$Y$1001,MATCH(ROWS($W$2:W203),$W$2:$W$1001,0),0), INDEX($AD$1004:$AU$1004,1,MATCH(COLUMNS($AD$1006:AR1006),$AD$1006:$AU$1006,0)))),"Fix")))</f>
        <v xml:space="preserve"> </v>
      </c>
      <c r="Q203" s="4" t="str">
        <f ca="1">IF(OR(INDEX($X$2:$X$1001,MATCH(ROWS($W$2:W203),$W$2:$W$1001,0),1)&gt;=100000,INDEX($AD$1005:$AU$1005,1,MATCH(COLUMNS($AD$1006:AS1006),$AD$1006:$AU$1006,0))&gt;=100000), " ",IF(INDEX($AD$2:$AU$1001,MATCH(ROWS($W$2:W203),$W$2:$W$1001,0),MATCH(COLUMNS($AD$1006:AS1006),$AD$1006:$AU$1006,0)), HYPERLINK("#",""), HYPERLINK(CONCATENATE("#metadata!", ADDRESS(INDEX($Y$2:$Y$1001,MATCH(ROWS($W$2:W203),$W$2:$W$1001,0),0), INDEX($AD$1004:$AU$1004,1,MATCH(COLUMNS($AD$1006:AS1006),$AD$1006:$AU$1006,0)))),"Fix")))</f>
        <v xml:space="preserve"> </v>
      </c>
      <c r="R203" s="4" t="str">
        <f ca="1">IF(OR(INDEX($X$2:$X$1001,MATCH(ROWS($W$2:W203),$W$2:$W$1001,0),1)&gt;=100000,INDEX($AD$1005:$AU$1005,1,MATCH(COLUMNS($AD$1006:AT1006),$AD$1006:$AU$1006,0))&gt;=100000), " ",IF(INDEX($AD$2:$AU$1001,MATCH(ROWS($W$2:W203),$W$2:$W$1001,0),MATCH(COLUMNS($AD$1006:AT1006),$AD$1006:$AU$1006,0)), HYPERLINK("#",""), HYPERLINK(CONCATENATE("#metadata!", ADDRESS(INDEX($Y$2:$Y$1001,MATCH(ROWS($W$2:W203),$W$2:$W$1001,0),0), INDEX($AD$1004:$AU$1004,1,MATCH(COLUMNS($AD$1006:AT1006),$AD$1006:$AU$1006,0)))),"Fix")))</f>
        <v xml:space="preserve"> </v>
      </c>
      <c r="S203" s="4" t="str">
        <f ca="1">IF(OR(INDEX($X$2:$X$1001,MATCH(ROWS($W$2:W203),$W$2:$W$1001,0),1)&gt;=100000,INDEX($AD$1005:$AU$1005,1,MATCH(COLUMNS($AD$1006:AU1006),$AD$1006:$AU$1006,0))&gt;=100000), " ",IF(INDEX($AD$2:$AU$1001,MATCH(ROWS($W$2:W203),$W$2:$W$1001,0),MATCH(COLUMNS($AD$1006:AU1006),$AD$1006:$AU$1006,0)), HYPERLINK("#",""), HYPERLINK(CONCATENATE("#metadata!", ADDRESS(INDEX($Y$2:$Y$1001,MATCH(ROWS($W$2:W203),$W$2:$W$1001,0),0), INDEX($AD$1004:$AU$1004,1,MATCH(COLUMNS($AD$1006:AU1006),$AD$1006:$AU$1006,0)))),"Fix")))</f>
        <v xml:space="preserve"> </v>
      </c>
      <c r="W203">
        <v>202</v>
      </c>
      <c r="X203">
        <v>100203</v>
      </c>
      <c r="Y203">
        <v>203</v>
      </c>
      <c r="Z203" t="b">
        <f t="shared" si="3"/>
        <v>1</v>
      </c>
      <c r="AA203" t="b">
        <f>COUNTBLANK(metadata!B203:S203)=COLUMNS(metadata!B203:S203)</f>
        <v>1</v>
      </c>
      <c r="AB203" t="str">
        <v/>
      </c>
      <c r="AD203" t="b">
        <f ca="1">AND(IF(metadata!B203="",FALSE,TRUE),COUNTIF(metadata!B:B, metadata!B203) = 1,NOT(ISERROR(SUMPRODUCT(SEARCH(MID(metadata!B203,ROW(INDIRECT("1:"&amp;LEN(metadata!B203))), 1),"0123456789abcdefghijklmnopqrstuvwxyzABCDEFGHIJKLMNOPQRSTUVWXYZ.")))))</f>
        <v>0</v>
      </c>
      <c r="AE203" t="b">
        <f>OR(AND(IF(metadata!C203="",FALSE,TRUE),OR(EXACT(metadata!C203,"not applicable"),EXACT(metadata!C203,"missing: not collected"),EXACT(metadata!C203,"missing: not provided"),EXACT(metadata!C203,"missing: restricted access"))),AND(IF(metadata!C203="",FALSE,ISNUMBER(VALUE(metadata!C203))),metadata!C203&gt;0))</f>
        <v>0</v>
      </c>
      <c r="AF203" t="b">
        <f>AND(IF(metadata!D203="",FALSE,TRUE),EXACT(metadata!D203,"missing: not provided"))</f>
        <v>0</v>
      </c>
      <c r="AG203" t="b">
        <f>AND(IF(metadata!E203="",FALSE,TRUE),EXACT(metadata!E203,"Host-associated"))</f>
        <v>0</v>
      </c>
      <c r="AH203" t="b">
        <f>AND(IF(metadata!F203="",FALSE,TRUE),OR(EXACT(metadata!F203,"Animal"),EXACT(metadata!F203,"Fungus"),EXACT(metadata!F203,"Plant")))</f>
        <v>0</v>
      </c>
      <c r="AI203" t="b">
        <f>AND(IF(metadata!G203="",FALSE,TRUE),OR(EXACT(metadata!G203,"Plant secretion"),EXACT(metadata!G203,"Plant rhizosphere"),EXACT(metadata!G203,"Plant surface"),EXACT(metadata!G203,"Plant corpus"),EXACT(metadata!G203,"Fungus surface"),EXACT(metadata!G203,"Fungus corpus"),EXACT(metadata!G203,"Animal surface"),EXACT(metadata!G203,"Animal proximal gut"),EXACT(metadata!G203,"Animal corpus"),EXACT(metadata!G203,"Animal distal gut"),EXACT(metadata!G203,"Animal secretion")))</f>
        <v>0</v>
      </c>
      <c r="AJ203" t="b">
        <f>OR(AND(IF(metadata!H203="",FALSE,TRUE),OR(EXACT(metadata!H203,"missing: not collected"),EXACT(metadata!H203,"missing: not provided"),EXACT(metadata!H203,"missing: restricted access"))),AND(IF(metadata!H203="",FALSE,TRUE),OR(EXACT(metadata!H203,"organism-associated habitat"),EXACT(metadata!H203,"plant-associated habitat"),EXACT(metadata!H203,"animal-associated habitat"),EXACT(metadata!H203,"insecta-associated habitat"),EXACT(metadata!H203,"mammalia-associated habitat"),EXACT(metadata!H203,"human-associated habitat"),EXACT(metadata!H203,"livestock-associated habitat"))))</f>
        <v>0</v>
      </c>
      <c r="AK203" t="b">
        <f>AND(IF(metadata!I203="",FALSE,TRUE),EXACT(metadata!I203,"host-associated"))</f>
        <v>0</v>
      </c>
      <c r="AL203" t="b">
        <f>OR(AND(IF(metadata!J203="",FALSE,TRUE),OR(EXACT(metadata!J203,"not applicable"),EXACT(metadata!J203,"missing: not collected"),EXACT(metadata!J203,"missing: not provided"),EXACT(metadata!J203,"missing: restricted access"))),AND(IF(metadata!J203="",FALSE,ISNUMBER(VALUE(metadata!J203))),metadata!J203&gt;0))</f>
        <v>0</v>
      </c>
      <c r="AM203" t="b">
        <f>AND(IF(metadata!K203="",FALSE,TRUE),EXACT(metadata!K203,"missing: not provided"))</f>
        <v>0</v>
      </c>
      <c r="AN203" t="b">
        <f>IF(metadata!L203="",FALSE,TRUE)</f>
        <v>0</v>
      </c>
      <c r="AO203" t="b">
        <f>IF(metadata!M203="",FALSE,TRUE)</f>
        <v>0</v>
      </c>
      <c r="AP203" t="b">
        <f>OR(AND(IF(metadata!N203="",FALSE,TRUE),OR(EXACT(metadata!N203,"not applicable"),EXACT(metadata!N203,"missing: not collected"),EXACT(metadata!N203,"missing: not provided"))),AND(IF(metadata!N203="",FALSE,IF(ISERROR(INT(metadata!N203)),FALSE,INT(metadata!N203)=metadata!N203)),metadata!N203&gt;0))</f>
        <v>0</v>
      </c>
      <c r="AQ203" t="b">
        <f>AND(IF(metadata!O203="",FALSE,TRUE),EXACT(metadata!O203,"Not applicable"))</f>
        <v>0</v>
      </c>
      <c r="AR203" t="b">
        <f>OR(AND(IF(metadata!P203="",FALSE,TRUE),OR(EXACT(metadata!P203,"not applicable"),EXACT(metadata!P203,"missing: not collected"),EXACT(metadata!P203,"missing: not provided"),EXACT(metadata!P203,"missing: restricted access"))),IF(metadata!P203="",FALSE,IF(ISERROR(INT(metadata!P203)),FALSE,INT(metadata!P203)=metadata!P203)))</f>
        <v>0</v>
      </c>
      <c r="AS203" t="b">
        <f>AND(IF(metadata!Q203="",FALSE,TRUE),EXACT(metadata!Q203,"Not applicable"))</f>
        <v>0</v>
      </c>
      <c r="AT203" t="b">
        <f>OR(AND(IF(metadata!R203="",FALSE,TRUE),OR(EXACT(metadata!R203,"not applicable"),EXACT(metadata!R203,"missing: not collected"),EXACT(metadata!R203,"missing: not provided"),EXACT(metadata!R203,"missing: restricted access"))),AND(IF(metadata!R203="",FALSE,ISNUMBER(VALUE(metadata!R203))),metadata!R203&gt;0))</f>
        <v>0</v>
      </c>
      <c r="AU203" t="b">
        <f>AND(IF(metadata!S203="",FALSE,TRUE),EXACT(metadata!S203,"missing: not provided"))</f>
        <v>0</v>
      </c>
    </row>
    <row r="204" spans="1:47" x14ac:dyDescent="0.2">
      <c r="A204" s="5" t="str">
        <f ca="1">IF(B204=" "," ",HYPERLINK(CONCATENATE("#metadata!",ADDRESS(INDEX($Y$2:$Y$1001,MATCH(ROWS($W$2:W204),$W$2:$W$1001,0),0),1)),INDEX($AB$2:$AB$1001,MATCH(ROWS($W$2:W204),$W$2:$W$1001,0),0)))</f>
        <v xml:space="preserve"> </v>
      </c>
      <c r="B204" s="4" t="str">
        <f ca="1">IF(OR(INDEX($X$2:$X$1001,MATCH(ROWS($W$2:W204),$W$2:$W$1001,0),1)&gt;=100000,INDEX($AD$1005:$AU$1005,1,MATCH(COLUMNS($AD$1006:AD1006),$AD$1006:$AU$1006,0))&gt;=100000), " ",IF(INDEX($AD$2:$AU$1001,MATCH(ROWS($W$2:W204),$W$2:$W$1001,0),MATCH(COLUMNS($AD$1006:AD1006),$AD$1006:$AU$1006,0)), HYPERLINK("#",""), HYPERLINK(CONCATENATE("#metadata!", ADDRESS(INDEX($Y$2:$Y$1001,MATCH(ROWS($W$2:W204),$W$2:$W$1001,0),0), INDEX($AD$1004:$AU$1004,1,MATCH(COLUMNS($AD$1006:AD1006),$AD$1006:$AU$1006,0)))),"Fix")))</f>
        <v xml:space="preserve"> </v>
      </c>
      <c r="C204" s="4" t="str">
        <f ca="1">IF(OR(INDEX($X$2:$X$1001,MATCH(ROWS($W$2:W204),$W$2:$W$1001,0),1)&gt;=100000,INDEX($AD$1005:$AU$1005,1,MATCH(COLUMNS($AD$1006:AE1006),$AD$1006:$AU$1006,0))&gt;=100000), " ",IF(INDEX($AD$2:$AU$1001,MATCH(ROWS($W$2:W204),$W$2:$W$1001,0),MATCH(COLUMNS($AD$1006:AE1006),$AD$1006:$AU$1006,0)), HYPERLINK("#",""), HYPERLINK(CONCATENATE("#metadata!", ADDRESS(INDEX($Y$2:$Y$1001,MATCH(ROWS($W$2:W204),$W$2:$W$1001,0),0), INDEX($AD$1004:$AU$1004,1,MATCH(COLUMNS($AD$1006:AE1006),$AD$1006:$AU$1006,0)))),"Fix")))</f>
        <v xml:space="preserve"> </v>
      </c>
      <c r="D204" s="4" t="str">
        <f ca="1">IF(OR(INDEX($X$2:$X$1001,MATCH(ROWS($W$2:W204),$W$2:$W$1001,0),1)&gt;=100000,INDEX($AD$1005:$AU$1005,1,MATCH(COLUMNS($AD$1006:AF1006),$AD$1006:$AU$1006,0))&gt;=100000), " ",IF(INDEX($AD$2:$AU$1001,MATCH(ROWS($W$2:W204),$W$2:$W$1001,0),MATCH(COLUMNS($AD$1006:AF1006),$AD$1006:$AU$1006,0)), HYPERLINK("#",""), HYPERLINK(CONCATENATE("#metadata!", ADDRESS(INDEX($Y$2:$Y$1001,MATCH(ROWS($W$2:W204),$W$2:$W$1001,0),0), INDEX($AD$1004:$AU$1004,1,MATCH(COLUMNS($AD$1006:AF1006),$AD$1006:$AU$1006,0)))),"Fix")))</f>
        <v xml:space="preserve"> </v>
      </c>
      <c r="E204" s="4" t="str">
        <f ca="1">IF(OR(INDEX($X$2:$X$1001,MATCH(ROWS($W$2:W204),$W$2:$W$1001,0),1)&gt;=100000,INDEX($AD$1005:$AU$1005,1,MATCH(COLUMNS($AD$1006:AG1006),$AD$1006:$AU$1006,0))&gt;=100000), " ",IF(INDEX($AD$2:$AU$1001,MATCH(ROWS($W$2:W204),$W$2:$W$1001,0),MATCH(COLUMNS($AD$1006:AG1006),$AD$1006:$AU$1006,0)), HYPERLINK("#",""), HYPERLINK(CONCATENATE("#metadata!", ADDRESS(INDEX($Y$2:$Y$1001,MATCH(ROWS($W$2:W204),$W$2:$W$1001,0),0), INDEX($AD$1004:$AU$1004,1,MATCH(COLUMNS($AD$1006:AG1006),$AD$1006:$AU$1006,0)))),"Fix")))</f>
        <v xml:space="preserve"> </v>
      </c>
      <c r="F204" s="4" t="str">
        <f ca="1">IF(OR(INDEX($X$2:$X$1001,MATCH(ROWS($W$2:W204),$W$2:$W$1001,0),1)&gt;=100000,INDEX($AD$1005:$AU$1005,1,MATCH(COLUMNS($AD$1006:AH1006),$AD$1006:$AU$1006,0))&gt;=100000), " ",IF(INDEX($AD$2:$AU$1001,MATCH(ROWS($W$2:W204),$W$2:$W$1001,0),MATCH(COLUMNS($AD$1006:AH1006),$AD$1006:$AU$1006,0)), HYPERLINK("#",""), HYPERLINK(CONCATENATE("#metadata!", ADDRESS(INDEX($Y$2:$Y$1001,MATCH(ROWS($W$2:W204),$W$2:$W$1001,0),0), INDEX($AD$1004:$AU$1004,1,MATCH(COLUMNS($AD$1006:AH1006),$AD$1006:$AU$1006,0)))),"Fix")))</f>
        <v xml:space="preserve"> </v>
      </c>
      <c r="G204" s="4" t="str">
        <f ca="1">IF(OR(INDEX($X$2:$X$1001,MATCH(ROWS($W$2:W204),$W$2:$W$1001,0),1)&gt;=100000,INDEX($AD$1005:$AU$1005,1,MATCH(COLUMNS($AD$1006:AI1006),$AD$1006:$AU$1006,0))&gt;=100000), " ",IF(INDEX($AD$2:$AU$1001,MATCH(ROWS($W$2:W204),$W$2:$W$1001,0),MATCH(COLUMNS($AD$1006:AI1006),$AD$1006:$AU$1006,0)), HYPERLINK("#",""), HYPERLINK(CONCATENATE("#metadata!", ADDRESS(INDEX($Y$2:$Y$1001,MATCH(ROWS($W$2:W204),$W$2:$W$1001,0),0), INDEX($AD$1004:$AU$1004,1,MATCH(COLUMNS($AD$1006:AI1006),$AD$1006:$AU$1006,0)))),"Fix")))</f>
        <v xml:space="preserve"> </v>
      </c>
      <c r="H204" s="4" t="str">
        <f ca="1">IF(OR(INDEX($X$2:$X$1001,MATCH(ROWS($W$2:W204),$W$2:$W$1001,0),1)&gt;=100000,INDEX($AD$1005:$AU$1005,1,MATCH(COLUMNS($AD$1006:AJ1006),$AD$1006:$AU$1006,0))&gt;=100000), " ",IF(INDEX($AD$2:$AU$1001,MATCH(ROWS($W$2:W204),$W$2:$W$1001,0),MATCH(COLUMNS($AD$1006:AJ1006),$AD$1006:$AU$1006,0)), HYPERLINK("#",""), HYPERLINK(CONCATENATE("#metadata!", ADDRESS(INDEX($Y$2:$Y$1001,MATCH(ROWS($W$2:W204),$W$2:$W$1001,0),0), INDEX($AD$1004:$AU$1004,1,MATCH(COLUMNS($AD$1006:AJ1006),$AD$1006:$AU$1006,0)))),"Fix")))</f>
        <v xml:space="preserve"> </v>
      </c>
      <c r="I204" s="4" t="str">
        <f ca="1">IF(OR(INDEX($X$2:$X$1001,MATCH(ROWS($W$2:W204),$W$2:$W$1001,0),1)&gt;=100000,INDEX($AD$1005:$AU$1005,1,MATCH(COLUMNS($AD$1006:AK1006),$AD$1006:$AU$1006,0))&gt;=100000), " ",IF(INDEX($AD$2:$AU$1001,MATCH(ROWS($W$2:W204),$W$2:$W$1001,0),MATCH(COLUMNS($AD$1006:AK1006),$AD$1006:$AU$1006,0)), HYPERLINK("#",""), HYPERLINK(CONCATENATE("#metadata!", ADDRESS(INDEX($Y$2:$Y$1001,MATCH(ROWS($W$2:W204),$W$2:$W$1001,0),0), INDEX($AD$1004:$AU$1004,1,MATCH(COLUMNS($AD$1006:AK1006),$AD$1006:$AU$1006,0)))),"Fix")))</f>
        <v xml:space="preserve"> </v>
      </c>
      <c r="J204" s="4" t="str">
        <f ca="1">IF(OR(INDEX($X$2:$X$1001,MATCH(ROWS($W$2:W204),$W$2:$W$1001,0),1)&gt;=100000,INDEX($AD$1005:$AU$1005,1,MATCH(COLUMNS($AD$1006:AL1006),$AD$1006:$AU$1006,0))&gt;=100000), " ",IF(INDEX($AD$2:$AU$1001,MATCH(ROWS($W$2:W204),$W$2:$W$1001,0),MATCH(COLUMNS($AD$1006:AL1006),$AD$1006:$AU$1006,0)), HYPERLINK("#",""), HYPERLINK(CONCATENATE("#metadata!", ADDRESS(INDEX($Y$2:$Y$1001,MATCH(ROWS($W$2:W204),$W$2:$W$1001,0),0), INDEX($AD$1004:$AU$1004,1,MATCH(COLUMNS($AD$1006:AL1006),$AD$1006:$AU$1006,0)))),"Fix")))</f>
        <v xml:space="preserve"> </v>
      </c>
      <c r="K204" s="4" t="str">
        <f ca="1">IF(OR(INDEX($X$2:$X$1001,MATCH(ROWS($W$2:W204),$W$2:$W$1001,0),1)&gt;=100000,INDEX($AD$1005:$AU$1005,1,MATCH(COLUMNS($AD$1006:AM1006),$AD$1006:$AU$1006,0))&gt;=100000), " ",IF(INDEX($AD$2:$AU$1001,MATCH(ROWS($W$2:W204),$W$2:$W$1001,0),MATCH(COLUMNS($AD$1006:AM1006),$AD$1006:$AU$1006,0)), HYPERLINK("#",""), HYPERLINK(CONCATENATE("#metadata!", ADDRESS(INDEX($Y$2:$Y$1001,MATCH(ROWS($W$2:W204),$W$2:$W$1001,0),0), INDEX($AD$1004:$AU$1004,1,MATCH(COLUMNS($AD$1006:AM1006),$AD$1006:$AU$1006,0)))),"Fix")))</f>
        <v xml:space="preserve"> </v>
      </c>
      <c r="L204" s="4" t="str">
        <f ca="1">IF(OR(INDEX($X$2:$X$1001,MATCH(ROWS($W$2:W204),$W$2:$W$1001,0),1)&gt;=100000,INDEX($AD$1005:$AU$1005,1,MATCH(COLUMNS($AD$1006:AN1006),$AD$1006:$AU$1006,0))&gt;=100000), " ",IF(INDEX($AD$2:$AU$1001,MATCH(ROWS($W$2:W204),$W$2:$W$1001,0),MATCH(COLUMNS($AD$1006:AN1006),$AD$1006:$AU$1006,0)), HYPERLINK("#",""), HYPERLINK(CONCATENATE("#metadata!", ADDRESS(INDEX($Y$2:$Y$1001,MATCH(ROWS($W$2:W204),$W$2:$W$1001,0),0), INDEX($AD$1004:$AU$1004,1,MATCH(COLUMNS($AD$1006:AN1006),$AD$1006:$AU$1006,0)))),"Fix")))</f>
        <v xml:space="preserve"> </v>
      </c>
      <c r="M204" s="4" t="str">
        <f ca="1">IF(OR(INDEX($X$2:$X$1001,MATCH(ROWS($W$2:W204),$W$2:$W$1001,0),1)&gt;=100000,INDEX($AD$1005:$AU$1005,1,MATCH(COLUMNS($AD$1006:AO1006),$AD$1006:$AU$1006,0))&gt;=100000), " ",IF(INDEX($AD$2:$AU$1001,MATCH(ROWS($W$2:W204),$W$2:$W$1001,0),MATCH(COLUMNS($AD$1006:AO1006),$AD$1006:$AU$1006,0)), HYPERLINK("#",""), HYPERLINK(CONCATENATE("#metadata!", ADDRESS(INDEX($Y$2:$Y$1001,MATCH(ROWS($W$2:W204),$W$2:$W$1001,0),0), INDEX($AD$1004:$AU$1004,1,MATCH(COLUMNS($AD$1006:AO1006),$AD$1006:$AU$1006,0)))),"Fix")))</f>
        <v xml:space="preserve"> </v>
      </c>
      <c r="N204" s="4" t="str">
        <f ca="1">IF(OR(INDEX($X$2:$X$1001,MATCH(ROWS($W$2:W204),$W$2:$W$1001,0),1)&gt;=100000,INDEX($AD$1005:$AU$1005,1,MATCH(COLUMNS($AD$1006:AP1006),$AD$1006:$AU$1006,0))&gt;=100000), " ",IF(INDEX($AD$2:$AU$1001,MATCH(ROWS($W$2:W204),$W$2:$W$1001,0),MATCH(COLUMNS($AD$1006:AP1006),$AD$1006:$AU$1006,0)), HYPERLINK("#",""), HYPERLINK(CONCATENATE("#metadata!", ADDRESS(INDEX($Y$2:$Y$1001,MATCH(ROWS($W$2:W204),$W$2:$W$1001,0),0), INDEX($AD$1004:$AU$1004,1,MATCH(COLUMNS($AD$1006:AP1006),$AD$1006:$AU$1006,0)))),"Fix")))</f>
        <v xml:space="preserve"> </v>
      </c>
      <c r="O204" s="4" t="str">
        <f ca="1">IF(OR(INDEX($X$2:$X$1001,MATCH(ROWS($W$2:W204),$W$2:$W$1001,0),1)&gt;=100000,INDEX($AD$1005:$AU$1005,1,MATCH(COLUMNS($AD$1006:AQ1006),$AD$1006:$AU$1006,0))&gt;=100000), " ",IF(INDEX($AD$2:$AU$1001,MATCH(ROWS($W$2:W204),$W$2:$W$1001,0),MATCH(COLUMNS($AD$1006:AQ1006),$AD$1006:$AU$1006,0)), HYPERLINK("#",""), HYPERLINK(CONCATENATE("#metadata!", ADDRESS(INDEX($Y$2:$Y$1001,MATCH(ROWS($W$2:W204),$W$2:$W$1001,0),0), INDEX($AD$1004:$AU$1004,1,MATCH(COLUMNS($AD$1006:AQ1006),$AD$1006:$AU$1006,0)))),"Fix")))</f>
        <v xml:space="preserve"> </v>
      </c>
      <c r="P204" s="4" t="str">
        <f ca="1">IF(OR(INDEX($X$2:$X$1001,MATCH(ROWS($W$2:W204),$W$2:$W$1001,0),1)&gt;=100000,INDEX($AD$1005:$AU$1005,1,MATCH(COLUMNS($AD$1006:AR1006),$AD$1006:$AU$1006,0))&gt;=100000), " ",IF(INDEX($AD$2:$AU$1001,MATCH(ROWS($W$2:W204),$W$2:$W$1001,0),MATCH(COLUMNS($AD$1006:AR1006),$AD$1006:$AU$1006,0)), HYPERLINK("#",""), HYPERLINK(CONCATENATE("#metadata!", ADDRESS(INDEX($Y$2:$Y$1001,MATCH(ROWS($W$2:W204),$W$2:$W$1001,0),0), INDEX($AD$1004:$AU$1004,1,MATCH(COLUMNS($AD$1006:AR1006),$AD$1006:$AU$1006,0)))),"Fix")))</f>
        <v xml:space="preserve"> </v>
      </c>
      <c r="Q204" s="4" t="str">
        <f ca="1">IF(OR(INDEX($X$2:$X$1001,MATCH(ROWS($W$2:W204),$W$2:$W$1001,0),1)&gt;=100000,INDEX($AD$1005:$AU$1005,1,MATCH(COLUMNS($AD$1006:AS1006),$AD$1006:$AU$1006,0))&gt;=100000), " ",IF(INDEX($AD$2:$AU$1001,MATCH(ROWS($W$2:W204),$W$2:$W$1001,0),MATCH(COLUMNS($AD$1006:AS1006),$AD$1006:$AU$1006,0)), HYPERLINK("#",""), HYPERLINK(CONCATENATE("#metadata!", ADDRESS(INDEX($Y$2:$Y$1001,MATCH(ROWS($W$2:W204),$W$2:$W$1001,0),0), INDEX($AD$1004:$AU$1004,1,MATCH(COLUMNS($AD$1006:AS1006),$AD$1006:$AU$1006,0)))),"Fix")))</f>
        <v xml:space="preserve"> </v>
      </c>
      <c r="R204" s="4" t="str">
        <f ca="1">IF(OR(INDEX($X$2:$X$1001,MATCH(ROWS($W$2:W204),$W$2:$W$1001,0),1)&gt;=100000,INDEX($AD$1005:$AU$1005,1,MATCH(COLUMNS($AD$1006:AT1006),$AD$1006:$AU$1006,0))&gt;=100000), " ",IF(INDEX($AD$2:$AU$1001,MATCH(ROWS($W$2:W204),$W$2:$W$1001,0),MATCH(COLUMNS($AD$1006:AT1006),$AD$1006:$AU$1006,0)), HYPERLINK("#",""), HYPERLINK(CONCATENATE("#metadata!", ADDRESS(INDEX($Y$2:$Y$1001,MATCH(ROWS($W$2:W204),$W$2:$W$1001,0),0), INDEX($AD$1004:$AU$1004,1,MATCH(COLUMNS($AD$1006:AT1006),$AD$1006:$AU$1006,0)))),"Fix")))</f>
        <v xml:space="preserve"> </v>
      </c>
      <c r="S204" s="4" t="str">
        <f ca="1">IF(OR(INDEX($X$2:$X$1001,MATCH(ROWS($W$2:W204),$W$2:$W$1001,0),1)&gt;=100000,INDEX($AD$1005:$AU$1005,1,MATCH(COLUMNS($AD$1006:AU1006),$AD$1006:$AU$1006,0))&gt;=100000), " ",IF(INDEX($AD$2:$AU$1001,MATCH(ROWS($W$2:W204),$W$2:$W$1001,0),MATCH(COLUMNS($AD$1006:AU1006),$AD$1006:$AU$1006,0)), HYPERLINK("#",""), HYPERLINK(CONCATENATE("#metadata!", ADDRESS(INDEX($Y$2:$Y$1001,MATCH(ROWS($W$2:W204),$W$2:$W$1001,0),0), INDEX($AD$1004:$AU$1004,1,MATCH(COLUMNS($AD$1006:AU1006),$AD$1006:$AU$1006,0)))),"Fix")))</f>
        <v xml:space="preserve"> </v>
      </c>
      <c r="W204">
        <v>203</v>
      </c>
      <c r="X204">
        <v>100204</v>
      </c>
      <c r="Y204">
        <v>204</v>
      </c>
      <c r="Z204" t="b">
        <f t="shared" si="3"/>
        <v>1</v>
      </c>
      <c r="AA204" t="b">
        <f>COUNTBLANK(metadata!B204:S204)=COLUMNS(metadata!B204:S204)</f>
        <v>1</v>
      </c>
      <c r="AB204" t="str">
        <v/>
      </c>
      <c r="AD204" t="b">
        <f ca="1">AND(IF(metadata!B204="",FALSE,TRUE),COUNTIF(metadata!B:B, metadata!B204) = 1,NOT(ISERROR(SUMPRODUCT(SEARCH(MID(metadata!B204,ROW(INDIRECT("1:"&amp;LEN(metadata!B204))), 1),"0123456789abcdefghijklmnopqrstuvwxyzABCDEFGHIJKLMNOPQRSTUVWXYZ.")))))</f>
        <v>0</v>
      </c>
      <c r="AE204" t="b">
        <f>OR(AND(IF(metadata!C204="",FALSE,TRUE),OR(EXACT(metadata!C204,"not applicable"),EXACT(metadata!C204,"missing: not collected"),EXACT(metadata!C204,"missing: not provided"),EXACT(metadata!C204,"missing: restricted access"))),AND(IF(metadata!C204="",FALSE,ISNUMBER(VALUE(metadata!C204))),metadata!C204&gt;0))</f>
        <v>0</v>
      </c>
      <c r="AF204" t="b">
        <f>AND(IF(metadata!D204="",FALSE,TRUE),EXACT(metadata!D204,"missing: not provided"))</f>
        <v>0</v>
      </c>
      <c r="AG204" t="b">
        <f>AND(IF(metadata!E204="",FALSE,TRUE),EXACT(metadata!E204,"Host-associated"))</f>
        <v>0</v>
      </c>
      <c r="AH204" t="b">
        <f>AND(IF(metadata!F204="",FALSE,TRUE),OR(EXACT(metadata!F204,"Animal"),EXACT(metadata!F204,"Fungus"),EXACT(metadata!F204,"Plant")))</f>
        <v>0</v>
      </c>
      <c r="AI204" t="b">
        <f>AND(IF(metadata!G204="",FALSE,TRUE),OR(EXACT(metadata!G204,"Plant secretion"),EXACT(metadata!G204,"Plant rhizosphere"),EXACT(metadata!G204,"Plant surface"),EXACT(metadata!G204,"Plant corpus"),EXACT(metadata!G204,"Fungus surface"),EXACT(metadata!G204,"Fungus corpus"),EXACT(metadata!G204,"Animal surface"),EXACT(metadata!G204,"Animal proximal gut"),EXACT(metadata!G204,"Animal corpus"),EXACT(metadata!G204,"Animal distal gut"),EXACT(metadata!G204,"Animal secretion")))</f>
        <v>0</v>
      </c>
      <c r="AJ204" t="b">
        <f>OR(AND(IF(metadata!H204="",FALSE,TRUE),OR(EXACT(metadata!H204,"missing: not collected"),EXACT(metadata!H204,"missing: not provided"),EXACT(metadata!H204,"missing: restricted access"))),AND(IF(metadata!H204="",FALSE,TRUE),OR(EXACT(metadata!H204,"organism-associated habitat"),EXACT(metadata!H204,"plant-associated habitat"),EXACT(metadata!H204,"animal-associated habitat"),EXACT(metadata!H204,"insecta-associated habitat"),EXACT(metadata!H204,"mammalia-associated habitat"),EXACT(metadata!H204,"human-associated habitat"),EXACT(metadata!H204,"livestock-associated habitat"))))</f>
        <v>0</v>
      </c>
      <c r="AK204" t="b">
        <f>AND(IF(metadata!I204="",FALSE,TRUE),EXACT(metadata!I204,"host-associated"))</f>
        <v>0</v>
      </c>
      <c r="AL204" t="b">
        <f>OR(AND(IF(metadata!J204="",FALSE,TRUE),OR(EXACT(metadata!J204,"not applicable"),EXACT(metadata!J204,"missing: not collected"),EXACT(metadata!J204,"missing: not provided"),EXACT(metadata!J204,"missing: restricted access"))),AND(IF(metadata!J204="",FALSE,ISNUMBER(VALUE(metadata!J204))),metadata!J204&gt;0))</f>
        <v>0</v>
      </c>
      <c r="AM204" t="b">
        <f>AND(IF(metadata!K204="",FALSE,TRUE),EXACT(metadata!K204,"missing: not provided"))</f>
        <v>0</v>
      </c>
      <c r="AN204" t="b">
        <f>IF(metadata!L204="",FALSE,TRUE)</f>
        <v>0</v>
      </c>
      <c r="AO204" t="b">
        <f>IF(metadata!M204="",FALSE,TRUE)</f>
        <v>0</v>
      </c>
      <c r="AP204" t="b">
        <f>OR(AND(IF(metadata!N204="",FALSE,TRUE),OR(EXACT(metadata!N204,"not applicable"),EXACT(metadata!N204,"missing: not collected"),EXACT(metadata!N204,"missing: not provided"))),AND(IF(metadata!N204="",FALSE,IF(ISERROR(INT(metadata!N204)),FALSE,INT(metadata!N204)=metadata!N204)),metadata!N204&gt;0))</f>
        <v>0</v>
      </c>
      <c r="AQ204" t="b">
        <f>AND(IF(metadata!O204="",FALSE,TRUE),EXACT(metadata!O204,"Not applicable"))</f>
        <v>0</v>
      </c>
      <c r="AR204" t="b">
        <f>OR(AND(IF(metadata!P204="",FALSE,TRUE),OR(EXACT(metadata!P204,"not applicable"),EXACT(metadata!P204,"missing: not collected"),EXACT(metadata!P204,"missing: not provided"),EXACT(metadata!P204,"missing: restricted access"))),IF(metadata!P204="",FALSE,IF(ISERROR(INT(metadata!P204)),FALSE,INT(metadata!P204)=metadata!P204)))</f>
        <v>0</v>
      </c>
      <c r="AS204" t="b">
        <f>AND(IF(metadata!Q204="",FALSE,TRUE),EXACT(metadata!Q204,"Not applicable"))</f>
        <v>0</v>
      </c>
      <c r="AT204" t="b">
        <f>OR(AND(IF(metadata!R204="",FALSE,TRUE),OR(EXACT(metadata!R204,"not applicable"),EXACT(metadata!R204,"missing: not collected"),EXACT(metadata!R204,"missing: not provided"),EXACT(metadata!R204,"missing: restricted access"))),AND(IF(metadata!R204="",FALSE,ISNUMBER(VALUE(metadata!R204))),metadata!R204&gt;0))</f>
        <v>0</v>
      </c>
      <c r="AU204" t="b">
        <f>AND(IF(metadata!S204="",FALSE,TRUE),EXACT(metadata!S204,"missing: not provided"))</f>
        <v>0</v>
      </c>
    </row>
    <row r="205" spans="1:47" x14ac:dyDescent="0.2">
      <c r="A205" s="5" t="str">
        <f ca="1">IF(B205=" "," ",HYPERLINK(CONCATENATE("#metadata!",ADDRESS(INDEX($Y$2:$Y$1001,MATCH(ROWS($W$2:W205),$W$2:$W$1001,0),0),1)),INDEX($AB$2:$AB$1001,MATCH(ROWS($W$2:W205),$W$2:$W$1001,0),0)))</f>
        <v xml:space="preserve"> </v>
      </c>
      <c r="B205" s="4" t="str">
        <f ca="1">IF(OR(INDEX($X$2:$X$1001,MATCH(ROWS($W$2:W205),$W$2:$W$1001,0),1)&gt;=100000,INDEX($AD$1005:$AU$1005,1,MATCH(COLUMNS($AD$1006:AD1006),$AD$1006:$AU$1006,0))&gt;=100000), " ",IF(INDEX($AD$2:$AU$1001,MATCH(ROWS($W$2:W205),$W$2:$W$1001,0),MATCH(COLUMNS($AD$1006:AD1006),$AD$1006:$AU$1006,0)), HYPERLINK("#",""), HYPERLINK(CONCATENATE("#metadata!", ADDRESS(INDEX($Y$2:$Y$1001,MATCH(ROWS($W$2:W205),$W$2:$W$1001,0),0), INDEX($AD$1004:$AU$1004,1,MATCH(COLUMNS($AD$1006:AD1006),$AD$1006:$AU$1006,0)))),"Fix")))</f>
        <v xml:space="preserve"> </v>
      </c>
      <c r="C205" s="4" t="str">
        <f ca="1">IF(OR(INDEX($X$2:$X$1001,MATCH(ROWS($W$2:W205),$W$2:$W$1001,0),1)&gt;=100000,INDEX($AD$1005:$AU$1005,1,MATCH(COLUMNS($AD$1006:AE1006),$AD$1006:$AU$1006,0))&gt;=100000), " ",IF(INDEX($AD$2:$AU$1001,MATCH(ROWS($W$2:W205),$W$2:$W$1001,0),MATCH(COLUMNS($AD$1006:AE1006),$AD$1006:$AU$1006,0)), HYPERLINK("#",""), HYPERLINK(CONCATENATE("#metadata!", ADDRESS(INDEX($Y$2:$Y$1001,MATCH(ROWS($W$2:W205),$W$2:$W$1001,0),0), INDEX($AD$1004:$AU$1004,1,MATCH(COLUMNS($AD$1006:AE1006),$AD$1006:$AU$1006,0)))),"Fix")))</f>
        <v xml:space="preserve"> </v>
      </c>
      <c r="D205" s="4" t="str">
        <f ca="1">IF(OR(INDEX($X$2:$X$1001,MATCH(ROWS($W$2:W205),$W$2:$W$1001,0),1)&gt;=100000,INDEX($AD$1005:$AU$1005,1,MATCH(COLUMNS($AD$1006:AF1006),$AD$1006:$AU$1006,0))&gt;=100000), " ",IF(INDEX($AD$2:$AU$1001,MATCH(ROWS($W$2:W205),$W$2:$W$1001,0),MATCH(COLUMNS($AD$1006:AF1006),$AD$1006:$AU$1006,0)), HYPERLINK("#",""), HYPERLINK(CONCATENATE("#metadata!", ADDRESS(INDEX($Y$2:$Y$1001,MATCH(ROWS($W$2:W205),$W$2:$W$1001,0),0), INDEX($AD$1004:$AU$1004,1,MATCH(COLUMNS($AD$1006:AF1006),$AD$1006:$AU$1006,0)))),"Fix")))</f>
        <v xml:space="preserve"> </v>
      </c>
      <c r="E205" s="4" t="str">
        <f ca="1">IF(OR(INDEX($X$2:$X$1001,MATCH(ROWS($W$2:W205),$W$2:$W$1001,0),1)&gt;=100000,INDEX($AD$1005:$AU$1005,1,MATCH(COLUMNS($AD$1006:AG1006),$AD$1006:$AU$1006,0))&gt;=100000), " ",IF(INDEX($AD$2:$AU$1001,MATCH(ROWS($W$2:W205),$W$2:$W$1001,0),MATCH(COLUMNS($AD$1006:AG1006),$AD$1006:$AU$1006,0)), HYPERLINK("#",""), HYPERLINK(CONCATENATE("#metadata!", ADDRESS(INDEX($Y$2:$Y$1001,MATCH(ROWS($W$2:W205),$W$2:$W$1001,0),0), INDEX($AD$1004:$AU$1004,1,MATCH(COLUMNS($AD$1006:AG1006),$AD$1006:$AU$1006,0)))),"Fix")))</f>
        <v xml:space="preserve"> </v>
      </c>
      <c r="F205" s="4" t="str">
        <f ca="1">IF(OR(INDEX($X$2:$X$1001,MATCH(ROWS($W$2:W205),$W$2:$W$1001,0),1)&gt;=100000,INDEX($AD$1005:$AU$1005,1,MATCH(COLUMNS($AD$1006:AH1006),$AD$1006:$AU$1006,0))&gt;=100000), " ",IF(INDEX($AD$2:$AU$1001,MATCH(ROWS($W$2:W205),$W$2:$W$1001,0),MATCH(COLUMNS($AD$1006:AH1006),$AD$1006:$AU$1006,0)), HYPERLINK("#",""), HYPERLINK(CONCATENATE("#metadata!", ADDRESS(INDEX($Y$2:$Y$1001,MATCH(ROWS($W$2:W205),$W$2:$W$1001,0),0), INDEX($AD$1004:$AU$1004,1,MATCH(COLUMNS($AD$1006:AH1006),$AD$1006:$AU$1006,0)))),"Fix")))</f>
        <v xml:space="preserve"> </v>
      </c>
      <c r="G205" s="4" t="str">
        <f ca="1">IF(OR(INDEX($X$2:$X$1001,MATCH(ROWS($W$2:W205),$W$2:$W$1001,0),1)&gt;=100000,INDEX($AD$1005:$AU$1005,1,MATCH(COLUMNS($AD$1006:AI1006),$AD$1006:$AU$1006,0))&gt;=100000), " ",IF(INDEX($AD$2:$AU$1001,MATCH(ROWS($W$2:W205),$W$2:$W$1001,0),MATCH(COLUMNS($AD$1006:AI1006),$AD$1006:$AU$1006,0)), HYPERLINK("#",""), HYPERLINK(CONCATENATE("#metadata!", ADDRESS(INDEX($Y$2:$Y$1001,MATCH(ROWS($W$2:W205),$W$2:$W$1001,0),0), INDEX($AD$1004:$AU$1004,1,MATCH(COLUMNS($AD$1006:AI1006),$AD$1006:$AU$1006,0)))),"Fix")))</f>
        <v xml:space="preserve"> </v>
      </c>
      <c r="H205" s="4" t="str">
        <f ca="1">IF(OR(INDEX($X$2:$X$1001,MATCH(ROWS($W$2:W205),$W$2:$W$1001,0),1)&gt;=100000,INDEX($AD$1005:$AU$1005,1,MATCH(COLUMNS($AD$1006:AJ1006),$AD$1006:$AU$1006,0))&gt;=100000), " ",IF(INDEX($AD$2:$AU$1001,MATCH(ROWS($W$2:W205),$W$2:$W$1001,0),MATCH(COLUMNS($AD$1006:AJ1006),$AD$1006:$AU$1006,0)), HYPERLINK("#",""), HYPERLINK(CONCATENATE("#metadata!", ADDRESS(INDEX($Y$2:$Y$1001,MATCH(ROWS($W$2:W205),$W$2:$W$1001,0),0), INDEX($AD$1004:$AU$1004,1,MATCH(COLUMNS($AD$1006:AJ1006),$AD$1006:$AU$1006,0)))),"Fix")))</f>
        <v xml:space="preserve"> </v>
      </c>
      <c r="I205" s="4" t="str">
        <f ca="1">IF(OR(INDEX($X$2:$X$1001,MATCH(ROWS($W$2:W205),$W$2:$W$1001,0),1)&gt;=100000,INDEX($AD$1005:$AU$1005,1,MATCH(COLUMNS($AD$1006:AK1006),$AD$1006:$AU$1006,0))&gt;=100000), " ",IF(INDEX($AD$2:$AU$1001,MATCH(ROWS($W$2:W205),$W$2:$W$1001,0),MATCH(COLUMNS($AD$1006:AK1006),$AD$1006:$AU$1006,0)), HYPERLINK("#",""), HYPERLINK(CONCATENATE("#metadata!", ADDRESS(INDEX($Y$2:$Y$1001,MATCH(ROWS($W$2:W205),$W$2:$W$1001,0),0), INDEX($AD$1004:$AU$1004,1,MATCH(COLUMNS($AD$1006:AK1006),$AD$1006:$AU$1006,0)))),"Fix")))</f>
        <v xml:space="preserve"> </v>
      </c>
      <c r="J205" s="4" t="str">
        <f ca="1">IF(OR(INDEX($X$2:$X$1001,MATCH(ROWS($W$2:W205),$W$2:$W$1001,0),1)&gt;=100000,INDEX($AD$1005:$AU$1005,1,MATCH(COLUMNS($AD$1006:AL1006),$AD$1006:$AU$1006,0))&gt;=100000), " ",IF(INDEX($AD$2:$AU$1001,MATCH(ROWS($W$2:W205),$W$2:$W$1001,0),MATCH(COLUMNS($AD$1006:AL1006),$AD$1006:$AU$1006,0)), HYPERLINK("#",""), HYPERLINK(CONCATENATE("#metadata!", ADDRESS(INDEX($Y$2:$Y$1001,MATCH(ROWS($W$2:W205),$W$2:$W$1001,0),0), INDEX($AD$1004:$AU$1004,1,MATCH(COLUMNS($AD$1006:AL1006),$AD$1006:$AU$1006,0)))),"Fix")))</f>
        <v xml:space="preserve"> </v>
      </c>
      <c r="K205" s="4" t="str">
        <f ca="1">IF(OR(INDEX($X$2:$X$1001,MATCH(ROWS($W$2:W205),$W$2:$W$1001,0),1)&gt;=100000,INDEX($AD$1005:$AU$1005,1,MATCH(COLUMNS($AD$1006:AM1006),$AD$1006:$AU$1006,0))&gt;=100000), " ",IF(INDEX($AD$2:$AU$1001,MATCH(ROWS($W$2:W205),$W$2:$W$1001,0),MATCH(COLUMNS($AD$1006:AM1006),$AD$1006:$AU$1006,0)), HYPERLINK("#",""), HYPERLINK(CONCATENATE("#metadata!", ADDRESS(INDEX($Y$2:$Y$1001,MATCH(ROWS($W$2:W205),$W$2:$W$1001,0),0), INDEX($AD$1004:$AU$1004,1,MATCH(COLUMNS($AD$1006:AM1006),$AD$1006:$AU$1006,0)))),"Fix")))</f>
        <v xml:space="preserve"> </v>
      </c>
      <c r="L205" s="4" t="str">
        <f ca="1">IF(OR(INDEX($X$2:$X$1001,MATCH(ROWS($W$2:W205),$W$2:$W$1001,0),1)&gt;=100000,INDEX($AD$1005:$AU$1005,1,MATCH(COLUMNS($AD$1006:AN1006),$AD$1006:$AU$1006,0))&gt;=100000), " ",IF(INDEX($AD$2:$AU$1001,MATCH(ROWS($W$2:W205),$W$2:$W$1001,0),MATCH(COLUMNS($AD$1006:AN1006),$AD$1006:$AU$1006,0)), HYPERLINK("#",""), HYPERLINK(CONCATENATE("#metadata!", ADDRESS(INDEX($Y$2:$Y$1001,MATCH(ROWS($W$2:W205),$W$2:$W$1001,0),0), INDEX($AD$1004:$AU$1004,1,MATCH(COLUMNS($AD$1006:AN1006),$AD$1006:$AU$1006,0)))),"Fix")))</f>
        <v xml:space="preserve"> </v>
      </c>
      <c r="M205" s="4" t="str">
        <f ca="1">IF(OR(INDEX($X$2:$X$1001,MATCH(ROWS($W$2:W205),$W$2:$W$1001,0),1)&gt;=100000,INDEX($AD$1005:$AU$1005,1,MATCH(COLUMNS($AD$1006:AO1006),$AD$1006:$AU$1006,0))&gt;=100000), " ",IF(INDEX($AD$2:$AU$1001,MATCH(ROWS($W$2:W205),$W$2:$W$1001,0),MATCH(COLUMNS($AD$1006:AO1006),$AD$1006:$AU$1006,0)), HYPERLINK("#",""), HYPERLINK(CONCATENATE("#metadata!", ADDRESS(INDEX($Y$2:$Y$1001,MATCH(ROWS($W$2:W205),$W$2:$W$1001,0),0), INDEX($AD$1004:$AU$1004,1,MATCH(COLUMNS($AD$1006:AO1006),$AD$1006:$AU$1006,0)))),"Fix")))</f>
        <v xml:space="preserve"> </v>
      </c>
      <c r="N205" s="4" t="str">
        <f ca="1">IF(OR(INDEX($X$2:$X$1001,MATCH(ROWS($W$2:W205),$W$2:$W$1001,0),1)&gt;=100000,INDEX($AD$1005:$AU$1005,1,MATCH(COLUMNS($AD$1006:AP1006),$AD$1006:$AU$1006,0))&gt;=100000), " ",IF(INDEX($AD$2:$AU$1001,MATCH(ROWS($W$2:W205),$W$2:$W$1001,0),MATCH(COLUMNS($AD$1006:AP1006),$AD$1006:$AU$1006,0)), HYPERLINK("#",""), HYPERLINK(CONCATENATE("#metadata!", ADDRESS(INDEX($Y$2:$Y$1001,MATCH(ROWS($W$2:W205),$W$2:$W$1001,0),0), INDEX($AD$1004:$AU$1004,1,MATCH(COLUMNS($AD$1006:AP1006),$AD$1006:$AU$1006,0)))),"Fix")))</f>
        <v xml:space="preserve"> </v>
      </c>
      <c r="O205" s="4" t="str">
        <f ca="1">IF(OR(INDEX($X$2:$X$1001,MATCH(ROWS($W$2:W205),$W$2:$W$1001,0),1)&gt;=100000,INDEX($AD$1005:$AU$1005,1,MATCH(COLUMNS($AD$1006:AQ1006),$AD$1006:$AU$1006,0))&gt;=100000), " ",IF(INDEX($AD$2:$AU$1001,MATCH(ROWS($W$2:W205),$W$2:$W$1001,0),MATCH(COLUMNS($AD$1006:AQ1006),$AD$1006:$AU$1006,0)), HYPERLINK("#",""), HYPERLINK(CONCATENATE("#metadata!", ADDRESS(INDEX($Y$2:$Y$1001,MATCH(ROWS($W$2:W205),$W$2:$W$1001,0),0), INDEX($AD$1004:$AU$1004,1,MATCH(COLUMNS($AD$1006:AQ1006),$AD$1006:$AU$1006,0)))),"Fix")))</f>
        <v xml:space="preserve"> </v>
      </c>
      <c r="P205" s="4" t="str">
        <f ca="1">IF(OR(INDEX($X$2:$X$1001,MATCH(ROWS($W$2:W205),$W$2:$W$1001,0),1)&gt;=100000,INDEX($AD$1005:$AU$1005,1,MATCH(COLUMNS($AD$1006:AR1006),$AD$1006:$AU$1006,0))&gt;=100000), " ",IF(INDEX($AD$2:$AU$1001,MATCH(ROWS($W$2:W205),$W$2:$W$1001,0),MATCH(COLUMNS($AD$1006:AR1006),$AD$1006:$AU$1006,0)), HYPERLINK("#",""), HYPERLINK(CONCATENATE("#metadata!", ADDRESS(INDEX($Y$2:$Y$1001,MATCH(ROWS($W$2:W205),$W$2:$W$1001,0),0), INDEX($AD$1004:$AU$1004,1,MATCH(COLUMNS($AD$1006:AR1006),$AD$1006:$AU$1006,0)))),"Fix")))</f>
        <v xml:space="preserve"> </v>
      </c>
      <c r="Q205" s="4" t="str">
        <f ca="1">IF(OR(INDEX($X$2:$X$1001,MATCH(ROWS($W$2:W205),$W$2:$W$1001,0),1)&gt;=100000,INDEX($AD$1005:$AU$1005,1,MATCH(COLUMNS($AD$1006:AS1006),$AD$1006:$AU$1006,0))&gt;=100000), " ",IF(INDEX($AD$2:$AU$1001,MATCH(ROWS($W$2:W205),$W$2:$W$1001,0),MATCH(COLUMNS($AD$1006:AS1006),$AD$1006:$AU$1006,0)), HYPERLINK("#",""), HYPERLINK(CONCATENATE("#metadata!", ADDRESS(INDEX($Y$2:$Y$1001,MATCH(ROWS($W$2:W205),$W$2:$W$1001,0),0), INDEX($AD$1004:$AU$1004,1,MATCH(COLUMNS($AD$1006:AS1006),$AD$1006:$AU$1006,0)))),"Fix")))</f>
        <v xml:space="preserve"> </v>
      </c>
      <c r="R205" s="4" t="str">
        <f ca="1">IF(OR(INDEX($X$2:$X$1001,MATCH(ROWS($W$2:W205),$W$2:$W$1001,0),1)&gt;=100000,INDEX($AD$1005:$AU$1005,1,MATCH(COLUMNS($AD$1006:AT1006),$AD$1006:$AU$1006,0))&gt;=100000), " ",IF(INDEX($AD$2:$AU$1001,MATCH(ROWS($W$2:W205),$W$2:$W$1001,0),MATCH(COLUMNS($AD$1006:AT1006),$AD$1006:$AU$1006,0)), HYPERLINK("#",""), HYPERLINK(CONCATENATE("#metadata!", ADDRESS(INDEX($Y$2:$Y$1001,MATCH(ROWS($W$2:W205),$W$2:$W$1001,0),0), INDEX($AD$1004:$AU$1004,1,MATCH(COLUMNS($AD$1006:AT1006),$AD$1006:$AU$1006,0)))),"Fix")))</f>
        <v xml:space="preserve"> </v>
      </c>
      <c r="S205" s="4" t="str">
        <f ca="1">IF(OR(INDEX($X$2:$X$1001,MATCH(ROWS($W$2:W205),$W$2:$W$1001,0),1)&gt;=100000,INDEX($AD$1005:$AU$1005,1,MATCH(COLUMNS($AD$1006:AU1006),$AD$1006:$AU$1006,0))&gt;=100000), " ",IF(INDEX($AD$2:$AU$1001,MATCH(ROWS($W$2:W205),$W$2:$W$1001,0),MATCH(COLUMNS($AD$1006:AU1006),$AD$1006:$AU$1006,0)), HYPERLINK("#",""), HYPERLINK(CONCATENATE("#metadata!", ADDRESS(INDEX($Y$2:$Y$1001,MATCH(ROWS($W$2:W205),$W$2:$W$1001,0),0), INDEX($AD$1004:$AU$1004,1,MATCH(COLUMNS($AD$1006:AU1006),$AD$1006:$AU$1006,0)))),"Fix")))</f>
        <v xml:space="preserve"> </v>
      </c>
      <c r="W205">
        <v>204</v>
      </c>
      <c r="X205">
        <v>100205</v>
      </c>
      <c r="Y205">
        <v>205</v>
      </c>
      <c r="Z205" t="b">
        <f t="shared" si="3"/>
        <v>1</v>
      </c>
      <c r="AA205" t="b">
        <f>COUNTBLANK(metadata!B205:S205)=COLUMNS(metadata!B205:S205)</f>
        <v>1</v>
      </c>
      <c r="AB205" t="str">
        <v/>
      </c>
      <c r="AD205" t="b">
        <f ca="1">AND(IF(metadata!B205="",FALSE,TRUE),COUNTIF(metadata!B:B, metadata!B205) = 1,NOT(ISERROR(SUMPRODUCT(SEARCH(MID(metadata!B205,ROW(INDIRECT("1:"&amp;LEN(metadata!B205))), 1),"0123456789abcdefghijklmnopqrstuvwxyzABCDEFGHIJKLMNOPQRSTUVWXYZ.")))))</f>
        <v>0</v>
      </c>
      <c r="AE205" t="b">
        <f>OR(AND(IF(metadata!C205="",FALSE,TRUE),OR(EXACT(metadata!C205,"not applicable"),EXACT(metadata!C205,"missing: not collected"),EXACT(metadata!C205,"missing: not provided"),EXACT(metadata!C205,"missing: restricted access"))),AND(IF(metadata!C205="",FALSE,ISNUMBER(VALUE(metadata!C205))),metadata!C205&gt;0))</f>
        <v>0</v>
      </c>
      <c r="AF205" t="b">
        <f>AND(IF(metadata!D205="",FALSE,TRUE),EXACT(metadata!D205,"missing: not provided"))</f>
        <v>0</v>
      </c>
      <c r="AG205" t="b">
        <f>AND(IF(metadata!E205="",FALSE,TRUE),EXACT(metadata!E205,"Host-associated"))</f>
        <v>0</v>
      </c>
      <c r="AH205" t="b">
        <f>AND(IF(metadata!F205="",FALSE,TRUE),OR(EXACT(metadata!F205,"Animal"),EXACT(metadata!F205,"Fungus"),EXACT(metadata!F205,"Plant")))</f>
        <v>0</v>
      </c>
      <c r="AI205" t="b">
        <f>AND(IF(metadata!G205="",FALSE,TRUE),OR(EXACT(metadata!G205,"Plant secretion"),EXACT(metadata!G205,"Plant rhizosphere"),EXACT(metadata!G205,"Plant surface"),EXACT(metadata!G205,"Plant corpus"),EXACT(metadata!G205,"Fungus surface"),EXACT(metadata!G205,"Fungus corpus"),EXACT(metadata!G205,"Animal surface"),EXACT(metadata!G205,"Animal proximal gut"),EXACT(metadata!G205,"Animal corpus"),EXACT(metadata!G205,"Animal distal gut"),EXACT(metadata!G205,"Animal secretion")))</f>
        <v>0</v>
      </c>
      <c r="AJ205" t="b">
        <f>OR(AND(IF(metadata!H205="",FALSE,TRUE),OR(EXACT(metadata!H205,"missing: not collected"),EXACT(metadata!H205,"missing: not provided"),EXACT(metadata!H205,"missing: restricted access"))),AND(IF(metadata!H205="",FALSE,TRUE),OR(EXACT(metadata!H205,"organism-associated habitat"),EXACT(metadata!H205,"plant-associated habitat"),EXACT(metadata!H205,"animal-associated habitat"),EXACT(metadata!H205,"insecta-associated habitat"),EXACT(metadata!H205,"mammalia-associated habitat"),EXACT(metadata!H205,"human-associated habitat"),EXACT(metadata!H205,"livestock-associated habitat"))))</f>
        <v>0</v>
      </c>
      <c r="AK205" t="b">
        <f>AND(IF(metadata!I205="",FALSE,TRUE),EXACT(metadata!I205,"host-associated"))</f>
        <v>0</v>
      </c>
      <c r="AL205" t="b">
        <f>OR(AND(IF(metadata!J205="",FALSE,TRUE),OR(EXACT(metadata!J205,"not applicable"),EXACT(metadata!J205,"missing: not collected"),EXACT(metadata!J205,"missing: not provided"),EXACT(metadata!J205,"missing: restricted access"))),AND(IF(metadata!J205="",FALSE,ISNUMBER(VALUE(metadata!J205))),metadata!J205&gt;0))</f>
        <v>0</v>
      </c>
      <c r="AM205" t="b">
        <f>AND(IF(metadata!K205="",FALSE,TRUE),EXACT(metadata!K205,"missing: not provided"))</f>
        <v>0</v>
      </c>
      <c r="AN205" t="b">
        <f>IF(metadata!L205="",FALSE,TRUE)</f>
        <v>0</v>
      </c>
      <c r="AO205" t="b">
        <f>IF(metadata!M205="",FALSE,TRUE)</f>
        <v>0</v>
      </c>
      <c r="AP205" t="b">
        <f>OR(AND(IF(metadata!N205="",FALSE,TRUE),OR(EXACT(metadata!N205,"not applicable"),EXACT(metadata!N205,"missing: not collected"),EXACT(metadata!N205,"missing: not provided"))),AND(IF(metadata!N205="",FALSE,IF(ISERROR(INT(metadata!N205)),FALSE,INT(metadata!N205)=metadata!N205)),metadata!N205&gt;0))</f>
        <v>0</v>
      </c>
      <c r="AQ205" t="b">
        <f>AND(IF(metadata!O205="",FALSE,TRUE),EXACT(metadata!O205,"Not applicable"))</f>
        <v>0</v>
      </c>
      <c r="AR205" t="b">
        <f>OR(AND(IF(metadata!P205="",FALSE,TRUE),OR(EXACT(metadata!P205,"not applicable"),EXACT(metadata!P205,"missing: not collected"),EXACT(metadata!P205,"missing: not provided"),EXACT(metadata!P205,"missing: restricted access"))),IF(metadata!P205="",FALSE,IF(ISERROR(INT(metadata!P205)),FALSE,INT(metadata!P205)=metadata!P205)))</f>
        <v>0</v>
      </c>
      <c r="AS205" t="b">
        <f>AND(IF(metadata!Q205="",FALSE,TRUE),EXACT(metadata!Q205,"Not applicable"))</f>
        <v>0</v>
      </c>
      <c r="AT205" t="b">
        <f>OR(AND(IF(metadata!R205="",FALSE,TRUE),OR(EXACT(metadata!R205,"not applicable"),EXACT(metadata!R205,"missing: not collected"),EXACT(metadata!R205,"missing: not provided"),EXACT(metadata!R205,"missing: restricted access"))),AND(IF(metadata!R205="",FALSE,ISNUMBER(VALUE(metadata!R205))),metadata!R205&gt;0))</f>
        <v>0</v>
      </c>
      <c r="AU205" t="b">
        <f>AND(IF(metadata!S205="",FALSE,TRUE),EXACT(metadata!S205,"missing: not provided"))</f>
        <v>0</v>
      </c>
    </row>
    <row r="206" spans="1:47" x14ac:dyDescent="0.2">
      <c r="A206" s="5" t="str">
        <f ca="1">IF(B206=" "," ",HYPERLINK(CONCATENATE("#metadata!",ADDRESS(INDEX($Y$2:$Y$1001,MATCH(ROWS($W$2:W206),$W$2:$W$1001,0),0),1)),INDEX($AB$2:$AB$1001,MATCH(ROWS($W$2:W206),$W$2:$W$1001,0),0)))</f>
        <v xml:space="preserve"> </v>
      </c>
      <c r="B206" s="4" t="str">
        <f ca="1">IF(OR(INDEX($X$2:$X$1001,MATCH(ROWS($W$2:W206),$W$2:$W$1001,0),1)&gt;=100000,INDEX($AD$1005:$AU$1005,1,MATCH(COLUMNS($AD$1006:AD1006),$AD$1006:$AU$1006,0))&gt;=100000), " ",IF(INDEX($AD$2:$AU$1001,MATCH(ROWS($W$2:W206),$W$2:$W$1001,0),MATCH(COLUMNS($AD$1006:AD1006),$AD$1006:$AU$1006,0)), HYPERLINK("#",""), HYPERLINK(CONCATENATE("#metadata!", ADDRESS(INDEX($Y$2:$Y$1001,MATCH(ROWS($W$2:W206),$W$2:$W$1001,0),0), INDEX($AD$1004:$AU$1004,1,MATCH(COLUMNS($AD$1006:AD1006),$AD$1006:$AU$1006,0)))),"Fix")))</f>
        <v xml:space="preserve"> </v>
      </c>
      <c r="C206" s="4" t="str">
        <f ca="1">IF(OR(INDEX($X$2:$X$1001,MATCH(ROWS($W$2:W206),$W$2:$W$1001,0),1)&gt;=100000,INDEX($AD$1005:$AU$1005,1,MATCH(COLUMNS($AD$1006:AE1006),$AD$1006:$AU$1006,0))&gt;=100000), " ",IF(INDEX($AD$2:$AU$1001,MATCH(ROWS($W$2:W206),$W$2:$W$1001,0),MATCH(COLUMNS($AD$1006:AE1006),$AD$1006:$AU$1006,0)), HYPERLINK("#",""), HYPERLINK(CONCATENATE("#metadata!", ADDRESS(INDEX($Y$2:$Y$1001,MATCH(ROWS($W$2:W206),$W$2:$W$1001,0),0), INDEX($AD$1004:$AU$1004,1,MATCH(COLUMNS($AD$1006:AE1006),$AD$1006:$AU$1006,0)))),"Fix")))</f>
        <v xml:space="preserve"> </v>
      </c>
      <c r="D206" s="4" t="str">
        <f ca="1">IF(OR(INDEX($X$2:$X$1001,MATCH(ROWS($W$2:W206),$W$2:$W$1001,0),1)&gt;=100000,INDEX($AD$1005:$AU$1005,1,MATCH(COLUMNS($AD$1006:AF1006),$AD$1006:$AU$1006,0))&gt;=100000), " ",IF(INDEX($AD$2:$AU$1001,MATCH(ROWS($W$2:W206),$W$2:$W$1001,0),MATCH(COLUMNS($AD$1006:AF1006),$AD$1006:$AU$1006,0)), HYPERLINK("#",""), HYPERLINK(CONCATENATE("#metadata!", ADDRESS(INDEX($Y$2:$Y$1001,MATCH(ROWS($W$2:W206),$W$2:$W$1001,0),0), INDEX($AD$1004:$AU$1004,1,MATCH(COLUMNS($AD$1006:AF1006),$AD$1006:$AU$1006,0)))),"Fix")))</f>
        <v xml:space="preserve"> </v>
      </c>
      <c r="E206" s="4" t="str">
        <f ca="1">IF(OR(INDEX($X$2:$X$1001,MATCH(ROWS($W$2:W206),$W$2:$W$1001,0),1)&gt;=100000,INDEX($AD$1005:$AU$1005,1,MATCH(COLUMNS($AD$1006:AG1006),$AD$1006:$AU$1006,0))&gt;=100000), " ",IF(INDEX($AD$2:$AU$1001,MATCH(ROWS($W$2:W206),$W$2:$W$1001,0),MATCH(COLUMNS($AD$1006:AG1006),$AD$1006:$AU$1006,0)), HYPERLINK("#",""), HYPERLINK(CONCATENATE("#metadata!", ADDRESS(INDEX($Y$2:$Y$1001,MATCH(ROWS($W$2:W206),$W$2:$W$1001,0),0), INDEX($AD$1004:$AU$1004,1,MATCH(COLUMNS($AD$1006:AG1006),$AD$1006:$AU$1006,0)))),"Fix")))</f>
        <v xml:space="preserve"> </v>
      </c>
      <c r="F206" s="4" t="str">
        <f ca="1">IF(OR(INDEX($X$2:$X$1001,MATCH(ROWS($W$2:W206),$W$2:$W$1001,0),1)&gt;=100000,INDEX($AD$1005:$AU$1005,1,MATCH(COLUMNS($AD$1006:AH1006),$AD$1006:$AU$1006,0))&gt;=100000), " ",IF(INDEX($AD$2:$AU$1001,MATCH(ROWS($W$2:W206),$W$2:$W$1001,0),MATCH(COLUMNS($AD$1006:AH1006),$AD$1006:$AU$1006,0)), HYPERLINK("#",""), HYPERLINK(CONCATENATE("#metadata!", ADDRESS(INDEX($Y$2:$Y$1001,MATCH(ROWS($W$2:W206),$W$2:$W$1001,0),0), INDEX($AD$1004:$AU$1004,1,MATCH(COLUMNS($AD$1006:AH1006),$AD$1006:$AU$1006,0)))),"Fix")))</f>
        <v xml:space="preserve"> </v>
      </c>
      <c r="G206" s="4" t="str">
        <f ca="1">IF(OR(INDEX($X$2:$X$1001,MATCH(ROWS($W$2:W206),$W$2:$W$1001,0),1)&gt;=100000,INDEX($AD$1005:$AU$1005,1,MATCH(COLUMNS($AD$1006:AI1006),$AD$1006:$AU$1006,0))&gt;=100000), " ",IF(INDEX($AD$2:$AU$1001,MATCH(ROWS($W$2:W206),$W$2:$W$1001,0),MATCH(COLUMNS($AD$1006:AI1006),$AD$1006:$AU$1006,0)), HYPERLINK("#",""), HYPERLINK(CONCATENATE("#metadata!", ADDRESS(INDEX($Y$2:$Y$1001,MATCH(ROWS($W$2:W206),$W$2:$W$1001,0),0), INDEX($AD$1004:$AU$1004,1,MATCH(COLUMNS($AD$1006:AI1006),$AD$1006:$AU$1006,0)))),"Fix")))</f>
        <v xml:space="preserve"> </v>
      </c>
      <c r="H206" s="4" t="str">
        <f ca="1">IF(OR(INDEX($X$2:$X$1001,MATCH(ROWS($W$2:W206),$W$2:$W$1001,0),1)&gt;=100000,INDEX($AD$1005:$AU$1005,1,MATCH(COLUMNS($AD$1006:AJ1006),$AD$1006:$AU$1006,0))&gt;=100000), " ",IF(INDEX($AD$2:$AU$1001,MATCH(ROWS($W$2:W206),$W$2:$W$1001,0),MATCH(COLUMNS($AD$1006:AJ1006),$AD$1006:$AU$1006,0)), HYPERLINK("#",""), HYPERLINK(CONCATENATE("#metadata!", ADDRESS(INDEX($Y$2:$Y$1001,MATCH(ROWS($W$2:W206),$W$2:$W$1001,0),0), INDEX($AD$1004:$AU$1004,1,MATCH(COLUMNS($AD$1006:AJ1006),$AD$1006:$AU$1006,0)))),"Fix")))</f>
        <v xml:space="preserve"> </v>
      </c>
      <c r="I206" s="4" t="str">
        <f ca="1">IF(OR(INDEX($X$2:$X$1001,MATCH(ROWS($W$2:W206),$W$2:$W$1001,0),1)&gt;=100000,INDEX($AD$1005:$AU$1005,1,MATCH(COLUMNS($AD$1006:AK1006),$AD$1006:$AU$1006,0))&gt;=100000), " ",IF(INDEX($AD$2:$AU$1001,MATCH(ROWS($W$2:W206),$W$2:$W$1001,0),MATCH(COLUMNS($AD$1006:AK1006),$AD$1006:$AU$1006,0)), HYPERLINK("#",""), HYPERLINK(CONCATENATE("#metadata!", ADDRESS(INDEX($Y$2:$Y$1001,MATCH(ROWS($W$2:W206),$W$2:$W$1001,0),0), INDEX($AD$1004:$AU$1004,1,MATCH(COLUMNS($AD$1006:AK1006),$AD$1006:$AU$1006,0)))),"Fix")))</f>
        <v xml:space="preserve"> </v>
      </c>
      <c r="J206" s="4" t="str">
        <f ca="1">IF(OR(INDEX($X$2:$X$1001,MATCH(ROWS($W$2:W206),$W$2:$W$1001,0),1)&gt;=100000,INDEX($AD$1005:$AU$1005,1,MATCH(COLUMNS($AD$1006:AL1006),$AD$1006:$AU$1006,0))&gt;=100000), " ",IF(INDEX($AD$2:$AU$1001,MATCH(ROWS($W$2:W206),$W$2:$W$1001,0),MATCH(COLUMNS($AD$1006:AL1006),$AD$1006:$AU$1006,0)), HYPERLINK("#",""), HYPERLINK(CONCATENATE("#metadata!", ADDRESS(INDEX($Y$2:$Y$1001,MATCH(ROWS($W$2:W206),$W$2:$W$1001,0),0), INDEX($AD$1004:$AU$1004,1,MATCH(COLUMNS($AD$1006:AL1006),$AD$1006:$AU$1006,0)))),"Fix")))</f>
        <v xml:space="preserve"> </v>
      </c>
      <c r="K206" s="4" t="str">
        <f ca="1">IF(OR(INDEX($X$2:$X$1001,MATCH(ROWS($W$2:W206),$W$2:$W$1001,0),1)&gt;=100000,INDEX($AD$1005:$AU$1005,1,MATCH(COLUMNS($AD$1006:AM1006),$AD$1006:$AU$1006,0))&gt;=100000), " ",IF(INDEX($AD$2:$AU$1001,MATCH(ROWS($W$2:W206),$W$2:$W$1001,0),MATCH(COLUMNS($AD$1006:AM1006),$AD$1006:$AU$1006,0)), HYPERLINK("#",""), HYPERLINK(CONCATENATE("#metadata!", ADDRESS(INDEX($Y$2:$Y$1001,MATCH(ROWS($W$2:W206),$W$2:$W$1001,0),0), INDEX($AD$1004:$AU$1004,1,MATCH(COLUMNS($AD$1006:AM1006),$AD$1006:$AU$1006,0)))),"Fix")))</f>
        <v xml:space="preserve"> </v>
      </c>
      <c r="L206" s="4" t="str">
        <f ca="1">IF(OR(INDEX($X$2:$X$1001,MATCH(ROWS($W$2:W206),$W$2:$W$1001,0),1)&gt;=100000,INDEX($AD$1005:$AU$1005,1,MATCH(COLUMNS($AD$1006:AN1006),$AD$1006:$AU$1006,0))&gt;=100000), " ",IF(INDEX($AD$2:$AU$1001,MATCH(ROWS($W$2:W206),$W$2:$W$1001,0),MATCH(COLUMNS($AD$1006:AN1006),$AD$1006:$AU$1006,0)), HYPERLINK("#",""), HYPERLINK(CONCATENATE("#metadata!", ADDRESS(INDEX($Y$2:$Y$1001,MATCH(ROWS($W$2:W206),$W$2:$W$1001,0),0), INDEX($AD$1004:$AU$1004,1,MATCH(COLUMNS($AD$1006:AN1006),$AD$1006:$AU$1006,0)))),"Fix")))</f>
        <v xml:space="preserve"> </v>
      </c>
      <c r="M206" s="4" t="str">
        <f ca="1">IF(OR(INDEX($X$2:$X$1001,MATCH(ROWS($W$2:W206),$W$2:$W$1001,0),1)&gt;=100000,INDEX($AD$1005:$AU$1005,1,MATCH(COLUMNS($AD$1006:AO1006),$AD$1006:$AU$1006,0))&gt;=100000), " ",IF(INDEX($AD$2:$AU$1001,MATCH(ROWS($W$2:W206),$W$2:$W$1001,0),MATCH(COLUMNS($AD$1006:AO1006),$AD$1006:$AU$1006,0)), HYPERLINK("#",""), HYPERLINK(CONCATENATE("#metadata!", ADDRESS(INDEX($Y$2:$Y$1001,MATCH(ROWS($W$2:W206),$W$2:$W$1001,0),0), INDEX($AD$1004:$AU$1004,1,MATCH(COLUMNS($AD$1006:AO1006),$AD$1006:$AU$1006,0)))),"Fix")))</f>
        <v xml:space="preserve"> </v>
      </c>
      <c r="N206" s="4" t="str">
        <f ca="1">IF(OR(INDEX($X$2:$X$1001,MATCH(ROWS($W$2:W206),$W$2:$W$1001,0),1)&gt;=100000,INDEX($AD$1005:$AU$1005,1,MATCH(COLUMNS($AD$1006:AP1006),$AD$1006:$AU$1006,0))&gt;=100000), " ",IF(INDEX($AD$2:$AU$1001,MATCH(ROWS($W$2:W206),$W$2:$W$1001,0),MATCH(COLUMNS($AD$1006:AP1006),$AD$1006:$AU$1006,0)), HYPERLINK("#",""), HYPERLINK(CONCATENATE("#metadata!", ADDRESS(INDEX($Y$2:$Y$1001,MATCH(ROWS($W$2:W206),$W$2:$W$1001,0),0), INDEX($AD$1004:$AU$1004,1,MATCH(COLUMNS($AD$1006:AP1006),$AD$1006:$AU$1006,0)))),"Fix")))</f>
        <v xml:space="preserve"> </v>
      </c>
      <c r="O206" s="4" t="str">
        <f ca="1">IF(OR(INDEX($X$2:$X$1001,MATCH(ROWS($W$2:W206),$W$2:$W$1001,0),1)&gt;=100000,INDEX($AD$1005:$AU$1005,1,MATCH(COLUMNS($AD$1006:AQ1006),$AD$1006:$AU$1006,0))&gt;=100000), " ",IF(INDEX($AD$2:$AU$1001,MATCH(ROWS($W$2:W206),$W$2:$W$1001,0),MATCH(COLUMNS($AD$1006:AQ1006),$AD$1006:$AU$1006,0)), HYPERLINK("#",""), HYPERLINK(CONCATENATE("#metadata!", ADDRESS(INDEX($Y$2:$Y$1001,MATCH(ROWS($W$2:W206),$W$2:$W$1001,0),0), INDEX($AD$1004:$AU$1004,1,MATCH(COLUMNS($AD$1006:AQ1006),$AD$1006:$AU$1006,0)))),"Fix")))</f>
        <v xml:space="preserve"> </v>
      </c>
      <c r="P206" s="4" t="str">
        <f ca="1">IF(OR(INDEX($X$2:$X$1001,MATCH(ROWS($W$2:W206),$W$2:$W$1001,0),1)&gt;=100000,INDEX($AD$1005:$AU$1005,1,MATCH(COLUMNS($AD$1006:AR1006),$AD$1006:$AU$1006,0))&gt;=100000), " ",IF(INDEX($AD$2:$AU$1001,MATCH(ROWS($W$2:W206),$W$2:$W$1001,0),MATCH(COLUMNS($AD$1006:AR1006),$AD$1006:$AU$1006,0)), HYPERLINK("#",""), HYPERLINK(CONCATENATE("#metadata!", ADDRESS(INDEX($Y$2:$Y$1001,MATCH(ROWS($W$2:W206),$W$2:$W$1001,0),0), INDEX($AD$1004:$AU$1004,1,MATCH(COLUMNS($AD$1006:AR1006),$AD$1006:$AU$1006,0)))),"Fix")))</f>
        <v xml:space="preserve"> </v>
      </c>
      <c r="Q206" s="4" t="str">
        <f ca="1">IF(OR(INDEX($X$2:$X$1001,MATCH(ROWS($W$2:W206),$W$2:$W$1001,0),1)&gt;=100000,INDEX($AD$1005:$AU$1005,1,MATCH(COLUMNS($AD$1006:AS1006),$AD$1006:$AU$1006,0))&gt;=100000), " ",IF(INDEX($AD$2:$AU$1001,MATCH(ROWS($W$2:W206),$W$2:$W$1001,0),MATCH(COLUMNS($AD$1006:AS1006),$AD$1006:$AU$1006,0)), HYPERLINK("#",""), HYPERLINK(CONCATENATE("#metadata!", ADDRESS(INDEX($Y$2:$Y$1001,MATCH(ROWS($W$2:W206),$W$2:$W$1001,0),0), INDEX($AD$1004:$AU$1004,1,MATCH(COLUMNS($AD$1006:AS1006),$AD$1006:$AU$1006,0)))),"Fix")))</f>
        <v xml:space="preserve"> </v>
      </c>
      <c r="R206" s="4" t="str">
        <f ca="1">IF(OR(INDEX($X$2:$X$1001,MATCH(ROWS($W$2:W206),$W$2:$W$1001,0),1)&gt;=100000,INDEX($AD$1005:$AU$1005,1,MATCH(COLUMNS($AD$1006:AT1006),$AD$1006:$AU$1006,0))&gt;=100000), " ",IF(INDEX($AD$2:$AU$1001,MATCH(ROWS($W$2:W206),$W$2:$W$1001,0),MATCH(COLUMNS($AD$1006:AT1006),$AD$1006:$AU$1006,0)), HYPERLINK("#",""), HYPERLINK(CONCATENATE("#metadata!", ADDRESS(INDEX($Y$2:$Y$1001,MATCH(ROWS($W$2:W206),$W$2:$W$1001,0),0), INDEX($AD$1004:$AU$1004,1,MATCH(COLUMNS($AD$1006:AT1006),$AD$1006:$AU$1006,0)))),"Fix")))</f>
        <v xml:space="preserve"> </v>
      </c>
      <c r="S206" s="4" t="str">
        <f ca="1">IF(OR(INDEX($X$2:$X$1001,MATCH(ROWS($W$2:W206),$W$2:$W$1001,0),1)&gt;=100000,INDEX($AD$1005:$AU$1005,1,MATCH(COLUMNS($AD$1006:AU1006),$AD$1006:$AU$1006,0))&gt;=100000), " ",IF(INDEX($AD$2:$AU$1001,MATCH(ROWS($W$2:W206),$W$2:$W$1001,0),MATCH(COLUMNS($AD$1006:AU1006),$AD$1006:$AU$1006,0)), HYPERLINK("#",""), HYPERLINK(CONCATENATE("#metadata!", ADDRESS(INDEX($Y$2:$Y$1001,MATCH(ROWS($W$2:W206),$W$2:$W$1001,0),0), INDEX($AD$1004:$AU$1004,1,MATCH(COLUMNS($AD$1006:AU1006),$AD$1006:$AU$1006,0)))),"Fix")))</f>
        <v xml:space="preserve"> </v>
      </c>
      <c r="W206">
        <v>205</v>
      </c>
      <c r="X206">
        <v>100206</v>
      </c>
      <c r="Y206">
        <v>206</v>
      </c>
      <c r="Z206" t="b">
        <f t="shared" si="3"/>
        <v>1</v>
      </c>
      <c r="AA206" t="b">
        <f>COUNTBLANK(metadata!B206:S206)=COLUMNS(metadata!B206:S206)</f>
        <v>1</v>
      </c>
      <c r="AB206" t="str">
        <v/>
      </c>
      <c r="AD206" t="b">
        <f ca="1">AND(IF(metadata!B206="",FALSE,TRUE),COUNTIF(metadata!B:B, metadata!B206) = 1,NOT(ISERROR(SUMPRODUCT(SEARCH(MID(metadata!B206,ROW(INDIRECT("1:"&amp;LEN(metadata!B206))), 1),"0123456789abcdefghijklmnopqrstuvwxyzABCDEFGHIJKLMNOPQRSTUVWXYZ.")))))</f>
        <v>0</v>
      </c>
      <c r="AE206" t="b">
        <f>OR(AND(IF(metadata!C206="",FALSE,TRUE),OR(EXACT(metadata!C206,"not applicable"),EXACT(metadata!C206,"missing: not collected"),EXACT(metadata!C206,"missing: not provided"),EXACT(metadata!C206,"missing: restricted access"))),AND(IF(metadata!C206="",FALSE,ISNUMBER(VALUE(metadata!C206))),metadata!C206&gt;0))</f>
        <v>0</v>
      </c>
      <c r="AF206" t="b">
        <f>AND(IF(metadata!D206="",FALSE,TRUE),EXACT(metadata!D206,"missing: not provided"))</f>
        <v>0</v>
      </c>
      <c r="AG206" t="b">
        <f>AND(IF(metadata!E206="",FALSE,TRUE),EXACT(metadata!E206,"Host-associated"))</f>
        <v>0</v>
      </c>
      <c r="AH206" t="b">
        <f>AND(IF(metadata!F206="",FALSE,TRUE),OR(EXACT(metadata!F206,"Animal"),EXACT(metadata!F206,"Fungus"),EXACT(metadata!F206,"Plant")))</f>
        <v>0</v>
      </c>
      <c r="AI206" t="b">
        <f>AND(IF(metadata!G206="",FALSE,TRUE),OR(EXACT(metadata!G206,"Plant secretion"),EXACT(metadata!G206,"Plant rhizosphere"),EXACT(metadata!G206,"Plant surface"),EXACT(metadata!G206,"Plant corpus"),EXACT(metadata!G206,"Fungus surface"),EXACT(metadata!G206,"Fungus corpus"),EXACT(metadata!G206,"Animal surface"),EXACT(metadata!G206,"Animal proximal gut"),EXACT(metadata!G206,"Animal corpus"),EXACT(metadata!G206,"Animal distal gut"),EXACT(metadata!G206,"Animal secretion")))</f>
        <v>0</v>
      </c>
      <c r="AJ206" t="b">
        <f>OR(AND(IF(metadata!H206="",FALSE,TRUE),OR(EXACT(metadata!H206,"missing: not collected"),EXACT(metadata!H206,"missing: not provided"),EXACT(metadata!H206,"missing: restricted access"))),AND(IF(metadata!H206="",FALSE,TRUE),OR(EXACT(metadata!H206,"organism-associated habitat"),EXACT(metadata!H206,"plant-associated habitat"),EXACT(metadata!H206,"animal-associated habitat"),EXACT(metadata!H206,"insecta-associated habitat"),EXACT(metadata!H206,"mammalia-associated habitat"),EXACT(metadata!H206,"human-associated habitat"),EXACT(metadata!H206,"livestock-associated habitat"))))</f>
        <v>0</v>
      </c>
      <c r="AK206" t="b">
        <f>AND(IF(metadata!I206="",FALSE,TRUE),EXACT(metadata!I206,"host-associated"))</f>
        <v>0</v>
      </c>
      <c r="AL206" t="b">
        <f>OR(AND(IF(metadata!J206="",FALSE,TRUE),OR(EXACT(metadata!J206,"not applicable"),EXACT(metadata!J206,"missing: not collected"),EXACT(metadata!J206,"missing: not provided"),EXACT(metadata!J206,"missing: restricted access"))),AND(IF(metadata!J206="",FALSE,ISNUMBER(VALUE(metadata!J206))),metadata!J206&gt;0))</f>
        <v>0</v>
      </c>
      <c r="AM206" t="b">
        <f>AND(IF(metadata!K206="",FALSE,TRUE),EXACT(metadata!K206,"missing: not provided"))</f>
        <v>0</v>
      </c>
      <c r="AN206" t="b">
        <f>IF(metadata!L206="",FALSE,TRUE)</f>
        <v>0</v>
      </c>
      <c r="AO206" t="b">
        <f>IF(metadata!M206="",FALSE,TRUE)</f>
        <v>0</v>
      </c>
      <c r="AP206" t="b">
        <f>OR(AND(IF(metadata!N206="",FALSE,TRUE),OR(EXACT(metadata!N206,"not applicable"),EXACT(metadata!N206,"missing: not collected"),EXACT(metadata!N206,"missing: not provided"))),AND(IF(metadata!N206="",FALSE,IF(ISERROR(INT(metadata!N206)),FALSE,INT(metadata!N206)=metadata!N206)),metadata!N206&gt;0))</f>
        <v>0</v>
      </c>
      <c r="AQ206" t="b">
        <f>AND(IF(metadata!O206="",FALSE,TRUE),EXACT(metadata!O206,"Not applicable"))</f>
        <v>0</v>
      </c>
      <c r="AR206" t="b">
        <f>OR(AND(IF(metadata!P206="",FALSE,TRUE),OR(EXACT(metadata!P206,"not applicable"),EXACT(metadata!P206,"missing: not collected"),EXACT(metadata!P206,"missing: not provided"),EXACT(metadata!P206,"missing: restricted access"))),IF(metadata!P206="",FALSE,IF(ISERROR(INT(metadata!P206)),FALSE,INT(metadata!P206)=metadata!P206)))</f>
        <v>0</v>
      </c>
      <c r="AS206" t="b">
        <f>AND(IF(metadata!Q206="",FALSE,TRUE),EXACT(metadata!Q206,"Not applicable"))</f>
        <v>0</v>
      </c>
      <c r="AT206" t="b">
        <f>OR(AND(IF(metadata!R206="",FALSE,TRUE),OR(EXACT(metadata!R206,"not applicable"),EXACT(metadata!R206,"missing: not collected"),EXACT(metadata!R206,"missing: not provided"),EXACT(metadata!R206,"missing: restricted access"))),AND(IF(metadata!R206="",FALSE,ISNUMBER(VALUE(metadata!R206))),metadata!R206&gt;0))</f>
        <v>0</v>
      </c>
      <c r="AU206" t="b">
        <f>AND(IF(metadata!S206="",FALSE,TRUE),EXACT(metadata!S206,"missing: not provided"))</f>
        <v>0</v>
      </c>
    </row>
    <row r="207" spans="1:47" x14ac:dyDescent="0.2">
      <c r="A207" s="5" t="str">
        <f ca="1">IF(B207=" "," ",HYPERLINK(CONCATENATE("#metadata!",ADDRESS(INDEX($Y$2:$Y$1001,MATCH(ROWS($W$2:W207),$W$2:$W$1001,0),0),1)),INDEX($AB$2:$AB$1001,MATCH(ROWS($W$2:W207),$W$2:$W$1001,0),0)))</f>
        <v xml:space="preserve"> </v>
      </c>
      <c r="B207" s="4" t="str">
        <f ca="1">IF(OR(INDEX($X$2:$X$1001,MATCH(ROWS($W$2:W207),$W$2:$W$1001,0),1)&gt;=100000,INDEX($AD$1005:$AU$1005,1,MATCH(COLUMNS($AD$1006:AD1006),$AD$1006:$AU$1006,0))&gt;=100000), " ",IF(INDEX($AD$2:$AU$1001,MATCH(ROWS($W$2:W207),$W$2:$W$1001,0),MATCH(COLUMNS($AD$1006:AD1006),$AD$1006:$AU$1006,0)), HYPERLINK("#",""), HYPERLINK(CONCATENATE("#metadata!", ADDRESS(INDEX($Y$2:$Y$1001,MATCH(ROWS($W$2:W207),$W$2:$W$1001,0),0), INDEX($AD$1004:$AU$1004,1,MATCH(COLUMNS($AD$1006:AD1006),$AD$1006:$AU$1006,0)))),"Fix")))</f>
        <v xml:space="preserve"> </v>
      </c>
      <c r="C207" s="4" t="str">
        <f ca="1">IF(OR(INDEX($X$2:$X$1001,MATCH(ROWS($W$2:W207),$W$2:$W$1001,0),1)&gt;=100000,INDEX($AD$1005:$AU$1005,1,MATCH(COLUMNS($AD$1006:AE1006),$AD$1006:$AU$1006,0))&gt;=100000), " ",IF(INDEX($AD$2:$AU$1001,MATCH(ROWS($W$2:W207),$W$2:$W$1001,0),MATCH(COLUMNS($AD$1006:AE1006),$AD$1006:$AU$1006,0)), HYPERLINK("#",""), HYPERLINK(CONCATENATE("#metadata!", ADDRESS(INDEX($Y$2:$Y$1001,MATCH(ROWS($W$2:W207),$W$2:$W$1001,0),0), INDEX($AD$1004:$AU$1004,1,MATCH(COLUMNS($AD$1006:AE1006),$AD$1006:$AU$1006,0)))),"Fix")))</f>
        <v xml:space="preserve"> </v>
      </c>
      <c r="D207" s="4" t="str">
        <f ca="1">IF(OR(INDEX($X$2:$X$1001,MATCH(ROWS($W$2:W207),$W$2:$W$1001,0),1)&gt;=100000,INDEX($AD$1005:$AU$1005,1,MATCH(COLUMNS($AD$1006:AF1006),$AD$1006:$AU$1006,0))&gt;=100000), " ",IF(INDEX($AD$2:$AU$1001,MATCH(ROWS($W$2:W207),$W$2:$W$1001,0),MATCH(COLUMNS($AD$1006:AF1006),$AD$1006:$AU$1006,0)), HYPERLINK("#",""), HYPERLINK(CONCATENATE("#metadata!", ADDRESS(INDEX($Y$2:$Y$1001,MATCH(ROWS($W$2:W207),$W$2:$W$1001,0),0), INDEX($AD$1004:$AU$1004,1,MATCH(COLUMNS($AD$1006:AF1006),$AD$1006:$AU$1006,0)))),"Fix")))</f>
        <v xml:space="preserve"> </v>
      </c>
      <c r="E207" s="4" t="str">
        <f ca="1">IF(OR(INDEX($X$2:$X$1001,MATCH(ROWS($W$2:W207),$W$2:$W$1001,0),1)&gt;=100000,INDEX($AD$1005:$AU$1005,1,MATCH(COLUMNS($AD$1006:AG1006),$AD$1006:$AU$1006,0))&gt;=100000), " ",IF(INDEX($AD$2:$AU$1001,MATCH(ROWS($W$2:W207),$W$2:$W$1001,0),MATCH(COLUMNS($AD$1006:AG1006),$AD$1006:$AU$1006,0)), HYPERLINK("#",""), HYPERLINK(CONCATENATE("#metadata!", ADDRESS(INDEX($Y$2:$Y$1001,MATCH(ROWS($W$2:W207),$W$2:$W$1001,0),0), INDEX($AD$1004:$AU$1004,1,MATCH(COLUMNS($AD$1006:AG1006),$AD$1006:$AU$1006,0)))),"Fix")))</f>
        <v xml:space="preserve"> </v>
      </c>
      <c r="F207" s="4" t="str">
        <f ca="1">IF(OR(INDEX($X$2:$X$1001,MATCH(ROWS($W$2:W207),$W$2:$W$1001,0),1)&gt;=100000,INDEX($AD$1005:$AU$1005,1,MATCH(COLUMNS($AD$1006:AH1006),$AD$1006:$AU$1006,0))&gt;=100000), " ",IF(INDEX($AD$2:$AU$1001,MATCH(ROWS($W$2:W207),$W$2:$W$1001,0),MATCH(COLUMNS($AD$1006:AH1006),$AD$1006:$AU$1006,0)), HYPERLINK("#",""), HYPERLINK(CONCATENATE("#metadata!", ADDRESS(INDEX($Y$2:$Y$1001,MATCH(ROWS($W$2:W207),$W$2:$W$1001,0),0), INDEX($AD$1004:$AU$1004,1,MATCH(COLUMNS($AD$1006:AH1006),$AD$1006:$AU$1006,0)))),"Fix")))</f>
        <v xml:space="preserve"> </v>
      </c>
      <c r="G207" s="4" t="str">
        <f ca="1">IF(OR(INDEX($X$2:$X$1001,MATCH(ROWS($W$2:W207),$W$2:$W$1001,0),1)&gt;=100000,INDEX($AD$1005:$AU$1005,1,MATCH(COLUMNS($AD$1006:AI1006),$AD$1006:$AU$1006,0))&gt;=100000), " ",IF(INDEX($AD$2:$AU$1001,MATCH(ROWS($W$2:W207),$W$2:$W$1001,0),MATCH(COLUMNS($AD$1006:AI1006),$AD$1006:$AU$1006,0)), HYPERLINK("#",""), HYPERLINK(CONCATENATE("#metadata!", ADDRESS(INDEX($Y$2:$Y$1001,MATCH(ROWS($W$2:W207),$W$2:$W$1001,0),0), INDEX($AD$1004:$AU$1004,1,MATCH(COLUMNS($AD$1006:AI1006),$AD$1006:$AU$1006,0)))),"Fix")))</f>
        <v xml:space="preserve"> </v>
      </c>
      <c r="H207" s="4" t="str">
        <f ca="1">IF(OR(INDEX($X$2:$X$1001,MATCH(ROWS($W$2:W207),$W$2:$W$1001,0),1)&gt;=100000,INDEX($AD$1005:$AU$1005,1,MATCH(COLUMNS($AD$1006:AJ1006),$AD$1006:$AU$1006,0))&gt;=100000), " ",IF(INDEX($AD$2:$AU$1001,MATCH(ROWS($W$2:W207),$W$2:$W$1001,0),MATCH(COLUMNS($AD$1006:AJ1006),$AD$1006:$AU$1006,0)), HYPERLINK("#",""), HYPERLINK(CONCATENATE("#metadata!", ADDRESS(INDEX($Y$2:$Y$1001,MATCH(ROWS($W$2:W207),$W$2:$W$1001,0),0), INDEX($AD$1004:$AU$1004,1,MATCH(COLUMNS($AD$1006:AJ1006),$AD$1006:$AU$1006,0)))),"Fix")))</f>
        <v xml:space="preserve"> </v>
      </c>
      <c r="I207" s="4" t="str">
        <f ca="1">IF(OR(INDEX($X$2:$X$1001,MATCH(ROWS($W$2:W207),$W$2:$W$1001,0),1)&gt;=100000,INDEX($AD$1005:$AU$1005,1,MATCH(COLUMNS($AD$1006:AK1006),$AD$1006:$AU$1006,0))&gt;=100000), " ",IF(INDEX($AD$2:$AU$1001,MATCH(ROWS($W$2:W207),$W$2:$W$1001,0),MATCH(COLUMNS($AD$1006:AK1006),$AD$1006:$AU$1006,0)), HYPERLINK("#",""), HYPERLINK(CONCATENATE("#metadata!", ADDRESS(INDEX($Y$2:$Y$1001,MATCH(ROWS($W$2:W207),$W$2:$W$1001,0),0), INDEX($AD$1004:$AU$1004,1,MATCH(COLUMNS($AD$1006:AK1006),$AD$1006:$AU$1006,0)))),"Fix")))</f>
        <v xml:space="preserve"> </v>
      </c>
      <c r="J207" s="4" t="str">
        <f ca="1">IF(OR(INDEX($X$2:$X$1001,MATCH(ROWS($W$2:W207),$W$2:$W$1001,0),1)&gt;=100000,INDEX($AD$1005:$AU$1005,1,MATCH(COLUMNS($AD$1006:AL1006),$AD$1006:$AU$1006,0))&gt;=100000), " ",IF(INDEX($AD$2:$AU$1001,MATCH(ROWS($W$2:W207),$W$2:$W$1001,0),MATCH(COLUMNS($AD$1006:AL1006),$AD$1006:$AU$1006,0)), HYPERLINK("#",""), HYPERLINK(CONCATENATE("#metadata!", ADDRESS(INDEX($Y$2:$Y$1001,MATCH(ROWS($W$2:W207),$W$2:$W$1001,0),0), INDEX($AD$1004:$AU$1004,1,MATCH(COLUMNS($AD$1006:AL1006),$AD$1006:$AU$1006,0)))),"Fix")))</f>
        <v xml:space="preserve"> </v>
      </c>
      <c r="K207" s="4" t="str">
        <f ca="1">IF(OR(INDEX($X$2:$X$1001,MATCH(ROWS($W$2:W207),$W$2:$W$1001,0),1)&gt;=100000,INDEX($AD$1005:$AU$1005,1,MATCH(COLUMNS($AD$1006:AM1006),$AD$1006:$AU$1006,0))&gt;=100000), " ",IF(INDEX($AD$2:$AU$1001,MATCH(ROWS($W$2:W207),$W$2:$W$1001,0),MATCH(COLUMNS($AD$1006:AM1006),$AD$1006:$AU$1006,0)), HYPERLINK("#",""), HYPERLINK(CONCATENATE("#metadata!", ADDRESS(INDEX($Y$2:$Y$1001,MATCH(ROWS($W$2:W207),$W$2:$W$1001,0),0), INDEX($AD$1004:$AU$1004,1,MATCH(COLUMNS($AD$1006:AM1006),$AD$1006:$AU$1006,0)))),"Fix")))</f>
        <v xml:space="preserve"> </v>
      </c>
      <c r="L207" s="4" t="str">
        <f ca="1">IF(OR(INDEX($X$2:$X$1001,MATCH(ROWS($W$2:W207),$W$2:$W$1001,0),1)&gt;=100000,INDEX($AD$1005:$AU$1005,1,MATCH(COLUMNS($AD$1006:AN1006),$AD$1006:$AU$1006,0))&gt;=100000), " ",IF(INDEX($AD$2:$AU$1001,MATCH(ROWS($W$2:W207),$W$2:$W$1001,0),MATCH(COLUMNS($AD$1006:AN1006),$AD$1006:$AU$1006,0)), HYPERLINK("#",""), HYPERLINK(CONCATENATE("#metadata!", ADDRESS(INDEX($Y$2:$Y$1001,MATCH(ROWS($W$2:W207),$W$2:$W$1001,0),0), INDEX($AD$1004:$AU$1004,1,MATCH(COLUMNS($AD$1006:AN1006),$AD$1006:$AU$1006,0)))),"Fix")))</f>
        <v xml:space="preserve"> </v>
      </c>
      <c r="M207" s="4" t="str">
        <f ca="1">IF(OR(INDEX($X$2:$X$1001,MATCH(ROWS($W$2:W207),$W$2:$W$1001,0),1)&gt;=100000,INDEX($AD$1005:$AU$1005,1,MATCH(COLUMNS($AD$1006:AO1006),$AD$1006:$AU$1006,0))&gt;=100000), " ",IF(INDEX($AD$2:$AU$1001,MATCH(ROWS($W$2:W207),$W$2:$W$1001,0),MATCH(COLUMNS($AD$1006:AO1006),$AD$1006:$AU$1006,0)), HYPERLINK("#",""), HYPERLINK(CONCATENATE("#metadata!", ADDRESS(INDEX($Y$2:$Y$1001,MATCH(ROWS($W$2:W207),$W$2:$W$1001,0),0), INDEX($AD$1004:$AU$1004,1,MATCH(COLUMNS($AD$1006:AO1006),$AD$1006:$AU$1006,0)))),"Fix")))</f>
        <v xml:space="preserve"> </v>
      </c>
      <c r="N207" s="4" t="str">
        <f ca="1">IF(OR(INDEX($X$2:$X$1001,MATCH(ROWS($W$2:W207),$W$2:$W$1001,0),1)&gt;=100000,INDEX($AD$1005:$AU$1005,1,MATCH(COLUMNS($AD$1006:AP1006),$AD$1006:$AU$1006,0))&gt;=100000), " ",IF(INDEX($AD$2:$AU$1001,MATCH(ROWS($W$2:W207),$W$2:$W$1001,0),MATCH(COLUMNS($AD$1006:AP1006),$AD$1006:$AU$1006,0)), HYPERLINK("#",""), HYPERLINK(CONCATENATE("#metadata!", ADDRESS(INDEX($Y$2:$Y$1001,MATCH(ROWS($W$2:W207),$W$2:$W$1001,0),0), INDEX($AD$1004:$AU$1004,1,MATCH(COLUMNS($AD$1006:AP1006),$AD$1006:$AU$1006,0)))),"Fix")))</f>
        <v xml:space="preserve"> </v>
      </c>
      <c r="O207" s="4" t="str">
        <f ca="1">IF(OR(INDEX($X$2:$X$1001,MATCH(ROWS($W$2:W207),$W$2:$W$1001,0),1)&gt;=100000,INDEX($AD$1005:$AU$1005,1,MATCH(COLUMNS($AD$1006:AQ1006),$AD$1006:$AU$1006,0))&gt;=100000), " ",IF(INDEX($AD$2:$AU$1001,MATCH(ROWS($W$2:W207),$W$2:$W$1001,0),MATCH(COLUMNS($AD$1006:AQ1006),$AD$1006:$AU$1006,0)), HYPERLINK("#",""), HYPERLINK(CONCATENATE("#metadata!", ADDRESS(INDEX($Y$2:$Y$1001,MATCH(ROWS($W$2:W207),$W$2:$W$1001,0),0), INDEX($AD$1004:$AU$1004,1,MATCH(COLUMNS($AD$1006:AQ1006),$AD$1006:$AU$1006,0)))),"Fix")))</f>
        <v xml:space="preserve"> </v>
      </c>
      <c r="P207" s="4" t="str">
        <f ca="1">IF(OR(INDEX($X$2:$X$1001,MATCH(ROWS($W$2:W207),$W$2:$W$1001,0),1)&gt;=100000,INDEX($AD$1005:$AU$1005,1,MATCH(COLUMNS($AD$1006:AR1006),$AD$1006:$AU$1006,0))&gt;=100000), " ",IF(INDEX($AD$2:$AU$1001,MATCH(ROWS($W$2:W207),$W$2:$W$1001,0),MATCH(COLUMNS($AD$1006:AR1006),$AD$1006:$AU$1006,0)), HYPERLINK("#",""), HYPERLINK(CONCATENATE("#metadata!", ADDRESS(INDEX($Y$2:$Y$1001,MATCH(ROWS($W$2:W207),$W$2:$W$1001,0),0), INDEX($AD$1004:$AU$1004,1,MATCH(COLUMNS($AD$1006:AR1006),$AD$1006:$AU$1006,0)))),"Fix")))</f>
        <v xml:space="preserve"> </v>
      </c>
      <c r="Q207" s="4" t="str">
        <f ca="1">IF(OR(INDEX($X$2:$X$1001,MATCH(ROWS($W$2:W207),$W$2:$W$1001,0),1)&gt;=100000,INDEX($AD$1005:$AU$1005,1,MATCH(COLUMNS($AD$1006:AS1006),$AD$1006:$AU$1006,0))&gt;=100000), " ",IF(INDEX($AD$2:$AU$1001,MATCH(ROWS($W$2:W207),$W$2:$W$1001,0),MATCH(COLUMNS($AD$1006:AS1006),$AD$1006:$AU$1006,0)), HYPERLINK("#",""), HYPERLINK(CONCATENATE("#metadata!", ADDRESS(INDEX($Y$2:$Y$1001,MATCH(ROWS($W$2:W207),$W$2:$W$1001,0),0), INDEX($AD$1004:$AU$1004,1,MATCH(COLUMNS($AD$1006:AS1006),$AD$1006:$AU$1006,0)))),"Fix")))</f>
        <v xml:space="preserve"> </v>
      </c>
      <c r="R207" s="4" t="str">
        <f ca="1">IF(OR(INDEX($X$2:$X$1001,MATCH(ROWS($W$2:W207),$W$2:$W$1001,0),1)&gt;=100000,INDEX($AD$1005:$AU$1005,1,MATCH(COLUMNS($AD$1006:AT1006),$AD$1006:$AU$1006,0))&gt;=100000), " ",IF(INDEX($AD$2:$AU$1001,MATCH(ROWS($W$2:W207),$W$2:$W$1001,0),MATCH(COLUMNS($AD$1006:AT1006),$AD$1006:$AU$1006,0)), HYPERLINK("#",""), HYPERLINK(CONCATENATE("#metadata!", ADDRESS(INDEX($Y$2:$Y$1001,MATCH(ROWS($W$2:W207),$W$2:$W$1001,0),0), INDEX($AD$1004:$AU$1004,1,MATCH(COLUMNS($AD$1006:AT1006),$AD$1006:$AU$1006,0)))),"Fix")))</f>
        <v xml:space="preserve"> </v>
      </c>
      <c r="S207" s="4" t="str">
        <f ca="1">IF(OR(INDEX($X$2:$X$1001,MATCH(ROWS($W$2:W207),$W$2:$W$1001,0),1)&gt;=100000,INDEX($AD$1005:$AU$1005,1,MATCH(COLUMNS($AD$1006:AU1006),$AD$1006:$AU$1006,0))&gt;=100000), " ",IF(INDEX($AD$2:$AU$1001,MATCH(ROWS($W$2:W207),$W$2:$W$1001,0),MATCH(COLUMNS($AD$1006:AU1006),$AD$1006:$AU$1006,0)), HYPERLINK("#",""), HYPERLINK(CONCATENATE("#metadata!", ADDRESS(INDEX($Y$2:$Y$1001,MATCH(ROWS($W$2:W207),$W$2:$W$1001,0),0), INDEX($AD$1004:$AU$1004,1,MATCH(COLUMNS($AD$1006:AU1006),$AD$1006:$AU$1006,0)))),"Fix")))</f>
        <v xml:space="preserve"> </v>
      </c>
      <c r="W207">
        <v>206</v>
      </c>
      <c r="X207">
        <v>100207</v>
      </c>
      <c r="Y207">
        <v>207</v>
      </c>
      <c r="Z207" t="b">
        <f t="shared" si="3"/>
        <v>1</v>
      </c>
      <c r="AA207" t="b">
        <f>COUNTBLANK(metadata!B207:S207)=COLUMNS(metadata!B207:S207)</f>
        <v>1</v>
      </c>
      <c r="AB207" t="str">
        <v/>
      </c>
      <c r="AD207" t="b">
        <f ca="1">AND(IF(metadata!B207="",FALSE,TRUE),COUNTIF(metadata!B:B, metadata!B207) = 1,NOT(ISERROR(SUMPRODUCT(SEARCH(MID(metadata!B207,ROW(INDIRECT("1:"&amp;LEN(metadata!B207))), 1),"0123456789abcdefghijklmnopqrstuvwxyzABCDEFGHIJKLMNOPQRSTUVWXYZ.")))))</f>
        <v>0</v>
      </c>
      <c r="AE207" t="b">
        <f>OR(AND(IF(metadata!C207="",FALSE,TRUE),OR(EXACT(metadata!C207,"not applicable"),EXACT(metadata!C207,"missing: not collected"),EXACT(metadata!C207,"missing: not provided"),EXACT(metadata!C207,"missing: restricted access"))),AND(IF(metadata!C207="",FALSE,ISNUMBER(VALUE(metadata!C207))),metadata!C207&gt;0))</f>
        <v>0</v>
      </c>
      <c r="AF207" t="b">
        <f>AND(IF(metadata!D207="",FALSE,TRUE),EXACT(metadata!D207,"missing: not provided"))</f>
        <v>0</v>
      </c>
      <c r="AG207" t="b">
        <f>AND(IF(metadata!E207="",FALSE,TRUE),EXACT(metadata!E207,"Host-associated"))</f>
        <v>0</v>
      </c>
      <c r="AH207" t="b">
        <f>AND(IF(metadata!F207="",FALSE,TRUE),OR(EXACT(metadata!F207,"Animal"),EXACT(metadata!F207,"Fungus"),EXACT(metadata!F207,"Plant")))</f>
        <v>0</v>
      </c>
      <c r="AI207" t="b">
        <f>AND(IF(metadata!G207="",FALSE,TRUE),OR(EXACT(metadata!G207,"Plant secretion"),EXACT(metadata!G207,"Plant rhizosphere"),EXACT(metadata!G207,"Plant surface"),EXACT(metadata!G207,"Plant corpus"),EXACT(metadata!G207,"Fungus surface"),EXACT(metadata!G207,"Fungus corpus"),EXACT(metadata!G207,"Animal surface"),EXACT(metadata!G207,"Animal proximal gut"),EXACT(metadata!G207,"Animal corpus"),EXACT(metadata!G207,"Animal distal gut"),EXACT(metadata!G207,"Animal secretion")))</f>
        <v>0</v>
      </c>
      <c r="AJ207" t="b">
        <f>OR(AND(IF(metadata!H207="",FALSE,TRUE),OR(EXACT(metadata!H207,"missing: not collected"),EXACT(metadata!H207,"missing: not provided"),EXACT(metadata!H207,"missing: restricted access"))),AND(IF(metadata!H207="",FALSE,TRUE),OR(EXACT(metadata!H207,"organism-associated habitat"),EXACT(metadata!H207,"plant-associated habitat"),EXACT(metadata!H207,"animal-associated habitat"),EXACT(metadata!H207,"insecta-associated habitat"),EXACT(metadata!H207,"mammalia-associated habitat"),EXACT(metadata!H207,"human-associated habitat"),EXACT(metadata!H207,"livestock-associated habitat"))))</f>
        <v>0</v>
      </c>
      <c r="AK207" t="b">
        <f>AND(IF(metadata!I207="",FALSE,TRUE),EXACT(metadata!I207,"host-associated"))</f>
        <v>0</v>
      </c>
      <c r="AL207" t="b">
        <f>OR(AND(IF(metadata!J207="",FALSE,TRUE),OR(EXACT(metadata!J207,"not applicable"),EXACT(metadata!J207,"missing: not collected"),EXACT(metadata!J207,"missing: not provided"),EXACT(metadata!J207,"missing: restricted access"))),AND(IF(metadata!J207="",FALSE,ISNUMBER(VALUE(metadata!J207))),metadata!J207&gt;0))</f>
        <v>0</v>
      </c>
      <c r="AM207" t="b">
        <f>AND(IF(metadata!K207="",FALSE,TRUE),EXACT(metadata!K207,"missing: not provided"))</f>
        <v>0</v>
      </c>
      <c r="AN207" t="b">
        <f>IF(metadata!L207="",FALSE,TRUE)</f>
        <v>0</v>
      </c>
      <c r="AO207" t="b">
        <f>IF(metadata!M207="",FALSE,TRUE)</f>
        <v>0</v>
      </c>
      <c r="AP207" t="b">
        <f>OR(AND(IF(metadata!N207="",FALSE,TRUE),OR(EXACT(metadata!N207,"not applicable"),EXACT(metadata!N207,"missing: not collected"),EXACT(metadata!N207,"missing: not provided"))),AND(IF(metadata!N207="",FALSE,IF(ISERROR(INT(metadata!N207)),FALSE,INT(metadata!N207)=metadata!N207)),metadata!N207&gt;0))</f>
        <v>0</v>
      </c>
      <c r="AQ207" t="b">
        <f>AND(IF(metadata!O207="",FALSE,TRUE),EXACT(metadata!O207,"Not applicable"))</f>
        <v>0</v>
      </c>
      <c r="AR207" t="b">
        <f>OR(AND(IF(metadata!P207="",FALSE,TRUE),OR(EXACT(metadata!P207,"not applicable"),EXACT(metadata!P207,"missing: not collected"),EXACT(metadata!P207,"missing: not provided"),EXACT(metadata!P207,"missing: restricted access"))),IF(metadata!P207="",FALSE,IF(ISERROR(INT(metadata!P207)),FALSE,INT(metadata!P207)=metadata!P207)))</f>
        <v>0</v>
      </c>
      <c r="AS207" t="b">
        <f>AND(IF(metadata!Q207="",FALSE,TRUE),EXACT(metadata!Q207,"Not applicable"))</f>
        <v>0</v>
      </c>
      <c r="AT207" t="b">
        <f>OR(AND(IF(metadata!R207="",FALSE,TRUE),OR(EXACT(metadata!R207,"not applicable"),EXACT(metadata!R207,"missing: not collected"),EXACT(metadata!R207,"missing: not provided"),EXACT(metadata!R207,"missing: restricted access"))),AND(IF(metadata!R207="",FALSE,ISNUMBER(VALUE(metadata!R207))),metadata!R207&gt;0))</f>
        <v>0</v>
      </c>
      <c r="AU207" t="b">
        <f>AND(IF(metadata!S207="",FALSE,TRUE),EXACT(metadata!S207,"missing: not provided"))</f>
        <v>0</v>
      </c>
    </row>
    <row r="208" spans="1:47" x14ac:dyDescent="0.2">
      <c r="A208" s="5" t="str">
        <f ca="1">IF(B208=" "," ",HYPERLINK(CONCATENATE("#metadata!",ADDRESS(INDEX($Y$2:$Y$1001,MATCH(ROWS($W$2:W208),$W$2:$W$1001,0),0),1)),INDEX($AB$2:$AB$1001,MATCH(ROWS($W$2:W208),$W$2:$W$1001,0),0)))</f>
        <v xml:space="preserve"> </v>
      </c>
      <c r="B208" s="4" t="str">
        <f ca="1">IF(OR(INDEX($X$2:$X$1001,MATCH(ROWS($W$2:W208),$W$2:$W$1001,0),1)&gt;=100000,INDEX($AD$1005:$AU$1005,1,MATCH(COLUMNS($AD$1006:AD1006),$AD$1006:$AU$1006,0))&gt;=100000), " ",IF(INDEX($AD$2:$AU$1001,MATCH(ROWS($W$2:W208),$W$2:$W$1001,0),MATCH(COLUMNS($AD$1006:AD1006),$AD$1006:$AU$1006,0)), HYPERLINK("#",""), HYPERLINK(CONCATENATE("#metadata!", ADDRESS(INDEX($Y$2:$Y$1001,MATCH(ROWS($W$2:W208),$W$2:$W$1001,0),0), INDEX($AD$1004:$AU$1004,1,MATCH(COLUMNS($AD$1006:AD1006),$AD$1006:$AU$1006,0)))),"Fix")))</f>
        <v xml:space="preserve"> </v>
      </c>
      <c r="C208" s="4" t="str">
        <f ca="1">IF(OR(INDEX($X$2:$X$1001,MATCH(ROWS($W$2:W208),$W$2:$W$1001,0),1)&gt;=100000,INDEX($AD$1005:$AU$1005,1,MATCH(COLUMNS($AD$1006:AE1006),$AD$1006:$AU$1006,0))&gt;=100000), " ",IF(INDEX($AD$2:$AU$1001,MATCH(ROWS($W$2:W208),$W$2:$W$1001,0),MATCH(COLUMNS($AD$1006:AE1006),$AD$1006:$AU$1006,0)), HYPERLINK("#",""), HYPERLINK(CONCATENATE("#metadata!", ADDRESS(INDEX($Y$2:$Y$1001,MATCH(ROWS($W$2:W208),$W$2:$W$1001,0),0), INDEX($AD$1004:$AU$1004,1,MATCH(COLUMNS($AD$1006:AE1006),$AD$1006:$AU$1006,0)))),"Fix")))</f>
        <v xml:space="preserve"> </v>
      </c>
      <c r="D208" s="4" t="str">
        <f ca="1">IF(OR(INDEX($X$2:$X$1001,MATCH(ROWS($W$2:W208),$W$2:$W$1001,0),1)&gt;=100000,INDEX($AD$1005:$AU$1005,1,MATCH(COLUMNS($AD$1006:AF1006),$AD$1006:$AU$1006,0))&gt;=100000), " ",IF(INDEX($AD$2:$AU$1001,MATCH(ROWS($W$2:W208),$W$2:$W$1001,0),MATCH(COLUMNS($AD$1006:AF1006),$AD$1006:$AU$1006,0)), HYPERLINK("#",""), HYPERLINK(CONCATENATE("#metadata!", ADDRESS(INDEX($Y$2:$Y$1001,MATCH(ROWS($W$2:W208),$W$2:$W$1001,0),0), INDEX($AD$1004:$AU$1004,1,MATCH(COLUMNS($AD$1006:AF1006),$AD$1006:$AU$1006,0)))),"Fix")))</f>
        <v xml:space="preserve"> </v>
      </c>
      <c r="E208" s="4" t="str">
        <f ca="1">IF(OR(INDEX($X$2:$X$1001,MATCH(ROWS($W$2:W208),$W$2:$W$1001,0),1)&gt;=100000,INDEX($AD$1005:$AU$1005,1,MATCH(COLUMNS($AD$1006:AG1006),$AD$1006:$AU$1006,0))&gt;=100000), " ",IF(INDEX($AD$2:$AU$1001,MATCH(ROWS($W$2:W208),$W$2:$W$1001,0),MATCH(COLUMNS($AD$1006:AG1006),$AD$1006:$AU$1006,0)), HYPERLINK("#",""), HYPERLINK(CONCATENATE("#metadata!", ADDRESS(INDEX($Y$2:$Y$1001,MATCH(ROWS($W$2:W208),$W$2:$W$1001,0),0), INDEX($AD$1004:$AU$1004,1,MATCH(COLUMNS($AD$1006:AG1006),$AD$1006:$AU$1006,0)))),"Fix")))</f>
        <v xml:space="preserve"> </v>
      </c>
      <c r="F208" s="4" t="str">
        <f ca="1">IF(OR(INDEX($X$2:$X$1001,MATCH(ROWS($W$2:W208),$W$2:$W$1001,0),1)&gt;=100000,INDEX($AD$1005:$AU$1005,1,MATCH(COLUMNS($AD$1006:AH1006),$AD$1006:$AU$1006,0))&gt;=100000), " ",IF(INDEX($AD$2:$AU$1001,MATCH(ROWS($W$2:W208),$W$2:$W$1001,0),MATCH(COLUMNS($AD$1006:AH1006),$AD$1006:$AU$1006,0)), HYPERLINK("#",""), HYPERLINK(CONCATENATE("#metadata!", ADDRESS(INDEX($Y$2:$Y$1001,MATCH(ROWS($W$2:W208),$W$2:$W$1001,0),0), INDEX($AD$1004:$AU$1004,1,MATCH(COLUMNS($AD$1006:AH1006),$AD$1006:$AU$1006,0)))),"Fix")))</f>
        <v xml:space="preserve"> </v>
      </c>
      <c r="G208" s="4" t="str">
        <f ca="1">IF(OR(INDEX($X$2:$X$1001,MATCH(ROWS($W$2:W208),$W$2:$W$1001,0),1)&gt;=100000,INDEX($AD$1005:$AU$1005,1,MATCH(COLUMNS($AD$1006:AI1006),$AD$1006:$AU$1006,0))&gt;=100000), " ",IF(INDEX($AD$2:$AU$1001,MATCH(ROWS($W$2:W208),$W$2:$W$1001,0),MATCH(COLUMNS($AD$1006:AI1006),$AD$1006:$AU$1006,0)), HYPERLINK("#",""), HYPERLINK(CONCATENATE("#metadata!", ADDRESS(INDEX($Y$2:$Y$1001,MATCH(ROWS($W$2:W208),$W$2:$W$1001,0),0), INDEX($AD$1004:$AU$1004,1,MATCH(COLUMNS($AD$1006:AI1006),$AD$1006:$AU$1006,0)))),"Fix")))</f>
        <v xml:space="preserve"> </v>
      </c>
      <c r="H208" s="4" t="str">
        <f ca="1">IF(OR(INDEX($X$2:$X$1001,MATCH(ROWS($W$2:W208),$W$2:$W$1001,0),1)&gt;=100000,INDEX($AD$1005:$AU$1005,1,MATCH(COLUMNS($AD$1006:AJ1006),$AD$1006:$AU$1006,0))&gt;=100000), " ",IF(INDEX($AD$2:$AU$1001,MATCH(ROWS($W$2:W208),$W$2:$W$1001,0),MATCH(COLUMNS($AD$1006:AJ1006),$AD$1006:$AU$1006,0)), HYPERLINK("#",""), HYPERLINK(CONCATENATE("#metadata!", ADDRESS(INDEX($Y$2:$Y$1001,MATCH(ROWS($W$2:W208),$W$2:$W$1001,0),0), INDEX($AD$1004:$AU$1004,1,MATCH(COLUMNS($AD$1006:AJ1006),$AD$1006:$AU$1006,0)))),"Fix")))</f>
        <v xml:space="preserve"> </v>
      </c>
      <c r="I208" s="4" t="str">
        <f ca="1">IF(OR(INDEX($X$2:$X$1001,MATCH(ROWS($W$2:W208),$W$2:$W$1001,0),1)&gt;=100000,INDEX($AD$1005:$AU$1005,1,MATCH(COLUMNS($AD$1006:AK1006),$AD$1006:$AU$1006,0))&gt;=100000), " ",IF(INDEX($AD$2:$AU$1001,MATCH(ROWS($W$2:W208),$W$2:$W$1001,0),MATCH(COLUMNS($AD$1006:AK1006),$AD$1006:$AU$1006,0)), HYPERLINK("#",""), HYPERLINK(CONCATENATE("#metadata!", ADDRESS(INDEX($Y$2:$Y$1001,MATCH(ROWS($W$2:W208),$W$2:$W$1001,0),0), INDEX($AD$1004:$AU$1004,1,MATCH(COLUMNS($AD$1006:AK1006),$AD$1006:$AU$1006,0)))),"Fix")))</f>
        <v xml:space="preserve"> </v>
      </c>
      <c r="J208" s="4" t="str">
        <f ca="1">IF(OR(INDEX($X$2:$X$1001,MATCH(ROWS($W$2:W208),$W$2:$W$1001,0),1)&gt;=100000,INDEX($AD$1005:$AU$1005,1,MATCH(COLUMNS($AD$1006:AL1006),$AD$1006:$AU$1006,0))&gt;=100000), " ",IF(INDEX($AD$2:$AU$1001,MATCH(ROWS($W$2:W208),$W$2:$W$1001,0),MATCH(COLUMNS($AD$1006:AL1006),$AD$1006:$AU$1006,0)), HYPERLINK("#",""), HYPERLINK(CONCATENATE("#metadata!", ADDRESS(INDEX($Y$2:$Y$1001,MATCH(ROWS($W$2:W208),$W$2:$W$1001,0),0), INDEX($AD$1004:$AU$1004,1,MATCH(COLUMNS($AD$1006:AL1006),$AD$1006:$AU$1006,0)))),"Fix")))</f>
        <v xml:space="preserve"> </v>
      </c>
      <c r="K208" s="4" t="str">
        <f ca="1">IF(OR(INDEX($X$2:$X$1001,MATCH(ROWS($W$2:W208),$W$2:$W$1001,0),1)&gt;=100000,INDEX($AD$1005:$AU$1005,1,MATCH(COLUMNS($AD$1006:AM1006),$AD$1006:$AU$1006,0))&gt;=100000), " ",IF(INDEX($AD$2:$AU$1001,MATCH(ROWS($W$2:W208),$W$2:$W$1001,0),MATCH(COLUMNS($AD$1006:AM1006),$AD$1006:$AU$1006,0)), HYPERLINK("#",""), HYPERLINK(CONCATENATE("#metadata!", ADDRESS(INDEX($Y$2:$Y$1001,MATCH(ROWS($W$2:W208),$W$2:$W$1001,0),0), INDEX($AD$1004:$AU$1004,1,MATCH(COLUMNS($AD$1006:AM1006),$AD$1006:$AU$1006,0)))),"Fix")))</f>
        <v xml:space="preserve"> </v>
      </c>
      <c r="L208" s="4" t="str">
        <f ca="1">IF(OR(INDEX($X$2:$X$1001,MATCH(ROWS($W$2:W208),$W$2:$W$1001,0),1)&gt;=100000,INDEX($AD$1005:$AU$1005,1,MATCH(COLUMNS($AD$1006:AN1006),$AD$1006:$AU$1006,0))&gt;=100000), " ",IF(INDEX($AD$2:$AU$1001,MATCH(ROWS($W$2:W208),$W$2:$W$1001,0),MATCH(COLUMNS($AD$1006:AN1006),$AD$1006:$AU$1006,0)), HYPERLINK("#",""), HYPERLINK(CONCATENATE("#metadata!", ADDRESS(INDEX($Y$2:$Y$1001,MATCH(ROWS($W$2:W208),$W$2:$W$1001,0),0), INDEX($AD$1004:$AU$1004,1,MATCH(COLUMNS($AD$1006:AN1006),$AD$1006:$AU$1006,0)))),"Fix")))</f>
        <v xml:space="preserve"> </v>
      </c>
      <c r="M208" s="4" t="str">
        <f ca="1">IF(OR(INDEX($X$2:$X$1001,MATCH(ROWS($W$2:W208),$W$2:$W$1001,0),1)&gt;=100000,INDEX($AD$1005:$AU$1005,1,MATCH(COLUMNS($AD$1006:AO1006),$AD$1006:$AU$1006,0))&gt;=100000), " ",IF(INDEX($AD$2:$AU$1001,MATCH(ROWS($W$2:W208),$W$2:$W$1001,0),MATCH(COLUMNS($AD$1006:AO1006),$AD$1006:$AU$1006,0)), HYPERLINK("#",""), HYPERLINK(CONCATENATE("#metadata!", ADDRESS(INDEX($Y$2:$Y$1001,MATCH(ROWS($W$2:W208),$W$2:$W$1001,0),0), INDEX($AD$1004:$AU$1004,1,MATCH(COLUMNS($AD$1006:AO1006),$AD$1006:$AU$1006,0)))),"Fix")))</f>
        <v xml:space="preserve"> </v>
      </c>
      <c r="N208" s="4" t="str">
        <f ca="1">IF(OR(INDEX($X$2:$X$1001,MATCH(ROWS($W$2:W208),$W$2:$W$1001,0),1)&gt;=100000,INDEX($AD$1005:$AU$1005,1,MATCH(COLUMNS($AD$1006:AP1006),$AD$1006:$AU$1006,0))&gt;=100000), " ",IF(INDEX($AD$2:$AU$1001,MATCH(ROWS($W$2:W208),$W$2:$W$1001,0),MATCH(COLUMNS($AD$1006:AP1006),$AD$1006:$AU$1006,0)), HYPERLINK("#",""), HYPERLINK(CONCATENATE("#metadata!", ADDRESS(INDEX($Y$2:$Y$1001,MATCH(ROWS($W$2:W208),$W$2:$W$1001,0),0), INDEX($AD$1004:$AU$1004,1,MATCH(COLUMNS($AD$1006:AP1006),$AD$1006:$AU$1006,0)))),"Fix")))</f>
        <v xml:space="preserve"> </v>
      </c>
      <c r="O208" s="4" t="str">
        <f ca="1">IF(OR(INDEX($X$2:$X$1001,MATCH(ROWS($W$2:W208),$W$2:$W$1001,0),1)&gt;=100000,INDEX($AD$1005:$AU$1005,1,MATCH(COLUMNS($AD$1006:AQ1006),$AD$1006:$AU$1006,0))&gt;=100000), " ",IF(INDEX($AD$2:$AU$1001,MATCH(ROWS($W$2:W208),$W$2:$W$1001,0),MATCH(COLUMNS($AD$1006:AQ1006),$AD$1006:$AU$1006,0)), HYPERLINK("#",""), HYPERLINK(CONCATENATE("#metadata!", ADDRESS(INDEX($Y$2:$Y$1001,MATCH(ROWS($W$2:W208),$W$2:$W$1001,0),0), INDEX($AD$1004:$AU$1004,1,MATCH(COLUMNS($AD$1006:AQ1006),$AD$1006:$AU$1006,0)))),"Fix")))</f>
        <v xml:space="preserve"> </v>
      </c>
      <c r="P208" s="4" t="str">
        <f ca="1">IF(OR(INDEX($X$2:$X$1001,MATCH(ROWS($W$2:W208),$W$2:$W$1001,0),1)&gt;=100000,INDEX($AD$1005:$AU$1005,1,MATCH(COLUMNS($AD$1006:AR1006),$AD$1006:$AU$1006,0))&gt;=100000), " ",IF(INDEX($AD$2:$AU$1001,MATCH(ROWS($W$2:W208),$W$2:$W$1001,0),MATCH(COLUMNS($AD$1006:AR1006),$AD$1006:$AU$1006,0)), HYPERLINK("#",""), HYPERLINK(CONCATENATE("#metadata!", ADDRESS(INDEX($Y$2:$Y$1001,MATCH(ROWS($W$2:W208),$W$2:$W$1001,0),0), INDEX($AD$1004:$AU$1004,1,MATCH(COLUMNS($AD$1006:AR1006),$AD$1006:$AU$1006,0)))),"Fix")))</f>
        <v xml:space="preserve"> </v>
      </c>
      <c r="Q208" s="4" t="str">
        <f ca="1">IF(OR(INDEX($X$2:$X$1001,MATCH(ROWS($W$2:W208),$W$2:$W$1001,0),1)&gt;=100000,INDEX($AD$1005:$AU$1005,1,MATCH(COLUMNS($AD$1006:AS1006),$AD$1006:$AU$1006,0))&gt;=100000), " ",IF(INDEX($AD$2:$AU$1001,MATCH(ROWS($W$2:W208),$W$2:$W$1001,0),MATCH(COLUMNS($AD$1006:AS1006),$AD$1006:$AU$1006,0)), HYPERLINK("#",""), HYPERLINK(CONCATENATE("#metadata!", ADDRESS(INDEX($Y$2:$Y$1001,MATCH(ROWS($W$2:W208),$W$2:$W$1001,0),0), INDEX($AD$1004:$AU$1004,1,MATCH(COLUMNS($AD$1006:AS1006),$AD$1006:$AU$1006,0)))),"Fix")))</f>
        <v xml:space="preserve"> </v>
      </c>
      <c r="R208" s="4" t="str">
        <f ca="1">IF(OR(INDEX($X$2:$X$1001,MATCH(ROWS($W$2:W208),$W$2:$W$1001,0),1)&gt;=100000,INDEX($AD$1005:$AU$1005,1,MATCH(COLUMNS($AD$1006:AT1006),$AD$1006:$AU$1006,0))&gt;=100000), " ",IF(INDEX($AD$2:$AU$1001,MATCH(ROWS($W$2:W208),$W$2:$W$1001,0),MATCH(COLUMNS($AD$1006:AT1006),$AD$1006:$AU$1006,0)), HYPERLINK("#",""), HYPERLINK(CONCATENATE("#metadata!", ADDRESS(INDEX($Y$2:$Y$1001,MATCH(ROWS($W$2:W208),$W$2:$W$1001,0),0), INDEX($AD$1004:$AU$1004,1,MATCH(COLUMNS($AD$1006:AT1006),$AD$1006:$AU$1006,0)))),"Fix")))</f>
        <v xml:space="preserve"> </v>
      </c>
      <c r="S208" s="4" t="str">
        <f ca="1">IF(OR(INDEX($X$2:$X$1001,MATCH(ROWS($W$2:W208),$W$2:$W$1001,0),1)&gt;=100000,INDEX($AD$1005:$AU$1005,1,MATCH(COLUMNS($AD$1006:AU1006),$AD$1006:$AU$1006,0))&gt;=100000), " ",IF(INDEX($AD$2:$AU$1001,MATCH(ROWS($W$2:W208),$W$2:$W$1001,0),MATCH(COLUMNS($AD$1006:AU1006),$AD$1006:$AU$1006,0)), HYPERLINK("#",""), HYPERLINK(CONCATENATE("#metadata!", ADDRESS(INDEX($Y$2:$Y$1001,MATCH(ROWS($W$2:W208),$W$2:$W$1001,0),0), INDEX($AD$1004:$AU$1004,1,MATCH(COLUMNS($AD$1006:AU1006),$AD$1006:$AU$1006,0)))),"Fix")))</f>
        <v xml:space="preserve"> </v>
      </c>
      <c r="W208">
        <v>207</v>
      </c>
      <c r="X208">
        <v>100208</v>
      </c>
      <c r="Y208">
        <v>208</v>
      </c>
      <c r="Z208" t="b">
        <f t="shared" si="3"/>
        <v>1</v>
      </c>
      <c r="AA208" t="b">
        <f>COUNTBLANK(metadata!B208:S208)=COLUMNS(metadata!B208:S208)</f>
        <v>1</v>
      </c>
      <c r="AB208" t="str">
        <v/>
      </c>
      <c r="AD208" t="b">
        <f ca="1">AND(IF(metadata!B208="",FALSE,TRUE),COUNTIF(metadata!B:B, metadata!B208) = 1,NOT(ISERROR(SUMPRODUCT(SEARCH(MID(metadata!B208,ROW(INDIRECT("1:"&amp;LEN(metadata!B208))), 1),"0123456789abcdefghijklmnopqrstuvwxyzABCDEFGHIJKLMNOPQRSTUVWXYZ.")))))</f>
        <v>0</v>
      </c>
      <c r="AE208" t="b">
        <f>OR(AND(IF(metadata!C208="",FALSE,TRUE),OR(EXACT(metadata!C208,"not applicable"),EXACT(metadata!C208,"missing: not collected"),EXACT(metadata!C208,"missing: not provided"),EXACT(metadata!C208,"missing: restricted access"))),AND(IF(metadata!C208="",FALSE,ISNUMBER(VALUE(metadata!C208))),metadata!C208&gt;0))</f>
        <v>0</v>
      </c>
      <c r="AF208" t="b">
        <f>AND(IF(metadata!D208="",FALSE,TRUE),EXACT(metadata!D208,"missing: not provided"))</f>
        <v>0</v>
      </c>
      <c r="AG208" t="b">
        <f>AND(IF(metadata!E208="",FALSE,TRUE),EXACT(metadata!E208,"Host-associated"))</f>
        <v>0</v>
      </c>
      <c r="AH208" t="b">
        <f>AND(IF(metadata!F208="",FALSE,TRUE),OR(EXACT(metadata!F208,"Animal"),EXACT(metadata!F208,"Fungus"),EXACT(metadata!F208,"Plant")))</f>
        <v>0</v>
      </c>
      <c r="AI208" t="b">
        <f>AND(IF(metadata!G208="",FALSE,TRUE),OR(EXACT(metadata!G208,"Plant secretion"),EXACT(metadata!G208,"Plant rhizosphere"),EXACT(metadata!G208,"Plant surface"),EXACT(metadata!G208,"Plant corpus"),EXACT(metadata!G208,"Fungus surface"),EXACT(metadata!G208,"Fungus corpus"),EXACT(metadata!G208,"Animal surface"),EXACT(metadata!G208,"Animal proximal gut"),EXACT(metadata!G208,"Animal corpus"),EXACT(metadata!G208,"Animal distal gut"),EXACT(metadata!G208,"Animal secretion")))</f>
        <v>0</v>
      </c>
      <c r="AJ208" t="b">
        <f>OR(AND(IF(metadata!H208="",FALSE,TRUE),OR(EXACT(metadata!H208,"missing: not collected"),EXACT(metadata!H208,"missing: not provided"),EXACT(metadata!H208,"missing: restricted access"))),AND(IF(metadata!H208="",FALSE,TRUE),OR(EXACT(metadata!H208,"organism-associated habitat"),EXACT(metadata!H208,"plant-associated habitat"),EXACT(metadata!H208,"animal-associated habitat"),EXACT(metadata!H208,"insecta-associated habitat"),EXACT(metadata!H208,"mammalia-associated habitat"),EXACT(metadata!H208,"human-associated habitat"),EXACT(metadata!H208,"livestock-associated habitat"))))</f>
        <v>0</v>
      </c>
      <c r="AK208" t="b">
        <f>AND(IF(metadata!I208="",FALSE,TRUE),EXACT(metadata!I208,"host-associated"))</f>
        <v>0</v>
      </c>
      <c r="AL208" t="b">
        <f>OR(AND(IF(metadata!J208="",FALSE,TRUE),OR(EXACT(metadata!J208,"not applicable"),EXACT(metadata!J208,"missing: not collected"),EXACT(metadata!J208,"missing: not provided"),EXACT(metadata!J208,"missing: restricted access"))),AND(IF(metadata!J208="",FALSE,ISNUMBER(VALUE(metadata!J208))),metadata!J208&gt;0))</f>
        <v>0</v>
      </c>
      <c r="AM208" t="b">
        <f>AND(IF(metadata!K208="",FALSE,TRUE),EXACT(metadata!K208,"missing: not provided"))</f>
        <v>0</v>
      </c>
      <c r="AN208" t="b">
        <f>IF(metadata!L208="",FALSE,TRUE)</f>
        <v>0</v>
      </c>
      <c r="AO208" t="b">
        <f>IF(metadata!M208="",FALSE,TRUE)</f>
        <v>0</v>
      </c>
      <c r="AP208" t="b">
        <f>OR(AND(IF(metadata!N208="",FALSE,TRUE),OR(EXACT(metadata!N208,"not applicable"),EXACT(metadata!N208,"missing: not collected"),EXACT(metadata!N208,"missing: not provided"))),AND(IF(metadata!N208="",FALSE,IF(ISERROR(INT(metadata!N208)),FALSE,INT(metadata!N208)=metadata!N208)),metadata!N208&gt;0))</f>
        <v>0</v>
      </c>
      <c r="AQ208" t="b">
        <f>AND(IF(metadata!O208="",FALSE,TRUE),EXACT(metadata!O208,"Not applicable"))</f>
        <v>0</v>
      </c>
      <c r="AR208" t="b">
        <f>OR(AND(IF(metadata!P208="",FALSE,TRUE),OR(EXACT(metadata!P208,"not applicable"),EXACT(metadata!P208,"missing: not collected"),EXACT(metadata!P208,"missing: not provided"),EXACT(metadata!P208,"missing: restricted access"))),IF(metadata!P208="",FALSE,IF(ISERROR(INT(metadata!P208)),FALSE,INT(metadata!P208)=metadata!P208)))</f>
        <v>0</v>
      </c>
      <c r="AS208" t="b">
        <f>AND(IF(metadata!Q208="",FALSE,TRUE),EXACT(metadata!Q208,"Not applicable"))</f>
        <v>0</v>
      </c>
      <c r="AT208" t="b">
        <f>OR(AND(IF(metadata!R208="",FALSE,TRUE),OR(EXACT(metadata!R208,"not applicable"),EXACT(metadata!R208,"missing: not collected"),EXACT(metadata!R208,"missing: not provided"),EXACT(metadata!R208,"missing: restricted access"))),AND(IF(metadata!R208="",FALSE,ISNUMBER(VALUE(metadata!R208))),metadata!R208&gt;0))</f>
        <v>0</v>
      </c>
      <c r="AU208" t="b">
        <f>AND(IF(metadata!S208="",FALSE,TRUE),EXACT(metadata!S208,"missing: not provided"))</f>
        <v>0</v>
      </c>
    </row>
    <row r="209" spans="1:47" x14ac:dyDescent="0.2">
      <c r="A209" s="5" t="str">
        <f ca="1">IF(B209=" "," ",HYPERLINK(CONCATENATE("#metadata!",ADDRESS(INDEX($Y$2:$Y$1001,MATCH(ROWS($W$2:W209),$W$2:$W$1001,0),0),1)),INDEX($AB$2:$AB$1001,MATCH(ROWS($W$2:W209),$W$2:$W$1001,0),0)))</f>
        <v xml:space="preserve"> </v>
      </c>
      <c r="B209" s="4" t="str">
        <f ca="1">IF(OR(INDEX($X$2:$X$1001,MATCH(ROWS($W$2:W209),$W$2:$W$1001,0),1)&gt;=100000,INDEX($AD$1005:$AU$1005,1,MATCH(COLUMNS($AD$1006:AD1006),$AD$1006:$AU$1006,0))&gt;=100000), " ",IF(INDEX($AD$2:$AU$1001,MATCH(ROWS($W$2:W209),$W$2:$W$1001,0),MATCH(COLUMNS($AD$1006:AD1006),$AD$1006:$AU$1006,0)), HYPERLINK("#",""), HYPERLINK(CONCATENATE("#metadata!", ADDRESS(INDEX($Y$2:$Y$1001,MATCH(ROWS($W$2:W209),$W$2:$W$1001,0),0), INDEX($AD$1004:$AU$1004,1,MATCH(COLUMNS($AD$1006:AD1006),$AD$1006:$AU$1006,0)))),"Fix")))</f>
        <v xml:space="preserve"> </v>
      </c>
      <c r="C209" s="4" t="str">
        <f ca="1">IF(OR(INDEX($X$2:$X$1001,MATCH(ROWS($W$2:W209),$W$2:$W$1001,0),1)&gt;=100000,INDEX($AD$1005:$AU$1005,1,MATCH(COLUMNS($AD$1006:AE1006),$AD$1006:$AU$1006,0))&gt;=100000), " ",IF(INDEX($AD$2:$AU$1001,MATCH(ROWS($W$2:W209),$W$2:$W$1001,0),MATCH(COLUMNS($AD$1006:AE1006),$AD$1006:$AU$1006,0)), HYPERLINK("#",""), HYPERLINK(CONCATENATE("#metadata!", ADDRESS(INDEX($Y$2:$Y$1001,MATCH(ROWS($W$2:W209),$W$2:$W$1001,0),0), INDEX($AD$1004:$AU$1004,1,MATCH(COLUMNS($AD$1006:AE1006),$AD$1006:$AU$1006,0)))),"Fix")))</f>
        <v xml:space="preserve"> </v>
      </c>
      <c r="D209" s="4" t="str">
        <f ca="1">IF(OR(INDEX($X$2:$X$1001,MATCH(ROWS($W$2:W209),$W$2:$W$1001,0),1)&gt;=100000,INDEX($AD$1005:$AU$1005,1,MATCH(COLUMNS($AD$1006:AF1006),$AD$1006:$AU$1006,0))&gt;=100000), " ",IF(INDEX($AD$2:$AU$1001,MATCH(ROWS($W$2:W209),$W$2:$W$1001,0),MATCH(COLUMNS($AD$1006:AF1006),$AD$1006:$AU$1006,0)), HYPERLINK("#",""), HYPERLINK(CONCATENATE("#metadata!", ADDRESS(INDEX($Y$2:$Y$1001,MATCH(ROWS($W$2:W209),$W$2:$W$1001,0),0), INDEX($AD$1004:$AU$1004,1,MATCH(COLUMNS($AD$1006:AF1006),$AD$1006:$AU$1006,0)))),"Fix")))</f>
        <v xml:space="preserve"> </v>
      </c>
      <c r="E209" s="4" t="str">
        <f ca="1">IF(OR(INDEX($X$2:$X$1001,MATCH(ROWS($W$2:W209),$W$2:$W$1001,0),1)&gt;=100000,INDEX($AD$1005:$AU$1005,1,MATCH(COLUMNS($AD$1006:AG1006),$AD$1006:$AU$1006,0))&gt;=100000), " ",IF(INDEX($AD$2:$AU$1001,MATCH(ROWS($W$2:W209),$W$2:$W$1001,0),MATCH(COLUMNS($AD$1006:AG1006),$AD$1006:$AU$1006,0)), HYPERLINK("#",""), HYPERLINK(CONCATENATE("#metadata!", ADDRESS(INDEX($Y$2:$Y$1001,MATCH(ROWS($W$2:W209),$W$2:$W$1001,0),0), INDEX($AD$1004:$AU$1004,1,MATCH(COLUMNS($AD$1006:AG1006),$AD$1006:$AU$1006,0)))),"Fix")))</f>
        <v xml:space="preserve"> </v>
      </c>
      <c r="F209" s="4" t="str">
        <f ca="1">IF(OR(INDEX($X$2:$X$1001,MATCH(ROWS($W$2:W209),$W$2:$W$1001,0),1)&gt;=100000,INDEX($AD$1005:$AU$1005,1,MATCH(COLUMNS($AD$1006:AH1006),$AD$1006:$AU$1006,0))&gt;=100000), " ",IF(INDEX($AD$2:$AU$1001,MATCH(ROWS($W$2:W209),$W$2:$W$1001,0),MATCH(COLUMNS($AD$1006:AH1006),$AD$1006:$AU$1006,0)), HYPERLINK("#",""), HYPERLINK(CONCATENATE("#metadata!", ADDRESS(INDEX($Y$2:$Y$1001,MATCH(ROWS($W$2:W209),$W$2:$W$1001,0),0), INDEX($AD$1004:$AU$1004,1,MATCH(COLUMNS($AD$1006:AH1006),$AD$1006:$AU$1006,0)))),"Fix")))</f>
        <v xml:space="preserve"> </v>
      </c>
      <c r="G209" s="4" t="str">
        <f ca="1">IF(OR(INDEX($X$2:$X$1001,MATCH(ROWS($W$2:W209),$W$2:$W$1001,0),1)&gt;=100000,INDEX($AD$1005:$AU$1005,1,MATCH(COLUMNS($AD$1006:AI1006),$AD$1006:$AU$1006,0))&gt;=100000), " ",IF(INDEX($AD$2:$AU$1001,MATCH(ROWS($W$2:W209),$W$2:$W$1001,0),MATCH(COLUMNS($AD$1006:AI1006),$AD$1006:$AU$1006,0)), HYPERLINK("#",""), HYPERLINK(CONCATENATE("#metadata!", ADDRESS(INDEX($Y$2:$Y$1001,MATCH(ROWS($W$2:W209),$W$2:$W$1001,0),0), INDEX($AD$1004:$AU$1004,1,MATCH(COLUMNS($AD$1006:AI1006),$AD$1006:$AU$1006,0)))),"Fix")))</f>
        <v xml:space="preserve"> </v>
      </c>
      <c r="H209" s="4" t="str">
        <f ca="1">IF(OR(INDEX($X$2:$X$1001,MATCH(ROWS($W$2:W209),$W$2:$W$1001,0),1)&gt;=100000,INDEX($AD$1005:$AU$1005,1,MATCH(COLUMNS($AD$1006:AJ1006),$AD$1006:$AU$1006,0))&gt;=100000), " ",IF(INDEX($AD$2:$AU$1001,MATCH(ROWS($W$2:W209),$W$2:$W$1001,0),MATCH(COLUMNS($AD$1006:AJ1006),$AD$1006:$AU$1006,0)), HYPERLINK("#",""), HYPERLINK(CONCATENATE("#metadata!", ADDRESS(INDEX($Y$2:$Y$1001,MATCH(ROWS($W$2:W209),$W$2:$W$1001,0),0), INDEX($AD$1004:$AU$1004,1,MATCH(COLUMNS($AD$1006:AJ1006),$AD$1006:$AU$1006,0)))),"Fix")))</f>
        <v xml:space="preserve"> </v>
      </c>
      <c r="I209" s="4" t="str">
        <f ca="1">IF(OR(INDEX($X$2:$X$1001,MATCH(ROWS($W$2:W209),$W$2:$W$1001,0),1)&gt;=100000,INDEX($AD$1005:$AU$1005,1,MATCH(COLUMNS($AD$1006:AK1006),$AD$1006:$AU$1006,0))&gt;=100000), " ",IF(INDEX($AD$2:$AU$1001,MATCH(ROWS($W$2:W209),$W$2:$W$1001,0),MATCH(COLUMNS($AD$1006:AK1006),$AD$1006:$AU$1006,0)), HYPERLINK("#",""), HYPERLINK(CONCATENATE("#metadata!", ADDRESS(INDEX($Y$2:$Y$1001,MATCH(ROWS($W$2:W209),$W$2:$W$1001,0),0), INDEX($AD$1004:$AU$1004,1,MATCH(COLUMNS($AD$1006:AK1006),$AD$1006:$AU$1006,0)))),"Fix")))</f>
        <v xml:space="preserve"> </v>
      </c>
      <c r="J209" s="4" t="str">
        <f ca="1">IF(OR(INDEX($X$2:$X$1001,MATCH(ROWS($W$2:W209),$W$2:$W$1001,0),1)&gt;=100000,INDEX($AD$1005:$AU$1005,1,MATCH(COLUMNS($AD$1006:AL1006),$AD$1006:$AU$1006,0))&gt;=100000), " ",IF(INDEX($AD$2:$AU$1001,MATCH(ROWS($W$2:W209),$W$2:$W$1001,0),MATCH(COLUMNS($AD$1006:AL1006),$AD$1006:$AU$1006,0)), HYPERLINK("#",""), HYPERLINK(CONCATENATE("#metadata!", ADDRESS(INDEX($Y$2:$Y$1001,MATCH(ROWS($W$2:W209),$W$2:$W$1001,0),0), INDEX($AD$1004:$AU$1004,1,MATCH(COLUMNS($AD$1006:AL1006),$AD$1006:$AU$1006,0)))),"Fix")))</f>
        <v xml:space="preserve"> </v>
      </c>
      <c r="K209" s="4" t="str">
        <f ca="1">IF(OR(INDEX($X$2:$X$1001,MATCH(ROWS($W$2:W209),$W$2:$W$1001,0),1)&gt;=100000,INDEX($AD$1005:$AU$1005,1,MATCH(COLUMNS($AD$1006:AM1006),$AD$1006:$AU$1006,0))&gt;=100000), " ",IF(INDEX($AD$2:$AU$1001,MATCH(ROWS($W$2:W209),$W$2:$W$1001,0),MATCH(COLUMNS($AD$1006:AM1006),$AD$1006:$AU$1006,0)), HYPERLINK("#",""), HYPERLINK(CONCATENATE("#metadata!", ADDRESS(INDEX($Y$2:$Y$1001,MATCH(ROWS($W$2:W209),$W$2:$W$1001,0),0), INDEX($AD$1004:$AU$1004,1,MATCH(COLUMNS($AD$1006:AM1006),$AD$1006:$AU$1006,0)))),"Fix")))</f>
        <v xml:space="preserve"> </v>
      </c>
      <c r="L209" s="4" t="str">
        <f ca="1">IF(OR(INDEX($X$2:$X$1001,MATCH(ROWS($W$2:W209),$W$2:$W$1001,0),1)&gt;=100000,INDEX($AD$1005:$AU$1005,1,MATCH(COLUMNS($AD$1006:AN1006),$AD$1006:$AU$1006,0))&gt;=100000), " ",IF(INDEX($AD$2:$AU$1001,MATCH(ROWS($W$2:W209),$W$2:$W$1001,0),MATCH(COLUMNS($AD$1006:AN1006),$AD$1006:$AU$1006,0)), HYPERLINK("#",""), HYPERLINK(CONCATENATE("#metadata!", ADDRESS(INDEX($Y$2:$Y$1001,MATCH(ROWS($W$2:W209),$W$2:$W$1001,0),0), INDEX($AD$1004:$AU$1004,1,MATCH(COLUMNS($AD$1006:AN1006),$AD$1006:$AU$1006,0)))),"Fix")))</f>
        <v xml:space="preserve"> </v>
      </c>
      <c r="M209" s="4" t="str">
        <f ca="1">IF(OR(INDEX($X$2:$X$1001,MATCH(ROWS($W$2:W209),$W$2:$W$1001,0),1)&gt;=100000,INDEX($AD$1005:$AU$1005,1,MATCH(COLUMNS($AD$1006:AO1006),$AD$1006:$AU$1006,0))&gt;=100000), " ",IF(INDEX($AD$2:$AU$1001,MATCH(ROWS($W$2:W209),$W$2:$W$1001,0),MATCH(COLUMNS($AD$1006:AO1006),$AD$1006:$AU$1006,0)), HYPERLINK("#",""), HYPERLINK(CONCATENATE("#metadata!", ADDRESS(INDEX($Y$2:$Y$1001,MATCH(ROWS($W$2:W209),$W$2:$W$1001,0),0), INDEX($AD$1004:$AU$1004,1,MATCH(COLUMNS($AD$1006:AO1006),$AD$1006:$AU$1006,0)))),"Fix")))</f>
        <v xml:space="preserve"> </v>
      </c>
      <c r="N209" s="4" t="str">
        <f ca="1">IF(OR(INDEX($X$2:$X$1001,MATCH(ROWS($W$2:W209),$W$2:$W$1001,0),1)&gt;=100000,INDEX($AD$1005:$AU$1005,1,MATCH(COLUMNS($AD$1006:AP1006),$AD$1006:$AU$1006,0))&gt;=100000), " ",IF(INDEX($AD$2:$AU$1001,MATCH(ROWS($W$2:W209),$W$2:$W$1001,0),MATCH(COLUMNS($AD$1006:AP1006),$AD$1006:$AU$1006,0)), HYPERLINK("#",""), HYPERLINK(CONCATENATE("#metadata!", ADDRESS(INDEX($Y$2:$Y$1001,MATCH(ROWS($W$2:W209),$W$2:$W$1001,0),0), INDEX($AD$1004:$AU$1004,1,MATCH(COLUMNS($AD$1006:AP1006),$AD$1006:$AU$1006,0)))),"Fix")))</f>
        <v xml:space="preserve"> </v>
      </c>
      <c r="O209" s="4" t="str">
        <f ca="1">IF(OR(INDEX($X$2:$X$1001,MATCH(ROWS($W$2:W209),$W$2:$W$1001,0),1)&gt;=100000,INDEX($AD$1005:$AU$1005,1,MATCH(COLUMNS($AD$1006:AQ1006),$AD$1006:$AU$1006,0))&gt;=100000), " ",IF(INDEX($AD$2:$AU$1001,MATCH(ROWS($W$2:W209),$W$2:$W$1001,0),MATCH(COLUMNS($AD$1006:AQ1006),$AD$1006:$AU$1006,0)), HYPERLINK("#",""), HYPERLINK(CONCATENATE("#metadata!", ADDRESS(INDEX($Y$2:$Y$1001,MATCH(ROWS($W$2:W209),$W$2:$W$1001,0),0), INDEX($AD$1004:$AU$1004,1,MATCH(COLUMNS($AD$1006:AQ1006),$AD$1006:$AU$1006,0)))),"Fix")))</f>
        <v xml:space="preserve"> </v>
      </c>
      <c r="P209" s="4" t="str">
        <f ca="1">IF(OR(INDEX($X$2:$X$1001,MATCH(ROWS($W$2:W209),$W$2:$W$1001,0),1)&gt;=100000,INDEX($AD$1005:$AU$1005,1,MATCH(COLUMNS($AD$1006:AR1006),$AD$1006:$AU$1006,0))&gt;=100000), " ",IF(INDEX($AD$2:$AU$1001,MATCH(ROWS($W$2:W209),$W$2:$W$1001,0),MATCH(COLUMNS($AD$1006:AR1006),$AD$1006:$AU$1006,0)), HYPERLINK("#",""), HYPERLINK(CONCATENATE("#metadata!", ADDRESS(INDEX($Y$2:$Y$1001,MATCH(ROWS($W$2:W209),$W$2:$W$1001,0),0), INDEX($AD$1004:$AU$1004,1,MATCH(COLUMNS($AD$1006:AR1006),$AD$1006:$AU$1006,0)))),"Fix")))</f>
        <v xml:space="preserve"> </v>
      </c>
      <c r="Q209" s="4" t="str">
        <f ca="1">IF(OR(INDEX($X$2:$X$1001,MATCH(ROWS($W$2:W209),$W$2:$W$1001,0),1)&gt;=100000,INDEX($AD$1005:$AU$1005,1,MATCH(COLUMNS($AD$1006:AS1006),$AD$1006:$AU$1006,0))&gt;=100000), " ",IF(INDEX($AD$2:$AU$1001,MATCH(ROWS($W$2:W209),$W$2:$W$1001,0),MATCH(COLUMNS($AD$1006:AS1006),$AD$1006:$AU$1006,0)), HYPERLINK("#",""), HYPERLINK(CONCATENATE("#metadata!", ADDRESS(INDEX($Y$2:$Y$1001,MATCH(ROWS($W$2:W209),$W$2:$W$1001,0),0), INDEX($AD$1004:$AU$1004,1,MATCH(COLUMNS($AD$1006:AS1006),$AD$1006:$AU$1006,0)))),"Fix")))</f>
        <v xml:space="preserve"> </v>
      </c>
      <c r="R209" s="4" t="str">
        <f ca="1">IF(OR(INDEX($X$2:$X$1001,MATCH(ROWS($W$2:W209),$W$2:$W$1001,0),1)&gt;=100000,INDEX($AD$1005:$AU$1005,1,MATCH(COLUMNS($AD$1006:AT1006),$AD$1006:$AU$1006,0))&gt;=100000), " ",IF(INDEX($AD$2:$AU$1001,MATCH(ROWS($W$2:W209),$W$2:$W$1001,0),MATCH(COLUMNS($AD$1006:AT1006),$AD$1006:$AU$1006,0)), HYPERLINK("#",""), HYPERLINK(CONCATENATE("#metadata!", ADDRESS(INDEX($Y$2:$Y$1001,MATCH(ROWS($W$2:W209),$W$2:$W$1001,0),0), INDEX($AD$1004:$AU$1004,1,MATCH(COLUMNS($AD$1006:AT1006),$AD$1006:$AU$1006,0)))),"Fix")))</f>
        <v xml:space="preserve"> </v>
      </c>
      <c r="S209" s="4" t="str">
        <f ca="1">IF(OR(INDEX($X$2:$X$1001,MATCH(ROWS($W$2:W209),$W$2:$W$1001,0),1)&gt;=100000,INDEX($AD$1005:$AU$1005,1,MATCH(COLUMNS($AD$1006:AU1006),$AD$1006:$AU$1006,0))&gt;=100000), " ",IF(INDEX($AD$2:$AU$1001,MATCH(ROWS($W$2:W209),$W$2:$W$1001,0),MATCH(COLUMNS($AD$1006:AU1006),$AD$1006:$AU$1006,0)), HYPERLINK("#",""), HYPERLINK(CONCATENATE("#metadata!", ADDRESS(INDEX($Y$2:$Y$1001,MATCH(ROWS($W$2:W209),$W$2:$W$1001,0),0), INDEX($AD$1004:$AU$1004,1,MATCH(COLUMNS($AD$1006:AU1006),$AD$1006:$AU$1006,0)))),"Fix")))</f>
        <v xml:space="preserve"> </v>
      </c>
      <c r="W209">
        <v>208</v>
      </c>
      <c r="X209">
        <v>100209</v>
      </c>
      <c r="Y209">
        <v>209</v>
      </c>
      <c r="Z209" t="b">
        <f t="shared" si="3"/>
        <v>1</v>
      </c>
      <c r="AA209" t="b">
        <f>COUNTBLANK(metadata!B209:S209)=COLUMNS(metadata!B209:S209)</f>
        <v>1</v>
      </c>
      <c r="AB209" t="str">
        <v/>
      </c>
      <c r="AD209" t="b">
        <f ca="1">AND(IF(metadata!B209="",FALSE,TRUE),COUNTIF(metadata!B:B, metadata!B209) = 1,NOT(ISERROR(SUMPRODUCT(SEARCH(MID(metadata!B209,ROW(INDIRECT("1:"&amp;LEN(metadata!B209))), 1),"0123456789abcdefghijklmnopqrstuvwxyzABCDEFGHIJKLMNOPQRSTUVWXYZ.")))))</f>
        <v>0</v>
      </c>
      <c r="AE209" t="b">
        <f>OR(AND(IF(metadata!C209="",FALSE,TRUE),OR(EXACT(metadata!C209,"not applicable"),EXACT(metadata!C209,"missing: not collected"),EXACT(metadata!C209,"missing: not provided"),EXACT(metadata!C209,"missing: restricted access"))),AND(IF(metadata!C209="",FALSE,ISNUMBER(VALUE(metadata!C209))),metadata!C209&gt;0))</f>
        <v>0</v>
      </c>
      <c r="AF209" t="b">
        <f>AND(IF(metadata!D209="",FALSE,TRUE),EXACT(metadata!D209,"missing: not provided"))</f>
        <v>0</v>
      </c>
      <c r="AG209" t="b">
        <f>AND(IF(metadata!E209="",FALSE,TRUE),EXACT(metadata!E209,"Host-associated"))</f>
        <v>0</v>
      </c>
      <c r="AH209" t="b">
        <f>AND(IF(metadata!F209="",FALSE,TRUE),OR(EXACT(metadata!F209,"Animal"),EXACT(metadata!F209,"Fungus"),EXACT(metadata!F209,"Plant")))</f>
        <v>0</v>
      </c>
      <c r="AI209" t="b">
        <f>AND(IF(metadata!G209="",FALSE,TRUE),OR(EXACT(metadata!G209,"Plant secretion"),EXACT(metadata!G209,"Plant rhizosphere"),EXACT(metadata!G209,"Plant surface"),EXACT(metadata!G209,"Plant corpus"),EXACT(metadata!G209,"Fungus surface"),EXACT(metadata!G209,"Fungus corpus"),EXACT(metadata!G209,"Animal surface"),EXACT(metadata!G209,"Animal proximal gut"),EXACT(metadata!G209,"Animal corpus"),EXACT(metadata!G209,"Animal distal gut"),EXACT(metadata!G209,"Animal secretion")))</f>
        <v>0</v>
      </c>
      <c r="AJ209" t="b">
        <f>OR(AND(IF(metadata!H209="",FALSE,TRUE),OR(EXACT(metadata!H209,"missing: not collected"),EXACT(metadata!H209,"missing: not provided"),EXACT(metadata!H209,"missing: restricted access"))),AND(IF(metadata!H209="",FALSE,TRUE),OR(EXACT(metadata!H209,"organism-associated habitat"),EXACT(metadata!H209,"plant-associated habitat"),EXACT(metadata!H209,"animal-associated habitat"),EXACT(metadata!H209,"insecta-associated habitat"),EXACT(metadata!H209,"mammalia-associated habitat"),EXACT(metadata!H209,"human-associated habitat"),EXACT(metadata!H209,"livestock-associated habitat"))))</f>
        <v>0</v>
      </c>
      <c r="AK209" t="b">
        <f>AND(IF(metadata!I209="",FALSE,TRUE),EXACT(metadata!I209,"host-associated"))</f>
        <v>0</v>
      </c>
      <c r="AL209" t="b">
        <f>OR(AND(IF(metadata!J209="",FALSE,TRUE),OR(EXACT(metadata!J209,"not applicable"),EXACT(metadata!J209,"missing: not collected"),EXACT(metadata!J209,"missing: not provided"),EXACT(metadata!J209,"missing: restricted access"))),AND(IF(metadata!J209="",FALSE,ISNUMBER(VALUE(metadata!J209))),metadata!J209&gt;0))</f>
        <v>0</v>
      </c>
      <c r="AM209" t="b">
        <f>AND(IF(metadata!K209="",FALSE,TRUE),EXACT(metadata!K209,"missing: not provided"))</f>
        <v>0</v>
      </c>
      <c r="AN209" t="b">
        <f>IF(metadata!L209="",FALSE,TRUE)</f>
        <v>0</v>
      </c>
      <c r="AO209" t="b">
        <f>IF(metadata!M209="",FALSE,TRUE)</f>
        <v>0</v>
      </c>
      <c r="AP209" t="b">
        <f>OR(AND(IF(metadata!N209="",FALSE,TRUE),OR(EXACT(metadata!N209,"not applicable"),EXACT(metadata!N209,"missing: not collected"),EXACT(metadata!N209,"missing: not provided"))),AND(IF(metadata!N209="",FALSE,IF(ISERROR(INT(metadata!N209)),FALSE,INT(metadata!N209)=metadata!N209)),metadata!N209&gt;0))</f>
        <v>0</v>
      </c>
      <c r="AQ209" t="b">
        <f>AND(IF(metadata!O209="",FALSE,TRUE),EXACT(metadata!O209,"Not applicable"))</f>
        <v>0</v>
      </c>
      <c r="AR209" t="b">
        <f>OR(AND(IF(metadata!P209="",FALSE,TRUE),OR(EXACT(metadata!P209,"not applicable"),EXACT(metadata!P209,"missing: not collected"),EXACT(metadata!P209,"missing: not provided"),EXACT(metadata!P209,"missing: restricted access"))),IF(metadata!P209="",FALSE,IF(ISERROR(INT(metadata!P209)),FALSE,INT(metadata!P209)=metadata!P209)))</f>
        <v>0</v>
      </c>
      <c r="AS209" t="b">
        <f>AND(IF(metadata!Q209="",FALSE,TRUE),EXACT(metadata!Q209,"Not applicable"))</f>
        <v>0</v>
      </c>
      <c r="AT209" t="b">
        <f>OR(AND(IF(metadata!R209="",FALSE,TRUE),OR(EXACT(metadata!R209,"not applicable"),EXACT(metadata!R209,"missing: not collected"),EXACT(metadata!R209,"missing: not provided"),EXACT(metadata!R209,"missing: restricted access"))),AND(IF(metadata!R209="",FALSE,ISNUMBER(VALUE(metadata!R209))),metadata!R209&gt;0))</f>
        <v>0</v>
      </c>
      <c r="AU209" t="b">
        <f>AND(IF(metadata!S209="",FALSE,TRUE),EXACT(metadata!S209,"missing: not provided"))</f>
        <v>0</v>
      </c>
    </row>
    <row r="210" spans="1:47" x14ac:dyDescent="0.2">
      <c r="A210" s="5" t="str">
        <f ca="1">IF(B210=" "," ",HYPERLINK(CONCATENATE("#metadata!",ADDRESS(INDEX($Y$2:$Y$1001,MATCH(ROWS($W$2:W210),$W$2:$W$1001,0),0),1)),INDEX($AB$2:$AB$1001,MATCH(ROWS($W$2:W210),$W$2:$W$1001,0),0)))</f>
        <v xml:space="preserve"> </v>
      </c>
      <c r="B210" s="4" t="str">
        <f ca="1">IF(OR(INDEX($X$2:$X$1001,MATCH(ROWS($W$2:W210),$W$2:$W$1001,0),1)&gt;=100000,INDEX($AD$1005:$AU$1005,1,MATCH(COLUMNS($AD$1006:AD1006),$AD$1006:$AU$1006,0))&gt;=100000), " ",IF(INDEX($AD$2:$AU$1001,MATCH(ROWS($W$2:W210),$W$2:$W$1001,0),MATCH(COLUMNS($AD$1006:AD1006),$AD$1006:$AU$1006,0)), HYPERLINK("#",""), HYPERLINK(CONCATENATE("#metadata!", ADDRESS(INDEX($Y$2:$Y$1001,MATCH(ROWS($W$2:W210),$W$2:$W$1001,0),0), INDEX($AD$1004:$AU$1004,1,MATCH(COLUMNS($AD$1006:AD1006),$AD$1006:$AU$1006,0)))),"Fix")))</f>
        <v xml:space="preserve"> </v>
      </c>
      <c r="C210" s="4" t="str">
        <f ca="1">IF(OR(INDEX($X$2:$X$1001,MATCH(ROWS($W$2:W210),$W$2:$W$1001,0),1)&gt;=100000,INDEX($AD$1005:$AU$1005,1,MATCH(COLUMNS($AD$1006:AE1006),$AD$1006:$AU$1006,0))&gt;=100000), " ",IF(INDEX($AD$2:$AU$1001,MATCH(ROWS($W$2:W210),$W$2:$W$1001,0),MATCH(COLUMNS($AD$1006:AE1006),$AD$1006:$AU$1006,0)), HYPERLINK("#",""), HYPERLINK(CONCATENATE("#metadata!", ADDRESS(INDEX($Y$2:$Y$1001,MATCH(ROWS($W$2:W210),$W$2:$W$1001,0),0), INDEX($AD$1004:$AU$1004,1,MATCH(COLUMNS($AD$1006:AE1006),$AD$1006:$AU$1006,0)))),"Fix")))</f>
        <v xml:space="preserve"> </v>
      </c>
      <c r="D210" s="4" t="str">
        <f ca="1">IF(OR(INDEX($X$2:$X$1001,MATCH(ROWS($W$2:W210),$W$2:$W$1001,0),1)&gt;=100000,INDEX($AD$1005:$AU$1005,1,MATCH(COLUMNS($AD$1006:AF1006),$AD$1006:$AU$1006,0))&gt;=100000), " ",IF(INDEX($AD$2:$AU$1001,MATCH(ROWS($W$2:W210),$W$2:$W$1001,0),MATCH(COLUMNS($AD$1006:AF1006),$AD$1006:$AU$1006,0)), HYPERLINK("#",""), HYPERLINK(CONCATENATE("#metadata!", ADDRESS(INDEX($Y$2:$Y$1001,MATCH(ROWS($W$2:W210),$W$2:$W$1001,0),0), INDEX($AD$1004:$AU$1004,1,MATCH(COLUMNS($AD$1006:AF1006),$AD$1006:$AU$1006,0)))),"Fix")))</f>
        <v xml:space="preserve"> </v>
      </c>
      <c r="E210" s="4" t="str">
        <f ca="1">IF(OR(INDEX($X$2:$X$1001,MATCH(ROWS($W$2:W210),$W$2:$W$1001,0),1)&gt;=100000,INDEX($AD$1005:$AU$1005,1,MATCH(COLUMNS($AD$1006:AG1006),$AD$1006:$AU$1006,0))&gt;=100000), " ",IF(INDEX($AD$2:$AU$1001,MATCH(ROWS($W$2:W210),$W$2:$W$1001,0),MATCH(COLUMNS($AD$1006:AG1006),$AD$1006:$AU$1006,0)), HYPERLINK("#",""), HYPERLINK(CONCATENATE("#metadata!", ADDRESS(INDEX($Y$2:$Y$1001,MATCH(ROWS($W$2:W210),$W$2:$W$1001,0),0), INDEX($AD$1004:$AU$1004,1,MATCH(COLUMNS($AD$1006:AG1006),$AD$1006:$AU$1006,0)))),"Fix")))</f>
        <v xml:space="preserve"> </v>
      </c>
      <c r="F210" s="4" t="str">
        <f ca="1">IF(OR(INDEX($X$2:$X$1001,MATCH(ROWS($W$2:W210),$W$2:$W$1001,0),1)&gt;=100000,INDEX($AD$1005:$AU$1005,1,MATCH(COLUMNS($AD$1006:AH1006),$AD$1006:$AU$1006,0))&gt;=100000), " ",IF(INDEX($AD$2:$AU$1001,MATCH(ROWS($W$2:W210),$W$2:$W$1001,0),MATCH(COLUMNS($AD$1006:AH1006),$AD$1006:$AU$1006,0)), HYPERLINK("#",""), HYPERLINK(CONCATENATE("#metadata!", ADDRESS(INDEX($Y$2:$Y$1001,MATCH(ROWS($W$2:W210),$W$2:$W$1001,0),0), INDEX($AD$1004:$AU$1004,1,MATCH(COLUMNS($AD$1006:AH1006),$AD$1006:$AU$1006,0)))),"Fix")))</f>
        <v xml:space="preserve"> </v>
      </c>
      <c r="G210" s="4" t="str">
        <f ca="1">IF(OR(INDEX($X$2:$X$1001,MATCH(ROWS($W$2:W210),$W$2:$W$1001,0),1)&gt;=100000,INDEX($AD$1005:$AU$1005,1,MATCH(COLUMNS($AD$1006:AI1006),$AD$1006:$AU$1006,0))&gt;=100000), " ",IF(INDEX($AD$2:$AU$1001,MATCH(ROWS($W$2:W210),$W$2:$W$1001,0),MATCH(COLUMNS($AD$1006:AI1006),$AD$1006:$AU$1006,0)), HYPERLINK("#",""), HYPERLINK(CONCATENATE("#metadata!", ADDRESS(INDEX($Y$2:$Y$1001,MATCH(ROWS($W$2:W210),$W$2:$W$1001,0),0), INDEX($AD$1004:$AU$1004,1,MATCH(COLUMNS($AD$1006:AI1006),$AD$1006:$AU$1006,0)))),"Fix")))</f>
        <v xml:space="preserve"> </v>
      </c>
      <c r="H210" s="4" t="str">
        <f ca="1">IF(OR(INDEX($X$2:$X$1001,MATCH(ROWS($W$2:W210),$W$2:$W$1001,0),1)&gt;=100000,INDEX($AD$1005:$AU$1005,1,MATCH(COLUMNS($AD$1006:AJ1006),$AD$1006:$AU$1006,0))&gt;=100000), " ",IF(INDEX($AD$2:$AU$1001,MATCH(ROWS($W$2:W210),$W$2:$W$1001,0),MATCH(COLUMNS($AD$1006:AJ1006),$AD$1006:$AU$1006,0)), HYPERLINK("#",""), HYPERLINK(CONCATENATE("#metadata!", ADDRESS(INDEX($Y$2:$Y$1001,MATCH(ROWS($W$2:W210),$W$2:$W$1001,0),0), INDEX($AD$1004:$AU$1004,1,MATCH(COLUMNS($AD$1006:AJ1006),$AD$1006:$AU$1006,0)))),"Fix")))</f>
        <v xml:space="preserve"> </v>
      </c>
      <c r="I210" s="4" t="str">
        <f ca="1">IF(OR(INDEX($X$2:$X$1001,MATCH(ROWS($W$2:W210),$W$2:$W$1001,0),1)&gt;=100000,INDEX($AD$1005:$AU$1005,1,MATCH(COLUMNS($AD$1006:AK1006),$AD$1006:$AU$1006,0))&gt;=100000), " ",IF(INDEX($AD$2:$AU$1001,MATCH(ROWS($W$2:W210),$W$2:$W$1001,0),MATCH(COLUMNS($AD$1006:AK1006),$AD$1006:$AU$1006,0)), HYPERLINK("#",""), HYPERLINK(CONCATENATE("#metadata!", ADDRESS(INDEX($Y$2:$Y$1001,MATCH(ROWS($W$2:W210),$W$2:$W$1001,0),0), INDEX($AD$1004:$AU$1004,1,MATCH(COLUMNS($AD$1006:AK1006),$AD$1006:$AU$1006,0)))),"Fix")))</f>
        <v xml:space="preserve"> </v>
      </c>
      <c r="J210" s="4" t="str">
        <f ca="1">IF(OR(INDEX($X$2:$X$1001,MATCH(ROWS($W$2:W210),$W$2:$W$1001,0),1)&gt;=100000,INDEX($AD$1005:$AU$1005,1,MATCH(COLUMNS($AD$1006:AL1006),$AD$1006:$AU$1006,0))&gt;=100000), " ",IF(INDEX($AD$2:$AU$1001,MATCH(ROWS($W$2:W210),$W$2:$W$1001,0),MATCH(COLUMNS($AD$1006:AL1006),$AD$1006:$AU$1006,0)), HYPERLINK("#",""), HYPERLINK(CONCATENATE("#metadata!", ADDRESS(INDEX($Y$2:$Y$1001,MATCH(ROWS($W$2:W210),$W$2:$W$1001,0),0), INDEX($AD$1004:$AU$1004,1,MATCH(COLUMNS($AD$1006:AL1006),$AD$1006:$AU$1006,0)))),"Fix")))</f>
        <v xml:space="preserve"> </v>
      </c>
      <c r="K210" s="4" t="str">
        <f ca="1">IF(OR(INDEX($X$2:$X$1001,MATCH(ROWS($W$2:W210),$W$2:$W$1001,0),1)&gt;=100000,INDEX($AD$1005:$AU$1005,1,MATCH(COLUMNS($AD$1006:AM1006),$AD$1006:$AU$1006,0))&gt;=100000), " ",IF(INDEX($AD$2:$AU$1001,MATCH(ROWS($W$2:W210),$W$2:$W$1001,0),MATCH(COLUMNS($AD$1006:AM1006),$AD$1006:$AU$1006,0)), HYPERLINK("#",""), HYPERLINK(CONCATENATE("#metadata!", ADDRESS(INDEX($Y$2:$Y$1001,MATCH(ROWS($W$2:W210),$W$2:$W$1001,0),0), INDEX($AD$1004:$AU$1004,1,MATCH(COLUMNS($AD$1006:AM1006),$AD$1006:$AU$1006,0)))),"Fix")))</f>
        <v xml:space="preserve"> </v>
      </c>
      <c r="L210" s="4" t="str">
        <f ca="1">IF(OR(INDEX($X$2:$X$1001,MATCH(ROWS($W$2:W210),$W$2:$W$1001,0),1)&gt;=100000,INDEX($AD$1005:$AU$1005,1,MATCH(COLUMNS($AD$1006:AN1006),$AD$1006:$AU$1006,0))&gt;=100000), " ",IF(INDEX($AD$2:$AU$1001,MATCH(ROWS($W$2:W210),$W$2:$W$1001,0),MATCH(COLUMNS($AD$1006:AN1006),$AD$1006:$AU$1006,0)), HYPERLINK("#",""), HYPERLINK(CONCATENATE("#metadata!", ADDRESS(INDEX($Y$2:$Y$1001,MATCH(ROWS($W$2:W210),$W$2:$W$1001,0),0), INDEX($AD$1004:$AU$1004,1,MATCH(COLUMNS($AD$1006:AN1006),$AD$1006:$AU$1006,0)))),"Fix")))</f>
        <v xml:space="preserve"> </v>
      </c>
      <c r="M210" s="4" t="str">
        <f ca="1">IF(OR(INDEX($X$2:$X$1001,MATCH(ROWS($W$2:W210),$W$2:$W$1001,0),1)&gt;=100000,INDEX($AD$1005:$AU$1005,1,MATCH(COLUMNS($AD$1006:AO1006),$AD$1006:$AU$1006,0))&gt;=100000), " ",IF(INDEX($AD$2:$AU$1001,MATCH(ROWS($W$2:W210),$W$2:$W$1001,0),MATCH(COLUMNS($AD$1006:AO1006),$AD$1006:$AU$1006,0)), HYPERLINK("#",""), HYPERLINK(CONCATENATE("#metadata!", ADDRESS(INDEX($Y$2:$Y$1001,MATCH(ROWS($W$2:W210),$W$2:$W$1001,0),0), INDEX($AD$1004:$AU$1004,1,MATCH(COLUMNS($AD$1006:AO1006),$AD$1006:$AU$1006,0)))),"Fix")))</f>
        <v xml:space="preserve"> </v>
      </c>
      <c r="N210" s="4" t="str">
        <f ca="1">IF(OR(INDEX($X$2:$X$1001,MATCH(ROWS($W$2:W210),$W$2:$W$1001,0),1)&gt;=100000,INDEX($AD$1005:$AU$1005,1,MATCH(COLUMNS($AD$1006:AP1006),$AD$1006:$AU$1006,0))&gt;=100000), " ",IF(INDEX($AD$2:$AU$1001,MATCH(ROWS($W$2:W210),$W$2:$W$1001,0),MATCH(COLUMNS($AD$1006:AP1006),$AD$1006:$AU$1006,0)), HYPERLINK("#",""), HYPERLINK(CONCATENATE("#metadata!", ADDRESS(INDEX($Y$2:$Y$1001,MATCH(ROWS($W$2:W210),$W$2:$W$1001,0),0), INDEX($AD$1004:$AU$1004,1,MATCH(COLUMNS($AD$1006:AP1006),$AD$1006:$AU$1006,0)))),"Fix")))</f>
        <v xml:space="preserve"> </v>
      </c>
      <c r="O210" s="4" t="str">
        <f ca="1">IF(OR(INDEX($X$2:$X$1001,MATCH(ROWS($W$2:W210),$W$2:$W$1001,0),1)&gt;=100000,INDEX($AD$1005:$AU$1005,1,MATCH(COLUMNS($AD$1006:AQ1006),$AD$1006:$AU$1006,0))&gt;=100000), " ",IF(INDEX($AD$2:$AU$1001,MATCH(ROWS($W$2:W210),$W$2:$W$1001,0),MATCH(COLUMNS($AD$1006:AQ1006),$AD$1006:$AU$1006,0)), HYPERLINK("#",""), HYPERLINK(CONCATENATE("#metadata!", ADDRESS(INDEX($Y$2:$Y$1001,MATCH(ROWS($W$2:W210),$W$2:$W$1001,0),0), INDEX($AD$1004:$AU$1004,1,MATCH(COLUMNS($AD$1006:AQ1006),$AD$1006:$AU$1006,0)))),"Fix")))</f>
        <v xml:space="preserve"> </v>
      </c>
      <c r="P210" s="4" t="str">
        <f ca="1">IF(OR(INDEX($X$2:$X$1001,MATCH(ROWS($W$2:W210),$W$2:$W$1001,0),1)&gt;=100000,INDEX($AD$1005:$AU$1005,1,MATCH(COLUMNS($AD$1006:AR1006),$AD$1006:$AU$1006,0))&gt;=100000), " ",IF(INDEX($AD$2:$AU$1001,MATCH(ROWS($W$2:W210),$W$2:$W$1001,0),MATCH(COLUMNS($AD$1006:AR1006),$AD$1006:$AU$1006,0)), HYPERLINK("#",""), HYPERLINK(CONCATENATE("#metadata!", ADDRESS(INDEX($Y$2:$Y$1001,MATCH(ROWS($W$2:W210),$W$2:$W$1001,0),0), INDEX($AD$1004:$AU$1004,1,MATCH(COLUMNS($AD$1006:AR1006),$AD$1006:$AU$1006,0)))),"Fix")))</f>
        <v xml:space="preserve"> </v>
      </c>
      <c r="Q210" s="4" t="str">
        <f ca="1">IF(OR(INDEX($X$2:$X$1001,MATCH(ROWS($W$2:W210),$W$2:$W$1001,0),1)&gt;=100000,INDEX($AD$1005:$AU$1005,1,MATCH(COLUMNS($AD$1006:AS1006),$AD$1006:$AU$1006,0))&gt;=100000), " ",IF(INDEX($AD$2:$AU$1001,MATCH(ROWS($W$2:W210),$W$2:$W$1001,0),MATCH(COLUMNS($AD$1006:AS1006),$AD$1006:$AU$1006,0)), HYPERLINK("#",""), HYPERLINK(CONCATENATE("#metadata!", ADDRESS(INDEX($Y$2:$Y$1001,MATCH(ROWS($W$2:W210),$W$2:$W$1001,0),0), INDEX($AD$1004:$AU$1004,1,MATCH(COLUMNS($AD$1006:AS1006),$AD$1006:$AU$1006,0)))),"Fix")))</f>
        <v xml:space="preserve"> </v>
      </c>
      <c r="R210" s="4" t="str">
        <f ca="1">IF(OR(INDEX($X$2:$X$1001,MATCH(ROWS($W$2:W210),$W$2:$W$1001,0),1)&gt;=100000,INDEX($AD$1005:$AU$1005,1,MATCH(COLUMNS($AD$1006:AT1006),$AD$1006:$AU$1006,0))&gt;=100000), " ",IF(INDEX($AD$2:$AU$1001,MATCH(ROWS($W$2:W210),$W$2:$W$1001,0),MATCH(COLUMNS($AD$1006:AT1006),$AD$1006:$AU$1006,0)), HYPERLINK("#",""), HYPERLINK(CONCATENATE("#metadata!", ADDRESS(INDEX($Y$2:$Y$1001,MATCH(ROWS($W$2:W210),$W$2:$W$1001,0),0), INDEX($AD$1004:$AU$1004,1,MATCH(COLUMNS($AD$1006:AT1006),$AD$1006:$AU$1006,0)))),"Fix")))</f>
        <v xml:space="preserve"> </v>
      </c>
      <c r="S210" s="4" t="str">
        <f ca="1">IF(OR(INDEX($X$2:$X$1001,MATCH(ROWS($W$2:W210),$W$2:$W$1001,0),1)&gt;=100000,INDEX($AD$1005:$AU$1005,1,MATCH(COLUMNS($AD$1006:AU1006),$AD$1006:$AU$1006,0))&gt;=100000), " ",IF(INDEX($AD$2:$AU$1001,MATCH(ROWS($W$2:W210),$W$2:$W$1001,0),MATCH(COLUMNS($AD$1006:AU1006),$AD$1006:$AU$1006,0)), HYPERLINK("#",""), HYPERLINK(CONCATENATE("#metadata!", ADDRESS(INDEX($Y$2:$Y$1001,MATCH(ROWS($W$2:W210),$W$2:$W$1001,0),0), INDEX($AD$1004:$AU$1004,1,MATCH(COLUMNS($AD$1006:AU1006),$AD$1006:$AU$1006,0)))),"Fix")))</f>
        <v xml:space="preserve"> </v>
      </c>
      <c r="W210">
        <v>209</v>
      </c>
      <c r="X210">
        <v>100210</v>
      </c>
      <c r="Y210">
        <v>210</v>
      </c>
      <c r="Z210" t="b">
        <f t="shared" si="3"/>
        <v>1</v>
      </c>
      <c r="AA210" t="b">
        <f>COUNTBLANK(metadata!B210:S210)=COLUMNS(metadata!B210:S210)</f>
        <v>1</v>
      </c>
      <c r="AB210" t="str">
        <v/>
      </c>
      <c r="AD210" t="b">
        <f ca="1">AND(IF(metadata!B210="",FALSE,TRUE),COUNTIF(metadata!B:B, metadata!B210) = 1,NOT(ISERROR(SUMPRODUCT(SEARCH(MID(metadata!B210,ROW(INDIRECT("1:"&amp;LEN(metadata!B210))), 1),"0123456789abcdefghijklmnopqrstuvwxyzABCDEFGHIJKLMNOPQRSTUVWXYZ.")))))</f>
        <v>0</v>
      </c>
      <c r="AE210" t="b">
        <f>OR(AND(IF(metadata!C210="",FALSE,TRUE),OR(EXACT(metadata!C210,"not applicable"),EXACT(metadata!C210,"missing: not collected"),EXACT(metadata!C210,"missing: not provided"),EXACT(metadata!C210,"missing: restricted access"))),AND(IF(metadata!C210="",FALSE,ISNUMBER(VALUE(metadata!C210))),metadata!C210&gt;0))</f>
        <v>0</v>
      </c>
      <c r="AF210" t="b">
        <f>AND(IF(metadata!D210="",FALSE,TRUE),EXACT(metadata!D210,"missing: not provided"))</f>
        <v>0</v>
      </c>
      <c r="AG210" t="b">
        <f>AND(IF(metadata!E210="",FALSE,TRUE),EXACT(metadata!E210,"Host-associated"))</f>
        <v>0</v>
      </c>
      <c r="AH210" t="b">
        <f>AND(IF(metadata!F210="",FALSE,TRUE),OR(EXACT(metadata!F210,"Animal"),EXACT(metadata!F210,"Fungus"),EXACT(metadata!F210,"Plant")))</f>
        <v>0</v>
      </c>
      <c r="AI210" t="b">
        <f>AND(IF(metadata!G210="",FALSE,TRUE),OR(EXACT(metadata!G210,"Plant secretion"),EXACT(metadata!G210,"Plant rhizosphere"),EXACT(metadata!G210,"Plant surface"),EXACT(metadata!G210,"Plant corpus"),EXACT(metadata!G210,"Fungus surface"),EXACT(metadata!G210,"Fungus corpus"),EXACT(metadata!G210,"Animal surface"),EXACT(metadata!G210,"Animal proximal gut"),EXACT(metadata!G210,"Animal corpus"),EXACT(metadata!G210,"Animal distal gut"),EXACT(metadata!G210,"Animal secretion")))</f>
        <v>0</v>
      </c>
      <c r="AJ210" t="b">
        <f>OR(AND(IF(metadata!H210="",FALSE,TRUE),OR(EXACT(metadata!H210,"missing: not collected"),EXACT(metadata!H210,"missing: not provided"),EXACT(metadata!H210,"missing: restricted access"))),AND(IF(metadata!H210="",FALSE,TRUE),OR(EXACT(metadata!H210,"organism-associated habitat"),EXACT(metadata!H210,"plant-associated habitat"),EXACT(metadata!H210,"animal-associated habitat"),EXACT(metadata!H210,"insecta-associated habitat"),EXACT(metadata!H210,"mammalia-associated habitat"),EXACT(metadata!H210,"human-associated habitat"),EXACT(metadata!H210,"livestock-associated habitat"))))</f>
        <v>0</v>
      </c>
      <c r="AK210" t="b">
        <f>AND(IF(metadata!I210="",FALSE,TRUE),EXACT(metadata!I210,"host-associated"))</f>
        <v>0</v>
      </c>
      <c r="AL210" t="b">
        <f>OR(AND(IF(metadata!J210="",FALSE,TRUE),OR(EXACT(metadata!J210,"not applicable"),EXACT(metadata!J210,"missing: not collected"),EXACT(metadata!J210,"missing: not provided"),EXACT(metadata!J210,"missing: restricted access"))),AND(IF(metadata!J210="",FALSE,ISNUMBER(VALUE(metadata!J210))),metadata!J210&gt;0))</f>
        <v>0</v>
      </c>
      <c r="AM210" t="b">
        <f>AND(IF(metadata!K210="",FALSE,TRUE),EXACT(metadata!K210,"missing: not provided"))</f>
        <v>0</v>
      </c>
      <c r="AN210" t="b">
        <f>IF(metadata!L210="",FALSE,TRUE)</f>
        <v>0</v>
      </c>
      <c r="AO210" t="b">
        <f>IF(metadata!M210="",FALSE,TRUE)</f>
        <v>0</v>
      </c>
      <c r="AP210" t="b">
        <f>OR(AND(IF(metadata!N210="",FALSE,TRUE),OR(EXACT(metadata!N210,"not applicable"),EXACT(metadata!N210,"missing: not collected"),EXACT(metadata!N210,"missing: not provided"))),AND(IF(metadata!N210="",FALSE,IF(ISERROR(INT(metadata!N210)),FALSE,INT(metadata!N210)=metadata!N210)),metadata!N210&gt;0))</f>
        <v>0</v>
      </c>
      <c r="AQ210" t="b">
        <f>AND(IF(metadata!O210="",FALSE,TRUE),EXACT(metadata!O210,"Not applicable"))</f>
        <v>0</v>
      </c>
      <c r="AR210" t="b">
        <f>OR(AND(IF(metadata!P210="",FALSE,TRUE),OR(EXACT(metadata!P210,"not applicable"),EXACT(metadata!P210,"missing: not collected"),EXACT(metadata!P210,"missing: not provided"),EXACT(metadata!P210,"missing: restricted access"))),IF(metadata!P210="",FALSE,IF(ISERROR(INT(metadata!P210)),FALSE,INT(metadata!P210)=metadata!P210)))</f>
        <v>0</v>
      </c>
      <c r="AS210" t="b">
        <f>AND(IF(metadata!Q210="",FALSE,TRUE),EXACT(metadata!Q210,"Not applicable"))</f>
        <v>0</v>
      </c>
      <c r="AT210" t="b">
        <f>OR(AND(IF(metadata!R210="",FALSE,TRUE),OR(EXACT(metadata!R210,"not applicable"),EXACT(metadata!R210,"missing: not collected"),EXACT(metadata!R210,"missing: not provided"),EXACT(metadata!R210,"missing: restricted access"))),AND(IF(metadata!R210="",FALSE,ISNUMBER(VALUE(metadata!R210))),metadata!R210&gt;0))</f>
        <v>0</v>
      </c>
      <c r="AU210" t="b">
        <f>AND(IF(metadata!S210="",FALSE,TRUE),EXACT(metadata!S210,"missing: not provided"))</f>
        <v>0</v>
      </c>
    </row>
    <row r="211" spans="1:47" x14ac:dyDescent="0.2">
      <c r="A211" s="5" t="str">
        <f ca="1">IF(B211=" "," ",HYPERLINK(CONCATENATE("#metadata!",ADDRESS(INDEX($Y$2:$Y$1001,MATCH(ROWS($W$2:W211),$W$2:$W$1001,0),0),1)),INDEX($AB$2:$AB$1001,MATCH(ROWS($W$2:W211),$W$2:$W$1001,0),0)))</f>
        <v xml:space="preserve"> </v>
      </c>
      <c r="B211" s="4" t="str">
        <f ca="1">IF(OR(INDEX($X$2:$X$1001,MATCH(ROWS($W$2:W211),$W$2:$W$1001,0),1)&gt;=100000,INDEX($AD$1005:$AU$1005,1,MATCH(COLUMNS($AD$1006:AD1006),$AD$1006:$AU$1006,0))&gt;=100000), " ",IF(INDEX($AD$2:$AU$1001,MATCH(ROWS($W$2:W211),$W$2:$W$1001,0),MATCH(COLUMNS($AD$1006:AD1006),$AD$1006:$AU$1006,0)), HYPERLINK("#",""), HYPERLINK(CONCATENATE("#metadata!", ADDRESS(INDEX($Y$2:$Y$1001,MATCH(ROWS($W$2:W211),$W$2:$W$1001,0),0), INDEX($AD$1004:$AU$1004,1,MATCH(COLUMNS($AD$1006:AD1006),$AD$1006:$AU$1006,0)))),"Fix")))</f>
        <v xml:space="preserve"> </v>
      </c>
      <c r="C211" s="4" t="str">
        <f ca="1">IF(OR(INDEX($X$2:$X$1001,MATCH(ROWS($W$2:W211),$W$2:$W$1001,0),1)&gt;=100000,INDEX($AD$1005:$AU$1005,1,MATCH(COLUMNS($AD$1006:AE1006),$AD$1006:$AU$1006,0))&gt;=100000), " ",IF(INDEX($AD$2:$AU$1001,MATCH(ROWS($W$2:W211),$W$2:$W$1001,0),MATCH(COLUMNS($AD$1006:AE1006),$AD$1006:$AU$1006,0)), HYPERLINK("#",""), HYPERLINK(CONCATENATE("#metadata!", ADDRESS(INDEX($Y$2:$Y$1001,MATCH(ROWS($W$2:W211),$W$2:$W$1001,0),0), INDEX($AD$1004:$AU$1004,1,MATCH(COLUMNS($AD$1006:AE1006),$AD$1006:$AU$1006,0)))),"Fix")))</f>
        <v xml:space="preserve"> </v>
      </c>
      <c r="D211" s="4" t="str">
        <f ca="1">IF(OR(INDEX($X$2:$X$1001,MATCH(ROWS($W$2:W211),$W$2:$W$1001,0),1)&gt;=100000,INDEX($AD$1005:$AU$1005,1,MATCH(COLUMNS($AD$1006:AF1006),$AD$1006:$AU$1006,0))&gt;=100000), " ",IF(INDEX($AD$2:$AU$1001,MATCH(ROWS($W$2:W211),$W$2:$W$1001,0),MATCH(COLUMNS($AD$1006:AF1006),$AD$1006:$AU$1006,0)), HYPERLINK("#",""), HYPERLINK(CONCATENATE("#metadata!", ADDRESS(INDEX($Y$2:$Y$1001,MATCH(ROWS($W$2:W211),$W$2:$W$1001,0),0), INDEX($AD$1004:$AU$1004,1,MATCH(COLUMNS($AD$1006:AF1006),$AD$1006:$AU$1006,0)))),"Fix")))</f>
        <v xml:space="preserve"> </v>
      </c>
      <c r="E211" s="4" t="str">
        <f ca="1">IF(OR(INDEX($X$2:$X$1001,MATCH(ROWS($W$2:W211),$W$2:$W$1001,0),1)&gt;=100000,INDEX($AD$1005:$AU$1005,1,MATCH(COLUMNS($AD$1006:AG1006),$AD$1006:$AU$1006,0))&gt;=100000), " ",IF(INDEX($AD$2:$AU$1001,MATCH(ROWS($W$2:W211),$W$2:$W$1001,0),MATCH(COLUMNS($AD$1006:AG1006),$AD$1006:$AU$1006,0)), HYPERLINK("#",""), HYPERLINK(CONCATENATE("#metadata!", ADDRESS(INDEX($Y$2:$Y$1001,MATCH(ROWS($W$2:W211),$W$2:$W$1001,0),0), INDEX($AD$1004:$AU$1004,1,MATCH(COLUMNS($AD$1006:AG1006),$AD$1006:$AU$1006,0)))),"Fix")))</f>
        <v xml:space="preserve"> </v>
      </c>
      <c r="F211" s="4" t="str">
        <f ca="1">IF(OR(INDEX($X$2:$X$1001,MATCH(ROWS($W$2:W211),$W$2:$W$1001,0),1)&gt;=100000,INDEX($AD$1005:$AU$1005,1,MATCH(COLUMNS($AD$1006:AH1006),$AD$1006:$AU$1006,0))&gt;=100000), " ",IF(INDEX($AD$2:$AU$1001,MATCH(ROWS($W$2:W211),$W$2:$W$1001,0),MATCH(COLUMNS($AD$1006:AH1006),$AD$1006:$AU$1006,0)), HYPERLINK("#",""), HYPERLINK(CONCATENATE("#metadata!", ADDRESS(INDEX($Y$2:$Y$1001,MATCH(ROWS($W$2:W211),$W$2:$W$1001,0),0), INDEX($AD$1004:$AU$1004,1,MATCH(COLUMNS($AD$1006:AH1006),$AD$1006:$AU$1006,0)))),"Fix")))</f>
        <v xml:space="preserve"> </v>
      </c>
      <c r="G211" s="4" t="str">
        <f ca="1">IF(OR(INDEX($X$2:$X$1001,MATCH(ROWS($W$2:W211),$W$2:$W$1001,0),1)&gt;=100000,INDEX($AD$1005:$AU$1005,1,MATCH(COLUMNS($AD$1006:AI1006),$AD$1006:$AU$1006,0))&gt;=100000), " ",IF(INDEX($AD$2:$AU$1001,MATCH(ROWS($W$2:W211),$W$2:$W$1001,0),MATCH(COLUMNS($AD$1006:AI1006),$AD$1006:$AU$1006,0)), HYPERLINK("#",""), HYPERLINK(CONCATENATE("#metadata!", ADDRESS(INDEX($Y$2:$Y$1001,MATCH(ROWS($W$2:W211),$W$2:$W$1001,0),0), INDEX($AD$1004:$AU$1004,1,MATCH(COLUMNS($AD$1006:AI1006),$AD$1006:$AU$1006,0)))),"Fix")))</f>
        <v xml:space="preserve"> </v>
      </c>
      <c r="H211" s="4" t="str">
        <f ca="1">IF(OR(INDEX($X$2:$X$1001,MATCH(ROWS($W$2:W211),$W$2:$W$1001,0),1)&gt;=100000,INDEX($AD$1005:$AU$1005,1,MATCH(COLUMNS($AD$1006:AJ1006),$AD$1006:$AU$1006,0))&gt;=100000), " ",IF(INDEX($AD$2:$AU$1001,MATCH(ROWS($W$2:W211),$W$2:$W$1001,0),MATCH(COLUMNS($AD$1006:AJ1006),$AD$1006:$AU$1006,0)), HYPERLINK("#",""), HYPERLINK(CONCATENATE("#metadata!", ADDRESS(INDEX($Y$2:$Y$1001,MATCH(ROWS($W$2:W211),$W$2:$W$1001,0),0), INDEX($AD$1004:$AU$1004,1,MATCH(COLUMNS($AD$1006:AJ1006),$AD$1006:$AU$1006,0)))),"Fix")))</f>
        <v xml:space="preserve"> </v>
      </c>
      <c r="I211" s="4" t="str">
        <f ca="1">IF(OR(INDEX($X$2:$X$1001,MATCH(ROWS($W$2:W211),$W$2:$W$1001,0),1)&gt;=100000,INDEX($AD$1005:$AU$1005,1,MATCH(COLUMNS($AD$1006:AK1006),$AD$1006:$AU$1006,0))&gt;=100000), " ",IF(INDEX($AD$2:$AU$1001,MATCH(ROWS($W$2:W211),$W$2:$W$1001,0),MATCH(COLUMNS($AD$1006:AK1006),$AD$1006:$AU$1006,0)), HYPERLINK("#",""), HYPERLINK(CONCATENATE("#metadata!", ADDRESS(INDEX($Y$2:$Y$1001,MATCH(ROWS($W$2:W211),$W$2:$W$1001,0),0), INDEX($AD$1004:$AU$1004,1,MATCH(COLUMNS($AD$1006:AK1006),$AD$1006:$AU$1006,0)))),"Fix")))</f>
        <v xml:space="preserve"> </v>
      </c>
      <c r="J211" s="4" t="str">
        <f ca="1">IF(OR(INDEX($X$2:$X$1001,MATCH(ROWS($W$2:W211),$W$2:$W$1001,0),1)&gt;=100000,INDEX($AD$1005:$AU$1005,1,MATCH(COLUMNS($AD$1006:AL1006),$AD$1006:$AU$1006,0))&gt;=100000), " ",IF(INDEX($AD$2:$AU$1001,MATCH(ROWS($W$2:W211),$W$2:$W$1001,0),MATCH(COLUMNS($AD$1006:AL1006),$AD$1006:$AU$1006,0)), HYPERLINK("#",""), HYPERLINK(CONCATENATE("#metadata!", ADDRESS(INDEX($Y$2:$Y$1001,MATCH(ROWS($W$2:W211),$W$2:$W$1001,0),0), INDEX($AD$1004:$AU$1004,1,MATCH(COLUMNS($AD$1006:AL1006),$AD$1006:$AU$1006,0)))),"Fix")))</f>
        <v xml:space="preserve"> </v>
      </c>
      <c r="K211" s="4" t="str">
        <f ca="1">IF(OR(INDEX($X$2:$X$1001,MATCH(ROWS($W$2:W211),$W$2:$W$1001,0),1)&gt;=100000,INDEX($AD$1005:$AU$1005,1,MATCH(COLUMNS($AD$1006:AM1006),$AD$1006:$AU$1006,0))&gt;=100000), " ",IF(INDEX($AD$2:$AU$1001,MATCH(ROWS($W$2:W211),$W$2:$W$1001,0),MATCH(COLUMNS($AD$1006:AM1006),$AD$1006:$AU$1006,0)), HYPERLINK("#",""), HYPERLINK(CONCATENATE("#metadata!", ADDRESS(INDEX($Y$2:$Y$1001,MATCH(ROWS($W$2:W211),$W$2:$W$1001,0),0), INDEX($AD$1004:$AU$1004,1,MATCH(COLUMNS($AD$1006:AM1006),$AD$1006:$AU$1006,0)))),"Fix")))</f>
        <v xml:space="preserve"> </v>
      </c>
      <c r="L211" s="4" t="str">
        <f ca="1">IF(OR(INDEX($X$2:$X$1001,MATCH(ROWS($W$2:W211),$W$2:$W$1001,0),1)&gt;=100000,INDEX($AD$1005:$AU$1005,1,MATCH(COLUMNS($AD$1006:AN1006),$AD$1006:$AU$1006,0))&gt;=100000), " ",IF(INDEX($AD$2:$AU$1001,MATCH(ROWS($W$2:W211),$W$2:$W$1001,0),MATCH(COLUMNS($AD$1006:AN1006),$AD$1006:$AU$1006,0)), HYPERLINK("#",""), HYPERLINK(CONCATENATE("#metadata!", ADDRESS(INDEX($Y$2:$Y$1001,MATCH(ROWS($W$2:W211),$W$2:$W$1001,0),0), INDEX($AD$1004:$AU$1004,1,MATCH(COLUMNS($AD$1006:AN1006),$AD$1006:$AU$1006,0)))),"Fix")))</f>
        <v xml:space="preserve"> </v>
      </c>
      <c r="M211" s="4" t="str">
        <f ca="1">IF(OR(INDEX($X$2:$X$1001,MATCH(ROWS($W$2:W211),$W$2:$W$1001,0),1)&gt;=100000,INDEX($AD$1005:$AU$1005,1,MATCH(COLUMNS($AD$1006:AO1006),$AD$1006:$AU$1006,0))&gt;=100000), " ",IF(INDEX($AD$2:$AU$1001,MATCH(ROWS($W$2:W211),$W$2:$W$1001,0),MATCH(COLUMNS($AD$1006:AO1006),$AD$1006:$AU$1006,0)), HYPERLINK("#",""), HYPERLINK(CONCATENATE("#metadata!", ADDRESS(INDEX($Y$2:$Y$1001,MATCH(ROWS($W$2:W211),$W$2:$W$1001,0),0), INDEX($AD$1004:$AU$1004,1,MATCH(COLUMNS($AD$1006:AO1006),$AD$1006:$AU$1006,0)))),"Fix")))</f>
        <v xml:space="preserve"> </v>
      </c>
      <c r="N211" s="4" t="str">
        <f ca="1">IF(OR(INDEX($X$2:$X$1001,MATCH(ROWS($W$2:W211),$W$2:$W$1001,0),1)&gt;=100000,INDEX($AD$1005:$AU$1005,1,MATCH(COLUMNS($AD$1006:AP1006),$AD$1006:$AU$1006,0))&gt;=100000), " ",IF(INDEX($AD$2:$AU$1001,MATCH(ROWS($W$2:W211),$W$2:$W$1001,0),MATCH(COLUMNS($AD$1006:AP1006),$AD$1006:$AU$1006,0)), HYPERLINK("#",""), HYPERLINK(CONCATENATE("#metadata!", ADDRESS(INDEX($Y$2:$Y$1001,MATCH(ROWS($W$2:W211),$W$2:$W$1001,0),0), INDEX($AD$1004:$AU$1004,1,MATCH(COLUMNS($AD$1006:AP1006),$AD$1006:$AU$1006,0)))),"Fix")))</f>
        <v xml:space="preserve"> </v>
      </c>
      <c r="O211" s="4" t="str">
        <f ca="1">IF(OR(INDEX($X$2:$X$1001,MATCH(ROWS($W$2:W211),$W$2:$W$1001,0),1)&gt;=100000,INDEX($AD$1005:$AU$1005,1,MATCH(COLUMNS($AD$1006:AQ1006),$AD$1006:$AU$1006,0))&gt;=100000), " ",IF(INDEX($AD$2:$AU$1001,MATCH(ROWS($W$2:W211),$W$2:$W$1001,0),MATCH(COLUMNS($AD$1006:AQ1006),$AD$1006:$AU$1006,0)), HYPERLINK("#",""), HYPERLINK(CONCATENATE("#metadata!", ADDRESS(INDEX($Y$2:$Y$1001,MATCH(ROWS($W$2:W211),$W$2:$W$1001,0),0), INDEX($AD$1004:$AU$1004,1,MATCH(COLUMNS($AD$1006:AQ1006),$AD$1006:$AU$1006,0)))),"Fix")))</f>
        <v xml:space="preserve"> </v>
      </c>
      <c r="P211" s="4" t="str">
        <f ca="1">IF(OR(INDEX($X$2:$X$1001,MATCH(ROWS($W$2:W211),$W$2:$W$1001,0),1)&gt;=100000,INDEX($AD$1005:$AU$1005,1,MATCH(COLUMNS($AD$1006:AR1006),$AD$1006:$AU$1006,0))&gt;=100000), " ",IF(INDEX($AD$2:$AU$1001,MATCH(ROWS($W$2:W211),$W$2:$W$1001,0),MATCH(COLUMNS($AD$1006:AR1006),$AD$1006:$AU$1006,0)), HYPERLINK("#",""), HYPERLINK(CONCATENATE("#metadata!", ADDRESS(INDEX($Y$2:$Y$1001,MATCH(ROWS($W$2:W211),$W$2:$W$1001,0),0), INDEX($AD$1004:$AU$1004,1,MATCH(COLUMNS($AD$1006:AR1006),$AD$1006:$AU$1006,0)))),"Fix")))</f>
        <v xml:space="preserve"> </v>
      </c>
      <c r="Q211" s="4" t="str">
        <f ca="1">IF(OR(INDEX($X$2:$X$1001,MATCH(ROWS($W$2:W211),$W$2:$W$1001,0),1)&gt;=100000,INDEX($AD$1005:$AU$1005,1,MATCH(COLUMNS($AD$1006:AS1006),$AD$1006:$AU$1006,0))&gt;=100000), " ",IF(INDEX($AD$2:$AU$1001,MATCH(ROWS($W$2:W211),$W$2:$W$1001,0),MATCH(COLUMNS($AD$1006:AS1006),$AD$1006:$AU$1006,0)), HYPERLINK("#",""), HYPERLINK(CONCATENATE("#metadata!", ADDRESS(INDEX($Y$2:$Y$1001,MATCH(ROWS($W$2:W211),$W$2:$W$1001,0),0), INDEX($AD$1004:$AU$1004,1,MATCH(COLUMNS($AD$1006:AS1006),$AD$1006:$AU$1006,0)))),"Fix")))</f>
        <v xml:space="preserve"> </v>
      </c>
      <c r="R211" s="4" t="str">
        <f ca="1">IF(OR(INDEX($X$2:$X$1001,MATCH(ROWS($W$2:W211),$W$2:$W$1001,0),1)&gt;=100000,INDEX($AD$1005:$AU$1005,1,MATCH(COLUMNS($AD$1006:AT1006),$AD$1006:$AU$1006,0))&gt;=100000), " ",IF(INDEX($AD$2:$AU$1001,MATCH(ROWS($W$2:W211),$W$2:$W$1001,0),MATCH(COLUMNS($AD$1006:AT1006),$AD$1006:$AU$1006,0)), HYPERLINK("#",""), HYPERLINK(CONCATENATE("#metadata!", ADDRESS(INDEX($Y$2:$Y$1001,MATCH(ROWS($W$2:W211),$W$2:$W$1001,0),0), INDEX($AD$1004:$AU$1004,1,MATCH(COLUMNS($AD$1006:AT1006),$AD$1006:$AU$1006,0)))),"Fix")))</f>
        <v xml:space="preserve"> </v>
      </c>
      <c r="S211" s="4" t="str">
        <f ca="1">IF(OR(INDEX($X$2:$X$1001,MATCH(ROWS($W$2:W211),$W$2:$W$1001,0),1)&gt;=100000,INDEX($AD$1005:$AU$1005,1,MATCH(COLUMNS($AD$1006:AU1006),$AD$1006:$AU$1006,0))&gt;=100000), " ",IF(INDEX($AD$2:$AU$1001,MATCH(ROWS($W$2:W211),$W$2:$W$1001,0),MATCH(COLUMNS($AD$1006:AU1006),$AD$1006:$AU$1006,0)), HYPERLINK("#",""), HYPERLINK(CONCATENATE("#metadata!", ADDRESS(INDEX($Y$2:$Y$1001,MATCH(ROWS($W$2:W211),$W$2:$W$1001,0),0), INDEX($AD$1004:$AU$1004,1,MATCH(COLUMNS($AD$1006:AU1006),$AD$1006:$AU$1006,0)))),"Fix")))</f>
        <v xml:space="preserve"> </v>
      </c>
      <c r="W211">
        <v>210</v>
      </c>
      <c r="X211">
        <v>100211</v>
      </c>
      <c r="Y211">
        <v>211</v>
      </c>
      <c r="Z211" t="b">
        <f t="shared" si="3"/>
        <v>1</v>
      </c>
      <c r="AA211" t="b">
        <f>COUNTBLANK(metadata!B211:S211)=COLUMNS(metadata!B211:S211)</f>
        <v>1</v>
      </c>
      <c r="AB211" t="str">
        <v/>
      </c>
      <c r="AD211" t="b">
        <f ca="1">AND(IF(metadata!B211="",FALSE,TRUE),COUNTIF(metadata!B:B, metadata!B211) = 1,NOT(ISERROR(SUMPRODUCT(SEARCH(MID(metadata!B211,ROW(INDIRECT("1:"&amp;LEN(metadata!B211))), 1),"0123456789abcdefghijklmnopqrstuvwxyzABCDEFGHIJKLMNOPQRSTUVWXYZ.")))))</f>
        <v>0</v>
      </c>
      <c r="AE211" t="b">
        <f>OR(AND(IF(metadata!C211="",FALSE,TRUE),OR(EXACT(metadata!C211,"not applicable"),EXACT(metadata!C211,"missing: not collected"),EXACT(metadata!C211,"missing: not provided"),EXACT(metadata!C211,"missing: restricted access"))),AND(IF(metadata!C211="",FALSE,ISNUMBER(VALUE(metadata!C211))),metadata!C211&gt;0))</f>
        <v>0</v>
      </c>
      <c r="AF211" t="b">
        <f>AND(IF(metadata!D211="",FALSE,TRUE),EXACT(metadata!D211,"missing: not provided"))</f>
        <v>0</v>
      </c>
      <c r="AG211" t="b">
        <f>AND(IF(metadata!E211="",FALSE,TRUE),EXACT(metadata!E211,"Host-associated"))</f>
        <v>0</v>
      </c>
      <c r="AH211" t="b">
        <f>AND(IF(metadata!F211="",FALSE,TRUE),OR(EXACT(metadata!F211,"Animal"),EXACT(metadata!F211,"Fungus"),EXACT(metadata!F211,"Plant")))</f>
        <v>0</v>
      </c>
      <c r="AI211" t="b">
        <f>AND(IF(metadata!G211="",FALSE,TRUE),OR(EXACT(metadata!G211,"Plant secretion"),EXACT(metadata!G211,"Plant rhizosphere"),EXACT(metadata!G211,"Plant surface"),EXACT(metadata!G211,"Plant corpus"),EXACT(metadata!G211,"Fungus surface"),EXACT(metadata!G211,"Fungus corpus"),EXACT(metadata!G211,"Animal surface"),EXACT(metadata!G211,"Animal proximal gut"),EXACT(metadata!G211,"Animal corpus"),EXACT(metadata!G211,"Animal distal gut"),EXACT(metadata!G211,"Animal secretion")))</f>
        <v>0</v>
      </c>
      <c r="AJ211" t="b">
        <f>OR(AND(IF(metadata!H211="",FALSE,TRUE),OR(EXACT(metadata!H211,"missing: not collected"),EXACT(metadata!H211,"missing: not provided"),EXACT(metadata!H211,"missing: restricted access"))),AND(IF(metadata!H211="",FALSE,TRUE),OR(EXACT(metadata!H211,"organism-associated habitat"),EXACT(metadata!H211,"plant-associated habitat"),EXACT(metadata!H211,"animal-associated habitat"),EXACT(metadata!H211,"insecta-associated habitat"),EXACT(metadata!H211,"mammalia-associated habitat"),EXACT(metadata!H211,"human-associated habitat"),EXACT(metadata!H211,"livestock-associated habitat"))))</f>
        <v>0</v>
      </c>
      <c r="AK211" t="b">
        <f>AND(IF(metadata!I211="",FALSE,TRUE),EXACT(metadata!I211,"host-associated"))</f>
        <v>0</v>
      </c>
      <c r="AL211" t="b">
        <f>OR(AND(IF(metadata!J211="",FALSE,TRUE),OR(EXACT(metadata!J211,"not applicable"),EXACT(metadata!J211,"missing: not collected"),EXACT(metadata!J211,"missing: not provided"),EXACT(metadata!J211,"missing: restricted access"))),AND(IF(metadata!J211="",FALSE,ISNUMBER(VALUE(metadata!J211))),metadata!J211&gt;0))</f>
        <v>0</v>
      </c>
      <c r="AM211" t="b">
        <f>AND(IF(metadata!K211="",FALSE,TRUE),EXACT(metadata!K211,"missing: not provided"))</f>
        <v>0</v>
      </c>
      <c r="AN211" t="b">
        <f>IF(metadata!L211="",FALSE,TRUE)</f>
        <v>0</v>
      </c>
      <c r="AO211" t="b">
        <f>IF(metadata!M211="",FALSE,TRUE)</f>
        <v>0</v>
      </c>
      <c r="AP211" t="b">
        <f>OR(AND(IF(metadata!N211="",FALSE,TRUE),OR(EXACT(metadata!N211,"not applicable"),EXACT(metadata!N211,"missing: not collected"),EXACT(metadata!N211,"missing: not provided"))),AND(IF(metadata!N211="",FALSE,IF(ISERROR(INT(metadata!N211)),FALSE,INT(metadata!N211)=metadata!N211)),metadata!N211&gt;0))</f>
        <v>0</v>
      </c>
      <c r="AQ211" t="b">
        <f>AND(IF(metadata!O211="",FALSE,TRUE),EXACT(metadata!O211,"Not applicable"))</f>
        <v>0</v>
      </c>
      <c r="AR211" t="b">
        <f>OR(AND(IF(metadata!P211="",FALSE,TRUE),OR(EXACT(metadata!P211,"not applicable"),EXACT(metadata!P211,"missing: not collected"),EXACT(metadata!P211,"missing: not provided"),EXACT(metadata!P211,"missing: restricted access"))),IF(metadata!P211="",FALSE,IF(ISERROR(INT(metadata!P211)),FALSE,INT(metadata!P211)=metadata!P211)))</f>
        <v>0</v>
      </c>
      <c r="AS211" t="b">
        <f>AND(IF(metadata!Q211="",FALSE,TRUE),EXACT(metadata!Q211,"Not applicable"))</f>
        <v>0</v>
      </c>
      <c r="AT211" t="b">
        <f>OR(AND(IF(metadata!R211="",FALSE,TRUE),OR(EXACT(metadata!R211,"not applicable"),EXACT(metadata!R211,"missing: not collected"),EXACT(metadata!R211,"missing: not provided"),EXACT(metadata!R211,"missing: restricted access"))),AND(IF(metadata!R211="",FALSE,ISNUMBER(VALUE(metadata!R211))),metadata!R211&gt;0))</f>
        <v>0</v>
      </c>
      <c r="AU211" t="b">
        <f>AND(IF(metadata!S211="",FALSE,TRUE),EXACT(metadata!S211,"missing: not provided"))</f>
        <v>0</v>
      </c>
    </row>
    <row r="212" spans="1:47" x14ac:dyDescent="0.2">
      <c r="A212" s="5" t="str">
        <f ca="1">IF(B212=" "," ",HYPERLINK(CONCATENATE("#metadata!",ADDRESS(INDEX($Y$2:$Y$1001,MATCH(ROWS($W$2:W212),$W$2:$W$1001,0),0),1)),INDEX($AB$2:$AB$1001,MATCH(ROWS($W$2:W212),$W$2:$W$1001,0),0)))</f>
        <v xml:space="preserve"> </v>
      </c>
      <c r="B212" s="4" t="str">
        <f ca="1">IF(OR(INDEX($X$2:$X$1001,MATCH(ROWS($W$2:W212),$W$2:$W$1001,0),1)&gt;=100000,INDEX($AD$1005:$AU$1005,1,MATCH(COLUMNS($AD$1006:AD1006),$AD$1006:$AU$1006,0))&gt;=100000), " ",IF(INDEX($AD$2:$AU$1001,MATCH(ROWS($W$2:W212),$W$2:$W$1001,0),MATCH(COLUMNS($AD$1006:AD1006),$AD$1006:$AU$1006,0)), HYPERLINK("#",""), HYPERLINK(CONCATENATE("#metadata!", ADDRESS(INDEX($Y$2:$Y$1001,MATCH(ROWS($W$2:W212),$W$2:$W$1001,0),0), INDEX($AD$1004:$AU$1004,1,MATCH(COLUMNS($AD$1006:AD1006),$AD$1006:$AU$1006,0)))),"Fix")))</f>
        <v xml:space="preserve"> </v>
      </c>
      <c r="C212" s="4" t="str">
        <f ca="1">IF(OR(INDEX($X$2:$X$1001,MATCH(ROWS($W$2:W212),$W$2:$W$1001,0),1)&gt;=100000,INDEX($AD$1005:$AU$1005,1,MATCH(COLUMNS($AD$1006:AE1006),$AD$1006:$AU$1006,0))&gt;=100000), " ",IF(INDEX($AD$2:$AU$1001,MATCH(ROWS($W$2:W212),$W$2:$W$1001,0),MATCH(COLUMNS($AD$1006:AE1006),$AD$1006:$AU$1006,0)), HYPERLINK("#",""), HYPERLINK(CONCATENATE("#metadata!", ADDRESS(INDEX($Y$2:$Y$1001,MATCH(ROWS($W$2:W212),$W$2:$W$1001,0),0), INDEX($AD$1004:$AU$1004,1,MATCH(COLUMNS($AD$1006:AE1006),$AD$1006:$AU$1006,0)))),"Fix")))</f>
        <v xml:space="preserve"> </v>
      </c>
      <c r="D212" s="4" t="str">
        <f ca="1">IF(OR(INDEX($X$2:$X$1001,MATCH(ROWS($W$2:W212),$W$2:$W$1001,0),1)&gt;=100000,INDEX($AD$1005:$AU$1005,1,MATCH(COLUMNS($AD$1006:AF1006),$AD$1006:$AU$1006,0))&gt;=100000), " ",IF(INDEX($AD$2:$AU$1001,MATCH(ROWS($W$2:W212),$W$2:$W$1001,0),MATCH(COLUMNS($AD$1006:AF1006),$AD$1006:$AU$1006,0)), HYPERLINK("#",""), HYPERLINK(CONCATENATE("#metadata!", ADDRESS(INDEX($Y$2:$Y$1001,MATCH(ROWS($W$2:W212),$W$2:$W$1001,0),0), INDEX($AD$1004:$AU$1004,1,MATCH(COLUMNS($AD$1006:AF1006),$AD$1006:$AU$1006,0)))),"Fix")))</f>
        <v xml:space="preserve"> </v>
      </c>
      <c r="E212" s="4" t="str">
        <f ca="1">IF(OR(INDEX($X$2:$X$1001,MATCH(ROWS($W$2:W212),$W$2:$W$1001,0),1)&gt;=100000,INDEX($AD$1005:$AU$1005,1,MATCH(COLUMNS($AD$1006:AG1006),$AD$1006:$AU$1006,0))&gt;=100000), " ",IF(INDEX($AD$2:$AU$1001,MATCH(ROWS($W$2:W212),$W$2:$W$1001,0),MATCH(COLUMNS($AD$1006:AG1006),$AD$1006:$AU$1006,0)), HYPERLINK("#",""), HYPERLINK(CONCATENATE("#metadata!", ADDRESS(INDEX($Y$2:$Y$1001,MATCH(ROWS($W$2:W212),$W$2:$W$1001,0),0), INDEX($AD$1004:$AU$1004,1,MATCH(COLUMNS($AD$1006:AG1006),$AD$1006:$AU$1006,0)))),"Fix")))</f>
        <v xml:space="preserve"> </v>
      </c>
      <c r="F212" s="4" t="str">
        <f ca="1">IF(OR(INDEX($X$2:$X$1001,MATCH(ROWS($W$2:W212),$W$2:$W$1001,0),1)&gt;=100000,INDEX($AD$1005:$AU$1005,1,MATCH(COLUMNS($AD$1006:AH1006),$AD$1006:$AU$1006,0))&gt;=100000), " ",IF(INDEX($AD$2:$AU$1001,MATCH(ROWS($W$2:W212),$W$2:$W$1001,0),MATCH(COLUMNS($AD$1006:AH1006),$AD$1006:$AU$1006,0)), HYPERLINK("#",""), HYPERLINK(CONCATENATE("#metadata!", ADDRESS(INDEX($Y$2:$Y$1001,MATCH(ROWS($W$2:W212),$W$2:$W$1001,0),0), INDEX($AD$1004:$AU$1004,1,MATCH(COLUMNS($AD$1006:AH1006),$AD$1006:$AU$1006,0)))),"Fix")))</f>
        <v xml:space="preserve"> </v>
      </c>
      <c r="G212" s="4" t="str">
        <f ca="1">IF(OR(INDEX($X$2:$X$1001,MATCH(ROWS($W$2:W212),$W$2:$W$1001,0),1)&gt;=100000,INDEX($AD$1005:$AU$1005,1,MATCH(COLUMNS($AD$1006:AI1006),$AD$1006:$AU$1006,0))&gt;=100000), " ",IF(INDEX($AD$2:$AU$1001,MATCH(ROWS($W$2:W212),$W$2:$W$1001,0),MATCH(COLUMNS($AD$1006:AI1006),$AD$1006:$AU$1006,0)), HYPERLINK("#",""), HYPERLINK(CONCATENATE("#metadata!", ADDRESS(INDEX($Y$2:$Y$1001,MATCH(ROWS($W$2:W212),$W$2:$W$1001,0),0), INDEX($AD$1004:$AU$1004,1,MATCH(COLUMNS($AD$1006:AI1006),$AD$1006:$AU$1006,0)))),"Fix")))</f>
        <v xml:space="preserve"> </v>
      </c>
      <c r="H212" s="4" t="str">
        <f ca="1">IF(OR(INDEX($X$2:$X$1001,MATCH(ROWS($W$2:W212),$W$2:$W$1001,0),1)&gt;=100000,INDEX($AD$1005:$AU$1005,1,MATCH(COLUMNS($AD$1006:AJ1006),$AD$1006:$AU$1006,0))&gt;=100000), " ",IF(INDEX($AD$2:$AU$1001,MATCH(ROWS($W$2:W212),$W$2:$W$1001,0),MATCH(COLUMNS($AD$1006:AJ1006),$AD$1006:$AU$1006,0)), HYPERLINK("#",""), HYPERLINK(CONCATENATE("#metadata!", ADDRESS(INDEX($Y$2:$Y$1001,MATCH(ROWS($W$2:W212),$W$2:$W$1001,0),0), INDEX($AD$1004:$AU$1004,1,MATCH(COLUMNS($AD$1006:AJ1006),$AD$1006:$AU$1006,0)))),"Fix")))</f>
        <v xml:space="preserve"> </v>
      </c>
      <c r="I212" s="4" t="str">
        <f ca="1">IF(OR(INDEX($X$2:$X$1001,MATCH(ROWS($W$2:W212),$W$2:$W$1001,0),1)&gt;=100000,INDEX($AD$1005:$AU$1005,1,MATCH(COLUMNS($AD$1006:AK1006),$AD$1006:$AU$1006,0))&gt;=100000), " ",IF(INDEX($AD$2:$AU$1001,MATCH(ROWS($W$2:W212),$W$2:$W$1001,0),MATCH(COLUMNS($AD$1006:AK1006),$AD$1006:$AU$1006,0)), HYPERLINK("#",""), HYPERLINK(CONCATENATE("#metadata!", ADDRESS(INDEX($Y$2:$Y$1001,MATCH(ROWS($W$2:W212),$W$2:$W$1001,0),0), INDEX($AD$1004:$AU$1004,1,MATCH(COLUMNS($AD$1006:AK1006),$AD$1006:$AU$1006,0)))),"Fix")))</f>
        <v xml:space="preserve"> </v>
      </c>
      <c r="J212" s="4" t="str">
        <f ca="1">IF(OR(INDEX($X$2:$X$1001,MATCH(ROWS($W$2:W212),$W$2:$W$1001,0),1)&gt;=100000,INDEX($AD$1005:$AU$1005,1,MATCH(COLUMNS($AD$1006:AL1006),$AD$1006:$AU$1006,0))&gt;=100000), " ",IF(INDEX($AD$2:$AU$1001,MATCH(ROWS($W$2:W212),$W$2:$W$1001,0),MATCH(COLUMNS($AD$1006:AL1006),$AD$1006:$AU$1006,0)), HYPERLINK("#",""), HYPERLINK(CONCATENATE("#metadata!", ADDRESS(INDEX($Y$2:$Y$1001,MATCH(ROWS($W$2:W212),$W$2:$W$1001,0),0), INDEX($AD$1004:$AU$1004,1,MATCH(COLUMNS($AD$1006:AL1006),$AD$1006:$AU$1006,0)))),"Fix")))</f>
        <v xml:space="preserve"> </v>
      </c>
      <c r="K212" s="4" t="str">
        <f ca="1">IF(OR(INDEX($X$2:$X$1001,MATCH(ROWS($W$2:W212),$W$2:$W$1001,0),1)&gt;=100000,INDEX($AD$1005:$AU$1005,1,MATCH(COLUMNS($AD$1006:AM1006),$AD$1006:$AU$1006,0))&gt;=100000), " ",IF(INDEX($AD$2:$AU$1001,MATCH(ROWS($W$2:W212),$W$2:$W$1001,0),MATCH(COLUMNS($AD$1006:AM1006),$AD$1006:$AU$1006,0)), HYPERLINK("#",""), HYPERLINK(CONCATENATE("#metadata!", ADDRESS(INDEX($Y$2:$Y$1001,MATCH(ROWS($W$2:W212),$W$2:$W$1001,0),0), INDEX($AD$1004:$AU$1004,1,MATCH(COLUMNS($AD$1006:AM1006),$AD$1006:$AU$1006,0)))),"Fix")))</f>
        <v xml:space="preserve"> </v>
      </c>
      <c r="L212" s="4" t="str">
        <f ca="1">IF(OR(INDEX($X$2:$X$1001,MATCH(ROWS($W$2:W212),$W$2:$W$1001,0),1)&gt;=100000,INDEX($AD$1005:$AU$1005,1,MATCH(COLUMNS($AD$1006:AN1006),$AD$1006:$AU$1006,0))&gt;=100000), " ",IF(INDEX($AD$2:$AU$1001,MATCH(ROWS($W$2:W212),$W$2:$W$1001,0),MATCH(COLUMNS($AD$1006:AN1006),$AD$1006:$AU$1006,0)), HYPERLINK("#",""), HYPERLINK(CONCATENATE("#metadata!", ADDRESS(INDEX($Y$2:$Y$1001,MATCH(ROWS($W$2:W212),$W$2:$W$1001,0),0), INDEX($AD$1004:$AU$1004,1,MATCH(COLUMNS($AD$1006:AN1006),$AD$1006:$AU$1006,0)))),"Fix")))</f>
        <v xml:space="preserve"> </v>
      </c>
      <c r="M212" s="4" t="str">
        <f ca="1">IF(OR(INDEX($X$2:$X$1001,MATCH(ROWS($W$2:W212),$W$2:$W$1001,0),1)&gt;=100000,INDEX($AD$1005:$AU$1005,1,MATCH(COLUMNS($AD$1006:AO1006),$AD$1006:$AU$1006,0))&gt;=100000), " ",IF(INDEX($AD$2:$AU$1001,MATCH(ROWS($W$2:W212),$W$2:$W$1001,0),MATCH(COLUMNS($AD$1006:AO1006),$AD$1006:$AU$1006,0)), HYPERLINK("#",""), HYPERLINK(CONCATENATE("#metadata!", ADDRESS(INDEX($Y$2:$Y$1001,MATCH(ROWS($W$2:W212),$W$2:$W$1001,0),0), INDEX($AD$1004:$AU$1004,1,MATCH(COLUMNS($AD$1006:AO1006),$AD$1006:$AU$1006,0)))),"Fix")))</f>
        <v xml:space="preserve"> </v>
      </c>
      <c r="N212" s="4" t="str">
        <f ca="1">IF(OR(INDEX($X$2:$X$1001,MATCH(ROWS($W$2:W212),$W$2:$W$1001,0),1)&gt;=100000,INDEX($AD$1005:$AU$1005,1,MATCH(COLUMNS($AD$1006:AP1006),$AD$1006:$AU$1006,0))&gt;=100000), " ",IF(INDEX($AD$2:$AU$1001,MATCH(ROWS($W$2:W212),$W$2:$W$1001,0),MATCH(COLUMNS($AD$1006:AP1006),$AD$1006:$AU$1006,0)), HYPERLINK("#",""), HYPERLINK(CONCATENATE("#metadata!", ADDRESS(INDEX($Y$2:$Y$1001,MATCH(ROWS($W$2:W212),$W$2:$W$1001,0),0), INDEX($AD$1004:$AU$1004,1,MATCH(COLUMNS($AD$1006:AP1006),$AD$1006:$AU$1006,0)))),"Fix")))</f>
        <v xml:space="preserve"> </v>
      </c>
      <c r="O212" s="4" t="str">
        <f ca="1">IF(OR(INDEX($X$2:$X$1001,MATCH(ROWS($W$2:W212),$W$2:$W$1001,0),1)&gt;=100000,INDEX($AD$1005:$AU$1005,1,MATCH(COLUMNS($AD$1006:AQ1006),$AD$1006:$AU$1006,0))&gt;=100000), " ",IF(INDEX($AD$2:$AU$1001,MATCH(ROWS($W$2:W212),$W$2:$W$1001,0),MATCH(COLUMNS($AD$1006:AQ1006),$AD$1006:$AU$1006,0)), HYPERLINK("#",""), HYPERLINK(CONCATENATE("#metadata!", ADDRESS(INDEX($Y$2:$Y$1001,MATCH(ROWS($W$2:W212),$W$2:$W$1001,0),0), INDEX($AD$1004:$AU$1004,1,MATCH(COLUMNS($AD$1006:AQ1006),$AD$1006:$AU$1006,0)))),"Fix")))</f>
        <v xml:space="preserve"> </v>
      </c>
      <c r="P212" s="4" t="str">
        <f ca="1">IF(OR(INDEX($X$2:$X$1001,MATCH(ROWS($W$2:W212),$W$2:$W$1001,0),1)&gt;=100000,INDEX($AD$1005:$AU$1005,1,MATCH(COLUMNS($AD$1006:AR1006),$AD$1006:$AU$1006,0))&gt;=100000), " ",IF(INDEX($AD$2:$AU$1001,MATCH(ROWS($W$2:W212),$W$2:$W$1001,0),MATCH(COLUMNS($AD$1006:AR1006),$AD$1006:$AU$1006,0)), HYPERLINK("#",""), HYPERLINK(CONCATENATE("#metadata!", ADDRESS(INDEX($Y$2:$Y$1001,MATCH(ROWS($W$2:W212),$W$2:$W$1001,0),0), INDEX($AD$1004:$AU$1004,1,MATCH(COLUMNS($AD$1006:AR1006),$AD$1006:$AU$1006,0)))),"Fix")))</f>
        <v xml:space="preserve"> </v>
      </c>
      <c r="Q212" s="4" t="str">
        <f ca="1">IF(OR(INDEX($X$2:$X$1001,MATCH(ROWS($W$2:W212),$W$2:$W$1001,0),1)&gt;=100000,INDEX($AD$1005:$AU$1005,1,MATCH(COLUMNS($AD$1006:AS1006),$AD$1006:$AU$1006,0))&gt;=100000), " ",IF(INDEX($AD$2:$AU$1001,MATCH(ROWS($W$2:W212),$W$2:$W$1001,0),MATCH(COLUMNS($AD$1006:AS1006),$AD$1006:$AU$1006,0)), HYPERLINK("#",""), HYPERLINK(CONCATENATE("#metadata!", ADDRESS(INDEX($Y$2:$Y$1001,MATCH(ROWS($W$2:W212),$W$2:$W$1001,0),0), INDEX($AD$1004:$AU$1004,1,MATCH(COLUMNS($AD$1006:AS1006),$AD$1006:$AU$1006,0)))),"Fix")))</f>
        <v xml:space="preserve"> </v>
      </c>
      <c r="R212" s="4" t="str">
        <f ca="1">IF(OR(INDEX($X$2:$X$1001,MATCH(ROWS($W$2:W212),$W$2:$W$1001,0),1)&gt;=100000,INDEX($AD$1005:$AU$1005,1,MATCH(COLUMNS($AD$1006:AT1006),$AD$1006:$AU$1006,0))&gt;=100000), " ",IF(INDEX($AD$2:$AU$1001,MATCH(ROWS($W$2:W212),$W$2:$W$1001,0),MATCH(COLUMNS($AD$1006:AT1006),$AD$1006:$AU$1006,0)), HYPERLINK("#",""), HYPERLINK(CONCATENATE("#metadata!", ADDRESS(INDEX($Y$2:$Y$1001,MATCH(ROWS($W$2:W212),$W$2:$W$1001,0),0), INDEX($AD$1004:$AU$1004,1,MATCH(COLUMNS($AD$1006:AT1006),$AD$1006:$AU$1006,0)))),"Fix")))</f>
        <v xml:space="preserve"> </v>
      </c>
      <c r="S212" s="4" t="str">
        <f ca="1">IF(OR(INDEX($X$2:$X$1001,MATCH(ROWS($W$2:W212),$W$2:$W$1001,0),1)&gt;=100000,INDEX($AD$1005:$AU$1005,1,MATCH(COLUMNS($AD$1006:AU1006),$AD$1006:$AU$1006,0))&gt;=100000), " ",IF(INDEX($AD$2:$AU$1001,MATCH(ROWS($W$2:W212),$W$2:$W$1001,0),MATCH(COLUMNS($AD$1006:AU1006),$AD$1006:$AU$1006,0)), HYPERLINK("#",""), HYPERLINK(CONCATENATE("#metadata!", ADDRESS(INDEX($Y$2:$Y$1001,MATCH(ROWS($W$2:W212),$W$2:$W$1001,0),0), INDEX($AD$1004:$AU$1004,1,MATCH(COLUMNS($AD$1006:AU1006),$AD$1006:$AU$1006,0)))),"Fix")))</f>
        <v xml:space="preserve"> </v>
      </c>
      <c r="W212">
        <v>211</v>
      </c>
      <c r="X212">
        <v>100212</v>
      </c>
      <c r="Y212">
        <v>212</v>
      </c>
      <c r="Z212" t="b">
        <f t="shared" si="3"/>
        <v>1</v>
      </c>
      <c r="AA212" t="b">
        <f>COUNTBLANK(metadata!B212:S212)=COLUMNS(metadata!B212:S212)</f>
        <v>1</v>
      </c>
      <c r="AB212" t="str">
        <v/>
      </c>
      <c r="AD212" t="b">
        <f ca="1">AND(IF(metadata!B212="",FALSE,TRUE),COUNTIF(metadata!B:B, metadata!B212) = 1,NOT(ISERROR(SUMPRODUCT(SEARCH(MID(metadata!B212,ROW(INDIRECT("1:"&amp;LEN(metadata!B212))), 1),"0123456789abcdefghijklmnopqrstuvwxyzABCDEFGHIJKLMNOPQRSTUVWXYZ.")))))</f>
        <v>0</v>
      </c>
      <c r="AE212" t="b">
        <f>OR(AND(IF(metadata!C212="",FALSE,TRUE),OR(EXACT(metadata!C212,"not applicable"),EXACT(metadata!C212,"missing: not collected"),EXACT(metadata!C212,"missing: not provided"),EXACT(metadata!C212,"missing: restricted access"))),AND(IF(metadata!C212="",FALSE,ISNUMBER(VALUE(metadata!C212))),metadata!C212&gt;0))</f>
        <v>0</v>
      </c>
      <c r="AF212" t="b">
        <f>AND(IF(metadata!D212="",FALSE,TRUE),EXACT(metadata!D212,"missing: not provided"))</f>
        <v>0</v>
      </c>
      <c r="AG212" t="b">
        <f>AND(IF(metadata!E212="",FALSE,TRUE),EXACT(metadata!E212,"Host-associated"))</f>
        <v>0</v>
      </c>
      <c r="AH212" t="b">
        <f>AND(IF(metadata!F212="",FALSE,TRUE),OR(EXACT(metadata!F212,"Animal"),EXACT(metadata!F212,"Fungus"),EXACT(metadata!F212,"Plant")))</f>
        <v>0</v>
      </c>
      <c r="AI212" t="b">
        <f>AND(IF(metadata!G212="",FALSE,TRUE),OR(EXACT(metadata!G212,"Plant secretion"),EXACT(metadata!G212,"Plant rhizosphere"),EXACT(metadata!G212,"Plant surface"),EXACT(metadata!G212,"Plant corpus"),EXACT(metadata!G212,"Fungus surface"),EXACT(metadata!G212,"Fungus corpus"),EXACT(metadata!G212,"Animal surface"),EXACT(metadata!G212,"Animal proximal gut"),EXACT(metadata!G212,"Animal corpus"),EXACT(metadata!G212,"Animal distal gut"),EXACT(metadata!G212,"Animal secretion")))</f>
        <v>0</v>
      </c>
      <c r="AJ212" t="b">
        <f>OR(AND(IF(metadata!H212="",FALSE,TRUE),OR(EXACT(metadata!H212,"missing: not collected"),EXACT(metadata!H212,"missing: not provided"),EXACT(metadata!H212,"missing: restricted access"))),AND(IF(metadata!H212="",FALSE,TRUE),OR(EXACT(metadata!H212,"organism-associated habitat"),EXACT(metadata!H212,"plant-associated habitat"),EXACT(metadata!H212,"animal-associated habitat"),EXACT(metadata!H212,"insecta-associated habitat"),EXACT(metadata!H212,"mammalia-associated habitat"),EXACT(metadata!H212,"human-associated habitat"),EXACT(metadata!H212,"livestock-associated habitat"))))</f>
        <v>0</v>
      </c>
      <c r="AK212" t="b">
        <f>AND(IF(metadata!I212="",FALSE,TRUE),EXACT(metadata!I212,"host-associated"))</f>
        <v>0</v>
      </c>
      <c r="AL212" t="b">
        <f>OR(AND(IF(metadata!J212="",FALSE,TRUE),OR(EXACT(metadata!J212,"not applicable"),EXACT(metadata!J212,"missing: not collected"),EXACT(metadata!J212,"missing: not provided"),EXACT(metadata!J212,"missing: restricted access"))),AND(IF(metadata!J212="",FALSE,ISNUMBER(VALUE(metadata!J212))),metadata!J212&gt;0))</f>
        <v>0</v>
      </c>
      <c r="AM212" t="b">
        <f>AND(IF(metadata!K212="",FALSE,TRUE),EXACT(metadata!K212,"missing: not provided"))</f>
        <v>0</v>
      </c>
      <c r="AN212" t="b">
        <f>IF(metadata!L212="",FALSE,TRUE)</f>
        <v>0</v>
      </c>
      <c r="AO212" t="b">
        <f>IF(metadata!M212="",FALSE,TRUE)</f>
        <v>0</v>
      </c>
      <c r="AP212" t="b">
        <f>OR(AND(IF(metadata!N212="",FALSE,TRUE),OR(EXACT(metadata!N212,"not applicable"),EXACT(metadata!N212,"missing: not collected"),EXACT(metadata!N212,"missing: not provided"))),AND(IF(metadata!N212="",FALSE,IF(ISERROR(INT(metadata!N212)),FALSE,INT(metadata!N212)=metadata!N212)),metadata!N212&gt;0))</f>
        <v>0</v>
      </c>
      <c r="AQ212" t="b">
        <f>AND(IF(metadata!O212="",FALSE,TRUE),EXACT(metadata!O212,"Not applicable"))</f>
        <v>0</v>
      </c>
      <c r="AR212" t="b">
        <f>OR(AND(IF(metadata!P212="",FALSE,TRUE),OR(EXACT(metadata!P212,"not applicable"),EXACT(metadata!P212,"missing: not collected"),EXACT(metadata!P212,"missing: not provided"),EXACT(metadata!P212,"missing: restricted access"))),IF(metadata!P212="",FALSE,IF(ISERROR(INT(metadata!P212)),FALSE,INT(metadata!P212)=metadata!P212)))</f>
        <v>0</v>
      </c>
      <c r="AS212" t="b">
        <f>AND(IF(metadata!Q212="",FALSE,TRUE),EXACT(metadata!Q212,"Not applicable"))</f>
        <v>0</v>
      </c>
      <c r="AT212" t="b">
        <f>OR(AND(IF(metadata!R212="",FALSE,TRUE),OR(EXACT(metadata!R212,"not applicable"),EXACT(metadata!R212,"missing: not collected"),EXACT(metadata!R212,"missing: not provided"),EXACT(metadata!R212,"missing: restricted access"))),AND(IF(metadata!R212="",FALSE,ISNUMBER(VALUE(metadata!R212))),metadata!R212&gt;0))</f>
        <v>0</v>
      </c>
      <c r="AU212" t="b">
        <f>AND(IF(metadata!S212="",FALSE,TRUE),EXACT(metadata!S212,"missing: not provided"))</f>
        <v>0</v>
      </c>
    </row>
    <row r="213" spans="1:47" x14ac:dyDescent="0.2">
      <c r="A213" s="5" t="str">
        <f ca="1">IF(B213=" "," ",HYPERLINK(CONCATENATE("#metadata!",ADDRESS(INDEX($Y$2:$Y$1001,MATCH(ROWS($W$2:W213),$W$2:$W$1001,0),0),1)),INDEX($AB$2:$AB$1001,MATCH(ROWS($W$2:W213),$W$2:$W$1001,0),0)))</f>
        <v xml:space="preserve"> </v>
      </c>
      <c r="B213" s="4" t="str">
        <f ca="1">IF(OR(INDEX($X$2:$X$1001,MATCH(ROWS($W$2:W213),$W$2:$W$1001,0),1)&gt;=100000,INDEX($AD$1005:$AU$1005,1,MATCH(COLUMNS($AD$1006:AD1006),$AD$1006:$AU$1006,0))&gt;=100000), " ",IF(INDEX($AD$2:$AU$1001,MATCH(ROWS($W$2:W213),$W$2:$W$1001,0),MATCH(COLUMNS($AD$1006:AD1006),$AD$1006:$AU$1006,0)), HYPERLINK("#",""), HYPERLINK(CONCATENATE("#metadata!", ADDRESS(INDEX($Y$2:$Y$1001,MATCH(ROWS($W$2:W213),$W$2:$W$1001,0),0), INDEX($AD$1004:$AU$1004,1,MATCH(COLUMNS($AD$1006:AD1006),$AD$1006:$AU$1006,0)))),"Fix")))</f>
        <v xml:space="preserve"> </v>
      </c>
      <c r="C213" s="4" t="str">
        <f ca="1">IF(OR(INDEX($X$2:$X$1001,MATCH(ROWS($W$2:W213),$W$2:$W$1001,0),1)&gt;=100000,INDEX($AD$1005:$AU$1005,1,MATCH(COLUMNS($AD$1006:AE1006),$AD$1006:$AU$1006,0))&gt;=100000), " ",IF(INDEX($AD$2:$AU$1001,MATCH(ROWS($W$2:W213),$W$2:$W$1001,0),MATCH(COLUMNS($AD$1006:AE1006),$AD$1006:$AU$1006,0)), HYPERLINK("#",""), HYPERLINK(CONCATENATE("#metadata!", ADDRESS(INDEX($Y$2:$Y$1001,MATCH(ROWS($W$2:W213),$W$2:$W$1001,0),0), INDEX($AD$1004:$AU$1004,1,MATCH(COLUMNS($AD$1006:AE1006),$AD$1006:$AU$1006,0)))),"Fix")))</f>
        <v xml:space="preserve"> </v>
      </c>
      <c r="D213" s="4" t="str">
        <f ca="1">IF(OR(INDEX($X$2:$X$1001,MATCH(ROWS($W$2:W213),$W$2:$W$1001,0),1)&gt;=100000,INDEX($AD$1005:$AU$1005,1,MATCH(COLUMNS($AD$1006:AF1006),$AD$1006:$AU$1006,0))&gt;=100000), " ",IF(INDEX($AD$2:$AU$1001,MATCH(ROWS($W$2:W213),$W$2:$W$1001,0),MATCH(COLUMNS($AD$1006:AF1006),$AD$1006:$AU$1006,0)), HYPERLINK("#",""), HYPERLINK(CONCATENATE("#metadata!", ADDRESS(INDEX($Y$2:$Y$1001,MATCH(ROWS($W$2:W213),$W$2:$W$1001,0),0), INDEX($AD$1004:$AU$1004,1,MATCH(COLUMNS($AD$1006:AF1006),$AD$1006:$AU$1006,0)))),"Fix")))</f>
        <v xml:space="preserve"> </v>
      </c>
      <c r="E213" s="4" t="str">
        <f ca="1">IF(OR(INDEX($X$2:$X$1001,MATCH(ROWS($W$2:W213),$W$2:$W$1001,0),1)&gt;=100000,INDEX($AD$1005:$AU$1005,1,MATCH(COLUMNS($AD$1006:AG1006),$AD$1006:$AU$1006,0))&gt;=100000), " ",IF(INDEX($AD$2:$AU$1001,MATCH(ROWS($W$2:W213),$W$2:$W$1001,0),MATCH(COLUMNS($AD$1006:AG1006),$AD$1006:$AU$1006,0)), HYPERLINK("#",""), HYPERLINK(CONCATENATE("#metadata!", ADDRESS(INDEX($Y$2:$Y$1001,MATCH(ROWS($W$2:W213),$W$2:$W$1001,0),0), INDEX($AD$1004:$AU$1004,1,MATCH(COLUMNS($AD$1006:AG1006),$AD$1006:$AU$1006,0)))),"Fix")))</f>
        <v xml:space="preserve"> </v>
      </c>
      <c r="F213" s="4" t="str">
        <f ca="1">IF(OR(INDEX($X$2:$X$1001,MATCH(ROWS($W$2:W213),$W$2:$W$1001,0),1)&gt;=100000,INDEX($AD$1005:$AU$1005,1,MATCH(COLUMNS($AD$1006:AH1006),$AD$1006:$AU$1006,0))&gt;=100000), " ",IF(INDEX($AD$2:$AU$1001,MATCH(ROWS($W$2:W213),$W$2:$W$1001,0),MATCH(COLUMNS($AD$1006:AH1006),$AD$1006:$AU$1006,0)), HYPERLINK("#",""), HYPERLINK(CONCATENATE("#metadata!", ADDRESS(INDEX($Y$2:$Y$1001,MATCH(ROWS($W$2:W213),$W$2:$W$1001,0),0), INDEX($AD$1004:$AU$1004,1,MATCH(COLUMNS($AD$1006:AH1006),$AD$1006:$AU$1006,0)))),"Fix")))</f>
        <v xml:space="preserve"> </v>
      </c>
      <c r="G213" s="4" t="str">
        <f ca="1">IF(OR(INDEX($X$2:$X$1001,MATCH(ROWS($W$2:W213),$W$2:$W$1001,0),1)&gt;=100000,INDEX($AD$1005:$AU$1005,1,MATCH(COLUMNS($AD$1006:AI1006),$AD$1006:$AU$1006,0))&gt;=100000), " ",IF(INDEX($AD$2:$AU$1001,MATCH(ROWS($W$2:W213),$W$2:$W$1001,0),MATCH(COLUMNS($AD$1006:AI1006),$AD$1006:$AU$1006,0)), HYPERLINK("#",""), HYPERLINK(CONCATENATE("#metadata!", ADDRESS(INDEX($Y$2:$Y$1001,MATCH(ROWS($W$2:W213),$W$2:$W$1001,0),0), INDEX($AD$1004:$AU$1004,1,MATCH(COLUMNS($AD$1006:AI1006),$AD$1006:$AU$1006,0)))),"Fix")))</f>
        <v xml:space="preserve"> </v>
      </c>
      <c r="H213" s="4" t="str">
        <f ca="1">IF(OR(INDEX($X$2:$X$1001,MATCH(ROWS($W$2:W213),$W$2:$W$1001,0),1)&gt;=100000,INDEX($AD$1005:$AU$1005,1,MATCH(COLUMNS($AD$1006:AJ1006),$AD$1006:$AU$1006,0))&gt;=100000), " ",IF(INDEX($AD$2:$AU$1001,MATCH(ROWS($W$2:W213),$W$2:$W$1001,0),MATCH(COLUMNS($AD$1006:AJ1006),$AD$1006:$AU$1006,0)), HYPERLINK("#",""), HYPERLINK(CONCATENATE("#metadata!", ADDRESS(INDEX($Y$2:$Y$1001,MATCH(ROWS($W$2:W213),$W$2:$W$1001,0),0), INDEX($AD$1004:$AU$1004,1,MATCH(COLUMNS($AD$1006:AJ1006),$AD$1006:$AU$1006,0)))),"Fix")))</f>
        <v xml:space="preserve"> </v>
      </c>
      <c r="I213" s="4" t="str">
        <f ca="1">IF(OR(INDEX($X$2:$X$1001,MATCH(ROWS($W$2:W213),$W$2:$W$1001,0),1)&gt;=100000,INDEX($AD$1005:$AU$1005,1,MATCH(COLUMNS($AD$1006:AK1006),$AD$1006:$AU$1006,0))&gt;=100000), " ",IF(INDEX($AD$2:$AU$1001,MATCH(ROWS($W$2:W213),$W$2:$W$1001,0),MATCH(COLUMNS($AD$1006:AK1006),$AD$1006:$AU$1006,0)), HYPERLINK("#",""), HYPERLINK(CONCATENATE("#metadata!", ADDRESS(INDEX($Y$2:$Y$1001,MATCH(ROWS($W$2:W213),$W$2:$W$1001,0),0), INDEX($AD$1004:$AU$1004,1,MATCH(COLUMNS($AD$1006:AK1006),$AD$1006:$AU$1006,0)))),"Fix")))</f>
        <v xml:space="preserve"> </v>
      </c>
      <c r="J213" s="4" t="str">
        <f ca="1">IF(OR(INDEX($X$2:$X$1001,MATCH(ROWS($W$2:W213),$W$2:$W$1001,0),1)&gt;=100000,INDEX($AD$1005:$AU$1005,1,MATCH(COLUMNS($AD$1006:AL1006),$AD$1006:$AU$1006,0))&gt;=100000), " ",IF(INDEX($AD$2:$AU$1001,MATCH(ROWS($W$2:W213),$W$2:$W$1001,0),MATCH(COLUMNS($AD$1006:AL1006),$AD$1006:$AU$1006,0)), HYPERLINK("#",""), HYPERLINK(CONCATENATE("#metadata!", ADDRESS(INDEX($Y$2:$Y$1001,MATCH(ROWS($W$2:W213),$W$2:$W$1001,0),0), INDEX($AD$1004:$AU$1004,1,MATCH(COLUMNS($AD$1006:AL1006),$AD$1006:$AU$1006,0)))),"Fix")))</f>
        <v xml:space="preserve"> </v>
      </c>
      <c r="K213" s="4" t="str">
        <f ca="1">IF(OR(INDEX($X$2:$X$1001,MATCH(ROWS($W$2:W213),$W$2:$W$1001,0),1)&gt;=100000,INDEX($AD$1005:$AU$1005,1,MATCH(COLUMNS($AD$1006:AM1006),$AD$1006:$AU$1006,0))&gt;=100000), " ",IF(INDEX($AD$2:$AU$1001,MATCH(ROWS($W$2:W213),$W$2:$W$1001,0),MATCH(COLUMNS($AD$1006:AM1006),$AD$1006:$AU$1006,0)), HYPERLINK("#",""), HYPERLINK(CONCATENATE("#metadata!", ADDRESS(INDEX($Y$2:$Y$1001,MATCH(ROWS($W$2:W213),$W$2:$W$1001,0),0), INDEX($AD$1004:$AU$1004,1,MATCH(COLUMNS($AD$1006:AM1006),$AD$1006:$AU$1006,0)))),"Fix")))</f>
        <v xml:space="preserve"> </v>
      </c>
      <c r="L213" s="4" t="str">
        <f ca="1">IF(OR(INDEX($X$2:$X$1001,MATCH(ROWS($W$2:W213),$W$2:$W$1001,0),1)&gt;=100000,INDEX($AD$1005:$AU$1005,1,MATCH(COLUMNS($AD$1006:AN1006),$AD$1006:$AU$1006,0))&gt;=100000), " ",IF(INDEX($AD$2:$AU$1001,MATCH(ROWS($W$2:W213),$W$2:$W$1001,0),MATCH(COLUMNS($AD$1006:AN1006),$AD$1006:$AU$1006,0)), HYPERLINK("#",""), HYPERLINK(CONCATENATE("#metadata!", ADDRESS(INDEX($Y$2:$Y$1001,MATCH(ROWS($W$2:W213),$W$2:$W$1001,0),0), INDEX($AD$1004:$AU$1004,1,MATCH(COLUMNS($AD$1006:AN1006),$AD$1006:$AU$1006,0)))),"Fix")))</f>
        <v xml:space="preserve"> </v>
      </c>
      <c r="M213" s="4" t="str">
        <f ca="1">IF(OR(INDEX($X$2:$X$1001,MATCH(ROWS($W$2:W213),$W$2:$W$1001,0),1)&gt;=100000,INDEX($AD$1005:$AU$1005,1,MATCH(COLUMNS($AD$1006:AO1006),$AD$1006:$AU$1006,0))&gt;=100000), " ",IF(INDEX($AD$2:$AU$1001,MATCH(ROWS($W$2:W213),$W$2:$W$1001,0),MATCH(COLUMNS($AD$1006:AO1006),$AD$1006:$AU$1006,0)), HYPERLINK("#",""), HYPERLINK(CONCATENATE("#metadata!", ADDRESS(INDEX($Y$2:$Y$1001,MATCH(ROWS($W$2:W213),$W$2:$W$1001,0),0), INDEX($AD$1004:$AU$1004,1,MATCH(COLUMNS($AD$1006:AO1006),$AD$1006:$AU$1006,0)))),"Fix")))</f>
        <v xml:space="preserve"> </v>
      </c>
      <c r="N213" s="4" t="str">
        <f ca="1">IF(OR(INDEX($X$2:$X$1001,MATCH(ROWS($W$2:W213),$W$2:$W$1001,0),1)&gt;=100000,INDEX($AD$1005:$AU$1005,1,MATCH(COLUMNS($AD$1006:AP1006),$AD$1006:$AU$1006,0))&gt;=100000), " ",IF(INDEX($AD$2:$AU$1001,MATCH(ROWS($W$2:W213),$W$2:$W$1001,0),MATCH(COLUMNS($AD$1006:AP1006),$AD$1006:$AU$1006,0)), HYPERLINK("#",""), HYPERLINK(CONCATENATE("#metadata!", ADDRESS(INDEX($Y$2:$Y$1001,MATCH(ROWS($W$2:W213),$W$2:$W$1001,0),0), INDEX($AD$1004:$AU$1004,1,MATCH(COLUMNS($AD$1006:AP1006),$AD$1006:$AU$1006,0)))),"Fix")))</f>
        <v xml:space="preserve"> </v>
      </c>
      <c r="O213" s="4" t="str">
        <f ca="1">IF(OR(INDEX($X$2:$X$1001,MATCH(ROWS($W$2:W213),$W$2:$W$1001,0),1)&gt;=100000,INDEX($AD$1005:$AU$1005,1,MATCH(COLUMNS($AD$1006:AQ1006),$AD$1006:$AU$1006,0))&gt;=100000), " ",IF(INDEX($AD$2:$AU$1001,MATCH(ROWS($W$2:W213),$W$2:$W$1001,0),MATCH(COLUMNS($AD$1006:AQ1006),$AD$1006:$AU$1006,0)), HYPERLINK("#",""), HYPERLINK(CONCATENATE("#metadata!", ADDRESS(INDEX($Y$2:$Y$1001,MATCH(ROWS($W$2:W213),$W$2:$W$1001,0),0), INDEX($AD$1004:$AU$1004,1,MATCH(COLUMNS($AD$1006:AQ1006),$AD$1006:$AU$1006,0)))),"Fix")))</f>
        <v xml:space="preserve"> </v>
      </c>
      <c r="P213" s="4" t="str">
        <f ca="1">IF(OR(INDEX($X$2:$X$1001,MATCH(ROWS($W$2:W213),$W$2:$W$1001,0),1)&gt;=100000,INDEX($AD$1005:$AU$1005,1,MATCH(COLUMNS($AD$1006:AR1006),$AD$1006:$AU$1006,0))&gt;=100000), " ",IF(INDEX($AD$2:$AU$1001,MATCH(ROWS($W$2:W213),$W$2:$W$1001,0),MATCH(COLUMNS($AD$1006:AR1006),$AD$1006:$AU$1006,0)), HYPERLINK("#",""), HYPERLINK(CONCATENATE("#metadata!", ADDRESS(INDEX($Y$2:$Y$1001,MATCH(ROWS($W$2:W213),$W$2:$W$1001,0),0), INDEX($AD$1004:$AU$1004,1,MATCH(COLUMNS($AD$1006:AR1006),$AD$1006:$AU$1006,0)))),"Fix")))</f>
        <v xml:space="preserve"> </v>
      </c>
      <c r="Q213" s="4" t="str">
        <f ca="1">IF(OR(INDEX($X$2:$X$1001,MATCH(ROWS($W$2:W213),$W$2:$W$1001,0),1)&gt;=100000,INDEX($AD$1005:$AU$1005,1,MATCH(COLUMNS($AD$1006:AS1006),$AD$1006:$AU$1006,0))&gt;=100000), " ",IF(INDEX($AD$2:$AU$1001,MATCH(ROWS($W$2:W213),$W$2:$W$1001,0),MATCH(COLUMNS($AD$1006:AS1006),$AD$1006:$AU$1006,0)), HYPERLINK("#",""), HYPERLINK(CONCATENATE("#metadata!", ADDRESS(INDEX($Y$2:$Y$1001,MATCH(ROWS($W$2:W213),$W$2:$W$1001,0),0), INDEX($AD$1004:$AU$1004,1,MATCH(COLUMNS($AD$1006:AS1006),$AD$1006:$AU$1006,0)))),"Fix")))</f>
        <v xml:space="preserve"> </v>
      </c>
      <c r="R213" s="4" t="str">
        <f ca="1">IF(OR(INDEX($X$2:$X$1001,MATCH(ROWS($W$2:W213),$W$2:$W$1001,0),1)&gt;=100000,INDEX($AD$1005:$AU$1005,1,MATCH(COLUMNS($AD$1006:AT1006),$AD$1006:$AU$1006,0))&gt;=100000), " ",IF(INDEX($AD$2:$AU$1001,MATCH(ROWS($W$2:W213),$W$2:$W$1001,0),MATCH(COLUMNS($AD$1006:AT1006),$AD$1006:$AU$1006,0)), HYPERLINK("#",""), HYPERLINK(CONCATENATE("#metadata!", ADDRESS(INDEX($Y$2:$Y$1001,MATCH(ROWS($W$2:W213),$W$2:$W$1001,0),0), INDEX($AD$1004:$AU$1004,1,MATCH(COLUMNS($AD$1006:AT1006),$AD$1006:$AU$1006,0)))),"Fix")))</f>
        <v xml:space="preserve"> </v>
      </c>
      <c r="S213" s="4" t="str">
        <f ca="1">IF(OR(INDEX($X$2:$X$1001,MATCH(ROWS($W$2:W213),$W$2:$W$1001,0),1)&gt;=100000,INDEX($AD$1005:$AU$1005,1,MATCH(COLUMNS($AD$1006:AU1006),$AD$1006:$AU$1006,0))&gt;=100000), " ",IF(INDEX($AD$2:$AU$1001,MATCH(ROWS($W$2:W213),$W$2:$W$1001,0),MATCH(COLUMNS($AD$1006:AU1006),$AD$1006:$AU$1006,0)), HYPERLINK("#",""), HYPERLINK(CONCATENATE("#metadata!", ADDRESS(INDEX($Y$2:$Y$1001,MATCH(ROWS($W$2:W213),$W$2:$W$1001,0),0), INDEX($AD$1004:$AU$1004,1,MATCH(COLUMNS($AD$1006:AU1006),$AD$1006:$AU$1006,0)))),"Fix")))</f>
        <v xml:space="preserve"> </v>
      </c>
      <c r="W213">
        <v>212</v>
      </c>
      <c r="X213">
        <v>100213</v>
      </c>
      <c r="Y213">
        <v>213</v>
      </c>
      <c r="Z213" t="b">
        <f t="shared" si="3"/>
        <v>1</v>
      </c>
      <c r="AA213" t="b">
        <f>COUNTBLANK(metadata!B213:S213)=COLUMNS(metadata!B213:S213)</f>
        <v>1</v>
      </c>
      <c r="AB213" t="str">
        <v/>
      </c>
      <c r="AD213" t="b">
        <f ca="1">AND(IF(metadata!B213="",FALSE,TRUE),COUNTIF(metadata!B:B, metadata!B213) = 1,NOT(ISERROR(SUMPRODUCT(SEARCH(MID(metadata!B213,ROW(INDIRECT("1:"&amp;LEN(metadata!B213))), 1),"0123456789abcdefghijklmnopqrstuvwxyzABCDEFGHIJKLMNOPQRSTUVWXYZ.")))))</f>
        <v>0</v>
      </c>
      <c r="AE213" t="b">
        <f>OR(AND(IF(metadata!C213="",FALSE,TRUE),OR(EXACT(metadata!C213,"not applicable"),EXACT(metadata!C213,"missing: not collected"),EXACT(metadata!C213,"missing: not provided"),EXACT(metadata!C213,"missing: restricted access"))),AND(IF(metadata!C213="",FALSE,ISNUMBER(VALUE(metadata!C213))),metadata!C213&gt;0))</f>
        <v>0</v>
      </c>
      <c r="AF213" t="b">
        <f>AND(IF(metadata!D213="",FALSE,TRUE),EXACT(metadata!D213,"missing: not provided"))</f>
        <v>0</v>
      </c>
      <c r="AG213" t="b">
        <f>AND(IF(metadata!E213="",FALSE,TRUE),EXACT(metadata!E213,"Host-associated"))</f>
        <v>0</v>
      </c>
      <c r="AH213" t="b">
        <f>AND(IF(metadata!F213="",FALSE,TRUE),OR(EXACT(metadata!F213,"Animal"),EXACT(metadata!F213,"Fungus"),EXACT(metadata!F213,"Plant")))</f>
        <v>0</v>
      </c>
      <c r="AI213" t="b">
        <f>AND(IF(metadata!G213="",FALSE,TRUE),OR(EXACT(metadata!G213,"Plant secretion"),EXACT(metadata!G213,"Plant rhizosphere"),EXACT(metadata!G213,"Plant surface"),EXACT(metadata!G213,"Plant corpus"),EXACT(metadata!G213,"Fungus surface"),EXACT(metadata!G213,"Fungus corpus"),EXACT(metadata!G213,"Animal surface"),EXACT(metadata!G213,"Animal proximal gut"),EXACT(metadata!G213,"Animal corpus"),EXACT(metadata!G213,"Animal distal gut"),EXACT(metadata!G213,"Animal secretion")))</f>
        <v>0</v>
      </c>
      <c r="AJ213" t="b">
        <f>OR(AND(IF(metadata!H213="",FALSE,TRUE),OR(EXACT(metadata!H213,"missing: not collected"),EXACT(metadata!H213,"missing: not provided"),EXACT(metadata!H213,"missing: restricted access"))),AND(IF(metadata!H213="",FALSE,TRUE),OR(EXACT(metadata!H213,"organism-associated habitat"),EXACT(metadata!H213,"plant-associated habitat"),EXACT(metadata!H213,"animal-associated habitat"),EXACT(metadata!H213,"insecta-associated habitat"),EXACT(metadata!H213,"mammalia-associated habitat"),EXACT(metadata!H213,"human-associated habitat"),EXACT(metadata!H213,"livestock-associated habitat"))))</f>
        <v>0</v>
      </c>
      <c r="AK213" t="b">
        <f>AND(IF(metadata!I213="",FALSE,TRUE),EXACT(metadata!I213,"host-associated"))</f>
        <v>0</v>
      </c>
      <c r="AL213" t="b">
        <f>OR(AND(IF(metadata!J213="",FALSE,TRUE),OR(EXACT(metadata!J213,"not applicable"),EXACT(metadata!J213,"missing: not collected"),EXACT(metadata!J213,"missing: not provided"),EXACT(metadata!J213,"missing: restricted access"))),AND(IF(metadata!J213="",FALSE,ISNUMBER(VALUE(metadata!J213))),metadata!J213&gt;0))</f>
        <v>0</v>
      </c>
      <c r="AM213" t="b">
        <f>AND(IF(metadata!K213="",FALSE,TRUE),EXACT(metadata!K213,"missing: not provided"))</f>
        <v>0</v>
      </c>
      <c r="AN213" t="b">
        <f>IF(metadata!L213="",FALSE,TRUE)</f>
        <v>0</v>
      </c>
      <c r="AO213" t="b">
        <f>IF(metadata!M213="",FALSE,TRUE)</f>
        <v>0</v>
      </c>
      <c r="AP213" t="b">
        <f>OR(AND(IF(metadata!N213="",FALSE,TRUE),OR(EXACT(metadata!N213,"not applicable"),EXACT(metadata!N213,"missing: not collected"),EXACT(metadata!N213,"missing: not provided"))),AND(IF(metadata!N213="",FALSE,IF(ISERROR(INT(metadata!N213)),FALSE,INT(metadata!N213)=metadata!N213)),metadata!N213&gt;0))</f>
        <v>0</v>
      </c>
      <c r="AQ213" t="b">
        <f>AND(IF(metadata!O213="",FALSE,TRUE),EXACT(metadata!O213,"Not applicable"))</f>
        <v>0</v>
      </c>
      <c r="AR213" t="b">
        <f>OR(AND(IF(metadata!P213="",FALSE,TRUE),OR(EXACT(metadata!P213,"not applicable"),EXACT(metadata!P213,"missing: not collected"),EXACT(metadata!P213,"missing: not provided"),EXACT(metadata!P213,"missing: restricted access"))),IF(metadata!P213="",FALSE,IF(ISERROR(INT(metadata!P213)),FALSE,INT(metadata!P213)=metadata!P213)))</f>
        <v>0</v>
      </c>
      <c r="AS213" t="b">
        <f>AND(IF(metadata!Q213="",FALSE,TRUE),EXACT(metadata!Q213,"Not applicable"))</f>
        <v>0</v>
      </c>
      <c r="AT213" t="b">
        <f>OR(AND(IF(metadata!R213="",FALSE,TRUE),OR(EXACT(metadata!R213,"not applicable"),EXACT(metadata!R213,"missing: not collected"),EXACT(metadata!R213,"missing: not provided"),EXACT(metadata!R213,"missing: restricted access"))),AND(IF(metadata!R213="",FALSE,ISNUMBER(VALUE(metadata!R213))),metadata!R213&gt;0))</f>
        <v>0</v>
      </c>
      <c r="AU213" t="b">
        <f>AND(IF(metadata!S213="",FALSE,TRUE),EXACT(metadata!S213,"missing: not provided"))</f>
        <v>0</v>
      </c>
    </row>
    <row r="214" spans="1:47" x14ac:dyDescent="0.2">
      <c r="A214" s="5" t="str">
        <f ca="1">IF(B214=" "," ",HYPERLINK(CONCATENATE("#metadata!",ADDRESS(INDEX($Y$2:$Y$1001,MATCH(ROWS($W$2:W214),$W$2:$W$1001,0),0),1)),INDEX($AB$2:$AB$1001,MATCH(ROWS($W$2:W214),$W$2:$W$1001,0),0)))</f>
        <v xml:space="preserve"> </v>
      </c>
      <c r="B214" s="4" t="str">
        <f ca="1">IF(OR(INDEX($X$2:$X$1001,MATCH(ROWS($W$2:W214),$W$2:$W$1001,0),1)&gt;=100000,INDEX($AD$1005:$AU$1005,1,MATCH(COLUMNS($AD$1006:AD1006),$AD$1006:$AU$1006,0))&gt;=100000), " ",IF(INDEX($AD$2:$AU$1001,MATCH(ROWS($W$2:W214),$W$2:$W$1001,0),MATCH(COLUMNS($AD$1006:AD1006),$AD$1006:$AU$1006,0)), HYPERLINK("#",""), HYPERLINK(CONCATENATE("#metadata!", ADDRESS(INDEX($Y$2:$Y$1001,MATCH(ROWS($W$2:W214),$W$2:$W$1001,0),0), INDEX($AD$1004:$AU$1004,1,MATCH(COLUMNS($AD$1006:AD1006),$AD$1006:$AU$1006,0)))),"Fix")))</f>
        <v xml:space="preserve"> </v>
      </c>
      <c r="C214" s="4" t="str">
        <f ca="1">IF(OR(INDEX($X$2:$X$1001,MATCH(ROWS($W$2:W214),$W$2:$W$1001,0),1)&gt;=100000,INDEX($AD$1005:$AU$1005,1,MATCH(COLUMNS($AD$1006:AE1006),$AD$1006:$AU$1006,0))&gt;=100000), " ",IF(INDEX($AD$2:$AU$1001,MATCH(ROWS($W$2:W214),$W$2:$W$1001,0),MATCH(COLUMNS($AD$1006:AE1006),$AD$1006:$AU$1006,0)), HYPERLINK("#",""), HYPERLINK(CONCATENATE("#metadata!", ADDRESS(INDEX($Y$2:$Y$1001,MATCH(ROWS($W$2:W214),$W$2:$W$1001,0),0), INDEX($AD$1004:$AU$1004,1,MATCH(COLUMNS($AD$1006:AE1006),$AD$1006:$AU$1006,0)))),"Fix")))</f>
        <v xml:space="preserve"> </v>
      </c>
      <c r="D214" s="4" t="str">
        <f ca="1">IF(OR(INDEX($X$2:$X$1001,MATCH(ROWS($W$2:W214),$W$2:$W$1001,0),1)&gt;=100000,INDEX($AD$1005:$AU$1005,1,MATCH(COLUMNS($AD$1006:AF1006),$AD$1006:$AU$1006,0))&gt;=100000), " ",IF(INDEX($AD$2:$AU$1001,MATCH(ROWS($W$2:W214),$W$2:$W$1001,0),MATCH(COLUMNS($AD$1006:AF1006),$AD$1006:$AU$1006,0)), HYPERLINK("#",""), HYPERLINK(CONCATENATE("#metadata!", ADDRESS(INDEX($Y$2:$Y$1001,MATCH(ROWS($W$2:W214),$W$2:$W$1001,0),0), INDEX($AD$1004:$AU$1004,1,MATCH(COLUMNS($AD$1006:AF1006),$AD$1006:$AU$1006,0)))),"Fix")))</f>
        <v xml:space="preserve"> </v>
      </c>
      <c r="E214" s="4" t="str">
        <f ca="1">IF(OR(INDEX($X$2:$X$1001,MATCH(ROWS($W$2:W214),$W$2:$W$1001,0),1)&gt;=100000,INDEX($AD$1005:$AU$1005,1,MATCH(COLUMNS($AD$1006:AG1006),$AD$1006:$AU$1006,0))&gt;=100000), " ",IF(INDEX($AD$2:$AU$1001,MATCH(ROWS($W$2:W214),$W$2:$W$1001,0),MATCH(COLUMNS($AD$1006:AG1006),$AD$1006:$AU$1006,0)), HYPERLINK("#",""), HYPERLINK(CONCATENATE("#metadata!", ADDRESS(INDEX($Y$2:$Y$1001,MATCH(ROWS($W$2:W214),$W$2:$W$1001,0),0), INDEX($AD$1004:$AU$1004,1,MATCH(COLUMNS($AD$1006:AG1006),$AD$1006:$AU$1006,0)))),"Fix")))</f>
        <v xml:space="preserve"> </v>
      </c>
      <c r="F214" s="4" t="str">
        <f ca="1">IF(OR(INDEX($X$2:$X$1001,MATCH(ROWS($W$2:W214),$W$2:$W$1001,0),1)&gt;=100000,INDEX($AD$1005:$AU$1005,1,MATCH(COLUMNS($AD$1006:AH1006),$AD$1006:$AU$1006,0))&gt;=100000), " ",IF(INDEX($AD$2:$AU$1001,MATCH(ROWS($W$2:W214),$W$2:$W$1001,0),MATCH(COLUMNS($AD$1006:AH1006),$AD$1006:$AU$1006,0)), HYPERLINK("#",""), HYPERLINK(CONCATENATE("#metadata!", ADDRESS(INDEX($Y$2:$Y$1001,MATCH(ROWS($W$2:W214),$W$2:$W$1001,0),0), INDEX($AD$1004:$AU$1004,1,MATCH(COLUMNS($AD$1006:AH1006),$AD$1006:$AU$1006,0)))),"Fix")))</f>
        <v xml:space="preserve"> </v>
      </c>
      <c r="G214" s="4" t="str">
        <f ca="1">IF(OR(INDEX($X$2:$X$1001,MATCH(ROWS($W$2:W214),$W$2:$W$1001,0),1)&gt;=100000,INDEX($AD$1005:$AU$1005,1,MATCH(COLUMNS($AD$1006:AI1006),$AD$1006:$AU$1006,0))&gt;=100000), " ",IF(INDEX($AD$2:$AU$1001,MATCH(ROWS($W$2:W214),$W$2:$W$1001,0),MATCH(COLUMNS($AD$1006:AI1006),$AD$1006:$AU$1006,0)), HYPERLINK("#",""), HYPERLINK(CONCATENATE("#metadata!", ADDRESS(INDEX($Y$2:$Y$1001,MATCH(ROWS($W$2:W214),$W$2:$W$1001,0),0), INDEX($AD$1004:$AU$1004,1,MATCH(COLUMNS($AD$1006:AI1006),$AD$1006:$AU$1006,0)))),"Fix")))</f>
        <v xml:space="preserve"> </v>
      </c>
      <c r="H214" s="4" t="str">
        <f ca="1">IF(OR(INDEX($X$2:$X$1001,MATCH(ROWS($W$2:W214),$W$2:$W$1001,0),1)&gt;=100000,INDEX($AD$1005:$AU$1005,1,MATCH(COLUMNS($AD$1006:AJ1006),$AD$1006:$AU$1006,0))&gt;=100000), " ",IF(INDEX($AD$2:$AU$1001,MATCH(ROWS($W$2:W214),$W$2:$W$1001,0),MATCH(COLUMNS($AD$1006:AJ1006),$AD$1006:$AU$1006,0)), HYPERLINK("#",""), HYPERLINK(CONCATENATE("#metadata!", ADDRESS(INDEX($Y$2:$Y$1001,MATCH(ROWS($W$2:W214),$W$2:$W$1001,0),0), INDEX($AD$1004:$AU$1004,1,MATCH(COLUMNS($AD$1006:AJ1006),$AD$1006:$AU$1006,0)))),"Fix")))</f>
        <v xml:space="preserve"> </v>
      </c>
      <c r="I214" s="4" t="str">
        <f ca="1">IF(OR(INDEX($X$2:$X$1001,MATCH(ROWS($W$2:W214),$W$2:$W$1001,0),1)&gt;=100000,INDEX($AD$1005:$AU$1005,1,MATCH(COLUMNS($AD$1006:AK1006),$AD$1006:$AU$1006,0))&gt;=100000), " ",IF(INDEX($AD$2:$AU$1001,MATCH(ROWS($W$2:W214),$W$2:$W$1001,0),MATCH(COLUMNS($AD$1006:AK1006),$AD$1006:$AU$1006,0)), HYPERLINK("#",""), HYPERLINK(CONCATENATE("#metadata!", ADDRESS(INDEX($Y$2:$Y$1001,MATCH(ROWS($W$2:W214),$W$2:$W$1001,0),0), INDEX($AD$1004:$AU$1004,1,MATCH(COLUMNS($AD$1006:AK1006),$AD$1006:$AU$1006,0)))),"Fix")))</f>
        <v xml:space="preserve"> </v>
      </c>
      <c r="J214" s="4" t="str">
        <f ca="1">IF(OR(INDEX($X$2:$X$1001,MATCH(ROWS($W$2:W214),$W$2:$W$1001,0),1)&gt;=100000,INDEX($AD$1005:$AU$1005,1,MATCH(COLUMNS($AD$1006:AL1006),$AD$1006:$AU$1006,0))&gt;=100000), " ",IF(INDEX($AD$2:$AU$1001,MATCH(ROWS($W$2:W214),$W$2:$W$1001,0),MATCH(COLUMNS($AD$1006:AL1006),$AD$1006:$AU$1006,0)), HYPERLINK("#",""), HYPERLINK(CONCATENATE("#metadata!", ADDRESS(INDEX($Y$2:$Y$1001,MATCH(ROWS($W$2:W214),$W$2:$W$1001,0),0), INDEX($AD$1004:$AU$1004,1,MATCH(COLUMNS($AD$1006:AL1006),$AD$1006:$AU$1006,0)))),"Fix")))</f>
        <v xml:space="preserve"> </v>
      </c>
      <c r="K214" s="4" t="str">
        <f ca="1">IF(OR(INDEX($X$2:$X$1001,MATCH(ROWS($W$2:W214),$W$2:$W$1001,0),1)&gt;=100000,INDEX($AD$1005:$AU$1005,1,MATCH(COLUMNS($AD$1006:AM1006),$AD$1006:$AU$1006,0))&gt;=100000), " ",IF(INDEX($AD$2:$AU$1001,MATCH(ROWS($W$2:W214),$W$2:$W$1001,0),MATCH(COLUMNS($AD$1006:AM1006),$AD$1006:$AU$1006,0)), HYPERLINK("#",""), HYPERLINK(CONCATENATE("#metadata!", ADDRESS(INDEX($Y$2:$Y$1001,MATCH(ROWS($W$2:W214),$W$2:$W$1001,0),0), INDEX($AD$1004:$AU$1004,1,MATCH(COLUMNS($AD$1006:AM1006),$AD$1006:$AU$1006,0)))),"Fix")))</f>
        <v xml:space="preserve"> </v>
      </c>
      <c r="L214" s="4" t="str">
        <f ca="1">IF(OR(INDEX($X$2:$X$1001,MATCH(ROWS($W$2:W214),$W$2:$W$1001,0),1)&gt;=100000,INDEX($AD$1005:$AU$1005,1,MATCH(COLUMNS($AD$1006:AN1006),$AD$1006:$AU$1006,0))&gt;=100000), " ",IF(INDEX($AD$2:$AU$1001,MATCH(ROWS($W$2:W214),$W$2:$W$1001,0),MATCH(COLUMNS($AD$1006:AN1006),$AD$1006:$AU$1006,0)), HYPERLINK("#",""), HYPERLINK(CONCATENATE("#metadata!", ADDRESS(INDEX($Y$2:$Y$1001,MATCH(ROWS($W$2:W214),$W$2:$W$1001,0),0), INDEX($AD$1004:$AU$1004,1,MATCH(COLUMNS($AD$1006:AN1006),$AD$1006:$AU$1006,0)))),"Fix")))</f>
        <v xml:space="preserve"> </v>
      </c>
      <c r="M214" s="4" t="str">
        <f ca="1">IF(OR(INDEX($X$2:$X$1001,MATCH(ROWS($W$2:W214),$W$2:$W$1001,0),1)&gt;=100000,INDEX($AD$1005:$AU$1005,1,MATCH(COLUMNS($AD$1006:AO1006),$AD$1006:$AU$1006,0))&gt;=100000), " ",IF(INDEX($AD$2:$AU$1001,MATCH(ROWS($W$2:W214),$W$2:$W$1001,0),MATCH(COLUMNS($AD$1006:AO1006),$AD$1006:$AU$1006,0)), HYPERLINK("#",""), HYPERLINK(CONCATENATE("#metadata!", ADDRESS(INDEX($Y$2:$Y$1001,MATCH(ROWS($W$2:W214),$W$2:$W$1001,0),0), INDEX($AD$1004:$AU$1004,1,MATCH(COLUMNS($AD$1006:AO1006),$AD$1006:$AU$1006,0)))),"Fix")))</f>
        <v xml:space="preserve"> </v>
      </c>
      <c r="N214" s="4" t="str">
        <f ca="1">IF(OR(INDEX($X$2:$X$1001,MATCH(ROWS($W$2:W214),$W$2:$W$1001,0),1)&gt;=100000,INDEX($AD$1005:$AU$1005,1,MATCH(COLUMNS($AD$1006:AP1006),$AD$1006:$AU$1006,0))&gt;=100000), " ",IF(INDEX($AD$2:$AU$1001,MATCH(ROWS($W$2:W214),$W$2:$W$1001,0),MATCH(COLUMNS($AD$1006:AP1006),$AD$1006:$AU$1006,0)), HYPERLINK("#",""), HYPERLINK(CONCATENATE("#metadata!", ADDRESS(INDEX($Y$2:$Y$1001,MATCH(ROWS($W$2:W214),$W$2:$W$1001,0),0), INDEX($AD$1004:$AU$1004,1,MATCH(COLUMNS($AD$1006:AP1006),$AD$1006:$AU$1006,0)))),"Fix")))</f>
        <v xml:space="preserve"> </v>
      </c>
      <c r="O214" s="4" t="str">
        <f ca="1">IF(OR(INDEX($X$2:$X$1001,MATCH(ROWS($W$2:W214),$W$2:$W$1001,0),1)&gt;=100000,INDEX($AD$1005:$AU$1005,1,MATCH(COLUMNS($AD$1006:AQ1006),$AD$1006:$AU$1006,0))&gt;=100000), " ",IF(INDEX($AD$2:$AU$1001,MATCH(ROWS($W$2:W214),$W$2:$W$1001,0),MATCH(COLUMNS($AD$1006:AQ1006),$AD$1006:$AU$1006,0)), HYPERLINK("#",""), HYPERLINK(CONCATENATE("#metadata!", ADDRESS(INDEX($Y$2:$Y$1001,MATCH(ROWS($W$2:W214),$W$2:$W$1001,0),0), INDEX($AD$1004:$AU$1004,1,MATCH(COLUMNS($AD$1006:AQ1006),$AD$1006:$AU$1006,0)))),"Fix")))</f>
        <v xml:space="preserve"> </v>
      </c>
      <c r="P214" s="4" t="str">
        <f ca="1">IF(OR(INDEX($X$2:$X$1001,MATCH(ROWS($W$2:W214),$W$2:$W$1001,0),1)&gt;=100000,INDEX($AD$1005:$AU$1005,1,MATCH(COLUMNS($AD$1006:AR1006),$AD$1006:$AU$1006,0))&gt;=100000), " ",IF(INDEX($AD$2:$AU$1001,MATCH(ROWS($W$2:W214),$W$2:$W$1001,0),MATCH(COLUMNS($AD$1006:AR1006),$AD$1006:$AU$1006,0)), HYPERLINK("#",""), HYPERLINK(CONCATENATE("#metadata!", ADDRESS(INDEX($Y$2:$Y$1001,MATCH(ROWS($W$2:W214),$W$2:$W$1001,0),0), INDEX($AD$1004:$AU$1004,1,MATCH(COLUMNS($AD$1006:AR1006),$AD$1006:$AU$1006,0)))),"Fix")))</f>
        <v xml:space="preserve"> </v>
      </c>
      <c r="Q214" s="4" t="str">
        <f ca="1">IF(OR(INDEX($X$2:$X$1001,MATCH(ROWS($W$2:W214),$W$2:$W$1001,0),1)&gt;=100000,INDEX($AD$1005:$AU$1005,1,MATCH(COLUMNS($AD$1006:AS1006),$AD$1006:$AU$1006,0))&gt;=100000), " ",IF(INDEX($AD$2:$AU$1001,MATCH(ROWS($W$2:W214),$W$2:$W$1001,0),MATCH(COLUMNS($AD$1006:AS1006),$AD$1006:$AU$1006,0)), HYPERLINK("#",""), HYPERLINK(CONCATENATE("#metadata!", ADDRESS(INDEX($Y$2:$Y$1001,MATCH(ROWS($W$2:W214),$W$2:$W$1001,0),0), INDEX($AD$1004:$AU$1004,1,MATCH(COLUMNS($AD$1006:AS1006),$AD$1006:$AU$1006,0)))),"Fix")))</f>
        <v xml:space="preserve"> </v>
      </c>
      <c r="R214" s="4" t="str">
        <f ca="1">IF(OR(INDEX($X$2:$X$1001,MATCH(ROWS($W$2:W214),$W$2:$W$1001,0),1)&gt;=100000,INDEX($AD$1005:$AU$1005,1,MATCH(COLUMNS($AD$1006:AT1006),$AD$1006:$AU$1006,0))&gt;=100000), " ",IF(INDEX($AD$2:$AU$1001,MATCH(ROWS($W$2:W214),$W$2:$W$1001,0),MATCH(COLUMNS($AD$1006:AT1006),$AD$1006:$AU$1006,0)), HYPERLINK("#",""), HYPERLINK(CONCATENATE("#metadata!", ADDRESS(INDEX($Y$2:$Y$1001,MATCH(ROWS($W$2:W214),$W$2:$W$1001,0),0), INDEX($AD$1004:$AU$1004,1,MATCH(COLUMNS($AD$1006:AT1006),$AD$1006:$AU$1006,0)))),"Fix")))</f>
        <v xml:space="preserve"> </v>
      </c>
      <c r="S214" s="4" t="str">
        <f ca="1">IF(OR(INDEX($X$2:$X$1001,MATCH(ROWS($W$2:W214),$W$2:$W$1001,0),1)&gt;=100000,INDEX($AD$1005:$AU$1005,1,MATCH(COLUMNS($AD$1006:AU1006),$AD$1006:$AU$1006,0))&gt;=100000), " ",IF(INDEX($AD$2:$AU$1001,MATCH(ROWS($W$2:W214),$W$2:$W$1001,0),MATCH(COLUMNS($AD$1006:AU1006),$AD$1006:$AU$1006,0)), HYPERLINK("#",""), HYPERLINK(CONCATENATE("#metadata!", ADDRESS(INDEX($Y$2:$Y$1001,MATCH(ROWS($W$2:W214),$W$2:$W$1001,0),0), INDEX($AD$1004:$AU$1004,1,MATCH(COLUMNS($AD$1006:AU1006),$AD$1006:$AU$1006,0)))),"Fix")))</f>
        <v xml:space="preserve"> </v>
      </c>
      <c r="W214">
        <v>213</v>
      </c>
      <c r="X214">
        <v>100214</v>
      </c>
      <c r="Y214">
        <v>214</v>
      </c>
      <c r="Z214" t="b">
        <f t="shared" si="3"/>
        <v>1</v>
      </c>
      <c r="AA214" t="b">
        <f>COUNTBLANK(metadata!B214:S214)=COLUMNS(metadata!B214:S214)</f>
        <v>1</v>
      </c>
      <c r="AB214" t="str">
        <v/>
      </c>
      <c r="AD214" t="b">
        <f ca="1">AND(IF(metadata!B214="",FALSE,TRUE),COUNTIF(metadata!B:B, metadata!B214) = 1,NOT(ISERROR(SUMPRODUCT(SEARCH(MID(metadata!B214,ROW(INDIRECT("1:"&amp;LEN(metadata!B214))), 1),"0123456789abcdefghijklmnopqrstuvwxyzABCDEFGHIJKLMNOPQRSTUVWXYZ.")))))</f>
        <v>0</v>
      </c>
      <c r="AE214" t="b">
        <f>OR(AND(IF(metadata!C214="",FALSE,TRUE),OR(EXACT(metadata!C214,"not applicable"),EXACT(metadata!C214,"missing: not collected"),EXACT(metadata!C214,"missing: not provided"),EXACT(metadata!C214,"missing: restricted access"))),AND(IF(metadata!C214="",FALSE,ISNUMBER(VALUE(metadata!C214))),metadata!C214&gt;0))</f>
        <v>0</v>
      </c>
      <c r="AF214" t="b">
        <f>AND(IF(metadata!D214="",FALSE,TRUE),EXACT(metadata!D214,"missing: not provided"))</f>
        <v>0</v>
      </c>
      <c r="AG214" t="b">
        <f>AND(IF(metadata!E214="",FALSE,TRUE),EXACT(metadata!E214,"Host-associated"))</f>
        <v>0</v>
      </c>
      <c r="AH214" t="b">
        <f>AND(IF(metadata!F214="",FALSE,TRUE),OR(EXACT(metadata!F214,"Animal"),EXACT(metadata!F214,"Fungus"),EXACT(metadata!F214,"Plant")))</f>
        <v>0</v>
      </c>
      <c r="AI214" t="b">
        <f>AND(IF(metadata!G214="",FALSE,TRUE),OR(EXACT(metadata!G214,"Plant secretion"),EXACT(metadata!G214,"Plant rhizosphere"),EXACT(metadata!G214,"Plant surface"),EXACT(metadata!G214,"Plant corpus"),EXACT(metadata!G214,"Fungus surface"),EXACT(metadata!G214,"Fungus corpus"),EXACT(metadata!G214,"Animal surface"),EXACT(metadata!G214,"Animal proximal gut"),EXACT(metadata!G214,"Animal corpus"),EXACT(metadata!G214,"Animal distal gut"),EXACT(metadata!G214,"Animal secretion")))</f>
        <v>0</v>
      </c>
      <c r="AJ214" t="b">
        <f>OR(AND(IF(metadata!H214="",FALSE,TRUE),OR(EXACT(metadata!H214,"missing: not collected"),EXACT(metadata!H214,"missing: not provided"),EXACT(metadata!H214,"missing: restricted access"))),AND(IF(metadata!H214="",FALSE,TRUE),OR(EXACT(metadata!H214,"organism-associated habitat"),EXACT(metadata!H214,"plant-associated habitat"),EXACT(metadata!H214,"animal-associated habitat"),EXACT(metadata!H214,"insecta-associated habitat"),EXACT(metadata!H214,"mammalia-associated habitat"),EXACT(metadata!H214,"human-associated habitat"),EXACT(metadata!H214,"livestock-associated habitat"))))</f>
        <v>0</v>
      </c>
      <c r="AK214" t="b">
        <f>AND(IF(metadata!I214="",FALSE,TRUE),EXACT(metadata!I214,"host-associated"))</f>
        <v>0</v>
      </c>
      <c r="AL214" t="b">
        <f>OR(AND(IF(metadata!J214="",FALSE,TRUE),OR(EXACT(metadata!J214,"not applicable"),EXACT(metadata!J214,"missing: not collected"),EXACT(metadata!J214,"missing: not provided"),EXACT(metadata!J214,"missing: restricted access"))),AND(IF(metadata!J214="",FALSE,ISNUMBER(VALUE(metadata!J214))),metadata!J214&gt;0))</f>
        <v>0</v>
      </c>
      <c r="AM214" t="b">
        <f>AND(IF(metadata!K214="",FALSE,TRUE),EXACT(metadata!K214,"missing: not provided"))</f>
        <v>0</v>
      </c>
      <c r="AN214" t="b">
        <f>IF(metadata!L214="",FALSE,TRUE)</f>
        <v>0</v>
      </c>
      <c r="AO214" t="b">
        <f>IF(metadata!M214="",FALSE,TRUE)</f>
        <v>0</v>
      </c>
      <c r="AP214" t="b">
        <f>OR(AND(IF(metadata!N214="",FALSE,TRUE),OR(EXACT(metadata!N214,"not applicable"),EXACT(metadata!N214,"missing: not collected"),EXACT(metadata!N214,"missing: not provided"))),AND(IF(metadata!N214="",FALSE,IF(ISERROR(INT(metadata!N214)),FALSE,INT(metadata!N214)=metadata!N214)),metadata!N214&gt;0))</f>
        <v>0</v>
      </c>
      <c r="AQ214" t="b">
        <f>AND(IF(metadata!O214="",FALSE,TRUE),EXACT(metadata!O214,"Not applicable"))</f>
        <v>0</v>
      </c>
      <c r="AR214" t="b">
        <f>OR(AND(IF(metadata!P214="",FALSE,TRUE),OR(EXACT(metadata!P214,"not applicable"),EXACT(metadata!P214,"missing: not collected"),EXACT(metadata!P214,"missing: not provided"),EXACT(metadata!P214,"missing: restricted access"))),IF(metadata!P214="",FALSE,IF(ISERROR(INT(metadata!P214)),FALSE,INT(metadata!P214)=metadata!P214)))</f>
        <v>0</v>
      </c>
      <c r="AS214" t="b">
        <f>AND(IF(metadata!Q214="",FALSE,TRUE),EXACT(metadata!Q214,"Not applicable"))</f>
        <v>0</v>
      </c>
      <c r="AT214" t="b">
        <f>OR(AND(IF(metadata!R214="",FALSE,TRUE),OR(EXACT(metadata!R214,"not applicable"),EXACT(metadata!R214,"missing: not collected"),EXACT(metadata!R214,"missing: not provided"),EXACT(metadata!R214,"missing: restricted access"))),AND(IF(metadata!R214="",FALSE,ISNUMBER(VALUE(metadata!R214))),metadata!R214&gt;0))</f>
        <v>0</v>
      </c>
      <c r="AU214" t="b">
        <f>AND(IF(metadata!S214="",FALSE,TRUE),EXACT(metadata!S214,"missing: not provided"))</f>
        <v>0</v>
      </c>
    </row>
    <row r="215" spans="1:47" x14ac:dyDescent="0.2">
      <c r="A215" s="5" t="str">
        <f ca="1">IF(B215=" "," ",HYPERLINK(CONCATENATE("#metadata!",ADDRESS(INDEX($Y$2:$Y$1001,MATCH(ROWS($W$2:W215),$W$2:$W$1001,0),0),1)),INDEX($AB$2:$AB$1001,MATCH(ROWS($W$2:W215),$W$2:$W$1001,0),0)))</f>
        <v xml:space="preserve"> </v>
      </c>
      <c r="B215" s="4" t="str">
        <f ca="1">IF(OR(INDEX($X$2:$X$1001,MATCH(ROWS($W$2:W215),$W$2:$W$1001,0),1)&gt;=100000,INDEX($AD$1005:$AU$1005,1,MATCH(COLUMNS($AD$1006:AD1006),$AD$1006:$AU$1006,0))&gt;=100000), " ",IF(INDEX($AD$2:$AU$1001,MATCH(ROWS($W$2:W215),$W$2:$W$1001,0),MATCH(COLUMNS($AD$1006:AD1006),$AD$1006:$AU$1006,0)), HYPERLINK("#",""), HYPERLINK(CONCATENATE("#metadata!", ADDRESS(INDEX($Y$2:$Y$1001,MATCH(ROWS($W$2:W215),$W$2:$W$1001,0),0), INDEX($AD$1004:$AU$1004,1,MATCH(COLUMNS($AD$1006:AD1006),$AD$1006:$AU$1006,0)))),"Fix")))</f>
        <v xml:space="preserve"> </v>
      </c>
      <c r="C215" s="4" t="str">
        <f ca="1">IF(OR(INDEX($X$2:$X$1001,MATCH(ROWS($W$2:W215),$W$2:$W$1001,0),1)&gt;=100000,INDEX($AD$1005:$AU$1005,1,MATCH(COLUMNS($AD$1006:AE1006),$AD$1006:$AU$1006,0))&gt;=100000), " ",IF(INDEX($AD$2:$AU$1001,MATCH(ROWS($W$2:W215),$W$2:$W$1001,0),MATCH(COLUMNS($AD$1006:AE1006),$AD$1006:$AU$1006,0)), HYPERLINK("#",""), HYPERLINK(CONCATENATE("#metadata!", ADDRESS(INDEX($Y$2:$Y$1001,MATCH(ROWS($W$2:W215),$W$2:$W$1001,0),0), INDEX($AD$1004:$AU$1004,1,MATCH(COLUMNS($AD$1006:AE1006),$AD$1006:$AU$1006,0)))),"Fix")))</f>
        <v xml:space="preserve"> </v>
      </c>
      <c r="D215" s="4" t="str">
        <f ca="1">IF(OR(INDEX($X$2:$X$1001,MATCH(ROWS($W$2:W215),$W$2:$W$1001,0),1)&gt;=100000,INDEX($AD$1005:$AU$1005,1,MATCH(COLUMNS($AD$1006:AF1006),$AD$1006:$AU$1006,0))&gt;=100000), " ",IF(INDEX($AD$2:$AU$1001,MATCH(ROWS($W$2:W215),$W$2:$W$1001,0),MATCH(COLUMNS($AD$1006:AF1006),$AD$1006:$AU$1006,0)), HYPERLINK("#",""), HYPERLINK(CONCATENATE("#metadata!", ADDRESS(INDEX($Y$2:$Y$1001,MATCH(ROWS($W$2:W215),$W$2:$W$1001,0),0), INDEX($AD$1004:$AU$1004,1,MATCH(COLUMNS($AD$1006:AF1006),$AD$1006:$AU$1006,0)))),"Fix")))</f>
        <v xml:space="preserve"> </v>
      </c>
      <c r="E215" s="4" t="str">
        <f ca="1">IF(OR(INDEX($X$2:$X$1001,MATCH(ROWS($W$2:W215),$W$2:$W$1001,0),1)&gt;=100000,INDEX($AD$1005:$AU$1005,1,MATCH(COLUMNS($AD$1006:AG1006),$AD$1006:$AU$1006,0))&gt;=100000), " ",IF(INDEX($AD$2:$AU$1001,MATCH(ROWS($W$2:W215),$W$2:$W$1001,0),MATCH(COLUMNS($AD$1006:AG1006),$AD$1006:$AU$1006,0)), HYPERLINK("#",""), HYPERLINK(CONCATENATE("#metadata!", ADDRESS(INDEX($Y$2:$Y$1001,MATCH(ROWS($W$2:W215),$W$2:$W$1001,0),0), INDEX($AD$1004:$AU$1004,1,MATCH(COLUMNS($AD$1006:AG1006),$AD$1006:$AU$1006,0)))),"Fix")))</f>
        <v xml:space="preserve"> </v>
      </c>
      <c r="F215" s="4" t="str">
        <f ca="1">IF(OR(INDEX($X$2:$X$1001,MATCH(ROWS($W$2:W215),$W$2:$W$1001,0),1)&gt;=100000,INDEX($AD$1005:$AU$1005,1,MATCH(COLUMNS($AD$1006:AH1006),$AD$1006:$AU$1006,0))&gt;=100000), " ",IF(INDEX($AD$2:$AU$1001,MATCH(ROWS($W$2:W215),$W$2:$W$1001,0),MATCH(COLUMNS($AD$1006:AH1006),$AD$1006:$AU$1006,0)), HYPERLINK("#",""), HYPERLINK(CONCATENATE("#metadata!", ADDRESS(INDEX($Y$2:$Y$1001,MATCH(ROWS($W$2:W215),$W$2:$W$1001,0),0), INDEX($AD$1004:$AU$1004,1,MATCH(COLUMNS($AD$1006:AH1006),$AD$1006:$AU$1006,0)))),"Fix")))</f>
        <v xml:space="preserve"> </v>
      </c>
      <c r="G215" s="4" t="str">
        <f ca="1">IF(OR(INDEX($X$2:$X$1001,MATCH(ROWS($W$2:W215),$W$2:$W$1001,0),1)&gt;=100000,INDEX($AD$1005:$AU$1005,1,MATCH(COLUMNS($AD$1006:AI1006),$AD$1006:$AU$1006,0))&gt;=100000), " ",IF(INDEX($AD$2:$AU$1001,MATCH(ROWS($W$2:W215),$W$2:$W$1001,0),MATCH(COLUMNS($AD$1006:AI1006),$AD$1006:$AU$1006,0)), HYPERLINK("#",""), HYPERLINK(CONCATENATE("#metadata!", ADDRESS(INDEX($Y$2:$Y$1001,MATCH(ROWS($W$2:W215),$W$2:$W$1001,0),0), INDEX($AD$1004:$AU$1004,1,MATCH(COLUMNS($AD$1006:AI1006),$AD$1006:$AU$1006,0)))),"Fix")))</f>
        <v xml:space="preserve"> </v>
      </c>
      <c r="H215" s="4" t="str">
        <f ca="1">IF(OR(INDEX($X$2:$X$1001,MATCH(ROWS($W$2:W215),$W$2:$W$1001,0),1)&gt;=100000,INDEX($AD$1005:$AU$1005,1,MATCH(COLUMNS($AD$1006:AJ1006),$AD$1006:$AU$1006,0))&gt;=100000), " ",IF(INDEX($AD$2:$AU$1001,MATCH(ROWS($W$2:W215),$W$2:$W$1001,0),MATCH(COLUMNS($AD$1006:AJ1006),$AD$1006:$AU$1006,0)), HYPERLINK("#",""), HYPERLINK(CONCATENATE("#metadata!", ADDRESS(INDEX($Y$2:$Y$1001,MATCH(ROWS($W$2:W215),$W$2:$W$1001,0),0), INDEX($AD$1004:$AU$1004,1,MATCH(COLUMNS($AD$1006:AJ1006),$AD$1006:$AU$1006,0)))),"Fix")))</f>
        <v xml:space="preserve"> </v>
      </c>
      <c r="I215" s="4" t="str">
        <f ca="1">IF(OR(INDEX($X$2:$X$1001,MATCH(ROWS($W$2:W215),$W$2:$W$1001,0),1)&gt;=100000,INDEX($AD$1005:$AU$1005,1,MATCH(COLUMNS($AD$1006:AK1006),$AD$1006:$AU$1006,0))&gt;=100000), " ",IF(INDEX($AD$2:$AU$1001,MATCH(ROWS($W$2:W215),$W$2:$W$1001,0),MATCH(COLUMNS($AD$1006:AK1006),$AD$1006:$AU$1006,0)), HYPERLINK("#",""), HYPERLINK(CONCATENATE("#metadata!", ADDRESS(INDEX($Y$2:$Y$1001,MATCH(ROWS($W$2:W215),$W$2:$W$1001,0),0), INDEX($AD$1004:$AU$1004,1,MATCH(COLUMNS($AD$1006:AK1006),$AD$1006:$AU$1006,0)))),"Fix")))</f>
        <v xml:space="preserve"> </v>
      </c>
      <c r="J215" s="4" t="str">
        <f ca="1">IF(OR(INDEX($X$2:$X$1001,MATCH(ROWS($W$2:W215),$W$2:$W$1001,0),1)&gt;=100000,INDEX($AD$1005:$AU$1005,1,MATCH(COLUMNS($AD$1006:AL1006),$AD$1006:$AU$1006,0))&gt;=100000), " ",IF(INDEX($AD$2:$AU$1001,MATCH(ROWS($W$2:W215),$W$2:$W$1001,0),MATCH(COLUMNS($AD$1006:AL1006),$AD$1006:$AU$1006,0)), HYPERLINK("#",""), HYPERLINK(CONCATENATE("#metadata!", ADDRESS(INDEX($Y$2:$Y$1001,MATCH(ROWS($W$2:W215),$W$2:$W$1001,0),0), INDEX($AD$1004:$AU$1004,1,MATCH(COLUMNS($AD$1006:AL1006),$AD$1006:$AU$1006,0)))),"Fix")))</f>
        <v xml:space="preserve"> </v>
      </c>
      <c r="K215" s="4" t="str">
        <f ca="1">IF(OR(INDEX($X$2:$X$1001,MATCH(ROWS($W$2:W215),$W$2:$W$1001,0),1)&gt;=100000,INDEX($AD$1005:$AU$1005,1,MATCH(COLUMNS($AD$1006:AM1006),$AD$1006:$AU$1006,0))&gt;=100000), " ",IF(INDEX($AD$2:$AU$1001,MATCH(ROWS($W$2:W215),$W$2:$W$1001,0),MATCH(COLUMNS($AD$1006:AM1006),$AD$1006:$AU$1006,0)), HYPERLINK("#",""), HYPERLINK(CONCATENATE("#metadata!", ADDRESS(INDEX($Y$2:$Y$1001,MATCH(ROWS($W$2:W215),$W$2:$W$1001,0),0), INDEX($AD$1004:$AU$1004,1,MATCH(COLUMNS($AD$1006:AM1006),$AD$1006:$AU$1006,0)))),"Fix")))</f>
        <v xml:space="preserve"> </v>
      </c>
      <c r="L215" s="4" t="str">
        <f ca="1">IF(OR(INDEX($X$2:$X$1001,MATCH(ROWS($W$2:W215),$W$2:$W$1001,0),1)&gt;=100000,INDEX($AD$1005:$AU$1005,1,MATCH(COLUMNS($AD$1006:AN1006),$AD$1006:$AU$1006,0))&gt;=100000), " ",IF(INDEX($AD$2:$AU$1001,MATCH(ROWS($W$2:W215),$W$2:$W$1001,0),MATCH(COLUMNS($AD$1006:AN1006),$AD$1006:$AU$1006,0)), HYPERLINK("#",""), HYPERLINK(CONCATENATE("#metadata!", ADDRESS(INDEX($Y$2:$Y$1001,MATCH(ROWS($W$2:W215),$W$2:$W$1001,0),0), INDEX($AD$1004:$AU$1004,1,MATCH(COLUMNS($AD$1006:AN1006),$AD$1006:$AU$1006,0)))),"Fix")))</f>
        <v xml:space="preserve"> </v>
      </c>
      <c r="M215" s="4" t="str">
        <f ca="1">IF(OR(INDEX($X$2:$X$1001,MATCH(ROWS($W$2:W215),$W$2:$W$1001,0),1)&gt;=100000,INDEX($AD$1005:$AU$1005,1,MATCH(COLUMNS($AD$1006:AO1006),$AD$1006:$AU$1006,0))&gt;=100000), " ",IF(INDEX($AD$2:$AU$1001,MATCH(ROWS($W$2:W215),$W$2:$W$1001,0),MATCH(COLUMNS($AD$1006:AO1006),$AD$1006:$AU$1006,0)), HYPERLINK("#",""), HYPERLINK(CONCATENATE("#metadata!", ADDRESS(INDEX($Y$2:$Y$1001,MATCH(ROWS($W$2:W215),$W$2:$W$1001,0),0), INDEX($AD$1004:$AU$1004,1,MATCH(COLUMNS($AD$1006:AO1006),$AD$1006:$AU$1006,0)))),"Fix")))</f>
        <v xml:space="preserve"> </v>
      </c>
      <c r="N215" s="4" t="str">
        <f ca="1">IF(OR(INDEX($X$2:$X$1001,MATCH(ROWS($W$2:W215),$W$2:$W$1001,0),1)&gt;=100000,INDEX($AD$1005:$AU$1005,1,MATCH(COLUMNS($AD$1006:AP1006),$AD$1006:$AU$1006,0))&gt;=100000), " ",IF(INDEX($AD$2:$AU$1001,MATCH(ROWS($W$2:W215),$W$2:$W$1001,0),MATCH(COLUMNS($AD$1006:AP1006),$AD$1006:$AU$1006,0)), HYPERLINK("#",""), HYPERLINK(CONCATENATE("#metadata!", ADDRESS(INDEX($Y$2:$Y$1001,MATCH(ROWS($W$2:W215),$W$2:$W$1001,0),0), INDEX($AD$1004:$AU$1004,1,MATCH(COLUMNS($AD$1006:AP1006),$AD$1006:$AU$1006,0)))),"Fix")))</f>
        <v xml:space="preserve"> </v>
      </c>
      <c r="O215" s="4" t="str">
        <f ca="1">IF(OR(INDEX($X$2:$X$1001,MATCH(ROWS($W$2:W215),$W$2:$W$1001,0),1)&gt;=100000,INDEX($AD$1005:$AU$1005,1,MATCH(COLUMNS($AD$1006:AQ1006),$AD$1006:$AU$1006,0))&gt;=100000), " ",IF(INDEX($AD$2:$AU$1001,MATCH(ROWS($W$2:W215),$W$2:$W$1001,0),MATCH(COLUMNS($AD$1006:AQ1006),$AD$1006:$AU$1006,0)), HYPERLINK("#",""), HYPERLINK(CONCATENATE("#metadata!", ADDRESS(INDEX($Y$2:$Y$1001,MATCH(ROWS($W$2:W215),$W$2:$W$1001,0),0), INDEX($AD$1004:$AU$1004,1,MATCH(COLUMNS($AD$1006:AQ1006),$AD$1006:$AU$1006,0)))),"Fix")))</f>
        <v xml:space="preserve"> </v>
      </c>
      <c r="P215" s="4" t="str">
        <f ca="1">IF(OR(INDEX($X$2:$X$1001,MATCH(ROWS($W$2:W215),$W$2:$W$1001,0),1)&gt;=100000,INDEX($AD$1005:$AU$1005,1,MATCH(COLUMNS($AD$1006:AR1006),$AD$1006:$AU$1006,0))&gt;=100000), " ",IF(INDEX($AD$2:$AU$1001,MATCH(ROWS($W$2:W215),$W$2:$W$1001,0),MATCH(COLUMNS($AD$1006:AR1006),$AD$1006:$AU$1006,0)), HYPERLINK("#",""), HYPERLINK(CONCATENATE("#metadata!", ADDRESS(INDEX($Y$2:$Y$1001,MATCH(ROWS($W$2:W215),$W$2:$W$1001,0),0), INDEX($AD$1004:$AU$1004,1,MATCH(COLUMNS($AD$1006:AR1006),$AD$1006:$AU$1006,0)))),"Fix")))</f>
        <v xml:space="preserve"> </v>
      </c>
      <c r="Q215" s="4" t="str">
        <f ca="1">IF(OR(INDEX($X$2:$X$1001,MATCH(ROWS($W$2:W215),$W$2:$W$1001,0),1)&gt;=100000,INDEX($AD$1005:$AU$1005,1,MATCH(COLUMNS($AD$1006:AS1006),$AD$1006:$AU$1006,0))&gt;=100000), " ",IF(INDEX($AD$2:$AU$1001,MATCH(ROWS($W$2:W215),$W$2:$W$1001,0),MATCH(COLUMNS($AD$1006:AS1006),$AD$1006:$AU$1006,0)), HYPERLINK("#",""), HYPERLINK(CONCATENATE("#metadata!", ADDRESS(INDEX($Y$2:$Y$1001,MATCH(ROWS($W$2:W215),$W$2:$W$1001,0),0), INDEX($AD$1004:$AU$1004,1,MATCH(COLUMNS($AD$1006:AS1006),$AD$1006:$AU$1006,0)))),"Fix")))</f>
        <v xml:space="preserve"> </v>
      </c>
      <c r="R215" s="4" t="str">
        <f ca="1">IF(OR(INDEX($X$2:$X$1001,MATCH(ROWS($W$2:W215),$W$2:$W$1001,0),1)&gt;=100000,INDEX($AD$1005:$AU$1005,1,MATCH(COLUMNS($AD$1006:AT1006),$AD$1006:$AU$1006,0))&gt;=100000), " ",IF(INDEX($AD$2:$AU$1001,MATCH(ROWS($W$2:W215),$W$2:$W$1001,0),MATCH(COLUMNS($AD$1006:AT1006),$AD$1006:$AU$1006,0)), HYPERLINK("#",""), HYPERLINK(CONCATENATE("#metadata!", ADDRESS(INDEX($Y$2:$Y$1001,MATCH(ROWS($W$2:W215),$W$2:$W$1001,0),0), INDEX($AD$1004:$AU$1004,1,MATCH(COLUMNS($AD$1006:AT1006),$AD$1006:$AU$1006,0)))),"Fix")))</f>
        <v xml:space="preserve"> </v>
      </c>
      <c r="S215" s="4" t="str">
        <f ca="1">IF(OR(INDEX($X$2:$X$1001,MATCH(ROWS($W$2:W215),$W$2:$W$1001,0),1)&gt;=100000,INDEX($AD$1005:$AU$1005,1,MATCH(COLUMNS($AD$1006:AU1006),$AD$1006:$AU$1006,0))&gt;=100000), " ",IF(INDEX($AD$2:$AU$1001,MATCH(ROWS($W$2:W215),$W$2:$W$1001,0),MATCH(COLUMNS($AD$1006:AU1006),$AD$1006:$AU$1006,0)), HYPERLINK("#",""), HYPERLINK(CONCATENATE("#metadata!", ADDRESS(INDEX($Y$2:$Y$1001,MATCH(ROWS($W$2:W215),$W$2:$W$1001,0),0), INDEX($AD$1004:$AU$1004,1,MATCH(COLUMNS($AD$1006:AU1006),$AD$1006:$AU$1006,0)))),"Fix")))</f>
        <v xml:space="preserve"> </v>
      </c>
      <c r="W215">
        <v>214</v>
      </c>
      <c r="X215">
        <v>100215</v>
      </c>
      <c r="Y215">
        <v>215</v>
      </c>
      <c r="Z215" t="b">
        <f t="shared" si="3"/>
        <v>1</v>
      </c>
      <c r="AA215" t="b">
        <f>COUNTBLANK(metadata!B215:S215)=COLUMNS(metadata!B215:S215)</f>
        <v>1</v>
      </c>
      <c r="AB215" t="str">
        <v/>
      </c>
      <c r="AD215" t="b">
        <f ca="1">AND(IF(metadata!B215="",FALSE,TRUE),COUNTIF(metadata!B:B, metadata!B215) = 1,NOT(ISERROR(SUMPRODUCT(SEARCH(MID(metadata!B215,ROW(INDIRECT("1:"&amp;LEN(metadata!B215))), 1),"0123456789abcdefghijklmnopqrstuvwxyzABCDEFGHIJKLMNOPQRSTUVWXYZ.")))))</f>
        <v>0</v>
      </c>
      <c r="AE215" t="b">
        <f>OR(AND(IF(metadata!C215="",FALSE,TRUE),OR(EXACT(metadata!C215,"not applicable"),EXACT(metadata!C215,"missing: not collected"),EXACT(metadata!C215,"missing: not provided"),EXACT(metadata!C215,"missing: restricted access"))),AND(IF(metadata!C215="",FALSE,ISNUMBER(VALUE(metadata!C215))),metadata!C215&gt;0))</f>
        <v>0</v>
      </c>
      <c r="AF215" t="b">
        <f>AND(IF(metadata!D215="",FALSE,TRUE),EXACT(metadata!D215,"missing: not provided"))</f>
        <v>0</v>
      </c>
      <c r="AG215" t="b">
        <f>AND(IF(metadata!E215="",FALSE,TRUE),EXACT(metadata!E215,"Host-associated"))</f>
        <v>0</v>
      </c>
      <c r="AH215" t="b">
        <f>AND(IF(metadata!F215="",FALSE,TRUE),OR(EXACT(metadata!F215,"Animal"),EXACT(metadata!F215,"Fungus"),EXACT(metadata!F215,"Plant")))</f>
        <v>0</v>
      </c>
      <c r="AI215" t="b">
        <f>AND(IF(metadata!G215="",FALSE,TRUE),OR(EXACT(metadata!G215,"Plant secretion"),EXACT(metadata!G215,"Plant rhizosphere"),EXACT(metadata!G215,"Plant surface"),EXACT(metadata!G215,"Plant corpus"),EXACT(metadata!G215,"Fungus surface"),EXACT(metadata!G215,"Fungus corpus"),EXACT(metadata!G215,"Animal surface"),EXACT(metadata!G215,"Animal proximal gut"),EXACT(metadata!G215,"Animal corpus"),EXACT(metadata!G215,"Animal distal gut"),EXACT(metadata!G215,"Animal secretion")))</f>
        <v>0</v>
      </c>
      <c r="AJ215" t="b">
        <f>OR(AND(IF(metadata!H215="",FALSE,TRUE),OR(EXACT(metadata!H215,"missing: not collected"),EXACT(metadata!H215,"missing: not provided"),EXACT(metadata!H215,"missing: restricted access"))),AND(IF(metadata!H215="",FALSE,TRUE),OR(EXACT(metadata!H215,"organism-associated habitat"),EXACT(metadata!H215,"plant-associated habitat"),EXACT(metadata!H215,"animal-associated habitat"),EXACT(metadata!H215,"insecta-associated habitat"),EXACT(metadata!H215,"mammalia-associated habitat"),EXACT(metadata!H215,"human-associated habitat"),EXACT(metadata!H215,"livestock-associated habitat"))))</f>
        <v>0</v>
      </c>
      <c r="AK215" t="b">
        <f>AND(IF(metadata!I215="",FALSE,TRUE),EXACT(metadata!I215,"host-associated"))</f>
        <v>0</v>
      </c>
      <c r="AL215" t="b">
        <f>OR(AND(IF(metadata!J215="",FALSE,TRUE),OR(EXACT(metadata!J215,"not applicable"),EXACT(metadata!J215,"missing: not collected"),EXACT(metadata!J215,"missing: not provided"),EXACT(metadata!J215,"missing: restricted access"))),AND(IF(metadata!J215="",FALSE,ISNUMBER(VALUE(metadata!J215))),metadata!J215&gt;0))</f>
        <v>0</v>
      </c>
      <c r="AM215" t="b">
        <f>AND(IF(metadata!K215="",FALSE,TRUE),EXACT(metadata!K215,"missing: not provided"))</f>
        <v>0</v>
      </c>
      <c r="AN215" t="b">
        <f>IF(metadata!L215="",FALSE,TRUE)</f>
        <v>0</v>
      </c>
      <c r="AO215" t="b">
        <f>IF(metadata!M215="",FALSE,TRUE)</f>
        <v>0</v>
      </c>
      <c r="AP215" t="b">
        <f>OR(AND(IF(metadata!N215="",FALSE,TRUE),OR(EXACT(metadata!N215,"not applicable"),EXACT(metadata!N215,"missing: not collected"),EXACT(metadata!N215,"missing: not provided"))),AND(IF(metadata!N215="",FALSE,IF(ISERROR(INT(metadata!N215)),FALSE,INT(metadata!N215)=metadata!N215)),metadata!N215&gt;0))</f>
        <v>0</v>
      </c>
      <c r="AQ215" t="b">
        <f>AND(IF(metadata!O215="",FALSE,TRUE),EXACT(metadata!O215,"Not applicable"))</f>
        <v>0</v>
      </c>
      <c r="AR215" t="b">
        <f>OR(AND(IF(metadata!P215="",FALSE,TRUE),OR(EXACT(metadata!P215,"not applicable"),EXACT(metadata!P215,"missing: not collected"),EXACT(metadata!P215,"missing: not provided"),EXACT(metadata!P215,"missing: restricted access"))),IF(metadata!P215="",FALSE,IF(ISERROR(INT(metadata!P215)),FALSE,INT(metadata!P215)=metadata!P215)))</f>
        <v>0</v>
      </c>
      <c r="AS215" t="b">
        <f>AND(IF(metadata!Q215="",FALSE,TRUE),EXACT(metadata!Q215,"Not applicable"))</f>
        <v>0</v>
      </c>
      <c r="AT215" t="b">
        <f>OR(AND(IF(metadata!R215="",FALSE,TRUE),OR(EXACT(metadata!R215,"not applicable"),EXACT(metadata!R215,"missing: not collected"),EXACT(metadata!R215,"missing: not provided"),EXACT(metadata!R215,"missing: restricted access"))),AND(IF(metadata!R215="",FALSE,ISNUMBER(VALUE(metadata!R215))),metadata!R215&gt;0))</f>
        <v>0</v>
      </c>
      <c r="AU215" t="b">
        <f>AND(IF(metadata!S215="",FALSE,TRUE),EXACT(metadata!S215,"missing: not provided"))</f>
        <v>0</v>
      </c>
    </row>
    <row r="216" spans="1:47" x14ac:dyDescent="0.2">
      <c r="A216" s="5" t="str">
        <f ca="1">IF(B216=" "," ",HYPERLINK(CONCATENATE("#metadata!",ADDRESS(INDEX($Y$2:$Y$1001,MATCH(ROWS($W$2:W216),$W$2:$W$1001,0),0),1)),INDEX($AB$2:$AB$1001,MATCH(ROWS($W$2:W216),$W$2:$W$1001,0),0)))</f>
        <v xml:space="preserve"> </v>
      </c>
      <c r="B216" s="4" t="str">
        <f ca="1">IF(OR(INDEX($X$2:$X$1001,MATCH(ROWS($W$2:W216),$W$2:$W$1001,0),1)&gt;=100000,INDEX($AD$1005:$AU$1005,1,MATCH(COLUMNS($AD$1006:AD1006),$AD$1006:$AU$1006,0))&gt;=100000), " ",IF(INDEX($AD$2:$AU$1001,MATCH(ROWS($W$2:W216),$W$2:$W$1001,0),MATCH(COLUMNS($AD$1006:AD1006),$AD$1006:$AU$1006,0)), HYPERLINK("#",""), HYPERLINK(CONCATENATE("#metadata!", ADDRESS(INDEX($Y$2:$Y$1001,MATCH(ROWS($W$2:W216),$W$2:$W$1001,0),0), INDEX($AD$1004:$AU$1004,1,MATCH(COLUMNS($AD$1006:AD1006),$AD$1006:$AU$1006,0)))),"Fix")))</f>
        <v xml:space="preserve"> </v>
      </c>
      <c r="C216" s="4" t="str">
        <f ca="1">IF(OR(INDEX($X$2:$X$1001,MATCH(ROWS($W$2:W216),$W$2:$W$1001,0),1)&gt;=100000,INDEX($AD$1005:$AU$1005,1,MATCH(COLUMNS($AD$1006:AE1006),$AD$1006:$AU$1006,0))&gt;=100000), " ",IF(INDEX($AD$2:$AU$1001,MATCH(ROWS($W$2:W216),$W$2:$W$1001,0),MATCH(COLUMNS($AD$1006:AE1006),$AD$1006:$AU$1006,0)), HYPERLINK("#",""), HYPERLINK(CONCATENATE("#metadata!", ADDRESS(INDEX($Y$2:$Y$1001,MATCH(ROWS($W$2:W216),$W$2:$W$1001,0),0), INDEX($AD$1004:$AU$1004,1,MATCH(COLUMNS($AD$1006:AE1006),$AD$1006:$AU$1006,0)))),"Fix")))</f>
        <v xml:space="preserve"> </v>
      </c>
      <c r="D216" s="4" t="str">
        <f ca="1">IF(OR(INDEX($X$2:$X$1001,MATCH(ROWS($W$2:W216),$W$2:$W$1001,0),1)&gt;=100000,INDEX($AD$1005:$AU$1005,1,MATCH(COLUMNS($AD$1006:AF1006),$AD$1006:$AU$1006,0))&gt;=100000), " ",IF(INDEX($AD$2:$AU$1001,MATCH(ROWS($W$2:W216),$W$2:$W$1001,0),MATCH(COLUMNS($AD$1006:AF1006),$AD$1006:$AU$1006,0)), HYPERLINK("#",""), HYPERLINK(CONCATENATE("#metadata!", ADDRESS(INDEX($Y$2:$Y$1001,MATCH(ROWS($W$2:W216),$W$2:$W$1001,0),0), INDEX($AD$1004:$AU$1004,1,MATCH(COLUMNS($AD$1006:AF1006),$AD$1006:$AU$1006,0)))),"Fix")))</f>
        <v xml:space="preserve"> </v>
      </c>
      <c r="E216" s="4" t="str">
        <f ca="1">IF(OR(INDEX($X$2:$X$1001,MATCH(ROWS($W$2:W216),$W$2:$W$1001,0),1)&gt;=100000,INDEX($AD$1005:$AU$1005,1,MATCH(COLUMNS($AD$1006:AG1006),$AD$1006:$AU$1006,0))&gt;=100000), " ",IF(INDEX($AD$2:$AU$1001,MATCH(ROWS($W$2:W216),$W$2:$W$1001,0),MATCH(COLUMNS($AD$1006:AG1006),$AD$1006:$AU$1006,0)), HYPERLINK("#",""), HYPERLINK(CONCATENATE("#metadata!", ADDRESS(INDEX($Y$2:$Y$1001,MATCH(ROWS($W$2:W216),$W$2:$W$1001,0),0), INDEX($AD$1004:$AU$1004,1,MATCH(COLUMNS($AD$1006:AG1006),$AD$1006:$AU$1006,0)))),"Fix")))</f>
        <v xml:space="preserve"> </v>
      </c>
      <c r="F216" s="4" t="str">
        <f ca="1">IF(OR(INDEX($X$2:$X$1001,MATCH(ROWS($W$2:W216),$W$2:$W$1001,0),1)&gt;=100000,INDEX($AD$1005:$AU$1005,1,MATCH(COLUMNS($AD$1006:AH1006),$AD$1006:$AU$1006,0))&gt;=100000), " ",IF(INDEX($AD$2:$AU$1001,MATCH(ROWS($W$2:W216),$W$2:$W$1001,0),MATCH(COLUMNS($AD$1006:AH1006),$AD$1006:$AU$1006,0)), HYPERLINK("#",""), HYPERLINK(CONCATENATE("#metadata!", ADDRESS(INDEX($Y$2:$Y$1001,MATCH(ROWS($W$2:W216),$W$2:$W$1001,0),0), INDEX($AD$1004:$AU$1004,1,MATCH(COLUMNS($AD$1006:AH1006),$AD$1006:$AU$1006,0)))),"Fix")))</f>
        <v xml:space="preserve"> </v>
      </c>
      <c r="G216" s="4" t="str">
        <f ca="1">IF(OR(INDEX($X$2:$X$1001,MATCH(ROWS($W$2:W216),$W$2:$W$1001,0),1)&gt;=100000,INDEX($AD$1005:$AU$1005,1,MATCH(COLUMNS($AD$1006:AI1006),$AD$1006:$AU$1006,0))&gt;=100000), " ",IF(INDEX($AD$2:$AU$1001,MATCH(ROWS($W$2:W216),$W$2:$W$1001,0),MATCH(COLUMNS($AD$1006:AI1006),$AD$1006:$AU$1006,0)), HYPERLINK("#",""), HYPERLINK(CONCATENATE("#metadata!", ADDRESS(INDEX($Y$2:$Y$1001,MATCH(ROWS($W$2:W216),$W$2:$W$1001,0),0), INDEX($AD$1004:$AU$1004,1,MATCH(COLUMNS($AD$1006:AI1006),$AD$1006:$AU$1006,0)))),"Fix")))</f>
        <v xml:space="preserve"> </v>
      </c>
      <c r="H216" s="4" t="str">
        <f ca="1">IF(OR(INDEX($X$2:$X$1001,MATCH(ROWS($W$2:W216),$W$2:$W$1001,0),1)&gt;=100000,INDEX($AD$1005:$AU$1005,1,MATCH(COLUMNS($AD$1006:AJ1006),$AD$1006:$AU$1006,0))&gt;=100000), " ",IF(INDEX($AD$2:$AU$1001,MATCH(ROWS($W$2:W216),$W$2:$W$1001,0),MATCH(COLUMNS($AD$1006:AJ1006),$AD$1006:$AU$1006,0)), HYPERLINK("#",""), HYPERLINK(CONCATENATE("#metadata!", ADDRESS(INDEX($Y$2:$Y$1001,MATCH(ROWS($W$2:W216),$W$2:$W$1001,0),0), INDEX($AD$1004:$AU$1004,1,MATCH(COLUMNS($AD$1006:AJ1006),$AD$1006:$AU$1006,0)))),"Fix")))</f>
        <v xml:space="preserve"> </v>
      </c>
      <c r="I216" s="4" t="str">
        <f ca="1">IF(OR(INDEX($X$2:$X$1001,MATCH(ROWS($W$2:W216),$W$2:$W$1001,0),1)&gt;=100000,INDEX($AD$1005:$AU$1005,1,MATCH(COLUMNS($AD$1006:AK1006),$AD$1006:$AU$1006,0))&gt;=100000), " ",IF(INDEX($AD$2:$AU$1001,MATCH(ROWS($W$2:W216),$W$2:$W$1001,0),MATCH(COLUMNS($AD$1006:AK1006),$AD$1006:$AU$1006,0)), HYPERLINK("#",""), HYPERLINK(CONCATENATE("#metadata!", ADDRESS(INDEX($Y$2:$Y$1001,MATCH(ROWS($W$2:W216),$W$2:$W$1001,0),0), INDEX($AD$1004:$AU$1004,1,MATCH(COLUMNS($AD$1006:AK1006),$AD$1006:$AU$1006,0)))),"Fix")))</f>
        <v xml:space="preserve"> </v>
      </c>
      <c r="J216" s="4" t="str">
        <f ca="1">IF(OR(INDEX($X$2:$X$1001,MATCH(ROWS($W$2:W216),$W$2:$W$1001,0),1)&gt;=100000,INDEX($AD$1005:$AU$1005,1,MATCH(COLUMNS($AD$1006:AL1006),$AD$1006:$AU$1006,0))&gt;=100000), " ",IF(INDEX($AD$2:$AU$1001,MATCH(ROWS($W$2:W216),$W$2:$W$1001,0),MATCH(COLUMNS($AD$1006:AL1006),$AD$1006:$AU$1006,0)), HYPERLINK("#",""), HYPERLINK(CONCATENATE("#metadata!", ADDRESS(INDEX($Y$2:$Y$1001,MATCH(ROWS($W$2:W216),$W$2:$W$1001,0),0), INDEX($AD$1004:$AU$1004,1,MATCH(COLUMNS($AD$1006:AL1006),$AD$1006:$AU$1006,0)))),"Fix")))</f>
        <v xml:space="preserve"> </v>
      </c>
      <c r="K216" s="4" t="str">
        <f ca="1">IF(OR(INDEX($X$2:$X$1001,MATCH(ROWS($W$2:W216),$W$2:$W$1001,0),1)&gt;=100000,INDEX($AD$1005:$AU$1005,1,MATCH(COLUMNS($AD$1006:AM1006),$AD$1006:$AU$1006,0))&gt;=100000), " ",IF(INDEX($AD$2:$AU$1001,MATCH(ROWS($W$2:W216),$W$2:$W$1001,0),MATCH(COLUMNS($AD$1006:AM1006),$AD$1006:$AU$1006,0)), HYPERLINK("#",""), HYPERLINK(CONCATENATE("#metadata!", ADDRESS(INDEX($Y$2:$Y$1001,MATCH(ROWS($W$2:W216),$W$2:$W$1001,0),0), INDEX($AD$1004:$AU$1004,1,MATCH(COLUMNS($AD$1006:AM1006),$AD$1006:$AU$1006,0)))),"Fix")))</f>
        <v xml:space="preserve"> </v>
      </c>
      <c r="L216" s="4" t="str">
        <f ca="1">IF(OR(INDEX($X$2:$X$1001,MATCH(ROWS($W$2:W216),$W$2:$W$1001,0),1)&gt;=100000,INDEX($AD$1005:$AU$1005,1,MATCH(COLUMNS($AD$1006:AN1006),$AD$1006:$AU$1006,0))&gt;=100000), " ",IF(INDEX($AD$2:$AU$1001,MATCH(ROWS($W$2:W216),$W$2:$W$1001,0),MATCH(COLUMNS($AD$1006:AN1006),$AD$1006:$AU$1006,0)), HYPERLINK("#",""), HYPERLINK(CONCATENATE("#metadata!", ADDRESS(INDEX($Y$2:$Y$1001,MATCH(ROWS($W$2:W216),$W$2:$W$1001,0),0), INDEX($AD$1004:$AU$1004,1,MATCH(COLUMNS($AD$1006:AN1006),$AD$1006:$AU$1006,0)))),"Fix")))</f>
        <v xml:space="preserve"> </v>
      </c>
      <c r="M216" s="4" t="str">
        <f ca="1">IF(OR(INDEX($X$2:$X$1001,MATCH(ROWS($W$2:W216),$W$2:$W$1001,0),1)&gt;=100000,INDEX($AD$1005:$AU$1005,1,MATCH(COLUMNS($AD$1006:AO1006),$AD$1006:$AU$1006,0))&gt;=100000), " ",IF(INDEX($AD$2:$AU$1001,MATCH(ROWS($W$2:W216),$W$2:$W$1001,0),MATCH(COLUMNS($AD$1006:AO1006),$AD$1006:$AU$1006,0)), HYPERLINK("#",""), HYPERLINK(CONCATENATE("#metadata!", ADDRESS(INDEX($Y$2:$Y$1001,MATCH(ROWS($W$2:W216),$W$2:$W$1001,0),0), INDEX($AD$1004:$AU$1004,1,MATCH(COLUMNS($AD$1006:AO1006),$AD$1006:$AU$1006,0)))),"Fix")))</f>
        <v xml:space="preserve"> </v>
      </c>
      <c r="N216" s="4" t="str">
        <f ca="1">IF(OR(INDEX($X$2:$X$1001,MATCH(ROWS($W$2:W216),$W$2:$W$1001,0),1)&gt;=100000,INDEX($AD$1005:$AU$1005,1,MATCH(COLUMNS($AD$1006:AP1006),$AD$1006:$AU$1006,0))&gt;=100000), " ",IF(INDEX($AD$2:$AU$1001,MATCH(ROWS($W$2:W216),$W$2:$W$1001,0),MATCH(COLUMNS($AD$1006:AP1006),$AD$1006:$AU$1006,0)), HYPERLINK("#",""), HYPERLINK(CONCATENATE("#metadata!", ADDRESS(INDEX($Y$2:$Y$1001,MATCH(ROWS($W$2:W216),$W$2:$W$1001,0),0), INDEX($AD$1004:$AU$1004,1,MATCH(COLUMNS($AD$1006:AP1006),$AD$1006:$AU$1006,0)))),"Fix")))</f>
        <v xml:space="preserve"> </v>
      </c>
      <c r="O216" s="4" t="str">
        <f ca="1">IF(OR(INDEX($X$2:$X$1001,MATCH(ROWS($W$2:W216),$W$2:$W$1001,0),1)&gt;=100000,INDEX($AD$1005:$AU$1005,1,MATCH(COLUMNS($AD$1006:AQ1006),$AD$1006:$AU$1006,0))&gt;=100000), " ",IF(INDEX($AD$2:$AU$1001,MATCH(ROWS($W$2:W216),$W$2:$W$1001,0),MATCH(COLUMNS($AD$1006:AQ1006),$AD$1006:$AU$1006,0)), HYPERLINK("#",""), HYPERLINK(CONCATENATE("#metadata!", ADDRESS(INDEX($Y$2:$Y$1001,MATCH(ROWS($W$2:W216),$W$2:$W$1001,0),0), INDEX($AD$1004:$AU$1004,1,MATCH(COLUMNS($AD$1006:AQ1006),$AD$1006:$AU$1006,0)))),"Fix")))</f>
        <v xml:space="preserve"> </v>
      </c>
      <c r="P216" s="4" t="str">
        <f ca="1">IF(OR(INDEX($X$2:$X$1001,MATCH(ROWS($W$2:W216),$W$2:$W$1001,0),1)&gt;=100000,INDEX($AD$1005:$AU$1005,1,MATCH(COLUMNS($AD$1006:AR1006),$AD$1006:$AU$1006,0))&gt;=100000), " ",IF(INDEX($AD$2:$AU$1001,MATCH(ROWS($W$2:W216),$W$2:$W$1001,0),MATCH(COLUMNS($AD$1006:AR1006),$AD$1006:$AU$1006,0)), HYPERLINK("#",""), HYPERLINK(CONCATENATE("#metadata!", ADDRESS(INDEX($Y$2:$Y$1001,MATCH(ROWS($W$2:W216),$W$2:$W$1001,0),0), INDEX($AD$1004:$AU$1004,1,MATCH(COLUMNS($AD$1006:AR1006),$AD$1006:$AU$1006,0)))),"Fix")))</f>
        <v xml:space="preserve"> </v>
      </c>
      <c r="Q216" s="4" t="str">
        <f ca="1">IF(OR(INDEX($X$2:$X$1001,MATCH(ROWS($W$2:W216),$W$2:$W$1001,0),1)&gt;=100000,INDEX($AD$1005:$AU$1005,1,MATCH(COLUMNS($AD$1006:AS1006),$AD$1006:$AU$1006,0))&gt;=100000), " ",IF(INDEX($AD$2:$AU$1001,MATCH(ROWS($W$2:W216),$W$2:$W$1001,0),MATCH(COLUMNS($AD$1006:AS1006),$AD$1006:$AU$1006,0)), HYPERLINK("#",""), HYPERLINK(CONCATENATE("#metadata!", ADDRESS(INDEX($Y$2:$Y$1001,MATCH(ROWS($W$2:W216),$W$2:$W$1001,0),0), INDEX($AD$1004:$AU$1004,1,MATCH(COLUMNS($AD$1006:AS1006),$AD$1006:$AU$1006,0)))),"Fix")))</f>
        <v xml:space="preserve"> </v>
      </c>
      <c r="R216" s="4" t="str">
        <f ca="1">IF(OR(INDEX($X$2:$X$1001,MATCH(ROWS($W$2:W216),$W$2:$W$1001,0),1)&gt;=100000,INDEX($AD$1005:$AU$1005,1,MATCH(COLUMNS($AD$1006:AT1006),$AD$1006:$AU$1006,0))&gt;=100000), " ",IF(INDEX($AD$2:$AU$1001,MATCH(ROWS($W$2:W216),$W$2:$W$1001,0),MATCH(COLUMNS($AD$1006:AT1006),$AD$1006:$AU$1006,0)), HYPERLINK("#",""), HYPERLINK(CONCATENATE("#metadata!", ADDRESS(INDEX($Y$2:$Y$1001,MATCH(ROWS($W$2:W216),$W$2:$W$1001,0),0), INDEX($AD$1004:$AU$1004,1,MATCH(COLUMNS($AD$1006:AT1006),$AD$1006:$AU$1006,0)))),"Fix")))</f>
        <v xml:space="preserve"> </v>
      </c>
      <c r="S216" s="4" t="str">
        <f ca="1">IF(OR(INDEX($X$2:$X$1001,MATCH(ROWS($W$2:W216),$W$2:$W$1001,0),1)&gt;=100000,INDEX($AD$1005:$AU$1005,1,MATCH(COLUMNS($AD$1006:AU1006),$AD$1006:$AU$1006,0))&gt;=100000), " ",IF(INDEX($AD$2:$AU$1001,MATCH(ROWS($W$2:W216),$W$2:$W$1001,0),MATCH(COLUMNS($AD$1006:AU1006),$AD$1006:$AU$1006,0)), HYPERLINK("#",""), HYPERLINK(CONCATENATE("#metadata!", ADDRESS(INDEX($Y$2:$Y$1001,MATCH(ROWS($W$2:W216),$W$2:$W$1001,0),0), INDEX($AD$1004:$AU$1004,1,MATCH(COLUMNS($AD$1006:AU1006),$AD$1006:$AU$1006,0)))),"Fix")))</f>
        <v xml:space="preserve"> </v>
      </c>
      <c r="W216">
        <v>215</v>
      </c>
      <c r="X216">
        <v>100216</v>
      </c>
      <c r="Y216">
        <v>216</v>
      </c>
      <c r="Z216" t="b">
        <f t="shared" si="3"/>
        <v>1</v>
      </c>
      <c r="AA216" t="b">
        <f>COUNTBLANK(metadata!B216:S216)=COLUMNS(metadata!B216:S216)</f>
        <v>1</v>
      </c>
      <c r="AB216" t="str">
        <v/>
      </c>
      <c r="AD216" t="b">
        <f ca="1">AND(IF(metadata!B216="",FALSE,TRUE),COUNTIF(metadata!B:B, metadata!B216) = 1,NOT(ISERROR(SUMPRODUCT(SEARCH(MID(metadata!B216,ROW(INDIRECT("1:"&amp;LEN(metadata!B216))), 1),"0123456789abcdefghijklmnopqrstuvwxyzABCDEFGHIJKLMNOPQRSTUVWXYZ.")))))</f>
        <v>0</v>
      </c>
      <c r="AE216" t="b">
        <f>OR(AND(IF(metadata!C216="",FALSE,TRUE),OR(EXACT(metadata!C216,"not applicable"),EXACT(metadata!C216,"missing: not collected"),EXACT(metadata!C216,"missing: not provided"),EXACT(metadata!C216,"missing: restricted access"))),AND(IF(metadata!C216="",FALSE,ISNUMBER(VALUE(metadata!C216))),metadata!C216&gt;0))</f>
        <v>0</v>
      </c>
      <c r="AF216" t="b">
        <f>AND(IF(metadata!D216="",FALSE,TRUE),EXACT(metadata!D216,"missing: not provided"))</f>
        <v>0</v>
      </c>
      <c r="AG216" t="b">
        <f>AND(IF(metadata!E216="",FALSE,TRUE),EXACT(metadata!E216,"Host-associated"))</f>
        <v>0</v>
      </c>
      <c r="AH216" t="b">
        <f>AND(IF(metadata!F216="",FALSE,TRUE),OR(EXACT(metadata!F216,"Animal"),EXACT(metadata!F216,"Fungus"),EXACT(metadata!F216,"Plant")))</f>
        <v>0</v>
      </c>
      <c r="AI216" t="b">
        <f>AND(IF(metadata!G216="",FALSE,TRUE),OR(EXACT(metadata!G216,"Plant secretion"),EXACT(metadata!G216,"Plant rhizosphere"),EXACT(metadata!G216,"Plant surface"),EXACT(metadata!G216,"Plant corpus"),EXACT(metadata!G216,"Fungus surface"),EXACT(metadata!G216,"Fungus corpus"),EXACT(metadata!G216,"Animal surface"),EXACT(metadata!G216,"Animal proximal gut"),EXACT(metadata!G216,"Animal corpus"),EXACT(metadata!G216,"Animal distal gut"),EXACT(metadata!G216,"Animal secretion")))</f>
        <v>0</v>
      </c>
      <c r="AJ216" t="b">
        <f>OR(AND(IF(metadata!H216="",FALSE,TRUE),OR(EXACT(metadata!H216,"missing: not collected"),EXACT(metadata!H216,"missing: not provided"),EXACT(metadata!H216,"missing: restricted access"))),AND(IF(metadata!H216="",FALSE,TRUE),OR(EXACT(metadata!H216,"organism-associated habitat"),EXACT(metadata!H216,"plant-associated habitat"),EXACT(metadata!H216,"animal-associated habitat"),EXACT(metadata!H216,"insecta-associated habitat"),EXACT(metadata!H216,"mammalia-associated habitat"),EXACT(metadata!H216,"human-associated habitat"),EXACT(metadata!H216,"livestock-associated habitat"))))</f>
        <v>0</v>
      </c>
      <c r="AK216" t="b">
        <f>AND(IF(metadata!I216="",FALSE,TRUE),EXACT(metadata!I216,"host-associated"))</f>
        <v>0</v>
      </c>
      <c r="AL216" t="b">
        <f>OR(AND(IF(metadata!J216="",FALSE,TRUE),OR(EXACT(metadata!J216,"not applicable"),EXACT(metadata!J216,"missing: not collected"),EXACT(metadata!J216,"missing: not provided"),EXACT(metadata!J216,"missing: restricted access"))),AND(IF(metadata!J216="",FALSE,ISNUMBER(VALUE(metadata!J216))),metadata!J216&gt;0))</f>
        <v>0</v>
      </c>
      <c r="AM216" t="b">
        <f>AND(IF(metadata!K216="",FALSE,TRUE),EXACT(metadata!K216,"missing: not provided"))</f>
        <v>0</v>
      </c>
      <c r="AN216" t="b">
        <f>IF(metadata!L216="",FALSE,TRUE)</f>
        <v>0</v>
      </c>
      <c r="AO216" t="b">
        <f>IF(metadata!M216="",FALSE,TRUE)</f>
        <v>0</v>
      </c>
      <c r="AP216" t="b">
        <f>OR(AND(IF(metadata!N216="",FALSE,TRUE),OR(EXACT(metadata!N216,"not applicable"),EXACT(metadata!N216,"missing: not collected"),EXACT(metadata!N216,"missing: not provided"))),AND(IF(metadata!N216="",FALSE,IF(ISERROR(INT(metadata!N216)),FALSE,INT(metadata!N216)=metadata!N216)),metadata!N216&gt;0))</f>
        <v>0</v>
      </c>
      <c r="AQ216" t="b">
        <f>AND(IF(metadata!O216="",FALSE,TRUE),EXACT(metadata!O216,"Not applicable"))</f>
        <v>0</v>
      </c>
      <c r="AR216" t="b">
        <f>OR(AND(IF(metadata!P216="",FALSE,TRUE),OR(EXACT(metadata!P216,"not applicable"),EXACT(metadata!P216,"missing: not collected"),EXACT(metadata!P216,"missing: not provided"),EXACT(metadata!P216,"missing: restricted access"))),IF(metadata!P216="",FALSE,IF(ISERROR(INT(metadata!P216)),FALSE,INT(metadata!P216)=metadata!P216)))</f>
        <v>0</v>
      </c>
      <c r="AS216" t="b">
        <f>AND(IF(metadata!Q216="",FALSE,TRUE),EXACT(metadata!Q216,"Not applicable"))</f>
        <v>0</v>
      </c>
      <c r="AT216" t="b">
        <f>OR(AND(IF(metadata!R216="",FALSE,TRUE),OR(EXACT(metadata!R216,"not applicable"),EXACT(metadata!R216,"missing: not collected"),EXACT(metadata!R216,"missing: not provided"),EXACT(metadata!R216,"missing: restricted access"))),AND(IF(metadata!R216="",FALSE,ISNUMBER(VALUE(metadata!R216))),metadata!R216&gt;0))</f>
        <v>0</v>
      </c>
      <c r="AU216" t="b">
        <f>AND(IF(metadata!S216="",FALSE,TRUE),EXACT(metadata!S216,"missing: not provided"))</f>
        <v>0</v>
      </c>
    </row>
    <row r="217" spans="1:47" x14ac:dyDescent="0.2">
      <c r="A217" s="5" t="str">
        <f ca="1">IF(B217=" "," ",HYPERLINK(CONCATENATE("#metadata!",ADDRESS(INDEX($Y$2:$Y$1001,MATCH(ROWS($W$2:W217),$W$2:$W$1001,0),0),1)),INDEX($AB$2:$AB$1001,MATCH(ROWS($W$2:W217),$W$2:$W$1001,0),0)))</f>
        <v xml:space="preserve"> </v>
      </c>
      <c r="B217" s="4" t="str">
        <f ca="1">IF(OR(INDEX($X$2:$X$1001,MATCH(ROWS($W$2:W217),$W$2:$W$1001,0),1)&gt;=100000,INDEX($AD$1005:$AU$1005,1,MATCH(COLUMNS($AD$1006:AD1006),$AD$1006:$AU$1006,0))&gt;=100000), " ",IF(INDEX($AD$2:$AU$1001,MATCH(ROWS($W$2:W217),$W$2:$W$1001,0),MATCH(COLUMNS($AD$1006:AD1006),$AD$1006:$AU$1006,0)), HYPERLINK("#",""), HYPERLINK(CONCATENATE("#metadata!", ADDRESS(INDEX($Y$2:$Y$1001,MATCH(ROWS($W$2:W217),$W$2:$W$1001,0),0), INDEX($AD$1004:$AU$1004,1,MATCH(COLUMNS($AD$1006:AD1006),$AD$1006:$AU$1006,0)))),"Fix")))</f>
        <v xml:space="preserve"> </v>
      </c>
      <c r="C217" s="4" t="str">
        <f ca="1">IF(OR(INDEX($X$2:$X$1001,MATCH(ROWS($W$2:W217),$W$2:$W$1001,0),1)&gt;=100000,INDEX($AD$1005:$AU$1005,1,MATCH(COLUMNS($AD$1006:AE1006),$AD$1006:$AU$1006,0))&gt;=100000), " ",IF(INDEX($AD$2:$AU$1001,MATCH(ROWS($W$2:W217),$W$2:$W$1001,0),MATCH(COLUMNS($AD$1006:AE1006),$AD$1006:$AU$1006,0)), HYPERLINK("#",""), HYPERLINK(CONCATENATE("#metadata!", ADDRESS(INDEX($Y$2:$Y$1001,MATCH(ROWS($W$2:W217),$W$2:$W$1001,0),0), INDEX($AD$1004:$AU$1004,1,MATCH(COLUMNS($AD$1006:AE1006),$AD$1006:$AU$1006,0)))),"Fix")))</f>
        <v xml:space="preserve"> </v>
      </c>
      <c r="D217" s="4" t="str">
        <f ca="1">IF(OR(INDEX($X$2:$X$1001,MATCH(ROWS($W$2:W217),$W$2:$W$1001,0),1)&gt;=100000,INDEX($AD$1005:$AU$1005,1,MATCH(COLUMNS($AD$1006:AF1006),$AD$1006:$AU$1006,0))&gt;=100000), " ",IF(INDEX($AD$2:$AU$1001,MATCH(ROWS($W$2:W217),$W$2:$W$1001,0),MATCH(COLUMNS($AD$1006:AF1006),$AD$1006:$AU$1006,0)), HYPERLINK("#",""), HYPERLINK(CONCATENATE("#metadata!", ADDRESS(INDEX($Y$2:$Y$1001,MATCH(ROWS($W$2:W217),$W$2:$W$1001,0),0), INDEX($AD$1004:$AU$1004,1,MATCH(COLUMNS($AD$1006:AF1006),$AD$1006:$AU$1006,0)))),"Fix")))</f>
        <v xml:space="preserve"> </v>
      </c>
      <c r="E217" s="4" t="str">
        <f ca="1">IF(OR(INDEX($X$2:$X$1001,MATCH(ROWS($W$2:W217),$W$2:$W$1001,0),1)&gt;=100000,INDEX($AD$1005:$AU$1005,1,MATCH(COLUMNS($AD$1006:AG1006),$AD$1006:$AU$1006,0))&gt;=100000), " ",IF(INDEX($AD$2:$AU$1001,MATCH(ROWS($W$2:W217),$W$2:$W$1001,0),MATCH(COLUMNS($AD$1006:AG1006),$AD$1006:$AU$1006,0)), HYPERLINK("#",""), HYPERLINK(CONCATENATE("#metadata!", ADDRESS(INDEX($Y$2:$Y$1001,MATCH(ROWS($W$2:W217),$W$2:$W$1001,0),0), INDEX($AD$1004:$AU$1004,1,MATCH(COLUMNS($AD$1006:AG1006),$AD$1006:$AU$1006,0)))),"Fix")))</f>
        <v xml:space="preserve"> </v>
      </c>
      <c r="F217" s="4" t="str">
        <f ca="1">IF(OR(INDEX($X$2:$X$1001,MATCH(ROWS($W$2:W217),$W$2:$W$1001,0),1)&gt;=100000,INDEX($AD$1005:$AU$1005,1,MATCH(COLUMNS($AD$1006:AH1006),$AD$1006:$AU$1006,0))&gt;=100000), " ",IF(INDEX($AD$2:$AU$1001,MATCH(ROWS($W$2:W217),$W$2:$W$1001,0),MATCH(COLUMNS($AD$1006:AH1006),$AD$1006:$AU$1006,0)), HYPERLINK("#",""), HYPERLINK(CONCATENATE("#metadata!", ADDRESS(INDEX($Y$2:$Y$1001,MATCH(ROWS($W$2:W217),$W$2:$W$1001,0),0), INDEX($AD$1004:$AU$1004,1,MATCH(COLUMNS($AD$1006:AH1006),$AD$1006:$AU$1006,0)))),"Fix")))</f>
        <v xml:space="preserve"> </v>
      </c>
      <c r="G217" s="4" t="str">
        <f ca="1">IF(OR(INDEX($X$2:$X$1001,MATCH(ROWS($W$2:W217),$W$2:$W$1001,0),1)&gt;=100000,INDEX($AD$1005:$AU$1005,1,MATCH(COLUMNS($AD$1006:AI1006),$AD$1006:$AU$1006,0))&gt;=100000), " ",IF(INDEX($AD$2:$AU$1001,MATCH(ROWS($W$2:W217),$W$2:$W$1001,0),MATCH(COLUMNS($AD$1006:AI1006),$AD$1006:$AU$1006,0)), HYPERLINK("#",""), HYPERLINK(CONCATENATE("#metadata!", ADDRESS(INDEX($Y$2:$Y$1001,MATCH(ROWS($W$2:W217),$W$2:$W$1001,0),0), INDEX($AD$1004:$AU$1004,1,MATCH(COLUMNS($AD$1006:AI1006),$AD$1006:$AU$1006,0)))),"Fix")))</f>
        <v xml:space="preserve"> </v>
      </c>
      <c r="H217" s="4" t="str">
        <f ca="1">IF(OR(INDEX($X$2:$X$1001,MATCH(ROWS($W$2:W217),$W$2:$W$1001,0),1)&gt;=100000,INDEX($AD$1005:$AU$1005,1,MATCH(COLUMNS($AD$1006:AJ1006),$AD$1006:$AU$1006,0))&gt;=100000), " ",IF(INDEX($AD$2:$AU$1001,MATCH(ROWS($W$2:W217),$W$2:$W$1001,0),MATCH(COLUMNS($AD$1006:AJ1006),$AD$1006:$AU$1006,0)), HYPERLINK("#",""), HYPERLINK(CONCATENATE("#metadata!", ADDRESS(INDEX($Y$2:$Y$1001,MATCH(ROWS($W$2:W217),$W$2:$W$1001,0),0), INDEX($AD$1004:$AU$1004,1,MATCH(COLUMNS($AD$1006:AJ1006),$AD$1006:$AU$1006,0)))),"Fix")))</f>
        <v xml:space="preserve"> </v>
      </c>
      <c r="I217" s="4" t="str">
        <f ca="1">IF(OR(INDEX($X$2:$X$1001,MATCH(ROWS($W$2:W217),$W$2:$W$1001,0),1)&gt;=100000,INDEX($AD$1005:$AU$1005,1,MATCH(COLUMNS($AD$1006:AK1006),$AD$1006:$AU$1006,0))&gt;=100000), " ",IF(INDEX($AD$2:$AU$1001,MATCH(ROWS($W$2:W217),$W$2:$W$1001,0),MATCH(COLUMNS($AD$1006:AK1006),$AD$1006:$AU$1006,0)), HYPERLINK("#",""), HYPERLINK(CONCATENATE("#metadata!", ADDRESS(INDEX($Y$2:$Y$1001,MATCH(ROWS($W$2:W217),$W$2:$W$1001,0),0), INDEX($AD$1004:$AU$1004,1,MATCH(COLUMNS($AD$1006:AK1006),$AD$1006:$AU$1006,0)))),"Fix")))</f>
        <v xml:space="preserve"> </v>
      </c>
      <c r="J217" s="4" t="str">
        <f ca="1">IF(OR(INDEX($X$2:$X$1001,MATCH(ROWS($W$2:W217),$W$2:$W$1001,0),1)&gt;=100000,INDEX($AD$1005:$AU$1005,1,MATCH(COLUMNS($AD$1006:AL1006),$AD$1006:$AU$1006,0))&gt;=100000), " ",IF(INDEX($AD$2:$AU$1001,MATCH(ROWS($W$2:W217),$W$2:$W$1001,0),MATCH(COLUMNS($AD$1006:AL1006),$AD$1006:$AU$1006,0)), HYPERLINK("#",""), HYPERLINK(CONCATENATE("#metadata!", ADDRESS(INDEX($Y$2:$Y$1001,MATCH(ROWS($W$2:W217),$W$2:$W$1001,0),0), INDEX($AD$1004:$AU$1004,1,MATCH(COLUMNS($AD$1006:AL1006),$AD$1006:$AU$1006,0)))),"Fix")))</f>
        <v xml:space="preserve"> </v>
      </c>
      <c r="K217" s="4" t="str">
        <f ca="1">IF(OR(INDEX($X$2:$X$1001,MATCH(ROWS($W$2:W217),$W$2:$W$1001,0),1)&gt;=100000,INDEX($AD$1005:$AU$1005,1,MATCH(COLUMNS($AD$1006:AM1006),$AD$1006:$AU$1006,0))&gt;=100000), " ",IF(INDEX($AD$2:$AU$1001,MATCH(ROWS($W$2:W217),$W$2:$W$1001,0),MATCH(COLUMNS($AD$1006:AM1006),$AD$1006:$AU$1006,0)), HYPERLINK("#",""), HYPERLINK(CONCATENATE("#metadata!", ADDRESS(INDEX($Y$2:$Y$1001,MATCH(ROWS($W$2:W217),$W$2:$W$1001,0),0), INDEX($AD$1004:$AU$1004,1,MATCH(COLUMNS($AD$1006:AM1006),$AD$1006:$AU$1006,0)))),"Fix")))</f>
        <v xml:space="preserve"> </v>
      </c>
      <c r="L217" s="4" t="str">
        <f ca="1">IF(OR(INDEX($X$2:$X$1001,MATCH(ROWS($W$2:W217),$W$2:$W$1001,0),1)&gt;=100000,INDEX($AD$1005:$AU$1005,1,MATCH(COLUMNS($AD$1006:AN1006),$AD$1006:$AU$1006,0))&gt;=100000), " ",IF(INDEX($AD$2:$AU$1001,MATCH(ROWS($W$2:W217),$W$2:$W$1001,0),MATCH(COLUMNS($AD$1006:AN1006),$AD$1006:$AU$1006,0)), HYPERLINK("#",""), HYPERLINK(CONCATENATE("#metadata!", ADDRESS(INDEX($Y$2:$Y$1001,MATCH(ROWS($W$2:W217),$W$2:$W$1001,0),0), INDEX($AD$1004:$AU$1004,1,MATCH(COLUMNS($AD$1006:AN1006),$AD$1006:$AU$1006,0)))),"Fix")))</f>
        <v xml:space="preserve"> </v>
      </c>
      <c r="M217" s="4" t="str">
        <f ca="1">IF(OR(INDEX($X$2:$X$1001,MATCH(ROWS($W$2:W217),$W$2:$W$1001,0),1)&gt;=100000,INDEX($AD$1005:$AU$1005,1,MATCH(COLUMNS($AD$1006:AO1006),$AD$1006:$AU$1006,0))&gt;=100000), " ",IF(INDEX($AD$2:$AU$1001,MATCH(ROWS($W$2:W217),$W$2:$W$1001,0),MATCH(COLUMNS($AD$1006:AO1006),$AD$1006:$AU$1006,0)), HYPERLINK("#",""), HYPERLINK(CONCATENATE("#metadata!", ADDRESS(INDEX($Y$2:$Y$1001,MATCH(ROWS($W$2:W217),$W$2:$W$1001,0),0), INDEX($AD$1004:$AU$1004,1,MATCH(COLUMNS($AD$1006:AO1006),$AD$1006:$AU$1006,0)))),"Fix")))</f>
        <v xml:space="preserve"> </v>
      </c>
      <c r="N217" s="4" t="str">
        <f ca="1">IF(OR(INDEX($X$2:$X$1001,MATCH(ROWS($W$2:W217),$W$2:$W$1001,0),1)&gt;=100000,INDEX($AD$1005:$AU$1005,1,MATCH(COLUMNS($AD$1006:AP1006),$AD$1006:$AU$1006,0))&gt;=100000), " ",IF(INDEX($AD$2:$AU$1001,MATCH(ROWS($W$2:W217),$W$2:$W$1001,0),MATCH(COLUMNS($AD$1006:AP1006),$AD$1006:$AU$1006,0)), HYPERLINK("#",""), HYPERLINK(CONCATENATE("#metadata!", ADDRESS(INDEX($Y$2:$Y$1001,MATCH(ROWS($W$2:W217),$W$2:$W$1001,0),0), INDEX($AD$1004:$AU$1004,1,MATCH(COLUMNS($AD$1006:AP1006),$AD$1006:$AU$1006,0)))),"Fix")))</f>
        <v xml:space="preserve"> </v>
      </c>
      <c r="O217" s="4" t="str">
        <f ca="1">IF(OR(INDEX($X$2:$X$1001,MATCH(ROWS($W$2:W217),$W$2:$W$1001,0),1)&gt;=100000,INDEX($AD$1005:$AU$1005,1,MATCH(COLUMNS($AD$1006:AQ1006),$AD$1006:$AU$1006,0))&gt;=100000), " ",IF(INDEX($AD$2:$AU$1001,MATCH(ROWS($W$2:W217),$W$2:$W$1001,0),MATCH(COLUMNS($AD$1006:AQ1006),$AD$1006:$AU$1006,0)), HYPERLINK("#",""), HYPERLINK(CONCATENATE("#metadata!", ADDRESS(INDEX($Y$2:$Y$1001,MATCH(ROWS($W$2:W217),$W$2:$W$1001,0),0), INDEX($AD$1004:$AU$1004,1,MATCH(COLUMNS($AD$1006:AQ1006),$AD$1006:$AU$1006,0)))),"Fix")))</f>
        <v xml:space="preserve"> </v>
      </c>
      <c r="P217" s="4" t="str">
        <f ca="1">IF(OR(INDEX($X$2:$X$1001,MATCH(ROWS($W$2:W217),$W$2:$W$1001,0),1)&gt;=100000,INDEX($AD$1005:$AU$1005,1,MATCH(COLUMNS($AD$1006:AR1006),$AD$1006:$AU$1006,0))&gt;=100000), " ",IF(INDEX($AD$2:$AU$1001,MATCH(ROWS($W$2:W217),$W$2:$W$1001,0),MATCH(COLUMNS($AD$1006:AR1006),$AD$1006:$AU$1006,0)), HYPERLINK("#",""), HYPERLINK(CONCATENATE("#metadata!", ADDRESS(INDEX($Y$2:$Y$1001,MATCH(ROWS($W$2:W217),$W$2:$W$1001,0),0), INDEX($AD$1004:$AU$1004,1,MATCH(COLUMNS($AD$1006:AR1006),$AD$1006:$AU$1006,0)))),"Fix")))</f>
        <v xml:space="preserve"> </v>
      </c>
      <c r="Q217" s="4" t="str">
        <f ca="1">IF(OR(INDEX($X$2:$X$1001,MATCH(ROWS($W$2:W217),$W$2:$W$1001,0),1)&gt;=100000,INDEX($AD$1005:$AU$1005,1,MATCH(COLUMNS($AD$1006:AS1006),$AD$1006:$AU$1006,0))&gt;=100000), " ",IF(INDEX($AD$2:$AU$1001,MATCH(ROWS($W$2:W217),$W$2:$W$1001,0),MATCH(COLUMNS($AD$1006:AS1006),$AD$1006:$AU$1006,0)), HYPERLINK("#",""), HYPERLINK(CONCATENATE("#metadata!", ADDRESS(INDEX($Y$2:$Y$1001,MATCH(ROWS($W$2:W217),$W$2:$W$1001,0),0), INDEX($AD$1004:$AU$1004,1,MATCH(COLUMNS($AD$1006:AS1006),$AD$1006:$AU$1006,0)))),"Fix")))</f>
        <v xml:space="preserve"> </v>
      </c>
      <c r="R217" s="4" t="str">
        <f ca="1">IF(OR(INDEX($X$2:$X$1001,MATCH(ROWS($W$2:W217),$W$2:$W$1001,0),1)&gt;=100000,INDEX($AD$1005:$AU$1005,1,MATCH(COLUMNS($AD$1006:AT1006),$AD$1006:$AU$1006,0))&gt;=100000), " ",IF(INDEX($AD$2:$AU$1001,MATCH(ROWS($W$2:W217),$W$2:$W$1001,0),MATCH(COLUMNS($AD$1006:AT1006),$AD$1006:$AU$1006,0)), HYPERLINK("#",""), HYPERLINK(CONCATENATE("#metadata!", ADDRESS(INDEX($Y$2:$Y$1001,MATCH(ROWS($W$2:W217),$W$2:$W$1001,0),0), INDEX($AD$1004:$AU$1004,1,MATCH(COLUMNS($AD$1006:AT1006),$AD$1006:$AU$1006,0)))),"Fix")))</f>
        <v xml:space="preserve"> </v>
      </c>
      <c r="S217" s="4" t="str">
        <f ca="1">IF(OR(INDEX($X$2:$X$1001,MATCH(ROWS($W$2:W217),$W$2:$W$1001,0),1)&gt;=100000,INDEX($AD$1005:$AU$1005,1,MATCH(COLUMNS($AD$1006:AU1006),$AD$1006:$AU$1006,0))&gt;=100000), " ",IF(INDEX($AD$2:$AU$1001,MATCH(ROWS($W$2:W217),$W$2:$W$1001,0),MATCH(COLUMNS($AD$1006:AU1006),$AD$1006:$AU$1006,0)), HYPERLINK("#",""), HYPERLINK(CONCATENATE("#metadata!", ADDRESS(INDEX($Y$2:$Y$1001,MATCH(ROWS($W$2:W217),$W$2:$W$1001,0),0), INDEX($AD$1004:$AU$1004,1,MATCH(COLUMNS($AD$1006:AU1006),$AD$1006:$AU$1006,0)))),"Fix")))</f>
        <v xml:space="preserve"> </v>
      </c>
      <c r="W217">
        <v>216</v>
      </c>
      <c r="X217">
        <v>100217</v>
      </c>
      <c r="Y217">
        <v>217</v>
      </c>
      <c r="Z217" t="b">
        <f t="shared" si="3"/>
        <v>1</v>
      </c>
      <c r="AA217" t="b">
        <f>COUNTBLANK(metadata!B217:S217)=COLUMNS(metadata!B217:S217)</f>
        <v>1</v>
      </c>
      <c r="AB217" t="str">
        <v/>
      </c>
      <c r="AD217" t="b">
        <f ca="1">AND(IF(metadata!B217="",FALSE,TRUE),COUNTIF(metadata!B:B, metadata!B217) = 1,NOT(ISERROR(SUMPRODUCT(SEARCH(MID(metadata!B217,ROW(INDIRECT("1:"&amp;LEN(metadata!B217))), 1),"0123456789abcdefghijklmnopqrstuvwxyzABCDEFGHIJKLMNOPQRSTUVWXYZ.")))))</f>
        <v>0</v>
      </c>
      <c r="AE217" t="b">
        <f>OR(AND(IF(metadata!C217="",FALSE,TRUE),OR(EXACT(metadata!C217,"not applicable"),EXACT(metadata!C217,"missing: not collected"),EXACT(metadata!C217,"missing: not provided"),EXACT(metadata!C217,"missing: restricted access"))),AND(IF(metadata!C217="",FALSE,ISNUMBER(VALUE(metadata!C217))),metadata!C217&gt;0))</f>
        <v>0</v>
      </c>
      <c r="AF217" t="b">
        <f>AND(IF(metadata!D217="",FALSE,TRUE),EXACT(metadata!D217,"missing: not provided"))</f>
        <v>0</v>
      </c>
      <c r="AG217" t="b">
        <f>AND(IF(metadata!E217="",FALSE,TRUE),EXACT(metadata!E217,"Host-associated"))</f>
        <v>0</v>
      </c>
      <c r="AH217" t="b">
        <f>AND(IF(metadata!F217="",FALSE,TRUE),OR(EXACT(metadata!F217,"Animal"),EXACT(metadata!F217,"Fungus"),EXACT(metadata!F217,"Plant")))</f>
        <v>0</v>
      </c>
      <c r="AI217" t="b">
        <f>AND(IF(metadata!G217="",FALSE,TRUE),OR(EXACT(metadata!G217,"Plant secretion"),EXACT(metadata!G217,"Plant rhizosphere"),EXACT(metadata!G217,"Plant surface"),EXACT(metadata!G217,"Plant corpus"),EXACT(metadata!G217,"Fungus surface"),EXACT(metadata!G217,"Fungus corpus"),EXACT(metadata!G217,"Animal surface"),EXACT(metadata!G217,"Animal proximal gut"),EXACT(metadata!G217,"Animal corpus"),EXACT(metadata!G217,"Animal distal gut"),EXACT(metadata!G217,"Animal secretion")))</f>
        <v>0</v>
      </c>
      <c r="AJ217" t="b">
        <f>OR(AND(IF(metadata!H217="",FALSE,TRUE),OR(EXACT(metadata!H217,"missing: not collected"),EXACT(metadata!H217,"missing: not provided"),EXACT(metadata!H217,"missing: restricted access"))),AND(IF(metadata!H217="",FALSE,TRUE),OR(EXACT(metadata!H217,"organism-associated habitat"),EXACT(metadata!H217,"plant-associated habitat"),EXACT(metadata!H217,"animal-associated habitat"),EXACT(metadata!H217,"insecta-associated habitat"),EXACT(metadata!H217,"mammalia-associated habitat"),EXACT(metadata!H217,"human-associated habitat"),EXACT(metadata!H217,"livestock-associated habitat"))))</f>
        <v>0</v>
      </c>
      <c r="AK217" t="b">
        <f>AND(IF(metadata!I217="",FALSE,TRUE),EXACT(metadata!I217,"host-associated"))</f>
        <v>0</v>
      </c>
      <c r="AL217" t="b">
        <f>OR(AND(IF(metadata!J217="",FALSE,TRUE),OR(EXACT(metadata!J217,"not applicable"),EXACT(metadata!J217,"missing: not collected"),EXACT(metadata!J217,"missing: not provided"),EXACT(metadata!J217,"missing: restricted access"))),AND(IF(metadata!J217="",FALSE,ISNUMBER(VALUE(metadata!J217))),metadata!J217&gt;0))</f>
        <v>0</v>
      </c>
      <c r="AM217" t="b">
        <f>AND(IF(metadata!K217="",FALSE,TRUE),EXACT(metadata!K217,"missing: not provided"))</f>
        <v>0</v>
      </c>
      <c r="AN217" t="b">
        <f>IF(metadata!L217="",FALSE,TRUE)</f>
        <v>0</v>
      </c>
      <c r="AO217" t="b">
        <f>IF(metadata!M217="",FALSE,TRUE)</f>
        <v>0</v>
      </c>
      <c r="AP217" t="b">
        <f>OR(AND(IF(metadata!N217="",FALSE,TRUE),OR(EXACT(metadata!N217,"not applicable"),EXACT(metadata!N217,"missing: not collected"),EXACT(metadata!N217,"missing: not provided"))),AND(IF(metadata!N217="",FALSE,IF(ISERROR(INT(metadata!N217)),FALSE,INT(metadata!N217)=metadata!N217)),metadata!N217&gt;0))</f>
        <v>0</v>
      </c>
      <c r="AQ217" t="b">
        <f>AND(IF(metadata!O217="",FALSE,TRUE),EXACT(metadata!O217,"Not applicable"))</f>
        <v>0</v>
      </c>
      <c r="AR217" t="b">
        <f>OR(AND(IF(metadata!P217="",FALSE,TRUE),OR(EXACT(metadata!P217,"not applicable"),EXACT(metadata!P217,"missing: not collected"),EXACT(metadata!P217,"missing: not provided"),EXACT(metadata!P217,"missing: restricted access"))),IF(metadata!P217="",FALSE,IF(ISERROR(INT(metadata!P217)),FALSE,INT(metadata!P217)=metadata!P217)))</f>
        <v>0</v>
      </c>
      <c r="AS217" t="b">
        <f>AND(IF(metadata!Q217="",FALSE,TRUE),EXACT(metadata!Q217,"Not applicable"))</f>
        <v>0</v>
      </c>
      <c r="AT217" t="b">
        <f>OR(AND(IF(metadata!R217="",FALSE,TRUE),OR(EXACT(metadata!R217,"not applicable"),EXACT(metadata!R217,"missing: not collected"),EXACT(metadata!R217,"missing: not provided"),EXACT(metadata!R217,"missing: restricted access"))),AND(IF(metadata!R217="",FALSE,ISNUMBER(VALUE(metadata!R217))),metadata!R217&gt;0))</f>
        <v>0</v>
      </c>
      <c r="AU217" t="b">
        <f>AND(IF(metadata!S217="",FALSE,TRUE),EXACT(metadata!S217,"missing: not provided"))</f>
        <v>0</v>
      </c>
    </row>
    <row r="218" spans="1:47" x14ac:dyDescent="0.2">
      <c r="A218" s="5" t="str">
        <f ca="1">IF(B218=" "," ",HYPERLINK(CONCATENATE("#metadata!",ADDRESS(INDEX($Y$2:$Y$1001,MATCH(ROWS($W$2:W218),$W$2:$W$1001,0),0),1)),INDEX($AB$2:$AB$1001,MATCH(ROWS($W$2:W218),$W$2:$W$1001,0),0)))</f>
        <v xml:space="preserve"> </v>
      </c>
      <c r="B218" s="4" t="str">
        <f ca="1">IF(OR(INDEX($X$2:$X$1001,MATCH(ROWS($W$2:W218),$W$2:$W$1001,0),1)&gt;=100000,INDEX($AD$1005:$AU$1005,1,MATCH(COLUMNS($AD$1006:AD1006),$AD$1006:$AU$1006,0))&gt;=100000), " ",IF(INDEX($AD$2:$AU$1001,MATCH(ROWS($W$2:W218),$W$2:$W$1001,0),MATCH(COLUMNS($AD$1006:AD1006),$AD$1006:$AU$1006,0)), HYPERLINK("#",""), HYPERLINK(CONCATENATE("#metadata!", ADDRESS(INDEX($Y$2:$Y$1001,MATCH(ROWS($W$2:W218),$W$2:$W$1001,0),0), INDEX($AD$1004:$AU$1004,1,MATCH(COLUMNS($AD$1006:AD1006),$AD$1006:$AU$1006,0)))),"Fix")))</f>
        <v xml:space="preserve"> </v>
      </c>
      <c r="C218" s="4" t="str">
        <f ca="1">IF(OR(INDEX($X$2:$X$1001,MATCH(ROWS($W$2:W218),$W$2:$W$1001,0),1)&gt;=100000,INDEX($AD$1005:$AU$1005,1,MATCH(COLUMNS($AD$1006:AE1006),$AD$1006:$AU$1006,0))&gt;=100000), " ",IF(INDEX($AD$2:$AU$1001,MATCH(ROWS($W$2:W218),$W$2:$W$1001,0),MATCH(COLUMNS($AD$1006:AE1006),$AD$1006:$AU$1006,0)), HYPERLINK("#",""), HYPERLINK(CONCATENATE("#metadata!", ADDRESS(INDEX($Y$2:$Y$1001,MATCH(ROWS($W$2:W218),$W$2:$W$1001,0),0), INDEX($AD$1004:$AU$1004,1,MATCH(COLUMNS($AD$1006:AE1006),$AD$1006:$AU$1006,0)))),"Fix")))</f>
        <v xml:space="preserve"> </v>
      </c>
      <c r="D218" s="4" t="str">
        <f ca="1">IF(OR(INDEX($X$2:$X$1001,MATCH(ROWS($W$2:W218),$W$2:$W$1001,0),1)&gt;=100000,INDEX($AD$1005:$AU$1005,1,MATCH(COLUMNS($AD$1006:AF1006),$AD$1006:$AU$1006,0))&gt;=100000), " ",IF(INDEX($AD$2:$AU$1001,MATCH(ROWS($W$2:W218),$W$2:$W$1001,0),MATCH(COLUMNS($AD$1006:AF1006),$AD$1006:$AU$1006,0)), HYPERLINK("#",""), HYPERLINK(CONCATENATE("#metadata!", ADDRESS(INDEX($Y$2:$Y$1001,MATCH(ROWS($W$2:W218),$W$2:$W$1001,0),0), INDEX($AD$1004:$AU$1004,1,MATCH(COLUMNS($AD$1006:AF1006),$AD$1006:$AU$1006,0)))),"Fix")))</f>
        <v xml:space="preserve"> </v>
      </c>
      <c r="E218" s="4" t="str">
        <f ca="1">IF(OR(INDEX($X$2:$X$1001,MATCH(ROWS($W$2:W218),$W$2:$W$1001,0),1)&gt;=100000,INDEX($AD$1005:$AU$1005,1,MATCH(COLUMNS($AD$1006:AG1006),$AD$1006:$AU$1006,0))&gt;=100000), " ",IF(INDEX($AD$2:$AU$1001,MATCH(ROWS($W$2:W218),$W$2:$W$1001,0),MATCH(COLUMNS($AD$1006:AG1006),$AD$1006:$AU$1006,0)), HYPERLINK("#",""), HYPERLINK(CONCATENATE("#metadata!", ADDRESS(INDEX($Y$2:$Y$1001,MATCH(ROWS($W$2:W218),$W$2:$W$1001,0),0), INDEX($AD$1004:$AU$1004,1,MATCH(COLUMNS($AD$1006:AG1006),$AD$1006:$AU$1006,0)))),"Fix")))</f>
        <v xml:space="preserve"> </v>
      </c>
      <c r="F218" s="4" t="str">
        <f ca="1">IF(OR(INDEX($X$2:$X$1001,MATCH(ROWS($W$2:W218),$W$2:$W$1001,0),1)&gt;=100000,INDEX($AD$1005:$AU$1005,1,MATCH(COLUMNS($AD$1006:AH1006),$AD$1006:$AU$1006,0))&gt;=100000), " ",IF(INDEX($AD$2:$AU$1001,MATCH(ROWS($W$2:W218),$W$2:$W$1001,0),MATCH(COLUMNS($AD$1006:AH1006),$AD$1006:$AU$1006,0)), HYPERLINK("#",""), HYPERLINK(CONCATENATE("#metadata!", ADDRESS(INDEX($Y$2:$Y$1001,MATCH(ROWS($W$2:W218),$W$2:$W$1001,0),0), INDEX($AD$1004:$AU$1004,1,MATCH(COLUMNS($AD$1006:AH1006),$AD$1006:$AU$1006,0)))),"Fix")))</f>
        <v xml:space="preserve"> </v>
      </c>
      <c r="G218" s="4" t="str">
        <f ca="1">IF(OR(INDEX($X$2:$X$1001,MATCH(ROWS($W$2:W218),$W$2:$W$1001,0),1)&gt;=100000,INDEX($AD$1005:$AU$1005,1,MATCH(COLUMNS($AD$1006:AI1006),$AD$1006:$AU$1006,0))&gt;=100000), " ",IF(INDEX($AD$2:$AU$1001,MATCH(ROWS($W$2:W218),$W$2:$W$1001,0),MATCH(COLUMNS($AD$1006:AI1006),$AD$1006:$AU$1006,0)), HYPERLINK("#",""), HYPERLINK(CONCATENATE("#metadata!", ADDRESS(INDEX($Y$2:$Y$1001,MATCH(ROWS($W$2:W218),$W$2:$W$1001,0),0), INDEX($AD$1004:$AU$1004,1,MATCH(COLUMNS($AD$1006:AI1006),$AD$1006:$AU$1006,0)))),"Fix")))</f>
        <v xml:space="preserve"> </v>
      </c>
      <c r="H218" s="4" t="str">
        <f ca="1">IF(OR(INDEX($X$2:$X$1001,MATCH(ROWS($W$2:W218),$W$2:$W$1001,0),1)&gt;=100000,INDEX($AD$1005:$AU$1005,1,MATCH(COLUMNS($AD$1006:AJ1006),$AD$1006:$AU$1006,0))&gt;=100000), " ",IF(INDEX($AD$2:$AU$1001,MATCH(ROWS($W$2:W218),$W$2:$W$1001,0),MATCH(COLUMNS($AD$1006:AJ1006),$AD$1006:$AU$1006,0)), HYPERLINK("#",""), HYPERLINK(CONCATENATE("#metadata!", ADDRESS(INDEX($Y$2:$Y$1001,MATCH(ROWS($W$2:W218),$W$2:$W$1001,0),0), INDEX($AD$1004:$AU$1004,1,MATCH(COLUMNS($AD$1006:AJ1006),$AD$1006:$AU$1006,0)))),"Fix")))</f>
        <v xml:space="preserve"> </v>
      </c>
      <c r="I218" s="4" t="str">
        <f ca="1">IF(OR(INDEX($X$2:$X$1001,MATCH(ROWS($W$2:W218),$W$2:$W$1001,0),1)&gt;=100000,INDEX($AD$1005:$AU$1005,1,MATCH(COLUMNS($AD$1006:AK1006),$AD$1006:$AU$1006,0))&gt;=100000), " ",IF(INDEX($AD$2:$AU$1001,MATCH(ROWS($W$2:W218),$W$2:$W$1001,0),MATCH(COLUMNS($AD$1006:AK1006),$AD$1006:$AU$1006,0)), HYPERLINK("#",""), HYPERLINK(CONCATENATE("#metadata!", ADDRESS(INDEX($Y$2:$Y$1001,MATCH(ROWS($W$2:W218),$W$2:$W$1001,0),0), INDEX($AD$1004:$AU$1004,1,MATCH(COLUMNS($AD$1006:AK1006),$AD$1006:$AU$1006,0)))),"Fix")))</f>
        <v xml:space="preserve"> </v>
      </c>
      <c r="J218" s="4" t="str">
        <f ca="1">IF(OR(INDEX($X$2:$X$1001,MATCH(ROWS($W$2:W218),$W$2:$W$1001,0),1)&gt;=100000,INDEX($AD$1005:$AU$1005,1,MATCH(COLUMNS($AD$1006:AL1006),$AD$1006:$AU$1006,0))&gt;=100000), " ",IF(INDEX($AD$2:$AU$1001,MATCH(ROWS($W$2:W218),$W$2:$W$1001,0),MATCH(COLUMNS($AD$1006:AL1006),$AD$1006:$AU$1006,0)), HYPERLINK("#",""), HYPERLINK(CONCATENATE("#metadata!", ADDRESS(INDEX($Y$2:$Y$1001,MATCH(ROWS($W$2:W218),$W$2:$W$1001,0),0), INDEX($AD$1004:$AU$1004,1,MATCH(COLUMNS($AD$1006:AL1006),$AD$1006:$AU$1006,0)))),"Fix")))</f>
        <v xml:space="preserve"> </v>
      </c>
      <c r="K218" s="4" t="str">
        <f ca="1">IF(OR(INDEX($X$2:$X$1001,MATCH(ROWS($W$2:W218),$W$2:$W$1001,0),1)&gt;=100000,INDEX($AD$1005:$AU$1005,1,MATCH(COLUMNS($AD$1006:AM1006),$AD$1006:$AU$1006,0))&gt;=100000), " ",IF(INDEX($AD$2:$AU$1001,MATCH(ROWS($W$2:W218),$W$2:$W$1001,0),MATCH(COLUMNS($AD$1006:AM1006),$AD$1006:$AU$1006,0)), HYPERLINK("#",""), HYPERLINK(CONCATENATE("#metadata!", ADDRESS(INDEX($Y$2:$Y$1001,MATCH(ROWS($W$2:W218),$W$2:$W$1001,0),0), INDEX($AD$1004:$AU$1004,1,MATCH(COLUMNS($AD$1006:AM1006),$AD$1006:$AU$1006,0)))),"Fix")))</f>
        <v xml:space="preserve"> </v>
      </c>
      <c r="L218" s="4" t="str">
        <f ca="1">IF(OR(INDEX($X$2:$X$1001,MATCH(ROWS($W$2:W218),$W$2:$W$1001,0),1)&gt;=100000,INDEX($AD$1005:$AU$1005,1,MATCH(COLUMNS($AD$1006:AN1006),$AD$1006:$AU$1006,0))&gt;=100000), " ",IF(INDEX($AD$2:$AU$1001,MATCH(ROWS($W$2:W218),$W$2:$W$1001,0),MATCH(COLUMNS($AD$1006:AN1006),$AD$1006:$AU$1006,0)), HYPERLINK("#",""), HYPERLINK(CONCATENATE("#metadata!", ADDRESS(INDEX($Y$2:$Y$1001,MATCH(ROWS($W$2:W218),$W$2:$W$1001,0),0), INDEX($AD$1004:$AU$1004,1,MATCH(COLUMNS($AD$1006:AN1006),$AD$1006:$AU$1006,0)))),"Fix")))</f>
        <v xml:space="preserve"> </v>
      </c>
      <c r="M218" s="4" t="str">
        <f ca="1">IF(OR(INDEX($X$2:$X$1001,MATCH(ROWS($W$2:W218),$W$2:$W$1001,0),1)&gt;=100000,INDEX($AD$1005:$AU$1005,1,MATCH(COLUMNS($AD$1006:AO1006),$AD$1006:$AU$1006,0))&gt;=100000), " ",IF(INDEX($AD$2:$AU$1001,MATCH(ROWS($W$2:W218),$W$2:$W$1001,0),MATCH(COLUMNS($AD$1006:AO1006),$AD$1006:$AU$1006,0)), HYPERLINK("#",""), HYPERLINK(CONCATENATE("#metadata!", ADDRESS(INDEX($Y$2:$Y$1001,MATCH(ROWS($W$2:W218),$W$2:$W$1001,0),0), INDEX($AD$1004:$AU$1004,1,MATCH(COLUMNS($AD$1006:AO1006),$AD$1006:$AU$1006,0)))),"Fix")))</f>
        <v xml:space="preserve"> </v>
      </c>
      <c r="N218" s="4" t="str">
        <f ca="1">IF(OR(INDEX($X$2:$X$1001,MATCH(ROWS($W$2:W218),$W$2:$W$1001,0),1)&gt;=100000,INDEX($AD$1005:$AU$1005,1,MATCH(COLUMNS($AD$1006:AP1006),$AD$1006:$AU$1006,0))&gt;=100000), " ",IF(INDEX($AD$2:$AU$1001,MATCH(ROWS($W$2:W218),$W$2:$W$1001,0),MATCH(COLUMNS($AD$1006:AP1006),$AD$1006:$AU$1006,0)), HYPERLINK("#",""), HYPERLINK(CONCATENATE("#metadata!", ADDRESS(INDEX($Y$2:$Y$1001,MATCH(ROWS($W$2:W218),$W$2:$W$1001,0),0), INDEX($AD$1004:$AU$1004,1,MATCH(COLUMNS($AD$1006:AP1006),$AD$1006:$AU$1006,0)))),"Fix")))</f>
        <v xml:space="preserve"> </v>
      </c>
      <c r="O218" s="4" t="str">
        <f ca="1">IF(OR(INDEX($X$2:$X$1001,MATCH(ROWS($W$2:W218),$W$2:$W$1001,0),1)&gt;=100000,INDEX($AD$1005:$AU$1005,1,MATCH(COLUMNS($AD$1006:AQ1006),$AD$1006:$AU$1006,0))&gt;=100000), " ",IF(INDEX($AD$2:$AU$1001,MATCH(ROWS($W$2:W218),$W$2:$W$1001,0),MATCH(COLUMNS($AD$1006:AQ1006),$AD$1006:$AU$1006,0)), HYPERLINK("#",""), HYPERLINK(CONCATENATE("#metadata!", ADDRESS(INDEX($Y$2:$Y$1001,MATCH(ROWS($W$2:W218),$W$2:$W$1001,0),0), INDEX($AD$1004:$AU$1004,1,MATCH(COLUMNS($AD$1006:AQ1006),$AD$1006:$AU$1006,0)))),"Fix")))</f>
        <v xml:space="preserve"> </v>
      </c>
      <c r="P218" s="4" t="str">
        <f ca="1">IF(OR(INDEX($X$2:$X$1001,MATCH(ROWS($W$2:W218),$W$2:$W$1001,0),1)&gt;=100000,INDEX($AD$1005:$AU$1005,1,MATCH(COLUMNS($AD$1006:AR1006),$AD$1006:$AU$1006,0))&gt;=100000), " ",IF(INDEX($AD$2:$AU$1001,MATCH(ROWS($W$2:W218),$W$2:$W$1001,0),MATCH(COLUMNS($AD$1006:AR1006),$AD$1006:$AU$1006,0)), HYPERLINK("#",""), HYPERLINK(CONCATENATE("#metadata!", ADDRESS(INDEX($Y$2:$Y$1001,MATCH(ROWS($W$2:W218),$W$2:$W$1001,0),0), INDEX($AD$1004:$AU$1004,1,MATCH(COLUMNS($AD$1006:AR1006),$AD$1006:$AU$1006,0)))),"Fix")))</f>
        <v xml:space="preserve"> </v>
      </c>
      <c r="Q218" s="4" t="str">
        <f ca="1">IF(OR(INDEX($X$2:$X$1001,MATCH(ROWS($W$2:W218),$W$2:$W$1001,0),1)&gt;=100000,INDEX($AD$1005:$AU$1005,1,MATCH(COLUMNS($AD$1006:AS1006),$AD$1006:$AU$1006,0))&gt;=100000), " ",IF(INDEX($AD$2:$AU$1001,MATCH(ROWS($W$2:W218),$W$2:$W$1001,0),MATCH(COLUMNS($AD$1006:AS1006),$AD$1006:$AU$1006,0)), HYPERLINK("#",""), HYPERLINK(CONCATENATE("#metadata!", ADDRESS(INDEX($Y$2:$Y$1001,MATCH(ROWS($W$2:W218),$W$2:$W$1001,0),0), INDEX($AD$1004:$AU$1004,1,MATCH(COLUMNS($AD$1006:AS1006),$AD$1006:$AU$1006,0)))),"Fix")))</f>
        <v xml:space="preserve"> </v>
      </c>
      <c r="R218" s="4" t="str">
        <f ca="1">IF(OR(INDEX($X$2:$X$1001,MATCH(ROWS($W$2:W218),$W$2:$W$1001,0),1)&gt;=100000,INDEX($AD$1005:$AU$1005,1,MATCH(COLUMNS($AD$1006:AT1006),$AD$1006:$AU$1006,0))&gt;=100000), " ",IF(INDEX($AD$2:$AU$1001,MATCH(ROWS($W$2:W218),$W$2:$W$1001,0),MATCH(COLUMNS($AD$1006:AT1006),$AD$1006:$AU$1006,0)), HYPERLINK("#",""), HYPERLINK(CONCATENATE("#metadata!", ADDRESS(INDEX($Y$2:$Y$1001,MATCH(ROWS($W$2:W218),$W$2:$W$1001,0),0), INDEX($AD$1004:$AU$1004,1,MATCH(COLUMNS($AD$1006:AT1006),$AD$1006:$AU$1006,0)))),"Fix")))</f>
        <v xml:space="preserve"> </v>
      </c>
      <c r="S218" s="4" t="str">
        <f ca="1">IF(OR(INDEX($X$2:$X$1001,MATCH(ROWS($W$2:W218),$W$2:$W$1001,0),1)&gt;=100000,INDEX($AD$1005:$AU$1005,1,MATCH(COLUMNS($AD$1006:AU1006),$AD$1006:$AU$1006,0))&gt;=100000), " ",IF(INDEX($AD$2:$AU$1001,MATCH(ROWS($W$2:W218),$W$2:$W$1001,0),MATCH(COLUMNS($AD$1006:AU1006),$AD$1006:$AU$1006,0)), HYPERLINK("#",""), HYPERLINK(CONCATENATE("#metadata!", ADDRESS(INDEX($Y$2:$Y$1001,MATCH(ROWS($W$2:W218),$W$2:$W$1001,0),0), INDEX($AD$1004:$AU$1004,1,MATCH(COLUMNS($AD$1006:AU1006),$AD$1006:$AU$1006,0)))),"Fix")))</f>
        <v xml:space="preserve"> </v>
      </c>
      <c r="W218">
        <v>217</v>
      </c>
      <c r="X218">
        <v>100218</v>
      </c>
      <c r="Y218">
        <v>218</v>
      </c>
      <c r="Z218" t="b">
        <f t="shared" si="3"/>
        <v>1</v>
      </c>
      <c r="AA218" t="b">
        <f>COUNTBLANK(metadata!B218:S218)=COLUMNS(metadata!B218:S218)</f>
        <v>1</v>
      </c>
      <c r="AB218" t="str">
        <v/>
      </c>
      <c r="AD218" t="b">
        <f ca="1">AND(IF(metadata!B218="",FALSE,TRUE),COUNTIF(metadata!B:B, metadata!B218) = 1,NOT(ISERROR(SUMPRODUCT(SEARCH(MID(metadata!B218,ROW(INDIRECT("1:"&amp;LEN(metadata!B218))), 1),"0123456789abcdefghijklmnopqrstuvwxyzABCDEFGHIJKLMNOPQRSTUVWXYZ.")))))</f>
        <v>0</v>
      </c>
      <c r="AE218" t="b">
        <f>OR(AND(IF(metadata!C218="",FALSE,TRUE),OR(EXACT(metadata!C218,"not applicable"),EXACT(metadata!C218,"missing: not collected"),EXACT(metadata!C218,"missing: not provided"),EXACT(metadata!C218,"missing: restricted access"))),AND(IF(metadata!C218="",FALSE,ISNUMBER(VALUE(metadata!C218))),metadata!C218&gt;0))</f>
        <v>0</v>
      </c>
      <c r="AF218" t="b">
        <f>AND(IF(metadata!D218="",FALSE,TRUE),EXACT(metadata!D218,"missing: not provided"))</f>
        <v>0</v>
      </c>
      <c r="AG218" t="b">
        <f>AND(IF(metadata!E218="",FALSE,TRUE),EXACT(metadata!E218,"Host-associated"))</f>
        <v>0</v>
      </c>
      <c r="AH218" t="b">
        <f>AND(IF(metadata!F218="",FALSE,TRUE),OR(EXACT(metadata!F218,"Animal"),EXACT(metadata!F218,"Fungus"),EXACT(metadata!F218,"Plant")))</f>
        <v>0</v>
      </c>
      <c r="AI218" t="b">
        <f>AND(IF(metadata!G218="",FALSE,TRUE),OR(EXACT(metadata!G218,"Plant secretion"),EXACT(metadata!G218,"Plant rhizosphere"),EXACT(metadata!G218,"Plant surface"),EXACT(metadata!G218,"Plant corpus"),EXACT(metadata!G218,"Fungus surface"),EXACT(metadata!G218,"Fungus corpus"),EXACT(metadata!G218,"Animal surface"),EXACT(metadata!G218,"Animal proximal gut"),EXACT(metadata!G218,"Animal corpus"),EXACT(metadata!G218,"Animal distal gut"),EXACT(metadata!G218,"Animal secretion")))</f>
        <v>0</v>
      </c>
      <c r="AJ218" t="b">
        <f>OR(AND(IF(metadata!H218="",FALSE,TRUE),OR(EXACT(metadata!H218,"missing: not collected"),EXACT(metadata!H218,"missing: not provided"),EXACT(metadata!H218,"missing: restricted access"))),AND(IF(metadata!H218="",FALSE,TRUE),OR(EXACT(metadata!H218,"organism-associated habitat"),EXACT(metadata!H218,"plant-associated habitat"),EXACT(metadata!H218,"animal-associated habitat"),EXACT(metadata!H218,"insecta-associated habitat"),EXACT(metadata!H218,"mammalia-associated habitat"),EXACT(metadata!H218,"human-associated habitat"),EXACT(metadata!H218,"livestock-associated habitat"))))</f>
        <v>0</v>
      </c>
      <c r="AK218" t="b">
        <f>AND(IF(metadata!I218="",FALSE,TRUE),EXACT(metadata!I218,"host-associated"))</f>
        <v>0</v>
      </c>
      <c r="AL218" t="b">
        <f>OR(AND(IF(metadata!J218="",FALSE,TRUE),OR(EXACT(metadata!J218,"not applicable"),EXACT(metadata!J218,"missing: not collected"),EXACT(metadata!J218,"missing: not provided"),EXACT(metadata!J218,"missing: restricted access"))),AND(IF(metadata!J218="",FALSE,ISNUMBER(VALUE(metadata!J218))),metadata!J218&gt;0))</f>
        <v>0</v>
      </c>
      <c r="AM218" t="b">
        <f>AND(IF(metadata!K218="",FALSE,TRUE),EXACT(metadata!K218,"missing: not provided"))</f>
        <v>0</v>
      </c>
      <c r="AN218" t="b">
        <f>IF(metadata!L218="",FALSE,TRUE)</f>
        <v>0</v>
      </c>
      <c r="AO218" t="b">
        <f>IF(metadata!M218="",FALSE,TRUE)</f>
        <v>0</v>
      </c>
      <c r="AP218" t="b">
        <f>OR(AND(IF(metadata!N218="",FALSE,TRUE),OR(EXACT(metadata!N218,"not applicable"),EXACT(metadata!N218,"missing: not collected"),EXACT(metadata!N218,"missing: not provided"))),AND(IF(metadata!N218="",FALSE,IF(ISERROR(INT(metadata!N218)),FALSE,INT(metadata!N218)=metadata!N218)),metadata!N218&gt;0))</f>
        <v>0</v>
      </c>
      <c r="AQ218" t="b">
        <f>AND(IF(metadata!O218="",FALSE,TRUE),EXACT(metadata!O218,"Not applicable"))</f>
        <v>0</v>
      </c>
      <c r="AR218" t="b">
        <f>OR(AND(IF(metadata!P218="",FALSE,TRUE),OR(EXACT(metadata!P218,"not applicable"),EXACT(metadata!P218,"missing: not collected"),EXACT(metadata!P218,"missing: not provided"),EXACT(metadata!P218,"missing: restricted access"))),IF(metadata!P218="",FALSE,IF(ISERROR(INT(metadata!P218)),FALSE,INT(metadata!P218)=metadata!P218)))</f>
        <v>0</v>
      </c>
      <c r="AS218" t="b">
        <f>AND(IF(metadata!Q218="",FALSE,TRUE),EXACT(metadata!Q218,"Not applicable"))</f>
        <v>0</v>
      </c>
      <c r="AT218" t="b">
        <f>OR(AND(IF(metadata!R218="",FALSE,TRUE),OR(EXACT(metadata!R218,"not applicable"),EXACT(metadata!R218,"missing: not collected"),EXACT(metadata!R218,"missing: not provided"),EXACT(metadata!R218,"missing: restricted access"))),AND(IF(metadata!R218="",FALSE,ISNUMBER(VALUE(metadata!R218))),metadata!R218&gt;0))</f>
        <v>0</v>
      </c>
      <c r="AU218" t="b">
        <f>AND(IF(metadata!S218="",FALSE,TRUE),EXACT(metadata!S218,"missing: not provided"))</f>
        <v>0</v>
      </c>
    </row>
    <row r="219" spans="1:47" x14ac:dyDescent="0.2">
      <c r="A219" s="5" t="str">
        <f ca="1">IF(B219=" "," ",HYPERLINK(CONCATENATE("#metadata!",ADDRESS(INDEX($Y$2:$Y$1001,MATCH(ROWS($W$2:W219),$W$2:$W$1001,0),0),1)),INDEX($AB$2:$AB$1001,MATCH(ROWS($W$2:W219),$W$2:$W$1001,0),0)))</f>
        <v xml:space="preserve"> </v>
      </c>
      <c r="B219" s="4" t="str">
        <f ca="1">IF(OR(INDEX($X$2:$X$1001,MATCH(ROWS($W$2:W219),$W$2:$W$1001,0),1)&gt;=100000,INDEX($AD$1005:$AU$1005,1,MATCH(COLUMNS($AD$1006:AD1006),$AD$1006:$AU$1006,0))&gt;=100000), " ",IF(INDEX($AD$2:$AU$1001,MATCH(ROWS($W$2:W219),$W$2:$W$1001,0),MATCH(COLUMNS($AD$1006:AD1006),$AD$1006:$AU$1006,0)), HYPERLINK("#",""), HYPERLINK(CONCATENATE("#metadata!", ADDRESS(INDEX($Y$2:$Y$1001,MATCH(ROWS($W$2:W219),$W$2:$W$1001,0),0), INDEX($AD$1004:$AU$1004,1,MATCH(COLUMNS($AD$1006:AD1006),$AD$1006:$AU$1006,0)))),"Fix")))</f>
        <v xml:space="preserve"> </v>
      </c>
      <c r="C219" s="4" t="str">
        <f ca="1">IF(OR(INDEX($X$2:$X$1001,MATCH(ROWS($W$2:W219),$W$2:$W$1001,0),1)&gt;=100000,INDEX($AD$1005:$AU$1005,1,MATCH(COLUMNS($AD$1006:AE1006),$AD$1006:$AU$1006,0))&gt;=100000), " ",IF(INDEX($AD$2:$AU$1001,MATCH(ROWS($W$2:W219),$W$2:$W$1001,0),MATCH(COLUMNS($AD$1006:AE1006),$AD$1006:$AU$1006,0)), HYPERLINK("#",""), HYPERLINK(CONCATENATE("#metadata!", ADDRESS(INDEX($Y$2:$Y$1001,MATCH(ROWS($W$2:W219),$W$2:$W$1001,0),0), INDEX($AD$1004:$AU$1004,1,MATCH(COLUMNS($AD$1006:AE1006),$AD$1006:$AU$1006,0)))),"Fix")))</f>
        <v xml:space="preserve"> </v>
      </c>
      <c r="D219" s="4" t="str">
        <f ca="1">IF(OR(INDEX($X$2:$X$1001,MATCH(ROWS($W$2:W219),$W$2:$W$1001,0),1)&gt;=100000,INDEX($AD$1005:$AU$1005,1,MATCH(COLUMNS($AD$1006:AF1006),$AD$1006:$AU$1006,0))&gt;=100000), " ",IF(INDEX($AD$2:$AU$1001,MATCH(ROWS($W$2:W219),$W$2:$W$1001,0),MATCH(COLUMNS($AD$1006:AF1006),$AD$1006:$AU$1006,0)), HYPERLINK("#",""), HYPERLINK(CONCATENATE("#metadata!", ADDRESS(INDEX($Y$2:$Y$1001,MATCH(ROWS($W$2:W219),$W$2:$W$1001,0),0), INDEX($AD$1004:$AU$1004,1,MATCH(COLUMNS($AD$1006:AF1006),$AD$1006:$AU$1006,0)))),"Fix")))</f>
        <v xml:space="preserve"> </v>
      </c>
      <c r="E219" s="4" t="str">
        <f ca="1">IF(OR(INDEX($X$2:$X$1001,MATCH(ROWS($W$2:W219),$W$2:$W$1001,0),1)&gt;=100000,INDEX($AD$1005:$AU$1005,1,MATCH(COLUMNS($AD$1006:AG1006),$AD$1006:$AU$1006,0))&gt;=100000), " ",IF(INDEX($AD$2:$AU$1001,MATCH(ROWS($W$2:W219),$W$2:$W$1001,0),MATCH(COLUMNS($AD$1006:AG1006),$AD$1006:$AU$1006,0)), HYPERLINK("#",""), HYPERLINK(CONCATENATE("#metadata!", ADDRESS(INDEX($Y$2:$Y$1001,MATCH(ROWS($W$2:W219),$W$2:$W$1001,0),0), INDEX($AD$1004:$AU$1004,1,MATCH(COLUMNS($AD$1006:AG1006),$AD$1006:$AU$1006,0)))),"Fix")))</f>
        <v xml:space="preserve"> </v>
      </c>
      <c r="F219" s="4" t="str">
        <f ca="1">IF(OR(INDEX($X$2:$X$1001,MATCH(ROWS($W$2:W219),$W$2:$W$1001,0),1)&gt;=100000,INDEX($AD$1005:$AU$1005,1,MATCH(COLUMNS($AD$1006:AH1006),$AD$1006:$AU$1006,0))&gt;=100000), " ",IF(INDEX($AD$2:$AU$1001,MATCH(ROWS($W$2:W219),$W$2:$W$1001,0),MATCH(COLUMNS($AD$1006:AH1006),$AD$1006:$AU$1006,0)), HYPERLINK("#",""), HYPERLINK(CONCATENATE("#metadata!", ADDRESS(INDEX($Y$2:$Y$1001,MATCH(ROWS($W$2:W219),$W$2:$W$1001,0),0), INDEX($AD$1004:$AU$1004,1,MATCH(COLUMNS($AD$1006:AH1006),$AD$1006:$AU$1006,0)))),"Fix")))</f>
        <v xml:space="preserve"> </v>
      </c>
      <c r="G219" s="4" t="str">
        <f ca="1">IF(OR(INDEX($X$2:$X$1001,MATCH(ROWS($W$2:W219),$W$2:$W$1001,0),1)&gt;=100000,INDEX($AD$1005:$AU$1005,1,MATCH(COLUMNS($AD$1006:AI1006),$AD$1006:$AU$1006,0))&gt;=100000), " ",IF(INDEX($AD$2:$AU$1001,MATCH(ROWS($W$2:W219),$W$2:$W$1001,0),MATCH(COLUMNS($AD$1006:AI1006),$AD$1006:$AU$1006,0)), HYPERLINK("#",""), HYPERLINK(CONCATENATE("#metadata!", ADDRESS(INDEX($Y$2:$Y$1001,MATCH(ROWS($W$2:W219),$W$2:$W$1001,0),0), INDEX($AD$1004:$AU$1004,1,MATCH(COLUMNS($AD$1006:AI1006),$AD$1006:$AU$1006,0)))),"Fix")))</f>
        <v xml:space="preserve"> </v>
      </c>
      <c r="H219" s="4" t="str">
        <f ca="1">IF(OR(INDEX($X$2:$X$1001,MATCH(ROWS($W$2:W219),$W$2:$W$1001,0),1)&gt;=100000,INDEX($AD$1005:$AU$1005,1,MATCH(COLUMNS($AD$1006:AJ1006),$AD$1006:$AU$1006,0))&gt;=100000), " ",IF(INDEX($AD$2:$AU$1001,MATCH(ROWS($W$2:W219),$W$2:$W$1001,0),MATCH(COLUMNS($AD$1006:AJ1006),$AD$1006:$AU$1006,0)), HYPERLINK("#",""), HYPERLINK(CONCATENATE("#metadata!", ADDRESS(INDEX($Y$2:$Y$1001,MATCH(ROWS($W$2:W219),$W$2:$W$1001,0),0), INDEX($AD$1004:$AU$1004,1,MATCH(COLUMNS($AD$1006:AJ1006),$AD$1006:$AU$1006,0)))),"Fix")))</f>
        <v xml:space="preserve"> </v>
      </c>
      <c r="I219" s="4" t="str">
        <f ca="1">IF(OR(INDEX($X$2:$X$1001,MATCH(ROWS($W$2:W219),$W$2:$W$1001,0),1)&gt;=100000,INDEX($AD$1005:$AU$1005,1,MATCH(COLUMNS($AD$1006:AK1006),$AD$1006:$AU$1006,0))&gt;=100000), " ",IF(INDEX($AD$2:$AU$1001,MATCH(ROWS($W$2:W219),$W$2:$W$1001,0),MATCH(COLUMNS($AD$1006:AK1006),$AD$1006:$AU$1006,0)), HYPERLINK("#",""), HYPERLINK(CONCATENATE("#metadata!", ADDRESS(INDEX($Y$2:$Y$1001,MATCH(ROWS($W$2:W219),$W$2:$W$1001,0),0), INDEX($AD$1004:$AU$1004,1,MATCH(COLUMNS($AD$1006:AK1006),$AD$1006:$AU$1006,0)))),"Fix")))</f>
        <v xml:space="preserve"> </v>
      </c>
      <c r="J219" s="4" t="str">
        <f ca="1">IF(OR(INDEX($X$2:$X$1001,MATCH(ROWS($W$2:W219),$W$2:$W$1001,0),1)&gt;=100000,INDEX($AD$1005:$AU$1005,1,MATCH(COLUMNS($AD$1006:AL1006),$AD$1006:$AU$1006,0))&gt;=100000), " ",IF(INDEX($AD$2:$AU$1001,MATCH(ROWS($W$2:W219),$W$2:$W$1001,0),MATCH(COLUMNS($AD$1006:AL1006),$AD$1006:$AU$1006,0)), HYPERLINK("#",""), HYPERLINK(CONCATENATE("#metadata!", ADDRESS(INDEX($Y$2:$Y$1001,MATCH(ROWS($W$2:W219),$W$2:$W$1001,0),0), INDEX($AD$1004:$AU$1004,1,MATCH(COLUMNS($AD$1006:AL1006),$AD$1006:$AU$1006,0)))),"Fix")))</f>
        <v xml:space="preserve"> </v>
      </c>
      <c r="K219" s="4" t="str">
        <f ca="1">IF(OR(INDEX($X$2:$X$1001,MATCH(ROWS($W$2:W219),$W$2:$W$1001,0),1)&gt;=100000,INDEX($AD$1005:$AU$1005,1,MATCH(COLUMNS($AD$1006:AM1006),$AD$1006:$AU$1006,0))&gt;=100000), " ",IF(INDEX($AD$2:$AU$1001,MATCH(ROWS($W$2:W219),$W$2:$W$1001,0),MATCH(COLUMNS($AD$1006:AM1006),$AD$1006:$AU$1006,0)), HYPERLINK("#",""), HYPERLINK(CONCATENATE("#metadata!", ADDRESS(INDEX($Y$2:$Y$1001,MATCH(ROWS($W$2:W219),$W$2:$W$1001,0),0), INDEX($AD$1004:$AU$1004,1,MATCH(COLUMNS($AD$1006:AM1006),$AD$1006:$AU$1006,0)))),"Fix")))</f>
        <v xml:space="preserve"> </v>
      </c>
      <c r="L219" s="4" t="str">
        <f ca="1">IF(OR(INDEX($X$2:$X$1001,MATCH(ROWS($W$2:W219),$W$2:$W$1001,0),1)&gt;=100000,INDEX($AD$1005:$AU$1005,1,MATCH(COLUMNS($AD$1006:AN1006),$AD$1006:$AU$1006,0))&gt;=100000), " ",IF(INDEX($AD$2:$AU$1001,MATCH(ROWS($W$2:W219),$W$2:$W$1001,0),MATCH(COLUMNS($AD$1006:AN1006),$AD$1006:$AU$1006,0)), HYPERLINK("#",""), HYPERLINK(CONCATENATE("#metadata!", ADDRESS(INDEX($Y$2:$Y$1001,MATCH(ROWS($W$2:W219),$W$2:$W$1001,0),0), INDEX($AD$1004:$AU$1004,1,MATCH(COLUMNS($AD$1006:AN1006),$AD$1006:$AU$1006,0)))),"Fix")))</f>
        <v xml:space="preserve"> </v>
      </c>
      <c r="M219" s="4" t="str">
        <f ca="1">IF(OR(INDEX($X$2:$X$1001,MATCH(ROWS($W$2:W219),$W$2:$W$1001,0),1)&gt;=100000,INDEX($AD$1005:$AU$1005,1,MATCH(COLUMNS($AD$1006:AO1006),$AD$1006:$AU$1006,0))&gt;=100000), " ",IF(INDEX($AD$2:$AU$1001,MATCH(ROWS($W$2:W219),$W$2:$W$1001,0),MATCH(COLUMNS($AD$1006:AO1006),$AD$1006:$AU$1006,0)), HYPERLINK("#",""), HYPERLINK(CONCATENATE("#metadata!", ADDRESS(INDEX($Y$2:$Y$1001,MATCH(ROWS($W$2:W219),$W$2:$W$1001,0),0), INDEX($AD$1004:$AU$1004,1,MATCH(COLUMNS($AD$1006:AO1006),$AD$1006:$AU$1006,0)))),"Fix")))</f>
        <v xml:space="preserve"> </v>
      </c>
      <c r="N219" s="4" t="str">
        <f ca="1">IF(OR(INDEX($X$2:$X$1001,MATCH(ROWS($W$2:W219),$W$2:$W$1001,0),1)&gt;=100000,INDEX($AD$1005:$AU$1005,1,MATCH(COLUMNS($AD$1006:AP1006),$AD$1006:$AU$1006,0))&gt;=100000), " ",IF(INDEX($AD$2:$AU$1001,MATCH(ROWS($W$2:W219),$W$2:$W$1001,0),MATCH(COLUMNS($AD$1006:AP1006),$AD$1006:$AU$1006,0)), HYPERLINK("#",""), HYPERLINK(CONCATENATE("#metadata!", ADDRESS(INDEX($Y$2:$Y$1001,MATCH(ROWS($W$2:W219),$W$2:$W$1001,0),0), INDEX($AD$1004:$AU$1004,1,MATCH(COLUMNS($AD$1006:AP1006),$AD$1006:$AU$1006,0)))),"Fix")))</f>
        <v xml:space="preserve"> </v>
      </c>
      <c r="O219" s="4" t="str">
        <f ca="1">IF(OR(INDEX($X$2:$X$1001,MATCH(ROWS($W$2:W219),$W$2:$W$1001,0),1)&gt;=100000,INDEX($AD$1005:$AU$1005,1,MATCH(COLUMNS($AD$1006:AQ1006),$AD$1006:$AU$1006,0))&gt;=100000), " ",IF(INDEX($AD$2:$AU$1001,MATCH(ROWS($W$2:W219),$W$2:$W$1001,0),MATCH(COLUMNS($AD$1006:AQ1006),$AD$1006:$AU$1006,0)), HYPERLINK("#",""), HYPERLINK(CONCATENATE("#metadata!", ADDRESS(INDEX($Y$2:$Y$1001,MATCH(ROWS($W$2:W219),$W$2:$W$1001,0),0), INDEX($AD$1004:$AU$1004,1,MATCH(COLUMNS($AD$1006:AQ1006),$AD$1006:$AU$1006,0)))),"Fix")))</f>
        <v xml:space="preserve"> </v>
      </c>
      <c r="P219" s="4" t="str">
        <f ca="1">IF(OR(INDEX($X$2:$X$1001,MATCH(ROWS($W$2:W219),$W$2:$W$1001,0),1)&gt;=100000,INDEX($AD$1005:$AU$1005,1,MATCH(COLUMNS($AD$1006:AR1006),$AD$1006:$AU$1006,0))&gt;=100000), " ",IF(INDEX($AD$2:$AU$1001,MATCH(ROWS($W$2:W219),$W$2:$W$1001,0),MATCH(COLUMNS($AD$1006:AR1006),$AD$1006:$AU$1006,0)), HYPERLINK("#",""), HYPERLINK(CONCATENATE("#metadata!", ADDRESS(INDEX($Y$2:$Y$1001,MATCH(ROWS($W$2:W219),$W$2:$W$1001,0),0), INDEX($AD$1004:$AU$1004,1,MATCH(COLUMNS($AD$1006:AR1006),$AD$1006:$AU$1006,0)))),"Fix")))</f>
        <v xml:space="preserve"> </v>
      </c>
      <c r="Q219" s="4" t="str">
        <f ca="1">IF(OR(INDEX($X$2:$X$1001,MATCH(ROWS($W$2:W219),$W$2:$W$1001,0),1)&gt;=100000,INDEX($AD$1005:$AU$1005,1,MATCH(COLUMNS($AD$1006:AS1006),$AD$1006:$AU$1006,0))&gt;=100000), " ",IF(INDEX($AD$2:$AU$1001,MATCH(ROWS($W$2:W219),$W$2:$W$1001,0),MATCH(COLUMNS($AD$1006:AS1006),$AD$1006:$AU$1006,0)), HYPERLINK("#",""), HYPERLINK(CONCATENATE("#metadata!", ADDRESS(INDEX($Y$2:$Y$1001,MATCH(ROWS($W$2:W219),$W$2:$W$1001,0),0), INDEX($AD$1004:$AU$1004,1,MATCH(COLUMNS($AD$1006:AS1006),$AD$1006:$AU$1006,0)))),"Fix")))</f>
        <v xml:space="preserve"> </v>
      </c>
      <c r="R219" s="4" t="str">
        <f ca="1">IF(OR(INDEX($X$2:$X$1001,MATCH(ROWS($W$2:W219),$W$2:$W$1001,0),1)&gt;=100000,INDEX($AD$1005:$AU$1005,1,MATCH(COLUMNS($AD$1006:AT1006),$AD$1006:$AU$1006,0))&gt;=100000), " ",IF(INDEX($AD$2:$AU$1001,MATCH(ROWS($W$2:W219),$W$2:$W$1001,0),MATCH(COLUMNS($AD$1006:AT1006),$AD$1006:$AU$1006,0)), HYPERLINK("#",""), HYPERLINK(CONCATENATE("#metadata!", ADDRESS(INDEX($Y$2:$Y$1001,MATCH(ROWS($W$2:W219),$W$2:$W$1001,0),0), INDEX($AD$1004:$AU$1004,1,MATCH(COLUMNS($AD$1006:AT1006),$AD$1006:$AU$1006,0)))),"Fix")))</f>
        <v xml:space="preserve"> </v>
      </c>
      <c r="S219" s="4" t="str">
        <f ca="1">IF(OR(INDEX($X$2:$X$1001,MATCH(ROWS($W$2:W219),$W$2:$W$1001,0),1)&gt;=100000,INDEX($AD$1005:$AU$1005,1,MATCH(COLUMNS($AD$1006:AU1006),$AD$1006:$AU$1006,0))&gt;=100000), " ",IF(INDEX($AD$2:$AU$1001,MATCH(ROWS($W$2:W219),$W$2:$W$1001,0),MATCH(COLUMNS($AD$1006:AU1006),$AD$1006:$AU$1006,0)), HYPERLINK("#",""), HYPERLINK(CONCATENATE("#metadata!", ADDRESS(INDEX($Y$2:$Y$1001,MATCH(ROWS($W$2:W219),$W$2:$W$1001,0),0), INDEX($AD$1004:$AU$1004,1,MATCH(COLUMNS($AD$1006:AU1006),$AD$1006:$AU$1006,0)))),"Fix")))</f>
        <v xml:space="preserve"> </v>
      </c>
      <c r="W219">
        <v>218</v>
      </c>
      <c r="X219">
        <v>100219</v>
      </c>
      <c r="Y219">
        <v>219</v>
      </c>
      <c r="Z219" t="b">
        <f t="shared" si="3"/>
        <v>1</v>
      </c>
      <c r="AA219" t="b">
        <f>COUNTBLANK(metadata!B219:S219)=COLUMNS(metadata!B219:S219)</f>
        <v>1</v>
      </c>
      <c r="AB219" t="str">
        <v/>
      </c>
      <c r="AD219" t="b">
        <f ca="1">AND(IF(metadata!B219="",FALSE,TRUE),COUNTIF(metadata!B:B, metadata!B219) = 1,NOT(ISERROR(SUMPRODUCT(SEARCH(MID(metadata!B219,ROW(INDIRECT("1:"&amp;LEN(metadata!B219))), 1),"0123456789abcdefghijklmnopqrstuvwxyzABCDEFGHIJKLMNOPQRSTUVWXYZ.")))))</f>
        <v>0</v>
      </c>
      <c r="AE219" t="b">
        <f>OR(AND(IF(metadata!C219="",FALSE,TRUE),OR(EXACT(metadata!C219,"not applicable"),EXACT(metadata!C219,"missing: not collected"),EXACT(metadata!C219,"missing: not provided"),EXACT(metadata!C219,"missing: restricted access"))),AND(IF(metadata!C219="",FALSE,ISNUMBER(VALUE(metadata!C219))),metadata!C219&gt;0))</f>
        <v>0</v>
      </c>
      <c r="AF219" t="b">
        <f>AND(IF(metadata!D219="",FALSE,TRUE),EXACT(metadata!D219,"missing: not provided"))</f>
        <v>0</v>
      </c>
      <c r="AG219" t="b">
        <f>AND(IF(metadata!E219="",FALSE,TRUE),EXACT(metadata!E219,"Host-associated"))</f>
        <v>0</v>
      </c>
      <c r="AH219" t="b">
        <f>AND(IF(metadata!F219="",FALSE,TRUE),OR(EXACT(metadata!F219,"Animal"),EXACT(metadata!F219,"Fungus"),EXACT(metadata!F219,"Plant")))</f>
        <v>0</v>
      </c>
      <c r="AI219" t="b">
        <f>AND(IF(metadata!G219="",FALSE,TRUE),OR(EXACT(metadata!G219,"Plant secretion"),EXACT(metadata!G219,"Plant rhizosphere"),EXACT(metadata!G219,"Plant surface"),EXACT(metadata!G219,"Plant corpus"),EXACT(metadata!G219,"Fungus surface"),EXACT(metadata!G219,"Fungus corpus"),EXACT(metadata!G219,"Animal surface"),EXACT(metadata!G219,"Animal proximal gut"),EXACT(metadata!G219,"Animal corpus"),EXACT(metadata!G219,"Animal distal gut"),EXACT(metadata!G219,"Animal secretion")))</f>
        <v>0</v>
      </c>
      <c r="AJ219" t="b">
        <f>OR(AND(IF(metadata!H219="",FALSE,TRUE),OR(EXACT(metadata!H219,"missing: not collected"),EXACT(metadata!H219,"missing: not provided"),EXACT(metadata!H219,"missing: restricted access"))),AND(IF(metadata!H219="",FALSE,TRUE),OR(EXACT(metadata!H219,"organism-associated habitat"),EXACT(metadata!H219,"plant-associated habitat"),EXACT(metadata!H219,"animal-associated habitat"),EXACT(metadata!H219,"insecta-associated habitat"),EXACT(metadata!H219,"mammalia-associated habitat"),EXACT(metadata!H219,"human-associated habitat"),EXACT(metadata!H219,"livestock-associated habitat"))))</f>
        <v>0</v>
      </c>
      <c r="AK219" t="b">
        <f>AND(IF(metadata!I219="",FALSE,TRUE),EXACT(metadata!I219,"host-associated"))</f>
        <v>0</v>
      </c>
      <c r="AL219" t="b">
        <f>OR(AND(IF(metadata!J219="",FALSE,TRUE),OR(EXACT(metadata!J219,"not applicable"),EXACT(metadata!J219,"missing: not collected"),EXACT(metadata!J219,"missing: not provided"),EXACT(metadata!J219,"missing: restricted access"))),AND(IF(metadata!J219="",FALSE,ISNUMBER(VALUE(metadata!J219))),metadata!J219&gt;0))</f>
        <v>0</v>
      </c>
      <c r="AM219" t="b">
        <f>AND(IF(metadata!K219="",FALSE,TRUE),EXACT(metadata!K219,"missing: not provided"))</f>
        <v>0</v>
      </c>
      <c r="AN219" t="b">
        <f>IF(metadata!L219="",FALSE,TRUE)</f>
        <v>0</v>
      </c>
      <c r="AO219" t="b">
        <f>IF(metadata!M219="",FALSE,TRUE)</f>
        <v>0</v>
      </c>
      <c r="AP219" t="b">
        <f>OR(AND(IF(metadata!N219="",FALSE,TRUE),OR(EXACT(metadata!N219,"not applicable"),EXACT(metadata!N219,"missing: not collected"),EXACT(metadata!N219,"missing: not provided"))),AND(IF(metadata!N219="",FALSE,IF(ISERROR(INT(metadata!N219)),FALSE,INT(metadata!N219)=metadata!N219)),metadata!N219&gt;0))</f>
        <v>0</v>
      </c>
      <c r="AQ219" t="b">
        <f>AND(IF(metadata!O219="",FALSE,TRUE),EXACT(metadata!O219,"Not applicable"))</f>
        <v>0</v>
      </c>
      <c r="AR219" t="b">
        <f>OR(AND(IF(metadata!P219="",FALSE,TRUE),OR(EXACT(metadata!P219,"not applicable"),EXACT(metadata!P219,"missing: not collected"),EXACT(metadata!P219,"missing: not provided"),EXACT(metadata!P219,"missing: restricted access"))),IF(metadata!P219="",FALSE,IF(ISERROR(INT(metadata!P219)),FALSE,INT(metadata!P219)=metadata!P219)))</f>
        <v>0</v>
      </c>
      <c r="AS219" t="b">
        <f>AND(IF(metadata!Q219="",FALSE,TRUE),EXACT(metadata!Q219,"Not applicable"))</f>
        <v>0</v>
      </c>
      <c r="AT219" t="b">
        <f>OR(AND(IF(metadata!R219="",FALSE,TRUE),OR(EXACT(metadata!R219,"not applicable"),EXACT(metadata!R219,"missing: not collected"),EXACT(metadata!R219,"missing: not provided"),EXACT(metadata!R219,"missing: restricted access"))),AND(IF(metadata!R219="",FALSE,ISNUMBER(VALUE(metadata!R219))),metadata!R219&gt;0))</f>
        <v>0</v>
      </c>
      <c r="AU219" t="b">
        <f>AND(IF(metadata!S219="",FALSE,TRUE),EXACT(metadata!S219,"missing: not provided"))</f>
        <v>0</v>
      </c>
    </row>
    <row r="220" spans="1:47" x14ac:dyDescent="0.2">
      <c r="A220" s="5" t="str">
        <f ca="1">IF(B220=" "," ",HYPERLINK(CONCATENATE("#metadata!",ADDRESS(INDEX($Y$2:$Y$1001,MATCH(ROWS($W$2:W220),$W$2:$W$1001,0),0),1)),INDEX($AB$2:$AB$1001,MATCH(ROWS($W$2:W220),$W$2:$W$1001,0),0)))</f>
        <v xml:space="preserve"> </v>
      </c>
      <c r="B220" s="4" t="str">
        <f ca="1">IF(OR(INDEX($X$2:$X$1001,MATCH(ROWS($W$2:W220),$W$2:$W$1001,0),1)&gt;=100000,INDEX($AD$1005:$AU$1005,1,MATCH(COLUMNS($AD$1006:AD1006),$AD$1006:$AU$1006,0))&gt;=100000), " ",IF(INDEX($AD$2:$AU$1001,MATCH(ROWS($W$2:W220),$W$2:$W$1001,0),MATCH(COLUMNS($AD$1006:AD1006),$AD$1006:$AU$1006,0)), HYPERLINK("#",""), HYPERLINK(CONCATENATE("#metadata!", ADDRESS(INDEX($Y$2:$Y$1001,MATCH(ROWS($W$2:W220),$W$2:$W$1001,0),0), INDEX($AD$1004:$AU$1004,1,MATCH(COLUMNS($AD$1006:AD1006),$AD$1006:$AU$1006,0)))),"Fix")))</f>
        <v xml:space="preserve"> </v>
      </c>
      <c r="C220" s="4" t="str">
        <f ca="1">IF(OR(INDEX($X$2:$X$1001,MATCH(ROWS($W$2:W220),$W$2:$W$1001,0),1)&gt;=100000,INDEX($AD$1005:$AU$1005,1,MATCH(COLUMNS($AD$1006:AE1006),$AD$1006:$AU$1006,0))&gt;=100000), " ",IF(INDEX($AD$2:$AU$1001,MATCH(ROWS($W$2:W220),$W$2:$W$1001,0),MATCH(COLUMNS($AD$1006:AE1006),$AD$1006:$AU$1006,0)), HYPERLINK("#",""), HYPERLINK(CONCATENATE("#metadata!", ADDRESS(INDEX($Y$2:$Y$1001,MATCH(ROWS($W$2:W220),$W$2:$W$1001,0),0), INDEX($AD$1004:$AU$1004,1,MATCH(COLUMNS($AD$1006:AE1006),$AD$1006:$AU$1006,0)))),"Fix")))</f>
        <v xml:space="preserve"> </v>
      </c>
      <c r="D220" s="4" t="str">
        <f ca="1">IF(OR(INDEX($X$2:$X$1001,MATCH(ROWS($W$2:W220),$W$2:$W$1001,0),1)&gt;=100000,INDEX($AD$1005:$AU$1005,1,MATCH(COLUMNS($AD$1006:AF1006),$AD$1006:$AU$1006,0))&gt;=100000), " ",IF(INDEX($AD$2:$AU$1001,MATCH(ROWS($W$2:W220),$W$2:$W$1001,0),MATCH(COLUMNS($AD$1006:AF1006),$AD$1006:$AU$1006,0)), HYPERLINK("#",""), HYPERLINK(CONCATENATE("#metadata!", ADDRESS(INDEX($Y$2:$Y$1001,MATCH(ROWS($W$2:W220),$W$2:$W$1001,0),0), INDEX($AD$1004:$AU$1004,1,MATCH(COLUMNS($AD$1006:AF1006),$AD$1006:$AU$1006,0)))),"Fix")))</f>
        <v xml:space="preserve"> </v>
      </c>
      <c r="E220" s="4" t="str">
        <f ca="1">IF(OR(INDEX($X$2:$X$1001,MATCH(ROWS($W$2:W220),$W$2:$W$1001,0),1)&gt;=100000,INDEX($AD$1005:$AU$1005,1,MATCH(COLUMNS($AD$1006:AG1006),$AD$1006:$AU$1006,0))&gt;=100000), " ",IF(INDEX($AD$2:$AU$1001,MATCH(ROWS($W$2:W220),$W$2:$W$1001,0),MATCH(COLUMNS($AD$1006:AG1006),$AD$1006:$AU$1006,0)), HYPERLINK("#",""), HYPERLINK(CONCATENATE("#metadata!", ADDRESS(INDEX($Y$2:$Y$1001,MATCH(ROWS($W$2:W220),$W$2:$W$1001,0),0), INDEX($AD$1004:$AU$1004,1,MATCH(COLUMNS($AD$1006:AG1006),$AD$1006:$AU$1006,0)))),"Fix")))</f>
        <v xml:space="preserve"> </v>
      </c>
      <c r="F220" s="4" t="str">
        <f ca="1">IF(OR(INDEX($X$2:$X$1001,MATCH(ROWS($W$2:W220),$W$2:$W$1001,0),1)&gt;=100000,INDEX($AD$1005:$AU$1005,1,MATCH(COLUMNS($AD$1006:AH1006),$AD$1006:$AU$1006,0))&gt;=100000), " ",IF(INDEX($AD$2:$AU$1001,MATCH(ROWS($W$2:W220),$W$2:$W$1001,0),MATCH(COLUMNS($AD$1006:AH1006),$AD$1006:$AU$1006,0)), HYPERLINK("#",""), HYPERLINK(CONCATENATE("#metadata!", ADDRESS(INDEX($Y$2:$Y$1001,MATCH(ROWS($W$2:W220),$W$2:$W$1001,0),0), INDEX($AD$1004:$AU$1004,1,MATCH(COLUMNS($AD$1006:AH1006),$AD$1006:$AU$1006,0)))),"Fix")))</f>
        <v xml:space="preserve"> </v>
      </c>
      <c r="G220" s="4" t="str">
        <f ca="1">IF(OR(INDEX($X$2:$X$1001,MATCH(ROWS($W$2:W220),$W$2:$W$1001,0),1)&gt;=100000,INDEX($AD$1005:$AU$1005,1,MATCH(COLUMNS($AD$1006:AI1006),$AD$1006:$AU$1006,0))&gt;=100000), " ",IF(INDEX($AD$2:$AU$1001,MATCH(ROWS($W$2:W220),$W$2:$W$1001,0),MATCH(COLUMNS($AD$1006:AI1006),$AD$1006:$AU$1006,0)), HYPERLINK("#",""), HYPERLINK(CONCATENATE("#metadata!", ADDRESS(INDEX($Y$2:$Y$1001,MATCH(ROWS($W$2:W220),$W$2:$W$1001,0),0), INDEX($AD$1004:$AU$1004,1,MATCH(COLUMNS($AD$1006:AI1006),$AD$1006:$AU$1006,0)))),"Fix")))</f>
        <v xml:space="preserve"> </v>
      </c>
      <c r="H220" s="4" t="str">
        <f ca="1">IF(OR(INDEX($X$2:$X$1001,MATCH(ROWS($W$2:W220),$W$2:$W$1001,0),1)&gt;=100000,INDEX($AD$1005:$AU$1005,1,MATCH(COLUMNS($AD$1006:AJ1006),$AD$1006:$AU$1006,0))&gt;=100000), " ",IF(INDEX($AD$2:$AU$1001,MATCH(ROWS($W$2:W220),$W$2:$W$1001,0),MATCH(COLUMNS($AD$1006:AJ1006),$AD$1006:$AU$1006,0)), HYPERLINK("#",""), HYPERLINK(CONCATENATE("#metadata!", ADDRESS(INDEX($Y$2:$Y$1001,MATCH(ROWS($W$2:W220),$W$2:$W$1001,0),0), INDEX($AD$1004:$AU$1004,1,MATCH(COLUMNS($AD$1006:AJ1006),$AD$1006:$AU$1006,0)))),"Fix")))</f>
        <v xml:space="preserve"> </v>
      </c>
      <c r="I220" s="4" t="str">
        <f ca="1">IF(OR(INDEX($X$2:$X$1001,MATCH(ROWS($W$2:W220),$W$2:$W$1001,0),1)&gt;=100000,INDEX($AD$1005:$AU$1005,1,MATCH(COLUMNS($AD$1006:AK1006),$AD$1006:$AU$1006,0))&gt;=100000), " ",IF(INDEX($AD$2:$AU$1001,MATCH(ROWS($W$2:W220),$W$2:$W$1001,0),MATCH(COLUMNS($AD$1006:AK1006),$AD$1006:$AU$1006,0)), HYPERLINK("#",""), HYPERLINK(CONCATENATE("#metadata!", ADDRESS(INDEX($Y$2:$Y$1001,MATCH(ROWS($W$2:W220),$W$2:$W$1001,0),0), INDEX($AD$1004:$AU$1004,1,MATCH(COLUMNS($AD$1006:AK1006),$AD$1006:$AU$1006,0)))),"Fix")))</f>
        <v xml:space="preserve"> </v>
      </c>
      <c r="J220" s="4" t="str">
        <f ca="1">IF(OR(INDEX($X$2:$X$1001,MATCH(ROWS($W$2:W220),$W$2:$W$1001,0),1)&gt;=100000,INDEX($AD$1005:$AU$1005,1,MATCH(COLUMNS($AD$1006:AL1006),$AD$1006:$AU$1006,0))&gt;=100000), " ",IF(INDEX($AD$2:$AU$1001,MATCH(ROWS($W$2:W220),$W$2:$W$1001,0),MATCH(COLUMNS($AD$1006:AL1006),$AD$1006:$AU$1006,0)), HYPERLINK("#",""), HYPERLINK(CONCATENATE("#metadata!", ADDRESS(INDEX($Y$2:$Y$1001,MATCH(ROWS($W$2:W220),$W$2:$W$1001,0),0), INDEX($AD$1004:$AU$1004,1,MATCH(COLUMNS($AD$1006:AL1006),$AD$1006:$AU$1006,0)))),"Fix")))</f>
        <v xml:space="preserve"> </v>
      </c>
      <c r="K220" s="4" t="str">
        <f ca="1">IF(OR(INDEX($X$2:$X$1001,MATCH(ROWS($W$2:W220),$W$2:$W$1001,0),1)&gt;=100000,INDEX($AD$1005:$AU$1005,1,MATCH(COLUMNS($AD$1006:AM1006),$AD$1006:$AU$1006,0))&gt;=100000), " ",IF(INDEX($AD$2:$AU$1001,MATCH(ROWS($W$2:W220),$W$2:$W$1001,0),MATCH(COLUMNS($AD$1006:AM1006),$AD$1006:$AU$1006,0)), HYPERLINK("#",""), HYPERLINK(CONCATENATE("#metadata!", ADDRESS(INDEX($Y$2:$Y$1001,MATCH(ROWS($W$2:W220),$W$2:$W$1001,0),0), INDEX($AD$1004:$AU$1004,1,MATCH(COLUMNS($AD$1006:AM1006),$AD$1006:$AU$1006,0)))),"Fix")))</f>
        <v xml:space="preserve"> </v>
      </c>
      <c r="L220" s="4" t="str">
        <f ca="1">IF(OR(INDEX($X$2:$X$1001,MATCH(ROWS($W$2:W220),$W$2:$W$1001,0),1)&gt;=100000,INDEX($AD$1005:$AU$1005,1,MATCH(COLUMNS($AD$1006:AN1006),$AD$1006:$AU$1006,0))&gt;=100000), " ",IF(INDEX($AD$2:$AU$1001,MATCH(ROWS($W$2:W220),$W$2:$W$1001,0),MATCH(COLUMNS($AD$1006:AN1006),$AD$1006:$AU$1006,0)), HYPERLINK("#",""), HYPERLINK(CONCATENATE("#metadata!", ADDRESS(INDEX($Y$2:$Y$1001,MATCH(ROWS($W$2:W220),$W$2:$W$1001,0),0), INDEX($AD$1004:$AU$1004,1,MATCH(COLUMNS($AD$1006:AN1006),$AD$1006:$AU$1006,0)))),"Fix")))</f>
        <v xml:space="preserve"> </v>
      </c>
      <c r="M220" s="4" t="str">
        <f ca="1">IF(OR(INDEX($X$2:$X$1001,MATCH(ROWS($W$2:W220),$W$2:$W$1001,0),1)&gt;=100000,INDEX($AD$1005:$AU$1005,1,MATCH(COLUMNS($AD$1006:AO1006),$AD$1006:$AU$1006,0))&gt;=100000), " ",IF(INDEX($AD$2:$AU$1001,MATCH(ROWS($W$2:W220),$W$2:$W$1001,0),MATCH(COLUMNS($AD$1006:AO1006),$AD$1006:$AU$1006,0)), HYPERLINK("#",""), HYPERLINK(CONCATENATE("#metadata!", ADDRESS(INDEX($Y$2:$Y$1001,MATCH(ROWS($W$2:W220),$W$2:$W$1001,0),0), INDEX($AD$1004:$AU$1004,1,MATCH(COLUMNS($AD$1006:AO1006),$AD$1006:$AU$1006,0)))),"Fix")))</f>
        <v xml:space="preserve"> </v>
      </c>
      <c r="N220" s="4" t="str">
        <f ca="1">IF(OR(INDEX($X$2:$X$1001,MATCH(ROWS($W$2:W220),$W$2:$W$1001,0),1)&gt;=100000,INDEX($AD$1005:$AU$1005,1,MATCH(COLUMNS($AD$1006:AP1006),$AD$1006:$AU$1006,0))&gt;=100000), " ",IF(INDEX($AD$2:$AU$1001,MATCH(ROWS($W$2:W220),$W$2:$W$1001,0),MATCH(COLUMNS($AD$1006:AP1006),$AD$1006:$AU$1006,0)), HYPERLINK("#",""), HYPERLINK(CONCATENATE("#metadata!", ADDRESS(INDEX($Y$2:$Y$1001,MATCH(ROWS($W$2:W220),$W$2:$W$1001,0),0), INDEX($AD$1004:$AU$1004,1,MATCH(COLUMNS($AD$1006:AP1006),$AD$1006:$AU$1006,0)))),"Fix")))</f>
        <v xml:space="preserve"> </v>
      </c>
      <c r="O220" s="4" t="str">
        <f ca="1">IF(OR(INDEX($X$2:$X$1001,MATCH(ROWS($W$2:W220),$W$2:$W$1001,0),1)&gt;=100000,INDEX($AD$1005:$AU$1005,1,MATCH(COLUMNS($AD$1006:AQ1006),$AD$1006:$AU$1006,0))&gt;=100000), " ",IF(INDEX($AD$2:$AU$1001,MATCH(ROWS($W$2:W220),$W$2:$W$1001,0),MATCH(COLUMNS($AD$1006:AQ1006),$AD$1006:$AU$1006,0)), HYPERLINK("#",""), HYPERLINK(CONCATENATE("#metadata!", ADDRESS(INDEX($Y$2:$Y$1001,MATCH(ROWS($W$2:W220),$W$2:$W$1001,0),0), INDEX($AD$1004:$AU$1004,1,MATCH(COLUMNS($AD$1006:AQ1006),$AD$1006:$AU$1006,0)))),"Fix")))</f>
        <v xml:space="preserve"> </v>
      </c>
      <c r="P220" s="4" t="str">
        <f ca="1">IF(OR(INDEX($X$2:$X$1001,MATCH(ROWS($W$2:W220),$W$2:$W$1001,0),1)&gt;=100000,INDEX($AD$1005:$AU$1005,1,MATCH(COLUMNS($AD$1006:AR1006),$AD$1006:$AU$1006,0))&gt;=100000), " ",IF(INDEX($AD$2:$AU$1001,MATCH(ROWS($W$2:W220),$W$2:$W$1001,0),MATCH(COLUMNS($AD$1006:AR1006),$AD$1006:$AU$1006,0)), HYPERLINK("#",""), HYPERLINK(CONCATENATE("#metadata!", ADDRESS(INDEX($Y$2:$Y$1001,MATCH(ROWS($W$2:W220),$W$2:$W$1001,0),0), INDEX($AD$1004:$AU$1004,1,MATCH(COLUMNS($AD$1006:AR1006),$AD$1006:$AU$1006,0)))),"Fix")))</f>
        <v xml:space="preserve"> </v>
      </c>
      <c r="Q220" s="4" t="str">
        <f ca="1">IF(OR(INDEX($X$2:$X$1001,MATCH(ROWS($W$2:W220),$W$2:$W$1001,0),1)&gt;=100000,INDEX($AD$1005:$AU$1005,1,MATCH(COLUMNS($AD$1006:AS1006),$AD$1006:$AU$1006,0))&gt;=100000), " ",IF(INDEX($AD$2:$AU$1001,MATCH(ROWS($W$2:W220),$W$2:$W$1001,0),MATCH(COLUMNS($AD$1006:AS1006),$AD$1006:$AU$1006,0)), HYPERLINK("#",""), HYPERLINK(CONCATENATE("#metadata!", ADDRESS(INDEX($Y$2:$Y$1001,MATCH(ROWS($W$2:W220),$W$2:$W$1001,0),0), INDEX($AD$1004:$AU$1004,1,MATCH(COLUMNS($AD$1006:AS1006),$AD$1006:$AU$1006,0)))),"Fix")))</f>
        <v xml:space="preserve"> </v>
      </c>
      <c r="R220" s="4" t="str">
        <f ca="1">IF(OR(INDEX($X$2:$X$1001,MATCH(ROWS($W$2:W220),$W$2:$W$1001,0),1)&gt;=100000,INDEX($AD$1005:$AU$1005,1,MATCH(COLUMNS($AD$1006:AT1006),$AD$1006:$AU$1006,0))&gt;=100000), " ",IF(INDEX($AD$2:$AU$1001,MATCH(ROWS($W$2:W220),$W$2:$W$1001,0),MATCH(COLUMNS($AD$1006:AT1006),$AD$1006:$AU$1006,0)), HYPERLINK("#",""), HYPERLINK(CONCATENATE("#metadata!", ADDRESS(INDEX($Y$2:$Y$1001,MATCH(ROWS($W$2:W220),$W$2:$W$1001,0),0), INDEX($AD$1004:$AU$1004,1,MATCH(COLUMNS($AD$1006:AT1006),$AD$1006:$AU$1006,0)))),"Fix")))</f>
        <v xml:space="preserve"> </v>
      </c>
      <c r="S220" s="4" t="str">
        <f ca="1">IF(OR(INDEX($X$2:$X$1001,MATCH(ROWS($W$2:W220),$W$2:$W$1001,0),1)&gt;=100000,INDEX($AD$1005:$AU$1005,1,MATCH(COLUMNS($AD$1006:AU1006),$AD$1006:$AU$1006,0))&gt;=100000), " ",IF(INDEX($AD$2:$AU$1001,MATCH(ROWS($W$2:W220),$W$2:$W$1001,0),MATCH(COLUMNS($AD$1006:AU1006),$AD$1006:$AU$1006,0)), HYPERLINK("#",""), HYPERLINK(CONCATENATE("#metadata!", ADDRESS(INDEX($Y$2:$Y$1001,MATCH(ROWS($W$2:W220),$W$2:$W$1001,0),0), INDEX($AD$1004:$AU$1004,1,MATCH(COLUMNS($AD$1006:AU1006),$AD$1006:$AU$1006,0)))),"Fix")))</f>
        <v xml:space="preserve"> </v>
      </c>
      <c r="W220">
        <v>219</v>
      </c>
      <c r="X220">
        <v>100220</v>
      </c>
      <c r="Y220">
        <v>220</v>
      </c>
      <c r="Z220" t="b">
        <f t="shared" si="3"/>
        <v>1</v>
      </c>
      <c r="AA220" t="b">
        <f>COUNTBLANK(metadata!B220:S220)=COLUMNS(metadata!B220:S220)</f>
        <v>1</v>
      </c>
      <c r="AB220" t="str">
        <v/>
      </c>
      <c r="AD220" t="b">
        <f ca="1">AND(IF(metadata!B220="",FALSE,TRUE),COUNTIF(metadata!B:B, metadata!B220) = 1,NOT(ISERROR(SUMPRODUCT(SEARCH(MID(metadata!B220,ROW(INDIRECT("1:"&amp;LEN(metadata!B220))), 1),"0123456789abcdefghijklmnopqrstuvwxyzABCDEFGHIJKLMNOPQRSTUVWXYZ.")))))</f>
        <v>0</v>
      </c>
      <c r="AE220" t="b">
        <f>OR(AND(IF(metadata!C220="",FALSE,TRUE),OR(EXACT(metadata!C220,"not applicable"),EXACT(metadata!C220,"missing: not collected"),EXACT(metadata!C220,"missing: not provided"),EXACT(metadata!C220,"missing: restricted access"))),AND(IF(metadata!C220="",FALSE,ISNUMBER(VALUE(metadata!C220))),metadata!C220&gt;0))</f>
        <v>0</v>
      </c>
      <c r="AF220" t="b">
        <f>AND(IF(metadata!D220="",FALSE,TRUE),EXACT(metadata!D220,"missing: not provided"))</f>
        <v>0</v>
      </c>
      <c r="AG220" t="b">
        <f>AND(IF(metadata!E220="",FALSE,TRUE),EXACT(metadata!E220,"Host-associated"))</f>
        <v>0</v>
      </c>
      <c r="AH220" t="b">
        <f>AND(IF(metadata!F220="",FALSE,TRUE),OR(EXACT(metadata!F220,"Animal"),EXACT(metadata!F220,"Fungus"),EXACT(metadata!F220,"Plant")))</f>
        <v>0</v>
      </c>
      <c r="AI220" t="b">
        <f>AND(IF(metadata!G220="",FALSE,TRUE),OR(EXACT(metadata!G220,"Plant secretion"),EXACT(metadata!G220,"Plant rhizosphere"),EXACT(metadata!G220,"Plant surface"),EXACT(metadata!G220,"Plant corpus"),EXACT(metadata!G220,"Fungus surface"),EXACT(metadata!G220,"Fungus corpus"),EXACT(metadata!G220,"Animal surface"),EXACT(metadata!G220,"Animal proximal gut"),EXACT(metadata!G220,"Animal corpus"),EXACT(metadata!G220,"Animal distal gut"),EXACT(metadata!G220,"Animal secretion")))</f>
        <v>0</v>
      </c>
      <c r="AJ220" t="b">
        <f>OR(AND(IF(metadata!H220="",FALSE,TRUE),OR(EXACT(metadata!H220,"missing: not collected"),EXACT(metadata!H220,"missing: not provided"),EXACT(metadata!H220,"missing: restricted access"))),AND(IF(metadata!H220="",FALSE,TRUE),OR(EXACT(metadata!H220,"organism-associated habitat"),EXACT(metadata!H220,"plant-associated habitat"),EXACT(metadata!H220,"animal-associated habitat"),EXACT(metadata!H220,"insecta-associated habitat"),EXACT(metadata!H220,"mammalia-associated habitat"),EXACT(metadata!H220,"human-associated habitat"),EXACT(metadata!H220,"livestock-associated habitat"))))</f>
        <v>0</v>
      </c>
      <c r="AK220" t="b">
        <f>AND(IF(metadata!I220="",FALSE,TRUE),EXACT(metadata!I220,"host-associated"))</f>
        <v>0</v>
      </c>
      <c r="AL220" t="b">
        <f>OR(AND(IF(metadata!J220="",FALSE,TRUE),OR(EXACT(metadata!J220,"not applicable"),EXACT(metadata!J220,"missing: not collected"),EXACT(metadata!J220,"missing: not provided"),EXACT(metadata!J220,"missing: restricted access"))),AND(IF(metadata!J220="",FALSE,ISNUMBER(VALUE(metadata!J220))),metadata!J220&gt;0))</f>
        <v>0</v>
      </c>
      <c r="AM220" t="b">
        <f>AND(IF(metadata!K220="",FALSE,TRUE),EXACT(metadata!K220,"missing: not provided"))</f>
        <v>0</v>
      </c>
      <c r="AN220" t="b">
        <f>IF(metadata!L220="",FALSE,TRUE)</f>
        <v>0</v>
      </c>
      <c r="AO220" t="b">
        <f>IF(metadata!M220="",FALSE,TRUE)</f>
        <v>0</v>
      </c>
      <c r="AP220" t="b">
        <f>OR(AND(IF(metadata!N220="",FALSE,TRUE),OR(EXACT(metadata!N220,"not applicable"),EXACT(metadata!N220,"missing: not collected"),EXACT(metadata!N220,"missing: not provided"))),AND(IF(metadata!N220="",FALSE,IF(ISERROR(INT(metadata!N220)),FALSE,INT(metadata!N220)=metadata!N220)),metadata!N220&gt;0))</f>
        <v>0</v>
      </c>
      <c r="AQ220" t="b">
        <f>AND(IF(metadata!O220="",FALSE,TRUE),EXACT(metadata!O220,"Not applicable"))</f>
        <v>0</v>
      </c>
      <c r="AR220" t="b">
        <f>OR(AND(IF(metadata!P220="",FALSE,TRUE),OR(EXACT(metadata!P220,"not applicable"),EXACT(metadata!P220,"missing: not collected"),EXACT(metadata!P220,"missing: not provided"),EXACT(metadata!P220,"missing: restricted access"))),IF(metadata!P220="",FALSE,IF(ISERROR(INT(metadata!P220)),FALSE,INT(metadata!P220)=metadata!P220)))</f>
        <v>0</v>
      </c>
      <c r="AS220" t="b">
        <f>AND(IF(metadata!Q220="",FALSE,TRUE),EXACT(metadata!Q220,"Not applicable"))</f>
        <v>0</v>
      </c>
      <c r="AT220" t="b">
        <f>OR(AND(IF(metadata!R220="",FALSE,TRUE),OR(EXACT(metadata!R220,"not applicable"),EXACT(metadata!R220,"missing: not collected"),EXACT(metadata!R220,"missing: not provided"),EXACT(metadata!R220,"missing: restricted access"))),AND(IF(metadata!R220="",FALSE,ISNUMBER(VALUE(metadata!R220))),metadata!R220&gt;0))</f>
        <v>0</v>
      </c>
      <c r="AU220" t="b">
        <f>AND(IF(metadata!S220="",FALSE,TRUE),EXACT(metadata!S220,"missing: not provided"))</f>
        <v>0</v>
      </c>
    </row>
    <row r="221" spans="1:47" x14ac:dyDescent="0.2">
      <c r="A221" s="5" t="str">
        <f ca="1">IF(B221=" "," ",HYPERLINK(CONCATENATE("#metadata!",ADDRESS(INDEX($Y$2:$Y$1001,MATCH(ROWS($W$2:W221),$W$2:$W$1001,0),0),1)),INDEX($AB$2:$AB$1001,MATCH(ROWS($W$2:W221),$W$2:$W$1001,0),0)))</f>
        <v xml:space="preserve"> </v>
      </c>
      <c r="B221" s="4" t="str">
        <f ca="1">IF(OR(INDEX($X$2:$X$1001,MATCH(ROWS($W$2:W221),$W$2:$W$1001,0),1)&gt;=100000,INDEX($AD$1005:$AU$1005,1,MATCH(COLUMNS($AD$1006:AD1006),$AD$1006:$AU$1006,0))&gt;=100000), " ",IF(INDEX($AD$2:$AU$1001,MATCH(ROWS($W$2:W221),$W$2:$W$1001,0),MATCH(COLUMNS($AD$1006:AD1006),$AD$1006:$AU$1006,0)), HYPERLINK("#",""), HYPERLINK(CONCATENATE("#metadata!", ADDRESS(INDEX($Y$2:$Y$1001,MATCH(ROWS($W$2:W221),$W$2:$W$1001,0),0), INDEX($AD$1004:$AU$1004,1,MATCH(COLUMNS($AD$1006:AD1006),$AD$1006:$AU$1006,0)))),"Fix")))</f>
        <v xml:space="preserve"> </v>
      </c>
      <c r="C221" s="4" t="str">
        <f ca="1">IF(OR(INDEX($X$2:$X$1001,MATCH(ROWS($W$2:W221),$W$2:$W$1001,0),1)&gt;=100000,INDEX($AD$1005:$AU$1005,1,MATCH(COLUMNS($AD$1006:AE1006),$AD$1006:$AU$1006,0))&gt;=100000), " ",IF(INDEX($AD$2:$AU$1001,MATCH(ROWS($W$2:W221),$W$2:$W$1001,0),MATCH(COLUMNS($AD$1006:AE1006),$AD$1006:$AU$1006,0)), HYPERLINK("#",""), HYPERLINK(CONCATENATE("#metadata!", ADDRESS(INDEX($Y$2:$Y$1001,MATCH(ROWS($W$2:W221),$W$2:$W$1001,0),0), INDEX($AD$1004:$AU$1004,1,MATCH(COLUMNS($AD$1006:AE1006),$AD$1006:$AU$1006,0)))),"Fix")))</f>
        <v xml:space="preserve"> </v>
      </c>
      <c r="D221" s="4" t="str">
        <f ca="1">IF(OR(INDEX($X$2:$X$1001,MATCH(ROWS($W$2:W221),$W$2:$W$1001,0),1)&gt;=100000,INDEX($AD$1005:$AU$1005,1,MATCH(COLUMNS($AD$1006:AF1006),$AD$1006:$AU$1006,0))&gt;=100000), " ",IF(INDEX($AD$2:$AU$1001,MATCH(ROWS($W$2:W221),$W$2:$W$1001,0),MATCH(COLUMNS($AD$1006:AF1006),$AD$1006:$AU$1006,0)), HYPERLINK("#",""), HYPERLINK(CONCATENATE("#metadata!", ADDRESS(INDEX($Y$2:$Y$1001,MATCH(ROWS($W$2:W221),$W$2:$W$1001,0),0), INDEX($AD$1004:$AU$1004,1,MATCH(COLUMNS($AD$1006:AF1006),$AD$1006:$AU$1006,0)))),"Fix")))</f>
        <v xml:space="preserve"> </v>
      </c>
      <c r="E221" s="4" t="str">
        <f ca="1">IF(OR(INDEX($X$2:$X$1001,MATCH(ROWS($W$2:W221),$W$2:$W$1001,0),1)&gt;=100000,INDEX($AD$1005:$AU$1005,1,MATCH(COLUMNS($AD$1006:AG1006),$AD$1006:$AU$1006,0))&gt;=100000), " ",IF(INDEX($AD$2:$AU$1001,MATCH(ROWS($W$2:W221),$W$2:$W$1001,0),MATCH(COLUMNS($AD$1006:AG1006),$AD$1006:$AU$1006,0)), HYPERLINK("#",""), HYPERLINK(CONCATENATE("#metadata!", ADDRESS(INDEX($Y$2:$Y$1001,MATCH(ROWS($W$2:W221),$W$2:$W$1001,0),0), INDEX($AD$1004:$AU$1004,1,MATCH(COLUMNS($AD$1006:AG1006),$AD$1006:$AU$1006,0)))),"Fix")))</f>
        <v xml:space="preserve"> </v>
      </c>
      <c r="F221" s="4" t="str">
        <f ca="1">IF(OR(INDEX($X$2:$X$1001,MATCH(ROWS($W$2:W221),$W$2:$W$1001,0),1)&gt;=100000,INDEX($AD$1005:$AU$1005,1,MATCH(COLUMNS($AD$1006:AH1006),$AD$1006:$AU$1006,0))&gt;=100000), " ",IF(INDEX($AD$2:$AU$1001,MATCH(ROWS($W$2:W221),$W$2:$W$1001,0),MATCH(COLUMNS($AD$1006:AH1006),$AD$1006:$AU$1006,0)), HYPERLINK("#",""), HYPERLINK(CONCATENATE("#metadata!", ADDRESS(INDEX($Y$2:$Y$1001,MATCH(ROWS($W$2:W221),$W$2:$W$1001,0),0), INDEX($AD$1004:$AU$1004,1,MATCH(COLUMNS($AD$1006:AH1006),$AD$1006:$AU$1006,0)))),"Fix")))</f>
        <v xml:space="preserve"> </v>
      </c>
      <c r="G221" s="4" t="str">
        <f ca="1">IF(OR(INDEX($X$2:$X$1001,MATCH(ROWS($W$2:W221),$W$2:$W$1001,0),1)&gt;=100000,INDEX($AD$1005:$AU$1005,1,MATCH(COLUMNS($AD$1006:AI1006),$AD$1006:$AU$1006,0))&gt;=100000), " ",IF(INDEX($AD$2:$AU$1001,MATCH(ROWS($W$2:W221),$W$2:$W$1001,0),MATCH(COLUMNS($AD$1006:AI1006),$AD$1006:$AU$1006,0)), HYPERLINK("#",""), HYPERLINK(CONCATENATE("#metadata!", ADDRESS(INDEX($Y$2:$Y$1001,MATCH(ROWS($W$2:W221),$W$2:$W$1001,0),0), INDEX($AD$1004:$AU$1004,1,MATCH(COLUMNS($AD$1006:AI1006),$AD$1006:$AU$1006,0)))),"Fix")))</f>
        <v xml:space="preserve"> </v>
      </c>
      <c r="H221" s="4" t="str">
        <f ca="1">IF(OR(INDEX($X$2:$X$1001,MATCH(ROWS($W$2:W221),$W$2:$W$1001,0),1)&gt;=100000,INDEX($AD$1005:$AU$1005,1,MATCH(COLUMNS($AD$1006:AJ1006),$AD$1006:$AU$1006,0))&gt;=100000), " ",IF(INDEX($AD$2:$AU$1001,MATCH(ROWS($W$2:W221),$W$2:$W$1001,0),MATCH(COLUMNS($AD$1006:AJ1006),$AD$1006:$AU$1006,0)), HYPERLINK("#",""), HYPERLINK(CONCATENATE("#metadata!", ADDRESS(INDEX($Y$2:$Y$1001,MATCH(ROWS($W$2:W221),$W$2:$W$1001,0),0), INDEX($AD$1004:$AU$1004,1,MATCH(COLUMNS($AD$1006:AJ1006),$AD$1006:$AU$1006,0)))),"Fix")))</f>
        <v xml:space="preserve"> </v>
      </c>
      <c r="I221" s="4" t="str">
        <f ca="1">IF(OR(INDEX($X$2:$X$1001,MATCH(ROWS($W$2:W221),$W$2:$W$1001,0),1)&gt;=100000,INDEX($AD$1005:$AU$1005,1,MATCH(COLUMNS($AD$1006:AK1006),$AD$1006:$AU$1006,0))&gt;=100000), " ",IF(INDEX($AD$2:$AU$1001,MATCH(ROWS($W$2:W221),$W$2:$W$1001,0),MATCH(COLUMNS($AD$1006:AK1006),$AD$1006:$AU$1006,0)), HYPERLINK("#",""), HYPERLINK(CONCATENATE("#metadata!", ADDRESS(INDEX($Y$2:$Y$1001,MATCH(ROWS($W$2:W221),$W$2:$W$1001,0),0), INDEX($AD$1004:$AU$1004,1,MATCH(COLUMNS($AD$1006:AK1006),$AD$1006:$AU$1006,0)))),"Fix")))</f>
        <v xml:space="preserve"> </v>
      </c>
      <c r="J221" s="4" t="str">
        <f ca="1">IF(OR(INDEX($X$2:$X$1001,MATCH(ROWS($W$2:W221),$W$2:$W$1001,0),1)&gt;=100000,INDEX($AD$1005:$AU$1005,1,MATCH(COLUMNS($AD$1006:AL1006),$AD$1006:$AU$1006,0))&gt;=100000), " ",IF(INDEX($AD$2:$AU$1001,MATCH(ROWS($W$2:W221),$W$2:$W$1001,0),MATCH(COLUMNS($AD$1006:AL1006),$AD$1006:$AU$1006,0)), HYPERLINK("#",""), HYPERLINK(CONCATENATE("#metadata!", ADDRESS(INDEX($Y$2:$Y$1001,MATCH(ROWS($W$2:W221),$W$2:$W$1001,0),0), INDEX($AD$1004:$AU$1004,1,MATCH(COLUMNS($AD$1006:AL1006),$AD$1006:$AU$1006,0)))),"Fix")))</f>
        <v xml:space="preserve"> </v>
      </c>
      <c r="K221" s="4" t="str">
        <f ca="1">IF(OR(INDEX($X$2:$X$1001,MATCH(ROWS($W$2:W221),$W$2:$W$1001,0),1)&gt;=100000,INDEX($AD$1005:$AU$1005,1,MATCH(COLUMNS($AD$1006:AM1006),$AD$1006:$AU$1006,0))&gt;=100000), " ",IF(INDEX($AD$2:$AU$1001,MATCH(ROWS($W$2:W221),$W$2:$W$1001,0),MATCH(COLUMNS($AD$1006:AM1006),$AD$1006:$AU$1006,0)), HYPERLINK("#",""), HYPERLINK(CONCATENATE("#metadata!", ADDRESS(INDEX($Y$2:$Y$1001,MATCH(ROWS($W$2:W221),$W$2:$W$1001,0),0), INDEX($AD$1004:$AU$1004,1,MATCH(COLUMNS($AD$1006:AM1006),$AD$1006:$AU$1006,0)))),"Fix")))</f>
        <v xml:space="preserve"> </v>
      </c>
      <c r="L221" s="4" t="str">
        <f ca="1">IF(OR(INDEX($X$2:$X$1001,MATCH(ROWS($W$2:W221),$W$2:$W$1001,0),1)&gt;=100000,INDEX($AD$1005:$AU$1005,1,MATCH(COLUMNS($AD$1006:AN1006),$AD$1006:$AU$1006,0))&gt;=100000), " ",IF(INDEX($AD$2:$AU$1001,MATCH(ROWS($W$2:W221),$W$2:$W$1001,0),MATCH(COLUMNS($AD$1006:AN1006),$AD$1006:$AU$1006,0)), HYPERLINK("#",""), HYPERLINK(CONCATENATE("#metadata!", ADDRESS(INDEX($Y$2:$Y$1001,MATCH(ROWS($W$2:W221),$W$2:$W$1001,0),0), INDEX($AD$1004:$AU$1004,1,MATCH(COLUMNS($AD$1006:AN1006),$AD$1006:$AU$1006,0)))),"Fix")))</f>
        <v xml:space="preserve"> </v>
      </c>
      <c r="M221" s="4" t="str">
        <f ca="1">IF(OR(INDEX($X$2:$X$1001,MATCH(ROWS($W$2:W221),$W$2:$W$1001,0),1)&gt;=100000,INDEX($AD$1005:$AU$1005,1,MATCH(COLUMNS($AD$1006:AO1006),$AD$1006:$AU$1006,0))&gt;=100000), " ",IF(INDEX($AD$2:$AU$1001,MATCH(ROWS($W$2:W221),$W$2:$W$1001,0),MATCH(COLUMNS($AD$1006:AO1006),$AD$1006:$AU$1006,0)), HYPERLINK("#",""), HYPERLINK(CONCATENATE("#metadata!", ADDRESS(INDEX($Y$2:$Y$1001,MATCH(ROWS($W$2:W221),$W$2:$W$1001,0),0), INDEX($AD$1004:$AU$1004,1,MATCH(COLUMNS($AD$1006:AO1006),$AD$1006:$AU$1006,0)))),"Fix")))</f>
        <v xml:space="preserve"> </v>
      </c>
      <c r="N221" s="4" t="str">
        <f ca="1">IF(OR(INDEX($X$2:$X$1001,MATCH(ROWS($W$2:W221),$W$2:$W$1001,0),1)&gt;=100000,INDEX($AD$1005:$AU$1005,1,MATCH(COLUMNS($AD$1006:AP1006),$AD$1006:$AU$1006,0))&gt;=100000), " ",IF(INDEX($AD$2:$AU$1001,MATCH(ROWS($W$2:W221),$W$2:$W$1001,0),MATCH(COLUMNS($AD$1006:AP1006),$AD$1006:$AU$1006,0)), HYPERLINK("#",""), HYPERLINK(CONCATENATE("#metadata!", ADDRESS(INDEX($Y$2:$Y$1001,MATCH(ROWS($W$2:W221),$W$2:$W$1001,0),0), INDEX($AD$1004:$AU$1004,1,MATCH(COLUMNS($AD$1006:AP1006),$AD$1006:$AU$1006,0)))),"Fix")))</f>
        <v xml:space="preserve"> </v>
      </c>
      <c r="O221" s="4" t="str">
        <f ca="1">IF(OR(INDEX($X$2:$X$1001,MATCH(ROWS($W$2:W221),$W$2:$W$1001,0),1)&gt;=100000,INDEX($AD$1005:$AU$1005,1,MATCH(COLUMNS($AD$1006:AQ1006),$AD$1006:$AU$1006,0))&gt;=100000), " ",IF(INDEX($AD$2:$AU$1001,MATCH(ROWS($W$2:W221),$W$2:$W$1001,0),MATCH(COLUMNS($AD$1006:AQ1006),$AD$1006:$AU$1006,0)), HYPERLINK("#",""), HYPERLINK(CONCATENATE("#metadata!", ADDRESS(INDEX($Y$2:$Y$1001,MATCH(ROWS($W$2:W221),$W$2:$W$1001,0),0), INDEX($AD$1004:$AU$1004,1,MATCH(COLUMNS($AD$1006:AQ1006),$AD$1006:$AU$1006,0)))),"Fix")))</f>
        <v xml:space="preserve"> </v>
      </c>
      <c r="P221" s="4" t="str">
        <f ca="1">IF(OR(INDEX($X$2:$X$1001,MATCH(ROWS($W$2:W221),$W$2:$W$1001,0),1)&gt;=100000,INDEX($AD$1005:$AU$1005,1,MATCH(COLUMNS($AD$1006:AR1006),$AD$1006:$AU$1006,0))&gt;=100000), " ",IF(INDEX($AD$2:$AU$1001,MATCH(ROWS($W$2:W221),$W$2:$W$1001,0),MATCH(COLUMNS($AD$1006:AR1006),$AD$1006:$AU$1006,0)), HYPERLINK("#",""), HYPERLINK(CONCATENATE("#metadata!", ADDRESS(INDEX($Y$2:$Y$1001,MATCH(ROWS($W$2:W221),$W$2:$W$1001,0),0), INDEX($AD$1004:$AU$1004,1,MATCH(COLUMNS($AD$1006:AR1006),$AD$1006:$AU$1006,0)))),"Fix")))</f>
        <v xml:space="preserve"> </v>
      </c>
      <c r="Q221" s="4" t="str">
        <f ca="1">IF(OR(INDEX($X$2:$X$1001,MATCH(ROWS($W$2:W221),$W$2:$W$1001,0),1)&gt;=100000,INDEX($AD$1005:$AU$1005,1,MATCH(COLUMNS($AD$1006:AS1006),$AD$1006:$AU$1006,0))&gt;=100000), " ",IF(INDEX($AD$2:$AU$1001,MATCH(ROWS($W$2:W221),$W$2:$W$1001,0),MATCH(COLUMNS($AD$1006:AS1006),$AD$1006:$AU$1006,0)), HYPERLINK("#",""), HYPERLINK(CONCATENATE("#metadata!", ADDRESS(INDEX($Y$2:$Y$1001,MATCH(ROWS($W$2:W221),$W$2:$W$1001,0),0), INDEX($AD$1004:$AU$1004,1,MATCH(COLUMNS($AD$1006:AS1006),$AD$1006:$AU$1006,0)))),"Fix")))</f>
        <v xml:space="preserve"> </v>
      </c>
      <c r="R221" s="4" t="str">
        <f ca="1">IF(OR(INDEX($X$2:$X$1001,MATCH(ROWS($W$2:W221),$W$2:$W$1001,0),1)&gt;=100000,INDEX($AD$1005:$AU$1005,1,MATCH(COLUMNS($AD$1006:AT1006),$AD$1006:$AU$1006,0))&gt;=100000), " ",IF(INDEX($AD$2:$AU$1001,MATCH(ROWS($W$2:W221),$W$2:$W$1001,0),MATCH(COLUMNS($AD$1006:AT1006),$AD$1006:$AU$1006,0)), HYPERLINK("#",""), HYPERLINK(CONCATENATE("#metadata!", ADDRESS(INDEX($Y$2:$Y$1001,MATCH(ROWS($W$2:W221),$W$2:$W$1001,0),0), INDEX($AD$1004:$AU$1004,1,MATCH(COLUMNS($AD$1006:AT1006),$AD$1006:$AU$1006,0)))),"Fix")))</f>
        <v xml:space="preserve"> </v>
      </c>
      <c r="S221" s="4" t="str">
        <f ca="1">IF(OR(INDEX($X$2:$X$1001,MATCH(ROWS($W$2:W221),$W$2:$W$1001,0),1)&gt;=100000,INDEX($AD$1005:$AU$1005,1,MATCH(COLUMNS($AD$1006:AU1006),$AD$1006:$AU$1006,0))&gt;=100000), " ",IF(INDEX($AD$2:$AU$1001,MATCH(ROWS($W$2:W221),$W$2:$W$1001,0),MATCH(COLUMNS($AD$1006:AU1006),$AD$1006:$AU$1006,0)), HYPERLINK("#",""), HYPERLINK(CONCATENATE("#metadata!", ADDRESS(INDEX($Y$2:$Y$1001,MATCH(ROWS($W$2:W221),$W$2:$W$1001,0),0), INDEX($AD$1004:$AU$1004,1,MATCH(COLUMNS($AD$1006:AU1006),$AD$1006:$AU$1006,0)))),"Fix")))</f>
        <v xml:space="preserve"> </v>
      </c>
      <c r="W221">
        <v>220</v>
      </c>
      <c r="X221">
        <v>100221</v>
      </c>
      <c r="Y221">
        <v>221</v>
      </c>
      <c r="Z221" t="b">
        <f t="shared" si="3"/>
        <v>1</v>
      </c>
      <c r="AA221" t="b">
        <f>COUNTBLANK(metadata!B221:S221)=COLUMNS(metadata!B221:S221)</f>
        <v>1</v>
      </c>
      <c r="AB221" t="str">
        <v/>
      </c>
      <c r="AD221" t="b">
        <f ca="1">AND(IF(metadata!B221="",FALSE,TRUE),COUNTIF(metadata!B:B, metadata!B221) = 1,NOT(ISERROR(SUMPRODUCT(SEARCH(MID(metadata!B221,ROW(INDIRECT("1:"&amp;LEN(metadata!B221))), 1),"0123456789abcdefghijklmnopqrstuvwxyzABCDEFGHIJKLMNOPQRSTUVWXYZ.")))))</f>
        <v>0</v>
      </c>
      <c r="AE221" t="b">
        <f>OR(AND(IF(metadata!C221="",FALSE,TRUE),OR(EXACT(metadata!C221,"not applicable"),EXACT(metadata!C221,"missing: not collected"),EXACT(metadata!C221,"missing: not provided"),EXACT(metadata!C221,"missing: restricted access"))),AND(IF(metadata!C221="",FALSE,ISNUMBER(VALUE(metadata!C221))),metadata!C221&gt;0))</f>
        <v>0</v>
      </c>
      <c r="AF221" t="b">
        <f>AND(IF(metadata!D221="",FALSE,TRUE),EXACT(metadata!D221,"missing: not provided"))</f>
        <v>0</v>
      </c>
      <c r="AG221" t="b">
        <f>AND(IF(metadata!E221="",FALSE,TRUE),EXACT(metadata!E221,"Host-associated"))</f>
        <v>0</v>
      </c>
      <c r="AH221" t="b">
        <f>AND(IF(metadata!F221="",FALSE,TRUE),OR(EXACT(metadata!F221,"Animal"),EXACT(metadata!F221,"Fungus"),EXACT(metadata!F221,"Plant")))</f>
        <v>0</v>
      </c>
      <c r="AI221" t="b">
        <f>AND(IF(metadata!G221="",FALSE,TRUE),OR(EXACT(metadata!G221,"Plant secretion"),EXACT(metadata!G221,"Plant rhizosphere"),EXACT(metadata!G221,"Plant surface"),EXACT(metadata!G221,"Plant corpus"),EXACT(metadata!G221,"Fungus surface"),EXACT(metadata!G221,"Fungus corpus"),EXACT(metadata!G221,"Animal surface"),EXACT(metadata!G221,"Animal proximal gut"),EXACT(metadata!G221,"Animal corpus"),EXACT(metadata!G221,"Animal distal gut"),EXACT(metadata!G221,"Animal secretion")))</f>
        <v>0</v>
      </c>
      <c r="AJ221" t="b">
        <f>OR(AND(IF(metadata!H221="",FALSE,TRUE),OR(EXACT(metadata!H221,"missing: not collected"),EXACT(metadata!H221,"missing: not provided"),EXACT(metadata!H221,"missing: restricted access"))),AND(IF(metadata!H221="",FALSE,TRUE),OR(EXACT(metadata!H221,"organism-associated habitat"),EXACT(metadata!H221,"plant-associated habitat"),EXACT(metadata!H221,"animal-associated habitat"),EXACT(metadata!H221,"insecta-associated habitat"),EXACT(metadata!H221,"mammalia-associated habitat"),EXACT(metadata!H221,"human-associated habitat"),EXACT(metadata!H221,"livestock-associated habitat"))))</f>
        <v>0</v>
      </c>
      <c r="AK221" t="b">
        <f>AND(IF(metadata!I221="",FALSE,TRUE),EXACT(metadata!I221,"host-associated"))</f>
        <v>0</v>
      </c>
      <c r="AL221" t="b">
        <f>OR(AND(IF(metadata!J221="",FALSE,TRUE),OR(EXACT(metadata!J221,"not applicable"),EXACT(metadata!J221,"missing: not collected"),EXACT(metadata!J221,"missing: not provided"),EXACT(metadata!J221,"missing: restricted access"))),AND(IF(metadata!J221="",FALSE,ISNUMBER(VALUE(metadata!J221))),metadata!J221&gt;0))</f>
        <v>0</v>
      </c>
      <c r="AM221" t="b">
        <f>AND(IF(metadata!K221="",FALSE,TRUE),EXACT(metadata!K221,"missing: not provided"))</f>
        <v>0</v>
      </c>
      <c r="AN221" t="b">
        <f>IF(metadata!L221="",FALSE,TRUE)</f>
        <v>0</v>
      </c>
      <c r="AO221" t="b">
        <f>IF(metadata!M221="",FALSE,TRUE)</f>
        <v>0</v>
      </c>
      <c r="AP221" t="b">
        <f>OR(AND(IF(metadata!N221="",FALSE,TRUE),OR(EXACT(metadata!N221,"not applicable"),EXACT(metadata!N221,"missing: not collected"),EXACT(metadata!N221,"missing: not provided"))),AND(IF(metadata!N221="",FALSE,IF(ISERROR(INT(metadata!N221)),FALSE,INT(metadata!N221)=metadata!N221)),metadata!N221&gt;0))</f>
        <v>0</v>
      </c>
      <c r="AQ221" t="b">
        <f>AND(IF(metadata!O221="",FALSE,TRUE),EXACT(metadata!O221,"Not applicable"))</f>
        <v>0</v>
      </c>
      <c r="AR221" t="b">
        <f>OR(AND(IF(metadata!P221="",FALSE,TRUE),OR(EXACT(metadata!P221,"not applicable"),EXACT(metadata!P221,"missing: not collected"),EXACT(metadata!P221,"missing: not provided"),EXACT(metadata!P221,"missing: restricted access"))),IF(metadata!P221="",FALSE,IF(ISERROR(INT(metadata!P221)),FALSE,INT(metadata!P221)=metadata!P221)))</f>
        <v>0</v>
      </c>
      <c r="AS221" t="b">
        <f>AND(IF(metadata!Q221="",FALSE,TRUE),EXACT(metadata!Q221,"Not applicable"))</f>
        <v>0</v>
      </c>
      <c r="AT221" t="b">
        <f>OR(AND(IF(metadata!R221="",FALSE,TRUE),OR(EXACT(metadata!R221,"not applicable"),EXACT(metadata!R221,"missing: not collected"),EXACT(metadata!R221,"missing: not provided"),EXACT(metadata!R221,"missing: restricted access"))),AND(IF(metadata!R221="",FALSE,ISNUMBER(VALUE(metadata!R221))),metadata!R221&gt;0))</f>
        <v>0</v>
      </c>
      <c r="AU221" t="b">
        <f>AND(IF(metadata!S221="",FALSE,TRUE),EXACT(metadata!S221,"missing: not provided"))</f>
        <v>0</v>
      </c>
    </row>
    <row r="222" spans="1:47" x14ac:dyDescent="0.2">
      <c r="A222" s="5" t="str">
        <f ca="1">IF(B222=" "," ",HYPERLINK(CONCATENATE("#metadata!",ADDRESS(INDEX($Y$2:$Y$1001,MATCH(ROWS($W$2:W222),$W$2:$W$1001,0),0),1)),INDEX($AB$2:$AB$1001,MATCH(ROWS($W$2:W222),$W$2:$W$1001,0),0)))</f>
        <v xml:space="preserve"> </v>
      </c>
      <c r="B222" s="4" t="str">
        <f ca="1">IF(OR(INDEX($X$2:$X$1001,MATCH(ROWS($W$2:W222),$W$2:$W$1001,0),1)&gt;=100000,INDEX($AD$1005:$AU$1005,1,MATCH(COLUMNS($AD$1006:AD1006),$AD$1006:$AU$1006,0))&gt;=100000), " ",IF(INDEX($AD$2:$AU$1001,MATCH(ROWS($W$2:W222),$W$2:$W$1001,0),MATCH(COLUMNS($AD$1006:AD1006),$AD$1006:$AU$1006,0)), HYPERLINK("#",""), HYPERLINK(CONCATENATE("#metadata!", ADDRESS(INDEX($Y$2:$Y$1001,MATCH(ROWS($W$2:W222),$W$2:$W$1001,0),0), INDEX($AD$1004:$AU$1004,1,MATCH(COLUMNS($AD$1006:AD1006),$AD$1006:$AU$1006,0)))),"Fix")))</f>
        <v xml:space="preserve"> </v>
      </c>
      <c r="C222" s="4" t="str">
        <f ca="1">IF(OR(INDEX($X$2:$X$1001,MATCH(ROWS($W$2:W222),$W$2:$W$1001,0),1)&gt;=100000,INDEX($AD$1005:$AU$1005,1,MATCH(COLUMNS($AD$1006:AE1006),$AD$1006:$AU$1006,0))&gt;=100000), " ",IF(INDEX($AD$2:$AU$1001,MATCH(ROWS($W$2:W222),$W$2:$W$1001,0),MATCH(COLUMNS($AD$1006:AE1006),$AD$1006:$AU$1006,0)), HYPERLINK("#",""), HYPERLINK(CONCATENATE("#metadata!", ADDRESS(INDEX($Y$2:$Y$1001,MATCH(ROWS($W$2:W222),$W$2:$W$1001,0),0), INDEX($AD$1004:$AU$1004,1,MATCH(COLUMNS($AD$1006:AE1006),$AD$1006:$AU$1006,0)))),"Fix")))</f>
        <v xml:space="preserve"> </v>
      </c>
      <c r="D222" s="4" t="str">
        <f ca="1">IF(OR(INDEX($X$2:$X$1001,MATCH(ROWS($W$2:W222),$W$2:$W$1001,0),1)&gt;=100000,INDEX($AD$1005:$AU$1005,1,MATCH(COLUMNS($AD$1006:AF1006),$AD$1006:$AU$1006,0))&gt;=100000), " ",IF(INDEX($AD$2:$AU$1001,MATCH(ROWS($W$2:W222),$W$2:$W$1001,0),MATCH(COLUMNS($AD$1006:AF1006),$AD$1006:$AU$1006,0)), HYPERLINK("#",""), HYPERLINK(CONCATENATE("#metadata!", ADDRESS(INDEX($Y$2:$Y$1001,MATCH(ROWS($W$2:W222),$W$2:$W$1001,0),0), INDEX($AD$1004:$AU$1004,1,MATCH(COLUMNS($AD$1006:AF1006),$AD$1006:$AU$1006,0)))),"Fix")))</f>
        <v xml:space="preserve"> </v>
      </c>
      <c r="E222" s="4" t="str">
        <f ca="1">IF(OR(INDEX($X$2:$X$1001,MATCH(ROWS($W$2:W222),$W$2:$W$1001,0),1)&gt;=100000,INDEX($AD$1005:$AU$1005,1,MATCH(COLUMNS($AD$1006:AG1006),$AD$1006:$AU$1006,0))&gt;=100000), " ",IF(INDEX($AD$2:$AU$1001,MATCH(ROWS($W$2:W222),$W$2:$W$1001,0),MATCH(COLUMNS($AD$1006:AG1006),$AD$1006:$AU$1006,0)), HYPERLINK("#",""), HYPERLINK(CONCATENATE("#metadata!", ADDRESS(INDEX($Y$2:$Y$1001,MATCH(ROWS($W$2:W222),$W$2:$W$1001,0),0), INDEX($AD$1004:$AU$1004,1,MATCH(COLUMNS($AD$1006:AG1006),$AD$1006:$AU$1006,0)))),"Fix")))</f>
        <v xml:space="preserve"> </v>
      </c>
      <c r="F222" s="4" t="str">
        <f ca="1">IF(OR(INDEX($X$2:$X$1001,MATCH(ROWS($W$2:W222),$W$2:$W$1001,0),1)&gt;=100000,INDEX($AD$1005:$AU$1005,1,MATCH(COLUMNS($AD$1006:AH1006),$AD$1006:$AU$1006,0))&gt;=100000), " ",IF(INDEX($AD$2:$AU$1001,MATCH(ROWS($W$2:W222),$W$2:$W$1001,0),MATCH(COLUMNS($AD$1006:AH1006),$AD$1006:$AU$1006,0)), HYPERLINK("#",""), HYPERLINK(CONCATENATE("#metadata!", ADDRESS(INDEX($Y$2:$Y$1001,MATCH(ROWS($W$2:W222),$W$2:$W$1001,0),0), INDEX($AD$1004:$AU$1004,1,MATCH(COLUMNS($AD$1006:AH1006),$AD$1006:$AU$1006,0)))),"Fix")))</f>
        <v xml:space="preserve"> </v>
      </c>
      <c r="G222" s="4" t="str">
        <f ca="1">IF(OR(INDEX($X$2:$X$1001,MATCH(ROWS($W$2:W222),$W$2:$W$1001,0),1)&gt;=100000,INDEX($AD$1005:$AU$1005,1,MATCH(COLUMNS($AD$1006:AI1006),$AD$1006:$AU$1006,0))&gt;=100000), " ",IF(INDEX($AD$2:$AU$1001,MATCH(ROWS($W$2:W222),$W$2:$W$1001,0),MATCH(COLUMNS($AD$1006:AI1006),$AD$1006:$AU$1006,0)), HYPERLINK("#",""), HYPERLINK(CONCATENATE("#metadata!", ADDRESS(INDEX($Y$2:$Y$1001,MATCH(ROWS($W$2:W222),$W$2:$W$1001,0),0), INDEX($AD$1004:$AU$1004,1,MATCH(COLUMNS($AD$1006:AI1006),$AD$1006:$AU$1006,0)))),"Fix")))</f>
        <v xml:space="preserve"> </v>
      </c>
      <c r="H222" s="4" t="str">
        <f ca="1">IF(OR(INDEX($X$2:$X$1001,MATCH(ROWS($W$2:W222),$W$2:$W$1001,0),1)&gt;=100000,INDEX($AD$1005:$AU$1005,1,MATCH(COLUMNS($AD$1006:AJ1006),$AD$1006:$AU$1006,0))&gt;=100000), " ",IF(INDEX($AD$2:$AU$1001,MATCH(ROWS($W$2:W222),$W$2:$W$1001,0),MATCH(COLUMNS($AD$1006:AJ1006),$AD$1006:$AU$1006,0)), HYPERLINK("#",""), HYPERLINK(CONCATENATE("#metadata!", ADDRESS(INDEX($Y$2:$Y$1001,MATCH(ROWS($W$2:W222),$W$2:$W$1001,0),0), INDEX($AD$1004:$AU$1004,1,MATCH(COLUMNS($AD$1006:AJ1006),$AD$1006:$AU$1006,0)))),"Fix")))</f>
        <v xml:space="preserve"> </v>
      </c>
      <c r="I222" s="4" t="str">
        <f ca="1">IF(OR(INDEX($X$2:$X$1001,MATCH(ROWS($W$2:W222),$W$2:$W$1001,0),1)&gt;=100000,INDEX($AD$1005:$AU$1005,1,MATCH(COLUMNS($AD$1006:AK1006),$AD$1006:$AU$1006,0))&gt;=100000), " ",IF(INDEX($AD$2:$AU$1001,MATCH(ROWS($W$2:W222),$W$2:$W$1001,0),MATCH(COLUMNS($AD$1006:AK1006),$AD$1006:$AU$1006,0)), HYPERLINK("#",""), HYPERLINK(CONCATENATE("#metadata!", ADDRESS(INDEX($Y$2:$Y$1001,MATCH(ROWS($W$2:W222),$W$2:$W$1001,0),0), INDEX($AD$1004:$AU$1004,1,MATCH(COLUMNS($AD$1006:AK1006),$AD$1006:$AU$1006,0)))),"Fix")))</f>
        <v xml:space="preserve"> </v>
      </c>
      <c r="J222" s="4" t="str">
        <f ca="1">IF(OR(INDEX($X$2:$X$1001,MATCH(ROWS($W$2:W222),$W$2:$W$1001,0),1)&gt;=100000,INDEX($AD$1005:$AU$1005,1,MATCH(COLUMNS($AD$1006:AL1006),$AD$1006:$AU$1006,0))&gt;=100000), " ",IF(INDEX($AD$2:$AU$1001,MATCH(ROWS($W$2:W222),$W$2:$W$1001,0),MATCH(COLUMNS($AD$1006:AL1006),$AD$1006:$AU$1006,0)), HYPERLINK("#",""), HYPERLINK(CONCATENATE("#metadata!", ADDRESS(INDEX($Y$2:$Y$1001,MATCH(ROWS($W$2:W222),$W$2:$W$1001,0),0), INDEX($AD$1004:$AU$1004,1,MATCH(COLUMNS($AD$1006:AL1006),$AD$1006:$AU$1006,0)))),"Fix")))</f>
        <v xml:space="preserve"> </v>
      </c>
      <c r="K222" s="4" t="str">
        <f ca="1">IF(OR(INDEX($X$2:$X$1001,MATCH(ROWS($W$2:W222),$W$2:$W$1001,0),1)&gt;=100000,INDEX($AD$1005:$AU$1005,1,MATCH(COLUMNS($AD$1006:AM1006),$AD$1006:$AU$1006,0))&gt;=100000), " ",IF(INDEX($AD$2:$AU$1001,MATCH(ROWS($W$2:W222),$W$2:$W$1001,0),MATCH(COLUMNS($AD$1006:AM1006),$AD$1006:$AU$1006,0)), HYPERLINK("#",""), HYPERLINK(CONCATENATE("#metadata!", ADDRESS(INDEX($Y$2:$Y$1001,MATCH(ROWS($W$2:W222),$W$2:$W$1001,0),0), INDEX($AD$1004:$AU$1004,1,MATCH(COLUMNS($AD$1006:AM1006),$AD$1006:$AU$1006,0)))),"Fix")))</f>
        <v xml:space="preserve"> </v>
      </c>
      <c r="L222" s="4" t="str">
        <f ca="1">IF(OR(INDEX($X$2:$X$1001,MATCH(ROWS($W$2:W222),$W$2:$W$1001,0),1)&gt;=100000,INDEX($AD$1005:$AU$1005,1,MATCH(COLUMNS($AD$1006:AN1006),$AD$1006:$AU$1006,0))&gt;=100000), " ",IF(INDEX($AD$2:$AU$1001,MATCH(ROWS($W$2:W222),$W$2:$W$1001,0),MATCH(COLUMNS($AD$1006:AN1006),$AD$1006:$AU$1006,0)), HYPERLINK("#",""), HYPERLINK(CONCATENATE("#metadata!", ADDRESS(INDEX($Y$2:$Y$1001,MATCH(ROWS($W$2:W222),$W$2:$W$1001,0),0), INDEX($AD$1004:$AU$1004,1,MATCH(COLUMNS($AD$1006:AN1006),$AD$1006:$AU$1006,0)))),"Fix")))</f>
        <v xml:space="preserve"> </v>
      </c>
      <c r="M222" s="4" t="str">
        <f ca="1">IF(OR(INDEX($X$2:$X$1001,MATCH(ROWS($W$2:W222),$W$2:$W$1001,0),1)&gt;=100000,INDEX($AD$1005:$AU$1005,1,MATCH(COLUMNS($AD$1006:AO1006),$AD$1006:$AU$1006,0))&gt;=100000), " ",IF(INDEX($AD$2:$AU$1001,MATCH(ROWS($W$2:W222),$W$2:$W$1001,0),MATCH(COLUMNS($AD$1006:AO1006),$AD$1006:$AU$1006,0)), HYPERLINK("#",""), HYPERLINK(CONCATENATE("#metadata!", ADDRESS(INDEX($Y$2:$Y$1001,MATCH(ROWS($W$2:W222),$W$2:$W$1001,0),0), INDEX($AD$1004:$AU$1004,1,MATCH(COLUMNS($AD$1006:AO1006),$AD$1006:$AU$1006,0)))),"Fix")))</f>
        <v xml:space="preserve"> </v>
      </c>
      <c r="N222" s="4" t="str">
        <f ca="1">IF(OR(INDEX($X$2:$X$1001,MATCH(ROWS($W$2:W222),$W$2:$W$1001,0),1)&gt;=100000,INDEX($AD$1005:$AU$1005,1,MATCH(COLUMNS($AD$1006:AP1006),$AD$1006:$AU$1006,0))&gt;=100000), " ",IF(INDEX($AD$2:$AU$1001,MATCH(ROWS($W$2:W222),$W$2:$W$1001,0),MATCH(COLUMNS($AD$1006:AP1006),$AD$1006:$AU$1006,0)), HYPERLINK("#",""), HYPERLINK(CONCATENATE("#metadata!", ADDRESS(INDEX($Y$2:$Y$1001,MATCH(ROWS($W$2:W222),$W$2:$W$1001,0),0), INDEX($AD$1004:$AU$1004,1,MATCH(COLUMNS($AD$1006:AP1006),$AD$1006:$AU$1006,0)))),"Fix")))</f>
        <v xml:space="preserve"> </v>
      </c>
      <c r="O222" s="4" t="str">
        <f ca="1">IF(OR(INDEX($X$2:$X$1001,MATCH(ROWS($W$2:W222),$W$2:$W$1001,0),1)&gt;=100000,INDEX($AD$1005:$AU$1005,1,MATCH(COLUMNS($AD$1006:AQ1006),$AD$1006:$AU$1006,0))&gt;=100000), " ",IF(INDEX($AD$2:$AU$1001,MATCH(ROWS($W$2:W222),$W$2:$W$1001,0),MATCH(COLUMNS($AD$1006:AQ1006),$AD$1006:$AU$1006,0)), HYPERLINK("#",""), HYPERLINK(CONCATENATE("#metadata!", ADDRESS(INDEX($Y$2:$Y$1001,MATCH(ROWS($W$2:W222),$W$2:$W$1001,0),0), INDEX($AD$1004:$AU$1004,1,MATCH(COLUMNS($AD$1006:AQ1006),$AD$1006:$AU$1006,0)))),"Fix")))</f>
        <v xml:space="preserve"> </v>
      </c>
      <c r="P222" s="4" t="str">
        <f ca="1">IF(OR(INDEX($X$2:$X$1001,MATCH(ROWS($W$2:W222),$W$2:$W$1001,0),1)&gt;=100000,INDEX($AD$1005:$AU$1005,1,MATCH(COLUMNS($AD$1006:AR1006),$AD$1006:$AU$1006,0))&gt;=100000), " ",IF(INDEX($AD$2:$AU$1001,MATCH(ROWS($W$2:W222),$W$2:$W$1001,0),MATCH(COLUMNS($AD$1006:AR1006),$AD$1006:$AU$1006,0)), HYPERLINK("#",""), HYPERLINK(CONCATENATE("#metadata!", ADDRESS(INDEX($Y$2:$Y$1001,MATCH(ROWS($W$2:W222),$W$2:$W$1001,0),0), INDEX($AD$1004:$AU$1004,1,MATCH(COLUMNS($AD$1006:AR1006),$AD$1006:$AU$1006,0)))),"Fix")))</f>
        <v xml:space="preserve"> </v>
      </c>
      <c r="Q222" s="4" t="str">
        <f ca="1">IF(OR(INDEX($X$2:$X$1001,MATCH(ROWS($W$2:W222),$W$2:$W$1001,0),1)&gt;=100000,INDEX($AD$1005:$AU$1005,1,MATCH(COLUMNS($AD$1006:AS1006),$AD$1006:$AU$1006,0))&gt;=100000), " ",IF(INDEX($AD$2:$AU$1001,MATCH(ROWS($W$2:W222),$W$2:$W$1001,0),MATCH(COLUMNS($AD$1006:AS1006),$AD$1006:$AU$1006,0)), HYPERLINK("#",""), HYPERLINK(CONCATENATE("#metadata!", ADDRESS(INDEX($Y$2:$Y$1001,MATCH(ROWS($W$2:W222),$W$2:$W$1001,0),0), INDEX($AD$1004:$AU$1004,1,MATCH(COLUMNS($AD$1006:AS1006),$AD$1006:$AU$1006,0)))),"Fix")))</f>
        <v xml:space="preserve"> </v>
      </c>
      <c r="R222" s="4" t="str">
        <f ca="1">IF(OR(INDEX($X$2:$X$1001,MATCH(ROWS($W$2:W222),$W$2:$W$1001,0),1)&gt;=100000,INDEX($AD$1005:$AU$1005,1,MATCH(COLUMNS($AD$1006:AT1006),$AD$1006:$AU$1006,0))&gt;=100000), " ",IF(INDEX($AD$2:$AU$1001,MATCH(ROWS($W$2:W222),$W$2:$W$1001,0),MATCH(COLUMNS($AD$1006:AT1006),$AD$1006:$AU$1006,0)), HYPERLINK("#",""), HYPERLINK(CONCATENATE("#metadata!", ADDRESS(INDEX($Y$2:$Y$1001,MATCH(ROWS($W$2:W222),$W$2:$W$1001,0),0), INDEX($AD$1004:$AU$1004,1,MATCH(COLUMNS($AD$1006:AT1006),$AD$1006:$AU$1006,0)))),"Fix")))</f>
        <v xml:space="preserve"> </v>
      </c>
      <c r="S222" s="4" t="str">
        <f ca="1">IF(OR(INDEX($X$2:$X$1001,MATCH(ROWS($W$2:W222),$W$2:$W$1001,0),1)&gt;=100000,INDEX($AD$1005:$AU$1005,1,MATCH(COLUMNS($AD$1006:AU1006),$AD$1006:$AU$1006,0))&gt;=100000), " ",IF(INDEX($AD$2:$AU$1001,MATCH(ROWS($W$2:W222),$W$2:$W$1001,0),MATCH(COLUMNS($AD$1006:AU1006),$AD$1006:$AU$1006,0)), HYPERLINK("#",""), HYPERLINK(CONCATENATE("#metadata!", ADDRESS(INDEX($Y$2:$Y$1001,MATCH(ROWS($W$2:W222),$W$2:$W$1001,0),0), INDEX($AD$1004:$AU$1004,1,MATCH(COLUMNS($AD$1006:AU1006),$AD$1006:$AU$1006,0)))),"Fix")))</f>
        <v xml:space="preserve"> </v>
      </c>
      <c r="W222">
        <v>221</v>
      </c>
      <c r="X222">
        <v>100222</v>
      </c>
      <c r="Y222">
        <v>222</v>
      </c>
      <c r="Z222" t="b">
        <f t="shared" si="3"/>
        <v>1</v>
      </c>
      <c r="AA222" t="b">
        <f>COUNTBLANK(metadata!B222:S222)=COLUMNS(metadata!B222:S222)</f>
        <v>1</v>
      </c>
      <c r="AB222" t="str">
        <v/>
      </c>
      <c r="AD222" t="b">
        <f ca="1">AND(IF(metadata!B222="",FALSE,TRUE),COUNTIF(metadata!B:B, metadata!B222) = 1,NOT(ISERROR(SUMPRODUCT(SEARCH(MID(metadata!B222,ROW(INDIRECT("1:"&amp;LEN(metadata!B222))), 1),"0123456789abcdefghijklmnopqrstuvwxyzABCDEFGHIJKLMNOPQRSTUVWXYZ.")))))</f>
        <v>0</v>
      </c>
      <c r="AE222" t="b">
        <f>OR(AND(IF(metadata!C222="",FALSE,TRUE),OR(EXACT(metadata!C222,"not applicable"),EXACT(metadata!C222,"missing: not collected"),EXACT(metadata!C222,"missing: not provided"),EXACT(metadata!C222,"missing: restricted access"))),AND(IF(metadata!C222="",FALSE,ISNUMBER(VALUE(metadata!C222))),metadata!C222&gt;0))</f>
        <v>0</v>
      </c>
      <c r="AF222" t="b">
        <f>AND(IF(metadata!D222="",FALSE,TRUE),EXACT(metadata!D222,"missing: not provided"))</f>
        <v>0</v>
      </c>
      <c r="AG222" t="b">
        <f>AND(IF(metadata!E222="",FALSE,TRUE),EXACT(metadata!E222,"Host-associated"))</f>
        <v>0</v>
      </c>
      <c r="AH222" t="b">
        <f>AND(IF(metadata!F222="",FALSE,TRUE),OR(EXACT(metadata!F222,"Animal"),EXACT(metadata!F222,"Fungus"),EXACT(metadata!F222,"Plant")))</f>
        <v>0</v>
      </c>
      <c r="AI222" t="b">
        <f>AND(IF(metadata!G222="",FALSE,TRUE),OR(EXACT(metadata!G222,"Plant secretion"),EXACT(metadata!G222,"Plant rhizosphere"),EXACT(metadata!G222,"Plant surface"),EXACT(metadata!G222,"Plant corpus"),EXACT(metadata!G222,"Fungus surface"),EXACT(metadata!G222,"Fungus corpus"),EXACT(metadata!G222,"Animal surface"),EXACT(metadata!G222,"Animal proximal gut"),EXACT(metadata!G222,"Animal corpus"),EXACT(metadata!G222,"Animal distal gut"),EXACT(metadata!G222,"Animal secretion")))</f>
        <v>0</v>
      </c>
      <c r="AJ222" t="b">
        <f>OR(AND(IF(metadata!H222="",FALSE,TRUE),OR(EXACT(metadata!H222,"missing: not collected"),EXACT(metadata!H222,"missing: not provided"),EXACT(metadata!H222,"missing: restricted access"))),AND(IF(metadata!H222="",FALSE,TRUE),OR(EXACT(metadata!H222,"organism-associated habitat"),EXACT(metadata!H222,"plant-associated habitat"),EXACT(metadata!H222,"animal-associated habitat"),EXACT(metadata!H222,"insecta-associated habitat"),EXACT(metadata!H222,"mammalia-associated habitat"),EXACT(metadata!H222,"human-associated habitat"),EXACT(metadata!H222,"livestock-associated habitat"))))</f>
        <v>0</v>
      </c>
      <c r="AK222" t="b">
        <f>AND(IF(metadata!I222="",FALSE,TRUE),EXACT(metadata!I222,"host-associated"))</f>
        <v>0</v>
      </c>
      <c r="AL222" t="b">
        <f>OR(AND(IF(metadata!J222="",FALSE,TRUE),OR(EXACT(metadata!J222,"not applicable"),EXACT(metadata!J222,"missing: not collected"),EXACT(metadata!J222,"missing: not provided"),EXACT(metadata!J222,"missing: restricted access"))),AND(IF(metadata!J222="",FALSE,ISNUMBER(VALUE(metadata!J222))),metadata!J222&gt;0))</f>
        <v>0</v>
      </c>
      <c r="AM222" t="b">
        <f>AND(IF(metadata!K222="",FALSE,TRUE),EXACT(metadata!K222,"missing: not provided"))</f>
        <v>0</v>
      </c>
      <c r="AN222" t="b">
        <f>IF(metadata!L222="",FALSE,TRUE)</f>
        <v>0</v>
      </c>
      <c r="AO222" t="b">
        <f>IF(metadata!M222="",FALSE,TRUE)</f>
        <v>0</v>
      </c>
      <c r="AP222" t="b">
        <f>OR(AND(IF(metadata!N222="",FALSE,TRUE),OR(EXACT(metadata!N222,"not applicable"),EXACT(metadata!N222,"missing: not collected"),EXACT(metadata!N222,"missing: not provided"))),AND(IF(metadata!N222="",FALSE,IF(ISERROR(INT(metadata!N222)),FALSE,INT(metadata!N222)=metadata!N222)),metadata!N222&gt;0))</f>
        <v>0</v>
      </c>
      <c r="AQ222" t="b">
        <f>AND(IF(metadata!O222="",FALSE,TRUE),EXACT(metadata!O222,"Not applicable"))</f>
        <v>0</v>
      </c>
      <c r="AR222" t="b">
        <f>OR(AND(IF(metadata!P222="",FALSE,TRUE),OR(EXACT(metadata!P222,"not applicable"),EXACT(metadata!P222,"missing: not collected"),EXACT(metadata!P222,"missing: not provided"),EXACT(metadata!P222,"missing: restricted access"))),IF(metadata!P222="",FALSE,IF(ISERROR(INT(metadata!P222)),FALSE,INT(metadata!P222)=metadata!P222)))</f>
        <v>0</v>
      </c>
      <c r="AS222" t="b">
        <f>AND(IF(metadata!Q222="",FALSE,TRUE),EXACT(metadata!Q222,"Not applicable"))</f>
        <v>0</v>
      </c>
      <c r="AT222" t="b">
        <f>OR(AND(IF(metadata!R222="",FALSE,TRUE),OR(EXACT(metadata!R222,"not applicable"),EXACT(metadata!R222,"missing: not collected"),EXACT(metadata!R222,"missing: not provided"),EXACT(metadata!R222,"missing: restricted access"))),AND(IF(metadata!R222="",FALSE,ISNUMBER(VALUE(metadata!R222))),metadata!R222&gt;0))</f>
        <v>0</v>
      </c>
      <c r="AU222" t="b">
        <f>AND(IF(metadata!S222="",FALSE,TRUE),EXACT(metadata!S222,"missing: not provided"))</f>
        <v>0</v>
      </c>
    </row>
    <row r="223" spans="1:47" x14ac:dyDescent="0.2">
      <c r="A223" s="5" t="str">
        <f ca="1">IF(B223=" "," ",HYPERLINK(CONCATENATE("#metadata!",ADDRESS(INDEX($Y$2:$Y$1001,MATCH(ROWS($W$2:W223),$W$2:$W$1001,0),0),1)),INDEX($AB$2:$AB$1001,MATCH(ROWS($W$2:W223),$W$2:$W$1001,0),0)))</f>
        <v xml:space="preserve"> </v>
      </c>
      <c r="B223" s="4" t="str">
        <f ca="1">IF(OR(INDEX($X$2:$X$1001,MATCH(ROWS($W$2:W223),$W$2:$W$1001,0),1)&gt;=100000,INDEX($AD$1005:$AU$1005,1,MATCH(COLUMNS($AD$1006:AD1006),$AD$1006:$AU$1006,0))&gt;=100000), " ",IF(INDEX($AD$2:$AU$1001,MATCH(ROWS($W$2:W223),$W$2:$W$1001,0),MATCH(COLUMNS($AD$1006:AD1006),$AD$1006:$AU$1006,0)), HYPERLINK("#",""), HYPERLINK(CONCATENATE("#metadata!", ADDRESS(INDEX($Y$2:$Y$1001,MATCH(ROWS($W$2:W223),$W$2:$W$1001,0),0), INDEX($AD$1004:$AU$1004,1,MATCH(COLUMNS($AD$1006:AD1006),$AD$1006:$AU$1006,0)))),"Fix")))</f>
        <v xml:space="preserve"> </v>
      </c>
      <c r="C223" s="4" t="str">
        <f ca="1">IF(OR(INDEX($X$2:$X$1001,MATCH(ROWS($W$2:W223),$W$2:$W$1001,0),1)&gt;=100000,INDEX($AD$1005:$AU$1005,1,MATCH(COLUMNS($AD$1006:AE1006),$AD$1006:$AU$1006,0))&gt;=100000), " ",IF(INDEX($AD$2:$AU$1001,MATCH(ROWS($W$2:W223),$W$2:$W$1001,0),MATCH(COLUMNS($AD$1006:AE1006),$AD$1006:$AU$1006,0)), HYPERLINK("#",""), HYPERLINK(CONCATENATE("#metadata!", ADDRESS(INDEX($Y$2:$Y$1001,MATCH(ROWS($W$2:W223),$W$2:$W$1001,0),0), INDEX($AD$1004:$AU$1004,1,MATCH(COLUMNS($AD$1006:AE1006),$AD$1006:$AU$1006,0)))),"Fix")))</f>
        <v xml:space="preserve"> </v>
      </c>
      <c r="D223" s="4" t="str">
        <f ca="1">IF(OR(INDEX($X$2:$X$1001,MATCH(ROWS($W$2:W223),$W$2:$W$1001,0),1)&gt;=100000,INDEX($AD$1005:$AU$1005,1,MATCH(COLUMNS($AD$1006:AF1006),$AD$1006:$AU$1006,0))&gt;=100000), " ",IF(INDEX($AD$2:$AU$1001,MATCH(ROWS($W$2:W223),$W$2:$W$1001,0),MATCH(COLUMNS($AD$1006:AF1006),$AD$1006:$AU$1006,0)), HYPERLINK("#",""), HYPERLINK(CONCATENATE("#metadata!", ADDRESS(INDEX($Y$2:$Y$1001,MATCH(ROWS($W$2:W223),$W$2:$W$1001,0),0), INDEX($AD$1004:$AU$1004,1,MATCH(COLUMNS($AD$1006:AF1006),$AD$1006:$AU$1006,0)))),"Fix")))</f>
        <v xml:space="preserve"> </v>
      </c>
      <c r="E223" s="4" t="str">
        <f ca="1">IF(OR(INDEX($X$2:$X$1001,MATCH(ROWS($W$2:W223),$W$2:$W$1001,0),1)&gt;=100000,INDEX($AD$1005:$AU$1005,1,MATCH(COLUMNS($AD$1006:AG1006),$AD$1006:$AU$1006,0))&gt;=100000), " ",IF(INDEX($AD$2:$AU$1001,MATCH(ROWS($W$2:W223),$W$2:$W$1001,0),MATCH(COLUMNS($AD$1006:AG1006),$AD$1006:$AU$1006,0)), HYPERLINK("#",""), HYPERLINK(CONCATENATE("#metadata!", ADDRESS(INDEX($Y$2:$Y$1001,MATCH(ROWS($W$2:W223),$W$2:$W$1001,0),0), INDEX($AD$1004:$AU$1004,1,MATCH(COLUMNS($AD$1006:AG1006),$AD$1006:$AU$1006,0)))),"Fix")))</f>
        <v xml:space="preserve"> </v>
      </c>
      <c r="F223" s="4" t="str">
        <f ca="1">IF(OR(INDEX($X$2:$X$1001,MATCH(ROWS($W$2:W223),$W$2:$W$1001,0),1)&gt;=100000,INDEX($AD$1005:$AU$1005,1,MATCH(COLUMNS($AD$1006:AH1006),$AD$1006:$AU$1006,0))&gt;=100000), " ",IF(INDEX($AD$2:$AU$1001,MATCH(ROWS($W$2:W223),$W$2:$W$1001,0),MATCH(COLUMNS($AD$1006:AH1006),$AD$1006:$AU$1006,0)), HYPERLINK("#",""), HYPERLINK(CONCATENATE("#metadata!", ADDRESS(INDEX($Y$2:$Y$1001,MATCH(ROWS($W$2:W223),$W$2:$W$1001,0),0), INDEX($AD$1004:$AU$1004,1,MATCH(COLUMNS($AD$1006:AH1006),$AD$1006:$AU$1006,0)))),"Fix")))</f>
        <v xml:space="preserve"> </v>
      </c>
      <c r="G223" s="4" t="str">
        <f ca="1">IF(OR(INDEX($X$2:$X$1001,MATCH(ROWS($W$2:W223),$W$2:$W$1001,0),1)&gt;=100000,INDEX($AD$1005:$AU$1005,1,MATCH(COLUMNS($AD$1006:AI1006),$AD$1006:$AU$1006,0))&gt;=100000), " ",IF(INDEX($AD$2:$AU$1001,MATCH(ROWS($W$2:W223),$W$2:$W$1001,0),MATCH(COLUMNS($AD$1006:AI1006),$AD$1006:$AU$1006,0)), HYPERLINK("#",""), HYPERLINK(CONCATENATE("#metadata!", ADDRESS(INDEX($Y$2:$Y$1001,MATCH(ROWS($W$2:W223),$W$2:$W$1001,0),0), INDEX($AD$1004:$AU$1004,1,MATCH(COLUMNS($AD$1006:AI1006),$AD$1006:$AU$1006,0)))),"Fix")))</f>
        <v xml:space="preserve"> </v>
      </c>
      <c r="H223" s="4" t="str">
        <f ca="1">IF(OR(INDEX($X$2:$X$1001,MATCH(ROWS($W$2:W223),$W$2:$W$1001,0),1)&gt;=100000,INDEX($AD$1005:$AU$1005,1,MATCH(COLUMNS($AD$1006:AJ1006),$AD$1006:$AU$1006,0))&gt;=100000), " ",IF(INDEX($AD$2:$AU$1001,MATCH(ROWS($W$2:W223),$W$2:$W$1001,0),MATCH(COLUMNS($AD$1006:AJ1006),$AD$1006:$AU$1006,0)), HYPERLINK("#",""), HYPERLINK(CONCATENATE("#metadata!", ADDRESS(INDEX($Y$2:$Y$1001,MATCH(ROWS($W$2:W223),$W$2:$W$1001,0),0), INDEX($AD$1004:$AU$1004,1,MATCH(COLUMNS($AD$1006:AJ1006),$AD$1006:$AU$1006,0)))),"Fix")))</f>
        <v xml:space="preserve"> </v>
      </c>
      <c r="I223" s="4" t="str">
        <f ca="1">IF(OR(INDEX($X$2:$X$1001,MATCH(ROWS($W$2:W223),$W$2:$W$1001,0),1)&gt;=100000,INDEX($AD$1005:$AU$1005,1,MATCH(COLUMNS($AD$1006:AK1006),$AD$1006:$AU$1006,0))&gt;=100000), " ",IF(INDEX($AD$2:$AU$1001,MATCH(ROWS($W$2:W223),$W$2:$W$1001,0),MATCH(COLUMNS($AD$1006:AK1006),$AD$1006:$AU$1006,0)), HYPERLINK("#",""), HYPERLINK(CONCATENATE("#metadata!", ADDRESS(INDEX($Y$2:$Y$1001,MATCH(ROWS($W$2:W223),$W$2:$W$1001,0),0), INDEX($AD$1004:$AU$1004,1,MATCH(COLUMNS($AD$1006:AK1006),$AD$1006:$AU$1006,0)))),"Fix")))</f>
        <v xml:space="preserve"> </v>
      </c>
      <c r="J223" s="4" t="str">
        <f ca="1">IF(OR(INDEX($X$2:$X$1001,MATCH(ROWS($W$2:W223),$W$2:$W$1001,0),1)&gt;=100000,INDEX($AD$1005:$AU$1005,1,MATCH(COLUMNS($AD$1006:AL1006),$AD$1006:$AU$1006,0))&gt;=100000), " ",IF(INDEX($AD$2:$AU$1001,MATCH(ROWS($W$2:W223),$W$2:$W$1001,0),MATCH(COLUMNS($AD$1006:AL1006),$AD$1006:$AU$1006,0)), HYPERLINK("#",""), HYPERLINK(CONCATENATE("#metadata!", ADDRESS(INDEX($Y$2:$Y$1001,MATCH(ROWS($W$2:W223),$W$2:$W$1001,0),0), INDEX($AD$1004:$AU$1004,1,MATCH(COLUMNS($AD$1006:AL1006),$AD$1006:$AU$1006,0)))),"Fix")))</f>
        <v xml:space="preserve"> </v>
      </c>
      <c r="K223" s="4" t="str">
        <f ca="1">IF(OR(INDEX($X$2:$X$1001,MATCH(ROWS($W$2:W223),$W$2:$W$1001,0),1)&gt;=100000,INDEX($AD$1005:$AU$1005,1,MATCH(COLUMNS($AD$1006:AM1006),$AD$1006:$AU$1006,0))&gt;=100000), " ",IF(INDEX($AD$2:$AU$1001,MATCH(ROWS($W$2:W223),$W$2:$W$1001,0),MATCH(COLUMNS($AD$1006:AM1006),$AD$1006:$AU$1006,0)), HYPERLINK("#",""), HYPERLINK(CONCATENATE("#metadata!", ADDRESS(INDEX($Y$2:$Y$1001,MATCH(ROWS($W$2:W223),$W$2:$W$1001,0),0), INDEX($AD$1004:$AU$1004,1,MATCH(COLUMNS($AD$1006:AM1006),$AD$1006:$AU$1006,0)))),"Fix")))</f>
        <v xml:space="preserve"> </v>
      </c>
      <c r="L223" s="4" t="str">
        <f ca="1">IF(OR(INDEX($X$2:$X$1001,MATCH(ROWS($W$2:W223),$W$2:$W$1001,0),1)&gt;=100000,INDEX($AD$1005:$AU$1005,1,MATCH(COLUMNS($AD$1006:AN1006),$AD$1006:$AU$1006,0))&gt;=100000), " ",IF(INDEX($AD$2:$AU$1001,MATCH(ROWS($W$2:W223),$W$2:$W$1001,0),MATCH(COLUMNS($AD$1006:AN1006),$AD$1006:$AU$1006,0)), HYPERLINK("#",""), HYPERLINK(CONCATENATE("#metadata!", ADDRESS(INDEX($Y$2:$Y$1001,MATCH(ROWS($W$2:W223),$W$2:$W$1001,0),0), INDEX($AD$1004:$AU$1004,1,MATCH(COLUMNS($AD$1006:AN1006),$AD$1006:$AU$1006,0)))),"Fix")))</f>
        <v xml:space="preserve"> </v>
      </c>
      <c r="M223" s="4" t="str">
        <f ca="1">IF(OR(INDEX($X$2:$X$1001,MATCH(ROWS($W$2:W223),$W$2:$W$1001,0),1)&gt;=100000,INDEX($AD$1005:$AU$1005,1,MATCH(COLUMNS($AD$1006:AO1006),$AD$1006:$AU$1006,0))&gt;=100000), " ",IF(INDEX($AD$2:$AU$1001,MATCH(ROWS($W$2:W223),$W$2:$W$1001,0),MATCH(COLUMNS($AD$1006:AO1006),$AD$1006:$AU$1006,0)), HYPERLINK("#",""), HYPERLINK(CONCATENATE("#metadata!", ADDRESS(INDEX($Y$2:$Y$1001,MATCH(ROWS($W$2:W223),$W$2:$W$1001,0),0), INDEX($AD$1004:$AU$1004,1,MATCH(COLUMNS($AD$1006:AO1006),$AD$1006:$AU$1006,0)))),"Fix")))</f>
        <v xml:space="preserve"> </v>
      </c>
      <c r="N223" s="4" t="str">
        <f ca="1">IF(OR(INDEX($X$2:$X$1001,MATCH(ROWS($W$2:W223),$W$2:$W$1001,0),1)&gt;=100000,INDEX($AD$1005:$AU$1005,1,MATCH(COLUMNS($AD$1006:AP1006),$AD$1006:$AU$1006,0))&gt;=100000), " ",IF(INDEX($AD$2:$AU$1001,MATCH(ROWS($W$2:W223),$W$2:$W$1001,0),MATCH(COLUMNS($AD$1006:AP1006),$AD$1006:$AU$1006,0)), HYPERLINK("#",""), HYPERLINK(CONCATENATE("#metadata!", ADDRESS(INDEX($Y$2:$Y$1001,MATCH(ROWS($W$2:W223),$W$2:$W$1001,0),0), INDEX($AD$1004:$AU$1004,1,MATCH(COLUMNS($AD$1006:AP1006),$AD$1006:$AU$1006,0)))),"Fix")))</f>
        <v xml:space="preserve"> </v>
      </c>
      <c r="O223" s="4" t="str">
        <f ca="1">IF(OR(INDEX($X$2:$X$1001,MATCH(ROWS($W$2:W223),$W$2:$W$1001,0),1)&gt;=100000,INDEX($AD$1005:$AU$1005,1,MATCH(COLUMNS($AD$1006:AQ1006),$AD$1006:$AU$1006,0))&gt;=100000), " ",IF(INDEX($AD$2:$AU$1001,MATCH(ROWS($W$2:W223),$W$2:$W$1001,0),MATCH(COLUMNS($AD$1006:AQ1006),$AD$1006:$AU$1006,0)), HYPERLINK("#",""), HYPERLINK(CONCATENATE("#metadata!", ADDRESS(INDEX($Y$2:$Y$1001,MATCH(ROWS($W$2:W223),$W$2:$W$1001,0),0), INDEX($AD$1004:$AU$1004,1,MATCH(COLUMNS($AD$1006:AQ1006),$AD$1006:$AU$1006,0)))),"Fix")))</f>
        <v xml:space="preserve"> </v>
      </c>
      <c r="P223" s="4" t="str">
        <f ca="1">IF(OR(INDEX($X$2:$X$1001,MATCH(ROWS($W$2:W223),$W$2:$W$1001,0),1)&gt;=100000,INDEX($AD$1005:$AU$1005,1,MATCH(COLUMNS($AD$1006:AR1006),$AD$1006:$AU$1006,0))&gt;=100000), " ",IF(INDEX($AD$2:$AU$1001,MATCH(ROWS($W$2:W223),$W$2:$W$1001,0),MATCH(COLUMNS($AD$1006:AR1006),$AD$1006:$AU$1006,0)), HYPERLINK("#",""), HYPERLINK(CONCATENATE("#metadata!", ADDRESS(INDEX($Y$2:$Y$1001,MATCH(ROWS($W$2:W223),$W$2:$W$1001,0),0), INDEX($AD$1004:$AU$1004,1,MATCH(COLUMNS($AD$1006:AR1006),$AD$1006:$AU$1006,0)))),"Fix")))</f>
        <v xml:space="preserve"> </v>
      </c>
      <c r="Q223" s="4" t="str">
        <f ca="1">IF(OR(INDEX($X$2:$X$1001,MATCH(ROWS($W$2:W223),$W$2:$W$1001,0),1)&gt;=100000,INDEX($AD$1005:$AU$1005,1,MATCH(COLUMNS($AD$1006:AS1006),$AD$1006:$AU$1006,0))&gt;=100000), " ",IF(INDEX($AD$2:$AU$1001,MATCH(ROWS($W$2:W223),$W$2:$W$1001,0),MATCH(COLUMNS($AD$1006:AS1006),$AD$1006:$AU$1006,0)), HYPERLINK("#",""), HYPERLINK(CONCATENATE("#metadata!", ADDRESS(INDEX($Y$2:$Y$1001,MATCH(ROWS($W$2:W223),$W$2:$W$1001,0),0), INDEX($AD$1004:$AU$1004,1,MATCH(COLUMNS($AD$1006:AS1006),$AD$1006:$AU$1006,0)))),"Fix")))</f>
        <v xml:space="preserve"> </v>
      </c>
      <c r="R223" s="4" t="str">
        <f ca="1">IF(OR(INDEX($X$2:$X$1001,MATCH(ROWS($W$2:W223),$W$2:$W$1001,0),1)&gt;=100000,INDEX($AD$1005:$AU$1005,1,MATCH(COLUMNS($AD$1006:AT1006),$AD$1006:$AU$1006,0))&gt;=100000), " ",IF(INDEX($AD$2:$AU$1001,MATCH(ROWS($W$2:W223),$W$2:$W$1001,0),MATCH(COLUMNS($AD$1006:AT1006),$AD$1006:$AU$1006,0)), HYPERLINK("#",""), HYPERLINK(CONCATENATE("#metadata!", ADDRESS(INDEX($Y$2:$Y$1001,MATCH(ROWS($W$2:W223),$W$2:$W$1001,0),0), INDEX($AD$1004:$AU$1004,1,MATCH(COLUMNS($AD$1006:AT1006),$AD$1006:$AU$1006,0)))),"Fix")))</f>
        <v xml:space="preserve"> </v>
      </c>
      <c r="S223" s="4" t="str">
        <f ca="1">IF(OR(INDEX($X$2:$X$1001,MATCH(ROWS($W$2:W223),$W$2:$W$1001,0),1)&gt;=100000,INDEX($AD$1005:$AU$1005,1,MATCH(COLUMNS($AD$1006:AU1006),$AD$1006:$AU$1006,0))&gt;=100000), " ",IF(INDEX($AD$2:$AU$1001,MATCH(ROWS($W$2:W223),$W$2:$W$1001,0),MATCH(COLUMNS($AD$1006:AU1006),$AD$1006:$AU$1006,0)), HYPERLINK("#",""), HYPERLINK(CONCATENATE("#metadata!", ADDRESS(INDEX($Y$2:$Y$1001,MATCH(ROWS($W$2:W223),$W$2:$W$1001,0),0), INDEX($AD$1004:$AU$1004,1,MATCH(COLUMNS($AD$1006:AU1006),$AD$1006:$AU$1006,0)))),"Fix")))</f>
        <v xml:space="preserve"> </v>
      </c>
      <c r="W223">
        <v>222</v>
      </c>
      <c r="X223">
        <v>100223</v>
      </c>
      <c r="Y223">
        <v>223</v>
      </c>
      <c r="Z223" t="b">
        <f t="shared" si="3"/>
        <v>1</v>
      </c>
      <c r="AA223" t="b">
        <f>COUNTBLANK(metadata!B223:S223)=COLUMNS(metadata!B223:S223)</f>
        <v>1</v>
      </c>
      <c r="AB223" t="str">
        <v/>
      </c>
      <c r="AD223" t="b">
        <f ca="1">AND(IF(metadata!B223="",FALSE,TRUE),COUNTIF(metadata!B:B, metadata!B223) = 1,NOT(ISERROR(SUMPRODUCT(SEARCH(MID(metadata!B223,ROW(INDIRECT("1:"&amp;LEN(metadata!B223))), 1),"0123456789abcdefghijklmnopqrstuvwxyzABCDEFGHIJKLMNOPQRSTUVWXYZ.")))))</f>
        <v>0</v>
      </c>
      <c r="AE223" t="b">
        <f>OR(AND(IF(metadata!C223="",FALSE,TRUE),OR(EXACT(metadata!C223,"not applicable"),EXACT(metadata!C223,"missing: not collected"),EXACT(metadata!C223,"missing: not provided"),EXACT(metadata!C223,"missing: restricted access"))),AND(IF(metadata!C223="",FALSE,ISNUMBER(VALUE(metadata!C223))),metadata!C223&gt;0))</f>
        <v>0</v>
      </c>
      <c r="AF223" t="b">
        <f>AND(IF(metadata!D223="",FALSE,TRUE),EXACT(metadata!D223,"missing: not provided"))</f>
        <v>0</v>
      </c>
      <c r="AG223" t="b">
        <f>AND(IF(metadata!E223="",FALSE,TRUE),EXACT(metadata!E223,"Host-associated"))</f>
        <v>0</v>
      </c>
      <c r="AH223" t="b">
        <f>AND(IF(metadata!F223="",FALSE,TRUE),OR(EXACT(metadata!F223,"Animal"),EXACT(metadata!F223,"Fungus"),EXACT(metadata!F223,"Plant")))</f>
        <v>0</v>
      </c>
      <c r="AI223" t="b">
        <f>AND(IF(metadata!G223="",FALSE,TRUE),OR(EXACT(metadata!G223,"Plant secretion"),EXACT(metadata!G223,"Plant rhizosphere"),EXACT(metadata!G223,"Plant surface"),EXACT(metadata!G223,"Plant corpus"),EXACT(metadata!G223,"Fungus surface"),EXACT(metadata!G223,"Fungus corpus"),EXACT(metadata!G223,"Animal surface"),EXACT(metadata!G223,"Animal proximal gut"),EXACT(metadata!G223,"Animal corpus"),EXACT(metadata!G223,"Animal distal gut"),EXACT(metadata!G223,"Animal secretion")))</f>
        <v>0</v>
      </c>
      <c r="AJ223" t="b">
        <f>OR(AND(IF(metadata!H223="",FALSE,TRUE),OR(EXACT(metadata!H223,"missing: not collected"),EXACT(metadata!H223,"missing: not provided"),EXACT(metadata!H223,"missing: restricted access"))),AND(IF(metadata!H223="",FALSE,TRUE),OR(EXACT(metadata!H223,"organism-associated habitat"),EXACT(metadata!H223,"plant-associated habitat"),EXACT(metadata!H223,"animal-associated habitat"),EXACT(metadata!H223,"insecta-associated habitat"),EXACT(metadata!H223,"mammalia-associated habitat"),EXACT(metadata!H223,"human-associated habitat"),EXACT(metadata!H223,"livestock-associated habitat"))))</f>
        <v>0</v>
      </c>
      <c r="AK223" t="b">
        <f>AND(IF(metadata!I223="",FALSE,TRUE),EXACT(metadata!I223,"host-associated"))</f>
        <v>0</v>
      </c>
      <c r="AL223" t="b">
        <f>OR(AND(IF(metadata!J223="",FALSE,TRUE),OR(EXACT(metadata!J223,"not applicable"),EXACT(metadata!J223,"missing: not collected"),EXACT(metadata!J223,"missing: not provided"),EXACT(metadata!J223,"missing: restricted access"))),AND(IF(metadata!J223="",FALSE,ISNUMBER(VALUE(metadata!J223))),metadata!J223&gt;0))</f>
        <v>0</v>
      </c>
      <c r="AM223" t="b">
        <f>AND(IF(metadata!K223="",FALSE,TRUE),EXACT(metadata!K223,"missing: not provided"))</f>
        <v>0</v>
      </c>
      <c r="AN223" t="b">
        <f>IF(metadata!L223="",FALSE,TRUE)</f>
        <v>0</v>
      </c>
      <c r="AO223" t="b">
        <f>IF(metadata!M223="",FALSE,TRUE)</f>
        <v>0</v>
      </c>
      <c r="AP223" t="b">
        <f>OR(AND(IF(metadata!N223="",FALSE,TRUE),OR(EXACT(metadata!N223,"not applicable"),EXACT(metadata!N223,"missing: not collected"),EXACT(metadata!N223,"missing: not provided"))),AND(IF(metadata!N223="",FALSE,IF(ISERROR(INT(metadata!N223)),FALSE,INT(metadata!N223)=metadata!N223)),metadata!N223&gt;0))</f>
        <v>0</v>
      </c>
      <c r="AQ223" t="b">
        <f>AND(IF(metadata!O223="",FALSE,TRUE),EXACT(metadata!O223,"Not applicable"))</f>
        <v>0</v>
      </c>
      <c r="AR223" t="b">
        <f>OR(AND(IF(metadata!P223="",FALSE,TRUE),OR(EXACT(metadata!P223,"not applicable"),EXACT(metadata!P223,"missing: not collected"),EXACT(metadata!P223,"missing: not provided"),EXACT(metadata!P223,"missing: restricted access"))),IF(metadata!P223="",FALSE,IF(ISERROR(INT(metadata!P223)),FALSE,INT(metadata!P223)=metadata!P223)))</f>
        <v>0</v>
      </c>
      <c r="AS223" t="b">
        <f>AND(IF(metadata!Q223="",FALSE,TRUE),EXACT(metadata!Q223,"Not applicable"))</f>
        <v>0</v>
      </c>
      <c r="AT223" t="b">
        <f>OR(AND(IF(metadata!R223="",FALSE,TRUE),OR(EXACT(metadata!R223,"not applicable"),EXACT(metadata!R223,"missing: not collected"),EXACT(metadata!R223,"missing: not provided"),EXACT(metadata!R223,"missing: restricted access"))),AND(IF(metadata!R223="",FALSE,ISNUMBER(VALUE(metadata!R223))),metadata!R223&gt;0))</f>
        <v>0</v>
      </c>
      <c r="AU223" t="b">
        <f>AND(IF(metadata!S223="",FALSE,TRUE),EXACT(metadata!S223,"missing: not provided"))</f>
        <v>0</v>
      </c>
    </row>
    <row r="224" spans="1:47" x14ac:dyDescent="0.2">
      <c r="A224" s="5" t="str">
        <f ca="1">IF(B224=" "," ",HYPERLINK(CONCATENATE("#metadata!",ADDRESS(INDEX($Y$2:$Y$1001,MATCH(ROWS($W$2:W224),$W$2:$W$1001,0),0),1)),INDEX($AB$2:$AB$1001,MATCH(ROWS($W$2:W224),$W$2:$W$1001,0),0)))</f>
        <v xml:space="preserve"> </v>
      </c>
      <c r="B224" s="4" t="str">
        <f ca="1">IF(OR(INDEX($X$2:$X$1001,MATCH(ROWS($W$2:W224),$W$2:$W$1001,0),1)&gt;=100000,INDEX($AD$1005:$AU$1005,1,MATCH(COLUMNS($AD$1006:AD1006),$AD$1006:$AU$1006,0))&gt;=100000), " ",IF(INDEX($AD$2:$AU$1001,MATCH(ROWS($W$2:W224),$W$2:$W$1001,0),MATCH(COLUMNS($AD$1006:AD1006),$AD$1006:$AU$1006,0)), HYPERLINK("#",""), HYPERLINK(CONCATENATE("#metadata!", ADDRESS(INDEX($Y$2:$Y$1001,MATCH(ROWS($W$2:W224),$W$2:$W$1001,0),0), INDEX($AD$1004:$AU$1004,1,MATCH(COLUMNS($AD$1006:AD1006),$AD$1006:$AU$1006,0)))),"Fix")))</f>
        <v xml:space="preserve"> </v>
      </c>
      <c r="C224" s="4" t="str">
        <f ca="1">IF(OR(INDEX($X$2:$X$1001,MATCH(ROWS($W$2:W224),$W$2:$W$1001,0),1)&gt;=100000,INDEX($AD$1005:$AU$1005,1,MATCH(COLUMNS($AD$1006:AE1006),$AD$1006:$AU$1006,0))&gt;=100000), " ",IF(INDEX($AD$2:$AU$1001,MATCH(ROWS($W$2:W224),$W$2:$W$1001,0),MATCH(COLUMNS($AD$1006:AE1006),$AD$1006:$AU$1006,0)), HYPERLINK("#",""), HYPERLINK(CONCATENATE("#metadata!", ADDRESS(INDEX($Y$2:$Y$1001,MATCH(ROWS($W$2:W224),$W$2:$W$1001,0),0), INDEX($AD$1004:$AU$1004,1,MATCH(COLUMNS($AD$1006:AE1006),$AD$1006:$AU$1006,0)))),"Fix")))</f>
        <v xml:space="preserve"> </v>
      </c>
      <c r="D224" s="4" t="str">
        <f ca="1">IF(OR(INDEX($X$2:$X$1001,MATCH(ROWS($W$2:W224),$W$2:$W$1001,0),1)&gt;=100000,INDEX($AD$1005:$AU$1005,1,MATCH(COLUMNS($AD$1006:AF1006),$AD$1006:$AU$1006,0))&gt;=100000), " ",IF(INDEX($AD$2:$AU$1001,MATCH(ROWS($W$2:W224),$W$2:$W$1001,0),MATCH(COLUMNS($AD$1006:AF1006),$AD$1006:$AU$1006,0)), HYPERLINK("#",""), HYPERLINK(CONCATENATE("#metadata!", ADDRESS(INDEX($Y$2:$Y$1001,MATCH(ROWS($W$2:W224),$W$2:$W$1001,0),0), INDEX($AD$1004:$AU$1004,1,MATCH(COLUMNS($AD$1006:AF1006),$AD$1006:$AU$1006,0)))),"Fix")))</f>
        <v xml:space="preserve"> </v>
      </c>
      <c r="E224" s="4" t="str">
        <f ca="1">IF(OR(INDEX($X$2:$X$1001,MATCH(ROWS($W$2:W224),$W$2:$W$1001,0),1)&gt;=100000,INDEX($AD$1005:$AU$1005,1,MATCH(COLUMNS($AD$1006:AG1006),$AD$1006:$AU$1006,0))&gt;=100000), " ",IF(INDEX($AD$2:$AU$1001,MATCH(ROWS($W$2:W224),$W$2:$W$1001,0),MATCH(COLUMNS($AD$1006:AG1006),$AD$1006:$AU$1006,0)), HYPERLINK("#",""), HYPERLINK(CONCATENATE("#metadata!", ADDRESS(INDEX($Y$2:$Y$1001,MATCH(ROWS($W$2:W224),$W$2:$W$1001,0),0), INDEX($AD$1004:$AU$1004,1,MATCH(COLUMNS($AD$1006:AG1006),$AD$1006:$AU$1006,0)))),"Fix")))</f>
        <v xml:space="preserve"> </v>
      </c>
      <c r="F224" s="4" t="str">
        <f ca="1">IF(OR(INDEX($X$2:$X$1001,MATCH(ROWS($W$2:W224),$W$2:$W$1001,0),1)&gt;=100000,INDEX($AD$1005:$AU$1005,1,MATCH(COLUMNS($AD$1006:AH1006),$AD$1006:$AU$1006,0))&gt;=100000), " ",IF(INDEX($AD$2:$AU$1001,MATCH(ROWS($W$2:W224),$W$2:$W$1001,0),MATCH(COLUMNS($AD$1006:AH1006),$AD$1006:$AU$1006,0)), HYPERLINK("#",""), HYPERLINK(CONCATENATE("#metadata!", ADDRESS(INDEX($Y$2:$Y$1001,MATCH(ROWS($W$2:W224),$W$2:$W$1001,0),0), INDEX($AD$1004:$AU$1004,1,MATCH(COLUMNS($AD$1006:AH1006),$AD$1006:$AU$1006,0)))),"Fix")))</f>
        <v xml:space="preserve"> </v>
      </c>
      <c r="G224" s="4" t="str">
        <f ca="1">IF(OR(INDEX($X$2:$X$1001,MATCH(ROWS($W$2:W224),$W$2:$W$1001,0),1)&gt;=100000,INDEX($AD$1005:$AU$1005,1,MATCH(COLUMNS($AD$1006:AI1006),$AD$1006:$AU$1006,0))&gt;=100000), " ",IF(INDEX($AD$2:$AU$1001,MATCH(ROWS($W$2:W224),$W$2:$W$1001,0),MATCH(COLUMNS($AD$1006:AI1006),$AD$1006:$AU$1006,0)), HYPERLINK("#",""), HYPERLINK(CONCATENATE("#metadata!", ADDRESS(INDEX($Y$2:$Y$1001,MATCH(ROWS($W$2:W224),$W$2:$W$1001,0),0), INDEX($AD$1004:$AU$1004,1,MATCH(COLUMNS($AD$1006:AI1006),$AD$1006:$AU$1006,0)))),"Fix")))</f>
        <v xml:space="preserve"> </v>
      </c>
      <c r="H224" s="4" t="str">
        <f ca="1">IF(OR(INDEX($X$2:$X$1001,MATCH(ROWS($W$2:W224),$W$2:$W$1001,0),1)&gt;=100000,INDEX($AD$1005:$AU$1005,1,MATCH(COLUMNS($AD$1006:AJ1006),$AD$1006:$AU$1006,0))&gt;=100000), " ",IF(INDEX($AD$2:$AU$1001,MATCH(ROWS($W$2:W224),$W$2:$W$1001,0),MATCH(COLUMNS($AD$1006:AJ1006),$AD$1006:$AU$1006,0)), HYPERLINK("#",""), HYPERLINK(CONCATENATE("#metadata!", ADDRESS(INDEX($Y$2:$Y$1001,MATCH(ROWS($W$2:W224),$W$2:$W$1001,0),0), INDEX($AD$1004:$AU$1004,1,MATCH(COLUMNS($AD$1006:AJ1006),$AD$1006:$AU$1006,0)))),"Fix")))</f>
        <v xml:space="preserve"> </v>
      </c>
      <c r="I224" s="4" t="str">
        <f ca="1">IF(OR(INDEX($X$2:$X$1001,MATCH(ROWS($W$2:W224),$W$2:$W$1001,0),1)&gt;=100000,INDEX($AD$1005:$AU$1005,1,MATCH(COLUMNS($AD$1006:AK1006),$AD$1006:$AU$1006,0))&gt;=100000), " ",IF(INDEX($AD$2:$AU$1001,MATCH(ROWS($W$2:W224),$W$2:$W$1001,0),MATCH(COLUMNS($AD$1006:AK1006),$AD$1006:$AU$1006,0)), HYPERLINK("#",""), HYPERLINK(CONCATENATE("#metadata!", ADDRESS(INDEX($Y$2:$Y$1001,MATCH(ROWS($W$2:W224),$W$2:$W$1001,0),0), INDEX($AD$1004:$AU$1004,1,MATCH(COLUMNS($AD$1006:AK1006),$AD$1006:$AU$1006,0)))),"Fix")))</f>
        <v xml:space="preserve"> </v>
      </c>
      <c r="J224" s="4" t="str">
        <f ca="1">IF(OR(INDEX($X$2:$X$1001,MATCH(ROWS($W$2:W224),$W$2:$W$1001,0),1)&gt;=100000,INDEX($AD$1005:$AU$1005,1,MATCH(COLUMNS($AD$1006:AL1006),$AD$1006:$AU$1006,0))&gt;=100000), " ",IF(INDEX($AD$2:$AU$1001,MATCH(ROWS($W$2:W224),$W$2:$W$1001,0),MATCH(COLUMNS($AD$1006:AL1006),$AD$1006:$AU$1006,0)), HYPERLINK("#",""), HYPERLINK(CONCATENATE("#metadata!", ADDRESS(INDEX($Y$2:$Y$1001,MATCH(ROWS($W$2:W224),$W$2:$W$1001,0),0), INDEX($AD$1004:$AU$1004,1,MATCH(COLUMNS($AD$1006:AL1006),$AD$1006:$AU$1006,0)))),"Fix")))</f>
        <v xml:space="preserve"> </v>
      </c>
      <c r="K224" s="4" t="str">
        <f ca="1">IF(OR(INDEX($X$2:$X$1001,MATCH(ROWS($W$2:W224),$W$2:$W$1001,0),1)&gt;=100000,INDEX($AD$1005:$AU$1005,1,MATCH(COLUMNS($AD$1006:AM1006),$AD$1006:$AU$1006,0))&gt;=100000), " ",IF(INDEX($AD$2:$AU$1001,MATCH(ROWS($W$2:W224),$W$2:$W$1001,0),MATCH(COLUMNS($AD$1006:AM1006),$AD$1006:$AU$1006,0)), HYPERLINK("#",""), HYPERLINK(CONCATENATE("#metadata!", ADDRESS(INDEX($Y$2:$Y$1001,MATCH(ROWS($W$2:W224),$W$2:$W$1001,0),0), INDEX($AD$1004:$AU$1004,1,MATCH(COLUMNS($AD$1006:AM1006),$AD$1006:$AU$1006,0)))),"Fix")))</f>
        <v xml:space="preserve"> </v>
      </c>
      <c r="L224" s="4" t="str">
        <f ca="1">IF(OR(INDEX($X$2:$X$1001,MATCH(ROWS($W$2:W224),$W$2:$W$1001,0),1)&gt;=100000,INDEX($AD$1005:$AU$1005,1,MATCH(COLUMNS($AD$1006:AN1006),$AD$1006:$AU$1006,0))&gt;=100000), " ",IF(INDEX($AD$2:$AU$1001,MATCH(ROWS($W$2:W224),$W$2:$W$1001,0),MATCH(COLUMNS($AD$1006:AN1006),$AD$1006:$AU$1006,0)), HYPERLINK("#",""), HYPERLINK(CONCATENATE("#metadata!", ADDRESS(INDEX($Y$2:$Y$1001,MATCH(ROWS($W$2:W224),$W$2:$W$1001,0),0), INDEX($AD$1004:$AU$1004,1,MATCH(COLUMNS($AD$1006:AN1006),$AD$1006:$AU$1006,0)))),"Fix")))</f>
        <v xml:space="preserve"> </v>
      </c>
      <c r="M224" s="4" t="str">
        <f ca="1">IF(OR(INDEX($X$2:$X$1001,MATCH(ROWS($W$2:W224),$W$2:$W$1001,0),1)&gt;=100000,INDEX($AD$1005:$AU$1005,1,MATCH(COLUMNS($AD$1006:AO1006),$AD$1006:$AU$1006,0))&gt;=100000), " ",IF(INDEX($AD$2:$AU$1001,MATCH(ROWS($W$2:W224),$W$2:$W$1001,0),MATCH(COLUMNS($AD$1006:AO1006),$AD$1006:$AU$1006,0)), HYPERLINK("#",""), HYPERLINK(CONCATENATE("#metadata!", ADDRESS(INDEX($Y$2:$Y$1001,MATCH(ROWS($W$2:W224),$W$2:$W$1001,0),0), INDEX($AD$1004:$AU$1004,1,MATCH(COLUMNS($AD$1006:AO1006),$AD$1006:$AU$1006,0)))),"Fix")))</f>
        <v xml:space="preserve"> </v>
      </c>
      <c r="N224" s="4" t="str">
        <f ca="1">IF(OR(INDEX($X$2:$X$1001,MATCH(ROWS($W$2:W224),$W$2:$W$1001,0),1)&gt;=100000,INDEX($AD$1005:$AU$1005,1,MATCH(COLUMNS($AD$1006:AP1006),$AD$1006:$AU$1006,0))&gt;=100000), " ",IF(INDEX($AD$2:$AU$1001,MATCH(ROWS($W$2:W224),$W$2:$W$1001,0),MATCH(COLUMNS($AD$1006:AP1006),$AD$1006:$AU$1006,0)), HYPERLINK("#",""), HYPERLINK(CONCATENATE("#metadata!", ADDRESS(INDEX($Y$2:$Y$1001,MATCH(ROWS($W$2:W224),$W$2:$W$1001,0),0), INDEX($AD$1004:$AU$1004,1,MATCH(COLUMNS($AD$1006:AP1006),$AD$1006:$AU$1006,0)))),"Fix")))</f>
        <v xml:space="preserve"> </v>
      </c>
      <c r="O224" s="4" t="str">
        <f ca="1">IF(OR(INDEX($X$2:$X$1001,MATCH(ROWS($W$2:W224),$W$2:$W$1001,0),1)&gt;=100000,INDEX($AD$1005:$AU$1005,1,MATCH(COLUMNS($AD$1006:AQ1006),$AD$1006:$AU$1006,0))&gt;=100000), " ",IF(INDEX($AD$2:$AU$1001,MATCH(ROWS($W$2:W224),$W$2:$W$1001,0),MATCH(COLUMNS($AD$1006:AQ1006),$AD$1006:$AU$1006,0)), HYPERLINK("#",""), HYPERLINK(CONCATENATE("#metadata!", ADDRESS(INDEX($Y$2:$Y$1001,MATCH(ROWS($W$2:W224),$W$2:$W$1001,0),0), INDEX($AD$1004:$AU$1004,1,MATCH(COLUMNS($AD$1006:AQ1006),$AD$1006:$AU$1006,0)))),"Fix")))</f>
        <v xml:space="preserve"> </v>
      </c>
      <c r="P224" s="4" t="str">
        <f ca="1">IF(OR(INDEX($X$2:$X$1001,MATCH(ROWS($W$2:W224),$W$2:$W$1001,0),1)&gt;=100000,INDEX($AD$1005:$AU$1005,1,MATCH(COLUMNS($AD$1006:AR1006),$AD$1006:$AU$1006,0))&gt;=100000), " ",IF(INDEX($AD$2:$AU$1001,MATCH(ROWS($W$2:W224),$W$2:$W$1001,0),MATCH(COLUMNS($AD$1006:AR1006),$AD$1006:$AU$1006,0)), HYPERLINK("#",""), HYPERLINK(CONCATENATE("#metadata!", ADDRESS(INDEX($Y$2:$Y$1001,MATCH(ROWS($W$2:W224),$W$2:$W$1001,0),0), INDEX($AD$1004:$AU$1004,1,MATCH(COLUMNS($AD$1006:AR1006),$AD$1006:$AU$1006,0)))),"Fix")))</f>
        <v xml:space="preserve"> </v>
      </c>
      <c r="Q224" s="4" t="str">
        <f ca="1">IF(OR(INDEX($X$2:$X$1001,MATCH(ROWS($W$2:W224),$W$2:$W$1001,0),1)&gt;=100000,INDEX($AD$1005:$AU$1005,1,MATCH(COLUMNS($AD$1006:AS1006),$AD$1006:$AU$1006,0))&gt;=100000), " ",IF(INDEX($AD$2:$AU$1001,MATCH(ROWS($W$2:W224),$W$2:$W$1001,0),MATCH(COLUMNS($AD$1006:AS1006),$AD$1006:$AU$1006,0)), HYPERLINK("#",""), HYPERLINK(CONCATENATE("#metadata!", ADDRESS(INDEX($Y$2:$Y$1001,MATCH(ROWS($W$2:W224),$W$2:$W$1001,0),0), INDEX($AD$1004:$AU$1004,1,MATCH(COLUMNS($AD$1006:AS1006),$AD$1006:$AU$1006,0)))),"Fix")))</f>
        <v xml:space="preserve"> </v>
      </c>
      <c r="R224" s="4" t="str">
        <f ca="1">IF(OR(INDEX($X$2:$X$1001,MATCH(ROWS($W$2:W224),$W$2:$W$1001,0),1)&gt;=100000,INDEX($AD$1005:$AU$1005,1,MATCH(COLUMNS($AD$1006:AT1006),$AD$1006:$AU$1006,0))&gt;=100000), " ",IF(INDEX($AD$2:$AU$1001,MATCH(ROWS($W$2:W224),$W$2:$W$1001,0),MATCH(COLUMNS($AD$1006:AT1006),$AD$1006:$AU$1006,0)), HYPERLINK("#",""), HYPERLINK(CONCATENATE("#metadata!", ADDRESS(INDEX($Y$2:$Y$1001,MATCH(ROWS($W$2:W224),$W$2:$W$1001,0),0), INDEX($AD$1004:$AU$1004,1,MATCH(COLUMNS($AD$1006:AT1006),$AD$1006:$AU$1006,0)))),"Fix")))</f>
        <v xml:space="preserve"> </v>
      </c>
      <c r="S224" s="4" t="str">
        <f ca="1">IF(OR(INDEX($X$2:$X$1001,MATCH(ROWS($W$2:W224),$W$2:$W$1001,0),1)&gt;=100000,INDEX($AD$1005:$AU$1005,1,MATCH(COLUMNS($AD$1006:AU1006),$AD$1006:$AU$1006,0))&gt;=100000), " ",IF(INDEX($AD$2:$AU$1001,MATCH(ROWS($W$2:W224),$W$2:$W$1001,0),MATCH(COLUMNS($AD$1006:AU1006),$AD$1006:$AU$1006,0)), HYPERLINK("#",""), HYPERLINK(CONCATENATE("#metadata!", ADDRESS(INDEX($Y$2:$Y$1001,MATCH(ROWS($W$2:W224),$W$2:$W$1001,0),0), INDEX($AD$1004:$AU$1004,1,MATCH(COLUMNS($AD$1006:AU1006),$AD$1006:$AU$1006,0)))),"Fix")))</f>
        <v xml:space="preserve"> </v>
      </c>
      <c r="W224">
        <v>223</v>
      </c>
      <c r="X224">
        <v>100224</v>
      </c>
      <c r="Y224">
        <v>224</v>
      </c>
      <c r="Z224" t="b">
        <f t="shared" si="3"/>
        <v>1</v>
      </c>
      <c r="AA224" t="b">
        <f>COUNTBLANK(metadata!B224:S224)=COLUMNS(metadata!B224:S224)</f>
        <v>1</v>
      </c>
      <c r="AB224" t="str">
        <v/>
      </c>
      <c r="AD224" t="b">
        <f ca="1">AND(IF(metadata!B224="",FALSE,TRUE),COUNTIF(metadata!B:B, metadata!B224) = 1,NOT(ISERROR(SUMPRODUCT(SEARCH(MID(metadata!B224,ROW(INDIRECT("1:"&amp;LEN(metadata!B224))), 1),"0123456789abcdefghijklmnopqrstuvwxyzABCDEFGHIJKLMNOPQRSTUVWXYZ.")))))</f>
        <v>0</v>
      </c>
      <c r="AE224" t="b">
        <f>OR(AND(IF(metadata!C224="",FALSE,TRUE),OR(EXACT(metadata!C224,"not applicable"),EXACT(metadata!C224,"missing: not collected"),EXACT(metadata!C224,"missing: not provided"),EXACT(metadata!C224,"missing: restricted access"))),AND(IF(metadata!C224="",FALSE,ISNUMBER(VALUE(metadata!C224))),metadata!C224&gt;0))</f>
        <v>0</v>
      </c>
      <c r="AF224" t="b">
        <f>AND(IF(metadata!D224="",FALSE,TRUE),EXACT(metadata!D224,"missing: not provided"))</f>
        <v>0</v>
      </c>
      <c r="AG224" t="b">
        <f>AND(IF(metadata!E224="",FALSE,TRUE),EXACT(metadata!E224,"Host-associated"))</f>
        <v>0</v>
      </c>
      <c r="AH224" t="b">
        <f>AND(IF(metadata!F224="",FALSE,TRUE),OR(EXACT(metadata!F224,"Animal"),EXACT(metadata!F224,"Fungus"),EXACT(metadata!F224,"Plant")))</f>
        <v>0</v>
      </c>
      <c r="AI224" t="b">
        <f>AND(IF(metadata!G224="",FALSE,TRUE),OR(EXACT(metadata!G224,"Plant secretion"),EXACT(metadata!G224,"Plant rhizosphere"),EXACT(metadata!G224,"Plant surface"),EXACT(metadata!G224,"Plant corpus"),EXACT(metadata!G224,"Fungus surface"),EXACT(metadata!G224,"Fungus corpus"),EXACT(metadata!G224,"Animal surface"),EXACT(metadata!G224,"Animal proximal gut"),EXACT(metadata!G224,"Animal corpus"),EXACT(metadata!G224,"Animal distal gut"),EXACT(metadata!G224,"Animal secretion")))</f>
        <v>0</v>
      </c>
      <c r="AJ224" t="b">
        <f>OR(AND(IF(metadata!H224="",FALSE,TRUE),OR(EXACT(metadata!H224,"missing: not collected"),EXACT(metadata!H224,"missing: not provided"),EXACT(metadata!H224,"missing: restricted access"))),AND(IF(metadata!H224="",FALSE,TRUE),OR(EXACT(metadata!H224,"organism-associated habitat"),EXACT(metadata!H224,"plant-associated habitat"),EXACT(metadata!H224,"animal-associated habitat"),EXACT(metadata!H224,"insecta-associated habitat"),EXACT(metadata!H224,"mammalia-associated habitat"),EXACT(metadata!H224,"human-associated habitat"),EXACT(metadata!H224,"livestock-associated habitat"))))</f>
        <v>0</v>
      </c>
      <c r="AK224" t="b">
        <f>AND(IF(metadata!I224="",FALSE,TRUE),EXACT(metadata!I224,"host-associated"))</f>
        <v>0</v>
      </c>
      <c r="AL224" t="b">
        <f>OR(AND(IF(metadata!J224="",FALSE,TRUE),OR(EXACT(metadata!J224,"not applicable"),EXACT(metadata!J224,"missing: not collected"),EXACT(metadata!J224,"missing: not provided"),EXACT(metadata!J224,"missing: restricted access"))),AND(IF(metadata!J224="",FALSE,ISNUMBER(VALUE(metadata!J224))),metadata!J224&gt;0))</f>
        <v>0</v>
      </c>
      <c r="AM224" t="b">
        <f>AND(IF(metadata!K224="",FALSE,TRUE),EXACT(metadata!K224,"missing: not provided"))</f>
        <v>0</v>
      </c>
      <c r="AN224" t="b">
        <f>IF(metadata!L224="",FALSE,TRUE)</f>
        <v>0</v>
      </c>
      <c r="AO224" t="b">
        <f>IF(metadata!M224="",FALSE,TRUE)</f>
        <v>0</v>
      </c>
      <c r="AP224" t="b">
        <f>OR(AND(IF(metadata!N224="",FALSE,TRUE),OR(EXACT(metadata!N224,"not applicable"),EXACT(metadata!N224,"missing: not collected"),EXACT(metadata!N224,"missing: not provided"))),AND(IF(metadata!N224="",FALSE,IF(ISERROR(INT(metadata!N224)),FALSE,INT(metadata!N224)=metadata!N224)),metadata!N224&gt;0))</f>
        <v>0</v>
      </c>
      <c r="AQ224" t="b">
        <f>AND(IF(metadata!O224="",FALSE,TRUE),EXACT(metadata!O224,"Not applicable"))</f>
        <v>0</v>
      </c>
      <c r="AR224" t="b">
        <f>OR(AND(IF(metadata!P224="",FALSE,TRUE),OR(EXACT(metadata!P224,"not applicable"),EXACT(metadata!P224,"missing: not collected"),EXACT(metadata!P224,"missing: not provided"),EXACT(metadata!P224,"missing: restricted access"))),IF(metadata!P224="",FALSE,IF(ISERROR(INT(metadata!P224)),FALSE,INT(metadata!P224)=metadata!P224)))</f>
        <v>0</v>
      </c>
      <c r="AS224" t="b">
        <f>AND(IF(metadata!Q224="",FALSE,TRUE),EXACT(metadata!Q224,"Not applicable"))</f>
        <v>0</v>
      </c>
      <c r="AT224" t="b">
        <f>OR(AND(IF(metadata!R224="",FALSE,TRUE),OR(EXACT(metadata!R224,"not applicable"),EXACT(metadata!R224,"missing: not collected"),EXACT(metadata!R224,"missing: not provided"),EXACT(metadata!R224,"missing: restricted access"))),AND(IF(metadata!R224="",FALSE,ISNUMBER(VALUE(metadata!R224))),metadata!R224&gt;0))</f>
        <v>0</v>
      </c>
      <c r="AU224" t="b">
        <f>AND(IF(metadata!S224="",FALSE,TRUE),EXACT(metadata!S224,"missing: not provided"))</f>
        <v>0</v>
      </c>
    </row>
    <row r="225" spans="1:47" x14ac:dyDescent="0.2">
      <c r="A225" s="5" t="str">
        <f ca="1">IF(B225=" "," ",HYPERLINK(CONCATENATE("#metadata!",ADDRESS(INDEX($Y$2:$Y$1001,MATCH(ROWS($W$2:W225),$W$2:$W$1001,0),0),1)),INDEX($AB$2:$AB$1001,MATCH(ROWS($W$2:W225),$W$2:$W$1001,0),0)))</f>
        <v xml:space="preserve"> </v>
      </c>
      <c r="B225" s="4" t="str">
        <f ca="1">IF(OR(INDEX($X$2:$X$1001,MATCH(ROWS($W$2:W225),$W$2:$W$1001,0),1)&gt;=100000,INDEX($AD$1005:$AU$1005,1,MATCH(COLUMNS($AD$1006:AD1006),$AD$1006:$AU$1006,0))&gt;=100000), " ",IF(INDEX($AD$2:$AU$1001,MATCH(ROWS($W$2:W225),$W$2:$W$1001,0),MATCH(COLUMNS($AD$1006:AD1006),$AD$1006:$AU$1006,0)), HYPERLINK("#",""), HYPERLINK(CONCATENATE("#metadata!", ADDRESS(INDEX($Y$2:$Y$1001,MATCH(ROWS($W$2:W225),$W$2:$W$1001,0),0), INDEX($AD$1004:$AU$1004,1,MATCH(COLUMNS($AD$1006:AD1006),$AD$1006:$AU$1006,0)))),"Fix")))</f>
        <v xml:space="preserve"> </v>
      </c>
      <c r="C225" s="4" t="str">
        <f ca="1">IF(OR(INDEX($X$2:$X$1001,MATCH(ROWS($W$2:W225),$W$2:$W$1001,0),1)&gt;=100000,INDEX($AD$1005:$AU$1005,1,MATCH(COLUMNS($AD$1006:AE1006),$AD$1006:$AU$1006,0))&gt;=100000), " ",IF(INDEX($AD$2:$AU$1001,MATCH(ROWS($W$2:W225),$W$2:$W$1001,0),MATCH(COLUMNS($AD$1006:AE1006),$AD$1006:$AU$1006,0)), HYPERLINK("#",""), HYPERLINK(CONCATENATE("#metadata!", ADDRESS(INDEX($Y$2:$Y$1001,MATCH(ROWS($W$2:W225),$W$2:$W$1001,0),0), INDEX($AD$1004:$AU$1004,1,MATCH(COLUMNS($AD$1006:AE1006),$AD$1006:$AU$1006,0)))),"Fix")))</f>
        <v xml:space="preserve"> </v>
      </c>
      <c r="D225" s="4" t="str">
        <f ca="1">IF(OR(INDEX($X$2:$X$1001,MATCH(ROWS($W$2:W225),$W$2:$W$1001,0),1)&gt;=100000,INDEX($AD$1005:$AU$1005,1,MATCH(COLUMNS($AD$1006:AF1006),$AD$1006:$AU$1006,0))&gt;=100000), " ",IF(INDEX($AD$2:$AU$1001,MATCH(ROWS($W$2:W225),$W$2:$W$1001,0),MATCH(COLUMNS($AD$1006:AF1006),$AD$1006:$AU$1006,0)), HYPERLINK("#",""), HYPERLINK(CONCATENATE("#metadata!", ADDRESS(INDEX($Y$2:$Y$1001,MATCH(ROWS($W$2:W225),$W$2:$W$1001,0),0), INDEX($AD$1004:$AU$1004,1,MATCH(COLUMNS($AD$1006:AF1006),$AD$1006:$AU$1006,0)))),"Fix")))</f>
        <v xml:space="preserve"> </v>
      </c>
      <c r="E225" s="4" t="str">
        <f ca="1">IF(OR(INDEX($X$2:$X$1001,MATCH(ROWS($W$2:W225),$W$2:$W$1001,0),1)&gt;=100000,INDEX($AD$1005:$AU$1005,1,MATCH(COLUMNS($AD$1006:AG1006),$AD$1006:$AU$1006,0))&gt;=100000), " ",IF(INDEX($AD$2:$AU$1001,MATCH(ROWS($W$2:W225),$W$2:$W$1001,0),MATCH(COLUMNS($AD$1006:AG1006),$AD$1006:$AU$1006,0)), HYPERLINK("#",""), HYPERLINK(CONCATENATE("#metadata!", ADDRESS(INDEX($Y$2:$Y$1001,MATCH(ROWS($W$2:W225),$W$2:$W$1001,0),0), INDEX($AD$1004:$AU$1004,1,MATCH(COLUMNS($AD$1006:AG1006),$AD$1006:$AU$1006,0)))),"Fix")))</f>
        <v xml:space="preserve"> </v>
      </c>
      <c r="F225" s="4" t="str">
        <f ca="1">IF(OR(INDEX($X$2:$X$1001,MATCH(ROWS($W$2:W225),$W$2:$W$1001,0),1)&gt;=100000,INDEX($AD$1005:$AU$1005,1,MATCH(COLUMNS($AD$1006:AH1006),$AD$1006:$AU$1006,0))&gt;=100000), " ",IF(INDEX($AD$2:$AU$1001,MATCH(ROWS($W$2:W225),$W$2:$W$1001,0),MATCH(COLUMNS($AD$1006:AH1006),$AD$1006:$AU$1006,0)), HYPERLINK("#",""), HYPERLINK(CONCATENATE("#metadata!", ADDRESS(INDEX($Y$2:$Y$1001,MATCH(ROWS($W$2:W225),$W$2:$W$1001,0),0), INDEX($AD$1004:$AU$1004,1,MATCH(COLUMNS($AD$1006:AH1006),$AD$1006:$AU$1006,0)))),"Fix")))</f>
        <v xml:space="preserve"> </v>
      </c>
      <c r="G225" s="4" t="str">
        <f ca="1">IF(OR(INDEX($X$2:$X$1001,MATCH(ROWS($W$2:W225),$W$2:$W$1001,0),1)&gt;=100000,INDEX($AD$1005:$AU$1005,1,MATCH(COLUMNS($AD$1006:AI1006),$AD$1006:$AU$1006,0))&gt;=100000), " ",IF(INDEX($AD$2:$AU$1001,MATCH(ROWS($W$2:W225),$W$2:$W$1001,0),MATCH(COLUMNS($AD$1006:AI1006),$AD$1006:$AU$1006,0)), HYPERLINK("#",""), HYPERLINK(CONCATENATE("#metadata!", ADDRESS(INDEX($Y$2:$Y$1001,MATCH(ROWS($W$2:W225),$W$2:$W$1001,0),0), INDEX($AD$1004:$AU$1004,1,MATCH(COLUMNS($AD$1006:AI1006),$AD$1006:$AU$1006,0)))),"Fix")))</f>
        <v xml:space="preserve"> </v>
      </c>
      <c r="H225" s="4" t="str">
        <f ca="1">IF(OR(INDEX($X$2:$X$1001,MATCH(ROWS($W$2:W225),$W$2:$W$1001,0),1)&gt;=100000,INDEX($AD$1005:$AU$1005,1,MATCH(COLUMNS($AD$1006:AJ1006),$AD$1006:$AU$1006,0))&gt;=100000), " ",IF(INDEX($AD$2:$AU$1001,MATCH(ROWS($W$2:W225),$W$2:$W$1001,0),MATCH(COLUMNS($AD$1006:AJ1006),$AD$1006:$AU$1006,0)), HYPERLINK("#",""), HYPERLINK(CONCATENATE("#metadata!", ADDRESS(INDEX($Y$2:$Y$1001,MATCH(ROWS($W$2:W225),$W$2:$W$1001,0),0), INDEX($AD$1004:$AU$1004,1,MATCH(COLUMNS($AD$1006:AJ1006),$AD$1006:$AU$1006,0)))),"Fix")))</f>
        <v xml:space="preserve"> </v>
      </c>
      <c r="I225" s="4" t="str">
        <f ca="1">IF(OR(INDEX($X$2:$X$1001,MATCH(ROWS($W$2:W225),$W$2:$W$1001,0),1)&gt;=100000,INDEX($AD$1005:$AU$1005,1,MATCH(COLUMNS($AD$1006:AK1006),$AD$1006:$AU$1006,0))&gt;=100000), " ",IF(INDEX($AD$2:$AU$1001,MATCH(ROWS($W$2:W225),$W$2:$W$1001,0),MATCH(COLUMNS($AD$1006:AK1006),$AD$1006:$AU$1006,0)), HYPERLINK("#",""), HYPERLINK(CONCATENATE("#metadata!", ADDRESS(INDEX($Y$2:$Y$1001,MATCH(ROWS($W$2:W225),$W$2:$W$1001,0),0), INDEX($AD$1004:$AU$1004,1,MATCH(COLUMNS($AD$1006:AK1006),$AD$1006:$AU$1006,0)))),"Fix")))</f>
        <v xml:space="preserve"> </v>
      </c>
      <c r="J225" s="4" t="str">
        <f ca="1">IF(OR(INDEX($X$2:$X$1001,MATCH(ROWS($W$2:W225),$W$2:$W$1001,0),1)&gt;=100000,INDEX($AD$1005:$AU$1005,1,MATCH(COLUMNS($AD$1006:AL1006),$AD$1006:$AU$1006,0))&gt;=100000), " ",IF(INDEX($AD$2:$AU$1001,MATCH(ROWS($W$2:W225),$W$2:$W$1001,0),MATCH(COLUMNS($AD$1006:AL1006),$AD$1006:$AU$1006,0)), HYPERLINK("#",""), HYPERLINK(CONCATENATE("#metadata!", ADDRESS(INDEX($Y$2:$Y$1001,MATCH(ROWS($W$2:W225),$W$2:$W$1001,0),0), INDEX($AD$1004:$AU$1004,1,MATCH(COLUMNS($AD$1006:AL1006),$AD$1006:$AU$1006,0)))),"Fix")))</f>
        <v xml:space="preserve"> </v>
      </c>
      <c r="K225" s="4" t="str">
        <f ca="1">IF(OR(INDEX($X$2:$X$1001,MATCH(ROWS($W$2:W225),$W$2:$W$1001,0),1)&gt;=100000,INDEX($AD$1005:$AU$1005,1,MATCH(COLUMNS($AD$1006:AM1006),$AD$1006:$AU$1006,0))&gt;=100000), " ",IF(INDEX($AD$2:$AU$1001,MATCH(ROWS($W$2:W225),$W$2:$W$1001,0),MATCH(COLUMNS($AD$1006:AM1006),$AD$1006:$AU$1006,0)), HYPERLINK("#",""), HYPERLINK(CONCATENATE("#metadata!", ADDRESS(INDEX($Y$2:$Y$1001,MATCH(ROWS($W$2:W225),$W$2:$W$1001,0),0), INDEX($AD$1004:$AU$1004,1,MATCH(COLUMNS($AD$1006:AM1006),$AD$1006:$AU$1006,0)))),"Fix")))</f>
        <v xml:space="preserve"> </v>
      </c>
      <c r="L225" s="4" t="str">
        <f ca="1">IF(OR(INDEX($X$2:$X$1001,MATCH(ROWS($W$2:W225),$W$2:$W$1001,0),1)&gt;=100000,INDEX($AD$1005:$AU$1005,1,MATCH(COLUMNS($AD$1006:AN1006),$AD$1006:$AU$1006,0))&gt;=100000), " ",IF(INDEX($AD$2:$AU$1001,MATCH(ROWS($W$2:W225),$W$2:$W$1001,0),MATCH(COLUMNS($AD$1006:AN1006),$AD$1006:$AU$1006,0)), HYPERLINK("#",""), HYPERLINK(CONCATENATE("#metadata!", ADDRESS(INDEX($Y$2:$Y$1001,MATCH(ROWS($W$2:W225),$W$2:$W$1001,0),0), INDEX($AD$1004:$AU$1004,1,MATCH(COLUMNS($AD$1006:AN1006),$AD$1006:$AU$1006,0)))),"Fix")))</f>
        <v xml:space="preserve"> </v>
      </c>
      <c r="M225" s="4" t="str">
        <f ca="1">IF(OR(INDEX($X$2:$X$1001,MATCH(ROWS($W$2:W225),$W$2:$W$1001,0),1)&gt;=100000,INDEX($AD$1005:$AU$1005,1,MATCH(COLUMNS($AD$1006:AO1006),$AD$1006:$AU$1006,0))&gt;=100000), " ",IF(INDEX($AD$2:$AU$1001,MATCH(ROWS($W$2:W225),$W$2:$W$1001,0),MATCH(COLUMNS($AD$1006:AO1006),$AD$1006:$AU$1006,0)), HYPERLINK("#",""), HYPERLINK(CONCATENATE("#metadata!", ADDRESS(INDEX($Y$2:$Y$1001,MATCH(ROWS($W$2:W225),$W$2:$W$1001,0),0), INDEX($AD$1004:$AU$1004,1,MATCH(COLUMNS($AD$1006:AO1006),$AD$1006:$AU$1006,0)))),"Fix")))</f>
        <v xml:space="preserve"> </v>
      </c>
      <c r="N225" s="4" t="str">
        <f ca="1">IF(OR(INDEX($X$2:$X$1001,MATCH(ROWS($W$2:W225),$W$2:$W$1001,0),1)&gt;=100000,INDEX($AD$1005:$AU$1005,1,MATCH(COLUMNS($AD$1006:AP1006),$AD$1006:$AU$1006,0))&gt;=100000), " ",IF(INDEX($AD$2:$AU$1001,MATCH(ROWS($W$2:W225),$W$2:$W$1001,0),MATCH(COLUMNS($AD$1006:AP1006),$AD$1006:$AU$1006,0)), HYPERLINK("#",""), HYPERLINK(CONCATENATE("#metadata!", ADDRESS(INDEX($Y$2:$Y$1001,MATCH(ROWS($W$2:W225),$W$2:$W$1001,0),0), INDEX($AD$1004:$AU$1004,1,MATCH(COLUMNS($AD$1006:AP1006),$AD$1006:$AU$1006,0)))),"Fix")))</f>
        <v xml:space="preserve"> </v>
      </c>
      <c r="O225" s="4" t="str">
        <f ca="1">IF(OR(INDEX($X$2:$X$1001,MATCH(ROWS($W$2:W225),$W$2:$W$1001,0),1)&gt;=100000,INDEX($AD$1005:$AU$1005,1,MATCH(COLUMNS($AD$1006:AQ1006),$AD$1006:$AU$1006,0))&gt;=100000), " ",IF(INDEX($AD$2:$AU$1001,MATCH(ROWS($W$2:W225),$W$2:$W$1001,0),MATCH(COLUMNS($AD$1006:AQ1006),$AD$1006:$AU$1006,0)), HYPERLINK("#",""), HYPERLINK(CONCATENATE("#metadata!", ADDRESS(INDEX($Y$2:$Y$1001,MATCH(ROWS($W$2:W225),$W$2:$W$1001,0),0), INDEX($AD$1004:$AU$1004,1,MATCH(COLUMNS($AD$1006:AQ1006),$AD$1006:$AU$1006,0)))),"Fix")))</f>
        <v xml:space="preserve"> </v>
      </c>
      <c r="P225" s="4" t="str">
        <f ca="1">IF(OR(INDEX($X$2:$X$1001,MATCH(ROWS($W$2:W225),$W$2:$W$1001,0),1)&gt;=100000,INDEX($AD$1005:$AU$1005,1,MATCH(COLUMNS($AD$1006:AR1006),$AD$1006:$AU$1006,0))&gt;=100000), " ",IF(INDEX($AD$2:$AU$1001,MATCH(ROWS($W$2:W225),$W$2:$W$1001,0),MATCH(COLUMNS($AD$1006:AR1006),$AD$1006:$AU$1006,0)), HYPERLINK("#",""), HYPERLINK(CONCATENATE("#metadata!", ADDRESS(INDEX($Y$2:$Y$1001,MATCH(ROWS($W$2:W225),$W$2:$W$1001,0),0), INDEX($AD$1004:$AU$1004,1,MATCH(COLUMNS($AD$1006:AR1006),$AD$1006:$AU$1006,0)))),"Fix")))</f>
        <v xml:space="preserve"> </v>
      </c>
      <c r="Q225" s="4" t="str">
        <f ca="1">IF(OR(INDEX($X$2:$X$1001,MATCH(ROWS($W$2:W225),$W$2:$W$1001,0),1)&gt;=100000,INDEX($AD$1005:$AU$1005,1,MATCH(COLUMNS($AD$1006:AS1006),$AD$1006:$AU$1006,0))&gt;=100000), " ",IF(INDEX($AD$2:$AU$1001,MATCH(ROWS($W$2:W225),$W$2:$W$1001,0),MATCH(COLUMNS($AD$1006:AS1006),$AD$1006:$AU$1006,0)), HYPERLINK("#",""), HYPERLINK(CONCATENATE("#metadata!", ADDRESS(INDEX($Y$2:$Y$1001,MATCH(ROWS($W$2:W225),$W$2:$W$1001,0),0), INDEX($AD$1004:$AU$1004,1,MATCH(COLUMNS($AD$1006:AS1006),$AD$1006:$AU$1006,0)))),"Fix")))</f>
        <v xml:space="preserve"> </v>
      </c>
      <c r="R225" s="4" t="str">
        <f ca="1">IF(OR(INDEX($X$2:$X$1001,MATCH(ROWS($W$2:W225),$W$2:$W$1001,0),1)&gt;=100000,INDEX($AD$1005:$AU$1005,1,MATCH(COLUMNS($AD$1006:AT1006),$AD$1006:$AU$1006,0))&gt;=100000), " ",IF(INDEX($AD$2:$AU$1001,MATCH(ROWS($W$2:W225),$W$2:$W$1001,0),MATCH(COLUMNS($AD$1006:AT1006),$AD$1006:$AU$1006,0)), HYPERLINK("#",""), HYPERLINK(CONCATENATE("#metadata!", ADDRESS(INDEX($Y$2:$Y$1001,MATCH(ROWS($W$2:W225),$W$2:$W$1001,0),0), INDEX($AD$1004:$AU$1004,1,MATCH(COLUMNS($AD$1006:AT1006),$AD$1006:$AU$1006,0)))),"Fix")))</f>
        <v xml:space="preserve"> </v>
      </c>
      <c r="S225" s="4" t="str">
        <f ca="1">IF(OR(INDEX($X$2:$X$1001,MATCH(ROWS($W$2:W225),$W$2:$W$1001,0),1)&gt;=100000,INDEX($AD$1005:$AU$1005,1,MATCH(COLUMNS($AD$1006:AU1006),$AD$1006:$AU$1006,0))&gt;=100000), " ",IF(INDEX($AD$2:$AU$1001,MATCH(ROWS($W$2:W225),$W$2:$W$1001,0),MATCH(COLUMNS($AD$1006:AU1006),$AD$1006:$AU$1006,0)), HYPERLINK("#",""), HYPERLINK(CONCATENATE("#metadata!", ADDRESS(INDEX($Y$2:$Y$1001,MATCH(ROWS($W$2:W225),$W$2:$W$1001,0),0), INDEX($AD$1004:$AU$1004,1,MATCH(COLUMNS($AD$1006:AU1006),$AD$1006:$AU$1006,0)))),"Fix")))</f>
        <v xml:space="preserve"> </v>
      </c>
      <c r="W225">
        <v>224</v>
      </c>
      <c r="X225">
        <v>100225</v>
      </c>
      <c r="Y225">
        <v>225</v>
      </c>
      <c r="Z225" t="b">
        <f t="shared" si="3"/>
        <v>1</v>
      </c>
      <c r="AA225" t="b">
        <f>COUNTBLANK(metadata!B225:S225)=COLUMNS(metadata!B225:S225)</f>
        <v>1</v>
      </c>
      <c r="AB225" t="str">
        <v/>
      </c>
      <c r="AD225" t="b">
        <f ca="1">AND(IF(metadata!B225="",FALSE,TRUE),COUNTIF(metadata!B:B, metadata!B225) = 1,NOT(ISERROR(SUMPRODUCT(SEARCH(MID(metadata!B225,ROW(INDIRECT("1:"&amp;LEN(metadata!B225))), 1),"0123456789abcdefghijklmnopqrstuvwxyzABCDEFGHIJKLMNOPQRSTUVWXYZ.")))))</f>
        <v>0</v>
      </c>
      <c r="AE225" t="b">
        <f>OR(AND(IF(metadata!C225="",FALSE,TRUE),OR(EXACT(metadata!C225,"not applicable"),EXACT(metadata!C225,"missing: not collected"),EXACT(metadata!C225,"missing: not provided"),EXACT(metadata!C225,"missing: restricted access"))),AND(IF(metadata!C225="",FALSE,ISNUMBER(VALUE(metadata!C225))),metadata!C225&gt;0))</f>
        <v>0</v>
      </c>
      <c r="AF225" t="b">
        <f>AND(IF(metadata!D225="",FALSE,TRUE),EXACT(metadata!D225,"missing: not provided"))</f>
        <v>0</v>
      </c>
      <c r="AG225" t="b">
        <f>AND(IF(metadata!E225="",FALSE,TRUE),EXACT(metadata!E225,"Host-associated"))</f>
        <v>0</v>
      </c>
      <c r="AH225" t="b">
        <f>AND(IF(metadata!F225="",FALSE,TRUE),OR(EXACT(metadata!F225,"Animal"),EXACT(metadata!F225,"Fungus"),EXACT(metadata!F225,"Plant")))</f>
        <v>0</v>
      </c>
      <c r="AI225" t="b">
        <f>AND(IF(metadata!G225="",FALSE,TRUE),OR(EXACT(metadata!G225,"Plant secretion"),EXACT(metadata!G225,"Plant rhizosphere"),EXACT(metadata!G225,"Plant surface"),EXACT(metadata!G225,"Plant corpus"),EXACT(metadata!G225,"Fungus surface"),EXACT(metadata!G225,"Fungus corpus"),EXACT(metadata!G225,"Animal surface"),EXACT(metadata!G225,"Animal proximal gut"),EXACT(metadata!G225,"Animal corpus"),EXACT(metadata!G225,"Animal distal gut"),EXACT(metadata!G225,"Animal secretion")))</f>
        <v>0</v>
      </c>
      <c r="AJ225" t="b">
        <f>OR(AND(IF(metadata!H225="",FALSE,TRUE),OR(EXACT(metadata!H225,"missing: not collected"),EXACT(metadata!H225,"missing: not provided"),EXACT(metadata!H225,"missing: restricted access"))),AND(IF(metadata!H225="",FALSE,TRUE),OR(EXACT(metadata!H225,"organism-associated habitat"),EXACT(metadata!H225,"plant-associated habitat"),EXACT(metadata!H225,"animal-associated habitat"),EXACT(metadata!H225,"insecta-associated habitat"),EXACT(metadata!H225,"mammalia-associated habitat"),EXACT(metadata!H225,"human-associated habitat"),EXACT(metadata!H225,"livestock-associated habitat"))))</f>
        <v>0</v>
      </c>
      <c r="AK225" t="b">
        <f>AND(IF(metadata!I225="",FALSE,TRUE),EXACT(metadata!I225,"host-associated"))</f>
        <v>0</v>
      </c>
      <c r="AL225" t="b">
        <f>OR(AND(IF(metadata!J225="",FALSE,TRUE),OR(EXACT(metadata!J225,"not applicable"),EXACT(metadata!J225,"missing: not collected"),EXACT(metadata!J225,"missing: not provided"),EXACT(metadata!J225,"missing: restricted access"))),AND(IF(metadata!J225="",FALSE,ISNUMBER(VALUE(metadata!J225))),metadata!J225&gt;0))</f>
        <v>0</v>
      </c>
      <c r="AM225" t="b">
        <f>AND(IF(metadata!K225="",FALSE,TRUE),EXACT(metadata!K225,"missing: not provided"))</f>
        <v>0</v>
      </c>
      <c r="AN225" t="b">
        <f>IF(metadata!L225="",FALSE,TRUE)</f>
        <v>0</v>
      </c>
      <c r="AO225" t="b">
        <f>IF(metadata!M225="",FALSE,TRUE)</f>
        <v>0</v>
      </c>
      <c r="AP225" t="b">
        <f>OR(AND(IF(metadata!N225="",FALSE,TRUE),OR(EXACT(metadata!N225,"not applicable"),EXACT(metadata!N225,"missing: not collected"),EXACT(metadata!N225,"missing: not provided"))),AND(IF(metadata!N225="",FALSE,IF(ISERROR(INT(metadata!N225)),FALSE,INT(metadata!N225)=metadata!N225)),metadata!N225&gt;0))</f>
        <v>0</v>
      </c>
      <c r="AQ225" t="b">
        <f>AND(IF(metadata!O225="",FALSE,TRUE),EXACT(metadata!O225,"Not applicable"))</f>
        <v>0</v>
      </c>
      <c r="AR225" t="b">
        <f>OR(AND(IF(metadata!P225="",FALSE,TRUE),OR(EXACT(metadata!P225,"not applicable"),EXACT(metadata!P225,"missing: not collected"),EXACT(metadata!P225,"missing: not provided"),EXACT(metadata!P225,"missing: restricted access"))),IF(metadata!P225="",FALSE,IF(ISERROR(INT(metadata!P225)),FALSE,INT(metadata!P225)=metadata!P225)))</f>
        <v>0</v>
      </c>
      <c r="AS225" t="b">
        <f>AND(IF(metadata!Q225="",FALSE,TRUE),EXACT(metadata!Q225,"Not applicable"))</f>
        <v>0</v>
      </c>
      <c r="AT225" t="b">
        <f>OR(AND(IF(metadata!R225="",FALSE,TRUE),OR(EXACT(metadata!R225,"not applicable"),EXACT(metadata!R225,"missing: not collected"),EXACT(metadata!R225,"missing: not provided"),EXACT(metadata!R225,"missing: restricted access"))),AND(IF(metadata!R225="",FALSE,ISNUMBER(VALUE(metadata!R225))),metadata!R225&gt;0))</f>
        <v>0</v>
      </c>
      <c r="AU225" t="b">
        <f>AND(IF(metadata!S225="",FALSE,TRUE),EXACT(metadata!S225,"missing: not provided"))</f>
        <v>0</v>
      </c>
    </row>
    <row r="226" spans="1:47" x14ac:dyDescent="0.2">
      <c r="A226" s="5" t="str">
        <f ca="1">IF(B226=" "," ",HYPERLINK(CONCATENATE("#metadata!",ADDRESS(INDEX($Y$2:$Y$1001,MATCH(ROWS($W$2:W226),$W$2:$W$1001,0),0),1)),INDEX($AB$2:$AB$1001,MATCH(ROWS($W$2:W226),$W$2:$W$1001,0),0)))</f>
        <v xml:space="preserve"> </v>
      </c>
      <c r="B226" s="4" t="str">
        <f ca="1">IF(OR(INDEX($X$2:$X$1001,MATCH(ROWS($W$2:W226),$W$2:$W$1001,0),1)&gt;=100000,INDEX($AD$1005:$AU$1005,1,MATCH(COLUMNS($AD$1006:AD1006),$AD$1006:$AU$1006,0))&gt;=100000), " ",IF(INDEX($AD$2:$AU$1001,MATCH(ROWS($W$2:W226),$W$2:$W$1001,0),MATCH(COLUMNS($AD$1006:AD1006),$AD$1006:$AU$1006,0)), HYPERLINK("#",""), HYPERLINK(CONCATENATE("#metadata!", ADDRESS(INDEX($Y$2:$Y$1001,MATCH(ROWS($W$2:W226),$W$2:$W$1001,0),0), INDEX($AD$1004:$AU$1004,1,MATCH(COLUMNS($AD$1006:AD1006),$AD$1006:$AU$1006,0)))),"Fix")))</f>
        <v xml:space="preserve"> </v>
      </c>
      <c r="C226" s="4" t="str">
        <f ca="1">IF(OR(INDEX($X$2:$X$1001,MATCH(ROWS($W$2:W226),$W$2:$W$1001,0),1)&gt;=100000,INDEX($AD$1005:$AU$1005,1,MATCH(COLUMNS($AD$1006:AE1006),$AD$1006:$AU$1006,0))&gt;=100000), " ",IF(INDEX($AD$2:$AU$1001,MATCH(ROWS($W$2:W226),$W$2:$W$1001,0),MATCH(COLUMNS($AD$1006:AE1006),$AD$1006:$AU$1006,0)), HYPERLINK("#",""), HYPERLINK(CONCATENATE("#metadata!", ADDRESS(INDEX($Y$2:$Y$1001,MATCH(ROWS($W$2:W226),$W$2:$W$1001,0),0), INDEX($AD$1004:$AU$1004,1,MATCH(COLUMNS($AD$1006:AE1006),$AD$1006:$AU$1006,0)))),"Fix")))</f>
        <v xml:space="preserve"> </v>
      </c>
      <c r="D226" s="4" t="str">
        <f ca="1">IF(OR(INDEX($X$2:$X$1001,MATCH(ROWS($W$2:W226),$W$2:$W$1001,0),1)&gt;=100000,INDEX($AD$1005:$AU$1005,1,MATCH(COLUMNS($AD$1006:AF1006),$AD$1006:$AU$1006,0))&gt;=100000), " ",IF(INDEX($AD$2:$AU$1001,MATCH(ROWS($W$2:W226),$W$2:$W$1001,0),MATCH(COLUMNS($AD$1006:AF1006),$AD$1006:$AU$1006,0)), HYPERLINK("#",""), HYPERLINK(CONCATENATE("#metadata!", ADDRESS(INDEX($Y$2:$Y$1001,MATCH(ROWS($W$2:W226),$W$2:$W$1001,0),0), INDEX($AD$1004:$AU$1004,1,MATCH(COLUMNS($AD$1006:AF1006),$AD$1006:$AU$1006,0)))),"Fix")))</f>
        <v xml:space="preserve"> </v>
      </c>
      <c r="E226" s="4" t="str">
        <f ca="1">IF(OR(INDEX($X$2:$X$1001,MATCH(ROWS($W$2:W226),$W$2:$W$1001,0),1)&gt;=100000,INDEX($AD$1005:$AU$1005,1,MATCH(COLUMNS($AD$1006:AG1006),$AD$1006:$AU$1006,0))&gt;=100000), " ",IF(INDEX($AD$2:$AU$1001,MATCH(ROWS($W$2:W226),$W$2:$W$1001,0),MATCH(COLUMNS($AD$1006:AG1006),$AD$1006:$AU$1006,0)), HYPERLINK("#",""), HYPERLINK(CONCATENATE("#metadata!", ADDRESS(INDEX($Y$2:$Y$1001,MATCH(ROWS($W$2:W226),$W$2:$W$1001,0),0), INDEX($AD$1004:$AU$1004,1,MATCH(COLUMNS($AD$1006:AG1006),$AD$1006:$AU$1006,0)))),"Fix")))</f>
        <v xml:space="preserve"> </v>
      </c>
      <c r="F226" s="4" t="str">
        <f ca="1">IF(OR(INDEX($X$2:$X$1001,MATCH(ROWS($W$2:W226),$W$2:$W$1001,0),1)&gt;=100000,INDEX($AD$1005:$AU$1005,1,MATCH(COLUMNS($AD$1006:AH1006),$AD$1006:$AU$1006,0))&gt;=100000), " ",IF(INDEX($AD$2:$AU$1001,MATCH(ROWS($W$2:W226),$W$2:$W$1001,0),MATCH(COLUMNS($AD$1006:AH1006),$AD$1006:$AU$1006,0)), HYPERLINK("#",""), HYPERLINK(CONCATENATE("#metadata!", ADDRESS(INDEX($Y$2:$Y$1001,MATCH(ROWS($W$2:W226),$W$2:$W$1001,0),0), INDEX($AD$1004:$AU$1004,1,MATCH(COLUMNS($AD$1006:AH1006),$AD$1006:$AU$1006,0)))),"Fix")))</f>
        <v xml:space="preserve"> </v>
      </c>
      <c r="G226" s="4" t="str">
        <f ca="1">IF(OR(INDEX($X$2:$X$1001,MATCH(ROWS($W$2:W226),$W$2:$W$1001,0),1)&gt;=100000,INDEX($AD$1005:$AU$1005,1,MATCH(COLUMNS($AD$1006:AI1006),$AD$1006:$AU$1006,0))&gt;=100000), " ",IF(INDEX($AD$2:$AU$1001,MATCH(ROWS($W$2:W226),$W$2:$W$1001,0),MATCH(COLUMNS($AD$1006:AI1006),$AD$1006:$AU$1006,0)), HYPERLINK("#",""), HYPERLINK(CONCATENATE("#metadata!", ADDRESS(INDEX($Y$2:$Y$1001,MATCH(ROWS($W$2:W226),$W$2:$W$1001,0),0), INDEX($AD$1004:$AU$1004,1,MATCH(COLUMNS($AD$1006:AI1006),$AD$1006:$AU$1006,0)))),"Fix")))</f>
        <v xml:space="preserve"> </v>
      </c>
      <c r="H226" s="4" t="str">
        <f ca="1">IF(OR(INDEX($X$2:$X$1001,MATCH(ROWS($W$2:W226),$W$2:$W$1001,0),1)&gt;=100000,INDEX($AD$1005:$AU$1005,1,MATCH(COLUMNS($AD$1006:AJ1006),$AD$1006:$AU$1006,0))&gt;=100000), " ",IF(INDEX($AD$2:$AU$1001,MATCH(ROWS($W$2:W226),$W$2:$W$1001,0),MATCH(COLUMNS($AD$1006:AJ1006),$AD$1006:$AU$1006,0)), HYPERLINK("#",""), HYPERLINK(CONCATENATE("#metadata!", ADDRESS(INDEX($Y$2:$Y$1001,MATCH(ROWS($W$2:W226),$W$2:$W$1001,0),0), INDEX($AD$1004:$AU$1004,1,MATCH(COLUMNS($AD$1006:AJ1006),$AD$1006:$AU$1006,0)))),"Fix")))</f>
        <v xml:space="preserve"> </v>
      </c>
      <c r="I226" s="4" t="str">
        <f ca="1">IF(OR(INDEX($X$2:$X$1001,MATCH(ROWS($W$2:W226),$W$2:$W$1001,0),1)&gt;=100000,INDEX($AD$1005:$AU$1005,1,MATCH(COLUMNS($AD$1006:AK1006),$AD$1006:$AU$1006,0))&gt;=100000), " ",IF(INDEX($AD$2:$AU$1001,MATCH(ROWS($W$2:W226),$W$2:$W$1001,0),MATCH(COLUMNS($AD$1006:AK1006),$AD$1006:$AU$1006,0)), HYPERLINK("#",""), HYPERLINK(CONCATENATE("#metadata!", ADDRESS(INDEX($Y$2:$Y$1001,MATCH(ROWS($W$2:W226),$W$2:$W$1001,0),0), INDEX($AD$1004:$AU$1004,1,MATCH(COLUMNS($AD$1006:AK1006),$AD$1006:$AU$1006,0)))),"Fix")))</f>
        <v xml:space="preserve"> </v>
      </c>
      <c r="J226" s="4" t="str">
        <f ca="1">IF(OR(INDEX($X$2:$X$1001,MATCH(ROWS($W$2:W226),$W$2:$W$1001,0),1)&gt;=100000,INDEX($AD$1005:$AU$1005,1,MATCH(COLUMNS($AD$1006:AL1006),$AD$1006:$AU$1006,0))&gt;=100000), " ",IF(INDEX($AD$2:$AU$1001,MATCH(ROWS($W$2:W226),$W$2:$W$1001,0),MATCH(COLUMNS($AD$1006:AL1006),$AD$1006:$AU$1006,0)), HYPERLINK("#",""), HYPERLINK(CONCATENATE("#metadata!", ADDRESS(INDEX($Y$2:$Y$1001,MATCH(ROWS($W$2:W226),$W$2:$W$1001,0),0), INDEX($AD$1004:$AU$1004,1,MATCH(COLUMNS($AD$1006:AL1006),$AD$1006:$AU$1006,0)))),"Fix")))</f>
        <v xml:space="preserve"> </v>
      </c>
      <c r="K226" s="4" t="str">
        <f ca="1">IF(OR(INDEX($X$2:$X$1001,MATCH(ROWS($W$2:W226),$W$2:$W$1001,0),1)&gt;=100000,INDEX($AD$1005:$AU$1005,1,MATCH(COLUMNS($AD$1006:AM1006),$AD$1006:$AU$1006,0))&gt;=100000), " ",IF(INDEX($AD$2:$AU$1001,MATCH(ROWS($W$2:W226),$W$2:$W$1001,0),MATCH(COLUMNS($AD$1006:AM1006),$AD$1006:$AU$1006,0)), HYPERLINK("#",""), HYPERLINK(CONCATENATE("#metadata!", ADDRESS(INDEX($Y$2:$Y$1001,MATCH(ROWS($W$2:W226),$W$2:$W$1001,0),0), INDEX($AD$1004:$AU$1004,1,MATCH(COLUMNS($AD$1006:AM1006),$AD$1006:$AU$1006,0)))),"Fix")))</f>
        <v xml:space="preserve"> </v>
      </c>
      <c r="L226" s="4" t="str">
        <f ca="1">IF(OR(INDEX($X$2:$X$1001,MATCH(ROWS($W$2:W226),$W$2:$W$1001,0),1)&gt;=100000,INDEX($AD$1005:$AU$1005,1,MATCH(COLUMNS($AD$1006:AN1006),$AD$1006:$AU$1006,0))&gt;=100000), " ",IF(INDEX($AD$2:$AU$1001,MATCH(ROWS($W$2:W226),$W$2:$W$1001,0),MATCH(COLUMNS($AD$1006:AN1006),$AD$1006:$AU$1006,0)), HYPERLINK("#",""), HYPERLINK(CONCATENATE("#metadata!", ADDRESS(INDEX($Y$2:$Y$1001,MATCH(ROWS($W$2:W226),$W$2:$W$1001,0),0), INDEX($AD$1004:$AU$1004,1,MATCH(COLUMNS($AD$1006:AN1006),$AD$1006:$AU$1006,0)))),"Fix")))</f>
        <v xml:space="preserve"> </v>
      </c>
      <c r="M226" s="4" t="str">
        <f ca="1">IF(OR(INDEX($X$2:$X$1001,MATCH(ROWS($W$2:W226),$W$2:$W$1001,0),1)&gt;=100000,INDEX($AD$1005:$AU$1005,1,MATCH(COLUMNS($AD$1006:AO1006),$AD$1006:$AU$1006,0))&gt;=100000), " ",IF(INDEX($AD$2:$AU$1001,MATCH(ROWS($W$2:W226),$W$2:$W$1001,0),MATCH(COLUMNS($AD$1006:AO1006),$AD$1006:$AU$1006,0)), HYPERLINK("#",""), HYPERLINK(CONCATENATE("#metadata!", ADDRESS(INDEX($Y$2:$Y$1001,MATCH(ROWS($W$2:W226),$W$2:$W$1001,0),0), INDEX($AD$1004:$AU$1004,1,MATCH(COLUMNS($AD$1006:AO1006),$AD$1006:$AU$1006,0)))),"Fix")))</f>
        <v xml:space="preserve"> </v>
      </c>
      <c r="N226" s="4" t="str">
        <f ca="1">IF(OR(INDEX($X$2:$X$1001,MATCH(ROWS($W$2:W226),$W$2:$W$1001,0),1)&gt;=100000,INDEX($AD$1005:$AU$1005,1,MATCH(COLUMNS($AD$1006:AP1006),$AD$1006:$AU$1006,0))&gt;=100000), " ",IF(INDEX($AD$2:$AU$1001,MATCH(ROWS($W$2:W226),$W$2:$W$1001,0),MATCH(COLUMNS($AD$1006:AP1006),$AD$1006:$AU$1006,0)), HYPERLINK("#",""), HYPERLINK(CONCATENATE("#metadata!", ADDRESS(INDEX($Y$2:$Y$1001,MATCH(ROWS($W$2:W226),$W$2:$W$1001,0),0), INDEX($AD$1004:$AU$1004,1,MATCH(COLUMNS($AD$1006:AP1006),$AD$1006:$AU$1006,0)))),"Fix")))</f>
        <v xml:space="preserve"> </v>
      </c>
      <c r="O226" s="4" t="str">
        <f ca="1">IF(OR(INDEX($X$2:$X$1001,MATCH(ROWS($W$2:W226),$W$2:$W$1001,0),1)&gt;=100000,INDEX($AD$1005:$AU$1005,1,MATCH(COLUMNS($AD$1006:AQ1006),$AD$1006:$AU$1006,0))&gt;=100000), " ",IF(INDEX($AD$2:$AU$1001,MATCH(ROWS($W$2:W226),$W$2:$W$1001,0),MATCH(COLUMNS($AD$1006:AQ1006),$AD$1006:$AU$1006,0)), HYPERLINK("#",""), HYPERLINK(CONCATENATE("#metadata!", ADDRESS(INDEX($Y$2:$Y$1001,MATCH(ROWS($W$2:W226),$W$2:$W$1001,0),0), INDEX($AD$1004:$AU$1004,1,MATCH(COLUMNS($AD$1006:AQ1006),$AD$1006:$AU$1006,0)))),"Fix")))</f>
        <v xml:space="preserve"> </v>
      </c>
      <c r="P226" s="4" t="str">
        <f ca="1">IF(OR(INDEX($X$2:$X$1001,MATCH(ROWS($W$2:W226),$W$2:$W$1001,0),1)&gt;=100000,INDEX($AD$1005:$AU$1005,1,MATCH(COLUMNS($AD$1006:AR1006),$AD$1006:$AU$1006,0))&gt;=100000), " ",IF(INDEX($AD$2:$AU$1001,MATCH(ROWS($W$2:W226),$W$2:$W$1001,0),MATCH(COLUMNS($AD$1006:AR1006),$AD$1006:$AU$1006,0)), HYPERLINK("#",""), HYPERLINK(CONCATENATE("#metadata!", ADDRESS(INDEX($Y$2:$Y$1001,MATCH(ROWS($W$2:W226),$W$2:$W$1001,0),0), INDEX($AD$1004:$AU$1004,1,MATCH(COLUMNS($AD$1006:AR1006),$AD$1006:$AU$1006,0)))),"Fix")))</f>
        <v xml:space="preserve"> </v>
      </c>
      <c r="Q226" s="4" t="str">
        <f ca="1">IF(OR(INDEX($X$2:$X$1001,MATCH(ROWS($W$2:W226),$W$2:$W$1001,0),1)&gt;=100000,INDEX($AD$1005:$AU$1005,1,MATCH(COLUMNS($AD$1006:AS1006),$AD$1006:$AU$1006,0))&gt;=100000), " ",IF(INDEX($AD$2:$AU$1001,MATCH(ROWS($W$2:W226),$W$2:$W$1001,0),MATCH(COLUMNS($AD$1006:AS1006),$AD$1006:$AU$1006,0)), HYPERLINK("#",""), HYPERLINK(CONCATENATE("#metadata!", ADDRESS(INDEX($Y$2:$Y$1001,MATCH(ROWS($W$2:W226),$W$2:$W$1001,0),0), INDEX($AD$1004:$AU$1004,1,MATCH(COLUMNS($AD$1006:AS1006),$AD$1006:$AU$1006,0)))),"Fix")))</f>
        <v xml:space="preserve"> </v>
      </c>
      <c r="R226" s="4" t="str">
        <f ca="1">IF(OR(INDEX($X$2:$X$1001,MATCH(ROWS($W$2:W226),$W$2:$W$1001,0),1)&gt;=100000,INDEX($AD$1005:$AU$1005,1,MATCH(COLUMNS($AD$1006:AT1006),$AD$1006:$AU$1006,0))&gt;=100000), " ",IF(INDEX($AD$2:$AU$1001,MATCH(ROWS($W$2:W226),$W$2:$W$1001,0),MATCH(COLUMNS($AD$1006:AT1006),$AD$1006:$AU$1006,0)), HYPERLINK("#",""), HYPERLINK(CONCATENATE("#metadata!", ADDRESS(INDEX($Y$2:$Y$1001,MATCH(ROWS($W$2:W226),$W$2:$W$1001,0),0), INDEX($AD$1004:$AU$1004,1,MATCH(COLUMNS($AD$1006:AT1006),$AD$1006:$AU$1006,0)))),"Fix")))</f>
        <v xml:space="preserve"> </v>
      </c>
      <c r="S226" s="4" t="str">
        <f ca="1">IF(OR(INDEX($X$2:$X$1001,MATCH(ROWS($W$2:W226),$W$2:$W$1001,0),1)&gt;=100000,INDEX($AD$1005:$AU$1005,1,MATCH(COLUMNS($AD$1006:AU1006),$AD$1006:$AU$1006,0))&gt;=100000), " ",IF(INDEX($AD$2:$AU$1001,MATCH(ROWS($W$2:W226),$W$2:$W$1001,0),MATCH(COLUMNS($AD$1006:AU1006),$AD$1006:$AU$1006,0)), HYPERLINK("#",""), HYPERLINK(CONCATENATE("#metadata!", ADDRESS(INDEX($Y$2:$Y$1001,MATCH(ROWS($W$2:W226),$W$2:$W$1001,0),0), INDEX($AD$1004:$AU$1004,1,MATCH(COLUMNS($AD$1006:AU1006),$AD$1006:$AU$1006,0)))),"Fix")))</f>
        <v xml:space="preserve"> </v>
      </c>
      <c r="W226">
        <v>225</v>
      </c>
      <c r="X226">
        <v>100226</v>
      </c>
      <c r="Y226">
        <v>226</v>
      </c>
      <c r="Z226" t="b">
        <f t="shared" si="3"/>
        <v>1</v>
      </c>
      <c r="AA226" t="b">
        <f>COUNTBLANK(metadata!B226:S226)=COLUMNS(metadata!B226:S226)</f>
        <v>1</v>
      </c>
      <c r="AB226" t="str">
        <v/>
      </c>
      <c r="AD226" t="b">
        <f ca="1">AND(IF(metadata!B226="",FALSE,TRUE),COUNTIF(metadata!B:B, metadata!B226) = 1,NOT(ISERROR(SUMPRODUCT(SEARCH(MID(metadata!B226,ROW(INDIRECT("1:"&amp;LEN(metadata!B226))), 1),"0123456789abcdefghijklmnopqrstuvwxyzABCDEFGHIJKLMNOPQRSTUVWXYZ.")))))</f>
        <v>0</v>
      </c>
      <c r="AE226" t="b">
        <f>OR(AND(IF(metadata!C226="",FALSE,TRUE),OR(EXACT(metadata!C226,"not applicable"),EXACT(metadata!C226,"missing: not collected"),EXACT(metadata!C226,"missing: not provided"),EXACT(metadata!C226,"missing: restricted access"))),AND(IF(metadata!C226="",FALSE,ISNUMBER(VALUE(metadata!C226))),metadata!C226&gt;0))</f>
        <v>0</v>
      </c>
      <c r="AF226" t="b">
        <f>AND(IF(metadata!D226="",FALSE,TRUE),EXACT(metadata!D226,"missing: not provided"))</f>
        <v>0</v>
      </c>
      <c r="AG226" t="b">
        <f>AND(IF(metadata!E226="",FALSE,TRUE),EXACT(metadata!E226,"Host-associated"))</f>
        <v>0</v>
      </c>
      <c r="AH226" t="b">
        <f>AND(IF(metadata!F226="",FALSE,TRUE),OR(EXACT(metadata!F226,"Animal"),EXACT(metadata!F226,"Fungus"),EXACT(metadata!F226,"Plant")))</f>
        <v>0</v>
      </c>
      <c r="AI226" t="b">
        <f>AND(IF(metadata!G226="",FALSE,TRUE),OR(EXACT(metadata!G226,"Plant secretion"),EXACT(metadata!G226,"Plant rhizosphere"),EXACT(metadata!G226,"Plant surface"),EXACT(metadata!G226,"Plant corpus"),EXACT(metadata!G226,"Fungus surface"),EXACT(metadata!G226,"Fungus corpus"),EXACT(metadata!G226,"Animal surface"),EXACT(metadata!G226,"Animal proximal gut"),EXACT(metadata!G226,"Animal corpus"),EXACT(metadata!G226,"Animal distal gut"),EXACT(metadata!G226,"Animal secretion")))</f>
        <v>0</v>
      </c>
      <c r="AJ226" t="b">
        <f>OR(AND(IF(metadata!H226="",FALSE,TRUE),OR(EXACT(metadata!H226,"missing: not collected"),EXACT(metadata!H226,"missing: not provided"),EXACT(metadata!H226,"missing: restricted access"))),AND(IF(metadata!H226="",FALSE,TRUE),OR(EXACT(metadata!H226,"organism-associated habitat"),EXACT(metadata!H226,"plant-associated habitat"),EXACT(metadata!H226,"animal-associated habitat"),EXACT(metadata!H226,"insecta-associated habitat"),EXACT(metadata!H226,"mammalia-associated habitat"),EXACT(metadata!H226,"human-associated habitat"),EXACT(metadata!H226,"livestock-associated habitat"))))</f>
        <v>0</v>
      </c>
      <c r="AK226" t="b">
        <f>AND(IF(metadata!I226="",FALSE,TRUE),EXACT(metadata!I226,"host-associated"))</f>
        <v>0</v>
      </c>
      <c r="AL226" t="b">
        <f>OR(AND(IF(metadata!J226="",FALSE,TRUE),OR(EXACT(metadata!J226,"not applicable"),EXACT(metadata!J226,"missing: not collected"),EXACT(metadata!J226,"missing: not provided"),EXACT(metadata!J226,"missing: restricted access"))),AND(IF(metadata!J226="",FALSE,ISNUMBER(VALUE(metadata!J226))),metadata!J226&gt;0))</f>
        <v>0</v>
      </c>
      <c r="AM226" t="b">
        <f>AND(IF(metadata!K226="",FALSE,TRUE),EXACT(metadata!K226,"missing: not provided"))</f>
        <v>0</v>
      </c>
      <c r="AN226" t="b">
        <f>IF(metadata!L226="",FALSE,TRUE)</f>
        <v>0</v>
      </c>
      <c r="AO226" t="b">
        <f>IF(metadata!M226="",FALSE,TRUE)</f>
        <v>0</v>
      </c>
      <c r="AP226" t="b">
        <f>OR(AND(IF(metadata!N226="",FALSE,TRUE),OR(EXACT(metadata!N226,"not applicable"),EXACT(metadata!N226,"missing: not collected"),EXACT(metadata!N226,"missing: not provided"))),AND(IF(metadata!N226="",FALSE,IF(ISERROR(INT(metadata!N226)),FALSE,INT(metadata!N226)=metadata!N226)),metadata!N226&gt;0))</f>
        <v>0</v>
      </c>
      <c r="AQ226" t="b">
        <f>AND(IF(metadata!O226="",FALSE,TRUE),EXACT(metadata!O226,"Not applicable"))</f>
        <v>0</v>
      </c>
      <c r="AR226" t="b">
        <f>OR(AND(IF(metadata!P226="",FALSE,TRUE),OR(EXACT(metadata!P226,"not applicable"),EXACT(metadata!P226,"missing: not collected"),EXACT(metadata!P226,"missing: not provided"),EXACT(metadata!P226,"missing: restricted access"))),IF(metadata!P226="",FALSE,IF(ISERROR(INT(metadata!P226)),FALSE,INT(metadata!P226)=metadata!P226)))</f>
        <v>0</v>
      </c>
      <c r="AS226" t="b">
        <f>AND(IF(metadata!Q226="",FALSE,TRUE),EXACT(metadata!Q226,"Not applicable"))</f>
        <v>0</v>
      </c>
      <c r="AT226" t="b">
        <f>OR(AND(IF(metadata!R226="",FALSE,TRUE),OR(EXACT(metadata!R226,"not applicable"),EXACT(metadata!R226,"missing: not collected"),EXACT(metadata!R226,"missing: not provided"),EXACT(metadata!R226,"missing: restricted access"))),AND(IF(metadata!R226="",FALSE,ISNUMBER(VALUE(metadata!R226))),metadata!R226&gt;0))</f>
        <v>0</v>
      </c>
      <c r="AU226" t="b">
        <f>AND(IF(metadata!S226="",FALSE,TRUE),EXACT(metadata!S226,"missing: not provided"))</f>
        <v>0</v>
      </c>
    </row>
    <row r="227" spans="1:47" x14ac:dyDescent="0.2">
      <c r="A227" s="5" t="str">
        <f ca="1">IF(B227=" "," ",HYPERLINK(CONCATENATE("#metadata!",ADDRESS(INDEX($Y$2:$Y$1001,MATCH(ROWS($W$2:W227),$W$2:$W$1001,0),0),1)),INDEX($AB$2:$AB$1001,MATCH(ROWS($W$2:W227),$W$2:$W$1001,0),0)))</f>
        <v xml:space="preserve"> </v>
      </c>
      <c r="B227" s="4" t="str">
        <f ca="1">IF(OR(INDEX($X$2:$X$1001,MATCH(ROWS($W$2:W227),$W$2:$W$1001,0),1)&gt;=100000,INDEX($AD$1005:$AU$1005,1,MATCH(COLUMNS($AD$1006:AD1006),$AD$1006:$AU$1006,0))&gt;=100000), " ",IF(INDEX($AD$2:$AU$1001,MATCH(ROWS($W$2:W227),$W$2:$W$1001,0),MATCH(COLUMNS($AD$1006:AD1006),$AD$1006:$AU$1006,0)), HYPERLINK("#",""), HYPERLINK(CONCATENATE("#metadata!", ADDRESS(INDEX($Y$2:$Y$1001,MATCH(ROWS($W$2:W227),$W$2:$W$1001,0),0), INDEX($AD$1004:$AU$1004,1,MATCH(COLUMNS($AD$1006:AD1006),$AD$1006:$AU$1006,0)))),"Fix")))</f>
        <v xml:space="preserve"> </v>
      </c>
      <c r="C227" s="4" t="str">
        <f ca="1">IF(OR(INDEX($X$2:$X$1001,MATCH(ROWS($W$2:W227),$W$2:$W$1001,0),1)&gt;=100000,INDEX($AD$1005:$AU$1005,1,MATCH(COLUMNS($AD$1006:AE1006),$AD$1006:$AU$1006,0))&gt;=100000), " ",IF(INDEX($AD$2:$AU$1001,MATCH(ROWS($W$2:W227),$W$2:$W$1001,0),MATCH(COLUMNS($AD$1006:AE1006),$AD$1006:$AU$1006,0)), HYPERLINK("#",""), HYPERLINK(CONCATENATE("#metadata!", ADDRESS(INDEX($Y$2:$Y$1001,MATCH(ROWS($W$2:W227),$W$2:$W$1001,0),0), INDEX($AD$1004:$AU$1004,1,MATCH(COLUMNS($AD$1006:AE1006),$AD$1006:$AU$1006,0)))),"Fix")))</f>
        <v xml:space="preserve"> </v>
      </c>
      <c r="D227" s="4" t="str">
        <f ca="1">IF(OR(INDEX($X$2:$X$1001,MATCH(ROWS($W$2:W227),$W$2:$W$1001,0),1)&gt;=100000,INDEX($AD$1005:$AU$1005,1,MATCH(COLUMNS($AD$1006:AF1006),$AD$1006:$AU$1006,0))&gt;=100000), " ",IF(INDEX($AD$2:$AU$1001,MATCH(ROWS($W$2:W227),$W$2:$W$1001,0),MATCH(COLUMNS($AD$1006:AF1006),$AD$1006:$AU$1006,0)), HYPERLINK("#",""), HYPERLINK(CONCATENATE("#metadata!", ADDRESS(INDEX($Y$2:$Y$1001,MATCH(ROWS($W$2:W227),$W$2:$W$1001,0),0), INDEX($AD$1004:$AU$1004,1,MATCH(COLUMNS($AD$1006:AF1006),$AD$1006:$AU$1006,0)))),"Fix")))</f>
        <v xml:space="preserve"> </v>
      </c>
      <c r="E227" s="4" t="str">
        <f ca="1">IF(OR(INDEX($X$2:$X$1001,MATCH(ROWS($W$2:W227),$W$2:$W$1001,0),1)&gt;=100000,INDEX($AD$1005:$AU$1005,1,MATCH(COLUMNS($AD$1006:AG1006),$AD$1006:$AU$1006,0))&gt;=100000), " ",IF(INDEX($AD$2:$AU$1001,MATCH(ROWS($W$2:W227),$W$2:$W$1001,0),MATCH(COLUMNS($AD$1006:AG1006),$AD$1006:$AU$1006,0)), HYPERLINK("#",""), HYPERLINK(CONCATENATE("#metadata!", ADDRESS(INDEX($Y$2:$Y$1001,MATCH(ROWS($W$2:W227),$W$2:$W$1001,0),0), INDEX($AD$1004:$AU$1004,1,MATCH(COLUMNS($AD$1006:AG1006),$AD$1006:$AU$1006,0)))),"Fix")))</f>
        <v xml:space="preserve"> </v>
      </c>
      <c r="F227" s="4" t="str">
        <f ca="1">IF(OR(INDEX($X$2:$X$1001,MATCH(ROWS($W$2:W227),$W$2:$W$1001,0),1)&gt;=100000,INDEX($AD$1005:$AU$1005,1,MATCH(COLUMNS($AD$1006:AH1006),$AD$1006:$AU$1006,0))&gt;=100000), " ",IF(INDEX($AD$2:$AU$1001,MATCH(ROWS($W$2:W227),$W$2:$W$1001,0),MATCH(COLUMNS($AD$1006:AH1006),$AD$1006:$AU$1006,0)), HYPERLINK("#",""), HYPERLINK(CONCATENATE("#metadata!", ADDRESS(INDEX($Y$2:$Y$1001,MATCH(ROWS($W$2:W227),$W$2:$W$1001,0),0), INDEX($AD$1004:$AU$1004,1,MATCH(COLUMNS($AD$1006:AH1006),$AD$1006:$AU$1006,0)))),"Fix")))</f>
        <v xml:space="preserve"> </v>
      </c>
      <c r="G227" s="4" t="str">
        <f ca="1">IF(OR(INDEX($X$2:$X$1001,MATCH(ROWS($W$2:W227),$W$2:$W$1001,0),1)&gt;=100000,INDEX($AD$1005:$AU$1005,1,MATCH(COLUMNS($AD$1006:AI1006),$AD$1006:$AU$1006,0))&gt;=100000), " ",IF(INDEX($AD$2:$AU$1001,MATCH(ROWS($W$2:W227),$W$2:$W$1001,0),MATCH(COLUMNS($AD$1006:AI1006),$AD$1006:$AU$1006,0)), HYPERLINK("#",""), HYPERLINK(CONCATENATE("#metadata!", ADDRESS(INDEX($Y$2:$Y$1001,MATCH(ROWS($W$2:W227),$W$2:$W$1001,0),0), INDEX($AD$1004:$AU$1004,1,MATCH(COLUMNS($AD$1006:AI1006),$AD$1006:$AU$1006,0)))),"Fix")))</f>
        <v xml:space="preserve"> </v>
      </c>
      <c r="H227" s="4" t="str">
        <f ca="1">IF(OR(INDEX($X$2:$X$1001,MATCH(ROWS($W$2:W227),$W$2:$W$1001,0),1)&gt;=100000,INDEX($AD$1005:$AU$1005,1,MATCH(COLUMNS($AD$1006:AJ1006),$AD$1006:$AU$1006,0))&gt;=100000), " ",IF(INDEX($AD$2:$AU$1001,MATCH(ROWS($W$2:W227),$W$2:$W$1001,0),MATCH(COLUMNS($AD$1006:AJ1006),$AD$1006:$AU$1006,0)), HYPERLINK("#",""), HYPERLINK(CONCATENATE("#metadata!", ADDRESS(INDEX($Y$2:$Y$1001,MATCH(ROWS($W$2:W227),$W$2:$W$1001,0),0), INDEX($AD$1004:$AU$1004,1,MATCH(COLUMNS($AD$1006:AJ1006),$AD$1006:$AU$1006,0)))),"Fix")))</f>
        <v xml:space="preserve"> </v>
      </c>
      <c r="I227" s="4" t="str">
        <f ca="1">IF(OR(INDEX($X$2:$X$1001,MATCH(ROWS($W$2:W227),$W$2:$W$1001,0),1)&gt;=100000,INDEX($AD$1005:$AU$1005,1,MATCH(COLUMNS($AD$1006:AK1006),$AD$1006:$AU$1006,0))&gt;=100000), " ",IF(INDEX($AD$2:$AU$1001,MATCH(ROWS($W$2:W227),$W$2:$W$1001,0),MATCH(COLUMNS($AD$1006:AK1006),$AD$1006:$AU$1006,0)), HYPERLINK("#",""), HYPERLINK(CONCATENATE("#metadata!", ADDRESS(INDEX($Y$2:$Y$1001,MATCH(ROWS($W$2:W227),$W$2:$W$1001,0),0), INDEX($AD$1004:$AU$1004,1,MATCH(COLUMNS($AD$1006:AK1006),$AD$1006:$AU$1006,0)))),"Fix")))</f>
        <v xml:space="preserve"> </v>
      </c>
      <c r="J227" s="4" t="str">
        <f ca="1">IF(OR(INDEX($X$2:$X$1001,MATCH(ROWS($W$2:W227),$W$2:$W$1001,0),1)&gt;=100000,INDEX($AD$1005:$AU$1005,1,MATCH(COLUMNS($AD$1006:AL1006),$AD$1006:$AU$1006,0))&gt;=100000), " ",IF(INDEX($AD$2:$AU$1001,MATCH(ROWS($W$2:W227),$W$2:$W$1001,0),MATCH(COLUMNS($AD$1006:AL1006),$AD$1006:$AU$1006,0)), HYPERLINK("#",""), HYPERLINK(CONCATENATE("#metadata!", ADDRESS(INDEX($Y$2:$Y$1001,MATCH(ROWS($W$2:W227),$W$2:$W$1001,0),0), INDEX($AD$1004:$AU$1004,1,MATCH(COLUMNS($AD$1006:AL1006),$AD$1006:$AU$1006,0)))),"Fix")))</f>
        <v xml:space="preserve"> </v>
      </c>
      <c r="K227" s="4" t="str">
        <f ca="1">IF(OR(INDEX($X$2:$X$1001,MATCH(ROWS($W$2:W227),$W$2:$W$1001,0),1)&gt;=100000,INDEX($AD$1005:$AU$1005,1,MATCH(COLUMNS($AD$1006:AM1006),$AD$1006:$AU$1006,0))&gt;=100000), " ",IF(INDEX($AD$2:$AU$1001,MATCH(ROWS($W$2:W227),$W$2:$W$1001,0),MATCH(COLUMNS($AD$1006:AM1006),$AD$1006:$AU$1006,0)), HYPERLINK("#",""), HYPERLINK(CONCATENATE("#metadata!", ADDRESS(INDEX($Y$2:$Y$1001,MATCH(ROWS($W$2:W227),$W$2:$W$1001,0),0), INDEX($AD$1004:$AU$1004,1,MATCH(COLUMNS($AD$1006:AM1006),$AD$1006:$AU$1006,0)))),"Fix")))</f>
        <v xml:space="preserve"> </v>
      </c>
      <c r="L227" s="4" t="str">
        <f ca="1">IF(OR(INDEX($X$2:$X$1001,MATCH(ROWS($W$2:W227),$W$2:$W$1001,0),1)&gt;=100000,INDEX($AD$1005:$AU$1005,1,MATCH(COLUMNS($AD$1006:AN1006),$AD$1006:$AU$1006,0))&gt;=100000), " ",IF(INDEX($AD$2:$AU$1001,MATCH(ROWS($W$2:W227),$W$2:$W$1001,0),MATCH(COLUMNS($AD$1006:AN1006),$AD$1006:$AU$1006,0)), HYPERLINK("#",""), HYPERLINK(CONCATENATE("#metadata!", ADDRESS(INDEX($Y$2:$Y$1001,MATCH(ROWS($W$2:W227),$W$2:$W$1001,0),0), INDEX($AD$1004:$AU$1004,1,MATCH(COLUMNS($AD$1006:AN1006),$AD$1006:$AU$1006,0)))),"Fix")))</f>
        <v xml:space="preserve"> </v>
      </c>
      <c r="M227" s="4" t="str">
        <f ca="1">IF(OR(INDEX($X$2:$X$1001,MATCH(ROWS($W$2:W227),$W$2:$W$1001,0),1)&gt;=100000,INDEX($AD$1005:$AU$1005,1,MATCH(COLUMNS($AD$1006:AO1006),$AD$1006:$AU$1006,0))&gt;=100000), " ",IF(INDEX($AD$2:$AU$1001,MATCH(ROWS($W$2:W227),$W$2:$W$1001,0),MATCH(COLUMNS($AD$1006:AO1006),$AD$1006:$AU$1006,0)), HYPERLINK("#",""), HYPERLINK(CONCATENATE("#metadata!", ADDRESS(INDEX($Y$2:$Y$1001,MATCH(ROWS($W$2:W227),$W$2:$W$1001,0),0), INDEX($AD$1004:$AU$1004,1,MATCH(COLUMNS($AD$1006:AO1006),$AD$1006:$AU$1006,0)))),"Fix")))</f>
        <v xml:space="preserve"> </v>
      </c>
      <c r="N227" s="4" t="str">
        <f ca="1">IF(OR(INDEX($X$2:$X$1001,MATCH(ROWS($W$2:W227),$W$2:$W$1001,0),1)&gt;=100000,INDEX($AD$1005:$AU$1005,1,MATCH(COLUMNS($AD$1006:AP1006),$AD$1006:$AU$1006,0))&gt;=100000), " ",IF(INDEX($AD$2:$AU$1001,MATCH(ROWS($W$2:W227),$W$2:$W$1001,0),MATCH(COLUMNS($AD$1006:AP1006),$AD$1006:$AU$1006,0)), HYPERLINK("#",""), HYPERLINK(CONCATENATE("#metadata!", ADDRESS(INDEX($Y$2:$Y$1001,MATCH(ROWS($W$2:W227),$W$2:$W$1001,0),0), INDEX($AD$1004:$AU$1004,1,MATCH(COLUMNS($AD$1006:AP1006),$AD$1006:$AU$1006,0)))),"Fix")))</f>
        <v xml:space="preserve"> </v>
      </c>
      <c r="O227" s="4" t="str">
        <f ca="1">IF(OR(INDEX($X$2:$X$1001,MATCH(ROWS($W$2:W227),$W$2:$W$1001,0),1)&gt;=100000,INDEX($AD$1005:$AU$1005,1,MATCH(COLUMNS($AD$1006:AQ1006),$AD$1006:$AU$1006,0))&gt;=100000), " ",IF(INDEX($AD$2:$AU$1001,MATCH(ROWS($W$2:W227),$W$2:$W$1001,0),MATCH(COLUMNS($AD$1006:AQ1006),$AD$1006:$AU$1006,0)), HYPERLINK("#",""), HYPERLINK(CONCATENATE("#metadata!", ADDRESS(INDEX($Y$2:$Y$1001,MATCH(ROWS($W$2:W227),$W$2:$W$1001,0),0), INDEX($AD$1004:$AU$1004,1,MATCH(COLUMNS($AD$1006:AQ1006),$AD$1006:$AU$1006,0)))),"Fix")))</f>
        <v xml:space="preserve"> </v>
      </c>
      <c r="P227" s="4" t="str">
        <f ca="1">IF(OR(INDEX($X$2:$X$1001,MATCH(ROWS($W$2:W227),$W$2:$W$1001,0),1)&gt;=100000,INDEX($AD$1005:$AU$1005,1,MATCH(COLUMNS($AD$1006:AR1006),$AD$1006:$AU$1006,0))&gt;=100000), " ",IF(INDEX($AD$2:$AU$1001,MATCH(ROWS($W$2:W227),$W$2:$W$1001,0),MATCH(COLUMNS($AD$1006:AR1006),$AD$1006:$AU$1006,0)), HYPERLINK("#",""), HYPERLINK(CONCATENATE("#metadata!", ADDRESS(INDEX($Y$2:$Y$1001,MATCH(ROWS($W$2:W227),$W$2:$W$1001,0),0), INDEX($AD$1004:$AU$1004,1,MATCH(COLUMNS($AD$1006:AR1006),$AD$1006:$AU$1006,0)))),"Fix")))</f>
        <v xml:space="preserve"> </v>
      </c>
      <c r="Q227" s="4" t="str">
        <f ca="1">IF(OR(INDEX($X$2:$X$1001,MATCH(ROWS($W$2:W227),$W$2:$W$1001,0),1)&gt;=100000,INDEX($AD$1005:$AU$1005,1,MATCH(COLUMNS($AD$1006:AS1006),$AD$1006:$AU$1006,0))&gt;=100000), " ",IF(INDEX($AD$2:$AU$1001,MATCH(ROWS($W$2:W227),$W$2:$W$1001,0),MATCH(COLUMNS($AD$1006:AS1006),$AD$1006:$AU$1006,0)), HYPERLINK("#",""), HYPERLINK(CONCATENATE("#metadata!", ADDRESS(INDEX($Y$2:$Y$1001,MATCH(ROWS($W$2:W227),$W$2:$W$1001,0),0), INDEX($AD$1004:$AU$1004,1,MATCH(COLUMNS($AD$1006:AS1006),$AD$1006:$AU$1006,0)))),"Fix")))</f>
        <v xml:space="preserve"> </v>
      </c>
      <c r="R227" s="4" t="str">
        <f ca="1">IF(OR(INDEX($X$2:$X$1001,MATCH(ROWS($W$2:W227),$W$2:$W$1001,0),1)&gt;=100000,INDEX($AD$1005:$AU$1005,1,MATCH(COLUMNS($AD$1006:AT1006),$AD$1006:$AU$1006,0))&gt;=100000), " ",IF(INDEX($AD$2:$AU$1001,MATCH(ROWS($W$2:W227),$W$2:$W$1001,0),MATCH(COLUMNS($AD$1006:AT1006),$AD$1006:$AU$1006,0)), HYPERLINK("#",""), HYPERLINK(CONCATENATE("#metadata!", ADDRESS(INDEX($Y$2:$Y$1001,MATCH(ROWS($W$2:W227),$W$2:$W$1001,0),0), INDEX($AD$1004:$AU$1004,1,MATCH(COLUMNS($AD$1006:AT1006),$AD$1006:$AU$1006,0)))),"Fix")))</f>
        <v xml:space="preserve"> </v>
      </c>
      <c r="S227" s="4" t="str">
        <f ca="1">IF(OR(INDEX($X$2:$X$1001,MATCH(ROWS($W$2:W227),$W$2:$W$1001,0),1)&gt;=100000,INDEX($AD$1005:$AU$1005,1,MATCH(COLUMNS($AD$1006:AU1006),$AD$1006:$AU$1006,0))&gt;=100000), " ",IF(INDEX($AD$2:$AU$1001,MATCH(ROWS($W$2:W227),$W$2:$W$1001,0),MATCH(COLUMNS($AD$1006:AU1006),$AD$1006:$AU$1006,0)), HYPERLINK("#",""), HYPERLINK(CONCATENATE("#metadata!", ADDRESS(INDEX($Y$2:$Y$1001,MATCH(ROWS($W$2:W227),$W$2:$W$1001,0),0), INDEX($AD$1004:$AU$1004,1,MATCH(COLUMNS($AD$1006:AU1006),$AD$1006:$AU$1006,0)))),"Fix")))</f>
        <v xml:space="preserve"> </v>
      </c>
      <c r="W227">
        <v>226</v>
      </c>
      <c r="X227">
        <v>100227</v>
      </c>
      <c r="Y227">
        <v>227</v>
      </c>
      <c r="Z227" t="b">
        <f t="shared" si="3"/>
        <v>1</v>
      </c>
      <c r="AA227" t="b">
        <f>COUNTBLANK(metadata!B227:S227)=COLUMNS(metadata!B227:S227)</f>
        <v>1</v>
      </c>
      <c r="AB227" t="str">
        <v/>
      </c>
      <c r="AD227" t="b">
        <f ca="1">AND(IF(metadata!B227="",FALSE,TRUE),COUNTIF(metadata!B:B, metadata!B227) = 1,NOT(ISERROR(SUMPRODUCT(SEARCH(MID(metadata!B227,ROW(INDIRECT("1:"&amp;LEN(metadata!B227))), 1),"0123456789abcdefghijklmnopqrstuvwxyzABCDEFGHIJKLMNOPQRSTUVWXYZ.")))))</f>
        <v>0</v>
      </c>
      <c r="AE227" t="b">
        <f>OR(AND(IF(metadata!C227="",FALSE,TRUE),OR(EXACT(metadata!C227,"not applicable"),EXACT(metadata!C227,"missing: not collected"),EXACT(metadata!C227,"missing: not provided"),EXACT(metadata!C227,"missing: restricted access"))),AND(IF(metadata!C227="",FALSE,ISNUMBER(VALUE(metadata!C227))),metadata!C227&gt;0))</f>
        <v>0</v>
      </c>
      <c r="AF227" t="b">
        <f>AND(IF(metadata!D227="",FALSE,TRUE),EXACT(metadata!D227,"missing: not provided"))</f>
        <v>0</v>
      </c>
      <c r="AG227" t="b">
        <f>AND(IF(metadata!E227="",FALSE,TRUE),EXACT(metadata!E227,"Host-associated"))</f>
        <v>0</v>
      </c>
      <c r="AH227" t="b">
        <f>AND(IF(metadata!F227="",FALSE,TRUE),OR(EXACT(metadata!F227,"Animal"),EXACT(metadata!F227,"Fungus"),EXACT(metadata!F227,"Plant")))</f>
        <v>0</v>
      </c>
      <c r="AI227" t="b">
        <f>AND(IF(metadata!G227="",FALSE,TRUE),OR(EXACT(metadata!G227,"Plant secretion"),EXACT(metadata!G227,"Plant rhizosphere"),EXACT(metadata!G227,"Plant surface"),EXACT(metadata!G227,"Plant corpus"),EXACT(metadata!G227,"Fungus surface"),EXACT(metadata!G227,"Fungus corpus"),EXACT(metadata!G227,"Animal surface"),EXACT(metadata!G227,"Animal proximal gut"),EXACT(metadata!G227,"Animal corpus"),EXACT(metadata!G227,"Animal distal gut"),EXACT(metadata!G227,"Animal secretion")))</f>
        <v>0</v>
      </c>
      <c r="AJ227" t="b">
        <f>OR(AND(IF(metadata!H227="",FALSE,TRUE),OR(EXACT(metadata!H227,"missing: not collected"),EXACT(metadata!H227,"missing: not provided"),EXACT(metadata!H227,"missing: restricted access"))),AND(IF(metadata!H227="",FALSE,TRUE),OR(EXACT(metadata!H227,"organism-associated habitat"),EXACT(metadata!H227,"plant-associated habitat"),EXACT(metadata!H227,"animal-associated habitat"),EXACT(metadata!H227,"insecta-associated habitat"),EXACT(metadata!H227,"mammalia-associated habitat"),EXACT(metadata!H227,"human-associated habitat"),EXACT(metadata!H227,"livestock-associated habitat"))))</f>
        <v>0</v>
      </c>
      <c r="AK227" t="b">
        <f>AND(IF(metadata!I227="",FALSE,TRUE),EXACT(metadata!I227,"host-associated"))</f>
        <v>0</v>
      </c>
      <c r="AL227" t="b">
        <f>OR(AND(IF(metadata!J227="",FALSE,TRUE),OR(EXACT(metadata!J227,"not applicable"),EXACT(metadata!J227,"missing: not collected"),EXACT(metadata!J227,"missing: not provided"),EXACT(metadata!J227,"missing: restricted access"))),AND(IF(metadata!J227="",FALSE,ISNUMBER(VALUE(metadata!J227))),metadata!J227&gt;0))</f>
        <v>0</v>
      </c>
      <c r="AM227" t="b">
        <f>AND(IF(metadata!K227="",FALSE,TRUE),EXACT(metadata!K227,"missing: not provided"))</f>
        <v>0</v>
      </c>
      <c r="AN227" t="b">
        <f>IF(metadata!L227="",FALSE,TRUE)</f>
        <v>0</v>
      </c>
      <c r="AO227" t="b">
        <f>IF(metadata!M227="",FALSE,TRUE)</f>
        <v>0</v>
      </c>
      <c r="AP227" t="b">
        <f>OR(AND(IF(metadata!N227="",FALSE,TRUE),OR(EXACT(metadata!N227,"not applicable"),EXACT(metadata!N227,"missing: not collected"),EXACT(metadata!N227,"missing: not provided"))),AND(IF(metadata!N227="",FALSE,IF(ISERROR(INT(metadata!N227)),FALSE,INT(metadata!N227)=metadata!N227)),metadata!N227&gt;0))</f>
        <v>0</v>
      </c>
      <c r="AQ227" t="b">
        <f>AND(IF(metadata!O227="",FALSE,TRUE),EXACT(metadata!O227,"Not applicable"))</f>
        <v>0</v>
      </c>
      <c r="AR227" t="b">
        <f>OR(AND(IF(metadata!P227="",FALSE,TRUE),OR(EXACT(metadata!P227,"not applicable"),EXACT(metadata!P227,"missing: not collected"),EXACT(metadata!P227,"missing: not provided"),EXACT(metadata!P227,"missing: restricted access"))),IF(metadata!P227="",FALSE,IF(ISERROR(INT(metadata!P227)),FALSE,INT(metadata!P227)=metadata!P227)))</f>
        <v>0</v>
      </c>
      <c r="AS227" t="b">
        <f>AND(IF(metadata!Q227="",FALSE,TRUE),EXACT(metadata!Q227,"Not applicable"))</f>
        <v>0</v>
      </c>
      <c r="AT227" t="b">
        <f>OR(AND(IF(metadata!R227="",FALSE,TRUE),OR(EXACT(metadata!R227,"not applicable"),EXACT(metadata!R227,"missing: not collected"),EXACT(metadata!R227,"missing: not provided"),EXACT(metadata!R227,"missing: restricted access"))),AND(IF(metadata!R227="",FALSE,ISNUMBER(VALUE(metadata!R227))),metadata!R227&gt;0))</f>
        <v>0</v>
      </c>
      <c r="AU227" t="b">
        <f>AND(IF(metadata!S227="",FALSE,TRUE),EXACT(metadata!S227,"missing: not provided"))</f>
        <v>0</v>
      </c>
    </row>
    <row r="228" spans="1:47" x14ac:dyDescent="0.2">
      <c r="A228" s="5" t="str">
        <f ca="1">IF(B228=" "," ",HYPERLINK(CONCATENATE("#metadata!",ADDRESS(INDEX($Y$2:$Y$1001,MATCH(ROWS($W$2:W228),$W$2:$W$1001,0),0),1)),INDEX($AB$2:$AB$1001,MATCH(ROWS($W$2:W228),$W$2:$W$1001,0),0)))</f>
        <v xml:space="preserve"> </v>
      </c>
      <c r="B228" s="4" t="str">
        <f ca="1">IF(OR(INDEX($X$2:$X$1001,MATCH(ROWS($W$2:W228),$W$2:$W$1001,0),1)&gt;=100000,INDEX($AD$1005:$AU$1005,1,MATCH(COLUMNS($AD$1006:AD1006),$AD$1006:$AU$1006,0))&gt;=100000), " ",IF(INDEX($AD$2:$AU$1001,MATCH(ROWS($W$2:W228),$W$2:$W$1001,0),MATCH(COLUMNS($AD$1006:AD1006),$AD$1006:$AU$1006,0)), HYPERLINK("#",""), HYPERLINK(CONCATENATE("#metadata!", ADDRESS(INDEX($Y$2:$Y$1001,MATCH(ROWS($W$2:W228),$W$2:$W$1001,0),0), INDEX($AD$1004:$AU$1004,1,MATCH(COLUMNS($AD$1006:AD1006),$AD$1006:$AU$1006,0)))),"Fix")))</f>
        <v xml:space="preserve"> </v>
      </c>
      <c r="C228" s="4" t="str">
        <f ca="1">IF(OR(INDEX($X$2:$X$1001,MATCH(ROWS($W$2:W228),$W$2:$W$1001,0),1)&gt;=100000,INDEX($AD$1005:$AU$1005,1,MATCH(COLUMNS($AD$1006:AE1006),$AD$1006:$AU$1006,0))&gt;=100000), " ",IF(INDEX($AD$2:$AU$1001,MATCH(ROWS($W$2:W228),$W$2:$W$1001,0),MATCH(COLUMNS($AD$1006:AE1006),$AD$1006:$AU$1006,0)), HYPERLINK("#",""), HYPERLINK(CONCATENATE("#metadata!", ADDRESS(INDEX($Y$2:$Y$1001,MATCH(ROWS($W$2:W228),$W$2:$W$1001,0),0), INDEX($AD$1004:$AU$1004,1,MATCH(COLUMNS($AD$1006:AE1006),$AD$1006:$AU$1006,0)))),"Fix")))</f>
        <v xml:space="preserve"> </v>
      </c>
      <c r="D228" s="4" t="str">
        <f ca="1">IF(OR(INDEX($X$2:$X$1001,MATCH(ROWS($W$2:W228),$W$2:$W$1001,0),1)&gt;=100000,INDEX($AD$1005:$AU$1005,1,MATCH(COLUMNS($AD$1006:AF1006),$AD$1006:$AU$1006,0))&gt;=100000), " ",IF(INDEX($AD$2:$AU$1001,MATCH(ROWS($W$2:W228),$W$2:$W$1001,0),MATCH(COLUMNS($AD$1006:AF1006),$AD$1006:$AU$1006,0)), HYPERLINK("#",""), HYPERLINK(CONCATENATE("#metadata!", ADDRESS(INDEX($Y$2:$Y$1001,MATCH(ROWS($W$2:W228),$W$2:$W$1001,0),0), INDEX($AD$1004:$AU$1004,1,MATCH(COLUMNS($AD$1006:AF1006),$AD$1006:$AU$1006,0)))),"Fix")))</f>
        <v xml:space="preserve"> </v>
      </c>
      <c r="E228" s="4" t="str">
        <f ca="1">IF(OR(INDEX($X$2:$X$1001,MATCH(ROWS($W$2:W228),$W$2:$W$1001,0),1)&gt;=100000,INDEX($AD$1005:$AU$1005,1,MATCH(COLUMNS($AD$1006:AG1006),$AD$1006:$AU$1006,0))&gt;=100000), " ",IF(INDEX($AD$2:$AU$1001,MATCH(ROWS($W$2:W228),$W$2:$W$1001,0),MATCH(COLUMNS($AD$1006:AG1006),$AD$1006:$AU$1006,0)), HYPERLINK("#",""), HYPERLINK(CONCATENATE("#metadata!", ADDRESS(INDEX($Y$2:$Y$1001,MATCH(ROWS($W$2:W228),$W$2:$W$1001,0),0), INDEX($AD$1004:$AU$1004,1,MATCH(COLUMNS($AD$1006:AG1006),$AD$1006:$AU$1006,0)))),"Fix")))</f>
        <v xml:space="preserve"> </v>
      </c>
      <c r="F228" s="4" t="str">
        <f ca="1">IF(OR(INDEX($X$2:$X$1001,MATCH(ROWS($W$2:W228),$W$2:$W$1001,0),1)&gt;=100000,INDEX($AD$1005:$AU$1005,1,MATCH(COLUMNS($AD$1006:AH1006),$AD$1006:$AU$1006,0))&gt;=100000), " ",IF(INDEX($AD$2:$AU$1001,MATCH(ROWS($W$2:W228),$W$2:$W$1001,0),MATCH(COLUMNS($AD$1006:AH1006),$AD$1006:$AU$1006,0)), HYPERLINK("#",""), HYPERLINK(CONCATENATE("#metadata!", ADDRESS(INDEX($Y$2:$Y$1001,MATCH(ROWS($W$2:W228),$W$2:$W$1001,0),0), INDEX($AD$1004:$AU$1004,1,MATCH(COLUMNS($AD$1006:AH1006),$AD$1006:$AU$1006,0)))),"Fix")))</f>
        <v xml:space="preserve"> </v>
      </c>
      <c r="G228" s="4" t="str">
        <f ca="1">IF(OR(INDEX($X$2:$X$1001,MATCH(ROWS($W$2:W228),$W$2:$W$1001,0),1)&gt;=100000,INDEX($AD$1005:$AU$1005,1,MATCH(COLUMNS($AD$1006:AI1006),$AD$1006:$AU$1006,0))&gt;=100000), " ",IF(INDEX($AD$2:$AU$1001,MATCH(ROWS($W$2:W228),$W$2:$W$1001,0),MATCH(COLUMNS($AD$1006:AI1006),$AD$1006:$AU$1006,0)), HYPERLINK("#",""), HYPERLINK(CONCATENATE("#metadata!", ADDRESS(INDEX($Y$2:$Y$1001,MATCH(ROWS($W$2:W228),$W$2:$W$1001,0),0), INDEX($AD$1004:$AU$1004,1,MATCH(COLUMNS($AD$1006:AI1006),$AD$1006:$AU$1006,0)))),"Fix")))</f>
        <v xml:space="preserve"> </v>
      </c>
      <c r="H228" s="4" t="str">
        <f ca="1">IF(OR(INDEX($X$2:$X$1001,MATCH(ROWS($W$2:W228),$W$2:$W$1001,0),1)&gt;=100000,INDEX($AD$1005:$AU$1005,1,MATCH(COLUMNS($AD$1006:AJ1006),$AD$1006:$AU$1006,0))&gt;=100000), " ",IF(INDEX($AD$2:$AU$1001,MATCH(ROWS($W$2:W228),$W$2:$W$1001,0),MATCH(COLUMNS($AD$1006:AJ1006),$AD$1006:$AU$1006,0)), HYPERLINK("#",""), HYPERLINK(CONCATENATE("#metadata!", ADDRESS(INDEX($Y$2:$Y$1001,MATCH(ROWS($W$2:W228),$W$2:$W$1001,0),0), INDEX($AD$1004:$AU$1004,1,MATCH(COLUMNS($AD$1006:AJ1006),$AD$1006:$AU$1006,0)))),"Fix")))</f>
        <v xml:space="preserve"> </v>
      </c>
      <c r="I228" s="4" t="str">
        <f ca="1">IF(OR(INDEX($X$2:$X$1001,MATCH(ROWS($W$2:W228),$W$2:$W$1001,0),1)&gt;=100000,INDEX($AD$1005:$AU$1005,1,MATCH(COLUMNS($AD$1006:AK1006),$AD$1006:$AU$1006,0))&gt;=100000), " ",IF(INDEX($AD$2:$AU$1001,MATCH(ROWS($W$2:W228),$W$2:$W$1001,0),MATCH(COLUMNS($AD$1006:AK1006),$AD$1006:$AU$1006,0)), HYPERLINK("#",""), HYPERLINK(CONCATENATE("#metadata!", ADDRESS(INDEX($Y$2:$Y$1001,MATCH(ROWS($W$2:W228),$W$2:$W$1001,0),0), INDEX($AD$1004:$AU$1004,1,MATCH(COLUMNS($AD$1006:AK1006),$AD$1006:$AU$1006,0)))),"Fix")))</f>
        <v xml:space="preserve"> </v>
      </c>
      <c r="J228" s="4" t="str">
        <f ca="1">IF(OR(INDEX($X$2:$X$1001,MATCH(ROWS($W$2:W228),$W$2:$W$1001,0),1)&gt;=100000,INDEX($AD$1005:$AU$1005,1,MATCH(COLUMNS($AD$1006:AL1006),$AD$1006:$AU$1006,0))&gt;=100000), " ",IF(INDEX($AD$2:$AU$1001,MATCH(ROWS($W$2:W228),$W$2:$W$1001,0),MATCH(COLUMNS($AD$1006:AL1006),$AD$1006:$AU$1006,0)), HYPERLINK("#",""), HYPERLINK(CONCATENATE("#metadata!", ADDRESS(INDEX($Y$2:$Y$1001,MATCH(ROWS($W$2:W228),$W$2:$W$1001,0),0), INDEX($AD$1004:$AU$1004,1,MATCH(COLUMNS($AD$1006:AL1006),$AD$1006:$AU$1006,0)))),"Fix")))</f>
        <v xml:space="preserve"> </v>
      </c>
      <c r="K228" s="4" t="str">
        <f ca="1">IF(OR(INDEX($X$2:$X$1001,MATCH(ROWS($W$2:W228),$W$2:$W$1001,0),1)&gt;=100000,INDEX($AD$1005:$AU$1005,1,MATCH(COLUMNS($AD$1006:AM1006),$AD$1006:$AU$1006,0))&gt;=100000), " ",IF(INDEX($AD$2:$AU$1001,MATCH(ROWS($W$2:W228),$W$2:$W$1001,0),MATCH(COLUMNS($AD$1006:AM1006),$AD$1006:$AU$1006,0)), HYPERLINK("#",""), HYPERLINK(CONCATENATE("#metadata!", ADDRESS(INDEX($Y$2:$Y$1001,MATCH(ROWS($W$2:W228),$W$2:$W$1001,0),0), INDEX($AD$1004:$AU$1004,1,MATCH(COLUMNS($AD$1006:AM1006),$AD$1006:$AU$1006,0)))),"Fix")))</f>
        <v xml:space="preserve"> </v>
      </c>
      <c r="L228" s="4" t="str">
        <f ca="1">IF(OR(INDEX($X$2:$X$1001,MATCH(ROWS($W$2:W228),$W$2:$W$1001,0),1)&gt;=100000,INDEX($AD$1005:$AU$1005,1,MATCH(COLUMNS($AD$1006:AN1006),$AD$1006:$AU$1006,0))&gt;=100000), " ",IF(INDEX($AD$2:$AU$1001,MATCH(ROWS($W$2:W228),$W$2:$W$1001,0),MATCH(COLUMNS($AD$1006:AN1006),$AD$1006:$AU$1006,0)), HYPERLINK("#",""), HYPERLINK(CONCATENATE("#metadata!", ADDRESS(INDEX($Y$2:$Y$1001,MATCH(ROWS($W$2:W228),$W$2:$W$1001,0),0), INDEX($AD$1004:$AU$1004,1,MATCH(COLUMNS($AD$1006:AN1006),$AD$1006:$AU$1006,0)))),"Fix")))</f>
        <v xml:space="preserve"> </v>
      </c>
      <c r="M228" s="4" t="str">
        <f ca="1">IF(OR(INDEX($X$2:$X$1001,MATCH(ROWS($W$2:W228),$W$2:$W$1001,0),1)&gt;=100000,INDEX($AD$1005:$AU$1005,1,MATCH(COLUMNS($AD$1006:AO1006),$AD$1006:$AU$1006,0))&gt;=100000), " ",IF(INDEX($AD$2:$AU$1001,MATCH(ROWS($W$2:W228),$W$2:$W$1001,0),MATCH(COLUMNS($AD$1006:AO1006),$AD$1006:$AU$1006,0)), HYPERLINK("#",""), HYPERLINK(CONCATENATE("#metadata!", ADDRESS(INDEX($Y$2:$Y$1001,MATCH(ROWS($W$2:W228),$W$2:$W$1001,0),0), INDEX($AD$1004:$AU$1004,1,MATCH(COLUMNS($AD$1006:AO1006),$AD$1006:$AU$1006,0)))),"Fix")))</f>
        <v xml:space="preserve"> </v>
      </c>
      <c r="N228" s="4" t="str">
        <f ca="1">IF(OR(INDEX($X$2:$X$1001,MATCH(ROWS($W$2:W228),$W$2:$W$1001,0),1)&gt;=100000,INDEX($AD$1005:$AU$1005,1,MATCH(COLUMNS($AD$1006:AP1006),$AD$1006:$AU$1006,0))&gt;=100000), " ",IF(INDEX($AD$2:$AU$1001,MATCH(ROWS($W$2:W228),$W$2:$W$1001,0),MATCH(COLUMNS($AD$1006:AP1006),$AD$1006:$AU$1006,0)), HYPERLINK("#",""), HYPERLINK(CONCATENATE("#metadata!", ADDRESS(INDEX($Y$2:$Y$1001,MATCH(ROWS($W$2:W228),$W$2:$W$1001,0),0), INDEX($AD$1004:$AU$1004,1,MATCH(COLUMNS($AD$1006:AP1006),$AD$1006:$AU$1006,0)))),"Fix")))</f>
        <v xml:space="preserve"> </v>
      </c>
      <c r="O228" s="4" t="str">
        <f ca="1">IF(OR(INDEX($X$2:$X$1001,MATCH(ROWS($W$2:W228),$W$2:$W$1001,0),1)&gt;=100000,INDEX($AD$1005:$AU$1005,1,MATCH(COLUMNS($AD$1006:AQ1006),$AD$1006:$AU$1006,0))&gt;=100000), " ",IF(INDEX($AD$2:$AU$1001,MATCH(ROWS($W$2:W228),$W$2:$W$1001,0),MATCH(COLUMNS($AD$1006:AQ1006),$AD$1006:$AU$1006,0)), HYPERLINK("#",""), HYPERLINK(CONCATENATE("#metadata!", ADDRESS(INDEX($Y$2:$Y$1001,MATCH(ROWS($W$2:W228),$W$2:$W$1001,0),0), INDEX($AD$1004:$AU$1004,1,MATCH(COLUMNS($AD$1006:AQ1006),$AD$1006:$AU$1006,0)))),"Fix")))</f>
        <v xml:space="preserve"> </v>
      </c>
      <c r="P228" s="4" t="str">
        <f ca="1">IF(OR(INDEX($X$2:$X$1001,MATCH(ROWS($W$2:W228),$W$2:$W$1001,0),1)&gt;=100000,INDEX($AD$1005:$AU$1005,1,MATCH(COLUMNS($AD$1006:AR1006),$AD$1006:$AU$1006,0))&gt;=100000), " ",IF(INDEX($AD$2:$AU$1001,MATCH(ROWS($W$2:W228),$W$2:$W$1001,0),MATCH(COLUMNS($AD$1006:AR1006),$AD$1006:$AU$1006,0)), HYPERLINK("#",""), HYPERLINK(CONCATENATE("#metadata!", ADDRESS(INDEX($Y$2:$Y$1001,MATCH(ROWS($W$2:W228),$W$2:$W$1001,0),0), INDEX($AD$1004:$AU$1004,1,MATCH(COLUMNS($AD$1006:AR1006),$AD$1006:$AU$1006,0)))),"Fix")))</f>
        <v xml:space="preserve"> </v>
      </c>
      <c r="Q228" s="4" t="str">
        <f ca="1">IF(OR(INDEX($X$2:$X$1001,MATCH(ROWS($W$2:W228),$W$2:$W$1001,0),1)&gt;=100000,INDEX($AD$1005:$AU$1005,1,MATCH(COLUMNS($AD$1006:AS1006),$AD$1006:$AU$1006,0))&gt;=100000), " ",IF(INDEX($AD$2:$AU$1001,MATCH(ROWS($W$2:W228),$W$2:$W$1001,0),MATCH(COLUMNS($AD$1006:AS1006),$AD$1006:$AU$1006,0)), HYPERLINK("#",""), HYPERLINK(CONCATENATE("#metadata!", ADDRESS(INDEX($Y$2:$Y$1001,MATCH(ROWS($W$2:W228),$W$2:$W$1001,0),0), INDEX($AD$1004:$AU$1004,1,MATCH(COLUMNS($AD$1006:AS1006),$AD$1006:$AU$1006,0)))),"Fix")))</f>
        <v xml:space="preserve"> </v>
      </c>
      <c r="R228" s="4" t="str">
        <f ca="1">IF(OR(INDEX($X$2:$X$1001,MATCH(ROWS($W$2:W228),$W$2:$W$1001,0),1)&gt;=100000,INDEX($AD$1005:$AU$1005,1,MATCH(COLUMNS($AD$1006:AT1006),$AD$1006:$AU$1006,0))&gt;=100000), " ",IF(INDEX($AD$2:$AU$1001,MATCH(ROWS($W$2:W228),$W$2:$W$1001,0),MATCH(COLUMNS($AD$1006:AT1006),$AD$1006:$AU$1006,0)), HYPERLINK("#",""), HYPERLINK(CONCATENATE("#metadata!", ADDRESS(INDEX($Y$2:$Y$1001,MATCH(ROWS($W$2:W228),$W$2:$W$1001,0),0), INDEX($AD$1004:$AU$1004,1,MATCH(COLUMNS($AD$1006:AT1006),$AD$1006:$AU$1006,0)))),"Fix")))</f>
        <v xml:space="preserve"> </v>
      </c>
      <c r="S228" s="4" t="str">
        <f ca="1">IF(OR(INDEX($X$2:$X$1001,MATCH(ROWS($W$2:W228),$W$2:$W$1001,0),1)&gt;=100000,INDEX($AD$1005:$AU$1005,1,MATCH(COLUMNS($AD$1006:AU1006),$AD$1006:$AU$1006,0))&gt;=100000), " ",IF(INDEX($AD$2:$AU$1001,MATCH(ROWS($W$2:W228),$W$2:$W$1001,0),MATCH(COLUMNS($AD$1006:AU1006),$AD$1006:$AU$1006,0)), HYPERLINK("#",""), HYPERLINK(CONCATENATE("#metadata!", ADDRESS(INDEX($Y$2:$Y$1001,MATCH(ROWS($W$2:W228),$W$2:$W$1001,0),0), INDEX($AD$1004:$AU$1004,1,MATCH(COLUMNS($AD$1006:AU1006),$AD$1006:$AU$1006,0)))),"Fix")))</f>
        <v xml:space="preserve"> </v>
      </c>
      <c r="W228">
        <v>227</v>
      </c>
      <c r="X228">
        <v>100228</v>
      </c>
      <c r="Y228">
        <v>228</v>
      </c>
      <c r="Z228" t="b">
        <f t="shared" si="3"/>
        <v>1</v>
      </c>
      <c r="AA228" t="b">
        <f>COUNTBLANK(metadata!B228:S228)=COLUMNS(metadata!B228:S228)</f>
        <v>1</v>
      </c>
      <c r="AB228" t="str">
        <v/>
      </c>
      <c r="AD228" t="b">
        <f ca="1">AND(IF(metadata!B228="",FALSE,TRUE),COUNTIF(metadata!B:B, metadata!B228) = 1,NOT(ISERROR(SUMPRODUCT(SEARCH(MID(metadata!B228,ROW(INDIRECT("1:"&amp;LEN(metadata!B228))), 1),"0123456789abcdefghijklmnopqrstuvwxyzABCDEFGHIJKLMNOPQRSTUVWXYZ.")))))</f>
        <v>0</v>
      </c>
      <c r="AE228" t="b">
        <f>OR(AND(IF(metadata!C228="",FALSE,TRUE),OR(EXACT(metadata!C228,"not applicable"),EXACT(metadata!C228,"missing: not collected"),EXACT(metadata!C228,"missing: not provided"),EXACT(metadata!C228,"missing: restricted access"))),AND(IF(metadata!C228="",FALSE,ISNUMBER(VALUE(metadata!C228))),metadata!C228&gt;0))</f>
        <v>0</v>
      </c>
      <c r="AF228" t="b">
        <f>AND(IF(metadata!D228="",FALSE,TRUE),EXACT(metadata!D228,"missing: not provided"))</f>
        <v>0</v>
      </c>
      <c r="AG228" t="b">
        <f>AND(IF(metadata!E228="",FALSE,TRUE),EXACT(metadata!E228,"Host-associated"))</f>
        <v>0</v>
      </c>
      <c r="AH228" t="b">
        <f>AND(IF(metadata!F228="",FALSE,TRUE),OR(EXACT(metadata!F228,"Animal"),EXACT(metadata!F228,"Fungus"),EXACT(metadata!F228,"Plant")))</f>
        <v>0</v>
      </c>
      <c r="AI228" t="b">
        <f>AND(IF(metadata!G228="",FALSE,TRUE),OR(EXACT(metadata!G228,"Plant secretion"),EXACT(metadata!G228,"Plant rhizosphere"),EXACT(metadata!G228,"Plant surface"),EXACT(metadata!G228,"Plant corpus"),EXACT(metadata!G228,"Fungus surface"),EXACT(metadata!G228,"Fungus corpus"),EXACT(metadata!G228,"Animal surface"),EXACT(metadata!G228,"Animal proximal gut"),EXACT(metadata!G228,"Animal corpus"),EXACT(metadata!G228,"Animal distal gut"),EXACT(metadata!G228,"Animal secretion")))</f>
        <v>0</v>
      </c>
      <c r="AJ228" t="b">
        <f>OR(AND(IF(metadata!H228="",FALSE,TRUE),OR(EXACT(metadata!H228,"missing: not collected"),EXACT(metadata!H228,"missing: not provided"),EXACT(metadata!H228,"missing: restricted access"))),AND(IF(metadata!H228="",FALSE,TRUE),OR(EXACT(metadata!H228,"organism-associated habitat"),EXACT(metadata!H228,"plant-associated habitat"),EXACT(metadata!H228,"animal-associated habitat"),EXACT(metadata!H228,"insecta-associated habitat"),EXACT(metadata!H228,"mammalia-associated habitat"),EXACT(metadata!H228,"human-associated habitat"),EXACT(metadata!H228,"livestock-associated habitat"))))</f>
        <v>0</v>
      </c>
      <c r="AK228" t="b">
        <f>AND(IF(metadata!I228="",FALSE,TRUE),EXACT(metadata!I228,"host-associated"))</f>
        <v>0</v>
      </c>
      <c r="AL228" t="b">
        <f>OR(AND(IF(metadata!J228="",FALSE,TRUE),OR(EXACT(metadata!J228,"not applicable"),EXACT(metadata!J228,"missing: not collected"),EXACT(metadata!J228,"missing: not provided"),EXACT(metadata!J228,"missing: restricted access"))),AND(IF(metadata!J228="",FALSE,ISNUMBER(VALUE(metadata!J228))),metadata!J228&gt;0))</f>
        <v>0</v>
      </c>
      <c r="AM228" t="b">
        <f>AND(IF(metadata!K228="",FALSE,TRUE),EXACT(metadata!K228,"missing: not provided"))</f>
        <v>0</v>
      </c>
      <c r="AN228" t="b">
        <f>IF(metadata!L228="",FALSE,TRUE)</f>
        <v>0</v>
      </c>
      <c r="AO228" t="b">
        <f>IF(metadata!M228="",FALSE,TRUE)</f>
        <v>0</v>
      </c>
      <c r="AP228" t="b">
        <f>OR(AND(IF(metadata!N228="",FALSE,TRUE),OR(EXACT(metadata!N228,"not applicable"),EXACT(metadata!N228,"missing: not collected"),EXACT(metadata!N228,"missing: not provided"))),AND(IF(metadata!N228="",FALSE,IF(ISERROR(INT(metadata!N228)),FALSE,INT(metadata!N228)=metadata!N228)),metadata!N228&gt;0))</f>
        <v>0</v>
      </c>
      <c r="AQ228" t="b">
        <f>AND(IF(metadata!O228="",FALSE,TRUE),EXACT(metadata!O228,"Not applicable"))</f>
        <v>0</v>
      </c>
      <c r="AR228" t="b">
        <f>OR(AND(IF(metadata!P228="",FALSE,TRUE),OR(EXACT(metadata!P228,"not applicable"),EXACT(metadata!P228,"missing: not collected"),EXACT(metadata!P228,"missing: not provided"),EXACT(metadata!P228,"missing: restricted access"))),IF(metadata!P228="",FALSE,IF(ISERROR(INT(metadata!P228)),FALSE,INT(metadata!P228)=metadata!P228)))</f>
        <v>0</v>
      </c>
      <c r="AS228" t="b">
        <f>AND(IF(metadata!Q228="",FALSE,TRUE),EXACT(metadata!Q228,"Not applicable"))</f>
        <v>0</v>
      </c>
      <c r="AT228" t="b">
        <f>OR(AND(IF(metadata!R228="",FALSE,TRUE),OR(EXACT(metadata!R228,"not applicable"),EXACT(metadata!R228,"missing: not collected"),EXACT(metadata!R228,"missing: not provided"),EXACT(metadata!R228,"missing: restricted access"))),AND(IF(metadata!R228="",FALSE,ISNUMBER(VALUE(metadata!R228))),metadata!R228&gt;0))</f>
        <v>0</v>
      </c>
      <c r="AU228" t="b">
        <f>AND(IF(metadata!S228="",FALSE,TRUE),EXACT(metadata!S228,"missing: not provided"))</f>
        <v>0</v>
      </c>
    </row>
    <row r="229" spans="1:47" x14ac:dyDescent="0.2">
      <c r="A229" s="5" t="str">
        <f ca="1">IF(B229=" "," ",HYPERLINK(CONCATENATE("#metadata!",ADDRESS(INDEX($Y$2:$Y$1001,MATCH(ROWS($W$2:W229),$W$2:$W$1001,0),0),1)),INDEX($AB$2:$AB$1001,MATCH(ROWS($W$2:W229),$W$2:$W$1001,0),0)))</f>
        <v xml:space="preserve"> </v>
      </c>
      <c r="B229" s="4" t="str">
        <f ca="1">IF(OR(INDEX($X$2:$X$1001,MATCH(ROWS($W$2:W229),$W$2:$W$1001,0),1)&gt;=100000,INDEX($AD$1005:$AU$1005,1,MATCH(COLUMNS($AD$1006:AD1006),$AD$1006:$AU$1006,0))&gt;=100000), " ",IF(INDEX($AD$2:$AU$1001,MATCH(ROWS($W$2:W229),$W$2:$W$1001,0),MATCH(COLUMNS($AD$1006:AD1006),$AD$1006:$AU$1006,0)), HYPERLINK("#",""), HYPERLINK(CONCATENATE("#metadata!", ADDRESS(INDEX($Y$2:$Y$1001,MATCH(ROWS($W$2:W229),$W$2:$W$1001,0),0), INDEX($AD$1004:$AU$1004,1,MATCH(COLUMNS($AD$1006:AD1006),$AD$1006:$AU$1006,0)))),"Fix")))</f>
        <v xml:space="preserve"> </v>
      </c>
      <c r="C229" s="4" t="str">
        <f ca="1">IF(OR(INDEX($X$2:$X$1001,MATCH(ROWS($W$2:W229),$W$2:$W$1001,0),1)&gt;=100000,INDEX($AD$1005:$AU$1005,1,MATCH(COLUMNS($AD$1006:AE1006),$AD$1006:$AU$1006,0))&gt;=100000), " ",IF(INDEX($AD$2:$AU$1001,MATCH(ROWS($W$2:W229),$W$2:$W$1001,0),MATCH(COLUMNS($AD$1006:AE1006),$AD$1006:$AU$1006,0)), HYPERLINK("#",""), HYPERLINK(CONCATENATE("#metadata!", ADDRESS(INDEX($Y$2:$Y$1001,MATCH(ROWS($W$2:W229),$W$2:$W$1001,0),0), INDEX($AD$1004:$AU$1004,1,MATCH(COLUMNS($AD$1006:AE1006),$AD$1006:$AU$1006,0)))),"Fix")))</f>
        <v xml:space="preserve"> </v>
      </c>
      <c r="D229" s="4" t="str">
        <f ca="1">IF(OR(INDEX($X$2:$X$1001,MATCH(ROWS($W$2:W229),$W$2:$W$1001,0),1)&gt;=100000,INDEX($AD$1005:$AU$1005,1,MATCH(COLUMNS($AD$1006:AF1006),$AD$1006:$AU$1006,0))&gt;=100000), " ",IF(INDEX($AD$2:$AU$1001,MATCH(ROWS($W$2:W229),$W$2:$W$1001,0),MATCH(COLUMNS($AD$1006:AF1006),$AD$1006:$AU$1006,0)), HYPERLINK("#",""), HYPERLINK(CONCATENATE("#metadata!", ADDRESS(INDEX($Y$2:$Y$1001,MATCH(ROWS($W$2:W229),$W$2:$W$1001,0),0), INDEX($AD$1004:$AU$1004,1,MATCH(COLUMNS($AD$1006:AF1006),$AD$1006:$AU$1006,0)))),"Fix")))</f>
        <v xml:space="preserve"> </v>
      </c>
      <c r="E229" s="4" t="str">
        <f ca="1">IF(OR(INDEX($X$2:$X$1001,MATCH(ROWS($W$2:W229),$W$2:$W$1001,0),1)&gt;=100000,INDEX($AD$1005:$AU$1005,1,MATCH(COLUMNS($AD$1006:AG1006),$AD$1006:$AU$1006,0))&gt;=100000), " ",IF(INDEX($AD$2:$AU$1001,MATCH(ROWS($W$2:W229),$W$2:$W$1001,0),MATCH(COLUMNS($AD$1006:AG1006),$AD$1006:$AU$1006,0)), HYPERLINK("#",""), HYPERLINK(CONCATENATE("#metadata!", ADDRESS(INDEX($Y$2:$Y$1001,MATCH(ROWS($W$2:W229),$W$2:$W$1001,0),0), INDEX($AD$1004:$AU$1004,1,MATCH(COLUMNS($AD$1006:AG1006),$AD$1006:$AU$1006,0)))),"Fix")))</f>
        <v xml:space="preserve"> </v>
      </c>
      <c r="F229" s="4" t="str">
        <f ca="1">IF(OR(INDEX($X$2:$X$1001,MATCH(ROWS($W$2:W229),$W$2:$W$1001,0),1)&gt;=100000,INDEX($AD$1005:$AU$1005,1,MATCH(COLUMNS($AD$1006:AH1006),$AD$1006:$AU$1006,0))&gt;=100000), " ",IF(INDEX($AD$2:$AU$1001,MATCH(ROWS($W$2:W229),$W$2:$W$1001,0),MATCH(COLUMNS($AD$1006:AH1006),$AD$1006:$AU$1006,0)), HYPERLINK("#",""), HYPERLINK(CONCATENATE("#metadata!", ADDRESS(INDEX($Y$2:$Y$1001,MATCH(ROWS($W$2:W229),$W$2:$W$1001,0),0), INDEX($AD$1004:$AU$1004,1,MATCH(COLUMNS($AD$1006:AH1006),$AD$1006:$AU$1006,0)))),"Fix")))</f>
        <v xml:space="preserve"> </v>
      </c>
      <c r="G229" s="4" t="str">
        <f ca="1">IF(OR(INDEX($X$2:$X$1001,MATCH(ROWS($W$2:W229),$W$2:$W$1001,0),1)&gt;=100000,INDEX($AD$1005:$AU$1005,1,MATCH(COLUMNS($AD$1006:AI1006),$AD$1006:$AU$1006,0))&gt;=100000), " ",IF(INDEX($AD$2:$AU$1001,MATCH(ROWS($W$2:W229),$W$2:$W$1001,0),MATCH(COLUMNS($AD$1006:AI1006),$AD$1006:$AU$1006,0)), HYPERLINK("#",""), HYPERLINK(CONCATENATE("#metadata!", ADDRESS(INDEX($Y$2:$Y$1001,MATCH(ROWS($W$2:W229),$W$2:$W$1001,0),0), INDEX($AD$1004:$AU$1004,1,MATCH(COLUMNS($AD$1006:AI1006),$AD$1006:$AU$1006,0)))),"Fix")))</f>
        <v xml:space="preserve"> </v>
      </c>
      <c r="H229" s="4" t="str">
        <f ca="1">IF(OR(INDEX($X$2:$X$1001,MATCH(ROWS($W$2:W229),$W$2:$W$1001,0),1)&gt;=100000,INDEX($AD$1005:$AU$1005,1,MATCH(COLUMNS($AD$1006:AJ1006),$AD$1006:$AU$1006,0))&gt;=100000), " ",IF(INDEX($AD$2:$AU$1001,MATCH(ROWS($W$2:W229),$W$2:$W$1001,0),MATCH(COLUMNS($AD$1006:AJ1006),$AD$1006:$AU$1006,0)), HYPERLINK("#",""), HYPERLINK(CONCATENATE("#metadata!", ADDRESS(INDEX($Y$2:$Y$1001,MATCH(ROWS($W$2:W229),$W$2:$W$1001,0),0), INDEX($AD$1004:$AU$1004,1,MATCH(COLUMNS($AD$1006:AJ1006),$AD$1006:$AU$1006,0)))),"Fix")))</f>
        <v xml:space="preserve"> </v>
      </c>
      <c r="I229" s="4" t="str">
        <f ca="1">IF(OR(INDEX($X$2:$X$1001,MATCH(ROWS($W$2:W229),$W$2:$W$1001,0),1)&gt;=100000,INDEX($AD$1005:$AU$1005,1,MATCH(COLUMNS($AD$1006:AK1006),$AD$1006:$AU$1006,0))&gt;=100000), " ",IF(INDEX($AD$2:$AU$1001,MATCH(ROWS($W$2:W229),$W$2:$W$1001,0),MATCH(COLUMNS($AD$1006:AK1006),$AD$1006:$AU$1006,0)), HYPERLINK("#",""), HYPERLINK(CONCATENATE("#metadata!", ADDRESS(INDEX($Y$2:$Y$1001,MATCH(ROWS($W$2:W229),$W$2:$W$1001,0),0), INDEX($AD$1004:$AU$1004,1,MATCH(COLUMNS($AD$1006:AK1006),$AD$1006:$AU$1006,0)))),"Fix")))</f>
        <v xml:space="preserve"> </v>
      </c>
      <c r="J229" s="4" t="str">
        <f ca="1">IF(OR(INDEX($X$2:$X$1001,MATCH(ROWS($W$2:W229),$W$2:$W$1001,0),1)&gt;=100000,INDEX($AD$1005:$AU$1005,1,MATCH(COLUMNS($AD$1006:AL1006),$AD$1006:$AU$1006,0))&gt;=100000), " ",IF(INDEX($AD$2:$AU$1001,MATCH(ROWS($W$2:W229),$W$2:$W$1001,0),MATCH(COLUMNS($AD$1006:AL1006),$AD$1006:$AU$1006,0)), HYPERLINK("#",""), HYPERLINK(CONCATENATE("#metadata!", ADDRESS(INDEX($Y$2:$Y$1001,MATCH(ROWS($W$2:W229),$W$2:$W$1001,0),0), INDEX($AD$1004:$AU$1004,1,MATCH(COLUMNS($AD$1006:AL1006),$AD$1006:$AU$1006,0)))),"Fix")))</f>
        <v xml:space="preserve"> </v>
      </c>
      <c r="K229" s="4" t="str">
        <f ca="1">IF(OR(INDEX($X$2:$X$1001,MATCH(ROWS($W$2:W229),$W$2:$W$1001,0),1)&gt;=100000,INDEX($AD$1005:$AU$1005,1,MATCH(COLUMNS($AD$1006:AM1006),$AD$1006:$AU$1006,0))&gt;=100000), " ",IF(INDEX($AD$2:$AU$1001,MATCH(ROWS($W$2:W229),$W$2:$W$1001,0),MATCH(COLUMNS($AD$1006:AM1006),$AD$1006:$AU$1006,0)), HYPERLINK("#",""), HYPERLINK(CONCATENATE("#metadata!", ADDRESS(INDEX($Y$2:$Y$1001,MATCH(ROWS($W$2:W229),$W$2:$W$1001,0),0), INDEX($AD$1004:$AU$1004,1,MATCH(COLUMNS($AD$1006:AM1006),$AD$1006:$AU$1006,0)))),"Fix")))</f>
        <v xml:space="preserve"> </v>
      </c>
      <c r="L229" s="4" t="str">
        <f ca="1">IF(OR(INDEX($X$2:$X$1001,MATCH(ROWS($W$2:W229),$W$2:$W$1001,0),1)&gt;=100000,INDEX($AD$1005:$AU$1005,1,MATCH(COLUMNS($AD$1006:AN1006),$AD$1006:$AU$1006,0))&gt;=100000), " ",IF(INDEX($AD$2:$AU$1001,MATCH(ROWS($W$2:W229),$W$2:$W$1001,0),MATCH(COLUMNS($AD$1006:AN1006),$AD$1006:$AU$1006,0)), HYPERLINK("#",""), HYPERLINK(CONCATENATE("#metadata!", ADDRESS(INDEX($Y$2:$Y$1001,MATCH(ROWS($W$2:W229),$W$2:$W$1001,0),0), INDEX($AD$1004:$AU$1004,1,MATCH(COLUMNS($AD$1006:AN1006),$AD$1006:$AU$1006,0)))),"Fix")))</f>
        <v xml:space="preserve"> </v>
      </c>
      <c r="M229" s="4" t="str">
        <f ca="1">IF(OR(INDEX($X$2:$X$1001,MATCH(ROWS($W$2:W229),$W$2:$W$1001,0),1)&gt;=100000,INDEX($AD$1005:$AU$1005,1,MATCH(COLUMNS($AD$1006:AO1006),$AD$1006:$AU$1006,0))&gt;=100000), " ",IF(INDEX($AD$2:$AU$1001,MATCH(ROWS($W$2:W229),$W$2:$W$1001,0),MATCH(COLUMNS($AD$1006:AO1006),$AD$1006:$AU$1006,0)), HYPERLINK("#",""), HYPERLINK(CONCATENATE("#metadata!", ADDRESS(INDEX($Y$2:$Y$1001,MATCH(ROWS($W$2:W229),$W$2:$W$1001,0),0), INDEX($AD$1004:$AU$1004,1,MATCH(COLUMNS($AD$1006:AO1006),$AD$1006:$AU$1006,0)))),"Fix")))</f>
        <v xml:space="preserve"> </v>
      </c>
      <c r="N229" s="4" t="str">
        <f ca="1">IF(OR(INDEX($X$2:$X$1001,MATCH(ROWS($W$2:W229),$W$2:$W$1001,0),1)&gt;=100000,INDEX($AD$1005:$AU$1005,1,MATCH(COLUMNS($AD$1006:AP1006),$AD$1006:$AU$1006,0))&gt;=100000), " ",IF(INDEX($AD$2:$AU$1001,MATCH(ROWS($W$2:W229),$W$2:$W$1001,0),MATCH(COLUMNS($AD$1006:AP1006),$AD$1006:$AU$1006,0)), HYPERLINK("#",""), HYPERLINK(CONCATENATE("#metadata!", ADDRESS(INDEX($Y$2:$Y$1001,MATCH(ROWS($W$2:W229),$W$2:$W$1001,0),0), INDEX($AD$1004:$AU$1004,1,MATCH(COLUMNS($AD$1006:AP1006),$AD$1006:$AU$1006,0)))),"Fix")))</f>
        <v xml:space="preserve"> </v>
      </c>
      <c r="O229" s="4" t="str">
        <f ca="1">IF(OR(INDEX($X$2:$X$1001,MATCH(ROWS($W$2:W229),$W$2:$W$1001,0),1)&gt;=100000,INDEX($AD$1005:$AU$1005,1,MATCH(COLUMNS($AD$1006:AQ1006),$AD$1006:$AU$1006,0))&gt;=100000), " ",IF(INDEX($AD$2:$AU$1001,MATCH(ROWS($W$2:W229),$W$2:$W$1001,0),MATCH(COLUMNS($AD$1006:AQ1006),$AD$1006:$AU$1006,0)), HYPERLINK("#",""), HYPERLINK(CONCATENATE("#metadata!", ADDRESS(INDEX($Y$2:$Y$1001,MATCH(ROWS($W$2:W229),$W$2:$W$1001,0),0), INDEX($AD$1004:$AU$1004,1,MATCH(COLUMNS($AD$1006:AQ1006),$AD$1006:$AU$1006,0)))),"Fix")))</f>
        <v xml:space="preserve"> </v>
      </c>
      <c r="P229" s="4" t="str">
        <f ca="1">IF(OR(INDEX($X$2:$X$1001,MATCH(ROWS($W$2:W229),$W$2:$W$1001,0),1)&gt;=100000,INDEX($AD$1005:$AU$1005,1,MATCH(COLUMNS($AD$1006:AR1006),$AD$1006:$AU$1006,0))&gt;=100000), " ",IF(INDEX($AD$2:$AU$1001,MATCH(ROWS($W$2:W229),$W$2:$W$1001,0),MATCH(COLUMNS($AD$1006:AR1006),$AD$1006:$AU$1006,0)), HYPERLINK("#",""), HYPERLINK(CONCATENATE("#metadata!", ADDRESS(INDEX($Y$2:$Y$1001,MATCH(ROWS($W$2:W229),$W$2:$W$1001,0),0), INDEX($AD$1004:$AU$1004,1,MATCH(COLUMNS($AD$1006:AR1006),$AD$1006:$AU$1006,0)))),"Fix")))</f>
        <v xml:space="preserve"> </v>
      </c>
      <c r="Q229" s="4" t="str">
        <f ca="1">IF(OR(INDEX($X$2:$X$1001,MATCH(ROWS($W$2:W229),$W$2:$W$1001,0),1)&gt;=100000,INDEX($AD$1005:$AU$1005,1,MATCH(COLUMNS($AD$1006:AS1006),$AD$1006:$AU$1006,0))&gt;=100000), " ",IF(INDEX($AD$2:$AU$1001,MATCH(ROWS($W$2:W229),$W$2:$W$1001,0),MATCH(COLUMNS($AD$1006:AS1006),$AD$1006:$AU$1006,0)), HYPERLINK("#",""), HYPERLINK(CONCATENATE("#metadata!", ADDRESS(INDEX($Y$2:$Y$1001,MATCH(ROWS($W$2:W229),$W$2:$W$1001,0),0), INDEX($AD$1004:$AU$1004,1,MATCH(COLUMNS($AD$1006:AS1006),$AD$1006:$AU$1006,0)))),"Fix")))</f>
        <v xml:space="preserve"> </v>
      </c>
      <c r="R229" s="4" t="str">
        <f ca="1">IF(OR(INDEX($X$2:$X$1001,MATCH(ROWS($W$2:W229),$W$2:$W$1001,0),1)&gt;=100000,INDEX($AD$1005:$AU$1005,1,MATCH(COLUMNS($AD$1006:AT1006),$AD$1006:$AU$1006,0))&gt;=100000), " ",IF(INDEX($AD$2:$AU$1001,MATCH(ROWS($W$2:W229),$W$2:$W$1001,0),MATCH(COLUMNS($AD$1006:AT1006),$AD$1006:$AU$1006,0)), HYPERLINK("#",""), HYPERLINK(CONCATENATE("#metadata!", ADDRESS(INDEX($Y$2:$Y$1001,MATCH(ROWS($W$2:W229),$W$2:$W$1001,0),0), INDEX($AD$1004:$AU$1004,1,MATCH(COLUMNS($AD$1006:AT1006),$AD$1006:$AU$1006,0)))),"Fix")))</f>
        <v xml:space="preserve"> </v>
      </c>
      <c r="S229" s="4" t="str">
        <f ca="1">IF(OR(INDEX($X$2:$X$1001,MATCH(ROWS($W$2:W229),$W$2:$W$1001,0),1)&gt;=100000,INDEX($AD$1005:$AU$1005,1,MATCH(COLUMNS($AD$1006:AU1006),$AD$1006:$AU$1006,0))&gt;=100000), " ",IF(INDEX($AD$2:$AU$1001,MATCH(ROWS($W$2:W229),$W$2:$W$1001,0),MATCH(COLUMNS($AD$1006:AU1006),$AD$1006:$AU$1006,0)), HYPERLINK("#",""), HYPERLINK(CONCATENATE("#metadata!", ADDRESS(INDEX($Y$2:$Y$1001,MATCH(ROWS($W$2:W229),$W$2:$W$1001,0),0), INDEX($AD$1004:$AU$1004,1,MATCH(COLUMNS($AD$1006:AU1006),$AD$1006:$AU$1006,0)))),"Fix")))</f>
        <v xml:space="preserve"> </v>
      </c>
      <c r="W229">
        <v>228</v>
      </c>
      <c r="X229">
        <v>100229</v>
      </c>
      <c r="Y229">
        <v>229</v>
      </c>
      <c r="Z229" t="b">
        <f t="shared" si="3"/>
        <v>1</v>
      </c>
      <c r="AA229" t="b">
        <f>COUNTBLANK(metadata!B229:S229)=COLUMNS(metadata!B229:S229)</f>
        <v>1</v>
      </c>
      <c r="AB229" t="str">
        <v/>
      </c>
      <c r="AD229" t="b">
        <f ca="1">AND(IF(metadata!B229="",FALSE,TRUE),COUNTIF(metadata!B:B, metadata!B229) = 1,NOT(ISERROR(SUMPRODUCT(SEARCH(MID(metadata!B229,ROW(INDIRECT("1:"&amp;LEN(metadata!B229))), 1),"0123456789abcdefghijklmnopqrstuvwxyzABCDEFGHIJKLMNOPQRSTUVWXYZ.")))))</f>
        <v>0</v>
      </c>
      <c r="AE229" t="b">
        <f>OR(AND(IF(metadata!C229="",FALSE,TRUE),OR(EXACT(metadata!C229,"not applicable"),EXACT(metadata!C229,"missing: not collected"),EXACT(metadata!C229,"missing: not provided"),EXACT(metadata!C229,"missing: restricted access"))),AND(IF(metadata!C229="",FALSE,ISNUMBER(VALUE(metadata!C229))),metadata!C229&gt;0))</f>
        <v>0</v>
      </c>
      <c r="AF229" t="b">
        <f>AND(IF(metadata!D229="",FALSE,TRUE),EXACT(metadata!D229,"missing: not provided"))</f>
        <v>0</v>
      </c>
      <c r="AG229" t="b">
        <f>AND(IF(metadata!E229="",FALSE,TRUE),EXACT(metadata!E229,"Host-associated"))</f>
        <v>0</v>
      </c>
      <c r="AH229" t="b">
        <f>AND(IF(metadata!F229="",FALSE,TRUE),OR(EXACT(metadata!F229,"Animal"),EXACT(metadata!F229,"Fungus"),EXACT(metadata!F229,"Plant")))</f>
        <v>0</v>
      </c>
      <c r="AI229" t="b">
        <f>AND(IF(metadata!G229="",FALSE,TRUE),OR(EXACT(metadata!G229,"Plant secretion"),EXACT(metadata!G229,"Plant rhizosphere"),EXACT(metadata!G229,"Plant surface"),EXACT(metadata!G229,"Plant corpus"),EXACT(metadata!G229,"Fungus surface"),EXACT(metadata!G229,"Fungus corpus"),EXACT(metadata!G229,"Animal surface"),EXACT(metadata!G229,"Animal proximal gut"),EXACT(metadata!G229,"Animal corpus"),EXACT(metadata!G229,"Animal distal gut"),EXACT(metadata!G229,"Animal secretion")))</f>
        <v>0</v>
      </c>
      <c r="AJ229" t="b">
        <f>OR(AND(IF(metadata!H229="",FALSE,TRUE),OR(EXACT(metadata!H229,"missing: not collected"),EXACT(metadata!H229,"missing: not provided"),EXACT(metadata!H229,"missing: restricted access"))),AND(IF(metadata!H229="",FALSE,TRUE),OR(EXACT(metadata!H229,"organism-associated habitat"),EXACT(metadata!H229,"plant-associated habitat"),EXACT(metadata!H229,"animal-associated habitat"),EXACT(metadata!H229,"insecta-associated habitat"),EXACT(metadata!H229,"mammalia-associated habitat"),EXACT(metadata!H229,"human-associated habitat"),EXACT(metadata!H229,"livestock-associated habitat"))))</f>
        <v>0</v>
      </c>
      <c r="AK229" t="b">
        <f>AND(IF(metadata!I229="",FALSE,TRUE),EXACT(metadata!I229,"host-associated"))</f>
        <v>0</v>
      </c>
      <c r="AL229" t="b">
        <f>OR(AND(IF(metadata!J229="",FALSE,TRUE),OR(EXACT(metadata!J229,"not applicable"),EXACT(metadata!J229,"missing: not collected"),EXACT(metadata!J229,"missing: not provided"),EXACT(metadata!J229,"missing: restricted access"))),AND(IF(metadata!J229="",FALSE,ISNUMBER(VALUE(metadata!J229))),metadata!J229&gt;0))</f>
        <v>0</v>
      </c>
      <c r="AM229" t="b">
        <f>AND(IF(metadata!K229="",FALSE,TRUE),EXACT(metadata!K229,"missing: not provided"))</f>
        <v>0</v>
      </c>
      <c r="AN229" t="b">
        <f>IF(metadata!L229="",FALSE,TRUE)</f>
        <v>0</v>
      </c>
      <c r="AO229" t="b">
        <f>IF(metadata!M229="",FALSE,TRUE)</f>
        <v>0</v>
      </c>
      <c r="AP229" t="b">
        <f>OR(AND(IF(metadata!N229="",FALSE,TRUE),OR(EXACT(metadata!N229,"not applicable"),EXACT(metadata!N229,"missing: not collected"),EXACT(metadata!N229,"missing: not provided"))),AND(IF(metadata!N229="",FALSE,IF(ISERROR(INT(metadata!N229)),FALSE,INT(metadata!N229)=metadata!N229)),metadata!N229&gt;0))</f>
        <v>0</v>
      </c>
      <c r="AQ229" t="b">
        <f>AND(IF(metadata!O229="",FALSE,TRUE),EXACT(metadata!O229,"Not applicable"))</f>
        <v>0</v>
      </c>
      <c r="AR229" t="b">
        <f>OR(AND(IF(metadata!P229="",FALSE,TRUE),OR(EXACT(metadata!P229,"not applicable"),EXACT(metadata!P229,"missing: not collected"),EXACT(metadata!P229,"missing: not provided"),EXACT(metadata!P229,"missing: restricted access"))),IF(metadata!P229="",FALSE,IF(ISERROR(INT(metadata!P229)),FALSE,INT(metadata!P229)=metadata!P229)))</f>
        <v>0</v>
      </c>
      <c r="AS229" t="b">
        <f>AND(IF(metadata!Q229="",FALSE,TRUE),EXACT(metadata!Q229,"Not applicable"))</f>
        <v>0</v>
      </c>
      <c r="AT229" t="b">
        <f>OR(AND(IF(metadata!R229="",FALSE,TRUE),OR(EXACT(metadata!R229,"not applicable"),EXACT(metadata!R229,"missing: not collected"),EXACT(metadata!R229,"missing: not provided"),EXACT(metadata!R229,"missing: restricted access"))),AND(IF(metadata!R229="",FALSE,ISNUMBER(VALUE(metadata!R229))),metadata!R229&gt;0))</f>
        <v>0</v>
      </c>
      <c r="AU229" t="b">
        <f>AND(IF(metadata!S229="",FALSE,TRUE),EXACT(metadata!S229,"missing: not provided"))</f>
        <v>0</v>
      </c>
    </row>
    <row r="230" spans="1:47" x14ac:dyDescent="0.2">
      <c r="A230" s="5" t="str">
        <f ca="1">IF(B230=" "," ",HYPERLINK(CONCATENATE("#metadata!",ADDRESS(INDEX($Y$2:$Y$1001,MATCH(ROWS($W$2:W230),$W$2:$W$1001,0),0),1)),INDEX($AB$2:$AB$1001,MATCH(ROWS($W$2:W230),$W$2:$W$1001,0),0)))</f>
        <v xml:space="preserve"> </v>
      </c>
      <c r="B230" s="4" t="str">
        <f ca="1">IF(OR(INDEX($X$2:$X$1001,MATCH(ROWS($W$2:W230),$W$2:$W$1001,0),1)&gt;=100000,INDEX($AD$1005:$AU$1005,1,MATCH(COLUMNS($AD$1006:AD1006),$AD$1006:$AU$1006,0))&gt;=100000), " ",IF(INDEX($AD$2:$AU$1001,MATCH(ROWS($W$2:W230),$W$2:$W$1001,0),MATCH(COLUMNS($AD$1006:AD1006),$AD$1006:$AU$1006,0)), HYPERLINK("#",""), HYPERLINK(CONCATENATE("#metadata!", ADDRESS(INDEX($Y$2:$Y$1001,MATCH(ROWS($W$2:W230),$W$2:$W$1001,0),0), INDEX($AD$1004:$AU$1004,1,MATCH(COLUMNS($AD$1006:AD1006),$AD$1006:$AU$1006,0)))),"Fix")))</f>
        <v xml:space="preserve"> </v>
      </c>
      <c r="C230" s="4" t="str">
        <f ca="1">IF(OR(INDEX($X$2:$X$1001,MATCH(ROWS($W$2:W230),$W$2:$W$1001,0),1)&gt;=100000,INDEX($AD$1005:$AU$1005,1,MATCH(COLUMNS($AD$1006:AE1006),$AD$1006:$AU$1006,0))&gt;=100000), " ",IF(INDEX($AD$2:$AU$1001,MATCH(ROWS($W$2:W230),$W$2:$W$1001,0),MATCH(COLUMNS($AD$1006:AE1006),$AD$1006:$AU$1006,0)), HYPERLINK("#",""), HYPERLINK(CONCATENATE("#metadata!", ADDRESS(INDEX($Y$2:$Y$1001,MATCH(ROWS($W$2:W230),$W$2:$W$1001,0),0), INDEX($AD$1004:$AU$1004,1,MATCH(COLUMNS($AD$1006:AE1006),$AD$1006:$AU$1006,0)))),"Fix")))</f>
        <v xml:space="preserve"> </v>
      </c>
      <c r="D230" s="4" t="str">
        <f ca="1">IF(OR(INDEX($X$2:$X$1001,MATCH(ROWS($W$2:W230),$W$2:$W$1001,0),1)&gt;=100000,INDEX($AD$1005:$AU$1005,1,MATCH(COLUMNS($AD$1006:AF1006),$AD$1006:$AU$1006,0))&gt;=100000), " ",IF(INDEX($AD$2:$AU$1001,MATCH(ROWS($W$2:W230),$W$2:$W$1001,0),MATCH(COLUMNS($AD$1006:AF1006),$AD$1006:$AU$1006,0)), HYPERLINK("#",""), HYPERLINK(CONCATENATE("#metadata!", ADDRESS(INDEX($Y$2:$Y$1001,MATCH(ROWS($W$2:W230),$W$2:$W$1001,0),0), INDEX($AD$1004:$AU$1004,1,MATCH(COLUMNS($AD$1006:AF1006),$AD$1006:$AU$1006,0)))),"Fix")))</f>
        <v xml:space="preserve"> </v>
      </c>
      <c r="E230" s="4" t="str">
        <f ca="1">IF(OR(INDEX($X$2:$X$1001,MATCH(ROWS($W$2:W230),$W$2:$W$1001,0),1)&gt;=100000,INDEX($AD$1005:$AU$1005,1,MATCH(COLUMNS($AD$1006:AG1006),$AD$1006:$AU$1006,0))&gt;=100000), " ",IF(INDEX($AD$2:$AU$1001,MATCH(ROWS($W$2:W230),$W$2:$W$1001,0),MATCH(COLUMNS($AD$1006:AG1006),$AD$1006:$AU$1006,0)), HYPERLINK("#",""), HYPERLINK(CONCATENATE("#metadata!", ADDRESS(INDEX($Y$2:$Y$1001,MATCH(ROWS($W$2:W230),$W$2:$W$1001,0),0), INDEX($AD$1004:$AU$1004,1,MATCH(COLUMNS($AD$1006:AG1006),$AD$1006:$AU$1006,0)))),"Fix")))</f>
        <v xml:space="preserve"> </v>
      </c>
      <c r="F230" s="4" t="str">
        <f ca="1">IF(OR(INDEX($X$2:$X$1001,MATCH(ROWS($W$2:W230),$W$2:$W$1001,0),1)&gt;=100000,INDEX($AD$1005:$AU$1005,1,MATCH(COLUMNS($AD$1006:AH1006),$AD$1006:$AU$1006,0))&gt;=100000), " ",IF(INDEX($AD$2:$AU$1001,MATCH(ROWS($W$2:W230),$W$2:$W$1001,0),MATCH(COLUMNS($AD$1006:AH1006),$AD$1006:$AU$1006,0)), HYPERLINK("#",""), HYPERLINK(CONCATENATE("#metadata!", ADDRESS(INDEX($Y$2:$Y$1001,MATCH(ROWS($W$2:W230),$W$2:$W$1001,0),0), INDEX($AD$1004:$AU$1004,1,MATCH(COLUMNS($AD$1006:AH1006),$AD$1006:$AU$1006,0)))),"Fix")))</f>
        <v xml:space="preserve"> </v>
      </c>
      <c r="G230" s="4" t="str">
        <f ca="1">IF(OR(INDEX($X$2:$X$1001,MATCH(ROWS($W$2:W230),$W$2:$W$1001,0),1)&gt;=100000,INDEX($AD$1005:$AU$1005,1,MATCH(COLUMNS($AD$1006:AI1006),$AD$1006:$AU$1006,0))&gt;=100000), " ",IF(INDEX($AD$2:$AU$1001,MATCH(ROWS($W$2:W230),$W$2:$W$1001,0),MATCH(COLUMNS($AD$1006:AI1006),$AD$1006:$AU$1006,0)), HYPERLINK("#",""), HYPERLINK(CONCATENATE("#metadata!", ADDRESS(INDEX($Y$2:$Y$1001,MATCH(ROWS($W$2:W230),$W$2:$W$1001,0),0), INDEX($AD$1004:$AU$1004,1,MATCH(COLUMNS($AD$1006:AI1006),$AD$1006:$AU$1006,0)))),"Fix")))</f>
        <v xml:space="preserve"> </v>
      </c>
      <c r="H230" s="4" t="str">
        <f ca="1">IF(OR(INDEX($X$2:$X$1001,MATCH(ROWS($W$2:W230),$W$2:$W$1001,0),1)&gt;=100000,INDEX($AD$1005:$AU$1005,1,MATCH(COLUMNS($AD$1006:AJ1006),$AD$1006:$AU$1006,0))&gt;=100000), " ",IF(INDEX($AD$2:$AU$1001,MATCH(ROWS($W$2:W230),$W$2:$W$1001,0),MATCH(COLUMNS($AD$1006:AJ1006),$AD$1006:$AU$1006,0)), HYPERLINK("#",""), HYPERLINK(CONCATENATE("#metadata!", ADDRESS(INDEX($Y$2:$Y$1001,MATCH(ROWS($W$2:W230),$W$2:$W$1001,0),0), INDEX($AD$1004:$AU$1004,1,MATCH(COLUMNS($AD$1006:AJ1006),$AD$1006:$AU$1006,0)))),"Fix")))</f>
        <v xml:space="preserve"> </v>
      </c>
      <c r="I230" s="4" t="str">
        <f ca="1">IF(OR(INDEX($X$2:$X$1001,MATCH(ROWS($W$2:W230),$W$2:$W$1001,0),1)&gt;=100000,INDEX($AD$1005:$AU$1005,1,MATCH(COLUMNS($AD$1006:AK1006),$AD$1006:$AU$1006,0))&gt;=100000), " ",IF(INDEX($AD$2:$AU$1001,MATCH(ROWS($W$2:W230),$W$2:$W$1001,0),MATCH(COLUMNS($AD$1006:AK1006),$AD$1006:$AU$1006,0)), HYPERLINK("#",""), HYPERLINK(CONCATENATE("#metadata!", ADDRESS(INDEX($Y$2:$Y$1001,MATCH(ROWS($W$2:W230),$W$2:$W$1001,0),0), INDEX($AD$1004:$AU$1004,1,MATCH(COLUMNS($AD$1006:AK1006),$AD$1006:$AU$1006,0)))),"Fix")))</f>
        <v xml:space="preserve"> </v>
      </c>
      <c r="J230" s="4" t="str">
        <f ca="1">IF(OR(INDEX($X$2:$X$1001,MATCH(ROWS($W$2:W230),$W$2:$W$1001,0),1)&gt;=100000,INDEX($AD$1005:$AU$1005,1,MATCH(COLUMNS($AD$1006:AL1006),$AD$1006:$AU$1006,0))&gt;=100000), " ",IF(INDEX($AD$2:$AU$1001,MATCH(ROWS($W$2:W230),$W$2:$W$1001,0),MATCH(COLUMNS($AD$1006:AL1006),$AD$1006:$AU$1006,0)), HYPERLINK("#",""), HYPERLINK(CONCATENATE("#metadata!", ADDRESS(INDEX($Y$2:$Y$1001,MATCH(ROWS($W$2:W230),$W$2:$W$1001,0),0), INDEX($AD$1004:$AU$1004,1,MATCH(COLUMNS($AD$1006:AL1006),$AD$1006:$AU$1006,0)))),"Fix")))</f>
        <v xml:space="preserve"> </v>
      </c>
      <c r="K230" s="4" t="str">
        <f ca="1">IF(OR(INDEX($X$2:$X$1001,MATCH(ROWS($W$2:W230),$W$2:$W$1001,0),1)&gt;=100000,INDEX($AD$1005:$AU$1005,1,MATCH(COLUMNS($AD$1006:AM1006),$AD$1006:$AU$1006,0))&gt;=100000), " ",IF(INDEX($AD$2:$AU$1001,MATCH(ROWS($W$2:W230),$W$2:$W$1001,0),MATCH(COLUMNS($AD$1006:AM1006),$AD$1006:$AU$1006,0)), HYPERLINK("#",""), HYPERLINK(CONCATENATE("#metadata!", ADDRESS(INDEX($Y$2:$Y$1001,MATCH(ROWS($W$2:W230),$W$2:$W$1001,0),0), INDEX($AD$1004:$AU$1004,1,MATCH(COLUMNS($AD$1006:AM1006),$AD$1006:$AU$1006,0)))),"Fix")))</f>
        <v xml:space="preserve"> </v>
      </c>
      <c r="L230" s="4" t="str">
        <f ca="1">IF(OR(INDEX($X$2:$X$1001,MATCH(ROWS($W$2:W230),$W$2:$W$1001,0),1)&gt;=100000,INDEX($AD$1005:$AU$1005,1,MATCH(COLUMNS($AD$1006:AN1006),$AD$1006:$AU$1006,0))&gt;=100000), " ",IF(INDEX($AD$2:$AU$1001,MATCH(ROWS($W$2:W230),$W$2:$W$1001,0),MATCH(COLUMNS($AD$1006:AN1006),$AD$1006:$AU$1006,0)), HYPERLINK("#",""), HYPERLINK(CONCATENATE("#metadata!", ADDRESS(INDEX($Y$2:$Y$1001,MATCH(ROWS($W$2:W230),$W$2:$W$1001,0),0), INDEX($AD$1004:$AU$1004,1,MATCH(COLUMNS($AD$1006:AN1006),$AD$1006:$AU$1006,0)))),"Fix")))</f>
        <v xml:space="preserve"> </v>
      </c>
      <c r="M230" s="4" t="str">
        <f ca="1">IF(OR(INDEX($X$2:$X$1001,MATCH(ROWS($W$2:W230),$W$2:$W$1001,0),1)&gt;=100000,INDEX($AD$1005:$AU$1005,1,MATCH(COLUMNS($AD$1006:AO1006),$AD$1006:$AU$1006,0))&gt;=100000), " ",IF(INDEX($AD$2:$AU$1001,MATCH(ROWS($W$2:W230),$W$2:$W$1001,0),MATCH(COLUMNS($AD$1006:AO1006),$AD$1006:$AU$1006,0)), HYPERLINK("#",""), HYPERLINK(CONCATENATE("#metadata!", ADDRESS(INDEX($Y$2:$Y$1001,MATCH(ROWS($W$2:W230),$W$2:$W$1001,0),0), INDEX($AD$1004:$AU$1004,1,MATCH(COLUMNS($AD$1006:AO1006),$AD$1006:$AU$1006,0)))),"Fix")))</f>
        <v xml:space="preserve"> </v>
      </c>
      <c r="N230" s="4" t="str">
        <f ca="1">IF(OR(INDEX($X$2:$X$1001,MATCH(ROWS($W$2:W230),$W$2:$W$1001,0),1)&gt;=100000,INDEX($AD$1005:$AU$1005,1,MATCH(COLUMNS($AD$1006:AP1006),$AD$1006:$AU$1006,0))&gt;=100000), " ",IF(INDEX($AD$2:$AU$1001,MATCH(ROWS($W$2:W230),$W$2:$W$1001,0),MATCH(COLUMNS($AD$1006:AP1006),$AD$1006:$AU$1006,0)), HYPERLINK("#",""), HYPERLINK(CONCATENATE("#metadata!", ADDRESS(INDEX($Y$2:$Y$1001,MATCH(ROWS($W$2:W230),$W$2:$W$1001,0),0), INDEX($AD$1004:$AU$1004,1,MATCH(COLUMNS($AD$1006:AP1006),$AD$1006:$AU$1006,0)))),"Fix")))</f>
        <v xml:space="preserve"> </v>
      </c>
      <c r="O230" s="4" t="str">
        <f ca="1">IF(OR(INDEX($X$2:$X$1001,MATCH(ROWS($W$2:W230),$W$2:$W$1001,0),1)&gt;=100000,INDEX($AD$1005:$AU$1005,1,MATCH(COLUMNS($AD$1006:AQ1006),$AD$1006:$AU$1006,0))&gt;=100000), " ",IF(INDEX($AD$2:$AU$1001,MATCH(ROWS($W$2:W230),$W$2:$W$1001,0),MATCH(COLUMNS($AD$1006:AQ1006),$AD$1006:$AU$1006,0)), HYPERLINK("#",""), HYPERLINK(CONCATENATE("#metadata!", ADDRESS(INDEX($Y$2:$Y$1001,MATCH(ROWS($W$2:W230),$W$2:$W$1001,0),0), INDEX($AD$1004:$AU$1004,1,MATCH(COLUMNS($AD$1006:AQ1006),$AD$1006:$AU$1006,0)))),"Fix")))</f>
        <v xml:space="preserve"> </v>
      </c>
      <c r="P230" s="4" t="str">
        <f ca="1">IF(OR(INDEX($X$2:$X$1001,MATCH(ROWS($W$2:W230),$W$2:$W$1001,0),1)&gt;=100000,INDEX($AD$1005:$AU$1005,1,MATCH(COLUMNS($AD$1006:AR1006),$AD$1006:$AU$1006,0))&gt;=100000), " ",IF(INDEX($AD$2:$AU$1001,MATCH(ROWS($W$2:W230),$W$2:$W$1001,0),MATCH(COLUMNS($AD$1006:AR1006),$AD$1006:$AU$1006,0)), HYPERLINK("#",""), HYPERLINK(CONCATENATE("#metadata!", ADDRESS(INDEX($Y$2:$Y$1001,MATCH(ROWS($W$2:W230),$W$2:$W$1001,0),0), INDEX($AD$1004:$AU$1004,1,MATCH(COLUMNS($AD$1006:AR1006),$AD$1006:$AU$1006,0)))),"Fix")))</f>
        <v xml:space="preserve"> </v>
      </c>
      <c r="Q230" s="4" t="str">
        <f ca="1">IF(OR(INDEX($X$2:$X$1001,MATCH(ROWS($W$2:W230),$W$2:$W$1001,0),1)&gt;=100000,INDEX($AD$1005:$AU$1005,1,MATCH(COLUMNS($AD$1006:AS1006),$AD$1006:$AU$1006,0))&gt;=100000), " ",IF(INDEX($AD$2:$AU$1001,MATCH(ROWS($W$2:W230),$W$2:$W$1001,0),MATCH(COLUMNS($AD$1006:AS1006),$AD$1006:$AU$1006,0)), HYPERLINK("#",""), HYPERLINK(CONCATENATE("#metadata!", ADDRESS(INDEX($Y$2:$Y$1001,MATCH(ROWS($W$2:W230),$W$2:$W$1001,0),0), INDEX($AD$1004:$AU$1004,1,MATCH(COLUMNS($AD$1006:AS1006),$AD$1006:$AU$1006,0)))),"Fix")))</f>
        <v xml:space="preserve"> </v>
      </c>
      <c r="R230" s="4" t="str">
        <f ca="1">IF(OR(INDEX($X$2:$X$1001,MATCH(ROWS($W$2:W230),$W$2:$W$1001,0),1)&gt;=100000,INDEX($AD$1005:$AU$1005,1,MATCH(COLUMNS($AD$1006:AT1006),$AD$1006:$AU$1006,0))&gt;=100000), " ",IF(INDEX($AD$2:$AU$1001,MATCH(ROWS($W$2:W230),$W$2:$W$1001,0),MATCH(COLUMNS($AD$1006:AT1006),$AD$1006:$AU$1006,0)), HYPERLINK("#",""), HYPERLINK(CONCATENATE("#metadata!", ADDRESS(INDEX($Y$2:$Y$1001,MATCH(ROWS($W$2:W230),$W$2:$W$1001,0),0), INDEX($AD$1004:$AU$1004,1,MATCH(COLUMNS($AD$1006:AT1006),$AD$1006:$AU$1006,0)))),"Fix")))</f>
        <v xml:space="preserve"> </v>
      </c>
      <c r="S230" s="4" t="str">
        <f ca="1">IF(OR(INDEX($X$2:$X$1001,MATCH(ROWS($W$2:W230),$W$2:$W$1001,0),1)&gt;=100000,INDEX($AD$1005:$AU$1005,1,MATCH(COLUMNS($AD$1006:AU1006),$AD$1006:$AU$1006,0))&gt;=100000), " ",IF(INDEX($AD$2:$AU$1001,MATCH(ROWS($W$2:W230),$W$2:$W$1001,0),MATCH(COLUMNS($AD$1006:AU1006),$AD$1006:$AU$1006,0)), HYPERLINK("#",""), HYPERLINK(CONCATENATE("#metadata!", ADDRESS(INDEX($Y$2:$Y$1001,MATCH(ROWS($W$2:W230),$W$2:$W$1001,0),0), INDEX($AD$1004:$AU$1004,1,MATCH(COLUMNS($AD$1006:AU1006),$AD$1006:$AU$1006,0)))),"Fix")))</f>
        <v xml:space="preserve"> </v>
      </c>
      <c r="W230">
        <v>229</v>
      </c>
      <c r="X230">
        <v>100230</v>
      </c>
      <c r="Y230">
        <v>230</v>
      </c>
      <c r="Z230" t="b">
        <f t="shared" si="3"/>
        <v>1</v>
      </c>
      <c r="AA230" t="b">
        <f>COUNTBLANK(metadata!B230:S230)=COLUMNS(metadata!B230:S230)</f>
        <v>1</v>
      </c>
      <c r="AB230" t="str">
        <v/>
      </c>
      <c r="AD230" t="b">
        <f ca="1">AND(IF(metadata!B230="",FALSE,TRUE),COUNTIF(metadata!B:B, metadata!B230) = 1,NOT(ISERROR(SUMPRODUCT(SEARCH(MID(metadata!B230,ROW(INDIRECT("1:"&amp;LEN(metadata!B230))), 1),"0123456789abcdefghijklmnopqrstuvwxyzABCDEFGHIJKLMNOPQRSTUVWXYZ.")))))</f>
        <v>0</v>
      </c>
      <c r="AE230" t="b">
        <f>OR(AND(IF(metadata!C230="",FALSE,TRUE),OR(EXACT(metadata!C230,"not applicable"),EXACT(metadata!C230,"missing: not collected"),EXACT(metadata!C230,"missing: not provided"),EXACT(metadata!C230,"missing: restricted access"))),AND(IF(metadata!C230="",FALSE,ISNUMBER(VALUE(metadata!C230))),metadata!C230&gt;0))</f>
        <v>0</v>
      </c>
      <c r="AF230" t="b">
        <f>AND(IF(metadata!D230="",FALSE,TRUE),EXACT(metadata!D230,"missing: not provided"))</f>
        <v>0</v>
      </c>
      <c r="AG230" t="b">
        <f>AND(IF(metadata!E230="",FALSE,TRUE),EXACT(metadata!E230,"Host-associated"))</f>
        <v>0</v>
      </c>
      <c r="AH230" t="b">
        <f>AND(IF(metadata!F230="",FALSE,TRUE),OR(EXACT(metadata!F230,"Animal"),EXACT(metadata!F230,"Fungus"),EXACT(metadata!F230,"Plant")))</f>
        <v>0</v>
      </c>
      <c r="AI230" t="b">
        <f>AND(IF(metadata!G230="",FALSE,TRUE),OR(EXACT(metadata!G230,"Plant secretion"),EXACT(metadata!G230,"Plant rhizosphere"),EXACT(metadata!G230,"Plant surface"),EXACT(metadata!G230,"Plant corpus"),EXACT(metadata!G230,"Fungus surface"),EXACT(metadata!G230,"Fungus corpus"),EXACT(metadata!G230,"Animal surface"),EXACT(metadata!G230,"Animal proximal gut"),EXACT(metadata!G230,"Animal corpus"),EXACT(metadata!G230,"Animal distal gut"),EXACT(metadata!G230,"Animal secretion")))</f>
        <v>0</v>
      </c>
      <c r="AJ230" t="b">
        <f>OR(AND(IF(metadata!H230="",FALSE,TRUE),OR(EXACT(metadata!H230,"missing: not collected"),EXACT(metadata!H230,"missing: not provided"),EXACT(metadata!H230,"missing: restricted access"))),AND(IF(metadata!H230="",FALSE,TRUE),OR(EXACT(metadata!H230,"organism-associated habitat"),EXACT(metadata!H230,"plant-associated habitat"),EXACT(metadata!H230,"animal-associated habitat"),EXACT(metadata!H230,"insecta-associated habitat"),EXACT(metadata!H230,"mammalia-associated habitat"),EXACT(metadata!H230,"human-associated habitat"),EXACT(metadata!H230,"livestock-associated habitat"))))</f>
        <v>0</v>
      </c>
      <c r="AK230" t="b">
        <f>AND(IF(metadata!I230="",FALSE,TRUE),EXACT(metadata!I230,"host-associated"))</f>
        <v>0</v>
      </c>
      <c r="AL230" t="b">
        <f>OR(AND(IF(metadata!J230="",FALSE,TRUE),OR(EXACT(metadata!J230,"not applicable"),EXACT(metadata!J230,"missing: not collected"),EXACT(metadata!J230,"missing: not provided"),EXACT(metadata!J230,"missing: restricted access"))),AND(IF(metadata!J230="",FALSE,ISNUMBER(VALUE(metadata!J230))),metadata!J230&gt;0))</f>
        <v>0</v>
      </c>
      <c r="AM230" t="b">
        <f>AND(IF(metadata!K230="",FALSE,TRUE),EXACT(metadata!K230,"missing: not provided"))</f>
        <v>0</v>
      </c>
      <c r="AN230" t="b">
        <f>IF(metadata!L230="",FALSE,TRUE)</f>
        <v>0</v>
      </c>
      <c r="AO230" t="b">
        <f>IF(metadata!M230="",FALSE,TRUE)</f>
        <v>0</v>
      </c>
      <c r="AP230" t="b">
        <f>OR(AND(IF(metadata!N230="",FALSE,TRUE),OR(EXACT(metadata!N230,"not applicable"),EXACT(metadata!N230,"missing: not collected"),EXACT(metadata!N230,"missing: not provided"))),AND(IF(metadata!N230="",FALSE,IF(ISERROR(INT(metadata!N230)),FALSE,INT(metadata!N230)=metadata!N230)),metadata!N230&gt;0))</f>
        <v>0</v>
      </c>
      <c r="AQ230" t="b">
        <f>AND(IF(metadata!O230="",FALSE,TRUE),EXACT(metadata!O230,"Not applicable"))</f>
        <v>0</v>
      </c>
      <c r="AR230" t="b">
        <f>OR(AND(IF(metadata!P230="",FALSE,TRUE),OR(EXACT(metadata!P230,"not applicable"),EXACT(metadata!P230,"missing: not collected"),EXACT(metadata!P230,"missing: not provided"),EXACT(metadata!P230,"missing: restricted access"))),IF(metadata!P230="",FALSE,IF(ISERROR(INT(metadata!P230)),FALSE,INT(metadata!P230)=metadata!P230)))</f>
        <v>0</v>
      </c>
      <c r="AS230" t="b">
        <f>AND(IF(metadata!Q230="",FALSE,TRUE),EXACT(metadata!Q230,"Not applicable"))</f>
        <v>0</v>
      </c>
      <c r="AT230" t="b">
        <f>OR(AND(IF(metadata!R230="",FALSE,TRUE),OR(EXACT(metadata!R230,"not applicable"),EXACT(metadata!R230,"missing: not collected"),EXACT(metadata!R230,"missing: not provided"),EXACT(metadata!R230,"missing: restricted access"))),AND(IF(metadata!R230="",FALSE,ISNUMBER(VALUE(metadata!R230))),metadata!R230&gt;0))</f>
        <v>0</v>
      </c>
      <c r="AU230" t="b">
        <f>AND(IF(metadata!S230="",FALSE,TRUE),EXACT(metadata!S230,"missing: not provided"))</f>
        <v>0</v>
      </c>
    </row>
    <row r="231" spans="1:47" x14ac:dyDescent="0.2">
      <c r="A231" s="5" t="str">
        <f ca="1">IF(B231=" "," ",HYPERLINK(CONCATENATE("#metadata!",ADDRESS(INDEX($Y$2:$Y$1001,MATCH(ROWS($W$2:W231),$W$2:$W$1001,0),0),1)),INDEX($AB$2:$AB$1001,MATCH(ROWS($W$2:W231),$W$2:$W$1001,0),0)))</f>
        <v xml:space="preserve"> </v>
      </c>
      <c r="B231" s="4" t="str">
        <f ca="1">IF(OR(INDEX($X$2:$X$1001,MATCH(ROWS($W$2:W231),$W$2:$W$1001,0),1)&gt;=100000,INDEX($AD$1005:$AU$1005,1,MATCH(COLUMNS($AD$1006:AD1006),$AD$1006:$AU$1006,0))&gt;=100000), " ",IF(INDEX($AD$2:$AU$1001,MATCH(ROWS($W$2:W231),$W$2:$W$1001,0),MATCH(COLUMNS($AD$1006:AD1006),$AD$1006:$AU$1006,0)), HYPERLINK("#",""), HYPERLINK(CONCATENATE("#metadata!", ADDRESS(INDEX($Y$2:$Y$1001,MATCH(ROWS($W$2:W231),$W$2:$W$1001,0),0), INDEX($AD$1004:$AU$1004,1,MATCH(COLUMNS($AD$1006:AD1006),$AD$1006:$AU$1006,0)))),"Fix")))</f>
        <v xml:space="preserve"> </v>
      </c>
      <c r="C231" s="4" t="str">
        <f ca="1">IF(OR(INDEX($X$2:$X$1001,MATCH(ROWS($W$2:W231),$W$2:$W$1001,0),1)&gt;=100000,INDEX($AD$1005:$AU$1005,1,MATCH(COLUMNS($AD$1006:AE1006),$AD$1006:$AU$1006,0))&gt;=100000), " ",IF(INDEX($AD$2:$AU$1001,MATCH(ROWS($W$2:W231),$W$2:$W$1001,0),MATCH(COLUMNS($AD$1006:AE1006),$AD$1006:$AU$1006,0)), HYPERLINK("#",""), HYPERLINK(CONCATENATE("#metadata!", ADDRESS(INDEX($Y$2:$Y$1001,MATCH(ROWS($W$2:W231),$W$2:$W$1001,0),0), INDEX($AD$1004:$AU$1004,1,MATCH(COLUMNS($AD$1006:AE1006),$AD$1006:$AU$1006,0)))),"Fix")))</f>
        <v xml:space="preserve"> </v>
      </c>
      <c r="D231" s="4" t="str">
        <f ca="1">IF(OR(INDEX($X$2:$X$1001,MATCH(ROWS($W$2:W231),$W$2:$W$1001,0),1)&gt;=100000,INDEX($AD$1005:$AU$1005,1,MATCH(COLUMNS($AD$1006:AF1006),$AD$1006:$AU$1006,0))&gt;=100000), " ",IF(INDEX($AD$2:$AU$1001,MATCH(ROWS($W$2:W231),$W$2:$W$1001,0),MATCH(COLUMNS($AD$1006:AF1006),$AD$1006:$AU$1006,0)), HYPERLINK("#",""), HYPERLINK(CONCATENATE("#metadata!", ADDRESS(INDEX($Y$2:$Y$1001,MATCH(ROWS($W$2:W231),$W$2:$W$1001,0),0), INDEX($AD$1004:$AU$1004,1,MATCH(COLUMNS($AD$1006:AF1006),$AD$1006:$AU$1006,0)))),"Fix")))</f>
        <v xml:space="preserve"> </v>
      </c>
      <c r="E231" s="4" t="str">
        <f ca="1">IF(OR(INDEX($X$2:$X$1001,MATCH(ROWS($W$2:W231),$W$2:$W$1001,0),1)&gt;=100000,INDEX($AD$1005:$AU$1005,1,MATCH(COLUMNS($AD$1006:AG1006),$AD$1006:$AU$1006,0))&gt;=100000), " ",IF(INDEX($AD$2:$AU$1001,MATCH(ROWS($W$2:W231),$W$2:$W$1001,0),MATCH(COLUMNS($AD$1006:AG1006),$AD$1006:$AU$1006,0)), HYPERLINK("#",""), HYPERLINK(CONCATENATE("#metadata!", ADDRESS(INDEX($Y$2:$Y$1001,MATCH(ROWS($W$2:W231),$W$2:$W$1001,0),0), INDEX($AD$1004:$AU$1004,1,MATCH(COLUMNS($AD$1006:AG1006),$AD$1006:$AU$1006,0)))),"Fix")))</f>
        <v xml:space="preserve"> </v>
      </c>
      <c r="F231" s="4" t="str">
        <f ca="1">IF(OR(INDEX($X$2:$X$1001,MATCH(ROWS($W$2:W231),$W$2:$W$1001,0),1)&gt;=100000,INDEX($AD$1005:$AU$1005,1,MATCH(COLUMNS($AD$1006:AH1006),$AD$1006:$AU$1006,0))&gt;=100000), " ",IF(INDEX($AD$2:$AU$1001,MATCH(ROWS($W$2:W231),$W$2:$W$1001,0),MATCH(COLUMNS($AD$1006:AH1006),$AD$1006:$AU$1006,0)), HYPERLINK("#",""), HYPERLINK(CONCATENATE("#metadata!", ADDRESS(INDEX($Y$2:$Y$1001,MATCH(ROWS($W$2:W231),$W$2:$W$1001,0),0), INDEX($AD$1004:$AU$1004,1,MATCH(COLUMNS($AD$1006:AH1006),$AD$1006:$AU$1006,0)))),"Fix")))</f>
        <v xml:space="preserve"> </v>
      </c>
      <c r="G231" s="4" t="str">
        <f ca="1">IF(OR(INDEX($X$2:$X$1001,MATCH(ROWS($W$2:W231),$W$2:$W$1001,0),1)&gt;=100000,INDEX($AD$1005:$AU$1005,1,MATCH(COLUMNS($AD$1006:AI1006),$AD$1006:$AU$1006,0))&gt;=100000), " ",IF(INDEX($AD$2:$AU$1001,MATCH(ROWS($W$2:W231),$W$2:$W$1001,0),MATCH(COLUMNS($AD$1006:AI1006),$AD$1006:$AU$1006,0)), HYPERLINK("#",""), HYPERLINK(CONCATENATE("#metadata!", ADDRESS(INDEX($Y$2:$Y$1001,MATCH(ROWS($W$2:W231),$W$2:$W$1001,0),0), INDEX($AD$1004:$AU$1004,1,MATCH(COLUMNS($AD$1006:AI1006),$AD$1006:$AU$1006,0)))),"Fix")))</f>
        <v xml:space="preserve"> </v>
      </c>
      <c r="H231" s="4" t="str">
        <f ca="1">IF(OR(INDEX($X$2:$X$1001,MATCH(ROWS($W$2:W231),$W$2:$W$1001,0),1)&gt;=100000,INDEX($AD$1005:$AU$1005,1,MATCH(COLUMNS($AD$1006:AJ1006),$AD$1006:$AU$1006,0))&gt;=100000), " ",IF(INDEX($AD$2:$AU$1001,MATCH(ROWS($W$2:W231),$W$2:$W$1001,0),MATCH(COLUMNS($AD$1006:AJ1006),$AD$1006:$AU$1006,0)), HYPERLINK("#",""), HYPERLINK(CONCATENATE("#metadata!", ADDRESS(INDEX($Y$2:$Y$1001,MATCH(ROWS($W$2:W231),$W$2:$W$1001,0),0), INDEX($AD$1004:$AU$1004,1,MATCH(COLUMNS($AD$1006:AJ1006),$AD$1006:$AU$1006,0)))),"Fix")))</f>
        <v xml:space="preserve"> </v>
      </c>
      <c r="I231" s="4" t="str">
        <f ca="1">IF(OR(INDEX($X$2:$X$1001,MATCH(ROWS($W$2:W231),$W$2:$W$1001,0),1)&gt;=100000,INDEX($AD$1005:$AU$1005,1,MATCH(COLUMNS($AD$1006:AK1006),$AD$1006:$AU$1006,0))&gt;=100000), " ",IF(INDEX($AD$2:$AU$1001,MATCH(ROWS($W$2:W231),$W$2:$W$1001,0),MATCH(COLUMNS($AD$1006:AK1006),$AD$1006:$AU$1006,0)), HYPERLINK("#",""), HYPERLINK(CONCATENATE("#metadata!", ADDRESS(INDEX($Y$2:$Y$1001,MATCH(ROWS($W$2:W231),$W$2:$W$1001,0),0), INDEX($AD$1004:$AU$1004,1,MATCH(COLUMNS($AD$1006:AK1006),$AD$1006:$AU$1006,0)))),"Fix")))</f>
        <v xml:space="preserve"> </v>
      </c>
      <c r="J231" s="4" t="str">
        <f ca="1">IF(OR(INDEX($X$2:$X$1001,MATCH(ROWS($W$2:W231),$W$2:$W$1001,0),1)&gt;=100000,INDEX($AD$1005:$AU$1005,1,MATCH(COLUMNS($AD$1006:AL1006),$AD$1006:$AU$1006,0))&gt;=100000), " ",IF(INDEX($AD$2:$AU$1001,MATCH(ROWS($W$2:W231),$W$2:$W$1001,0),MATCH(COLUMNS($AD$1006:AL1006),$AD$1006:$AU$1006,0)), HYPERLINK("#",""), HYPERLINK(CONCATENATE("#metadata!", ADDRESS(INDEX($Y$2:$Y$1001,MATCH(ROWS($W$2:W231),$W$2:$W$1001,0),0), INDEX($AD$1004:$AU$1004,1,MATCH(COLUMNS($AD$1006:AL1006),$AD$1006:$AU$1006,0)))),"Fix")))</f>
        <v xml:space="preserve"> </v>
      </c>
      <c r="K231" s="4" t="str">
        <f ca="1">IF(OR(INDEX($X$2:$X$1001,MATCH(ROWS($W$2:W231),$W$2:$W$1001,0),1)&gt;=100000,INDEX($AD$1005:$AU$1005,1,MATCH(COLUMNS($AD$1006:AM1006),$AD$1006:$AU$1006,0))&gt;=100000), " ",IF(INDEX($AD$2:$AU$1001,MATCH(ROWS($W$2:W231),$W$2:$W$1001,0),MATCH(COLUMNS($AD$1006:AM1006),$AD$1006:$AU$1006,0)), HYPERLINK("#",""), HYPERLINK(CONCATENATE("#metadata!", ADDRESS(INDEX($Y$2:$Y$1001,MATCH(ROWS($W$2:W231),$W$2:$W$1001,0),0), INDEX($AD$1004:$AU$1004,1,MATCH(COLUMNS($AD$1006:AM1006),$AD$1006:$AU$1006,0)))),"Fix")))</f>
        <v xml:space="preserve"> </v>
      </c>
      <c r="L231" s="4" t="str">
        <f ca="1">IF(OR(INDEX($X$2:$X$1001,MATCH(ROWS($W$2:W231),$W$2:$W$1001,0),1)&gt;=100000,INDEX($AD$1005:$AU$1005,1,MATCH(COLUMNS($AD$1006:AN1006),$AD$1006:$AU$1006,0))&gt;=100000), " ",IF(INDEX($AD$2:$AU$1001,MATCH(ROWS($W$2:W231),$W$2:$W$1001,0),MATCH(COLUMNS($AD$1006:AN1006),$AD$1006:$AU$1006,0)), HYPERLINK("#",""), HYPERLINK(CONCATENATE("#metadata!", ADDRESS(INDEX($Y$2:$Y$1001,MATCH(ROWS($W$2:W231),$W$2:$W$1001,0),0), INDEX($AD$1004:$AU$1004,1,MATCH(COLUMNS($AD$1006:AN1006),$AD$1006:$AU$1006,0)))),"Fix")))</f>
        <v xml:space="preserve"> </v>
      </c>
      <c r="M231" s="4" t="str">
        <f ca="1">IF(OR(INDEX($X$2:$X$1001,MATCH(ROWS($W$2:W231),$W$2:$W$1001,0),1)&gt;=100000,INDEX($AD$1005:$AU$1005,1,MATCH(COLUMNS($AD$1006:AO1006),$AD$1006:$AU$1006,0))&gt;=100000), " ",IF(INDEX($AD$2:$AU$1001,MATCH(ROWS($W$2:W231),$W$2:$W$1001,0),MATCH(COLUMNS($AD$1006:AO1006),$AD$1006:$AU$1006,0)), HYPERLINK("#",""), HYPERLINK(CONCATENATE("#metadata!", ADDRESS(INDEX($Y$2:$Y$1001,MATCH(ROWS($W$2:W231),$W$2:$W$1001,0),0), INDEX($AD$1004:$AU$1004,1,MATCH(COLUMNS($AD$1006:AO1006),$AD$1006:$AU$1006,0)))),"Fix")))</f>
        <v xml:space="preserve"> </v>
      </c>
      <c r="N231" s="4" t="str">
        <f ca="1">IF(OR(INDEX($X$2:$X$1001,MATCH(ROWS($W$2:W231),$W$2:$W$1001,0),1)&gt;=100000,INDEX($AD$1005:$AU$1005,1,MATCH(COLUMNS($AD$1006:AP1006),$AD$1006:$AU$1006,0))&gt;=100000), " ",IF(INDEX($AD$2:$AU$1001,MATCH(ROWS($W$2:W231),$W$2:$W$1001,0),MATCH(COLUMNS($AD$1006:AP1006),$AD$1006:$AU$1006,0)), HYPERLINK("#",""), HYPERLINK(CONCATENATE("#metadata!", ADDRESS(INDEX($Y$2:$Y$1001,MATCH(ROWS($W$2:W231),$W$2:$W$1001,0),0), INDEX($AD$1004:$AU$1004,1,MATCH(COLUMNS($AD$1006:AP1006),$AD$1006:$AU$1006,0)))),"Fix")))</f>
        <v xml:space="preserve"> </v>
      </c>
      <c r="O231" s="4" t="str">
        <f ca="1">IF(OR(INDEX($X$2:$X$1001,MATCH(ROWS($W$2:W231),$W$2:$W$1001,0),1)&gt;=100000,INDEX($AD$1005:$AU$1005,1,MATCH(COLUMNS($AD$1006:AQ1006),$AD$1006:$AU$1006,0))&gt;=100000), " ",IF(INDEX($AD$2:$AU$1001,MATCH(ROWS($W$2:W231),$W$2:$W$1001,0),MATCH(COLUMNS($AD$1006:AQ1006),$AD$1006:$AU$1006,0)), HYPERLINK("#",""), HYPERLINK(CONCATENATE("#metadata!", ADDRESS(INDEX($Y$2:$Y$1001,MATCH(ROWS($W$2:W231),$W$2:$W$1001,0),0), INDEX($AD$1004:$AU$1004,1,MATCH(COLUMNS($AD$1006:AQ1006),$AD$1006:$AU$1006,0)))),"Fix")))</f>
        <v xml:space="preserve"> </v>
      </c>
      <c r="P231" s="4" t="str">
        <f ca="1">IF(OR(INDEX($X$2:$X$1001,MATCH(ROWS($W$2:W231),$W$2:$W$1001,0),1)&gt;=100000,INDEX($AD$1005:$AU$1005,1,MATCH(COLUMNS($AD$1006:AR1006),$AD$1006:$AU$1006,0))&gt;=100000), " ",IF(INDEX($AD$2:$AU$1001,MATCH(ROWS($W$2:W231),$W$2:$W$1001,0),MATCH(COLUMNS($AD$1006:AR1006),$AD$1006:$AU$1006,0)), HYPERLINK("#",""), HYPERLINK(CONCATENATE("#metadata!", ADDRESS(INDEX($Y$2:$Y$1001,MATCH(ROWS($W$2:W231),$W$2:$W$1001,0),0), INDEX($AD$1004:$AU$1004,1,MATCH(COLUMNS($AD$1006:AR1006),$AD$1006:$AU$1006,0)))),"Fix")))</f>
        <v xml:space="preserve"> </v>
      </c>
      <c r="Q231" s="4" t="str">
        <f ca="1">IF(OR(INDEX($X$2:$X$1001,MATCH(ROWS($W$2:W231),$W$2:$W$1001,0),1)&gt;=100000,INDEX($AD$1005:$AU$1005,1,MATCH(COLUMNS($AD$1006:AS1006),$AD$1006:$AU$1006,0))&gt;=100000), " ",IF(INDEX($AD$2:$AU$1001,MATCH(ROWS($W$2:W231),$W$2:$W$1001,0),MATCH(COLUMNS($AD$1006:AS1006),$AD$1006:$AU$1006,0)), HYPERLINK("#",""), HYPERLINK(CONCATENATE("#metadata!", ADDRESS(INDEX($Y$2:$Y$1001,MATCH(ROWS($W$2:W231),$W$2:$W$1001,0),0), INDEX($AD$1004:$AU$1004,1,MATCH(COLUMNS($AD$1006:AS1006),$AD$1006:$AU$1006,0)))),"Fix")))</f>
        <v xml:space="preserve"> </v>
      </c>
      <c r="R231" s="4" t="str">
        <f ca="1">IF(OR(INDEX($X$2:$X$1001,MATCH(ROWS($W$2:W231),$W$2:$W$1001,0),1)&gt;=100000,INDEX($AD$1005:$AU$1005,1,MATCH(COLUMNS($AD$1006:AT1006),$AD$1006:$AU$1006,0))&gt;=100000), " ",IF(INDEX($AD$2:$AU$1001,MATCH(ROWS($W$2:W231),$W$2:$W$1001,0),MATCH(COLUMNS($AD$1006:AT1006),$AD$1006:$AU$1006,0)), HYPERLINK("#",""), HYPERLINK(CONCATENATE("#metadata!", ADDRESS(INDEX($Y$2:$Y$1001,MATCH(ROWS($W$2:W231),$W$2:$W$1001,0),0), INDEX($AD$1004:$AU$1004,1,MATCH(COLUMNS($AD$1006:AT1006),$AD$1006:$AU$1006,0)))),"Fix")))</f>
        <v xml:space="preserve"> </v>
      </c>
      <c r="S231" s="4" t="str">
        <f ca="1">IF(OR(INDEX($X$2:$X$1001,MATCH(ROWS($W$2:W231),$W$2:$W$1001,0),1)&gt;=100000,INDEX($AD$1005:$AU$1005,1,MATCH(COLUMNS($AD$1006:AU1006),$AD$1006:$AU$1006,0))&gt;=100000), " ",IF(INDEX($AD$2:$AU$1001,MATCH(ROWS($W$2:W231),$W$2:$W$1001,0),MATCH(COLUMNS($AD$1006:AU1006),$AD$1006:$AU$1006,0)), HYPERLINK("#",""), HYPERLINK(CONCATENATE("#metadata!", ADDRESS(INDEX($Y$2:$Y$1001,MATCH(ROWS($W$2:W231),$W$2:$W$1001,0),0), INDEX($AD$1004:$AU$1004,1,MATCH(COLUMNS($AD$1006:AU1006),$AD$1006:$AU$1006,0)))),"Fix")))</f>
        <v xml:space="preserve"> </v>
      </c>
      <c r="W231">
        <v>230</v>
      </c>
      <c r="X231">
        <v>100231</v>
      </c>
      <c r="Y231">
        <v>231</v>
      </c>
      <c r="Z231" t="b">
        <f t="shared" si="3"/>
        <v>1</v>
      </c>
      <c r="AA231" t="b">
        <f>COUNTBLANK(metadata!B231:S231)=COLUMNS(metadata!B231:S231)</f>
        <v>1</v>
      </c>
      <c r="AB231" t="str">
        <v/>
      </c>
      <c r="AD231" t="b">
        <f ca="1">AND(IF(metadata!B231="",FALSE,TRUE),COUNTIF(metadata!B:B, metadata!B231) = 1,NOT(ISERROR(SUMPRODUCT(SEARCH(MID(metadata!B231,ROW(INDIRECT("1:"&amp;LEN(metadata!B231))), 1),"0123456789abcdefghijklmnopqrstuvwxyzABCDEFGHIJKLMNOPQRSTUVWXYZ.")))))</f>
        <v>0</v>
      </c>
      <c r="AE231" t="b">
        <f>OR(AND(IF(metadata!C231="",FALSE,TRUE),OR(EXACT(metadata!C231,"not applicable"),EXACT(metadata!C231,"missing: not collected"),EXACT(metadata!C231,"missing: not provided"),EXACT(metadata!C231,"missing: restricted access"))),AND(IF(metadata!C231="",FALSE,ISNUMBER(VALUE(metadata!C231))),metadata!C231&gt;0))</f>
        <v>0</v>
      </c>
      <c r="AF231" t="b">
        <f>AND(IF(metadata!D231="",FALSE,TRUE),EXACT(metadata!D231,"missing: not provided"))</f>
        <v>0</v>
      </c>
      <c r="AG231" t="b">
        <f>AND(IF(metadata!E231="",FALSE,TRUE),EXACT(metadata!E231,"Host-associated"))</f>
        <v>0</v>
      </c>
      <c r="AH231" t="b">
        <f>AND(IF(metadata!F231="",FALSE,TRUE),OR(EXACT(metadata!F231,"Animal"),EXACT(metadata!F231,"Fungus"),EXACT(metadata!F231,"Plant")))</f>
        <v>0</v>
      </c>
      <c r="AI231" t="b">
        <f>AND(IF(metadata!G231="",FALSE,TRUE),OR(EXACT(metadata!G231,"Plant secretion"),EXACT(metadata!G231,"Plant rhizosphere"),EXACT(metadata!G231,"Plant surface"),EXACT(metadata!G231,"Plant corpus"),EXACT(metadata!G231,"Fungus surface"),EXACT(metadata!G231,"Fungus corpus"),EXACT(metadata!G231,"Animal surface"),EXACT(metadata!G231,"Animal proximal gut"),EXACT(metadata!G231,"Animal corpus"),EXACT(metadata!G231,"Animal distal gut"),EXACT(metadata!G231,"Animal secretion")))</f>
        <v>0</v>
      </c>
      <c r="AJ231" t="b">
        <f>OR(AND(IF(metadata!H231="",FALSE,TRUE),OR(EXACT(metadata!H231,"missing: not collected"),EXACT(metadata!H231,"missing: not provided"),EXACT(metadata!H231,"missing: restricted access"))),AND(IF(metadata!H231="",FALSE,TRUE),OR(EXACT(metadata!H231,"organism-associated habitat"),EXACT(metadata!H231,"plant-associated habitat"),EXACT(metadata!H231,"animal-associated habitat"),EXACT(metadata!H231,"insecta-associated habitat"),EXACT(metadata!H231,"mammalia-associated habitat"),EXACT(metadata!H231,"human-associated habitat"),EXACT(metadata!H231,"livestock-associated habitat"))))</f>
        <v>0</v>
      </c>
      <c r="AK231" t="b">
        <f>AND(IF(metadata!I231="",FALSE,TRUE),EXACT(metadata!I231,"host-associated"))</f>
        <v>0</v>
      </c>
      <c r="AL231" t="b">
        <f>OR(AND(IF(metadata!J231="",FALSE,TRUE),OR(EXACT(metadata!J231,"not applicable"),EXACT(metadata!J231,"missing: not collected"),EXACT(metadata!J231,"missing: not provided"),EXACT(metadata!J231,"missing: restricted access"))),AND(IF(metadata!J231="",FALSE,ISNUMBER(VALUE(metadata!J231))),metadata!J231&gt;0))</f>
        <v>0</v>
      </c>
      <c r="AM231" t="b">
        <f>AND(IF(metadata!K231="",FALSE,TRUE),EXACT(metadata!K231,"missing: not provided"))</f>
        <v>0</v>
      </c>
      <c r="AN231" t="b">
        <f>IF(metadata!L231="",FALSE,TRUE)</f>
        <v>0</v>
      </c>
      <c r="AO231" t="b">
        <f>IF(metadata!M231="",FALSE,TRUE)</f>
        <v>0</v>
      </c>
      <c r="AP231" t="b">
        <f>OR(AND(IF(metadata!N231="",FALSE,TRUE),OR(EXACT(metadata!N231,"not applicable"),EXACT(metadata!N231,"missing: not collected"),EXACT(metadata!N231,"missing: not provided"))),AND(IF(metadata!N231="",FALSE,IF(ISERROR(INT(metadata!N231)),FALSE,INT(metadata!N231)=metadata!N231)),metadata!N231&gt;0))</f>
        <v>0</v>
      </c>
      <c r="AQ231" t="b">
        <f>AND(IF(metadata!O231="",FALSE,TRUE),EXACT(metadata!O231,"Not applicable"))</f>
        <v>0</v>
      </c>
      <c r="AR231" t="b">
        <f>OR(AND(IF(metadata!P231="",FALSE,TRUE),OR(EXACT(metadata!P231,"not applicable"),EXACT(metadata!P231,"missing: not collected"),EXACT(metadata!P231,"missing: not provided"),EXACT(metadata!P231,"missing: restricted access"))),IF(metadata!P231="",FALSE,IF(ISERROR(INT(metadata!P231)),FALSE,INT(metadata!P231)=metadata!P231)))</f>
        <v>0</v>
      </c>
      <c r="AS231" t="b">
        <f>AND(IF(metadata!Q231="",FALSE,TRUE),EXACT(metadata!Q231,"Not applicable"))</f>
        <v>0</v>
      </c>
      <c r="AT231" t="b">
        <f>OR(AND(IF(metadata!R231="",FALSE,TRUE),OR(EXACT(metadata!R231,"not applicable"),EXACT(metadata!R231,"missing: not collected"),EXACT(metadata!R231,"missing: not provided"),EXACT(metadata!R231,"missing: restricted access"))),AND(IF(metadata!R231="",FALSE,ISNUMBER(VALUE(metadata!R231))),metadata!R231&gt;0))</f>
        <v>0</v>
      </c>
      <c r="AU231" t="b">
        <f>AND(IF(metadata!S231="",FALSE,TRUE),EXACT(metadata!S231,"missing: not provided"))</f>
        <v>0</v>
      </c>
    </row>
    <row r="232" spans="1:47" x14ac:dyDescent="0.2">
      <c r="A232" s="5" t="str">
        <f ca="1">IF(B232=" "," ",HYPERLINK(CONCATENATE("#metadata!",ADDRESS(INDEX($Y$2:$Y$1001,MATCH(ROWS($W$2:W232),$W$2:$W$1001,0),0),1)),INDEX($AB$2:$AB$1001,MATCH(ROWS($W$2:W232),$W$2:$W$1001,0),0)))</f>
        <v xml:space="preserve"> </v>
      </c>
      <c r="B232" s="4" t="str">
        <f ca="1">IF(OR(INDEX($X$2:$X$1001,MATCH(ROWS($W$2:W232),$W$2:$W$1001,0),1)&gt;=100000,INDEX($AD$1005:$AU$1005,1,MATCH(COLUMNS($AD$1006:AD1006),$AD$1006:$AU$1006,0))&gt;=100000), " ",IF(INDEX($AD$2:$AU$1001,MATCH(ROWS($W$2:W232),$W$2:$W$1001,0),MATCH(COLUMNS($AD$1006:AD1006),$AD$1006:$AU$1006,0)), HYPERLINK("#",""), HYPERLINK(CONCATENATE("#metadata!", ADDRESS(INDEX($Y$2:$Y$1001,MATCH(ROWS($W$2:W232),$W$2:$W$1001,0),0), INDEX($AD$1004:$AU$1004,1,MATCH(COLUMNS($AD$1006:AD1006),$AD$1006:$AU$1006,0)))),"Fix")))</f>
        <v xml:space="preserve"> </v>
      </c>
      <c r="C232" s="4" t="str">
        <f ca="1">IF(OR(INDEX($X$2:$X$1001,MATCH(ROWS($W$2:W232),$W$2:$W$1001,0),1)&gt;=100000,INDEX($AD$1005:$AU$1005,1,MATCH(COLUMNS($AD$1006:AE1006),$AD$1006:$AU$1006,0))&gt;=100000), " ",IF(INDEX($AD$2:$AU$1001,MATCH(ROWS($W$2:W232),$W$2:$W$1001,0),MATCH(COLUMNS($AD$1006:AE1006),$AD$1006:$AU$1006,0)), HYPERLINK("#",""), HYPERLINK(CONCATENATE("#metadata!", ADDRESS(INDEX($Y$2:$Y$1001,MATCH(ROWS($W$2:W232),$W$2:$W$1001,0),0), INDEX($AD$1004:$AU$1004,1,MATCH(COLUMNS($AD$1006:AE1006),$AD$1006:$AU$1006,0)))),"Fix")))</f>
        <v xml:space="preserve"> </v>
      </c>
      <c r="D232" s="4" t="str">
        <f ca="1">IF(OR(INDEX($X$2:$X$1001,MATCH(ROWS($W$2:W232),$W$2:$W$1001,0),1)&gt;=100000,INDEX($AD$1005:$AU$1005,1,MATCH(COLUMNS($AD$1006:AF1006),$AD$1006:$AU$1006,0))&gt;=100000), " ",IF(INDEX($AD$2:$AU$1001,MATCH(ROWS($W$2:W232),$W$2:$W$1001,0),MATCH(COLUMNS($AD$1006:AF1006),$AD$1006:$AU$1006,0)), HYPERLINK("#",""), HYPERLINK(CONCATENATE("#metadata!", ADDRESS(INDEX($Y$2:$Y$1001,MATCH(ROWS($W$2:W232),$W$2:$W$1001,0),0), INDEX($AD$1004:$AU$1004,1,MATCH(COLUMNS($AD$1006:AF1006),$AD$1006:$AU$1006,0)))),"Fix")))</f>
        <v xml:space="preserve"> </v>
      </c>
      <c r="E232" s="4" t="str">
        <f ca="1">IF(OR(INDEX($X$2:$X$1001,MATCH(ROWS($W$2:W232),$W$2:$W$1001,0),1)&gt;=100000,INDEX($AD$1005:$AU$1005,1,MATCH(COLUMNS($AD$1006:AG1006),$AD$1006:$AU$1006,0))&gt;=100000), " ",IF(INDEX($AD$2:$AU$1001,MATCH(ROWS($W$2:W232),$W$2:$W$1001,0),MATCH(COLUMNS($AD$1006:AG1006),$AD$1006:$AU$1006,0)), HYPERLINK("#",""), HYPERLINK(CONCATENATE("#metadata!", ADDRESS(INDEX($Y$2:$Y$1001,MATCH(ROWS($W$2:W232),$W$2:$W$1001,0),0), INDEX($AD$1004:$AU$1004,1,MATCH(COLUMNS($AD$1006:AG1006),$AD$1006:$AU$1006,0)))),"Fix")))</f>
        <v xml:space="preserve"> </v>
      </c>
      <c r="F232" s="4" t="str">
        <f ca="1">IF(OR(INDEX($X$2:$X$1001,MATCH(ROWS($W$2:W232),$W$2:$W$1001,0),1)&gt;=100000,INDEX($AD$1005:$AU$1005,1,MATCH(COLUMNS($AD$1006:AH1006),$AD$1006:$AU$1006,0))&gt;=100000), " ",IF(INDEX($AD$2:$AU$1001,MATCH(ROWS($W$2:W232),$W$2:$W$1001,0),MATCH(COLUMNS($AD$1006:AH1006),$AD$1006:$AU$1006,0)), HYPERLINK("#",""), HYPERLINK(CONCATENATE("#metadata!", ADDRESS(INDEX($Y$2:$Y$1001,MATCH(ROWS($W$2:W232),$W$2:$W$1001,0),0), INDEX($AD$1004:$AU$1004,1,MATCH(COLUMNS($AD$1006:AH1006),$AD$1006:$AU$1006,0)))),"Fix")))</f>
        <v xml:space="preserve"> </v>
      </c>
      <c r="G232" s="4" t="str">
        <f ca="1">IF(OR(INDEX($X$2:$X$1001,MATCH(ROWS($W$2:W232),$W$2:$W$1001,0),1)&gt;=100000,INDEX($AD$1005:$AU$1005,1,MATCH(COLUMNS($AD$1006:AI1006),$AD$1006:$AU$1006,0))&gt;=100000), " ",IF(INDEX($AD$2:$AU$1001,MATCH(ROWS($W$2:W232),$W$2:$W$1001,0),MATCH(COLUMNS($AD$1006:AI1006),$AD$1006:$AU$1006,0)), HYPERLINK("#",""), HYPERLINK(CONCATENATE("#metadata!", ADDRESS(INDEX($Y$2:$Y$1001,MATCH(ROWS($W$2:W232),$W$2:$W$1001,0),0), INDEX($AD$1004:$AU$1004,1,MATCH(COLUMNS($AD$1006:AI1006),$AD$1006:$AU$1006,0)))),"Fix")))</f>
        <v xml:space="preserve"> </v>
      </c>
      <c r="H232" s="4" t="str">
        <f ca="1">IF(OR(INDEX($X$2:$X$1001,MATCH(ROWS($W$2:W232),$W$2:$W$1001,0),1)&gt;=100000,INDEX($AD$1005:$AU$1005,1,MATCH(COLUMNS($AD$1006:AJ1006),$AD$1006:$AU$1006,0))&gt;=100000), " ",IF(INDEX($AD$2:$AU$1001,MATCH(ROWS($W$2:W232),$W$2:$W$1001,0),MATCH(COLUMNS($AD$1006:AJ1006),$AD$1006:$AU$1006,0)), HYPERLINK("#",""), HYPERLINK(CONCATENATE("#metadata!", ADDRESS(INDEX($Y$2:$Y$1001,MATCH(ROWS($W$2:W232),$W$2:$W$1001,0),0), INDEX($AD$1004:$AU$1004,1,MATCH(COLUMNS($AD$1006:AJ1006),$AD$1006:$AU$1006,0)))),"Fix")))</f>
        <v xml:space="preserve"> </v>
      </c>
      <c r="I232" s="4" t="str">
        <f ca="1">IF(OR(INDEX($X$2:$X$1001,MATCH(ROWS($W$2:W232),$W$2:$W$1001,0),1)&gt;=100000,INDEX($AD$1005:$AU$1005,1,MATCH(COLUMNS($AD$1006:AK1006),$AD$1006:$AU$1006,0))&gt;=100000), " ",IF(INDEX($AD$2:$AU$1001,MATCH(ROWS($W$2:W232),$W$2:$W$1001,0),MATCH(COLUMNS($AD$1006:AK1006),$AD$1006:$AU$1006,0)), HYPERLINK("#",""), HYPERLINK(CONCATENATE("#metadata!", ADDRESS(INDEX($Y$2:$Y$1001,MATCH(ROWS($W$2:W232),$W$2:$W$1001,0),0), INDEX($AD$1004:$AU$1004,1,MATCH(COLUMNS($AD$1006:AK1006),$AD$1006:$AU$1006,0)))),"Fix")))</f>
        <v xml:space="preserve"> </v>
      </c>
      <c r="J232" s="4" t="str">
        <f ca="1">IF(OR(INDEX($X$2:$X$1001,MATCH(ROWS($W$2:W232),$W$2:$W$1001,0),1)&gt;=100000,INDEX($AD$1005:$AU$1005,1,MATCH(COLUMNS($AD$1006:AL1006),$AD$1006:$AU$1006,0))&gt;=100000), " ",IF(INDEX($AD$2:$AU$1001,MATCH(ROWS($W$2:W232),$W$2:$W$1001,0),MATCH(COLUMNS($AD$1006:AL1006),$AD$1006:$AU$1006,0)), HYPERLINK("#",""), HYPERLINK(CONCATENATE("#metadata!", ADDRESS(INDEX($Y$2:$Y$1001,MATCH(ROWS($W$2:W232),$W$2:$W$1001,0),0), INDEX($AD$1004:$AU$1004,1,MATCH(COLUMNS($AD$1006:AL1006),$AD$1006:$AU$1006,0)))),"Fix")))</f>
        <v xml:space="preserve"> </v>
      </c>
      <c r="K232" s="4" t="str">
        <f ca="1">IF(OR(INDEX($X$2:$X$1001,MATCH(ROWS($W$2:W232),$W$2:$W$1001,0),1)&gt;=100000,INDEX($AD$1005:$AU$1005,1,MATCH(COLUMNS($AD$1006:AM1006),$AD$1006:$AU$1006,0))&gt;=100000), " ",IF(INDEX($AD$2:$AU$1001,MATCH(ROWS($W$2:W232),$W$2:$W$1001,0),MATCH(COLUMNS($AD$1006:AM1006),$AD$1006:$AU$1006,0)), HYPERLINK("#",""), HYPERLINK(CONCATENATE("#metadata!", ADDRESS(INDEX($Y$2:$Y$1001,MATCH(ROWS($W$2:W232),$W$2:$W$1001,0),0), INDEX($AD$1004:$AU$1004,1,MATCH(COLUMNS($AD$1006:AM1006),$AD$1006:$AU$1006,0)))),"Fix")))</f>
        <v xml:space="preserve"> </v>
      </c>
      <c r="L232" s="4" t="str">
        <f ca="1">IF(OR(INDEX($X$2:$X$1001,MATCH(ROWS($W$2:W232),$W$2:$W$1001,0),1)&gt;=100000,INDEX($AD$1005:$AU$1005,1,MATCH(COLUMNS($AD$1006:AN1006),$AD$1006:$AU$1006,0))&gt;=100000), " ",IF(INDEX($AD$2:$AU$1001,MATCH(ROWS($W$2:W232),$W$2:$W$1001,0),MATCH(COLUMNS($AD$1006:AN1006),$AD$1006:$AU$1006,0)), HYPERLINK("#",""), HYPERLINK(CONCATENATE("#metadata!", ADDRESS(INDEX($Y$2:$Y$1001,MATCH(ROWS($W$2:W232),$W$2:$W$1001,0),0), INDEX($AD$1004:$AU$1004,1,MATCH(COLUMNS($AD$1006:AN1006),$AD$1006:$AU$1006,0)))),"Fix")))</f>
        <v xml:space="preserve"> </v>
      </c>
      <c r="M232" s="4" t="str">
        <f ca="1">IF(OR(INDEX($X$2:$X$1001,MATCH(ROWS($W$2:W232),$W$2:$W$1001,0),1)&gt;=100000,INDEX($AD$1005:$AU$1005,1,MATCH(COLUMNS($AD$1006:AO1006),$AD$1006:$AU$1006,0))&gt;=100000), " ",IF(INDEX($AD$2:$AU$1001,MATCH(ROWS($W$2:W232),$W$2:$W$1001,0),MATCH(COLUMNS($AD$1006:AO1006),$AD$1006:$AU$1006,0)), HYPERLINK("#",""), HYPERLINK(CONCATENATE("#metadata!", ADDRESS(INDEX($Y$2:$Y$1001,MATCH(ROWS($W$2:W232),$W$2:$W$1001,0),0), INDEX($AD$1004:$AU$1004,1,MATCH(COLUMNS($AD$1006:AO1006),$AD$1006:$AU$1006,0)))),"Fix")))</f>
        <v xml:space="preserve"> </v>
      </c>
      <c r="N232" s="4" t="str">
        <f ca="1">IF(OR(INDEX($X$2:$X$1001,MATCH(ROWS($W$2:W232),$W$2:$W$1001,0),1)&gt;=100000,INDEX($AD$1005:$AU$1005,1,MATCH(COLUMNS($AD$1006:AP1006),$AD$1006:$AU$1006,0))&gt;=100000), " ",IF(INDEX($AD$2:$AU$1001,MATCH(ROWS($W$2:W232),$W$2:$W$1001,0),MATCH(COLUMNS($AD$1006:AP1006),$AD$1006:$AU$1006,0)), HYPERLINK("#",""), HYPERLINK(CONCATENATE("#metadata!", ADDRESS(INDEX($Y$2:$Y$1001,MATCH(ROWS($W$2:W232),$W$2:$W$1001,0),0), INDEX($AD$1004:$AU$1004,1,MATCH(COLUMNS($AD$1006:AP1006),$AD$1006:$AU$1006,0)))),"Fix")))</f>
        <v xml:space="preserve"> </v>
      </c>
      <c r="O232" s="4" t="str">
        <f ca="1">IF(OR(INDEX($X$2:$X$1001,MATCH(ROWS($W$2:W232),$W$2:$W$1001,0),1)&gt;=100000,INDEX($AD$1005:$AU$1005,1,MATCH(COLUMNS($AD$1006:AQ1006),$AD$1006:$AU$1006,0))&gt;=100000), " ",IF(INDEX($AD$2:$AU$1001,MATCH(ROWS($W$2:W232),$W$2:$W$1001,0),MATCH(COLUMNS($AD$1006:AQ1006),$AD$1006:$AU$1006,0)), HYPERLINK("#",""), HYPERLINK(CONCATENATE("#metadata!", ADDRESS(INDEX($Y$2:$Y$1001,MATCH(ROWS($W$2:W232),$W$2:$W$1001,0),0), INDEX($AD$1004:$AU$1004,1,MATCH(COLUMNS($AD$1006:AQ1006),$AD$1006:$AU$1006,0)))),"Fix")))</f>
        <v xml:space="preserve"> </v>
      </c>
      <c r="P232" s="4" t="str">
        <f ca="1">IF(OR(INDEX($X$2:$X$1001,MATCH(ROWS($W$2:W232),$W$2:$W$1001,0),1)&gt;=100000,INDEX($AD$1005:$AU$1005,1,MATCH(COLUMNS($AD$1006:AR1006),$AD$1006:$AU$1006,0))&gt;=100000), " ",IF(INDEX($AD$2:$AU$1001,MATCH(ROWS($W$2:W232),$W$2:$W$1001,0),MATCH(COLUMNS($AD$1006:AR1006),$AD$1006:$AU$1006,0)), HYPERLINK("#",""), HYPERLINK(CONCATENATE("#metadata!", ADDRESS(INDEX($Y$2:$Y$1001,MATCH(ROWS($W$2:W232),$W$2:$W$1001,0),0), INDEX($AD$1004:$AU$1004,1,MATCH(COLUMNS($AD$1006:AR1006),$AD$1006:$AU$1006,0)))),"Fix")))</f>
        <v xml:space="preserve"> </v>
      </c>
      <c r="Q232" s="4" t="str">
        <f ca="1">IF(OR(INDEX($X$2:$X$1001,MATCH(ROWS($W$2:W232),$W$2:$W$1001,0),1)&gt;=100000,INDEX($AD$1005:$AU$1005,1,MATCH(COLUMNS($AD$1006:AS1006),$AD$1006:$AU$1006,0))&gt;=100000), " ",IF(INDEX($AD$2:$AU$1001,MATCH(ROWS($W$2:W232),$W$2:$W$1001,0),MATCH(COLUMNS($AD$1006:AS1006),$AD$1006:$AU$1006,0)), HYPERLINK("#",""), HYPERLINK(CONCATENATE("#metadata!", ADDRESS(INDEX($Y$2:$Y$1001,MATCH(ROWS($W$2:W232),$W$2:$W$1001,0),0), INDEX($AD$1004:$AU$1004,1,MATCH(COLUMNS($AD$1006:AS1006),$AD$1006:$AU$1006,0)))),"Fix")))</f>
        <v xml:space="preserve"> </v>
      </c>
      <c r="R232" s="4" t="str">
        <f ca="1">IF(OR(INDEX($X$2:$X$1001,MATCH(ROWS($W$2:W232),$W$2:$W$1001,0),1)&gt;=100000,INDEX($AD$1005:$AU$1005,1,MATCH(COLUMNS($AD$1006:AT1006),$AD$1006:$AU$1006,0))&gt;=100000), " ",IF(INDEX($AD$2:$AU$1001,MATCH(ROWS($W$2:W232),$W$2:$W$1001,0),MATCH(COLUMNS($AD$1006:AT1006),$AD$1006:$AU$1006,0)), HYPERLINK("#",""), HYPERLINK(CONCATENATE("#metadata!", ADDRESS(INDEX($Y$2:$Y$1001,MATCH(ROWS($W$2:W232),$W$2:$W$1001,0),0), INDEX($AD$1004:$AU$1004,1,MATCH(COLUMNS($AD$1006:AT1006),$AD$1006:$AU$1006,0)))),"Fix")))</f>
        <v xml:space="preserve"> </v>
      </c>
      <c r="S232" s="4" t="str">
        <f ca="1">IF(OR(INDEX($X$2:$X$1001,MATCH(ROWS($W$2:W232),$W$2:$W$1001,0),1)&gt;=100000,INDEX($AD$1005:$AU$1005,1,MATCH(COLUMNS($AD$1006:AU1006),$AD$1006:$AU$1006,0))&gt;=100000), " ",IF(INDEX($AD$2:$AU$1001,MATCH(ROWS($W$2:W232),$W$2:$W$1001,0),MATCH(COLUMNS($AD$1006:AU1006),$AD$1006:$AU$1006,0)), HYPERLINK("#",""), HYPERLINK(CONCATENATE("#metadata!", ADDRESS(INDEX($Y$2:$Y$1001,MATCH(ROWS($W$2:W232),$W$2:$W$1001,0),0), INDEX($AD$1004:$AU$1004,1,MATCH(COLUMNS($AD$1006:AU1006),$AD$1006:$AU$1006,0)))),"Fix")))</f>
        <v xml:space="preserve"> </v>
      </c>
      <c r="W232">
        <v>231</v>
      </c>
      <c r="X232">
        <v>100232</v>
      </c>
      <c r="Y232">
        <v>232</v>
      </c>
      <c r="Z232" t="b">
        <f t="shared" si="3"/>
        <v>1</v>
      </c>
      <c r="AA232" t="b">
        <f>COUNTBLANK(metadata!B232:S232)=COLUMNS(metadata!B232:S232)</f>
        <v>1</v>
      </c>
      <c r="AB232" t="str">
        <v/>
      </c>
      <c r="AD232" t="b">
        <f ca="1">AND(IF(metadata!B232="",FALSE,TRUE),COUNTIF(metadata!B:B, metadata!B232) = 1,NOT(ISERROR(SUMPRODUCT(SEARCH(MID(metadata!B232,ROW(INDIRECT("1:"&amp;LEN(metadata!B232))), 1),"0123456789abcdefghijklmnopqrstuvwxyzABCDEFGHIJKLMNOPQRSTUVWXYZ.")))))</f>
        <v>0</v>
      </c>
      <c r="AE232" t="b">
        <f>OR(AND(IF(metadata!C232="",FALSE,TRUE),OR(EXACT(metadata!C232,"not applicable"),EXACT(metadata!C232,"missing: not collected"),EXACT(metadata!C232,"missing: not provided"),EXACT(metadata!C232,"missing: restricted access"))),AND(IF(metadata!C232="",FALSE,ISNUMBER(VALUE(metadata!C232))),metadata!C232&gt;0))</f>
        <v>0</v>
      </c>
      <c r="AF232" t="b">
        <f>AND(IF(metadata!D232="",FALSE,TRUE),EXACT(metadata!D232,"missing: not provided"))</f>
        <v>0</v>
      </c>
      <c r="AG232" t="b">
        <f>AND(IF(metadata!E232="",FALSE,TRUE),EXACT(metadata!E232,"Host-associated"))</f>
        <v>0</v>
      </c>
      <c r="AH232" t="b">
        <f>AND(IF(metadata!F232="",FALSE,TRUE),OR(EXACT(metadata!F232,"Animal"),EXACT(metadata!F232,"Fungus"),EXACT(metadata!F232,"Plant")))</f>
        <v>0</v>
      </c>
      <c r="AI232" t="b">
        <f>AND(IF(metadata!G232="",FALSE,TRUE),OR(EXACT(metadata!G232,"Plant secretion"),EXACT(metadata!G232,"Plant rhizosphere"),EXACT(metadata!G232,"Plant surface"),EXACT(metadata!G232,"Plant corpus"),EXACT(metadata!G232,"Fungus surface"),EXACT(metadata!G232,"Fungus corpus"),EXACT(metadata!G232,"Animal surface"),EXACT(metadata!G232,"Animal proximal gut"),EXACT(metadata!G232,"Animal corpus"),EXACT(metadata!G232,"Animal distal gut"),EXACT(metadata!G232,"Animal secretion")))</f>
        <v>0</v>
      </c>
      <c r="AJ232" t="b">
        <f>OR(AND(IF(metadata!H232="",FALSE,TRUE),OR(EXACT(metadata!H232,"missing: not collected"),EXACT(metadata!H232,"missing: not provided"),EXACT(metadata!H232,"missing: restricted access"))),AND(IF(metadata!H232="",FALSE,TRUE),OR(EXACT(metadata!H232,"organism-associated habitat"),EXACT(metadata!H232,"plant-associated habitat"),EXACT(metadata!H232,"animal-associated habitat"),EXACT(metadata!H232,"insecta-associated habitat"),EXACT(metadata!H232,"mammalia-associated habitat"),EXACT(metadata!H232,"human-associated habitat"),EXACT(metadata!H232,"livestock-associated habitat"))))</f>
        <v>0</v>
      </c>
      <c r="AK232" t="b">
        <f>AND(IF(metadata!I232="",FALSE,TRUE),EXACT(metadata!I232,"host-associated"))</f>
        <v>0</v>
      </c>
      <c r="AL232" t="b">
        <f>OR(AND(IF(metadata!J232="",FALSE,TRUE),OR(EXACT(metadata!J232,"not applicable"),EXACT(metadata!J232,"missing: not collected"),EXACT(metadata!J232,"missing: not provided"),EXACT(metadata!J232,"missing: restricted access"))),AND(IF(metadata!J232="",FALSE,ISNUMBER(VALUE(metadata!J232))),metadata!J232&gt;0))</f>
        <v>0</v>
      </c>
      <c r="AM232" t="b">
        <f>AND(IF(metadata!K232="",FALSE,TRUE),EXACT(metadata!K232,"missing: not provided"))</f>
        <v>0</v>
      </c>
      <c r="AN232" t="b">
        <f>IF(metadata!L232="",FALSE,TRUE)</f>
        <v>0</v>
      </c>
      <c r="AO232" t="b">
        <f>IF(metadata!M232="",FALSE,TRUE)</f>
        <v>0</v>
      </c>
      <c r="AP232" t="b">
        <f>OR(AND(IF(metadata!N232="",FALSE,TRUE),OR(EXACT(metadata!N232,"not applicable"),EXACT(metadata!N232,"missing: not collected"),EXACT(metadata!N232,"missing: not provided"))),AND(IF(metadata!N232="",FALSE,IF(ISERROR(INT(metadata!N232)),FALSE,INT(metadata!N232)=metadata!N232)),metadata!N232&gt;0))</f>
        <v>0</v>
      </c>
      <c r="AQ232" t="b">
        <f>AND(IF(metadata!O232="",FALSE,TRUE),EXACT(metadata!O232,"Not applicable"))</f>
        <v>0</v>
      </c>
      <c r="AR232" t="b">
        <f>OR(AND(IF(metadata!P232="",FALSE,TRUE),OR(EXACT(metadata!P232,"not applicable"),EXACT(metadata!P232,"missing: not collected"),EXACT(metadata!P232,"missing: not provided"),EXACT(metadata!P232,"missing: restricted access"))),IF(metadata!P232="",FALSE,IF(ISERROR(INT(metadata!P232)),FALSE,INT(metadata!P232)=metadata!P232)))</f>
        <v>0</v>
      </c>
      <c r="AS232" t="b">
        <f>AND(IF(metadata!Q232="",FALSE,TRUE),EXACT(metadata!Q232,"Not applicable"))</f>
        <v>0</v>
      </c>
      <c r="AT232" t="b">
        <f>OR(AND(IF(metadata!R232="",FALSE,TRUE),OR(EXACT(metadata!R232,"not applicable"),EXACT(metadata!R232,"missing: not collected"),EXACT(metadata!R232,"missing: not provided"),EXACT(metadata!R232,"missing: restricted access"))),AND(IF(metadata!R232="",FALSE,ISNUMBER(VALUE(metadata!R232))),metadata!R232&gt;0))</f>
        <v>0</v>
      </c>
      <c r="AU232" t="b">
        <f>AND(IF(metadata!S232="",FALSE,TRUE),EXACT(metadata!S232,"missing: not provided"))</f>
        <v>0</v>
      </c>
    </row>
    <row r="233" spans="1:47" x14ac:dyDescent="0.2">
      <c r="A233" s="5" t="str">
        <f ca="1">IF(B233=" "," ",HYPERLINK(CONCATENATE("#metadata!",ADDRESS(INDEX($Y$2:$Y$1001,MATCH(ROWS($W$2:W233),$W$2:$W$1001,0),0),1)),INDEX($AB$2:$AB$1001,MATCH(ROWS($W$2:W233),$W$2:$W$1001,0),0)))</f>
        <v xml:space="preserve"> </v>
      </c>
      <c r="B233" s="4" t="str">
        <f ca="1">IF(OR(INDEX($X$2:$X$1001,MATCH(ROWS($W$2:W233),$W$2:$W$1001,0),1)&gt;=100000,INDEX($AD$1005:$AU$1005,1,MATCH(COLUMNS($AD$1006:AD1006),$AD$1006:$AU$1006,0))&gt;=100000), " ",IF(INDEX($AD$2:$AU$1001,MATCH(ROWS($W$2:W233),$W$2:$W$1001,0),MATCH(COLUMNS($AD$1006:AD1006),$AD$1006:$AU$1006,0)), HYPERLINK("#",""), HYPERLINK(CONCATENATE("#metadata!", ADDRESS(INDEX($Y$2:$Y$1001,MATCH(ROWS($W$2:W233),$W$2:$W$1001,0),0), INDEX($AD$1004:$AU$1004,1,MATCH(COLUMNS($AD$1006:AD1006),$AD$1006:$AU$1006,0)))),"Fix")))</f>
        <v xml:space="preserve"> </v>
      </c>
      <c r="C233" s="4" t="str">
        <f ca="1">IF(OR(INDEX($X$2:$X$1001,MATCH(ROWS($W$2:W233),$W$2:$W$1001,0),1)&gt;=100000,INDEX($AD$1005:$AU$1005,1,MATCH(COLUMNS($AD$1006:AE1006),$AD$1006:$AU$1006,0))&gt;=100000), " ",IF(INDEX($AD$2:$AU$1001,MATCH(ROWS($W$2:W233),$W$2:$W$1001,0),MATCH(COLUMNS($AD$1006:AE1006),$AD$1006:$AU$1006,0)), HYPERLINK("#",""), HYPERLINK(CONCATENATE("#metadata!", ADDRESS(INDEX($Y$2:$Y$1001,MATCH(ROWS($W$2:W233),$W$2:$W$1001,0),0), INDEX($AD$1004:$AU$1004,1,MATCH(COLUMNS($AD$1006:AE1006),$AD$1006:$AU$1006,0)))),"Fix")))</f>
        <v xml:space="preserve"> </v>
      </c>
      <c r="D233" s="4" t="str">
        <f ca="1">IF(OR(INDEX($X$2:$X$1001,MATCH(ROWS($W$2:W233),$W$2:$W$1001,0),1)&gt;=100000,INDEX($AD$1005:$AU$1005,1,MATCH(COLUMNS($AD$1006:AF1006),$AD$1006:$AU$1006,0))&gt;=100000), " ",IF(INDEX($AD$2:$AU$1001,MATCH(ROWS($W$2:W233),$W$2:$W$1001,0),MATCH(COLUMNS($AD$1006:AF1006),$AD$1006:$AU$1006,0)), HYPERLINK("#",""), HYPERLINK(CONCATENATE("#metadata!", ADDRESS(INDEX($Y$2:$Y$1001,MATCH(ROWS($W$2:W233),$W$2:$W$1001,0),0), INDEX($AD$1004:$AU$1004,1,MATCH(COLUMNS($AD$1006:AF1006),$AD$1006:$AU$1006,0)))),"Fix")))</f>
        <v xml:space="preserve"> </v>
      </c>
      <c r="E233" s="4" t="str">
        <f ca="1">IF(OR(INDEX($X$2:$X$1001,MATCH(ROWS($W$2:W233),$W$2:$W$1001,0),1)&gt;=100000,INDEX($AD$1005:$AU$1005,1,MATCH(COLUMNS($AD$1006:AG1006),$AD$1006:$AU$1006,0))&gt;=100000), " ",IF(INDEX($AD$2:$AU$1001,MATCH(ROWS($W$2:W233),$W$2:$W$1001,0),MATCH(COLUMNS($AD$1006:AG1006),$AD$1006:$AU$1006,0)), HYPERLINK("#",""), HYPERLINK(CONCATENATE("#metadata!", ADDRESS(INDEX($Y$2:$Y$1001,MATCH(ROWS($W$2:W233),$W$2:$W$1001,0),0), INDEX($AD$1004:$AU$1004,1,MATCH(COLUMNS($AD$1006:AG1006),$AD$1006:$AU$1006,0)))),"Fix")))</f>
        <v xml:space="preserve"> </v>
      </c>
      <c r="F233" s="4" t="str">
        <f ca="1">IF(OR(INDEX($X$2:$X$1001,MATCH(ROWS($W$2:W233),$W$2:$W$1001,0),1)&gt;=100000,INDEX($AD$1005:$AU$1005,1,MATCH(COLUMNS($AD$1006:AH1006),$AD$1006:$AU$1006,0))&gt;=100000), " ",IF(INDEX($AD$2:$AU$1001,MATCH(ROWS($W$2:W233),$W$2:$W$1001,0),MATCH(COLUMNS($AD$1006:AH1006),$AD$1006:$AU$1006,0)), HYPERLINK("#",""), HYPERLINK(CONCATENATE("#metadata!", ADDRESS(INDEX($Y$2:$Y$1001,MATCH(ROWS($W$2:W233),$W$2:$W$1001,0),0), INDEX($AD$1004:$AU$1004,1,MATCH(COLUMNS($AD$1006:AH1006),$AD$1006:$AU$1006,0)))),"Fix")))</f>
        <v xml:space="preserve"> </v>
      </c>
      <c r="G233" s="4" t="str">
        <f ca="1">IF(OR(INDEX($X$2:$X$1001,MATCH(ROWS($W$2:W233),$W$2:$W$1001,0),1)&gt;=100000,INDEX($AD$1005:$AU$1005,1,MATCH(COLUMNS($AD$1006:AI1006),$AD$1006:$AU$1006,0))&gt;=100000), " ",IF(INDEX($AD$2:$AU$1001,MATCH(ROWS($W$2:W233),$W$2:$W$1001,0),MATCH(COLUMNS($AD$1006:AI1006),$AD$1006:$AU$1006,0)), HYPERLINK("#",""), HYPERLINK(CONCATENATE("#metadata!", ADDRESS(INDEX($Y$2:$Y$1001,MATCH(ROWS($W$2:W233),$W$2:$W$1001,0),0), INDEX($AD$1004:$AU$1004,1,MATCH(COLUMNS($AD$1006:AI1006),$AD$1006:$AU$1006,0)))),"Fix")))</f>
        <v xml:space="preserve"> </v>
      </c>
      <c r="H233" s="4" t="str">
        <f ca="1">IF(OR(INDEX($X$2:$X$1001,MATCH(ROWS($W$2:W233),$W$2:$W$1001,0),1)&gt;=100000,INDEX($AD$1005:$AU$1005,1,MATCH(COLUMNS($AD$1006:AJ1006),$AD$1006:$AU$1006,0))&gt;=100000), " ",IF(INDEX($AD$2:$AU$1001,MATCH(ROWS($W$2:W233),$W$2:$W$1001,0),MATCH(COLUMNS($AD$1006:AJ1006),$AD$1006:$AU$1006,0)), HYPERLINK("#",""), HYPERLINK(CONCATENATE("#metadata!", ADDRESS(INDEX($Y$2:$Y$1001,MATCH(ROWS($W$2:W233),$W$2:$W$1001,0),0), INDEX($AD$1004:$AU$1004,1,MATCH(COLUMNS($AD$1006:AJ1006),$AD$1006:$AU$1006,0)))),"Fix")))</f>
        <v xml:space="preserve"> </v>
      </c>
      <c r="I233" s="4" t="str">
        <f ca="1">IF(OR(INDEX($X$2:$X$1001,MATCH(ROWS($W$2:W233),$W$2:$W$1001,0),1)&gt;=100000,INDEX($AD$1005:$AU$1005,1,MATCH(COLUMNS($AD$1006:AK1006),$AD$1006:$AU$1006,0))&gt;=100000), " ",IF(INDEX($AD$2:$AU$1001,MATCH(ROWS($W$2:W233),$W$2:$W$1001,0),MATCH(COLUMNS($AD$1006:AK1006),$AD$1006:$AU$1006,0)), HYPERLINK("#",""), HYPERLINK(CONCATENATE("#metadata!", ADDRESS(INDEX($Y$2:$Y$1001,MATCH(ROWS($W$2:W233),$W$2:$W$1001,0),0), INDEX($AD$1004:$AU$1004,1,MATCH(COLUMNS($AD$1006:AK1006),$AD$1006:$AU$1006,0)))),"Fix")))</f>
        <v xml:space="preserve"> </v>
      </c>
      <c r="J233" s="4" t="str">
        <f ca="1">IF(OR(INDEX($X$2:$X$1001,MATCH(ROWS($W$2:W233),$W$2:$W$1001,0),1)&gt;=100000,INDEX($AD$1005:$AU$1005,1,MATCH(COLUMNS($AD$1006:AL1006),$AD$1006:$AU$1006,0))&gt;=100000), " ",IF(INDEX($AD$2:$AU$1001,MATCH(ROWS($W$2:W233),$W$2:$W$1001,0),MATCH(COLUMNS($AD$1006:AL1006),$AD$1006:$AU$1006,0)), HYPERLINK("#",""), HYPERLINK(CONCATENATE("#metadata!", ADDRESS(INDEX($Y$2:$Y$1001,MATCH(ROWS($W$2:W233),$W$2:$W$1001,0),0), INDEX($AD$1004:$AU$1004,1,MATCH(COLUMNS($AD$1006:AL1006),$AD$1006:$AU$1006,0)))),"Fix")))</f>
        <v xml:space="preserve"> </v>
      </c>
      <c r="K233" s="4" t="str">
        <f ca="1">IF(OR(INDEX($X$2:$X$1001,MATCH(ROWS($W$2:W233),$W$2:$W$1001,0),1)&gt;=100000,INDEX($AD$1005:$AU$1005,1,MATCH(COLUMNS($AD$1006:AM1006),$AD$1006:$AU$1006,0))&gt;=100000), " ",IF(INDEX($AD$2:$AU$1001,MATCH(ROWS($W$2:W233),$W$2:$W$1001,0),MATCH(COLUMNS($AD$1006:AM1006),$AD$1006:$AU$1006,0)), HYPERLINK("#",""), HYPERLINK(CONCATENATE("#metadata!", ADDRESS(INDEX($Y$2:$Y$1001,MATCH(ROWS($W$2:W233),$W$2:$W$1001,0),0), INDEX($AD$1004:$AU$1004,1,MATCH(COLUMNS($AD$1006:AM1006),$AD$1006:$AU$1006,0)))),"Fix")))</f>
        <v xml:space="preserve"> </v>
      </c>
      <c r="L233" s="4" t="str">
        <f ca="1">IF(OR(INDEX($X$2:$X$1001,MATCH(ROWS($W$2:W233),$W$2:$W$1001,0),1)&gt;=100000,INDEX($AD$1005:$AU$1005,1,MATCH(COLUMNS($AD$1006:AN1006),$AD$1006:$AU$1006,0))&gt;=100000), " ",IF(INDEX($AD$2:$AU$1001,MATCH(ROWS($W$2:W233),$W$2:$W$1001,0),MATCH(COLUMNS($AD$1006:AN1006),$AD$1006:$AU$1006,0)), HYPERLINK("#",""), HYPERLINK(CONCATENATE("#metadata!", ADDRESS(INDEX($Y$2:$Y$1001,MATCH(ROWS($W$2:W233),$W$2:$W$1001,0),0), INDEX($AD$1004:$AU$1004,1,MATCH(COLUMNS($AD$1006:AN1006),$AD$1006:$AU$1006,0)))),"Fix")))</f>
        <v xml:space="preserve"> </v>
      </c>
      <c r="M233" s="4" t="str">
        <f ca="1">IF(OR(INDEX($X$2:$X$1001,MATCH(ROWS($W$2:W233),$W$2:$W$1001,0),1)&gt;=100000,INDEX($AD$1005:$AU$1005,1,MATCH(COLUMNS($AD$1006:AO1006),$AD$1006:$AU$1006,0))&gt;=100000), " ",IF(INDEX($AD$2:$AU$1001,MATCH(ROWS($W$2:W233),$W$2:$W$1001,0),MATCH(COLUMNS($AD$1006:AO1006),$AD$1006:$AU$1006,0)), HYPERLINK("#",""), HYPERLINK(CONCATENATE("#metadata!", ADDRESS(INDEX($Y$2:$Y$1001,MATCH(ROWS($W$2:W233),$W$2:$W$1001,0),0), INDEX($AD$1004:$AU$1004,1,MATCH(COLUMNS($AD$1006:AO1006),$AD$1006:$AU$1006,0)))),"Fix")))</f>
        <v xml:space="preserve"> </v>
      </c>
      <c r="N233" s="4" t="str">
        <f ca="1">IF(OR(INDEX($X$2:$X$1001,MATCH(ROWS($W$2:W233),$W$2:$W$1001,0),1)&gt;=100000,INDEX($AD$1005:$AU$1005,1,MATCH(COLUMNS($AD$1006:AP1006),$AD$1006:$AU$1006,0))&gt;=100000), " ",IF(INDEX($AD$2:$AU$1001,MATCH(ROWS($W$2:W233),$W$2:$W$1001,0),MATCH(COLUMNS($AD$1006:AP1006),$AD$1006:$AU$1006,0)), HYPERLINK("#",""), HYPERLINK(CONCATENATE("#metadata!", ADDRESS(INDEX($Y$2:$Y$1001,MATCH(ROWS($W$2:W233),$W$2:$W$1001,0),0), INDEX($AD$1004:$AU$1004,1,MATCH(COLUMNS($AD$1006:AP1006),$AD$1006:$AU$1006,0)))),"Fix")))</f>
        <v xml:space="preserve"> </v>
      </c>
      <c r="O233" s="4" t="str">
        <f ca="1">IF(OR(INDEX($X$2:$X$1001,MATCH(ROWS($W$2:W233),$W$2:$W$1001,0),1)&gt;=100000,INDEX($AD$1005:$AU$1005,1,MATCH(COLUMNS($AD$1006:AQ1006),$AD$1006:$AU$1006,0))&gt;=100000), " ",IF(INDEX($AD$2:$AU$1001,MATCH(ROWS($W$2:W233),$W$2:$W$1001,0),MATCH(COLUMNS($AD$1006:AQ1006),$AD$1006:$AU$1006,0)), HYPERLINK("#",""), HYPERLINK(CONCATENATE("#metadata!", ADDRESS(INDEX($Y$2:$Y$1001,MATCH(ROWS($W$2:W233),$W$2:$W$1001,0),0), INDEX($AD$1004:$AU$1004,1,MATCH(COLUMNS($AD$1006:AQ1006),$AD$1006:$AU$1006,0)))),"Fix")))</f>
        <v xml:space="preserve"> </v>
      </c>
      <c r="P233" s="4" t="str">
        <f ca="1">IF(OR(INDEX($X$2:$X$1001,MATCH(ROWS($W$2:W233),$W$2:$W$1001,0),1)&gt;=100000,INDEX($AD$1005:$AU$1005,1,MATCH(COLUMNS($AD$1006:AR1006),$AD$1006:$AU$1006,0))&gt;=100000), " ",IF(INDEX($AD$2:$AU$1001,MATCH(ROWS($W$2:W233),$W$2:$W$1001,0),MATCH(COLUMNS($AD$1006:AR1006),$AD$1006:$AU$1006,0)), HYPERLINK("#",""), HYPERLINK(CONCATENATE("#metadata!", ADDRESS(INDEX($Y$2:$Y$1001,MATCH(ROWS($W$2:W233),$W$2:$W$1001,0),0), INDEX($AD$1004:$AU$1004,1,MATCH(COLUMNS($AD$1006:AR1006),$AD$1006:$AU$1006,0)))),"Fix")))</f>
        <v xml:space="preserve"> </v>
      </c>
      <c r="Q233" s="4" t="str">
        <f ca="1">IF(OR(INDEX($X$2:$X$1001,MATCH(ROWS($W$2:W233),$W$2:$W$1001,0),1)&gt;=100000,INDEX($AD$1005:$AU$1005,1,MATCH(COLUMNS($AD$1006:AS1006),$AD$1006:$AU$1006,0))&gt;=100000), " ",IF(INDEX($AD$2:$AU$1001,MATCH(ROWS($W$2:W233),$W$2:$W$1001,0),MATCH(COLUMNS($AD$1006:AS1006),$AD$1006:$AU$1006,0)), HYPERLINK("#",""), HYPERLINK(CONCATENATE("#metadata!", ADDRESS(INDEX($Y$2:$Y$1001,MATCH(ROWS($W$2:W233),$W$2:$W$1001,0),0), INDEX($AD$1004:$AU$1004,1,MATCH(COLUMNS($AD$1006:AS1006),$AD$1006:$AU$1006,0)))),"Fix")))</f>
        <v xml:space="preserve"> </v>
      </c>
      <c r="R233" s="4" t="str">
        <f ca="1">IF(OR(INDEX($X$2:$X$1001,MATCH(ROWS($W$2:W233),$W$2:$W$1001,0),1)&gt;=100000,INDEX($AD$1005:$AU$1005,1,MATCH(COLUMNS($AD$1006:AT1006),$AD$1006:$AU$1006,0))&gt;=100000), " ",IF(INDEX($AD$2:$AU$1001,MATCH(ROWS($W$2:W233),$W$2:$W$1001,0),MATCH(COLUMNS($AD$1006:AT1006),$AD$1006:$AU$1006,0)), HYPERLINK("#",""), HYPERLINK(CONCATENATE("#metadata!", ADDRESS(INDEX($Y$2:$Y$1001,MATCH(ROWS($W$2:W233),$W$2:$W$1001,0),0), INDEX($AD$1004:$AU$1004,1,MATCH(COLUMNS($AD$1006:AT1006),$AD$1006:$AU$1006,0)))),"Fix")))</f>
        <v xml:space="preserve"> </v>
      </c>
      <c r="S233" s="4" t="str">
        <f ca="1">IF(OR(INDEX($X$2:$X$1001,MATCH(ROWS($W$2:W233),$W$2:$W$1001,0),1)&gt;=100000,INDEX($AD$1005:$AU$1005,1,MATCH(COLUMNS($AD$1006:AU1006),$AD$1006:$AU$1006,0))&gt;=100000), " ",IF(INDEX($AD$2:$AU$1001,MATCH(ROWS($W$2:W233),$W$2:$W$1001,0),MATCH(COLUMNS($AD$1006:AU1006),$AD$1006:$AU$1006,0)), HYPERLINK("#",""), HYPERLINK(CONCATENATE("#metadata!", ADDRESS(INDEX($Y$2:$Y$1001,MATCH(ROWS($W$2:W233),$W$2:$W$1001,0),0), INDEX($AD$1004:$AU$1004,1,MATCH(COLUMNS($AD$1006:AU1006),$AD$1006:$AU$1006,0)))),"Fix")))</f>
        <v xml:space="preserve"> </v>
      </c>
      <c r="W233">
        <v>232</v>
      </c>
      <c r="X233">
        <v>100233</v>
      </c>
      <c r="Y233">
        <v>233</v>
      </c>
      <c r="Z233" t="b">
        <f t="shared" si="3"/>
        <v>1</v>
      </c>
      <c r="AA233" t="b">
        <f>COUNTBLANK(metadata!B233:S233)=COLUMNS(metadata!B233:S233)</f>
        <v>1</v>
      </c>
      <c r="AB233" t="str">
        <v/>
      </c>
      <c r="AD233" t="b">
        <f ca="1">AND(IF(metadata!B233="",FALSE,TRUE),COUNTIF(metadata!B:B, metadata!B233) = 1,NOT(ISERROR(SUMPRODUCT(SEARCH(MID(metadata!B233,ROW(INDIRECT("1:"&amp;LEN(metadata!B233))), 1),"0123456789abcdefghijklmnopqrstuvwxyzABCDEFGHIJKLMNOPQRSTUVWXYZ.")))))</f>
        <v>0</v>
      </c>
      <c r="AE233" t="b">
        <f>OR(AND(IF(metadata!C233="",FALSE,TRUE),OR(EXACT(metadata!C233,"not applicable"),EXACT(metadata!C233,"missing: not collected"),EXACT(metadata!C233,"missing: not provided"),EXACT(metadata!C233,"missing: restricted access"))),AND(IF(metadata!C233="",FALSE,ISNUMBER(VALUE(metadata!C233))),metadata!C233&gt;0))</f>
        <v>0</v>
      </c>
      <c r="AF233" t="b">
        <f>AND(IF(metadata!D233="",FALSE,TRUE),EXACT(metadata!D233,"missing: not provided"))</f>
        <v>0</v>
      </c>
      <c r="AG233" t="b">
        <f>AND(IF(metadata!E233="",FALSE,TRUE),EXACT(metadata!E233,"Host-associated"))</f>
        <v>0</v>
      </c>
      <c r="AH233" t="b">
        <f>AND(IF(metadata!F233="",FALSE,TRUE),OR(EXACT(metadata!F233,"Animal"),EXACT(metadata!F233,"Fungus"),EXACT(metadata!F233,"Plant")))</f>
        <v>0</v>
      </c>
      <c r="AI233" t="b">
        <f>AND(IF(metadata!G233="",FALSE,TRUE),OR(EXACT(metadata!G233,"Plant secretion"),EXACT(metadata!G233,"Plant rhizosphere"),EXACT(metadata!G233,"Plant surface"),EXACT(metadata!G233,"Plant corpus"),EXACT(metadata!G233,"Fungus surface"),EXACT(metadata!G233,"Fungus corpus"),EXACT(metadata!G233,"Animal surface"),EXACT(metadata!G233,"Animal proximal gut"),EXACT(metadata!G233,"Animal corpus"),EXACT(metadata!G233,"Animal distal gut"),EXACT(metadata!G233,"Animal secretion")))</f>
        <v>0</v>
      </c>
      <c r="AJ233" t="b">
        <f>OR(AND(IF(metadata!H233="",FALSE,TRUE),OR(EXACT(metadata!H233,"missing: not collected"),EXACT(metadata!H233,"missing: not provided"),EXACT(metadata!H233,"missing: restricted access"))),AND(IF(metadata!H233="",FALSE,TRUE),OR(EXACT(metadata!H233,"organism-associated habitat"),EXACT(metadata!H233,"plant-associated habitat"),EXACT(metadata!H233,"animal-associated habitat"),EXACT(metadata!H233,"insecta-associated habitat"),EXACT(metadata!H233,"mammalia-associated habitat"),EXACT(metadata!H233,"human-associated habitat"),EXACT(metadata!H233,"livestock-associated habitat"))))</f>
        <v>0</v>
      </c>
      <c r="AK233" t="b">
        <f>AND(IF(metadata!I233="",FALSE,TRUE),EXACT(metadata!I233,"host-associated"))</f>
        <v>0</v>
      </c>
      <c r="AL233" t="b">
        <f>OR(AND(IF(metadata!J233="",FALSE,TRUE),OR(EXACT(metadata!J233,"not applicable"),EXACT(metadata!J233,"missing: not collected"),EXACT(metadata!J233,"missing: not provided"),EXACT(metadata!J233,"missing: restricted access"))),AND(IF(metadata!J233="",FALSE,ISNUMBER(VALUE(metadata!J233))),metadata!J233&gt;0))</f>
        <v>0</v>
      </c>
      <c r="AM233" t="b">
        <f>AND(IF(metadata!K233="",FALSE,TRUE),EXACT(metadata!K233,"missing: not provided"))</f>
        <v>0</v>
      </c>
      <c r="AN233" t="b">
        <f>IF(metadata!L233="",FALSE,TRUE)</f>
        <v>0</v>
      </c>
      <c r="AO233" t="b">
        <f>IF(metadata!M233="",FALSE,TRUE)</f>
        <v>0</v>
      </c>
      <c r="AP233" t="b">
        <f>OR(AND(IF(metadata!N233="",FALSE,TRUE),OR(EXACT(metadata!N233,"not applicable"),EXACT(metadata!N233,"missing: not collected"),EXACT(metadata!N233,"missing: not provided"))),AND(IF(metadata!N233="",FALSE,IF(ISERROR(INT(metadata!N233)),FALSE,INT(metadata!N233)=metadata!N233)),metadata!N233&gt;0))</f>
        <v>0</v>
      </c>
      <c r="AQ233" t="b">
        <f>AND(IF(metadata!O233="",FALSE,TRUE),EXACT(metadata!O233,"Not applicable"))</f>
        <v>0</v>
      </c>
      <c r="AR233" t="b">
        <f>OR(AND(IF(metadata!P233="",FALSE,TRUE),OR(EXACT(metadata!P233,"not applicable"),EXACT(metadata!P233,"missing: not collected"),EXACT(metadata!P233,"missing: not provided"),EXACT(metadata!P233,"missing: restricted access"))),IF(metadata!P233="",FALSE,IF(ISERROR(INT(metadata!P233)),FALSE,INT(metadata!P233)=metadata!P233)))</f>
        <v>0</v>
      </c>
      <c r="AS233" t="b">
        <f>AND(IF(metadata!Q233="",FALSE,TRUE),EXACT(metadata!Q233,"Not applicable"))</f>
        <v>0</v>
      </c>
      <c r="AT233" t="b">
        <f>OR(AND(IF(metadata!R233="",FALSE,TRUE),OR(EXACT(metadata!R233,"not applicable"),EXACT(metadata!R233,"missing: not collected"),EXACT(metadata!R233,"missing: not provided"),EXACT(metadata!R233,"missing: restricted access"))),AND(IF(metadata!R233="",FALSE,ISNUMBER(VALUE(metadata!R233))),metadata!R233&gt;0))</f>
        <v>0</v>
      </c>
      <c r="AU233" t="b">
        <f>AND(IF(metadata!S233="",FALSE,TRUE),EXACT(metadata!S233,"missing: not provided"))</f>
        <v>0</v>
      </c>
    </row>
    <row r="234" spans="1:47" x14ac:dyDescent="0.2">
      <c r="A234" s="5" t="str">
        <f ca="1">IF(B234=" "," ",HYPERLINK(CONCATENATE("#metadata!",ADDRESS(INDEX($Y$2:$Y$1001,MATCH(ROWS($W$2:W234),$W$2:$W$1001,0),0),1)),INDEX($AB$2:$AB$1001,MATCH(ROWS($W$2:W234),$W$2:$W$1001,0),0)))</f>
        <v xml:space="preserve"> </v>
      </c>
      <c r="B234" s="4" t="str">
        <f ca="1">IF(OR(INDEX($X$2:$X$1001,MATCH(ROWS($W$2:W234),$W$2:$W$1001,0),1)&gt;=100000,INDEX($AD$1005:$AU$1005,1,MATCH(COLUMNS($AD$1006:AD1006),$AD$1006:$AU$1006,0))&gt;=100000), " ",IF(INDEX($AD$2:$AU$1001,MATCH(ROWS($W$2:W234),$W$2:$W$1001,0),MATCH(COLUMNS($AD$1006:AD1006),$AD$1006:$AU$1006,0)), HYPERLINK("#",""), HYPERLINK(CONCATENATE("#metadata!", ADDRESS(INDEX($Y$2:$Y$1001,MATCH(ROWS($W$2:W234),$W$2:$W$1001,0),0), INDEX($AD$1004:$AU$1004,1,MATCH(COLUMNS($AD$1006:AD1006),$AD$1006:$AU$1006,0)))),"Fix")))</f>
        <v xml:space="preserve"> </v>
      </c>
      <c r="C234" s="4" t="str">
        <f ca="1">IF(OR(INDEX($X$2:$X$1001,MATCH(ROWS($W$2:W234),$W$2:$W$1001,0),1)&gt;=100000,INDEX($AD$1005:$AU$1005,1,MATCH(COLUMNS($AD$1006:AE1006),$AD$1006:$AU$1006,0))&gt;=100000), " ",IF(INDEX($AD$2:$AU$1001,MATCH(ROWS($W$2:W234),$W$2:$W$1001,0),MATCH(COLUMNS($AD$1006:AE1006),$AD$1006:$AU$1006,0)), HYPERLINK("#",""), HYPERLINK(CONCATENATE("#metadata!", ADDRESS(INDEX($Y$2:$Y$1001,MATCH(ROWS($W$2:W234),$W$2:$W$1001,0),0), INDEX($AD$1004:$AU$1004,1,MATCH(COLUMNS($AD$1006:AE1006),$AD$1006:$AU$1006,0)))),"Fix")))</f>
        <v xml:space="preserve"> </v>
      </c>
      <c r="D234" s="4" t="str">
        <f ca="1">IF(OR(INDEX($X$2:$X$1001,MATCH(ROWS($W$2:W234),$W$2:$W$1001,0),1)&gt;=100000,INDEX($AD$1005:$AU$1005,1,MATCH(COLUMNS($AD$1006:AF1006),$AD$1006:$AU$1006,0))&gt;=100000), " ",IF(INDEX($AD$2:$AU$1001,MATCH(ROWS($W$2:W234),$W$2:$W$1001,0),MATCH(COLUMNS($AD$1006:AF1006),$AD$1006:$AU$1006,0)), HYPERLINK("#",""), HYPERLINK(CONCATENATE("#metadata!", ADDRESS(INDEX($Y$2:$Y$1001,MATCH(ROWS($W$2:W234),$W$2:$W$1001,0),0), INDEX($AD$1004:$AU$1004,1,MATCH(COLUMNS($AD$1006:AF1006),$AD$1006:$AU$1006,0)))),"Fix")))</f>
        <v xml:space="preserve"> </v>
      </c>
      <c r="E234" s="4" t="str">
        <f ca="1">IF(OR(INDEX($X$2:$X$1001,MATCH(ROWS($W$2:W234),$W$2:$W$1001,0),1)&gt;=100000,INDEX($AD$1005:$AU$1005,1,MATCH(COLUMNS($AD$1006:AG1006),$AD$1006:$AU$1006,0))&gt;=100000), " ",IF(INDEX($AD$2:$AU$1001,MATCH(ROWS($W$2:W234),$W$2:$W$1001,0),MATCH(COLUMNS($AD$1006:AG1006),$AD$1006:$AU$1006,0)), HYPERLINK("#",""), HYPERLINK(CONCATENATE("#metadata!", ADDRESS(INDEX($Y$2:$Y$1001,MATCH(ROWS($W$2:W234),$W$2:$W$1001,0),0), INDEX($AD$1004:$AU$1004,1,MATCH(COLUMNS($AD$1006:AG1006),$AD$1006:$AU$1006,0)))),"Fix")))</f>
        <v xml:space="preserve"> </v>
      </c>
      <c r="F234" s="4" t="str">
        <f ca="1">IF(OR(INDEX($X$2:$X$1001,MATCH(ROWS($W$2:W234),$W$2:$W$1001,0),1)&gt;=100000,INDEX($AD$1005:$AU$1005,1,MATCH(COLUMNS($AD$1006:AH1006),$AD$1006:$AU$1006,0))&gt;=100000), " ",IF(INDEX($AD$2:$AU$1001,MATCH(ROWS($W$2:W234),$W$2:$W$1001,0),MATCH(COLUMNS($AD$1006:AH1006),$AD$1006:$AU$1006,0)), HYPERLINK("#",""), HYPERLINK(CONCATENATE("#metadata!", ADDRESS(INDEX($Y$2:$Y$1001,MATCH(ROWS($W$2:W234),$W$2:$W$1001,0),0), INDEX($AD$1004:$AU$1004,1,MATCH(COLUMNS($AD$1006:AH1006),$AD$1006:$AU$1006,0)))),"Fix")))</f>
        <v xml:space="preserve"> </v>
      </c>
      <c r="G234" s="4" t="str">
        <f ca="1">IF(OR(INDEX($X$2:$X$1001,MATCH(ROWS($W$2:W234),$W$2:$W$1001,0),1)&gt;=100000,INDEX($AD$1005:$AU$1005,1,MATCH(COLUMNS($AD$1006:AI1006),$AD$1006:$AU$1006,0))&gt;=100000), " ",IF(INDEX($AD$2:$AU$1001,MATCH(ROWS($W$2:W234),$W$2:$W$1001,0),MATCH(COLUMNS($AD$1006:AI1006),$AD$1006:$AU$1006,0)), HYPERLINK("#",""), HYPERLINK(CONCATENATE("#metadata!", ADDRESS(INDEX($Y$2:$Y$1001,MATCH(ROWS($W$2:W234),$W$2:$W$1001,0),0), INDEX($AD$1004:$AU$1004,1,MATCH(COLUMNS($AD$1006:AI1006),$AD$1006:$AU$1006,0)))),"Fix")))</f>
        <v xml:space="preserve"> </v>
      </c>
      <c r="H234" s="4" t="str">
        <f ca="1">IF(OR(INDEX($X$2:$X$1001,MATCH(ROWS($W$2:W234),$W$2:$W$1001,0),1)&gt;=100000,INDEX($AD$1005:$AU$1005,1,MATCH(COLUMNS($AD$1006:AJ1006),$AD$1006:$AU$1006,0))&gt;=100000), " ",IF(INDEX($AD$2:$AU$1001,MATCH(ROWS($W$2:W234),$W$2:$W$1001,0),MATCH(COLUMNS($AD$1006:AJ1006),$AD$1006:$AU$1006,0)), HYPERLINK("#",""), HYPERLINK(CONCATENATE("#metadata!", ADDRESS(INDEX($Y$2:$Y$1001,MATCH(ROWS($W$2:W234),$W$2:$W$1001,0),0), INDEX($AD$1004:$AU$1004,1,MATCH(COLUMNS($AD$1006:AJ1006),$AD$1006:$AU$1006,0)))),"Fix")))</f>
        <v xml:space="preserve"> </v>
      </c>
      <c r="I234" s="4" t="str">
        <f ca="1">IF(OR(INDEX($X$2:$X$1001,MATCH(ROWS($W$2:W234),$W$2:$W$1001,0),1)&gt;=100000,INDEX($AD$1005:$AU$1005,1,MATCH(COLUMNS($AD$1006:AK1006),$AD$1006:$AU$1006,0))&gt;=100000), " ",IF(INDEX($AD$2:$AU$1001,MATCH(ROWS($W$2:W234),$W$2:$W$1001,0),MATCH(COLUMNS($AD$1006:AK1006),$AD$1006:$AU$1006,0)), HYPERLINK("#",""), HYPERLINK(CONCATENATE("#metadata!", ADDRESS(INDEX($Y$2:$Y$1001,MATCH(ROWS($W$2:W234),$W$2:$W$1001,0),0), INDEX($AD$1004:$AU$1004,1,MATCH(COLUMNS($AD$1006:AK1006),$AD$1006:$AU$1006,0)))),"Fix")))</f>
        <v xml:space="preserve"> </v>
      </c>
      <c r="J234" s="4" t="str">
        <f ca="1">IF(OR(INDEX($X$2:$X$1001,MATCH(ROWS($W$2:W234),$W$2:$W$1001,0),1)&gt;=100000,INDEX($AD$1005:$AU$1005,1,MATCH(COLUMNS($AD$1006:AL1006),$AD$1006:$AU$1006,0))&gt;=100000), " ",IF(INDEX($AD$2:$AU$1001,MATCH(ROWS($W$2:W234),$W$2:$W$1001,0),MATCH(COLUMNS($AD$1006:AL1006),$AD$1006:$AU$1006,0)), HYPERLINK("#",""), HYPERLINK(CONCATENATE("#metadata!", ADDRESS(INDEX($Y$2:$Y$1001,MATCH(ROWS($W$2:W234),$W$2:$W$1001,0),0), INDEX($AD$1004:$AU$1004,1,MATCH(COLUMNS($AD$1006:AL1006),$AD$1006:$AU$1006,0)))),"Fix")))</f>
        <v xml:space="preserve"> </v>
      </c>
      <c r="K234" s="4" t="str">
        <f ca="1">IF(OR(INDEX($X$2:$X$1001,MATCH(ROWS($W$2:W234),$W$2:$W$1001,0),1)&gt;=100000,INDEX($AD$1005:$AU$1005,1,MATCH(COLUMNS($AD$1006:AM1006),$AD$1006:$AU$1006,0))&gt;=100000), " ",IF(INDEX($AD$2:$AU$1001,MATCH(ROWS($W$2:W234),$W$2:$W$1001,0),MATCH(COLUMNS($AD$1006:AM1006),$AD$1006:$AU$1006,0)), HYPERLINK("#",""), HYPERLINK(CONCATENATE("#metadata!", ADDRESS(INDEX($Y$2:$Y$1001,MATCH(ROWS($W$2:W234),$W$2:$W$1001,0),0), INDEX($AD$1004:$AU$1004,1,MATCH(COLUMNS($AD$1006:AM1006),$AD$1006:$AU$1006,0)))),"Fix")))</f>
        <v xml:space="preserve"> </v>
      </c>
      <c r="L234" s="4" t="str">
        <f ca="1">IF(OR(INDEX($X$2:$X$1001,MATCH(ROWS($W$2:W234),$W$2:$W$1001,0),1)&gt;=100000,INDEX($AD$1005:$AU$1005,1,MATCH(COLUMNS($AD$1006:AN1006),$AD$1006:$AU$1006,0))&gt;=100000), " ",IF(INDEX($AD$2:$AU$1001,MATCH(ROWS($W$2:W234),$W$2:$W$1001,0),MATCH(COLUMNS($AD$1006:AN1006),$AD$1006:$AU$1006,0)), HYPERLINK("#",""), HYPERLINK(CONCATENATE("#metadata!", ADDRESS(INDEX($Y$2:$Y$1001,MATCH(ROWS($W$2:W234),$W$2:$W$1001,0),0), INDEX($AD$1004:$AU$1004,1,MATCH(COLUMNS($AD$1006:AN1006),$AD$1006:$AU$1006,0)))),"Fix")))</f>
        <v xml:space="preserve"> </v>
      </c>
      <c r="M234" s="4" t="str">
        <f ca="1">IF(OR(INDEX($X$2:$X$1001,MATCH(ROWS($W$2:W234),$W$2:$W$1001,0),1)&gt;=100000,INDEX($AD$1005:$AU$1005,1,MATCH(COLUMNS($AD$1006:AO1006),$AD$1006:$AU$1006,0))&gt;=100000), " ",IF(INDEX($AD$2:$AU$1001,MATCH(ROWS($W$2:W234),$W$2:$W$1001,0),MATCH(COLUMNS($AD$1006:AO1006),$AD$1006:$AU$1006,0)), HYPERLINK("#",""), HYPERLINK(CONCATENATE("#metadata!", ADDRESS(INDEX($Y$2:$Y$1001,MATCH(ROWS($W$2:W234),$W$2:$W$1001,0),0), INDEX($AD$1004:$AU$1004,1,MATCH(COLUMNS($AD$1006:AO1006),$AD$1006:$AU$1006,0)))),"Fix")))</f>
        <v xml:space="preserve"> </v>
      </c>
      <c r="N234" s="4" t="str">
        <f ca="1">IF(OR(INDEX($X$2:$X$1001,MATCH(ROWS($W$2:W234),$W$2:$W$1001,0),1)&gt;=100000,INDEX($AD$1005:$AU$1005,1,MATCH(COLUMNS($AD$1006:AP1006),$AD$1006:$AU$1006,0))&gt;=100000), " ",IF(INDEX($AD$2:$AU$1001,MATCH(ROWS($W$2:W234),$W$2:$W$1001,0),MATCH(COLUMNS($AD$1006:AP1006),$AD$1006:$AU$1006,0)), HYPERLINK("#",""), HYPERLINK(CONCATENATE("#metadata!", ADDRESS(INDEX($Y$2:$Y$1001,MATCH(ROWS($W$2:W234),$W$2:$W$1001,0),0), INDEX($AD$1004:$AU$1004,1,MATCH(COLUMNS($AD$1006:AP1006),$AD$1006:$AU$1006,0)))),"Fix")))</f>
        <v xml:space="preserve"> </v>
      </c>
      <c r="O234" s="4" t="str">
        <f ca="1">IF(OR(INDEX($X$2:$X$1001,MATCH(ROWS($W$2:W234),$W$2:$W$1001,0),1)&gt;=100000,INDEX($AD$1005:$AU$1005,1,MATCH(COLUMNS($AD$1006:AQ1006),$AD$1006:$AU$1006,0))&gt;=100000), " ",IF(INDEX($AD$2:$AU$1001,MATCH(ROWS($W$2:W234),$W$2:$W$1001,0),MATCH(COLUMNS($AD$1006:AQ1006),$AD$1006:$AU$1006,0)), HYPERLINK("#",""), HYPERLINK(CONCATENATE("#metadata!", ADDRESS(INDEX($Y$2:$Y$1001,MATCH(ROWS($W$2:W234),$W$2:$W$1001,0),0), INDEX($AD$1004:$AU$1004,1,MATCH(COLUMNS($AD$1006:AQ1006),$AD$1006:$AU$1006,0)))),"Fix")))</f>
        <v xml:space="preserve"> </v>
      </c>
      <c r="P234" s="4" t="str">
        <f ca="1">IF(OR(INDEX($X$2:$X$1001,MATCH(ROWS($W$2:W234),$W$2:$W$1001,0),1)&gt;=100000,INDEX($AD$1005:$AU$1005,1,MATCH(COLUMNS($AD$1006:AR1006),$AD$1006:$AU$1006,0))&gt;=100000), " ",IF(INDEX($AD$2:$AU$1001,MATCH(ROWS($W$2:W234),$W$2:$W$1001,0),MATCH(COLUMNS($AD$1006:AR1006),$AD$1006:$AU$1006,0)), HYPERLINK("#",""), HYPERLINK(CONCATENATE("#metadata!", ADDRESS(INDEX($Y$2:$Y$1001,MATCH(ROWS($W$2:W234),$W$2:$W$1001,0),0), INDEX($AD$1004:$AU$1004,1,MATCH(COLUMNS($AD$1006:AR1006),$AD$1006:$AU$1006,0)))),"Fix")))</f>
        <v xml:space="preserve"> </v>
      </c>
      <c r="Q234" s="4" t="str">
        <f ca="1">IF(OR(INDEX($X$2:$X$1001,MATCH(ROWS($W$2:W234),$W$2:$W$1001,0),1)&gt;=100000,INDEX($AD$1005:$AU$1005,1,MATCH(COLUMNS($AD$1006:AS1006),$AD$1006:$AU$1006,0))&gt;=100000), " ",IF(INDEX($AD$2:$AU$1001,MATCH(ROWS($W$2:W234),$W$2:$W$1001,0),MATCH(COLUMNS($AD$1006:AS1006),$AD$1006:$AU$1006,0)), HYPERLINK("#",""), HYPERLINK(CONCATENATE("#metadata!", ADDRESS(INDEX($Y$2:$Y$1001,MATCH(ROWS($W$2:W234),$W$2:$W$1001,0),0), INDEX($AD$1004:$AU$1004,1,MATCH(COLUMNS($AD$1006:AS1006),$AD$1006:$AU$1006,0)))),"Fix")))</f>
        <v xml:space="preserve"> </v>
      </c>
      <c r="R234" s="4" t="str">
        <f ca="1">IF(OR(INDEX($X$2:$X$1001,MATCH(ROWS($W$2:W234),$W$2:$W$1001,0),1)&gt;=100000,INDEX($AD$1005:$AU$1005,1,MATCH(COLUMNS($AD$1006:AT1006),$AD$1006:$AU$1006,0))&gt;=100000), " ",IF(INDEX($AD$2:$AU$1001,MATCH(ROWS($W$2:W234),$W$2:$W$1001,0),MATCH(COLUMNS($AD$1006:AT1006),$AD$1006:$AU$1006,0)), HYPERLINK("#",""), HYPERLINK(CONCATENATE("#metadata!", ADDRESS(INDEX($Y$2:$Y$1001,MATCH(ROWS($W$2:W234),$W$2:$W$1001,0),0), INDEX($AD$1004:$AU$1004,1,MATCH(COLUMNS($AD$1006:AT1006),$AD$1006:$AU$1006,0)))),"Fix")))</f>
        <v xml:space="preserve"> </v>
      </c>
      <c r="S234" s="4" t="str">
        <f ca="1">IF(OR(INDEX($X$2:$X$1001,MATCH(ROWS($W$2:W234),$W$2:$W$1001,0),1)&gt;=100000,INDEX($AD$1005:$AU$1005,1,MATCH(COLUMNS($AD$1006:AU1006),$AD$1006:$AU$1006,0))&gt;=100000), " ",IF(INDEX($AD$2:$AU$1001,MATCH(ROWS($W$2:W234),$W$2:$W$1001,0),MATCH(COLUMNS($AD$1006:AU1006),$AD$1006:$AU$1006,0)), HYPERLINK("#",""), HYPERLINK(CONCATENATE("#metadata!", ADDRESS(INDEX($Y$2:$Y$1001,MATCH(ROWS($W$2:W234),$W$2:$W$1001,0),0), INDEX($AD$1004:$AU$1004,1,MATCH(COLUMNS($AD$1006:AU1006),$AD$1006:$AU$1006,0)))),"Fix")))</f>
        <v xml:space="preserve"> </v>
      </c>
      <c r="W234">
        <v>233</v>
      </c>
      <c r="X234">
        <v>100234</v>
      </c>
      <c r="Y234">
        <v>234</v>
      </c>
      <c r="Z234" t="b">
        <f t="shared" si="3"/>
        <v>1</v>
      </c>
      <c r="AA234" t="b">
        <f>COUNTBLANK(metadata!B234:S234)=COLUMNS(metadata!B234:S234)</f>
        <v>1</v>
      </c>
      <c r="AB234" t="str">
        <v/>
      </c>
      <c r="AD234" t="b">
        <f ca="1">AND(IF(metadata!B234="",FALSE,TRUE),COUNTIF(metadata!B:B, metadata!B234) = 1,NOT(ISERROR(SUMPRODUCT(SEARCH(MID(metadata!B234,ROW(INDIRECT("1:"&amp;LEN(metadata!B234))), 1),"0123456789abcdefghijklmnopqrstuvwxyzABCDEFGHIJKLMNOPQRSTUVWXYZ.")))))</f>
        <v>0</v>
      </c>
      <c r="AE234" t="b">
        <f>OR(AND(IF(metadata!C234="",FALSE,TRUE),OR(EXACT(metadata!C234,"not applicable"),EXACT(metadata!C234,"missing: not collected"),EXACT(metadata!C234,"missing: not provided"),EXACT(metadata!C234,"missing: restricted access"))),AND(IF(metadata!C234="",FALSE,ISNUMBER(VALUE(metadata!C234))),metadata!C234&gt;0))</f>
        <v>0</v>
      </c>
      <c r="AF234" t="b">
        <f>AND(IF(metadata!D234="",FALSE,TRUE),EXACT(metadata!D234,"missing: not provided"))</f>
        <v>0</v>
      </c>
      <c r="AG234" t="b">
        <f>AND(IF(metadata!E234="",FALSE,TRUE),EXACT(metadata!E234,"Host-associated"))</f>
        <v>0</v>
      </c>
      <c r="AH234" t="b">
        <f>AND(IF(metadata!F234="",FALSE,TRUE),OR(EXACT(metadata!F234,"Animal"),EXACT(metadata!F234,"Fungus"),EXACT(metadata!F234,"Plant")))</f>
        <v>0</v>
      </c>
      <c r="AI234" t="b">
        <f>AND(IF(metadata!G234="",FALSE,TRUE),OR(EXACT(metadata!G234,"Plant secretion"),EXACT(metadata!G234,"Plant rhizosphere"),EXACT(metadata!G234,"Plant surface"),EXACT(metadata!G234,"Plant corpus"),EXACT(metadata!G234,"Fungus surface"),EXACT(metadata!G234,"Fungus corpus"),EXACT(metadata!G234,"Animal surface"),EXACT(metadata!G234,"Animal proximal gut"),EXACT(metadata!G234,"Animal corpus"),EXACT(metadata!G234,"Animal distal gut"),EXACT(metadata!G234,"Animal secretion")))</f>
        <v>0</v>
      </c>
      <c r="AJ234" t="b">
        <f>OR(AND(IF(metadata!H234="",FALSE,TRUE),OR(EXACT(metadata!H234,"missing: not collected"),EXACT(metadata!H234,"missing: not provided"),EXACT(metadata!H234,"missing: restricted access"))),AND(IF(metadata!H234="",FALSE,TRUE),OR(EXACT(metadata!H234,"organism-associated habitat"),EXACT(metadata!H234,"plant-associated habitat"),EXACT(metadata!H234,"animal-associated habitat"),EXACT(metadata!H234,"insecta-associated habitat"),EXACT(metadata!H234,"mammalia-associated habitat"),EXACT(metadata!H234,"human-associated habitat"),EXACT(metadata!H234,"livestock-associated habitat"))))</f>
        <v>0</v>
      </c>
      <c r="AK234" t="b">
        <f>AND(IF(metadata!I234="",FALSE,TRUE),EXACT(metadata!I234,"host-associated"))</f>
        <v>0</v>
      </c>
      <c r="AL234" t="b">
        <f>OR(AND(IF(metadata!J234="",FALSE,TRUE),OR(EXACT(metadata!J234,"not applicable"),EXACT(metadata!J234,"missing: not collected"),EXACT(metadata!J234,"missing: not provided"),EXACT(metadata!J234,"missing: restricted access"))),AND(IF(metadata!J234="",FALSE,ISNUMBER(VALUE(metadata!J234))),metadata!J234&gt;0))</f>
        <v>0</v>
      </c>
      <c r="AM234" t="b">
        <f>AND(IF(metadata!K234="",FALSE,TRUE),EXACT(metadata!K234,"missing: not provided"))</f>
        <v>0</v>
      </c>
      <c r="AN234" t="b">
        <f>IF(metadata!L234="",FALSE,TRUE)</f>
        <v>0</v>
      </c>
      <c r="AO234" t="b">
        <f>IF(metadata!M234="",FALSE,TRUE)</f>
        <v>0</v>
      </c>
      <c r="AP234" t="b">
        <f>OR(AND(IF(metadata!N234="",FALSE,TRUE),OR(EXACT(metadata!N234,"not applicable"),EXACT(metadata!N234,"missing: not collected"),EXACT(metadata!N234,"missing: not provided"))),AND(IF(metadata!N234="",FALSE,IF(ISERROR(INT(metadata!N234)),FALSE,INT(metadata!N234)=metadata!N234)),metadata!N234&gt;0))</f>
        <v>0</v>
      </c>
      <c r="AQ234" t="b">
        <f>AND(IF(metadata!O234="",FALSE,TRUE),EXACT(metadata!O234,"Not applicable"))</f>
        <v>0</v>
      </c>
      <c r="AR234" t="b">
        <f>OR(AND(IF(metadata!P234="",FALSE,TRUE),OR(EXACT(metadata!P234,"not applicable"),EXACT(metadata!P234,"missing: not collected"),EXACT(metadata!P234,"missing: not provided"),EXACT(metadata!P234,"missing: restricted access"))),IF(metadata!P234="",FALSE,IF(ISERROR(INT(metadata!P234)),FALSE,INT(metadata!P234)=metadata!P234)))</f>
        <v>0</v>
      </c>
      <c r="AS234" t="b">
        <f>AND(IF(metadata!Q234="",FALSE,TRUE),EXACT(metadata!Q234,"Not applicable"))</f>
        <v>0</v>
      </c>
      <c r="AT234" t="b">
        <f>OR(AND(IF(metadata!R234="",FALSE,TRUE),OR(EXACT(metadata!R234,"not applicable"),EXACT(metadata!R234,"missing: not collected"),EXACT(metadata!R234,"missing: not provided"),EXACT(metadata!R234,"missing: restricted access"))),AND(IF(metadata!R234="",FALSE,ISNUMBER(VALUE(metadata!R234))),metadata!R234&gt;0))</f>
        <v>0</v>
      </c>
      <c r="AU234" t="b">
        <f>AND(IF(metadata!S234="",FALSE,TRUE),EXACT(metadata!S234,"missing: not provided"))</f>
        <v>0</v>
      </c>
    </row>
    <row r="235" spans="1:47" x14ac:dyDescent="0.2">
      <c r="A235" s="5" t="str">
        <f ca="1">IF(B235=" "," ",HYPERLINK(CONCATENATE("#metadata!",ADDRESS(INDEX($Y$2:$Y$1001,MATCH(ROWS($W$2:W235),$W$2:$W$1001,0),0),1)),INDEX($AB$2:$AB$1001,MATCH(ROWS($W$2:W235),$W$2:$W$1001,0),0)))</f>
        <v xml:space="preserve"> </v>
      </c>
      <c r="B235" s="4" t="str">
        <f ca="1">IF(OR(INDEX($X$2:$X$1001,MATCH(ROWS($W$2:W235),$W$2:$W$1001,0),1)&gt;=100000,INDEX($AD$1005:$AU$1005,1,MATCH(COLUMNS($AD$1006:AD1006),$AD$1006:$AU$1006,0))&gt;=100000), " ",IF(INDEX($AD$2:$AU$1001,MATCH(ROWS($W$2:W235),$W$2:$W$1001,0),MATCH(COLUMNS($AD$1006:AD1006),$AD$1006:$AU$1006,0)), HYPERLINK("#",""), HYPERLINK(CONCATENATE("#metadata!", ADDRESS(INDEX($Y$2:$Y$1001,MATCH(ROWS($W$2:W235),$W$2:$W$1001,0),0), INDEX($AD$1004:$AU$1004,1,MATCH(COLUMNS($AD$1006:AD1006),$AD$1006:$AU$1006,0)))),"Fix")))</f>
        <v xml:space="preserve"> </v>
      </c>
      <c r="C235" s="4" t="str">
        <f ca="1">IF(OR(INDEX($X$2:$X$1001,MATCH(ROWS($W$2:W235),$W$2:$W$1001,0),1)&gt;=100000,INDEX($AD$1005:$AU$1005,1,MATCH(COLUMNS($AD$1006:AE1006),$AD$1006:$AU$1006,0))&gt;=100000), " ",IF(INDEX($AD$2:$AU$1001,MATCH(ROWS($W$2:W235),$W$2:$W$1001,0),MATCH(COLUMNS($AD$1006:AE1006),$AD$1006:$AU$1006,0)), HYPERLINK("#",""), HYPERLINK(CONCATENATE("#metadata!", ADDRESS(INDEX($Y$2:$Y$1001,MATCH(ROWS($W$2:W235),$W$2:$W$1001,0),0), INDEX($AD$1004:$AU$1004,1,MATCH(COLUMNS($AD$1006:AE1006),$AD$1006:$AU$1006,0)))),"Fix")))</f>
        <v xml:space="preserve"> </v>
      </c>
      <c r="D235" s="4" t="str">
        <f ca="1">IF(OR(INDEX($X$2:$X$1001,MATCH(ROWS($W$2:W235),$W$2:$W$1001,0),1)&gt;=100000,INDEX($AD$1005:$AU$1005,1,MATCH(COLUMNS($AD$1006:AF1006),$AD$1006:$AU$1006,0))&gt;=100000), " ",IF(INDEX($AD$2:$AU$1001,MATCH(ROWS($W$2:W235),$W$2:$W$1001,0),MATCH(COLUMNS($AD$1006:AF1006),$AD$1006:$AU$1006,0)), HYPERLINK("#",""), HYPERLINK(CONCATENATE("#metadata!", ADDRESS(INDEX($Y$2:$Y$1001,MATCH(ROWS($W$2:W235),$W$2:$W$1001,0),0), INDEX($AD$1004:$AU$1004,1,MATCH(COLUMNS($AD$1006:AF1006),$AD$1006:$AU$1006,0)))),"Fix")))</f>
        <v xml:space="preserve"> </v>
      </c>
      <c r="E235" s="4" t="str">
        <f ca="1">IF(OR(INDEX($X$2:$X$1001,MATCH(ROWS($W$2:W235),$W$2:$W$1001,0),1)&gt;=100000,INDEX($AD$1005:$AU$1005,1,MATCH(COLUMNS($AD$1006:AG1006),$AD$1006:$AU$1006,0))&gt;=100000), " ",IF(INDEX($AD$2:$AU$1001,MATCH(ROWS($W$2:W235),$W$2:$W$1001,0),MATCH(COLUMNS($AD$1006:AG1006),$AD$1006:$AU$1006,0)), HYPERLINK("#",""), HYPERLINK(CONCATENATE("#metadata!", ADDRESS(INDEX($Y$2:$Y$1001,MATCH(ROWS($W$2:W235),$W$2:$W$1001,0),0), INDEX($AD$1004:$AU$1004,1,MATCH(COLUMNS($AD$1006:AG1006),$AD$1006:$AU$1006,0)))),"Fix")))</f>
        <v xml:space="preserve"> </v>
      </c>
      <c r="F235" s="4" t="str">
        <f ca="1">IF(OR(INDEX($X$2:$X$1001,MATCH(ROWS($W$2:W235),$W$2:$W$1001,0),1)&gt;=100000,INDEX($AD$1005:$AU$1005,1,MATCH(COLUMNS($AD$1006:AH1006),$AD$1006:$AU$1006,0))&gt;=100000), " ",IF(INDEX($AD$2:$AU$1001,MATCH(ROWS($W$2:W235),$W$2:$W$1001,0),MATCH(COLUMNS($AD$1006:AH1006),$AD$1006:$AU$1006,0)), HYPERLINK("#",""), HYPERLINK(CONCATENATE("#metadata!", ADDRESS(INDEX($Y$2:$Y$1001,MATCH(ROWS($W$2:W235),$W$2:$W$1001,0),0), INDEX($AD$1004:$AU$1004,1,MATCH(COLUMNS($AD$1006:AH1006),$AD$1006:$AU$1006,0)))),"Fix")))</f>
        <v xml:space="preserve"> </v>
      </c>
      <c r="G235" s="4" t="str">
        <f ca="1">IF(OR(INDEX($X$2:$X$1001,MATCH(ROWS($W$2:W235),$W$2:$W$1001,0),1)&gt;=100000,INDEX($AD$1005:$AU$1005,1,MATCH(COLUMNS($AD$1006:AI1006),$AD$1006:$AU$1006,0))&gt;=100000), " ",IF(INDEX($AD$2:$AU$1001,MATCH(ROWS($W$2:W235),$W$2:$W$1001,0),MATCH(COLUMNS($AD$1006:AI1006),$AD$1006:$AU$1006,0)), HYPERLINK("#",""), HYPERLINK(CONCATENATE("#metadata!", ADDRESS(INDEX($Y$2:$Y$1001,MATCH(ROWS($W$2:W235),$W$2:$W$1001,0),0), INDEX($AD$1004:$AU$1004,1,MATCH(COLUMNS($AD$1006:AI1006),$AD$1006:$AU$1006,0)))),"Fix")))</f>
        <v xml:space="preserve"> </v>
      </c>
      <c r="H235" s="4" t="str">
        <f ca="1">IF(OR(INDEX($X$2:$X$1001,MATCH(ROWS($W$2:W235),$W$2:$W$1001,0),1)&gt;=100000,INDEX($AD$1005:$AU$1005,1,MATCH(COLUMNS($AD$1006:AJ1006),$AD$1006:$AU$1006,0))&gt;=100000), " ",IF(INDEX($AD$2:$AU$1001,MATCH(ROWS($W$2:W235),$W$2:$W$1001,0),MATCH(COLUMNS($AD$1006:AJ1006),$AD$1006:$AU$1006,0)), HYPERLINK("#",""), HYPERLINK(CONCATENATE("#metadata!", ADDRESS(INDEX($Y$2:$Y$1001,MATCH(ROWS($W$2:W235),$W$2:$W$1001,0),0), INDEX($AD$1004:$AU$1004,1,MATCH(COLUMNS($AD$1006:AJ1006),$AD$1006:$AU$1006,0)))),"Fix")))</f>
        <v xml:space="preserve"> </v>
      </c>
      <c r="I235" s="4" t="str">
        <f ca="1">IF(OR(INDEX($X$2:$X$1001,MATCH(ROWS($W$2:W235),$W$2:$W$1001,0),1)&gt;=100000,INDEX($AD$1005:$AU$1005,1,MATCH(COLUMNS($AD$1006:AK1006),$AD$1006:$AU$1006,0))&gt;=100000), " ",IF(INDEX($AD$2:$AU$1001,MATCH(ROWS($W$2:W235),$W$2:$W$1001,0),MATCH(COLUMNS($AD$1006:AK1006),$AD$1006:$AU$1006,0)), HYPERLINK("#",""), HYPERLINK(CONCATENATE("#metadata!", ADDRESS(INDEX($Y$2:$Y$1001,MATCH(ROWS($W$2:W235),$W$2:$W$1001,0),0), INDEX($AD$1004:$AU$1004,1,MATCH(COLUMNS($AD$1006:AK1006),$AD$1006:$AU$1006,0)))),"Fix")))</f>
        <v xml:space="preserve"> </v>
      </c>
      <c r="J235" s="4" t="str">
        <f ca="1">IF(OR(INDEX($X$2:$X$1001,MATCH(ROWS($W$2:W235),$W$2:$W$1001,0),1)&gt;=100000,INDEX($AD$1005:$AU$1005,1,MATCH(COLUMNS($AD$1006:AL1006),$AD$1006:$AU$1006,0))&gt;=100000), " ",IF(INDEX($AD$2:$AU$1001,MATCH(ROWS($W$2:W235),$W$2:$W$1001,0),MATCH(COLUMNS($AD$1006:AL1006),$AD$1006:$AU$1006,0)), HYPERLINK("#",""), HYPERLINK(CONCATENATE("#metadata!", ADDRESS(INDEX($Y$2:$Y$1001,MATCH(ROWS($W$2:W235),$W$2:$W$1001,0),0), INDEX($AD$1004:$AU$1004,1,MATCH(COLUMNS($AD$1006:AL1006),$AD$1006:$AU$1006,0)))),"Fix")))</f>
        <v xml:space="preserve"> </v>
      </c>
      <c r="K235" s="4" t="str">
        <f ca="1">IF(OR(INDEX($X$2:$X$1001,MATCH(ROWS($W$2:W235),$W$2:$W$1001,0),1)&gt;=100000,INDEX($AD$1005:$AU$1005,1,MATCH(COLUMNS($AD$1006:AM1006),$AD$1006:$AU$1006,0))&gt;=100000), " ",IF(INDEX($AD$2:$AU$1001,MATCH(ROWS($W$2:W235),$W$2:$W$1001,0),MATCH(COLUMNS($AD$1006:AM1006),$AD$1006:$AU$1006,0)), HYPERLINK("#",""), HYPERLINK(CONCATENATE("#metadata!", ADDRESS(INDEX($Y$2:$Y$1001,MATCH(ROWS($W$2:W235),$W$2:$W$1001,0),0), INDEX($AD$1004:$AU$1004,1,MATCH(COLUMNS($AD$1006:AM1006),$AD$1006:$AU$1006,0)))),"Fix")))</f>
        <v xml:space="preserve"> </v>
      </c>
      <c r="L235" s="4" t="str">
        <f ca="1">IF(OR(INDEX($X$2:$X$1001,MATCH(ROWS($W$2:W235),$W$2:$W$1001,0),1)&gt;=100000,INDEX($AD$1005:$AU$1005,1,MATCH(COLUMNS($AD$1006:AN1006),$AD$1006:$AU$1006,0))&gt;=100000), " ",IF(INDEX($AD$2:$AU$1001,MATCH(ROWS($W$2:W235),$W$2:$W$1001,0),MATCH(COLUMNS($AD$1006:AN1006),$AD$1006:$AU$1006,0)), HYPERLINK("#",""), HYPERLINK(CONCATENATE("#metadata!", ADDRESS(INDEX($Y$2:$Y$1001,MATCH(ROWS($W$2:W235),$W$2:$W$1001,0),0), INDEX($AD$1004:$AU$1004,1,MATCH(COLUMNS($AD$1006:AN1006),$AD$1006:$AU$1006,0)))),"Fix")))</f>
        <v xml:space="preserve"> </v>
      </c>
      <c r="M235" s="4" t="str">
        <f ca="1">IF(OR(INDEX($X$2:$X$1001,MATCH(ROWS($W$2:W235),$W$2:$W$1001,0),1)&gt;=100000,INDEX($AD$1005:$AU$1005,1,MATCH(COLUMNS($AD$1006:AO1006),$AD$1006:$AU$1006,0))&gt;=100000), " ",IF(INDEX($AD$2:$AU$1001,MATCH(ROWS($W$2:W235),$W$2:$W$1001,0),MATCH(COLUMNS($AD$1006:AO1006),$AD$1006:$AU$1006,0)), HYPERLINK("#",""), HYPERLINK(CONCATENATE("#metadata!", ADDRESS(INDEX($Y$2:$Y$1001,MATCH(ROWS($W$2:W235),$W$2:$W$1001,0),0), INDEX($AD$1004:$AU$1004,1,MATCH(COLUMNS($AD$1006:AO1006),$AD$1006:$AU$1006,0)))),"Fix")))</f>
        <v xml:space="preserve"> </v>
      </c>
      <c r="N235" s="4" t="str">
        <f ca="1">IF(OR(INDEX($X$2:$X$1001,MATCH(ROWS($W$2:W235),$W$2:$W$1001,0),1)&gt;=100000,INDEX($AD$1005:$AU$1005,1,MATCH(COLUMNS($AD$1006:AP1006),$AD$1006:$AU$1006,0))&gt;=100000), " ",IF(INDEX($AD$2:$AU$1001,MATCH(ROWS($W$2:W235),$W$2:$W$1001,0),MATCH(COLUMNS($AD$1006:AP1006),$AD$1006:$AU$1006,0)), HYPERLINK("#",""), HYPERLINK(CONCATENATE("#metadata!", ADDRESS(INDEX($Y$2:$Y$1001,MATCH(ROWS($W$2:W235),$W$2:$W$1001,0),0), INDEX($AD$1004:$AU$1004,1,MATCH(COLUMNS($AD$1006:AP1006),$AD$1006:$AU$1006,0)))),"Fix")))</f>
        <v xml:space="preserve"> </v>
      </c>
      <c r="O235" s="4" t="str">
        <f ca="1">IF(OR(INDEX($X$2:$X$1001,MATCH(ROWS($W$2:W235),$W$2:$W$1001,0),1)&gt;=100000,INDEX($AD$1005:$AU$1005,1,MATCH(COLUMNS($AD$1006:AQ1006),$AD$1006:$AU$1006,0))&gt;=100000), " ",IF(INDEX($AD$2:$AU$1001,MATCH(ROWS($W$2:W235),$W$2:$W$1001,0),MATCH(COLUMNS($AD$1006:AQ1006),$AD$1006:$AU$1006,0)), HYPERLINK("#",""), HYPERLINK(CONCATENATE("#metadata!", ADDRESS(INDEX($Y$2:$Y$1001,MATCH(ROWS($W$2:W235),$W$2:$W$1001,0),0), INDEX($AD$1004:$AU$1004,1,MATCH(COLUMNS($AD$1006:AQ1006),$AD$1006:$AU$1006,0)))),"Fix")))</f>
        <v xml:space="preserve"> </v>
      </c>
      <c r="P235" s="4" t="str">
        <f ca="1">IF(OR(INDEX($X$2:$X$1001,MATCH(ROWS($W$2:W235),$W$2:$W$1001,0),1)&gt;=100000,INDEX($AD$1005:$AU$1005,1,MATCH(COLUMNS($AD$1006:AR1006),$AD$1006:$AU$1006,0))&gt;=100000), " ",IF(INDEX($AD$2:$AU$1001,MATCH(ROWS($W$2:W235),$W$2:$W$1001,0),MATCH(COLUMNS($AD$1006:AR1006),$AD$1006:$AU$1006,0)), HYPERLINK("#",""), HYPERLINK(CONCATENATE("#metadata!", ADDRESS(INDEX($Y$2:$Y$1001,MATCH(ROWS($W$2:W235),$W$2:$W$1001,0),0), INDEX($AD$1004:$AU$1004,1,MATCH(COLUMNS($AD$1006:AR1006),$AD$1006:$AU$1006,0)))),"Fix")))</f>
        <v xml:space="preserve"> </v>
      </c>
      <c r="Q235" s="4" t="str">
        <f ca="1">IF(OR(INDEX($X$2:$X$1001,MATCH(ROWS($W$2:W235),$W$2:$W$1001,0),1)&gt;=100000,INDEX($AD$1005:$AU$1005,1,MATCH(COLUMNS($AD$1006:AS1006),$AD$1006:$AU$1006,0))&gt;=100000), " ",IF(INDEX($AD$2:$AU$1001,MATCH(ROWS($W$2:W235),$W$2:$W$1001,0),MATCH(COLUMNS($AD$1006:AS1006),$AD$1006:$AU$1006,0)), HYPERLINK("#",""), HYPERLINK(CONCATENATE("#metadata!", ADDRESS(INDEX($Y$2:$Y$1001,MATCH(ROWS($W$2:W235),$W$2:$W$1001,0),0), INDEX($AD$1004:$AU$1004,1,MATCH(COLUMNS($AD$1006:AS1006),$AD$1006:$AU$1006,0)))),"Fix")))</f>
        <v xml:space="preserve"> </v>
      </c>
      <c r="R235" s="4" t="str">
        <f ca="1">IF(OR(INDEX($X$2:$X$1001,MATCH(ROWS($W$2:W235),$W$2:$W$1001,0),1)&gt;=100000,INDEX($AD$1005:$AU$1005,1,MATCH(COLUMNS($AD$1006:AT1006),$AD$1006:$AU$1006,0))&gt;=100000), " ",IF(INDEX($AD$2:$AU$1001,MATCH(ROWS($W$2:W235),$W$2:$W$1001,0),MATCH(COLUMNS($AD$1006:AT1006),$AD$1006:$AU$1006,0)), HYPERLINK("#",""), HYPERLINK(CONCATENATE("#metadata!", ADDRESS(INDEX($Y$2:$Y$1001,MATCH(ROWS($W$2:W235),$W$2:$W$1001,0),0), INDEX($AD$1004:$AU$1004,1,MATCH(COLUMNS($AD$1006:AT1006),$AD$1006:$AU$1006,0)))),"Fix")))</f>
        <v xml:space="preserve"> </v>
      </c>
      <c r="S235" s="4" t="str">
        <f ca="1">IF(OR(INDEX($X$2:$X$1001,MATCH(ROWS($W$2:W235),$W$2:$W$1001,0),1)&gt;=100000,INDEX($AD$1005:$AU$1005,1,MATCH(COLUMNS($AD$1006:AU1006),$AD$1006:$AU$1006,0))&gt;=100000), " ",IF(INDEX($AD$2:$AU$1001,MATCH(ROWS($W$2:W235),$W$2:$W$1001,0),MATCH(COLUMNS($AD$1006:AU1006),$AD$1006:$AU$1006,0)), HYPERLINK("#",""), HYPERLINK(CONCATENATE("#metadata!", ADDRESS(INDEX($Y$2:$Y$1001,MATCH(ROWS($W$2:W235),$W$2:$W$1001,0),0), INDEX($AD$1004:$AU$1004,1,MATCH(COLUMNS($AD$1006:AU1006),$AD$1006:$AU$1006,0)))),"Fix")))</f>
        <v xml:space="preserve"> </v>
      </c>
      <c r="W235">
        <v>234</v>
      </c>
      <c r="X235">
        <v>100235</v>
      </c>
      <c r="Y235">
        <v>235</v>
      </c>
      <c r="Z235" t="b">
        <f t="shared" si="3"/>
        <v>1</v>
      </c>
      <c r="AA235" t="b">
        <f>COUNTBLANK(metadata!B235:S235)=COLUMNS(metadata!B235:S235)</f>
        <v>1</v>
      </c>
      <c r="AB235" t="str">
        <v/>
      </c>
      <c r="AD235" t="b">
        <f ca="1">AND(IF(metadata!B235="",FALSE,TRUE),COUNTIF(metadata!B:B, metadata!B235) = 1,NOT(ISERROR(SUMPRODUCT(SEARCH(MID(metadata!B235,ROW(INDIRECT("1:"&amp;LEN(metadata!B235))), 1),"0123456789abcdefghijklmnopqrstuvwxyzABCDEFGHIJKLMNOPQRSTUVWXYZ.")))))</f>
        <v>0</v>
      </c>
      <c r="AE235" t="b">
        <f>OR(AND(IF(metadata!C235="",FALSE,TRUE),OR(EXACT(metadata!C235,"not applicable"),EXACT(metadata!C235,"missing: not collected"),EXACT(metadata!C235,"missing: not provided"),EXACT(metadata!C235,"missing: restricted access"))),AND(IF(metadata!C235="",FALSE,ISNUMBER(VALUE(metadata!C235))),metadata!C235&gt;0))</f>
        <v>0</v>
      </c>
      <c r="AF235" t="b">
        <f>AND(IF(metadata!D235="",FALSE,TRUE),EXACT(metadata!D235,"missing: not provided"))</f>
        <v>0</v>
      </c>
      <c r="AG235" t="b">
        <f>AND(IF(metadata!E235="",FALSE,TRUE),EXACT(metadata!E235,"Host-associated"))</f>
        <v>0</v>
      </c>
      <c r="AH235" t="b">
        <f>AND(IF(metadata!F235="",FALSE,TRUE),OR(EXACT(metadata!F235,"Animal"),EXACT(metadata!F235,"Fungus"),EXACT(metadata!F235,"Plant")))</f>
        <v>0</v>
      </c>
      <c r="AI235" t="b">
        <f>AND(IF(metadata!G235="",FALSE,TRUE),OR(EXACT(metadata!G235,"Plant secretion"),EXACT(metadata!G235,"Plant rhizosphere"),EXACT(metadata!G235,"Plant surface"),EXACT(metadata!G235,"Plant corpus"),EXACT(metadata!G235,"Fungus surface"),EXACT(metadata!G235,"Fungus corpus"),EXACT(metadata!G235,"Animal surface"),EXACT(metadata!G235,"Animal proximal gut"),EXACT(metadata!G235,"Animal corpus"),EXACT(metadata!G235,"Animal distal gut"),EXACT(metadata!G235,"Animal secretion")))</f>
        <v>0</v>
      </c>
      <c r="AJ235" t="b">
        <f>OR(AND(IF(metadata!H235="",FALSE,TRUE),OR(EXACT(metadata!H235,"missing: not collected"),EXACT(metadata!H235,"missing: not provided"),EXACT(metadata!H235,"missing: restricted access"))),AND(IF(metadata!H235="",FALSE,TRUE),OR(EXACT(metadata!H235,"organism-associated habitat"),EXACT(metadata!H235,"plant-associated habitat"),EXACT(metadata!H235,"animal-associated habitat"),EXACT(metadata!H235,"insecta-associated habitat"),EXACT(metadata!H235,"mammalia-associated habitat"),EXACT(metadata!H235,"human-associated habitat"),EXACT(metadata!H235,"livestock-associated habitat"))))</f>
        <v>0</v>
      </c>
      <c r="AK235" t="b">
        <f>AND(IF(metadata!I235="",FALSE,TRUE),EXACT(metadata!I235,"host-associated"))</f>
        <v>0</v>
      </c>
      <c r="AL235" t="b">
        <f>OR(AND(IF(metadata!J235="",FALSE,TRUE),OR(EXACT(metadata!J235,"not applicable"),EXACT(metadata!J235,"missing: not collected"),EXACT(metadata!J235,"missing: not provided"),EXACT(metadata!J235,"missing: restricted access"))),AND(IF(metadata!J235="",FALSE,ISNUMBER(VALUE(metadata!J235))),metadata!J235&gt;0))</f>
        <v>0</v>
      </c>
      <c r="AM235" t="b">
        <f>AND(IF(metadata!K235="",FALSE,TRUE),EXACT(metadata!K235,"missing: not provided"))</f>
        <v>0</v>
      </c>
      <c r="AN235" t="b">
        <f>IF(metadata!L235="",FALSE,TRUE)</f>
        <v>0</v>
      </c>
      <c r="AO235" t="b">
        <f>IF(metadata!M235="",FALSE,TRUE)</f>
        <v>0</v>
      </c>
      <c r="AP235" t="b">
        <f>OR(AND(IF(metadata!N235="",FALSE,TRUE),OR(EXACT(metadata!N235,"not applicable"),EXACT(metadata!N235,"missing: not collected"),EXACT(metadata!N235,"missing: not provided"))),AND(IF(metadata!N235="",FALSE,IF(ISERROR(INT(metadata!N235)),FALSE,INT(metadata!N235)=metadata!N235)),metadata!N235&gt;0))</f>
        <v>0</v>
      </c>
      <c r="AQ235" t="b">
        <f>AND(IF(metadata!O235="",FALSE,TRUE),EXACT(metadata!O235,"Not applicable"))</f>
        <v>0</v>
      </c>
      <c r="AR235" t="b">
        <f>OR(AND(IF(metadata!P235="",FALSE,TRUE),OR(EXACT(metadata!P235,"not applicable"),EXACT(metadata!P235,"missing: not collected"),EXACT(metadata!P235,"missing: not provided"),EXACT(metadata!P235,"missing: restricted access"))),IF(metadata!P235="",FALSE,IF(ISERROR(INT(metadata!P235)),FALSE,INT(metadata!P235)=metadata!P235)))</f>
        <v>0</v>
      </c>
      <c r="AS235" t="b">
        <f>AND(IF(metadata!Q235="",FALSE,TRUE),EXACT(metadata!Q235,"Not applicable"))</f>
        <v>0</v>
      </c>
      <c r="AT235" t="b">
        <f>OR(AND(IF(metadata!R235="",FALSE,TRUE),OR(EXACT(metadata!R235,"not applicable"),EXACT(metadata!R235,"missing: not collected"),EXACT(metadata!R235,"missing: not provided"),EXACT(metadata!R235,"missing: restricted access"))),AND(IF(metadata!R235="",FALSE,ISNUMBER(VALUE(metadata!R235))),metadata!R235&gt;0))</f>
        <v>0</v>
      </c>
      <c r="AU235" t="b">
        <f>AND(IF(metadata!S235="",FALSE,TRUE),EXACT(metadata!S235,"missing: not provided"))</f>
        <v>0</v>
      </c>
    </row>
    <row r="236" spans="1:47" x14ac:dyDescent="0.2">
      <c r="A236" s="5" t="str">
        <f ca="1">IF(B236=" "," ",HYPERLINK(CONCATENATE("#metadata!",ADDRESS(INDEX($Y$2:$Y$1001,MATCH(ROWS($W$2:W236),$W$2:$W$1001,0),0),1)),INDEX($AB$2:$AB$1001,MATCH(ROWS($W$2:W236),$W$2:$W$1001,0),0)))</f>
        <v xml:space="preserve"> </v>
      </c>
      <c r="B236" s="4" t="str">
        <f ca="1">IF(OR(INDEX($X$2:$X$1001,MATCH(ROWS($W$2:W236),$W$2:$W$1001,0),1)&gt;=100000,INDEX($AD$1005:$AU$1005,1,MATCH(COLUMNS($AD$1006:AD1006),$AD$1006:$AU$1006,0))&gt;=100000), " ",IF(INDEX($AD$2:$AU$1001,MATCH(ROWS($W$2:W236),$W$2:$W$1001,0),MATCH(COLUMNS($AD$1006:AD1006),$AD$1006:$AU$1006,0)), HYPERLINK("#",""), HYPERLINK(CONCATENATE("#metadata!", ADDRESS(INDEX($Y$2:$Y$1001,MATCH(ROWS($W$2:W236),$W$2:$W$1001,0),0), INDEX($AD$1004:$AU$1004,1,MATCH(COLUMNS($AD$1006:AD1006),$AD$1006:$AU$1006,0)))),"Fix")))</f>
        <v xml:space="preserve"> </v>
      </c>
      <c r="C236" s="4" t="str">
        <f ca="1">IF(OR(INDEX($X$2:$X$1001,MATCH(ROWS($W$2:W236),$W$2:$W$1001,0),1)&gt;=100000,INDEX($AD$1005:$AU$1005,1,MATCH(COLUMNS($AD$1006:AE1006),$AD$1006:$AU$1006,0))&gt;=100000), " ",IF(INDEX($AD$2:$AU$1001,MATCH(ROWS($W$2:W236),$W$2:$W$1001,0),MATCH(COLUMNS($AD$1006:AE1006),$AD$1006:$AU$1006,0)), HYPERLINK("#",""), HYPERLINK(CONCATENATE("#metadata!", ADDRESS(INDEX($Y$2:$Y$1001,MATCH(ROWS($W$2:W236),$W$2:$W$1001,0),0), INDEX($AD$1004:$AU$1004,1,MATCH(COLUMNS($AD$1006:AE1006),$AD$1006:$AU$1006,0)))),"Fix")))</f>
        <v xml:space="preserve"> </v>
      </c>
      <c r="D236" s="4" t="str">
        <f ca="1">IF(OR(INDEX($X$2:$X$1001,MATCH(ROWS($W$2:W236),$W$2:$W$1001,0),1)&gt;=100000,INDEX($AD$1005:$AU$1005,1,MATCH(COLUMNS($AD$1006:AF1006),$AD$1006:$AU$1006,0))&gt;=100000), " ",IF(INDEX($AD$2:$AU$1001,MATCH(ROWS($W$2:W236),$W$2:$W$1001,0),MATCH(COLUMNS($AD$1006:AF1006),$AD$1006:$AU$1006,0)), HYPERLINK("#",""), HYPERLINK(CONCATENATE("#metadata!", ADDRESS(INDEX($Y$2:$Y$1001,MATCH(ROWS($W$2:W236),$W$2:$W$1001,0),0), INDEX($AD$1004:$AU$1004,1,MATCH(COLUMNS($AD$1006:AF1006),$AD$1006:$AU$1006,0)))),"Fix")))</f>
        <v xml:space="preserve"> </v>
      </c>
      <c r="E236" s="4" t="str">
        <f ca="1">IF(OR(INDEX($X$2:$X$1001,MATCH(ROWS($W$2:W236),$W$2:$W$1001,0),1)&gt;=100000,INDEX($AD$1005:$AU$1005,1,MATCH(COLUMNS($AD$1006:AG1006),$AD$1006:$AU$1006,0))&gt;=100000), " ",IF(INDEX($AD$2:$AU$1001,MATCH(ROWS($W$2:W236),$W$2:$W$1001,0),MATCH(COLUMNS($AD$1006:AG1006),$AD$1006:$AU$1006,0)), HYPERLINK("#",""), HYPERLINK(CONCATENATE("#metadata!", ADDRESS(INDEX($Y$2:$Y$1001,MATCH(ROWS($W$2:W236),$W$2:$W$1001,0),0), INDEX($AD$1004:$AU$1004,1,MATCH(COLUMNS($AD$1006:AG1006),$AD$1006:$AU$1006,0)))),"Fix")))</f>
        <v xml:space="preserve"> </v>
      </c>
      <c r="F236" s="4" t="str">
        <f ca="1">IF(OR(INDEX($X$2:$X$1001,MATCH(ROWS($W$2:W236),$W$2:$W$1001,0),1)&gt;=100000,INDEX($AD$1005:$AU$1005,1,MATCH(COLUMNS($AD$1006:AH1006),$AD$1006:$AU$1006,0))&gt;=100000), " ",IF(INDEX($AD$2:$AU$1001,MATCH(ROWS($W$2:W236),$W$2:$W$1001,0),MATCH(COLUMNS($AD$1006:AH1006),$AD$1006:$AU$1006,0)), HYPERLINK("#",""), HYPERLINK(CONCATENATE("#metadata!", ADDRESS(INDEX($Y$2:$Y$1001,MATCH(ROWS($W$2:W236),$W$2:$W$1001,0),0), INDEX($AD$1004:$AU$1004,1,MATCH(COLUMNS($AD$1006:AH1006),$AD$1006:$AU$1006,0)))),"Fix")))</f>
        <v xml:space="preserve"> </v>
      </c>
      <c r="G236" s="4" t="str">
        <f ca="1">IF(OR(INDEX($X$2:$X$1001,MATCH(ROWS($W$2:W236),$W$2:$W$1001,0),1)&gt;=100000,INDEX($AD$1005:$AU$1005,1,MATCH(COLUMNS($AD$1006:AI1006),$AD$1006:$AU$1006,0))&gt;=100000), " ",IF(INDEX($AD$2:$AU$1001,MATCH(ROWS($W$2:W236),$W$2:$W$1001,0),MATCH(COLUMNS($AD$1006:AI1006),$AD$1006:$AU$1006,0)), HYPERLINK("#",""), HYPERLINK(CONCATENATE("#metadata!", ADDRESS(INDEX($Y$2:$Y$1001,MATCH(ROWS($W$2:W236),$W$2:$W$1001,0),0), INDEX($AD$1004:$AU$1004,1,MATCH(COLUMNS($AD$1006:AI1006),$AD$1006:$AU$1006,0)))),"Fix")))</f>
        <v xml:space="preserve"> </v>
      </c>
      <c r="H236" s="4" t="str">
        <f ca="1">IF(OR(INDEX($X$2:$X$1001,MATCH(ROWS($W$2:W236),$W$2:$W$1001,0),1)&gt;=100000,INDEX($AD$1005:$AU$1005,1,MATCH(COLUMNS($AD$1006:AJ1006),$AD$1006:$AU$1006,0))&gt;=100000), " ",IF(INDEX($AD$2:$AU$1001,MATCH(ROWS($W$2:W236),$W$2:$W$1001,0),MATCH(COLUMNS($AD$1006:AJ1006),$AD$1006:$AU$1006,0)), HYPERLINK("#",""), HYPERLINK(CONCATENATE("#metadata!", ADDRESS(INDEX($Y$2:$Y$1001,MATCH(ROWS($W$2:W236),$W$2:$W$1001,0),0), INDEX($AD$1004:$AU$1004,1,MATCH(COLUMNS($AD$1006:AJ1006),$AD$1006:$AU$1006,0)))),"Fix")))</f>
        <v xml:space="preserve"> </v>
      </c>
      <c r="I236" s="4" t="str">
        <f ca="1">IF(OR(INDEX($X$2:$X$1001,MATCH(ROWS($W$2:W236),$W$2:$W$1001,0),1)&gt;=100000,INDEX($AD$1005:$AU$1005,1,MATCH(COLUMNS($AD$1006:AK1006),$AD$1006:$AU$1006,0))&gt;=100000), " ",IF(INDEX($AD$2:$AU$1001,MATCH(ROWS($W$2:W236),$W$2:$W$1001,0),MATCH(COLUMNS($AD$1006:AK1006),$AD$1006:$AU$1006,0)), HYPERLINK("#",""), HYPERLINK(CONCATENATE("#metadata!", ADDRESS(INDEX($Y$2:$Y$1001,MATCH(ROWS($W$2:W236),$W$2:$W$1001,0),0), INDEX($AD$1004:$AU$1004,1,MATCH(COLUMNS($AD$1006:AK1006),$AD$1006:$AU$1006,0)))),"Fix")))</f>
        <v xml:space="preserve"> </v>
      </c>
      <c r="J236" s="4" t="str">
        <f ca="1">IF(OR(INDEX($X$2:$X$1001,MATCH(ROWS($W$2:W236),$W$2:$W$1001,0),1)&gt;=100000,INDEX($AD$1005:$AU$1005,1,MATCH(COLUMNS($AD$1006:AL1006),$AD$1006:$AU$1006,0))&gt;=100000), " ",IF(INDEX($AD$2:$AU$1001,MATCH(ROWS($W$2:W236),$W$2:$W$1001,0),MATCH(COLUMNS($AD$1006:AL1006),$AD$1006:$AU$1006,0)), HYPERLINK("#",""), HYPERLINK(CONCATENATE("#metadata!", ADDRESS(INDEX($Y$2:$Y$1001,MATCH(ROWS($W$2:W236),$W$2:$W$1001,0),0), INDEX($AD$1004:$AU$1004,1,MATCH(COLUMNS($AD$1006:AL1006),$AD$1006:$AU$1006,0)))),"Fix")))</f>
        <v xml:space="preserve"> </v>
      </c>
      <c r="K236" s="4" t="str">
        <f ca="1">IF(OR(INDEX($X$2:$X$1001,MATCH(ROWS($W$2:W236),$W$2:$W$1001,0),1)&gt;=100000,INDEX($AD$1005:$AU$1005,1,MATCH(COLUMNS($AD$1006:AM1006),$AD$1006:$AU$1006,0))&gt;=100000), " ",IF(INDEX($AD$2:$AU$1001,MATCH(ROWS($W$2:W236),$W$2:$W$1001,0),MATCH(COLUMNS($AD$1006:AM1006),$AD$1006:$AU$1006,0)), HYPERLINK("#",""), HYPERLINK(CONCATENATE("#metadata!", ADDRESS(INDEX($Y$2:$Y$1001,MATCH(ROWS($W$2:W236),$W$2:$W$1001,0),0), INDEX($AD$1004:$AU$1004,1,MATCH(COLUMNS($AD$1006:AM1006),$AD$1006:$AU$1006,0)))),"Fix")))</f>
        <v xml:space="preserve"> </v>
      </c>
      <c r="L236" s="4" t="str">
        <f ca="1">IF(OR(INDEX($X$2:$X$1001,MATCH(ROWS($W$2:W236),$W$2:$W$1001,0),1)&gt;=100000,INDEX($AD$1005:$AU$1005,1,MATCH(COLUMNS($AD$1006:AN1006),$AD$1006:$AU$1006,0))&gt;=100000), " ",IF(INDEX($AD$2:$AU$1001,MATCH(ROWS($W$2:W236),$W$2:$W$1001,0),MATCH(COLUMNS($AD$1006:AN1006),$AD$1006:$AU$1006,0)), HYPERLINK("#",""), HYPERLINK(CONCATENATE("#metadata!", ADDRESS(INDEX($Y$2:$Y$1001,MATCH(ROWS($W$2:W236),$W$2:$W$1001,0),0), INDEX($AD$1004:$AU$1004,1,MATCH(COLUMNS($AD$1006:AN1006),$AD$1006:$AU$1006,0)))),"Fix")))</f>
        <v xml:space="preserve"> </v>
      </c>
      <c r="M236" s="4" t="str">
        <f ca="1">IF(OR(INDEX($X$2:$X$1001,MATCH(ROWS($W$2:W236),$W$2:$W$1001,0),1)&gt;=100000,INDEX($AD$1005:$AU$1005,1,MATCH(COLUMNS($AD$1006:AO1006),$AD$1006:$AU$1006,0))&gt;=100000), " ",IF(INDEX($AD$2:$AU$1001,MATCH(ROWS($W$2:W236),$W$2:$W$1001,0),MATCH(COLUMNS($AD$1006:AO1006),$AD$1006:$AU$1006,0)), HYPERLINK("#",""), HYPERLINK(CONCATENATE("#metadata!", ADDRESS(INDEX($Y$2:$Y$1001,MATCH(ROWS($W$2:W236),$W$2:$W$1001,0),0), INDEX($AD$1004:$AU$1004,1,MATCH(COLUMNS($AD$1006:AO1006),$AD$1006:$AU$1006,0)))),"Fix")))</f>
        <v xml:space="preserve"> </v>
      </c>
      <c r="N236" s="4" t="str">
        <f ca="1">IF(OR(INDEX($X$2:$X$1001,MATCH(ROWS($W$2:W236),$W$2:$W$1001,0),1)&gt;=100000,INDEX($AD$1005:$AU$1005,1,MATCH(COLUMNS($AD$1006:AP1006),$AD$1006:$AU$1006,0))&gt;=100000), " ",IF(INDEX($AD$2:$AU$1001,MATCH(ROWS($W$2:W236),$W$2:$W$1001,0),MATCH(COLUMNS($AD$1006:AP1006),$AD$1006:$AU$1006,0)), HYPERLINK("#",""), HYPERLINK(CONCATENATE("#metadata!", ADDRESS(INDEX($Y$2:$Y$1001,MATCH(ROWS($W$2:W236),$W$2:$W$1001,0),0), INDEX($AD$1004:$AU$1004,1,MATCH(COLUMNS($AD$1006:AP1006),$AD$1006:$AU$1006,0)))),"Fix")))</f>
        <v xml:space="preserve"> </v>
      </c>
      <c r="O236" s="4" t="str">
        <f ca="1">IF(OR(INDEX($X$2:$X$1001,MATCH(ROWS($W$2:W236),$W$2:$W$1001,0),1)&gt;=100000,INDEX($AD$1005:$AU$1005,1,MATCH(COLUMNS($AD$1006:AQ1006),$AD$1006:$AU$1006,0))&gt;=100000), " ",IF(INDEX($AD$2:$AU$1001,MATCH(ROWS($W$2:W236),$W$2:$W$1001,0),MATCH(COLUMNS($AD$1006:AQ1006),$AD$1006:$AU$1006,0)), HYPERLINK("#",""), HYPERLINK(CONCATENATE("#metadata!", ADDRESS(INDEX($Y$2:$Y$1001,MATCH(ROWS($W$2:W236),$W$2:$W$1001,0),0), INDEX($AD$1004:$AU$1004,1,MATCH(COLUMNS($AD$1006:AQ1006),$AD$1006:$AU$1006,0)))),"Fix")))</f>
        <v xml:space="preserve"> </v>
      </c>
      <c r="P236" s="4" t="str">
        <f ca="1">IF(OR(INDEX($X$2:$X$1001,MATCH(ROWS($W$2:W236),$W$2:$W$1001,0),1)&gt;=100000,INDEX($AD$1005:$AU$1005,1,MATCH(COLUMNS($AD$1006:AR1006),$AD$1006:$AU$1006,0))&gt;=100000), " ",IF(INDEX($AD$2:$AU$1001,MATCH(ROWS($W$2:W236),$W$2:$W$1001,0),MATCH(COLUMNS($AD$1006:AR1006),$AD$1006:$AU$1006,0)), HYPERLINK("#",""), HYPERLINK(CONCATENATE("#metadata!", ADDRESS(INDEX($Y$2:$Y$1001,MATCH(ROWS($W$2:W236),$W$2:$W$1001,0),0), INDEX($AD$1004:$AU$1004,1,MATCH(COLUMNS($AD$1006:AR1006),$AD$1006:$AU$1006,0)))),"Fix")))</f>
        <v xml:space="preserve"> </v>
      </c>
      <c r="Q236" s="4" t="str">
        <f ca="1">IF(OR(INDEX($X$2:$X$1001,MATCH(ROWS($W$2:W236),$W$2:$W$1001,0),1)&gt;=100000,INDEX($AD$1005:$AU$1005,1,MATCH(COLUMNS($AD$1006:AS1006),$AD$1006:$AU$1006,0))&gt;=100000), " ",IF(INDEX($AD$2:$AU$1001,MATCH(ROWS($W$2:W236),$W$2:$W$1001,0),MATCH(COLUMNS($AD$1006:AS1006),$AD$1006:$AU$1006,0)), HYPERLINK("#",""), HYPERLINK(CONCATENATE("#metadata!", ADDRESS(INDEX($Y$2:$Y$1001,MATCH(ROWS($W$2:W236),$W$2:$W$1001,0),0), INDEX($AD$1004:$AU$1004,1,MATCH(COLUMNS($AD$1006:AS1006),$AD$1006:$AU$1006,0)))),"Fix")))</f>
        <v xml:space="preserve"> </v>
      </c>
      <c r="R236" s="4" t="str">
        <f ca="1">IF(OR(INDEX($X$2:$X$1001,MATCH(ROWS($W$2:W236),$W$2:$W$1001,0),1)&gt;=100000,INDEX($AD$1005:$AU$1005,1,MATCH(COLUMNS($AD$1006:AT1006),$AD$1006:$AU$1006,0))&gt;=100000), " ",IF(INDEX($AD$2:$AU$1001,MATCH(ROWS($W$2:W236),$W$2:$W$1001,0),MATCH(COLUMNS($AD$1006:AT1006),$AD$1006:$AU$1006,0)), HYPERLINK("#",""), HYPERLINK(CONCATENATE("#metadata!", ADDRESS(INDEX($Y$2:$Y$1001,MATCH(ROWS($W$2:W236),$W$2:$W$1001,0),0), INDEX($AD$1004:$AU$1004,1,MATCH(COLUMNS($AD$1006:AT1006),$AD$1006:$AU$1006,0)))),"Fix")))</f>
        <v xml:space="preserve"> </v>
      </c>
      <c r="S236" s="4" t="str">
        <f ca="1">IF(OR(INDEX($X$2:$X$1001,MATCH(ROWS($W$2:W236),$W$2:$W$1001,0),1)&gt;=100000,INDEX($AD$1005:$AU$1005,1,MATCH(COLUMNS($AD$1006:AU1006),$AD$1006:$AU$1006,0))&gt;=100000), " ",IF(INDEX($AD$2:$AU$1001,MATCH(ROWS($W$2:W236),$W$2:$W$1001,0),MATCH(COLUMNS($AD$1006:AU1006),$AD$1006:$AU$1006,0)), HYPERLINK("#",""), HYPERLINK(CONCATENATE("#metadata!", ADDRESS(INDEX($Y$2:$Y$1001,MATCH(ROWS($W$2:W236),$W$2:$W$1001,0),0), INDEX($AD$1004:$AU$1004,1,MATCH(COLUMNS($AD$1006:AU1006),$AD$1006:$AU$1006,0)))),"Fix")))</f>
        <v xml:space="preserve"> </v>
      </c>
      <c r="W236">
        <v>235</v>
      </c>
      <c r="X236">
        <v>100236</v>
      </c>
      <c r="Y236">
        <v>236</v>
      </c>
      <c r="Z236" t="b">
        <f t="shared" si="3"/>
        <v>1</v>
      </c>
      <c r="AA236" t="b">
        <f>COUNTBLANK(metadata!B236:S236)=COLUMNS(metadata!B236:S236)</f>
        <v>1</v>
      </c>
      <c r="AB236" t="str">
        <v/>
      </c>
      <c r="AD236" t="b">
        <f ca="1">AND(IF(metadata!B236="",FALSE,TRUE),COUNTIF(metadata!B:B, metadata!B236) = 1,NOT(ISERROR(SUMPRODUCT(SEARCH(MID(metadata!B236,ROW(INDIRECT("1:"&amp;LEN(metadata!B236))), 1),"0123456789abcdefghijklmnopqrstuvwxyzABCDEFGHIJKLMNOPQRSTUVWXYZ.")))))</f>
        <v>0</v>
      </c>
      <c r="AE236" t="b">
        <f>OR(AND(IF(metadata!C236="",FALSE,TRUE),OR(EXACT(metadata!C236,"not applicable"),EXACT(metadata!C236,"missing: not collected"),EXACT(metadata!C236,"missing: not provided"),EXACT(metadata!C236,"missing: restricted access"))),AND(IF(metadata!C236="",FALSE,ISNUMBER(VALUE(metadata!C236))),metadata!C236&gt;0))</f>
        <v>0</v>
      </c>
      <c r="AF236" t="b">
        <f>AND(IF(metadata!D236="",FALSE,TRUE),EXACT(metadata!D236,"missing: not provided"))</f>
        <v>0</v>
      </c>
      <c r="AG236" t="b">
        <f>AND(IF(metadata!E236="",FALSE,TRUE),EXACT(metadata!E236,"Host-associated"))</f>
        <v>0</v>
      </c>
      <c r="AH236" t="b">
        <f>AND(IF(metadata!F236="",FALSE,TRUE),OR(EXACT(metadata!F236,"Animal"),EXACT(metadata!F236,"Fungus"),EXACT(metadata!F236,"Plant")))</f>
        <v>0</v>
      </c>
      <c r="AI236" t="b">
        <f>AND(IF(metadata!G236="",FALSE,TRUE),OR(EXACT(metadata!G236,"Plant secretion"),EXACT(metadata!G236,"Plant rhizosphere"),EXACT(metadata!G236,"Plant surface"),EXACT(metadata!G236,"Plant corpus"),EXACT(metadata!G236,"Fungus surface"),EXACT(metadata!G236,"Fungus corpus"),EXACT(metadata!G236,"Animal surface"),EXACT(metadata!G236,"Animal proximal gut"),EXACT(metadata!G236,"Animal corpus"),EXACT(metadata!G236,"Animal distal gut"),EXACT(metadata!G236,"Animal secretion")))</f>
        <v>0</v>
      </c>
      <c r="AJ236" t="b">
        <f>OR(AND(IF(metadata!H236="",FALSE,TRUE),OR(EXACT(metadata!H236,"missing: not collected"),EXACT(metadata!H236,"missing: not provided"),EXACT(metadata!H236,"missing: restricted access"))),AND(IF(metadata!H236="",FALSE,TRUE),OR(EXACT(metadata!H236,"organism-associated habitat"),EXACT(metadata!H236,"plant-associated habitat"),EXACT(metadata!H236,"animal-associated habitat"),EXACT(metadata!H236,"insecta-associated habitat"),EXACT(metadata!H236,"mammalia-associated habitat"),EXACT(metadata!H236,"human-associated habitat"),EXACT(metadata!H236,"livestock-associated habitat"))))</f>
        <v>0</v>
      </c>
      <c r="AK236" t="b">
        <f>AND(IF(metadata!I236="",FALSE,TRUE),EXACT(metadata!I236,"host-associated"))</f>
        <v>0</v>
      </c>
      <c r="AL236" t="b">
        <f>OR(AND(IF(metadata!J236="",FALSE,TRUE),OR(EXACT(metadata!J236,"not applicable"),EXACT(metadata!J236,"missing: not collected"),EXACT(metadata!J236,"missing: not provided"),EXACT(metadata!J236,"missing: restricted access"))),AND(IF(metadata!J236="",FALSE,ISNUMBER(VALUE(metadata!J236))),metadata!J236&gt;0))</f>
        <v>0</v>
      </c>
      <c r="AM236" t="b">
        <f>AND(IF(metadata!K236="",FALSE,TRUE),EXACT(metadata!K236,"missing: not provided"))</f>
        <v>0</v>
      </c>
      <c r="AN236" t="b">
        <f>IF(metadata!L236="",FALSE,TRUE)</f>
        <v>0</v>
      </c>
      <c r="AO236" t="b">
        <f>IF(metadata!M236="",FALSE,TRUE)</f>
        <v>0</v>
      </c>
      <c r="AP236" t="b">
        <f>OR(AND(IF(metadata!N236="",FALSE,TRUE),OR(EXACT(metadata!N236,"not applicable"),EXACT(metadata!N236,"missing: not collected"),EXACT(metadata!N236,"missing: not provided"))),AND(IF(metadata!N236="",FALSE,IF(ISERROR(INT(metadata!N236)),FALSE,INT(metadata!N236)=metadata!N236)),metadata!N236&gt;0))</f>
        <v>0</v>
      </c>
      <c r="AQ236" t="b">
        <f>AND(IF(metadata!O236="",FALSE,TRUE),EXACT(metadata!O236,"Not applicable"))</f>
        <v>0</v>
      </c>
      <c r="AR236" t="b">
        <f>OR(AND(IF(metadata!P236="",FALSE,TRUE),OR(EXACT(metadata!P236,"not applicable"),EXACT(metadata!P236,"missing: not collected"),EXACT(metadata!P236,"missing: not provided"),EXACT(metadata!P236,"missing: restricted access"))),IF(metadata!P236="",FALSE,IF(ISERROR(INT(metadata!P236)),FALSE,INT(metadata!P236)=metadata!P236)))</f>
        <v>0</v>
      </c>
      <c r="AS236" t="b">
        <f>AND(IF(metadata!Q236="",FALSE,TRUE),EXACT(metadata!Q236,"Not applicable"))</f>
        <v>0</v>
      </c>
      <c r="AT236" t="b">
        <f>OR(AND(IF(metadata!R236="",FALSE,TRUE),OR(EXACT(metadata!R236,"not applicable"),EXACT(metadata!R236,"missing: not collected"),EXACT(metadata!R236,"missing: not provided"),EXACT(metadata!R236,"missing: restricted access"))),AND(IF(metadata!R236="",FALSE,ISNUMBER(VALUE(metadata!R236))),metadata!R236&gt;0))</f>
        <v>0</v>
      </c>
      <c r="AU236" t="b">
        <f>AND(IF(metadata!S236="",FALSE,TRUE),EXACT(metadata!S236,"missing: not provided"))</f>
        <v>0</v>
      </c>
    </row>
    <row r="237" spans="1:47" x14ac:dyDescent="0.2">
      <c r="A237" s="5" t="str">
        <f ca="1">IF(B237=" "," ",HYPERLINK(CONCATENATE("#metadata!",ADDRESS(INDEX($Y$2:$Y$1001,MATCH(ROWS($W$2:W237),$W$2:$W$1001,0),0),1)),INDEX($AB$2:$AB$1001,MATCH(ROWS($W$2:W237),$W$2:$W$1001,0),0)))</f>
        <v xml:space="preserve"> </v>
      </c>
      <c r="B237" s="4" t="str">
        <f ca="1">IF(OR(INDEX($X$2:$X$1001,MATCH(ROWS($W$2:W237),$W$2:$W$1001,0),1)&gt;=100000,INDEX($AD$1005:$AU$1005,1,MATCH(COLUMNS($AD$1006:AD1006),$AD$1006:$AU$1006,0))&gt;=100000), " ",IF(INDEX($AD$2:$AU$1001,MATCH(ROWS($W$2:W237),$W$2:$W$1001,0),MATCH(COLUMNS($AD$1006:AD1006),$AD$1006:$AU$1006,0)), HYPERLINK("#",""), HYPERLINK(CONCATENATE("#metadata!", ADDRESS(INDEX($Y$2:$Y$1001,MATCH(ROWS($W$2:W237),$W$2:$W$1001,0),0), INDEX($AD$1004:$AU$1004,1,MATCH(COLUMNS($AD$1006:AD1006),$AD$1006:$AU$1006,0)))),"Fix")))</f>
        <v xml:space="preserve"> </v>
      </c>
      <c r="C237" s="4" t="str">
        <f ca="1">IF(OR(INDEX($X$2:$X$1001,MATCH(ROWS($W$2:W237),$W$2:$W$1001,0),1)&gt;=100000,INDEX($AD$1005:$AU$1005,1,MATCH(COLUMNS($AD$1006:AE1006),$AD$1006:$AU$1006,0))&gt;=100000), " ",IF(INDEX($AD$2:$AU$1001,MATCH(ROWS($W$2:W237),$W$2:$W$1001,0),MATCH(COLUMNS($AD$1006:AE1006),$AD$1006:$AU$1006,0)), HYPERLINK("#",""), HYPERLINK(CONCATENATE("#metadata!", ADDRESS(INDEX($Y$2:$Y$1001,MATCH(ROWS($W$2:W237),$W$2:$W$1001,0),0), INDEX($AD$1004:$AU$1004,1,MATCH(COLUMNS($AD$1006:AE1006),$AD$1006:$AU$1006,0)))),"Fix")))</f>
        <v xml:space="preserve"> </v>
      </c>
      <c r="D237" s="4" t="str">
        <f ca="1">IF(OR(INDEX($X$2:$X$1001,MATCH(ROWS($W$2:W237),$W$2:$W$1001,0),1)&gt;=100000,INDEX($AD$1005:$AU$1005,1,MATCH(COLUMNS($AD$1006:AF1006),$AD$1006:$AU$1006,0))&gt;=100000), " ",IF(INDEX($AD$2:$AU$1001,MATCH(ROWS($W$2:W237),$W$2:$W$1001,0),MATCH(COLUMNS($AD$1006:AF1006),$AD$1006:$AU$1006,0)), HYPERLINK("#",""), HYPERLINK(CONCATENATE("#metadata!", ADDRESS(INDEX($Y$2:$Y$1001,MATCH(ROWS($W$2:W237),$W$2:$W$1001,0),0), INDEX($AD$1004:$AU$1004,1,MATCH(COLUMNS($AD$1006:AF1006),$AD$1006:$AU$1006,0)))),"Fix")))</f>
        <v xml:space="preserve"> </v>
      </c>
      <c r="E237" s="4" t="str">
        <f ca="1">IF(OR(INDEX($X$2:$X$1001,MATCH(ROWS($W$2:W237),$W$2:$W$1001,0),1)&gt;=100000,INDEX($AD$1005:$AU$1005,1,MATCH(COLUMNS($AD$1006:AG1006),$AD$1006:$AU$1006,0))&gt;=100000), " ",IF(INDEX($AD$2:$AU$1001,MATCH(ROWS($W$2:W237),$W$2:$W$1001,0),MATCH(COLUMNS($AD$1006:AG1006),$AD$1006:$AU$1006,0)), HYPERLINK("#",""), HYPERLINK(CONCATENATE("#metadata!", ADDRESS(INDEX($Y$2:$Y$1001,MATCH(ROWS($W$2:W237),$W$2:$W$1001,0),0), INDEX($AD$1004:$AU$1004,1,MATCH(COLUMNS($AD$1006:AG1006),$AD$1006:$AU$1006,0)))),"Fix")))</f>
        <v xml:space="preserve"> </v>
      </c>
      <c r="F237" s="4" t="str">
        <f ca="1">IF(OR(INDEX($X$2:$X$1001,MATCH(ROWS($W$2:W237),$W$2:$W$1001,0),1)&gt;=100000,INDEX($AD$1005:$AU$1005,1,MATCH(COLUMNS($AD$1006:AH1006),$AD$1006:$AU$1006,0))&gt;=100000), " ",IF(INDEX($AD$2:$AU$1001,MATCH(ROWS($W$2:W237),$W$2:$W$1001,0),MATCH(COLUMNS($AD$1006:AH1006),$AD$1006:$AU$1006,0)), HYPERLINK("#",""), HYPERLINK(CONCATENATE("#metadata!", ADDRESS(INDEX($Y$2:$Y$1001,MATCH(ROWS($W$2:W237),$W$2:$W$1001,0),0), INDEX($AD$1004:$AU$1004,1,MATCH(COLUMNS($AD$1006:AH1006),$AD$1006:$AU$1006,0)))),"Fix")))</f>
        <v xml:space="preserve"> </v>
      </c>
      <c r="G237" s="4" t="str">
        <f ca="1">IF(OR(INDEX($X$2:$X$1001,MATCH(ROWS($W$2:W237),$W$2:$W$1001,0),1)&gt;=100000,INDEX($AD$1005:$AU$1005,1,MATCH(COLUMNS($AD$1006:AI1006),$AD$1006:$AU$1006,0))&gt;=100000), " ",IF(INDEX($AD$2:$AU$1001,MATCH(ROWS($W$2:W237),$W$2:$W$1001,0),MATCH(COLUMNS($AD$1006:AI1006),$AD$1006:$AU$1006,0)), HYPERLINK("#",""), HYPERLINK(CONCATENATE("#metadata!", ADDRESS(INDEX($Y$2:$Y$1001,MATCH(ROWS($W$2:W237),$W$2:$W$1001,0),0), INDEX($AD$1004:$AU$1004,1,MATCH(COLUMNS($AD$1006:AI1006),$AD$1006:$AU$1006,0)))),"Fix")))</f>
        <v xml:space="preserve"> </v>
      </c>
      <c r="H237" s="4" t="str">
        <f ca="1">IF(OR(INDEX($X$2:$X$1001,MATCH(ROWS($W$2:W237),$W$2:$W$1001,0),1)&gt;=100000,INDEX($AD$1005:$AU$1005,1,MATCH(COLUMNS($AD$1006:AJ1006),$AD$1006:$AU$1006,0))&gt;=100000), " ",IF(INDEX($AD$2:$AU$1001,MATCH(ROWS($W$2:W237),$W$2:$W$1001,0),MATCH(COLUMNS($AD$1006:AJ1006),$AD$1006:$AU$1006,0)), HYPERLINK("#",""), HYPERLINK(CONCATENATE("#metadata!", ADDRESS(INDEX($Y$2:$Y$1001,MATCH(ROWS($W$2:W237),$W$2:$W$1001,0),0), INDEX($AD$1004:$AU$1004,1,MATCH(COLUMNS($AD$1006:AJ1006),$AD$1006:$AU$1006,0)))),"Fix")))</f>
        <v xml:space="preserve"> </v>
      </c>
      <c r="I237" s="4" t="str">
        <f ca="1">IF(OR(INDEX($X$2:$X$1001,MATCH(ROWS($W$2:W237),$W$2:$W$1001,0),1)&gt;=100000,INDEX($AD$1005:$AU$1005,1,MATCH(COLUMNS($AD$1006:AK1006),$AD$1006:$AU$1006,0))&gt;=100000), " ",IF(INDEX($AD$2:$AU$1001,MATCH(ROWS($W$2:W237),$W$2:$W$1001,0),MATCH(COLUMNS($AD$1006:AK1006),$AD$1006:$AU$1006,0)), HYPERLINK("#",""), HYPERLINK(CONCATENATE("#metadata!", ADDRESS(INDEX($Y$2:$Y$1001,MATCH(ROWS($W$2:W237),$W$2:$W$1001,0),0), INDEX($AD$1004:$AU$1004,1,MATCH(COLUMNS($AD$1006:AK1006),$AD$1006:$AU$1006,0)))),"Fix")))</f>
        <v xml:space="preserve"> </v>
      </c>
      <c r="J237" s="4" t="str">
        <f ca="1">IF(OR(INDEX($X$2:$X$1001,MATCH(ROWS($W$2:W237),$W$2:$W$1001,0),1)&gt;=100000,INDEX($AD$1005:$AU$1005,1,MATCH(COLUMNS($AD$1006:AL1006),$AD$1006:$AU$1006,0))&gt;=100000), " ",IF(INDEX($AD$2:$AU$1001,MATCH(ROWS($W$2:W237),$W$2:$W$1001,0),MATCH(COLUMNS($AD$1006:AL1006),$AD$1006:$AU$1006,0)), HYPERLINK("#",""), HYPERLINK(CONCATENATE("#metadata!", ADDRESS(INDEX($Y$2:$Y$1001,MATCH(ROWS($W$2:W237),$W$2:$W$1001,0),0), INDEX($AD$1004:$AU$1004,1,MATCH(COLUMNS($AD$1006:AL1006),$AD$1006:$AU$1006,0)))),"Fix")))</f>
        <v xml:space="preserve"> </v>
      </c>
      <c r="K237" s="4" t="str">
        <f ca="1">IF(OR(INDEX($X$2:$X$1001,MATCH(ROWS($W$2:W237),$W$2:$W$1001,0),1)&gt;=100000,INDEX($AD$1005:$AU$1005,1,MATCH(COLUMNS($AD$1006:AM1006),$AD$1006:$AU$1006,0))&gt;=100000), " ",IF(INDEX($AD$2:$AU$1001,MATCH(ROWS($W$2:W237),$W$2:$W$1001,0),MATCH(COLUMNS($AD$1006:AM1006),$AD$1006:$AU$1006,0)), HYPERLINK("#",""), HYPERLINK(CONCATENATE("#metadata!", ADDRESS(INDEX($Y$2:$Y$1001,MATCH(ROWS($W$2:W237),$W$2:$W$1001,0),0), INDEX($AD$1004:$AU$1004,1,MATCH(COLUMNS($AD$1006:AM1006),$AD$1006:$AU$1006,0)))),"Fix")))</f>
        <v xml:space="preserve"> </v>
      </c>
      <c r="L237" s="4" t="str">
        <f ca="1">IF(OR(INDEX($X$2:$X$1001,MATCH(ROWS($W$2:W237),$W$2:$W$1001,0),1)&gt;=100000,INDEX($AD$1005:$AU$1005,1,MATCH(COLUMNS($AD$1006:AN1006),$AD$1006:$AU$1006,0))&gt;=100000), " ",IF(INDEX($AD$2:$AU$1001,MATCH(ROWS($W$2:W237),$W$2:$W$1001,0),MATCH(COLUMNS($AD$1006:AN1006),$AD$1006:$AU$1006,0)), HYPERLINK("#",""), HYPERLINK(CONCATENATE("#metadata!", ADDRESS(INDEX($Y$2:$Y$1001,MATCH(ROWS($W$2:W237),$W$2:$W$1001,0),0), INDEX($AD$1004:$AU$1004,1,MATCH(COLUMNS($AD$1006:AN1006),$AD$1006:$AU$1006,0)))),"Fix")))</f>
        <v xml:space="preserve"> </v>
      </c>
      <c r="M237" s="4" t="str">
        <f ca="1">IF(OR(INDEX($X$2:$X$1001,MATCH(ROWS($W$2:W237),$W$2:$W$1001,0),1)&gt;=100000,INDEX($AD$1005:$AU$1005,1,MATCH(COLUMNS($AD$1006:AO1006),$AD$1006:$AU$1006,0))&gt;=100000), " ",IF(INDEX($AD$2:$AU$1001,MATCH(ROWS($W$2:W237),$W$2:$W$1001,0),MATCH(COLUMNS($AD$1006:AO1006),$AD$1006:$AU$1006,0)), HYPERLINK("#",""), HYPERLINK(CONCATENATE("#metadata!", ADDRESS(INDEX($Y$2:$Y$1001,MATCH(ROWS($W$2:W237),$W$2:$W$1001,0),0), INDEX($AD$1004:$AU$1004,1,MATCH(COLUMNS($AD$1006:AO1006),$AD$1006:$AU$1006,0)))),"Fix")))</f>
        <v xml:space="preserve"> </v>
      </c>
      <c r="N237" s="4" t="str">
        <f ca="1">IF(OR(INDEX($X$2:$X$1001,MATCH(ROWS($W$2:W237),$W$2:$W$1001,0),1)&gt;=100000,INDEX($AD$1005:$AU$1005,1,MATCH(COLUMNS($AD$1006:AP1006),$AD$1006:$AU$1006,0))&gt;=100000), " ",IF(INDEX($AD$2:$AU$1001,MATCH(ROWS($W$2:W237),$W$2:$W$1001,0),MATCH(COLUMNS($AD$1006:AP1006),$AD$1006:$AU$1006,0)), HYPERLINK("#",""), HYPERLINK(CONCATENATE("#metadata!", ADDRESS(INDEX($Y$2:$Y$1001,MATCH(ROWS($W$2:W237),$W$2:$W$1001,0),0), INDEX($AD$1004:$AU$1004,1,MATCH(COLUMNS($AD$1006:AP1006),$AD$1006:$AU$1006,0)))),"Fix")))</f>
        <v xml:space="preserve"> </v>
      </c>
      <c r="O237" s="4" t="str">
        <f ca="1">IF(OR(INDEX($X$2:$X$1001,MATCH(ROWS($W$2:W237),$W$2:$W$1001,0),1)&gt;=100000,INDEX($AD$1005:$AU$1005,1,MATCH(COLUMNS($AD$1006:AQ1006),$AD$1006:$AU$1006,0))&gt;=100000), " ",IF(INDEX($AD$2:$AU$1001,MATCH(ROWS($W$2:W237),$W$2:$W$1001,0),MATCH(COLUMNS($AD$1006:AQ1006),$AD$1006:$AU$1006,0)), HYPERLINK("#",""), HYPERLINK(CONCATENATE("#metadata!", ADDRESS(INDEX($Y$2:$Y$1001,MATCH(ROWS($W$2:W237),$W$2:$W$1001,0),0), INDEX($AD$1004:$AU$1004,1,MATCH(COLUMNS($AD$1006:AQ1006),$AD$1006:$AU$1006,0)))),"Fix")))</f>
        <v xml:space="preserve"> </v>
      </c>
      <c r="P237" s="4" t="str">
        <f ca="1">IF(OR(INDEX($X$2:$X$1001,MATCH(ROWS($W$2:W237),$W$2:$W$1001,0),1)&gt;=100000,INDEX($AD$1005:$AU$1005,1,MATCH(COLUMNS($AD$1006:AR1006),$AD$1006:$AU$1006,0))&gt;=100000), " ",IF(INDEX($AD$2:$AU$1001,MATCH(ROWS($W$2:W237),$W$2:$W$1001,0),MATCH(COLUMNS($AD$1006:AR1006),$AD$1006:$AU$1006,0)), HYPERLINK("#",""), HYPERLINK(CONCATENATE("#metadata!", ADDRESS(INDEX($Y$2:$Y$1001,MATCH(ROWS($W$2:W237),$W$2:$W$1001,0),0), INDEX($AD$1004:$AU$1004,1,MATCH(COLUMNS($AD$1006:AR1006),$AD$1006:$AU$1006,0)))),"Fix")))</f>
        <v xml:space="preserve"> </v>
      </c>
      <c r="Q237" s="4" t="str">
        <f ca="1">IF(OR(INDEX($X$2:$X$1001,MATCH(ROWS($W$2:W237),$W$2:$W$1001,0),1)&gt;=100000,INDEX($AD$1005:$AU$1005,1,MATCH(COLUMNS($AD$1006:AS1006),$AD$1006:$AU$1006,0))&gt;=100000), " ",IF(INDEX($AD$2:$AU$1001,MATCH(ROWS($W$2:W237),$W$2:$W$1001,0),MATCH(COLUMNS($AD$1006:AS1006),$AD$1006:$AU$1006,0)), HYPERLINK("#",""), HYPERLINK(CONCATENATE("#metadata!", ADDRESS(INDEX($Y$2:$Y$1001,MATCH(ROWS($W$2:W237),$W$2:$W$1001,0),0), INDEX($AD$1004:$AU$1004,1,MATCH(COLUMNS($AD$1006:AS1006),$AD$1006:$AU$1006,0)))),"Fix")))</f>
        <v xml:space="preserve"> </v>
      </c>
      <c r="R237" s="4" t="str">
        <f ca="1">IF(OR(INDEX($X$2:$X$1001,MATCH(ROWS($W$2:W237),$W$2:$W$1001,0),1)&gt;=100000,INDEX($AD$1005:$AU$1005,1,MATCH(COLUMNS($AD$1006:AT1006),$AD$1006:$AU$1006,0))&gt;=100000), " ",IF(INDEX($AD$2:$AU$1001,MATCH(ROWS($W$2:W237),$W$2:$W$1001,0),MATCH(COLUMNS($AD$1006:AT1006),$AD$1006:$AU$1006,0)), HYPERLINK("#",""), HYPERLINK(CONCATENATE("#metadata!", ADDRESS(INDEX($Y$2:$Y$1001,MATCH(ROWS($W$2:W237),$W$2:$W$1001,0),0), INDEX($AD$1004:$AU$1004,1,MATCH(COLUMNS($AD$1006:AT1006),$AD$1006:$AU$1006,0)))),"Fix")))</f>
        <v xml:space="preserve"> </v>
      </c>
      <c r="S237" s="4" t="str">
        <f ca="1">IF(OR(INDEX($X$2:$X$1001,MATCH(ROWS($W$2:W237),$W$2:$W$1001,0),1)&gt;=100000,INDEX($AD$1005:$AU$1005,1,MATCH(COLUMNS($AD$1006:AU1006),$AD$1006:$AU$1006,0))&gt;=100000), " ",IF(INDEX($AD$2:$AU$1001,MATCH(ROWS($W$2:W237),$W$2:$W$1001,0),MATCH(COLUMNS($AD$1006:AU1006),$AD$1006:$AU$1006,0)), HYPERLINK("#",""), HYPERLINK(CONCATENATE("#metadata!", ADDRESS(INDEX($Y$2:$Y$1001,MATCH(ROWS($W$2:W237),$W$2:$W$1001,0),0), INDEX($AD$1004:$AU$1004,1,MATCH(COLUMNS($AD$1006:AU1006),$AD$1006:$AU$1006,0)))),"Fix")))</f>
        <v xml:space="preserve"> </v>
      </c>
      <c r="W237">
        <v>236</v>
      </c>
      <c r="X237">
        <v>100237</v>
      </c>
      <c r="Y237">
        <v>237</v>
      </c>
      <c r="Z237" t="b">
        <f t="shared" si="3"/>
        <v>1</v>
      </c>
      <c r="AA237" t="b">
        <f>COUNTBLANK(metadata!B237:S237)=COLUMNS(metadata!B237:S237)</f>
        <v>1</v>
      </c>
      <c r="AB237" t="str">
        <v/>
      </c>
      <c r="AD237" t="b">
        <f ca="1">AND(IF(metadata!B237="",FALSE,TRUE),COUNTIF(metadata!B:B, metadata!B237) = 1,NOT(ISERROR(SUMPRODUCT(SEARCH(MID(metadata!B237,ROW(INDIRECT("1:"&amp;LEN(metadata!B237))), 1),"0123456789abcdefghijklmnopqrstuvwxyzABCDEFGHIJKLMNOPQRSTUVWXYZ.")))))</f>
        <v>0</v>
      </c>
      <c r="AE237" t="b">
        <f>OR(AND(IF(metadata!C237="",FALSE,TRUE),OR(EXACT(metadata!C237,"not applicable"),EXACT(metadata!C237,"missing: not collected"),EXACT(metadata!C237,"missing: not provided"),EXACT(metadata!C237,"missing: restricted access"))),AND(IF(metadata!C237="",FALSE,ISNUMBER(VALUE(metadata!C237))),metadata!C237&gt;0))</f>
        <v>0</v>
      </c>
      <c r="AF237" t="b">
        <f>AND(IF(metadata!D237="",FALSE,TRUE),EXACT(metadata!D237,"missing: not provided"))</f>
        <v>0</v>
      </c>
      <c r="AG237" t="b">
        <f>AND(IF(metadata!E237="",FALSE,TRUE),EXACT(metadata!E237,"Host-associated"))</f>
        <v>0</v>
      </c>
      <c r="AH237" t="b">
        <f>AND(IF(metadata!F237="",FALSE,TRUE),OR(EXACT(metadata!F237,"Animal"),EXACT(metadata!F237,"Fungus"),EXACT(metadata!F237,"Plant")))</f>
        <v>0</v>
      </c>
      <c r="AI237" t="b">
        <f>AND(IF(metadata!G237="",FALSE,TRUE),OR(EXACT(metadata!G237,"Plant secretion"),EXACT(metadata!G237,"Plant rhizosphere"),EXACT(metadata!G237,"Plant surface"),EXACT(metadata!G237,"Plant corpus"),EXACT(metadata!G237,"Fungus surface"),EXACT(metadata!G237,"Fungus corpus"),EXACT(metadata!G237,"Animal surface"),EXACT(metadata!G237,"Animal proximal gut"),EXACT(metadata!G237,"Animal corpus"),EXACT(metadata!G237,"Animal distal gut"),EXACT(metadata!G237,"Animal secretion")))</f>
        <v>0</v>
      </c>
      <c r="AJ237" t="b">
        <f>OR(AND(IF(metadata!H237="",FALSE,TRUE),OR(EXACT(metadata!H237,"missing: not collected"),EXACT(metadata!H237,"missing: not provided"),EXACT(metadata!H237,"missing: restricted access"))),AND(IF(metadata!H237="",FALSE,TRUE),OR(EXACT(metadata!H237,"organism-associated habitat"),EXACT(metadata!H237,"plant-associated habitat"),EXACT(metadata!H237,"animal-associated habitat"),EXACT(metadata!H237,"insecta-associated habitat"),EXACT(metadata!H237,"mammalia-associated habitat"),EXACT(metadata!H237,"human-associated habitat"),EXACT(metadata!H237,"livestock-associated habitat"))))</f>
        <v>0</v>
      </c>
      <c r="AK237" t="b">
        <f>AND(IF(metadata!I237="",FALSE,TRUE),EXACT(metadata!I237,"host-associated"))</f>
        <v>0</v>
      </c>
      <c r="AL237" t="b">
        <f>OR(AND(IF(metadata!J237="",FALSE,TRUE),OR(EXACT(metadata!J237,"not applicable"),EXACT(metadata!J237,"missing: not collected"),EXACT(metadata!J237,"missing: not provided"),EXACT(metadata!J237,"missing: restricted access"))),AND(IF(metadata!J237="",FALSE,ISNUMBER(VALUE(metadata!J237))),metadata!J237&gt;0))</f>
        <v>0</v>
      </c>
      <c r="AM237" t="b">
        <f>AND(IF(metadata!K237="",FALSE,TRUE),EXACT(metadata!K237,"missing: not provided"))</f>
        <v>0</v>
      </c>
      <c r="AN237" t="b">
        <f>IF(metadata!L237="",FALSE,TRUE)</f>
        <v>0</v>
      </c>
      <c r="AO237" t="b">
        <f>IF(metadata!M237="",FALSE,TRUE)</f>
        <v>0</v>
      </c>
      <c r="AP237" t="b">
        <f>OR(AND(IF(metadata!N237="",FALSE,TRUE),OR(EXACT(metadata!N237,"not applicable"),EXACT(metadata!N237,"missing: not collected"),EXACT(metadata!N237,"missing: not provided"))),AND(IF(metadata!N237="",FALSE,IF(ISERROR(INT(metadata!N237)),FALSE,INT(metadata!N237)=metadata!N237)),metadata!N237&gt;0))</f>
        <v>0</v>
      </c>
      <c r="AQ237" t="b">
        <f>AND(IF(metadata!O237="",FALSE,TRUE),EXACT(metadata!O237,"Not applicable"))</f>
        <v>0</v>
      </c>
      <c r="AR237" t="b">
        <f>OR(AND(IF(metadata!P237="",FALSE,TRUE),OR(EXACT(metadata!P237,"not applicable"),EXACT(metadata!P237,"missing: not collected"),EXACT(metadata!P237,"missing: not provided"),EXACT(metadata!P237,"missing: restricted access"))),IF(metadata!P237="",FALSE,IF(ISERROR(INT(metadata!P237)),FALSE,INT(metadata!P237)=metadata!P237)))</f>
        <v>0</v>
      </c>
      <c r="AS237" t="b">
        <f>AND(IF(metadata!Q237="",FALSE,TRUE),EXACT(metadata!Q237,"Not applicable"))</f>
        <v>0</v>
      </c>
      <c r="AT237" t="b">
        <f>OR(AND(IF(metadata!R237="",FALSE,TRUE),OR(EXACT(metadata!R237,"not applicable"),EXACT(metadata!R237,"missing: not collected"),EXACT(metadata!R237,"missing: not provided"),EXACT(metadata!R237,"missing: restricted access"))),AND(IF(metadata!R237="",FALSE,ISNUMBER(VALUE(metadata!R237))),metadata!R237&gt;0))</f>
        <v>0</v>
      </c>
      <c r="AU237" t="b">
        <f>AND(IF(metadata!S237="",FALSE,TRUE),EXACT(metadata!S237,"missing: not provided"))</f>
        <v>0</v>
      </c>
    </row>
    <row r="238" spans="1:47" x14ac:dyDescent="0.2">
      <c r="A238" s="5" t="str">
        <f ca="1">IF(B238=" "," ",HYPERLINK(CONCATENATE("#metadata!",ADDRESS(INDEX($Y$2:$Y$1001,MATCH(ROWS($W$2:W238),$W$2:$W$1001,0),0),1)),INDEX($AB$2:$AB$1001,MATCH(ROWS($W$2:W238),$W$2:$W$1001,0),0)))</f>
        <v xml:space="preserve"> </v>
      </c>
      <c r="B238" s="4" t="str">
        <f ca="1">IF(OR(INDEX($X$2:$X$1001,MATCH(ROWS($W$2:W238),$W$2:$W$1001,0),1)&gt;=100000,INDEX($AD$1005:$AU$1005,1,MATCH(COLUMNS($AD$1006:AD1006),$AD$1006:$AU$1006,0))&gt;=100000), " ",IF(INDEX($AD$2:$AU$1001,MATCH(ROWS($W$2:W238),$W$2:$W$1001,0),MATCH(COLUMNS($AD$1006:AD1006),$AD$1006:$AU$1006,0)), HYPERLINK("#",""), HYPERLINK(CONCATENATE("#metadata!", ADDRESS(INDEX($Y$2:$Y$1001,MATCH(ROWS($W$2:W238),$W$2:$W$1001,0),0), INDEX($AD$1004:$AU$1004,1,MATCH(COLUMNS($AD$1006:AD1006),$AD$1006:$AU$1006,0)))),"Fix")))</f>
        <v xml:space="preserve"> </v>
      </c>
      <c r="C238" s="4" t="str">
        <f ca="1">IF(OR(INDEX($X$2:$X$1001,MATCH(ROWS($W$2:W238),$W$2:$W$1001,0),1)&gt;=100000,INDEX($AD$1005:$AU$1005,1,MATCH(COLUMNS($AD$1006:AE1006),$AD$1006:$AU$1006,0))&gt;=100000), " ",IF(INDEX($AD$2:$AU$1001,MATCH(ROWS($W$2:W238),$W$2:$W$1001,0),MATCH(COLUMNS($AD$1006:AE1006),$AD$1006:$AU$1006,0)), HYPERLINK("#",""), HYPERLINK(CONCATENATE("#metadata!", ADDRESS(INDEX($Y$2:$Y$1001,MATCH(ROWS($W$2:W238),$W$2:$W$1001,0),0), INDEX($AD$1004:$AU$1004,1,MATCH(COLUMNS($AD$1006:AE1006),$AD$1006:$AU$1006,0)))),"Fix")))</f>
        <v xml:space="preserve"> </v>
      </c>
      <c r="D238" s="4" t="str">
        <f ca="1">IF(OR(INDEX($X$2:$X$1001,MATCH(ROWS($W$2:W238),$W$2:$W$1001,0),1)&gt;=100000,INDEX($AD$1005:$AU$1005,1,MATCH(COLUMNS($AD$1006:AF1006),$AD$1006:$AU$1006,0))&gt;=100000), " ",IF(INDEX($AD$2:$AU$1001,MATCH(ROWS($W$2:W238),$W$2:$W$1001,0),MATCH(COLUMNS($AD$1006:AF1006),$AD$1006:$AU$1006,0)), HYPERLINK("#",""), HYPERLINK(CONCATENATE("#metadata!", ADDRESS(INDEX($Y$2:$Y$1001,MATCH(ROWS($W$2:W238),$W$2:$W$1001,0),0), INDEX($AD$1004:$AU$1004,1,MATCH(COLUMNS($AD$1006:AF1006),$AD$1006:$AU$1006,0)))),"Fix")))</f>
        <v xml:space="preserve"> </v>
      </c>
      <c r="E238" s="4" t="str">
        <f ca="1">IF(OR(INDEX($X$2:$X$1001,MATCH(ROWS($W$2:W238),$W$2:$W$1001,0),1)&gt;=100000,INDEX($AD$1005:$AU$1005,1,MATCH(COLUMNS($AD$1006:AG1006),$AD$1006:$AU$1006,0))&gt;=100000), " ",IF(INDEX($AD$2:$AU$1001,MATCH(ROWS($W$2:W238),$W$2:$W$1001,0),MATCH(COLUMNS($AD$1006:AG1006),$AD$1006:$AU$1006,0)), HYPERLINK("#",""), HYPERLINK(CONCATENATE("#metadata!", ADDRESS(INDEX($Y$2:$Y$1001,MATCH(ROWS($W$2:W238),$W$2:$W$1001,0),0), INDEX($AD$1004:$AU$1004,1,MATCH(COLUMNS($AD$1006:AG1006),$AD$1006:$AU$1006,0)))),"Fix")))</f>
        <v xml:space="preserve"> </v>
      </c>
      <c r="F238" s="4" t="str">
        <f ca="1">IF(OR(INDEX($X$2:$X$1001,MATCH(ROWS($W$2:W238),$W$2:$W$1001,0),1)&gt;=100000,INDEX($AD$1005:$AU$1005,1,MATCH(COLUMNS($AD$1006:AH1006),$AD$1006:$AU$1006,0))&gt;=100000), " ",IF(INDEX($AD$2:$AU$1001,MATCH(ROWS($W$2:W238),$W$2:$W$1001,0),MATCH(COLUMNS($AD$1006:AH1006),$AD$1006:$AU$1006,0)), HYPERLINK("#",""), HYPERLINK(CONCATENATE("#metadata!", ADDRESS(INDEX($Y$2:$Y$1001,MATCH(ROWS($W$2:W238),$W$2:$W$1001,0),0), INDEX($AD$1004:$AU$1004,1,MATCH(COLUMNS($AD$1006:AH1006),$AD$1006:$AU$1006,0)))),"Fix")))</f>
        <v xml:space="preserve"> </v>
      </c>
      <c r="G238" s="4" t="str">
        <f ca="1">IF(OR(INDEX($X$2:$X$1001,MATCH(ROWS($W$2:W238),$W$2:$W$1001,0),1)&gt;=100000,INDEX($AD$1005:$AU$1005,1,MATCH(COLUMNS($AD$1006:AI1006),$AD$1006:$AU$1006,0))&gt;=100000), " ",IF(INDEX($AD$2:$AU$1001,MATCH(ROWS($W$2:W238),$W$2:$W$1001,0),MATCH(COLUMNS($AD$1006:AI1006),$AD$1006:$AU$1006,0)), HYPERLINK("#",""), HYPERLINK(CONCATENATE("#metadata!", ADDRESS(INDEX($Y$2:$Y$1001,MATCH(ROWS($W$2:W238),$W$2:$W$1001,0),0), INDEX($AD$1004:$AU$1004,1,MATCH(COLUMNS($AD$1006:AI1006),$AD$1006:$AU$1006,0)))),"Fix")))</f>
        <v xml:space="preserve"> </v>
      </c>
      <c r="H238" s="4" t="str">
        <f ca="1">IF(OR(INDEX($X$2:$X$1001,MATCH(ROWS($W$2:W238),$W$2:$W$1001,0),1)&gt;=100000,INDEX($AD$1005:$AU$1005,1,MATCH(COLUMNS($AD$1006:AJ1006),$AD$1006:$AU$1006,0))&gt;=100000), " ",IF(INDEX($AD$2:$AU$1001,MATCH(ROWS($W$2:W238),$W$2:$W$1001,0),MATCH(COLUMNS($AD$1006:AJ1006),$AD$1006:$AU$1006,0)), HYPERLINK("#",""), HYPERLINK(CONCATENATE("#metadata!", ADDRESS(INDEX($Y$2:$Y$1001,MATCH(ROWS($W$2:W238),$W$2:$W$1001,0),0), INDEX($AD$1004:$AU$1004,1,MATCH(COLUMNS($AD$1006:AJ1006),$AD$1006:$AU$1006,0)))),"Fix")))</f>
        <v xml:space="preserve"> </v>
      </c>
      <c r="I238" s="4" t="str">
        <f ca="1">IF(OR(INDEX($X$2:$X$1001,MATCH(ROWS($W$2:W238),$W$2:$W$1001,0),1)&gt;=100000,INDEX($AD$1005:$AU$1005,1,MATCH(COLUMNS($AD$1006:AK1006),$AD$1006:$AU$1006,0))&gt;=100000), " ",IF(INDEX($AD$2:$AU$1001,MATCH(ROWS($W$2:W238),$W$2:$W$1001,0),MATCH(COLUMNS($AD$1006:AK1006),$AD$1006:$AU$1006,0)), HYPERLINK("#",""), HYPERLINK(CONCATENATE("#metadata!", ADDRESS(INDEX($Y$2:$Y$1001,MATCH(ROWS($W$2:W238),$W$2:$W$1001,0),0), INDEX($AD$1004:$AU$1004,1,MATCH(COLUMNS($AD$1006:AK1006),$AD$1006:$AU$1006,0)))),"Fix")))</f>
        <v xml:space="preserve"> </v>
      </c>
      <c r="J238" s="4" t="str">
        <f ca="1">IF(OR(INDEX($X$2:$X$1001,MATCH(ROWS($W$2:W238),$W$2:$W$1001,0),1)&gt;=100000,INDEX($AD$1005:$AU$1005,1,MATCH(COLUMNS($AD$1006:AL1006),$AD$1006:$AU$1006,0))&gt;=100000), " ",IF(INDEX($AD$2:$AU$1001,MATCH(ROWS($W$2:W238),$W$2:$W$1001,0),MATCH(COLUMNS($AD$1006:AL1006),$AD$1006:$AU$1006,0)), HYPERLINK("#",""), HYPERLINK(CONCATENATE("#metadata!", ADDRESS(INDEX($Y$2:$Y$1001,MATCH(ROWS($W$2:W238),$W$2:$W$1001,0),0), INDEX($AD$1004:$AU$1004,1,MATCH(COLUMNS($AD$1006:AL1006),$AD$1006:$AU$1006,0)))),"Fix")))</f>
        <v xml:space="preserve"> </v>
      </c>
      <c r="K238" s="4" t="str">
        <f ca="1">IF(OR(INDEX($X$2:$X$1001,MATCH(ROWS($W$2:W238),$W$2:$W$1001,0),1)&gt;=100000,INDEX($AD$1005:$AU$1005,1,MATCH(COLUMNS($AD$1006:AM1006),$AD$1006:$AU$1006,0))&gt;=100000), " ",IF(INDEX($AD$2:$AU$1001,MATCH(ROWS($W$2:W238),$W$2:$W$1001,0),MATCH(COLUMNS($AD$1006:AM1006),$AD$1006:$AU$1006,0)), HYPERLINK("#",""), HYPERLINK(CONCATENATE("#metadata!", ADDRESS(INDEX($Y$2:$Y$1001,MATCH(ROWS($W$2:W238),$W$2:$W$1001,0),0), INDEX($AD$1004:$AU$1004,1,MATCH(COLUMNS($AD$1006:AM1006),$AD$1006:$AU$1006,0)))),"Fix")))</f>
        <v xml:space="preserve"> </v>
      </c>
      <c r="L238" s="4" t="str">
        <f ca="1">IF(OR(INDEX($X$2:$X$1001,MATCH(ROWS($W$2:W238),$W$2:$W$1001,0),1)&gt;=100000,INDEX($AD$1005:$AU$1005,1,MATCH(COLUMNS($AD$1006:AN1006),$AD$1006:$AU$1006,0))&gt;=100000), " ",IF(INDEX($AD$2:$AU$1001,MATCH(ROWS($W$2:W238),$W$2:$W$1001,0),MATCH(COLUMNS($AD$1006:AN1006),$AD$1006:$AU$1006,0)), HYPERLINK("#",""), HYPERLINK(CONCATENATE("#metadata!", ADDRESS(INDEX($Y$2:$Y$1001,MATCH(ROWS($W$2:W238),$W$2:$W$1001,0),0), INDEX($AD$1004:$AU$1004,1,MATCH(COLUMNS($AD$1006:AN1006),$AD$1006:$AU$1006,0)))),"Fix")))</f>
        <v xml:space="preserve"> </v>
      </c>
      <c r="M238" s="4" t="str">
        <f ca="1">IF(OR(INDEX($X$2:$X$1001,MATCH(ROWS($W$2:W238),$W$2:$W$1001,0),1)&gt;=100000,INDEX($AD$1005:$AU$1005,1,MATCH(COLUMNS($AD$1006:AO1006),$AD$1006:$AU$1006,0))&gt;=100000), " ",IF(INDEX($AD$2:$AU$1001,MATCH(ROWS($W$2:W238),$W$2:$W$1001,0),MATCH(COLUMNS($AD$1006:AO1006),$AD$1006:$AU$1006,0)), HYPERLINK("#",""), HYPERLINK(CONCATENATE("#metadata!", ADDRESS(INDEX($Y$2:$Y$1001,MATCH(ROWS($W$2:W238),$W$2:$W$1001,0),0), INDEX($AD$1004:$AU$1004,1,MATCH(COLUMNS($AD$1006:AO1006),$AD$1006:$AU$1006,0)))),"Fix")))</f>
        <v xml:space="preserve"> </v>
      </c>
      <c r="N238" s="4" t="str">
        <f ca="1">IF(OR(INDEX($X$2:$X$1001,MATCH(ROWS($W$2:W238),$W$2:$W$1001,0),1)&gt;=100000,INDEX($AD$1005:$AU$1005,1,MATCH(COLUMNS($AD$1006:AP1006),$AD$1006:$AU$1006,0))&gt;=100000), " ",IF(INDEX($AD$2:$AU$1001,MATCH(ROWS($W$2:W238),$W$2:$W$1001,0),MATCH(COLUMNS($AD$1006:AP1006),$AD$1006:$AU$1006,0)), HYPERLINK("#",""), HYPERLINK(CONCATENATE("#metadata!", ADDRESS(INDEX($Y$2:$Y$1001,MATCH(ROWS($W$2:W238),$W$2:$W$1001,0),0), INDEX($AD$1004:$AU$1004,1,MATCH(COLUMNS($AD$1006:AP1006),$AD$1006:$AU$1006,0)))),"Fix")))</f>
        <v xml:space="preserve"> </v>
      </c>
      <c r="O238" s="4" t="str">
        <f ca="1">IF(OR(INDEX($X$2:$X$1001,MATCH(ROWS($W$2:W238),$W$2:$W$1001,0),1)&gt;=100000,INDEX($AD$1005:$AU$1005,1,MATCH(COLUMNS($AD$1006:AQ1006),$AD$1006:$AU$1006,0))&gt;=100000), " ",IF(INDEX($AD$2:$AU$1001,MATCH(ROWS($W$2:W238),$W$2:$W$1001,0),MATCH(COLUMNS($AD$1006:AQ1006),$AD$1006:$AU$1006,0)), HYPERLINK("#",""), HYPERLINK(CONCATENATE("#metadata!", ADDRESS(INDEX($Y$2:$Y$1001,MATCH(ROWS($W$2:W238),$W$2:$W$1001,0),0), INDEX($AD$1004:$AU$1004,1,MATCH(COLUMNS($AD$1006:AQ1006),$AD$1006:$AU$1006,0)))),"Fix")))</f>
        <v xml:space="preserve"> </v>
      </c>
      <c r="P238" s="4" t="str">
        <f ca="1">IF(OR(INDEX($X$2:$X$1001,MATCH(ROWS($W$2:W238),$W$2:$W$1001,0),1)&gt;=100000,INDEX($AD$1005:$AU$1005,1,MATCH(COLUMNS($AD$1006:AR1006),$AD$1006:$AU$1006,0))&gt;=100000), " ",IF(INDEX($AD$2:$AU$1001,MATCH(ROWS($W$2:W238),$W$2:$W$1001,0),MATCH(COLUMNS($AD$1006:AR1006),$AD$1006:$AU$1006,0)), HYPERLINK("#",""), HYPERLINK(CONCATENATE("#metadata!", ADDRESS(INDEX($Y$2:$Y$1001,MATCH(ROWS($W$2:W238),$W$2:$W$1001,0),0), INDEX($AD$1004:$AU$1004,1,MATCH(COLUMNS($AD$1006:AR1006),$AD$1006:$AU$1006,0)))),"Fix")))</f>
        <v xml:space="preserve"> </v>
      </c>
      <c r="Q238" s="4" t="str">
        <f ca="1">IF(OR(INDEX($X$2:$X$1001,MATCH(ROWS($W$2:W238),$W$2:$W$1001,0),1)&gt;=100000,INDEX($AD$1005:$AU$1005,1,MATCH(COLUMNS($AD$1006:AS1006),$AD$1006:$AU$1006,0))&gt;=100000), " ",IF(INDEX($AD$2:$AU$1001,MATCH(ROWS($W$2:W238),$W$2:$W$1001,0),MATCH(COLUMNS($AD$1006:AS1006),$AD$1006:$AU$1006,0)), HYPERLINK("#",""), HYPERLINK(CONCATENATE("#metadata!", ADDRESS(INDEX($Y$2:$Y$1001,MATCH(ROWS($W$2:W238),$W$2:$W$1001,0),0), INDEX($AD$1004:$AU$1004,1,MATCH(COLUMNS($AD$1006:AS1006),$AD$1006:$AU$1006,0)))),"Fix")))</f>
        <v xml:space="preserve"> </v>
      </c>
      <c r="R238" s="4" t="str">
        <f ca="1">IF(OR(INDEX($X$2:$X$1001,MATCH(ROWS($W$2:W238),$W$2:$W$1001,0),1)&gt;=100000,INDEX($AD$1005:$AU$1005,1,MATCH(COLUMNS($AD$1006:AT1006),$AD$1006:$AU$1006,0))&gt;=100000), " ",IF(INDEX($AD$2:$AU$1001,MATCH(ROWS($W$2:W238),$W$2:$W$1001,0),MATCH(COLUMNS($AD$1006:AT1006),$AD$1006:$AU$1006,0)), HYPERLINK("#",""), HYPERLINK(CONCATENATE("#metadata!", ADDRESS(INDEX($Y$2:$Y$1001,MATCH(ROWS($W$2:W238),$W$2:$W$1001,0),0), INDEX($AD$1004:$AU$1004,1,MATCH(COLUMNS($AD$1006:AT1006),$AD$1006:$AU$1006,0)))),"Fix")))</f>
        <v xml:space="preserve"> </v>
      </c>
      <c r="S238" s="4" t="str">
        <f ca="1">IF(OR(INDEX($X$2:$X$1001,MATCH(ROWS($W$2:W238),$W$2:$W$1001,0),1)&gt;=100000,INDEX($AD$1005:$AU$1005,1,MATCH(COLUMNS($AD$1006:AU1006),$AD$1006:$AU$1006,0))&gt;=100000), " ",IF(INDEX($AD$2:$AU$1001,MATCH(ROWS($W$2:W238),$W$2:$W$1001,0),MATCH(COLUMNS($AD$1006:AU1006),$AD$1006:$AU$1006,0)), HYPERLINK("#",""), HYPERLINK(CONCATENATE("#metadata!", ADDRESS(INDEX($Y$2:$Y$1001,MATCH(ROWS($W$2:W238),$W$2:$W$1001,0),0), INDEX($AD$1004:$AU$1004,1,MATCH(COLUMNS($AD$1006:AU1006),$AD$1006:$AU$1006,0)))),"Fix")))</f>
        <v xml:space="preserve"> </v>
      </c>
      <c r="W238">
        <v>237</v>
      </c>
      <c r="X238">
        <v>100238</v>
      </c>
      <c r="Y238">
        <v>238</v>
      </c>
      <c r="Z238" t="b">
        <f t="shared" si="3"/>
        <v>1</v>
      </c>
      <c r="AA238" t="b">
        <f>COUNTBLANK(metadata!B238:S238)=COLUMNS(metadata!B238:S238)</f>
        <v>1</v>
      </c>
      <c r="AB238" t="str">
        <v/>
      </c>
      <c r="AD238" t="b">
        <f ca="1">AND(IF(metadata!B238="",FALSE,TRUE),COUNTIF(metadata!B:B, metadata!B238) = 1,NOT(ISERROR(SUMPRODUCT(SEARCH(MID(metadata!B238,ROW(INDIRECT("1:"&amp;LEN(metadata!B238))), 1),"0123456789abcdefghijklmnopqrstuvwxyzABCDEFGHIJKLMNOPQRSTUVWXYZ.")))))</f>
        <v>0</v>
      </c>
      <c r="AE238" t="b">
        <f>OR(AND(IF(metadata!C238="",FALSE,TRUE),OR(EXACT(metadata!C238,"not applicable"),EXACT(metadata!C238,"missing: not collected"),EXACT(metadata!C238,"missing: not provided"),EXACT(metadata!C238,"missing: restricted access"))),AND(IF(metadata!C238="",FALSE,ISNUMBER(VALUE(metadata!C238))),metadata!C238&gt;0))</f>
        <v>0</v>
      </c>
      <c r="AF238" t="b">
        <f>AND(IF(metadata!D238="",FALSE,TRUE),EXACT(metadata!D238,"missing: not provided"))</f>
        <v>0</v>
      </c>
      <c r="AG238" t="b">
        <f>AND(IF(metadata!E238="",FALSE,TRUE),EXACT(metadata!E238,"Host-associated"))</f>
        <v>0</v>
      </c>
      <c r="AH238" t="b">
        <f>AND(IF(metadata!F238="",FALSE,TRUE),OR(EXACT(metadata!F238,"Animal"),EXACT(metadata!F238,"Fungus"),EXACT(metadata!F238,"Plant")))</f>
        <v>0</v>
      </c>
      <c r="AI238" t="b">
        <f>AND(IF(metadata!G238="",FALSE,TRUE),OR(EXACT(metadata!G238,"Plant secretion"),EXACT(metadata!G238,"Plant rhizosphere"),EXACT(metadata!G238,"Plant surface"),EXACT(metadata!G238,"Plant corpus"),EXACT(metadata!G238,"Fungus surface"),EXACT(metadata!G238,"Fungus corpus"),EXACT(metadata!G238,"Animal surface"),EXACT(metadata!G238,"Animal proximal gut"),EXACT(metadata!G238,"Animal corpus"),EXACT(metadata!G238,"Animal distal gut"),EXACT(metadata!G238,"Animal secretion")))</f>
        <v>0</v>
      </c>
      <c r="AJ238" t="b">
        <f>OR(AND(IF(metadata!H238="",FALSE,TRUE),OR(EXACT(metadata!H238,"missing: not collected"),EXACT(metadata!H238,"missing: not provided"),EXACT(metadata!H238,"missing: restricted access"))),AND(IF(metadata!H238="",FALSE,TRUE),OR(EXACT(metadata!H238,"organism-associated habitat"),EXACT(metadata!H238,"plant-associated habitat"),EXACT(metadata!H238,"animal-associated habitat"),EXACT(metadata!H238,"insecta-associated habitat"),EXACT(metadata!H238,"mammalia-associated habitat"),EXACT(metadata!H238,"human-associated habitat"),EXACT(metadata!H238,"livestock-associated habitat"))))</f>
        <v>0</v>
      </c>
      <c r="AK238" t="b">
        <f>AND(IF(metadata!I238="",FALSE,TRUE),EXACT(metadata!I238,"host-associated"))</f>
        <v>0</v>
      </c>
      <c r="AL238" t="b">
        <f>OR(AND(IF(metadata!J238="",FALSE,TRUE),OR(EXACT(metadata!J238,"not applicable"),EXACT(metadata!J238,"missing: not collected"),EXACT(metadata!J238,"missing: not provided"),EXACT(metadata!J238,"missing: restricted access"))),AND(IF(metadata!J238="",FALSE,ISNUMBER(VALUE(metadata!J238))),metadata!J238&gt;0))</f>
        <v>0</v>
      </c>
      <c r="AM238" t="b">
        <f>AND(IF(metadata!K238="",FALSE,TRUE),EXACT(metadata!K238,"missing: not provided"))</f>
        <v>0</v>
      </c>
      <c r="AN238" t="b">
        <f>IF(metadata!L238="",FALSE,TRUE)</f>
        <v>0</v>
      </c>
      <c r="AO238" t="b">
        <f>IF(metadata!M238="",FALSE,TRUE)</f>
        <v>0</v>
      </c>
      <c r="AP238" t="b">
        <f>OR(AND(IF(metadata!N238="",FALSE,TRUE),OR(EXACT(metadata!N238,"not applicable"),EXACT(metadata!N238,"missing: not collected"),EXACT(metadata!N238,"missing: not provided"))),AND(IF(metadata!N238="",FALSE,IF(ISERROR(INT(metadata!N238)),FALSE,INT(metadata!N238)=metadata!N238)),metadata!N238&gt;0))</f>
        <v>0</v>
      </c>
      <c r="AQ238" t="b">
        <f>AND(IF(metadata!O238="",FALSE,TRUE),EXACT(metadata!O238,"Not applicable"))</f>
        <v>0</v>
      </c>
      <c r="AR238" t="b">
        <f>OR(AND(IF(metadata!P238="",FALSE,TRUE),OR(EXACT(metadata!P238,"not applicable"),EXACT(metadata!P238,"missing: not collected"),EXACT(metadata!P238,"missing: not provided"),EXACT(metadata!P238,"missing: restricted access"))),IF(metadata!P238="",FALSE,IF(ISERROR(INT(metadata!P238)),FALSE,INT(metadata!P238)=metadata!P238)))</f>
        <v>0</v>
      </c>
      <c r="AS238" t="b">
        <f>AND(IF(metadata!Q238="",FALSE,TRUE),EXACT(metadata!Q238,"Not applicable"))</f>
        <v>0</v>
      </c>
      <c r="AT238" t="b">
        <f>OR(AND(IF(metadata!R238="",FALSE,TRUE),OR(EXACT(metadata!R238,"not applicable"),EXACT(metadata!R238,"missing: not collected"),EXACT(metadata!R238,"missing: not provided"),EXACT(metadata!R238,"missing: restricted access"))),AND(IF(metadata!R238="",FALSE,ISNUMBER(VALUE(metadata!R238))),metadata!R238&gt;0))</f>
        <v>0</v>
      </c>
      <c r="AU238" t="b">
        <f>AND(IF(metadata!S238="",FALSE,TRUE),EXACT(metadata!S238,"missing: not provided"))</f>
        <v>0</v>
      </c>
    </row>
    <row r="239" spans="1:47" x14ac:dyDescent="0.2">
      <c r="A239" s="5" t="str">
        <f ca="1">IF(B239=" "," ",HYPERLINK(CONCATENATE("#metadata!",ADDRESS(INDEX($Y$2:$Y$1001,MATCH(ROWS($W$2:W239),$W$2:$W$1001,0),0),1)),INDEX($AB$2:$AB$1001,MATCH(ROWS($W$2:W239),$W$2:$W$1001,0),0)))</f>
        <v xml:space="preserve"> </v>
      </c>
      <c r="B239" s="4" t="str">
        <f ca="1">IF(OR(INDEX($X$2:$X$1001,MATCH(ROWS($W$2:W239),$W$2:$W$1001,0),1)&gt;=100000,INDEX($AD$1005:$AU$1005,1,MATCH(COLUMNS($AD$1006:AD1006),$AD$1006:$AU$1006,0))&gt;=100000), " ",IF(INDEX($AD$2:$AU$1001,MATCH(ROWS($W$2:W239),$W$2:$W$1001,0),MATCH(COLUMNS($AD$1006:AD1006),$AD$1006:$AU$1006,0)), HYPERLINK("#",""), HYPERLINK(CONCATENATE("#metadata!", ADDRESS(INDEX($Y$2:$Y$1001,MATCH(ROWS($W$2:W239),$W$2:$W$1001,0),0), INDEX($AD$1004:$AU$1004,1,MATCH(COLUMNS($AD$1006:AD1006),$AD$1006:$AU$1006,0)))),"Fix")))</f>
        <v xml:space="preserve"> </v>
      </c>
      <c r="C239" s="4" t="str">
        <f ca="1">IF(OR(INDEX($X$2:$X$1001,MATCH(ROWS($W$2:W239),$W$2:$W$1001,0),1)&gt;=100000,INDEX($AD$1005:$AU$1005,1,MATCH(COLUMNS($AD$1006:AE1006),$AD$1006:$AU$1006,0))&gt;=100000), " ",IF(INDEX($AD$2:$AU$1001,MATCH(ROWS($W$2:W239),$W$2:$W$1001,0),MATCH(COLUMNS($AD$1006:AE1006),$AD$1006:$AU$1006,0)), HYPERLINK("#",""), HYPERLINK(CONCATENATE("#metadata!", ADDRESS(INDEX($Y$2:$Y$1001,MATCH(ROWS($W$2:W239),$W$2:$W$1001,0),0), INDEX($AD$1004:$AU$1004,1,MATCH(COLUMNS($AD$1006:AE1006),$AD$1006:$AU$1006,0)))),"Fix")))</f>
        <v xml:space="preserve"> </v>
      </c>
      <c r="D239" s="4" t="str">
        <f ca="1">IF(OR(INDEX($X$2:$X$1001,MATCH(ROWS($W$2:W239),$W$2:$W$1001,0),1)&gt;=100000,INDEX($AD$1005:$AU$1005,1,MATCH(COLUMNS($AD$1006:AF1006),$AD$1006:$AU$1006,0))&gt;=100000), " ",IF(INDEX($AD$2:$AU$1001,MATCH(ROWS($W$2:W239),$W$2:$W$1001,0),MATCH(COLUMNS($AD$1006:AF1006),$AD$1006:$AU$1006,0)), HYPERLINK("#",""), HYPERLINK(CONCATENATE("#metadata!", ADDRESS(INDEX($Y$2:$Y$1001,MATCH(ROWS($W$2:W239),$W$2:$W$1001,0),0), INDEX($AD$1004:$AU$1004,1,MATCH(COLUMNS($AD$1006:AF1006),$AD$1006:$AU$1006,0)))),"Fix")))</f>
        <v xml:space="preserve"> </v>
      </c>
      <c r="E239" s="4" t="str">
        <f ca="1">IF(OR(INDEX($X$2:$X$1001,MATCH(ROWS($W$2:W239),$W$2:$W$1001,0),1)&gt;=100000,INDEX($AD$1005:$AU$1005,1,MATCH(COLUMNS($AD$1006:AG1006),$AD$1006:$AU$1006,0))&gt;=100000), " ",IF(INDEX($AD$2:$AU$1001,MATCH(ROWS($W$2:W239),$W$2:$W$1001,0),MATCH(COLUMNS($AD$1006:AG1006),$AD$1006:$AU$1006,0)), HYPERLINK("#",""), HYPERLINK(CONCATENATE("#metadata!", ADDRESS(INDEX($Y$2:$Y$1001,MATCH(ROWS($W$2:W239),$W$2:$W$1001,0),0), INDEX($AD$1004:$AU$1004,1,MATCH(COLUMNS($AD$1006:AG1006),$AD$1006:$AU$1006,0)))),"Fix")))</f>
        <v xml:space="preserve"> </v>
      </c>
      <c r="F239" s="4" t="str">
        <f ca="1">IF(OR(INDEX($X$2:$X$1001,MATCH(ROWS($W$2:W239),$W$2:$W$1001,0),1)&gt;=100000,INDEX($AD$1005:$AU$1005,1,MATCH(COLUMNS($AD$1006:AH1006),$AD$1006:$AU$1006,0))&gt;=100000), " ",IF(INDEX($AD$2:$AU$1001,MATCH(ROWS($W$2:W239),$W$2:$W$1001,0),MATCH(COLUMNS($AD$1006:AH1006),$AD$1006:$AU$1006,0)), HYPERLINK("#",""), HYPERLINK(CONCATENATE("#metadata!", ADDRESS(INDEX($Y$2:$Y$1001,MATCH(ROWS($W$2:W239),$W$2:$W$1001,0),0), INDEX($AD$1004:$AU$1004,1,MATCH(COLUMNS($AD$1006:AH1006),$AD$1006:$AU$1006,0)))),"Fix")))</f>
        <v xml:space="preserve"> </v>
      </c>
      <c r="G239" s="4" t="str">
        <f ca="1">IF(OR(INDEX($X$2:$X$1001,MATCH(ROWS($W$2:W239),$W$2:$W$1001,0),1)&gt;=100000,INDEX($AD$1005:$AU$1005,1,MATCH(COLUMNS($AD$1006:AI1006),$AD$1006:$AU$1006,0))&gt;=100000), " ",IF(INDEX($AD$2:$AU$1001,MATCH(ROWS($W$2:W239),$W$2:$W$1001,0),MATCH(COLUMNS($AD$1006:AI1006),$AD$1006:$AU$1006,0)), HYPERLINK("#",""), HYPERLINK(CONCATENATE("#metadata!", ADDRESS(INDEX($Y$2:$Y$1001,MATCH(ROWS($W$2:W239),$W$2:$W$1001,0),0), INDEX($AD$1004:$AU$1004,1,MATCH(COLUMNS($AD$1006:AI1006),$AD$1006:$AU$1006,0)))),"Fix")))</f>
        <v xml:space="preserve"> </v>
      </c>
      <c r="H239" s="4" t="str">
        <f ca="1">IF(OR(INDEX($X$2:$X$1001,MATCH(ROWS($W$2:W239),$W$2:$W$1001,0),1)&gt;=100000,INDEX($AD$1005:$AU$1005,1,MATCH(COLUMNS($AD$1006:AJ1006),$AD$1006:$AU$1006,0))&gt;=100000), " ",IF(INDEX($AD$2:$AU$1001,MATCH(ROWS($W$2:W239),$W$2:$W$1001,0),MATCH(COLUMNS($AD$1006:AJ1006),$AD$1006:$AU$1006,0)), HYPERLINK("#",""), HYPERLINK(CONCATENATE("#metadata!", ADDRESS(INDEX($Y$2:$Y$1001,MATCH(ROWS($W$2:W239),$W$2:$W$1001,0),0), INDEX($AD$1004:$AU$1004,1,MATCH(COLUMNS($AD$1006:AJ1006),$AD$1006:$AU$1006,0)))),"Fix")))</f>
        <v xml:space="preserve"> </v>
      </c>
      <c r="I239" s="4" t="str">
        <f ca="1">IF(OR(INDEX($X$2:$X$1001,MATCH(ROWS($W$2:W239),$W$2:$W$1001,0),1)&gt;=100000,INDEX($AD$1005:$AU$1005,1,MATCH(COLUMNS($AD$1006:AK1006),$AD$1006:$AU$1006,0))&gt;=100000), " ",IF(INDEX($AD$2:$AU$1001,MATCH(ROWS($W$2:W239),$W$2:$W$1001,0),MATCH(COLUMNS($AD$1006:AK1006),$AD$1006:$AU$1006,0)), HYPERLINK("#",""), HYPERLINK(CONCATENATE("#metadata!", ADDRESS(INDEX($Y$2:$Y$1001,MATCH(ROWS($W$2:W239),$W$2:$W$1001,0),0), INDEX($AD$1004:$AU$1004,1,MATCH(COLUMNS($AD$1006:AK1006),$AD$1006:$AU$1006,0)))),"Fix")))</f>
        <v xml:space="preserve"> </v>
      </c>
      <c r="J239" s="4" t="str">
        <f ca="1">IF(OR(INDEX($X$2:$X$1001,MATCH(ROWS($W$2:W239),$W$2:$W$1001,0),1)&gt;=100000,INDEX($AD$1005:$AU$1005,1,MATCH(COLUMNS($AD$1006:AL1006),$AD$1006:$AU$1006,0))&gt;=100000), " ",IF(INDEX($AD$2:$AU$1001,MATCH(ROWS($W$2:W239),$W$2:$W$1001,0),MATCH(COLUMNS($AD$1006:AL1006),$AD$1006:$AU$1006,0)), HYPERLINK("#",""), HYPERLINK(CONCATENATE("#metadata!", ADDRESS(INDEX($Y$2:$Y$1001,MATCH(ROWS($W$2:W239),$W$2:$W$1001,0),0), INDEX($AD$1004:$AU$1004,1,MATCH(COLUMNS($AD$1006:AL1006),$AD$1006:$AU$1006,0)))),"Fix")))</f>
        <v xml:space="preserve"> </v>
      </c>
      <c r="K239" s="4" t="str">
        <f ca="1">IF(OR(INDEX($X$2:$X$1001,MATCH(ROWS($W$2:W239),$W$2:$W$1001,0),1)&gt;=100000,INDEX($AD$1005:$AU$1005,1,MATCH(COLUMNS($AD$1006:AM1006),$AD$1006:$AU$1006,0))&gt;=100000), " ",IF(INDEX($AD$2:$AU$1001,MATCH(ROWS($W$2:W239),$W$2:$W$1001,0),MATCH(COLUMNS($AD$1006:AM1006),$AD$1006:$AU$1006,0)), HYPERLINK("#",""), HYPERLINK(CONCATENATE("#metadata!", ADDRESS(INDEX($Y$2:$Y$1001,MATCH(ROWS($W$2:W239),$W$2:$W$1001,0),0), INDEX($AD$1004:$AU$1004,1,MATCH(COLUMNS($AD$1006:AM1006),$AD$1006:$AU$1006,0)))),"Fix")))</f>
        <v xml:space="preserve"> </v>
      </c>
      <c r="L239" s="4" t="str">
        <f ca="1">IF(OR(INDEX($X$2:$X$1001,MATCH(ROWS($W$2:W239),$W$2:$W$1001,0),1)&gt;=100000,INDEX($AD$1005:$AU$1005,1,MATCH(COLUMNS($AD$1006:AN1006),$AD$1006:$AU$1006,0))&gt;=100000), " ",IF(INDEX($AD$2:$AU$1001,MATCH(ROWS($W$2:W239),$W$2:$W$1001,0),MATCH(COLUMNS($AD$1006:AN1006),$AD$1006:$AU$1006,0)), HYPERLINK("#",""), HYPERLINK(CONCATENATE("#metadata!", ADDRESS(INDEX($Y$2:$Y$1001,MATCH(ROWS($W$2:W239),$W$2:$W$1001,0),0), INDEX($AD$1004:$AU$1004,1,MATCH(COLUMNS($AD$1006:AN1006),$AD$1006:$AU$1006,0)))),"Fix")))</f>
        <v xml:space="preserve"> </v>
      </c>
      <c r="M239" s="4" t="str">
        <f ca="1">IF(OR(INDEX($X$2:$X$1001,MATCH(ROWS($W$2:W239),$W$2:$W$1001,0),1)&gt;=100000,INDEX($AD$1005:$AU$1005,1,MATCH(COLUMNS($AD$1006:AO1006),$AD$1006:$AU$1006,0))&gt;=100000), " ",IF(INDEX($AD$2:$AU$1001,MATCH(ROWS($W$2:W239),$W$2:$W$1001,0),MATCH(COLUMNS($AD$1006:AO1006),$AD$1006:$AU$1006,0)), HYPERLINK("#",""), HYPERLINK(CONCATENATE("#metadata!", ADDRESS(INDEX($Y$2:$Y$1001,MATCH(ROWS($W$2:W239),$W$2:$W$1001,0),0), INDEX($AD$1004:$AU$1004,1,MATCH(COLUMNS($AD$1006:AO1006),$AD$1006:$AU$1006,0)))),"Fix")))</f>
        <v xml:space="preserve"> </v>
      </c>
      <c r="N239" s="4" t="str">
        <f ca="1">IF(OR(INDEX($X$2:$X$1001,MATCH(ROWS($W$2:W239),$W$2:$W$1001,0),1)&gt;=100000,INDEX($AD$1005:$AU$1005,1,MATCH(COLUMNS($AD$1006:AP1006),$AD$1006:$AU$1006,0))&gt;=100000), " ",IF(INDEX($AD$2:$AU$1001,MATCH(ROWS($W$2:W239),$W$2:$W$1001,0),MATCH(COLUMNS($AD$1006:AP1006),$AD$1006:$AU$1006,0)), HYPERLINK("#",""), HYPERLINK(CONCATENATE("#metadata!", ADDRESS(INDEX($Y$2:$Y$1001,MATCH(ROWS($W$2:W239),$W$2:$W$1001,0),0), INDEX($AD$1004:$AU$1004,1,MATCH(COLUMNS($AD$1006:AP1006),$AD$1006:$AU$1006,0)))),"Fix")))</f>
        <v xml:space="preserve"> </v>
      </c>
      <c r="O239" s="4" t="str">
        <f ca="1">IF(OR(INDEX($X$2:$X$1001,MATCH(ROWS($W$2:W239),$W$2:$W$1001,0),1)&gt;=100000,INDEX($AD$1005:$AU$1005,1,MATCH(COLUMNS($AD$1006:AQ1006),$AD$1006:$AU$1006,0))&gt;=100000), " ",IF(INDEX($AD$2:$AU$1001,MATCH(ROWS($W$2:W239),$W$2:$W$1001,0),MATCH(COLUMNS($AD$1006:AQ1006),$AD$1006:$AU$1006,0)), HYPERLINK("#",""), HYPERLINK(CONCATENATE("#metadata!", ADDRESS(INDEX($Y$2:$Y$1001,MATCH(ROWS($W$2:W239),$W$2:$W$1001,0),0), INDEX($AD$1004:$AU$1004,1,MATCH(COLUMNS($AD$1006:AQ1006),$AD$1006:$AU$1006,0)))),"Fix")))</f>
        <v xml:space="preserve"> </v>
      </c>
      <c r="P239" s="4" t="str">
        <f ca="1">IF(OR(INDEX($X$2:$X$1001,MATCH(ROWS($W$2:W239),$W$2:$W$1001,0),1)&gt;=100000,INDEX($AD$1005:$AU$1005,1,MATCH(COLUMNS($AD$1006:AR1006),$AD$1006:$AU$1006,0))&gt;=100000), " ",IF(INDEX($AD$2:$AU$1001,MATCH(ROWS($W$2:W239),$W$2:$W$1001,0),MATCH(COLUMNS($AD$1006:AR1006),$AD$1006:$AU$1006,0)), HYPERLINK("#",""), HYPERLINK(CONCATENATE("#metadata!", ADDRESS(INDEX($Y$2:$Y$1001,MATCH(ROWS($W$2:W239),$W$2:$W$1001,0),0), INDEX($AD$1004:$AU$1004,1,MATCH(COLUMNS($AD$1006:AR1006),$AD$1006:$AU$1006,0)))),"Fix")))</f>
        <v xml:space="preserve"> </v>
      </c>
      <c r="Q239" s="4" t="str">
        <f ca="1">IF(OR(INDEX($X$2:$X$1001,MATCH(ROWS($W$2:W239),$W$2:$W$1001,0),1)&gt;=100000,INDEX($AD$1005:$AU$1005,1,MATCH(COLUMNS($AD$1006:AS1006),$AD$1006:$AU$1006,0))&gt;=100000), " ",IF(INDEX($AD$2:$AU$1001,MATCH(ROWS($W$2:W239),$W$2:$W$1001,0),MATCH(COLUMNS($AD$1006:AS1006),$AD$1006:$AU$1006,0)), HYPERLINK("#",""), HYPERLINK(CONCATENATE("#metadata!", ADDRESS(INDEX($Y$2:$Y$1001,MATCH(ROWS($W$2:W239),$W$2:$W$1001,0),0), INDEX($AD$1004:$AU$1004,1,MATCH(COLUMNS($AD$1006:AS1006),$AD$1006:$AU$1006,0)))),"Fix")))</f>
        <v xml:space="preserve"> </v>
      </c>
      <c r="R239" s="4" t="str">
        <f ca="1">IF(OR(INDEX($X$2:$X$1001,MATCH(ROWS($W$2:W239),$W$2:$W$1001,0),1)&gt;=100000,INDEX($AD$1005:$AU$1005,1,MATCH(COLUMNS($AD$1006:AT1006),$AD$1006:$AU$1006,0))&gt;=100000), " ",IF(INDEX($AD$2:$AU$1001,MATCH(ROWS($W$2:W239),$W$2:$W$1001,0),MATCH(COLUMNS($AD$1006:AT1006),$AD$1006:$AU$1006,0)), HYPERLINK("#",""), HYPERLINK(CONCATENATE("#metadata!", ADDRESS(INDEX($Y$2:$Y$1001,MATCH(ROWS($W$2:W239),$W$2:$W$1001,0),0), INDEX($AD$1004:$AU$1004,1,MATCH(COLUMNS($AD$1006:AT1006),$AD$1006:$AU$1006,0)))),"Fix")))</f>
        <v xml:space="preserve"> </v>
      </c>
      <c r="S239" s="4" t="str">
        <f ca="1">IF(OR(INDEX($X$2:$X$1001,MATCH(ROWS($W$2:W239),$W$2:$W$1001,0),1)&gt;=100000,INDEX($AD$1005:$AU$1005,1,MATCH(COLUMNS($AD$1006:AU1006),$AD$1006:$AU$1006,0))&gt;=100000), " ",IF(INDEX($AD$2:$AU$1001,MATCH(ROWS($W$2:W239),$W$2:$W$1001,0),MATCH(COLUMNS($AD$1006:AU1006),$AD$1006:$AU$1006,0)), HYPERLINK("#",""), HYPERLINK(CONCATENATE("#metadata!", ADDRESS(INDEX($Y$2:$Y$1001,MATCH(ROWS($W$2:W239),$W$2:$W$1001,0),0), INDEX($AD$1004:$AU$1004,1,MATCH(COLUMNS($AD$1006:AU1006),$AD$1006:$AU$1006,0)))),"Fix")))</f>
        <v xml:space="preserve"> </v>
      </c>
      <c r="W239">
        <v>238</v>
      </c>
      <c r="X239">
        <v>100239</v>
      </c>
      <c r="Y239">
        <v>239</v>
      </c>
      <c r="Z239" t="b">
        <f t="shared" si="3"/>
        <v>1</v>
      </c>
      <c r="AA239" t="b">
        <f>COUNTBLANK(metadata!B239:S239)=COLUMNS(metadata!B239:S239)</f>
        <v>1</v>
      </c>
      <c r="AB239" t="str">
        <v/>
      </c>
      <c r="AD239" t="b">
        <f ca="1">AND(IF(metadata!B239="",FALSE,TRUE),COUNTIF(metadata!B:B, metadata!B239) = 1,NOT(ISERROR(SUMPRODUCT(SEARCH(MID(metadata!B239,ROW(INDIRECT("1:"&amp;LEN(metadata!B239))), 1),"0123456789abcdefghijklmnopqrstuvwxyzABCDEFGHIJKLMNOPQRSTUVWXYZ.")))))</f>
        <v>0</v>
      </c>
      <c r="AE239" t="b">
        <f>OR(AND(IF(metadata!C239="",FALSE,TRUE),OR(EXACT(metadata!C239,"not applicable"),EXACT(metadata!C239,"missing: not collected"),EXACT(metadata!C239,"missing: not provided"),EXACT(metadata!C239,"missing: restricted access"))),AND(IF(metadata!C239="",FALSE,ISNUMBER(VALUE(metadata!C239))),metadata!C239&gt;0))</f>
        <v>0</v>
      </c>
      <c r="AF239" t="b">
        <f>AND(IF(metadata!D239="",FALSE,TRUE),EXACT(metadata!D239,"missing: not provided"))</f>
        <v>0</v>
      </c>
      <c r="AG239" t="b">
        <f>AND(IF(metadata!E239="",FALSE,TRUE),EXACT(metadata!E239,"Host-associated"))</f>
        <v>0</v>
      </c>
      <c r="AH239" t="b">
        <f>AND(IF(metadata!F239="",FALSE,TRUE),OR(EXACT(metadata!F239,"Animal"),EXACT(metadata!F239,"Fungus"),EXACT(metadata!F239,"Plant")))</f>
        <v>0</v>
      </c>
      <c r="AI239" t="b">
        <f>AND(IF(metadata!G239="",FALSE,TRUE),OR(EXACT(metadata!G239,"Plant secretion"),EXACT(metadata!G239,"Plant rhizosphere"),EXACT(metadata!G239,"Plant surface"),EXACT(metadata!G239,"Plant corpus"),EXACT(metadata!G239,"Fungus surface"),EXACT(metadata!G239,"Fungus corpus"),EXACT(metadata!G239,"Animal surface"),EXACT(metadata!G239,"Animal proximal gut"),EXACT(metadata!G239,"Animal corpus"),EXACT(metadata!G239,"Animal distal gut"),EXACT(metadata!G239,"Animal secretion")))</f>
        <v>0</v>
      </c>
      <c r="AJ239" t="b">
        <f>OR(AND(IF(metadata!H239="",FALSE,TRUE),OR(EXACT(metadata!H239,"missing: not collected"),EXACT(metadata!H239,"missing: not provided"),EXACT(metadata!H239,"missing: restricted access"))),AND(IF(metadata!H239="",FALSE,TRUE),OR(EXACT(metadata!H239,"organism-associated habitat"),EXACT(metadata!H239,"plant-associated habitat"),EXACT(metadata!H239,"animal-associated habitat"),EXACT(metadata!H239,"insecta-associated habitat"),EXACT(metadata!H239,"mammalia-associated habitat"),EXACT(metadata!H239,"human-associated habitat"),EXACT(metadata!H239,"livestock-associated habitat"))))</f>
        <v>0</v>
      </c>
      <c r="AK239" t="b">
        <f>AND(IF(metadata!I239="",FALSE,TRUE),EXACT(metadata!I239,"host-associated"))</f>
        <v>0</v>
      </c>
      <c r="AL239" t="b">
        <f>OR(AND(IF(metadata!J239="",FALSE,TRUE),OR(EXACT(metadata!J239,"not applicable"),EXACT(metadata!J239,"missing: not collected"),EXACT(metadata!J239,"missing: not provided"),EXACT(metadata!J239,"missing: restricted access"))),AND(IF(metadata!J239="",FALSE,ISNUMBER(VALUE(metadata!J239))),metadata!J239&gt;0))</f>
        <v>0</v>
      </c>
      <c r="AM239" t="b">
        <f>AND(IF(metadata!K239="",FALSE,TRUE),EXACT(metadata!K239,"missing: not provided"))</f>
        <v>0</v>
      </c>
      <c r="AN239" t="b">
        <f>IF(metadata!L239="",FALSE,TRUE)</f>
        <v>0</v>
      </c>
      <c r="AO239" t="b">
        <f>IF(metadata!M239="",FALSE,TRUE)</f>
        <v>0</v>
      </c>
      <c r="AP239" t="b">
        <f>OR(AND(IF(metadata!N239="",FALSE,TRUE),OR(EXACT(metadata!N239,"not applicable"),EXACT(metadata!N239,"missing: not collected"),EXACT(metadata!N239,"missing: not provided"))),AND(IF(metadata!N239="",FALSE,IF(ISERROR(INT(metadata!N239)),FALSE,INT(metadata!N239)=metadata!N239)),metadata!N239&gt;0))</f>
        <v>0</v>
      </c>
      <c r="AQ239" t="b">
        <f>AND(IF(metadata!O239="",FALSE,TRUE),EXACT(metadata!O239,"Not applicable"))</f>
        <v>0</v>
      </c>
      <c r="AR239" t="b">
        <f>OR(AND(IF(metadata!P239="",FALSE,TRUE),OR(EXACT(metadata!P239,"not applicable"),EXACT(metadata!P239,"missing: not collected"),EXACT(metadata!P239,"missing: not provided"),EXACT(metadata!P239,"missing: restricted access"))),IF(metadata!P239="",FALSE,IF(ISERROR(INT(metadata!P239)),FALSE,INT(metadata!P239)=metadata!P239)))</f>
        <v>0</v>
      </c>
      <c r="AS239" t="b">
        <f>AND(IF(metadata!Q239="",FALSE,TRUE),EXACT(metadata!Q239,"Not applicable"))</f>
        <v>0</v>
      </c>
      <c r="AT239" t="b">
        <f>OR(AND(IF(metadata!R239="",FALSE,TRUE),OR(EXACT(metadata!R239,"not applicable"),EXACT(metadata!R239,"missing: not collected"),EXACT(metadata!R239,"missing: not provided"),EXACT(metadata!R239,"missing: restricted access"))),AND(IF(metadata!R239="",FALSE,ISNUMBER(VALUE(metadata!R239))),metadata!R239&gt;0))</f>
        <v>0</v>
      </c>
      <c r="AU239" t="b">
        <f>AND(IF(metadata!S239="",FALSE,TRUE),EXACT(metadata!S239,"missing: not provided"))</f>
        <v>0</v>
      </c>
    </row>
    <row r="240" spans="1:47" x14ac:dyDescent="0.2">
      <c r="A240" s="5" t="str">
        <f ca="1">IF(B240=" "," ",HYPERLINK(CONCATENATE("#metadata!",ADDRESS(INDEX($Y$2:$Y$1001,MATCH(ROWS($W$2:W240),$W$2:$W$1001,0),0),1)),INDEX($AB$2:$AB$1001,MATCH(ROWS($W$2:W240),$W$2:$W$1001,0),0)))</f>
        <v xml:space="preserve"> </v>
      </c>
      <c r="B240" s="4" t="str">
        <f ca="1">IF(OR(INDEX($X$2:$X$1001,MATCH(ROWS($W$2:W240),$W$2:$W$1001,0),1)&gt;=100000,INDEX($AD$1005:$AU$1005,1,MATCH(COLUMNS($AD$1006:AD1006),$AD$1006:$AU$1006,0))&gt;=100000), " ",IF(INDEX($AD$2:$AU$1001,MATCH(ROWS($W$2:W240),$W$2:$W$1001,0),MATCH(COLUMNS($AD$1006:AD1006),$AD$1006:$AU$1006,0)), HYPERLINK("#",""), HYPERLINK(CONCATENATE("#metadata!", ADDRESS(INDEX($Y$2:$Y$1001,MATCH(ROWS($W$2:W240),$W$2:$W$1001,0),0), INDEX($AD$1004:$AU$1004,1,MATCH(COLUMNS($AD$1006:AD1006),$AD$1006:$AU$1006,0)))),"Fix")))</f>
        <v xml:space="preserve"> </v>
      </c>
      <c r="C240" s="4" t="str">
        <f ca="1">IF(OR(INDEX($X$2:$X$1001,MATCH(ROWS($W$2:W240),$W$2:$W$1001,0),1)&gt;=100000,INDEX($AD$1005:$AU$1005,1,MATCH(COLUMNS($AD$1006:AE1006),$AD$1006:$AU$1006,0))&gt;=100000), " ",IF(INDEX($AD$2:$AU$1001,MATCH(ROWS($W$2:W240),$W$2:$W$1001,0),MATCH(COLUMNS($AD$1006:AE1006),$AD$1006:$AU$1006,0)), HYPERLINK("#",""), HYPERLINK(CONCATENATE("#metadata!", ADDRESS(INDEX($Y$2:$Y$1001,MATCH(ROWS($W$2:W240),$W$2:$W$1001,0),0), INDEX($AD$1004:$AU$1004,1,MATCH(COLUMNS($AD$1006:AE1006),$AD$1006:$AU$1006,0)))),"Fix")))</f>
        <v xml:space="preserve"> </v>
      </c>
      <c r="D240" s="4" t="str">
        <f ca="1">IF(OR(INDEX($X$2:$X$1001,MATCH(ROWS($W$2:W240),$W$2:$W$1001,0),1)&gt;=100000,INDEX($AD$1005:$AU$1005,1,MATCH(COLUMNS($AD$1006:AF1006),$AD$1006:$AU$1006,0))&gt;=100000), " ",IF(INDEX($AD$2:$AU$1001,MATCH(ROWS($W$2:W240),$W$2:$W$1001,0),MATCH(COLUMNS($AD$1006:AF1006),$AD$1006:$AU$1006,0)), HYPERLINK("#",""), HYPERLINK(CONCATENATE("#metadata!", ADDRESS(INDEX($Y$2:$Y$1001,MATCH(ROWS($W$2:W240),$W$2:$W$1001,0),0), INDEX($AD$1004:$AU$1004,1,MATCH(COLUMNS($AD$1006:AF1006),$AD$1006:$AU$1006,0)))),"Fix")))</f>
        <v xml:space="preserve"> </v>
      </c>
      <c r="E240" s="4" t="str">
        <f ca="1">IF(OR(INDEX($X$2:$X$1001,MATCH(ROWS($W$2:W240),$W$2:$W$1001,0),1)&gt;=100000,INDEX($AD$1005:$AU$1005,1,MATCH(COLUMNS($AD$1006:AG1006),$AD$1006:$AU$1006,0))&gt;=100000), " ",IF(INDEX($AD$2:$AU$1001,MATCH(ROWS($W$2:W240),$W$2:$W$1001,0),MATCH(COLUMNS($AD$1006:AG1006),$AD$1006:$AU$1006,0)), HYPERLINK("#",""), HYPERLINK(CONCATENATE("#metadata!", ADDRESS(INDEX($Y$2:$Y$1001,MATCH(ROWS($W$2:W240),$W$2:$W$1001,0),0), INDEX($AD$1004:$AU$1004,1,MATCH(COLUMNS($AD$1006:AG1006),$AD$1006:$AU$1006,0)))),"Fix")))</f>
        <v xml:space="preserve"> </v>
      </c>
      <c r="F240" s="4" t="str">
        <f ca="1">IF(OR(INDEX($X$2:$X$1001,MATCH(ROWS($W$2:W240),$W$2:$W$1001,0),1)&gt;=100000,INDEX($AD$1005:$AU$1005,1,MATCH(COLUMNS($AD$1006:AH1006),$AD$1006:$AU$1006,0))&gt;=100000), " ",IF(INDEX($AD$2:$AU$1001,MATCH(ROWS($W$2:W240),$W$2:$W$1001,0),MATCH(COLUMNS($AD$1006:AH1006),$AD$1006:$AU$1006,0)), HYPERLINK("#",""), HYPERLINK(CONCATENATE("#metadata!", ADDRESS(INDEX($Y$2:$Y$1001,MATCH(ROWS($W$2:W240),$W$2:$W$1001,0),0), INDEX($AD$1004:$AU$1004,1,MATCH(COLUMNS($AD$1006:AH1006),$AD$1006:$AU$1006,0)))),"Fix")))</f>
        <v xml:space="preserve"> </v>
      </c>
      <c r="G240" s="4" t="str">
        <f ca="1">IF(OR(INDEX($X$2:$X$1001,MATCH(ROWS($W$2:W240),$W$2:$W$1001,0),1)&gt;=100000,INDEX($AD$1005:$AU$1005,1,MATCH(COLUMNS($AD$1006:AI1006),$AD$1006:$AU$1006,0))&gt;=100000), " ",IF(INDEX($AD$2:$AU$1001,MATCH(ROWS($W$2:W240),$W$2:$W$1001,0),MATCH(COLUMNS($AD$1006:AI1006),$AD$1006:$AU$1006,0)), HYPERLINK("#",""), HYPERLINK(CONCATENATE("#metadata!", ADDRESS(INDEX($Y$2:$Y$1001,MATCH(ROWS($W$2:W240),$W$2:$W$1001,0),0), INDEX($AD$1004:$AU$1004,1,MATCH(COLUMNS($AD$1006:AI1006),$AD$1006:$AU$1006,0)))),"Fix")))</f>
        <v xml:space="preserve"> </v>
      </c>
      <c r="H240" s="4" t="str">
        <f ca="1">IF(OR(INDEX($X$2:$X$1001,MATCH(ROWS($W$2:W240),$W$2:$W$1001,0),1)&gt;=100000,INDEX($AD$1005:$AU$1005,1,MATCH(COLUMNS($AD$1006:AJ1006),$AD$1006:$AU$1006,0))&gt;=100000), " ",IF(INDEX($AD$2:$AU$1001,MATCH(ROWS($W$2:W240),$W$2:$W$1001,0),MATCH(COLUMNS($AD$1006:AJ1006),$AD$1006:$AU$1006,0)), HYPERLINK("#",""), HYPERLINK(CONCATENATE("#metadata!", ADDRESS(INDEX($Y$2:$Y$1001,MATCH(ROWS($W$2:W240),$W$2:$W$1001,0),0), INDEX($AD$1004:$AU$1004,1,MATCH(COLUMNS($AD$1006:AJ1006),$AD$1006:$AU$1006,0)))),"Fix")))</f>
        <v xml:space="preserve"> </v>
      </c>
      <c r="I240" s="4" t="str">
        <f ca="1">IF(OR(INDEX($X$2:$X$1001,MATCH(ROWS($W$2:W240),$W$2:$W$1001,0),1)&gt;=100000,INDEX($AD$1005:$AU$1005,1,MATCH(COLUMNS($AD$1006:AK1006),$AD$1006:$AU$1006,0))&gt;=100000), " ",IF(INDEX($AD$2:$AU$1001,MATCH(ROWS($W$2:W240),$W$2:$W$1001,0),MATCH(COLUMNS($AD$1006:AK1006),$AD$1006:$AU$1006,0)), HYPERLINK("#",""), HYPERLINK(CONCATENATE("#metadata!", ADDRESS(INDEX($Y$2:$Y$1001,MATCH(ROWS($W$2:W240),$W$2:$W$1001,0),0), INDEX($AD$1004:$AU$1004,1,MATCH(COLUMNS($AD$1006:AK1006),$AD$1006:$AU$1006,0)))),"Fix")))</f>
        <v xml:space="preserve"> </v>
      </c>
      <c r="J240" s="4" t="str">
        <f ca="1">IF(OR(INDEX($X$2:$X$1001,MATCH(ROWS($W$2:W240),$W$2:$W$1001,0),1)&gt;=100000,INDEX($AD$1005:$AU$1005,1,MATCH(COLUMNS($AD$1006:AL1006),$AD$1006:$AU$1006,0))&gt;=100000), " ",IF(INDEX($AD$2:$AU$1001,MATCH(ROWS($W$2:W240),$W$2:$W$1001,0),MATCH(COLUMNS($AD$1006:AL1006),$AD$1006:$AU$1006,0)), HYPERLINK("#",""), HYPERLINK(CONCATENATE("#metadata!", ADDRESS(INDEX($Y$2:$Y$1001,MATCH(ROWS($W$2:W240),$W$2:$W$1001,0),0), INDEX($AD$1004:$AU$1004,1,MATCH(COLUMNS($AD$1006:AL1006),$AD$1006:$AU$1006,0)))),"Fix")))</f>
        <v xml:space="preserve"> </v>
      </c>
      <c r="K240" s="4" t="str">
        <f ca="1">IF(OR(INDEX($X$2:$X$1001,MATCH(ROWS($W$2:W240),$W$2:$W$1001,0),1)&gt;=100000,INDEX($AD$1005:$AU$1005,1,MATCH(COLUMNS($AD$1006:AM1006),$AD$1006:$AU$1006,0))&gt;=100000), " ",IF(INDEX($AD$2:$AU$1001,MATCH(ROWS($W$2:W240),$W$2:$W$1001,0),MATCH(COLUMNS($AD$1006:AM1006),$AD$1006:$AU$1006,0)), HYPERLINK("#",""), HYPERLINK(CONCATENATE("#metadata!", ADDRESS(INDEX($Y$2:$Y$1001,MATCH(ROWS($W$2:W240),$W$2:$W$1001,0),0), INDEX($AD$1004:$AU$1004,1,MATCH(COLUMNS($AD$1006:AM1006),$AD$1006:$AU$1006,0)))),"Fix")))</f>
        <v xml:space="preserve"> </v>
      </c>
      <c r="L240" s="4" t="str">
        <f ca="1">IF(OR(INDEX($X$2:$X$1001,MATCH(ROWS($W$2:W240),$W$2:$W$1001,0),1)&gt;=100000,INDEX($AD$1005:$AU$1005,1,MATCH(COLUMNS($AD$1006:AN1006),$AD$1006:$AU$1006,0))&gt;=100000), " ",IF(INDEX($AD$2:$AU$1001,MATCH(ROWS($W$2:W240),$W$2:$W$1001,0),MATCH(COLUMNS($AD$1006:AN1006),$AD$1006:$AU$1006,0)), HYPERLINK("#",""), HYPERLINK(CONCATENATE("#metadata!", ADDRESS(INDEX($Y$2:$Y$1001,MATCH(ROWS($W$2:W240),$W$2:$W$1001,0),0), INDEX($AD$1004:$AU$1004,1,MATCH(COLUMNS($AD$1006:AN1006),$AD$1006:$AU$1006,0)))),"Fix")))</f>
        <v xml:space="preserve"> </v>
      </c>
      <c r="M240" s="4" t="str">
        <f ca="1">IF(OR(INDEX($X$2:$X$1001,MATCH(ROWS($W$2:W240),$W$2:$W$1001,0),1)&gt;=100000,INDEX($AD$1005:$AU$1005,1,MATCH(COLUMNS($AD$1006:AO1006),$AD$1006:$AU$1006,0))&gt;=100000), " ",IF(INDEX($AD$2:$AU$1001,MATCH(ROWS($W$2:W240),$W$2:$W$1001,0),MATCH(COLUMNS($AD$1006:AO1006),$AD$1006:$AU$1006,0)), HYPERLINK("#",""), HYPERLINK(CONCATENATE("#metadata!", ADDRESS(INDEX($Y$2:$Y$1001,MATCH(ROWS($W$2:W240),$W$2:$W$1001,0),0), INDEX($AD$1004:$AU$1004,1,MATCH(COLUMNS($AD$1006:AO1006),$AD$1006:$AU$1006,0)))),"Fix")))</f>
        <v xml:space="preserve"> </v>
      </c>
      <c r="N240" s="4" t="str">
        <f ca="1">IF(OR(INDEX($X$2:$X$1001,MATCH(ROWS($W$2:W240),$W$2:$W$1001,0),1)&gt;=100000,INDEX($AD$1005:$AU$1005,1,MATCH(COLUMNS($AD$1006:AP1006),$AD$1006:$AU$1006,0))&gt;=100000), " ",IF(INDEX($AD$2:$AU$1001,MATCH(ROWS($W$2:W240),$W$2:$W$1001,0),MATCH(COLUMNS($AD$1006:AP1006),$AD$1006:$AU$1006,0)), HYPERLINK("#",""), HYPERLINK(CONCATENATE("#metadata!", ADDRESS(INDEX($Y$2:$Y$1001,MATCH(ROWS($W$2:W240),$W$2:$W$1001,0),0), INDEX($AD$1004:$AU$1004,1,MATCH(COLUMNS($AD$1006:AP1006),$AD$1006:$AU$1006,0)))),"Fix")))</f>
        <v xml:space="preserve"> </v>
      </c>
      <c r="O240" s="4" t="str">
        <f ca="1">IF(OR(INDEX($X$2:$X$1001,MATCH(ROWS($W$2:W240),$W$2:$W$1001,0),1)&gt;=100000,INDEX($AD$1005:$AU$1005,1,MATCH(COLUMNS($AD$1006:AQ1006),$AD$1006:$AU$1006,0))&gt;=100000), " ",IF(INDEX($AD$2:$AU$1001,MATCH(ROWS($W$2:W240),$W$2:$W$1001,0),MATCH(COLUMNS($AD$1006:AQ1006),$AD$1006:$AU$1006,0)), HYPERLINK("#",""), HYPERLINK(CONCATENATE("#metadata!", ADDRESS(INDEX($Y$2:$Y$1001,MATCH(ROWS($W$2:W240),$W$2:$W$1001,0),0), INDEX($AD$1004:$AU$1004,1,MATCH(COLUMNS($AD$1006:AQ1006),$AD$1006:$AU$1006,0)))),"Fix")))</f>
        <v xml:space="preserve"> </v>
      </c>
      <c r="P240" s="4" t="str">
        <f ca="1">IF(OR(INDEX($X$2:$X$1001,MATCH(ROWS($W$2:W240),$W$2:$W$1001,0),1)&gt;=100000,INDEX($AD$1005:$AU$1005,1,MATCH(COLUMNS($AD$1006:AR1006),$AD$1006:$AU$1006,0))&gt;=100000), " ",IF(INDEX($AD$2:$AU$1001,MATCH(ROWS($W$2:W240),$W$2:$W$1001,0),MATCH(COLUMNS($AD$1006:AR1006),$AD$1006:$AU$1006,0)), HYPERLINK("#",""), HYPERLINK(CONCATENATE("#metadata!", ADDRESS(INDEX($Y$2:$Y$1001,MATCH(ROWS($W$2:W240),$W$2:$W$1001,0),0), INDEX($AD$1004:$AU$1004,1,MATCH(COLUMNS($AD$1006:AR1006),$AD$1006:$AU$1006,0)))),"Fix")))</f>
        <v xml:space="preserve"> </v>
      </c>
      <c r="Q240" s="4" t="str">
        <f ca="1">IF(OR(INDEX($X$2:$X$1001,MATCH(ROWS($W$2:W240),$W$2:$W$1001,0),1)&gt;=100000,INDEX($AD$1005:$AU$1005,1,MATCH(COLUMNS($AD$1006:AS1006),$AD$1006:$AU$1006,0))&gt;=100000), " ",IF(INDEX($AD$2:$AU$1001,MATCH(ROWS($W$2:W240),$W$2:$W$1001,0),MATCH(COLUMNS($AD$1006:AS1006),$AD$1006:$AU$1006,0)), HYPERLINK("#",""), HYPERLINK(CONCATENATE("#metadata!", ADDRESS(INDEX($Y$2:$Y$1001,MATCH(ROWS($W$2:W240),$W$2:$W$1001,0),0), INDEX($AD$1004:$AU$1004,1,MATCH(COLUMNS($AD$1006:AS1006),$AD$1006:$AU$1006,0)))),"Fix")))</f>
        <v xml:space="preserve"> </v>
      </c>
      <c r="R240" s="4" t="str">
        <f ca="1">IF(OR(INDEX($X$2:$X$1001,MATCH(ROWS($W$2:W240),$W$2:$W$1001,0),1)&gt;=100000,INDEX($AD$1005:$AU$1005,1,MATCH(COLUMNS($AD$1006:AT1006),$AD$1006:$AU$1006,0))&gt;=100000), " ",IF(INDEX($AD$2:$AU$1001,MATCH(ROWS($W$2:W240),$W$2:$W$1001,0),MATCH(COLUMNS($AD$1006:AT1006),$AD$1006:$AU$1006,0)), HYPERLINK("#",""), HYPERLINK(CONCATENATE("#metadata!", ADDRESS(INDEX($Y$2:$Y$1001,MATCH(ROWS($W$2:W240),$W$2:$W$1001,0),0), INDEX($AD$1004:$AU$1004,1,MATCH(COLUMNS($AD$1006:AT1006),$AD$1006:$AU$1006,0)))),"Fix")))</f>
        <v xml:space="preserve"> </v>
      </c>
      <c r="S240" s="4" t="str">
        <f ca="1">IF(OR(INDEX($X$2:$X$1001,MATCH(ROWS($W$2:W240),$W$2:$W$1001,0),1)&gt;=100000,INDEX($AD$1005:$AU$1005,1,MATCH(COLUMNS($AD$1006:AU1006),$AD$1006:$AU$1006,0))&gt;=100000), " ",IF(INDEX($AD$2:$AU$1001,MATCH(ROWS($W$2:W240),$W$2:$W$1001,0),MATCH(COLUMNS($AD$1006:AU1006),$AD$1006:$AU$1006,0)), HYPERLINK("#",""), HYPERLINK(CONCATENATE("#metadata!", ADDRESS(INDEX($Y$2:$Y$1001,MATCH(ROWS($W$2:W240),$W$2:$W$1001,0),0), INDEX($AD$1004:$AU$1004,1,MATCH(COLUMNS($AD$1006:AU1006),$AD$1006:$AU$1006,0)))),"Fix")))</f>
        <v xml:space="preserve"> </v>
      </c>
      <c r="W240">
        <v>239</v>
      </c>
      <c r="X240">
        <v>100240</v>
      </c>
      <c r="Y240">
        <v>240</v>
      </c>
      <c r="Z240" t="b">
        <f t="shared" si="3"/>
        <v>1</v>
      </c>
      <c r="AA240" t="b">
        <f>COUNTBLANK(metadata!B240:S240)=COLUMNS(metadata!B240:S240)</f>
        <v>1</v>
      </c>
      <c r="AB240" t="str">
        <v/>
      </c>
      <c r="AD240" t="b">
        <f ca="1">AND(IF(metadata!B240="",FALSE,TRUE),COUNTIF(metadata!B:B, metadata!B240) = 1,NOT(ISERROR(SUMPRODUCT(SEARCH(MID(metadata!B240,ROW(INDIRECT("1:"&amp;LEN(metadata!B240))), 1),"0123456789abcdefghijklmnopqrstuvwxyzABCDEFGHIJKLMNOPQRSTUVWXYZ.")))))</f>
        <v>0</v>
      </c>
      <c r="AE240" t="b">
        <f>OR(AND(IF(metadata!C240="",FALSE,TRUE),OR(EXACT(metadata!C240,"not applicable"),EXACT(metadata!C240,"missing: not collected"),EXACT(metadata!C240,"missing: not provided"),EXACT(metadata!C240,"missing: restricted access"))),AND(IF(metadata!C240="",FALSE,ISNUMBER(VALUE(metadata!C240))),metadata!C240&gt;0))</f>
        <v>0</v>
      </c>
      <c r="AF240" t="b">
        <f>AND(IF(metadata!D240="",FALSE,TRUE),EXACT(metadata!D240,"missing: not provided"))</f>
        <v>0</v>
      </c>
      <c r="AG240" t="b">
        <f>AND(IF(metadata!E240="",FALSE,TRUE),EXACT(metadata!E240,"Host-associated"))</f>
        <v>0</v>
      </c>
      <c r="AH240" t="b">
        <f>AND(IF(metadata!F240="",FALSE,TRUE),OR(EXACT(metadata!F240,"Animal"),EXACT(metadata!F240,"Fungus"),EXACT(metadata!F240,"Plant")))</f>
        <v>0</v>
      </c>
      <c r="AI240" t="b">
        <f>AND(IF(metadata!G240="",FALSE,TRUE),OR(EXACT(metadata!G240,"Plant secretion"),EXACT(metadata!G240,"Plant rhizosphere"),EXACT(metadata!G240,"Plant surface"),EXACT(metadata!G240,"Plant corpus"),EXACT(metadata!G240,"Fungus surface"),EXACT(metadata!G240,"Fungus corpus"),EXACT(metadata!G240,"Animal surface"),EXACT(metadata!G240,"Animal proximal gut"),EXACT(metadata!G240,"Animal corpus"),EXACT(metadata!G240,"Animal distal gut"),EXACT(metadata!G240,"Animal secretion")))</f>
        <v>0</v>
      </c>
      <c r="AJ240" t="b">
        <f>OR(AND(IF(metadata!H240="",FALSE,TRUE),OR(EXACT(metadata!H240,"missing: not collected"),EXACT(metadata!H240,"missing: not provided"),EXACT(metadata!H240,"missing: restricted access"))),AND(IF(metadata!H240="",FALSE,TRUE),OR(EXACT(metadata!H240,"organism-associated habitat"),EXACT(metadata!H240,"plant-associated habitat"),EXACT(metadata!H240,"animal-associated habitat"),EXACT(metadata!H240,"insecta-associated habitat"),EXACT(metadata!H240,"mammalia-associated habitat"),EXACT(metadata!H240,"human-associated habitat"),EXACT(metadata!H240,"livestock-associated habitat"))))</f>
        <v>0</v>
      </c>
      <c r="AK240" t="b">
        <f>AND(IF(metadata!I240="",FALSE,TRUE),EXACT(metadata!I240,"host-associated"))</f>
        <v>0</v>
      </c>
      <c r="AL240" t="b">
        <f>OR(AND(IF(metadata!J240="",FALSE,TRUE),OR(EXACT(metadata!J240,"not applicable"),EXACT(metadata!J240,"missing: not collected"),EXACT(metadata!J240,"missing: not provided"),EXACT(metadata!J240,"missing: restricted access"))),AND(IF(metadata!J240="",FALSE,ISNUMBER(VALUE(metadata!J240))),metadata!J240&gt;0))</f>
        <v>0</v>
      </c>
      <c r="AM240" t="b">
        <f>AND(IF(metadata!K240="",FALSE,TRUE),EXACT(metadata!K240,"missing: not provided"))</f>
        <v>0</v>
      </c>
      <c r="AN240" t="b">
        <f>IF(metadata!L240="",FALSE,TRUE)</f>
        <v>0</v>
      </c>
      <c r="AO240" t="b">
        <f>IF(metadata!M240="",FALSE,TRUE)</f>
        <v>0</v>
      </c>
      <c r="AP240" t="b">
        <f>OR(AND(IF(metadata!N240="",FALSE,TRUE),OR(EXACT(metadata!N240,"not applicable"),EXACT(metadata!N240,"missing: not collected"),EXACT(metadata!N240,"missing: not provided"))),AND(IF(metadata!N240="",FALSE,IF(ISERROR(INT(metadata!N240)),FALSE,INT(metadata!N240)=metadata!N240)),metadata!N240&gt;0))</f>
        <v>0</v>
      </c>
      <c r="AQ240" t="b">
        <f>AND(IF(metadata!O240="",FALSE,TRUE),EXACT(metadata!O240,"Not applicable"))</f>
        <v>0</v>
      </c>
      <c r="AR240" t="b">
        <f>OR(AND(IF(metadata!P240="",FALSE,TRUE),OR(EXACT(metadata!P240,"not applicable"),EXACT(metadata!P240,"missing: not collected"),EXACT(metadata!P240,"missing: not provided"),EXACT(metadata!P240,"missing: restricted access"))),IF(metadata!P240="",FALSE,IF(ISERROR(INT(metadata!P240)),FALSE,INT(metadata!P240)=metadata!P240)))</f>
        <v>0</v>
      </c>
      <c r="AS240" t="b">
        <f>AND(IF(metadata!Q240="",FALSE,TRUE),EXACT(metadata!Q240,"Not applicable"))</f>
        <v>0</v>
      </c>
      <c r="AT240" t="b">
        <f>OR(AND(IF(metadata!R240="",FALSE,TRUE),OR(EXACT(metadata!R240,"not applicable"),EXACT(metadata!R240,"missing: not collected"),EXACT(metadata!R240,"missing: not provided"),EXACT(metadata!R240,"missing: restricted access"))),AND(IF(metadata!R240="",FALSE,ISNUMBER(VALUE(metadata!R240))),metadata!R240&gt;0))</f>
        <v>0</v>
      </c>
      <c r="AU240" t="b">
        <f>AND(IF(metadata!S240="",FALSE,TRUE),EXACT(metadata!S240,"missing: not provided"))</f>
        <v>0</v>
      </c>
    </row>
    <row r="241" spans="1:47" x14ac:dyDescent="0.2">
      <c r="A241" s="5" t="str">
        <f ca="1">IF(B241=" "," ",HYPERLINK(CONCATENATE("#metadata!",ADDRESS(INDEX($Y$2:$Y$1001,MATCH(ROWS($W$2:W241),$W$2:$W$1001,0),0),1)),INDEX($AB$2:$AB$1001,MATCH(ROWS($W$2:W241),$W$2:$W$1001,0),0)))</f>
        <v xml:space="preserve"> </v>
      </c>
      <c r="B241" s="4" t="str">
        <f ca="1">IF(OR(INDEX($X$2:$X$1001,MATCH(ROWS($W$2:W241),$W$2:$W$1001,0),1)&gt;=100000,INDEX($AD$1005:$AU$1005,1,MATCH(COLUMNS($AD$1006:AD1006),$AD$1006:$AU$1006,0))&gt;=100000), " ",IF(INDEX($AD$2:$AU$1001,MATCH(ROWS($W$2:W241),$W$2:$W$1001,0),MATCH(COLUMNS($AD$1006:AD1006),$AD$1006:$AU$1006,0)), HYPERLINK("#",""), HYPERLINK(CONCATENATE("#metadata!", ADDRESS(INDEX($Y$2:$Y$1001,MATCH(ROWS($W$2:W241),$W$2:$W$1001,0),0), INDEX($AD$1004:$AU$1004,1,MATCH(COLUMNS($AD$1006:AD1006),$AD$1006:$AU$1006,0)))),"Fix")))</f>
        <v xml:space="preserve"> </v>
      </c>
      <c r="C241" s="4" t="str">
        <f ca="1">IF(OR(INDEX($X$2:$X$1001,MATCH(ROWS($W$2:W241),$W$2:$W$1001,0),1)&gt;=100000,INDEX($AD$1005:$AU$1005,1,MATCH(COLUMNS($AD$1006:AE1006),$AD$1006:$AU$1006,0))&gt;=100000), " ",IF(INDEX($AD$2:$AU$1001,MATCH(ROWS($W$2:W241),$W$2:$W$1001,0),MATCH(COLUMNS($AD$1006:AE1006),$AD$1006:$AU$1006,0)), HYPERLINK("#",""), HYPERLINK(CONCATENATE("#metadata!", ADDRESS(INDEX($Y$2:$Y$1001,MATCH(ROWS($W$2:W241),$W$2:$W$1001,0),0), INDEX($AD$1004:$AU$1004,1,MATCH(COLUMNS($AD$1006:AE1006),$AD$1006:$AU$1006,0)))),"Fix")))</f>
        <v xml:space="preserve"> </v>
      </c>
      <c r="D241" s="4" t="str">
        <f ca="1">IF(OR(INDEX($X$2:$X$1001,MATCH(ROWS($W$2:W241),$W$2:$W$1001,0),1)&gt;=100000,INDEX($AD$1005:$AU$1005,1,MATCH(COLUMNS($AD$1006:AF1006),$AD$1006:$AU$1006,0))&gt;=100000), " ",IF(INDEX($AD$2:$AU$1001,MATCH(ROWS($W$2:W241),$W$2:$W$1001,0),MATCH(COLUMNS($AD$1006:AF1006),$AD$1006:$AU$1006,0)), HYPERLINK("#",""), HYPERLINK(CONCATENATE("#metadata!", ADDRESS(INDEX($Y$2:$Y$1001,MATCH(ROWS($W$2:W241),$W$2:$W$1001,0),0), INDEX($AD$1004:$AU$1004,1,MATCH(COLUMNS($AD$1006:AF1006),$AD$1006:$AU$1006,0)))),"Fix")))</f>
        <v xml:space="preserve"> </v>
      </c>
      <c r="E241" s="4" t="str">
        <f ca="1">IF(OR(INDEX($X$2:$X$1001,MATCH(ROWS($W$2:W241),$W$2:$W$1001,0),1)&gt;=100000,INDEX($AD$1005:$AU$1005,1,MATCH(COLUMNS($AD$1006:AG1006),$AD$1006:$AU$1006,0))&gt;=100000), " ",IF(INDEX($AD$2:$AU$1001,MATCH(ROWS($W$2:W241),$W$2:$W$1001,0),MATCH(COLUMNS($AD$1006:AG1006),$AD$1006:$AU$1006,0)), HYPERLINK("#",""), HYPERLINK(CONCATENATE("#metadata!", ADDRESS(INDEX($Y$2:$Y$1001,MATCH(ROWS($W$2:W241),$W$2:$W$1001,0),0), INDEX($AD$1004:$AU$1004,1,MATCH(COLUMNS($AD$1006:AG1006),$AD$1006:$AU$1006,0)))),"Fix")))</f>
        <v xml:space="preserve"> </v>
      </c>
      <c r="F241" s="4" t="str">
        <f ca="1">IF(OR(INDEX($X$2:$X$1001,MATCH(ROWS($W$2:W241),$W$2:$W$1001,0),1)&gt;=100000,INDEX($AD$1005:$AU$1005,1,MATCH(COLUMNS($AD$1006:AH1006),$AD$1006:$AU$1006,0))&gt;=100000), " ",IF(INDEX($AD$2:$AU$1001,MATCH(ROWS($W$2:W241),$W$2:$W$1001,0),MATCH(COLUMNS($AD$1006:AH1006),$AD$1006:$AU$1006,0)), HYPERLINK("#",""), HYPERLINK(CONCATENATE("#metadata!", ADDRESS(INDEX($Y$2:$Y$1001,MATCH(ROWS($W$2:W241),$W$2:$W$1001,0),0), INDEX($AD$1004:$AU$1004,1,MATCH(COLUMNS($AD$1006:AH1006),$AD$1006:$AU$1006,0)))),"Fix")))</f>
        <v xml:space="preserve"> </v>
      </c>
      <c r="G241" s="4" t="str">
        <f ca="1">IF(OR(INDEX($X$2:$X$1001,MATCH(ROWS($W$2:W241),$W$2:$W$1001,0),1)&gt;=100000,INDEX($AD$1005:$AU$1005,1,MATCH(COLUMNS($AD$1006:AI1006),$AD$1006:$AU$1006,0))&gt;=100000), " ",IF(INDEX($AD$2:$AU$1001,MATCH(ROWS($W$2:W241),$W$2:$W$1001,0),MATCH(COLUMNS($AD$1006:AI1006),$AD$1006:$AU$1006,0)), HYPERLINK("#",""), HYPERLINK(CONCATENATE("#metadata!", ADDRESS(INDEX($Y$2:$Y$1001,MATCH(ROWS($W$2:W241),$W$2:$W$1001,0),0), INDEX($AD$1004:$AU$1004,1,MATCH(COLUMNS($AD$1006:AI1006),$AD$1006:$AU$1006,0)))),"Fix")))</f>
        <v xml:space="preserve"> </v>
      </c>
      <c r="H241" s="4" t="str">
        <f ca="1">IF(OR(INDEX($X$2:$X$1001,MATCH(ROWS($W$2:W241),$W$2:$W$1001,0),1)&gt;=100000,INDEX($AD$1005:$AU$1005,1,MATCH(COLUMNS($AD$1006:AJ1006),$AD$1006:$AU$1006,0))&gt;=100000), " ",IF(INDEX($AD$2:$AU$1001,MATCH(ROWS($W$2:W241),$W$2:$W$1001,0),MATCH(COLUMNS($AD$1006:AJ1006),$AD$1006:$AU$1006,0)), HYPERLINK("#",""), HYPERLINK(CONCATENATE("#metadata!", ADDRESS(INDEX($Y$2:$Y$1001,MATCH(ROWS($W$2:W241),$W$2:$W$1001,0),0), INDEX($AD$1004:$AU$1004,1,MATCH(COLUMNS($AD$1006:AJ1006),$AD$1006:$AU$1006,0)))),"Fix")))</f>
        <v xml:space="preserve"> </v>
      </c>
      <c r="I241" s="4" t="str">
        <f ca="1">IF(OR(INDEX($X$2:$X$1001,MATCH(ROWS($W$2:W241),$W$2:$W$1001,0),1)&gt;=100000,INDEX($AD$1005:$AU$1005,1,MATCH(COLUMNS($AD$1006:AK1006),$AD$1006:$AU$1006,0))&gt;=100000), " ",IF(INDEX($AD$2:$AU$1001,MATCH(ROWS($W$2:W241),$W$2:$W$1001,0),MATCH(COLUMNS($AD$1006:AK1006),$AD$1006:$AU$1006,0)), HYPERLINK("#",""), HYPERLINK(CONCATENATE("#metadata!", ADDRESS(INDEX($Y$2:$Y$1001,MATCH(ROWS($W$2:W241),$W$2:$W$1001,0),0), INDEX($AD$1004:$AU$1004,1,MATCH(COLUMNS($AD$1006:AK1006),$AD$1006:$AU$1006,0)))),"Fix")))</f>
        <v xml:space="preserve"> </v>
      </c>
      <c r="J241" s="4" t="str">
        <f ca="1">IF(OR(INDEX($X$2:$X$1001,MATCH(ROWS($W$2:W241),$W$2:$W$1001,0),1)&gt;=100000,INDEX($AD$1005:$AU$1005,1,MATCH(COLUMNS($AD$1006:AL1006),$AD$1006:$AU$1006,0))&gt;=100000), " ",IF(INDEX($AD$2:$AU$1001,MATCH(ROWS($W$2:W241),$W$2:$W$1001,0),MATCH(COLUMNS($AD$1006:AL1006),$AD$1006:$AU$1006,0)), HYPERLINK("#",""), HYPERLINK(CONCATENATE("#metadata!", ADDRESS(INDEX($Y$2:$Y$1001,MATCH(ROWS($W$2:W241),$W$2:$W$1001,0),0), INDEX($AD$1004:$AU$1004,1,MATCH(COLUMNS($AD$1006:AL1006),$AD$1006:$AU$1006,0)))),"Fix")))</f>
        <v xml:space="preserve"> </v>
      </c>
      <c r="K241" s="4" t="str">
        <f ca="1">IF(OR(INDEX($X$2:$X$1001,MATCH(ROWS($W$2:W241),$W$2:$W$1001,0),1)&gt;=100000,INDEX($AD$1005:$AU$1005,1,MATCH(COLUMNS($AD$1006:AM1006),$AD$1006:$AU$1006,0))&gt;=100000), " ",IF(INDEX($AD$2:$AU$1001,MATCH(ROWS($W$2:W241),$W$2:$W$1001,0),MATCH(COLUMNS($AD$1006:AM1006),$AD$1006:$AU$1006,0)), HYPERLINK("#",""), HYPERLINK(CONCATENATE("#metadata!", ADDRESS(INDEX($Y$2:$Y$1001,MATCH(ROWS($W$2:W241),$W$2:$W$1001,0),0), INDEX($AD$1004:$AU$1004,1,MATCH(COLUMNS($AD$1006:AM1006),$AD$1006:$AU$1006,0)))),"Fix")))</f>
        <v xml:space="preserve"> </v>
      </c>
      <c r="L241" s="4" t="str">
        <f ca="1">IF(OR(INDEX($X$2:$X$1001,MATCH(ROWS($W$2:W241),$W$2:$W$1001,0),1)&gt;=100000,INDEX($AD$1005:$AU$1005,1,MATCH(COLUMNS($AD$1006:AN1006),$AD$1006:$AU$1006,0))&gt;=100000), " ",IF(INDEX($AD$2:$AU$1001,MATCH(ROWS($W$2:W241),$W$2:$W$1001,0),MATCH(COLUMNS($AD$1006:AN1006),$AD$1006:$AU$1006,0)), HYPERLINK("#",""), HYPERLINK(CONCATENATE("#metadata!", ADDRESS(INDEX($Y$2:$Y$1001,MATCH(ROWS($W$2:W241),$W$2:$W$1001,0),0), INDEX($AD$1004:$AU$1004,1,MATCH(COLUMNS($AD$1006:AN1006),$AD$1006:$AU$1006,0)))),"Fix")))</f>
        <v xml:space="preserve"> </v>
      </c>
      <c r="M241" s="4" t="str">
        <f ca="1">IF(OR(INDEX($X$2:$X$1001,MATCH(ROWS($W$2:W241),$W$2:$W$1001,0),1)&gt;=100000,INDEX($AD$1005:$AU$1005,1,MATCH(COLUMNS($AD$1006:AO1006),$AD$1006:$AU$1006,0))&gt;=100000), " ",IF(INDEX($AD$2:$AU$1001,MATCH(ROWS($W$2:W241),$W$2:$W$1001,0),MATCH(COLUMNS($AD$1006:AO1006),$AD$1006:$AU$1006,0)), HYPERLINK("#",""), HYPERLINK(CONCATENATE("#metadata!", ADDRESS(INDEX($Y$2:$Y$1001,MATCH(ROWS($W$2:W241),$W$2:$W$1001,0),0), INDEX($AD$1004:$AU$1004,1,MATCH(COLUMNS($AD$1006:AO1006),$AD$1006:$AU$1006,0)))),"Fix")))</f>
        <v xml:space="preserve"> </v>
      </c>
      <c r="N241" s="4" t="str">
        <f ca="1">IF(OR(INDEX($X$2:$X$1001,MATCH(ROWS($W$2:W241),$W$2:$W$1001,0),1)&gt;=100000,INDEX($AD$1005:$AU$1005,1,MATCH(COLUMNS($AD$1006:AP1006),$AD$1006:$AU$1006,0))&gt;=100000), " ",IF(INDEX($AD$2:$AU$1001,MATCH(ROWS($W$2:W241),$W$2:$W$1001,0),MATCH(COLUMNS($AD$1006:AP1006),$AD$1006:$AU$1006,0)), HYPERLINK("#",""), HYPERLINK(CONCATENATE("#metadata!", ADDRESS(INDEX($Y$2:$Y$1001,MATCH(ROWS($W$2:W241),$W$2:$W$1001,0),0), INDEX($AD$1004:$AU$1004,1,MATCH(COLUMNS($AD$1006:AP1006),$AD$1006:$AU$1006,0)))),"Fix")))</f>
        <v xml:space="preserve"> </v>
      </c>
      <c r="O241" s="4" t="str">
        <f ca="1">IF(OR(INDEX($X$2:$X$1001,MATCH(ROWS($W$2:W241),$W$2:$W$1001,0),1)&gt;=100000,INDEX($AD$1005:$AU$1005,1,MATCH(COLUMNS($AD$1006:AQ1006),$AD$1006:$AU$1006,0))&gt;=100000), " ",IF(INDEX($AD$2:$AU$1001,MATCH(ROWS($W$2:W241),$W$2:$W$1001,0),MATCH(COLUMNS($AD$1006:AQ1006),$AD$1006:$AU$1006,0)), HYPERLINK("#",""), HYPERLINK(CONCATENATE("#metadata!", ADDRESS(INDEX($Y$2:$Y$1001,MATCH(ROWS($W$2:W241),$W$2:$W$1001,0),0), INDEX($AD$1004:$AU$1004,1,MATCH(COLUMNS($AD$1006:AQ1006),$AD$1006:$AU$1006,0)))),"Fix")))</f>
        <v xml:space="preserve"> </v>
      </c>
      <c r="P241" s="4" t="str">
        <f ca="1">IF(OR(INDEX($X$2:$X$1001,MATCH(ROWS($W$2:W241),$W$2:$W$1001,0),1)&gt;=100000,INDEX($AD$1005:$AU$1005,1,MATCH(COLUMNS($AD$1006:AR1006),$AD$1006:$AU$1006,0))&gt;=100000), " ",IF(INDEX($AD$2:$AU$1001,MATCH(ROWS($W$2:W241),$W$2:$W$1001,0),MATCH(COLUMNS($AD$1006:AR1006),$AD$1006:$AU$1006,0)), HYPERLINK("#",""), HYPERLINK(CONCATENATE("#metadata!", ADDRESS(INDEX($Y$2:$Y$1001,MATCH(ROWS($W$2:W241),$W$2:$W$1001,0),0), INDEX($AD$1004:$AU$1004,1,MATCH(COLUMNS($AD$1006:AR1006),$AD$1006:$AU$1006,0)))),"Fix")))</f>
        <v xml:space="preserve"> </v>
      </c>
      <c r="Q241" s="4" t="str">
        <f ca="1">IF(OR(INDEX($X$2:$X$1001,MATCH(ROWS($W$2:W241),$W$2:$W$1001,0),1)&gt;=100000,INDEX($AD$1005:$AU$1005,1,MATCH(COLUMNS($AD$1006:AS1006),$AD$1006:$AU$1006,0))&gt;=100000), " ",IF(INDEX($AD$2:$AU$1001,MATCH(ROWS($W$2:W241),$W$2:$W$1001,0),MATCH(COLUMNS($AD$1006:AS1006),$AD$1006:$AU$1006,0)), HYPERLINK("#",""), HYPERLINK(CONCATENATE("#metadata!", ADDRESS(INDEX($Y$2:$Y$1001,MATCH(ROWS($W$2:W241),$W$2:$W$1001,0),0), INDEX($AD$1004:$AU$1004,1,MATCH(COLUMNS($AD$1006:AS1006),$AD$1006:$AU$1006,0)))),"Fix")))</f>
        <v xml:space="preserve"> </v>
      </c>
      <c r="R241" s="4" t="str">
        <f ca="1">IF(OR(INDEX($X$2:$X$1001,MATCH(ROWS($W$2:W241),$W$2:$W$1001,0),1)&gt;=100000,INDEX($AD$1005:$AU$1005,1,MATCH(COLUMNS($AD$1006:AT1006),$AD$1006:$AU$1006,0))&gt;=100000), " ",IF(INDEX($AD$2:$AU$1001,MATCH(ROWS($W$2:W241),$W$2:$W$1001,0),MATCH(COLUMNS($AD$1006:AT1006),$AD$1006:$AU$1006,0)), HYPERLINK("#",""), HYPERLINK(CONCATENATE("#metadata!", ADDRESS(INDEX($Y$2:$Y$1001,MATCH(ROWS($W$2:W241),$W$2:$W$1001,0),0), INDEX($AD$1004:$AU$1004,1,MATCH(COLUMNS($AD$1006:AT1006),$AD$1006:$AU$1006,0)))),"Fix")))</f>
        <v xml:space="preserve"> </v>
      </c>
      <c r="S241" s="4" t="str">
        <f ca="1">IF(OR(INDEX($X$2:$X$1001,MATCH(ROWS($W$2:W241),$W$2:$W$1001,0),1)&gt;=100000,INDEX($AD$1005:$AU$1005,1,MATCH(COLUMNS($AD$1006:AU1006),$AD$1006:$AU$1006,0))&gt;=100000), " ",IF(INDEX($AD$2:$AU$1001,MATCH(ROWS($W$2:W241),$W$2:$W$1001,0),MATCH(COLUMNS($AD$1006:AU1006),$AD$1006:$AU$1006,0)), HYPERLINK("#",""), HYPERLINK(CONCATENATE("#metadata!", ADDRESS(INDEX($Y$2:$Y$1001,MATCH(ROWS($W$2:W241),$W$2:$W$1001,0),0), INDEX($AD$1004:$AU$1004,1,MATCH(COLUMNS($AD$1006:AU1006),$AD$1006:$AU$1006,0)))),"Fix")))</f>
        <v xml:space="preserve"> </v>
      </c>
      <c r="W241">
        <v>240</v>
      </c>
      <c r="X241">
        <v>100241</v>
      </c>
      <c r="Y241">
        <v>241</v>
      </c>
      <c r="Z241" t="b">
        <f t="shared" si="3"/>
        <v>1</v>
      </c>
      <c r="AA241" t="b">
        <f>COUNTBLANK(metadata!B241:S241)=COLUMNS(metadata!B241:S241)</f>
        <v>1</v>
      </c>
      <c r="AB241" t="str">
        <v/>
      </c>
      <c r="AD241" t="b">
        <f ca="1">AND(IF(metadata!B241="",FALSE,TRUE),COUNTIF(metadata!B:B, metadata!B241) = 1,NOT(ISERROR(SUMPRODUCT(SEARCH(MID(metadata!B241,ROW(INDIRECT("1:"&amp;LEN(metadata!B241))), 1),"0123456789abcdefghijklmnopqrstuvwxyzABCDEFGHIJKLMNOPQRSTUVWXYZ.")))))</f>
        <v>0</v>
      </c>
      <c r="AE241" t="b">
        <f>OR(AND(IF(metadata!C241="",FALSE,TRUE),OR(EXACT(metadata!C241,"not applicable"),EXACT(metadata!C241,"missing: not collected"),EXACT(metadata!C241,"missing: not provided"),EXACT(metadata!C241,"missing: restricted access"))),AND(IF(metadata!C241="",FALSE,ISNUMBER(VALUE(metadata!C241))),metadata!C241&gt;0))</f>
        <v>0</v>
      </c>
      <c r="AF241" t="b">
        <f>AND(IF(metadata!D241="",FALSE,TRUE),EXACT(metadata!D241,"missing: not provided"))</f>
        <v>0</v>
      </c>
      <c r="AG241" t="b">
        <f>AND(IF(metadata!E241="",FALSE,TRUE),EXACT(metadata!E241,"Host-associated"))</f>
        <v>0</v>
      </c>
      <c r="AH241" t="b">
        <f>AND(IF(metadata!F241="",FALSE,TRUE),OR(EXACT(metadata!F241,"Animal"),EXACT(metadata!F241,"Fungus"),EXACT(metadata!F241,"Plant")))</f>
        <v>0</v>
      </c>
      <c r="AI241" t="b">
        <f>AND(IF(metadata!G241="",FALSE,TRUE),OR(EXACT(metadata!G241,"Plant secretion"),EXACT(metadata!G241,"Plant rhizosphere"),EXACT(metadata!G241,"Plant surface"),EXACT(metadata!G241,"Plant corpus"),EXACT(metadata!G241,"Fungus surface"),EXACT(metadata!G241,"Fungus corpus"),EXACT(metadata!G241,"Animal surface"),EXACT(metadata!G241,"Animal proximal gut"),EXACT(metadata!G241,"Animal corpus"),EXACT(metadata!G241,"Animal distal gut"),EXACT(metadata!G241,"Animal secretion")))</f>
        <v>0</v>
      </c>
      <c r="AJ241" t="b">
        <f>OR(AND(IF(metadata!H241="",FALSE,TRUE),OR(EXACT(metadata!H241,"missing: not collected"),EXACT(metadata!H241,"missing: not provided"),EXACT(metadata!H241,"missing: restricted access"))),AND(IF(metadata!H241="",FALSE,TRUE),OR(EXACT(metadata!H241,"organism-associated habitat"),EXACT(metadata!H241,"plant-associated habitat"),EXACT(metadata!H241,"animal-associated habitat"),EXACT(metadata!H241,"insecta-associated habitat"),EXACT(metadata!H241,"mammalia-associated habitat"),EXACT(metadata!H241,"human-associated habitat"),EXACT(metadata!H241,"livestock-associated habitat"))))</f>
        <v>0</v>
      </c>
      <c r="AK241" t="b">
        <f>AND(IF(metadata!I241="",FALSE,TRUE),EXACT(metadata!I241,"host-associated"))</f>
        <v>0</v>
      </c>
      <c r="AL241" t="b">
        <f>OR(AND(IF(metadata!J241="",FALSE,TRUE),OR(EXACT(metadata!J241,"not applicable"),EXACT(metadata!J241,"missing: not collected"),EXACT(metadata!J241,"missing: not provided"),EXACT(metadata!J241,"missing: restricted access"))),AND(IF(metadata!J241="",FALSE,ISNUMBER(VALUE(metadata!J241))),metadata!J241&gt;0))</f>
        <v>0</v>
      </c>
      <c r="AM241" t="b">
        <f>AND(IF(metadata!K241="",FALSE,TRUE),EXACT(metadata!K241,"missing: not provided"))</f>
        <v>0</v>
      </c>
      <c r="AN241" t="b">
        <f>IF(metadata!L241="",FALSE,TRUE)</f>
        <v>0</v>
      </c>
      <c r="AO241" t="b">
        <f>IF(metadata!M241="",FALSE,TRUE)</f>
        <v>0</v>
      </c>
      <c r="AP241" t="b">
        <f>OR(AND(IF(metadata!N241="",FALSE,TRUE),OR(EXACT(metadata!N241,"not applicable"),EXACT(metadata!N241,"missing: not collected"),EXACT(metadata!N241,"missing: not provided"))),AND(IF(metadata!N241="",FALSE,IF(ISERROR(INT(metadata!N241)),FALSE,INT(metadata!N241)=metadata!N241)),metadata!N241&gt;0))</f>
        <v>0</v>
      </c>
      <c r="AQ241" t="b">
        <f>AND(IF(metadata!O241="",FALSE,TRUE),EXACT(metadata!O241,"Not applicable"))</f>
        <v>0</v>
      </c>
      <c r="AR241" t="b">
        <f>OR(AND(IF(metadata!P241="",FALSE,TRUE),OR(EXACT(metadata!P241,"not applicable"),EXACT(metadata!P241,"missing: not collected"),EXACT(metadata!P241,"missing: not provided"),EXACT(metadata!P241,"missing: restricted access"))),IF(metadata!P241="",FALSE,IF(ISERROR(INT(metadata!P241)),FALSE,INT(metadata!P241)=metadata!P241)))</f>
        <v>0</v>
      </c>
      <c r="AS241" t="b">
        <f>AND(IF(metadata!Q241="",FALSE,TRUE),EXACT(metadata!Q241,"Not applicable"))</f>
        <v>0</v>
      </c>
      <c r="AT241" t="b">
        <f>OR(AND(IF(metadata!R241="",FALSE,TRUE),OR(EXACT(metadata!R241,"not applicable"),EXACT(metadata!R241,"missing: not collected"),EXACT(metadata!R241,"missing: not provided"),EXACT(metadata!R241,"missing: restricted access"))),AND(IF(metadata!R241="",FALSE,ISNUMBER(VALUE(metadata!R241))),metadata!R241&gt;0))</f>
        <v>0</v>
      </c>
      <c r="AU241" t="b">
        <f>AND(IF(metadata!S241="",FALSE,TRUE),EXACT(metadata!S241,"missing: not provided"))</f>
        <v>0</v>
      </c>
    </row>
    <row r="242" spans="1:47" x14ac:dyDescent="0.2">
      <c r="A242" s="5" t="str">
        <f ca="1">IF(B242=" "," ",HYPERLINK(CONCATENATE("#metadata!",ADDRESS(INDEX($Y$2:$Y$1001,MATCH(ROWS($W$2:W242),$W$2:$W$1001,0),0),1)),INDEX($AB$2:$AB$1001,MATCH(ROWS($W$2:W242),$W$2:$W$1001,0),0)))</f>
        <v xml:space="preserve"> </v>
      </c>
      <c r="B242" s="4" t="str">
        <f ca="1">IF(OR(INDEX($X$2:$X$1001,MATCH(ROWS($W$2:W242),$W$2:$W$1001,0),1)&gt;=100000,INDEX($AD$1005:$AU$1005,1,MATCH(COLUMNS($AD$1006:AD1006),$AD$1006:$AU$1006,0))&gt;=100000), " ",IF(INDEX($AD$2:$AU$1001,MATCH(ROWS($W$2:W242),$W$2:$W$1001,0),MATCH(COLUMNS($AD$1006:AD1006),$AD$1006:$AU$1006,0)), HYPERLINK("#",""), HYPERLINK(CONCATENATE("#metadata!", ADDRESS(INDEX($Y$2:$Y$1001,MATCH(ROWS($W$2:W242),$W$2:$W$1001,0),0), INDEX($AD$1004:$AU$1004,1,MATCH(COLUMNS($AD$1006:AD1006),$AD$1006:$AU$1006,0)))),"Fix")))</f>
        <v xml:space="preserve"> </v>
      </c>
      <c r="C242" s="4" t="str">
        <f ca="1">IF(OR(INDEX($X$2:$X$1001,MATCH(ROWS($W$2:W242),$W$2:$W$1001,0),1)&gt;=100000,INDEX($AD$1005:$AU$1005,1,MATCH(COLUMNS($AD$1006:AE1006),$AD$1006:$AU$1006,0))&gt;=100000), " ",IF(INDEX($AD$2:$AU$1001,MATCH(ROWS($W$2:W242),$W$2:$W$1001,0),MATCH(COLUMNS($AD$1006:AE1006),$AD$1006:$AU$1006,0)), HYPERLINK("#",""), HYPERLINK(CONCATENATE("#metadata!", ADDRESS(INDEX($Y$2:$Y$1001,MATCH(ROWS($W$2:W242),$W$2:$W$1001,0),0), INDEX($AD$1004:$AU$1004,1,MATCH(COLUMNS($AD$1006:AE1006),$AD$1006:$AU$1006,0)))),"Fix")))</f>
        <v xml:space="preserve"> </v>
      </c>
      <c r="D242" s="4" t="str">
        <f ca="1">IF(OR(INDEX($X$2:$X$1001,MATCH(ROWS($W$2:W242),$W$2:$W$1001,0),1)&gt;=100000,INDEX($AD$1005:$AU$1005,1,MATCH(COLUMNS($AD$1006:AF1006),$AD$1006:$AU$1006,0))&gt;=100000), " ",IF(INDEX($AD$2:$AU$1001,MATCH(ROWS($W$2:W242),$W$2:$W$1001,0),MATCH(COLUMNS($AD$1006:AF1006),$AD$1006:$AU$1006,0)), HYPERLINK("#",""), HYPERLINK(CONCATENATE("#metadata!", ADDRESS(INDEX($Y$2:$Y$1001,MATCH(ROWS($W$2:W242),$W$2:$W$1001,0),0), INDEX($AD$1004:$AU$1004,1,MATCH(COLUMNS($AD$1006:AF1006),$AD$1006:$AU$1006,0)))),"Fix")))</f>
        <v xml:space="preserve"> </v>
      </c>
      <c r="E242" s="4" t="str">
        <f ca="1">IF(OR(INDEX($X$2:$X$1001,MATCH(ROWS($W$2:W242),$W$2:$W$1001,0),1)&gt;=100000,INDEX($AD$1005:$AU$1005,1,MATCH(COLUMNS($AD$1006:AG1006),$AD$1006:$AU$1006,0))&gt;=100000), " ",IF(INDEX($AD$2:$AU$1001,MATCH(ROWS($W$2:W242),$W$2:$W$1001,0),MATCH(COLUMNS($AD$1006:AG1006),$AD$1006:$AU$1006,0)), HYPERLINK("#",""), HYPERLINK(CONCATENATE("#metadata!", ADDRESS(INDEX($Y$2:$Y$1001,MATCH(ROWS($W$2:W242),$W$2:$W$1001,0),0), INDEX($AD$1004:$AU$1004,1,MATCH(COLUMNS($AD$1006:AG1006),$AD$1006:$AU$1006,0)))),"Fix")))</f>
        <v xml:space="preserve"> </v>
      </c>
      <c r="F242" s="4" t="str">
        <f ca="1">IF(OR(INDEX($X$2:$X$1001,MATCH(ROWS($W$2:W242),$W$2:$W$1001,0),1)&gt;=100000,INDEX($AD$1005:$AU$1005,1,MATCH(COLUMNS($AD$1006:AH1006),$AD$1006:$AU$1006,0))&gt;=100000), " ",IF(INDEX($AD$2:$AU$1001,MATCH(ROWS($W$2:W242),$W$2:$W$1001,0),MATCH(COLUMNS($AD$1006:AH1006),$AD$1006:$AU$1006,0)), HYPERLINK("#",""), HYPERLINK(CONCATENATE("#metadata!", ADDRESS(INDEX($Y$2:$Y$1001,MATCH(ROWS($W$2:W242),$W$2:$W$1001,0),0), INDEX($AD$1004:$AU$1004,1,MATCH(COLUMNS($AD$1006:AH1006),$AD$1006:$AU$1006,0)))),"Fix")))</f>
        <v xml:space="preserve"> </v>
      </c>
      <c r="G242" s="4" t="str">
        <f ca="1">IF(OR(INDEX($X$2:$X$1001,MATCH(ROWS($W$2:W242),$W$2:$W$1001,0),1)&gt;=100000,INDEX($AD$1005:$AU$1005,1,MATCH(COLUMNS($AD$1006:AI1006),$AD$1006:$AU$1006,0))&gt;=100000), " ",IF(INDEX($AD$2:$AU$1001,MATCH(ROWS($W$2:W242),$W$2:$W$1001,0),MATCH(COLUMNS($AD$1006:AI1006),$AD$1006:$AU$1006,0)), HYPERLINK("#",""), HYPERLINK(CONCATENATE("#metadata!", ADDRESS(INDEX($Y$2:$Y$1001,MATCH(ROWS($W$2:W242),$W$2:$W$1001,0),0), INDEX($AD$1004:$AU$1004,1,MATCH(COLUMNS($AD$1006:AI1006),$AD$1006:$AU$1006,0)))),"Fix")))</f>
        <v xml:space="preserve"> </v>
      </c>
      <c r="H242" s="4" t="str">
        <f ca="1">IF(OR(INDEX($X$2:$X$1001,MATCH(ROWS($W$2:W242),$W$2:$W$1001,0),1)&gt;=100000,INDEX($AD$1005:$AU$1005,1,MATCH(COLUMNS($AD$1006:AJ1006),$AD$1006:$AU$1006,0))&gt;=100000), " ",IF(INDEX($AD$2:$AU$1001,MATCH(ROWS($W$2:W242),$W$2:$W$1001,0),MATCH(COLUMNS($AD$1006:AJ1006),$AD$1006:$AU$1006,0)), HYPERLINK("#",""), HYPERLINK(CONCATENATE("#metadata!", ADDRESS(INDEX($Y$2:$Y$1001,MATCH(ROWS($W$2:W242),$W$2:$W$1001,0),0), INDEX($AD$1004:$AU$1004,1,MATCH(COLUMNS($AD$1006:AJ1006),$AD$1006:$AU$1006,0)))),"Fix")))</f>
        <v xml:space="preserve"> </v>
      </c>
      <c r="I242" s="4" t="str">
        <f ca="1">IF(OR(INDEX($X$2:$X$1001,MATCH(ROWS($W$2:W242),$W$2:$W$1001,0),1)&gt;=100000,INDEX($AD$1005:$AU$1005,1,MATCH(COLUMNS($AD$1006:AK1006),$AD$1006:$AU$1006,0))&gt;=100000), " ",IF(INDEX($AD$2:$AU$1001,MATCH(ROWS($W$2:W242),$W$2:$W$1001,0),MATCH(COLUMNS($AD$1006:AK1006),$AD$1006:$AU$1006,0)), HYPERLINK("#",""), HYPERLINK(CONCATENATE("#metadata!", ADDRESS(INDEX($Y$2:$Y$1001,MATCH(ROWS($W$2:W242),$W$2:$W$1001,0),0), INDEX($AD$1004:$AU$1004,1,MATCH(COLUMNS($AD$1006:AK1006),$AD$1006:$AU$1006,0)))),"Fix")))</f>
        <v xml:space="preserve"> </v>
      </c>
      <c r="J242" s="4" t="str">
        <f ca="1">IF(OR(INDEX($X$2:$X$1001,MATCH(ROWS($W$2:W242),$W$2:$W$1001,0),1)&gt;=100000,INDEX($AD$1005:$AU$1005,1,MATCH(COLUMNS($AD$1006:AL1006),$AD$1006:$AU$1006,0))&gt;=100000), " ",IF(INDEX($AD$2:$AU$1001,MATCH(ROWS($W$2:W242),$W$2:$W$1001,0),MATCH(COLUMNS($AD$1006:AL1006),$AD$1006:$AU$1006,0)), HYPERLINK("#",""), HYPERLINK(CONCATENATE("#metadata!", ADDRESS(INDEX($Y$2:$Y$1001,MATCH(ROWS($W$2:W242),$W$2:$W$1001,0),0), INDEX($AD$1004:$AU$1004,1,MATCH(COLUMNS($AD$1006:AL1006),$AD$1006:$AU$1006,0)))),"Fix")))</f>
        <v xml:space="preserve"> </v>
      </c>
      <c r="K242" s="4" t="str">
        <f ca="1">IF(OR(INDEX($X$2:$X$1001,MATCH(ROWS($W$2:W242),$W$2:$W$1001,0),1)&gt;=100000,INDEX($AD$1005:$AU$1005,1,MATCH(COLUMNS($AD$1006:AM1006),$AD$1006:$AU$1006,0))&gt;=100000), " ",IF(INDEX($AD$2:$AU$1001,MATCH(ROWS($W$2:W242),$W$2:$W$1001,0),MATCH(COLUMNS($AD$1006:AM1006),$AD$1006:$AU$1006,0)), HYPERLINK("#",""), HYPERLINK(CONCATENATE("#metadata!", ADDRESS(INDEX($Y$2:$Y$1001,MATCH(ROWS($W$2:W242),$W$2:$W$1001,0),0), INDEX($AD$1004:$AU$1004,1,MATCH(COLUMNS($AD$1006:AM1006),$AD$1006:$AU$1006,0)))),"Fix")))</f>
        <v xml:space="preserve"> </v>
      </c>
      <c r="L242" s="4" t="str">
        <f ca="1">IF(OR(INDEX($X$2:$X$1001,MATCH(ROWS($W$2:W242),$W$2:$W$1001,0),1)&gt;=100000,INDEX($AD$1005:$AU$1005,1,MATCH(COLUMNS($AD$1006:AN1006),$AD$1006:$AU$1006,0))&gt;=100000), " ",IF(INDEX($AD$2:$AU$1001,MATCH(ROWS($W$2:W242),$W$2:$W$1001,0),MATCH(COLUMNS($AD$1006:AN1006),$AD$1006:$AU$1006,0)), HYPERLINK("#",""), HYPERLINK(CONCATENATE("#metadata!", ADDRESS(INDEX($Y$2:$Y$1001,MATCH(ROWS($W$2:W242),$W$2:$W$1001,0),0), INDEX($AD$1004:$AU$1004,1,MATCH(COLUMNS($AD$1006:AN1006),$AD$1006:$AU$1006,0)))),"Fix")))</f>
        <v xml:space="preserve"> </v>
      </c>
      <c r="M242" s="4" t="str">
        <f ca="1">IF(OR(INDEX($X$2:$X$1001,MATCH(ROWS($W$2:W242),$W$2:$W$1001,0),1)&gt;=100000,INDEX($AD$1005:$AU$1005,1,MATCH(COLUMNS($AD$1006:AO1006),$AD$1006:$AU$1006,0))&gt;=100000), " ",IF(INDEX($AD$2:$AU$1001,MATCH(ROWS($W$2:W242),$W$2:$W$1001,0),MATCH(COLUMNS($AD$1006:AO1006),$AD$1006:$AU$1006,0)), HYPERLINK("#",""), HYPERLINK(CONCATENATE("#metadata!", ADDRESS(INDEX($Y$2:$Y$1001,MATCH(ROWS($W$2:W242),$W$2:$W$1001,0),0), INDEX($AD$1004:$AU$1004,1,MATCH(COLUMNS($AD$1006:AO1006),$AD$1006:$AU$1006,0)))),"Fix")))</f>
        <v xml:space="preserve"> </v>
      </c>
      <c r="N242" s="4" t="str">
        <f ca="1">IF(OR(INDEX($X$2:$X$1001,MATCH(ROWS($W$2:W242),$W$2:$W$1001,0),1)&gt;=100000,INDEX($AD$1005:$AU$1005,1,MATCH(COLUMNS($AD$1006:AP1006),$AD$1006:$AU$1006,0))&gt;=100000), " ",IF(INDEX($AD$2:$AU$1001,MATCH(ROWS($W$2:W242),$W$2:$W$1001,0),MATCH(COLUMNS($AD$1006:AP1006),$AD$1006:$AU$1006,0)), HYPERLINK("#",""), HYPERLINK(CONCATENATE("#metadata!", ADDRESS(INDEX($Y$2:$Y$1001,MATCH(ROWS($W$2:W242),$W$2:$W$1001,0),0), INDEX($AD$1004:$AU$1004,1,MATCH(COLUMNS($AD$1006:AP1006),$AD$1006:$AU$1006,0)))),"Fix")))</f>
        <v xml:space="preserve"> </v>
      </c>
      <c r="O242" s="4" t="str">
        <f ca="1">IF(OR(INDEX($X$2:$X$1001,MATCH(ROWS($W$2:W242),$W$2:$W$1001,0),1)&gt;=100000,INDEX($AD$1005:$AU$1005,1,MATCH(COLUMNS($AD$1006:AQ1006),$AD$1006:$AU$1006,0))&gt;=100000), " ",IF(INDEX($AD$2:$AU$1001,MATCH(ROWS($W$2:W242),$W$2:$W$1001,0),MATCH(COLUMNS($AD$1006:AQ1006),$AD$1006:$AU$1006,0)), HYPERLINK("#",""), HYPERLINK(CONCATENATE("#metadata!", ADDRESS(INDEX($Y$2:$Y$1001,MATCH(ROWS($W$2:W242),$W$2:$W$1001,0),0), INDEX($AD$1004:$AU$1004,1,MATCH(COLUMNS($AD$1006:AQ1006),$AD$1006:$AU$1006,0)))),"Fix")))</f>
        <v xml:space="preserve"> </v>
      </c>
      <c r="P242" s="4" t="str">
        <f ca="1">IF(OR(INDEX($X$2:$X$1001,MATCH(ROWS($W$2:W242),$W$2:$W$1001,0),1)&gt;=100000,INDEX($AD$1005:$AU$1005,1,MATCH(COLUMNS($AD$1006:AR1006),$AD$1006:$AU$1006,0))&gt;=100000), " ",IF(INDEX($AD$2:$AU$1001,MATCH(ROWS($W$2:W242),$W$2:$W$1001,0),MATCH(COLUMNS($AD$1006:AR1006),$AD$1006:$AU$1006,0)), HYPERLINK("#",""), HYPERLINK(CONCATENATE("#metadata!", ADDRESS(INDEX($Y$2:$Y$1001,MATCH(ROWS($W$2:W242),$W$2:$W$1001,0),0), INDEX($AD$1004:$AU$1004,1,MATCH(COLUMNS($AD$1006:AR1006),$AD$1006:$AU$1006,0)))),"Fix")))</f>
        <v xml:space="preserve"> </v>
      </c>
      <c r="Q242" s="4" t="str">
        <f ca="1">IF(OR(INDEX($X$2:$X$1001,MATCH(ROWS($W$2:W242),$W$2:$W$1001,0),1)&gt;=100000,INDEX($AD$1005:$AU$1005,1,MATCH(COLUMNS($AD$1006:AS1006),$AD$1006:$AU$1006,0))&gt;=100000), " ",IF(INDEX($AD$2:$AU$1001,MATCH(ROWS($W$2:W242),$W$2:$W$1001,0),MATCH(COLUMNS($AD$1006:AS1006),$AD$1006:$AU$1006,0)), HYPERLINK("#",""), HYPERLINK(CONCATENATE("#metadata!", ADDRESS(INDEX($Y$2:$Y$1001,MATCH(ROWS($W$2:W242),$W$2:$W$1001,0),0), INDEX($AD$1004:$AU$1004,1,MATCH(COLUMNS($AD$1006:AS1006),$AD$1006:$AU$1006,0)))),"Fix")))</f>
        <v xml:space="preserve"> </v>
      </c>
      <c r="R242" s="4" t="str">
        <f ca="1">IF(OR(INDEX($X$2:$X$1001,MATCH(ROWS($W$2:W242),$W$2:$W$1001,0),1)&gt;=100000,INDEX($AD$1005:$AU$1005,1,MATCH(COLUMNS($AD$1006:AT1006),$AD$1006:$AU$1006,0))&gt;=100000), " ",IF(INDEX($AD$2:$AU$1001,MATCH(ROWS($W$2:W242),$W$2:$W$1001,0),MATCH(COLUMNS($AD$1006:AT1006),$AD$1006:$AU$1006,0)), HYPERLINK("#",""), HYPERLINK(CONCATENATE("#metadata!", ADDRESS(INDEX($Y$2:$Y$1001,MATCH(ROWS($W$2:W242),$W$2:$W$1001,0),0), INDEX($AD$1004:$AU$1004,1,MATCH(COLUMNS($AD$1006:AT1006),$AD$1006:$AU$1006,0)))),"Fix")))</f>
        <v xml:space="preserve"> </v>
      </c>
      <c r="S242" s="4" t="str">
        <f ca="1">IF(OR(INDEX($X$2:$X$1001,MATCH(ROWS($W$2:W242),$W$2:$W$1001,0),1)&gt;=100000,INDEX($AD$1005:$AU$1005,1,MATCH(COLUMNS($AD$1006:AU1006),$AD$1006:$AU$1006,0))&gt;=100000), " ",IF(INDEX($AD$2:$AU$1001,MATCH(ROWS($W$2:W242),$W$2:$W$1001,0),MATCH(COLUMNS($AD$1006:AU1006),$AD$1006:$AU$1006,0)), HYPERLINK("#",""), HYPERLINK(CONCATENATE("#metadata!", ADDRESS(INDEX($Y$2:$Y$1001,MATCH(ROWS($W$2:W242),$W$2:$W$1001,0),0), INDEX($AD$1004:$AU$1004,1,MATCH(COLUMNS($AD$1006:AU1006),$AD$1006:$AU$1006,0)))),"Fix")))</f>
        <v xml:space="preserve"> </v>
      </c>
      <c r="W242">
        <v>241</v>
      </c>
      <c r="X242">
        <v>100242</v>
      </c>
      <c r="Y242">
        <v>242</v>
      </c>
      <c r="Z242" t="b">
        <f t="shared" si="3"/>
        <v>1</v>
      </c>
      <c r="AA242" t="b">
        <f>COUNTBLANK(metadata!B242:S242)=COLUMNS(metadata!B242:S242)</f>
        <v>1</v>
      </c>
      <c r="AB242" t="str">
        <v/>
      </c>
      <c r="AD242" t="b">
        <f ca="1">AND(IF(metadata!B242="",FALSE,TRUE),COUNTIF(metadata!B:B, metadata!B242) = 1,NOT(ISERROR(SUMPRODUCT(SEARCH(MID(metadata!B242,ROW(INDIRECT("1:"&amp;LEN(metadata!B242))), 1),"0123456789abcdefghijklmnopqrstuvwxyzABCDEFGHIJKLMNOPQRSTUVWXYZ.")))))</f>
        <v>0</v>
      </c>
      <c r="AE242" t="b">
        <f>OR(AND(IF(metadata!C242="",FALSE,TRUE),OR(EXACT(metadata!C242,"not applicable"),EXACT(metadata!C242,"missing: not collected"),EXACT(metadata!C242,"missing: not provided"),EXACT(metadata!C242,"missing: restricted access"))),AND(IF(metadata!C242="",FALSE,ISNUMBER(VALUE(metadata!C242))),metadata!C242&gt;0))</f>
        <v>0</v>
      </c>
      <c r="AF242" t="b">
        <f>AND(IF(metadata!D242="",FALSE,TRUE),EXACT(metadata!D242,"missing: not provided"))</f>
        <v>0</v>
      </c>
      <c r="AG242" t="b">
        <f>AND(IF(metadata!E242="",FALSE,TRUE),EXACT(metadata!E242,"Host-associated"))</f>
        <v>0</v>
      </c>
      <c r="AH242" t="b">
        <f>AND(IF(metadata!F242="",FALSE,TRUE),OR(EXACT(metadata!F242,"Animal"),EXACT(metadata!F242,"Fungus"),EXACT(metadata!F242,"Plant")))</f>
        <v>0</v>
      </c>
      <c r="AI242" t="b">
        <f>AND(IF(metadata!G242="",FALSE,TRUE),OR(EXACT(metadata!G242,"Plant secretion"),EXACT(metadata!G242,"Plant rhizosphere"),EXACT(metadata!G242,"Plant surface"),EXACT(metadata!G242,"Plant corpus"),EXACT(metadata!G242,"Fungus surface"),EXACT(metadata!G242,"Fungus corpus"),EXACT(metadata!G242,"Animal surface"),EXACT(metadata!G242,"Animal proximal gut"),EXACT(metadata!G242,"Animal corpus"),EXACT(metadata!G242,"Animal distal gut"),EXACT(metadata!G242,"Animal secretion")))</f>
        <v>0</v>
      </c>
      <c r="AJ242" t="b">
        <f>OR(AND(IF(metadata!H242="",FALSE,TRUE),OR(EXACT(metadata!H242,"missing: not collected"),EXACT(metadata!H242,"missing: not provided"),EXACT(metadata!H242,"missing: restricted access"))),AND(IF(metadata!H242="",FALSE,TRUE),OR(EXACT(metadata!H242,"organism-associated habitat"),EXACT(metadata!H242,"plant-associated habitat"),EXACT(metadata!H242,"animal-associated habitat"),EXACT(metadata!H242,"insecta-associated habitat"),EXACT(metadata!H242,"mammalia-associated habitat"),EXACT(metadata!H242,"human-associated habitat"),EXACT(metadata!H242,"livestock-associated habitat"))))</f>
        <v>0</v>
      </c>
      <c r="AK242" t="b">
        <f>AND(IF(metadata!I242="",FALSE,TRUE),EXACT(metadata!I242,"host-associated"))</f>
        <v>0</v>
      </c>
      <c r="AL242" t="b">
        <f>OR(AND(IF(metadata!J242="",FALSE,TRUE),OR(EXACT(metadata!J242,"not applicable"),EXACT(metadata!J242,"missing: not collected"),EXACT(metadata!J242,"missing: not provided"),EXACT(metadata!J242,"missing: restricted access"))),AND(IF(metadata!J242="",FALSE,ISNUMBER(VALUE(metadata!J242))),metadata!J242&gt;0))</f>
        <v>0</v>
      </c>
      <c r="AM242" t="b">
        <f>AND(IF(metadata!K242="",FALSE,TRUE),EXACT(metadata!K242,"missing: not provided"))</f>
        <v>0</v>
      </c>
      <c r="AN242" t="b">
        <f>IF(metadata!L242="",FALSE,TRUE)</f>
        <v>0</v>
      </c>
      <c r="AO242" t="b">
        <f>IF(metadata!M242="",FALSE,TRUE)</f>
        <v>0</v>
      </c>
      <c r="AP242" t="b">
        <f>OR(AND(IF(metadata!N242="",FALSE,TRUE),OR(EXACT(metadata!N242,"not applicable"),EXACT(metadata!N242,"missing: not collected"),EXACT(metadata!N242,"missing: not provided"))),AND(IF(metadata!N242="",FALSE,IF(ISERROR(INT(metadata!N242)),FALSE,INT(metadata!N242)=metadata!N242)),metadata!N242&gt;0))</f>
        <v>0</v>
      </c>
      <c r="AQ242" t="b">
        <f>AND(IF(metadata!O242="",FALSE,TRUE),EXACT(metadata!O242,"Not applicable"))</f>
        <v>0</v>
      </c>
      <c r="AR242" t="b">
        <f>OR(AND(IF(metadata!P242="",FALSE,TRUE),OR(EXACT(metadata!P242,"not applicable"),EXACT(metadata!P242,"missing: not collected"),EXACT(metadata!P242,"missing: not provided"),EXACT(metadata!P242,"missing: restricted access"))),IF(metadata!P242="",FALSE,IF(ISERROR(INT(metadata!P242)),FALSE,INT(metadata!P242)=metadata!P242)))</f>
        <v>0</v>
      </c>
      <c r="AS242" t="b">
        <f>AND(IF(metadata!Q242="",FALSE,TRUE),EXACT(metadata!Q242,"Not applicable"))</f>
        <v>0</v>
      </c>
      <c r="AT242" t="b">
        <f>OR(AND(IF(metadata!R242="",FALSE,TRUE),OR(EXACT(metadata!R242,"not applicable"),EXACT(metadata!R242,"missing: not collected"),EXACT(metadata!R242,"missing: not provided"),EXACT(metadata!R242,"missing: restricted access"))),AND(IF(metadata!R242="",FALSE,ISNUMBER(VALUE(metadata!R242))),metadata!R242&gt;0))</f>
        <v>0</v>
      </c>
      <c r="AU242" t="b">
        <f>AND(IF(metadata!S242="",FALSE,TRUE),EXACT(metadata!S242,"missing: not provided"))</f>
        <v>0</v>
      </c>
    </row>
    <row r="243" spans="1:47" x14ac:dyDescent="0.2">
      <c r="A243" s="5" t="str">
        <f ca="1">IF(B243=" "," ",HYPERLINK(CONCATENATE("#metadata!",ADDRESS(INDEX($Y$2:$Y$1001,MATCH(ROWS($W$2:W243),$W$2:$W$1001,0),0),1)),INDEX($AB$2:$AB$1001,MATCH(ROWS($W$2:W243),$W$2:$W$1001,0),0)))</f>
        <v xml:space="preserve"> </v>
      </c>
      <c r="B243" s="4" t="str">
        <f ca="1">IF(OR(INDEX($X$2:$X$1001,MATCH(ROWS($W$2:W243),$W$2:$W$1001,0),1)&gt;=100000,INDEX($AD$1005:$AU$1005,1,MATCH(COLUMNS($AD$1006:AD1006),$AD$1006:$AU$1006,0))&gt;=100000), " ",IF(INDEX($AD$2:$AU$1001,MATCH(ROWS($W$2:W243),$W$2:$W$1001,0),MATCH(COLUMNS($AD$1006:AD1006),$AD$1006:$AU$1006,0)), HYPERLINK("#",""), HYPERLINK(CONCATENATE("#metadata!", ADDRESS(INDEX($Y$2:$Y$1001,MATCH(ROWS($W$2:W243),$W$2:$W$1001,0),0), INDEX($AD$1004:$AU$1004,1,MATCH(COLUMNS($AD$1006:AD1006),$AD$1006:$AU$1006,0)))),"Fix")))</f>
        <v xml:space="preserve"> </v>
      </c>
      <c r="C243" s="4" t="str">
        <f ca="1">IF(OR(INDEX($X$2:$X$1001,MATCH(ROWS($W$2:W243),$W$2:$W$1001,0),1)&gt;=100000,INDEX($AD$1005:$AU$1005,1,MATCH(COLUMNS($AD$1006:AE1006),$AD$1006:$AU$1006,0))&gt;=100000), " ",IF(INDEX($AD$2:$AU$1001,MATCH(ROWS($W$2:W243),$W$2:$W$1001,0),MATCH(COLUMNS($AD$1006:AE1006),$AD$1006:$AU$1006,0)), HYPERLINK("#",""), HYPERLINK(CONCATENATE("#metadata!", ADDRESS(INDEX($Y$2:$Y$1001,MATCH(ROWS($W$2:W243),$W$2:$W$1001,0),0), INDEX($AD$1004:$AU$1004,1,MATCH(COLUMNS($AD$1006:AE1006),$AD$1006:$AU$1006,0)))),"Fix")))</f>
        <v xml:space="preserve"> </v>
      </c>
      <c r="D243" s="4" t="str">
        <f ca="1">IF(OR(INDEX($X$2:$X$1001,MATCH(ROWS($W$2:W243),$W$2:$W$1001,0),1)&gt;=100000,INDEX($AD$1005:$AU$1005,1,MATCH(COLUMNS($AD$1006:AF1006),$AD$1006:$AU$1006,0))&gt;=100000), " ",IF(INDEX($AD$2:$AU$1001,MATCH(ROWS($W$2:W243),$W$2:$W$1001,0),MATCH(COLUMNS($AD$1006:AF1006),$AD$1006:$AU$1006,0)), HYPERLINK("#",""), HYPERLINK(CONCATENATE("#metadata!", ADDRESS(INDEX($Y$2:$Y$1001,MATCH(ROWS($W$2:W243),$W$2:$W$1001,0),0), INDEX($AD$1004:$AU$1004,1,MATCH(COLUMNS($AD$1006:AF1006),$AD$1006:$AU$1006,0)))),"Fix")))</f>
        <v xml:space="preserve"> </v>
      </c>
      <c r="E243" s="4" t="str">
        <f ca="1">IF(OR(INDEX($X$2:$X$1001,MATCH(ROWS($W$2:W243),$W$2:$W$1001,0),1)&gt;=100000,INDEX($AD$1005:$AU$1005,1,MATCH(COLUMNS($AD$1006:AG1006),$AD$1006:$AU$1006,0))&gt;=100000), " ",IF(INDEX($AD$2:$AU$1001,MATCH(ROWS($W$2:W243),$W$2:$W$1001,0),MATCH(COLUMNS($AD$1006:AG1006),$AD$1006:$AU$1006,0)), HYPERLINK("#",""), HYPERLINK(CONCATENATE("#metadata!", ADDRESS(INDEX($Y$2:$Y$1001,MATCH(ROWS($W$2:W243),$W$2:$W$1001,0),0), INDEX($AD$1004:$AU$1004,1,MATCH(COLUMNS($AD$1006:AG1006),$AD$1006:$AU$1006,0)))),"Fix")))</f>
        <v xml:space="preserve"> </v>
      </c>
      <c r="F243" s="4" t="str">
        <f ca="1">IF(OR(INDEX($X$2:$X$1001,MATCH(ROWS($W$2:W243),$W$2:$W$1001,0),1)&gt;=100000,INDEX($AD$1005:$AU$1005,1,MATCH(COLUMNS($AD$1006:AH1006),$AD$1006:$AU$1006,0))&gt;=100000), " ",IF(INDEX($AD$2:$AU$1001,MATCH(ROWS($W$2:W243),$W$2:$W$1001,0),MATCH(COLUMNS($AD$1006:AH1006),$AD$1006:$AU$1006,0)), HYPERLINK("#",""), HYPERLINK(CONCATENATE("#metadata!", ADDRESS(INDEX($Y$2:$Y$1001,MATCH(ROWS($W$2:W243),$W$2:$W$1001,0),0), INDEX($AD$1004:$AU$1004,1,MATCH(COLUMNS($AD$1006:AH1006),$AD$1006:$AU$1006,0)))),"Fix")))</f>
        <v xml:space="preserve"> </v>
      </c>
      <c r="G243" s="4" t="str">
        <f ca="1">IF(OR(INDEX($X$2:$X$1001,MATCH(ROWS($W$2:W243),$W$2:$W$1001,0),1)&gt;=100000,INDEX($AD$1005:$AU$1005,1,MATCH(COLUMNS($AD$1006:AI1006),$AD$1006:$AU$1006,0))&gt;=100000), " ",IF(INDEX($AD$2:$AU$1001,MATCH(ROWS($W$2:W243),$W$2:$W$1001,0),MATCH(COLUMNS($AD$1006:AI1006),$AD$1006:$AU$1006,0)), HYPERLINK("#",""), HYPERLINK(CONCATENATE("#metadata!", ADDRESS(INDEX($Y$2:$Y$1001,MATCH(ROWS($W$2:W243),$W$2:$W$1001,0),0), INDEX($AD$1004:$AU$1004,1,MATCH(COLUMNS($AD$1006:AI1006),$AD$1006:$AU$1006,0)))),"Fix")))</f>
        <v xml:space="preserve"> </v>
      </c>
      <c r="H243" s="4" t="str">
        <f ca="1">IF(OR(INDEX($X$2:$X$1001,MATCH(ROWS($W$2:W243),$W$2:$W$1001,0),1)&gt;=100000,INDEX($AD$1005:$AU$1005,1,MATCH(COLUMNS($AD$1006:AJ1006),$AD$1006:$AU$1006,0))&gt;=100000), " ",IF(INDEX($AD$2:$AU$1001,MATCH(ROWS($W$2:W243),$W$2:$W$1001,0),MATCH(COLUMNS($AD$1006:AJ1006),$AD$1006:$AU$1006,0)), HYPERLINK("#",""), HYPERLINK(CONCATENATE("#metadata!", ADDRESS(INDEX($Y$2:$Y$1001,MATCH(ROWS($W$2:W243),$W$2:$W$1001,0),0), INDEX($AD$1004:$AU$1004,1,MATCH(COLUMNS($AD$1006:AJ1006),$AD$1006:$AU$1006,0)))),"Fix")))</f>
        <v xml:space="preserve"> </v>
      </c>
      <c r="I243" s="4" t="str">
        <f ca="1">IF(OR(INDEX($X$2:$X$1001,MATCH(ROWS($W$2:W243),$W$2:$W$1001,0),1)&gt;=100000,INDEX($AD$1005:$AU$1005,1,MATCH(COLUMNS($AD$1006:AK1006),$AD$1006:$AU$1006,0))&gt;=100000), " ",IF(INDEX($AD$2:$AU$1001,MATCH(ROWS($W$2:W243),$W$2:$W$1001,0),MATCH(COLUMNS($AD$1006:AK1006),$AD$1006:$AU$1006,0)), HYPERLINK("#",""), HYPERLINK(CONCATENATE("#metadata!", ADDRESS(INDEX($Y$2:$Y$1001,MATCH(ROWS($W$2:W243),$W$2:$W$1001,0),0), INDEX($AD$1004:$AU$1004,1,MATCH(COLUMNS($AD$1006:AK1006),$AD$1006:$AU$1006,0)))),"Fix")))</f>
        <v xml:space="preserve"> </v>
      </c>
      <c r="J243" s="4" t="str">
        <f ca="1">IF(OR(INDEX($X$2:$X$1001,MATCH(ROWS($W$2:W243),$W$2:$W$1001,0),1)&gt;=100000,INDEX($AD$1005:$AU$1005,1,MATCH(COLUMNS($AD$1006:AL1006),$AD$1006:$AU$1006,0))&gt;=100000), " ",IF(INDEX($AD$2:$AU$1001,MATCH(ROWS($W$2:W243),$W$2:$W$1001,0),MATCH(COLUMNS($AD$1006:AL1006),$AD$1006:$AU$1006,0)), HYPERLINK("#",""), HYPERLINK(CONCATENATE("#metadata!", ADDRESS(INDEX($Y$2:$Y$1001,MATCH(ROWS($W$2:W243),$W$2:$W$1001,0),0), INDEX($AD$1004:$AU$1004,1,MATCH(COLUMNS($AD$1006:AL1006),$AD$1006:$AU$1006,0)))),"Fix")))</f>
        <v xml:space="preserve"> </v>
      </c>
      <c r="K243" s="4" t="str">
        <f ca="1">IF(OR(INDEX($X$2:$X$1001,MATCH(ROWS($W$2:W243),$W$2:$W$1001,0),1)&gt;=100000,INDEX($AD$1005:$AU$1005,1,MATCH(COLUMNS($AD$1006:AM1006),$AD$1006:$AU$1006,0))&gt;=100000), " ",IF(INDEX($AD$2:$AU$1001,MATCH(ROWS($W$2:W243),$W$2:$W$1001,0),MATCH(COLUMNS($AD$1006:AM1006),$AD$1006:$AU$1006,0)), HYPERLINK("#",""), HYPERLINK(CONCATENATE("#metadata!", ADDRESS(INDEX($Y$2:$Y$1001,MATCH(ROWS($W$2:W243),$W$2:$W$1001,0),0), INDEX($AD$1004:$AU$1004,1,MATCH(COLUMNS($AD$1006:AM1006),$AD$1006:$AU$1006,0)))),"Fix")))</f>
        <v xml:space="preserve"> </v>
      </c>
      <c r="L243" s="4" t="str">
        <f ca="1">IF(OR(INDEX($X$2:$X$1001,MATCH(ROWS($W$2:W243),$W$2:$W$1001,0),1)&gt;=100000,INDEX($AD$1005:$AU$1005,1,MATCH(COLUMNS($AD$1006:AN1006),$AD$1006:$AU$1006,0))&gt;=100000), " ",IF(INDEX($AD$2:$AU$1001,MATCH(ROWS($W$2:W243),$W$2:$W$1001,0),MATCH(COLUMNS($AD$1006:AN1006),$AD$1006:$AU$1006,0)), HYPERLINK("#",""), HYPERLINK(CONCATENATE("#metadata!", ADDRESS(INDEX($Y$2:$Y$1001,MATCH(ROWS($W$2:W243),$W$2:$W$1001,0),0), INDEX($AD$1004:$AU$1004,1,MATCH(COLUMNS($AD$1006:AN1006),$AD$1006:$AU$1006,0)))),"Fix")))</f>
        <v xml:space="preserve"> </v>
      </c>
      <c r="M243" s="4" t="str">
        <f ca="1">IF(OR(INDEX($X$2:$X$1001,MATCH(ROWS($W$2:W243),$W$2:$W$1001,0),1)&gt;=100000,INDEX($AD$1005:$AU$1005,1,MATCH(COLUMNS($AD$1006:AO1006),$AD$1006:$AU$1006,0))&gt;=100000), " ",IF(INDEX($AD$2:$AU$1001,MATCH(ROWS($W$2:W243),$W$2:$W$1001,0),MATCH(COLUMNS($AD$1006:AO1006),$AD$1006:$AU$1006,0)), HYPERLINK("#",""), HYPERLINK(CONCATENATE("#metadata!", ADDRESS(INDEX($Y$2:$Y$1001,MATCH(ROWS($W$2:W243),$W$2:$W$1001,0),0), INDEX($AD$1004:$AU$1004,1,MATCH(COLUMNS($AD$1006:AO1006),$AD$1006:$AU$1006,0)))),"Fix")))</f>
        <v xml:space="preserve"> </v>
      </c>
      <c r="N243" s="4" t="str">
        <f ca="1">IF(OR(INDEX($X$2:$X$1001,MATCH(ROWS($W$2:W243),$W$2:$W$1001,0),1)&gt;=100000,INDEX($AD$1005:$AU$1005,1,MATCH(COLUMNS($AD$1006:AP1006),$AD$1006:$AU$1006,0))&gt;=100000), " ",IF(INDEX($AD$2:$AU$1001,MATCH(ROWS($W$2:W243),$W$2:$W$1001,0),MATCH(COLUMNS($AD$1006:AP1006),$AD$1006:$AU$1006,0)), HYPERLINK("#",""), HYPERLINK(CONCATENATE("#metadata!", ADDRESS(INDEX($Y$2:$Y$1001,MATCH(ROWS($W$2:W243),$W$2:$W$1001,0),0), INDEX($AD$1004:$AU$1004,1,MATCH(COLUMNS($AD$1006:AP1006),$AD$1006:$AU$1006,0)))),"Fix")))</f>
        <v xml:space="preserve"> </v>
      </c>
      <c r="O243" s="4" t="str">
        <f ca="1">IF(OR(INDEX($X$2:$X$1001,MATCH(ROWS($W$2:W243),$W$2:$W$1001,0),1)&gt;=100000,INDEX($AD$1005:$AU$1005,1,MATCH(COLUMNS($AD$1006:AQ1006),$AD$1006:$AU$1006,0))&gt;=100000), " ",IF(INDEX($AD$2:$AU$1001,MATCH(ROWS($W$2:W243),$W$2:$W$1001,0),MATCH(COLUMNS($AD$1006:AQ1006),$AD$1006:$AU$1006,0)), HYPERLINK("#",""), HYPERLINK(CONCATENATE("#metadata!", ADDRESS(INDEX($Y$2:$Y$1001,MATCH(ROWS($W$2:W243),$W$2:$W$1001,0),0), INDEX($AD$1004:$AU$1004,1,MATCH(COLUMNS($AD$1006:AQ1006),$AD$1006:$AU$1006,0)))),"Fix")))</f>
        <v xml:space="preserve"> </v>
      </c>
      <c r="P243" s="4" t="str">
        <f ca="1">IF(OR(INDEX($X$2:$X$1001,MATCH(ROWS($W$2:W243),$W$2:$W$1001,0),1)&gt;=100000,INDEX($AD$1005:$AU$1005,1,MATCH(COLUMNS($AD$1006:AR1006),$AD$1006:$AU$1006,0))&gt;=100000), " ",IF(INDEX($AD$2:$AU$1001,MATCH(ROWS($W$2:W243),$W$2:$W$1001,0),MATCH(COLUMNS($AD$1006:AR1006),$AD$1006:$AU$1006,0)), HYPERLINK("#",""), HYPERLINK(CONCATENATE("#metadata!", ADDRESS(INDEX($Y$2:$Y$1001,MATCH(ROWS($W$2:W243),$W$2:$W$1001,0),0), INDEX($AD$1004:$AU$1004,1,MATCH(COLUMNS($AD$1006:AR1006),$AD$1006:$AU$1006,0)))),"Fix")))</f>
        <v xml:space="preserve"> </v>
      </c>
      <c r="Q243" s="4" t="str">
        <f ca="1">IF(OR(INDEX($X$2:$X$1001,MATCH(ROWS($W$2:W243),$W$2:$W$1001,0),1)&gt;=100000,INDEX($AD$1005:$AU$1005,1,MATCH(COLUMNS($AD$1006:AS1006),$AD$1006:$AU$1006,0))&gt;=100000), " ",IF(INDEX($AD$2:$AU$1001,MATCH(ROWS($W$2:W243),$W$2:$W$1001,0),MATCH(COLUMNS($AD$1006:AS1006),$AD$1006:$AU$1006,0)), HYPERLINK("#",""), HYPERLINK(CONCATENATE("#metadata!", ADDRESS(INDEX($Y$2:$Y$1001,MATCH(ROWS($W$2:W243),$W$2:$W$1001,0),0), INDEX($AD$1004:$AU$1004,1,MATCH(COLUMNS($AD$1006:AS1006),$AD$1006:$AU$1006,0)))),"Fix")))</f>
        <v xml:space="preserve"> </v>
      </c>
      <c r="R243" s="4" t="str">
        <f ca="1">IF(OR(INDEX($X$2:$X$1001,MATCH(ROWS($W$2:W243),$W$2:$W$1001,0),1)&gt;=100000,INDEX($AD$1005:$AU$1005,1,MATCH(COLUMNS($AD$1006:AT1006),$AD$1006:$AU$1006,0))&gt;=100000), " ",IF(INDEX($AD$2:$AU$1001,MATCH(ROWS($W$2:W243),$W$2:$W$1001,0),MATCH(COLUMNS($AD$1006:AT1006),$AD$1006:$AU$1006,0)), HYPERLINK("#",""), HYPERLINK(CONCATENATE("#metadata!", ADDRESS(INDEX($Y$2:$Y$1001,MATCH(ROWS($W$2:W243),$W$2:$W$1001,0),0), INDEX($AD$1004:$AU$1004,1,MATCH(COLUMNS($AD$1006:AT1006),$AD$1006:$AU$1006,0)))),"Fix")))</f>
        <v xml:space="preserve"> </v>
      </c>
      <c r="S243" s="4" t="str">
        <f ca="1">IF(OR(INDEX($X$2:$X$1001,MATCH(ROWS($W$2:W243),$W$2:$W$1001,0),1)&gt;=100000,INDEX($AD$1005:$AU$1005,1,MATCH(COLUMNS($AD$1006:AU1006),$AD$1006:$AU$1006,0))&gt;=100000), " ",IF(INDEX($AD$2:$AU$1001,MATCH(ROWS($W$2:W243),$W$2:$W$1001,0),MATCH(COLUMNS($AD$1006:AU1006),$AD$1006:$AU$1006,0)), HYPERLINK("#",""), HYPERLINK(CONCATENATE("#metadata!", ADDRESS(INDEX($Y$2:$Y$1001,MATCH(ROWS($W$2:W243),$W$2:$W$1001,0),0), INDEX($AD$1004:$AU$1004,1,MATCH(COLUMNS($AD$1006:AU1006),$AD$1006:$AU$1006,0)))),"Fix")))</f>
        <v xml:space="preserve"> </v>
      </c>
      <c r="W243">
        <v>242</v>
      </c>
      <c r="X243">
        <v>100243</v>
      </c>
      <c r="Y243">
        <v>243</v>
      </c>
      <c r="Z243" t="b">
        <f t="shared" si="3"/>
        <v>1</v>
      </c>
      <c r="AA243" t="b">
        <f>COUNTBLANK(metadata!B243:S243)=COLUMNS(metadata!B243:S243)</f>
        <v>1</v>
      </c>
      <c r="AB243" t="str">
        <v/>
      </c>
      <c r="AD243" t="b">
        <f ca="1">AND(IF(metadata!B243="",FALSE,TRUE),COUNTIF(metadata!B:B, metadata!B243) = 1,NOT(ISERROR(SUMPRODUCT(SEARCH(MID(metadata!B243,ROW(INDIRECT("1:"&amp;LEN(metadata!B243))), 1),"0123456789abcdefghijklmnopqrstuvwxyzABCDEFGHIJKLMNOPQRSTUVWXYZ.")))))</f>
        <v>0</v>
      </c>
      <c r="AE243" t="b">
        <f>OR(AND(IF(metadata!C243="",FALSE,TRUE),OR(EXACT(metadata!C243,"not applicable"),EXACT(metadata!C243,"missing: not collected"),EXACT(metadata!C243,"missing: not provided"),EXACT(metadata!C243,"missing: restricted access"))),AND(IF(metadata!C243="",FALSE,ISNUMBER(VALUE(metadata!C243))),metadata!C243&gt;0))</f>
        <v>0</v>
      </c>
      <c r="AF243" t="b">
        <f>AND(IF(metadata!D243="",FALSE,TRUE),EXACT(metadata!D243,"missing: not provided"))</f>
        <v>0</v>
      </c>
      <c r="AG243" t="b">
        <f>AND(IF(metadata!E243="",FALSE,TRUE),EXACT(metadata!E243,"Host-associated"))</f>
        <v>0</v>
      </c>
      <c r="AH243" t="b">
        <f>AND(IF(metadata!F243="",FALSE,TRUE),OR(EXACT(metadata!F243,"Animal"),EXACT(metadata!F243,"Fungus"),EXACT(metadata!F243,"Plant")))</f>
        <v>0</v>
      </c>
      <c r="AI243" t="b">
        <f>AND(IF(metadata!G243="",FALSE,TRUE),OR(EXACT(metadata!G243,"Plant secretion"),EXACT(metadata!G243,"Plant rhizosphere"),EXACT(metadata!G243,"Plant surface"),EXACT(metadata!G243,"Plant corpus"),EXACT(metadata!G243,"Fungus surface"),EXACT(metadata!G243,"Fungus corpus"),EXACT(metadata!G243,"Animal surface"),EXACT(metadata!G243,"Animal proximal gut"),EXACT(metadata!G243,"Animal corpus"),EXACT(metadata!G243,"Animal distal gut"),EXACT(metadata!G243,"Animal secretion")))</f>
        <v>0</v>
      </c>
      <c r="AJ243" t="b">
        <f>OR(AND(IF(metadata!H243="",FALSE,TRUE),OR(EXACT(metadata!H243,"missing: not collected"),EXACT(metadata!H243,"missing: not provided"),EXACT(metadata!H243,"missing: restricted access"))),AND(IF(metadata!H243="",FALSE,TRUE),OR(EXACT(metadata!H243,"organism-associated habitat"),EXACT(metadata!H243,"plant-associated habitat"),EXACT(metadata!H243,"animal-associated habitat"),EXACT(metadata!H243,"insecta-associated habitat"),EXACT(metadata!H243,"mammalia-associated habitat"),EXACT(metadata!H243,"human-associated habitat"),EXACT(metadata!H243,"livestock-associated habitat"))))</f>
        <v>0</v>
      </c>
      <c r="AK243" t="b">
        <f>AND(IF(metadata!I243="",FALSE,TRUE),EXACT(metadata!I243,"host-associated"))</f>
        <v>0</v>
      </c>
      <c r="AL243" t="b">
        <f>OR(AND(IF(metadata!J243="",FALSE,TRUE),OR(EXACT(metadata!J243,"not applicable"),EXACT(metadata!J243,"missing: not collected"),EXACT(metadata!J243,"missing: not provided"),EXACT(metadata!J243,"missing: restricted access"))),AND(IF(metadata!J243="",FALSE,ISNUMBER(VALUE(metadata!J243))),metadata!J243&gt;0))</f>
        <v>0</v>
      </c>
      <c r="AM243" t="b">
        <f>AND(IF(metadata!K243="",FALSE,TRUE),EXACT(metadata!K243,"missing: not provided"))</f>
        <v>0</v>
      </c>
      <c r="AN243" t="b">
        <f>IF(metadata!L243="",FALSE,TRUE)</f>
        <v>0</v>
      </c>
      <c r="AO243" t="b">
        <f>IF(metadata!M243="",FALSE,TRUE)</f>
        <v>0</v>
      </c>
      <c r="AP243" t="b">
        <f>OR(AND(IF(metadata!N243="",FALSE,TRUE),OR(EXACT(metadata!N243,"not applicable"),EXACT(metadata!N243,"missing: not collected"),EXACT(metadata!N243,"missing: not provided"))),AND(IF(metadata!N243="",FALSE,IF(ISERROR(INT(metadata!N243)),FALSE,INT(metadata!N243)=metadata!N243)),metadata!N243&gt;0))</f>
        <v>0</v>
      </c>
      <c r="AQ243" t="b">
        <f>AND(IF(metadata!O243="",FALSE,TRUE),EXACT(metadata!O243,"Not applicable"))</f>
        <v>0</v>
      </c>
      <c r="AR243" t="b">
        <f>OR(AND(IF(metadata!P243="",FALSE,TRUE),OR(EXACT(metadata!P243,"not applicable"),EXACT(metadata!P243,"missing: not collected"),EXACT(metadata!P243,"missing: not provided"),EXACT(metadata!P243,"missing: restricted access"))),IF(metadata!P243="",FALSE,IF(ISERROR(INT(metadata!P243)),FALSE,INT(metadata!P243)=metadata!P243)))</f>
        <v>0</v>
      </c>
      <c r="AS243" t="b">
        <f>AND(IF(metadata!Q243="",FALSE,TRUE),EXACT(metadata!Q243,"Not applicable"))</f>
        <v>0</v>
      </c>
      <c r="AT243" t="b">
        <f>OR(AND(IF(metadata!R243="",FALSE,TRUE),OR(EXACT(metadata!R243,"not applicable"),EXACT(metadata!R243,"missing: not collected"),EXACT(metadata!R243,"missing: not provided"),EXACT(metadata!R243,"missing: restricted access"))),AND(IF(metadata!R243="",FALSE,ISNUMBER(VALUE(metadata!R243))),metadata!R243&gt;0))</f>
        <v>0</v>
      </c>
      <c r="AU243" t="b">
        <f>AND(IF(metadata!S243="",FALSE,TRUE),EXACT(metadata!S243,"missing: not provided"))</f>
        <v>0</v>
      </c>
    </row>
    <row r="244" spans="1:47" x14ac:dyDescent="0.2">
      <c r="A244" s="5" t="str">
        <f ca="1">IF(B244=" "," ",HYPERLINK(CONCATENATE("#metadata!",ADDRESS(INDEX($Y$2:$Y$1001,MATCH(ROWS($W$2:W244),$W$2:$W$1001,0),0),1)),INDEX($AB$2:$AB$1001,MATCH(ROWS($W$2:W244),$W$2:$W$1001,0),0)))</f>
        <v xml:space="preserve"> </v>
      </c>
      <c r="B244" s="4" t="str">
        <f ca="1">IF(OR(INDEX($X$2:$X$1001,MATCH(ROWS($W$2:W244),$W$2:$W$1001,0),1)&gt;=100000,INDEX($AD$1005:$AU$1005,1,MATCH(COLUMNS($AD$1006:AD1006),$AD$1006:$AU$1006,0))&gt;=100000), " ",IF(INDEX($AD$2:$AU$1001,MATCH(ROWS($W$2:W244),$W$2:$W$1001,0),MATCH(COLUMNS($AD$1006:AD1006),$AD$1006:$AU$1006,0)), HYPERLINK("#",""), HYPERLINK(CONCATENATE("#metadata!", ADDRESS(INDEX($Y$2:$Y$1001,MATCH(ROWS($W$2:W244),$W$2:$W$1001,0),0), INDEX($AD$1004:$AU$1004,1,MATCH(COLUMNS($AD$1006:AD1006),$AD$1006:$AU$1006,0)))),"Fix")))</f>
        <v xml:space="preserve"> </v>
      </c>
      <c r="C244" s="4" t="str">
        <f ca="1">IF(OR(INDEX($X$2:$X$1001,MATCH(ROWS($W$2:W244),$W$2:$W$1001,0),1)&gt;=100000,INDEX($AD$1005:$AU$1005,1,MATCH(COLUMNS($AD$1006:AE1006),$AD$1006:$AU$1006,0))&gt;=100000), " ",IF(INDEX($AD$2:$AU$1001,MATCH(ROWS($W$2:W244),$W$2:$W$1001,0),MATCH(COLUMNS($AD$1006:AE1006),$AD$1006:$AU$1006,0)), HYPERLINK("#",""), HYPERLINK(CONCATENATE("#metadata!", ADDRESS(INDEX($Y$2:$Y$1001,MATCH(ROWS($W$2:W244),$W$2:$W$1001,0),0), INDEX($AD$1004:$AU$1004,1,MATCH(COLUMNS($AD$1006:AE1006),$AD$1006:$AU$1006,0)))),"Fix")))</f>
        <v xml:space="preserve"> </v>
      </c>
      <c r="D244" s="4" t="str">
        <f ca="1">IF(OR(INDEX($X$2:$X$1001,MATCH(ROWS($W$2:W244),$W$2:$W$1001,0),1)&gt;=100000,INDEX($AD$1005:$AU$1005,1,MATCH(COLUMNS($AD$1006:AF1006),$AD$1006:$AU$1006,0))&gt;=100000), " ",IF(INDEX($AD$2:$AU$1001,MATCH(ROWS($W$2:W244),$W$2:$W$1001,0),MATCH(COLUMNS($AD$1006:AF1006),$AD$1006:$AU$1006,0)), HYPERLINK("#",""), HYPERLINK(CONCATENATE("#metadata!", ADDRESS(INDEX($Y$2:$Y$1001,MATCH(ROWS($W$2:W244),$W$2:$W$1001,0),0), INDEX($AD$1004:$AU$1004,1,MATCH(COLUMNS($AD$1006:AF1006),$AD$1006:$AU$1006,0)))),"Fix")))</f>
        <v xml:space="preserve"> </v>
      </c>
      <c r="E244" s="4" t="str">
        <f ca="1">IF(OR(INDEX($X$2:$X$1001,MATCH(ROWS($W$2:W244),$W$2:$W$1001,0),1)&gt;=100000,INDEX($AD$1005:$AU$1005,1,MATCH(COLUMNS($AD$1006:AG1006),$AD$1006:$AU$1006,0))&gt;=100000), " ",IF(INDEX($AD$2:$AU$1001,MATCH(ROWS($W$2:W244),$W$2:$W$1001,0),MATCH(COLUMNS($AD$1006:AG1006),$AD$1006:$AU$1006,0)), HYPERLINK("#",""), HYPERLINK(CONCATENATE("#metadata!", ADDRESS(INDEX($Y$2:$Y$1001,MATCH(ROWS($W$2:W244),$W$2:$W$1001,0),0), INDEX($AD$1004:$AU$1004,1,MATCH(COLUMNS($AD$1006:AG1006),$AD$1006:$AU$1006,0)))),"Fix")))</f>
        <v xml:space="preserve"> </v>
      </c>
      <c r="F244" s="4" t="str">
        <f ca="1">IF(OR(INDEX($X$2:$X$1001,MATCH(ROWS($W$2:W244),$W$2:$W$1001,0),1)&gt;=100000,INDEX($AD$1005:$AU$1005,1,MATCH(COLUMNS($AD$1006:AH1006),$AD$1006:$AU$1006,0))&gt;=100000), " ",IF(INDEX($AD$2:$AU$1001,MATCH(ROWS($W$2:W244),$W$2:$W$1001,0),MATCH(COLUMNS($AD$1006:AH1006),$AD$1006:$AU$1006,0)), HYPERLINK("#",""), HYPERLINK(CONCATENATE("#metadata!", ADDRESS(INDEX($Y$2:$Y$1001,MATCH(ROWS($W$2:W244),$W$2:$W$1001,0),0), INDEX($AD$1004:$AU$1004,1,MATCH(COLUMNS($AD$1006:AH1006),$AD$1006:$AU$1006,0)))),"Fix")))</f>
        <v xml:space="preserve"> </v>
      </c>
      <c r="G244" s="4" t="str">
        <f ca="1">IF(OR(INDEX($X$2:$X$1001,MATCH(ROWS($W$2:W244),$W$2:$W$1001,0),1)&gt;=100000,INDEX($AD$1005:$AU$1005,1,MATCH(COLUMNS($AD$1006:AI1006),$AD$1006:$AU$1006,0))&gt;=100000), " ",IF(INDEX($AD$2:$AU$1001,MATCH(ROWS($W$2:W244),$W$2:$W$1001,0),MATCH(COLUMNS($AD$1006:AI1006),$AD$1006:$AU$1006,0)), HYPERLINK("#",""), HYPERLINK(CONCATENATE("#metadata!", ADDRESS(INDEX($Y$2:$Y$1001,MATCH(ROWS($W$2:W244),$W$2:$W$1001,0),0), INDEX($AD$1004:$AU$1004,1,MATCH(COLUMNS($AD$1006:AI1006),$AD$1006:$AU$1006,0)))),"Fix")))</f>
        <v xml:space="preserve"> </v>
      </c>
      <c r="H244" s="4" t="str">
        <f ca="1">IF(OR(INDEX($X$2:$X$1001,MATCH(ROWS($W$2:W244),$W$2:$W$1001,0),1)&gt;=100000,INDEX($AD$1005:$AU$1005,1,MATCH(COLUMNS($AD$1006:AJ1006),$AD$1006:$AU$1006,0))&gt;=100000), " ",IF(INDEX($AD$2:$AU$1001,MATCH(ROWS($W$2:W244),$W$2:$W$1001,0),MATCH(COLUMNS($AD$1006:AJ1006),$AD$1006:$AU$1006,0)), HYPERLINK("#",""), HYPERLINK(CONCATENATE("#metadata!", ADDRESS(INDEX($Y$2:$Y$1001,MATCH(ROWS($W$2:W244),$W$2:$W$1001,0),0), INDEX($AD$1004:$AU$1004,1,MATCH(COLUMNS($AD$1006:AJ1006),$AD$1006:$AU$1006,0)))),"Fix")))</f>
        <v xml:space="preserve"> </v>
      </c>
      <c r="I244" s="4" t="str">
        <f ca="1">IF(OR(INDEX($X$2:$X$1001,MATCH(ROWS($W$2:W244),$W$2:$W$1001,0),1)&gt;=100000,INDEX($AD$1005:$AU$1005,1,MATCH(COLUMNS($AD$1006:AK1006),$AD$1006:$AU$1006,0))&gt;=100000), " ",IF(INDEX($AD$2:$AU$1001,MATCH(ROWS($W$2:W244),$W$2:$W$1001,0),MATCH(COLUMNS($AD$1006:AK1006),$AD$1006:$AU$1006,0)), HYPERLINK("#",""), HYPERLINK(CONCATENATE("#metadata!", ADDRESS(INDEX($Y$2:$Y$1001,MATCH(ROWS($W$2:W244),$W$2:$W$1001,0),0), INDEX($AD$1004:$AU$1004,1,MATCH(COLUMNS($AD$1006:AK1006),$AD$1006:$AU$1006,0)))),"Fix")))</f>
        <v xml:space="preserve"> </v>
      </c>
      <c r="J244" s="4" t="str">
        <f ca="1">IF(OR(INDEX($X$2:$X$1001,MATCH(ROWS($W$2:W244),$W$2:$W$1001,0),1)&gt;=100000,INDEX($AD$1005:$AU$1005,1,MATCH(COLUMNS($AD$1006:AL1006),$AD$1006:$AU$1006,0))&gt;=100000), " ",IF(INDEX($AD$2:$AU$1001,MATCH(ROWS($W$2:W244),$W$2:$W$1001,0),MATCH(COLUMNS($AD$1006:AL1006),$AD$1006:$AU$1006,0)), HYPERLINK("#",""), HYPERLINK(CONCATENATE("#metadata!", ADDRESS(INDEX($Y$2:$Y$1001,MATCH(ROWS($W$2:W244),$W$2:$W$1001,0),0), INDEX($AD$1004:$AU$1004,1,MATCH(COLUMNS($AD$1006:AL1006),$AD$1006:$AU$1006,0)))),"Fix")))</f>
        <v xml:space="preserve"> </v>
      </c>
      <c r="K244" s="4" t="str">
        <f ca="1">IF(OR(INDEX($X$2:$X$1001,MATCH(ROWS($W$2:W244),$W$2:$W$1001,0),1)&gt;=100000,INDEX($AD$1005:$AU$1005,1,MATCH(COLUMNS($AD$1006:AM1006),$AD$1006:$AU$1006,0))&gt;=100000), " ",IF(INDEX($AD$2:$AU$1001,MATCH(ROWS($W$2:W244),$W$2:$W$1001,0),MATCH(COLUMNS($AD$1006:AM1006),$AD$1006:$AU$1006,0)), HYPERLINK("#",""), HYPERLINK(CONCATENATE("#metadata!", ADDRESS(INDEX($Y$2:$Y$1001,MATCH(ROWS($W$2:W244),$W$2:$W$1001,0),0), INDEX($AD$1004:$AU$1004,1,MATCH(COLUMNS($AD$1006:AM1006),$AD$1006:$AU$1006,0)))),"Fix")))</f>
        <v xml:space="preserve"> </v>
      </c>
      <c r="L244" s="4" t="str">
        <f ca="1">IF(OR(INDEX($X$2:$X$1001,MATCH(ROWS($W$2:W244),$W$2:$W$1001,0),1)&gt;=100000,INDEX($AD$1005:$AU$1005,1,MATCH(COLUMNS($AD$1006:AN1006),$AD$1006:$AU$1006,0))&gt;=100000), " ",IF(INDEX($AD$2:$AU$1001,MATCH(ROWS($W$2:W244),$W$2:$W$1001,0),MATCH(COLUMNS($AD$1006:AN1006),$AD$1006:$AU$1006,0)), HYPERLINK("#",""), HYPERLINK(CONCATENATE("#metadata!", ADDRESS(INDEX($Y$2:$Y$1001,MATCH(ROWS($W$2:W244),$W$2:$W$1001,0),0), INDEX($AD$1004:$AU$1004,1,MATCH(COLUMNS($AD$1006:AN1006),$AD$1006:$AU$1006,0)))),"Fix")))</f>
        <v xml:space="preserve"> </v>
      </c>
      <c r="M244" s="4" t="str">
        <f ca="1">IF(OR(INDEX($X$2:$X$1001,MATCH(ROWS($W$2:W244),$W$2:$W$1001,0),1)&gt;=100000,INDEX($AD$1005:$AU$1005,1,MATCH(COLUMNS($AD$1006:AO1006),$AD$1006:$AU$1006,0))&gt;=100000), " ",IF(INDEX($AD$2:$AU$1001,MATCH(ROWS($W$2:W244),$W$2:$W$1001,0),MATCH(COLUMNS($AD$1006:AO1006),$AD$1006:$AU$1006,0)), HYPERLINK("#",""), HYPERLINK(CONCATENATE("#metadata!", ADDRESS(INDEX($Y$2:$Y$1001,MATCH(ROWS($W$2:W244),$W$2:$W$1001,0),0), INDEX($AD$1004:$AU$1004,1,MATCH(COLUMNS($AD$1006:AO1006),$AD$1006:$AU$1006,0)))),"Fix")))</f>
        <v xml:space="preserve"> </v>
      </c>
      <c r="N244" s="4" t="str">
        <f ca="1">IF(OR(INDEX($X$2:$X$1001,MATCH(ROWS($W$2:W244),$W$2:$W$1001,0),1)&gt;=100000,INDEX($AD$1005:$AU$1005,1,MATCH(COLUMNS($AD$1006:AP1006),$AD$1006:$AU$1006,0))&gt;=100000), " ",IF(INDEX($AD$2:$AU$1001,MATCH(ROWS($W$2:W244),$W$2:$W$1001,0),MATCH(COLUMNS($AD$1006:AP1006),$AD$1006:$AU$1006,0)), HYPERLINK("#",""), HYPERLINK(CONCATENATE("#metadata!", ADDRESS(INDEX($Y$2:$Y$1001,MATCH(ROWS($W$2:W244),$W$2:$W$1001,0),0), INDEX($AD$1004:$AU$1004,1,MATCH(COLUMNS($AD$1006:AP1006),$AD$1006:$AU$1006,0)))),"Fix")))</f>
        <v xml:space="preserve"> </v>
      </c>
      <c r="O244" s="4" t="str">
        <f ca="1">IF(OR(INDEX($X$2:$X$1001,MATCH(ROWS($W$2:W244),$W$2:$W$1001,0),1)&gt;=100000,INDEX($AD$1005:$AU$1005,1,MATCH(COLUMNS($AD$1006:AQ1006),$AD$1006:$AU$1006,0))&gt;=100000), " ",IF(INDEX($AD$2:$AU$1001,MATCH(ROWS($W$2:W244),$W$2:$W$1001,0),MATCH(COLUMNS($AD$1006:AQ1006),$AD$1006:$AU$1006,0)), HYPERLINK("#",""), HYPERLINK(CONCATENATE("#metadata!", ADDRESS(INDEX($Y$2:$Y$1001,MATCH(ROWS($W$2:W244),$W$2:$W$1001,0),0), INDEX($AD$1004:$AU$1004,1,MATCH(COLUMNS($AD$1006:AQ1006),$AD$1006:$AU$1006,0)))),"Fix")))</f>
        <v xml:space="preserve"> </v>
      </c>
      <c r="P244" s="4" t="str">
        <f ca="1">IF(OR(INDEX($X$2:$X$1001,MATCH(ROWS($W$2:W244),$W$2:$W$1001,0),1)&gt;=100000,INDEX($AD$1005:$AU$1005,1,MATCH(COLUMNS($AD$1006:AR1006),$AD$1006:$AU$1006,0))&gt;=100000), " ",IF(INDEX($AD$2:$AU$1001,MATCH(ROWS($W$2:W244),$W$2:$W$1001,0),MATCH(COLUMNS($AD$1006:AR1006),$AD$1006:$AU$1006,0)), HYPERLINK("#",""), HYPERLINK(CONCATENATE("#metadata!", ADDRESS(INDEX($Y$2:$Y$1001,MATCH(ROWS($W$2:W244),$W$2:$W$1001,0),0), INDEX($AD$1004:$AU$1004,1,MATCH(COLUMNS($AD$1006:AR1006),$AD$1006:$AU$1006,0)))),"Fix")))</f>
        <v xml:space="preserve"> </v>
      </c>
      <c r="Q244" s="4" t="str">
        <f ca="1">IF(OR(INDEX($X$2:$X$1001,MATCH(ROWS($W$2:W244),$W$2:$W$1001,0),1)&gt;=100000,INDEX($AD$1005:$AU$1005,1,MATCH(COLUMNS($AD$1006:AS1006),$AD$1006:$AU$1006,0))&gt;=100000), " ",IF(INDEX($AD$2:$AU$1001,MATCH(ROWS($W$2:W244),$W$2:$W$1001,0),MATCH(COLUMNS($AD$1006:AS1006),$AD$1006:$AU$1006,0)), HYPERLINK("#",""), HYPERLINK(CONCATENATE("#metadata!", ADDRESS(INDEX($Y$2:$Y$1001,MATCH(ROWS($W$2:W244),$W$2:$W$1001,0),0), INDEX($AD$1004:$AU$1004,1,MATCH(COLUMNS($AD$1006:AS1006),$AD$1006:$AU$1006,0)))),"Fix")))</f>
        <v xml:space="preserve"> </v>
      </c>
      <c r="R244" s="4" t="str">
        <f ca="1">IF(OR(INDEX($X$2:$X$1001,MATCH(ROWS($W$2:W244),$W$2:$W$1001,0),1)&gt;=100000,INDEX($AD$1005:$AU$1005,1,MATCH(COLUMNS($AD$1006:AT1006),$AD$1006:$AU$1006,0))&gt;=100000), " ",IF(INDEX($AD$2:$AU$1001,MATCH(ROWS($W$2:W244),$W$2:$W$1001,0),MATCH(COLUMNS($AD$1006:AT1006),$AD$1006:$AU$1006,0)), HYPERLINK("#",""), HYPERLINK(CONCATENATE("#metadata!", ADDRESS(INDEX($Y$2:$Y$1001,MATCH(ROWS($W$2:W244),$W$2:$W$1001,0),0), INDEX($AD$1004:$AU$1004,1,MATCH(COLUMNS($AD$1006:AT1006),$AD$1006:$AU$1006,0)))),"Fix")))</f>
        <v xml:space="preserve"> </v>
      </c>
      <c r="S244" s="4" t="str">
        <f ca="1">IF(OR(INDEX($X$2:$X$1001,MATCH(ROWS($W$2:W244),$W$2:$W$1001,0),1)&gt;=100000,INDEX($AD$1005:$AU$1005,1,MATCH(COLUMNS($AD$1006:AU1006),$AD$1006:$AU$1006,0))&gt;=100000), " ",IF(INDEX($AD$2:$AU$1001,MATCH(ROWS($W$2:W244),$W$2:$W$1001,0),MATCH(COLUMNS($AD$1006:AU1006),$AD$1006:$AU$1006,0)), HYPERLINK("#",""), HYPERLINK(CONCATENATE("#metadata!", ADDRESS(INDEX($Y$2:$Y$1001,MATCH(ROWS($W$2:W244),$W$2:$W$1001,0),0), INDEX($AD$1004:$AU$1004,1,MATCH(COLUMNS($AD$1006:AU1006),$AD$1006:$AU$1006,0)))),"Fix")))</f>
        <v xml:space="preserve"> </v>
      </c>
      <c r="W244">
        <v>243</v>
      </c>
      <c r="X244">
        <v>100244</v>
      </c>
      <c r="Y244">
        <v>244</v>
      </c>
      <c r="Z244" t="b">
        <f t="shared" si="3"/>
        <v>1</v>
      </c>
      <c r="AA244" t="b">
        <f>COUNTBLANK(metadata!B244:S244)=COLUMNS(metadata!B244:S244)</f>
        <v>1</v>
      </c>
      <c r="AB244" t="str">
        <v/>
      </c>
      <c r="AD244" t="b">
        <f ca="1">AND(IF(metadata!B244="",FALSE,TRUE),COUNTIF(metadata!B:B, metadata!B244) = 1,NOT(ISERROR(SUMPRODUCT(SEARCH(MID(metadata!B244,ROW(INDIRECT("1:"&amp;LEN(metadata!B244))), 1),"0123456789abcdefghijklmnopqrstuvwxyzABCDEFGHIJKLMNOPQRSTUVWXYZ.")))))</f>
        <v>0</v>
      </c>
      <c r="AE244" t="b">
        <f>OR(AND(IF(metadata!C244="",FALSE,TRUE),OR(EXACT(metadata!C244,"not applicable"),EXACT(metadata!C244,"missing: not collected"),EXACT(metadata!C244,"missing: not provided"),EXACT(metadata!C244,"missing: restricted access"))),AND(IF(metadata!C244="",FALSE,ISNUMBER(VALUE(metadata!C244))),metadata!C244&gt;0))</f>
        <v>0</v>
      </c>
      <c r="AF244" t="b">
        <f>AND(IF(metadata!D244="",FALSE,TRUE),EXACT(metadata!D244,"missing: not provided"))</f>
        <v>0</v>
      </c>
      <c r="AG244" t="b">
        <f>AND(IF(metadata!E244="",FALSE,TRUE),EXACT(metadata!E244,"Host-associated"))</f>
        <v>0</v>
      </c>
      <c r="AH244" t="b">
        <f>AND(IF(metadata!F244="",FALSE,TRUE),OR(EXACT(metadata!F244,"Animal"),EXACT(metadata!F244,"Fungus"),EXACT(metadata!F244,"Plant")))</f>
        <v>0</v>
      </c>
      <c r="AI244" t="b">
        <f>AND(IF(metadata!G244="",FALSE,TRUE),OR(EXACT(metadata!G244,"Plant secretion"),EXACT(metadata!G244,"Plant rhizosphere"),EXACT(metadata!G244,"Plant surface"),EXACT(metadata!G244,"Plant corpus"),EXACT(metadata!G244,"Fungus surface"),EXACT(metadata!G244,"Fungus corpus"),EXACT(metadata!G244,"Animal surface"),EXACT(metadata!G244,"Animal proximal gut"),EXACT(metadata!G244,"Animal corpus"),EXACT(metadata!G244,"Animal distal gut"),EXACT(metadata!G244,"Animal secretion")))</f>
        <v>0</v>
      </c>
      <c r="AJ244" t="b">
        <f>OR(AND(IF(metadata!H244="",FALSE,TRUE),OR(EXACT(metadata!H244,"missing: not collected"),EXACT(metadata!H244,"missing: not provided"),EXACT(metadata!H244,"missing: restricted access"))),AND(IF(metadata!H244="",FALSE,TRUE),OR(EXACT(metadata!H244,"organism-associated habitat"),EXACT(metadata!H244,"plant-associated habitat"),EXACT(metadata!H244,"animal-associated habitat"),EXACT(metadata!H244,"insecta-associated habitat"),EXACT(metadata!H244,"mammalia-associated habitat"),EXACT(metadata!H244,"human-associated habitat"),EXACT(metadata!H244,"livestock-associated habitat"))))</f>
        <v>0</v>
      </c>
      <c r="AK244" t="b">
        <f>AND(IF(metadata!I244="",FALSE,TRUE),EXACT(metadata!I244,"host-associated"))</f>
        <v>0</v>
      </c>
      <c r="AL244" t="b">
        <f>OR(AND(IF(metadata!J244="",FALSE,TRUE),OR(EXACT(metadata!J244,"not applicable"),EXACT(metadata!J244,"missing: not collected"),EXACT(metadata!J244,"missing: not provided"),EXACT(metadata!J244,"missing: restricted access"))),AND(IF(metadata!J244="",FALSE,ISNUMBER(VALUE(metadata!J244))),metadata!J244&gt;0))</f>
        <v>0</v>
      </c>
      <c r="AM244" t="b">
        <f>AND(IF(metadata!K244="",FALSE,TRUE),EXACT(metadata!K244,"missing: not provided"))</f>
        <v>0</v>
      </c>
      <c r="AN244" t="b">
        <f>IF(metadata!L244="",FALSE,TRUE)</f>
        <v>0</v>
      </c>
      <c r="AO244" t="b">
        <f>IF(metadata!M244="",FALSE,TRUE)</f>
        <v>0</v>
      </c>
      <c r="AP244" t="b">
        <f>OR(AND(IF(metadata!N244="",FALSE,TRUE),OR(EXACT(metadata!N244,"not applicable"),EXACT(metadata!N244,"missing: not collected"),EXACT(metadata!N244,"missing: not provided"))),AND(IF(metadata!N244="",FALSE,IF(ISERROR(INT(metadata!N244)),FALSE,INT(metadata!N244)=metadata!N244)),metadata!N244&gt;0))</f>
        <v>0</v>
      </c>
      <c r="AQ244" t="b">
        <f>AND(IF(metadata!O244="",FALSE,TRUE),EXACT(metadata!O244,"Not applicable"))</f>
        <v>0</v>
      </c>
      <c r="AR244" t="b">
        <f>OR(AND(IF(metadata!P244="",FALSE,TRUE),OR(EXACT(metadata!P244,"not applicable"),EXACT(metadata!P244,"missing: not collected"),EXACT(metadata!P244,"missing: not provided"),EXACT(metadata!P244,"missing: restricted access"))),IF(metadata!P244="",FALSE,IF(ISERROR(INT(metadata!P244)),FALSE,INT(metadata!P244)=metadata!P244)))</f>
        <v>0</v>
      </c>
      <c r="AS244" t="b">
        <f>AND(IF(metadata!Q244="",FALSE,TRUE),EXACT(metadata!Q244,"Not applicable"))</f>
        <v>0</v>
      </c>
      <c r="AT244" t="b">
        <f>OR(AND(IF(metadata!R244="",FALSE,TRUE),OR(EXACT(metadata!R244,"not applicable"),EXACT(metadata!R244,"missing: not collected"),EXACT(metadata!R244,"missing: not provided"),EXACT(metadata!R244,"missing: restricted access"))),AND(IF(metadata!R244="",FALSE,ISNUMBER(VALUE(metadata!R244))),metadata!R244&gt;0))</f>
        <v>0</v>
      </c>
      <c r="AU244" t="b">
        <f>AND(IF(metadata!S244="",FALSE,TRUE),EXACT(metadata!S244,"missing: not provided"))</f>
        <v>0</v>
      </c>
    </row>
    <row r="245" spans="1:47" x14ac:dyDescent="0.2">
      <c r="A245" s="5" t="str">
        <f ca="1">IF(B245=" "," ",HYPERLINK(CONCATENATE("#metadata!",ADDRESS(INDEX($Y$2:$Y$1001,MATCH(ROWS($W$2:W245),$W$2:$W$1001,0),0),1)),INDEX($AB$2:$AB$1001,MATCH(ROWS($W$2:W245),$W$2:$W$1001,0),0)))</f>
        <v xml:space="preserve"> </v>
      </c>
      <c r="B245" s="4" t="str">
        <f ca="1">IF(OR(INDEX($X$2:$X$1001,MATCH(ROWS($W$2:W245),$W$2:$W$1001,0),1)&gt;=100000,INDEX($AD$1005:$AU$1005,1,MATCH(COLUMNS($AD$1006:AD1006),$AD$1006:$AU$1006,0))&gt;=100000), " ",IF(INDEX($AD$2:$AU$1001,MATCH(ROWS($W$2:W245),$W$2:$W$1001,0),MATCH(COLUMNS($AD$1006:AD1006),$AD$1006:$AU$1006,0)), HYPERLINK("#",""), HYPERLINK(CONCATENATE("#metadata!", ADDRESS(INDEX($Y$2:$Y$1001,MATCH(ROWS($W$2:W245),$W$2:$W$1001,0),0), INDEX($AD$1004:$AU$1004,1,MATCH(COLUMNS($AD$1006:AD1006),$AD$1006:$AU$1006,0)))),"Fix")))</f>
        <v xml:space="preserve"> </v>
      </c>
      <c r="C245" s="4" t="str">
        <f ca="1">IF(OR(INDEX($X$2:$X$1001,MATCH(ROWS($W$2:W245),$W$2:$W$1001,0),1)&gt;=100000,INDEX($AD$1005:$AU$1005,1,MATCH(COLUMNS($AD$1006:AE1006),$AD$1006:$AU$1006,0))&gt;=100000), " ",IF(INDEX($AD$2:$AU$1001,MATCH(ROWS($W$2:W245),$W$2:$W$1001,0),MATCH(COLUMNS($AD$1006:AE1006),$AD$1006:$AU$1006,0)), HYPERLINK("#",""), HYPERLINK(CONCATENATE("#metadata!", ADDRESS(INDEX($Y$2:$Y$1001,MATCH(ROWS($W$2:W245),$W$2:$W$1001,0),0), INDEX($AD$1004:$AU$1004,1,MATCH(COLUMNS($AD$1006:AE1006),$AD$1006:$AU$1006,0)))),"Fix")))</f>
        <v xml:space="preserve"> </v>
      </c>
      <c r="D245" s="4" t="str">
        <f ca="1">IF(OR(INDEX($X$2:$X$1001,MATCH(ROWS($W$2:W245),$W$2:$W$1001,0),1)&gt;=100000,INDEX($AD$1005:$AU$1005,1,MATCH(COLUMNS($AD$1006:AF1006),$AD$1006:$AU$1006,0))&gt;=100000), " ",IF(INDEX($AD$2:$AU$1001,MATCH(ROWS($W$2:W245),$W$2:$W$1001,0),MATCH(COLUMNS($AD$1006:AF1006),$AD$1006:$AU$1006,0)), HYPERLINK("#",""), HYPERLINK(CONCATENATE("#metadata!", ADDRESS(INDEX($Y$2:$Y$1001,MATCH(ROWS($W$2:W245),$W$2:$W$1001,0),0), INDEX($AD$1004:$AU$1004,1,MATCH(COLUMNS($AD$1006:AF1006),$AD$1006:$AU$1006,0)))),"Fix")))</f>
        <v xml:space="preserve"> </v>
      </c>
      <c r="E245" s="4" t="str">
        <f ca="1">IF(OR(INDEX($X$2:$X$1001,MATCH(ROWS($W$2:W245),$W$2:$W$1001,0),1)&gt;=100000,INDEX($AD$1005:$AU$1005,1,MATCH(COLUMNS($AD$1006:AG1006),$AD$1006:$AU$1006,0))&gt;=100000), " ",IF(INDEX($AD$2:$AU$1001,MATCH(ROWS($W$2:W245),$W$2:$W$1001,0),MATCH(COLUMNS($AD$1006:AG1006),$AD$1006:$AU$1006,0)), HYPERLINK("#",""), HYPERLINK(CONCATENATE("#metadata!", ADDRESS(INDEX($Y$2:$Y$1001,MATCH(ROWS($W$2:W245),$W$2:$W$1001,0),0), INDEX($AD$1004:$AU$1004,1,MATCH(COLUMNS($AD$1006:AG1006),$AD$1006:$AU$1006,0)))),"Fix")))</f>
        <v xml:space="preserve"> </v>
      </c>
      <c r="F245" s="4" t="str">
        <f ca="1">IF(OR(INDEX($X$2:$X$1001,MATCH(ROWS($W$2:W245),$W$2:$W$1001,0),1)&gt;=100000,INDEX($AD$1005:$AU$1005,1,MATCH(COLUMNS($AD$1006:AH1006),$AD$1006:$AU$1006,0))&gt;=100000), " ",IF(INDEX($AD$2:$AU$1001,MATCH(ROWS($W$2:W245),$W$2:$W$1001,0),MATCH(COLUMNS($AD$1006:AH1006),$AD$1006:$AU$1006,0)), HYPERLINK("#",""), HYPERLINK(CONCATENATE("#metadata!", ADDRESS(INDEX($Y$2:$Y$1001,MATCH(ROWS($W$2:W245),$W$2:$W$1001,0),0), INDEX($AD$1004:$AU$1004,1,MATCH(COLUMNS($AD$1006:AH1006),$AD$1006:$AU$1006,0)))),"Fix")))</f>
        <v xml:space="preserve"> </v>
      </c>
      <c r="G245" s="4" t="str">
        <f ca="1">IF(OR(INDEX($X$2:$X$1001,MATCH(ROWS($W$2:W245),$W$2:$W$1001,0),1)&gt;=100000,INDEX($AD$1005:$AU$1005,1,MATCH(COLUMNS($AD$1006:AI1006),$AD$1006:$AU$1006,0))&gt;=100000), " ",IF(INDEX($AD$2:$AU$1001,MATCH(ROWS($W$2:W245),$W$2:$W$1001,0),MATCH(COLUMNS($AD$1006:AI1006),$AD$1006:$AU$1006,0)), HYPERLINK("#",""), HYPERLINK(CONCATENATE("#metadata!", ADDRESS(INDEX($Y$2:$Y$1001,MATCH(ROWS($W$2:W245),$W$2:$W$1001,0),0), INDEX($AD$1004:$AU$1004,1,MATCH(COLUMNS($AD$1006:AI1006),$AD$1006:$AU$1006,0)))),"Fix")))</f>
        <v xml:space="preserve"> </v>
      </c>
      <c r="H245" s="4" t="str">
        <f ca="1">IF(OR(INDEX($X$2:$X$1001,MATCH(ROWS($W$2:W245),$W$2:$W$1001,0),1)&gt;=100000,INDEX($AD$1005:$AU$1005,1,MATCH(COLUMNS($AD$1006:AJ1006),$AD$1006:$AU$1006,0))&gt;=100000), " ",IF(INDEX($AD$2:$AU$1001,MATCH(ROWS($W$2:W245),$W$2:$W$1001,0),MATCH(COLUMNS($AD$1006:AJ1006),$AD$1006:$AU$1006,0)), HYPERLINK("#",""), HYPERLINK(CONCATENATE("#metadata!", ADDRESS(INDEX($Y$2:$Y$1001,MATCH(ROWS($W$2:W245),$W$2:$W$1001,0),0), INDEX($AD$1004:$AU$1004,1,MATCH(COLUMNS($AD$1006:AJ1006),$AD$1006:$AU$1006,0)))),"Fix")))</f>
        <v xml:space="preserve"> </v>
      </c>
      <c r="I245" s="4" t="str">
        <f ca="1">IF(OR(INDEX($X$2:$X$1001,MATCH(ROWS($W$2:W245),$W$2:$W$1001,0),1)&gt;=100000,INDEX($AD$1005:$AU$1005,1,MATCH(COLUMNS($AD$1006:AK1006),$AD$1006:$AU$1006,0))&gt;=100000), " ",IF(INDEX($AD$2:$AU$1001,MATCH(ROWS($W$2:W245),$W$2:$W$1001,0),MATCH(COLUMNS($AD$1006:AK1006),$AD$1006:$AU$1006,0)), HYPERLINK("#",""), HYPERLINK(CONCATENATE("#metadata!", ADDRESS(INDEX($Y$2:$Y$1001,MATCH(ROWS($W$2:W245),$W$2:$W$1001,0),0), INDEX($AD$1004:$AU$1004,1,MATCH(COLUMNS($AD$1006:AK1006),$AD$1006:$AU$1006,0)))),"Fix")))</f>
        <v xml:space="preserve"> </v>
      </c>
      <c r="J245" s="4" t="str">
        <f ca="1">IF(OR(INDEX($X$2:$X$1001,MATCH(ROWS($W$2:W245),$W$2:$W$1001,0),1)&gt;=100000,INDEX($AD$1005:$AU$1005,1,MATCH(COLUMNS($AD$1006:AL1006),$AD$1006:$AU$1006,0))&gt;=100000), " ",IF(INDEX($AD$2:$AU$1001,MATCH(ROWS($W$2:W245),$W$2:$W$1001,0),MATCH(COLUMNS($AD$1006:AL1006),$AD$1006:$AU$1006,0)), HYPERLINK("#",""), HYPERLINK(CONCATENATE("#metadata!", ADDRESS(INDEX($Y$2:$Y$1001,MATCH(ROWS($W$2:W245),$W$2:$W$1001,0),0), INDEX($AD$1004:$AU$1004,1,MATCH(COLUMNS($AD$1006:AL1006),$AD$1006:$AU$1006,0)))),"Fix")))</f>
        <v xml:space="preserve"> </v>
      </c>
      <c r="K245" s="4" t="str">
        <f ca="1">IF(OR(INDEX($X$2:$X$1001,MATCH(ROWS($W$2:W245),$W$2:$W$1001,0),1)&gt;=100000,INDEX($AD$1005:$AU$1005,1,MATCH(COLUMNS($AD$1006:AM1006),$AD$1006:$AU$1006,0))&gt;=100000), " ",IF(INDEX($AD$2:$AU$1001,MATCH(ROWS($W$2:W245),$W$2:$W$1001,0),MATCH(COLUMNS($AD$1006:AM1006),$AD$1006:$AU$1006,0)), HYPERLINK("#",""), HYPERLINK(CONCATENATE("#metadata!", ADDRESS(INDEX($Y$2:$Y$1001,MATCH(ROWS($W$2:W245),$W$2:$W$1001,0),0), INDEX($AD$1004:$AU$1004,1,MATCH(COLUMNS($AD$1006:AM1006),$AD$1006:$AU$1006,0)))),"Fix")))</f>
        <v xml:space="preserve"> </v>
      </c>
      <c r="L245" s="4" t="str">
        <f ca="1">IF(OR(INDEX($X$2:$X$1001,MATCH(ROWS($W$2:W245),$W$2:$W$1001,0),1)&gt;=100000,INDEX($AD$1005:$AU$1005,1,MATCH(COLUMNS($AD$1006:AN1006),$AD$1006:$AU$1006,0))&gt;=100000), " ",IF(INDEX($AD$2:$AU$1001,MATCH(ROWS($W$2:W245),$W$2:$W$1001,0),MATCH(COLUMNS($AD$1006:AN1006),$AD$1006:$AU$1006,0)), HYPERLINK("#",""), HYPERLINK(CONCATENATE("#metadata!", ADDRESS(INDEX($Y$2:$Y$1001,MATCH(ROWS($W$2:W245),$W$2:$W$1001,0),0), INDEX($AD$1004:$AU$1004,1,MATCH(COLUMNS($AD$1006:AN1006),$AD$1006:$AU$1006,0)))),"Fix")))</f>
        <v xml:space="preserve"> </v>
      </c>
      <c r="M245" s="4" t="str">
        <f ca="1">IF(OR(INDEX($X$2:$X$1001,MATCH(ROWS($W$2:W245),$W$2:$W$1001,0),1)&gt;=100000,INDEX($AD$1005:$AU$1005,1,MATCH(COLUMNS($AD$1006:AO1006),$AD$1006:$AU$1006,0))&gt;=100000), " ",IF(INDEX($AD$2:$AU$1001,MATCH(ROWS($W$2:W245),$W$2:$W$1001,0),MATCH(COLUMNS($AD$1006:AO1006),$AD$1006:$AU$1006,0)), HYPERLINK("#",""), HYPERLINK(CONCATENATE("#metadata!", ADDRESS(INDEX($Y$2:$Y$1001,MATCH(ROWS($W$2:W245),$W$2:$W$1001,0),0), INDEX($AD$1004:$AU$1004,1,MATCH(COLUMNS($AD$1006:AO1006),$AD$1006:$AU$1006,0)))),"Fix")))</f>
        <v xml:space="preserve"> </v>
      </c>
      <c r="N245" s="4" t="str">
        <f ca="1">IF(OR(INDEX($X$2:$X$1001,MATCH(ROWS($W$2:W245),$W$2:$W$1001,0),1)&gt;=100000,INDEX($AD$1005:$AU$1005,1,MATCH(COLUMNS($AD$1006:AP1006),$AD$1006:$AU$1006,0))&gt;=100000), " ",IF(INDEX($AD$2:$AU$1001,MATCH(ROWS($W$2:W245),$W$2:$W$1001,0),MATCH(COLUMNS($AD$1006:AP1006),$AD$1006:$AU$1006,0)), HYPERLINK("#",""), HYPERLINK(CONCATENATE("#metadata!", ADDRESS(INDEX($Y$2:$Y$1001,MATCH(ROWS($W$2:W245),$W$2:$W$1001,0),0), INDEX($AD$1004:$AU$1004,1,MATCH(COLUMNS($AD$1006:AP1006),$AD$1006:$AU$1006,0)))),"Fix")))</f>
        <v xml:space="preserve"> </v>
      </c>
      <c r="O245" s="4" t="str">
        <f ca="1">IF(OR(INDEX($X$2:$X$1001,MATCH(ROWS($W$2:W245),$W$2:$W$1001,0),1)&gt;=100000,INDEX($AD$1005:$AU$1005,1,MATCH(COLUMNS($AD$1006:AQ1006),$AD$1006:$AU$1006,0))&gt;=100000), " ",IF(INDEX($AD$2:$AU$1001,MATCH(ROWS($W$2:W245),$W$2:$W$1001,0),MATCH(COLUMNS($AD$1006:AQ1006),$AD$1006:$AU$1006,0)), HYPERLINK("#",""), HYPERLINK(CONCATENATE("#metadata!", ADDRESS(INDEX($Y$2:$Y$1001,MATCH(ROWS($W$2:W245),$W$2:$W$1001,0),0), INDEX($AD$1004:$AU$1004,1,MATCH(COLUMNS($AD$1006:AQ1006),$AD$1006:$AU$1006,0)))),"Fix")))</f>
        <v xml:space="preserve"> </v>
      </c>
      <c r="P245" s="4" t="str">
        <f ca="1">IF(OR(INDEX($X$2:$X$1001,MATCH(ROWS($W$2:W245),$W$2:$W$1001,0),1)&gt;=100000,INDEX($AD$1005:$AU$1005,1,MATCH(COLUMNS($AD$1006:AR1006),$AD$1006:$AU$1006,0))&gt;=100000), " ",IF(INDEX($AD$2:$AU$1001,MATCH(ROWS($W$2:W245),$W$2:$W$1001,0),MATCH(COLUMNS($AD$1006:AR1006),$AD$1006:$AU$1006,0)), HYPERLINK("#",""), HYPERLINK(CONCATENATE("#metadata!", ADDRESS(INDEX($Y$2:$Y$1001,MATCH(ROWS($W$2:W245),$W$2:$W$1001,0),0), INDEX($AD$1004:$AU$1004,1,MATCH(COLUMNS($AD$1006:AR1006),$AD$1006:$AU$1006,0)))),"Fix")))</f>
        <v xml:space="preserve"> </v>
      </c>
      <c r="Q245" s="4" t="str">
        <f ca="1">IF(OR(INDEX($X$2:$X$1001,MATCH(ROWS($W$2:W245),$W$2:$W$1001,0),1)&gt;=100000,INDEX($AD$1005:$AU$1005,1,MATCH(COLUMNS($AD$1006:AS1006),$AD$1006:$AU$1006,0))&gt;=100000), " ",IF(INDEX($AD$2:$AU$1001,MATCH(ROWS($W$2:W245),$W$2:$W$1001,0),MATCH(COLUMNS($AD$1006:AS1006),$AD$1006:$AU$1006,0)), HYPERLINK("#",""), HYPERLINK(CONCATENATE("#metadata!", ADDRESS(INDEX($Y$2:$Y$1001,MATCH(ROWS($W$2:W245),$W$2:$W$1001,0),0), INDEX($AD$1004:$AU$1004,1,MATCH(COLUMNS($AD$1006:AS1006),$AD$1006:$AU$1006,0)))),"Fix")))</f>
        <v xml:space="preserve"> </v>
      </c>
      <c r="R245" s="4" t="str">
        <f ca="1">IF(OR(INDEX($X$2:$X$1001,MATCH(ROWS($W$2:W245),$W$2:$W$1001,0),1)&gt;=100000,INDEX($AD$1005:$AU$1005,1,MATCH(COLUMNS($AD$1006:AT1006),$AD$1006:$AU$1006,0))&gt;=100000), " ",IF(INDEX($AD$2:$AU$1001,MATCH(ROWS($W$2:W245),$W$2:$W$1001,0),MATCH(COLUMNS($AD$1006:AT1006),$AD$1006:$AU$1006,0)), HYPERLINK("#",""), HYPERLINK(CONCATENATE("#metadata!", ADDRESS(INDEX($Y$2:$Y$1001,MATCH(ROWS($W$2:W245),$W$2:$W$1001,0),0), INDEX($AD$1004:$AU$1004,1,MATCH(COLUMNS($AD$1006:AT1006),$AD$1006:$AU$1006,0)))),"Fix")))</f>
        <v xml:space="preserve"> </v>
      </c>
      <c r="S245" s="4" t="str">
        <f ca="1">IF(OR(INDEX($X$2:$X$1001,MATCH(ROWS($W$2:W245),$W$2:$W$1001,0),1)&gt;=100000,INDEX($AD$1005:$AU$1005,1,MATCH(COLUMNS($AD$1006:AU1006),$AD$1006:$AU$1006,0))&gt;=100000), " ",IF(INDEX($AD$2:$AU$1001,MATCH(ROWS($W$2:W245),$W$2:$W$1001,0),MATCH(COLUMNS($AD$1006:AU1006),$AD$1006:$AU$1006,0)), HYPERLINK("#",""), HYPERLINK(CONCATENATE("#metadata!", ADDRESS(INDEX($Y$2:$Y$1001,MATCH(ROWS($W$2:W245),$W$2:$W$1001,0),0), INDEX($AD$1004:$AU$1004,1,MATCH(COLUMNS($AD$1006:AU1006),$AD$1006:$AU$1006,0)))),"Fix")))</f>
        <v xml:space="preserve"> </v>
      </c>
      <c r="W245">
        <v>244</v>
      </c>
      <c r="X245">
        <v>100245</v>
      </c>
      <c r="Y245">
        <v>245</v>
      </c>
      <c r="Z245" t="b">
        <f t="shared" si="3"/>
        <v>1</v>
      </c>
      <c r="AA245" t="b">
        <f>COUNTBLANK(metadata!B245:S245)=COLUMNS(metadata!B245:S245)</f>
        <v>1</v>
      </c>
      <c r="AB245" t="str">
        <v/>
      </c>
      <c r="AD245" t="b">
        <f ca="1">AND(IF(metadata!B245="",FALSE,TRUE),COUNTIF(metadata!B:B, metadata!B245) = 1,NOT(ISERROR(SUMPRODUCT(SEARCH(MID(metadata!B245,ROW(INDIRECT("1:"&amp;LEN(metadata!B245))), 1),"0123456789abcdefghijklmnopqrstuvwxyzABCDEFGHIJKLMNOPQRSTUVWXYZ.")))))</f>
        <v>0</v>
      </c>
      <c r="AE245" t="b">
        <f>OR(AND(IF(metadata!C245="",FALSE,TRUE),OR(EXACT(metadata!C245,"not applicable"),EXACT(metadata!C245,"missing: not collected"),EXACT(metadata!C245,"missing: not provided"),EXACT(metadata!C245,"missing: restricted access"))),AND(IF(metadata!C245="",FALSE,ISNUMBER(VALUE(metadata!C245))),metadata!C245&gt;0))</f>
        <v>0</v>
      </c>
      <c r="AF245" t="b">
        <f>AND(IF(metadata!D245="",FALSE,TRUE),EXACT(metadata!D245,"missing: not provided"))</f>
        <v>0</v>
      </c>
      <c r="AG245" t="b">
        <f>AND(IF(metadata!E245="",FALSE,TRUE),EXACT(metadata!E245,"Host-associated"))</f>
        <v>0</v>
      </c>
      <c r="AH245" t="b">
        <f>AND(IF(metadata!F245="",FALSE,TRUE),OR(EXACT(metadata!F245,"Animal"),EXACT(metadata!F245,"Fungus"),EXACT(metadata!F245,"Plant")))</f>
        <v>0</v>
      </c>
      <c r="AI245" t="b">
        <f>AND(IF(metadata!G245="",FALSE,TRUE),OR(EXACT(metadata!G245,"Plant secretion"),EXACT(metadata!G245,"Plant rhizosphere"),EXACT(metadata!G245,"Plant surface"),EXACT(metadata!G245,"Plant corpus"),EXACT(metadata!G245,"Fungus surface"),EXACT(metadata!G245,"Fungus corpus"),EXACT(metadata!G245,"Animal surface"),EXACT(metadata!G245,"Animal proximal gut"),EXACT(metadata!G245,"Animal corpus"),EXACT(metadata!G245,"Animal distal gut"),EXACT(metadata!G245,"Animal secretion")))</f>
        <v>0</v>
      </c>
      <c r="AJ245" t="b">
        <f>OR(AND(IF(metadata!H245="",FALSE,TRUE),OR(EXACT(metadata!H245,"missing: not collected"),EXACT(metadata!H245,"missing: not provided"),EXACT(metadata!H245,"missing: restricted access"))),AND(IF(metadata!H245="",FALSE,TRUE),OR(EXACT(metadata!H245,"organism-associated habitat"),EXACT(metadata!H245,"plant-associated habitat"),EXACT(metadata!H245,"animal-associated habitat"),EXACT(metadata!H245,"insecta-associated habitat"),EXACT(metadata!H245,"mammalia-associated habitat"),EXACT(metadata!H245,"human-associated habitat"),EXACT(metadata!H245,"livestock-associated habitat"))))</f>
        <v>0</v>
      </c>
      <c r="AK245" t="b">
        <f>AND(IF(metadata!I245="",FALSE,TRUE),EXACT(metadata!I245,"host-associated"))</f>
        <v>0</v>
      </c>
      <c r="AL245" t="b">
        <f>OR(AND(IF(metadata!J245="",FALSE,TRUE),OR(EXACT(metadata!J245,"not applicable"),EXACT(metadata!J245,"missing: not collected"),EXACT(metadata!J245,"missing: not provided"),EXACT(metadata!J245,"missing: restricted access"))),AND(IF(metadata!J245="",FALSE,ISNUMBER(VALUE(metadata!J245))),metadata!J245&gt;0))</f>
        <v>0</v>
      </c>
      <c r="AM245" t="b">
        <f>AND(IF(metadata!K245="",FALSE,TRUE),EXACT(metadata!K245,"missing: not provided"))</f>
        <v>0</v>
      </c>
      <c r="AN245" t="b">
        <f>IF(metadata!L245="",FALSE,TRUE)</f>
        <v>0</v>
      </c>
      <c r="AO245" t="b">
        <f>IF(metadata!M245="",FALSE,TRUE)</f>
        <v>0</v>
      </c>
      <c r="AP245" t="b">
        <f>OR(AND(IF(metadata!N245="",FALSE,TRUE),OR(EXACT(metadata!N245,"not applicable"),EXACT(metadata!N245,"missing: not collected"),EXACT(metadata!N245,"missing: not provided"))),AND(IF(metadata!N245="",FALSE,IF(ISERROR(INT(metadata!N245)),FALSE,INT(metadata!N245)=metadata!N245)),metadata!N245&gt;0))</f>
        <v>0</v>
      </c>
      <c r="AQ245" t="b">
        <f>AND(IF(metadata!O245="",FALSE,TRUE),EXACT(metadata!O245,"Not applicable"))</f>
        <v>0</v>
      </c>
      <c r="AR245" t="b">
        <f>OR(AND(IF(metadata!P245="",FALSE,TRUE),OR(EXACT(metadata!P245,"not applicable"),EXACT(metadata!P245,"missing: not collected"),EXACT(metadata!P245,"missing: not provided"),EXACT(metadata!P245,"missing: restricted access"))),IF(metadata!P245="",FALSE,IF(ISERROR(INT(metadata!P245)),FALSE,INT(metadata!P245)=metadata!P245)))</f>
        <v>0</v>
      </c>
      <c r="AS245" t="b">
        <f>AND(IF(metadata!Q245="",FALSE,TRUE),EXACT(metadata!Q245,"Not applicable"))</f>
        <v>0</v>
      </c>
      <c r="AT245" t="b">
        <f>OR(AND(IF(metadata!R245="",FALSE,TRUE),OR(EXACT(metadata!R245,"not applicable"),EXACT(metadata!R245,"missing: not collected"),EXACT(metadata!R245,"missing: not provided"),EXACT(metadata!R245,"missing: restricted access"))),AND(IF(metadata!R245="",FALSE,ISNUMBER(VALUE(metadata!R245))),metadata!R245&gt;0))</f>
        <v>0</v>
      </c>
      <c r="AU245" t="b">
        <f>AND(IF(metadata!S245="",FALSE,TRUE),EXACT(metadata!S245,"missing: not provided"))</f>
        <v>0</v>
      </c>
    </row>
    <row r="246" spans="1:47" x14ac:dyDescent="0.2">
      <c r="A246" s="5" t="str">
        <f ca="1">IF(B246=" "," ",HYPERLINK(CONCATENATE("#metadata!",ADDRESS(INDEX($Y$2:$Y$1001,MATCH(ROWS($W$2:W246),$W$2:$W$1001,0),0),1)),INDEX($AB$2:$AB$1001,MATCH(ROWS($W$2:W246),$W$2:$W$1001,0),0)))</f>
        <v xml:space="preserve"> </v>
      </c>
      <c r="B246" s="4" t="str">
        <f ca="1">IF(OR(INDEX($X$2:$X$1001,MATCH(ROWS($W$2:W246),$W$2:$W$1001,0),1)&gt;=100000,INDEX($AD$1005:$AU$1005,1,MATCH(COLUMNS($AD$1006:AD1006),$AD$1006:$AU$1006,0))&gt;=100000), " ",IF(INDEX($AD$2:$AU$1001,MATCH(ROWS($W$2:W246),$W$2:$W$1001,0),MATCH(COLUMNS($AD$1006:AD1006),$AD$1006:$AU$1006,0)), HYPERLINK("#",""), HYPERLINK(CONCATENATE("#metadata!", ADDRESS(INDEX($Y$2:$Y$1001,MATCH(ROWS($W$2:W246),$W$2:$W$1001,0),0), INDEX($AD$1004:$AU$1004,1,MATCH(COLUMNS($AD$1006:AD1006),$AD$1006:$AU$1006,0)))),"Fix")))</f>
        <v xml:space="preserve"> </v>
      </c>
      <c r="C246" s="4" t="str">
        <f ca="1">IF(OR(INDEX($X$2:$X$1001,MATCH(ROWS($W$2:W246),$W$2:$W$1001,0),1)&gt;=100000,INDEX($AD$1005:$AU$1005,1,MATCH(COLUMNS($AD$1006:AE1006),$AD$1006:$AU$1006,0))&gt;=100000), " ",IF(INDEX($AD$2:$AU$1001,MATCH(ROWS($W$2:W246),$W$2:$W$1001,0),MATCH(COLUMNS($AD$1006:AE1006),$AD$1006:$AU$1006,0)), HYPERLINK("#",""), HYPERLINK(CONCATENATE("#metadata!", ADDRESS(INDEX($Y$2:$Y$1001,MATCH(ROWS($W$2:W246),$W$2:$W$1001,0),0), INDEX($AD$1004:$AU$1004,1,MATCH(COLUMNS($AD$1006:AE1006),$AD$1006:$AU$1006,0)))),"Fix")))</f>
        <v xml:space="preserve"> </v>
      </c>
      <c r="D246" s="4" t="str">
        <f ca="1">IF(OR(INDEX($X$2:$X$1001,MATCH(ROWS($W$2:W246),$W$2:$W$1001,0),1)&gt;=100000,INDEX($AD$1005:$AU$1005,1,MATCH(COLUMNS($AD$1006:AF1006),$AD$1006:$AU$1006,0))&gt;=100000), " ",IF(INDEX($AD$2:$AU$1001,MATCH(ROWS($W$2:W246),$W$2:$W$1001,0),MATCH(COLUMNS($AD$1006:AF1006),$AD$1006:$AU$1006,0)), HYPERLINK("#",""), HYPERLINK(CONCATENATE("#metadata!", ADDRESS(INDEX($Y$2:$Y$1001,MATCH(ROWS($W$2:W246),$W$2:$W$1001,0),0), INDEX($AD$1004:$AU$1004,1,MATCH(COLUMNS($AD$1006:AF1006),$AD$1006:$AU$1006,0)))),"Fix")))</f>
        <v xml:space="preserve"> </v>
      </c>
      <c r="E246" s="4" t="str">
        <f ca="1">IF(OR(INDEX($X$2:$X$1001,MATCH(ROWS($W$2:W246),$W$2:$W$1001,0),1)&gt;=100000,INDEX($AD$1005:$AU$1005,1,MATCH(COLUMNS($AD$1006:AG1006),$AD$1006:$AU$1006,0))&gt;=100000), " ",IF(INDEX($AD$2:$AU$1001,MATCH(ROWS($W$2:W246),$W$2:$W$1001,0),MATCH(COLUMNS($AD$1006:AG1006),$AD$1006:$AU$1006,0)), HYPERLINK("#",""), HYPERLINK(CONCATENATE("#metadata!", ADDRESS(INDEX($Y$2:$Y$1001,MATCH(ROWS($W$2:W246),$W$2:$W$1001,0),0), INDEX($AD$1004:$AU$1004,1,MATCH(COLUMNS($AD$1006:AG1006),$AD$1006:$AU$1006,0)))),"Fix")))</f>
        <v xml:space="preserve"> </v>
      </c>
      <c r="F246" s="4" t="str">
        <f ca="1">IF(OR(INDEX($X$2:$X$1001,MATCH(ROWS($W$2:W246),$W$2:$W$1001,0),1)&gt;=100000,INDEX($AD$1005:$AU$1005,1,MATCH(COLUMNS($AD$1006:AH1006),$AD$1006:$AU$1006,0))&gt;=100000), " ",IF(INDEX($AD$2:$AU$1001,MATCH(ROWS($W$2:W246),$W$2:$W$1001,0),MATCH(COLUMNS($AD$1006:AH1006),$AD$1006:$AU$1006,0)), HYPERLINK("#",""), HYPERLINK(CONCATENATE("#metadata!", ADDRESS(INDEX($Y$2:$Y$1001,MATCH(ROWS($W$2:W246),$W$2:$W$1001,0),0), INDEX($AD$1004:$AU$1004,1,MATCH(COLUMNS($AD$1006:AH1006),$AD$1006:$AU$1006,0)))),"Fix")))</f>
        <v xml:space="preserve"> </v>
      </c>
      <c r="G246" s="4" t="str">
        <f ca="1">IF(OR(INDEX($X$2:$X$1001,MATCH(ROWS($W$2:W246),$W$2:$W$1001,0),1)&gt;=100000,INDEX($AD$1005:$AU$1005,1,MATCH(COLUMNS($AD$1006:AI1006),$AD$1006:$AU$1006,0))&gt;=100000), " ",IF(INDEX($AD$2:$AU$1001,MATCH(ROWS($W$2:W246),$W$2:$W$1001,0),MATCH(COLUMNS($AD$1006:AI1006),$AD$1006:$AU$1006,0)), HYPERLINK("#",""), HYPERLINK(CONCATENATE("#metadata!", ADDRESS(INDEX($Y$2:$Y$1001,MATCH(ROWS($W$2:W246),$W$2:$W$1001,0),0), INDEX($AD$1004:$AU$1004,1,MATCH(COLUMNS($AD$1006:AI1006),$AD$1006:$AU$1006,0)))),"Fix")))</f>
        <v xml:space="preserve"> </v>
      </c>
      <c r="H246" s="4" t="str">
        <f ca="1">IF(OR(INDEX($X$2:$X$1001,MATCH(ROWS($W$2:W246),$W$2:$W$1001,0),1)&gt;=100000,INDEX($AD$1005:$AU$1005,1,MATCH(COLUMNS($AD$1006:AJ1006),$AD$1006:$AU$1006,0))&gt;=100000), " ",IF(INDEX($AD$2:$AU$1001,MATCH(ROWS($W$2:W246),$W$2:$W$1001,0),MATCH(COLUMNS($AD$1006:AJ1006),$AD$1006:$AU$1006,0)), HYPERLINK("#",""), HYPERLINK(CONCATENATE("#metadata!", ADDRESS(INDEX($Y$2:$Y$1001,MATCH(ROWS($W$2:W246),$W$2:$W$1001,0),0), INDEX($AD$1004:$AU$1004,1,MATCH(COLUMNS($AD$1006:AJ1006),$AD$1006:$AU$1006,0)))),"Fix")))</f>
        <v xml:space="preserve"> </v>
      </c>
      <c r="I246" s="4" t="str">
        <f ca="1">IF(OR(INDEX($X$2:$X$1001,MATCH(ROWS($W$2:W246),$W$2:$W$1001,0),1)&gt;=100000,INDEX($AD$1005:$AU$1005,1,MATCH(COLUMNS($AD$1006:AK1006),$AD$1006:$AU$1006,0))&gt;=100000), " ",IF(INDEX($AD$2:$AU$1001,MATCH(ROWS($W$2:W246),$W$2:$W$1001,0),MATCH(COLUMNS($AD$1006:AK1006),$AD$1006:$AU$1006,0)), HYPERLINK("#",""), HYPERLINK(CONCATENATE("#metadata!", ADDRESS(INDEX($Y$2:$Y$1001,MATCH(ROWS($W$2:W246),$W$2:$W$1001,0),0), INDEX($AD$1004:$AU$1004,1,MATCH(COLUMNS($AD$1006:AK1006),$AD$1006:$AU$1006,0)))),"Fix")))</f>
        <v xml:space="preserve"> </v>
      </c>
      <c r="J246" s="4" t="str">
        <f ca="1">IF(OR(INDEX($X$2:$X$1001,MATCH(ROWS($W$2:W246),$W$2:$W$1001,0),1)&gt;=100000,INDEX($AD$1005:$AU$1005,1,MATCH(COLUMNS($AD$1006:AL1006),$AD$1006:$AU$1006,0))&gt;=100000), " ",IF(INDEX($AD$2:$AU$1001,MATCH(ROWS($W$2:W246),$W$2:$W$1001,0),MATCH(COLUMNS($AD$1006:AL1006),$AD$1006:$AU$1006,0)), HYPERLINK("#",""), HYPERLINK(CONCATENATE("#metadata!", ADDRESS(INDEX($Y$2:$Y$1001,MATCH(ROWS($W$2:W246),$W$2:$W$1001,0),0), INDEX($AD$1004:$AU$1004,1,MATCH(COLUMNS($AD$1006:AL1006),$AD$1006:$AU$1006,0)))),"Fix")))</f>
        <v xml:space="preserve"> </v>
      </c>
      <c r="K246" s="4" t="str">
        <f ca="1">IF(OR(INDEX($X$2:$X$1001,MATCH(ROWS($W$2:W246),$W$2:$W$1001,0),1)&gt;=100000,INDEX($AD$1005:$AU$1005,1,MATCH(COLUMNS($AD$1006:AM1006),$AD$1006:$AU$1006,0))&gt;=100000), " ",IF(INDEX($AD$2:$AU$1001,MATCH(ROWS($W$2:W246),$W$2:$W$1001,0),MATCH(COLUMNS($AD$1006:AM1006),$AD$1006:$AU$1006,0)), HYPERLINK("#",""), HYPERLINK(CONCATENATE("#metadata!", ADDRESS(INDEX($Y$2:$Y$1001,MATCH(ROWS($W$2:W246),$W$2:$W$1001,0),0), INDEX($AD$1004:$AU$1004,1,MATCH(COLUMNS($AD$1006:AM1006),$AD$1006:$AU$1006,0)))),"Fix")))</f>
        <v xml:space="preserve"> </v>
      </c>
      <c r="L246" s="4" t="str">
        <f ca="1">IF(OR(INDEX($X$2:$X$1001,MATCH(ROWS($W$2:W246),$W$2:$W$1001,0),1)&gt;=100000,INDEX($AD$1005:$AU$1005,1,MATCH(COLUMNS($AD$1006:AN1006),$AD$1006:$AU$1006,0))&gt;=100000), " ",IF(INDEX($AD$2:$AU$1001,MATCH(ROWS($W$2:W246),$W$2:$W$1001,0),MATCH(COLUMNS($AD$1006:AN1006),$AD$1006:$AU$1006,0)), HYPERLINK("#",""), HYPERLINK(CONCATENATE("#metadata!", ADDRESS(INDEX($Y$2:$Y$1001,MATCH(ROWS($W$2:W246),$W$2:$W$1001,0),0), INDEX($AD$1004:$AU$1004,1,MATCH(COLUMNS($AD$1006:AN1006),$AD$1006:$AU$1006,0)))),"Fix")))</f>
        <v xml:space="preserve"> </v>
      </c>
      <c r="M246" s="4" t="str">
        <f ca="1">IF(OR(INDEX($X$2:$X$1001,MATCH(ROWS($W$2:W246),$W$2:$W$1001,0),1)&gt;=100000,INDEX($AD$1005:$AU$1005,1,MATCH(COLUMNS($AD$1006:AO1006),$AD$1006:$AU$1006,0))&gt;=100000), " ",IF(INDEX($AD$2:$AU$1001,MATCH(ROWS($W$2:W246),$W$2:$W$1001,0),MATCH(COLUMNS($AD$1006:AO1006),$AD$1006:$AU$1006,0)), HYPERLINK("#",""), HYPERLINK(CONCATENATE("#metadata!", ADDRESS(INDEX($Y$2:$Y$1001,MATCH(ROWS($W$2:W246),$W$2:$W$1001,0),0), INDEX($AD$1004:$AU$1004,1,MATCH(COLUMNS($AD$1006:AO1006),$AD$1006:$AU$1006,0)))),"Fix")))</f>
        <v xml:space="preserve"> </v>
      </c>
      <c r="N246" s="4" t="str">
        <f ca="1">IF(OR(INDEX($X$2:$X$1001,MATCH(ROWS($W$2:W246),$W$2:$W$1001,0),1)&gt;=100000,INDEX($AD$1005:$AU$1005,1,MATCH(COLUMNS($AD$1006:AP1006),$AD$1006:$AU$1006,0))&gt;=100000), " ",IF(INDEX($AD$2:$AU$1001,MATCH(ROWS($W$2:W246),$W$2:$W$1001,0),MATCH(COLUMNS($AD$1006:AP1006),$AD$1006:$AU$1006,0)), HYPERLINK("#",""), HYPERLINK(CONCATENATE("#metadata!", ADDRESS(INDEX($Y$2:$Y$1001,MATCH(ROWS($W$2:W246),$W$2:$W$1001,0),0), INDEX($AD$1004:$AU$1004,1,MATCH(COLUMNS($AD$1006:AP1006),$AD$1006:$AU$1006,0)))),"Fix")))</f>
        <v xml:space="preserve"> </v>
      </c>
      <c r="O246" s="4" t="str">
        <f ca="1">IF(OR(INDEX($X$2:$X$1001,MATCH(ROWS($W$2:W246),$W$2:$W$1001,0),1)&gt;=100000,INDEX($AD$1005:$AU$1005,1,MATCH(COLUMNS($AD$1006:AQ1006),$AD$1006:$AU$1006,0))&gt;=100000), " ",IF(INDEX($AD$2:$AU$1001,MATCH(ROWS($W$2:W246),$W$2:$W$1001,0),MATCH(COLUMNS($AD$1006:AQ1006),$AD$1006:$AU$1006,0)), HYPERLINK("#",""), HYPERLINK(CONCATENATE("#metadata!", ADDRESS(INDEX($Y$2:$Y$1001,MATCH(ROWS($W$2:W246),$W$2:$W$1001,0),0), INDEX($AD$1004:$AU$1004,1,MATCH(COLUMNS($AD$1006:AQ1006),$AD$1006:$AU$1006,0)))),"Fix")))</f>
        <v xml:space="preserve"> </v>
      </c>
      <c r="P246" s="4" t="str">
        <f ca="1">IF(OR(INDEX($X$2:$X$1001,MATCH(ROWS($W$2:W246),$W$2:$W$1001,0),1)&gt;=100000,INDEX($AD$1005:$AU$1005,1,MATCH(COLUMNS($AD$1006:AR1006),$AD$1006:$AU$1006,0))&gt;=100000), " ",IF(INDEX($AD$2:$AU$1001,MATCH(ROWS($W$2:W246),$W$2:$W$1001,0),MATCH(COLUMNS($AD$1006:AR1006),$AD$1006:$AU$1006,0)), HYPERLINK("#",""), HYPERLINK(CONCATENATE("#metadata!", ADDRESS(INDEX($Y$2:$Y$1001,MATCH(ROWS($W$2:W246),$W$2:$W$1001,0),0), INDEX($AD$1004:$AU$1004,1,MATCH(COLUMNS($AD$1006:AR1006),$AD$1006:$AU$1006,0)))),"Fix")))</f>
        <v xml:space="preserve"> </v>
      </c>
      <c r="Q246" s="4" t="str">
        <f ca="1">IF(OR(INDEX($X$2:$X$1001,MATCH(ROWS($W$2:W246),$W$2:$W$1001,0),1)&gt;=100000,INDEX($AD$1005:$AU$1005,1,MATCH(COLUMNS($AD$1006:AS1006),$AD$1006:$AU$1006,0))&gt;=100000), " ",IF(INDEX($AD$2:$AU$1001,MATCH(ROWS($W$2:W246),$W$2:$W$1001,0),MATCH(COLUMNS($AD$1006:AS1006),$AD$1006:$AU$1006,0)), HYPERLINK("#",""), HYPERLINK(CONCATENATE("#metadata!", ADDRESS(INDEX($Y$2:$Y$1001,MATCH(ROWS($W$2:W246),$W$2:$W$1001,0),0), INDEX($AD$1004:$AU$1004,1,MATCH(COLUMNS($AD$1006:AS1006),$AD$1006:$AU$1006,0)))),"Fix")))</f>
        <v xml:space="preserve"> </v>
      </c>
      <c r="R246" s="4" t="str">
        <f ca="1">IF(OR(INDEX($X$2:$X$1001,MATCH(ROWS($W$2:W246),$W$2:$W$1001,0),1)&gt;=100000,INDEX($AD$1005:$AU$1005,1,MATCH(COLUMNS($AD$1006:AT1006),$AD$1006:$AU$1006,0))&gt;=100000), " ",IF(INDEX($AD$2:$AU$1001,MATCH(ROWS($W$2:W246),$W$2:$W$1001,0),MATCH(COLUMNS($AD$1006:AT1006),$AD$1006:$AU$1006,0)), HYPERLINK("#",""), HYPERLINK(CONCATENATE("#metadata!", ADDRESS(INDEX($Y$2:$Y$1001,MATCH(ROWS($W$2:W246),$W$2:$W$1001,0),0), INDEX($AD$1004:$AU$1004,1,MATCH(COLUMNS($AD$1006:AT1006),$AD$1006:$AU$1006,0)))),"Fix")))</f>
        <v xml:space="preserve"> </v>
      </c>
      <c r="S246" s="4" t="str">
        <f ca="1">IF(OR(INDEX($X$2:$X$1001,MATCH(ROWS($W$2:W246),$W$2:$W$1001,0),1)&gt;=100000,INDEX($AD$1005:$AU$1005,1,MATCH(COLUMNS($AD$1006:AU1006),$AD$1006:$AU$1006,0))&gt;=100000), " ",IF(INDEX($AD$2:$AU$1001,MATCH(ROWS($W$2:W246),$W$2:$W$1001,0),MATCH(COLUMNS($AD$1006:AU1006),$AD$1006:$AU$1006,0)), HYPERLINK("#",""), HYPERLINK(CONCATENATE("#metadata!", ADDRESS(INDEX($Y$2:$Y$1001,MATCH(ROWS($W$2:W246),$W$2:$W$1001,0),0), INDEX($AD$1004:$AU$1004,1,MATCH(COLUMNS($AD$1006:AU1006),$AD$1006:$AU$1006,0)))),"Fix")))</f>
        <v xml:space="preserve"> </v>
      </c>
      <c r="W246">
        <v>245</v>
      </c>
      <c r="X246">
        <v>100246</v>
      </c>
      <c r="Y246">
        <v>246</v>
      </c>
      <c r="Z246" t="b">
        <f t="shared" si="3"/>
        <v>1</v>
      </c>
      <c r="AA246" t="b">
        <f>COUNTBLANK(metadata!B246:S246)=COLUMNS(metadata!B246:S246)</f>
        <v>1</v>
      </c>
      <c r="AB246" t="str">
        <v/>
      </c>
      <c r="AD246" t="b">
        <f ca="1">AND(IF(metadata!B246="",FALSE,TRUE),COUNTIF(metadata!B:B, metadata!B246) = 1,NOT(ISERROR(SUMPRODUCT(SEARCH(MID(metadata!B246,ROW(INDIRECT("1:"&amp;LEN(metadata!B246))), 1),"0123456789abcdefghijklmnopqrstuvwxyzABCDEFGHIJKLMNOPQRSTUVWXYZ.")))))</f>
        <v>0</v>
      </c>
      <c r="AE246" t="b">
        <f>OR(AND(IF(metadata!C246="",FALSE,TRUE),OR(EXACT(metadata!C246,"not applicable"),EXACT(metadata!C246,"missing: not collected"),EXACT(metadata!C246,"missing: not provided"),EXACT(metadata!C246,"missing: restricted access"))),AND(IF(metadata!C246="",FALSE,ISNUMBER(VALUE(metadata!C246))),metadata!C246&gt;0))</f>
        <v>0</v>
      </c>
      <c r="AF246" t="b">
        <f>AND(IF(metadata!D246="",FALSE,TRUE),EXACT(metadata!D246,"missing: not provided"))</f>
        <v>0</v>
      </c>
      <c r="AG246" t="b">
        <f>AND(IF(metadata!E246="",FALSE,TRUE),EXACT(metadata!E246,"Host-associated"))</f>
        <v>0</v>
      </c>
      <c r="AH246" t="b">
        <f>AND(IF(metadata!F246="",FALSE,TRUE),OR(EXACT(metadata!F246,"Animal"),EXACT(metadata!F246,"Fungus"),EXACT(metadata!F246,"Plant")))</f>
        <v>0</v>
      </c>
      <c r="AI246" t="b">
        <f>AND(IF(metadata!G246="",FALSE,TRUE),OR(EXACT(metadata!G246,"Plant secretion"),EXACT(metadata!G246,"Plant rhizosphere"),EXACT(metadata!G246,"Plant surface"),EXACT(metadata!G246,"Plant corpus"),EXACT(metadata!G246,"Fungus surface"),EXACT(metadata!G246,"Fungus corpus"),EXACT(metadata!G246,"Animal surface"),EXACT(metadata!G246,"Animal proximal gut"),EXACT(metadata!G246,"Animal corpus"),EXACT(metadata!G246,"Animal distal gut"),EXACT(metadata!G246,"Animal secretion")))</f>
        <v>0</v>
      </c>
      <c r="AJ246" t="b">
        <f>OR(AND(IF(metadata!H246="",FALSE,TRUE),OR(EXACT(metadata!H246,"missing: not collected"),EXACT(metadata!H246,"missing: not provided"),EXACT(metadata!H246,"missing: restricted access"))),AND(IF(metadata!H246="",FALSE,TRUE),OR(EXACT(metadata!H246,"organism-associated habitat"),EXACT(metadata!H246,"plant-associated habitat"),EXACT(metadata!H246,"animal-associated habitat"),EXACT(metadata!H246,"insecta-associated habitat"),EXACT(metadata!H246,"mammalia-associated habitat"),EXACT(metadata!H246,"human-associated habitat"),EXACT(metadata!H246,"livestock-associated habitat"))))</f>
        <v>0</v>
      </c>
      <c r="AK246" t="b">
        <f>AND(IF(metadata!I246="",FALSE,TRUE),EXACT(metadata!I246,"host-associated"))</f>
        <v>0</v>
      </c>
      <c r="AL246" t="b">
        <f>OR(AND(IF(metadata!J246="",FALSE,TRUE),OR(EXACT(metadata!J246,"not applicable"),EXACT(metadata!J246,"missing: not collected"),EXACT(metadata!J246,"missing: not provided"),EXACT(metadata!J246,"missing: restricted access"))),AND(IF(metadata!J246="",FALSE,ISNUMBER(VALUE(metadata!J246))),metadata!J246&gt;0))</f>
        <v>0</v>
      </c>
      <c r="AM246" t="b">
        <f>AND(IF(metadata!K246="",FALSE,TRUE),EXACT(metadata!K246,"missing: not provided"))</f>
        <v>0</v>
      </c>
      <c r="AN246" t="b">
        <f>IF(metadata!L246="",FALSE,TRUE)</f>
        <v>0</v>
      </c>
      <c r="AO246" t="b">
        <f>IF(metadata!M246="",FALSE,TRUE)</f>
        <v>0</v>
      </c>
      <c r="AP246" t="b">
        <f>OR(AND(IF(metadata!N246="",FALSE,TRUE),OR(EXACT(metadata!N246,"not applicable"),EXACT(metadata!N246,"missing: not collected"),EXACT(metadata!N246,"missing: not provided"))),AND(IF(metadata!N246="",FALSE,IF(ISERROR(INT(metadata!N246)),FALSE,INT(metadata!N246)=metadata!N246)),metadata!N246&gt;0))</f>
        <v>0</v>
      </c>
      <c r="AQ246" t="b">
        <f>AND(IF(metadata!O246="",FALSE,TRUE),EXACT(metadata!O246,"Not applicable"))</f>
        <v>0</v>
      </c>
      <c r="AR246" t="b">
        <f>OR(AND(IF(metadata!P246="",FALSE,TRUE),OR(EXACT(metadata!P246,"not applicable"),EXACT(metadata!P246,"missing: not collected"),EXACT(metadata!P246,"missing: not provided"),EXACT(metadata!P246,"missing: restricted access"))),IF(metadata!P246="",FALSE,IF(ISERROR(INT(metadata!P246)),FALSE,INT(metadata!P246)=metadata!P246)))</f>
        <v>0</v>
      </c>
      <c r="AS246" t="b">
        <f>AND(IF(metadata!Q246="",FALSE,TRUE),EXACT(metadata!Q246,"Not applicable"))</f>
        <v>0</v>
      </c>
      <c r="AT246" t="b">
        <f>OR(AND(IF(metadata!R246="",FALSE,TRUE),OR(EXACT(metadata!R246,"not applicable"),EXACT(metadata!R246,"missing: not collected"),EXACT(metadata!R246,"missing: not provided"),EXACT(metadata!R246,"missing: restricted access"))),AND(IF(metadata!R246="",FALSE,ISNUMBER(VALUE(metadata!R246))),metadata!R246&gt;0))</f>
        <v>0</v>
      </c>
      <c r="AU246" t="b">
        <f>AND(IF(metadata!S246="",FALSE,TRUE),EXACT(metadata!S246,"missing: not provided"))</f>
        <v>0</v>
      </c>
    </row>
    <row r="247" spans="1:47" x14ac:dyDescent="0.2">
      <c r="A247" s="5" t="str">
        <f ca="1">IF(B247=" "," ",HYPERLINK(CONCATENATE("#metadata!",ADDRESS(INDEX($Y$2:$Y$1001,MATCH(ROWS($W$2:W247),$W$2:$W$1001,0),0),1)),INDEX($AB$2:$AB$1001,MATCH(ROWS($W$2:W247),$W$2:$W$1001,0),0)))</f>
        <v xml:space="preserve"> </v>
      </c>
      <c r="B247" s="4" t="str">
        <f ca="1">IF(OR(INDEX($X$2:$X$1001,MATCH(ROWS($W$2:W247),$W$2:$W$1001,0),1)&gt;=100000,INDEX($AD$1005:$AU$1005,1,MATCH(COLUMNS($AD$1006:AD1006),$AD$1006:$AU$1006,0))&gt;=100000), " ",IF(INDEX($AD$2:$AU$1001,MATCH(ROWS($W$2:W247),$W$2:$W$1001,0),MATCH(COLUMNS($AD$1006:AD1006),$AD$1006:$AU$1006,0)), HYPERLINK("#",""), HYPERLINK(CONCATENATE("#metadata!", ADDRESS(INDEX($Y$2:$Y$1001,MATCH(ROWS($W$2:W247),$W$2:$W$1001,0),0), INDEX($AD$1004:$AU$1004,1,MATCH(COLUMNS($AD$1006:AD1006),$AD$1006:$AU$1006,0)))),"Fix")))</f>
        <v xml:space="preserve"> </v>
      </c>
      <c r="C247" s="4" t="str">
        <f ca="1">IF(OR(INDEX($X$2:$X$1001,MATCH(ROWS($W$2:W247),$W$2:$W$1001,0),1)&gt;=100000,INDEX($AD$1005:$AU$1005,1,MATCH(COLUMNS($AD$1006:AE1006),$AD$1006:$AU$1006,0))&gt;=100000), " ",IF(INDEX($AD$2:$AU$1001,MATCH(ROWS($W$2:W247),$W$2:$W$1001,0),MATCH(COLUMNS($AD$1006:AE1006),$AD$1006:$AU$1006,0)), HYPERLINK("#",""), HYPERLINK(CONCATENATE("#metadata!", ADDRESS(INDEX($Y$2:$Y$1001,MATCH(ROWS($W$2:W247),$W$2:$W$1001,0),0), INDEX($AD$1004:$AU$1004,1,MATCH(COLUMNS($AD$1006:AE1006),$AD$1006:$AU$1006,0)))),"Fix")))</f>
        <v xml:space="preserve"> </v>
      </c>
      <c r="D247" s="4" t="str">
        <f ca="1">IF(OR(INDEX($X$2:$X$1001,MATCH(ROWS($W$2:W247),$W$2:$W$1001,0),1)&gt;=100000,INDEX($AD$1005:$AU$1005,1,MATCH(COLUMNS($AD$1006:AF1006),$AD$1006:$AU$1006,0))&gt;=100000), " ",IF(INDEX($AD$2:$AU$1001,MATCH(ROWS($W$2:W247),$W$2:$W$1001,0),MATCH(COLUMNS($AD$1006:AF1006),$AD$1006:$AU$1006,0)), HYPERLINK("#",""), HYPERLINK(CONCATENATE("#metadata!", ADDRESS(INDEX($Y$2:$Y$1001,MATCH(ROWS($W$2:W247),$W$2:$W$1001,0),0), INDEX($AD$1004:$AU$1004,1,MATCH(COLUMNS($AD$1006:AF1006),$AD$1006:$AU$1006,0)))),"Fix")))</f>
        <v xml:space="preserve"> </v>
      </c>
      <c r="E247" s="4" t="str">
        <f ca="1">IF(OR(INDEX($X$2:$X$1001,MATCH(ROWS($W$2:W247),$W$2:$W$1001,0),1)&gt;=100000,INDEX($AD$1005:$AU$1005,1,MATCH(COLUMNS($AD$1006:AG1006),$AD$1006:$AU$1006,0))&gt;=100000), " ",IF(INDEX($AD$2:$AU$1001,MATCH(ROWS($W$2:W247),$W$2:$W$1001,0),MATCH(COLUMNS($AD$1006:AG1006),$AD$1006:$AU$1006,0)), HYPERLINK("#",""), HYPERLINK(CONCATENATE("#metadata!", ADDRESS(INDEX($Y$2:$Y$1001,MATCH(ROWS($W$2:W247),$W$2:$W$1001,0),0), INDEX($AD$1004:$AU$1004,1,MATCH(COLUMNS($AD$1006:AG1006),$AD$1006:$AU$1006,0)))),"Fix")))</f>
        <v xml:space="preserve"> </v>
      </c>
      <c r="F247" s="4" t="str">
        <f ca="1">IF(OR(INDEX($X$2:$X$1001,MATCH(ROWS($W$2:W247),$W$2:$W$1001,0),1)&gt;=100000,INDEX($AD$1005:$AU$1005,1,MATCH(COLUMNS($AD$1006:AH1006),$AD$1006:$AU$1006,0))&gt;=100000), " ",IF(INDEX($AD$2:$AU$1001,MATCH(ROWS($W$2:W247),$W$2:$W$1001,0),MATCH(COLUMNS($AD$1006:AH1006),$AD$1006:$AU$1006,0)), HYPERLINK("#",""), HYPERLINK(CONCATENATE("#metadata!", ADDRESS(INDEX($Y$2:$Y$1001,MATCH(ROWS($W$2:W247),$W$2:$W$1001,0),0), INDEX($AD$1004:$AU$1004,1,MATCH(COLUMNS($AD$1006:AH1006),$AD$1006:$AU$1006,0)))),"Fix")))</f>
        <v xml:space="preserve"> </v>
      </c>
      <c r="G247" s="4" t="str">
        <f ca="1">IF(OR(INDEX($X$2:$X$1001,MATCH(ROWS($W$2:W247),$W$2:$W$1001,0),1)&gt;=100000,INDEX($AD$1005:$AU$1005,1,MATCH(COLUMNS($AD$1006:AI1006),$AD$1006:$AU$1006,0))&gt;=100000), " ",IF(INDEX($AD$2:$AU$1001,MATCH(ROWS($W$2:W247),$W$2:$W$1001,0),MATCH(COLUMNS($AD$1006:AI1006),$AD$1006:$AU$1006,0)), HYPERLINK("#",""), HYPERLINK(CONCATENATE("#metadata!", ADDRESS(INDEX($Y$2:$Y$1001,MATCH(ROWS($W$2:W247),$W$2:$W$1001,0),0), INDEX($AD$1004:$AU$1004,1,MATCH(COLUMNS($AD$1006:AI1006),$AD$1006:$AU$1006,0)))),"Fix")))</f>
        <v xml:space="preserve"> </v>
      </c>
      <c r="H247" s="4" t="str">
        <f ca="1">IF(OR(INDEX($X$2:$X$1001,MATCH(ROWS($W$2:W247),$W$2:$W$1001,0),1)&gt;=100000,INDEX($AD$1005:$AU$1005,1,MATCH(COLUMNS($AD$1006:AJ1006),$AD$1006:$AU$1006,0))&gt;=100000), " ",IF(INDEX($AD$2:$AU$1001,MATCH(ROWS($W$2:W247),$W$2:$W$1001,0),MATCH(COLUMNS($AD$1006:AJ1006),$AD$1006:$AU$1006,0)), HYPERLINK("#",""), HYPERLINK(CONCATENATE("#metadata!", ADDRESS(INDEX($Y$2:$Y$1001,MATCH(ROWS($W$2:W247),$W$2:$W$1001,0),0), INDEX($AD$1004:$AU$1004,1,MATCH(COLUMNS($AD$1006:AJ1006),$AD$1006:$AU$1006,0)))),"Fix")))</f>
        <v xml:space="preserve"> </v>
      </c>
      <c r="I247" s="4" t="str">
        <f ca="1">IF(OR(INDEX($X$2:$X$1001,MATCH(ROWS($W$2:W247),$W$2:$W$1001,0),1)&gt;=100000,INDEX($AD$1005:$AU$1005,1,MATCH(COLUMNS($AD$1006:AK1006),$AD$1006:$AU$1006,0))&gt;=100000), " ",IF(INDEX($AD$2:$AU$1001,MATCH(ROWS($W$2:W247),$W$2:$W$1001,0),MATCH(COLUMNS($AD$1006:AK1006),$AD$1006:$AU$1006,0)), HYPERLINK("#",""), HYPERLINK(CONCATENATE("#metadata!", ADDRESS(INDEX($Y$2:$Y$1001,MATCH(ROWS($W$2:W247),$W$2:$W$1001,0),0), INDEX($AD$1004:$AU$1004,1,MATCH(COLUMNS($AD$1006:AK1006),$AD$1006:$AU$1006,0)))),"Fix")))</f>
        <v xml:space="preserve"> </v>
      </c>
      <c r="J247" s="4" t="str">
        <f ca="1">IF(OR(INDEX($X$2:$X$1001,MATCH(ROWS($W$2:W247),$W$2:$W$1001,0),1)&gt;=100000,INDEX($AD$1005:$AU$1005,1,MATCH(COLUMNS($AD$1006:AL1006),$AD$1006:$AU$1006,0))&gt;=100000), " ",IF(INDEX($AD$2:$AU$1001,MATCH(ROWS($W$2:W247),$W$2:$W$1001,0),MATCH(COLUMNS($AD$1006:AL1006),$AD$1006:$AU$1006,0)), HYPERLINK("#",""), HYPERLINK(CONCATENATE("#metadata!", ADDRESS(INDEX($Y$2:$Y$1001,MATCH(ROWS($W$2:W247),$W$2:$W$1001,0),0), INDEX($AD$1004:$AU$1004,1,MATCH(COLUMNS($AD$1006:AL1006),$AD$1006:$AU$1006,0)))),"Fix")))</f>
        <v xml:space="preserve"> </v>
      </c>
      <c r="K247" s="4" t="str">
        <f ca="1">IF(OR(INDEX($X$2:$X$1001,MATCH(ROWS($W$2:W247),$W$2:$W$1001,0),1)&gt;=100000,INDEX($AD$1005:$AU$1005,1,MATCH(COLUMNS($AD$1006:AM1006),$AD$1006:$AU$1006,0))&gt;=100000), " ",IF(INDEX($AD$2:$AU$1001,MATCH(ROWS($W$2:W247),$W$2:$W$1001,0),MATCH(COLUMNS($AD$1006:AM1006),$AD$1006:$AU$1006,0)), HYPERLINK("#",""), HYPERLINK(CONCATENATE("#metadata!", ADDRESS(INDEX($Y$2:$Y$1001,MATCH(ROWS($W$2:W247),$W$2:$W$1001,0),0), INDEX($AD$1004:$AU$1004,1,MATCH(COLUMNS($AD$1006:AM1006),$AD$1006:$AU$1006,0)))),"Fix")))</f>
        <v xml:space="preserve"> </v>
      </c>
      <c r="L247" s="4" t="str">
        <f ca="1">IF(OR(INDEX($X$2:$X$1001,MATCH(ROWS($W$2:W247),$W$2:$W$1001,0),1)&gt;=100000,INDEX($AD$1005:$AU$1005,1,MATCH(COLUMNS($AD$1006:AN1006),$AD$1006:$AU$1006,0))&gt;=100000), " ",IF(INDEX($AD$2:$AU$1001,MATCH(ROWS($W$2:W247),$W$2:$W$1001,0),MATCH(COLUMNS($AD$1006:AN1006),$AD$1006:$AU$1006,0)), HYPERLINK("#",""), HYPERLINK(CONCATENATE("#metadata!", ADDRESS(INDEX($Y$2:$Y$1001,MATCH(ROWS($W$2:W247),$W$2:$W$1001,0),0), INDEX($AD$1004:$AU$1004,1,MATCH(COLUMNS($AD$1006:AN1006),$AD$1006:$AU$1006,0)))),"Fix")))</f>
        <v xml:space="preserve"> </v>
      </c>
      <c r="M247" s="4" t="str">
        <f ca="1">IF(OR(INDEX($X$2:$X$1001,MATCH(ROWS($W$2:W247),$W$2:$W$1001,0),1)&gt;=100000,INDEX($AD$1005:$AU$1005,1,MATCH(COLUMNS($AD$1006:AO1006),$AD$1006:$AU$1006,0))&gt;=100000), " ",IF(INDEX($AD$2:$AU$1001,MATCH(ROWS($W$2:W247),$W$2:$W$1001,0),MATCH(COLUMNS($AD$1006:AO1006),$AD$1006:$AU$1006,0)), HYPERLINK("#",""), HYPERLINK(CONCATENATE("#metadata!", ADDRESS(INDEX($Y$2:$Y$1001,MATCH(ROWS($W$2:W247),$W$2:$W$1001,0),0), INDEX($AD$1004:$AU$1004,1,MATCH(COLUMNS($AD$1006:AO1006),$AD$1006:$AU$1006,0)))),"Fix")))</f>
        <v xml:space="preserve"> </v>
      </c>
      <c r="N247" s="4" t="str">
        <f ca="1">IF(OR(INDEX($X$2:$X$1001,MATCH(ROWS($W$2:W247),$W$2:$W$1001,0),1)&gt;=100000,INDEX($AD$1005:$AU$1005,1,MATCH(COLUMNS($AD$1006:AP1006),$AD$1006:$AU$1006,0))&gt;=100000), " ",IF(INDEX($AD$2:$AU$1001,MATCH(ROWS($W$2:W247),$W$2:$W$1001,0),MATCH(COLUMNS($AD$1006:AP1006),$AD$1006:$AU$1006,0)), HYPERLINK("#",""), HYPERLINK(CONCATENATE("#metadata!", ADDRESS(INDEX($Y$2:$Y$1001,MATCH(ROWS($W$2:W247),$W$2:$W$1001,0),0), INDEX($AD$1004:$AU$1004,1,MATCH(COLUMNS($AD$1006:AP1006),$AD$1006:$AU$1006,0)))),"Fix")))</f>
        <v xml:space="preserve"> </v>
      </c>
      <c r="O247" s="4" t="str">
        <f ca="1">IF(OR(INDEX($X$2:$X$1001,MATCH(ROWS($W$2:W247),$W$2:$W$1001,0),1)&gt;=100000,INDEX($AD$1005:$AU$1005,1,MATCH(COLUMNS($AD$1006:AQ1006),$AD$1006:$AU$1006,0))&gt;=100000), " ",IF(INDEX($AD$2:$AU$1001,MATCH(ROWS($W$2:W247),$W$2:$W$1001,0),MATCH(COLUMNS($AD$1006:AQ1006),$AD$1006:$AU$1006,0)), HYPERLINK("#",""), HYPERLINK(CONCATENATE("#metadata!", ADDRESS(INDEX($Y$2:$Y$1001,MATCH(ROWS($W$2:W247),$W$2:$W$1001,0),0), INDEX($AD$1004:$AU$1004,1,MATCH(COLUMNS($AD$1006:AQ1006),$AD$1006:$AU$1006,0)))),"Fix")))</f>
        <v xml:space="preserve"> </v>
      </c>
      <c r="P247" s="4" t="str">
        <f ca="1">IF(OR(INDEX($X$2:$X$1001,MATCH(ROWS($W$2:W247),$W$2:$W$1001,0),1)&gt;=100000,INDEX($AD$1005:$AU$1005,1,MATCH(COLUMNS($AD$1006:AR1006),$AD$1006:$AU$1006,0))&gt;=100000), " ",IF(INDEX($AD$2:$AU$1001,MATCH(ROWS($W$2:W247),$W$2:$W$1001,0),MATCH(COLUMNS($AD$1006:AR1006),$AD$1006:$AU$1006,0)), HYPERLINK("#",""), HYPERLINK(CONCATENATE("#metadata!", ADDRESS(INDEX($Y$2:$Y$1001,MATCH(ROWS($W$2:W247),$W$2:$W$1001,0),0), INDEX($AD$1004:$AU$1004,1,MATCH(COLUMNS($AD$1006:AR1006),$AD$1006:$AU$1006,0)))),"Fix")))</f>
        <v xml:space="preserve"> </v>
      </c>
      <c r="Q247" s="4" t="str">
        <f ca="1">IF(OR(INDEX($X$2:$X$1001,MATCH(ROWS($W$2:W247),$W$2:$W$1001,0),1)&gt;=100000,INDEX($AD$1005:$AU$1005,1,MATCH(COLUMNS($AD$1006:AS1006),$AD$1006:$AU$1006,0))&gt;=100000), " ",IF(INDEX($AD$2:$AU$1001,MATCH(ROWS($W$2:W247),$W$2:$W$1001,0),MATCH(COLUMNS($AD$1006:AS1006),$AD$1006:$AU$1006,0)), HYPERLINK("#",""), HYPERLINK(CONCATENATE("#metadata!", ADDRESS(INDEX($Y$2:$Y$1001,MATCH(ROWS($W$2:W247),$W$2:$W$1001,0),0), INDEX($AD$1004:$AU$1004,1,MATCH(COLUMNS($AD$1006:AS1006),$AD$1006:$AU$1006,0)))),"Fix")))</f>
        <v xml:space="preserve"> </v>
      </c>
      <c r="R247" s="4" t="str">
        <f ca="1">IF(OR(INDEX($X$2:$X$1001,MATCH(ROWS($W$2:W247),$W$2:$W$1001,0),1)&gt;=100000,INDEX($AD$1005:$AU$1005,1,MATCH(COLUMNS($AD$1006:AT1006),$AD$1006:$AU$1006,0))&gt;=100000), " ",IF(INDEX($AD$2:$AU$1001,MATCH(ROWS($W$2:W247),$W$2:$W$1001,0),MATCH(COLUMNS($AD$1006:AT1006),$AD$1006:$AU$1006,0)), HYPERLINK("#",""), HYPERLINK(CONCATENATE("#metadata!", ADDRESS(INDEX($Y$2:$Y$1001,MATCH(ROWS($W$2:W247),$W$2:$W$1001,0),0), INDEX($AD$1004:$AU$1004,1,MATCH(COLUMNS($AD$1006:AT1006),$AD$1006:$AU$1006,0)))),"Fix")))</f>
        <v xml:space="preserve"> </v>
      </c>
      <c r="S247" s="4" t="str">
        <f ca="1">IF(OR(INDEX($X$2:$X$1001,MATCH(ROWS($W$2:W247),$W$2:$W$1001,0),1)&gt;=100000,INDEX($AD$1005:$AU$1005,1,MATCH(COLUMNS($AD$1006:AU1006),$AD$1006:$AU$1006,0))&gt;=100000), " ",IF(INDEX($AD$2:$AU$1001,MATCH(ROWS($W$2:W247),$W$2:$W$1001,0),MATCH(COLUMNS($AD$1006:AU1006),$AD$1006:$AU$1006,0)), HYPERLINK("#",""), HYPERLINK(CONCATENATE("#metadata!", ADDRESS(INDEX($Y$2:$Y$1001,MATCH(ROWS($W$2:W247),$W$2:$W$1001,0),0), INDEX($AD$1004:$AU$1004,1,MATCH(COLUMNS($AD$1006:AU1006),$AD$1006:$AU$1006,0)))),"Fix")))</f>
        <v xml:space="preserve"> </v>
      </c>
      <c r="W247">
        <v>246</v>
      </c>
      <c r="X247">
        <v>100247</v>
      </c>
      <c r="Y247">
        <v>247</v>
      </c>
      <c r="Z247" t="b">
        <f t="shared" si="3"/>
        <v>1</v>
      </c>
      <c r="AA247" t="b">
        <f>COUNTBLANK(metadata!B247:S247)=COLUMNS(metadata!B247:S247)</f>
        <v>1</v>
      </c>
      <c r="AB247" t="str">
        <v/>
      </c>
      <c r="AD247" t="b">
        <f ca="1">AND(IF(metadata!B247="",FALSE,TRUE),COUNTIF(metadata!B:B, metadata!B247) = 1,NOT(ISERROR(SUMPRODUCT(SEARCH(MID(metadata!B247,ROW(INDIRECT("1:"&amp;LEN(metadata!B247))), 1),"0123456789abcdefghijklmnopqrstuvwxyzABCDEFGHIJKLMNOPQRSTUVWXYZ.")))))</f>
        <v>0</v>
      </c>
      <c r="AE247" t="b">
        <f>OR(AND(IF(metadata!C247="",FALSE,TRUE),OR(EXACT(metadata!C247,"not applicable"),EXACT(metadata!C247,"missing: not collected"),EXACT(metadata!C247,"missing: not provided"),EXACT(metadata!C247,"missing: restricted access"))),AND(IF(metadata!C247="",FALSE,ISNUMBER(VALUE(metadata!C247))),metadata!C247&gt;0))</f>
        <v>0</v>
      </c>
      <c r="AF247" t="b">
        <f>AND(IF(metadata!D247="",FALSE,TRUE),EXACT(metadata!D247,"missing: not provided"))</f>
        <v>0</v>
      </c>
      <c r="AG247" t="b">
        <f>AND(IF(metadata!E247="",FALSE,TRUE),EXACT(metadata!E247,"Host-associated"))</f>
        <v>0</v>
      </c>
      <c r="AH247" t="b">
        <f>AND(IF(metadata!F247="",FALSE,TRUE),OR(EXACT(metadata!F247,"Animal"),EXACT(metadata!F247,"Fungus"),EXACT(metadata!F247,"Plant")))</f>
        <v>0</v>
      </c>
      <c r="AI247" t="b">
        <f>AND(IF(metadata!G247="",FALSE,TRUE),OR(EXACT(metadata!G247,"Plant secretion"),EXACT(metadata!G247,"Plant rhizosphere"),EXACT(metadata!G247,"Plant surface"),EXACT(metadata!G247,"Plant corpus"),EXACT(metadata!G247,"Fungus surface"),EXACT(metadata!G247,"Fungus corpus"),EXACT(metadata!G247,"Animal surface"),EXACT(metadata!G247,"Animal proximal gut"),EXACT(metadata!G247,"Animal corpus"),EXACT(metadata!G247,"Animal distal gut"),EXACT(metadata!G247,"Animal secretion")))</f>
        <v>0</v>
      </c>
      <c r="AJ247" t="b">
        <f>OR(AND(IF(metadata!H247="",FALSE,TRUE),OR(EXACT(metadata!H247,"missing: not collected"),EXACT(metadata!H247,"missing: not provided"),EXACT(metadata!H247,"missing: restricted access"))),AND(IF(metadata!H247="",FALSE,TRUE),OR(EXACT(metadata!H247,"organism-associated habitat"),EXACT(metadata!H247,"plant-associated habitat"),EXACT(metadata!H247,"animal-associated habitat"),EXACT(metadata!H247,"insecta-associated habitat"),EXACT(metadata!H247,"mammalia-associated habitat"),EXACT(metadata!H247,"human-associated habitat"),EXACT(metadata!H247,"livestock-associated habitat"))))</f>
        <v>0</v>
      </c>
      <c r="AK247" t="b">
        <f>AND(IF(metadata!I247="",FALSE,TRUE),EXACT(metadata!I247,"host-associated"))</f>
        <v>0</v>
      </c>
      <c r="AL247" t="b">
        <f>OR(AND(IF(metadata!J247="",FALSE,TRUE),OR(EXACT(metadata!J247,"not applicable"),EXACT(metadata!J247,"missing: not collected"),EXACT(metadata!J247,"missing: not provided"),EXACT(metadata!J247,"missing: restricted access"))),AND(IF(metadata!J247="",FALSE,ISNUMBER(VALUE(metadata!J247))),metadata!J247&gt;0))</f>
        <v>0</v>
      </c>
      <c r="AM247" t="b">
        <f>AND(IF(metadata!K247="",FALSE,TRUE),EXACT(metadata!K247,"missing: not provided"))</f>
        <v>0</v>
      </c>
      <c r="AN247" t="b">
        <f>IF(metadata!L247="",FALSE,TRUE)</f>
        <v>0</v>
      </c>
      <c r="AO247" t="b">
        <f>IF(metadata!M247="",FALSE,TRUE)</f>
        <v>0</v>
      </c>
      <c r="AP247" t="b">
        <f>OR(AND(IF(metadata!N247="",FALSE,TRUE),OR(EXACT(metadata!N247,"not applicable"),EXACT(metadata!N247,"missing: not collected"),EXACT(metadata!N247,"missing: not provided"))),AND(IF(metadata!N247="",FALSE,IF(ISERROR(INT(metadata!N247)),FALSE,INT(metadata!N247)=metadata!N247)),metadata!N247&gt;0))</f>
        <v>0</v>
      </c>
      <c r="AQ247" t="b">
        <f>AND(IF(metadata!O247="",FALSE,TRUE),EXACT(metadata!O247,"Not applicable"))</f>
        <v>0</v>
      </c>
      <c r="AR247" t="b">
        <f>OR(AND(IF(metadata!P247="",FALSE,TRUE),OR(EXACT(metadata!P247,"not applicable"),EXACT(metadata!P247,"missing: not collected"),EXACT(metadata!P247,"missing: not provided"),EXACT(metadata!P247,"missing: restricted access"))),IF(metadata!P247="",FALSE,IF(ISERROR(INT(metadata!P247)),FALSE,INT(metadata!P247)=metadata!P247)))</f>
        <v>0</v>
      </c>
      <c r="AS247" t="b">
        <f>AND(IF(metadata!Q247="",FALSE,TRUE),EXACT(metadata!Q247,"Not applicable"))</f>
        <v>0</v>
      </c>
      <c r="AT247" t="b">
        <f>OR(AND(IF(metadata!R247="",FALSE,TRUE),OR(EXACT(metadata!R247,"not applicable"),EXACT(metadata!R247,"missing: not collected"),EXACT(metadata!R247,"missing: not provided"),EXACT(metadata!R247,"missing: restricted access"))),AND(IF(metadata!R247="",FALSE,ISNUMBER(VALUE(metadata!R247))),metadata!R247&gt;0))</f>
        <v>0</v>
      </c>
      <c r="AU247" t="b">
        <f>AND(IF(metadata!S247="",FALSE,TRUE),EXACT(metadata!S247,"missing: not provided"))</f>
        <v>0</v>
      </c>
    </row>
    <row r="248" spans="1:47" x14ac:dyDescent="0.2">
      <c r="A248" s="5" t="str">
        <f ca="1">IF(B248=" "," ",HYPERLINK(CONCATENATE("#metadata!",ADDRESS(INDEX($Y$2:$Y$1001,MATCH(ROWS($W$2:W248),$W$2:$W$1001,0),0),1)),INDEX($AB$2:$AB$1001,MATCH(ROWS($W$2:W248),$W$2:$W$1001,0),0)))</f>
        <v xml:space="preserve"> </v>
      </c>
      <c r="B248" s="4" t="str">
        <f ca="1">IF(OR(INDEX($X$2:$X$1001,MATCH(ROWS($W$2:W248),$W$2:$W$1001,0),1)&gt;=100000,INDEX($AD$1005:$AU$1005,1,MATCH(COLUMNS($AD$1006:AD1006),$AD$1006:$AU$1006,0))&gt;=100000), " ",IF(INDEX($AD$2:$AU$1001,MATCH(ROWS($W$2:W248),$W$2:$W$1001,0),MATCH(COLUMNS($AD$1006:AD1006),$AD$1006:$AU$1006,0)), HYPERLINK("#",""), HYPERLINK(CONCATENATE("#metadata!", ADDRESS(INDEX($Y$2:$Y$1001,MATCH(ROWS($W$2:W248),$W$2:$W$1001,0),0), INDEX($AD$1004:$AU$1004,1,MATCH(COLUMNS($AD$1006:AD1006),$AD$1006:$AU$1006,0)))),"Fix")))</f>
        <v xml:space="preserve"> </v>
      </c>
      <c r="C248" s="4" t="str">
        <f ca="1">IF(OR(INDEX($X$2:$X$1001,MATCH(ROWS($W$2:W248),$W$2:$W$1001,0),1)&gt;=100000,INDEX($AD$1005:$AU$1005,1,MATCH(COLUMNS($AD$1006:AE1006),$AD$1006:$AU$1006,0))&gt;=100000), " ",IF(INDEX($AD$2:$AU$1001,MATCH(ROWS($W$2:W248),$W$2:$W$1001,0),MATCH(COLUMNS($AD$1006:AE1006),$AD$1006:$AU$1006,0)), HYPERLINK("#",""), HYPERLINK(CONCATENATE("#metadata!", ADDRESS(INDEX($Y$2:$Y$1001,MATCH(ROWS($W$2:W248),$W$2:$W$1001,0),0), INDEX($AD$1004:$AU$1004,1,MATCH(COLUMNS($AD$1006:AE1006),$AD$1006:$AU$1006,0)))),"Fix")))</f>
        <v xml:space="preserve"> </v>
      </c>
      <c r="D248" s="4" t="str">
        <f ca="1">IF(OR(INDEX($X$2:$X$1001,MATCH(ROWS($W$2:W248),$W$2:$W$1001,0),1)&gt;=100000,INDEX($AD$1005:$AU$1005,1,MATCH(COLUMNS($AD$1006:AF1006),$AD$1006:$AU$1006,0))&gt;=100000), " ",IF(INDEX($AD$2:$AU$1001,MATCH(ROWS($W$2:W248),$W$2:$W$1001,0),MATCH(COLUMNS($AD$1006:AF1006),$AD$1006:$AU$1006,0)), HYPERLINK("#",""), HYPERLINK(CONCATENATE("#metadata!", ADDRESS(INDEX($Y$2:$Y$1001,MATCH(ROWS($W$2:W248),$W$2:$W$1001,0),0), INDEX($AD$1004:$AU$1004,1,MATCH(COLUMNS($AD$1006:AF1006),$AD$1006:$AU$1006,0)))),"Fix")))</f>
        <v xml:space="preserve"> </v>
      </c>
      <c r="E248" s="4" t="str">
        <f ca="1">IF(OR(INDEX($X$2:$X$1001,MATCH(ROWS($W$2:W248),$W$2:$W$1001,0),1)&gt;=100000,INDEX($AD$1005:$AU$1005,1,MATCH(COLUMNS($AD$1006:AG1006),$AD$1006:$AU$1006,0))&gt;=100000), " ",IF(INDEX($AD$2:$AU$1001,MATCH(ROWS($W$2:W248),$W$2:$W$1001,0),MATCH(COLUMNS($AD$1006:AG1006),$AD$1006:$AU$1006,0)), HYPERLINK("#",""), HYPERLINK(CONCATENATE("#metadata!", ADDRESS(INDEX($Y$2:$Y$1001,MATCH(ROWS($W$2:W248),$W$2:$W$1001,0),0), INDEX($AD$1004:$AU$1004,1,MATCH(COLUMNS($AD$1006:AG1006),$AD$1006:$AU$1006,0)))),"Fix")))</f>
        <v xml:space="preserve"> </v>
      </c>
      <c r="F248" s="4" t="str">
        <f ca="1">IF(OR(INDEX($X$2:$X$1001,MATCH(ROWS($W$2:W248),$W$2:$W$1001,0),1)&gt;=100000,INDEX($AD$1005:$AU$1005,1,MATCH(COLUMNS($AD$1006:AH1006),$AD$1006:$AU$1006,0))&gt;=100000), " ",IF(INDEX($AD$2:$AU$1001,MATCH(ROWS($W$2:W248),$W$2:$W$1001,0),MATCH(COLUMNS($AD$1006:AH1006),$AD$1006:$AU$1006,0)), HYPERLINK("#",""), HYPERLINK(CONCATENATE("#metadata!", ADDRESS(INDEX($Y$2:$Y$1001,MATCH(ROWS($W$2:W248),$W$2:$W$1001,0),0), INDEX($AD$1004:$AU$1004,1,MATCH(COLUMNS($AD$1006:AH1006),$AD$1006:$AU$1006,0)))),"Fix")))</f>
        <v xml:space="preserve"> </v>
      </c>
      <c r="G248" s="4" t="str">
        <f ca="1">IF(OR(INDEX($X$2:$X$1001,MATCH(ROWS($W$2:W248),$W$2:$W$1001,0),1)&gt;=100000,INDEX($AD$1005:$AU$1005,1,MATCH(COLUMNS($AD$1006:AI1006),$AD$1006:$AU$1006,0))&gt;=100000), " ",IF(INDEX($AD$2:$AU$1001,MATCH(ROWS($W$2:W248),$W$2:$W$1001,0),MATCH(COLUMNS($AD$1006:AI1006),$AD$1006:$AU$1006,0)), HYPERLINK("#",""), HYPERLINK(CONCATENATE("#metadata!", ADDRESS(INDEX($Y$2:$Y$1001,MATCH(ROWS($W$2:W248),$W$2:$W$1001,0),0), INDEX($AD$1004:$AU$1004,1,MATCH(COLUMNS($AD$1006:AI1006),$AD$1006:$AU$1006,0)))),"Fix")))</f>
        <v xml:space="preserve"> </v>
      </c>
      <c r="H248" s="4" t="str">
        <f ca="1">IF(OR(INDEX($X$2:$X$1001,MATCH(ROWS($W$2:W248),$W$2:$W$1001,0),1)&gt;=100000,INDEX($AD$1005:$AU$1005,1,MATCH(COLUMNS($AD$1006:AJ1006),$AD$1006:$AU$1006,0))&gt;=100000), " ",IF(INDEX($AD$2:$AU$1001,MATCH(ROWS($W$2:W248),$W$2:$W$1001,0),MATCH(COLUMNS($AD$1006:AJ1006),$AD$1006:$AU$1006,0)), HYPERLINK("#",""), HYPERLINK(CONCATENATE("#metadata!", ADDRESS(INDEX($Y$2:$Y$1001,MATCH(ROWS($W$2:W248),$W$2:$W$1001,0),0), INDEX($AD$1004:$AU$1004,1,MATCH(COLUMNS($AD$1006:AJ1006),$AD$1006:$AU$1006,0)))),"Fix")))</f>
        <v xml:space="preserve"> </v>
      </c>
      <c r="I248" s="4" t="str">
        <f ca="1">IF(OR(INDEX($X$2:$X$1001,MATCH(ROWS($W$2:W248),$W$2:$W$1001,0),1)&gt;=100000,INDEX($AD$1005:$AU$1005,1,MATCH(COLUMNS($AD$1006:AK1006),$AD$1006:$AU$1006,0))&gt;=100000), " ",IF(INDEX($AD$2:$AU$1001,MATCH(ROWS($W$2:W248),$W$2:$W$1001,0),MATCH(COLUMNS($AD$1006:AK1006),$AD$1006:$AU$1006,0)), HYPERLINK("#",""), HYPERLINK(CONCATENATE("#metadata!", ADDRESS(INDEX($Y$2:$Y$1001,MATCH(ROWS($W$2:W248),$W$2:$W$1001,0),0), INDEX($AD$1004:$AU$1004,1,MATCH(COLUMNS($AD$1006:AK1006),$AD$1006:$AU$1006,0)))),"Fix")))</f>
        <v xml:space="preserve"> </v>
      </c>
      <c r="J248" s="4" t="str">
        <f ca="1">IF(OR(INDEX($X$2:$X$1001,MATCH(ROWS($W$2:W248),$W$2:$W$1001,0),1)&gt;=100000,INDEX($AD$1005:$AU$1005,1,MATCH(COLUMNS($AD$1006:AL1006),$AD$1006:$AU$1006,0))&gt;=100000), " ",IF(INDEX($AD$2:$AU$1001,MATCH(ROWS($W$2:W248),$W$2:$W$1001,0),MATCH(COLUMNS($AD$1006:AL1006),$AD$1006:$AU$1006,0)), HYPERLINK("#",""), HYPERLINK(CONCATENATE("#metadata!", ADDRESS(INDEX($Y$2:$Y$1001,MATCH(ROWS($W$2:W248),$W$2:$W$1001,0),0), INDEX($AD$1004:$AU$1004,1,MATCH(COLUMNS($AD$1006:AL1006),$AD$1006:$AU$1006,0)))),"Fix")))</f>
        <v xml:space="preserve"> </v>
      </c>
      <c r="K248" s="4" t="str">
        <f ca="1">IF(OR(INDEX($X$2:$X$1001,MATCH(ROWS($W$2:W248),$W$2:$W$1001,0),1)&gt;=100000,INDEX($AD$1005:$AU$1005,1,MATCH(COLUMNS($AD$1006:AM1006),$AD$1006:$AU$1006,0))&gt;=100000), " ",IF(INDEX($AD$2:$AU$1001,MATCH(ROWS($W$2:W248),$W$2:$W$1001,0),MATCH(COLUMNS($AD$1006:AM1006),$AD$1006:$AU$1006,0)), HYPERLINK("#",""), HYPERLINK(CONCATENATE("#metadata!", ADDRESS(INDEX($Y$2:$Y$1001,MATCH(ROWS($W$2:W248),$W$2:$W$1001,0),0), INDEX($AD$1004:$AU$1004,1,MATCH(COLUMNS($AD$1006:AM1006),$AD$1006:$AU$1006,0)))),"Fix")))</f>
        <v xml:space="preserve"> </v>
      </c>
      <c r="L248" s="4" t="str">
        <f ca="1">IF(OR(INDEX($X$2:$X$1001,MATCH(ROWS($W$2:W248),$W$2:$W$1001,0),1)&gt;=100000,INDEX($AD$1005:$AU$1005,1,MATCH(COLUMNS($AD$1006:AN1006),$AD$1006:$AU$1006,0))&gt;=100000), " ",IF(INDEX($AD$2:$AU$1001,MATCH(ROWS($W$2:W248),$W$2:$W$1001,0),MATCH(COLUMNS($AD$1006:AN1006),$AD$1006:$AU$1006,0)), HYPERLINK("#",""), HYPERLINK(CONCATENATE("#metadata!", ADDRESS(INDEX($Y$2:$Y$1001,MATCH(ROWS($W$2:W248),$W$2:$W$1001,0),0), INDEX($AD$1004:$AU$1004,1,MATCH(COLUMNS($AD$1006:AN1006),$AD$1006:$AU$1006,0)))),"Fix")))</f>
        <v xml:space="preserve"> </v>
      </c>
      <c r="M248" s="4" t="str">
        <f ca="1">IF(OR(INDEX($X$2:$X$1001,MATCH(ROWS($W$2:W248),$W$2:$W$1001,0),1)&gt;=100000,INDEX($AD$1005:$AU$1005,1,MATCH(COLUMNS($AD$1006:AO1006),$AD$1006:$AU$1006,0))&gt;=100000), " ",IF(INDEX($AD$2:$AU$1001,MATCH(ROWS($W$2:W248),$W$2:$W$1001,0),MATCH(COLUMNS($AD$1006:AO1006),$AD$1006:$AU$1006,0)), HYPERLINK("#",""), HYPERLINK(CONCATENATE("#metadata!", ADDRESS(INDEX($Y$2:$Y$1001,MATCH(ROWS($W$2:W248),$W$2:$W$1001,0),0), INDEX($AD$1004:$AU$1004,1,MATCH(COLUMNS($AD$1006:AO1006),$AD$1006:$AU$1006,0)))),"Fix")))</f>
        <v xml:space="preserve"> </v>
      </c>
      <c r="N248" s="4" t="str">
        <f ca="1">IF(OR(INDEX($X$2:$X$1001,MATCH(ROWS($W$2:W248),$W$2:$W$1001,0),1)&gt;=100000,INDEX($AD$1005:$AU$1005,1,MATCH(COLUMNS($AD$1006:AP1006),$AD$1006:$AU$1006,0))&gt;=100000), " ",IF(INDEX($AD$2:$AU$1001,MATCH(ROWS($W$2:W248),$W$2:$W$1001,0),MATCH(COLUMNS($AD$1006:AP1006),$AD$1006:$AU$1006,0)), HYPERLINK("#",""), HYPERLINK(CONCATENATE("#metadata!", ADDRESS(INDEX($Y$2:$Y$1001,MATCH(ROWS($W$2:W248),$W$2:$W$1001,0),0), INDEX($AD$1004:$AU$1004,1,MATCH(COLUMNS($AD$1006:AP1006),$AD$1006:$AU$1006,0)))),"Fix")))</f>
        <v xml:space="preserve"> </v>
      </c>
      <c r="O248" s="4" t="str">
        <f ca="1">IF(OR(INDEX($X$2:$X$1001,MATCH(ROWS($W$2:W248),$W$2:$W$1001,0),1)&gt;=100000,INDEX($AD$1005:$AU$1005,1,MATCH(COLUMNS($AD$1006:AQ1006),$AD$1006:$AU$1006,0))&gt;=100000), " ",IF(INDEX($AD$2:$AU$1001,MATCH(ROWS($W$2:W248),$W$2:$W$1001,0),MATCH(COLUMNS($AD$1006:AQ1006),$AD$1006:$AU$1006,0)), HYPERLINK("#",""), HYPERLINK(CONCATENATE("#metadata!", ADDRESS(INDEX($Y$2:$Y$1001,MATCH(ROWS($W$2:W248),$W$2:$W$1001,0),0), INDEX($AD$1004:$AU$1004,1,MATCH(COLUMNS($AD$1006:AQ1006),$AD$1006:$AU$1006,0)))),"Fix")))</f>
        <v xml:space="preserve"> </v>
      </c>
      <c r="P248" s="4" t="str">
        <f ca="1">IF(OR(INDEX($X$2:$X$1001,MATCH(ROWS($W$2:W248),$W$2:$W$1001,0),1)&gt;=100000,INDEX($AD$1005:$AU$1005,1,MATCH(COLUMNS($AD$1006:AR1006),$AD$1006:$AU$1006,0))&gt;=100000), " ",IF(INDEX($AD$2:$AU$1001,MATCH(ROWS($W$2:W248),$W$2:$W$1001,0),MATCH(COLUMNS($AD$1006:AR1006),$AD$1006:$AU$1006,0)), HYPERLINK("#",""), HYPERLINK(CONCATENATE("#metadata!", ADDRESS(INDEX($Y$2:$Y$1001,MATCH(ROWS($W$2:W248),$W$2:$W$1001,0),0), INDEX($AD$1004:$AU$1004,1,MATCH(COLUMNS($AD$1006:AR1006),$AD$1006:$AU$1006,0)))),"Fix")))</f>
        <v xml:space="preserve"> </v>
      </c>
      <c r="Q248" s="4" t="str">
        <f ca="1">IF(OR(INDEX($X$2:$X$1001,MATCH(ROWS($W$2:W248),$W$2:$W$1001,0),1)&gt;=100000,INDEX($AD$1005:$AU$1005,1,MATCH(COLUMNS($AD$1006:AS1006),$AD$1006:$AU$1006,0))&gt;=100000), " ",IF(INDEX($AD$2:$AU$1001,MATCH(ROWS($W$2:W248),$W$2:$W$1001,0),MATCH(COLUMNS($AD$1006:AS1006),$AD$1006:$AU$1006,0)), HYPERLINK("#",""), HYPERLINK(CONCATENATE("#metadata!", ADDRESS(INDEX($Y$2:$Y$1001,MATCH(ROWS($W$2:W248),$W$2:$W$1001,0),0), INDEX($AD$1004:$AU$1004,1,MATCH(COLUMNS($AD$1006:AS1006),$AD$1006:$AU$1006,0)))),"Fix")))</f>
        <v xml:space="preserve"> </v>
      </c>
      <c r="R248" s="4" t="str">
        <f ca="1">IF(OR(INDEX($X$2:$X$1001,MATCH(ROWS($W$2:W248),$W$2:$W$1001,0),1)&gt;=100000,INDEX($AD$1005:$AU$1005,1,MATCH(COLUMNS($AD$1006:AT1006),$AD$1006:$AU$1006,0))&gt;=100000), " ",IF(INDEX($AD$2:$AU$1001,MATCH(ROWS($W$2:W248),$W$2:$W$1001,0),MATCH(COLUMNS($AD$1006:AT1006),$AD$1006:$AU$1006,0)), HYPERLINK("#",""), HYPERLINK(CONCATENATE("#metadata!", ADDRESS(INDEX($Y$2:$Y$1001,MATCH(ROWS($W$2:W248),$W$2:$W$1001,0),0), INDEX($AD$1004:$AU$1004,1,MATCH(COLUMNS($AD$1006:AT1006),$AD$1006:$AU$1006,0)))),"Fix")))</f>
        <v xml:space="preserve"> </v>
      </c>
      <c r="S248" s="4" t="str">
        <f ca="1">IF(OR(INDEX($X$2:$X$1001,MATCH(ROWS($W$2:W248),$W$2:$W$1001,0),1)&gt;=100000,INDEX($AD$1005:$AU$1005,1,MATCH(COLUMNS($AD$1006:AU1006),$AD$1006:$AU$1006,0))&gt;=100000), " ",IF(INDEX($AD$2:$AU$1001,MATCH(ROWS($W$2:W248),$W$2:$W$1001,0),MATCH(COLUMNS($AD$1006:AU1006),$AD$1006:$AU$1006,0)), HYPERLINK("#",""), HYPERLINK(CONCATENATE("#metadata!", ADDRESS(INDEX($Y$2:$Y$1001,MATCH(ROWS($W$2:W248),$W$2:$W$1001,0),0), INDEX($AD$1004:$AU$1004,1,MATCH(COLUMNS($AD$1006:AU1006),$AD$1006:$AU$1006,0)))),"Fix")))</f>
        <v xml:space="preserve"> </v>
      </c>
      <c r="W248">
        <v>247</v>
      </c>
      <c r="X248">
        <v>100248</v>
      </c>
      <c r="Y248">
        <v>248</v>
      </c>
      <c r="Z248" t="b">
        <f t="shared" si="3"/>
        <v>1</v>
      </c>
      <c r="AA248" t="b">
        <f>COUNTBLANK(metadata!B248:S248)=COLUMNS(metadata!B248:S248)</f>
        <v>1</v>
      </c>
      <c r="AB248" t="str">
        <v/>
      </c>
      <c r="AD248" t="b">
        <f ca="1">AND(IF(metadata!B248="",FALSE,TRUE),COUNTIF(metadata!B:B, metadata!B248) = 1,NOT(ISERROR(SUMPRODUCT(SEARCH(MID(metadata!B248,ROW(INDIRECT("1:"&amp;LEN(metadata!B248))), 1),"0123456789abcdefghijklmnopqrstuvwxyzABCDEFGHIJKLMNOPQRSTUVWXYZ.")))))</f>
        <v>0</v>
      </c>
      <c r="AE248" t="b">
        <f>OR(AND(IF(metadata!C248="",FALSE,TRUE),OR(EXACT(metadata!C248,"not applicable"),EXACT(metadata!C248,"missing: not collected"),EXACT(metadata!C248,"missing: not provided"),EXACT(metadata!C248,"missing: restricted access"))),AND(IF(metadata!C248="",FALSE,ISNUMBER(VALUE(metadata!C248))),metadata!C248&gt;0))</f>
        <v>0</v>
      </c>
      <c r="AF248" t="b">
        <f>AND(IF(metadata!D248="",FALSE,TRUE),EXACT(metadata!D248,"missing: not provided"))</f>
        <v>0</v>
      </c>
      <c r="AG248" t="b">
        <f>AND(IF(metadata!E248="",FALSE,TRUE),EXACT(metadata!E248,"Host-associated"))</f>
        <v>0</v>
      </c>
      <c r="AH248" t="b">
        <f>AND(IF(metadata!F248="",FALSE,TRUE),OR(EXACT(metadata!F248,"Animal"),EXACT(metadata!F248,"Fungus"),EXACT(metadata!F248,"Plant")))</f>
        <v>0</v>
      </c>
      <c r="AI248" t="b">
        <f>AND(IF(metadata!G248="",FALSE,TRUE),OR(EXACT(metadata!G248,"Plant secretion"),EXACT(metadata!G248,"Plant rhizosphere"),EXACT(metadata!G248,"Plant surface"),EXACT(metadata!G248,"Plant corpus"),EXACT(metadata!G248,"Fungus surface"),EXACT(metadata!G248,"Fungus corpus"),EXACT(metadata!G248,"Animal surface"),EXACT(metadata!G248,"Animal proximal gut"),EXACT(metadata!G248,"Animal corpus"),EXACT(metadata!G248,"Animal distal gut"),EXACT(metadata!G248,"Animal secretion")))</f>
        <v>0</v>
      </c>
      <c r="AJ248" t="b">
        <f>OR(AND(IF(metadata!H248="",FALSE,TRUE),OR(EXACT(metadata!H248,"missing: not collected"),EXACT(metadata!H248,"missing: not provided"),EXACT(metadata!H248,"missing: restricted access"))),AND(IF(metadata!H248="",FALSE,TRUE),OR(EXACT(metadata!H248,"organism-associated habitat"),EXACT(metadata!H248,"plant-associated habitat"),EXACT(metadata!H248,"animal-associated habitat"),EXACT(metadata!H248,"insecta-associated habitat"),EXACT(metadata!H248,"mammalia-associated habitat"),EXACT(metadata!H248,"human-associated habitat"),EXACT(metadata!H248,"livestock-associated habitat"))))</f>
        <v>0</v>
      </c>
      <c r="AK248" t="b">
        <f>AND(IF(metadata!I248="",FALSE,TRUE),EXACT(metadata!I248,"host-associated"))</f>
        <v>0</v>
      </c>
      <c r="AL248" t="b">
        <f>OR(AND(IF(metadata!J248="",FALSE,TRUE),OR(EXACT(metadata!J248,"not applicable"),EXACT(metadata!J248,"missing: not collected"),EXACT(metadata!J248,"missing: not provided"),EXACT(metadata!J248,"missing: restricted access"))),AND(IF(metadata!J248="",FALSE,ISNUMBER(VALUE(metadata!J248))),metadata!J248&gt;0))</f>
        <v>0</v>
      </c>
      <c r="AM248" t="b">
        <f>AND(IF(metadata!K248="",FALSE,TRUE),EXACT(metadata!K248,"missing: not provided"))</f>
        <v>0</v>
      </c>
      <c r="AN248" t="b">
        <f>IF(metadata!L248="",FALSE,TRUE)</f>
        <v>0</v>
      </c>
      <c r="AO248" t="b">
        <f>IF(metadata!M248="",FALSE,TRUE)</f>
        <v>0</v>
      </c>
      <c r="AP248" t="b">
        <f>OR(AND(IF(metadata!N248="",FALSE,TRUE),OR(EXACT(metadata!N248,"not applicable"),EXACT(metadata!N248,"missing: not collected"),EXACT(metadata!N248,"missing: not provided"))),AND(IF(metadata!N248="",FALSE,IF(ISERROR(INT(metadata!N248)),FALSE,INT(metadata!N248)=metadata!N248)),metadata!N248&gt;0))</f>
        <v>0</v>
      </c>
      <c r="AQ248" t="b">
        <f>AND(IF(metadata!O248="",FALSE,TRUE),EXACT(metadata!O248,"Not applicable"))</f>
        <v>0</v>
      </c>
      <c r="AR248" t="b">
        <f>OR(AND(IF(metadata!P248="",FALSE,TRUE),OR(EXACT(metadata!P248,"not applicable"),EXACT(metadata!P248,"missing: not collected"),EXACT(metadata!P248,"missing: not provided"),EXACT(metadata!P248,"missing: restricted access"))),IF(metadata!P248="",FALSE,IF(ISERROR(INT(metadata!P248)),FALSE,INT(metadata!P248)=metadata!P248)))</f>
        <v>0</v>
      </c>
      <c r="AS248" t="b">
        <f>AND(IF(metadata!Q248="",FALSE,TRUE),EXACT(metadata!Q248,"Not applicable"))</f>
        <v>0</v>
      </c>
      <c r="AT248" t="b">
        <f>OR(AND(IF(metadata!R248="",FALSE,TRUE),OR(EXACT(metadata!R248,"not applicable"),EXACT(metadata!R248,"missing: not collected"),EXACT(metadata!R248,"missing: not provided"),EXACT(metadata!R248,"missing: restricted access"))),AND(IF(metadata!R248="",FALSE,ISNUMBER(VALUE(metadata!R248))),metadata!R248&gt;0))</f>
        <v>0</v>
      </c>
      <c r="AU248" t="b">
        <f>AND(IF(metadata!S248="",FALSE,TRUE),EXACT(metadata!S248,"missing: not provided"))</f>
        <v>0</v>
      </c>
    </row>
    <row r="249" spans="1:47" x14ac:dyDescent="0.2">
      <c r="A249" s="5" t="str">
        <f ca="1">IF(B249=" "," ",HYPERLINK(CONCATENATE("#metadata!",ADDRESS(INDEX($Y$2:$Y$1001,MATCH(ROWS($W$2:W249),$W$2:$W$1001,0),0),1)),INDEX($AB$2:$AB$1001,MATCH(ROWS($W$2:W249),$W$2:$W$1001,0),0)))</f>
        <v xml:space="preserve"> </v>
      </c>
      <c r="B249" s="4" t="str">
        <f ca="1">IF(OR(INDEX($X$2:$X$1001,MATCH(ROWS($W$2:W249),$W$2:$W$1001,0),1)&gt;=100000,INDEX($AD$1005:$AU$1005,1,MATCH(COLUMNS($AD$1006:AD1006),$AD$1006:$AU$1006,0))&gt;=100000), " ",IF(INDEX($AD$2:$AU$1001,MATCH(ROWS($W$2:W249),$W$2:$W$1001,0),MATCH(COLUMNS($AD$1006:AD1006),$AD$1006:$AU$1006,0)), HYPERLINK("#",""), HYPERLINK(CONCATENATE("#metadata!", ADDRESS(INDEX($Y$2:$Y$1001,MATCH(ROWS($W$2:W249),$W$2:$W$1001,0),0), INDEX($AD$1004:$AU$1004,1,MATCH(COLUMNS($AD$1006:AD1006),$AD$1006:$AU$1006,0)))),"Fix")))</f>
        <v xml:space="preserve"> </v>
      </c>
      <c r="C249" s="4" t="str">
        <f ca="1">IF(OR(INDEX($X$2:$X$1001,MATCH(ROWS($W$2:W249),$W$2:$W$1001,0),1)&gt;=100000,INDEX($AD$1005:$AU$1005,1,MATCH(COLUMNS($AD$1006:AE1006),$AD$1006:$AU$1006,0))&gt;=100000), " ",IF(INDEX($AD$2:$AU$1001,MATCH(ROWS($W$2:W249),$W$2:$W$1001,0),MATCH(COLUMNS($AD$1006:AE1006),$AD$1006:$AU$1006,0)), HYPERLINK("#",""), HYPERLINK(CONCATENATE("#metadata!", ADDRESS(INDEX($Y$2:$Y$1001,MATCH(ROWS($W$2:W249),$W$2:$W$1001,0),0), INDEX($AD$1004:$AU$1004,1,MATCH(COLUMNS($AD$1006:AE1006),$AD$1006:$AU$1006,0)))),"Fix")))</f>
        <v xml:space="preserve"> </v>
      </c>
      <c r="D249" s="4" t="str">
        <f ca="1">IF(OR(INDEX($X$2:$X$1001,MATCH(ROWS($W$2:W249),$W$2:$W$1001,0),1)&gt;=100000,INDEX($AD$1005:$AU$1005,1,MATCH(COLUMNS($AD$1006:AF1006),$AD$1006:$AU$1006,0))&gt;=100000), " ",IF(INDEX($AD$2:$AU$1001,MATCH(ROWS($W$2:W249),$W$2:$W$1001,0),MATCH(COLUMNS($AD$1006:AF1006),$AD$1006:$AU$1006,0)), HYPERLINK("#",""), HYPERLINK(CONCATENATE("#metadata!", ADDRESS(INDEX($Y$2:$Y$1001,MATCH(ROWS($W$2:W249),$W$2:$W$1001,0),0), INDEX($AD$1004:$AU$1004,1,MATCH(COLUMNS($AD$1006:AF1006),$AD$1006:$AU$1006,0)))),"Fix")))</f>
        <v xml:space="preserve"> </v>
      </c>
      <c r="E249" s="4" t="str">
        <f ca="1">IF(OR(INDEX($X$2:$X$1001,MATCH(ROWS($W$2:W249),$W$2:$W$1001,0),1)&gt;=100000,INDEX($AD$1005:$AU$1005,1,MATCH(COLUMNS($AD$1006:AG1006),$AD$1006:$AU$1006,0))&gt;=100000), " ",IF(INDEX($AD$2:$AU$1001,MATCH(ROWS($W$2:W249),$W$2:$W$1001,0),MATCH(COLUMNS($AD$1006:AG1006),$AD$1006:$AU$1006,0)), HYPERLINK("#",""), HYPERLINK(CONCATENATE("#metadata!", ADDRESS(INDEX($Y$2:$Y$1001,MATCH(ROWS($W$2:W249),$W$2:$W$1001,0),0), INDEX($AD$1004:$AU$1004,1,MATCH(COLUMNS($AD$1006:AG1006),$AD$1006:$AU$1006,0)))),"Fix")))</f>
        <v xml:space="preserve"> </v>
      </c>
      <c r="F249" s="4" t="str">
        <f ca="1">IF(OR(INDEX($X$2:$X$1001,MATCH(ROWS($W$2:W249),$W$2:$W$1001,0),1)&gt;=100000,INDEX($AD$1005:$AU$1005,1,MATCH(COLUMNS($AD$1006:AH1006),$AD$1006:$AU$1006,0))&gt;=100000), " ",IF(INDEX($AD$2:$AU$1001,MATCH(ROWS($W$2:W249),$W$2:$W$1001,0),MATCH(COLUMNS($AD$1006:AH1006),$AD$1006:$AU$1006,0)), HYPERLINK("#",""), HYPERLINK(CONCATENATE("#metadata!", ADDRESS(INDEX($Y$2:$Y$1001,MATCH(ROWS($W$2:W249),$W$2:$W$1001,0),0), INDEX($AD$1004:$AU$1004,1,MATCH(COLUMNS($AD$1006:AH1006),$AD$1006:$AU$1006,0)))),"Fix")))</f>
        <v xml:space="preserve"> </v>
      </c>
      <c r="G249" s="4" t="str">
        <f ca="1">IF(OR(INDEX($X$2:$X$1001,MATCH(ROWS($W$2:W249),$W$2:$W$1001,0),1)&gt;=100000,INDEX($AD$1005:$AU$1005,1,MATCH(COLUMNS($AD$1006:AI1006),$AD$1006:$AU$1006,0))&gt;=100000), " ",IF(INDEX($AD$2:$AU$1001,MATCH(ROWS($W$2:W249),$W$2:$W$1001,0),MATCH(COLUMNS($AD$1006:AI1006),$AD$1006:$AU$1006,0)), HYPERLINK("#",""), HYPERLINK(CONCATENATE("#metadata!", ADDRESS(INDEX($Y$2:$Y$1001,MATCH(ROWS($W$2:W249),$W$2:$W$1001,0),0), INDEX($AD$1004:$AU$1004,1,MATCH(COLUMNS($AD$1006:AI1006),$AD$1006:$AU$1006,0)))),"Fix")))</f>
        <v xml:space="preserve"> </v>
      </c>
      <c r="H249" s="4" t="str">
        <f ca="1">IF(OR(INDEX($X$2:$X$1001,MATCH(ROWS($W$2:W249),$W$2:$W$1001,0),1)&gt;=100000,INDEX($AD$1005:$AU$1005,1,MATCH(COLUMNS($AD$1006:AJ1006),$AD$1006:$AU$1006,0))&gt;=100000), " ",IF(INDEX($AD$2:$AU$1001,MATCH(ROWS($W$2:W249),$W$2:$W$1001,0),MATCH(COLUMNS($AD$1006:AJ1006),$AD$1006:$AU$1006,0)), HYPERLINK("#",""), HYPERLINK(CONCATENATE("#metadata!", ADDRESS(INDEX($Y$2:$Y$1001,MATCH(ROWS($W$2:W249),$W$2:$W$1001,0),0), INDEX($AD$1004:$AU$1004,1,MATCH(COLUMNS($AD$1006:AJ1006),$AD$1006:$AU$1006,0)))),"Fix")))</f>
        <v xml:space="preserve"> </v>
      </c>
      <c r="I249" s="4" t="str">
        <f ca="1">IF(OR(INDEX($X$2:$X$1001,MATCH(ROWS($W$2:W249),$W$2:$W$1001,0),1)&gt;=100000,INDEX($AD$1005:$AU$1005,1,MATCH(COLUMNS($AD$1006:AK1006),$AD$1006:$AU$1006,0))&gt;=100000), " ",IF(INDEX($AD$2:$AU$1001,MATCH(ROWS($W$2:W249),$W$2:$W$1001,0),MATCH(COLUMNS($AD$1006:AK1006),$AD$1006:$AU$1006,0)), HYPERLINK("#",""), HYPERLINK(CONCATENATE("#metadata!", ADDRESS(INDEX($Y$2:$Y$1001,MATCH(ROWS($W$2:W249),$W$2:$W$1001,0),0), INDEX($AD$1004:$AU$1004,1,MATCH(COLUMNS($AD$1006:AK1006),$AD$1006:$AU$1006,0)))),"Fix")))</f>
        <v xml:space="preserve"> </v>
      </c>
      <c r="J249" s="4" t="str">
        <f ca="1">IF(OR(INDEX($X$2:$X$1001,MATCH(ROWS($W$2:W249),$W$2:$W$1001,0),1)&gt;=100000,INDEX($AD$1005:$AU$1005,1,MATCH(COLUMNS($AD$1006:AL1006),$AD$1006:$AU$1006,0))&gt;=100000), " ",IF(INDEX($AD$2:$AU$1001,MATCH(ROWS($W$2:W249),$W$2:$W$1001,0),MATCH(COLUMNS($AD$1006:AL1006),$AD$1006:$AU$1006,0)), HYPERLINK("#",""), HYPERLINK(CONCATENATE("#metadata!", ADDRESS(INDEX($Y$2:$Y$1001,MATCH(ROWS($W$2:W249),$W$2:$W$1001,0),0), INDEX($AD$1004:$AU$1004,1,MATCH(COLUMNS($AD$1006:AL1006),$AD$1006:$AU$1006,0)))),"Fix")))</f>
        <v xml:space="preserve"> </v>
      </c>
      <c r="K249" s="4" t="str">
        <f ca="1">IF(OR(INDEX($X$2:$X$1001,MATCH(ROWS($W$2:W249),$W$2:$W$1001,0),1)&gt;=100000,INDEX($AD$1005:$AU$1005,1,MATCH(COLUMNS($AD$1006:AM1006),$AD$1006:$AU$1006,0))&gt;=100000), " ",IF(INDEX($AD$2:$AU$1001,MATCH(ROWS($W$2:W249),$W$2:$W$1001,0),MATCH(COLUMNS($AD$1006:AM1006),$AD$1006:$AU$1006,0)), HYPERLINK("#",""), HYPERLINK(CONCATENATE("#metadata!", ADDRESS(INDEX($Y$2:$Y$1001,MATCH(ROWS($W$2:W249),$W$2:$W$1001,0),0), INDEX($AD$1004:$AU$1004,1,MATCH(COLUMNS($AD$1006:AM1006),$AD$1006:$AU$1006,0)))),"Fix")))</f>
        <v xml:space="preserve"> </v>
      </c>
      <c r="L249" s="4" t="str">
        <f ca="1">IF(OR(INDEX($X$2:$X$1001,MATCH(ROWS($W$2:W249),$W$2:$W$1001,0),1)&gt;=100000,INDEX($AD$1005:$AU$1005,1,MATCH(COLUMNS($AD$1006:AN1006),$AD$1006:$AU$1006,0))&gt;=100000), " ",IF(INDEX($AD$2:$AU$1001,MATCH(ROWS($W$2:W249),$W$2:$W$1001,0),MATCH(COLUMNS($AD$1006:AN1006),$AD$1006:$AU$1006,0)), HYPERLINK("#",""), HYPERLINK(CONCATENATE("#metadata!", ADDRESS(INDEX($Y$2:$Y$1001,MATCH(ROWS($W$2:W249),$W$2:$W$1001,0),0), INDEX($AD$1004:$AU$1004,1,MATCH(COLUMNS($AD$1006:AN1006),$AD$1006:$AU$1006,0)))),"Fix")))</f>
        <v xml:space="preserve"> </v>
      </c>
      <c r="M249" s="4" t="str">
        <f ca="1">IF(OR(INDEX($X$2:$X$1001,MATCH(ROWS($W$2:W249),$W$2:$W$1001,0),1)&gt;=100000,INDEX($AD$1005:$AU$1005,1,MATCH(COLUMNS($AD$1006:AO1006),$AD$1006:$AU$1006,0))&gt;=100000), " ",IF(INDEX($AD$2:$AU$1001,MATCH(ROWS($W$2:W249),$W$2:$W$1001,0),MATCH(COLUMNS($AD$1006:AO1006),$AD$1006:$AU$1006,0)), HYPERLINK("#",""), HYPERLINK(CONCATENATE("#metadata!", ADDRESS(INDEX($Y$2:$Y$1001,MATCH(ROWS($W$2:W249),$W$2:$W$1001,0),0), INDEX($AD$1004:$AU$1004,1,MATCH(COLUMNS($AD$1006:AO1006),$AD$1006:$AU$1006,0)))),"Fix")))</f>
        <v xml:space="preserve"> </v>
      </c>
      <c r="N249" s="4" t="str">
        <f ca="1">IF(OR(INDEX($X$2:$X$1001,MATCH(ROWS($W$2:W249),$W$2:$W$1001,0),1)&gt;=100000,INDEX($AD$1005:$AU$1005,1,MATCH(COLUMNS($AD$1006:AP1006),$AD$1006:$AU$1006,0))&gt;=100000), " ",IF(INDEX($AD$2:$AU$1001,MATCH(ROWS($W$2:W249),$W$2:$W$1001,0),MATCH(COLUMNS($AD$1006:AP1006),$AD$1006:$AU$1006,0)), HYPERLINK("#",""), HYPERLINK(CONCATENATE("#metadata!", ADDRESS(INDEX($Y$2:$Y$1001,MATCH(ROWS($W$2:W249),$W$2:$W$1001,0),0), INDEX($AD$1004:$AU$1004,1,MATCH(COLUMNS($AD$1006:AP1006),$AD$1006:$AU$1006,0)))),"Fix")))</f>
        <v xml:space="preserve"> </v>
      </c>
      <c r="O249" s="4" t="str">
        <f ca="1">IF(OR(INDEX($X$2:$X$1001,MATCH(ROWS($W$2:W249),$W$2:$W$1001,0),1)&gt;=100000,INDEX($AD$1005:$AU$1005,1,MATCH(COLUMNS($AD$1006:AQ1006),$AD$1006:$AU$1006,0))&gt;=100000), " ",IF(INDEX($AD$2:$AU$1001,MATCH(ROWS($W$2:W249),$W$2:$W$1001,0),MATCH(COLUMNS($AD$1006:AQ1006),$AD$1006:$AU$1006,0)), HYPERLINK("#",""), HYPERLINK(CONCATENATE("#metadata!", ADDRESS(INDEX($Y$2:$Y$1001,MATCH(ROWS($W$2:W249),$W$2:$W$1001,0),0), INDEX($AD$1004:$AU$1004,1,MATCH(COLUMNS($AD$1006:AQ1006),$AD$1006:$AU$1006,0)))),"Fix")))</f>
        <v xml:space="preserve"> </v>
      </c>
      <c r="P249" s="4" t="str">
        <f ca="1">IF(OR(INDEX($X$2:$X$1001,MATCH(ROWS($W$2:W249),$W$2:$W$1001,0),1)&gt;=100000,INDEX($AD$1005:$AU$1005,1,MATCH(COLUMNS($AD$1006:AR1006),$AD$1006:$AU$1006,0))&gt;=100000), " ",IF(INDEX($AD$2:$AU$1001,MATCH(ROWS($W$2:W249),$W$2:$W$1001,0),MATCH(COLUMNS($AD$1006:AR1006),$AD$1006:$AU$1006,0)), HYPERLINK("#",""), HYPERLINK(CONCATENATE("#metadata!", ADDRESS(INDEX($Y$2:$Y$1001,MATCH(ROWS($W$2:W249),$W$2:$W$1001,0),0), INDEX($AD$1004:$AU$1004,1,MATCH(COLUMNS($AD$1006:AR1006),$AD$1006:$AU$1006,0)))),"Fix")))</f>
        <v xml:space="preserve"> </v>
      </c>
      <c r="Q249" s="4" t="str">
        <f ca="1">IF(OR(INDEX($X$2:$X$1001,MATCH(ROWS($W$2:W249),$W$2:$W$1001,0),1)&gt;=100000,INDEX($AD$1005:$AU$1005,1,MATCH(COLUMNS($AD$1006:AS1006),$AD$1006:$AU$1006,0))&gt;=100000), " ",IF(INDEX($AD$2:$AU$1001,MATCH(ROWS($W$2:W249),$W$2:$W$1001,0),MATCH(COLUMNS($AD$1006:AS1006),$AD$1006:$AU$1006,0)), HYPERLINK("#",""), HYPERLINK(CONCATENATE("#metadata!", ADDRESS(INDEX($Y$2:$Y$1001,MATCH(ROWS($W$2:W249),$W$2:$W$1001,0),0), INDEX($AD$1004:$AU$1004,1,MATCH(COLUMNS($AD$1006:AS1006),$AD$1006:$AU$1006,0)))),"Fix")))</f>
        <v xml:space="preserve"> </v>
      </c>
      <c r="R249" s="4" t="str">
        <f ca="1">IF(OR(INDEX($X$2:$X$1001,MATCH(ROWS($W$2:W249),$W$2:$W$1001,0),1)&gt;=100000,INDEX($AD$1005:$AU$1005,1,MATCH(COLUMNS($AD$1006:AT1006),$AD$1006:$AU$1006,0))&gt;=100000), " ",IF(INDEX($AD$2:$AU$1001,MATCH(ROWS($W$2:W249),$W$2:$W$1001,0),MATCH(COLUMNS($AD$1006:AT1006),$AD$1006:$AU$1006,0)), HYPERLINK("#",""), HYPERLINK(CONCATENATE("#metadata!", ADDRESS(INDEX($Y$2:$Y$1001,MATCH(ROWS($W$2:W249),$W$2:$W$1001,0),0), INDEX($AD$1004:$AU$1004,1,MATCH(COLUMNS($AD$1006:AT1006),$AD$1006:$AU$1006,0)))),"Fix")))</f>
        <v xml:space="preserve"> </v>
      </c>
      <c r="S249" s="4" t="str">
        <f ca="1">IF(OR(INDEX($X$2:$X$1001,MATCH(ROWS($W$2:W249),$W$2:$W$1001,0),1)&gt;=100000,INDEX($AD$1005:$AU$1005,1,MATCH(COLUMNS($AD$1006:AU1006),$AD$1006:$AU$1006,0))&gt;=100000), " ",IF(INDEX($AD$2:$AU$1001,MATCH(ROWS($W$2:W249),$W$2:$W$1001,0),MATCH(COLUMNS($AD$1006:AU1006),$AD$1006:$AU$1006,0)), HYPERLINK("#",""), HYPERLINK(CONCATENATE("#metadata!", ADDRESS(INDEX($Y$2:$Y$1001,MATCH(ROWS($W$2:W249),$W$2:$W$1001,0),0), INDEX($AD$1004:$AU$1004,1,MATCH(COLUMNS($AD$1006:AU1006),$AD$1006:$AU$1006,0)))),"Fix")))</f>
        <v xml:space="preserve"> </v>
      </c>
      <c r="W249">
        <v>248</v>
      </c>
      <c r="X249">
        <v>100249</v>
      </c>
      <c r="Y249">
        <v>249</v>
      </c>
      <c r="Z249" t="b">
        <f t="shared" si="3"/>
        <v>1</v>
      </c>
      <c r="AA249" t="b">
        <f>COUNTBLANK(metadata!B249:S249)=COLUMNS(metadata!B249:S249)</f>
        <v>1</v>
      </c>
      <c r="AB249" t="str">
        <v/>
      </c>
      <c r="AD249" t="b">
        <f ca="1">AND(IF(metadata!B249="",FALSE,TRUE),COUNTIF(metadata!B:B, metadata!B249) = 1,NOT(ISERROR(SUMPRODUCT(SEARCH(MID(metadata!B249,ROW(INDIRECT("1:"&amp;LEN(metadata!B249))), 1),"0123456789abcdefghijklmnopqrstuvwxyzABCDEFGHIJKLMNOPQRSTUVWXYZ.")))))</f>
        <v>0</v>
      </c>
      <c r="AE249" t="b">
        <f>OR(AND(IF(metadata!C249="",FALSE,TRUE),OR(EXACT(metadata!C249,"not applicable"),EXACT(metadata!C249,"missing: not collected"),EXACT(metadata!C249,"missing: not provided"),EXACT(metadata!C249,"missing: restricted access"))),AND(IF(metadata!C249="",FALSE,ISNUMBER(VALUE(metadata!C249))),metadata!C249&gt;0))</f>
        <v>0</v>
      </c>
      <c r="AF249" t="b">
        <f>AND(IF(metadata!D249="",FALSE,TRUE),EXACT(metadata!D249,"missing: not provided"))</f>
        <v>0</v>
      </c>
      <c r="AG249" t="b">
        <f>AND(IF(metadata!E249="",FALSE,TRUE),EXACT(metadata!E249,"Host-associated"))</f>
        <v>0</v>
      </c>
      <c r="AH249" t="b">
        <f>AND(IF(metadata!F249="",FALSE,TRUE),OR(EXACT(metadata!F249,"Animal"),EXACT(metadata!F249,"Fungus"),EXACT(metadata!F249,"Plant")))</f>
        <v>0</v>
      </c>
      <c r="AI249" t="b">
        <f>AND(IF(metadata!G249="",FALSE,TRUE),OR(EXACT(metadata!G249,"Plant secretion"),EXACT(metadata!G249,"Plant rhizosphere"),EXACT(metadata!G249,"Plant surface"),EXACT(metadata!G249,"Plant corpus"),EXACT(metadata!G249,"Fungus surface"),EXACT(metadata!G249,"Fungus corpus"),EXACT(metadata!G249,"Animal surface"),EXACT(metadata!G249,"Animal proximal gut"),EXACT(metadata!G249,"Animal corpus"),EXACT(metadata!G249,"Animal distal gut"),EXACT(metadata!G249,"Animal secretion")))</f>
        <v>0</v>
      </c>
      <c r="AJ249" t="b">
        <f>OR(AND(IF(metadata!H249="",FALSE,TRUE),OR(EXACT(metadata!H249,"missing: not collected"),EXACT(metadata!H249,"missing: not provided"),EXACT(metadata!H249,"missing: restricted access"))),AND(IF(metadata!H249="",FALSE,TRUE),OR(EXACT(metadata!H249,"organism-associated habitat"),EXACT(metadata!H249,"plant-associated habitat"),EXACT(metadata!H249,"animal-associated habitat"),EXACT(metadata!H249,"insecta-associated habitat"),EXACT(metadata!H249,"mammalia-associated habitat"),EXACT(metadata!H249,"human-associated habitat"),EXACT(metadata!H249,"livestock-associated habitat"))))</f>
        <v>0</v>
      </c>
      <c r="AK249" t="b">
        <f>AND(IF(metadata!I249="",FALSE,TRUE),EXACT(metadata!I249,"host-associated"))</f>
        <v>0</v>
      </c>
      <c r="AL249" t="b">
        <f>OR(AND(IF(metadata!J249="",FALSE,TRUE),OR(EXACT(metadata!J249,"not applicable"),EXACT(metadata!J249,"missing: not collected"),EXACT(metadata!J249,"missing: not provided"),EXACT(metadata!J249,"missing: restricted access"))),AND(IF(metadata!J249="",FALSE,ISNUMBER(VALUE(metadata!J249))),metadata!J249&gt;0))</f>
        <v>0</v>
      </c>
      <c r="AM249" t="b">
        <f>AND(IF(metadata!K249="",FALSE,TRUE),EXACT(metadata!K249,"missing: not provided"))</f>
        <v>0</v>
      </c>
      <c r="AN249" t="b">
        <f>IF(metadata!L249="",FALSE,TRUE)</f>
        <v>0</v>
      </c>
      <c r="AO249" t="b">
        <f>IF(metadata!M249="",FALSE,TRUE)</f>
        <v>0</v>
      </c>
      <c r="AP249" t="b">
        <f>OR(AND(IF(metadata!N249="",FALSE,TRUE),OR(EXACT(metadata!N249,"not applicable"),EXACT(metadata!N249,"missing: not collected"),EXACT(metadata!N249,"missing: not provided"))),AND(IF(metadata!N249="",FALSE,IF(ISERROR(INT(metadata!N249)),FALSE,INT(metadata!N249)=metadata!N249)),metadata!N249&gt;0))</f>
        <v>0</v>
      </c>
      <c r="AQ249" t="b">
        <f>AND(IF(metadata!O249="",FALSE,TRUE),EXACT(metadata!O249,"Not applicable"))</f>
        <v>0</v>
      </c>
      <c r="AR249" t="b">
        <f>OR(AND(IF(metadata!P249="",FALSE,TRUE),OR(EXACT(metadata!P249,"not applicable"),EXACT(metadata!P249,"missing: not collected"),EXACT(metadata!P249,"missing: not provided"),EXACT(metadata!P249,"missing: restricted access"))),IF(metadata!P249="",FALSE,IF(ISERROR(INT(metadata!P249)),FALSE,INT(metadata!P249)=metadata!P249)))</f>
        <v>0</v>
      </c>
      <c r="AS249" t="b">
        <f>AND(IF(metadata!Q249="",FALSE,TRUE),EXACT(metadata!Q249,"Not applicable"))</f>
        <v>0</v>
      </c>
      <c r="AT249" t="b">
        <f>OR(AND(IF(metadata!R249="",FALSE,TRUE),OR(EXACT(metadata!R249,"not applicable"),EXACT(metadata!R249,"missing: not collected"),EXACT(metadata!R249,"missing: not provided"),EXACT(metadata!R249,"missing: restricted access"))),AND(IF(metadata!R249="",FALSE,ISNUMBER(VALUE(metadata!R249))),metadata!R249&gt;0))</f>
        <v>0</v>
      </c>
      <c r="AU249" t="b">
        <f>AND(IF(metadata!S249="",FALSE,TRUE),EXACT(metadata!S249,"missing: not provided"))</f>
        <v>0</v>
      </c>
    </row>
    <row r="250" spans="1:47" x14ac:dyDescent="0.2">
      <c r="A250" s="5" t="str">
        <f ca="1">IF(B250=" "," ",HYPERLINK(CONCATENATE("#metadata!",ADDRESS(INDEX($Y$2:$Y$1001,MATCH(ROWS($W$2:W250),$W$2:$W$1001,0),0),1)),INDEX($AB$2:$AB$1001,MATCH(ROWS($W$2:W250),$W$2:$W$1001,0),0)))</f>
        <v xml:space="preserve"> </v>
      </c>
      <c r="B250" s="4" t="str">
        <f ca="1">IF(OR(INDEX($X$2:$X$1001,MATCH(ROWS($W$2:W250),$W$2:$W$1001,0),1)&gt;=100000,INDEX($AD$1005:$AU$1005,1,MATCH(COLUMNS($AD$1006:AD1006),$AD$1006:$AU$1006,0))&gt;=100000), " ",IF(INDEX($AD$2:$AU$1001,MATCH(ROWS($W$2:W250),$W$2:$W$1001,0),MATCH(COLUMNS($AD$1006:AD1006),$AD$1006:$AU$1006,0)), HYPERLINK("#",""), HYPERLINK(CONCATENATE("#metadata!", ADDRESS(INDEX($Y$2:$Y$1001,MATCH(ROWS($W$2:W250),$W$2:$W$1001,0),0), INDEX($AD$1004:$AU$1004,1,MATCH(COLUMNS($AD$1006:AD1006),$AD$1006:$AU$1006,0)))),"Fix")))</f>
        <v xml:space="preserve"> </v>
      </c>
      <c r="C250" s="4" t="str">
        <f ca="1">IF(OR(INDEX($X$2:$X$1001,MATCH(ROWS($W$2:W250),$W$2:$W$1001,0),1)&gt;=100000,INDEX($AD$1005:$AU$1005,1,MATCH(COLUMNS($AD$1006:AE1006),$AD$1006:$AU$1006,0))&gt;=100000), " ",IF(INDEX($AD$2:$AU$1001,MATCH(ROWS($W$2:W250),$W$2:$W$1001,0),MATCH(COLUMNS($AD$1006:AE1006),$AD$1006:$AU$1006,0)), HYPERLINK("#",""), HYPERLINK(CONCATENATE("#metadata!", ADDRESS(INDEX($Y$2:$Y$1001,MATCH(ROWS($W$2:W250),$W$2:$W$1001,0),0), INDEX($AD$1004:$AU$1004,1,MATCH(COLUMNS($AD$1006:AE1006),$AD$1006:$AU$1006,0)))),"Fix")))</f>
        <v xml:space="preserve"> </v>
      </c>
      <c r="D250" s="4" t="str">
        <f ca="1">IF(OR(INDEX($X$2:$X$1001,MATCH(ROWS($W$2:W250),$W$2:$W$1001,0),1)&gt;=100000,INDEX($AD$1005:$AU$1005,1,MATCH(COLUMNS($AD$1006:AF1006),$AD$1006:$AU$1006,0))&gt;=100000), " ",IF(INDEX($AD$2:$AU$1001,MATCH(ROWS($W$2:W250),$W$2:$W$1001,0),MATCH(COLUMNS($AD$1006:AF1006),$AD$1006:$AU$1006,0)), HYPERLINK("#",""), HYPERLINK(CONCATENATE("#metadata!", ADDRESS(INDEX($Y$2:$Y$1001,MATCH(ROWS($W$2:W250),$W$2:$W$1001,0),0), INDEX($AD$1004:$AU$1004,1,MATCH(COLUMNS($AD$1006:AF1006),$AD$1006:$AU$1006,0)))),"Fix")))</f>
        <v xml:space="preserve"> </v>
      </c>
      <c r="E250" s="4" t="str">
        <f ca="1">IF(OR(INDEX($X$2:$X$1001,MATCH(ROWS($W$2:W250),$W$2:$W$1001,0),1)&gt;=100000,INDEX($AD$1005:$AU$1005,1,MATCH(COLUMNS($AD$1006:AG1006),$AD$1006:$AU$1006,0))&gt;=100000), " ",IF(INDEX($AD$2:$AU$1001,MATCH(ROWS($W$2:W250),$W$2:$W$1001,0),MATCH(COLUMNS($AD$1006:AG1006),$AD$1006:$AU$1006,0)), HYPERLINK("#",""), HYPERLINK(CONCATENATE("#metadata!", ADDRESS(INDEX($Y$2:$Y$1001,MATCH(ROWS($W$2:W250),$W$2:$W$1001,0),0), INDEX($AD$1004:$AU$1004,1,MATCH(COLUMNS($AD$1006:AG1006),$AD$1006:$AU$1006,0)))),"Fix")))</f>
        <v xml:space="preserve"> </v>
      </c>
      <c r="F250" s="4" t="str">
        <f ca="1">IF(OR(INDEX($X$2:$X$1001,MATCH(ROWS($W$2:W250),$W$2:$W$1001,0),1)&gt;=100000,INDEX($AD$1005:$AU$1005,1,MATCH(COLUMNS($AD$1006:AH1006),$AD$1006:$AU$1006,0))&gt;=100000), " ",IF(INDEX($AD$2:$AU$1001,MATCH(ROWS($W$2:W250),$W$2:$W$1001,0),MATCH(COLUMNS($AD$1006:AH1006),$AD$1006:$AU$1006,0)), HYPERLINK("#",""), HYPERLINK(CONCATENATE("#metadata!", ADDRESS(INDEX($Y$2:$Y$1001,MATCH(ROWS($W$2:W250),$W$2:$W$1001,0),0), INDEX($AD$1004:$AU$1004,1,MATCH(COLUMNS($AD$1006:AH1006),$AD$1006:$AU$1006,0)))),"Fix")))</f>
        <v xml:space="preserve"> </v>
      </c>
      <c r="G250" s="4" t="str">
        <f ca="1">IF(OR(INDEX($X$2:$X$1001,MATCH(ROWS($W$2:W250),$W$2:$W$1001,0),1)&gt;=100000,INDEX($AD$1005:$AU$1005,1,MATCH(COLUMNS($AD$1006:AI1006),$AD$1006:$AU$1006,0))&gt;=100000), " ",IF(INDEX($AD$2:$AU$1001,MATCH(ROWS($W$2:W250),$W$2:$W$1001,0),MATCH(COLUMNS($AD$1006:AI1006),$AD$1006:$AU$1006,0)), HYPERLINK("#",""), HYPERLINK(CONCATENATE("#metadata!", ADDRESS(INDEX($Y$2:$Y$1001,MATCH(ROWS($W$2:W250),$W$2:$W$1001,0),0), INDEX($AD$1004:$AU$1004,1,MATCH(COLUMNS($AD$1006:AI1006),$AD$1006:$AU$1006,0)))),"Fix")))</f>
        <v xml:space="preserve"> </v>
      </c>
      <c r="H250" s="4" t="str">
        <f ca="1">IF(OR(INDEX($X$2:$X$1001,MATCH(ROWS($W$2:W250),$W$2:$W$1001,0),1)&gt;=100000,INDEX($AD$1005:$AU$1005,1,MATCH(COLUMNS($AD$1006:AJ1006),$AD$1006:$AU$1006,0))&gt;=100000), " ",IF(INDEX($AD$2:$AU$1001,MATCH(ROWS($W$2:W250),$W$2:$W$1001,0),MATCH(COLUMNS($AD$1006:AJ1006),$AD$1006:$AU$1006,0)), HYPERLINK("#",""), HYPERLINK(CONCATENATE("#metadata!", ADDRESS(INDEX($Y$2:$Y$1001,MATCH(ROWS($W$2:W250),$W$2:$W$1001,0),0), INDEX($AD$1004:$AU$1004,1,MATCH(COLUMNS($AD$1006:AJ1006),$AD$1006:$AU$1006,0)))),"Fix")))</f>
        <v xml:space="preserve"> </v>
      </c>
      <c r="I250" s="4" t="str">
        <f ca="1">IF(OR(INDEX($X$2:$X$1001,MATCH(ROWS($W$2:W250),$W$2:$W$1001,0),1)&gt;=100000,INDEX($AD$1005:$AU$1005,1,MATCH(COLUMNS($AD$1006:AK1006),$AD$1006:$AU$1006,0))&gt;=100000), " ",IF(INDEX($AD$2:$AU$1001,MATCH(ROWS($W$2:W250),$W$2:$W$1001,0),MATCH(COLUMNS($AD$1006:AK1006),$AD$1006:$AU$1006,0)), HYPERLINK("#",""), HYPERLINK(CONCATENATE("#metadata!", ADDRESS(INDEX($Y$2:$Y$1001,MATCH(ROWS($W$2:W250),$W$2:$W$1001,0),0), INDEX($AD$1004:$AU$1004,1,MATCH(COLUMNS($AD$1006:AK1006),$AD$1006:$AU$1006,0)))),"Fix")))</f>
        <v xml:space="preserve"> </v>
      </c>
      <c r="J250" s="4" t="str">
        <f ca="1">IF(OR(INDEX($X$2:$X$1001,MATCH(ROWS($W$2:W250),$W$2:$W$1001,0),1)&gt;=100000,INDEX($AD$1005:$AU$1005,1,MATCH(COLUMNS($AD$1006:AL1006),$AD$1006:$AU$1006,0))&gt;=100000), " ",IF(INDEX($AD$2:$AU$1001,MATCH(ROWS($W$2:W250),$W$2:$W$1001,0),MATCH(COLUMNS($AD$1006:AL1006),$AD$1006:$AU$1006,0)), HYPERLINK("#",""), HYPERLINK(CONCATENATE("#metadata!", ADDRESS(INDEX($Y$2:$Y$1001,MATCH(ROWS($W$2:W250),$W$2:$W$1001,0),0), INDEX($AD$1004:$AU$1004,1,MATCH(COLUMNS($AD$1006:AL1006),$AD$1006:$AU$1006,0)))),"Fix")))</f>
        <v xml:space="preserve"> </v>
      </c>
      <c r="K250" s="4" t="str">
        <f ca="1">IF(OR(INDEX($X$2:$X$1001,MATCH(ROWS($W$2:W250),$W$2:$W$1001,0),1)&gt;=100000,INDEX($AD$1005:$AU$1005,1,MATCH(COLUMNS($AD$1006:AM1006),$AD$1006:$AU$1006,0))&gt;=100000), " ",IF(INDEX($AD$2:$AU$1001,MATCH(ROWS($W$2:W250),$W$2:$W$1001,0),MATCH(COLUMNS($AD$1006:AM1006),$AD$1006:$AU$1006,0)), HYPERLINK("#",""), HYPERLINK(CONCATENATE("#metadata!", ADDRESS(INDEX($Y$2:$Y$1001,MATCH(ROWS($W$2:W250),$W$2:$W$1001,0),0), INDEX($AD$1004:$AU$1004,1,MATCH(COLUMNS($AD$1006:AM1006),$AD$1006:$AU$1006,0)))),"Fix")))</f>
        <v xml:space="preserve"> </v>
      </c>
      <c r="L250" s="4" t="str">
        <f ca="1">IF(OR(INDEX($X$2:$X$1001,MATCH(ROWS($W$2:W250),$W$2:$W$1001,0),1)&gt;=100000,INDEX($AD$1005:$AU$1005,1,MATCH(COLUMNS($AD$1006:AN1006),$AD$1006:$AU$1006,0))&gt;=100000), " ",IF(INDEX($AD$2:$AU$1001,MATCH(ROWS($W$2:W250),$W$2:$W$1001,0),MATCH(COLUMNS($AD$1006:AN1006),$AD$1006:$AU$1006,0)), HYPERLINK("#",""), HYPERLINK(CONCATENATE("#metadata!", ADDRESS(INDEX($Y$2:$Y$1001,MATCH(ROWS($W$2:W250),$W$2:$W$1001,0),0), INDEX($AD$1004:$AU$1004,1,MATCH(COLUMNS($AD$1006:AN1006),$AD$1006:$AU$1006,0)))),"Fix")))</f>
        <v xml:space="preserve"> </v>
      </c>
      <c r="M250" s="4" t="str">
        <f ca="1">IF(OR(INDEX($X$2:$X$1001,MATCH(ROWS($W$2:W250),$W$2:$W$1001,0),1)&gt;=100000,INDEX($AD$1005:$AU$1005,1,MATCH(COLUMNS($AD$1006:AO1006),$AD$1006:$AU$1006,0))&gt;=100000), " ",IF(INDEX($AD$2:$AU$1001,MATCH(ROWS($W$2:W250),$W$2:$W$1001,0),MATCH(COLUMNS($AD$1006:AO1006),$AD$1006:$AU$1006,0)), HYPERLINK("#",""), HYPERLINK(CONCATENATE("#metadata!", ADDRESS(INDEX($Y$2:$Y$1001,MATCH(ROWS($W$2:W250),$W$2:$W$1001,0),0), INDEX($AD$1004:$AU$1004,1,MATCH(COLUMNS($AD$1006:AO1006),$AD$1006:$AU$1006,0)))),"Fix")))</f>
        <v xml:space="preserve"> </v>
      </c>
      <c r="N250" s="4" t="str">
        <f ca="1">IF(OR(INDEX($X$2:$X$1001,MATCH(ROWS($W$2:W250),$W$2:$W$1001,0),1)&gt;=100000,INDEX($AD$1005:$AU$1005,1,MATCH(COLUMNS($AD$1006:AP1006),$AD$1006:$AU$1006,0))&gt;=100000), " ",IF(INDEX($AD$2:$AU$1001,MATCH(ROWS($W$2:W250),$W$2:$W$1001,0),MATCH(COLUMNS($AD$1006:AP1006),$AD$1006:$AU$1006,0)), HYPERLINK("#",""), HYPERLINK(CONCATENATE("#metadata!", ADDRESS(INDEX($Y$2:$Y$1001,MATCH(ROWS($W$2:W250),$W$2:$W$1001,0),0), INDEX($AD$1004:$AU$1004,1,MATCH(COLUMNS($AD$1006:AP1006),$AD$1006:$AU$1006,0)))),"Fix")))</f>
        <v xml:space="preserve"> </v>
      </c>
      <c r="O250" s="4" t="str">
        <f ca="1">IF(OR(INDEX($X$2:$X$1001,MATCH(ROWS($W$2:W250),$W$2:$W$1001,0),1)&gt;=100000,INDEX($AD$1005:$AU$1005,1,MATCH(COLUMNS($AD$1006:AQ1006),$AD$1006:$AU$1006,0))&gt;=100000), " ",IF(INDEX($AD$2:$AU$1001,MATCH(ROWS($W$2:W250),$W$2:$W$1001,0),MATCH(COLUMNS($AD$1006:AQ1006),$AD$1006:$AU$1006,0)), HYPERLINK("#",""), HYPERLINK(CONCATENATE("#metadata!", ADDRESS(INDEX($Y$2:$Y$1001,MATCH(ROWS($W$2:W250),$W$2:$W$1001,0),0), INDEX($AD$1004:$AU$1004,1,MATCH(COLUMNS($AD$1006:AQ1006),$AD$1006:$AU$1006,0)))),"Fix")))</f>
        <v xml:space="preserve"> </v>
      </c>
      <c r="P250" s="4" t="str">
        <f ca="1">IF(OR(INDEX($X$2:$X$1001,MATCH(ROWS($W$2:W250),$W$2:$W$1001,0),1)&gt;=100000,INDEX($AD$1005:$AU$1005,1,MATCH(COLUMNS($AD$1006:AR1006),$AD$1006:$AU$1006,0))&gt;=100000), " ",IF(INDEX($AD$2:$AU$1001,MATCH(ROWS($W$2:W250),$W$2:$W$1001,0),MATCH(COLUMNS($AD$1006:AR1006),$AD$1006:$AU$1006,0)), HYPERLINK("#",""), HYPERLINK(CONCATENATE("#metadata!", ADDRESS(INDEX($Y$2:$Y$1001,MATCH(ROWS($W$2:W250),$W$2:$W$1001,0),0), INDEX($AD$1004:$AU$1004,1,MATCH(COLUMNS($AD$1006:AR1006),$AD$1006:$AU$1006,0)))),"Fix")))</f>
        <v xml:space="preserve"> </v>
      </c>
      <c r="Q250" s="4" t="str">
        <f ca="1">IF(OR(INDEX($X$2:$X$1001,MATCH(ROWS($W$2:W250),$W$2:$W$1001,0),1)&gt;=100000,INDEX($AD$1005:$AU$1005,1,MATCH(COLUMNS($AD$1006:AS1006),$AD$1006:$AU$1006,0))&gt;=100000), " ",IF(INDEX($AD$2:$AU$1001,MATCH(ROWS($W$2:W250),$W$2:$W$1001,0),MATCH(COLUMNS($AD$1006:AS1006),$AD$1006:$AU$1006,0)), HYPERLINK("#",""), HYPERLINK(CONCATENATE("#metadata!", ADDRESS(INDEX($Y$2:$Y$1001,MATCH(ROWS($W$2:W250),$W$2:$W$1001,0),0), INDEX($AD$1004:$AU$1004,1,MATCH(COLUMNS($AD$1006:AS1006),$AD$1006:$AU$1006,0)))),"Fix")))</f>
        <v xml:space="preserve"> </v>
      </c>
      <c r="R250" s="4" t="str">
        <f ca="1">IF(OR(INDEX($X$2:$X$1001,MATCH(ROWS($W$2:W250),$W$2:$W$1001,0),1)&gt;=100000,INDEX($AD$1005:$AU$1005,1,MATCH(COLUMNS($AD$1006:AT1006),$AD$1006:$AU$1006,0))&gt;=100000), " ",IF(INDEX($AD$2:$AU$1001,MATCH(ROWS($W$2:W250),$W$2:$W$1001,0),MATCH(COLUMNS($AD$1006:AT1006),$AD$1006:$AU$1006,0)), HYPERLINK("#",""), HYPERLINK(CONCATENATE("#metadata!", ADDRESS(INDEX($Y$2:$Y$1001,MATCH(ROWS($W$2:W250),$W$2:$W$1001,0),0), INDEX($AD$1004:$AU$1004,1,MATCH(COLUMNS($AD$1006:AT1006),$AD$1006:$AU$1006,0)))),"Fix")))</f>
        <v xml:space="preserve"> </v>
      </c>
      <c r="S250" s="4" t="str">
        <f ca="1">IF(OR(INDEX($X$2:$X$1001,MATCH(ROWS($W$2:W250),$W$2:$W$1001,0),1)&gt;=100000,INDEX($AD$1005:$AU$1005,1,MATCH(COLUMNS($AD$1006:AU1006),$AD$1006:$AU$1006,0))&gt;=100000), " ",IF(INDEX($AD$2:$AU$1001,MATCH(ROWS($W$2:W250),$W$2:$W$1001,0),MATCH(COLUMNS($AD$1006:AU1006),$AD$1006:$AU$1006,0)), HYPERLINK("#",""), HYPERLINK(CONCATENATE("#metadata!", ADDRESS(INDEX($Y$2:$Y$1001,MATCH(ROWS($W$2:W250),$W$2:$W$1001,0),0), INDEX($AD$1004:$AU$1004,1,MATCH(COLUMNS($AD$1006:AU1006),$AD$1006:$AU$1006,0)))),"Fix")))</f>
        <v xml:space="preserve"> </v>
      </c>
      <c r="W250">
        <v>249</v>
      </c>
      <c r="X250">
        <v>100250</v>
      </c>
      <c r="Y250">
        <v>250</v>
      </c>
      <c r="Z250" t="b">
        <f t="shared" si="3"/>
        <v>1</v>
      </c>
      <c r="AA250" t="b">
        <f>COUNTBLANK(metadata!B250:S250)=COLUMNS(metadata!B250:S250)</f>
        <v>1</v>
      </c>
      <c r="AB250" t="str">
        <v/>
      </c>
      <c r="AD250" t="b">
        <f ca="1">AND(IF(metadata!B250="",FALSE,TRUE),COUNTIF(metadata!B:B, metadata!B250) = 1,NOT(ISERROR(SUMPRODUCT(SEARCH(MID(metadata!B250,ROW(INDIRECT("1:"&amp;LEN(metadata!B250))), 1),"0123456789abcdefghijklmnopqrstuvwxyzABCDEFGHIJKLMNOPQRSTUVWXYZ.")))))</f>
        <v>0</v>
      </c>
      <c r="AE250" t="b">
        <f>OR(AND(IF(metadata!C250="",FALSE,TRUE),OR(EXACT(metadata!C250,"not applicable"),EXACT(metadata!C250,"missing: not collected"),EXACT(metadata!C250,"missing: not provided"),EXACT(metadata!C250,"missing: restricted access"))),AND(IF(metadata!C250="",FALSE,ISNUMBER(VALUE(metadata!C250))),metadata!C250&gt;0))</f>
        <v>0</v>
      </c>
      <c r="AF250" t="b">
        <f>AND(IF(metadata!D250="",FALSE,TRUE),EXACT(metadata!D250,"missing: not provided"))</f>
        <v>0</v>
      </c>
      <c r="AG250" t="b">
        <f>AND(IF(metadata!E250="",FALSE,TRUE),EXACT(metadata!E250,"Host-associated"))</f>
        <v>0</v>
      </c>
      <c r="AH250" t="b">
        <f>AND(IF(metadata!F250="",FALSE,TRUE),OR(EXACT(metadata!F250,"Animal"),EXACT(metadata!F250,"Fungus"),EXACT(metadata!F250,"Plant")))</f>
        <v>0</v>
      </c>
      <c r="AI250" t="b">
        <f>AND(IF(metadata!G250="",FALSE,TRUE),OR(EXACT(metadata!G250,"Plant secretion"),EXACT(metadata!G250,"Plant rhizosphere"),EXACT(metadata!G250,"Plant surface"),EXACT(metadata!G250,"Plant corpus"),EXACT(metadata!G250,"Fungus surface"),EXACT(metadata!G250,"Fungus corpus"),EXACT(metadata!G250,"Animal surface"),EXACT(metadata!G250,"Animal proximal gut"),EXACT(metadata!G250,"Animal corpus"),EXACT(metadata!G250,"Animal distal gut"),EXACT(metadata!G250,"Animal secretion")))</f>
        <v>0</v>
      </c>
      <c r="AJ250" t="b">
        <f>OR(AND(IF(metadata!H250="",FALSE,TRUE),OR(EXACT(metadata!H250,"missing: not collected"),EXACT(metadata!H250,"missing: not provided"),EXACT(metadata!H250,"missing: restricted access"))),AND(IF(metadata!H250="",FALSE,TRUE),OR(EXACT(metadata!H250,"organism-associated habitat"),EXACT(metadata!H250,"plant-associated habitat"),EXACT(metadata!H250,"animal-associated habitat"),EXACT(metadata!H250,"insecta-associated habitat"),EXACT(metadata!H250,"mammalia-associated habitat"),EXACT(metadata!H250,"human-associated habitat"),EXACT(metadata!H250,"livestock-associated habitat"))))</f>
        <v>0</v>
      </c>
      <c r="AK250" t="b">
        <f>AND(IF(metadata!I250="",FALSE,TRUE),EXACT(metadata!I250,"host-associated"))</f>
        <v>0</v>
      </c>
      <c r="AL250" t="b">
        <f>OR(AND(IF(metadata!J250="",FALSE,TRUE),OR(EXACT(metadata!J250,"not applicable"),EXACT(metadata!J250,"missing: not collected"),EXACT(metadata!J250,"missing: not provided"),EXACT(metadata!J250,"missing: restricted access"))),AND(IF(metadata!J250="",FALSE,ISNUMBER(VALUE(metadata!J250))),metadata!J250&gt;0))</f>
        <v>0</v>
      </c>
      <c r="AM250" t="b">
        <f>AND(IF(metadata!K250="",FALSE,TRUE),EXACT(metadata!K250,"missing: not provided"))</f>
        <v>0</v>
      </c>
      <c r="AN250" t="b">
        <f>IF(metadata!L250="",FALSE,TRUE)</f>
        <v>0</v>
      </c>
      <c r="AO250" t="b">
        <f>IF(metadata!M250="",FALSE,TRUE)</f>
        <v>0</v>
      </c>
      <c r="AP250" t="b">
        <f>OR(AND(IF(metadata!N250="",FALSE,TRUE),OR(EXACT(metadata!N250,"not applicable"),EXACT(metadata!N250,"missing: not collected"),EXACT(metadata!N250,"missing: not provided"))),AND(IF(metadata!N250="",FALSE,IF(ISERROR(INT(metadata!N250)),FALSE,INT(metadata!N250)=metadata!N250)),metadata!N250&gt;0))</f>
        <v>0</v>
      </c>
      <c r="AQ250" t="b">
        <f>AND(IF(metadata!O250="",FALSE,TRUE),EXACT(metadata!O250,"Not applicable"))</f>
        <v>0</v>
      </c>
      <c r="AR250" t="b">
        <f>OR(AND(IF(metadata!P250="",FALSE,TRUE),OR(EXACT(metadata!P250,"not applicable"),EXACT(metadata!P250,"missing: not collected"),EXACT(metadata!P250,"missing: not provided"),EXACT(metadata!P250,"missing: restricted access"))),IF(metadata!P250="",FALSE,IF(ISERROR(INT(metadata!P250)),FALSE,INT(metadata!P250)=metadata!P250)))</f>
        <v>0</v>
      </c>
      <c r="AS250" t="b">
        <f>AND(IF(metadata!Q250="",FALSE,TRUE),EXACT(metadata!Q250,"Not applicable"))</f>
        <v>0</v>
      </c>
      <c r="AT250" t="b">
        <f>OR(AND(IF(metadata!R250="",FALSE,TRUE),OR(EXACT(metadata!R250,"not applicable"),EXACT(metadata!R250,"missing: not collected"),EXACT(metadata!R250,"missing: not provided"),EXACT(metadata!R250,"missing: restricted access"))),AND(IF(metadata!R250="",FALSE,ISNUMBER(VALUE(metadata!R250))),metadata!R250&gt;0))</f>
        <v>0</v>
      </c>
      <c r="AU250" t="b">
        <f>AND(IF(metadata!S250="",FALSE,TRUE),EXACT(metadata!S250,"missing: not provided"))</f>
        <v>0</v>
      </c>
    </row>
    <row r="251" spans="1:47" x14ac:dyDescent="0.2">
      <c r="A251" s="5" t="str">
        <f ca="1">IF(B251=" "," ",HYPERLINK(CONCATENATE("#metadata!",ADDRESS(INDEX($Y$2:$Y$1001,MATCH(ROWS($W$2:W251),$W$2:$W$1001,0),0),1)),INDEX($AB$2:$AB$1001,MATCH(ROWS($W$2:W251),$W$2:$W$1001,0),0)))</f>
        <v xml:space="preserve"> </v>
      </c>
      <c r="B251" s="4" t="str">
        <f ca="1">IF(OR(INDEX($X$2:$X$1001,MATCH(ROWS($W$2:W251),$W$2:$W$1001,0),1)&gt;=100000,INDEX($AD$1005:$AU$1005,1,MATCH(COLUMNS($AD$1006:AD1006),$AD$1006:$AU$1006,0))&gt;=100000), " ",IF(INDEX($AD$2:$AU$1001,MATCH(ROWS($W$2:W251),$W$2:$W$1001,0),MATCH(COLUMNS($AD$1006:AD1006),$AD$1006:$AU$1006,0)), HYPERLINK("#",""), HYPERLINK(CONCATENATE("#metadata!", ADDRESS(INDEX($Y$2:$Y$1001,MATCH(ROWS($W$2:W251),$W$2:$W$1001,0),0), INDEX($AD$1004:$AU$1004,1,MATCH(COLUMNS($AD$1006:AD1006),$AD$1006:$AU$1006,0)))),"Fix")))</f>
        <v xml:space="preserve"> </v>
      </c>
      <c r="C251" s="4" t="str">
        <f ca="1">IF(OR(INDEX($X$2:$X$1001,MATCH(ROWS($W$2:W251),$W$2:$W$1001,0),1)&gt;=100000,INDEX($AD$1005:$AU$1005,1,MATCH(COLUMNS($AD$1006:AE1006),$AD$1006:$AU$1006,0))&gt;=100000), " ",IF(INDEX($AD$2:$AU$1001,MATCH(ROWS($W$2:W251),$W$2:$W$1001,0),MATCH(COLUMNS($AD$1006:AE1006),$AD$1006:$AU$1006,0)), HYPERLINK("#",""), HYPERLINK(CONCATENATE("#metadata!", ADDRESS(INDEX($Y$2:$Y$1001,MATCH(ROWS($W$2:W251),$W$2:$W$1001,0),0), INDEX($AD$1004:$AU$1004,1,MATCH(COLUMNS($AD$1006:AE1006),$AD$1006:$AU$1006,0)))),"Fix")))</f>
        <v xml:space="preserve"> </v>
      </c>
      <c r="D251" s="4" t="str">
        <f ca="1">IF(OR(INDEX($X$2:$X$1001,MATCH(ROWS($W$2:W251),$W$2:$W$1001,0),1)&gt;=100000,INDEX($AD$1005:$AU$1005,1,MATCH(COLUMNS($AD$1006:AF1006),$AD$1006:$AU$1006,0))&gt;=100000), " ",IF(INDEX($AD$2:$AU$1001,MATCH(ROWS($W$2:W251),$W$2:$W$1001,0),MATCH(COLUMNS($AD$1006:AF1006),$AD$1006:$AU$1006,0)), HYPERLINK("#",""), HYPERLINK(CONCATENATE("#metadata!", ADDRESS(INDEX($Y$2:$Y$1001,MATCH(ROWS($W$2:W251),$W$2:$W$1001,0),0), INDEX($AD$1004:$AU$1004,1,MATCH(COLUMNS($AD$1006:AF1006),$AD$1006:$AU$1006,0)))),"Fix")))</f>
        <v xml:space="preserve"> </v>
      </c>
      <c r="E251" s="4" t="str">
        <f ca="1">IF(OR(INDEX($X$2:$X$1001,MATCH(ROWS($W$2:W251),$W$2:$W$1001,0),1)&gt;=100000,INDEX($AD$1005:$AU$1005,1,MATCH(COLUMNS($AD$1006:AG1006),$AD$1006:$AU$1006,0))&gt;=100000), " ",IF(INDEX($AD$2:$AU$1001,MATCH(ROWS($W$2:W251),$W$2:$W$1001,0),MATCH(COLUMNS($AD$1006:AG1006),$AD$1006:$AU$1006,0)), HYPERLINK("#",""), HYPERLINK(CONCATENATE("#metadata!", ADDRESS(INDEX($Y$2:$Y$1001,MATCH(ROWS($W$2:W251),$W$2:$W$1001,0),0), INDEX($AD$1004:$AU$1004,1,MATCH(COLUMNS($AD$1006:AG1006),$AD$1006:$AU$1006,0)))),"Fix")))</f>
        <v xml:space="preserve"> </v>
      </c>
      <c r="F251" s="4" t="str">
        <f ca="1">IF(OR(INDEX($X$2:$X$1001,MATCH(ROWS($W$2:W251),$W$2:$W$1001,0),1)&gt;=100000,INDEX($AD$1005:$AU$1005,1,MATCH(COLUMNS($AD$1006:AH1006),$AD$1006:$AU$1006,0))&gt;=100000), " ",IF(INDEX($AD$2:$AU$1001,MATCH(ROWS($W$2:W251),$W$2:$W$1001,0),MATCH(COLUMNS($AD$1006:AH1006),$AD$1006:$AU$1006,0)), HYPERLINK("#",""), HYPERLINK(CONCATENATE("#metadata!", ADDRESS(INDEX($Y$2:$Y$1001,MATCH(ROWS($W$2:W251),$W$2:$W$1001,0),0), INDEX($AD$1004:$AU$1004,1,MATCH(COLUMNS($AD$1006:AH1006),$AD$1006:$AU$1006,0)))),"Fix")))</f>
        <v xml:space="preserve"> </v>
      </c>
      <c r="G251" s="4" t="str">
        <f ca="1">IF(OR(INDEX($X$2:$X$1001,MATCH(ROWS($W$2:W251),$W$2:$W$1001,0),1)&gt;=100000,INDEX($AD$1005:$AU$1005,1,MATCH(COLUMNS($AD$1006:AI1006),$AD$1006:$AU$1006,0))&gt;=100000), " ",IF(INDEX($AD$2:$AU$1001,MATCH(ROWS($W$2:W251),$W$2:$W$1001,0),MATCH(COLUMNS($AD$1006:AI1006),$AD$1006:$AU$1006,0)), HYPERLINK("#",""), HYPERLINK(CONCATENATE("#metadata!", ADDRESS(INDEX($Y$2:$Y$1001,MATCH(ROWS($W$2:W251),$W$2:$W$1001,0),0), INDEX($AD$1004:$AU$1004,1,MATCH(COLUMNS($AD$1006:AI1006),$AD$1006:$AU$1006,0)))),"Fix")))</f>
        <v xml:space="preserve"> </v>
      </c>
      <c r="H251" s="4" t="str">
        <f ca="1">IF(OR(INDEX($X$2:$X$1001,MATCH(ROWS($W$2:W251),$W$2:$W$1001,0),1)&gt;=100000,INDEX($AD$1005:$AU$1005,1,MATCH(COLUMNS($AD$1006:AJ1006),$AD$1006:$AU$1006,0))&gt;=100000), " ",IF(INDEX($AD$2:$AU$1001,MATCH(ROWS($W$2:W251),$W$2:$W$1001,0),MATCH(COLUMNS($AD$1006:AJ1006),$AD$1006:$AU$1006,0)), HYPERLINK("#",""), HYPERLINK(CONCATENATE("#metadata!", ADDRESS(INDEX($Y$2:$Y$1001,MATCH(ROWS($W$2:W251),$W$2:$W$1001,0),0), INDEX($AD$1004:$AU$1004,1,MATCH(COLUMNS($AD$1006:AJ1006),$AD$1006:$AU$1006,0)))),"Fix")))</f>
        <v xml:space="preserve"> </v>
      </c>
      <c r="I251" s="4" t="str">
        <f ca="1">IF(OR(INDEX($X$2:$X$1001,MATCH(ROWS($W$2:W251),$W$2:$W$1001,0),1)&gt;=100000,INDEX($AD$1005:$AU$1005,1,MATCH(COLUMNS($AD$1006:AK1006),$AD$1006:$AU$1006,0))&gt;=100000), " ",IF(INDEX($AD$2:$AU$1001,MATCH(ROWS($W$2:W251),$W$2:$W$1001,0),MATCH(COLUMNS($AD$1006:AK1006),$AD$1006:$AU$1006,0)), HYPERLINK("#",""), HYPERLINK(CONCATENATE("#metadata!", ADDRESS(INDEX($Y$2:$Y$1001,MATCH(ROWS($W$2:W251),$W$2:$W$1001,0),0), INDEX($AD$1004:$AU$1004,1,MATCH(COLUMNS($AD$1006:AK1006),$AD$1006:$AU$1006,0)))),"Fix")))</f>
        <v xml:space="preserve"> </v>
      </c>
      <c r="J251" s="4" t="str">
        <f ca="1">IF(OR(INDEX($X$2:$X$1001,MATCH(ROWS($W$2:W251),$W$2:$W$1001,0),1)&gt;=100000,INDEX($AD$1005:$AU$1005,1,MATCH(COLUMNS($AD$1006:AL1006),$AD$1006:$AU$1006,0))&gt;=100000), " ",IF(INDEX($AD$2:$AU$1001,MATCH(ROWS($W$2:W251),$W$2:$W$1001,0),MATCH(COLUMNS($AD$1006:AL1006),$AD$1006:$AU$1006,0)), HYPERLINK("#",""), HYPERLINK(CONCATENATE("#metadata!", ADDRESS(INDEX($Y$2:$Y$1001,MATCH(ROWS($W$2:W251),$W$2:$W$1001,0),0), INDEX($AD$1004:$AU$1004,1,MATCH(COLUMNS($AD$1006:AL1006),$AD$1006:$AU$1006,0)))),"Fix")))</f>
        <v xml:space="preserve"> </v>
      </c>
      <c r="K251" s="4" t="str">
        <f ca="1">IF(OR(INDEX($X$2:$X$1001,MATCH(ROWS($W$2:W251),$W$2:$W$1001,0),1)&gt;=100000,INDEX($AD$1005:$AU$1005,1,MATCH(COLUMNS($AD$1006:AM1006),$AD$1006:$AU$1006,0))&gt;=100000), " ",IF(INDEX($AD$2:$AU$1001,MATCH(ROWS($W$2:W251),$W$2:$W$1001,0),MATCH(COLUMNS($AD$1006:AM1006),$AD$1006:$AU$1006,0)), HYPERLINK("#",""), HYPERLINK(CONCATENATE("#metadata!", ADDRESS(INDEX($Y$2:$Y$1001,MATCH(ROWS($W$2:W251),$W$2:$W$1001,0),0), INDEX($AD$1004:$AU$1004,1,MATCH(COLUMNS($AD$1006:AM1006),$AD$1006:$AU$1006,0)))),"Fix")))</f>
        <v xml:space="preserve"> </v>
      </c>
      <c r="L251" s="4" t="str">
        <f ca="1">IF(OR(INDEX($X$2:$X$1001,MATCH(ROWS($W$2:W251),$W$2:$W$1001,0),1)&gt;=100000,INDEX($AD$1005:$AU$1005,1,MATCH(COLUMNS($AD$1006:AN1006),$AD$1006:$AU$1006,0))&gt;=100000), " ",IF(INDEX($AD$2:$AU$1001,MATCH(ROWS($W$2:W251),$W$2:$W$1001,0),MATCH(COLUMNS($AD$1006:AN1006),$AD$1006:$AU$1006,0)), HYPERLINK("#",""), HYPERLINK(CONCATENATE("#metadata!", ADDRESS(INDEX($Y$2:$Y$1001,MATCH(ROWS($W$2:W251),$W$2:$W$1001,0),0), INDEX($AD$1004:$AU$1004,1,MATCH(COLUMNS($AD$1006:AN1006),$AD$1006:$AU$1006,0)))),"Fix")))</f>
        <v xml:space="preserve"> </v>
      </c>
      <c r="M251" s="4" t="str">
        <f ca="1">IF(OR(INDEX($X$2:$X$1001,MATCH(ROWS($W$2:W251),$W$2:$W$1001,0),1)&gt;=100000,INDEX($AD$1005:$AU$1005,1,MATCH(COLUMNS($AD$1006:AO1006),$AD$1006:$AU$1006,0))&gt;=100000), " ",IF(INDEX($AD$2:$AU$1001,MATCH(ROWS($W$2:W251),$W$2:$W$1001,0),MATCH(COLUMNS($AD$1006:AO1006),$AD$1006:$AU$1006,0)), HYPERLINK("#",""), HYPERLINK(CONCATENATE("#metadata!", ADDRESS(INDEX($Y$2:$Y$1001,MATCH(ROWS($W$2:W251),$W$2:$W$1001,0),0), INDEX($AD$1004:$AU$1004,1,MATCH(COLUMNS($AD$1006:AO1006),$AD$1006:$AU$1006,0)))),"Fix")))</f>
        <v xml:space="preserve"> </v>
      </c>
      <c r="N251" s="4" t="str">
        <f ca="1">IF(OR(INDEX($X$2:$X$1001,MATCH(ROWS($W$2:W251),$W$2:$W$1001,0),1)&gt;=100000,INDEX($AD$1005:$AU$1005,1,MATCH(COLUMNS($AD$1006:AP1006),$AD$1006:$AU$1006,0))&gt;=100000), " ",IF(INDEX($AD$2:$AU$1001,MATCH(ROWS($W$2:W251),$W$2:$W$1001,0),MATCH(COLUMNS($AD$1006:AP1006),$AD$1006:$AU$1006,0)), HYPERLINK("#",""), HYPERLINK(CONCATENATE("#metadata!", ADDRESS(INDEX($Y$2:$Y$1001,MATCH(ROWS($W$2:W251),$W$2:$W$1001,0),0), INDEX($AD$1004:$AU$1004,1,MATCH(COLUMNS($AD$1006:AP1006),$AD$1006:$AU$1006,0)))),"Fix")))</f>
        <v xml:space="preserve"> </v>
      </c>
      <c r="O251" s="4" t="str">
        <f ca="1">IF(OR(INDEX($X$2:$X$1001,MATCH(ROWS($W$2:W251),$W$2:$W$1001,0),1)&gt;=100000,INDEX($AD$1005:$AU$1005,1,MATCH(COLUMNS($AD$1006:AQ1006),$AD$1006:$AU$1006,0))&gt;=100000), " ",IF(INDEX($AD$2:$AU$1001,MATCH(ROWS($W$2:W251),$W$2:$W$1001,0),MATCH(COLUMNS($AD$1006:AQ1006),$AD$1006:$AU$1006,0)), HYPERLINK("#",""), HYPERLINK(CONCATENATE("#metadata!", ADDRESS(INDEX($Y$2:$Y$1001,MATCH(ROWS($W$2:W251),$W$2:$W$1001,0),0), INDEX($AD$1004:$AU$1004,1,MATCH(COLUMNS($AD$1006:AQ1006),$AD$1006:$AU$1006,0)))),"Fix")))</f>
        <v xml:space="preserve"> </v>
      </c>
      <c r="P251" s="4" t="str">
        <f ca="1">IF(OR(INDEX($X$2:$X$1001,MATCH(ROWS($W$2:W251),$W$2:$W$1001,0),1)&gt;=100000,INDEX($AD$1005:$AU$1005,1,MATCH(COLUMNS($AD$1006:AR1006),$AD$1006:$AU$1006,0))&gt;=100000), " ",IF(INDEX($AD$2:$AU$1001,MATCH(ROWS($W$2:W251),$W$2:$W$1001,0),MATCH(COLUMNS($AD$1006:AR1006),$AD$1006:$AU$1006,0)), HYPERLINK("#",""), HYPERLINK(CONCATENATE("#metadata!", ADDRESS(INDEX($Y$2:$Y$1001,MATCH(ROWS($W$2:W251),$W$2:$W$1001,0),0), INDEX($AD$1004:$AU$1004,1,MATCH(COLUMNS($AD$1006:AR1006),$AD$1006:$AU$1006,0)))),"Fix")))</f>
        <v xml:space="preserve"> </v>
      </c>
      <c r="Q251" s="4" t="str">
        <f ca="1">IF(OR(INDEX($X$2:$X$1001,MATCH(ROWS($W$2:W251),$W$2:$W$1001,0),1)&gt;=100000,INDEX($AD$1005:$AU$1005,1,MATCH(COLUMNS($AD$1006:AS1006),$AD$1006:$AU$1006,0))&gt;=100000), " ",IF(INDEX($AD$2:$AU$1001,MATCH(ROWS($W$2:W251),$W$2:$W$1001,0),MATCH(COLUMNS($AD$1006:AS1006),$AD$1006:$AU$1006,0)), HYPERLINK("#",""), HYPERLINK(CONCATENATE("#metadata!", ADDRESS(INDEX($Y$2:$Y$1001,MATCH(ROWS($W$2:W251),$W$2:$W$1001,0),0), INDEX($AD$1004:$AU$1004,1,MATCH(COLUMNS($AD$1006:AS1006),$AD$1006:$AU$1006,0)))),"Fix")))</f>
        <v xml:space="preserve"> </v>
      </c>
      <c r="R251" s="4" t="str">
        <f ca="1">IF(OR(INDEX($X$2:$X$1001,MATCH(ROWS($W$2:W251),$W$2:$W$1001,0),1)&gt;=100000,INDEX($AD$1005:$AU$1005,1,MATCH(COLUMNS($AD$1006:AT1006),$AD$1006:$AU$1006,0))&gt;=100000), " ",IF(INDEX($AD$2:$AU$1001,MATCH(ROWS($W$2:W251),$W$2:$W$1001,0),MATCH(COLUMNS($AD$1006:AT1006),$AD$1006:$AU$1006,0)), HYPERLINK("#",""), HYPERLINK(CONCATENATE("#metadata!", ADDRESS(INDEX($Y$2:$Y$1001,MATCH(ROWS($W$2:W251),$W$2:$W$1001,0),0), INDEX($AD$1004:$AU$1004,1,MATCH(COLUMNS($AD$1006:AT1006),$AD$1006:$AU$1006,0)))),"Fix")))</f>
        <v xml:space="preserve"> </v>
      </c>
      <c r="S251" s="4" t="str">
        <f ca="1">IF(OR(INDEX($X$2:$X$1001,MATCH(ROWS($W$2:W251),$W$2:$W$1001,0),1)&gt;=100000,INDEX($AD$1005:$AU$1005,1,MATCH(COLUMNS($AD$1006:AU1006),$AD$1006:$AU$1006,0))&gt;=100000), " ",IF(INDEX($AD$2:$AU$1001,MATCH(ROWS($W$2:W251),$W$2:$W$1001,0),MATCH(COLUMNS($AD$1006:AU1006),$AD$1006:$AU$1006,0)), HYPERLINK("#",""), HYPERLINK(CONCATENATE("#metadata!", ADDRESS(INDEX($Y$2:$Y$1001,MATCH(ROWS($W$2:W251),$W$2:$W$1001,0),0), INDEX($AD$1004:$AU$1004,1,MATCH(COLUMNS($AD$1006:AU1006),$AD$1006:$AU$1006,0)))),"Fix")))</f>
        <v xml:space="preserve"> </v>
      </c>
      <c r="W251">
        <v>250</v>
      </c>
      <c r="X251">
        <v>100251</v>
      </c>
      <c r="Y251">
        <v>251</v>
      </c>
      <c r="Z251" t="b">
        <f t="shared" si="3"/>
        <v>1</v>
      </c>
      <c r="AA251" t="b">
        <f>COUNTBLANK(metadata!B251:S251)=COLUMNS(metadata!B251:S251)</f>
        <v>1</v>
      </c>
      <c r="AB251" t="str">
        <v/>
      </c>
      <c r="AD251" t="b">
        <f ca="1">AND(IF(metadata!B251="",FALSE,TRUE),COUNTIF(metadata!B:B, metadata!B251) = 1,NOT(ISERROR(SUMPRODUCT(SEARCH(MID(metadata!B251,ROW(INDIRECT("1:"&amp;LEN(metadata!B251))), 1),"0123456789abcdefghijklmnopqrstuvwxyzABCDEFGHIJKLMNOPQRSTUVWXYZ.")))))</f>
        <v>0</v>
      </c>
      <c r="AE251" t="b">
        <f>OR(AND(IF(metadata!C251="",FALSE,TRUE),OR(EXACT(metadata!C251,"not applicable"),EXACT(metadata!C251,"missing: not collected"),EXACT(metadata!C251,"missing: not provided"),EXACT(metadata!C251,"missing: restricted access"))),AND(IF(metadata!C251="",FALSE,ISNUMBER(VALUE(metadata!C251))),metadata!C251&gt;0))</f>
        <v>0</v>
      </c>
      <c r="AF251" t="b">
        <f>AND(IF(metadata!D251="",FALSE,TRUE),EXACT(metadata!D251,"missing: not provided"))</f>
        <v>0</v>
      </c>
      <c r="AG251" t="b">
        <f>AND(IF(metadata!E251="",FALSE,TRUE),EXACT(metadata!E251,"Host-associated"))</f>
        <v>0</v>
      </c>
      <c r="AH251" t="b">
        <f>AND(IF(metadata!F251="",FALSE,TRUE),OR(EXACT(metadata!F251,"Animal"),EXACT(metadata!F251,"Fungus"),EXACT(metadata!F251,"Plant")))</f>
        <v>0</v>
      </c>
      <c r="AI251" t="b">
        <f>AND(IF(metadata!G251="",FALSE,TRUE),OR(EXACT(metadata!G251,"Plant secretion"),EXACT(metadata!G251,"Plant rhizosphere"),EXACT(metadata!G251,"Plant surface"),EXACT(metadata!G251,"Plant corpus"),EXACT(metadata!G251,"Fungus surface"),EXACT(metadata!G251,"Fungus corpus"),EXACT(metadata!G251,"Animal surface"),EXACT(metadata!G251,"Animal proximal gut"),EXACT(metadata!G251,"Animal corpus"),EXACT(metadata!G251,"Animal distal gut"),EXACT(metadata!G251,"Animal secretion")))</f>
        <v>0</v>
      </c>
      <c r="AJ251" t="b">
        <f>OR(AND(IF(metadata!H251="",FALSE,TRUE),OR(EXACT(metadata!H251,"missing: not collected"),EXACT(metadata!H251,"missing: not provided"),EXACT(metadata!H251,"missing: restricted access"))),AND(IF(metadata!H251="",FALSE,TRUE),OR(EXACT(metadata!H251,"organism-associated habitat"),EXACT(metadata!H251,"plant-associated habitat"),EXACT(metadata!H251,"animal-associated habitat"),EXACT(metadata!H251,"insecta-associated habitat"),EXACT(metadata!H251,"mammalia-associated habitat"),EXACT(metadata!H251,"human-associated habitat"),EXACT(metadata!H251,"livestock-associated habitat"))))</f>
        <v>0</v>
      </c>
      <c r="AK251" t="b">
        <f>AND(IF(metadata!I251="",FALSE,TRUE),EXACT(metadata!I251,"host-associated"))</f>
        <v>0</v>
      </c>
      <c r="AL251" t="b">
        <f>OR(AND(IF(metadata!J251="",FALSE,TRUE),OR(EXACT(metadata!J251,"not applicable"),EXACT(metadata!J251,"missing: not collected"),EXACT(metadata!J251,"missing: not provided"),EXACT(metadata!J251,"missing: restricted access"))),AND(IF(metadata!J251="",FALSE,ISNUMBER(VALUE(metadata!J251))),metadata!J251&gt;0))</f>
        <v>0</v>
      </c>
      <c r="AM251" t="b">
        <f>AND(IF(metadata!K251="",FALSE,TRUE),EXACT(metadata!K251,"missing: not provided"))</f>
        <v>0</v>
      </c>
      <c r="AN251" t="b">
        <f>IF(metadata!L251="",FALSE,TRUE)</f>
        <v>0</v>
      </c>
      <c r="AO251" t="b">
        <f>IF(metadata!M251="",FALSE,TRUE)</f>
        <v>0</v>
      </c>
      <c r="AP251" t="b">
        <f>OR(AND(IF(metadata!N251="",FALSE,TRUE),OR(EXACT(metadata!N251,"not applicable"),EXACT(metadata!N251,"missing: not collected"),EXACT(metadata!N251,"missing: not provided"))),AND(IF(metadata!N251="",FALSE,IF(ISERROR(INT(metadata!N251)),FALSE,INT(metadata!N251)=metadata!N251)),metadata!N251&gt;0))</f>
        <v>0</v>
      </c>
      <c r="AQ251" t="b">
        <f>AND(IF(metadata!O251="",FALSE,TRUE),EXACT(metadata!O251,"Not applicable"))</f>
        <v>0</v>
      </c>
      <c r="AR251" t="b">
        <f>OR(AND(IF(metadata!P251="",FALSE,TRUE),OR(EXACT(metadata!P251,"not applicable"),EXACT(metadata!P251,"missing: not collected"),EXACT(metadata!P251,"missing: not provided"),EXACT(metadata!P251,"missing: restricted access"))),IF(metadata!P251="",FALSE,IF(ISERROR(INT(metadata!P251)),FALSE,INT(metadata!P251)=metadata!P251)))</f>
        <v>0</v>
      </c>
      <c r="AS251" t="b">
        <f>AND(IF(metadata!Q251="",FALSE,TRUE),EXACT(metadata!Q251,"Not applicable"))</f>
        <v>0</v>
      </c>
      <c r="AT251" t="b">
        <f>OR(AND(IF(metadata!R251="",FALSE,TRUE),OR(EXACT(metadata!R251,"not applicable"),EXACT(metadata!R251,"missing: not collected"),EXACT(metadata!R251,"missing: not provided"),EXACT(metadata!R251,"missing: restricted access"))),AND(IF(metadata!R251="",FALSE,ISNUMBER(VALUE(metadata!R251))),metadata!R251&gt;0))</f>
        <v>0</v>
      </c>
      <c r="AU251" t="b">
        <f>AND(IF(metadata!S251="",FALSE,TRUE),EXACT(metadata!S251,"missing: not provided"))</f>
        <v>0</v>
      </c>
    </row>
    <row r="252" spans="1:47" x14ac:dyDescent="0.2">
      <c r="A252" s="5" t="str">
        <f ca="1">IF(B252=" "," ",HYPERLINK(CONCATENATE("#metadata!",ADDRESS(INDEX($Y$2:$Y$1001,MATCH(ROWS($W$2:W252),$W$2:$W$1001,0),0),1)),INDEX($AB$2:$AB$1001,MATCH(ROWS($W$2:W252),$W$2:$W$1001,0),0)))</f>
        <v xml:space="preserve"> </v>
      </c>
      <c r="B252" s="4" t="str">
        <f ca="1">IF(OR(INDEX($X$2:$X$1001,MATCH(ROWS($W$2:W252),$W$2:$W$1001,0),1)&gt;=100000,INDEX($AD$1005:$AU$1005,1,MATCH(COLUMNS($AD$1006:AD1006),$AD$1006:$AU$1006,0))&gt;=100000), " ",IF(INDEX($AD$2:$AU$1001,MATCH(ROWS($W$2:W252),$W$2:$W$1001,0),MATCH(COLUMNS($AD$1006:AD1006),$AD$1006:$AU$1006,0)), HYPERLINK("#",""), HYPERLINK(CONCATENATE("#metadata!", ADDRESS(INDEX($Y$2:$Y$1001,MATCH(ROWS($W$2:W252),$W$2:$W$1001,0),0), INDEX($AD$1004:$AU$1004,1,MATCH(COLUMNS($AD$1006:AD1006),$AD$1006:$AU$1006,0)))),"Fix")))</f>
        <v xml:space="preserve"> </v>
      </c>
      <c r="C252" s="4" t="str">
        <f ca="1">IF(OR(INDEX($X$2:$X$1001,MATCH(ROWS($W$2:W252),$W$2:$W$1001,0),1)&gt;=100000,INDEX($AD$1005:$AU$1005,1,MATCH(COLUMNS($AD$1006:AE1006),$AD$1006:$AU$1006,0))&gt;=100000), " ",IF(INDEX($AD$2:$AU$1001,MATCH(ROWS($W$2:W252),$W$2:$W$1001,0),MATCH(COLUMNS($AD$1006:AE1006),$AD$1006:$AU$1006,0)), HYPERLINK("#",""), HYPERLINK(CONCATENATE("#metadata!", ADDRESS(INDEX($Y$2:$Y$1001,MATCH(ROWS($W$2:W252),$W$2:$W$1001,0),0), INDEX($AD$1004:$AU$1004,1,MATCH(COLUMNS($AD$1006:AE1006),$AD$1006:$AU$1006,0)))),"Fix")))</f>
        <v xml:space="preserve"> </v>
      </c>
      <c r="D252" s="4" t="str">
        <f ca="1">IF(OR(INDEX($X$2:$X$1001,MATCH(ROWS($W$2:W252),$W$2:$W$1001,0),1)&gt;=100000,INDEX($AD$1005:$AU$1005,1,MATCH(COLUMNS($AD$1006:AF1006),$AD$1006:$AU$1006,0))&gt;=100000), " ",IF(INDEX($AD$2:$AU$1001,MATCH(ROWS($W$2:W252),$W$2:$W$1001,0),MATCH(COLUMNS($AD$1006:AF1006),$AD$1006:$AU$1006,0)), HYPERLINK("#",""), HYPERLINK(CONCATENATE("#metadata!", ADDRESS(INDEX($Y$2:$Y$1001,MATCH(ROWS($W$2:W252),$W$2:$W$1001,0),0), INDEX($AD$1004:$AU$1004,1,MATCH(COLUMNS($AD$1006:AF1006),$AD$1006:$AU$1006,0)))),"Fix")))</f>
        <v xml:space="preserve"> </v>
      </c>
      <c r="E252" s="4" t="str">
        <f ca="1">IF(OR(INDEX($X$2:$X$1001,MATCH(ROWS($W$2:W252),$W$2:$W$1001,0),1)&gt;=100000,INDEX($AD$1005:$AU$1005,1,MATCH(COLUMNS($AD$1006:AG1006),$AD$1006:$AU$1006,0))&gt;=100000), " ",IF(INDEX($AD$2:$AU$1001,MATCH(ROWS($W$2:W252),$W$2:$W$1001,0),MATCH(COLUMNS($AD$1006:AG1006),$AD$1006:$AU$1006,0)), HYPERLINK("#",""), HYPERLINK(CONCATENATE("#metadata!", ADDRESS(INDEX($Y$2:$Y$1001,MATCH(ROWS($W$2:W252),$W$2:$W$1001,0),0), INDEX($AD$1004:$AU$1004,1,MATCH(COLUMNS($AD$1006:AG1006),$AD$1006:$AU$1006,0)))),"Fix")))</f>
        <v xml:space="preserve"> </v>
      </c>
      <c r="F252" s="4" t="str">
        <f ca="1">IF(OR(INDEX($X$2:$X$1001,MATCH(ROWS($W$2:W252),$W$2:$W$1001,0),1)&gt;=100000,INDEX($AD$1005:$AU$1005,1,MATCH(COLUMNS($AD$1006:AH1006),$AD$1006:$AU$1006,0))&gt;=100000), " ",IF(INDEX($AD$2:$AU$1001,MATCH(ROWS($W$2:W252),$W$2:$W$1001,0),MATCH(COLUMNS($AD$1006:AH1006),$AD$1006:$AU$1006,0)), HYPERLINK("#",""), HYPERLINK(CONCATENATE("#metadata!", ADDRESS(INDEX($Y$2:$Y$1001,MATCH(ROWS($W$2:W252),$W$2:$W$1001,0),0), INDEX($AD$1004:$AU$1004,1,MATCH(COLUMNS($AD$1006:AH1006),$AD$1006:$AU$1006,0)))),"Fix")))</f>
        <v xml:space="preserve"> </v>
      </c>
      <c r="G252" s="4" t="str">
        <f ca="1">IF(OR(INDEX($X$2:$X$1001,MATCH(ROWS($W$2:W252),$W$2:$W$1001,0),1)&gt;=100000,INDEX($AD$1005:$AU$1005,1,MATCH(COLUMNS($AD$1006:AI1006),$AD$1006:$AU$1006,0))&gt;=100000), " ",IF(INDEX($AD$2:$AU$1001,MATCH(ROWS($W$2:W252),$W$2:$W$1001,0),MATCH(COLUMNS($AD$1006:AI1006),$AD$1006:$AU$1006,0)), HYPERLINK("#",""), HYPERLINK(CONCATENATE("#metadata!", ADDRESS(INDEX($Y$2:$Y$1001,MATCH(ROWS($W$2:W252),$W$2:$W$1001,0),0), INDEX($AD$1004:$AU$1004,1,MATCH(COLUMNS($AD$1006:AI1006),$AD$1006:$AU$1006,0)))),"Fix")))</f>
        <v xml:space="preserve"> </v>
      </c>
      <c r="H252" s="4" t="str">
        <f ca="1">IF(OR(INDEX($X$2:$X$1001,MATCH(ROWS($W$2:W252),$W$2:$W$1001,0),1)&gt;=100000,INDEX($AD$1005:$AU$1005,1,MATCH(COLUMNS($AD$1006:AJ1006),$AD$1006:$AU$1006,0))&gt;=100000), " ",IF(INDEX($AD$2:$AU$1001,MATCH(ROWS($W$2:W252),$W$2:$W$1001,0),MATCH(COLUMNS($AD$1006:AJ1006),$AD$1006:$AU$1006,0)), HYPERLINK("#",""), HYPERLINK(CONCATENATE("#metadata!", ADDRESS(INDEX($Y$2:$Y$1001,MATCH(ROWS($W$2:W252),$W$2:$W$1001,0),0), INDEX($AD$1004:$AU$1004,1,MATCH(COLUMNS($AD$1006:AJ1006),$AD$1006:$AU$1006,0)))),"Fix")))</f>
        <v xml:space="preserve"> </v>
      </c>
      <c r="I252" s="4" t="str">
        <f ca="1">IF(OR(INDEX($X$2:$X$1001,MATCH(ROWS($W$2:W252),$W$2:$W$1001,0),1)&gt;=100000,INDEX($AD$1005:$AU$1005,1,MATCH(COLUMNS($AD$1006:AK1006),$AD$1006:$AU$1006,0))&gt;=100000), " ",IF(INDEX($AD$2:$AU$1001,MATCH(ROWS($W$2:W252),$W$2:$W$1001,0),MATCH(COLUMNS($AD$1006:AK1006),$AD$1006:$AU$1006,0)), HYPERLINK("#",""), HYPERLINK(CONCATENATE("#metadata!", ADDRESS(INDEX($Y$2:$Y$1001,MATCH(ROWS($W$2:W252),$W$2:$W$1001,0),0), INDEX($AD$1004:$AU$1004,1,MATCH(COLUMNS($AD$1006:AK1006),$AD$1006:$AU$1006,0)))),"Fix")))</f>
        <v xml:space="preserve"> </v>
      </c>
      <c r="J252" s="4" t="str">
        <f ca="1">IF(OR(INDEX($X$2:$X$1001,MATCH(ROWS($W$2:W252),$W$2:$W$1001,0),1)&gt;=100000,INDEX($AD$1005:$AU$1005,1,MATCH(COLUMNS($AD$1006:AL1006),$AD$1006:$AU$1006,0))&gt;=100000), " ",IF(INDEX($AD$2:$AU$1001,MATCH(ROWS($W$2:W252),$W$2:$W$1001,0),MATCH(COLUMNS($AD$1006:AL1006),$AD$1006:$AU$1006,0)), HYPERLINK("#",""), HYPERLINK(CONCATENATE("#metadata!", ADDRESS(INDEX($Y$2:$Y$1001,MATCH(ROWS($W$2:W252),$W$2:$W$1001,0),0), INDEX($AD$1004:$AU$1004,1,MATCH(COLUMNS($AD$1006:AL1006),$AD$1006:$AU$1006,0)))),"Fix")))</f>
        <v xml:space="preserve"> </v>
      </c>
      <c r="K252" s="4" t="str">
        <f ca="1">IF(OR(INDEX($X$2:$X$1001,MATCH(ROWS($W$2:W252),$W$2:$W$1001,0),1)&gt;=100000,INDEX($AD$1005:$AU$1005,1,MATCH(COLUMNS($AD$1006:AM1006),$AD$1006:$AU$1006,0))&gt;=100000), " ",IF(INDEX($AD$2:$AU$1001,MATCH(ROWS($W$2:W252),$W$2:$W$1001,0),MATCH(COLUMNS($AD$1006:AM1006),$AD$1006:$AU$1006,0)), HYPERLINK("#",""), HYPERLINK(CONCATENATE("#metadata!", ADDRESS(INDEX($Y$2:$Y$1001,MATCH(ROWS($W$2:W252),$W$2:$W$1001,0),0), INDEX($AD$1004:$AU$1004,1,MATCH(COLUMNS($AD$1006:AM1006),$AD$1006:$AU$1006,0)))),"Fix")))</f>
        <v xml:space="preserve"> </v>
      </c>
      <c r="L252" s="4" t="str">
        <f ca="1">IF(OR(INDEX($X$2:$X$1001,MATCH(ROWS($W$2:W252),$W$2:$W$1001,0),1)&gt;=100000,INDEX($AD$1005:$AU$1005,1,MATCH(COLUMNS($AD$1006:AN1006),$AD$1006:$AU$1006,0))&gt;=100000), " ",IF(INDEX($AD$2:$AU$1001,MATCH(ROWS($W$2:W252),$W$2:$W$1001,0),MATCH(COLUMNS($AD$1006:AN1006),$AD$1006:$AU$1006,0)), HYPERLINK("#",""), HYPERLINK(CONCATENATE("#metadata!", ADDRESS(INDEX($Y$2:$Y$1001,MATCH(ROWS($W$2:W252),$W$2:$W$1001,0),0), INDEX($AD$1004:$AU$1004,1,MATCH(COLUMNS($AD$1006:AN1006),$AD$1006:$AU$1006,0)))),"Fix")))</f>
        <v xml:space="preserve"> </v>
      </c>
      <c r="M252" s="4" t="str">
        <f ca="1">IF(OR(INDEX($X$2:$X$1001,MATCH(ROWS($W$2:W252),$W$2:$W$1001,0),1)&gt;=100000,INDEX($AD$1005:$AU$1005,1,MATCH(COLUMNS($AD$1006:AO1006),$AD$1006:$AU$1006,0))&gt;=100000), " ",IF(INDEX($AD$2:$AU$1001,MATCH(ROWS($W$2:W252),$W$2:$W$1001,0),MATCH(COLUMNS($AD$1006:AO1006),$AD$1006:$AU$1006,0)), HYPERLINK("#",""), HYPERLINK(CONCATENATE("#metadata!", ADDRESS(INDEX($Y$2:$Y$1001,MATCH(ROWS($W$2:W252),$W$2:$W$1001,0),0), INDEX($AD$1004:$AU$1004,1,MATCH(COLUMNS($AD$1006:AO1006),$AD$1006:$AU$1006,0)))),"Fix")))</f>
        <v xml:space="preserve"> </v>
      </c>
      <c r="N252" s="4" t="str">
        <f ca="1">IF(OR(INDEX($X$2:$X$1001,MATCH(ROWS($W$2:W252),$W$2:$W$1001,0),1)&gt;=100000,INDEX($AD$1005:$AU$1005,1,MATCH(COLUMNS($AD$1006:AP1006),$AD$1006:$AU$1006,0))&gt;=100000), " ",IF(INDEX($AD$2:$AU$1001,MATCH(ROWS($W$2:W252),$W$2:$W$1001,0),MATCH(COLUMNS($AD$1006:AP1006),$AD$1006:$AU$1006,0)), HYPERLINK("#",""), HYPERLINK(CONCATENATE("#metadata!", ADDRESS(INDEX($Y$2:$Y$1001,MATCH(ROWS($W$2:W252),$W$2:$W$1001,0),0), INDEX($AD$1004:$AU$1004,1,MATCH(COLUMNS($AD$1006:AP1006),$AD$1006:$AU$1006,0)))),"Fix")))</f>
        <v xml:space="preserve"> </v>
      </c>
      <c r="O252" s="4" t="str">
        <f ca="1">IF(OR(INDEX($X$2:$X$1001,MATCH(ROWS($W$2:W252),$W$2:$W$1001,0),1)&gt;=100000,INDEX($AD$1005:$AU$1005,1,MATCH(COLUMNS($AD$1006:AQ1006),$AD$1006:$AU$1006,0))&gt;=100000), " ",IF(INDEX($AD$2:$AU$1001,MATCH(ROWS($W$2:W252),$W$2:$W$1001,0),MATCH(COLUMNS($AD$1006:AQ1006),$AD$1006:$AU$1006,0)), HYPERLINK("#",""), HYPERLINK(CONCATENATE("#metadata!", ADDRESS(INDEX($Y$2:$Y$1001,MATCH(ROWS($W$2:W252),$W$2:$W$1001,0),0), INDEX($AD$1004:$AU$1004,1,MATCH(COLUMNS($AD$1006:AQ1006),$AD$1006:$AU$1006,0)))),"Fix")))</f>
        <v xml:space="preserve"> </v>
      </c>
      <c r="P252" s="4" t="str">
        <f ca="1">IF(OR(INDEX($X$2:$X$1001,MATCH(ROWS($W$2:W252),$W$2:$W$1001,0),1)&gt;=100000,INDEX($AD$1005:$AU$1005,1,MATCH(COLUMNS($AD$1006:AR1006),$AD$1006:$AU$1006,0))&gt;=100000), " ",IF(INDEX($AD$2:$AU$1001,MATCH(ROWS($W$2:W252),$W$2:$W$1001,0),MATCH(COLUMNS($AD$1006:AR1006),$AD$1006:$AU$1006,0)), HYPERLINK("#",""), HYPERLINK(CONCATENATE("#metadata!", ADDRESS(INDEX($Y$2:$Y$1001,MATCH(ROWS($W$2:W252),$W$2:$W$1001,0),0), INDEX($AD$1004:$AU$1004,1,MATCH(COLUMNS($AD$1006:AR1006),$AD$1006:$AU$1006,0)))),"Fix")))</f>
        <v xml:space="preserve"> </v>
      </c>
      <c r="Q252" s="4" t="str">
        <f ca="1">IF(OR(INDEX($X$2:$X$1001,MATCH(ROWS($W$2:W252),$W$2:$W$1001,0),1)&gt;=100000,INDEX($AD$1005:$AU$1005,1,MATCH(COLUMNS($AD$1006:AS1006),$AD$1006:$AU$1006,0))&gt;=100000), " ",IF(INDEX($AD$2:$AU$1001,MATCH(ROWS($W$2:W252),$W$2:$W$1001,0),MATCH(COLUMNS($AD$1006:AS1006),$AD$1006:$AU$1006,0)), HYPERLINK("#",""), HYPERLINK(CONCATENATE("#metadata!", ADDRESS(INDEX($Y$2:$Y$1001,MATCH(ROWS($W$2:W252),$W$2:$W$1001,0),0), INDEX($AD$1004:$AU$1004,1,MATCH(COLUMNS($AD$1006:AS1006),$AD$1006:$AU$1006,0)))),"Fix")))</f>
        <v xml:space="preserve"> </v>
      </c>
      <c r="R252" s="4" t="str">
        <f ca="1">IF(OR(INDEX($X$2:$X$1001,MATCH(ROWS($W$2:W252),$W$2:$W$1001,0),1)&gt;=100000,INDEX($AD$1005:$AU$1005,1,MATCH(COLUMNS($AD$1006:AT1006),$AD$1006:$AU$1006,0))&gt;=100000), " ",IF(INDEX($AD$2:$AU$1001,MATCH(ROWS($W$2:W252),$W$2:$W$1001,0),MATCH(COLUMNS($AD$1006:AT1006),$AD$1006:$AU$1006,0)), HYPERLINK("#",""), HYPERLINK(CONCATENATE("#metadata!", ADDRESS(INDEX($Y$2:$Y$1001,MATCH(ROWS($W$2:W252),$W$2:$W$1001,0),0), INDEX($AD$1004:$AU$1004,1,MATCH(COLUMNS($AD$1006:AT1006),$AD$1006:$AU$1006,0)))),"Fix")))</f>
        <v xml:space="preserve"> </v>
      </c>
      <c r="S252" s="4" t="str">
        <f ca="1">IF(OR(INDEX($X$2:$X$1001,MATCH(ROWS($W$2:W252),$W$2:$W$1001,0),1)&gt;=100000,INDEX($AD$1005:$AU$1005,1,MATCH(COLUMNS($AD$1006:AU1006),$AD$1006:$AU$1006,0))&gt;=100000), " ",IF(INDEX($AD$2:$AU$1001,MATCH(ROWS($W$2:W252),$W$2:$W$1001,0),MATCH(COLUMNS($AD$1006:AU1006),$AD$1006:$AU$1006,0)), HYPERLINK("#",""), HYPERLINK(CONCATENATE("#metadata!", ADDRESS(INDEX($Y$2:$Y$1001,MATCH(ROWS($W$2:W252),$W$2:$W$1001,0),0), INDEX($AD$1004:$AU$1004,1,MATCH(COLUMNS($AD$1006:AU1006),$AD$1006:$AU$1006,0)))),"Fix")))</f>
        <v xml:space="preserve"> </v>
      </c>
      <c r="W252">
        <v>251</v>
      </c>
      <c r="X252">
        <v>100252</v>
      </c>
      <c r="Y252">
        <v>252</v>
      </c>
      <c r="Z252" t="b">
        <f t="shared" si="3"/>
        <v>1</v>
      </c>
      <c r="AA252" t="b">
        <f>COUNTBLANK(metadata!B252:S252)=COLUMNS(metadata!B252:S252)</f>
        <v>1</v>
      </c>
      <c r="AB252" t="str">
        <v/>
      </c>
      <c r="AD252" t="b">
        <f ca="1">AND(IF(metadata!B252="",FALSE,TRUE),COUNTIF(metadata!B:B, metadata!B252) = 1,NOT(ISERROR(SUMPRODUCT(SEARCH(MID(metadata!B252,ROW(INDIRECT("1:"&amp;LEN(metadata!B252))), 1),"0123456789abcdefghijklmnopqrstuvwxyzABCDEFGHIJKLMNOPQRSTUVWXYZ.")))))</f>
        <v>0</v>
      </c>
      <c r="AE252" t="b">
        <f>OR(AND(IF(metadata!C252="",FALSE,TRUE),OR(EXACT(metadata!C252,"not applicable"),EXACT(metadata!C252,"missing: not collected"),EXACT(metadata!C252,"missing: not provided"),EXACT(metadata!C252,"missing: restricted access"))),AND(IF(metadata!C252="",FALSE,ISNUMBER(VALUE(metadata!C252))),metadata!C252&gt;0))</f>
        <v>0</v>
      </c>
      <c r="AF252" t="b">
        <f>AND(IF(metadata!D252="",FALSE,TRUE),EXACT(metadata!D252,"missing: not provided"))</f>
        <v>0</v>
      </c>
      <c r="AG252" t="b">
        <f>AND(IF(metadata!E252="",FALSE,TRUE),EXACT(metadata!E252,"Host-associated"))</f>
        <v>0</v>
      </c>
      <c r="AH252" t="b">
        <f>AND(IF(metadata!F252="",FALSE,TRUE),OR(EXACT(metadata!F252,"Animal"),EXACT(metadata!F252,"Fungus"),EXACT(metadata!F252,"Plant")))</f>
        <v>0</v>
      </c>
      <c r="AI252" t="b">
        <f>AND(IF(metadata!G252="",FALSE,TRUE),OR(EXACT(metadata!G252,"Plant secretion"),EXACT(metadata!G252,"Plant rhizosphere"),EXACT(metadata!G252,"Plant surface"),EXACT(metadata!G252,"Plant corpus"),EXACT(metadata!G252,"Fungus surface"),EXACT(metadata!G252,"Fungus corpus"),EXACT(metadata!G252,"Animal surface"),EXACT(metadata!G252,"Animal proximal gut"),EXACT(metadata!G252,"Animal corpus"),EXACT(metadata!G252,"Animal distal gut"),EXACT(metadata!G252,"Animal secretion")))</f>
        <v>0</v>
      </c>
      <c r="AJ252" t="b">
        <f>OR(AND(IF(metadata!H252="",FALSE,TRUE),OR(EXACT(metadata!H252,"missing: not collected"),EXACT(metadata!H252,"missing: not provided"),EXACT(metadata!H252,"missing: restricted access"))),AND(IF(metadata!H252="",FALSE,TRUE),OR(EXACT(metadata!H252,"organism-associated habitat"),EXACT(metadata!H252,"plant-associated habitat"),EXACT(metadata!H252,"animal-associated habitat"),EXACT(metadata!H252,"insecta-associated habitat"),EXACT(metadata!H252,"mammalia-associated habitat"),EXACT(metadata!H252,"human-associated habitat"),EXACT(metadata!H252,"livestock-associated habitat"))))</f>
        <v>0</v>
      </c>
      <c r="AK252" t="b">
        <f>AND(IF(metadata!I252="",FALSE,TRUE),EXACT(metadata!I252,"host-associated"))</f>
        <v>0</v>
      </c>
      <c r="AL252" t="b">
        <f>OR(AND(IF(metadata!J252="",FALSE,TRUE),OR(EXACT(metadata!J252,"not applicable"),EXACT(metadata!J252,"missing: not collected"),EXACT(metadata!J252,"missing: not provided"),EXACT(metadata!J252,"missing: restricted access"))),AND(IF(metadata!J252="",FALSE,ISNUMBER(VALUE(metadata!J252))),metadata!J252&gt;0))</f>
        <v>0</v>
      </c>
      <c r="AM252" t="b">
        <f>AND(IF(metadata!K252="",FALSE,TRUE),EXACT(metadata!K252,"missing: not provided"))</f>
        <v>0</v>
      </c>
      <c r="AN252" t="b">
        <f>IF(metadata!L252="",FALSE,TRUE)</f>
        <v>0</v>
      </c>
      <c r="AO252" t="b">
        <f>IF(metadata!M252="",FALSE,TRUE)</f>
        <v>0</v>
      </c>
      <c r="AP252" t="b">
        <f>OR(AND(IF(metadata!N252="",FALSE,TRUE),OR(EXACT(metadata!N252,"not applicable"),EXACT(metadata!N252,"missing: not collected"),EXACT(metadata!N252,"missing: not provided"))),AND(IF(metadata!N252="",FALSE,IF(ISERROR(INT(metadata!N252)),FALSE,INT(metadata!N252)=metadata!N252)),metadata!N252&gt;0))</f>
        <v>0</v>
      </c>
      <c r="AQ252" t="b">
        <f>AND(IF(metadata!O252="",FALSE,TRUE),EXACT(metadata!O252,"Not applicable"))</f>
        <v>0</v>
      </c>
      <c r="AR252" t="b">
        <f>OR(AND(IF(metadata!P252="",FALSE,TRUE),OR(EXACT(metadata!P252,"not applicable"),EXACT(metadata!P252,"missing: not collected"),EXACT(metadata!P252,"missing: not provided"),EXACT(metadata!P252,"missing: restricted access"))),IF(metadata!P252="",FALSE,IF(ISERROR(INT(metadata!P252)),FALSE,INT(metadata!P252)=metadata!P252)))</f>
        <v>0</v>
      </c>
      <c r="AS252" t="b">
        <f>AND(IF(metadata!Q252="",FALSE,TRUE),EXACT(metadata!Q252,"Not applicable"))</f>
        <v>0</v>
      </c>
      <c r="AT252" t="b">
        <f>OR(AND(IF(metadata!R252="",FALSE,TRUE),OR(EXACT(metadata!R252,"not applicable"),EXACT(metadata!R252,"missing: not collected"),EXACT(metadata!R252,"missing: not provided"),EXACT(metadata!R252,"missing: restricted access"))),AND(IF(metadata!R252="",FALSE,ISNUMBER(VALUE(metadata!R252))),metadata!R252&gt;0))</f>
        <v>0</v>
      </c>
      <c r="AU252" t="b">
        <f>AND(IF(metadata!S252="",FALSE,TRUE),EXACT(metadata!S252,"missing: not provided"))</f>
        <v>0</v>
      </c>
    </row>
    <row r="253" spans="1:47" x14ac:dyDescent="0.2">
      <c r="A253" s="5" t="str">
        <f ca="1">IF(B253=" "," ",HYPERLINK(CONCATENATE("#metadata!",ADDRESS(INDEX($Y$2:$Y$1001,MATCH(ROWS($W$2:W253),$W$2:$W$1001,0),0),1)),INDEX($AB$2:$AB$1001,MATCH(ROWS($W$2:W253),$W$2:$W$1001,0),0)))</f>
        <v xml:space="preserve"> </v>
      </c>
      <c r="B253" s="4" t="str">
        <f ca="1">IF(OR(INDEX($X$2:$X$1001,MATCH(ROWS($W$2:W253),$W$2:$W$1001,0),1)&gt;=100000,INDEX($AD$1005:$AU$1005,1,MATCH(COLUMNS($AD$1006:AD1006),$AD$1006:$AU$1006,0))&gt;=100000), " ",IF(INDEX($AD$2:$AU$1001,MATCH(ROWS($W$2:W253),$W$2:$W$1001,0),MATCH(COLUMNS($AD$1006:AD1006),$AD$1006:$AU$1006,0)), HYPERLINK("#",""), HYPERLINK(CONCATENATE("#metadata!", ADDRESS(INDEX($Y$2:$Y$1001,MATCH(ROWS($W$2:W253),$W$2:$W$1001,0),0), INDEX($AD$1004:$AU$1004,1,MATCH(COLUMNS($AD$1006:AD1006),$AD$1006:$AU$1006,0)))),"Fix")))</f>
        <v xml:space="preserve"> </v>
      </c>
      <c r="C253" s="4" t="str">
        <f ca="1">IF(OR(INDEX($X$2:$X$1001,MATCH(ROWS($W$2:W253),$W$2:$W$1001,0),1)&gt;=100000,INDEX($AD$1005:$AU$1005,1,MATCH(COLUMNS($AD$1006:AE1006),$AD$1006:$AU$1006,0))&gt;=100000), " ",IF(INDEX($AD$2:$AU$1001,MATCH(ROWS($W$2:W253),$W$2:$W$1001,0),MATCH(COLUMNS($AD$1006:AE1006),$AD$1006:$AU$1006,0)), HYPERLINK("#",""), HYPERLINK(CONCATENATE("#metadata!", ADDRESS(INDEX($Y$2:$Y$1001,MATCH(ROWS($W$2:W253),$W$2:$W$1001,0),0), INDEX($AD$1004:$AU$1004,1,MATCH(COLUMNS($AD$1006:AE1006),$AD$1006:$AU$1006,0)))),"Fix")))</f>
        <v xml:space="preserve"> </v>
      </c>
      <c r="D253" s="4" t="str">
        <f ca="1">IF(OR(INDEX($X$2:$X$1001,MATCH(ROWS($W$2:W253),$W$2:$W$1001,0),1)&gt;=100000,INDEX($AD$1005:$AU$1005,1,MATCH(COLUMNS($AD$1006:AF1006),$AD$1006:$AU$1006,0))&gt;=100000), " ",IF(INDEX($AD$2:$AU$1001,MATCH(ROWS($W$2:W253),$W$2:$W$1001,0),MATCH(COLUMNS($AD$1006:AF1006),$AD$1006:$AU$1006,0)), HYPERLINK("#",""), HYPERLINK(CONCATENATE("#metadata!", ADDRESS(INDEX($Y$2:$Y$1001,MATCH(ROWS($W$2:W253),$W$2:$W$1001,0),0), INDEX($AD$1004:$AU$1004,1,MATCH(COLUMNS($AD$1006:AF1006),$AD$1006:$AU$1006,0)))),"Fix")))</f>
        <v xml:space="preserve"> </v>
      </c>
      <c r="E253" s="4" t="str">
        <f ca="1">IF(OR(INDEX($X$2:$X$1001,MATCH(ROWS($W$2:W253),$W$2:$W$1001,0),1)&gt;=100000,INDEX($AD$1005:$AU$1005,1,MATCH(COLUMNS($AD$1006:AG1006),$AD$1006:$AU$1006,0))&gt;=100000), " ",IF(INDEX($AD$2:$AU$1001,MATCH(ROWS($W$2:W253),$W$2:$W$1001,0),MATCH(COLUMNS($AD$1006:AG1006),$AD$1006:$AU$1006,0)), HYPERLINK("#",""), HYPERLINK(CONCATENATE("#metadata!", ADDRESS(INDEX($Y$2:$Y$1001,MATCH(ROWS($W$2:W253),$W$2:$W$1001,0),0), INDEX($AD$1004:$AU$1004,1,MATCH(COLUMNS($AD$1006:AG1006),$AD$1006:$AU$1006,0)))),"Fix")))</f>
        <v xml:space="preserve"> </v>
      </c>
      <c r="F253" s="4" t="str">
        <f ca="1">IF(OR(INDEX($X$2:$X$1001,MATCH(ROWS($W$2:W253),$W$2:$W$1001,0),1)&gt;=100000,INDEX($AD$1005:$AU$1005,1,MATCH(COLUMNS($AD$1006:AH1006),$AD$1006:$AU$1006,0))&gt;=100000), " ",IF(INDEX($AD$2:$AU$1001,MATCH(ROWS($W$2:W253),$W$2:$W$1001,0),MATCH(COLUMNS($AD$1006:AH1006),$AD$1006:$AU$1006,0)), HYPERLINK("#",""), HYPERLINK(CONCATENATE("#metadata!", ADDRESS(INDEX($Y$2:$Y$1001,MATCH(ROWS($W$2:W253),$W$2:$W$1001,0),0), INDEX($AD$1004:$AU$1004,1,MATCH(COLUMNS($AD$1006:AH1006),$AD$1006:$AU$1006,0)))),"Fix")))</f>
        <v xml:space="preserve"> </v>
      </c>
      <c r="G253" s="4" t="str">
        <f ca="1">IF(OR(INDEX($X$2:$X$1001,MATCH(ROWS($W$2:W253),$W$2:$W$1001,0),1)&gt;=100000,INDEX($AD$1005:$AU$1005,1,MATCH(COLUMNS($AD$1006:AI1006),$AD$1006:$AU$1006,0))&gt;=100000), " ",IF(INDEX($AD$2:$AU$1001,MATCH(ROWS($W$2:W253),$W$2:$W$1001,0),MATCH(COLUMNS($AD$1006:AI1006),$AD$1006:$AU$1006,0)), HYPERLINK("#",""), HYPERLINK(CONCATENATE("#metadata!", ADDRESS(INDEX($Y$2:$Y$1001,MATCH(ROWS($W$2:W253),$W$2:$W$1001,0),0), INDEX($AD$1004:$AU$1004,1,MATCH(COLUMNS($AD$1006:AI1006),$AD$1006:$AU$1006,0)))),"Fix")))</f>
        <v xml:space="preserve"> </v>
      </c>
      <c r="H253" s="4" t="str">
        <f ca="1">IF(OR(INDEX($X$2:$X$1001,MATCH(ROWS($W$2:W253),$W$2:$W$1001,0),1)&gt;=100000,INDEX($AD$1005:$AU$1005,1,MATCH(COLUMNS($AD$1006:AJ1006),$AD$1006:$AU$1006,0))&gt;=100000), " ",IF(INDEX($AD$2:$AU$1001,MATCH(ROWS($W$2:W253),$W$2:$W$1001,0),MATCH(COLUMNS($AD$1006:AJ1006),$AD$1006:$AU$1006,0)), HYPERLINK("#",""), HYPERLINK(CONCATENATE("#metadata!", ADDRESS(INDEX($Y$2:$Y$1001,MATCH(ROWS($W$2:W253),$W$2:$W$1001,0),0), INDEX($AD$1004:$AU$1004,1,MATCH(COLUMNS($AD$1006:AJ1006),$AD$1006:$AU$1006,0)))),"Fix")))</f>
        <v xml:space="preserve"> </v>
      </c>
      <c r="I253" s="4" t="str">
        <f ca="1">IF(OR(INDEX($X$2:$X$1001,MATCH(ROWS($W$2:W253),$W$2:$W$1001,0),1)&gt;=100000,INDEX($AD$1005:$AU$1005,1,MATCH(COLUMNS($AD$1006:AK1006),$AD$1006:$AU$1006,0))&gt;=100000), " ",IF(INDEX($AD$2:$AU$1001,MATCH(ROWS($W$2:W253),$W$2:$W$1001,0),MATCH(COLUMNS($AD$1006:AK1006),$AD$1006:$AU$1006,0)), HYPERLINK("#",""), HYPERLINK(CONCATENATE("#metadata!", ADDRESS(INDEX($Y$2:$Y$1001,MATCH(ROWS($W$2:W253),$W$2:$W$1001,0),0), INDEX($AD$1004:$AU$1004,1,MATCH(COLUMNS($AD$1006:AK1006),$AD$1006:$AU$1006,0)))),"Fix")))</f>
        <v xml:space="preserve"> </v>
      </c>
      <c r="J253" s="4" t="str">
        <f ca="1">IF(OR(INDEX($X$2:$X$1001,MATCH(ROWS($W$2:W253),$W$2:$W$1001,0),1)&gt;=100000,INDEX($AD$1005:$AU$1005,1,MATCH(COLUMNS($AD$1006:AL1006),$AD$1006:$AU$1006,0))&gt;=100000), " ",IF(INDEX($AD$2:$AU$1001,MATCH(ROWS($W$2:W253),$W$2:$W$1001,0),MATCH(COLUMNS($AD$1006:AL1006),$AD$1006:$AU$1006,0)), HYPERLINK("#",""), HYPERLINK(CONCATENATE("#metadata!", ADDRESS(INDEX($Y$2:$Y$1001,MATCH(ROWS($W$2:W253),$W$2:$W$1001,0),0), INDEX($AD$1004:$AU$1004,1,MATCH(COLUMNS($AD$1006:AL1006),$AD$1006:$AU$1006,0)))),"Fix")))</f>
        <v xml:space="preserve"> </v>
      </c>
      <c r="K253" s="4" t="str">
        <f ca="1">IF(OR(INDEX($X$2:$X$1001,MATCH(ROWS($W$2:W253),$W$2:$W$1001,0),1)&gt;=100000,INDEX($AD$1005:$AU$1005,1,MATCH(COLUMNS($AD$1006:AM1006),$AD$1006:$AU$1006,0))&gt;=100000), " ",IF(INDEX($AD$2:$AU$1001,MATCH(ROWS($W$2:W253),$W$2:$W$1001,0),MATCH(COLUMNS($AD$1006:AM1006),$AD$1006:$AU$1006,0)), HYPERLINK("#",""), HYPERLINK(CONCATENATE("#metadata!", ADDRESS(INDEX($Y$2:$Y$1001,MATCH(ROWS($W$2:W253),$W$2:$W$1001,0),0), INDEX($AD$1004:$AU$1004,1,MATCH(COLUMNS($AD$1006:AM1006),$AD$1006:$AU$1006,0)))),"Fix")))</f>
        <v xml:space="preserve"> </v>
      </c>
      <c r="L253" s="4" t="str">
        <f ca="1">IF(OR(INDEX($X$2:$X$1001,MATCH(ROWS($W$2:W253),$W$2:$W$1001,0),1)&gt;=100000,INDEX($AD$1005:$AU$1005,1,MATCH(COLUMNS($AD$1006:AN1006),$AD$1006:$AU$1006,0))&gt;=100000), " ",IF(INDEX($AD$2:$AU$1001,MATCH(ROWS($W$2:W253),$W$2:$W$1001,0),MATCH(COLUMNS($AD$1006:AN1006),$AD$1006:$AU$1006,0)), HYPERLINK("#",""), HYPERLINK(CONCATENATE("#metadata!", ADDRESS(INDEX($Y$2:$Y$1001,MATCH(ROWS($W$2:W253),$W$2:$W$1001,0),0), INDEX($AD$1004:$AU$1004,1,MATCH(COLUMNS($AD$1006:AN1006),$AD$1006:$AU$1006,0)))),"Fix")))</f>
        <v xml:space="preserve"> </v>
      </c>
      <c r="M253" s="4" t="str">
        <f ca="1">IF(OR(INDEX($X$2:$X$1001,MATCH(ROWS($W$2:W253),$W$2:$W$1001,0),1)&gt;=100000,INDEX($AD$1005:$AU$1005,1,MATCH(COLUMNS($AD$1006:AO1006),$AD$1006:$AU$1006,0))&gt;=100000), " ",IF(INDEX($AD$2:$AU$1001,MATCH(ROWS($W$2:W253),$W$2:$W$1001,0),MATCH(COLUMNS($AD$1006:AO1006),$AD$1006:$AU$1006,0)), HYPERLINK("#",""), HYPERLINK(CONCATENATE("#metadata!", ADDRESS(INDEX($Y$2:$Y$1001,MATCH(ROWS($W$2:W253),$W$2:$W$1001,0),0), INDEX($AD$1004:$AU$1004,1,MATCH(COLUMNS($AD$1006:AO1006),$AD$1006:$AU$1006,0)))),"Fix")))</f>
        <v xml:space="preserve"> </v>
      </c>
      <c r="N253" s="4" t="str">
        <f ca="1">IF(OR(INDEX($X$2:$X$1001,MATCH(ROWS($W$2:W253),$W$2:$W$1001,0),1)&gt;=100000,INDEX($AD$1005:$AU$1005,1,MATCH(COLUMNS($AD$1006:AP1006),$AD$1006:$AU$1006,0))&gt;=100000), " ",IF(INDEX($AD$2:$AU$1001,MATCH(ROWS($W$2:W253),$W$2:$W$1001,0),MATCH(COLUMNS($AD$1006:AP1006),$AD$1006:$AU$1006,0)), HYPERLINK("#",""), HYPERLINK(CONCATENATE("#metadata!", ADDRESS(INDEX($Y$2:$Y$1001,MATCH(ROWS($W$2:W253),$W$2:$W$1001,0),0), INDEX($AD$1004:$AU$1004,1,MATCH(COLUMNS($AD$1006:AP1006),$AD$1006:$AU$1006,0)))),"Fix")))</f>
        <v xml:space="preserve"> </v>
      </c>
      <c r="O253" s="4" t="str">
        <f ca="1">IF(OR(INDEX($X$2:$X$1001,MATCH(ROWS($W$2:W253),$W$2:$W$1001,0),1)&gt;=100000,INDEX($AD$1005:$AU$1005,1,MATCH(COLUMNS($AD$1006:AQ1006),$AD$1006:$AU$1006,0))&gt;=100000), " ",IF(INDEX($AD$2:$AU$1001,MATCH(ROWS($W$2:W253),$W$2:$W$1001,0),MATCH(COLUMNS($AD$1006:AQ1006),$AD$1006:$AU$1006,0)), HYPERLINK("#",""), HYPERLINK(CONCATENATE("#metadata!", ADDRESS(INDEX($Y$2:$Y$1001,MATCH(ROWS($W$2:W253),$W$2:$W$1001,0),0), INDEX($AD$1004:$AU$1004,1,MATCH(COLUMNS($AD$1006:AQ1006),$AD$1006:$AU$1006,0)))),"Fix")))</f>
        <v xml:space="preserve"> </v>
      </c>
      <c r="P253" s="4" t="str">
        <f ca="1">IF(OR(INDEX($X$2:$X$1001,MATCH(ROWS($W$2:W253),$W$2:$W$1001,0),1)&gt;=100000,INDEX($AD$1005:$AU$1005,1,MATCH(COLUMNS($AD$1006:AR1006),$AD$1006:$AU$1006,0))&gt;=100000), " ",IF(INDEX($AD$2:$AU$1001,MATCH(ROWS($W$2:W253),$W$2:$W$1001,0),MATCH(COLUMNS($AD$1006:AR1006),$AD$1006:$AU$1006,0)), HYPERLINK("#",""), HYPERLINK(CONCATENATE("#metadata!", ADDRESS(INDEX($Y$2:$Y$1001,MATCH(ROWS($W$2:W253),$W$2:$W$1001,0),0), INDEX($AD$1004:$AU$1004,1,MATCH(COLUMNS($AD$1006:AR1006),$AD$1006:$AU$1006,0)))),"Fix")))</f>
        <v xml:space="preserve"> </v>
      </c>
      <c r="Q253" s="4" t="str">
        <f ca="1">IF(OR(INDEX($X$2:$X$1001,MATCH(ROWS($W$2:W253),$W$2:$W$1001,0),1)&gt;=100000,INDEX($AD$1005:$AU$1005,1,MATCH(COLUMNS($AD$1006:AS1006),$AD$1006:$AU$1006,0))&gt;=100000), " ",IF(INDEX($AD$2:$AU$1001,MATCH(ROWS($W$2:W253),$W$2:$W$1001,0),MATCH(COLUMNS($AD$1006:AS1006),$AD$1006:$AU$1006,0)), HYPERLINK("#",""), HYPERLINK(CONCATENATE("#metadata!", ADDRESS(INDEX($Y$2:$Y$1001,MATCH(ROWS($W$2:W253),$W$2:$W$1001,0),0), INDEX($AD$1004:$AU$1004,1,MATCH(COLUMNS($AD$1006:AS1006),$AD$1006:$AU$1006,0)))),"Fix")))</f>
        <v xml:space="preserve"> </v>
      </c>
      <c r="R253" s="4" t="str">
        <f ca="1">IF(OR(INDEX($X$2:$X$1001,MATCH(ROWS($W$2:W253),$W$2:$W$1001,0),1)&gt;=100000,INDEX($AD$1005:$AU$1005,1,MATCH(COLUMNS($AD$1006:AT1006),$AD$1006:$AU$1006,0))&gt;=100000), " ",IF(INDEX($AD$2:$AU$1001,MATCH(ROWS($W$2:W253),$W$2:$W$1001,0),MATCH(COLUMNS($AD$1006:AT1006),$AD$1006:$AU$1006,0)), HYPERLINK("#",""), HYPERLINK(CONCATENATE("#metadata!", ADDRESS(INDEX($Y$2:$Y$1001,MATCH(ROWS($W$2:W253),$W$2:$W$1001,0),0), INDEX($AD$1004:$AU$1004,1,MATCH(COLUMNS($AD$1006:AT1006),$AD$1006:$AU$1006,0)))),"Fix")))</f>
        <v xml:space="preserve"> </v>
      </c>
      <c r="S253" s="4" t="str">
        <f ca="1">IF(OR(INDEX($X$2:$X$1001,MATCH(ROWS($W$2:W253),$W$2:$W$1001,0),1)&gt;=100000,INDEX($AD$1005:$AU$1005,1,MATCH(COLUMNS($AD$1006:AU1006),$AD$1006:$AU$1006,0))&gt;=100000), " ",IF(INDEX($AD$2:$AU$1001,MATCH(ROWS($W$2:W253),$W$2:$W$1001,0),MATCH(COLUMNS($AD$1006:AU1006),$AD$1006:$AU$1006,0)), HYPERLINK("#",""), HYPERLINK(CONCATENATE("#metadata!", ADDRESS(INDEX($Y$2:$Y$1001,MATCH(ROWS($W$2:W253),$W$2:$W$1001,0),0), INDEX($AD$1004:$AU$1004,1,MATCH(COLUMNS($AD$1006:AU1006),$AD$1006:$AU$1006,0)))),"Fix")))</f>
        <v xml:space="preserve"> </v>
      </c>
      <c r="W253">
        <v>252</v>
      </c>
      <c r="X253">
        <v>100253</v>
      </c>
      <c r="Y253">
        <v>253</v>
      </c>
      <c r="Z253" t="b">
        <f t="shared" si="3"/>
        <v>1</v>
      </c>
      <c r="AA253" t="b">
        <f>COUNTBLANK(metadata!B253:S253)=COLUMNS(metadata!B253:S253)</f>
        <v>1</v>
      </c>
      <c r="AB253" t="str">
        <v/>
      </c>
      <c r="AD253" t="b">
        <f ca="1">AND(IF(metadata!B253="",FALSE,TRUE),COUNTIF(metadata!B:B, metadata!B253) = 1,NOT(ISERROR(SUMPRODUCT(SEARCH(MID(metadata!B253,ROW(INDIRECT("1:"&amp;LEN(metadata!B253))), 1),"0123456789abcdefghijklmnopqrstuvwxyzABCDEFGHIJKLMNOPQRSTUVWXYZ.")))))</f>
        <v>0</v>
      </c>
      <c r="AE253" t="b">
        <f>OR(AND(IF(metadata!C253="",FALSE,TRUE),OR(EXACT(metadata!C253,"not applicable"),EXACT(metadata!C253,"missing: not collected"),EXACT(metadata!C253,"missing: not provided"),EXACT(metadata!C253,"missing: restricted access"))),AND(IF(metadata!C253="",FALSE,ISNUMBER(VALUE(metadata!C253))),metadata!C253&gt;0))</f>
        <v>0</v>
      </c>
      <c r="AF253" t="b">
        <f>AND(IF(metadata!D253="",FALSE,TRUE),EXACT(metadata!D253,"missing: not provided"))</f>
        <v>0</v>
      </c>
      <c r="AG253" t="b">
        <f>AND(IF(metadata!E253="",FALSE,TRUE),EXACT(metadata!E253,"Host-associated"))</f>
        <v>0</v>
      </c>
      <c r="AH253" t="b">
        <f>AND(IF(metadata!F253="",FALSE,TRUE),OR(EXACT(metadata!F253,"Animal"),EXACT(metadata!F253,"Fungus"),EXACT(metadata!F253,"Plant")))</f>
        <v>0</v>
      </c>
      <c r="AI253" t="b">
        <f>AND(IF(metadata!G253="",FALSE,TRUE),OR(EXACT(metadata!G253,"Plant secretion"),EXACT(metadata!G253,"Plant rhizosphere"),EXACT(metadata!G253,"Plant surface"),EXACT(metadata!G253,"Plant corpus"),EXACT(metadata!G253,"Fungus surface"),EXACT(metadata!G253,"Fungus corpus"),EXACT(metadata!G253,"Animal surface"),EXACT(metadata!G253,"Animal proximal gut"),EXACT(metadata!G253,"Animal corpus"),EXACT(metadata!G253,"Animal distal gut"),EXACT(metadata!G253,"Animal secretion")))</f>
        <v>0</v>
      </c>
      <c r="AJ253" t="b">
        <f>OR(AND(IF(metadata!H253="",FALSE,TRUE),OR(EXACT(metadata!H253,"missing: not collected"),EXACT(metadata!H253,"missing: not provided"),EXACT(metadata!H253,"missing: restricted access"))),AND(IF(metadata!H253="",FALSE,TRUE),OR(EXACT(metadata!H253,"organism-associated habitat"),EXACT(metadata!H253,"plant-associated habitat"),EXACT(metadata!H253,"animal-associated habitat"),EXACT(metadata!H253,"insecta-associated habitat"),EXACT(metadata!H253,"mammalia-associated habitat"),EXACT(metadata!H253,"human-associated habitat"),EXACT(metadata!H253,"livestock-associated habitat"))))</f>
        <v>0</v>
      </c>
      <c r="AK253" t="b">
        <f>AND(IF(metadata!I253="",FALSE,TRUE),EXACT(metadata!I253,"host-associated"))</f>
        <v>0</v>
      </c>
      <c r="AL253" t="b">
        <f>OR(AND(IF(metadata!J253="",FALSE,TRUE),OR(EXACT(metadata!J253,"not applicable"),EXACT(metadata!J253,"missing: not collected"),EXACT(metadata!J253,"missing: not provided"),EXACT(metadata!J253,"missing: restricted access"))),AND(IF(metadata!J253="",FALSE,ISNUMBER(VALUE(metadata!J253))),metadata!J253&gt;0))</f>
        <v>0</v>
      </c>
      <c r="AM253" t="b">
        <f>AND(IF(metadata!K253="",FALSE,TRUE),EXACT(metadata!K253,"missing: not provided"))</f>
        <v>0</v>
      </c>
      <c r="AN253" t="b">
        <f>IF(metadata!L253="",FALSE,TRUE)</f>
        <v>0</v>
      </c>
      <c r="AO253" t="b">
        <f>IF(metadata!M253="",FALSE,TRUE)</f>
        <v>0</v>
      </c>
      <c r="AP253" t="b">
        <f>OR(AND(IF(metadata!N253="",FALSE,TRUE),OR(EXACT(metadata!N253,"not applicable"),EXACT(metadata!N253,"missing: not collected"),EXACT(metadata!N253,"missing: not provided"))),AND(IF(metadata!N253="",FALSE,IF(ISERROR(INT(metadata!N253)),FALSE,INT(metadata!N253)=metadata!N253)),metadata!N253&gt;0))</f>
        <v>0</v>
      </c>
      <c r="AQ253" t="b">
        <f>AND(IF(metadata!O253="",FALSE,TRUE),EXACT(metadata!O253,"Not applicable"))</f>
        <v>0</v>
      </c>
      <c r="AR253" t="b">
        <f>OR(AND(IF(metadata!P253="",FALSE,TRUE),OR(EXACT(metadata!P253,"not applicable"),EXACT(metadata!P253,"missing: not collected"),EXACT(metadata!P253,"missing: not provided"),EXACT(metadata!P253,"missing: restricted access"))),IF(metadata!P253="",FALSE,IF(ISERROR(INT(metadata!P253)),FALSE,INT(metadata!P253)=metadata!P253)))</f>
        <v>0</v>
      </c>
      <c r="AS253" t="b">
        <f>AND(IF(metadata!Q253="",FALSE,TRUE),EXACT(metadata!Q253,"Not applicable"))</f>
        <v>0</v>
      </c>
      <c r="AT253" t="b">
        <f>OR(AND(IF(metadata!R253="",FALSE,TRUE),OR(EXACT(metadata!R253,"not applicable"),EXACT(metadata!R253,"missing: not collected"),EXACT(metadata!R253,"missing: not provided"),EXACT(metadata!R253,"missing: restricted access"))),AND(IF(metadata!R253="",FALSE,ISNUMBER(VALUE(metadata!R253))),metadata!R253&gt;0))</f>
        <v>0</v>
      </c>
      <c r="AU253" t="b">
        <f>AND(IF(metadata!S253="",FALSE,TRUE),EXACT(metadata!S253,"missing: not provided"))</f>
        <v>0</v>
      </c>
    </row>
    <row r="254" spans="1:47" x14ac:dyDescent="0.2">
      <c r="A254" s="5" t="str">
        <f ca="1">IF(B254=" "," ",HYPERLINK(CONCATENATE("#metadata!",ADDRESS(INDEX($Y$2:$Y$1001,MATCH(ROWS($W$2:W254),$W$2:$W$1001,0),0),1)),INDEX($AB$2:$AB$1001,MATCH(ROWS($W$2:W254),$W$2:$W$1001,0),0)))</f>
        <v xml:space="preserve"> </v>
      </c>
      <c r="B254" s="4" t="str">
        <f ca="1">IF(OR(INDEX($X$2:$X$1001,MATCH(ROWS($W$2:W254),$W$2:$W$1001,0),1)&gt;=100000,INDEX($AD$1005:$AU$1005,1,MATCH(COLUMNS($AD$1006:AD1006),$AD$1006:$AU$1006,0))&gt;=100000), " ",IF(INDEX($AD$2:$AU$1001,MATCH(ROWS($W$2:W254),$W$2:$W$1001,0),MATCH(COLUMNS($AD$1006:AD1006),$AD$1006:$AU$1006,0)), HYPERLINK("#",""), HYPERLINK(CONCATENATE("#metadata!", ADDRESS(INDEX($Y$2:$Y$1001,MATCH(ROWS($W$2:W254),$W$2:$W$1001,0),0), INDEX($AD$1004:$AU$1004,1,MATCH(COLUMNS($AD$1006:AD1006),$AD$1006:$AU$1006,0)))),"Fix")))</f>
        <v xml:space="preserve"> </v>
      </c>
      <c r="C254" s="4" t="str">
        <f ca="1">IF(OR(INDEX($X$2:$X$1001,MATCH(ROWS($W$2:W254),$W$2:$W$1001,0),1)&gt;=100000,INDEX($AD$1005:$AU$1005,1,MATCH(COLUMNS($AD$1006:AE1006),$AD$1006:$AU$1006,0))&gt;=100000), " ",IF(INDEX($AD$2:$AU$1001,MATCH(ROWS($W$2:W254),$W$2:$W$1001,0),MATCH(COLUMNS($AD$1006:AE1006),$AD$1006:$AU$1006,0)), HYPERLINK("#",""), HYPERLINK(CONCATENATE("#metadata!", ADDRESS(INDEX($Y$2:$Y$1001,MATCH(ROWS($W$2:W254),$W$2:$W$1001,0),0), INDEX($AD$1004:$AU$1004,1,MATCH(COLUMNS($AD$1006:AE1006),$AD$1006:$AU$1006,0)))),"Fix")))</f>
        <v xml:space="preserve"> </v>
      </c>
      <c r="D254" s="4" t="str">
        <f ca="1">IF(OR(INDEX($X$2:$X$1001,MATCH(ROWS($W$2:W254),$W$2:$W$1001,0),1)&gt;=100000,INDEX($AD$1005:$AU$1005,1,MATCH(COLUMNS($AD$1006:AF1006),$AD$1006:$AU$1006,0))&gt;=100000), " ",IF(INDEX($AD$2:$AU$1001,MATCH(ROWS($W$2:W254),$W$2:$W$1001,0),MATCH(COLUMNS($AD$1006:AF1006),$AD$1006:$AU$1006,0)), HYPERLINK("#",""), HYPERLINK(CONCATENATE("#metadata!", ADDRESS(INDEX($Y$2:$Y$1001,MATCH(ROWS($W$2:W254),$W$2:$W$1001,0),0), INDEX($AD$1004:$AU$1004,1,MATCH(COLUMNS($AD$1006:AF1006),$AD$1006:$AU$1006,0)))),"Fix")))</f>
        <v xml:space="preserve"> </v>
      </c>
      <c r="E254" s="4" t="str">
        <f ca="1">IF(OR(INDEX($X$2:$X$1001,MATCH(ROWS($W$2:W254),$W$2:$W$1001,0),1)&gt;=100000,INDEX($AD$1005:$AU$1005,1,MATCH(COLUMNS($AD$1006:AG1006),$AD$1006:$AU$1006,0))&gt;=100000), " ",IF(INDEX($AD$2:$AU$1001,MATCH(ROWS($W$2:W254),$W$2:$W$1001,0),MATCH(COLUMNS($AD$1006:AG1006),$AD$1006:$AU$1006,0)), HYPERLINK("#",""), HYPERLINK(CONCATENATE("#metadata!", ADDRESS(INDEX($Y$2:$Y$1001,MATCH(ROWS($W$2:W254),$W$2:$W$1001,0),0), INDEX($AD$1004:$AU$1004,1,MATCH(COLUMNS($AD$1006:AG1006),$AD$1006:$AU$1006,0)))),"Fix")))</f>
        <v xml:space="preserve"> </v>
      </c>
      <c r="F254" s="4" t="str">
        <f ca="1">IF(OR(INDEX($X$2:$X$1001,MATCH(ROWS($W$2:W254),$W$2:$W$1001,0),1)&gt;=100000,INDEX($AD$1005:$AU$1005,1,MATCH(COLUMNS($AD$1006:AH1006),$AD$1006:$AU$1006,0))&gt;=100000), " ",IF(INDEX($AD$2:$AU$1001,MATCH(ROWS($W$2:W254),$W$2:$W$1001,0),MATCH(COLUMNS($AD$1006:AH1006),$AD$1006:$AU$1006,0)), HYPERLINK("#",""), HYPERLINK(CONCATENATE("#metadata!", ADDRESS(INDEX($Y$2:$Y$1001,MATCH(ROWS($W$2:W254),$W$2:$W$1001,0),0), INDEX($AD$1004:$AU$1004,1,MATCH(COLUMNS($AD$1006:AH1006),$AD$1006:$AU$1006,0)))),"Fix")))</f>
        <v xml:space="preserve"> </v>
      </c>
      <c r="G254" s="4" t="str">
        <f ca="1">IF(OR(INDEX($X$2:$X$1001,MATCH(ROWS($W$2:W254),$W$2:$W$1001,0),1)&gt;=100000,INDEX($AD$1005:$AU$1005,1,MATCH(COLUMNS($AD$1006:AI1006),$AD$1006:$AU$1006,0))&gt;=100000), " ",IF(INDEX($AD$2:$AU$1001,MATCH(ROWS($W$2:W254),$W$2:$W$1001,0),MATCH(COLUMNS($AD$1006:AI1006),$AD$1006:$AU$1006,0)), HYPERLINK("#",""), HYPERLINK(CONCATENATE("#metadata!", ADDRESS(INDEX($Y$2:$Y$1001,MATCH(ROWS($W$2:W254),$W$2:$W$1001,0),0), INDEX($AD$1004:$AU$1004,1,MATCH(COLUMNS($AD$1006:AI1006),$AD$1006:$AU$1006,0)))),"Fix")))</f>
        <v xml:space="preserve"> </v>
      </c>
      <c r="H254" s="4" t="str">
        <f ca="1">IF(OR(INDEX($X$2:$X$1001,MATCH(ROWS($W$2:W254),$W$2:$W$1001,0),1)&gt;=100000,INDEX($AD$1005:$AU$1005,1,MATCH(COLUMNS($AD$1006:AJ1006),$AD$1006:$AU$1006,0))&gt;=100000), " ",IF(INDEX($AD$2:$AU$1001,MATCH(ROWS($W$2:W254),$W$2:$W$1001,0),MATCH(COLUMNS($AD$1006:AJ1006),$AD$1006:$AU$1006,0)), HYPERLINK("#",""), HYPERLINK(CONCATENATE("#metadata!", ADDRESS(INDEX($Y$2:$Y$1001,MATCH(ROWS($W$2:W254),$W$2:$W$1001,0),0), INDEX($AD$1004:$AU$1004,1,MATCH(COLUMNS($AD$1006:AJ1006),$AD$1006:$AU$1006,0)))),"Fix")))</f>
        <v xml:space="preserve"> </v>
      </c>
      <c r="I254" s="4" t="str">
        <f ca="1">IF(OR(INDEX($X$2:$X$1001,MATCH(ROWS($W$2:W254),$W$2:$W$1001,0),1)&gt;=100000,INDEX($AD$1005:$AU$1005,1,MATCH(COLUMNS($AD$1006:AK1006),$AD$1006:$AU$1006,0))&gt;=100000), " ",IF(INDEX($AD$2:$AU$1001,MATCH(ROWS($W$2:W254),$W$2:$W$1001,0),MATCH(COLUMNS($AD$1006:AK1006),$AD$1006:$AU$1006,0)), HYPERLINK("#",""), HYPERLINK(CONCATENATE("#metadata!", ADDRESS(INDEX($Y$2:$Y$1001,MATCH(ROWS($W$2:W254),$W$2:$W$1001,0),0), INDEX($AD$1004:$AU$1004,1,MATCH(COLUMNS($AD$1006:AK1006),$AD$1006:$AU$1006,0)))),"Fix")))</f>
        <v xml:space="preserve"> </v>
      </c>
      <c r="J254" s="4" t="str">
        <f ca="1">IF(OR(INDEX($X$2:$X$1001,MATCH(ROWS($W$2:W254),$W$2:$W$1001,0),1)&gt;=100000,INDEX($AD$1005:$AU$1005,1,MATCH(COLUMNS($AD$1006:AL1006),$AD$1006:$AU$1006,0))&gt;=100000), " ",IF(INDEX($AD$2:$AU$1001,MATCH(ROWS($W$2:W254),$W$2:$W$1001,0),MATCH(COLUMNS($AD$1006:AL1006),$AD$1006:$AU$1006,0)), HYPERLINK("#",""), HYPERLINK(CONCATENATE("#metadata!", ADDRESS(INDEX($Y$2:$Y$1001,MATCH(ROWS($W$2:W254),$W$2:$W$1001,0),0), INDEX($AD$1004:$AU$1004,1,MATCH(COLUMNS($AD$1006:AL1006),$AD$1006:$AU$1006,0)))),"Fix")))</f>
        <v xml:space="preserve"> </v>
      </c>
      <c r="K254" s="4" t="str">
        <f ca="1">IF(OR(INDEX($X$2:$X$1001,MATCH(ROWS($W$2:W254),$W$2:$W$1001,0),1)&gt;=100000,INDEX($AD$1005:$AU$1005,1,MATCH(COLUMNS($AD$1006:AM1006),$AD$1006:$AU$1006,0))&gt;=100000), " ",IF(INDEX($AD$2:$AU$1001,MATCH(ROWS($W$2:W254),$W$2:$W$1001,0),MATCH(COLUMNS($AD$1006:AM1006),$AD$1006:$AU$1006,0)), HYPERLINK("#",""), HYPERLINK(CONCATENATE("#metadata!", ADDRESS(INDEX($Y$2:$Y$1001,MATCH(ROWS($W$2:W254),$W$2:$W$1001,0),0), INDEX($AD$1004:$AU$1004,1,MATCH(COLUMNS($AD$1006:AM1006),$AD$1006:$AU$1006,0)))),"Fix")))</f>
        <v xml:space="preserve"> </v>
      </c>
      <c r="L254" s="4" t="str">
        <f ca="1">IF(OR(INDEX($X$2:$X$1001,MATCH(ROWS($W$2:W254),$W$2:$W$1001,0),1)&gt;=100000,INDEX($AD$1005:$AU$1005,1,MATCH(COLUMNS($AD$1006:AN1006),$AD$1006:$AU$1006,0))&gt;=100000), " ",IF(INDEX($AD$2:$AU$1001,MATCH(ROWS($W$2:W254),$W$2:$W$1001,0),MATCH(COLUMNS($AD$1006:AN1006),$AD$1006:$AU$1006,0)), HYPERLINK("#",""), HYPERLINK(CONCATENATE("#metadata!", ADDRESS(INDEX($Y$2:$Y$1001,MATCH(ROWS($W$2:W254),$W$2:$W$1001,0),0), INDEX($AD$1004:$AU$1004,1,MATCH(COLUMNS($AD$1006:AN1006),$AD$1006:$AU$1006,0)))),"Fix")))</f>
        <v xml:space="preserve"> </v>
      </c>
      <c r="M254" s="4" t="str">
        <f ca="1">IF(OR(INDEX($X$2:$X$1001,MATCH(ROWS($W$2:W254),$W$2:$W$1001,0),1)&gt;=100000,INDEX($AD$1005:$AU$1005,1,MATCH(COLUMNS($AD$1006:AO1006),$AD$1006:$AU$1006,0))&gt;=100000), " ",IF(INDEX($AD$2:$AU$1001,MATCH(ROWS($W$2:W254),$W$2:$W$1001,0),MATCH(COLUMNS($AD$1006:AO1006),$AD$1006:$AU$1006,0)), HYPERLINK("#",""), HYPERLINK(CONCATENATE("#metadata!", ADDRESS(INDEX($Y$2:$Y$1001,MATCH(ROWS($W$2:W254),$W$2:$W$1001,0),0), INDEX($AD$1004:$AU$1004,1,MATCH(COLUMNS($AD$1006:AO1006),$AD$1006:$AU$1006,0)))),"Fix")))</f>
        <v xml:space="preserve"> </v>
      </c>
      <c r="N254" s="4" t="str">
        <f ca="1">IF(OR(INDEX($X$2:$X$1001,MATCH(ROWS($W$2:W254),$W$2:$W$1001,0),1)&gt;=100000,INDEX($AD$1005:$AU$1005,1,MATCH(COLUMNS($AD$1006:AP1006),$AD$1006:$AU$1006,0))&gt;=100000), " ",IF(INDEX($AD$2:$AU$1001,MATCH(ROWS($W$2:W254),$W$2:$W$1001,0),MATCH(COLUMNS($AD$1006:AP1006),$AD$1006:$AU$1006,0)), HYPERLINK("#",""), HYPERLINK(CONCATENATE("#metadata!", ADDRESS(INDEX($Y$2:$Y$1001,MATCH(ROWS($W$2:W254),$W$2:$W$1001,0),0), INDEX($AD$1004:$AU$1004,1,MATCH(COLUMNS($AD$1006:AP1006),$AD$1006:$AU$1006,0)))),"Fix")))</f>
        <v xml:space="preserve"> </v>
      </c>
      <c r="O254" s="4" t="str">
        <f ca="1">IF(OR(INDEX($X$2:$X$1001,MATCH(ROWS($W$2:W254),$W$2:$W$1001,0),1)&gt;=100000,INDEX($AD$1005:$AU$1005,1,MATCH(COLUMNS($AD$1006:AQ1006),$AD$1006:$AU$1006,0))&gt;=100000), " ",IF(INDEX($AD$2:$AU$1001,MATCH(ROWS($W$2:W254),$W$2:$W$1001,0),MATCH(COLUMNS($AD$1006:AQ1006),$AD$1006:$AU$1006,0)), HYPERLINK("#",""), HYPERLINK(CONCATENATE("#metadata!", ADDRESS(INDEX($Y$2:$Y$1001,MATCH(ROWS($W$2:W254),$W$2:$W$1001,0),0), INDEX($AD$1004:$AU$1004,1,MATCH(COLUMNS($AD$1006:AQ1006),$AD$1006:$AU$1006,0)))),"Fix")))</f>
        <v xml:space="preserve"> </v>
      </c>
      <c r="P254" s="4" t="str">
        <f ca="1">IF(OR(INDEX($X$2:$X$1001,MATCH(ROWS($W$2:W254),$W$2:$W$1001,0),1)&gt;=100000,INDEX($AD$1005:$AU$1005,1,MATCH(COLUMNS($AD$1006:AR1006),$AD$1006:$AU$1006,0))&gt;=100000), " ",IF(INDEX($AD$2:$AU$1001,MATCH(ROWS($W$2:W254),$W$2:$W$1001,0),MATCH(COLUMNS($AD$1006:AR1006),$AD$1006:$AU$1006,0)), HYPERLINK("#",""), HYPERLINK(CONCATENATE("#metadata!", ADDRESS(INDEX($Y$2:$Y$1001,MATCH(ROWS($W$2:W254),$W$2:$W$1001,0),0), INDEX($AD$1004:$AU$1004,1,MATCH(COLUMNS($AD$1006:AR1006),$AD$1006:$AU$1006,0)))),"Fix")))</f>
        <v xml:space="preserve"> </v>
      </c>
      <c r="Q254" s="4" t="str">
        <f ca="1">IF(OR(INDEX($X$2:$X$1001,MATCH(ROWS($W$2:W254),$W$2:$W$1001,0),1)&gt;=100000,INDEX($AD$1005:$AU$1005,1,MATCH(COLUMNS($AD$1006:AS1006),$AD$1006:$AU$1006,0))&gt;=100000), " ",IF(INDEX($AD$2:$AU$1001,MATCH(ROWS($W$2:W254),$W$2:$W$1001,0),MATCH(COLUMNS($AD$1006:AS1006),$AD$1006:$AU$1006,0)), HYPERLINK("#",""), HYPERLINK(CONCATENATE("#metadata!", ADDRESS(INDEX($Y$2:$Y$1001,MATCH(ROWS($W$2:W254),$W$2:$W$1001,0),0), INDEX($AD$1004:$AU$1004,1,MATCH(COLUMNS($AD$1006:AS1006),$AD$1006:$AU$1006,0)))),"Fix")))</f>
        <v xml:space="preserve"> </v>
      </c>
      <c r="R254" s="4" t="str">
        <f ca="1">IF(OR(INDEX($X$2:$X$1001,MATCH(ROWS($W$2:W254),$W$2:$W$1001,0),1)&gt;=100000,INDEX($AD$1005:$AU$1005,1,MATCH(COLUMNS($AD$1006:AT1006),$AD$1006:$AU$1006,0))&gt;=100000), " ",IF(INDEX($AD$2:$AU$1001,MATCH(ROWS($W$2:W254),$W$2:$W$1001,0),MATCH(COLUMNS($AD$1006:AT1006),$AD$1006:$AU$1006,0)), HYPERLINK("#",""), HYPERLINK(CONCATENATE("#metadata!", ADDRESS(INDEX($Y$2:$Y$1001,MATCH(ROWS($W$2:W254),$W$2:$W$1001,0),0), INDEX($AD$1004:$AU$1004,1,MATCH(COLUMNS($AD$1006:AT1006),$AD$1006:$AU$1006,0)))),"Fix")))</f>
        <v xml:space="preserve"> </v>
      </c>
      <c r="S254" s="4" t="str">
        <f ca="1">IF(OR(INDEX($X$2:$X$1001,MATCH(ROWS($W$2:W254),$W$2:$W$1001,0),1)&gt;=100000,INDEX($AD$1005:$AU$1005,1,MATCH(COLUMNS($AD$1006:AU1006),$AD$1006:$AU$1006,0))&gt;=100000), " ",IF(INDEX($AD$2:$AU$1001,MATCH(ROWS($W$2:W254),$W$2:$W$1001,0),MATCH(COLUMNS($AD$1006:AU1006),$AD$1006:$AU$1006,0)), HYPERLINK("#",""), HYPERLINK(CONCATENATE("#metadata!", ADDRESS(INDEX($Y$2:$Y$1001,MATCH(ROWS($W$2:W254),$W$2:$W$1001,0),0), INDEX($AD$1004:$AU$1004,1,MATCH(COLUMNS($AD$1006:AU1006),$AD$1006:$AU$1006,0)))),"Fix")))</f>
        <v xml:space="preserve"> </v>
      </c>
      <c r="W254">
        <v>253</v>
      </c>
      <c r="X254">
        <v>100254</v>
      </c>
      <c r="Y254">
        <v>254</v>
      </c>
      <c r="Z254" t="b">
        <f t="shared" si="3"/>
        <v>1</v>
      </c>
      <c r="AA254" t="b">
        <f>COUNTBLANK(metadata!B254:S254)=COLUMNS(metadata!B254:S254)</f>
        <v>1</v>
      </c>
      <c r="AB254" t="str">
        <v/>
      </c>
      <c r="AD254" t="b">
        <f ca="1">AND(IF(metadata!B254="",FALSE,TRUE),COUNTIF(metadata!B:B, metadata!B254) = 1,NOT(ISERROR(SUMPRODUCT(SEARCH(MID(metadata!B254,ROW(INDIRECT("1:"&amp;LEN(metadata!B254))), 1),"0123456789abcdefghijklmnopqrstuvwxyzABCDEFGHIJKLMNOPQRSTUVWXYZ.")))))</f>
        <v>0</v>
      </c>
      <c r="AE254" t="b">
        <f>OR(AND(IF(metadata!C254="",FALSE,TRUE),OR(EXACT(metadata!C254,"not applicable"),EXACT(metadata!C254,"missing: not collected"),EXACT(metadata!C254,"missing: not provided"),EXACT(metadata!C254,"missing: restricted access"))),AND(IF(metadata!C254="",FALSE,ISNUMBER(VALUE(metadata!C254))),metadata!C254&gt;0))</f>
        <v>0</v>
      </c>
      <c r="AF254" t="b">
        <f>AND(IF(metadata!D254="",FALSE,TRUE),EXACT(metadata!D254,"missing: not provided"))</f>
        <v>0</v>
      </c>
      <c r="AG254" t="b">
        <f>AND(IF(metadata!E254="",FALSE,TRUE),EXACT(metadata!E254,"Host-associated"))</f>
        <v>0</v>
      </c>
      <c r="AH254" t="b">
        <f>AND(IF(metadata!F254="",FALSE,TRUE),OR(EXACT(metadata!F254,"Animal"),EXACT(metadata!F254,"Fungus"),EXACT(metadata!F254,"Plant")))</f>
        <v>0</v>
      </c>
      <c r="AI254" t="b">
        <f>AND(IF(metadata!G254="",FALSE,TRUE),OR(EXACT(metadata!G254,"Plant secretion"),EXACT(metadata!G254,"Plant rhizosphere"),EXACT(metadata!G254,"Plant surface"),EXACT(metadata!G254,"Plant corpus"),EXACT(metadata!G254,"Fungus surface"),EXACT(metadata!G254,"Fungus corpus"),EXACT(metadata!G254,"Animal surface"),EXACT(metadata!G254,"Animal proximal gut"),EXACT(metadata!G254,"Animal corpus"),EXACT(metadata!G254,"Animal distal gut"),EXACT(metadata!G254,"Animal secretion")))</f>
        <v>0</v>
      </c>
      <c r="AJ254" t="b">
        <f>OR(AND(IF(metadata!H254="",FALSE,TRUE),OR(EXACT(metadata!H254,"missing: not collected"),EXACT(metadata!H254,"missing: not provided"),EXACT(metadata!H254,"missing: restricted access"))),AND(IF(metadata!H254="",FALSE,TRUE),OR(EXACT(metadata!H254,"organism-associated habitat"),EXACT(metadata!H254,"plant-associated habitat"),EXACT(metadata!H254,"animal-associated habitat"),EXACT(metadata!H254,"insecta-associated habitat"),EXACT(metadata!H254,"mammalia-associated habitat"),EXACT(metadata!H254,"human-associated habitat"),EXACT(metadata!H254,"livestock-associated habitat"))))</f>
        <v>0</v>
      </c>
      <c r="AK254" t="b">
        <f>AND(IF(metadata!I254="",FALSE,TRUE),EXACT(metadata!I254,"host-associated"))</f>
        <v>0</v>
      </c>
      <c r="AL254" t="b">
        <f>OR(AND(IF(metadata!J254="",FALSE,TRUE),OR(EXACT(metadata!J254,"not applicable"),EXACT(metadata!J254,"missing: not collected"),EXACT(metadata!J254,"missing: not provided"),EXACT(metadata!J254,"missing: restricted access"))),AND(IF(metadata!J254="",FALSE,ISNUMBER(VALUE(metadata!J254))),metadata!J254&gt;0))</f>
        <v>0</v>
      </c>
      <c r="AM254" t="b">
        <f>AND(IF(metadata!K254="",FALSE,TRUE),EXACT(metadata!K254,"missing: not provided"))</f>
        <v>0</v>
      </c>
      <c r="AN254" t="b">
        <f>IF(metadata!L254="",FALSE,TRUE)</f>
        <v>0</v>
      </c>
      <c r="AO254" t="b">
        <f>IF(metadata!M254="",FALSE,TRUE)</f>
        <v>0</v>
      </c>
      <c r="AP254" t="b">
        <f>OR(AND(IF(metadata!N254="",FALSE,TRUE),OR(EXACT(metadata!N254,"not applicable"),EXACT(metadata!N254,"missing: not collected"),EXACT(metadata!N254,"missing: not provided"))),AND(IF(metadata!N254="",FALSE,IF(ISERROR(INT(metadata!N254)),FALSE,INT(metadata!N254)=metadata!N254)),metadata!N254&gt;0))</f>
        <v>0</v>
      </c>
      <c r="AQ254" t="b">
        <f>AND(IF(metadata!O254="",FALSE,TRUE),EXACT(metadata!O254,"Not applicable"))</f>
        <v>0</v>
      </c>
      <c r="AR254" t="b">
        <f>OR(AND(IF(metadata!P254="",FALSE,TRUE),OR(EXACT(metadata!P254,"not applicable"),EXACT(metadata!P254,"missing: not collected"),EXACT(metadata!P254,"missing: not provided"),EXACT(metadata!P254,"missing: restricted access"))),IF(metadata!P254="",FALSE,IF(ISERROR(INT(metadata!P254)),FALSE,INT(metadata!P254)=metadata!P254)))</f>
        <v>0</v>
      </c>
      <c r="AS254" t="b">
        <f>AND(IF(metadata!Q254="",FALSE,TRUE),EXACT(metadata!Q254,"Not applicable"))</f>
        <v>0</v>
      </c>
      <c r="AT254" t="b">
        <f>OR(AND(IF(metadata!R254="",FALSE,TRUE),OR(EXACT(metadata!R254,"not applicable"),EXACT(metadata!R254,"missing: not collected"),EXACT(metadata!R254,"missing: not provided"),EXACT(metadata!R254,"missing: restricted access"))),AND(IF(metadata!R254="",FALSE,ISNUMBER(VALUE(metadata!R254))),metadata!R254&gt;0))</f>
        <v>0</v>
      </c>
      <c r="AU254" t="b">
        <f>AND(IF(metadata!S254="",FALSE,TRUE),EXACT(metadata!S254,"missing: not provided"))</f>
        <v>0</v>
      </c>
    </row>
    <row r="255" spans="1:47" x14ac:dyDescent="0.2">
      <c r="A255" s="5" t="str">
        <f ca="1">IF(B255=" "," ",HYPERLINK(CONCATENATE("#metadata!",ADDRESS(INDEX($Y$2:$Y$1001,MATCH(ROWS($W$2:W255),$W$2:$W$1001,0),0),1)),INDEX($AB$2:$AB$1001,MATCH(ROWS($W$2:W255),$W$2:$W$1001,0),0)))</f>
        <v xml:space="preserve"> </v>
      </c>
      <c r="B255" s="4" t="str">
        <f ca="1">IF(OR(INDEX($X$2:$X$1001,MATCH(ROWS($W$2:W255),$W$2:$W$1001,0),1)&gt;=100000,INDEX($AD$1005:$AU$1005,1,MATCH(COLUMNS($AD$1006:AD1006),$AD$1006:$AU$1006,0))&gt;=100000), " ",IF(INDEX($AD$2:$AU$1001,MATCH(ROWS($W$2:W255),$W$2:$W$1001,0),MATCH(COLUMNS($AD$1006:AD1006),$AD$1006:$AU$1006,0)), HYPERLINK("#",""), HYPERLINK(CONCATENATE("#metadata!", ADDRESS(INDEX($Y$2:$Y$1001,MATCH(ROWS($W$2:W255),$W$2:$W$1001,0),0), INDEX($AD$1004:$AU$1004,1,MATCH(COLUMNS($AD$1006:AD1006),$AD$1006:$AU$1006,0)))),"Fix")))</f>
        <v xml:space="preserve"> </v>
      </c>
      <c r="C255" s="4" t="str">
        <f ca="1">IF(OR(INDEX($X$2:$X$1001,MATCH(ROWS($W$2:W255),$W$2:$W$1001,0),1)&gt;=100000,INDEX($AD$1005:$AU$1005,1,MATCH(COLUMNS($AD$1006:AE1006),$AD$1006:$AU$1006,0))&gt;=100000), " ",IF(INDEX($AD$2:$AU$1001,MATCH(ROWS($W$2:W255),$W$2:$W$1001,0),MATCH(COLUMNS($AD$1006:AE1006),$AD$1006:$AU$1006,0)), HYPERLINK("#",""), HYPERLINK(CONCATENATE("#metadata!", ADDRESS(INDEX($Y$2:$Y$1001,MATCH(ROWS($W$2:W255),$W$2:$W$1001,0),0), INDEX($AD$1004:$AU$1004,1,MATCH(COLUMNS($AD$1006:AE1006),$AD$1006:$AU$1006,0)))),"Fix")))</f>
        <v xml:space="preserve"> </v>
      </c>
      <c r="D255" s="4" t="str">
        <f ca="1">IF(OR(INDEX($X$2:$X$1001,MATCH(ROWS($W$2:W255),$W$2:$W$1001,0),1)&gt;=100000,INDEX($AD$1005:$AU$1005,1,MATCH(COLUMNS($AD$1006:AF1006),$AD$1006:$AU$1006,0))&gt;=100000), " ",IF(INDEX($AD$2:$AU$1001,MATCH(ROWS($W$2:W255),$W$2:$W$1001,0),MATCH(COLUMNS($AD$1006:AF1006),$AD$1006:$AU$1006,0)), HYPERLINK("#",""), HYPERLINK(CONCATENATE("#metadata!", ADDRESS(INDEX($Y$2:$Y$1001,MATCH(ROWS($W$2:W255),$W$2:$W$1001,0),0), INDEX($AD$1004:$AU$1004,1,MATCH(COLUMNS($AD$1006:AF1006),$AD$1006:$AU$1006,0)))),"Fix")))</f>
        <v xml:space="preserve"> </v>
      </c>
      <c r="E255" s="4" t="str">
        <f ca="1">IF(OR(INDEX($X$2:$X$1001,MATCH(ROWS($W$2:W255),$W$2:$W$1001,0),1)&gt;=100000,INDEX($AD$1005:$AU$1005,1,MATCH(COLUMNS($AD$1006:AG1006),$AD$1006:$AU$1006,0))&gt;=100000), " ",IF(INDEX($AD$2:$AU$1001,MATCH(ROWS($W$2:W255),$W$2:$W$1001,0),MATCH(COLUMNS($AD$1006:AG1006),$AD$1006:$AU$1006,0)), HYPERLINK("#",""), HYPERLINK(CONCATENATE("#metadata!", ADDRESS(INDEX($Y$2:$Y$1001,MATCH(ROWS($W$2:W255),$W$2:$W$1001,0),0), INDEX($AD$1004:$AU$1004,1,MATCH(COLUMNS($AD$1006:AG1006),$AD$1006:$AU$1006,0)))),"Fix")))</f>
        <v xml:space="preserve"> </v>
      </c>
      <c r="F255" s="4" t="str">
        <f ca="1">IF(OR(INDEX($X$2:$X$1001,MATCH(ROWS($W$2:W255),$W$2:$W$1001,0),1)&gt;=100000,INDEX($AD$1005:$AU$1005,1,MATCH(COLUMNS($AD$1006:AH1006),$AD$1006:$AU$1006,0))&gt;=100000), " ",IF(INDEX($AD$2:$AU$1001,MATCH(ROWS($W$2:W255),$W$2:$W$1001,0),MATCH(COLUMNS($AD$1006:AH1006),$AD$1006:$AU$1006,0)), HYPERLINK("#",""), HYPERLINK(CONCATENATE("#metadata!", ADDRESS(INDEX($Y$2:$Y$1001,MATCH(ROWS($W$2:W255),$W$2:$W$1001,0),0), INDEX($AD$1004:$AU$1004,1,MATCH(COLUMNS($AD$1006:AH1006),$AD$1006:$AU$1006,0)))),"Fix")))</f>
        <v xml:space="preserve"> </v>
      </c>
      <c r="G255" s="4" t="str">
        <f ca="1">IF(OR(INDEX($X$2:$X$1001,MATCH(ROWS($W$2:W255),$W$2:$W$1001,0),1)&gt;=100000,INDEX($AD$1005:$AU$1005,1,MATCH(COLUMNS($AD$1006:AI1006),$AD$1006:$AU$1006,0))&gt;=100000), " ",IF(INDEX($AD$2:$AU$1001,MATCH(ROWS($W$2:W255),$W$2:$W$1001,0),MATCH(COLUMNS($AD$1006:AI1006),$AD$1006:$AU$1006,0)), HYPERLINK("#",""), HYPERLINK(CONCATENATE("#metadata!", ADDRESS(INDEX($Y$2:$Y$1001,MATCH(ROWS($W$2:W255),$W$2:$W$1001,0),0), INDEX($AD$1004:$AU$1004,1,MATCH(COLUMNS($AD$1006:AI1006),$AD$1006:$AU$1006,0)))),"Fix")))</f>
        <v xml:space="preserve"> </v>
      </c>
      <c r="H255" s="4" t="str">
        <f ca="1">IF(OR(INDEX($X$2:$X$1001,MATCH(ROWS($W$2:W255),$W$2:$W$1001,0),1)&gt;=100000,INDEX($AD$1005:$AU$1005,1,MATCH(COLUMNS($AD$1006:AJ1006),$AD$1006:$AU$1006,0))&gt;=100000), " ",IF(INDEX($AD$2:$AU$1001,MATCH(ROWS($W$2:W255),$W$2:$W$1001,0),MATCH(COLUMNS($AD$1006:AJ1006),$AD$1006:$AU$1006,0)), HYPERLINK("#",""), HYPERLINK(CONCATENATE("#metadata!", ADDRESS(INDEX($Y$2:$Y$1001,MATCH(ROWS($W$2:W255),$W$2:$W$1001,0),0), INDEX($AD$1004:$AU$1004,1,MATCH(COLUMNS($AD$1006:AJ1006),$AD$1006:$AU$1006,0)))),"Fix")))</f>
        <v xml:space="preserve"> </v>
      </c>
      <c r="I255" s="4" t="str">
        <f ca="1">IF(OR(INDEX($X$2:$X$1001,MATCH(ROWS($W$2:W255),$W$2:$W$1001,0),1)&gt;=100000,INDEX($AD$1005:$AU$1005,1,MATCH(COLUMNS($AD$1006:AK1006),$AD$1006:$AU$1006,0))&gt;=100000), " ",IF(INDEX($AD$2:$AU$1001,MATCH(ROWS($W$2:W255),$W$2:$W$1001,0),MATCH(COLUMNS($AD$1006:AK1006),$AD$1006:$AU$1006,0)), HYPERLINK("#",""), HYPERLINK(CONCATENATE("#metadata!", ADDRESS(INDEX($Y$2:$Y$1001,MATCH(ROWS($W$2:W255),$W$2:$W$1001,0),0), INDEX($AD$1004:$AU$1004,1,MATCH(COLUMNS($AD$1006:AK1006),$AD$1006:$AU$1006,0)))),"Fix")))</f>
        <v xml:space="preserve"> </v>
      </c>
      <c r="J255" s="4" t="str">
        <f ca="1">IF(OR(INDEX($X$2:$X$1001,MATCH(ROWS($W$2:W255),$W$2:$W$1001,0),1)&gt;=100000,INDEX($AD$1005:$AU$1005,1,MATCH(COLUMNS($AD$1006:AL1006),$AD$1006:$AU$1006,0))&gt;=100000), " ",IF(INDEX($AD$2:$AU$1001,MATCH(ROWS($W$2:W255),$W$2:$W$1001,0),MATCH(COLUMNS($AD$1006:AL1006),$AD$1006:$AU$1006,0)), HYPERLINK("#",""), HYPERLINK(CONCATENATE("#metadata!", ADDRESS(INDEX($Y$2:$Y$1001,MATCH(ROWS($W$2:W255),$W$2:$W$1001,0),0), INDEX($AD$1004:$AU$1004,1,MATCH(COLUMNS($AD$1006:AL1006),$AD$1006:$AU$1006,0)))),"Fix")))</f>
        <v xml:space="preserve"> </v>
      </c>
      <c r="K255" s="4" t="str">
        <f ca="1">IF(OR(INDEX($X$2:$X$1001,MATCH(ROWS($W$2:W255),$W$2:$W$1001,0),1)&gt;=100000,INDEX($AD$1005:$AU$1005,1,MATCH(COLUMNS($AD$1006:AM1006),$AD$1006:$AU$1006,0))&gt;=100000), " ",IF(INDEX($AD$2:$AU$1001,MATCH(ROWS($W$2:W255),$W$2:$W$1001,0),MATCH(COLUMNS($AD$1006:AM1006),$AD$1006:$AU$1006,0)), HYPERLINK("#",""), HYPERLINK(CONCATENATE("#metadata!", ADDRESS(INDEX($Y$2:$Y$1001,MATCH(ROWS($W$2:W255),$W$2:$W$1001,0),0), INDEX($AD$1004:$AU$1004,1,MATCH(COLUMNS($AD$1006:AM1006),$AD$1006:$AU$1006,0)))),"Fix")))</f>
        <v xml:space="preserve"> </v>
      </c>
      <c r="L255" s="4" t="str">
        <f ca="1">IF(OR(INDEX($X$2:$X$1001,MATCH(ROWS($W$2:W255),$W$2:$W$1001,0),1)&gt;=100000,INDEX($AD$1005:$AU$1005,1,MATCH(COLUMNS($AD$1006:AN1006),$AD$1006:$AU$1006,0))&gt;=100000), " ",IF(INDEX($AD$2:$AU$1001,MATCH(ROWS($W$2:W255),$W$2:$W$1001,0),MATCH(COLUMNS($AD$1006:AN1006),$AD$1006:$AU$1006,0)), HYPERLINK("#",""), HYPERLINK(CONCATENATE("#metadata!", ADDRESS(INDEX($Y$2:$Y$1001,MATCH(ROWS($W$2:W255),$W$2:$W$1001,0),0), INDEX($AD$1004:$AU$1004,1,MATCH(COLUMNS($AD$1006:AN1006),$AD$1006:$AU$1006,0)))),"Fix")))</f>
        <v xml:space="preserve"> </v>
      </c>
      <c r="M255" s="4" t="str">
        <f ca="1">IF(OR(INDEX($X$2:$X$1001,MATCH(ROWS($W$2:W255),$W$2:$W$1001,0),1)&gt;=100000,INDEX($AD$1005:$AU$1005,1,MATCH(COLUMNS($AD$1006:AO1006),$AD$1006:$AU$1006,0))&gt;=100000), " ",IF(INDEX($AD$2:$AU$1001,MATCH(ROWS($W$2:W255),$W$2:$W$1001,0),MATCH(COLUMNS($AD$1006:AO1006),$AD$1006:$AU$1006,0)), HYPERLINK("#",""), HYPERLINK(CONCATENATE("#metadata!", ADDRESS(INDEX($Y$2:$Y$1001,MATCH(ROWS($W$2:W255),$W$2:$W$1001,0),0), INDEX($AD$1004:$AU$1004,1,MATCH(COLUMNS($AD$1006:AO1006),$AD$1006:$AU$1006,0)))),"Fix")))</f>
        <v xml:space="preserve"> </v>
      </c>
      <c r="N255" s="4" t="str">
        <f ca="1">IF(OR(INDEX($X$2:$X$1001,MATCH(ROWS($W$2:W255),$W$2:$W$1001,0),1)&gt;=100000,INDEX($AD$1005:$AU$1005,1,MATCH(COLUMNS($AD$1006:AP1006),$AD$1006:$AU$1006,0))&gt;=100000), " ",IF(INDEX($AD$2:$AU$1001,MATCH(ROWS($W$2:W255),$W$2:$W$1001,0),MATCH(COLUMNS($AD$1006:AP1006),$AD$1006:$AU$1006,0)), HYPERLINK("#",""), HYPERLINK(CONCATENATE("#metadata!", ADDRESS(INDEX($Y$2:$Y$1001,MATCH(ROWS($W$2:W255),$W$2:$W$1001,0),0), INDEX($AD$1004:$AU$1004,1,MATCH(COLUMNS($AD$1006:AP1006),$AD$1006:$AU$1006,0)))),"Fix")))</f>
        <v xml:space="preserve"> </v>
      </c>
      <c r="O255" s="4" t="str">
        <f ca="1">IF(OR(INDEX($X$2:$X$1001,MATCH(ROWS($W$2:W255),$W$2:$W$1001,0),1)&gt;=100000,INDEX($AD$1005:$AU$1005,1,MATCH(COLUMNS($AD$1006:AQ1006),$AD$1006:$AU$1006,0))&gt;=100000), " ",IF(INDEX($AD$2:$AU$1001,MATCH(ROWS($W$2:W255),$W$2:$W$1001,0),MATCH(COLUMNS($AD$1006:AQ1006),$AD$1006:$AU$1006,0)), HYPERLINK("#",""), HYPERLINK(CONCATENATE("#metadata!", ADDRESS(INDEX($Y$2:$Y$1001,MATCH(ROWS($W$2:W255),$W$2:$W$1001,0),0), INDEX($AD$1004:$AU$1004,1,MATCH(COLUMNS($AD$1006:AQ1006),$AD$1006:$AU$1006,0)))),"Fix")))</f>
        <v xml:space="preserve"> </v>
      </c>
      <c r="P255" s="4" t="str">
        <f ca="1">IF(OR(INDEX($X$2:$X$1001,MATCH(ROWS($W$2:W255),$W$2:$W$1001,0),1)&gt;=100000,INDEX($AD$1005:$AU$1005,1,MATCH(COLUMNS($AD$1006:AR1006),$AD$1006:$AU$1006,0))&gt;=100000), " ",IF(INDEX($AD$2:$AU$1001,MATCH(ROWS($W$2:W255),$W$2:$W$1001,0),MATCH(COLUMNS($AD$1006:AR1006),$AD$1006:$AU$1006,0)), HYPERLINK("#",""), HYPERLINK(CONCATENATE("#metadata!", ADDRESS(INDEX($Y$2:$Y$1001,MATCH(ROWS($W$2:W255),$W$2:$W$1001,0),0), INDEX($AD$1004:$AU$1004,1,MATCH(COLUMNS($AD$1006:AR1006),$AD$1006:$AU$1006,0)))),"Fix")))</f>
        <v xml:space="preserve"> </v>
      </c>
      <c r="Q255" s="4" t="str">
        <f ca="1">IF(OR(INDEX($X$2:$X$1001,MATCH(ROWS($W$2:W255),$W$2:$W$1001,0),1)&gt;=100000,INDEX($AD$1005:$AU$1005,1,MATCH(COLUMNS($AD$1006:AS1006),$AD$1006:$AU$1006,0))&gt;=100000), " ",IF(INDEX($AD$2:$AU$1001,MATCH(ROWS($W$2:W255),$W$2:$W$1001,0),MATCH(COLUMNS($AD$1006:AS1006),$AD$1006:$AU$1006,0)), HYPERLINK("#",""), HYPERLINK(CONCATENATE("#metadata!", ADDRESS(INDEX($Y$2:$Y$1001,MATCH(ROWS($W$2:W255),$W$2:$W$1001,0),0), INDEX($AD$1004:$AU$1004,1,MATCH(COLUMNS($AD$1006:AS1006),$AD$1006:$AU$1006,0)))),"Fix")))</f>
        <v xml:space="preserve"> </v>
      </c>
      <c r="R255" s="4" t="str">
        <f ca="1">IF(OR(INDEX($X$2:$X$1001,MATCH(ROWS($W$2:W255),$W$2:$W$1001,0),1)&gt;=100000,INDEX($AD$1005:$AU$1005,1,MATCH(COLUMNS($AD$1006:AT1006),$AD$1006:$AU$1006,0))&gt;=100000), " ",IF(INDEX($AD$2:$AU$1001,MATCH(ROWS($W$2:W255),$W$2:$W$1001,0),MATCH(COLUMNS($AD$1006:AT1006),$AD$1006:$AU$1006,0)), HYPERLINK("#",""), HYPERLINK(CONCATENATE("#metadata!", ADDRESS(INDEX($Y$2:$Y$1001,MATCH(ROWS($W$2:W255),$W$2:$W$1001,0),0), INDEX($AD$1004:$AU$1004,1,MATCH(COLUMNS($AD$1006:AT1006),$AD$1006:$AU$1006,0)))),"Fix")))</f>
        <v xml:space="preserve"> </v>
      </c>
      <c r="S255" s="4" t="str">
        <f ca="1">IF(OR(INDEX($X$2:$X$1001,MATCH(ROWS($W$2:W255),$W$2:$W$1001,0),1)&gt;=100000,INDEX($AD$1005:$AU$1005,1,MATCH(COLUMNS($AD$1006:AU1006),$AD$1006:$AU$1006,0))&gt;=100000), " ",IF(INDEX($AD$2:$AU$1001,MATCH(ROWS($W$2:W255),$W$2:$W$1001,0),MATCH(COLUMNS($AD$1006:AU1006),$AD$1006:$AU$1006,0)), HYPERLINK("#",""), HYPERLINK(CONCATENATE("#metadata!", ADDRESS(INDEX($Y$2:$Y$1001,MATCH(ROWS($W$2:W255),$W$2:$W$1001,0),0), INDEX($AD$1004:$AU$1004,1,MATCH(COLUMNS($AD$1006:AU1006),$AD$1006:$AU$1006,0)))),"Fix")))</f>
        <v xml:space="preserve"> </v>
      </c>
      <c r="W255">
        <v>254</v>
      </c>
      <c r="X255">
        <v>100255</v>
      </c>
      <c r="Y255">
        <v>255</v>
      </c>
      <c r="Z255" t="b">
        <f t="shared" si="3"/>
        <v>1</v>
      </c>
      <c r="AA255" t="b">
        <f>COUNTBLANK(metadata!B255:S255)=COLUMNS(metadata!B255:S255)</f>
        <v>1</v>
      </c>
      <c r="AB255" t="str">
        <v/>
      </c>
      <c r="AD255" t="b">
        <f ca="1">AND(IF(metadata!B255="",FALSE,TRUE),COUNTIF(metadata!B:B, metadata!B255) = 1,NOT(ISERROR(SUMPRODUCT(SEARCH(MID(metadata!B255,ROW(INDIRECT("1:"&amp;LEN(metadata!B255))), 1),"0123456789abcdefghijklmnopqrstuvwxyzABCDEFGHIJKLMNOPQRSTUVWXYZ.")))))</f>
        <v>0</v>
      </c>
      <c r="AE255" t="b">
        <f>OR(AND(IF(metadata!C255="",FALSE,TRUE),OR(EXACT(metadata!C255,"not applicable"),EXACT(metadata!C255,"missing: not collected"),EXACT(metadata!C255,"missing: not provided"),EXACT(metadata!C255,"missing: restricted access"))),AND(IF(metadata!C255="",FALSE,ISNUMBER(VALUE(metadata!C255))),metadata!C255&gt;0))</f>
        <v>0</v>
      </c>
      <c r="AF255" t="b">
        <f>AND(IF(metadata!D255="",FALSE,TRUE),EXACT(metadata!D255,"missing: not provided"))</f>
        <v>0</v>
      </c>
      <c r="AG255" t="b">
        <f>AND(IF(metadata!E255="",FALSE,TRUE),EXACT(metadata!E255,"Host-associated"))</f>
        <v>0</v>
      </c>
      <c r="AH255" t="b">
        <f>AND(IF(metadata!F255="",FALSE,TRUE),OR(EXACT(metadata!F255,"Animal"),EXACT(metadata!F255,"Fungus"),EXACT(metadata!F255,"Plant")))</f>
        <v>0</v>
      </c>
      <c r="AI255" t="b">
        <f>AND(IF(metadata!G255="",FALSE,TRUE),OR(EXACT(metadata!G255,"Plant secretion"),EXACT(metadata!G255,"Plant rhizosphere"),EXACT(metadata!G255,"Plant surface"),EXACT(metadata!G255,"Plant corpus"),EXACT(metadata!G255,"Fungus surface"),EXACT(metadata!G255,"Fungus corpus"),EXACT(metadata!G255,"Animal surface"),EXACT(metadata!G255,"Animal proximal gut"),EXACT(metadata!G255,"Animal corpus"),EXACT(metadata!G255,"Animal distal gut"),EXACT(metadata!G255,"Animal secretion")))</f>
        <v>0</v>
      </c>
      <c r="AJ255" t="b">
        <f>OR(AND(IF(metadata!H255="",FALSE,TRUE),OR(EXACT(metadata!H255,"missing: not collected"),EXACT(metadata!H255,"missing: not provided"),EXACT(metadata!H255,"missing: restricted access"))),AND(IF(metadata!H255="",FALSE,TRUE),OR(EXACT(metadata!H255,"organism-associated habitat"),EXACT(metadata!H255,"plant-associated habitat"),EXACT(metadata!H255,"animal-associated habitat"),EXACT(metadata!H255,"insecta-associated habitat"),EXACT(metadata!H255,"mammalia-associated habitat"),EXACT(metadata!H255,"human-associated habitat"),EXACT(metadata!H255,"livestock-associated habitat"))))</f>
        <v>0</v>
      </c>
      <c r="AK255" t="b">
        <f>AND(IF(metadata!I255="",FALSE,TRUE),EXACT(metadata!I255,"host-associated"))</f>
        <v>0</v>
      </c>
      <c r="AL255" t="b">
        <f>OR(AND(IF(metadata!J255="",FALSE,TRUE),OR(EXACT(metadata!J255,"not applicable"),EXACT(metadata!J255,"missing: not collected"),EXACT(metadata!J255,"missing: not provided"),EXACT(metadata!J255,"missing: restricted access"))),AND(IF(metadata!J255="",FALSE,ISNUMBER(VALUE(metadata!J255))),metadata!J255&gt;0))</f>
        <v>0</v>
      </c>
      <c r="AM255" t="b">
        <f>AND(IF(metadata!K255="",FALSE,TRUE),EXACT(metadata!K255,"missing: not provided"))</f>
        <v>0</v>
      </c>
      <c r="AN255" t="b">
        <f>IF(metadata!L255="",FALSE,TRUE)</f>
        <v>0</v>
      </c>
      <c r="AO255" t="b">
        <f>IF(metadata!M255="",FALSE,TRUE)</f>
        <v>0</v>
      </c>
      <c r="AP255" t="b">
        <f>OR(AND(IF(metadata!N255="",FALSE,TRUE),OR(EXACT(metadata!N255,"not applicable"),EXACT(metadata!N255,"missing: not collected"),EXACT(metadata!N255,"missing: not provided"))),AND(IF(metadata!N255="",FALSE,IF(ISERROR(INT(metadata!N255)),FALSE,INT(metadata!N255)=metadata!N255)),metadata!N255&gt;0))</f>
        <v>0</v>
      </c>
      <c r="AQ255" t="b">
        <f>AND(IF(metadata!O255="",FALSE,TRUE),EXACT(metadata!O255,"Not applicable"))</f>
        <v>0</v>
      </c>
      <c r="AR255" t="b">
        <f>OR(AND(IF(metadata!P255="",FALSE,TRUE),OR(EXACT(metadata!P255,"not applicable"),EXACT(metadata!P255,"missing: not collected"),EXACT(metadata!P255,"missing: not provided"),EXACT(metadata!P255,"missing: restricted access"))),IF(metadata!P255="",FALSE,IF(ISERROR(INT(metadata!P255)),FALSE,INT(metadata!P255)=metadata!P255)))</f>
        <v>0</v>
      </c>
      <c r="AS255" t="b">
        <f>AND(IF(metadata!Q255="",FALSE,TRUE),EXACT(metadata!Q255,"Not applicable"))</f>
        <v>0</v>
      </c>
      <c r="AT255" t="b">
        <f>OR(AND(IF(metadata!R255="",FALSE,TRUE),OR(EXACT(metadata!R255,"not applicable"),EXACT(metadata!R255,"missing: not collected"),EXACT(metadata!R255,"missing: not provided"),EXACT(metadata!R255,"missing: restricted access"))),AND(IF(metadata!R255="",FALSE,ISNUMBER(VALUE(metadata!R255))),metadata!R255&gt;0))</f>
        <v>0</v>
      </c>
      <c r="AU255" t="b">
        <f>AND(IF(metadata!S255="",FALSE,TRUE),EXACT(metadata!S255,"missing: not provided"))</f>
        <v>0</v>
      </c>
    </row>
    <row r="256" spans="1:47" x14ac:dyDescent="0.2">
      <c r="A256" s="5" t="str">
        <f ca="1">IF(B256=" "," ",HYPERLINK(CONCATENATE("#metadata!",ADDRESS(INDEX($Y$2:$Y$1001,MATCH(ROWS($W$2:W256),$W$2:$W$1001,0),0),1)),INDEX($AB$2:$AB$1001,MATCH(ROWS($W$2:W256),$W$2:$W$1001,0),0)))</f>
        <v xml:space="preserve"> </v>
      </c>
      <c r="B256" s="4" t="str">
        <f ca="1">IF(OR(INDEX($X$2:$X$1001,MATCH(ROWS($W$2:W256),$W$2:$W$1001,0),1)&gt;=100000,INDEX($AD$1005:$AU$1005,1,MATCH(COLUMNS($AD$1006:AD1006),$AD$1006:$AU$1006,0))&gt;=100000), " ",IF(INDEX($AD$2:$AU$1001,MATCH(ROWS($W$2:W256),$W$2:$W$1001,0),MATCH(COLUMNS($AD$1006:AD1006),$AD$1006:$AU$1006,0)), HYPERLINK("#",""), HYPERLINK(CONCATENATE("#metadata!", ADDRESS(INDEX($Y$2:$Y$1001,MATCH(ROWS($W$2:W256),$W$2:$W$1001,0),0), INDEX($AD$1004:$AU$1004,1,MATCH(COLUMNS($AD$1006:AD1006),$AD$1006:$AU$1006,0)))),"Fix")))</f>
        <v xml:space="preserve"> </v>
      </c>
      <c r="C256" s="4" t="str">
        <f ca="1">IF(OR(INDEX($X$2:$X$1001,MATCH(ROWS($W$2:W256),$W$2:$W$1001,0),1)&gt;=100000,INDEX($AD$1005:$AU$1005,1,MATCH(COLUMNS($AD$1006:AE1006),$AD$1006:$AU$1006,0))&gt;=100000), " ",IF(INDEX($AD$2:$AU$1001,MATCH(ROWS($W$2:W256),$W$2:$W$1001,0),MATCH(COLUMNS($AD$1006:AE1006),$AD$1006:$AU$1006,0)), HYPERLINK("#",""), HYPERLINK(CONCATENATE("#metadata!", ADDRESS(INDEX($Y$2:$Y$1001,MATCH(ROWS($W$2:W256),$W$2:$W$1001,0),0), INDEX($AD$1004:$AU$1004,1,MATCH(COLUMNS($AD$1006:AE1006),$AD$1006:$AU$1006,0)))),"Fix")))</f>
        <v xml:space="preserve"> </v>
      </c>
      <c r="D256" s="4" t="str">
        <f ca="1">IF(OR(INDEX($X$2:$X$1001,MATCH(ROWS($W$2:W256),$W$2:$W$1001,0),1)&gt;=100000,INDEX($AD$1005:$AU$1005,1,MATCH(COLUMNS($AD$1006:AF1006),$AD$1006:$AU$1006,0))&gt;=100000), " ",IF(INDEX($AD$2:$AU$1001,MATCH(ROWS($W$2:W256),$W$2:$W$1001,0),MATCH(COLUMNS($AD$1006:AF1006),$AD$1006:$AU$1006,0)), HYPERLINK("#",""), HYPERLINK(CONCATENATE("#metadata!", ADDRESS(INDEX($Y$2:$Y$1001,MATCH(ROWS($W$2:W256),$W$2:$W$1001,0),0), INDEX($AD$1004:$AU$1004,1,MATCH(COLUMNS($AD$1006:AF1006),$AD$1006:$AU$1006,0)))),"Fix")))</f>
        <v xml:space="preserve"> </v>
      </c>
      <c r="E256" s="4" t="str">
        <f ca="1">IF(OR(INDEX($X$2:$X$1001,MATCH(ROWS($W$2:W256),$W$2:$W$1001,0),1)&gt;=100000,INDEX($AD$1005:$AU$1005,1,MATCH(COLUMNS($AD$1006:AG1006),$AD$1006:$AU$1006,0))&gt;=100000), " ",IF(INDEX($AD$2:$AU$1001,MATCH(ROWS($W$2:W256),$W$2:$W$1001,0),MATCH(COLUMNS($AD$1006:AG1006),$AD$1006:$AU$1006,0)), HYPERLINK("#",""), HYPERLINK(CONCATENATE("#metadata!", ADDRESS(INDEX($Y$2:$Y$1001,MATCH(ROWS($W$2:W256),$W$2:$W$1001,0),0), INDEX($AD$1004:$AU$1004,1,MATCH(COLUMNS($AD$1006:AG1006),$AD$1006:$AU$1006,0)))),"Fix")))</f>
        <v xml:space="preserve"> </v>
      </c>
      <c r="F256" s="4" t="str">
        <f ca="1">IF(OR(INDEX($X$2:$X$1001,MATCH(ROWS($W$2:W256),$W$2:$W$1001,0),1)&gt;=100000,INDEX($AD$1005:$AU$1005,1,MATCH(COLUMNS($AD$1006:AH1006),$AD$1006:$AU$1006,0))&gt;=100000), " ",IF(INDEX($AD$2:$AU$1001,MATCH(ROWS($W$2:W256),$W$2:$W$1001,0),MATCH(COLUMNS($AD$1006:AH1006),$AD$1006:$AU$1006,0)), HYPERLINK("#",""), HYPERLINK(CONCATENATE("#metadata!", ADDRESS(INDEX($Y$2:$Y$1001,MATCH(ROWS($W$2:W256),$W$2:$W$1001,0),0), INDEX($AD$1004:$AU$1004,1,MATCH(COLUMNS($AD$1006:AH1006),$AD$1006:$AU$1006,0)))),"Fix")))</f>
        <v xml:space="preserve"> </v>
      </c>
      <c r="G256" s="4" t="str">
        <f ca="1">IF(OR(INDEX($X$2:$X$1001,MATCH(ROWS($W$2:W256),$W$2:$W$1001,0),1)&gt;=100000,INDEX($AD$1005:$AU$1005,1,MATCH(COLUMNS($AD$1006:AI1006),$AD$1006:$AU$1006,0))&gt;=100000), " ",IF(INDEX($AD$2:$AU$1001,MATCH(ROWS($W$2:W256),$W$2:$W$1001,0),MATCH(COLUMNS($AD$1006:AI1006),$AD$1006:$AU$1006,0)), HYPERLINK("#",""), HYPERLINK(CONCATENATE("#metadata!", ADDRESS(INDEX($Y$2:$Y$1001,MATCH(ROWS($W$2:W256),$W$2:$W$1001,0),0), INDEX($AD$1004:$AU$1004,1,MATCH(COLUMNS($AD$1006:AI1006),$AD$1006:$AU$1006,0)))),"Fix")))</f>
        <v xml:space="preserve"> </v>
      </c>
      <c r="H256" s="4" t="str">
        <f ca="1">IF(OR(INDEX($X$2:$X$1001,MATCH(ROWS($W$2:W256),$W$2:$W$1001,0),1)&gt;=100000,INDEX($AD$1005:$AU$1005,1,MATCH(COLUMNS($AD$1006:AJ1006),$AD$1006:$AU$1006,0))&gt;=100000), " ",IF(INDEX($AD$2:$AU$1001,MATCH(ROWS($W$2:W256),$W$2:$W$1001,0),MATCH(COLUMNS($AD$1006:AJ1006),$AD$1006:$AU$1006,0)), HYPERLINK("#",""), HYPERLINK(CONCATENATE("#metadata!", ADDRESS(INDEX($Y$2:$Y$1001,MATCH(ROWS($W$2:W256),$W$2:$W$1001,0),0), INDEX($AD$1004:$AU$1004,1,MATCH(COLUMNS($AD$1006:AJ1006),$AD$1006:$AU$1006,0)))),"Fix")))</f>
        <v xml:space="preserve"> </v>
      </c>
      <c r="I256" s="4" t="str">
        <f ca="1">IF(OR(INDEX($X$2:$X$1001,MATCH(ROWS($W$2:W256),$W$2:$W$1001,0),1)&gt;=100000,INDEX($AD$1005:$AU$1005,1,MATCH(COLUMNS($AD$1006:AK1006),$AD$1006:$AU$1006,0))&gt;=100000), " ",IF(INDEX($AD$2:$AU$1001,MATCH(ROWS($W$2:W256),$W$2:$W$1001,0),MATCH(COLUMNS($AD$1006:AK1006),$AD$1006:$AU$1006,0)), HYPERLINK("#",""), HYPERLINK(CONCATENATE("#metadata!", ADDRESS(INDEX($Y$2:$Y$1001,MATCH(ROWS($W$2:W256),$W$2:$W$1001,0),0), INDEX($AD$1004:$AU$1004,1,MATCH(COLUMNS($AD$1006:AK1006),$AD$1006:$AU$1006,0)))),"Fix")))</f>
        <v xml:space="preserve"> </v>
      </c>
      <c r="J256" s="4" t="str">
        <f ca="1">IF(OR(INDEX($X$2:$X$1001,MATCH(ROWS($W$2:W256),$W$2:$W$1001,0),1)&gt;=100000,INDEX($AD$1005:$AU$1005,1,MATCH(COLUMNS($AD$1006:AL1006),$AD$1006:$AU$1006,0))&gt;=100000), " ",IF(INDEX($AD$2:$AU$1001,MATCH(ROWS($W$2:W256),$W$2:$W$1001,0),MATCH(COLUMNS($AD$1006:AL1006),$AD$1006:$AU$1006,0)), HYPERLINK("#",""), HYPERLINK(CONCATENATE("#metadata!", ADDRESS(INDEX($Y$2:$Y$1001,MATCH(ROWS($W$2:W256),$W$2:$W$1001,0),0), INDEX($AD$1004:$AU$1004,1,MATCH(COLUMNS($AD$1006:AL1006),$AD$1006:$AU$1006,0)))),"Fix")))</f>
        <v xml:space="preserve"> </v>
      </c>
      <c r="K256" s="4" t="str">
        <f ca="1">IF(OR(INDEX($X$2:$X$1001,MATCH(ROWS($W$2:W256),$W$2:$W$1001,0),1)&gt;=100000,INDEX($AD$1005:$AU$1005,1,MATCH(COLUMNS($AD$1006:AM1006),$AD$1006:$AU$1006,0))&gt;=100000), " ",IF(INDEX($AD$2:$AU$1001,MATCH(ROWS($W$2:W256),$W$2:$W$1001,0),MATCH(COLUMNS($AD$1006:AM1006),$AD$1006:$AU$1006,0)), HYPERLINK("#",""), HYPERLINK(CONCATENATE("#metadata!", ADDRESS(INDEX($Y$2:$Y$1001,MATCH(ROWS($W$2:W256),$W$2:$W$1001,0),0), INDEX($AD$1004:$AU$1004,1,MATCH(COLUMNS($AD$1006:AM1006),$AD$1006:$AU$1006,0)))),"Fix")))</f>
        <v xml:space="preserve"> </v>
      </c>
      <c r="L256" s="4" t="str">
        <f ca="1">IF(OR(INDEX($X$2:$X$1001,MATCH(ROWS($W$2:W256),$W$2:$W$1001,0),1)&gt;=100000,INDEX($AD$1005:$AU$1005,1,MATCH(COLUMNS($AD$1006:AN1006),$AD$1006:$AU$1006,0))&gt;=100000), " ",IF(INDEX($AD$2:$AU$1001,MATCH(ROWS($W$2:W256),$W$2:$W$1001,0),MATCH(COLUMNS($AD$1006:AN1006),$AD$1006:$AU$1006,0)), HYPERLINK("#",""), HYPERLINK(CONCATENATE("#metadata!", ADDRESS(INDEX($Y$2:$Y$1001,MATCH(ROWS($W$2:W256),$W$2:$W$1001,0),0), INDEX($AD$1004:$AU$1004,1,MATCH(COLUMNS($AD$1006:AN1006),$AD$1006:$AU$1006,0)))),"Fix")))</f>
        <v xml:space="preserve"> </v>
      </c>
      <c r="M256" s="4" t="str">
        <f ca="1">IF(OR(INDEX($X$2:$X$1001,MATCH(ROWS($W$2:W256),$W$2:$W$1001,0),1)&gt;=100000,INDEX($AD$1005:$AU$1005,1,MATCH(COLUMNS($AD$1006:AO1006),$AD$1006:$AU$1006,0))&gt;=100000), " ",IF(INDEX($AD$2:$AU$1001,MATCH(ROWS($W$2:W256),$W$2:$W$1001,0),MATCH(COLUMNS($AD$1006:AO1006),$AD$1006:$AU$1006,0)), HYPERLINK("#",""), HYPERLINK(CONCATENATE("#metadata!", ADDRESS(INDEX($Y$2:$Y$1001,MATCH(ROWS($W$2:W256),$W$2:$W$1001,0),0), INDEX($AD$1004:$AU$1004,1,MATCH(COLUMNS($AD$1006:AO1006),$AD$1006:$AU$1006,0)))),"Fix")))</f>
        <v xml:space="preserve"> </v>
      </c>
      <c r="N256" s="4" t="str">
        <f ca="1">IF(OR(INDEX($X$2:$X$1001,MATCH(ROWS($W$2:W256),$W$2:$W$1001,0),1)&gt;=100000,INDEX($AD$1005:$AU$1005,1,MATCH(COLUMNS($AD$1006:AP1006),$AD$1006:$AU$1006,0))&gt;=100000), " ",IF(INDEX($AD$2:$AU$1001,MATCH(ROWS($W$2:W256),$W$2:$W$1001,0),MATCH(COLUMNS($AD$1006:AP1006),$AD$1006:$AU$1006,0)), HYPERLINK("#",""), HYPERLINK(CONCATENATE("#metadata!", ADDRESS(INDEX($Y$2:$Y$1001,MATCH(ROWS($W$2:W256),$W$2:$W$1001,0),0), INDEX($AD$1004:$AU$1004,1,MATCH(COLUMNS($AD$1006:AP1006),$AD$1006:$AU$1006,0)))),"Fix")))</f>
        <v xml:space="preserve"> </v>
      </c>
      <c r="O256" s="4" t="str">
        <f ca="1">IF(OR(INDEX($X$2:$X$1001,MATCH(ROWS($W$2:W256),$W$2:$W$1001,0),1)&gt;=100000,INDEX($AD$1005:$AU$1005,1,MATCH(COLUMNS($AD$1006:AQ1006),$AD$1006:$AU$1006,0))&gt;=100000), " ",IF(INDEX($AD$2:$AU$1001,MATCH(ROWS($W$2:W256),$W$2:$W$1001,0),MATCH(COLUMNS($AD$1006:AQ1006),$AD$1006:$AU$1006,0)), HYPERLINK("#",""), HYPERLINK(CONCATENATE("#metadata!", ADDRESS(INDEX($Y$2:$Y$1001,MATCH(ROWS($W$2:W256),$W$2:$W$1001,0),0), INDEX($AD$1004:$AU$1004,1,MATCH(COLUMNS($AD$1006:AQ1006),$AD$1006:$AU$1006,0)))),"Fix")))</f>
        <v xml:space="preserve"> </v>
      </c>
      <c r="P256" s="4" t="str">
        <f ca="1">IF(OR(INDEX($X$2:$X$1001,MATCH(ROWS($W$2:W256),$W$2:$W$1001,0),1)&gt;=100000,INDEX($AD$1005:$AU$1005,1,MATCH(COLUMNS($AD$1006:AR1006),$AD$1006:$AU$1006,0))&gt;=100000), " ",IF(INDEX($AD$2:$AU$1001,MATCH(ROWS($W$2:W256),$W$2:$W$1001,0),MATCH(COLUMNS($AD$1006:AR1006),$AD$1006:$AU$1006,0)), HYPERLINK("#",""), HYPERLINK(CONCATENATE("#metadata!", ADDRESS(INDEX($Y$2:$Y$1001,MATCH(ROWS($W$2:W256),$W$2:$W$1001,0),0), INDEX($AD$1004:$AU$1004,1,MATCH(COLUMNS($AD$1006:AR1006),$AD$1006:$AU$1006,0)))),"Fix")))</f>
        <v xml:space="preserve"> </v>
      </c>
      <c r="Q256" s="4" t="str">
        <f ca="1">IF(OR(INDEX($X$2:$X$1001,MATCH(ROWS($W$2:W256),$W$2:$W$1001,0),1)&gt;=100000,INDEX($AD$1005:$AU$1005,1,MATCH(COLUMNS($AD$1006:AS1006),$AD$1006:$AU$1006,0))&gt;=100000), " ",IF(INDEX($AD$2:$AU$1001,MATCH(ROWS($W$2:W256),$W$2:$W$1001,0),MATCH(COLUMNS($AD$1006:AS1006),$AD$1006:$AU$1006,0)), HYPERLINK("#",""), HYPERLINK(CONCATENATE("#metadata!", ADDRESS(INDEX($Y$2:$Y$1001,MATCH(ROWS($W$2:W256),$W$2:$W$1001,0),0), INDEX($AD$1004:$AU$1004,1,MATCH(COLUMNS($AD$1006:AS1006),$AD$1006:$AU$1006,0)))),"Fix")))</f>
        <v xml:space="preserve"> </v>
      </c>
      <c r="R256" s="4" t="str">
        <f ca="1">IF(OR(INDEX($X$2:$X$1001,MATCH(ROWS($W$2:W256),$W$2:$W$1001,0),1)&gt;=100000,INDEX($AD$1005:$AU$1005,1,MATCH(COLUMNS($AD$1006:AT1006),$AD$1006:$AU$1006,0))&gt;=100000), " ",IF(INDEX($AD$2:$AU$1001,MATCH(ROWS($W$2:W256),$W$2:$W$1001,0),MATCH(COLUMNS($AD$1006:AT1006),$AD$1006:$AU$1006,0)), HYPERLINK("#",""), HYPERLINK(CONCATENATE("#metadata!", ADDRESS(INDEX($Y$2:$Y$1001,MATCH(ROWS($W$2:W256),$W$2:$W$1001,0),0), INDEX($AD$1004:$AU$1004,1,MATCH(COLUMNS($AD$1006:AT1006),$AD$1006:$AU$1006,0)))),"Fix")))</f>
        <v xml:space="preserve"> </v>
      </c>
      <c r="S256" s="4" t="str">
        <f ca="1">IF(OR(INDEX($X$2:$X$1001,MATCH(ROWS($W$2:W256),$W$2:$W$1001,0),1)&gt;=100000,INDEX($AD$1005:$AU$1005,1,MATCH(COLUMNS($AD$1006:AU1006),$AD$1006:$AU$1006,0))&gt;=100000), " ",IF(INDEX($AD$2:$AU$1001,MATCH(ROWS($W$2:W256),$W$2:$W$1001,0),MATCH(COLUMNS($AD$1006:AU1006),$AD$1006:$AU$1006,0)), HYPERLINK("#",""), HYPERLINK(CONCATENATE("#metadata!", ADDRESS(INDEX($Y$2:$Y$1001,MATCH(ROWS($W$2:W256),$W$2:$W$1001,0),0), INDEX($AD$1004:$AU$1004,1,MATCH(COLUMNS($AD$1006:AU1006),$AD$1006:$AU$1006,0)))),"Fix")))</f>
        <v xml:space="preserve"> </v>
      </c>
      <c r="W256">
        <v>255</v>
      </c>
      <c r="X256">
        <v>100256</v>
      </c>
      <c r="Y256">
        <v>256</v>
      </c>
      <c r="Z256" t="b">
        <f t="shared" si="3"/>
        <v>1</v>
      </c>
      <c r="AA256" t="b">
        <f>COUNTBLANK(metadata!B256:S256)=COLUMNS(metadata!B256:S256)</f>
        <v>1</v>
      </c>
      <c r="AB256" t="str">
        <v/>
      </c>
      <c r="AD256" t="b">
        <f ca="1">AND(IF(metadata!B256="",FALSE,TRUE),COUNTIF(metadata!B:B, metadata!B256) = 1,NOT(ISERROR(SUMPRODUCT(SEARCH(MID(metadata!B256,ROW(INDIRECT("1:"&amp;LEN(metadata!B256))), 1),"0123456789abcdefghijklmnopqrstuvwxyzABCDEFGHIJKLMNOPQRSTUVWXYZ.")))))</f>
        <v>0</v>
      </c>
      <c r="AE256" t="b">
        <f>OR(AND(IF(metadata!C256="",FALSE,TRUE),OR(EXACT(metadata!C256,"not applicable"),EXACT(metadata!C256,"missing: not collected"),EXACT(metadata!C256,"missing: not provided"),EXACT(metadata!C256,"missing: restricted access"))),AND(IF(metadata!C256="",FALSE,ISNUMBER(VALUE(metadata!C256))),metadata!C256&gt;0))</f>
        <v>0</v>
      </c>
      <c r="AF256" t="b">
        <f>AND(IF(metadata!D256="",FALSE,TRUE),EXACT(metadata!D256,"missing: not provided"))</f>
        <v>0</v>
      </c>
      <c r="AG256" t="b">
        <f>AND(IF(metadata!E256="",FALSE,TRUE),EXACT(metadata!E256,"Host-associated"))</f>
        <v>0</v>
      </c>
      <c r="AH256" t="b">
        <f>AND(IF(metadata!F256="",FALSE,TRUE),OR(EXACT(metadata!F256,"Animal"),EXACT(metadata!F256,"Fungus"),EXACT(metadata!F256,"Plant")))</f>
        <v>0</v>
      </c>
      <c r="AI256" t="b">
        <f>AND(IF(metadata!G256="",FALSE,TRUE),OR(EXACT(metadata!G256,"Plant secretion"),EXACT(metadata!G256,"Plant rhizosphere"),EXACT(metadata!G256,"Plant surface"),EXACT(metadata!G256,"Plant corpus"),EXACT(metadata!G256,"Fungus surface"),EXACT(metadata!G256,"Fungus corpus"),EXACT(metadata!G256,"Animal surface"),EXACT(metadata!G256,"Animal proximal gut"),EXACT(metadata!G256,"Animal corpus"),EXACT(metadata!G256,"Animal distal gut"),EXACT(metadata!G256,"Animal secretion")))</f>
        <v>0</v>
      </c>
      <c r="AJ256" t="b">
        <f>OR(AND(IF(metadata!H256="",FALSE,TRUE),OR(EXACT(metadata!H256,"missing: not collected"),EXACT(metadata!H256,"missing: not provided"),EXACT(metadata!H256,"missing: restricted access"))),AND(IF(metadata!H256="",FALSE,TRUE),OR(EXACT(metadata!H256,"organism-associated habitat"),EXACT(metadata!H256,"plant-associated habitat"),EXACT(metadata!H256,"animal-associated habitat"),EXACT(metadata!H256,"insecta-associated habitat"),EXACT(metadata!H256,"mammalia-associated habitat"),EXACT(metadata!H256,"human-associated habitat"),EXACT(metadata!H256,"livestock-associated habitat"))))</f>
        <v>0</v>
      </c>
      <c r="AK256" t="b">
        <f>AND(IF(metadata!I256="",FALSE,TRUE),EXACT(metadata!I256,"host-associated"))</f>
        <v>0</v>
      </c>
      <c r="AL256" t="b">
        <f>OR(AND(IF(metadata!J256="",FALSE,TRUE),OR(EXACT(metadata!J256,"not applicable"),EXACT(metadata!J256,"missing: not collected"),EXACT(metadata!J256,"missing: not provided"),EXACT(metadata!J256,"missing: restricted access"))),AND(IF(metadata!J256="",FALSE,ISNUMBER(VALUE(metadata!J256))),metadata!J256&gt;0))</f>
        <v>0</v>
      </c>
      <c r="AM256" t="b">
        <f>AND(IF(metadata!K256="",FALSE,TRUE),EXACT(metadata!K256,"missing: not provided"))</f>
        <v>0</v>
      </c>
      <c r="AN256" t="b">
        <f>IF(metadata!L256="",FALSE,TRUE)</f>
        <v>0</v>
      </c>
      <c r="AO256" t="b">
        <f>IF(metadata!M256="",FALSE,TRUE)</f>
        <v>0</v>
      </c>
      <c r="AP256" t="b">
        <f>OR(AND(IF(metadata!N256="",FALSE,TRUE),OR(EXACT(metadata!N256,"not applicable"),EXACT(metadata!N256,"missing: not collected"),EXACT(metadata!N256,"missing: not provided"))),AND(IF(metadata!N256="",FALSE,IF(ISERROR(INT(metadata!N256)),FALSE,INT(metadata!N256)=metadata!N256)),metadata!N256&gt;0))</f>
        <v>0</v>
      </c>
      <c r="AQ256" t="b">
        <f>AND(IF(metadata!O256="",FALSE,TRUE),EXACT(metadata!O256,"Not applicable"))</f>
        <v>0</v>
      </c>
      <c r="AR256" t="b">
        <f>OR(AND(IF(metadata!P256="",FALSE,TRUE),OR(EXACT(metadata!P256,"not applicable"),EXACT(metadata!P256,"missing: not collected"),EXACT(metadata!P256,"missing: not provided"),EXACT(metadata!P256,"missing: restricted access"))),IF(metadata!P256="",FALSE,IF(ISERROR(INT(metadata!P256)),FALSE,INT(metadata!P256)=metadata!P256)))</f>
        <v>0</v>
      </c>
      <c r="AS256" t="b">
        <f>AND(IF(metadata!Q256="",FALSE,TRUE),EXACT(metadata!Q256,"Not applicable"))</f>
        <v>0</v>
      </c>
      <c r="AT256" t="b">
        <f>OR(AND(IF(metadata!R256="",FALSE,TRUE),OR(EXACT(metadata!R256,"not applicable"),EXACT(metadata!R256,"missing: not collected"),EXACT(metadata!R256,"missing: not provided"),EXACT(metadata!R256,"missing: restricted access"))),AND(IF(metadata!R256="",FALSE,ISNUMBER(VALUE(metadata!R256))),metadata!R256&gt;0))</f>
        <v>0</v>
      </c>
      <c r="AU256" t="b">
        <f>AND(IF(metadata!S256="",FALSE,TRUE),EXACT(metadata!S256,"missing: not provided"))</f>
        <v>0</v>
      </c>
    </row>
    <row r="257" spans="1:47" x14ac:dyDescent="0.2">
      <c r="A257" s="5" t="str">
        <f ca="1">IF(B257=" "," ",HYPERLINK(CONCATENATE("#metadata!",ADDRESS(INDEX($Y$2:$Y$1001,MATCH(ROWS($W$2:W257),$W$2:$W$1001,0),0),1)),INDEX($AB$2:$AB$1001,MATCH(ROWS($W$2:W257),$W$2:$W$1001,0),0)))</f>
        <v xml:space="preserve"> </v>
      </c>
      <c r="B257" s="4" t="str">
        <f ca="1">IF(OR(INDEX($X$2:$X$1001,MATCH(ROWS($W$2:W257),$W$2:$W$1001,0),1)&gt;=100000,INDEX($AD$1005:$AU$1005,1,MATCH(COLUMNS($AD$1006:AD1006),$AD$1006:$AU$1006,0))&gt;=100000), " ",IF(INDEX($AD$2:$AU$1001,MATCH(ROWS($W$2:W257),$W$2:$W$1001,0),MATCH(COLUMNS($AD$1006:AD1006),$AD$1006:$AU$1006,0)), HYPERLINK("#",""), HYPERLINK(CONCATENATE("#metadata!", ADDRESS(INDEX($Y$2:$Y$1001,MATCH(ROWS($W$2:W257),$W$2:$W$1001,0),0), INDEX($AD$1004:$AU$1004,1,MATCH(COLUMNS($AD$1006:AD1006),$AD$1006:$AU$1006,0)))),"Fix")))</f>
        <v xml:space="preserve"> </v>
      </c>
      <c r="C257" s="4" t="str">
        <f ca="1">IF(OR(INDEX($X$2:$X$1001,MATCH(ROWS($W$2:W257),$W$2:$W$1001,0),1)&gt;=100000,INDEX($AD$1005:$AU$1005,1,MATCH(COLUMNS($AD$1006:AE1006),$AD$1006:$AU$1006,0))&gt;=100000), " ",IF(INDEX($AD$2:$AU$1001,MATCH(ROWS($W$2:W257),$W$2:$W$1001,0),MATCH(COLUMNS($AD$1006:AE1006),$AD$1006:$AU$1006,0)), HYPERLINK("#",""), HYPERLINK(CONCATENATE("#metadata!", ADDRESS(INDEX($Y$2:$Y$1001,MATCH(ROWS($W$2:W257),$W$2:$W$1001,0),0), INDEX($AD$1004:$AU$1004,1,MATCH(COLUMNS($AD$1006:AE1006),$AD$1006:$AU$1006,0)))),"Fix")))</f>
        <v xml:space="preserve"> </v>
      </c>
      <c r="D257" s="4" t="str">
        <f ca="1">IF(OR(INDEX($X$2:$X$1001,MATCH(ROWS($W$2:W257),$W$2:$W$1001,0),1)&gt;=100000,INDEX($AD$1005:$AU$1005,1,MATCH(COLUMNS($AD$1006:AF1006),$AD$1006:$AU$1006,0))&gt;=100000), " ",IF(INDEX($AD$2:$AU$1001,MATCH(ROWS($W$2:W257),$W$2:$W$1001,0),MATCH(COLUMNS($AD$1006:AF1006),$AD$1006:$AU$1006,0)), HYPERLINK("#",""), HYPERLINK(CONCATENATE("#metadata!", ADDRESS(INDEX($Y$2:$Y$1001,MATCH(ROWS($W$2:W257),$W$2:$W$1001,0),0), INDEX($AD$1004:$AU$1004,1,MATCH(COLUMNS($AD$1006:AF1006),$AD$1006:$AU$1006,0)))),"Fix")))</f>
        <v xml:space="preserve"> </v>
      </c>
      <c r="E257" s="4" t="str">
        <f ca="1">IF(OR(INDEX($X$2:$X$1001,MATCH(ROWS($W$2:W257),$W$2:$W$1001,0),1)&gt;=100000,INDEX($AD$1005:$AU$1005,1,MATCH(COLUMNS($AD$1006:AG1006),$AD$1006:$AU$1006,0))&gt;=100000), " ",IF(INDEX($AD$2:$AU$1001,MATCH(ROWS($W$2:W257),$W$2:$W$1001,0),MATCH(COLUMNS($AD$1006:AG1006),$AD$1006:$AU$1006,0)), HYPERLINK("#",""), HYPERLINK(CONCATENATE("#metadata!", ADDRESS(INDEX($Y$2:$Y$1001,MATCH(ROWS($W$2:W257),$W$2:$W$1001,0),0), INDEX($AD$1004:$AU$1004,1,MATCH(COLUMNS($AD$1006:AG1006),$AD$1006:$AU$1006,0)))),"Fix")))</f>
        <v xml:space="preserve"> </v>
      </c>
      <c r="F257" s="4" t="str">
        <f ca="1">IF(OR(INDEX($X$2:$X$1001,MATCH(ROWS($W$2:W257),$W$2:$W$1001,0),1)&gt;=100000,INDEX($AD$1005:$AU$1005,1,MATCH(COLUMNS($AD$1006:AH1006),$AD$1006:$AU$1006,0))&gt;=100000), " ",IF(INDEX($AD$2:$AU$1001,MATCH(ROWS($W$2:W257),$W$2:$W$1001,0),MATCH(COLUMNS($AD$1006:AH1006),$AD$1006:$AU$1006,0)), HYPERLINK("#",""), HYPERLINK(CONCATENATE("#metadata!", ADDRESS(INDEX($Y$2:$Y$1001,MATCH(ROWS($W$2:W257),$W$2:$W$1001,0),0), INDEX($AD$1004:$AU$1004,1,MATCH(COLUMNS($AD$1006:AH1006),$AD$1006:$AU$1006,0)))),"Fix")))</f>
        <v xml:space="preserve"> </v>
      </c>
      <c r="G257" s="4" t="str">
        <f ca="1">IF(OR(INDEX($X$2:$X$1001,MATCH(ROWS($W$2:W257),$W$2:$W$1001,0),1)&gt;=100000,INDEX($AD$1005:$AU$1005,1,MATCH(COLUMNS($AD$1006:AI1006),$AD$1006:$AU$1006,0))&gt;=100000), " ",IF(INDEX($AD$2:$AU$1001,MATCH(ROWS($W$2:W257),$W$2:$W$1001,0),MATCH(COLUMNS($AD$1006:AI1006),$AD$1006:$AU$1006,0)), HYPERLINK("#",""), HYPERLINK(CONCATENATE("#metadata!", ADDRESS(INDEX($Y$2:$Y$1001,MATCH(ROWS($W$2:W257),$W$2:$W$1001,0),0), INDEX($AD$1004:$AU$1004,1,MATCH(COLUMNS($AD$1006:AI1006),$AD$1006:$AU$1006,0)))),"Fix")))</f>
        <v xml:space="preserve"> </v>
      </c>
      <c r="H257" s="4" t="str">
        <f ca="1">IF(OR(INDEX($X$2:$X$1001,MATCH(ROWS($W$2:W257),$W$2:$W$1001,0),1)&gt;=100000,INDEX($AD$1005:$AU$1005,1,MATCH(COLUMNS($AD$1006:AJ1006),$AD$1006:$AU$1006,0))&gt;=100000), " ",IF(INDEX($AD$2:$AU$1001,MATCH(ROWS($W$2:W257),$W$2:$W$1001,0),MATCH(COLUMNS($AD$1006:AJ1006),$AD$1006:$AU$1006,0)), HYPERLINK("#",""), HYPERLINK(CONCATENATE("#metadata!", ADDRESS(INDEX($Y$2:$Y$1001,MATCH(ROWS($W$2:W257),$W$2:$W$1001,0),0), INDEX($AD$1004:$AU$1004,1,MATCH(COLUMNS($AD$1006:AJ1006),$AD$1006:$AU$1006,0)))),"Fix")))</f>
        <v xml:space="preserve"> </v>
      </c>
      <c r="I257" s="4" t="str">
        <f ca="1">IF(OR(INDEX($X$2:$X$1001,MATCH(ROWS($W$2:W257),$W$2:$W$1001,0),1)&gt;=100000,INDEX($AD$1005:$AU$1005,1,MATCH(COLUMNS($AD$1006:AK1006),$AD$1006:$AU$1006,0))&gt;=100000), " ",IF(INDEX($AD$2:$AU$1001,MATCH(ROWS($W$2:W257),$W$2:$W$1001,0),MATCH(COLUMNS($AD$1006:AK1006),$AD$1006:$AU$1006,0)), HYPERLINK("#",""), HYPERLINK(CONCATENATE("#metadata!", ADDRESS(INDEX($Y$2:$Y$1001,MATCH(ROWS($W$2:W257),$W$2:$W$1001,0),0), INDEX($AD$1004:$AU$1004,1,MATCH(COLUMNS($AD$1006:AK1006),$AD$1006:$AU$1006,0)))),"Fix")))</f>
        <v xml:space="preserve"> </v>
      </c>
      <c r="J257" s="4" t="str">
        <f ca="1">IF(OR(INDEX($X$2:$X$1001,MATCH(ROWS($W$2:W257),$W$2:$W$1001,0),1)&gt;=100000,INDEX($AD$1005:$AU$1005,1,MATCH(COLUMNS($AD$1006:AL1006),$AD$1006:$AU$1006,0))&gt;=100000), " ",IF(INDEX($AD$2:$AU$1001,MATCH(ROWS($W$2:W257),$W$2:$W$1001,0),MATCH(COLUMNS($AD$1006:AL1006),$AD$1006:$AU$1006,0)), HYPERLINK("#",""), HYPERLINK(CONCATENATE("#metadata!", ADDRESS(INDEX($Y$2:$Y$1001,MATCH(ROWS($W$2:W257),$W$2:$W$1001,0),0), INDEX($AD$1004:$AU$1004,1,MATCH(COLUMNS($AD$1006:AL1006),$AD$1006:$AU$1006,0)))),"Fix")))</f>
        <v xml:space="preserve"> </v>
      </c>
      <c r="K257" s="4" t="str">
        <f ca="1">IF(OR(INDEX($X$2:$X$1001,MATCH(ROWS($W$2:W257),$W$2:$W$1001,0),1)&gt;=100000,INDEX($AD$1005:$AU$1005,1,MATCH(COLUMNS($AD$1006:AM1006),$AD$1006:$AU$1006,0))&gt;=100000), " ",IF(INDEX($AD$2:$AU$1001,MATCH(ROWS($W$2:W257),$W$2:$W$1001,0),MATCH(COLUMNS($AD$1006:AM1006),$AD$1006:$AU$1006,0)), HYPERLINK("#",""), HYPERLINK(CONCATENATE("#metadata!", ADDRESS(INDEX($Y$2:$Y$1001,MATCH(ROWS($W$2:W257),$W$2:$W$1001,0),0), INDEX($AD$1004:$AU$1004,1,MATCH(COLUMNS($AD$1006:AM1006),$AD$1006:$AU$1006,0)))),"Fix")))</f>
        <v xml:space="preserve"> </v>
      </c>
      <c r="L257" s="4" t="str">
        <f ca="1">IF(OR(INDEX($X$2:$X$1001,MATCH(ROWS($W$2:W257),$W$2:$W$1001,0),1)&gt;=100000,INDEX($AD$1005:$AU$1005,1,MATCH(COLUMNS($AD$1006:AN1006),$AD$1006:$AU$1006,0))&gt;=100000), " ",IF(INDEX($AD$2:$AU$1001,MATCH(ROWS($W$2:W257),$W$2:$W$1001,0),MATCH(COLUMNS($AD$1006:AN1006),$AD$1006:$AU$1006,0)), HYPERLINK("#",""), HYPERLINK(CONCATENATE("#metadata!", ADDRESS(INDEX($Y$2:$Y$1001,MATCH(ROWS($W$2:W257),$W$2:$W$1001,0),0), INDEX($AD$1004:$AU$1004,1,MATCH(COLUMNS($AD$1006:AN1006),$AD$1006:$AU$1006,0)))),"Fix")))</f>
        <v xml:space="preserve"> </v>
      </c>
      <c r="M257" s="4" t="str">
        <f ca="1">IF(OR(INDEX($X$2:$X$1001,MATCH(ROWS($W$2:W257),$W$2:$W$1001,0),1)&gt;=100000,INDEX($AD$1005:$AU$1005,1,MATCH(COLUMNS($AD$1006:AO1006),$AD$1006:$AU$1006,0))&gt;=100000), " ",IF(INDEX($AD$2:$AU$1001,MATCH(ROWS($W$2:W257),$W$2:$W$1001,0),MATCH(COLUMNS($AD$1006:AO1006),$AD$1006:$AU$1006,0)), HYPERLINK("#",""), HYPERLINK(CONCATENATE("#metadata!", ADDRESS(INDEX($Y$2:$Y$1001,MATCH(ROWS($W$2:W257),$W$2:$W$1001,0),0), INDEX($AD$1004:$AU$1004,1,MATCH(COLUMNS($AD$1006:AO1006),$AD$1006:$AU$1006,0)))),"Fix")))</f>
        <v xml:space="preserve"> </v>
      </c>
      <c r="N257" s="4" t="str">
        <f ca="1">IF(OR(INDEX($X$2:$X$1001,MATCH(ROWS($W$2:W257),$W$2:$W$1001,0),1)&gt;=100000,INDEX($AD$1005:$AU$1005,1,MATCH(COLUMNS($AD$1006:AP1006),$AD$1006:$AU$1006,0))&gt;=100000), " ",IF(INDEX($AD$2:$AU$1001,MATCH(ROWS($W$2:W257),$W$2:$W$1001,0),MATCH(COLUMNS($AD$1006:AP1006),$AD$1006:$AU$1006,0)), HYPERLINK("#",""), HYPERLINK(CONCATENATE("#metadata!", ADDRESS(INDEX($Y$2:$Y$1001,MATCH(ROWS($W$2:W257),$W$2:$W$1001,0),0), INDEX($AD$1004:$AU$1004,1,MATCH(COLUMNS($AD$1006:AP1006),$AD$1006:$AU$1006,0)))),"Fix")))</f>
        <v xml:space="preserve"> </v>
      </c>
      <c r="O257" s="4" t="str">
        <f ca="1">IF(OR(INDEX($X$2:$X$1001,MATCH(ROWS($W$2:W257),$W$2:$W$1001,0),1)&gt;=100000,INDEX($AD$1005:$AU$1005,1,MATCH(COLUMNS($AD$1006:AQ1006),$AD$1006:$AU$1006,0))&gt;=100000), " ",IF(INDEX($AD$2:$AU$1001,MATCH(ROWS($W$2:W257),$W$2:$W$1001,0),MATCH(COLUMNS($AD$1006:AQ1006),$AD$1006:$AU$1006,0)), HYPERLINK("#",""), HYPERLINK(CONCATENATE("#metadata!", ADDRESS(INDEX($Y$2:$Y$1001,MATCH(ROWS($W$2:W257),$W$2:$W$1001,0),0), INDEX($AD$1004:$AU$1004,1,MATCH(COLUMNS($AD$1006:AQ1006),$AD$1006:$AU$1006,0)))),"Fix")))</f>
        <v xml:space="preserve"> </v>
      </c>
      <c r="P257" s="4" t="str">
        <f ca="1">IF(OR(INDEX($X$2:$X$1001,MATCH(ROWS($W$2:W257),$W$2:$W$1001,0),1)&gt;=100000,INDEX($AD$1005:$AU$1005,1,MATCH(COLUMNS($AD$1006:AR1006),$AD$1006:$AU$1006,0))&gt;=100000), " ",IF(INDEX($AD$2:$AU$1001,MATCH(ROWS($W$2:W257),$W$2:$W$1001,0),MATCH(COLUMNS($AD$1006:AR1006),$AD$1006:$AU$1006,0)), HYPERLINK("#",""), HYPERLINK(CONCATENATE("#metadata!", ADDRESS(INDEX($Y$2:$Y$1001,MATCH(ROWS($W$2:W257),$W$2:$W$1001,0),0), INDEX($AD$1004:$AU$1004,1,MATCH(COLUMNS($AD$1006:AR1006),$AD$1006:$AU$1006,0)))),"Fix")))</f>
        <v xml:space="preserve"> </v>
      </c>
      <c r="Q257" s="4" t="str">
        <f ca="1">IF(OR(INDEX($X$2:$X$1001,MATCH(ROWS($W$2:W257),$W$2:$W$1001,0),1)&gt;=100000,INDEX($AD$1005:$AU$1005,1,MATCH(COLUMNS($AD$1006:AS1006),$AD$1006:$AU$1006,0))&gt;=100000), " ",IF(INDEX($AD$2:$AU$1001,MATCH(ROWS($W$2:W257),$W$2:$W$1001,0),MATCH(COLUMNS($AD$1006:AS1006),$AD$1006:$AU$1006,0)), HYPERLINK("#",""), HYPERLINK(CONCATENATE("#metadata!", ADDRESS(INDEX($Y$2:$Y$1001,MATCH(ROWS($W$2:W257),$W$2:$W$1001,0),0), INDEX($AD$1004:$AU$1004,1,MATCH(COLUMNS($AD$1006:AS1006),$AD$1006:$AU$1006,0)))),"Fix")))</f>
        <v xml:space="preserve"> </v>
      </c>
      <c r="R257" s="4" t="str">
        <f ca="1">IF(OR(INDEX($X$2:$X$1001,MATCH(ROWS($W$2:W257),$W$2:$W$1001,0),1)&gt;=100000,INDEX($AD$1005:$AU$1005,1,MATCH(COLUMNS($AD$1006:AT1006),$AD$1006:$AU$1006,0))&gt;=100000), " ",IF(INDEX($AD$2:$AU$1001,MATCH(ROWS($W$2:W257),$W$2:$W$1001,0),MATCH(COLUMNS($AD$1006:AT1006),$AD$1006:$AU$1006,0)), HYPERLINK("#",""), HYPERLINK(CONCATENATE("#metadata!", ADDRESS(INDEX($Y$2:$Y$1001,MATCH(ROWS($W$2:W257),$W$2:$W$1001,0),0), INDEX($AD$1004:$AU$1004,1,MATCH(COLUMNS($AD$1006:AT1006),$AD$1006:$AU$1006,0)))),"Fix")))</f>
        <v xml:space="preserve"> </v>
      </c>
      <c r="S257" s="4" t="str">
        <f ca="1">IF(OR(INDEX($X$2:$X$1001,MATCH(ROWS($W$2:W257),$W$2:$W$1001,0),1)&gt;=100000,INDEX($AD$1005:$AU$1005,1,MATCH(COLUMNS($AD$1006:AU1006),$AD$1006:$AU$1006,0))&gt;=100000), " ",IF(INDEX($AD$2:$AU$1001,MATCH(ROWS($W$2:W257),$W$2:$W$1001,0),MATCH(COLUMNS($AD$1006:AU1006),$AD$1006:$AU$1006,0)), HYPERLINK("#",""), HYPERLINK(CONCATENATE("#metadata!", ADDRESS(INDEX($Y$2:$Y$1001,MATCH(ROWS($W$2:W257),$W$2:$W$1001,0),0), INDEX($AD$1004:$AU$1004,1,MATCH(COLUMNS($AD$1006:AU1006),$AD$1006:$AU$1006,0)))),"Fix")))</f>
        <v xml:space="preserve"> </v>
      </c>
      <c r="W257">
        <v>256</v>
      </c>
      <c r="X257">
        <v>100257</v>
      </c>
      <c r="Y257">
        <v>257</v>
      </c>
      <c r="Z257" t="b">
        <f t="shared" si="3"/>
        <v>1</v>
      </c>
      <c r="AA257" t="b">
        <f>COUNTBLANK(metadata!B257:S257)=COLUMNS(metadata!B257:S257)</f>
        <v>1</v>
      </c>
      <c r="AB257" t="str">
        <v/>
      </c>
      <c r="AD257" t="b">
        <f ca="1">AND(IF(metadata!B257="",FALSE,TRUE),COUNTIF(metadata!B:B, metadata!B257) = 1,NOT(ISERROR(SUMPRODUCT(SEARCH(MID(metadata!B257,ROW(INDIRECT("1:"&amp;LEN(metadata!B257))), 1),"0123456789abcdefghijklmnopqrstuvwxyzABCDEFGHIJKLMNOPQRSTUVWXYZ.")))))</f>
        <v>0</v>
      </c>
      <c r="AE257" t="b">
        <f>OR(AND(IF(metadata!C257="",FALSE,TRUE),OR(EXACT(metadata!C257,"not applicable"),EXACT(metadata!C257,"missing: not collected"),EXACT(metadata!C257,"missing: not provided"),EXACT(metadata!C257,"missing: restricted access"))),AND(IF(metadata!C257="",FALSE,ISNUMBER(VALUE(metadata!C257))),metadata!C257&gt;0))</f>
        <v>0</v>
      </c>
      <c r="AF257" t="b">
        <f>AND(IF(metadata!D257="",FALSE,TRUE),EXACT(metadata!D257,"missing: not provided"))</f>
        <v>0</v>
      </c>
      <c r="AG257" t="b">
        <f>AND(IF(metadata!E257="",FALSE,TRUE),EXACT(metadata!E257,"Host-associated"))</f>
        <v>0</v>
      </c>
      <c r="AH257" t="b">
        <f>AND(IF(metadata!F257="",FALSE,TRUE),OR(EXACT(metadata!F257,"Animal"),EXACT(metadata!F257,"Fungus"),EXACT(metadata!F257,"Plant")))</f>
        <v>0</v>
      </c>
      <c r="AI257" t="b">
        <f>AND(IF(metadata!G257="",FALSE,TRUE),OR(EXACT(metadata!G257,"Plant secretion"),EXACT(metadata!G257,"Plant rhizosphere"),EXACT(metadata!G257,"Plant surface"),EXACT(metadata!G257,"Plant corpus"),EXACT(metadata!G257,"Fungus surface"),EXACT(metadata!G257,"Fungus corpus"),EXACT(metadata!G257,"Animal surface"),EXACT(metadata!G257,"Animal proximal gut"),EXACT(metadata!G257,"Animal corpus"),EXACT(metadata!G257,"Animal distal gut"),EXACT(metadata!G257,"Animal secretion")))</f>
        <v>0</v>
      </c>
      <c r="AJ257" t="b">
        <f>OR(AND(IF(metadata!H257="",FALSE,TRUE),OR(EXACT(metadata!H257,"missing: not collected"),EXACT(metadata!H257,"missing: not provided"),EXACT(metadata!H257,"missing: restricted access"))),AND(IF(metadata!H257="",FALSE,TRUE),OR(EXACT(metadata!H257,"organism-associated habitat"),EXACT(metadata!H257,"plant-associated habitat"),EXACT(metadata!H257,"animal-associated habitat"),EXACT(metadata!H257,"insecta-associated habitat"),EXACT(metadata!H257,"mammalia-associated habitat"),EXACT(metadata!H257,"human-associated habitat"),EXACT(metadata!H257,"livestock-associated habitat"))))</f>
        <v>0</v>
      </c>
      <c r="AK257" t="b">
        <f>AND(IF(metadata!I257="",FALSE,TRUE),EXACT(metadata!I257,"host-associated"))</f>
        <v>0</v>
      </c>
      <c r="AL257" t="b">
        <f>OR(AND(IF(metadata!J257="",FALSE,TRUE),OR(EXACT(metadata!J257,"not applicable"),EXACT(metadata!J257,"missing: not collected"),EXACT(metadata!J257,"missing: not provided"),EXACT(metadata!J257,"missing: restricted access"))),AND(IF(metadata!J257="",FALSE,ISNUMBER(VALUE(metadata!J257))),metadata!J257&gt;0))</f>
        <v>0</v>
      </c>
      <c r="AM257" t="b">
        <f>AND(IF(metadata!K257="",FALSE,TRUE),EXACT(metadata!K257,"missing: not provided"))</f>
        <v>0</v>
      </c>
      <c r="AN257" t="b">
        <f>IF(metadata!L257="",FALSE,TRUE)</f>
        <v>0</v>
      </c>
      <c r="AO257" t="b">
        <f>IF(metadata!M257="",FALSE,TRUE)</f>
        <v>0</v>
      </c>
      <c r="AP257" t="b">
        <f>OR(AND(IF(metadata!N257="",FALSE,TRUE),OR(EXACT(metadata!N257,"not applicable"),EXACT(metadata!N257,"missing: not collected"),EXACT(metadata!N257,"missing: not provided"))),AND(IF(metadata!N257="",FALSE,IF(ISERROR(INT(metadata!N257)),FALSE,INT(metadata!N257)=metadata!N257)),metadata!N257&gt;0))</f>
        <v>0</v>
      </c>
      <c r="AQ257" t="b">
        <f>AND(IF(metadata!O257="",FALSE,TRUE),EXACT(metadata!O257,"Not applicable"))</f>
        <v>0</v>
      </c>
      <c r="AR257" t="b">
        <f>OR(AND(IF(metadata!P257="",FALSE,TRUE),OR(EXACT(metadata!P257,"not applicable"),EXACT(metadata!P257,"missing: not collected"),EXACT(metadata!P257,"missing: not provided"),EXACT(metadata!P257,"missing: restricted access"))),IF(metadata!P257="",FALSE,IF(ISERROR(INT(metadata!P257)),FALSE,INT(metadata!P257)=metadata!P257)))</f>
        <v>0</v>
      </c>
      <c r="AS257" t="b">
        <f>AND(IF(metadata!Q257="",FALSE,TRUE),EXACT(metadata!Q257,"Not applicable"))</f>
        <v>0</v>
      </c>
      <c r="AT257" t="b">
        <f>OR(AND(IF(metadata!R257="",FALSE,TRUE),OR(EXACT(metadata!R257,"not applicable"),EXACT(metadata!R257,"missing: not collected"),EXACT(metadata!R257,"missing: not provided"),EXACT(metadata!R257,"missing: restricted access"))),AND(IF(metadata!R257="",FALSE,ISNUMBER(VALUE(metadata!R257))),metadata!R257&gt;0))</f>
        <v>0</v>
      </c>
      <c r="AU257" t="b">
        <f>AND(IF(metadata!S257="",FALSE,TRUE),EXACT(metadata!S257,"missing: not provided"))</f>
        <v>0</v>
      </c>
    </row>
    <row r="258" spans="1:47" x14ac:dyDescent="0.2">
      <c r="A258" s="5" t="str">
        <f ca="1">IF(B258=" "," ",HYPERLINK(CONCATENATE("#metadata!",ADDRESS(INDEX($Y$2:$Y$1001,MATCH(ROWS($W$2:W258),$W$2:$W$1001,0),0),1)),INDEX($AB$2:$AB$1001,MATCH(ROWS($W$2:W258),$W$2:$W$1001,0),0)))</f>
        <v xml:space="preserve"> </v>
      </c>
      <c r="B258" s="4" t="str">
        <f ca="1">IF(OR(INDEX($X$2:$X$1001,MATCH(ROWS($W$2:W258),$W$2:$W$1001,0),1)&gt;=100000,INDEX($AD$1005:$AU$1005,1,MATCH(COLUMNS($AD$1006:AD1006),$AD$1006:$AU$1006,0))&gt;=100000), " ",IF(INDEX($AD$2:$AU$1001,MATCH(ROWS($W$2:W258),$W$2:$W$1001,0),MATCH(COLUMNS($AD$1006:AD1006),$AD$1006:$AU$1006,0)), HYPERLINK("#",""), HYPERLINK(CONCATENATE("#metadata!", ADDRESS(INDEX($Y$2:$Y$1001,MATCH(ROWS($W$2:W258),$W$2:$W$1001,0),0), INDEX($AD$1004:$AU$1004,1,MATCH(COLUMNS($AD$1006:AD1006),$AD$1006:$AU$1006,0)))),"Fix")))</f>
        <v xml:space="preserve"> </v>
      </c>
      <c r="C258" s="4" t="str">
        <f ca="1">IF(OR(INDEX($X$2:$X$1001,MATCH(ROWS($W$2:W258),$W$2:$W$1001,0),1)&gt;=100000,INDEX($AD$1005:$AU$1005,1,MATCH(COLUMNS($AD$1006:AE1006),$AD$1006:$AU$1006,0))&gt;=100000), " ",IF(INDEX($AD$2:$AU$1001,MATCH(ROWS($W$2:W258),$W$2:$W$1001,0),MATCH(COLUMNS($AD$1006:AE1006),$AD$1006:$AU$1006,0)), HYPERLINK("#",""), HYPERLINK(CONCATENATE("#metadata!", ADDRESS(INDEX($Y$2:$Y$1001,MATCH(ROWS($W$2:W258),$W$2:$W$1001,0),0), INDEX($AD$1004:$AU$1004,1,MATCH(COLUMNS($AD$1006:AE1006),$AD$1006:$AU$1006,0)))),"Fix")))</f>
        <v xml:space="preserve"> </v>
      </c>
      <c r="D258" s="4" t="str">
        <f ca="1">IF(OR(INDEX($X$2:$X$1001,MATCH(ROWS($W$2:W258),$W$2:$W$1001,0),1)&gt;=100000,INDEX($AD$1005:$AU$1005,1,MATCH(COLUMNS($AD$1006:AF1006),$AD$1006:$AU$1006,0))&gt;=100000), " ",IF(INDEX($AD$2:$AU$1001,MATCH(ROWS($W$2:W258),$W$2:$W$1001,0),MATCH(COLUMNS($AD$1006:AF1006),$AD$1006:$AU$1006,0)), HYPERLINK("#",""), HYPERLINK(CONCATENATE("#metadata!", ADDRESS(INDEX($Y$2:$Y$1001,MATCH(ROWS($W$2:W258),$W$2:$W$1001,0),0), INDEX($AD$1004:$AU$1004,1,MATCH(COLUMNS($AD$1006:AF1006),$AD$1006:$AU$1006,0)))),"Fix")))</f>
        <v xml:space="preserve"> </v>
      </c>
      <c r="E258" s="4" t="str">
        <f ca="1">IF(OR(INDEX($X$2:$X$1001,MATCH(ROWS($W$2:W258),$W$2:$W$1001,0),1)&gt;=100000,INDEX($AD$1005:$AU$1005,1,MATCH(COLUMNS($AD$1006:AG1006),$AD$1006:$AU$1006,0))&gt;=100000), " ",IF(INDEX($AD$2:$AU$1001,MATCH(ROWS($W$2:W258),$W$2:$W$1001,0),MATCH(COLUMNS($AD$1006:AG1006),$AD$1006:$AU$1006,0)), HYPERLINK("#",""), HYPERLINK(CONCATENATE("#metadata!", ADDRESS(INDEX($Y$2:$Y$1001,MATCH(ROWS($W$2:W258),$W$2:$W$1001,0),0), INDEX($AD$1004:$AU$1004,1,MATCH(COLUMNS($AD$1006:AG1006),$AD$1006:$AU$1006,0)))),"Fix")))</f>
        <v xml:space="preserve"> </v>
      </c>
      <c r="F258" s="4" t="str">
        <f ca="1">IF(OR(INDEX($X$2:$X$1001,MATCH(ROWS($W$2:W258),$W$2:$W$1001,0),1)&gt;=100000,INDEX($AD$1005:$AU$1005,1,MATCH(COLUMNS($AD$1006:AH1006),$AD$1006:$AU$1006,0))&gt;=100000), " ",IF(INDEX($AD$2:$AU$1001,MATCH(ROWS($W$2:W258),$W$2:$W$1001,0),MATCH(COLUMNS($AD$1006:AH1006),$AD$1006:$AU$1006,0)), HYPERLINK("#",""), HYPERLINK(CONCATENATE("#metadata!", ADDRESS(INDEX($Y$2:$Y$1001,MATCH(ROWS($W$2:W258),$W$2:$W$1001,0),0), INDEX($AD$1004:$AU$1004,1,MATCH(COLUMNS($AD$1006:AH1006),$AD$1006:$AU$1006,0)))),"Fix")))</f>
        <v xml:space="preserve"> </v>
      </c>
      <c r="G258" s="4" t="str">
        <f ca="1">IF(OR(INDEX($X$2:$X$1001,MATCH(ROWS($W$2:W258),$W$2:$W$1001,0),1)&gt;=100000,INDEX($AD$1005:$AU$1005,1,MATCH(COLUMNS($AD$1006:AI1006),$AD$1006:$AU$1006,0))&gt;=100000), " ",IF(INDEX($AD$2:$AU$1001,MATCH(ROWS($W$2:W258),$W$2:$W$1001,0),MATCH(COLUMNS($AD$1006:AI1006),$AD$1006:$AU$1006,0)), HYPERLINK("#",""), HYPERLINK(CONCATENATE("#metadata!", ADDRESS(INDEX($Y$2:$Y$1001,MATCH(ROWS($W$2:W258),$W$2:$W$1001,0),0), INDEX($AD$1004:$AU$1004,1,MATCH(COLUMNS($AD$1006:AI1006),$AD$1006:$AU$1006,0)))),"Fix")))</f>
        <v xml:space="preserve"> </v>
      </c>
      <c r="H258" s="4" t="str">
        <f ca="1">IF(OR(INDEX($X$2:$X$1001,MATCH(ROWS($W$2:W258),$W$2:$W$1001,0),1)&gt;=100000,INDEX($AD$1005:$AU$1005,1,MATCH(COLUMNS($AD$1006:AJ1006),$AD$1006:$AU$1006,0))&gt;=100000), " ",IF(INDEX($AD$2:$AU$1001,MATCH(ROWS($W$2:W258),$W$2:$W$1001,0),MATCH(COLUMNS($AD$1006:AJ1006),$AD$1006:$AU$1006,0)), HYPERLINK("#",""), HYPERLINK(CONCATENATE("#metadata!", ADDRESS(INDEX($Y$2:$Y$1001,MATCH(ROWS($W$2:W258),$W$2:$W$1001,0),0), INDEX($AD$1004:$AU$1004,1,MATCH(COLUMNS($AD$1006:AJ1006),$AD$1006:$AU$1006,0)))),"Fix")))</f>
        <v xml:space="preserve"> </v>
      </c>
      <c r="I258" s="4" t="str">
        <f ca="1">IF(OR(INDEX($X$2:$X$1001,MATCH(ROWS($W$2:W258),$W$2:$W$1001,0),1)&gt;=100000,INDEX($AD$1005:$AU$1005,1,MATCH(COLUMNS($AD$1006:AK1006),$AD$1006:$AU$1006,0))&gt;=100000), " ",IF(INDEX($AD$2:$AU$1001,MATCH(ROWS($W$2:W258),$W$2:$W$1001,0),MATCH(COLUMNS($AD$1006:AK1006),$AD$1006:$AU$1006,0)), HYPERLINK("#",""), HYPERLINK(CONCATENATE("#metadata!", ADDRESS(INDEX($Y$2:$Y$1001,MATCH(ROWS($W$2:W258),$W$2:$W$1001,0),0), INDEX($AD$1004:$AU$1004,1,MATCH(COLUMNS($AD$1006:AK1006),$AD$1006:$AU$1006,0)))),"Fix")))</f>
        <v xml:space="preserve"> </v>
      </c>
      <c r="J258" s="4" t="str">
        <f ca="1">IF(OR(INDEX($X$2:$X$1001,MATCH(ROWS($W$2:W258),$W$2:$W$1001,0),1)&gt;=100000,INDEX($AD$1005:$AU$1005,1,MATCH(COLUMNS($AD$1006:AL1006),$AD$1006:$AU$1006,0))&gt;=100000), " ",IF(INDEX($AD$2:$AU$1001,MATCH(ROWS($W$2:W258),$W$2:$W$1001,0),MATCH(COLUMNS($AD$1006:AL1006),$AD$1006:$AU$1006,0)), HYPERLINK("#",""), HYPERLINK(CONCATENATE("#metadata!", ADDRESS(INDEX($Y$2:$Y$1001,MATCH(ROWS($W$2:W258),$W$2:$W$1001,0),0), INDEX($AD$1004:$AU$1004,1,MATCH(COLUMNS($AD$1006:AL1006),$AD$1006:$AU$1006,0)))),"Fix")))</f>
        <v xml:space="preserve"> </v>
      </c>
      <c r="K258" s="4" t="str">
        <f ca="1">IF(OR(INDEX($X$2:$X$1001,MATCH(ROWS($W$2:W258),$W$2:$W$1001,0),1)&gt;=100000,INDEX($AD$1005:$AU$1005,1,MATCH(COLUMNS($AD$1006:AM1006),$AD$1006:$AU$1006,0))&gt;=100000), " ",IF(INDEX($AD$2:$AU$1001,MATCH(ROWS($W$2:W258),$W$2:$W$1001,0),MATCH(COLUMNS($AD$1006:AM1006),$AD$1006:$AU$1006,0)), HYPERLINK("#",""), HYPERLINK(CONCATENATE("#metadata!", ADDRESS(INDEX($Y$2:$Y$1001,MATCH(ROWS($W$2:W258),$W$2:$W$1001,0),0), INDEX($AD$1004:$AU$1004,1,MATCH(COLUMNS($AD$1006:AM1006),$AD$1006:$AU$1006,0)))),"Fix")))</f>
        <v xml:space="preserve"> </v>
      </c>
      <c r="L258" s="4" t="str">
        <f ca="1">IF(OR(INDEX($X$2:$X$1001,MATCH(ROWS($W$2:W258),$W$2:$W$1001,0),1)&gt;=100000,INDEX($AD$1005:$AU$1005,1,MATCH(COLUMNS($AD$1006:AN1006),$AD$1006:$AU$1006,0))&gt;=100000), " ",IF(INDEX($AD$2:$AU$1001,MATCH(ROWS($W$2:W258),$W$2:$W$1001,0),MATCH(COLUMNS($AD$1006:AN1006),$AD$1006:$AU$1006,0)), HYPERLINK("#",""), HYPERLINK(CONCATENATE("#metadata!", ADDRESS(INDEX($Y$2:$Y$1001,MATCH(ROWS($W$2:W258),$W$2:$W$1001,0),0), INDEX($AD$1004:$AU$1004,1,MATCH(COLUMNS($AD$1006:AN1006),$AD$1006:$AU$1006,0)))),"Fix")))</f>
        <v xml:space="preserve"> </v>
      </c>
      <c r="M258" s="4" t="str">
        <f ca="1">IF(OR(INDEX($X$2:$X$1001,MATCH(ROWS($W$2:W258),$W$2:$W$1001,0),1)&gt;=100000,INDEX($AD$1005:$AU$1005,1,MATCH(COLUMNS($AD$1006:AO1006),$AD$1006:$AU$1006,0))&gt;=100000), " ",IF(INDEX($AD$2:$AU$1001,MATCH(ROWS($W$2:W258),$W$2:$W$1001,0),MATCH(COLUMNS($AD$1006:AO1006),$AD$1006:$AU$1006,0)), HYPERLINK("#",""), HYPERLINK(CONCATENATE("#metadata!", ADDRESS(INDEX($Y$2:$Y$1001,MATCH(ROWS($W$2:W258),$W$2:$W$1001,0),0), INDEX($AD$1004:$AU$1004,1,MATCH(COLUMNS($AD$1006:AO1006),$AD$1006:$AU$1006,0)))),"Fix")))</f>
        <v xml:space="preserve"> </v>
      </c>
      <c r="N258" s="4" t="str">
        <f ca="1">IF(OR(INDEX($X$2:$X$1001,MATCH(ROWS($W$2:W258),$W$2:$W$1001,0),1)&gt;=100000,INDEX($AD$1005:$AU$1005,1,MATCH(COLUMNS($AD$1006:AP1006),$AD$1006:$AU$1006,0))&gt;=100000), " ",IF(INDEX($AD$2:$AU$1001,MATCH(ROWS($W$2:W258),$W$2:$W$1001,0),MATCH(COLUMNS($AD$1006:AP1006),$AD$1006:$AU$1006,0)), HYPERLINK("#",""), HYPERLINK(CONCATENATE("#metadata!", ADDRESS(INDEX($Y$2:$Y$1001,MATCH(ROWS($W$2:W258),$W$2:$W$1001,0),0), INDEX($AD$1004:$AU$1004,1,MATCH(COLUMNS($AD$1006:AP1006),$AD$1006:$AU$1006,0)))),"Fix")))</f>
        <v xml:space="preserve"> </v>
      </c>
      <c r="O258" s="4" t="str">
        <f ca="1">IF(OR(INDEX($X$2:$X$1001,MATCH(ROWS($W$2:W258),$W$2:$W$1001,0),1)&gt;=100000,INDEX($AD$1005:$AU$1005,1,MATCH(COLUMNS($AD$1006:AQ1006),$AD$1006:$AU$1006,0))&gt;=100000), " ",IF(INDEX($AD$2:$AU$1001,MATCH(ROWS($W$2:W258),$W$2:$W$1001,0),MATCH(COLUMNS($AD$1006:AQ1006),$AD$1006:$AU$1006,0)), HYPERLINK("#",""), HYPERLINK(CONCATENATE("#metadata!", ADDRESS(INDEX($Y$2:$Y$1001,MATCH(ROWS($W$2:W258),$W$2:$W$1001,0),0), INDEX($AD$1004:$AU$1004,1,MATCH(COLUMNS($AD$1006:AQ1006),$AD$1006:$AU$1006,0)))),"Fix")))</f>
        <v xml:space="preserve"> </v>
      </c>
      <c r="P258" s="4" t="str">
        <f ca="1">IF(OR(INDEX($X$2:$X$1001,MATCH(ROWS($W$2:W258),$W$2:$W$1001,0),1)&gt;=100000,INDEX($AD$1005:$AU$1005,1,MATCH(COLUMNS($AD$1006:AR1006),$AD$1006:$AU$1006,0))&gt;=100000), " ",IF(INDEX($AD$2:$AU$1001,MATCH(ROWS($W$2:W258),$W$2:$W$1001,0),MATCH(COLUMNS($AD$1006:AR1006),$AD$1006:$AU$1006,0)), HYPERLINK("#",""), HYPERLINK(CONCATENATE("#metadata!", ADDRESS(INDEX($Y$2:$Y$1001,MATCH(ROWS($W$2:W258),$W$2:$W$1001,0),0), INDEX($AD$1004:$AU$1004,1,MATCH(COLUMNS($AD$1006:AR1006),$AD$1006:$AU$1006,0)))),"Fix")))</f>
        <v xml:space="preserve"> </v>
      </c>
      <c r="Q258" s="4" t="str">
        <f ca="1">IF(OR(INDEX($X$2:$X$1001,MATCH(ROWS($W$2:W258),$W$2:$W$1001,0),1)&gt;=100000,INDEX($AD$1005:$AU$1005,1,MATCH(COLUMNS($AD$1006:AS1006),$AD$1006:$AU$1006,0))&gt;=100000), " ",IF(INDEX($AD$2:$AU$1001,MATCH(ROWS($W$2:W258),$W$2:$W$1001,0),MATCH(COLUMNS($AD$1006:AS1006),$AD$1006:$AU$1006,0)), HYPERLINK("#",""), HYPERLINK(CONCATENATE("#metadata!", ADDRESS(INDEX($Y$2:$Y$1001,MATCH(ROWS($W$2:W258),$W$2:$W$1001,0),0), INDEX($AD$1004:$AU$1004,1,MATCH(COLUMNS($AD$1006:AS1006),$AD$1006:$AU$1006,0)))),"Fix")))</f>
        <v xml:space="preserve"> </v>
      </c>
      <c r="R258" s="4" t="str">
        <f ca="1">IF(OR(INDEX($X$2:$X$1001,MATCH(ROWS($W$2:W258),$W$2:$W$1001,0),1)&gt;=100000,INDEX($AD$1005:$AU$1005,1,MATCH(COLUMNS($AD$1006:AT1006),$AD$1006:$AU$1006,0))&gt;=100000), " ",IF(INDEX($AD$2:$AU$1001,MATCH(ROWS($W$2:W258),$W$2:$W$1001,0),MATCH(COLUMNS($AD$1006:AT1006),$AD$1006:$AU$1006,0)), HYPERLINK("#",""), HYPERLINK(CONCATENATE("#metadata!", ADDRESS(INDEX($Y$2:$Y$1001,MATCH(ROWS($W$2:W258),$W$2:$W$1001,0),0), INDEX($AD$1004:$AU$1004,1,MATCH(COLUMNS($AD$1006:AT1006),$AD$1006:$AU$1006,0)))),"Fix")))</f>
        <v xml:space="preserve"> </v>
      </c>
      <c r="S258" s="4" t="str">
        <f ca="1">IF(OR(INDEX($X$2:$X$1001,MATCH(ROWS($W$2:W258),$W$2:$W$1001,0),1)&gt;=100000,INDEX($AD$1005:$AU$1005,1,MATCH(COLUMNS($AD$1006:AU1006),$AD$1006:$AU$1006,0))&gt;=100000), " ",IF(INDEX($AD$2:$AU$1001,MATCH(ROWS($W$2:W258),$W$2:$W$1001,0),MATCH(COLUMNS($AD$1006:AU1006),$AD$1006:$AU$1006,0)), HYPERLINK("#",""), HYPERLINK(CONCATENATE("#metadata!", ADDRESS(INDEX($Y$2:$Y$1001,MATCH(ROWS($W$2:W258),$W$2:$W$1001,0),0), INDEX($AD$1004:$AU$1004,1,MATCH(COLUMNS($AD$1006:AU1006),$AD$1006:$AU$1006,0)))),"Fix")))</f>
        <v xml:space="preserve"> </v>
      </c>
      <c r="W258">
        <v>257</v>
      </c>
      <c r="X258">
        <v>100258</v>
      </c>
      <c r="Y258">
        <v>258</v>
      </c>
      <c r="Z258" t="b">
        <f t="shared" ref="Z258:Z321" si="4">IF(AA258,TRUE,AND(AD258:AU258))</f>
        <v>1</v>
      </c>
      <c r="AA258" t="b">
        <f>COUNTBLANK(metadata!B258:S258)=COLUMNS(metadata!B258:S258)</f>
        <v>1</v>
      </c>
      <c r="AB258" t="str">
        <v/>
      </c>
      <c r="AD258" t="b">
        <f ca="1">AND(IF(metadata!B258="",FALSE,TRUE),COUNTIF(metadata!B:B, metadata!B258) = 1,NOT(ISERROR(SUMPRODUCT(SEARCH(MID(metadata!B258,ROW(INDIRECT("1:"&amp;LEN(metadata!B258))), 1),"0123456789abcdefghijklmnopqrstuvwxyzABCDEFGHIJKLMNOPQRSTUVWXYZ.")))))</f>
        <v>0</v>
      </c>
      <c r="AE258" t="b">
        <f>OR(AND(IF(metadata!C258="",FALSE,TRUE),OR(EXACT(metadata!C258,"not applicable"),EXACT(metadata!C258,"missing: not collected"),EXACT(metadata!C258,"missing: not provided"),EXACT(metadata!C258,"missing: restricted access"))),AND(IF(metadata!C258="",FALSE,ISNUMBER(VALUE(metadata!C258))),metadata!C258&gt;0))</f>
        <v>0</v>
      </c>
      <c r="AF258" t="b">
        <f>AND(IF(metadata!D258="",FALSE,TRUE),EXACT(metadata!D258,"missing: not provided"))</f>
        <v>0</v>
      </c>
      <c r="AG258" t="b">
        <f>AND(IF(metadata!E258="",FALSE,TRUE),EXACT(metadata!E258,"Host-associated"))</f>
        <v>0</v>
      </c>
      <c r="AH258" t="b">
        <f>AND(IF(metadata!F258="",FALSE,TRUE),OR(EXACT(metadata!F258,"Animal"),EXACT(metadata!F258,"Fungus"),EXACT(metadata!F258,"Plant")))</f>
        <v>0</v>
      </c>
      <c r="AI258" t="b">
        <f>AND(IF(metadata!G258="",FALSE,TRUE),OR(EXACT(metadata!G258,"Plant secretion"),EXACT(metadata!G258,"Plant rhizosphere"),EXACT(metadata!G258,"Plant surface"),EXACT(metadata!G258,"Plant corpus"),EXACT(metadata!G258,"Fungus surface"),EXACT(metadata!G258,"Fungus corpus"),EXACT(metadata!G258,"Animal surface"),EXACT(metadata!G258,"Animal proximal gut"),EXACT(metadata!G258,"Animal corpus"),EXACT(metadata!G258,"Animal distal gut"),EXACT(metadata!G258,"Animal secretion")))</f>
        <v>0</v>
      </c>
      <c r="AJ258" t="b">
        <f>OR(AND(IF(metadata!H258="",FALSE,TRUE),OR(EXACT(metadata!H258,"missing: not collected"),EXACT(metadata!H258,"missing: not provided"),EXACT(metadata!H258,"missing: restricted access"))),AND(IF(metadata!H258="",FALSE,TRUE),OR(EXACT(metadata!H258,"organism-associated habitat"),EXACT(metadata!H258,"plant-associated habitat"),EXACT(metadata!H258,"animal-associated habitat"),EXACT(metadata!H258,"insecta-associated habitat"),EXACT(metadata!H258,"mammalia-associated habitat"),EXACT(metadata!H258,"human-associated habitat"),EXACT(metadata!H258,"livestock-associated habitat"))))</f>
        <v>0</v>
      </c>
      <c r="AK258" t="b">
        <f>AND(IF(metadata!I258="",FALSE,TRUE),EXACT(metadata!I258,"host-associated"))</f>
        <v>0</v>
      </c>
      <c r="AL258" t="b">
        <f>OR(AND(IF(metadata!J258="",FALSE,TRUE),OR(EXACT(metadata!J258,"not applicable"),EXACT(metadata!J258,"missing: not collected"),EXACT(metadata!J258,"missing: not provided"),EXACT(metadata!J258,"missing: restricted access"))),AND(IF(metadata!J258="",FALSE,ISNUMBER(VALUE(metadata!J258))),metadata!J258&gt;0))</f>
        <v>0</v>
      </c>
      <c r="AM258" t="b">
        <f>AND(IF(metadata!K258="",FALSE,TRUE),EXACT(metadata!K258,"missing: not provided"))</f>
        <v>0</v>
      </c>
      <c r="AN258" t="b">
        <f>IF(metadata!L258="",FALSE,TRUE)</f>
        <v>0</v>
      </c>
      <c r="AO258" t="b">
        <f>IF(metadata!M258="",FALSE,TRUE)</f>
        <v>0</v>
      </c>
      <c r="AP258" t="b">
        <f>OR(AND(IF(metadata!N258="",FALSE,TRUE),OR(EXACT(metadata!N258,"not applicable"),EXACT(metadata!N258,"missing: not collected"),EXACT(metadata!N258,"missing: not provided"))),AND(IF(metadata!N258="",FALSE,IF(ISERROR(INT(metadata!N258)),FALSE,INT(metadata!N258)=metadata!N258)),metadata!N258&gt;0))</f>
        <v>0</v>
      </c>
      <c r="AQ258" t="b">
        <f>AND(IF(metadata!O258="",FALSE,TRUE),EXACT(metadata!O258,"Not applicable"))</f>
        <v>0</v>
      </c>
      <c r="AR258" t="b">
        <f>OR(AND(IF(metadata!P258="",FALSE,TRUE),OR(EXACT(metadata!P258,"not applicable"),EXACT(metadata!P258,"missing: not collected"),EXACT(metadata!P258,"missing: not provided"),EXACT(metadata!P258,"missing: restricted access"))),IF(metadata!P258="",FALSE,IF(ISERROR(INT(metadata!P258)),FALSE,INT(metadata!P258)=metadata!P258)))</f>
        <v>0</v>
      </c>
      <c r="AS258" t="b">
        <f>AND(IF(metadata!Q258="",FALSE,TRUE),EXACT(metadata!Q258,"Not applicable"))</f>
        <v>0</v>
      </c>
      <c r="AT258" t="b">
        <f>OR(AND(IF(metadata!R258="",FALSE,TRUE),OR(EXACT(metadata!R258,"not applicable"),EXACT(metadata!R258,"missing: not collected"),EXACT(metadata!R258,"missing: not provided"),EXACT(metadata!R258,"missing: restricted access"))),AND(IF(metadata!R258="",FALSE,ISNUMBER(VALUE(metadata!R258))),metadata!R258&gt;0))</f>
        <v>0</v>
      </c>
      <c r="AU258" t="b">
        <f>AND(IF(metadata!S258="",FALSE,TRUE),EXACT(metadata!S258,"missing: not provided"))</f>
        <v>0</v>
      </c>
    </row>
    <row r="259" spans="1:47" x14ac:dyDescent="0.2">
      <c r="A259" s="5" t="str">
        <f ca="1">IF(B259=" "," ",HYPERLINK(CONCATENATE("#metadata!",ADDRESS(INDEX($Y$2:$Y$1001,MATCH(ROWS($W$2:W259),$W$2:$W$1001,0),0),1)),INDEX($AB$2:$AB$1001,MATCH(ROWS($W$2:W259),$W$2:$W$1001,0),0)))</f>
        <v xml:space="preserve"> </v>
      </c>
      <c r="B259" s="4" t="str">
        <f ca="1">IF(OR(INDEX($X$2:$X$1001,MATCH(ROWS($W$2:W259),$W$2:$W$1001,0),1)&gt;=100000,INDEX($AD$1005:$AU$1005,1,MATCH(COLUMNS($AD$1006:AD1006),$AD$1006:$AU$1006,0))&gt;=100000), " ",IF(INDEX($AD$2:$AU$1001,MATCH(ROWS($W$2:W259),$W$2:$W$1001,0),MATCH(COLUMNS($AD$1006:AD1006),$AD$1006:$AU$1006,0)), HYPERLINK("#",""), HYPERLINK(CONCATENATE("#metadata!", ADDRESS(INDEX($Y$2:$Y$1001,MATCH(ROWS($W$2:W259),$W$2:$W$1001,0),0), INDEX($AD$1004:$AU$1004,1,MATCH(COLUMNS($AD$1006:AD1006),$AD$1006:$AU$1006,0)))),"Fix")))</f>
        <v xml:space="preserve"> </v>
      </c>
      <c r="C259" s="4" t="str">
        <f ca="1">IF(OR(INDEX($X$2:$X$1001,MATCH(ROWS($W$2:W259),$W$2:$W$1001,0),1)&gt;=100000,INDEX($AD$1005:$AU$1005,1,MATCH(COLUMNS($AD$1006:AE1006),$AD$1006:$AU$1006,0))&gt;=100000), " ",IF(INDEX($AD$2:$AU$1001,MATCH(ROWS($W$2:W259),$W$2:$W$1001,0),MATCH(COLUMNS($AD$1006:AE1006),$AD$1006:$AU$1006,0)), HYPERLINK("#",""), HYPERLINK(CONCATENATE("#metadata!", ADDRESS(INDEX($Y$2:$Y$1001,MATCH(ROWS($W$2:W259),$W$2:$W$1001,0),0), INDEX($AD$1004:$AU$1004,1,MATCH(COLUMNS($AD$1006:AE1006),$AD$1006:$AU$1006,0)))),"Fix")))</f>
        <v xml:space="preserve"> </v>
      </c>
      <c r="D259" s="4" t="str">
        <f ca="1">IF(OR(INDEX($X$2:$X$1001,MATCH(ROWS($W$2:W259),$W$2:$W$1001,0),1)&gt;=100000,INDEX($AD$1005:$AU$1005,1,MATCH(COLUMNS($AD$1006:AF1006),$AD$1006:$AU$1006,0))&gt;=100000), " ",IF(INDEX($AD$2:$AU$1001,MATCH(ROWS($W$2:W259),$W$2:$W$1001,0),MATCH(COLUMNS($AD$1006:AF1006),$AD$1006:$AU$1006,0)), HYPERLINK("#",""), HYPERLINK(CONCATENATE("#metadata!", ADDRESS(INDEX($Y$2:$Y$1001,MATCH(ROWS($W$2:W259),$W$2:$W$1001,0),0), INDEX($AD$1004:$AU$1004,1,MATCH(COLUMNS($AD$1006:AF1006),$AD$1006:$AU$1006,0)))),"Fix")))</f>
        <v xml:space="preserve"> </v>
      </c>
      <c r="E259" s="4" t="str">
        <f ca="1">IF(OR(INDEX($X$2:$X$1001,MATCH(ROWS($W$2:W259),$W$2:$W$1001,0),1)&gt;=100000,INDEX($AD$1005:$AU$1005,1,MATCH(COLUMNS($AD$1006:AG1006),$AD$1006:$AU$1006,0))&gt;=100000), " ",IF(INDEX($AD$2:$AU$1001,MATCH(ROWS($W$2:W259),$W$2:$W$1001,0),MATCH(COLUMNS($AD$1006:AG1006),$AD$1006:$AU$1006,0)), HYPERLINK("#",""), HYPERLINK(CONCATENATE("#metadata!", ADDRESS(INDEX($Y$2:$Y$1001,MATCH(ROWS($W$2:W259),$W$2:$W$1001,0),0), INDEX($AD$1004:$AU$1004,1,MATCH(COLUMNS($AD$1006:AG1006),$AD$1006:$AU$1006,0)))),"Fix")))</f>
        <v xml:space="preserve"> </v>
      </c>
      <c r="F259" s="4" t="str">
        <f ca="1">IF(OR(INDEX($X$2:$X$1001,MATCH(ROWS($W$2:W259),$W$2:$W$1001,0),1)&gt;=100000,INDEX($AD$1005:$AU$1005,1,MATCH(COLUMNS($AD$1006:AH1006),$AD$1006:$AU$1006,0))&gt;=100000), " ",IF(INDEX($AD$2:$AU$1001,MATCH(ROWS($W$2:W259),$W$2:$W$1001,0),MATCH(COLUMNS($AD$1006:AH1006),$AD$1006:$AU$1006,0)), HYPERLINK("#",""), HYPERLINK(CONCATENATE("#metadata!", ADDRESS(INDEX($Y$2:$Y$1001,MATCH(ROWS($W$2:W259),$W$2:$W$1001,0),0), INDEX($AD$1004:$AU$1004,1,MATCH(COLUMNS($AD$1006:AH1006),$AD$1006:$AU$1006,0)))),"Fix")))</f>
        <v xml:space="preserve"> </v>
      </c>
      <c r="G259" s="4" t="str">
        <f ca="1">IF(OR(INDEX($X$2:$X$1001,MATCH(ROWS($W$2:W259),$W$2:$W$1001,0),1)&gt;=100000,INDEX($AD$1005:$AU$1005,1,MATCH(COLUMNS($AD$1006:AI1006),$AD$1006:$AU$1006,0))&gt;=100000), " ",IF(INDEX($AD$2:$AU$1001,MATCH(ROWS($W$2:W259),$W$2:$W$1001,0),MATCH(COLUMNS($AD$1006:AI1006),$AD$1006:$AU$1006,0)), HYPERLINK("#",""), HYPERLINK(CONCATENATE("#metadata!", ADDRESS(INDEX($Y$2:$Y$1001,MATCH(ROWS($W$2:W259),$W$2:$W$1001,0),0), INDEX($AD$1004:$AU$1004,1,MATCH(COLUMNS($AD$1006:AI1006),$AD$1006:$AU$1006,0)))),"Fix")))</f>
        <v xml:space="preserve"> </v>
      </c>
      <c r="H259" s="4" t="str">
        <f ca="1">IF(OR(INDEX($X$2:$X$1001,MATCH(ROWS($W$2:W259),$W$2:$W$1001,0),1)&gt;=100000,INDEX($AD$1005:$AU$1005,1,MATCH(COLUMNS($AD$1006:AJ1006),$AD$1006:$AU$1006,0))&gt;=100000), " ",IF(INDEX($AD$2:$AU$1001,MATCH(ROWS($W$2:W259),$W$2:$W$1001,0),MATCH(COLUMNS($AD$1006:AJ1006),$AD$1006:$AU$1006,0)), HYPERLINK("#",""), HYPERLINK(CONCATENATE("#metadata!", ADDRESS(INDEX($Y$2:$Y$1001,MATCH(ROWS($W$2:W259),$W$2:$W$1001,0),0), INDEX($AD$1004:$AU$1004,1,MATCH(COLUMNS($AD$1006:AJ1006),$AD$1006:$AU$1006,0)))),"Fix")))</f>
        <v xml:space="preserve"> </v>
      </c>
      <c r="I259" s="4" t="str">
        <f ca="1">IF(OR(INDEX($X$2:$X$1001,MATCH(ROWS($W$2:W259),$W$2:$W$1001,0),1)&gt;=100000,INDEX($AD$1005:$AU$1005,1,MATCH(COLUMNS($AD$1006:AK1006),$AD$1006:$AU$1006,0))&gt;=100000), " ",IF(INDEX($AD$2:$AU$1001,MATCH(ROWS($W$2:W259),$W$2:$W$1001,0),MATCH(COLUMNS($AD$1006:AK1006),$AD$1006:$AU$1006,0)), HYPERLINK("#",""), HYPERLINK(CONCATENATE("#metadata!", ADDRESS(INDEX($Y$2:$Y$1001,MATCH(ROWS($W$2:W259),$W$2:$W$1001,0),0), INDEX($AD$1004:$AU$1004,1,MATCH(COLUMNS($AD$1006:AK1006),$AD$1006:$AU$1006,0)))),"Fix")))</f>
        <v xml:space="preserve"> </v>
      </c>
      <c r="J259" s="4" t="str">
        <f ca="1">IF(OR(INDEX($X$2:$X$1001,MATCH(ROWS($W$2:W259),$W$2:$W$1001,0),1)&gt;=100000,INDEX($AD$1005:$AU$1005,1,MATCH(COLUMNS($AD$1006:AL1006),$AD$1006:$AU$1006,0))&gt;=100000), " ",IF(INDEX($AD$2:$AU$1001,MATCH(ROWS($W$2:W259),$W$2:$W$1001,0),MATCH(COLUMNS($AD$1006:AL1006),$AD$1006:$AU$1006,0)), HYPERLINK("#",""), HYPERLINK(CONCATENATE("#metadata!", ADDRESS(INDEX($Y$2:$Y$1001,MATCH(ROWS($W$2:W259),$W$2:$W$1001,0),0), INDEX($AD$1004:$AU$1004,1,MATCH(COLUMNS($AD$1006:AL1006),$AD$1006:$AU$1006,0)))),"Fix")))</f>
        <v xml:space="preserve"> </v>
      </c>
      <c r="K259" s="4" t="str">
        <f ca="1">IF(OR(INDEX($X$2:$X$1001,MATCH(ROWS($W$2:W259),$W$2:$W$1001,0),1)&gt;=100000,INDEX($AD$1005:$AU$1005,1,MATCH(COLUMNS($AD$1006:AM1006),$AD$1006:$AU$1006,0))&gt;=100000), " ",IF(INDEX($AD$2:$AU$1001,MATCH(ROWS($W$2:W259),$W$2:$W$1001,0),MATCH(COLUMNS($AD$1006:AM1006),$AD$1006:$AU$1006,0)), HYPERLINK("#",""), HYPERLINK(CONCATENATE("#metadata!", ADDRESS(INDEX($Y$2:$Y$1001,MATCH(ROWS($W$2:W259),$W$2:$W$1001,0),0), INDEX($AD$1004:$AU$1004,1,MATCH(COLUMNS($AD$1006:AM1006),$AD$1006:$AU$1006,0)))),"Fix")))</f>
        <v xml:space="preserve"> </v>
      </c>
      <c r="L259" s="4" t="str">
        <f ca="1">IF(OR(INDEX($X$2:$X$1001,MATCH(ROWS($W$2:W259),$W$2:$W$1001,0),1)&gt;=100000,INDEX($AD$1005:$AU$1005,1,MATCH(COLUMNS($AD$1006:AN1006),$AD$1006:$AU$1006,0))&gt;=100000), " ",IF(INDEX($AD$2:$AU$1001,MATCH(ROWS($W$2:W259),$W$2:$W$1001,0),MATCH(COLUMNS($AD$1006:AN1006),$AD$1006:$AU$1006,0)), HYPERLINK("#",""), HYPERLINK(CONCATENATE("#metadata!", ADDRESS(INDEX($Y$2:$Y$1001,MATCH(ROWS($W$2:W259),$W$2:$W$1001,0),0), INDEX($AD$1004:$AU$1004,1,MATCH(COLUMNS($AD$1006:AN1006),$AD$1006:$AU$1006,0)))),"Fix")))</f>
        <v xml:space="preserve"> </v>
      </c>
      <c r="M259" s="4" t="str">
        <f ca="1">IF(OR(INDEX($X$2:$X$1001,MATCH(ROWS($W$2:W259),$W$2:$W$1001,0),1)&gt;=100000,INDEX($AD$1005:$AU$1005,1,MATCH(COLUMNS($AD$1006:AO1006),$AD$1006:$AU$1006,0))&gt;=100000), " ",IF(INDEX($AD$2:$AU$1001,MATCH(ROWS($W$2:W259),$W$2:$W$1001,0),MATCH(COLUMNS($AD$1006:AO1006),$AD$1006:$AU$1006,0)), HYPERLINK("#",""), HYPERLINK(CONCATENATE("#metadata!", ADDRESS(INDEX($Y$2:$Y$1001,MATCH(ROWS($W$2:W259),$W$2:$W$1001,0),0), INDEX($AD$1004:$AU$1004,1,MATCH(COLUMNS($AD$1006:AO1006),$AD$1006:$AU$1006,0)))),"Fix")))</f>
        <v xml:space="preserve"> </v>
      </c>
      <c r="N259" s="4" t="str">
        <f ca="1">IF(OR(INDEX($X$2:$X$1001,MATCH(ROWS($W$2:W259),$W$2:$W$1001,0),1)&gt;=100000,INDEX($AD$1005:$AU$1005,1,MATCH(COLUMNS($AD$1006:AP1006),$AD$1006:$AU$1006,0))&gt;=100000), " ",IF(INDEX($AD$2:$AU$1001,MATCH(ROWS($W$2:W259),$W$2:$W$1001,0),MATCH(COLUMNS($AD$1006:AP1006),$AD$1006:$AU$1006,0)), HYPERLINK("#",""), HYPERLINK(CONCATENATE("#metadata!", ADDRESS(INDEX($Y$2:$Y$1001,MATCH(ROWS($W$2:W259),$W$2:$W$1001,0),0), INDEX($AD$1004:$AU$1004,1,MATCH(COLUMNS($AD$1006:AP1006),$AD$1006:$AU$1006,0)))),"Fix")))</f>
        <v xml:space="preserve"> </v>
      </c>
      <c r="O259" s="4" t="str">
        <f ca="1">IF(OR(INDEX($X$2:$X$1001,MATCH(ROWS($W$2:W259),$W$2:$W$1001,0),1)&gt;=100000,INDEX($AD$1005:$AU$1005,1,MATCH(COLUMNS($AD$1006:AQ1006),$AD$1006:$AU$1006,0))&gt;=100000), " ",IF(INDEX($AD$2:$AU$1001,MATCH(ROWS($W$2:W259),$W$2:$W$1001,0),MATCH(COLUMNS($AD$1006:AQ1006),$AD$1006:$AU$1006,0)), HYPERLINK("#",""), HYPERLINK(CONCATENATE("#metadata!", ADDRESS(INDEX($Y$2:$Y$1001,MATCH(ROWS($W$2:W259),$W$2:$W$1001,0),0), INDEX($AD$1004:$AU$1004,1,MATCH(COLUMNS($AD$1006:AQ1006),$AD$1006:$AU$1006,0)))),"Fix")))</f>
        <v xml:space="preserve"> </v>
      </c>
      <c r="P259" s="4" t="str">
        <f ca="1">IF(OR(INDEX($X$2:$X$1001,MATCH(ROWS($W$2:W259),$W$2:$W$1001,0),1)&gt;=100000,INDEX($AD$1005:$AU$1005,1,MATCH(COLUMNS($AD$1006:AR1006),$AD$1006:$AU$1006,0))&gt;=100000), " ",IF(INDEX($AD$2:$AU$1001,MATCH(ROWS($W$2:W259),$W$2:$W$1001,0),MATCH(COLUMNS($AD$1006:AR1006),$AD$1006:$AU$1006,0)), HYPERLINK("#",""), HYPERLINK(CONCATENATE("#metadata!", ADDRESS(INDEX($Y$2:$Y$1001,MATCH(ROWS($W$2:W259),$W$2:$W$1001,0),0), INDEX($AD$1004:$AU$1004,1,MATCH(COLUMNS($AD$1006:AR1006),$AD$1006:$AU$1006,0)))),"Fix")))</f>
        <v xml:space="preserve"> </v>
      </c>
      <c r="Q259" s="4" t="str">
        <f ca="1">IF(OR(INDEX($X$2:$X$1001,MATCH(ROWS($W$2:W259),$W$2:$W$1001,0),1)&gt;=100000,INDEX($AD$1005:$AU$1005,1,MATCH(COLUMNS($AD$1006:AS1006),$AD$1006:$AU$1006,0))&gt;=100000), " ",IF(INDEX($AD$2:$AU$1001,MATCH(ROWS($W$2:W259),$W$2:$W$1001,0),MATCH(COLUMNS($AD$1006:AS1006),$AD$1006:$AU$1006,0)), HYPERLINK("#",""), HYPERLINK(CONCATENATE("#metadata!", ADDRESS(INDEX($Y$2:$Y$1001,MATCH(ROWS($W$2:W259),$W$2:$W$1001,0),0), INDEX($AD$1004:$AU$1004,1,MATCH(COLUMNS($AD$1006:AS1006),$AD$1006:$AU$1006,0)))),"Fix")))</f>
        <v xml:space="preserve"> </v>
      </c>
      <c r="R259" s="4" t="str">
        <f ca="1">IF(OR(INDEX($X$2:$X$1001,MATCH(ROWS($W$2:W259),$W$2:$W$1001,0),1)&gt;=100000,INDEX($AD$1005:$AU$1005,1,MATCH(COLUMNS($AD$1006:AT1006),$AD$1006:$AU$1006,0))&gt;=100000), " ",IF(INDEX($AD$2:$AU$1001,MATCH(ROWS($W$2:W259),$W$2:$W$1001,0),MATCH(COLUMNS($AD$1006:AT1006),$AD$1006:$AU$1006,0)), HYPERLINK("#",""), HYPERLINK(CONCATENATE("#metadata!", ADDRESS(INDEX($Y$2:$Y$1001,MATCH(ROWS($W$2:W259),$W$2:$W$1001,0),0), INDEX($AD$1004:$AU$1004,1,MATCH(COLUMNS($AD$1006:AT1006),$AD$1006:$AU$1006,0)))),"Fix")))</f>
        <v xml:space="preserve"> </v>
      </c>
      <c r="S259" s="4" t="str">
        <f ca="1">IF(OR(INDEX($X$2:$X$1001,MATCH(ROWS($W$2:W259),$W$2:$W$1001,0),1)&gt;=100000,INDEX($AD$1005:$AU$1005,1,MATCH(COLUMNS($AD$1006:AU1006),$AD$1006:$AU$1006,0))&gt;=100000), " ",IF(INDEX($AD$2:$AU$1001,MATCH(ROWS($W$2:W259),$W$2:$W$1001,0),MATCH(COLUMNS($AD$1006:AU1006),$AD$1006:$AU$1006,0)), HYPERLINK("#",""), HYPERLINK(CONCATENATE("#metadata!", ADDRESS(INDEX($Y$2:$Y$1001,MATCH(ROWS($W$2:W259),$W$2:$W$1001,0),0), INDEX($AD$1004:$AU$1004,1,MATCH(COLUMNS($AD$1006:AU1006),$AD$1006:$AU$1006,0)))),"Fix")))</f>
        <v xml:space="preserve"> </v>
      </c>
      <c r="W259">
        <v>258</v>
      </c>
      <c r="X259">
        <v>100259</v>
      </c>
      <c r="Y259">
        <v>259</v>
      </c>
      <c r="Z259" t="b">
        <f t="shared" si="4"/>
        <v>1</v>
      </c>
      <c r="AA259" t="b">
        <f>COUNTBLANK(metadata!B259:S259)=COLUMNS(metadata!B259:S259)</f>
        <v>1</v>
      </c>
      <c r="AB259" t="str">
        <v/>
      </c>
      <c r="AD259" t="b">
        <f ca="1">AND(IF(metadata!B259="",FALSE,TRUE),COUNTIF(metadata!B:B, metadata!B259) = 1,NOT(ISERROR(SUMPRODUCT(SEARCH(MID(metadata!B259,ROW(INDIRECT("1:"&amp;LEN(metadata!B259))), 1),"0123456789abcdefghijklmnopqrstuvwxyzABCDEFGHIJKLMNOPQRSTUVWXYZ.")))))</f>
        <v>0</v>
      </c>
      <c r="AE259" t="b">
        <f>OR(AND(IF(metadata!C259="",FALSE,TRUE),OR(EXACT(metadata!C259,"not applicable"),EXACT(metadata!C259,"missing: not collected"),EXACT(metadata!C259,"missing: not provided"),EXACT(metadata!C259,"missing: restricted access"))),AND(IF(metadata!C259="",FALSE,ISNUMBER(VALUE(metadata!C259))),metadata!C259&gt;0))</f>
        <v>0</v>
      </c>
      <c r="AF259" t="b">
        <f>AND(IF(metadata!D259="",FALSE,TRUE),EXACT(metadata!D259,"missing: not provided"))</f>
        <v>0</v>
      </c>
      <c r="AG259" t="b">
        <f>AND(IF(metadata!E259="",FALSE,TRUE),EXACT(metadata!E259,"Host-associated"))</f>
        <v>0</v>
      </c>
      <c r="AH259" t="b">
        <f>AND(IF(metadata!F259="",FALSE,TRUE),OR(EXACT(metadata!F259,"Animal"),EXACT(metadata!F259,"Fungus"),EXACT(metadata!F259,"Plant")))</f>
        <v>0</v>
      </c>
      <c r="AI259" t="b">
        <f>AND(IF(metadata!G259="",FALSE,TRUE),OR(EXACT(metadata!G259,"Plant secretion"),EXACT(metadata!G259,"Plant rhizosphere"),EXACT(metadata!G259,"Plant surface"),EXACT(metadata!G259,"Plant corpus"),EXACT(metadata!G259,"Fungus surface"),EXACT(metadata!G259,"Fungus corpus"),EXACT(metadata!G259,"Animal surface"),EXACT(metadata!G259,"Animal proximal gut"),EXACT(metadata!G259,"Animal corpus"),EXACT(metadata!G259,"Animal distal gut"),EXACT(metadata!G259,"Animal secretion")))</f>
        <v>0</v>
      </c>
      <c r="AJ259" t="b">
        <f>OR(AND(IF(metadata!H259="",FALSE,TRUE),OR(EXACT(metadata!H259,"missing: not collected"),EXACT(metadata!H259,"missing: not provided"),EXACT(metadata!H259,"missing: restricted access"))),AND(IF(metadata!H259="",FALSE,TRUE),OR(EXACT(metadata!H259,"organism-associated habitat"),EXACT(metadata!H259,"plant-associated habitat"),EXACT(metadata!H259,"animal-associated habitat"),EXACT(metadata!H259,"insecta-associated habitat"),EXACT(metadata!H259,"mammalia-associated habitat"),EXACT(metadata!H259,"human-associated habitat"),EXACT(metadata!H259,"livestock-associated habitat"))))</f>
        <v>0</v>
      </c>
      <c r="AK259" t="b">
        <f>AND(IF(metadata!I259="",FALSE,TRUE),EXACT(metadata!I259,"host-associated"))</f>
        <v>0</v>
      </c>
      <c r="AL259" t="b">
        <f>OR(AND(IF(metadata!J259="",FALSE,TRUE),OR(EXACT(metadata!J259,"not applicable"),EXACT(metadata!J259,"missing: not collected"),EXACT(metadata!J259,"missing: not provided"),EXACT(metadata!J259,"missing: restricted access"))),AND(IF(metadata!J259="",FALSE,ISNUMBER(VALUE(metadata!J259))),metadata!J259&gt;0))</f>
        <v>0</v>
      </c>
      <c r="AM259" t="b">
        <f>AND(IF(metadata!K259="",FALSE,TRUE),EXACT(metadata!K259,"missing: not provided"))</f>
        <v>0</v>
      </c>
      <c r="AN259" t="b">
        <f>IF(metadata!L259="",FALSE,TRUE)</f>
        <v>0</v>
      </c>
      <c r="AO259" t="b">
        <f>IF(metadata!M259="",FALSE,TRUE)</f>
        <v>0</v>
      </c>
      <c r="AP259" t="b">
        <f>OR(AND(IF(metadata!N259="",FALSE,TRUE),OR(EXACT(metadata!N259,"not applicable"),EXACT(metadata!N259,"missing: not collected"),EXACT(metadata!N259,"missing: not provided"))),AND(IF(metadata!N259="",FALSE,IF(ISERROR(INT(metadata!N259)),FALSE,INT(metadata!N259)=metadata!N259)),metadata!N259&gt;0))</f>
        <v>0</v>
      </c>
      <c r="AQ259" t="b">
        <f>AND(IF(metadata!O259="",FALSE,TRUE),EXACT(metadata!O259,"Not applicable"))</f>
        <v>0</v>
      </c>
      <c r="AR259" t="b">
        <f>OR(AND(IF(metadata!P259="",FALSE,TRUE),OR(EXACT(metadata!P259,"not applicable"),EXACT(metadata!P259,"missing: not collected"),EXACT(metadata!P259,"missing: not provided"),EXACT(metadata!P259,"missing: restricted access"))),IF(metadata!P259="",FALSE,IF(ISERROR(INT(metadata!P259)),FALSE,INT(metadata!P259)=metadata!P259)))</f>
        <v>0</v>
      </c>
      <c r="AS259" t="b">
        <f>AND(IF(metadata!Q259="",FALSE,TRUE),EXACT(metadata!Q259,"Not applicable"))</f>
        <v>0</v>
      </c>
      <c r="AT259" t="b">
        <f>OR(AND(IF(metadata!R259="",FALSE,TRUE),OR(EXACT(metadata!R259,"not applicable"),EXACT(metadata!R259,"missing: not collected"),EXACT(metadata!R259,"missing: not provided"),EXACT(metadata!R259,"missing: restricted access"))),AND(IF(metadata!R259="",FALSE,ISNUMBER(VALUE(metadata!R259))),metadata!R259&gt;0))</f>
        <v>0</v>
      </c>
      <c r="AU259" t="b">
        <f>AND(IF(metadata!S259="",FALSE,TRUE),EXACT(metadata!S259,"missing: not provided"))</f>
        <v>0</v>
      </c>
    </row>
    <row r="260" spans="1:47" x14ac:dyDescent="0.2">
      <c r="A260" s="5" t="str">
        <f ca="1">IF(B260=" "," ",HYPERLINK(CONCATENATE("#metadata!",ADDRESS(INDEX($Y$2:$Y$1001,MATCH(ROWS($W$2:W260),$W$2:$W$1001,0),0),1)),INDEX($AB$2:$AB$1001,MATCH(ROWS($W$2:W260),$W$2:$W$1001,0),0)))</f>
        <v xml:space="preserve"> </v>
      </c>
      <c r="B260" s="4" t="str">
        <f ca="1">IF(OR(INDEX($X$2:$X$1001,MATCH(ROWS($W$2:W260),$W$2:$W$1001,0),1)&gt;=100000,INDEX($AD$1005:$AU$1005,1,MATCH(COLUMNS($AD$1006:AD1006),$AD$1006:$AU$1006,0))&gt;=100000), " ",IF(INDEX($AD$2:$AU$1001,MATCH(ROWS($W$2:W260),$W$2:$W$1001,0),MATCH(COLUMNS($AD$1006:AD1006),$AD$1006:$AU$1006,0)), HYPERLINK("#",""), HYPERLINK(CONCATENATE("#metadata!", ADDRESS(INDEX($Y$2:$Y$1001,MATCH(ROWS($W$2:W260),$W$2:$W$1001,0),0), INDEX($AD$1004:$AU$1004,1,MATCH(COLUMNS($AD$1006:AD1006),$AD$1006:$AU$1006,0)))),"Fix")))</f>
        <v xml:space="preserve"> </v>
      </c>
      <c r="C260" s="4" t="str">
        <f ca="1">IF(OR(INDEX($X$2:$X$1001,MATCH(ROWS($W$2:W260),$W$2:$W$1001,0),1)&gt;=100000,INDEX($AD$1005:$AU$1005,1,MATCH(COLUMNS($AD$1006:AE1006),$AD$1006:$AU$1006,0))&gt;=100000), " ",IF(INDEX($AD$2:$AU$1001,MATCH(ROWS($W$2:W260),$W$2:$W$1001,0),MATCH(COLUMNS($AD$1006:AE1006),$AD$1006:$AU$1006,0)), HYPERLINK("#",""), HYPERLINK(CONCATENATE("#metadata!", ADDRESS(INDEX($Y$2:$Y$1001,MATCH(ROWS($W$2:W260),$W$2:$W$1001,0),0), INDEX($AD$1004:$AU$1004,1,MATCH(COLUMNS($AD$1006:AE1006),$AD$1006:$AU$1006,0)))),"Fix")))</f>
        <v xml:space="preserve"> </v>
      </c>
      <c r="D260" s="4" t="str">
        <f ca="1">IF(OR(INDEX($X$2:$X$1001,MATCH(ROWS($W$2:W260),$W$2:$W$1001,0),1)&gt;=100000,INDEX($AD$1005:$AU$1005,1,MATCH(COLUMNS($AD$1006:AF1006),$AD$1006:$AU$1006,0))&gt;=100000), " ",IF(INDEX($AD$2:$AU$1001,MATCH(ROWS($W$2:W260),$W$2:$W$1001,0),MATCH(COLUMNS($AD$1006:AF1006),$AD$1006:$AU$1006,0)), HYPERLINK("#",""), HYPERLINK(CONCATENATE("#metadata!", ADDRESS(INDEX($Y$2:$Y$1001,MATCH(ROWS($W$2:W260),$W$2:$W$1001,0),0), INDEX($AD$1004:$AU$1004,1,MATCH(COLUMNS($AD$1006:AF1006),$AD$1006:$AU$1006,0)))),"Fix")))</f>
        <v xml:space="preserve"> </v>
      </c>
      <c r="E260" s="4" t="str">
        <f ca="1">IF(OR(INDEX($X$2:$X$1001,MATCH(ROWS($W$2:W260),$W$2:$W$1001,0),1)&gt;=100000,INDEX($AD$1005:$AU$1005,1,MATCH(COLUMNS($AD$1006:AG1006),$AD$1006:$AU$1006,0))&gt;=100000), " ",IF(INDEX($AD$2:$AU$1001,MATCH(ROWS($W$2:W260),$W$2:$W$1001,0),MATCH(COLUMNS($AD$1006:AG1006),$AD$1006:$AU$1006,0)), HYPERLINK("#",""), HYPERLINK(CONCATENATE("#metadata!", ADDRESS(INDEX($Y$2:$Y$1001,MATCH(ROWS($W$2:W260),$W$2:$W$1001,0),0), INDEX($AD$1004:$AU$1004,1,MATCH(COLUMNS($AD$1006:AG1006),$AD$1006:$AU$1006,0)))),"Fix")))</f>
        <v xml:space="preserve"> </v>
      </c>
      <c r="F260" s="4" t="str">
        <f ca="1">IF(OR(INDEX($X$2:$X$1001,MATCH(ROWS($W$2:W260),$W$2:$W$1001,0),1)&gt;=100000,INDEX($AD$1005:$AU$1005,1,MATCH(COLUMNS($AD$1006:AH1006),$AD$1006:$AU$1006,0))&gt;=100000), " ",IF(INDEX($AD$2:$AU$1001,MATCH(ROWS($W$2:W260),$W$2:$W$1001,0),MATCH(COLUMNS($AD$1006:AH1006),$AD$1006:$AU$1006,0)), HYPERLINK("#",""), HYPERLINK(CONCATENATE("#metadata!", ADDRESS(INDEX($Y$2:$Y$1001,MATCH(ROWS($W$2:W260),$W$2:$W$1001,0),0), INDEX($AD$1004:$AU$1004,1,MATCH(COLUMNS($AD$1006:AH1006),$AD$1006:$AU$1006,0)))),"Fix")))</f>
        <v xml:space="preserve"> </v>
      </c>
      <c r="G260" s="4" t="str">
        <f ca="1">IF(OR(INDEX($X$2:$X$1001,MATCH(ROWS($W$2:W260),$W$2:$W$1001,0),1)&gt;=100000,INDEX($AD$1005:$AU$1005,1,MATCH(COLUMNS($AD$1006:AI1006),$AD$1006:$AU$1006,0))&gt;=100000), " ",IF(INDEX($AD$2:$AU$1001,MATCH(ROWS($W$2:W260),$W$2:$W$1001,0),MATCH(COLUMNS($AD$1006:AI1006),$AD$1006:$AU$1006,0)), HYPERLINK("#",""), HYPERLINK(CONCATENATE("#metadata!", ADDRESS(INDEX($Y$2:$Y$1001,MATCH(ROWS($W$2:W260),$W$2:$W$1001,0),0), INDEX($AD$1004:$AU$1004,1,MATCH(COLUMNS($AD$1006:AI1006),$AD$1006:$AU$1006,0)))),"Fix")))</f>
        <v xml:space="preserve"> </v>
      </c>
      <c r="H260" s="4" t="str">
        <f ca="1">IF(OR(INDEX($X$2:$X$1001,MATCH(ROWS($W$2:W260),$W$2:$W$1001,0),1)&gt;=100000,INDEX($AD$1005:$AU$1005,1,MATCH(COLUMNS($AD$1006:AJ1006),$AD$1006:$AU$1006,0))&gt;=100000), " ",IF(INDEX($AD$2:$AU$1001,MATCH(ROWS($W$2:W260),$W$2:$W$1001,0),MATCH(COLUMNS($AD$1006:AJ1006),$AD$1006:$AU$1006,0)), HYPERLINK("#",""), HYPERLINK(CONCATENATE("#metadata!", ADDRESS(INDEX($Y$2:$Y$1001,MATCH(ROWS($W$2:W260),$W$2:$W$1001,0),0), INDEX($AD$1004:$AU$1004,1,MATCH(COLUMNS($AD$1006:AJ1006),$AD$1006:$AU$1006,0)))),"Fix")))</f>
        <v xml:space="preserve"> </v>
      </c>
      <c r="I260" s="4" t="str">
        <f ca="1">IF(OR(INDEX($X$2:$X$1001,MATCH(ROWS($W$2:W260),$W$2:$W$1001,0),1)&gt;=100000,INDEX($AD$1005:$AU$1005,1,MATCH(COLUMNS($AD$1006:AK1006),$AD$1006:$AU$1006,0))&gt;=100000), " ",IF(INDEX($AD$2:$AU$1001,MATCH(ROWS($W$2:W260),$W$2:$W$1001,0),MATCH(COLUMNS($AD$1006:AK1006),$AD$1006:$AU$1006,0)), HYPERLINK("#",""), HYPERLINK(CONCATENATE("#metadata!", ADDRESS(INDEX($Y$2:$Y$1001,MATCH(ROWS($W$2:W260),$W$2:$W$1001,0),0), INDEX($AD$1004:$AU$1004,1,MATCH(COLUMNS($AD$1006:AK1006),$AD$1006:$AU$1006,0)))),"Fix")))</f>
        <v xml:space="preserve"> </v>
      </c>
      <c r="J260" s="4" t="str">
        <f ca="1">IF(OR(INDEX($X$2:$X$1001,MATCH(ROWS($W$2:W260),$W$2:$W$1001,0),1)&gt;=100000,INDEX($AD$1005:$AU$1005,1,MATCH(COLUMNS($AD$1006:AL1006),$AD$1006:$AU$1006,0))&gt;=100000), " ",IF(INDEX($AD$2:$AU$1001,MATCH(ROWS($W$2:W260),$W$2:$W$1001,0),MATCH(COLUMNS($AD$1006:AL1006),$AD$1006:$AU$1006,0)), HYPERLINK("#",""), HYPERLINK(CONCATENATE("#metadata!", ADDRESS(INDEX($Y$2:$Y$1001,MATCH(ROWS($W$2:W260),$W$2:$W$1001,0),0), INDEX($AD$1004:$AU$1004,1,MATCH(COLUMNS($AD$1006:AL1006),$AD$1006:$AU$1006,0)))),"Fix")))</f>
        <v xml:space="preserve"> </v>
      </c>
      <c r="K260" s="4" t="str">
        <f ca="1">IF(OR(INDEX($X$2:$X$1001,MATCH(ROWS($W$2:W260),$W$2:$W$1001,0),1)&gt;=100000,INDEX($AD$1005:$AU$1005,1,MATCH(COLUMNS($AD$1006:AM1006),$AD$1006:$AU$1006,0))&gt;=100000), " ",IF(INDEX($AD$2:$AU$1001,MATCH(ROWS($W$2:W260),$W$2:$W$1001,0),MATCH(COLUMNS($AD$1006:AM1006),$AD$1006:$AU$1006,0)), HYPERLINK("#",""), HYPERLINK(CONCATENATE("#metadata!", ADDRESS(INDEX($Y$2:$Y$1001,MATCH(ROWS($W$2:W260),$W$2:$W$1001,0),0), INDEX($AD$1004:$AU$1004,1,MATCH(COLUMNS($AD$1006:AM1006),$AD$1006:$AU$1006,0)))),"Fix")))</f>
        <v xml:space="preserve"> </v>
      </c>
      <c r="L260" s="4" t="str">
        <f ca="1">IF(OR(INDEX($X$2:$X$1001,MATCH(ROWS($W$2:W260),$W$2:$W$1001,0),1)&gt;=100000,INDEX($AD$1005:$AU$1005,1,MATCH(COLUMNS($AD$1006:AN1006),$AD$1006:$AU$1006,0))&gt;=100000), " ",IF(INDEX($AD$2:$AU$1001,MATCH(ROWS($W$2:W260),$W$2:$W$1001,0),MATCH(COLUMNS($AD$1006:AN1006),$AD$1006:$AU$1006,0)), HYPERLINK("#",""), HYPERLINK(CONCATENATE("#metadata!", ADDRESS(INDEX($Y$2:$Y$1001,MATCH(ROWS($W$2:W260),$W$2:$W$1001,0),0), INDEX($AD$1004:$AU$1004,1,MATCH(COLUMNS($AD$1006:AN1006),$AD$1006:$AU$1006,0)))),"Fix")))</f>
        <v xml:space="preserve"> </v>
      </c>
      <c r="M260" s="4" t="str">
        <f ca="1">IF(OR(INDEX($X$2:$X$1001,MATCH(ROWS($W$2:W260),$W$2:$W$1001,0),1)&gt;=100000,INDEX($AD$1005:$AU$1005,1,MATCH(COLUMNS($AD$1006:AO1006),$AD$1006:$AU$1006,0))&gt;=100000), " ",IF(INDEX($AD$2:$AU$1001,MATCH(ROWS($W$2:W260),$W$2:$W$1001,0),MATCH(COLUMNS($AD$1006:AO1006),$AD$1006:$AU$1006,0)), HYPERLINK("#",""), HYPERLINK(CONCATENATE("#metadata!", ADDRESS(INDEX($Y$2:$Y$1001,MATCH(ROWS($W$2:W260),$W$2:$W$1001,0),0), INDEX($AD$1004:$AU$1004,1,MATCH(COLUMNS($AD$1006:AO1006),$AD$1006:$AU$1006,0)))),"Fix")))</f>
        <v xml:space="preserve"> </v>
      </c>
      <c r="N260" s="4" t="str">
        <f ca="1">IF(OR(INDEX($X$2:$X$1001,MATCH(ROWS($W$2:W260),$W$2:$W$1001,0),1)&gt;=100000,INDEX($AD$1005:$AU$1005,1,MATCH(COLUMNS($AD$1006:AP1006),$AD$1006:$AU$1006,0))&gt;=100000), " ",IF(INDEX($AD$2:$AU$1001,MATCH(ROWS($W$2:W260),$W$2:$W$1001,0),MATCH(COLUMNS($AD$1006:AP1006),$AD$1006:$AU$1006,0)), HYPERLINK("#",""), HYPERLINK(CONCATENATE("#metadata!", ADDRESS(INDEX($Y$2:$Y$1001,MATCH(ROWS($W$2:W260),$W$2:$W$1001,0),0), INDEX($AD$1004:$AU$1004,1,MATCH(COLUMNS($AD$1006:AP1006),$AD$1006:$AU$1006,0)))),"Fix")))</f>
        <v xml:space="preserve"> </v>
      </c>
      <c r="O260" s="4" t="str">
        <f ca="1">IF(OR(INDEX($X$2:$X$1001,MATCH(ROWS($W$2:W260),$W$2:$W$1001,0),1)&gt;=100000,INDEX($AD$1005:$AU$1005,1,MATCH(COLUMNS($AD$1006:AQ1006),$AD$1006:$AU$1006,0))&gt;=100000), " ",IF(INDEX($AD$2:$AU$1001,MATCH(ROWS($W$2:W260),$W$2:$W$1001,0),MATCH(COLUMNS($AD$1006:AQ1006),$AD$1006:$AU$1006,0)), HYPERLINK("#",""), HYPERLINK(CONCATENATE("#metadata!", ADDRESS(INDEX($Y$2:$Y$1001,MATCH(ROWS($W$2:W260),$W$2:$W$1001,0),0), INDEX($AD$1004:$AU$1004,1,MATCH(COLUMNS($AD$1006:AQ1006),$AD$1006:$AU$1006,0)))),"Fix")))</f>
        <v xml:space="preserve"> </v>
      </c>
      <c r="P260" s="4" t="str">
        <f ca="1">IF(OR(INDEX($X$2:$X$1001,MATCH(ROWS($W$2:W260),$W$2:$W$1001,0),1)&gt;=100000,INDEX($AD$1005:$AU$1005,1,MATCH(COLUMNS($AD$1006:AR1006),$AD$1006:$AU$1006,0))&gt;=100000), " ",IF(INDEX($AD$2:$AU$1001,MATCH(ROWS($W$2:W260),$W$2:$W$1001,0),MATCH(COLUMNS($AD$1006:AR1006),$AD$1006:$AU$1006,0)), HYPERLINK("#",""), HYPERLINK(CONCATENATE("#metadata!", ADDRESS(INDEX($Y$2:$Y$1001,MATCH(ROWS($W$2:W260),$W$2:$W$1001,0),0), INDEX($AD$1004:$AU$1004,1,MATCH(COLUMNS($AD$1006:AR1006),$AD$1006:$AU$1006,0)))),"Fix")))</f>
        <v xml:space="preserve"> </v>
      </c>
      <c r="Q260" s="4" t="str">
        <f ca="1">IF(OR(INDEX($X$2:$X$1001,MATCH(ROWS($W$2:W260),$W$2:$W$1001,0),1)&gt;=100000,INDEX($AD$1005:$AU$1005,1,MATCH(COLUMNS($AD$1006:AS1006),$AD$1006:$AU$1006,0))&gt;=100000), " ",IF(INDEX($AD$2:$AU$1001,MATCH(ROWS($W$2:W260),$W$2:$W$1001,0),MATCH(COLUMNS($AD$1006:AS1006),$AD$1006:$AU$1006,0)), HYPERLINK("#",""), HYPERLINK(CONCATENATE("#metadata!", ADDRESS(INDEX($Y$2:$Y$1001,MATCH(ROWS($W$2:W260),$W$2:$W$1001,0),0), INDEX($AD$1004:$AU$1004,1,MATCH(COLUMNS($AD$1006:AS1006),$AD$1006:$AU$1006,0)))),"Fix")))</f>
        <v xml:space="preserve"> </v>
      </c>
      <c r="R260" s="4" t="str">
        <f ca="1">IF(OR(INDEX($X$2:$X$1001,MATCH(ROWS($W$2:W260),$W$2:$W$1001,0),1)&gt;=100000,INDEX($AD$1005:$AU$1005,1,MATCH(COLUMNS($AD$1006:AT1006),$AD$1006:$AU$1006,0))&gt;=100000), " ",IF(INDEX($AD$2:$AU$1001,MATCH(ROWS($W$2:W260),$W$2:$W$1001,0),MATCH(COLUMNS($AD$1006:AT1006),$AD$1006:$AU$1006,0)), HYPERLINK("#",""), HYPERLINK(CONCATENATE("#metadata!", ADDRESS(INDEX($Y$2:$Y$1001,MATCH(ROWS($W$2:W260),$W$2:$W$1001,0),0), INDEX($AD$1004:$AU$1004,1,MATCH(COLUMNS($AD$1006:AT1006),$AD$1006:$AU$1006,0)))),"Fix")))</f>
        <v xml:space="preserve"> </v>
      </c>
      <c r="S260" s="4" t="str">
        <f ca="1">IF(OR(INDEX($X$2:$X$1001,MATCH(ROWS($W$2:W260),$W$2:$W$1001,0),1)&gt;=100000,INDEX($AD$1005:$AU$1005,1,MATCH(COLUMNS($AD$1006:AU1006),$AD$1006:$AU$1006,0))&gt;=100000), " ",IF(INDEX($AD$2:$AU$1001,MATCH(ROWS($W$2:W260),$W$2:$W$1001,0),MATCH(COLUMNS($AD$1006:AU1006),$AD$1006:$AU$1006,0)), HYPERLINK("#",""), HYPERLINK(CONCATENATE("#metadata!", ADDRESS(INDEX($Y$2:$Y$1001,MATCH(ROWS($W$2:W260),$W$2:$W$1001,0),0), INDEX($AD$1004:$AU$1004,1,MATCH(COLUMNS($AD$1006:AU1006),$AD$1006:$AU$1006,0)))),"Fix")))</f>
        <v xml:space="preserve"> </v>
      </c>
      <c r="W260">
        <v>259</v>
      </c>
      <c r="X260">
        <v>100260</v>
      </c>
      <c r="Y260">
        <v>260</v>
      </c>
      <c r="Z260" t="b">
        <f t="shared" si="4"/>
        <v>1</v>
      </c>
      <c r="AA260" t="b">
        <f>COUNTBLANK(metadata!B260:S260)=COLUMNS(metadata!B260:S260)</f>
        <v>1</v>
      </c>
      <c r="AB260" t="str">
        <v/>
      </c>
      <c r="AD260" t="b">
        <f ca="1">AND(IF(metadata!B260="",FALSE,TRUE),COUNTIF(metadata!B:B, metadata!B260) = 1,NOT(ISERROR(SUMPRODUCT(SEARCH(MID(metadata!B260,ROW(INDIRECT("1:"&amp;LEN(metadata!B260))), 1),"0123456789abcdefghijklmnopqrstuvwxyzABCDEFGHIJKLMNOPQRSTUVWXYZ.")))))</f>
        <v>0</v>
      </c>
      <c r="AE260" t="b">
        <f>OR(AND(IF(metadata!C260="",FALSE,TRUE),OR(EXACT(metadata!C260,"not applicable"),EXACT(metadata!C260,"missing: not collected"),EXACT(metadata!C260,"missing: not provided"),EXACT(metadata!C260,"missing: restricted access"))),AND(IF(metadata!C260="",FALSE,ISNUMBER(VALUE(metadata!C260))),metadata!C260&gt;0))</f>
        <v>0</v>
      </c>
      <c r="AF260" t="b">
        <f>AND(IF(metadata!D260="",FALSE,TRUE),EXACT(metadata!D260,"missing: not provided"))</f>
        <v>0</v>
      </c>
      <c r="AG260" t="b">
        <f>AND(IF(metadata!E260="",FALSE,TRUE),EXACT(metadata!E260,"Host-associated"))</f>
        <v>0</v>
      </c>
      <c r="AH260" t="b">
        <f>AND(IF(metadata!F260="",FALSE,TRUE),OR(EXACT(metadata!F260,"Animal"),EXACT(metadata!F260,"Fungus"),EXACT(metadata!F260,"Plant")))</f>
        <v>0</v>
      </c>
      <c r="AI260" t="b">
        <f>AND(IF(metadata!G260="",FALSE,TRUE),OR(EXACT(metadata!G260,"Plant secretion"),EXACT(metadata!G260,"Plant rhizosphere"),EXACT(metadata!G260,"Plant surface"),EXACT(metadata!G260,"Plant corpus"),EXACT(metadata!G260,"Fungus surface"),EXACT(metadata!G260,"Fungus corpus"),EXACT(metadata!G260,"Animal surface"),EXACT(metadata!G260,"Animal proximal gut"),EXACT(metadata!G260,"Animal corpus"),EXACT(metadata!G260,"Animal distal gut"),EXACT(metadata!G260,"Animal secretion")))</f>
        <v>0</v>
      </c>
      <c r="AJ260" t="b">
        <f>OR(AND(IF(metadata!H260="",FALSE,TRUE),OR(EXACT(metadata!H260,"missing: not collected"),EXACT(metadata!H260,"missing: not provided"),EXACT(metadata!H260,"missing: restricted access"))),AND(IF(metadata!H260="",FALSE,TRUE),OR(EXACT(metadata!H260,"organism-associated habitat"),EXACT(metadata!H260,"plant-associated habitat"),EXACT(metadata!H260,"animal-associated habitat"),EXACT(metadata!H260,"insecta-associated habitat"),EXACT(metadata!H260,"mammalia-associated habitat"),EXACT(metadata!H260,"human-associated habitat"),EXACT(metadata!H260,"livestock-associated habitat"))))</f>
        <v>0</v>
      </c>
      <c r="AK260" t="b">
        <f>AND(IF(metadata!I260="",FALSE,TRUE),EXACT(metadata!I260,"host-associated"))</f>
        <v>0</v>
      </c>
      <c r="AL260" t="b">
        <f>OR(AND(IF(metadata!J260="",FALSE,TRUE),OR(EXACT(metadata!J260,"not applicable"),EXACT(metadata!J260,"missing: not collected"),EXACT(metadata!J260,"missing: not provided"),EXACT(metadata!J260,"missing: restricted access"))),AND(IF(metadata!J260="",FALSE,ISNUMBER(VALUE(metadata!J260))),metadata!J260&gt;0))</f>
        <v>0</v>
      </c>
      <c r="AM260" t="b">
        <f>AND(IF(metadata!K260="",FALSE,TRUE),EXACT(metadata!K260,"missing: not provided"))</f>
        <v>0</v>
      </c>
      <c r="AN260" t="b">
        <f>IF(metadata!L260="",FALSE,TRUE)</f>
        <v>0</v>
      </c>
      <c r="AO260" t="b">
        <f>IF(metadata!M260="",FALSE,TRUE)</f>
        <v>0</v>
      </c>
      <c r="AP260" t="b">
        <f>OR(AND(IF(metadata!N260="",FALSE,TRUE),OR(EXACT(metadata!N260,"not applicable"),EXACT(metadata!N260,"missing: not collected"),EXACT(metadata!N260,"missing: not provided"))),AND(IF(metadata!N260="",FALSE,IF(ISERROR(INT(metadata!N260)),FALSE,INT(metadata!N260)=metadata!N260)),metadata!N260&gt;0))</f>
        <v>0</v>
      </c>
      <c r="AQ260" t="b">
        <f>AND(IF(metadata!O260="",FALSE,TRUE),EXACT(metadata!O260,"Not applicable"))</f>
        <v>0</v>
      </c>
      <c r="AR260" t="b">
        <f>OR(AND(IF(metadata!P260="",FALSE,TRUE),OR(EXACT(metadata!P260,"not applicable"),EXACT(metadata!P260,"missing: not collected"),EXACT(metadata!P260,"missing: not provided"),EXACT(metadata!P260,"missing: restricted access"))),IF(metadata!P260="",FALSE,IF(ISERROR(INT(metadata!P260)),FALSE,INT(metadata!P260)=metadata!P260)))</f>
        <v>0</v>
      </c>
      <c r="AS260" t="b">
        <f>AND(IF(metadata!Q260="",FALSE,TRUE),EXACT(metadata!Q260,"Not applicable"))</f>
        <v>0</v>
      </c>
      <c r="AT260" t="b">
        <f>OR(AND(IF(metadata!R260="",FALSE,TRUE),OR(EXACT(metadata!R260,"not applicable"),EXACT(metadata!R260,"missing: not collected"),EXACT(metadata!R260,"missing: not provided"),EXACT(metadata!R260,"missing: restricted access"))),AND(IF(metadata!R260="",FALSE,ISNUMBER(VALUE(metadata!R260))),metadata!R260&gt;0))</f>
        <v>0</v>
      </c>
      <c r="AU260" t="b">
        <f>AND(IF(metadata!S260="",FALSE,TRUE),EXACT(metadata!S260,"missing: not provided"))</f>
        <v>0</v>
      </c>
    </row>
    <row r="261" spans="1:47" x14ac:dyDescent="0.2">
      <c r="A261" s="5" t="str">
        <f ca="1">IF(B261=" "," ",HYPERLINK(CONCATENATE("#metadata!",ADDRESS(INDEX($Y$2:$Y$1001,MATCH(ROWS($W$2:W261),$W$2:$W$1001,0),0),1)),INDEX($AB$2:$AB$1001,MATCH(ROWS($W$2:W261),$W$2:$W$1001,0),0)))</f>
        <v xml:space="preserve"> </v>
      </c>
      <c r="B261" s="4" t="str">
        <f ca="1">IF(OR(INDEX($X$2:$X$1001,MATCH(ROWS($W$2:W261),$W$2:$W$1001,0),1)&gt;=100000,INDEX($AD$1005:$AU$1005,1,MATCH(COLUMNS($AD$1006:AD1006),$AD$1006:$AU$1006,0))&gt;=100000), " ",IF(INDEX($AD$2:$AU$1001,MATCH(ROWS($W$2:W261),$W$2:$W$1001,0),MATCH(COLUMNS($AD$1006:AD1006),$AD$1006:$AU$1006,0)), HYPERLINK("#",""), HYPERLINK(CONCATENATE("#metadata!", ADDRESS(INDEX($Y$2:$Y$1001,MATCH(ROWS($W$2:W261),$W$2:$W$1001,0),0), INDEX($AD$1004:$AU$1004,1,MATCH(COLUMNS($AD$1006:AD1006),$AD$1006:$AU$1006,0)))),"Fix")))</f>
        <v xml:space="preserve"> </v>
      </c>
      <c r="C261" s="4" t="str">
        <f ca="1">IF(OR(INDEX($X$2:$X$1001,MATCH(ROWS($W$2:W261),$W$2:$W$1001,0),1)&gt;=100000,INDEX($AD$1005:$AU$1005,1,MATCH(COLUMNS($AD$1006:AE1006),$AD$1006:$AU$1006,0))&gt;=100000), " ",IF(INDEX($AD$2:$AU$1001,MATCH(ROWS($W$2:W261),$W$2:$W$1001,0),MATCH(COLUMNS($AD$1006:AE1006),$AD$1006:$AU$1006,0)), HYPERLINK("#",""), HYPERLINK(CONCATENATE("#metadata!", ADDRESS(INDEX($Y$2:$Y$1001,MATCH(ROWS($W$2:W261),$W$2:$W$1001,0),0), INDEX($AD$1004:$AU$1004,1,MATCH(COLUMNS($AD$1006:AE1006),$AD$1006:$AU$1006,0)))),"Fix")))</f>
        <v xml:space="preserve"> </v>
      </c>
      <c r="D261" s="4" t="str">
        <f ca="1">IF(OR(INDEX($X$2:$X$1001,MATCH(ROWS($W$2:W261),$W$2:$W$1001,0),1)&gt;=100000,INDEX($AD$1005:$AU$1005,1,MATCH(COLUMNS($AD$1006:AF1006),$AD$1006:$AU$1006,0))&gt;=100000), " ",IF(INDEX($AD$2:$AU$1001,MATCH(ROWS($W$2:W261),$W$2:$W$1001,0),MATCH(COLUMNS($AD$1006:AF1006),$AD$1006:$AU$1006,0)), HYPERLINK("#",""), HYPERLINK(CONCATENATE("#metadata!", ADDRESS(INDEX($Y$2:$Y$1001,MATCH(ROWS($W$2:W261),$W$2:$W$1001,0),0), INDEX($AD$1004:$AU$1004,1,MATCH(COLUMNS($AD$1006:AF1006),$AD$1006:$AU$1006,0)))),"Fix")))</f>
        <v xml:space="preserve"> </v>
      </c>
      <c r="E261" s="4" t="str">
        <f ca="1">IF(OR(INDEX($X$2:$X$1001,MATCH(ROWS($W$2:W261),$W$2:$W$1001,0),1)&gt;=100000,INDEX($AD$1005:$AU$1005,1,MATCH(COLUMNS($AD$1006:AG1006),$AD$1006:$AU$1006,0))&gt;=100000), " ",IF(INDEX($AD$2:$AU$1001,MATCH(ROWS($W$2:W261),$W$2:$W$1001,0),MATCH(COLUMNS($AD$1006:AG1006),$AD$1006:$AU$1006,0)), HYPERLINK("#",""), HYPERLINK(CONCATENATE("#metadata!", ADDRESS(INDEX($Y$2:$Y$1001,MATCH(ROWS($W$2:W261),$W$2:$W$1001,0),0), INDEX($AD$1004:$AU$1004,1,MATCH(COLUMNS($AD$1006:AG1006),$AD$1006:$AU$1006,0)))),"Fix")))</f>
        <v xml:space="preserve"> </v>
      </c>
      <c r="F261" s="4" t="str">
        <f ca="1">IF(OR(INDEX($X$2:$X$1001,MATCH(ROWS($W$2:W261),$W$2:$W$1001,0),1)&gt;=100000,INDEX($AD$1005:$AU$1005,1,MATCH(COLUMNS($AD$1006:AH1006),$AD$1006:$AU$1006,0))&gt;=100000), " ",IF(INDEX($AD$2:$AU$1001,MATCH(ROWS($W$2:W261),$W$2:$W$1001,0),MATCH(COLUMNS($AD$1006:AH1006),$AD$1006:$AU$1006,0)), HYPERLINK("#",""), HYPERLINK(CONCATENATE("#metadata!", ADDRESS(INDEX($Y$2:$Y$1001,MATCH(ROWS($W$2:W261),$W$2:$W$1001,0),0), INDEX($AD$1004:$AU$1004,1,MATCH(COLUMNS($AD$1006:AH1006),$AD$1006:$AU$1006,0)))),"Fix")))</f>
        <v xml:space="preserve"> </v>
      </c>
      <c r="G261" s="4" t="str">
        <f ca="1">IF(OR(INDEX($X$2:$X$1001,MATCH(ROWS($W$2:W261),$W$2:$W$1001,0),1)&gt;=100000,INDEX($AD$1005:$AU$1005,1,MATCH(COLUMNS($AD$1006:AI1006),$AD$1006:$AU$1006,0))&gt;=100000), " ",IF(INDEX($AD$2:$AU$1001,MATCH(ROWS($W$2:W261),$W$2:$W$1001,0),MATCH(COLUMNS($AD$1006:AI1006),$AD$1006:$AU$1006,0)), HYPERLINK("#",""), HYPERLINK(CONCATENATE("#metadata!", ADDRESS(INDEX($Y$2:$Y$1001,MATCH(ROWS($W$2:W261),$W$2:$W$1001,0),0), INDEX($AD$1004:$AU$1004,1,MATCH(COLUMNS($AD$1006:AI1006),$AD$1006:$AU$1006,0)))),"Fix")))</f>
        <v xml:space="preserve"> </v>
      </c>
      <c r="H261" s="4" t="str">
        <f ca="1">IF(OR(INDEX($X$2:$X$1001,MATCH(ROWS($W$2:W261),$W$2:$W$1001,0),1)&gt;=100000,INDEX($AD$1005:$AU$1005,1,MATCH(COLUMNS($AD$1006:AJ1006),$AD$1006:$AU$1006,0))&gt;=100000), " ",IF(INDEX($AD$2:$AU$1001,MATCH(ROWS($W$2:W261),$W$2:$W$1001,0),MATCH(COLUMNS($AD$1006:AJ1006),$AD$1006:$AU$1006,0)), HYPERLINK("#",""), HYPERLINK(CONCATENATE("#metadata!", ADDRESS(INDEX($Y$2:$Y$1001,MATCH(ROWS($W$2:W261),$W$2:$W$1001,0),0), INDEX($AD$1004:$AU$1004,1,MATCH(COLUMNS($AD$1006:AJ1006),$AD$1006:$AU$1006,0)))),"Fix")))</f>
        <v xml:space="preserve"> </v>
      </c>
      <c r="I261" s="4" t="str">
        <f ca="1">IF(OR(INDEX($X$2:$X$1001,MATCH(ROWS($W$2:W261),$W$2:$W$1001,0),1)&gt;=100000,INDEX($AD$1005:$AU$1005,1,MATCH(COLUMNS($AD$1006:AK1006),$AD$1006:$AU$1006,0))&gt;=100000), " ",IF(INDEX($AD$2:$AU$1001,MATCH(ROWS($W$2:W261),$W$2:$W$1001,0),MATCH(COLUMNS($AD$1006:AK1006),$AD$1006:$AU$1006,0)), HYPERLINK("#",""), HYPERLINK(CONCATENATE("#metadata!", ADDRESS(INDEX($Y$2:$Y$1001,MATCH(ROWS($W$2:W261),$W$2:$W$1001,0),0), INDEX($AD$1004:$AU$1004,1,MATCH(COLUMNS($AD$1006:AK1006),$AD$1006:$AU$1006,0)))),"Fix")))</f>
        <v xml:space="preserve"> </v>
      </c>
      <c r="J261" s="4" t="str">
        <f ca="1">IF(OR(INDEX($X$2:$X$1001,MATCH(ROWS($W$2:W261),$W$2:$W$1001,0),1)&gt;=100000,INDEX($AD$1005:$AU$1005,1,MATCH(COLUMNS($AD$1006:AL1006),$AD$1006:$AU$1006,0))&gt;=100000), " ",IF(INDEX($AD$2:$AU$1001,MATCH(ROWS($W$2:W261),$W$2:$W$1001,0),MATCH(COLUMNS($AD$1006:AL1006),$AD$1006:$AU$1006,0)), HYPERLINK("#",""), HYPERLINK(CONCATENATE("#metadata!", ADDRESS(INDEX($Y$2:$Y$1001,MATCH(ROWS($W$2:W261),$W$2:$W$1001,0),0), INDEX($AD$1004:$AU$1004,1,MATCH(COLUMNS($AD$1006:AL1006),$AD$1006:$AU$1006,0)))),"Fix")))</f>
        <v xml:space="preserve"> </v>
      </c>
      <c r="K261" s="4" t="str">
        <f ca="1">IF(OR(INDEX($X$2:$X$1001,MATCH(ROWS($W$2:W261),$W$2:$W$1001,0),1)&gt;=100000,INDEX($AD$1005:$AU$1005,1,MATCH(COLUMNS($AD$1006:AM1006),$AD$1006:$AU$1006,0))&gt;=100000), " ",IF(INDEX($AD$2:$AU$1001,MATCH(ROWS($W$2:W261),$W$2:$W$1001,0),MATCH(COLUMNS($AD$1006:AM1006),$AD$1006:$AU$1006,0)), HYPERLINK("#",""), HYPERLINK(CONCATENATE("#metadata!", ADDRESS(INDEX($Y$2:$Y$1001,MATCH(ROWS($W$2:W261),$W$2:$W$1001,0),0), INDEX($AD$1004:$AU$1004,1,MATCH(COLUMNS($AD$1006:AM1006),$AD$1006:$AU$1006,0)))),"Fix")))</f>
        <v xml:space="preserve"> </v>
      </c>
      <c r="L261" s="4" t="str">
        <f ca="1">IF(OR(INDEX($X$2:$X$1001,MATCH(ROWS($W$2:W261),$W$2:$W$1001,0),1)&gt;=100000,INDEX($AD$1005:$AU$1005,1,MATCH(COLUMNS($AD$1006:AN1006),$AD$1006:$AU$1006,0))&gt;=100000), " ",IF(INDEX($AD$2:$AU$1001,MATCH(ROWS($W$2:W261),$W$2:$W$1001,0),MATCH(COLUMNS($AD$1006:AN1006),$AD$1006:$AU$1006,0)), HYPERLINK("#",""), HYPERLINK(CONCATENATE("#metadata!", ADDRESS(INDEX($Y$2:$Y$1001,MATCH(ROWS($W$2:W261),$W$2:$W$1001,0),0), INDEX($AD$1004:$AU$1004,1,MATCH(COLUMNS($AD$1006:AN1006),$AD$1006:$AU$1006,0)))),"Fix")))</f>
        <v xml:space="preserve"> </v>
      </c>
      <c r="M261" s="4" t="str">
        <f ca="1">IF(OR(INDEX($X$2:$X$1001,MATCH(ROWS($W$2:W261),$W$2:$W$1001,0),1)&gt;=100000,INDEX($AD$1005:$AU$1005,1,MATCH(COLUMNS($AD$1006:AO1006),$AD$1006:$AU$1006,0))&gt;=100000), " ",IF(INDEX($AD$2:$AU$1001,MATCH(ROWS($W$2:W261),$W$2:$W$1001,0),MATCH(COLUMNS($AD$1006:AO1006),$AD$1006:$AU$1006,0)), HYPERLINK("#",""), HYPERLINK(CONCATENATE("#metadata!", ADDRESS(INDEX($Y$2:$Y$1001,MATCH(ROWS($W$2:W261),$W$2:$W$1001,0),0), INDEX($AD$1004:$AU$1004,1,MATCH(COLUMNS($AD$1006:AO1006),$AD$1006:$AU$1006,0)))),"Fix")))</f>
        <v xml:space="preserve"> </v>
      </c>
      <c r="N261" s="4" t="str">
        <f ca="1">IF(OR(INDEX($X$2:$X$1001,MATCH(ROWS($W$2:W261),$W$2:$W$1001,0),1)&gt;=100000,INDEX($AD$1005:$AU$1005,1,MATCH(COLUMNS($AD$1006:AP1006),$AD$1006:$AU$1006,0))&gt;=100000), " ",IF(INDEX($AD$2:$AU$1001,MATCH(ROWS($W$2:W261),$W$2:$W$1001,0),MATCH(COLUMNS($AD$1006:AP1006),$AD$1006:$AU$1006,0)), HYPERLINK("#",""), HYPERLINK(CONCATENATE("#metadata!", ADDRESS(INDEX($Y$2:$Y$1001,MATCH(ROWS($W$2:W261),$W$2:$W$1001,0),0), INDEX($AD$1004:$AU$1004,1,MATCH(COLUMNS($AD$1006:AP1006),$AD$1006:$AU$1006,0)))),"Fix")))</f>
        <v xml:space="preserve"> </v>
      </c>
      <c r="O261" s="4" t="str">
        <f ca="1">IF(OR(INDEX($X$2:$X$1001,MATCH(ROWS($W$2:W261),$W$2:$W$1001,0),1)&gt;=100000,INDEX($AD$1005:$AU$1005,1,MATCH(COLUMNS($AD$1006:AQ1006),$AD$1006:$AU$1006,0))&gt;=100000), " ",IF(INDEX($AD$2:$AU$1001,MATCH(ROWS($W$2:W261),$W$2:$W$1001,0),MATCH(COLUMNS($AD$1006:AQ1006),$AD$1006:$AU$1006,0)), HYPERLINK("#",""), HYPERLINK(CONCATENATE("#metadata!", ADDRESS(INDEX($Y$2:$Y$1001,MATCH(ROWS($W$2:W261),$W$2:$W$1001,0),0), INDEX($AD$1004:$AU$1004,1,MATCH(COLUMNS($AD$1006:AQ1006),$AD$1006:$AU$1006,0)))),"Fix")))</f>
        <v xml:space="preserve"> </v>
      </c>
      <c r="P261" s="4" t="str">
        <f ca="1">IF(OR(INDEX($X$2:$X$1001,MATCH(ROWS($W$2:W261),$W$2:$W$1001,0),1)&gt;=100000,INDEX($AD$1005:$AU$1005,1,MATCH(COLUMNS($AD$1006:AR1006),$AD$1006:$AU$1006,0))&gt;=100000), " ",IF(INDEX($AD$2:$AU$1001,MATCH(ROWS($W$2:W261),$W$2:$W$1001,0),MATCH(COLUMNS($AD$1006:AR1006),$AD$1006:$AU$1006,0)), HYPERLINK("#",""), HYPERLINK(CONCATENATE("#metadata!", ADDRESS(INDEX($Y$2:$Y$1001,MATCH(ROWS($W$2:W261),$W$2:$W$1001,0),0), INDEX($AD$1004:$AU$1004,1,MATCH(COLUMNS($AD$1006:AR1006),$AD$1006:$AU$1006,0)))),"Fix")))</f>
        <v xml:space="preserve"> </v>
      </c>
      <c r="Q261" s="4" t="str">
        <f ca="1">IF(OR(INDEX($X$2:$X$1001,MATCH(ROWS($W$2:W261),$W$2:$W$1001,0),1)&gt;=100000,INDEX($AD$1005:$AU$1005,1,MATCH(COLUMNS($AD$1006:AS1006),$AD$1006:$AU$1006,0))&gt;=100000), " ",IF(INDEX($AD$2:$AU$1001,MATCH(ROWS($W$2:W261),$W$2:$W$1001,0),MATCH(COLUMNS($AD$1006:AS1006),$AD$1006:$AU$1006,0)), HYPERLINK("#",""), HYPERLINK(CONCATENATE("#metadata!", ADDRESS(INDEX($Y$2:$Y$1001,MATCH(ROWS($W$2:W261),$W$2:$W$1001,0),0), INDEX($AD$1004:$AU$1004,1,MATCH(COLUMNS($AD$1006:AS1006),$AD$1006:$AU$1006,0)))),"Fix")))</f>
        <v xml:space="preserve"> </v>
      </c>
      <c r="R261" s="4" t="str">
        <f ca="1">IF(OR(INDEX($X$2:$X$1001,MATCH(ROWS($W$2:W261),$W$2:$W$1001,0),1)&gt;=100000,INDEX($AD$1005:$AU$1005,1,MATCH(COLUMNS($AD$1006:AT1006),$AD$1006:$AU$1006,0))&gt;=100000), " ",IF(INDEX($AD$2:$AU$1001,MATCH(ROWS($W$2:W261),$W$2:$W$1001,0),MATCH(COLUMNS($AD$1006:AT1006),$AD$1006:$AU$1006,0)), HYPERLINK("#",""), HYPERLINK(CONCATENATE("#metadata!", ADDRESS(INDEX($Y$2:$Y$1001,MATCH(ROWS($W$2:W261),$W$2:$W$1001,0),0), INDEX($AD$1004:$AU$1004,1,MATCH(COLUMNS($AD$1006:AT1006),$AD$1006:$AU$1006,0)))),"Fix")))</f>
        <v xml:space="preserve"> </v>
      </c>
      <c r="S261" s="4" t="str">
        <f ca="1">IF(OR(INDEX($X$2:$X$1001,MATCH(ROWS($W$2:W261),$W$2:$W$1001,0),1)&gt;=100000,INDEX($AD$1005:$AU$1005,1,MATCH(COLUMNS($AD$1006:AU1006),$AD$1006:$AU$1006,0))&gt;=100000), " ",IF(INDEX($AD$2:$AU$1001,MATCH(ROWS($W$2:W261),$W$2:$W$1001,0),MATCH(COLUMNS($AD$1006:AU1006),$AD$1006:$AU$1006,0)), HYPERLINK("#",""), HYPERLINK(CONCATENATE("#metadata!", ADDRESS(INDEX($Y$2:$Y$1001,MATCH(ROWS($W$2:W261),$W$2:$W$1001,0),0), INDEX($AD$1004:$AU$1004,1,MATCH(COLUMNS($AD$1006:AU1006),$AD$1006:$AU$1006,0)))),"Fix")))</f>
        <v xml:space="preserve"> </v>
      </c>
      <c r="W261">
        <v>260</v>
      </c>
      <c r="X261">
        <v>100261</v>
      </c>
      <c r="Y261">
        <v>261</v>
      </c>
      <c r="Z261" t="b">
        <f t="shared" si="4"/>
        <v>1</v>
      </c>
      <c r="AA261" t="b">
        <f>COUNTBLANK(metadata!B261:S261)=COLUMNS(metadata!B261:S261)</f>
        <v>1</v>
      </c>
      <c r="AB261" t="str">
        <v/>
      </c>
      <c r="AD261" t="b">
        <f ca="1">AND(IF(metadata!B261="",FALSE,TRUE),COUNTIF(metadata!B:B, metadata!B261) = 1,NOT(ISERROR(SUMPRODUCT(SEARCH(MID(metadata!B261,ROW(INDIRECT("1:"&amp;LEN(metadata!B261))), 1),"0123456789abcdefghijklmnopqrstuvwxyzABCDEFGHIJKLMNOPQRSTUVWXYZ.")))))</f>
        <v>0</v>
      </c>
      <c r="AE261" t="b">
        <f>OR(AND(IF(metadata!C261="",FALSE,TRUE),OR(EXACT(metadata!C261,"not applicable"),EXACT(metadata!C261,"missing: not collected"),EXACT(metadata!C261,"missing: not provided"),EXACT(metadata!C261,"missing: restricted access"))),AND(IF(metadata!C261="",FALSE,ISNUMBER(VALUE(metadata!C261))),metadata!C261&gt;0))</f>
        <v>0</v>
      </c>
      <c r="AF261" t="b">
        <f>AND(IF(metadata!D261="",FALSE,TRUE),EXACT(metadata!D261,"missing: not provided"))</f>
        <v>0</v>
      </c>
      <c r="AG261" t="b">
        <f>AND(IF(metadata!E261="",FALSE,TRUE),EXACT(metadata!E261,"Host-associated"))</f>
        <v>0</v>
      </c>
      <c r="AH261" t="b">
        <f>AND(IF(metadata!F261="",FALSE,TRUE),OR(EXACT(metadata!F261,"Animal"),EXACT(metadata!F261,"Fungus"),EXACT(metadata!F261,"Plant")))</f>
        <v>0</v>
      </c>
      <c r="AI261" t="b">
        <f>AND(IF(metadata!G261="",FALSE,TRUE),OR(EXACT(metadata!G261,"Plant secretion"),EXACT(metadata!G261,"Plant rhizosphere"),EXACT(metadata!G261,"Plant surface"),EXACT(metadata!G261,"Plant corpus"),EXACT(metadata!G261,"Fungus surface"),EXACT(metadata!G261,"Fungus corpus"),EXACT(metadata!G261,"Animal surface"),EXACT(metadata!G261,"Animal proximal gut"),EXACT(metadata!G261,"Animal corpus"),EXACT(metadata!G261,"Animal distal gut"),EXACT(metadata!G261,"Animal secretion")))</f>
        <v>0</v>
      </c>
      <c r="AJ261" t="b">
        <f>OR(AND(IF(metadata!H261="",FALSE,TRUE),OR(EXACT(metadata!H261,"missing: not collected"),EXACT(metadata!H261,"missing: not provided"),EXACT(metadata!H261,"missing: restricted access"))),AND(IF(metadata!H261="",FALSE,TRUE),OR(EXACT(metadata!H261,"organism-associated habitat"),EXACT(metadata!H261,"plant-associated habitat"),EXACT(metadata!H261,"animal-associated habitat"),EXACT(metadata!H261,"insecta-associated habitat"),EXACT(metadata!H261,"mammalia-associated habitat"),EXACT(metadata!H261,"human-associated habitat"),EXACT(metadata!H261,"livestock-associated habitat"))))</f>
        <v>0</v>
      </c>
      <c r="AK261" t="b">
        <f>AND(IF(metadata!I261="",FALSE,TRUE),EXACT(metadata!I261,"host-associated"))</f>
        <v>0</v>
      </c>
      <c r="AL261" t="b">
        <f>OR(AND(IF(metadata!J261="",FALSE,TRUE),OR(EXACT(metadata!J261,"not applicable"),EXACT(metadata!J261,"missing: not collected"),EXACT(metadata!J261,"missing: not provided"),EXACT(metadata!J261,"missing: restricted access"))),AND(IF(metadata!J261="",FALSE,ISNUMBER(VALUE(metadata!J261))),metadata!J261&gt;0))</f>
        <v>0</v>
      </c>
      <c r="AM261" t="b">
        <f>AND(IF(metadata!K261="",FALSE,TRUE),EXACT(metadata!K261,"missing: not provided"))</f>
        <v>0</v>
      </c>
      <c r="AN261" t="b">
        <f>IF(metadata!L261="",FALSE,TRUE)</f>
        <v>0</v>
      </c>
      <c r="AO261" t="b">
        <f>IF(metadata!M261="",FALSE,TRUE)</f>
        <v>0</v>
      </c>
      <c r="AP261" t="b">
        <f>OR(AND(IF(metadata!N261="",FALSE,TRUE),OR(EXACT(metadata!N261,"not applicable"),EXACT(metadata!N261,"missing: not collected"),EXACT(metadata!N261,"missing: not provided"))),AND(IF(metadata!N261="",FALSE,IF(ISERROR(INT(metadata!N261)),FALSE,INT(metadata!N261)=metadata!N261)),metadata!N261&gt;0))</f>
        <v>0</v>
      </c>
      <c r="AQ261" t="b">
        <f>AND(IF(metadata!O261="",FALSE,TRUE),EXACT(metadata!O261,"Not applicable"))</f>
        <v>0</v>
      </c>
      <c r="AR261" t="b">
        <f>OR(AND(IF(metadata!P261="",FALSE,TRUE),OR(EXACT(metadata!P261,"not applicable"),EXACT(metadata!P261,"missing: not collected"),EXACT(metadata!P261,"missing: not provided"),EXACT(metadata!P261,"missing: restricted access"))),IF(metadata!P261="",FALSE,IF(ISERROR(INT(metadata!P261)),FALSE,INT(metadata!P261)=metadata!P261)))</f>
        <v>0</v>
      </c>
      <c r="AS261" t="b">
        <f>AND(IF(metadata!Q261="",FALSE,TRUE),EXACT(metadata!Q261,"Not applicable"))</f>
        <v>0</v>
      </c>
      <c r="AT261" t="b">
        <f>OR(AND(IF(metadata!R261="",FALSE,TRUE),OR(EXACT(metadata!R261,"not applicable"),EXACT(metadata!R261,"missing: not collected"),EXACT(metadata!R261,"missing: not provided"),EXACT(metadata!R261,"missing: restricted access"))),AND(IF(metadata!R261="",FALSE,ISNUMBER(VALUE(metadata!R261))),metadata!R261&gt;0))</f>
        <v>0</v>
      </c>
      <c r="AU261" t="b">
        <f>AND(IF(metadata!S261="",FALSE,TRUE),EXACT(metadata!S261,"missing: not provided"))</f>
        <v>0</v>
      </c>
    </row>
    <row r="262" spans="1:47" x14ac:dyDescent="0.2">
      <c r="A262" s="5" t="str">
        <f ca="1">IF(B262=" "," ",HYPERLINK(CONCATENATE("#metadata!",ADDRESS(INDEX($Y$2:$Y$1001,MATCH(ROWS($W$2:W262),$W$2:$W$1001,0),0),1)),INDEX($AB$2:$AB$1001,MATCH(ROWS($W$2:W262),$W$2:$W$1001,0),0)))</f>
        <v xml:space="preserve"> </v>
      </c>
      <c r="B262" s="4" t="str">
        <f ca="1">IF(OR(INDEX($X$2:$X$1001,MATCH(ROWS($W$2:W262),$W$2:$W$1001,0),1)&gt;=100000,INDEX($AD$1005:$AU$1005,1,MATCH(COLUMNS($AD$1006:AD1006),$AD$1006:$AU$1006,0))&gt;=100000), " ",IF(INDEX($AD$2:$AU$1001,MATCH(ROWS($W$2:W262),$W$2:$W$1001,0),MATCH(COLUMNS($AD$1006:AD1006),$AD$1006:$AU$1006,0)), HYPERLINK("#",""), HYPERLINK(CONCATENATE("#metadata!", ADDRESS(INDEX($Y$2:$Y$1001,MATCH(ROWS($W$2:W262),$W$2:$W$1001,0),0), INDEX($AD$1004:$AU$1004,1,MATCH(COLUMNS($AD$1006:AD1006),$AD$1006:$AU$1006,0)))),"Fix")))</f>
        <v xml:space="preserve"> </v>
      </c>
      <c r="C262" s="4" t="str">
        <f ca="1">IF(OR(INDEX($X$2:$X$1001,MATCH(ROWS($W$2:W262),$W$2:$W$1001,0),1)&gt;=100000,INDEX($AD$1005:$AU$1005,1,MATCH(COLUMNS($AD$1006:AE1006),$AD$1006:$AU$1006,0))&gt;=100000), " ",IF(INDEX($AD$2:$AU$1001,MATCH(ROWS($W$2:W262),$W$2:$W$1001,0),MATCH(COLUMNS($AD$1006:AE1006),$AD$1006:$AU$1006,0)), HYPERLINK("#",""), HYPERLINK(CONCATENATE("#metadata!", ADDRESS(INDEX($Y$2:$Y$1001,MATCH(ROWS($W$2:W262),$W$2:$W$1001,0),0), INDEX($AD$1004:$AU$1004,1,MATCH(COLUMNS($AD$1006:AE1006),$AD$1006:$AU$1006,0)))),"Fix")))</f>
        <v xml:space="preserve"> </v>
      </c>
      <c r="D262" s="4" t="str">
        <f ca="1">IF(OR(INDEX($X$2:$X$1001,MATCH(ROWS($W$2:W262),$W$2:$W$1001,0),1)&gt;=100000,INDEX($AD$1005:$AU$1005,1,MATCH(COLUMNS($AD$1006:AF1006),$AD$1006:$AU$1006,0))&gt;=100000), " ",IF(INDEX($AD$2:$AU$1001,MATCH(ROWS($W$2:W262),$W$2:$W$1001,0),MATCH(COLUMNS($AD$1006:AF1006),$AD$1006:$AU$1006,0)), HYPERLINK("#",""), HYPERLINK(CONCATENATE("#metadata!", ADDRESS(INDEX($Y$2:$Y$1001,MATCH(ROWS($W$2:W262),$W$2:$W$1001,0),0), INDEX($AD$1004:$AU$1004,1,MATCH(COLUMNS($AD$1006:AF1006),$AD$1006:$AU$1006,0)))),"Fix")))</f>
        <v xml:space="preserve"> </v>
      </c>
      <c r="E262" s="4" t="str">
        <f ca="1">IF(OR(INDEX($X$2:$X$1001,MATCH(ROWS($W$2:W262),$W$2:$W$1001,0),1)&gt;=100000,INDEX($AD$1005:$AU$1005,1,MATCH(COLUMNS($AD$1006:AG1006),$AD$1006:$AU$1006,0))&gt;=100000), " ",IF(INDEX($AD$2:$AU$1001,MATCH(ROWS($W$2:W262),$W$2:$W$1001,0),MATCH(COLUMNS($AD$1006:AG1006),$AD$1006:$AU$1006,0)), HYPERLINK("#",""), HYPERLINK(CONCATENATE("#metadata!", ADDRESS(INDEX($Y$2:$Y$1001,MATCH(ROWS($W$2:W262),$W$2:$W$1001,0),0), INDEX($AD$1004:$AU$1004,1,MATCH(COLUMNS($AD$1006:AG1006),$AD$1006:$AU$1006,0)))),"Fix")))</f>
        <v xml:space="preserve"> </v>
      </c>
      <c r="F262" s="4" t="str">
        <f ca="1">IF(OR(INDEX($X$2:$X$1001,MATCH(ROWS($W$2:W262),$W$2:$W$1001,0),1)&gt;=100000,INDEX($AD$1005:$AU$1005,1,MATCH(COLUMNS($AD$1006:AH1006),$AD$1006:$AU$1006,0))&gt;=100000), " ",IF(INDEX($AD$2:$AU$1001,MATCH(ROWS($W$2:W262),$W$2:$W$1001,0),MATCH(COLUMNS($AD$1006:AH1006),$AD$1006:$AU$1006,0)), HYPERLINK("#",""), HYPERLINK(CONCATENATE("#metadata!", ADDRESS(INDEX($Y$2:$Y$1001,MATCH(ROWS($W$2:W262),$W$2:$W$1001,0),0), INDEX($AD$1004:$AU$1004,1,MATCH(COLUMNS($AD$1006:AH1006),$AD$1006:$AU$1006,0)))),"Fix")))</f>
        <v xml:space="preserve"> </v>
      </c>
      <c r="G262" s="4" t="str">
        <f ca="1">IF(OR(INDEX($X$2:$X$1001,MATCH(ROWS($W$2:W262),$W$2:$W$1001,0),1)&gt;=100000,INDEX($AD$1005:$AU$1005,1,MATCH(COLUMNS($AD$1006:AI1006),$AD$1006:$AU$1006,0))&gt;=100000), " ",IF(INDEX($AD$2:$AU$1001,MATCH(ROWS($W$2:W262),$W$2:$W$1001,0),MATCH(COLUMNS($AD$1006:AI1006),$AD$1006:$AU$1006,0)), HYPERLINK("#",""), HYPERLINK(CONCATENATE("#metadata!", ADDRESS(INDEX($Y$2:$Y$1001,MATCH(ROWS($W$2:W262),$W$2:$W$1001,0),0), INDEX($AD$1004:$AU$1004,1,MATCH(COLUMNS($AD$1006:AI1006),$AD$1006:$AU$1006,0)))),"Fix")))</f>
        <v xml:space="preserve"> </v>
      </c>
      <c r="H262" s="4" t="str">
        <f ca="1">IF(OR(INDEX($X$2:$X$1001,MATCH(ROWS($W$2:W262),$W$2:$W$1001,0),1)&gt;=100000,INDEX($AD$1005:$AU$1005,1,MATCH(COLUMNS($AD$1006:AJ1006),$AD$1006:$AU$1006,0))&gt;=100000), " ",IF(INDEX($AD$2:$AU$1001,MATCH(ROWS($W$2:W262),$W$2:$W$1001,0),MATCH(COLUMNS($AD$1006:AJ1006),$AD$1006:$AU$1006,0)), HYPERLINK("#",""), HYPERLINK(CONCATENATE("#metadata!", ADDRESS(INDEX($Y$2:$Y$1001,MATCH(ROWS($W$2:W262),$W$2:$W$1001,0),0), INDEX($AD$1004:$AU$1004,1,MATCH(COLUMNS($AD$1006:AJ1006),$AD$1006:$AU$1006,0)))),"Fix")))</f>
        <v xml:space="preserve"> </v>
      </c>
      <c r="I262" s="4" t="str">
        <f ca="1">IF(OR(INDEX($X$2:$X$1001,MATCH(ROWS($W$2:W262),$W$2:$W$1001,0),1)&gt;=100000,INDEX($AD$1005:$AU$1005,1,MATCH(COLUMNS($AD$1006:AK1006),$AD$1006:$AU$1006,0))&gt;=100000), " ",IF(INDEX($AD$2:$AU$1001,MATCH(ROWS($W$2:W262),$W$2:$W$1001,0),MATCH(COLUMNS($AD$1006:AK1006),$AD$1006:$AU$1006,0)), HYPERLINK("#",""), HYPERLINK(CONCATENATE("#metadata!", ADDRESS(INDEX($Y$2:$Y$1001,MATCH(ROWS($W$2:W262),$W$2:$W$1001,0),0), INDEX($AD$1004:$AU$1004,1,MATCH(COLUMNS($AD$1006:AK1006),$AD$1006:$AU$1006,0)))),"Fix")))</f>
        <v xml:space="preserve"> </v>
      </c>
      <c r="J262" s="4" t="str">
        <f ca="1">IF(OR(INDEX($X$2:$X$1001,MATCH(ROWS($W$2:W262),$W$2:$W$1001,0),1)&gt;=100000,INDEX($AD$1005:$AU$1005,1,MATCH(COLUMNS($AD$1006:AL1006),$AD$1006:$AU$1006,0))&gt;=100000), " ",IF(INDEX($AD$2:$AU$1001,MATCH(ROWS($W$2:W262),$W$2:$W$1001,0),MATCH(COLUMNS($AD$1006:AL1006),$AD$1006:$AU$1006,0)), HYPERLINK("#",""), HYPERLINK(CONCATENATE("#metadata!", ADDRESS(INDEX($Y$2:$Y$1001,MATCH(ROWS($W$2:W262),$W$2:$W$1001,0),0), INDEX($AD$1004:$AU$1004,1,MATCH(COLUMNS($AD$1006:AL1006),$AD$1006:$AU$1006,0)))),"Fix")))</f>
        <v xml:space="preserve"> </v>
      </c>
      <c r="K262" s="4" t="str">
        <f ca="1">IF(OR(INDEX($X$2:$X$1001,MATCH(ROWS($W$2:W262),$W$2:$W$1001,0),1)&gt;=100000,INDEX($AD$1005:$AU$1005,1,MATCH(COLUMNS($AD$1006:AM1006),$AD$1006:$AU$1006,0))&gt;=100000), " ",IF(INDEX($AD$2:$AU$1001,MATCH(ROWS($W$2:W262),$W$2:$W$1001,0),MATCH(COLUMNS($AD$1006:AM1006),$AD$1006:$AU$1006,0)), HYPERLINK("#",""), HYPERLINK(CONCATENATE("#metadata!", ADDRESS(INDEX($Y$2:$Y$1001,MATCH(ROWS($W$2:W262),$W$2:$W$1001,0),0), INDEX($AD$1004:$AU$1004,1,MATCH(COLUMNS($AD$1006:AM1006),$AD$1006:$AU$1006,0)))),"Fix")))</f>
        <v xml:space="preserve"> </v>
      </c>
      <c r="L262" s="4" t="str">
        <f ca="1">IF(OR(INDEX($X$2:$X$1001,MATCH(ROWS($W$2:W262),$W$2:$W$1001,0),1)&gt;=100000,INDEX($AD$1005:$AU$1005,1,MATCH(COLUMNS($AD$1006:AN1006),$AD$1006:$AU$1006,0))&gt;=100000), " ",IF(INDEX($AD$2:$AU$1001,MATCH(ROWS($W$2:W262),$W$2:$W$1001,0),MATCH(COLUMNS($AD$1006:AN1006),$AD$1006:$AU$1006,0)), HYPERLINK("#",""), HYPERLINK(CONCATENATE("#metadata!", ADDRESS(INDEX($Y$2:$Y$1001,MATCH(ROWS($W$2:W262),$W$2:$W$1001,0),0), INDEX($AD$1004:$AU$1004,1,MATCH(COLUMNS($AD$1006:AN1006),$AD$1006:$AU$1006,0)))),"Fix")))</f>
        <v xml:space="preserve"> </v>
      </c>
      <c r="M262" s="4" t="str">
        <f ca="1">IF(OR(INDEX($X$2:$X$1001,MATCH(ROWS($W$2:W262),$W$2:$W$1001,0),1)&gt;=100000,INDEX($AD$1005:$AU$1005,1,MATCH(COLUMNS($AD$1006:AO1006),$AD$1006:$AU$1006,0))&gt;=100000), " ",IF(INDEX($AD$2:$AU$1001,MATCH(ROWS($W$2:W262),$W$2:$W$1001,0),MATCH(COLUMNS($AD$1006:AO1006),$AD$1006:$AU$1006,0)), HYPERLINK("#",""), HYPERLINK(CONCATENATE("#metadata!", ADDRESS(INDEX($Y$2:$Y$1001,MATCH(ROWS($W$2:W262),$W$2:$W$1001,0),0), INDEX($AD$1004:$AU$1004,1,MATCH(COLUMNS($AD$1006:AO1006),$AD$1006:$AU$1006,0)))),"Fix")))</f>
        <v xml:space="preserve"> </v>
      </c>
      <c r="N262" s="4" t="str">
        <f ca="1">IF(OR(INDEX($X$2:$X$1001,MATCH(ROWS($W$2:W262),$W$2:$W$1001,0),1)&gt;=100000,INDEX($AD$1005:$AU$1005,1,MATCH(COLUMNS($AD$1006:AP1006),$AD$1006:$AU$1006,0))&gt;=100000), " ",IF(INDEX($AD$2:$AU$1001,MATCH(ROWS($W$2:W262),$W$2:$W$1001,0),MATCH(COLUMNS($AD$1006:AP1006),$AD$1006:$AU$1006,0)), HYPERLINK("#",""), HYPERLINK(CONCATENATE("#metadata!", ADDRESS(INDEX($Y$2:$Y$1001,MATCH(ROWS($W$2:W262),$W$2:$W$1001,0),0), INDEX($AD$1004:$AU$1004,1,MATCH(COLUMNS($AD$1006:AP1006),$AD$1006:$AU$1006,0)))),"Fix")))</f>
        <v xml:space="preserve"> </v>
      </c>
      <c r="O262" s="4" t="str">
        <f ca="1">IF(OR(INDEX($X$2:$X$1001,MATCH(ROWS($W$2:W262),$W$2:$W$1001,0),1)&gt;=100000,INDEX($AD$1005:$AU$1005,1,MATCH(COLUMNS($AD$1006:AQ1006),$AD$1006:$AU$1006,0))&gt;=100000), " ",IF(INDEX($AD$2:$AU$1001,MATCH(ROWS($W$2:W262),$W$2:$W$1001,0),MATCH(COLUMNS($AD$1006:AQ1006),$AD$1006:$AU$1006,0)), HYPERLINK("#",""), HYPERLINK(CONCATENATE("#metadata!", ADDRESS(INDEX($Y$2:$Y$1001,MATCH(ROWS($W$2:W262),$W$2:$W$1001,0),0), INDEX($AD$1004:$AU$1004,1,MATCH(COLUMNS($AD$1006:AQ1006),$AD$1006:$AU$1006,0)))),"Fix")))</f>
        <v xml:space="preserve"> </v>
      </c>
      <c r="P262" s="4" t="str">
        <f ca="1">IF(OR(INDEX($X$2:$X$1001,MATCH(ROWS($W$2:W262),$W$2:$W$1001,0),1)&gt;=100000,INDEX($AD$1005:$AU$1005,1,MATCH(COLUMNS($AD$1006:AR1006),$AD$1006:$AU$1006,0))&gt;=100000), " ",IF(INDEX($AD$2:$AU$1001,MATCH(ROWS($W$2:W262),$W$2:$W$1001,0),MATCH(COLUMNS($AD$1006:AR1006),$AD$1006:$AU$1006,0)), HYPERLINK("#",""), HYPERLINK(CONCATENATE("#metadata!", ADDRESS(INDEX($Y$2:$Y$1001,MATCH(ROWS($W$2:W262),$W$2:$W$1001,0),0), INDEX($AD$1004:$AU$1004,1,MATCH(COLUMNS($AD$1006:AR1006),$AD$1006:$AU$1006,0)))),"Fix")))</f>
        <v xml:space="preserve"> </v>
      </c>
      <c r="Q262" s="4" t="str">
        <f ca="1">IF(OR(INDEX($X$2:$X$1001,MATCH(ROWS($W$2:W262),$W$2:$W$1001,0),1)&gt;=100000,INDEX($AD$1005:$AU$1005,1,MATCH(COLUMNS($AD$1006:AS1006),$AD$1006:$AU$1006,0))&gt;=100000), " ",IF(INDEX($AD$2:$AU$1001,MATCH(ROWS($W$2:W262),$W$2:$W$1001,0),MATCH(COLUMNS($AD$1006:AS1006),$AD$1006:$AU$1006,0)), HYPERLINK("#",""), HYPERLINK(CONCATENATE("#metadata!", ADDRESS(INDEX($Y$2:$Y$1001,MATCH(ROWS($W$2:W262),$W$2:$W$1001,0),0), INDEX($AD$1004:$AU$1004,1,MATCH(COLUMNS($AD$1006:AS1006),$AD$1006:$AU$1006,0)))),"Fix")))</f>
        <v xml:space="preserve"> </v>
      </c>
      <c r="R262" s="4" t="str">
        <f ca="1">IF(OR(INDEX($X$2:$X$1001,MATCH(ROWS($W$2:W262),$W$2:$W$1001,0),1)&gt;=100000,INDEX($AD$1005:$AU$1005,1,MATCH(COLUMNS($AD$1006:AT1006),$AD$1006:$AU$1006,0))&gt;=100000), " ",IF(INDEX($AD$2:$AU$1001,MATCH(ROWS($W$2:W262),$W$2:$W$1001,0),MATCH(COLUMNS($AD$1006:AT1006),$AD$1006:$AU$1006,0)), HYPERLINK("#",""), HYPERLINK(CONCATENATE("#metadata!", ADDRESS(INDEX($Y$2:$Y$1001,MATCH(ROWS($W$2:W262),$W$2:$W$1001,0),0), INDEX($AD$1004:$AU$1004,1,MATCH(COLUMNS($AD$1006:AT1006),$AD$1006:$AU$1006,0)))),"Fix")))</f>
        <v xml:space="preserve"> </v>
      </c>
      <c r="S262" s="4" t="str">
        <f ca="1">IF(OR(INDEX($X$2:$X$1001,MATCH(ROWS($W$2:W262),$W$2:$W$1001,0),1)&gt;=100000,INDEX($AD$1005:$AU$1005,1,MATCH(COLUMNS($AD$1006:AU1006),$AD$1006:$AU$1006,0))&gt;=100000), " ",IF(INDEX($AD$2:$AU$1001,MATCH(ROWS($W$2:W262),$W$2:$W$1001,0),MATCH(COLUMNS($AD$1006:AU1006),$AD$1006:$AU$1006,0)), HYPERLINK("#",""), HYPERLINK(CONCATENATE("#metadata!", ADDRESS(INDEX($Y$2:$Y$1001,MATCH(ROWS($W$2:W262),$W$2:$W$1001,0),0), INDEX($AD$1004:$AU$1004,1,MATCH(COLUMNS($AD$1006:AU1006),$AD$1006:$AU$1006,0)))),"Fix")))</f>
        <v xml:space="preserve"> </v>
      </c>
      <c r="W262">
        <v>261</v>
      </c>
      <c r="X262">
        <v>100262</v>
      </c>
      <c r="Y262">
        <v>262</v>
      </c>
      <c r="Z262" t="b">
        <f t="shared" si="4"/>
        <v>1</v>
      </c>
      <c r="AA262" t="b">
        <f>COUNTBLANK(metadata!B262:S262)=COLUMNS(metadata!B262:S262)</f>
        <v>1</v>
      </c>
      <c r="AB262" t="str">
        <v/>
      </c>
      <c r="AD262" t="b">
        <f ca="1">AND(IF(metadata!B262="",FALSE,TRUE),COUNTIF(metadata!B:B, metadata!B262) = 1,NOT(ISERROR(SUMPRODUCT(SEARCH(MID(metadata!B262,ROW(INDIRECT("1:"&amp;LEN(metadata!B262))), 1),"0123456789abcdefghijklmnopqrstuvwxyzABCDEFGHIJKLMNOPQRSTUVWXYZ.")))))</f>
        <v>0</v>
      </c>
      <c r="AE262" t="b">
        <f>OR(AND(IF(metadata!C262="",FALSE,TRUE),OR(EXACT(metadata!C262,"not applicable"),EXACT(metadata!C262,"missing: not collected"),EXACT(metadata!C262,"missing: not provided"),EXACT(metadata!C262,"missing: restricted access"))),AND(IF(metadata!C262="",FALSE,ISNUMBER(VALUE(metadata!C262))),metadata!C262&gt;0))</f>
        <v>0</v>
      </c>
      <c r="AF262" t="b">
        <f>AND(IF(metadata!D262="",FALSE,TRUE),EXACT(metadata!D262,"missing: not provided"))</f>
        <v>0</v>
      </c>
      <c r="AG262" t="b">
        <f>AND(IF(metadata!E262="",FALSE,TRUE),EXACT(metadata!E262,"Host-associated"))</f>
        <v>0</v>
      </c>
      <c r="AH262" t="b">
        <f>AND(IF(metadata!F262="",FALSE,TRUE),OR(EXACT(metadata!F262,"Animal"),EXACT(metadata!F262,"Fungus"),EXACT(metadata!F262,"Plant")))</f>
        <v>0</v>
      </c>
      <c r="AI262" t="b">
        <f>AND(IF(metadata!G262="",FALSE,TRUE),OR(EXACT(metadata!G262,"Plant secretion"),EXACT(metadata!G262,"Plant rhizosphere"),EXACT(metadata!G262,"Plant surface"),EXACT(metadata!G262,"Plant corpus"),EXACT(metadata!G262,"Fungus surface"),EXACT(metadata!G262,"Fungus corpus"),EXACT(metadata!G262,"Animal surface"),EXACT(metadata!G262,"Animal proximal gut"),EXACT(metadata!G262,"Animal corpus"),EXACT(metadata!G262,"Animal distal gut"),EXACT(metadata!G262,"Animal secretion")))</f>
        <v>0</v>
      </c>
      <c r="AJ262" t="b">
        <f>OR(AND(IF(metadata!H262="",FALSE,TRUE),OR(EXACT(metadata!H262,"missing: not collected"),EXACT(metadata!H262,"missing: not provided"),EXACT(metadata!H262,"missing: restricted access"))),AND(IF(metadata!H262="",FALSE,TRUE),OR(EXACT(metadata!H262,"organism-associated habitat"),EXACT(metadata!H262,"plant-associated habitat"),EXACT(metadata!H262,"animal-associated habitat"),EXACT(metadata!H262,"insecta-associated habitat"),EXACT(metadata!H262,"mammalia-associated habitat"),EXACT(metadata!H262,"human-associated habitat"),EXACT(metadata!H262,"livestock-associated habitat"))))</f>
        <v>0</v>
      </c>
      <c r="AK262" t="b">
        <f>AND(IF(metadata!I262="",FALSE,TRUE),EXACT(metadata!I262,"host-associated"))</f>
        <v>0</v>
      </c>
      <c r="AL262" t="b">
        <f>OR(AND(IF(metadata!J262="",FALSE,TRUE),OR(EXACT(metadata!J262,"not applicable"),EXACT(metadata!J262,"missing: not collected"),EXACT(metadata!J262,"missing: not provided"),EXACT(metadata!J262,"missing: restricted access"))),AND(IF(metadata!J262="",FALSE,ISNUMBER(VALUE(metadata!J262))),metadata!J262&gt;0))</f>
        <v>0</v>
      </c>
      <c r="AM262" t="b">
        <f>AND(IF(metadata!K262="",FALSE,TRUE),EXACT(metadata!K262,"missing: not provided"))</f>
        <v>0</v>
      </c>
      <c r="AN262" t="b">
        <f>IF(metadata!L262="",FALSE,TRUE)</f>
        <v>0</v>
      </c>
      <c r="AO262" t="b">
        <f>IF(metadata!M262="",FALSE,TRUE)</f>
        <v>0</v>
      </c>
      <c r="AP262" t="b">
        <f>OR(AND(IF(metadata!N262="",FALSE,TRUE),OR(EXACT(metadata!N262,"not applicable"),EXACT(metadata!N262,"missing: not collected"),EXACT(metadata!N262,"missing: not provided"))),AND(IF(metadata!N262="",FALSE,IF(ISERROR(INT(metadata!N262)),FALSE,INT(metadata!N262)=metadata!N262)),metadata!N262&gt;0))</f>
        <v>0</v>
      </c>
      <c r="AQ262" t="b">
        <f>AND(IF(metadata!O262="",FALSE,TRUE),EXACT(metadata!O262,"Not applicable"))</f>
        <v>0</v>
      </c>
      <c r="AR262" t="b">
        <f>OR(AND(IF(metadata!P262="",FALSE,TRUE),OR(EXACT(metadata!P262,"not applicable"),EXACT(metadata!P262,"missing: not collected"),EXACT(metadata!P262,"missing: not provided"),EXACT(metadata!P262,"missing: restricted access"))),IF(metadata!P262="",FALSE,IF(ISERROR(INT(metadata!P262)),FALSE,INT(metadata!P262)=metadata!P262)))</f>
        <v>0</v>
      </c>
      <c r="AS262" t="b">
        <f>AND(IF(metadata!Q262="",FALSE,TRUE),EXACT(metadata!Q262,"Not applicable"))</f>
        <v>0</v>
      </c>
      <c r="AT262" t="b">
        <f>OR(AND(IF(metadata!R262="",FALSE,TRUE),OR(EXACT(metadata!R262,"not applicable"),EXACT(metadata!R262,"missing: not collected"),EXACT(metadata!R262,"missing: not provided"),EXACT(metadata!R262,"missing: restricted access"))),AND(IF(metadata!R262="",FALSE,ISNUMBER(VALUE(metadata!R262))),metadata!R262&gt;0))</f>
        <v>0</v>
      </c>
      <c r="AU262" t="b">
        <f>AND(IF(metadata!S262="",FALSE,TRUE),EXACT(metadata!S262,"missing: not provided"))</f>
        <v>0</v>
      </c>
    </row>
    <row r="263" spans="1:47" x14ac:dyDescent="0.2">
      <c r="A263" s="5" t="str">
        <f ca="1">IF(B263=" "," ",HYPERLINK(CONCATENATE("#metadata!",ADDRESS(INDEX($Y$2:$Y$1001,MATCH(ROWS($W$2:W263),$W$2:$W$1001,0),0),1)),INDEX($AB$2:$AB$1001,MATCH(ROWS($W$2:W263),$W$2:$W$1001,0),0)))</f>
        <v xml:space="preserve"> </v>
      </c>
      <c r="B263" s="4" t="str">
        <f ca="1">IF(OR(INDEX($X$2:$X$1001,MATCH(ROWS($W$2:W263),$W$2:$W$1001,0),1)&gt;=100000,INDEX($AD$1005:$AU$1005,1,MATCH(COLUMNS($AD$1006:AD1006),$AD$1006:$AU$1006,0))&gt;=100000), " ",IF(INDEX($AD$2:$AU$1001,MATCH(ROWS($W$2:W263),$W$2:$W$1001,0),MATCH(COLUMNS($AD$1006:AD1006),$AD$1006:$AU$1006,0)), HYPERLINK("#",""), HYPERLINK(CONCATENATE("#metadata!", ADDRESS(INDEX($Y$2:$Y$1001,MATCH(ROWS($W$2:W263),$W$2:$W$1001,0),0), INDEX($AD$1004:$AU$1004,1,MATCH(COLUMNS($AD$1006:AD1006),$AD$1006:$AU$1006,0)))),"Fix")))</f>
        <v xml:space="preserve"> </v>
      </c>
      <c r="C263" s="4" t="str">
        <f ca="1">IF(OR(INDEX($X$2:$X$1001,MATCH(ROWS($W$2:W263),$W$2:$W$1001,0),1)&gt;=100000,INDEX($AD$1005:$AU$1005,1,MATCH(COLUMNS($AD$1006:AE1006),$AD$1006:$AU$1006,0))&gt;=100000), " ",IF(INDEX($AD$2:$AU$1001,MATCH(ROWS($W$2:W263),$W$2:$W$1001,0),MATCH(COLUMNS($AD$1006:AE1006),$AD$1006:$AU$1006,0)), HYPERLINK("#",""), HYPERLINK(CONCATENATE("#metadata!", ADDRESS(INDEX($Y$2:$Y$1001,MATCH(ROWS($W$2:W263),$W$2:$W$1001,0),0), INDEX($AD$1004:$AU$1004,1,MATCH(COLUMNS($AD$1006:AE1006),$AD$1006:$AU$1006,0)))),"Fix")))</f>
        <v xml:space="preserve"> </v>
      </c>
      <c r="D263" s="4" t="str">
        <f ca="1">IF(OR(INDEX($X$2:$X$1001,MATCH(ROWS($W$2:W263),$W$2:$W$1001,0),1)&gt;=100000,INDEX($AD$1005:$AU$1005,1,MATCH(COLUMNS($AD$1006:AF1006),$AD$1006:$AU$1006,0))&gt;=100000), " ",IF(INDEX($AD$2:$AU$1001,MATCH(ROWS($W$2:W263),$W$2:$W$1001,0),MATCH(COLUMNS($AD$1006:AF1006),$AD$1006:$AU$1006,0)), HYPERLINK("#",""), HYPERLINK(CONCATENATE("#metadata!", ADDRESS(INDEX($Y$2:$Y$1001,MATCH(ROWS($W$2:W263),$W$2:$W$1001,0),0), INDEX($AD$1004:$AU$1004,1,MATCH(COLUMNS($AD$1006:AF1006),$AD$1006:$AU$1006,0)))),"Fix")))</f>
        <v xml:space="preserve"> </v>
      </c>
      <c r="E263" s="4" t="str">
        <f ca="1">IF(OR(INDEX($X$2:$X$1001,MATCH(ROWS($W$2:W263),$W$2:$W$1001,0),1)&gt;=100000,INDEX($AD$1005:$AU$1005,1,MATCH(COLUMNS($AD$1006:AG1006),$AD$1006:$AU$1006,0))&gt;=100000), " ",IF(INDEX($AD$2:$AU$1001,MATCH(ROWS($W$2:W263),$W$2:$W$1001,0),MATCH(COLUMNS($AD$1006:AG1006),$AD$1006:$AU$1006,0)), HYPERLINK("#",""), HYPERLINK(CONCATENATE("#metadata!", ADDRESS(INDEX($Y$2:$Y$1001,MATCH(ROWS($W$2:W263),$W$2:$W$1001,0),0), INDEX($AD$1004:$AU$1004,1,MATCH(COLUMNS($AD$1006:AG1006),$AD$1006:$AU$1006,0)))),"Fix")))</f>
        <v xml:space="preserve"> </v>
      </c>
      <c r="F263" s="4" t="str">
        <f ca="1">IF(OR(INDEX($X$2:$X$1001,MATCH(ROWS($W$2:W263),$W$2:$W$1001,0),1)&gt;=100000,INDEX($AD$1005:$AU$1005,1,MATCH(COLUMNS($AD$1006:AH1006),$AD$1006:$AU$1006,0))&gt;=100000), " ",IF(INDEX($AD$2:$AU$1001,MATCH(ROWS($W$2:W263),$W$2:$W$1001,0),MATCH(COLUMNS($AD$1006:AH1006),$AD$1006:$AU$1006,0)), HYPERLINK("#",""), HYPERLINK(CONCATENATE("#metadata!", ADDRESS(INDEX($Y$2:$Y$1001,MATCH(ROWS($W$2:W263),$W$2:$W$1001,0),0), INDEX($AD$1004:$AU$1004,1,MATCH(COLUMNS($AD$1006:AH1006),$AD$1006:$AU$1006,0)))),"Fix")))</f>
        <v xml:space="preserve"> </v>
      </c>
      <c r="G263" s="4" t="str">
        <f ca="1">IF(OR(INDEX($X$2:$X$1001,MATCH(ROWS($W$2:W263),$W$2:$W$1001,0),1)&gt;=100000,INDEX($AD$1005:$AU$1005,1,MATCH(COLUMNS($AD$1006:AI1006),$AD$1006:$AU$1006,0))&gt;=100000), " ",IF(INDEX($AD$2:$AU$1001,MATCH(ROWS($W$2:W263),$W$2:$W$1001,0),MATCH(COLUMNS($AD$1006:AI1006),$AD$1006:$AU$1006,0)), HYPERLINK("#",""), HYPERLINK(CONCATENATE("#metadata!", ADDRESS(INDEX($Y$2:$Y$1001,MATCH(ROWS($W$2:W263),$W$2:$W$1001,0),0), INDEX($AD$1004:$AU$1004,1,MATCH(COLUMNS($AD$1006:AI1006),$AD$1006:$AU$1006,0)))),"Fix")))</f>
        <v xml:space="preserve"> </v>
      </c>
      <c r="H263" s="4" t="str">
        <f ca="1">IF(OR(INDEX($X$2:$X$1001,MATCH(ROWS($W$2:W263),$W$2:$W$1001,0),1)&gt;=100000,INDEX($AD$1005:$AU$1005,1,MATCH(COLUMNS($AD$1006:AJ1006),$AD$1006:$AU$1006,0))&gt;=100000), " ",IF(INDEX($AD$2:$AU$1001,MATCH(ROWS($W$2:W263),$W$2:$W$1001,0),MATCH(COLUMNS($AD$1006:AJ1006),$AD$1006:$AU$1006,0)), HYPERLINK("#",""), HYPERLINK(CONCATENATE("#metadata!", ADDRESS(INDEX($Y$2:$Y$1001,MATCH(ROWS($W$2:W263),$W$2:$W$1001,0),0), INDEX($AD$1004:$AU$1004,1,MATCH(COLUMNS($AD$1006:AJ1006),$AD$1006:$AU$1006,0)))),"Fix")))</f>
        <v xml:space="preserve"> </v>
      </c>
      <c r="I263" s="4" t="str">
        <f ca="1">IF(OR(INDEX($X$2:$X$1001,MATCH(ROWS($W$2:W263),$W$2:$W$1001,0),1)&gt;=100000,INDEX($AD$1005:$AU$1005,1,MATCH(COLUMNS($AD$1006:AK1006),$AD$1006:$AU$1006,0))&gt;=100000), " ",IF(INDEX($AD$2:$AU$1001,MATCH(ROWS($W$2:W263),$W$2:$W$1001,0),MATCH(COLUMNS($AD$1006:AK1006),$AD$1006:$AU$1006,0)), HYPERLINK("#",""), HYPERLINK(CONCATENATE("#metadata!", ADDRESS(INDEX($Y$2:$Y$1001,MATCH(ROWS($W$2:W263),$W$2:$W$1001,0),0), INDEX($AD$1004:$AU$1004,1,MATCH(COLUMNS($AD$1006:AK1006),$AD$1006:$AU$1006,0)))),"Fix")))</f>
        <v xml:space="preserve"> </v>
      </c>
      <c r="J263" s="4" t="str">
        <f ca="1">IF(OR(INDEX($X$2:$X$1001,MATCH(ROWS($W$2:W263),$W$2:$W$1001,0),1)&gt;=100000,INDEX($AD$1005:$AU$1005,1,MATCH(COLUMNS($AD$1006:AL1006),$AD$1006:$AU$1006,0))&gt;=100000), " ",IF(INDEX($AD$2:$AU$1001,MATCH(ROWS($W$2:W263),$W$2:$W$1001,0),MATCH(COLUMNS($AD$1006:AL1006),$AD$1006:$AU$1006,0)), HYPERLINK("#",""), HYPERLINK(CONCATENATE("#metadata!", ADDRESS(INDEX($Y$2:$Y$1001,MATCH(ROWS($W$2:W263),$W$2:$W$1001,0),0), INDEX($AD$1004:$AU$1004,1,MATCH(COLUMNS($AD$1006:AL1006),$AD$1006:$AU$1006,0)))),"Fix")))</f>
        <v xml:space="preserve"> </v>
      </c>
      <c r="K263" s="4" t="str">
        <f ca="1">IF(OR(INDEX($X$2:$X$1001,MATCH(ROWS($W$2:W263),$W$2:$W$1001,0),1)&gt;=100000,INDEX($AD$1005:$AU$1005,1,MATCH(COLUMNS($AD$1006:AM1006),$AD$1006:$AU$1006,0))&gt;=100000), " ",IF(INDEX($AD$2:$AU$1001,MATCH(ROWS($W$2:W263),$W$2:$W$1001,0),MATCH(COLUMNS($AD$1006:AM1006),$AD$1006:$AU$1006,0)), HYPERLINK("#",""), HYPERLINK(CONCATENATE("#metadata!", ADDRESS(INDEX($Y$2:$Y$1001,MATCH(ROWS($W$2:W263),$W$2:$W$1001,0),0), INDEX($AD$1004:$AU$1004,1,MATCH(COLUMNS($AD$1006:AM1006),$AD$1006:$AU$1006,0)))),"Fix")))</f>
        <v xml:space="preserve"> </v>
      </c>
      <c r="L263" s="4" t="str">
        <f ca="1">IF(OR(INDEX($X$2:$X$1001,MATCH(ROWS($W$2:W263),$W$2:$W$1001,0),1)&gt;=100000,INDEX($AD$1005:$AU$1005,1,MATCH(COLUMNS($AD$1006:AN1006),$AD$1006:$AU$1006,0))&gt;=100000), " ",IF(INDEX($AD$2:$AU$1001,MATCH(ROWS($W$2:W263),$W$2:$W$1001,0),MATCH(COLUMNS($AD$1006:AN1006),$AD$1006:$AU$1006,0)), HYPERLINK("#",""), HYPERLINK(CONCATENATE("#metadata!", ADDRESS(INDEX($Y$2:$Y$1001,MATCH(ROWS($W$2:W263),$W$2:$W$1001,0),0), INDEX($AD$1004:$AU$1004,1,MATCH(COLUMNS($AD$1006:AN1006),$AD$1006:$AU$1006,0)))),"Fix")))</f>
        <v xml:space="preserve"> </v>
      </c>
      <c r="M263" s="4" t="str">
        <f ca="1">IF(OR(INDEX($X$2:$X$1001,MATCH(ROWS($W$2:W263),$W$2:$W$1001,0),1)&gt;=100000,INDEX($AD$1005:$AU$1005,1,MATCH(COLUMNS($AD$1006:AO1006),$AD$1006:$AU$1006,0))&gt;=100000), " ",IF(INDEX($AD$2:$AU$1001,MATCH(ROWS($W$2:W263),$W$2:$W$1001,0),MATCH(COLUMNS($AD$1006:AO1006),$AD$1006:$AU$1006,0)), HYPERLINK("#",""), HYPERLINK(CONCATENATE("#metadata!", ADDRESS(INDEX($Y$2:$Y$1001,MATCH(ROWS($W$2:W263),$W$2:$W$1001,0),0), INDEX($AD$1004:$AU$1004,1,MATCH(COLUMNS($AD$1006:AO1006),$AD$1006:$AU$1006,0)))),"Fix")))</f>
        <v xml:space="preserve"> </v>
      </c>
      <c r="N263" s="4" t="str">
        <f ca="1">IF(OR(INDEX($X$2:$X$1001,MATCH(ROWS($W$2:W263),$W$2:$W$1001,0),1)&gt;=100000,INDEX($AD$1005:$AU$1005,1,MATCH(COLUMNS($AD$1006:AP1006),$AD$1006:$AU$1006,0))&gt;=100000), " ",IF(INDEX($AD$2:$AU$1001,MATCH(ROWS($W$2:W263),$W$2:$W$1001,0),MATCH(COLUMNS($AD$1006:AP1006),$AD$1006:$AU$1006,0)), HYPERLINK("#",""), HYPERLINK(CONCATENATE("#metadata!", ADDRESS(INDEX($Y$2:$Y$1001,MATCH(ROWS($W$2:W263),$W$2:$W$1001,0),0), INDEX($AD$1004:$AU$1004,1,MATCH(COLUMNS($AD$1006:AP1006),$AD$1006:$AU$1006,0)))),"Fix")))</f>
        <v xml:space="preserve"> </v>
      </c>
      <c r="O263" s="4" t="str">
        <f ca="1">IF(OR(INDEX($X$2:$X$1001,MATCH(ROWS($W$2:W263),$W$2:$W$1001,0),1)&gt;=100000,INDEX($AD$1005:$AU$1005,1,MATCH(COLUMNS($AD$1006:AQ1006),$AD$1006:$AU$1006,0))&gt;=100000), " ",IF(INDEX($AD$2:$AU$1001,MATCH(ROWS($W$2:W263),$W$2:$W$1001,0),MATCH(COLUMNS($AD$1006:AQ1006),$AD$1006:$AU$1006,0)), HYPERLINK("#",""), HYPERLINK(CONCATENATE("#metadata!", ADDRESS(INDEX($Y$2:$Y$1001,MATCH(ROWS($W$2:W263),$W$2:$W$1001,0),0), INDEX($AD$1004:$AU$1004,1,MATCH(COLUMNS($AD$1006:AQ1006),$AD$1006:$AU$1006,0)))),"Fix")))</f>
        <v xml:space="preserve"> </v>
      </c>
      <c r="P263" s="4" t="str">
        <f ca="1">IF(OR(INDEX($X$2:$X$1001,MATCH(ROWS($W$2:W263),$W$2:$W$1001,0),1)&gt;=100000,INDEX($AD$1005:$AU$1005,1,MATCH(COLUMNS($AD$1006:AR1006),$AD$1006:$AU$1006,0))&gt;=100000), " ",IF(INDEX($AD$2:$AU$1001,MATCH(ROWS($W$2:W263),$W$2:$W$1001,0),MATCH(COLUMNS($AD$1006:AR1006),$AD$1006:$AU$1006,0)), HYPERLINK("#",""), HYPERLINK(CONCATENATE("#metadata!", ADDRESS(INDEX($Y$2:$Y$1001,MATCH(ROWS($W$2:W263),$W$2:$W$1001,0),0), INDEX($AD$1004:$AU$1004,1,MATCH(COLUMNS($AD$1006:AR1006),$AD$1006:$AU$1006,0)))),"Fix")))</f>
        <v xml:space="preserve"> </v>
      </c>
      <c r="Q263" s="4" t="str">
        <f ca="1">IF(OR(INDEX($X$2:$X$1001,MATCH(ROWS($W$2:W263),$W$2:$W$1001,0),1)&gt;=100000,INDEX($AD$1005:$AU$1005,1,MATCH(COLUMNS($AD$1006:AS1006),$AD$1006:$AU$1006,0))&gt;=100000), " ",IF(INDEX($AD$2:$AU$1001,MATCH(ROWS($W$2:W263),$W$2:$W$1001,0),MATCH(COLUMNS($AD$1006:AS1006),$AD$1006:$AU$1006,0)), HYPERLINK("#",""), HYPERLINK(CONCATENATE("#metadata!", ADDRESS(INDEX($Y$2:$Y$1001,MATCH(ROWS($W$2:W263),$W$2:$W$1001,0),0), INDEX($AD$1004:$AU$1004,1,MATCH(COLUMNS($AD$1006:AS1006),$AD$1006:$AU$1006,0)))),"Fix")))</f>
        <v xml:space="preserve"> </v>
      </c>
      <c r="R263" s="4" t="str">
        <f ca="1">IF(OR(INDEX($X$2:$X$1001,MATCH(ROWS($W$2:W263),$W$2:$W$1001,0),1)&gt;=100000,INDEX($AD$1005:$AU$1005,1,MATCH(COLUMNS($AD$1006:AT1006),$AD$1006:$AU$1006,0))&gt;=100000), " ",IF(INDEX($AD$2:$AU$1001,MATCH(ROWS($W$2:W263),$W$2:$W$1001,0),MATCH(COLUMNS($AD$1006:AT1006),$AD$1006:$AU$1006,0)), HYPERLINK("#",""), HYPERLINK(CONCATENATE("#metadata!", ADDRESS(INDEX($Y$2:$Y$1001,MATCH(ROWS($W$2:W263),$W$2:$W$1001,0),0), INDEX($AD$1004:$AU$1004,1,MATCH(COLUMNS($AD$1006:AT1006),$AD$1006:$AU$1006,0)))),"Fix")))</f>
        <v xml:space="preserve"> </v>
      </c>
      <c r="S263" s="4" t="str">
        <f ca="1">IF(OR(INDEX($X$2:$X$1001,MATCH(ROWS($W$2:W263),$W$2:$W$1001,0),1)&gt;=100000,INDEX($AD$1005:$AU$1005,1,MATCH(COLUMNS($AD$1006:AU1006),$AD$1006:$AU$1006,0))&gt;=100000), " ",IF(INDEX($AD$2:$AU$1001,MATCH(ROWS($W$2:W263),$W$2:$W$1001,0),MATCH(COLUMNS($AD$1006:AU1006),$AD$1006:$AU$1006,0)), HYPERLINK("#",""), HYPERLINK(CONCATENATE("#metadata!", ADDRESS(INDEX($Y$2:$Y$1001,MATCH(ROWS($W$2:W263),$W$2:$W$1001,0),0), INDEX($AD$1004:$AU$1004,1,MATCH(COLUMNS($AD$1006:AU1006),$AD$1006:$AU$1006,0)))),"Fix")))</f>
        <v xml:space="preserve"> </v>
      </c>
      <c r="W263">
        <v>262</v>
      </c>
      <c r="X263">
        <v>100263</v>
      </c>
      <c r="Y263">
        <v>263</v>
      </c>
      <c r="Z263" t="b">
        <f t="shared" si="4"/>
        <v>1</v>
      </c>
      <c r="AA263" t="b">
        <f>COUNTBLANK(metadata!B263:S263)=COLUMNS(metadata!B263:S263)</f>
        <v>1</v>
      </c>
      <c r="AB263" t="str">
        <v/>
      </c>
      <c r="AD263" t="b">
        <f ca="1">AND(IF(metadata!B263="",FALSE,TRUE),COUNTIF(metadata!B:B, metadata!B263) = 1,NOT(ISERROR(SUMPRODUCT(SEARCH(MID(metadata!B263,ROW(INDIRECT("1:"&amp;LEN(metadata!B263))), 1),"0123456789abcdefghijklmnopqrstuvwxyzABCDEFGHIJKLMNOPQRSTUVWXYZ.")))))</f>
        <v>0</v>
      </c>
      <c r="AE263" t="b">
        <f>OR(AND(IF(metadata!C263="",FALSE,TRUE),OR(EXACT(metadata!C263,"not applicable"),EXACT(metadata!C263,"missing: not collected"),EXACT(metadata!C263,"missing: not provided"),EXACT(metadata!C263,"missing: restricted access"))),AND(IF(metadata!C263="",FALSE,ISNUMBER(VALUE(metadata!C263))),metadata!C263&gt;0))</f>
        <v>0</v>
      </c>
      <c r="AF263" t="b">
        <f>AND(IF(metadata!D263="",FALSE,TRUE),EXACT(metadata!D263,"missing: not provided"))</f>
        <v>0</v>
      </c>
      <c r="AG263" t="b">
        <f>AND(IF(metadata!E263="",FALSE,TRUE),EXACT(metadata!E263,"Host-associated"))</f>
        <v>0</v>
      </c>
      <c r="AH263" t="b">
        <f>AND(IF(metadata!F263="",FALSE,TRUE),OR(EXACT(metadata!F263,"Animal"),EXACT(metadata!F263,"Fungus"),EXACT(metadata!F263,"Plant")))</f>
        <v>0</v>
      </c>
      <c r="AI263" t="b">
        <f>AND(IF(metadata!G263="",FALSE,TRUE),OR(EXACT(metadata!G263,"Plant secretion"),EXACT(metadata!G263,"Plant rhizosphere"),EXACT(metadata!G263,"Plant surface"),EXACT(metadata!G263,"Plant corpus"),EXACT(metadata!G263,"Fungus surface"),EXACT(metadata!G263,"Fungus corpus"),EXACT(metadata!G263,"Animal surface"),EXACT(metadata!G263,"Animal proximal gut"),EXACT(metadata!G263,"Animal corpus"),EXACT(metadata!G263,"Animal distal gut"),EXACT(metadata!G263,"Animal secretion")))</f>
        <v>0</v>
      </c>
      <c r="AJ263" t="b">
        <f>OR(AND(IF(metadata!H263="",FALSE,TRUE),OR(EXACT(metadata!H263,"missing: not collected"),EXACT(metadata!H263,"missing: not provided"),EXACT(metadata!H263,"missing: restricted access"))),AND(IF(metadata!H263="",FALSE,TRUE),OR(EXACT(metadata!H263,"organism-associated habitat"),EXACT(metadata!H263,"plant-associated habitat"),EXACT(metadata!H263,"animal-associated habitat"),EXACT(metadata!H263,"insecta-associated habitat"),EXACT(metadata!H263,"mammalia-associated habitat"),EXACT(metadata!H263,"human-associated habitat"),EXACT(metadata!H263,"livestock-associated habitat"))))</f>
        <v>0</v>
      </c>
      <c r="AK263" t="b">
        <f>AND(IF(metadata!I263="",FALSE,TRUE),EXACT(metadata!I263,"host-associated"))</f>
        <v>0</v>
      </c>
      <c r="AL263" t="b">
        <f>OR(AND(IF(metadata!J263="",FALSE,TRUE),OR(EXACT(metadata!J263,"not applicable"),EXACT(metadata!J263,"missing: not collected"),EXACT(metadata!J263,"missing: not provided"),EXACT(metadata!J263,"missing: restricted access"))),AND(IF(metadata!J263="",FALSE,ISNUMBER(VALUE(metadata!J263))),metadata!J263&gt;0))</f>
        <v>0</v>
      </c>
      <c r="AM263" t="b">
        <f>AND(IF(metadata!K263="",FALSE,TRUE),EXACT(metadata!K263,"missing: not provided"))</f>
        <v>0</v>
      </c>
      <c r="AN263" t="b">
        <f>IF(metadata!L263="",FALSE,TRUE)</f>
        <v>0</v>
      </c>
      <c r="AO263" t="b">
        <f>IF(metadata!M263="",FALSE,TRUE)</f>
        <v>0</v>
      </c>
      <c r="AP263" t="b">
        <f>OR(AND(IF(metadata!N263="",FALSE,TRUE),OR(EXACT(metadata!N263,"not applicable"),EXACT(metadata!N263,"missing: not collected"),EXACT(metadata!N263,"missing: not provided"))),AND(IF(metadata!N263="",FALSE,IF(ISERROR(INT(metadata!N263)),FALSE,INT(metadata!N263)=metadata!N263)),metadata!N263&gt;0))</f>
        <v>0</v>
      </c>
      <c r="AQ263" t="b">
        <f>AND(IF(metadata!O263="",FALSE,TRUE),EXACT(metadata!O263,"Not applicable"))</f>
        <v>0</v>
      </c>
      <c r="AR263" t="b">
        <f>OR(AND(IF(metadata!P263="",FALSE,TRUE),OR(EXACT(metadata!P263,"not applicable"),EXACT(metadata!P263,"missing: not collected"),EXACT(metadata!P263,"missing: not provided"),EXACT(metadata!P263,"missing: restricted access"))),IF(metadata!P263="",FALSE,IF(ISERROR(INT(metadata!P263)),FALSE,INT(metadata!P263)=metadata!P263)))</f>
        <v>0</v>
      </c>
      <c r="AS263" t="b">
        <f>AND(IF(metadata!Q263="",FALSE,TRUE),EXACT(metadata!Q263,"Not applicable"))</f>
        <v>0</v>
      </c>
      <c r="AT263" t="b">
        <f>OR(AND(IF(metadata!R263="",FALSE,TRUE),OR(EXACT(metadata!R263,"not applicable"),EXACT(metadata!R263,"missing: not collected"),EXACT(metadata!R263,"missing: not provided"),EXACT(metadata!R263,"missing: restricted access"))),AND(IF(metadata!R263="",FALSE,ISNUMBER(VALUE(metadata!R263))),metadata!R263&gt;0))</f>
        <v>0</v>
      </c>
      <c r="AU263" t="b">
        <f>AND(IF(metadata!S263="",FALSE,TRUE),EXACT(metadata!S263,"missing: not provided"))</f>
        <v>0</v>
      </c>
    </row>
    <row r="264" spans="1:47" x14ac:dyDescent="0.2">
      <c r="A264" s="5" t="str">
        <f ca="1">IF(B264=" "," ",HYPERLINK(CONCATENATE("#metadata!",ADDRESS(INDEX($Y$2:$Y$1001,MATCH(ROWS($W$2:W264),$W$2:$W$1001,0),0),1)),INDEX($AB$2:$AB$1001,MATCH(ROWS($W$2:W264),$W$2:$W$1001,0),0)))</f>
        <v xml:space="preserve"> </v>
      </c>
      <c r="B264" s="4" t="str">
        <f ca="1">IF(OR(INDEX($X$2:$X$1001,MATCH(ROWS($W$2:W264),$W$2:$W$1001,0),1)&gt;=100000,INDEX($AD$1005:$AU$1005,1,MATCH(COLUMNS($AD$1006:AD1006),$AD$1006:$AU$1006,0))&gt;=100000), " ",IF(INDEX($AD$2:$AU$1001,MATCH(ROWS($W$2:W264),$W$2:$W$1001,0),MATCH(COLUMNS($AD$1006:AD1006),$AD$1006:$AU$1006,0)), HYPERLINK("#",""), HYPERLINK(CONCATENATE("#metadata!", ADDRESS(INDEX($Y$2:$Y$1001,MATCH(ROWS($W$2:W264),$W$2:$W$1001,0),0), INDEX($AD$1004:$AU$1004,1,MATCH(COLUMNS($AD$1006:AD1006),$AD$1006:$AU$1006,0)))),"Fix")))</f>
        <v xml:space="preserve"> </v>
      </c>
      <c r="C264" s="4" t="str">
        <f ca="1">IF(OR(INDEX($X$2:$X$1001,MATCH(ROWS($W$2:W264),$W$2:$W$1001,0),1)&gt;=100000,INDEX($AD$1005:$AU$1005,1,MATCH(COLUMNS($AD$1006:AE1006),$AD$1006:$AU$1006,0))&gt;=100000), " ",IF(INDEX($AD$2:$AU$1001,MATCH(ROWS($W$2:W264),$W$2:$W$1001,0),MATCH(COLUMNS($AD$1006:AE1006),$AD$1006:$AU$1006,0)), HYPERLINK("#",""), HYPERLINK(CONCATENATE("#metadata!", ADDRESS(INDEX($Y$2:$Y$1001,MATCH(ROWS($W$2:W264),$W$2:$W$1001,0),0), INDEX($AD$1004:$AU$1004,1,MATCH(COLUMNS($AD$1006:AE1006),$AD$1006:$AU$1006,0)))),"Fix")))</f>
        <v xml:space="preserve"> </v>
      </c>
      <c r="D264" s="4" t="str">
        <f ca="1">IF(OR(INDEX($X$2:$X$1001,MATCH(ROWS($W$2:W264),$W$2:$W$1001,0),1)&gt;=100000,INDEX($AD$1005:$AU$1005,1,MATCH(COLUMNS($AD$1006:AF1006),$AD$1006:$AU$1006,0))&gt;=100000), " ",IF(INDEX($AD$2:$AU$1001,MATCH(ROWS($W$2:W264),$W$2:$W$1001,0),MATCH(COLUMNS($AD$1006:AF1006),$AD$1006:$AU$1006,0)), HYPERLINK("#",""), HYPERLINK(CONCATENATE("#metadata!", ADDRESS(INDEX($Y$2:$Y$1001,MATCH(ROWS($W$2:W264),$W$2:$W$1001,0),0), INDEX($AD$1004:$AU$1004,1,MATCH(COLUMNS($AD$1006:AF1006),$AD$1006:$AU$1006,0)))),"Fix")))</f>
        <v xml:space="preserve"> </v>
      </c>
      <c r="E264" s="4" t="str">
        <f ca="1">IF(OR(INDEX($X$2:$X$1001,MATCH(ROWS($W$2:W264),$W$2:$W$1001,0),1)&gt;=100000,INDEX($AD$1005:$AU$1005,1,MATCH(COLUMNS($AD$1006:AG1006),$AD$1006:$AU$1006,0))&gt;=100000), " ",IF(INDEX($AD$2:$AU$1001,MATCH(ROWS($W$2:W264),$W$2:$W$1001,0),MATCH(COLUMNS($AD$1006:AG1006),$AD$1006:$AU$1006,0)), HYPERLINK("#",""), HYPERLINK(CONCATENATE("#metadata!", ADDRESS(INDEX($Y$2:$Y$1001,MATCH(ROWS($W$2:W264),$W$2:$W$1001,0),0), INDEX($AD$1004:$AU$1004,1,MATCH(COLUMNS($AD$1006:AG1006),$AD$1006:$AU$1006,0)))),"Fix")))</f>
        <v xml:space="preserve"> </v>
      </c>
      <c r="F264" s="4" t="str">
        <f ca="1">IF(OR(INDEX($X$2:$X$1001,MATCH(ROWS($W$2:W264),$W$2:$W$1001,0),1)&gt;=100000,INDEX($AD$1005:$AU$1005,1,MATCH(COLUMNS($AD$1006:AH1006),$AD$1006:$AU$1006,0))&gt;=100000), " ",IF(INDEX($AD$2:$AU$1001,MATCH(ROWS($W$2:W264),$W$2:$W$1001,0),MATCH(COLUMNS($AD$1006:AH1006),$AD$1006:$AU$1006,0)), HYPERLINK("#",""), HYPERLINK(CONCATENATE("#metadata!", ADDRESS(INDEX($Y$2:$Y$1001,MATCH(ROWS($W$2:W264),$W$2:$W$1001,0),0), INDEX($AD$1004:$AU$1004,1,MATCH(COLUMNS($AD$1006:AH1006),$AD$1006:$AU$1006,0)))),"Fix")))</f>
        <v xml:space="preserve"> </v>
      </c>
      <c r="G264" s="4" t="str">
        <f ca="1">IF(OR(INDEX($X$2:$X$1001,MATCH(ROWS($W$2:W264),$W$2:$W$1001,0),1)&gt;=100000,INDEX($AD$1005:$AU$1005,1,MATCH(COLUMNS($AD$1006:AI1006),$AD$1006:$AU$1006,0))&gt;=100000), " ",IF(INDEX($AD$2:$AU$1001,MATCH(ROWS($W$2:W264),$W$2:$W$1001,0),MATCH(COLUMNS($AD$1006:AI1006),$AD$1006:$AU$1006,0)), HYPERLINK("#",""), HYPERLINK(CONCATENATE("#metadata!", ADDRESS(INDEX($Y$2:$Y$1001,MATCH(ROWS($W$2:W264),$W$2:$W$1001,0),0), INDEX($AD$1004:$AU$1004,1,MATCH(COLUMNS($AD$1006:AI1006),$AD$1006:$AU$1006,0)))),"Fix")))</f>
        <v xml:space="preserve"> </v>
      </c>
      <c r="H264" s="4" t="str">
        <f ca="1">IF(OR(INDEX($X$2:$X$1001,MATCH(ROWS($W$2:W264),$W$2:$W$1001,0),1)&gt;=100000,INDEX($AD$1005:$AU$1005,1,MATCH(COLUMNS($AD$1006:AJ1006),$AD$1006:$AU$1006,0))&gt;=100000), " ",IF(INDEX($AD$2:$AU$1001,MATCH(ROWS($W$2:W264),$W$2:$W$1001,0),MATCH(COLUMNS($AD$1006:AJ1006),$AD$1006:$AU$1006,0)), HYPERLINK("#",""), HYPERLINK(CONCATENATE("#metadata!", ADDRESS(INDEX($Y$2:$Y$1001,MATCH(ROWS($W$2:W264),$W$2:$W$1001,0),0), INDEX($AD$1004:$AU$1004,1,MATCH(COLUMNS($AD$1006:AJ1006),$AD$1006:$AU$1006,0)))),"Fix")))</f>
        <v xml:space="preserve"> </v>
      </c>
      <c r="I264" s="4" t="str">
        <f ca="1">IF(OR(INDEX($X$2:$X$1001,MATCH(ROWS($W$2:W264),$W$2:$W$1001,0),1)&gt;=100000,INDEX($AD$1005:$AU$1005,1,MATCH(COLUMNS($AD$1006:AK1006),$AD$1006:$AU$1006,0))&gt;=100000), " ",IF(INDEX($AD$2:$AU$1001,MATCH(ROWS($W$2:W264),$W$2:$W$1001,0),MATCH(COLUMNS($AD$1006:AK1006),$AD$1006:$AU$1006,0)), HYPERLINK("#",""), HYPERLINK(CONCATENATE("#metadata!", ADDRESS(INDEX($Y$2:$Y$1001,MATCH(ROWS($W$2:W264),$W$2:$W$1001,0),0), INDEX($AD$1004:$AU$1004,1,MATCH(COLUMNS($AD$1006:AK1006),$AD$1006:$AU$1006,0)))),"Fix")))</f>
        <v xml:space="preserve"> </v>
      </c>
      <c r="J264" s="4" t="str">
        <f ca="1">IF(OR(INDEX($X$2:$X$1001,MATCH(ROWS($W$2:W264),$W$2:$W$1001,0),1)&gt;=100000,INDEX($AD$1005:$AU$1005,1,MATCH(COLUMNS($AD$1006:AL1006),$AD$1006:$AU$1006,0))&gt;=100000), " ",IF(INDEX($AD$2:$AU$1001,MATCH(ROWS($W$2:W264),$W$2:$W$1001,0),MATCH(COLUMNS($AD$1006:AL1006),$AD$1006:$AU$1006,0)), HYPERLINK("#",""), HYPERLINK(CONCATENATE("#metadata!", ADDRESS(INDEX($Y$2:$Y$1001,MATCH(ROWS($W$2:W264),$W$2:$W$1001,0),0), INDEX($AD$1004:$AU$1004,1,MATCH(COLUMNS($AD$1006:AL1006),$AD$1006:$AU$1006,0)))),"Fix")))</f>
        <v xml:space="preserve"> </v>
      </c>
      <c r="K264" s="4" t="str">
        <f ca="1">IF(OR(INDEX($X$2:$X$1001,MATCH(ROWS($W$2:W264),$W$2:$W$1001,0),1)&gt;=100000,INDEX($AD$1005:$AU$1005,1,MATCH(COLUMNS($AD$1006:AM1006),$AD$1006:$AU$1006,0))&gt;=100000), " ",IF(INDEX($AD$2:$AU$1001,MATCH(ROWS($W$2:W264),$W$2:$W$1001,0),MATCH(COLUMNS($AD$1006:AM1006),$AD$1006:$AU$1006,0)), HYPERLINK("#",""), HYPERLINK(CONCATENATE("#metadata!", ADDRESS(INDEX($Y$2:$Y$1001,MATCH(ROWS($W$2:W264),$W$2:$W$1001,0),0), INDEX($AD$1004:$AU$1004,1,MATCH(COLUMNS($AD$1006:AM1006),$AD$1006:$AU$1006,0)))),"Fix")))</f>
        <v xml:space="preserve"> </v>
      </c>
      <c r="L264" s="4" t="str">
        <f ca="1">IF(OR(INDEX($X$2:$X$1001,MATCH(ROWS($W$2:W264),$W$2:$W$1001,0),1)&gt;=100000,INDEX($AD$1005:$AU$1005,1,MATCH(COLUMNS($AD$1006:AN1006),$AD$1006:$AU$1006,0))&gt;=100000), " ",IF(INDEX($AD$2:$AU$1001,MATCH(ROWS($W$2:W264),$W$2:$W$1001,0),MATCH(COLUMNS($AD$1006:AN1006),$AD$1006:$AU$1006,0)), HYPERLINK("#",""), HYPERLINK(CONCATENATE("#metadata!", ADDRESS(INDEX($Y$2:$Y$1001,MATCH(ROWS($W$2:W264),$W$2:$W$1001,0),0), INDEX($AD$1004:$AU$1004,1,MATCH(COLUMNS($AD$1006:AN1006),$AD$1006:$AU$1006,0)))),"Fix")))</f>
        <v xml:space="preserve"> </v>
      </c>
      <c r="M264" s="4" t="str">
        <f ca="1">IF(OR(INDEX($X$2:$X$1001,MATCH(ROWS($W$2:W264),$W$2:$W$1001,0),1)&gt;=100000,INDEX($AD$1005:$AU$1005,1,MATCH(COLUMNS($AD$1006:AO1006),$AD$1006:$AU$1006,0))&gt;=100000), " ",IF(INDEX($AD$2:$AU$1001,MATCH(ROWS($W$2:W264),$W$2:$W$1001,0),MATCH(COLUMNS($AD$1006:AO1006),$AD$1006:$AU$1006,0)), HYPERLINK("#",""), HYPERLINK(CONCATENATE("#metadata!", ADDRESS(INDEX($Y$2:$Y$1001,MATCH(ROWS($W$2:W264),$W$2:$W$1001,0),0), INDEX($AD$1004:$AU$1004,1,MATCH(COLUMNS($AD$1006:AO1006),$AD$1006:$AU$1006,0)))),"Fix")))</f>
        <v xml:space="preserve"> </v>
      </c>
      <c r="N264" s="4" t="str">
        <f ca="1">IF(OR(INDEX($X$2:$X$1001,MATCH(ROWS($W$2:W264),$W$2:$W$1001,0),1)&gt;=100000,INDEX($AD$1005:$AU$1005,1,MATCH(COLUMNS($AD$1006:AP1006),$AD$1006:$AU$1006,0))&gt;=100000), " ",IF(INDEX($AD$2:$AU$1001,MATCH(ROWS($W$2:W264),$W$2:$W$1001,0),MATCH(COLUMNS($AD$1006:AP1006),$AD$1006:$AU$1006,0)), HYPERLINK("#",""), HYPERLINK(CONCATENATE("#metadata!", ADDRESS(INDEX($Y$2:$Y$1001,MATCH(ROWS($W$2:W264),$W$2:$W$1001,0),0), INDEX($AD$1004:$AU$1004,1,MATCH(COLUMNS($AD$1006:AP1006),$AD$1006:$AU$1006,0)))),"Fix")))</f>
        <v xml:space="preserve"> </v>
      </c>
      <c r="O264" s="4" t="str">
        <f ca="1">IF(OR(INDEX($X$2:$X$1001,MATCH(ROWS($W$2:W264),$W$2:$W$1001,0),1)&gt;=100000,INDEX($AD$1005:$AU$1005,1,MATCH(COLUMNS($AD$1006:AQ1006),$AD$1006:$AU$1006,0))&gt;=100000), " ",IF(INDEX($AD$2:$AU$1001,MATCH(ROWS($W$2:W264),$W$2:$W$1001,0),MATCH(COLUMNS($AD$1006:AQ1006),$AD$1006:$AU$1006,0)), HYPERLINK("#",""), HYPERLINK(CONCATENATE("#metadata!", ADDRESS(INDEX($Y$2:$Y$1001,MATCH(ROWS($W$2:W264),$W$2:$W$1001,0),0), INDEX($AD$1004:$AU$1004,1,MATCH(COLUMNS($AD$1006:AQ1006),$AD$1006:$AU$1006,0)))),"Fix")))</f>
        <v xml:space="preserve"> </v>
      </c>
      <c r="P264" s="4" t="str">
        <f ca="1">IF(OR(INDEX($X$2:$X$1001,MATCH(ROWS($W$2:W264),$W$2:$W$1001,0),1)&gt;=100000,INDEX($AD$1005:$AU$1005,1,MATCH(COLUMNS($AD$1006:AR1006),$AD$1006:$AU$1006,0))&gt;=100000), " ",IF(INDEX($AD$2:$AU$1001,MATCH(ROWS($W$2:W264),$W$2:$W$1001,0),MATCH(COLUMNS($AD$1006:AR1006),$AD$1006:$AU$1006,0)), HYPERLINK("#",""), HYPERLINK(CONCATENATE("#metadata!", ADDRESS(INDEX($Y$2:$Y$1001,MATCH(ROWS($W$2:W264),$W$2:$W$1001,0),0), INDEX($AD$1004:$AU$1004,1,MATCH(COLUMNS($AD$1006:AR1006),$AD$1006:$AU$1006,0)))),"Fix")))</f>
        <v xml:space="preserve"> </v>
      </c>
      <c r="Q264" s="4" t="str">
        <f ca="1">IF(OR(INDEX($X$2:$X$1001,MATCH(ROWS($W$2:W264),$W$2:$W$1001,0),1)&gt;=100000,INDEX($AD$1005:$AU$1005,1,MATCH(COLUMNS($AD$1006:AS1006),$AD$1006:$AU$1006,0))&gt;=100000), " ",IF(INDEX($AD$2:$AU$1001,MATCH(ROWS($W$2:W264),$W$2:$W$1001,0),MATCH(COLUMNS($AD$1006:AS1006),$AD$1006:$AU$1006,0)), HYPERLINK("#",""), HYPERLINK(CONCATENATE("#metadata!", ADDRESS(INDEX($Y$2:$Y$1001,MATCH(ROWS($W$2:W264),$W$2:$W$1001,0),0), INDEX($AD$1004:$AU$1004,1,MATCH(COLUMNS($AD$1006:AS1006),$AD$1006:$AU$1006,0)))),"Fix")))</f>
        <v xml:space="preserve"> </v>
      </c>
      <c r="R264" s="4" t="str">
        <f ca="1">IF(OR(INDEX($X$2:$X$1001,MATCH(ROWS($W$2:W264),$W$2:$W$1001,0),1)&gt;=100000,INDEX($AD$1005:$AU$1005,1,MATCH(COLUMNS($AD$1006:AT1006),$AD$1006:$AU$1006,0))&gt;=100000), " ",IF(INDEX($AD$2:$AU$1001,MATCH(ROWS($W$2:W264),$W$2:$W$1001,0),MATCH(COLUMNS($AD$1006:AT1006),$AD$1006:$AU$1006,0)), HYPERLINK("#",""), HYPERLINK(CONCATENATE("#metadata!", ADDRESS(INDEX($Y$2:$Y$1001,MATCH(ROWS($W$2:W264),$W$2:$W$1001,0),0), INDEX($AD$1004:$AU$1004,1,MATCH(COLUMNS($AD$1006:AT1006),$AD$1006:$AU$1006,0)))),"Fix")))</f>
        <v xml:space="preserve"> </v>
      </c>
      <c r="S264" s="4" t="str">
        <f ca="1">IF(OR(INDEX($X$2:$X$1001,MATCH(ROWS($W$2:W264),$W$2:$W$1001,0),1)&gt;=100000,INDEX($AD$1005:$AU$1005,1,MATCH(COLUMNS($AD$1006:AU1006),$AD$1006:$AU$1006,0))&gt;=100000), " ",IF(INDEX($AD$2:$AU$1001,MATCH(ROWS($W$2:W264),$W$2:$W$1001,0),MATCH(COLUMNS($AD$1006:AU1006),$AD$1006:$AU$1006,0)), HYPERLINK("#",""), HYPERLINK(CONCATENATE("#metadata!", ADDRESS(INDEX($Y$2:$Y$1001,MATCH(ROWS($W$2:W264),$W$2:$W$1001,0),0), INDEX($AD$1004:$AU$1004,1,MATCH(COLUMNS($AD$1006:AU1006),$AD$1006:$AU$1006,0)))),"Fix")))</f>
        <v xml:space="preserve"> </v>
      </c>
      <c r="W264">
        <v>263</v>
      </c>
      <c r="X264">
        <v>100264</v>
      </c>
      <c r="Y264">
        <v>264</v>
      </c>
      <c r="Z264" t="b">
        <f t="shared" si="4"/>
        <v>1</v>
      </c>
      <c r="AA264" t="b">
        <f>COUNTBLANK(metadata!B264:S264)=COLUMNS(metadata!B264:S264)</f>
        <v>1</v>
      </c>
      <c r="AB264" t="str">
        <v/>
      </c>
      <c r="AD264" t="b">
        <f ca="1">AND(IF(metadata!B264="",FALSE,TRUE),COUNTIF(metadata!B:B, metadata!B264) = 1,NOT(ISERROR(SUMPRODUCT(SEARCH(MID(metadata!B264,ROW(INDIRECT("1:"&amp;LEN(metadata!B264))), 1),"0123456789abcdefghijklmnopqrstuvwxyzABCDEFGHIJKLMNOPQRSTUVWXYZ.")))))</f>
        <v>0</v>
      </c>
      <c r="AE264" t="b">
        <f>OR(AND(IF(metadata!C264="",FALSE,TRUE),OR(EXACT(metadata!C264,"not applicable"),EXACT(metadata!C264,"missing: not collected"),EXACT(metadata!C264,"missing: not provided"),EXACT(metadata!C264,"missing: restricted access"))),AND(IF(metadata!C264="",FALSE,ISNUMBER(VALUE(metadata!C264))),metadata!C264&gt;0))</f>
        <v>0</v>
      </c>
      <c r="AF264" t="b">
        <f>AND(IF(metadata!D264="",FALSE,TRUE),EXACT(metadata!D264,"missing: not provided"))</f>
        <v>0</v>
      </c>
      <c r="AG264" t="b">
        <f>AND(IF(metadata!E264="",FALSE,TRUE),EXACT(metadata!E264,"Host-associated"))</f>
        <v>0</v>
      </c>
      <c r="AH264" t="b">
        <f>AND(IF(metadata!F264="",FALSE,TRUE),OR(EXACT(metadata!F264,"Animal"),EXACT(metadata!F264,"Fungus"),EXACT(metadata!F264,"Plant")))</f>
        <v>0</v>
      </c>
      <c r="AI264" t="b">
        <f>AND(IF(metadata!G264="",FALSE,TRUE),OR(EXACT(metadata!G264,"Plant secretion"),EXACT(metadata!G264,"Plant rhizosphere"),EXACT(metadata!G264,"Plant surface"),EXACT(metadata!G264,"Plant corpus"),EXACT(metadata!G264,"Fungus surface"),EXACT(metadata!G264,"Fungus corpus"),EXACT(metadata!G264,"Animal surface"),EXACT(metadata!G264,"Animal proximal gut"),EXACT(metadata!G264,"Animal corpus"),EXACT(metadata!G264,"Animal distal gut"),EXACT(metadata!G264,"Animal secretion")))</f>
        <v>0</v>
      </c>
      <c r="AJ264" t="b">
        <f>OR(AND(IF(metadata!H264="",FALSE,TRUE),OR(EXACT(metadata!H264,"missing: not collected"),EXACT(metadata!H264,"missing: not provided"),EXACT(metadata!H264,"missing: restricted access"))),AND(IF(metadata!H264="",FALSE,TRUE),OR(EXACT(metadata!H264,"organism-associated habitat"),EXACT(metadata!H264,"plant-associated habitat"),EXACT(metadata!H264,"animal-associated habitat"),EXACT(metadata!H264,"insecta-associated habitat"),EXACT(metadata!H264,"mammalia-associated habitat"),EXACT(metadata!H264,"human-associated habitat"),EXACT(metadata!H264,"livestock-associated habitat"))))</f>
        <v>0</v>
      </c>
      <c r="AK264" t="b">
        <f>AND(IF(metadata!I264="",FALSE,TRUE),EXACT(metadata!I264,"host-associated"))</f>
        <v>0</v>
      </c>
      <c r="AL264" t="b">
        <f>OR(AND(IF(metadata!J264="",FALSE,TRUE),OR(EXACT(metadata!J264,"not applicable"),EXACT(metadata!J264,"missing: not collected"),EXACT(metadata!J264,"missing: not provided"),EXACT(metadata!J264,"missing: restricted access"))),AND(IF(metadata!J264="",FALSE,ISNUMBER(VALUE(metadata!J264))),metadata!J264&gt;0))</f>
        <v>0</v>
      </c>
      <c r="AM264" t="b">
        <f>AND(IF(metadata!K264="",FALSE,TRUE),EXACT(metadata!K264,"missing: not provided"))</f>
        <v>0</v>
      </c>
      <c r="AN264" t="b">
        <f>IF(metadata!L264="",FALSE,TRUE)</f>
        <v>0</v>
      </c>
      <c r="AO264" t="b">
        <f>IF(metadata!M264="",FALSE,TRUE)</f>
        <v>0</v>
      </c>
      <c r="AP264" t="b">
        <f>OR(AND(IF(metadata!N264="",FALSE,TRUE),OR(EXACT(metadata!N264,"not applicable"),EXACT(metadata!N264,"missing: not collected"),EXACT(metadata!N264,"missing: not provided"))),AND(IF(metadata!N264="",FALSE,IF(ISERROR(INT(metadata!N264)),FALSE,INT(metadata!N264)=metadata!N264)),metadata!N264&gt;0))</f>
        <v>0</v>
      </c>
      <c r="AQ264" t="b">
        <f>AND(IF(metadata!O264="",FALSE,TRUE),EXACT(metadata!O264,"Not applicable"))</f>
        <v>0</v>
      </c>
      <c r="AR264" t="b">
        <f>OR(AND(IF(metadata!P264="",FALSE,TRUE),OR(EXACT(metadata!P264,"not applicable"),EXACT(metadata!P264,"missing: not collected"),EXACT(metadata!P264,"missing: not provided"),EXACT(metadata!P264,"missing: restricted access"))),IF(metadata!P264="",FALSE,IF(ISERROR(INT(metadata!P264)),FALSE,INT(metadata!P264)=metadata!P264)))</f>
        <v>0</v>
      </c>
      <c r="AS264" t="b">
        <f>AND(IF(metadata!Q264="",FALSE,TRUE),EXACT(metadata!Q264,"Not applicable"))</f>
        <v>0</v>
      </c>
      <c r="AT264" t="b">
        <f>OR(AND(IF(metadata!R264="",FALSE,TRUE),OR(EXACT(metadata!R264,"not applicable"),EXACT(metadata!R264,"missing: not collected"),EXACT(metadata!R264,"missing: not provided"),EXACT(metadata!R264,"missing: restricted access"))),AND(IF(metadata!R264="",FALSE,ISNUMBER(VALUE(metadata!R264))),metadata!R264&gt;0))</f>
        <v>0</v>
      </c>
      <c r="AU264" t="b">
        <f>AND(IF(metadata!S264="",FALSE,TRUE),EXACT(metadata!S264,"missing: not provided"))</f>
        <v>0</v>
      </c>
    </row>
    <row r="265" spans="1:47" x14ac:dyDescent="0.2">
      <c r="A265" s="5" t="str">
        <f ca="1">IF(B265=" "," ",HYPERLINK(CONCATENATE("#metadata!",ADDRESS(INDEX($Y$2:$Y$1001,MATCH(ROWS($W$2:W265),$W$2:$W$1001,0),0),1)),INDEX($AB$2:$AB$1001,MATCH(ROWS($W$2:W265),$W$2:$W$1001,0),0)))</f>
        <v xml:space="preserve"> </v>
      </c>
      <c r="B265" s="4" t="str">
        <f ca="1">IF(OR(INDEX($X$2:$X$1001,MATCH(ROWS($W$2:W265),$W$2:$W$1001,0),1)&gt;=100000,INDEX($AD$1005:$AU$1005,1,MATCH(COLUMNS($AD$1006:AD1006),$AD$1006:$AU$1006,0))&gt;=100000), " ",IF(INDEX($AD$2:$AU$1001,MATCH(ROWS($W$2:W265),$W$2:$W$1001,0),MATCH(COLUMNS($AD$1006:AD1006),$AD$1006:$AU$1006,0)), HYPERLINK("#",""), HYPERLINK(CONCATENATE("#metadata!", ADDRESS(INDEX($Y$2:$Y$1001,MATCH(ROWS($W$2:W265),$W$2:$W$1001,0),0), INDEX($AD$1004:$AU$1004,1,MATCH(COLUMNS($AD$1006:AD1006),$AD$1006:$AU$1006,0)))),"Fix")))</f>
        <v xml:space="preserve"> </v>
      </c>
      <c r="C265" s="4" t="str">
        <f ca="1">IF(OR(INDEX($X$2:$X$1001,MATCH(ROWS($W$2:W265),$W$2:$W$1001,0),1)&gt;=100000,INDEX($AD$1005:$AU$1005,1,MATCH(COLUMNS($AD$1006:AE1006),$AD$1006:$AU$1006,0))&gt;=100000), " ",IF(INDEX($AD$2:$AU$1001,MATCH(ROWS($W$2:W265),$W$2:$W$1001,0),MATCH(COLUMNS($AD$1006:AE1006),$AD$1006:$AU$1006,0)), HYPERLINK("#",""), HYPERLINK(CONCATENATE("#metadata!", ADDRESS(INDEX($Y$2:$Y$1001,MATCH(ROWS($W$2:W265),$W$2:$W$1001,0),0), INDEX($AD$1004:$AU$1004,1,MATCH(COLUMNS($AD$1006:AE1006),$AD$1006:$AU$1006,0)))),"Fix")))</f>
        <v xml:space="preserve"> </v>
      </c>
      <c r="D265" s="4" t="str">
        <f ca="1">IF(OR(INDEX($X$2:$X$1001,MATCH(ROWS($W$2:W265),$W$2:$W$1001,0),1)&gt;=100000,INDEX($AD$1005:$AU$1005,1,MATCH(COLUMNS($AD$1006:AF1006),$AD$1006:$AU$1006,0))&gt;=100000), " ",IF(INDEX($AD$2:$AU$1001,MATCH(ROWS($W$2:W265),$W$2:$W$1001,0),MATCH(COLUMNS($AD$1006:AF1006),$AD$1006:$AU$1006,0)), HYPERLINK("#",""), HYPERLINK(CONCATENATE("#metadata!", ADDRESS(INDEX($Y$2:$Y$1001,MATCH(ROWS($W$2:W265),$W$2:$W$1001,0),0), INDEX($AD$1004:$AU$1004,1,MATCH(COLUMNS($AD$1006:AF1006),$AD$1006:$AU$1006,0)))),"Fix")))</f>
        <v xml:space="preserve"> </v>
      </c>
      <c r="E265" s="4" t="str">
        <f ca="1">IF(OR(INDEX($X$2:$X$1001,MATCH(ROWS($W$2:W265),$W$2:$W$1001,0),1)&gt;=100000,INDEX($AD$1005:$AU$1005,1,MATCH(COLUMNS($AD$1006:AG1006),$AD$1006:$AU$1006,0))&gt;=100000), " ",IF(INDEX($AD$2:$AU$1001,MATCH(ROWS($W$2:W265),$W$2:$W$1001,0),MATCH(COLUMNS($AD$1006:AG1006),$AD$1006:$AU$1006,0)), HYPERLINK("#",""), HYPERLINK(CONCATENATE("#metadata!", ADDRESS(INDEX($Y$2:$Y$1001,MATCH(ROWS($W$2:W265),$W$2:$W$1001,0),0), INDEX($AD$1004:$AU$1004,1,MATCH(COLUMNS($AD$1006:AG1006),$AD$1006:$AU$1006,0)))),"Fix")))</f>
        <v xml:space="preserve"> </v>
      </c>
      <c r="F265" s="4" t="str">
        <f ca="1">IF(OR(INDEX($X$2:$X$1001,MATCH(ROWS($W$2:W265),$W$2:$W$1001,0),1)&gt;=100000,INDEX($AD$1005:$AU$1005,1,MATCH(COLUMNS($AD$1006:AH1006),$AD$1006:$AU$1006,0))&gt;=100000), " ",IF(INDEX($AD$2:$AU$1001,MATCH(ROWS($W$2:W265),$W$2:$W$1001,0),MATCH(COLUMNS($AD$1006:AH1006),$AD$1006:$AU$1006,0)), HYPERLINK("#",""), HYPERLINK(CONCATENATE("#metadata!", ADDRESS(INDEX($Y$2:$Y$1001,MATCH(ROWS($W$2:W265),$W$2:$W$1001,0),0), INDEX($AD$1004:$AU$1004,1,MATCH(COLUMNS($AD$1006:AH1006),$AD$1006:$AU$1006,0)))),"Fix")))</f>
        <v xml:space="preserve"> </v>
      </c>
      <c r="G265" s="4" t="str">
        <f ca="1">IF(OR(INDEX($X$2:$X$1001,MATCH(ROWS($W$2:W265),$W$2:$W$1001,0),1)&gt;=100000,INDEX($AD$1005:$AU$1005,1,MATCH(COLUMNS($AD$1006:AI1006),$AD$1006:$AU$1006,0))&gt;=100000), " ",IF(INDEX($AD$2:$AU$1001,MATCH(ROWS($W$2:W265),$W$2:$W$1001,0),MATCH(COLUMNS($AD$1006:AI1006),$AD$1006:$AU$1006,0)), HYPERLINK("#",""), HYPERLINK(CONCATENATE("#metadata!", ADDRESS(INDEX($Y$2:$Y$1001,MATCH(ROWS($W$2:W265),$W$2:$W$1001,0),0), INDEX($AD$1004:$AU$1004,1,MATCH(COLUMNS($AD$1006:AI1006),$AD$1006:$AU$1006,0)))),"Fix")))</f>
        <v xml:space="preserve"> </v>
      </c>
      <c r="H265" s="4" t="str">
        <f ca="1">IF(OR(INDEX($X$2:$X$1001,MATCH(ROWS($W$2:W265),$W$2:$W$1001,0),1)&gt;=100000,INDEX($AD$1005:$AU$1005,1,MATCH(COLUMNS($AD$1006:AJ1006),$AD$1006:$AU$1006,0))&gt;=100000), " ",IF(INDEX($AD$2:$AU$1001,MATCH(ROWS($W$2:W265),$W$2:$W$1001,0),MATCH(COLUMNS($AD$1006:AJ1006),$AD$1006:$AU$1006,0)), HYPERLINK("#",""), HYPERLINK(CONCATENATE("#metadata!", ADDRESS(INDEX($Y$2:$Y$1001,MATCH(ROWS($W$2:W265),$W$2:$W$1001,0),0), INDEX($AD$1004:$AU$1004,1,MATCH(COLUMNS($AD$1006:AJ1006),$AD$1006:$AU$1006,0)))),"Fix")))</f>
        <v xml:space="preserve"> </v>
      </c>
      <c r="I265" s="4" t="str">
        <f ca="1">IF(OR(INDEX($X$2:$X$1001,MATCH(ROWS($W$2:W265),$W$2:$W$1001,0),1)&gt;=100000,INDEX($AD$1005:$AU$1005,1,MATCH(COLUMNS($AD$1006:AK1006),$AD$1006:$AU$1006,0))&gt;=100000), " ",IF(INDEX($AD$2:$AU$1001,MATCH(ROWS($W$2:W265),$W$2:$W$1001,0),MATCH(COLUMNS($AD$1006:AK1006),$AD$1006:$AU$1006,0)), HYPERLINK("#",""), HYPERLINK(CONCATENATE("#metadata!", ADDRESS(INDEX($Y$2:$Y$1001,MATCH(ROWS($W$2:W265),$W$2:$W$1001,0),0), INDEX($AD$1004:$AU$1004,1,MATCH(COLUMNS($AD$1006:AK1006),$AD$1006:$AU$1006,0)))),"Fix")))</f>
        <v xml:space="preserve"> </v>
      </c>
      <c r="J265" s="4" t="str">
        <f ca="1">IF(OR(INDEX($X$2:$X$1001,MATCH(ROWS($W$2:W265),$W$2:$W$1001,0),1)&gt;=100000,INDEX($AD$1005:$AU$1005,1,MATCH(COLUMNS($AD$1006:AL1006),$AD$1006:$AU$1006,0))&gt;=100000), " ",IF(INDEX($AD$2:$AU$1001,MATCH(ROWS($W$2:W265),$W$2:$W$1001,0),MATCH(COLUMNS($AD$1006:AL1006),$AD$1006:$AU$1006,0)), HYPERLINK("#",""), HYPERLINK(CONCATENATE("#metadata!", ADDRESS(INDEX($Y$2:$Y$1001,MATCH(ROWS($W$2:W265),$W$2:$W$1001,0),0), INDEX($AD$1004:$AU$1004,1,MATCH(COLUMNS($AD$1006:AL1006),$AD$1006:$AU$1006,0)))),"Fix")))</f>
        <v xml:space="preserve"> </v>
      </c>
      <c r="K265" s="4" t="str">
        <f ca="1">IF(OR(INDEX($X$2:$X$1001,MATCH(ROWS($W$2:W265),$W$2:$W$1001,0),1)&gt;=100000,INDEX($AD$1005:$AU$1005,1,MATCH(COLUMNS($AD$1006:AM1006),$AD$1006:$AU$1006,0))&gt;=100000), " ",IF(INDEX($AD$2:$AU$1001,MATCH(ROWS($W$2:W265),$W$2:$W$1001,0),MATCH(COLUMNS($AD$1006:AM1006),$AD$1006:$AU$1006,0)), HYPERLINK("#",""), HYPERLINK(CONCATENATE("#metadata!", ADDRESS(INDEX($Y$2:$Y$1001,MATCH(ROWS($W$2:W265),$W$2:$W$1001,0),0), INDEX($AD$1004:$AU$1004,1,MATCH(COLUMNS($AD$1006:AM1006),$AD$1006:$AU$1006,0)))),"Fix")))</f>
        <v xml:space="preserve"> </v>
      </c>
      <c r="L265" s="4" t="str">
        <f ca="1">IF(OR(INDEX($X$2:$X$1001,MATCH(ROWS($W$2:W265),$W$2:$W$1001,0),1)&gt;=100000,INDEX($AD$1005:$AU$1005,1,MATCH(COLUMNS($AD$1006:AN1006),$AD$1006:$AU$1006,0))&gt;=100000), " ",IF(INDEX($AD$2:$AU$1001,MATCH(ROWS($W$2:W265),$W$2:$W$1001,0),MATCH(COLUMNS($AD$1006:AN1006),$AD$1006:$AU$1006,0)), HYPERLINK("#",""), HYPERLINK(CONCATENATE("#metadata!", ADDRESS(INDEX($Y$2:$Y$1001,MATCH(ROWS($W$2:W265),$W$2:$W$1001,0),0), INDEX($AD$1004:$AU$1004,1,MATCH(COLUMNS($AD$1006:AN1006),$AD$1006:$AU$1006,0)))),"Fix")))</f>
        <v xml:space="preserve"> </v>
      </c>
      <c r="M265" s="4" t="str">
        <f ca="1">IF(OR(INDEX($X$2:$X$1001,MATCH(ROWS($W$2:W265),$W$2:$W$1001,0),1)&gt;=100000,INDEX($AD$1005:$AU$1005,1,MATCH(COLUMNS($AD$1006:AO1006),$AD$1006:$AU$1006,0))&gt;=100000), " ",IF(INDEX($AD$2:$AU$1001,MATCH(ROWS($W$2:W265),$W$2:$W$1001,0),MATCH(COLUMNS($AD$1006:AO1006),$AD$1006:$AU$1006,0)), HYPERLINK("#",""), HYPERLINK(CONCATENATE("#metadata!", ADDRESS(INDEX($Y$2:$Y$1001,MATCH(ROWS($W$2:W265),$W$2:$W$1001,0),0), INDEX($AD$1004:$AU$1004,1,MATCH(COLUMNS($AD$1006:AO1006),$AD$1006:$AU$1006,0)))),"Fix")))</f>
        <v xml:space="preserve"> </v>
      </c>
      <c r="N265" s="4" t="str">
        <f ca="1">IF(OR(INDEX($X$2:$X$1001,MATCH(ROWS($W$2:W265),$W$2:$W$1001,0),1)&gt;=100000,INDEX($AD$1005:$AU$1005,1,MATCH(COLUMNS($AD$1006:AP1006),$AD$1006:$AU$1006,0))&gt;=100000), " ",IF(INDEX($AD$2:$AU$1001,MATCH(ROWS($W$2:W265),$W$2:$W$1001,0),MATCH(COLUMNS($AD$1006:AP1006),$AD$1006:$AU$1006,0)), HYPERLINK("#",""), HYPERLINK(CONCATENATE("#metadata!", ADDRESS(INDEX($Y$2:$Y$1001,MATCH(ROWS($W$2:W265),$W$2:$W$1001,0),0), INDEX($AD$1004:$AU$1004,1,MATCH(COLUMNS($AD$1006:AP1006),$AD$1006:$AU$1006,0)))),"Fix")))</f>
        <v xml:space="preserve"> </v>
      </c>
      <c r="O265" s="4" t="str">
        <f ca="1">IF(OR(INDEX($X$2:$X$1001,MATCH(ROWS($W$2:W265),$W$2:$W$1001,0),1)&gt;=100000,INDEX($AD$1005:$AU$1005,1,MATCH(COLUMNS($AD$1006:AQ1006),$AD$1006:$AU$1006,0))&gt;=100000), " ",IF(INDEX($AD$2:$AU$1001,MATCH(ROWS($W$2:W265),$W$2:$W$1001,0),MATCH(COLUMNS($AD$1006:AQ1006),$AD$1006:$AU$1006,0)), HYPERLINK("#",""), HYPERLINK(CONCATENATE("#metadata!", ADDRESS(INDEX($Y$2:$Y$1001,MATCH(ROWS($W$2:W265),$W$2:$W$1001,0),0), INDEX($AD$1004:$AU$1004,1,MATCH(COLUMNS($AD$1006:AQ1006),$AD$1006:$AU$1006,0)))),"Fix")))</f>
        <v xml:space="preserve"> </v>
      </c>
      <c r="P265" s="4" t="str">
        <f ca="1">IF(OR(INDEX($X$2:$X$1001,MATCH(ROWS($W$2:W265),$W$2:$W$1001,0),1)&gt;=100000,INDEX($AD$1005:$AU$1005,1,MATCH(COLUMNS($AD$1006:AR1006),$AD$1006:$AU$1006,0))&gt;=100000), " ",IF(INDEX($AD$2:$AU$1001,MATCH(ROWS($W$2:W265),$W$2:$W$1001,0),MATCH(COLUMNS($AD$1006:AR1006),$AD$1006:$AU$1006,0)), HYPERLINK("#",""), HYPERLINK(CONCATENATE("#metadata!", ADDRESS(INDEX($Y$2:$Y$1001,MATCH(ROWS($W$2:W265),$W$2:$W$1001,0),0), INDEX($AD$1004:$AU$1004,1,MATCH(COLUMNS($AD$1006:AR1006),$AD$1006:$AU$1006,0)))),"Fix")))</f>
        <v xml:space="preserve"> </v>
      </c>
      <c r="Q265" s="4" t="str">
        <f ca="1">IF(OR(INDEX($X$2:$X$1001,MATCH(ROWS($W$2:W265),$W$2:$W$1001,0),1)&gt;=100000,INDEX($AD$1005:$AU$1005,1,MATCH(COLUMNS($AD$1006:AS1006),$AD$1006:$AU$1006,0))&gt;=100000), " ",IF(INDEX($AD$2:$AU$1001,MATCH(ROWS($W$2:W265),$W$2:$W$1001,0),MATCH(COLUMNS($AD$1006:AS1006),$AD$1006:$AU$1006,0)), HYPERLINK("#",""), HYPERLINK(CONCATENATE("#metadata!", ADDRESS(INDEX($Y$2:$Y$1001,MATCH(ROWS($W$2:W265),$W$2:$W$1001,0),0), INDEX($AD$1004:$AU$1004,1,MATCH(COLUMNS($AD$1006:AS1006),$AD$1006:$AU$1006,0)))),"Fix")))</f>
        <v xml:space="preserve"> </v>
      </c>
      <c r="R265" s="4" t="str">
        <f ca="1">IF(OR(INDEX($X$2:$X$1001,MATCH(ROWS($W$2:W265),$W$2:$W$1001,0),1)&gt;=100000,INDEX($AD$1005:$AU$1005,1,MATCH(COLUMNS($AD$1006:AT1006),$AD$1006:$AU$1006,0))&gt;=100000), " ",IF(INDEX($AD$2:$AU$1001,MATCH(ROWS($W$2:W265),$W$2:$W$1001,0),MATCH(COLUMNS($AD$1006:AT1006),$AD$1006:$AU$1006,0)), HYPERLINK("#",""), HYPERLINK(CONCATENATE("#metadata!", ADDRESS(INDEX($Y$2:$Y$1001,MATCH(ROWS($W$2:W265),$W$2:$W$1001,0),0), INDEX($AD$1004:$AU$1004,1,MATCH(COLUMNS($AD$1006:AT1006),$AD$1006:$AU$1006,0)))),"Fix")))</f>
        <v xml:space="preserve"> </v>
      </c>
      <c r="S265" s="4" t="str">
        <f ca="1">IF(OR(INDEX($X$2:$X$1001,MATCH(ROWS($W$2:W265),$W$2:$W$1001,0),1)&gt;=100000,INDEX($AD$1005:$AU$1005,1,MATCH(COLUMNS($AD$1006:AU1006),$AD$1006:$AU$1006,0))&gt;=100000), " ",IF(INDEX($AD$2:$AU$1001,MATCH(ROWS($W$2:W265),$W$2:$W$1001,0),MATCH(COLUMNS($AD$1006:AU1006),$AD$1006:$AU$1006,0)), HYPERLINK("#",""), HYPERLINK(CONCATENATE("#metadata!", ADDRESS(INDEX($Y$2:$Y$1001,MATCH(ROWS($W$2:W265),$W$2:$W$1001,0),0), INDEX($AD$1004:$AU$1004,1,MATCH(COLUMNS($AD$1006:AU1006),$AD$1006:$AU$1006,0)))),"Fix")))</f>
        <v xml:space="preserve"> </v>
      </c>
      <c r="W265">
        <v>264</v>
      </c>
      <c r="X265">
        <v>100265</v>
      </c>
      <c r="Y265">
        <v>265</v>
      </c>
      <c r="Z265" t="b">
        <f t="shared" si="4"/>
        <v>1</v>
      </c>
      <c r="AA265" t="b">
        <f>COUNTBLANK(metadata!B265:S265)=COLUMNS(metadata!B265:S265)</f>
        <v>1</v>
      </c>
      <c r="AB265" t="str">
        <v/>
      </c>
      <c r="AD265" t="b">
        <f ca="1">AND(IF(metadata!B265="",FALSE,TRUE),COUNTIF(metadata!B:B, metadata!B265) = 1,NOT(ISERROR(SUMPRODUCT(SEARCH(MID(metadata!B265,ROW(INDIRECT("1:"&amp;LEN(metadata!B265))), 1),"0123456789abcdefghijklmnopqrstuvwxyzABCDEFGHIJKLMNOPQRSTUVWXYZ.")))))</f>
        <v>0</v>
      </c>
      <c r="AE265" t="b">
        <f>OR(AND(IF(metadata!C265="",FALSE,TRUE),OR(EXACT(metadata!C265,"not applicable"),EXACT(metadata!C265,"missing: not collected"),EXACT(metadata!C265,"missing: not provided"),EXACT(metadata!C265,"missing: restricted access"))),AND(IF(metadata!C265="",FALSE,ISNUMBER(VALUE(metadata!C265))),metadata!C265&gt;0))</f>
        <v>0</v>
      </c>
      <c r="AF265" t="b">
        <f>AND(IF(metadata!D265="",FALSE,TRUE),EXACT(metadata!D265,"missing: not provided"))</f>
        <v>0</v>
      </c>
      <c r="AG265" t="b">
        <f>AND(IF(metadata!E265="",FALSE,TRUE),EXACT(metadata!E265,"Host-associated"))</f>
        <v>0</v>
      </c>
      <c r="AH265" t="b">
        <f>AND(IF(metadata!F265="",FALSE,TRUE),OR(EXACT(metadata!F265,"Animal"),EXACT(metadata!F265,"Fungus"),EXACT(metadata!F265,"Plant")))</f>
        <v>0</v>
      </c>
      <c r="AI265" t="b">
        <f>AND(IF(metadata!G265="",FALSE,TRUE),OR(EXACT(metadata!G265,"Plant secretion"),EXACT(metadata!G265,"Plant rhizosphere"),EXACT(metadata!G265,"Plant surface"),EXACT(metadata!G265,"Plant corpus"),EXACT(metadata!G265,"Fungus surface"),EXACT(metadata!G265,"Fungus corpus"),EXACT(metadata!G265,"Animal surface"),EXACT(metadata!G265,"Animal proximal gut"),EXACT(metadata!G265,"Animal corpus"),EXACT(metadata!G265,"Animal distal gut"),EXACT(metadata!G265,"Animal secretion")))</f>
        <v>0</v>
      </c>
      <c r="AJ265" t="b">
        <f>OR(AND(IF(metadata!H265="",FALSE,TRUE),OR(EXACT(metadata!H265,"missing: not collected"),EXACT(metadata!H265,"missing: not provided"),EXACT(metadata!H265,"missing: restricted access"))),AND(IF(metadata!H265="",FALSE,TRUE),OR(EXACT(metadata!H265,"organism-associated habitat"),EXACT(metadata!H265,"plant-associated habitat"),EXACT(metadata!H265,"animal-associated habitat"),EXACT(metadata!H265,"insecta-associated habitat"),EXACT(metadata!H265,"mammalia-associated habitat"),EXACT(metadata!H265,"human-associated habitat"),EXACT(metadata!H265,"livestock-associated habitat"))))</f>
        <v>0</v>
      </c>
      <c r="AK265" t="b">
        <f>AND(IF(metadata!I265="",FALSE,TRUE),EXACT(metadata!I265,"host-associated"))</f>
        <v>0</v>
      </c>
      <c r="AL265" t="b">
        <f>OR(AND(IF(metadata!J265="",FALSE,TRUE),OR(EXACT(metadata!J265,"not applicable"),EXACT(metadata!J265,"missing: not collected"),EXACT(metadata!J265,"missing: not provided"),EXACT(metadata!J265,"missing: restricted access"))),AND(IF(metadata!J265="",FALSE,ISNUMBER(VALUE(metadata!J265))),metadata!J265&gt;0))</f>
        <v>0</v>
      </c>
      <c r="AM265" t="b">
        <f>AND(IF(metadata!K265="",FALSE,TRUE),EXACT(metadata!K265,"missing: not provided"))</f>
        <v>0</v>
      </c>
      <c r="AN265" t="b">
        <f>IF(metadata!L265="",FALSE,TRUE)</f>
        <v>0</v>
      </c>
      <c r="AO265" t="b">
        <f>IF(metadata!M265="",FALSE,TRUE)</f>
        <v>0</v>
      </c>
      <c r="AP265" t="b">
        <f>OR(AND(IF(metadata!N265="",FALSE,TRUE),OR(EXACT(metadata!N265,"not applicable"),EXACT(metadata!N265,"missing: not collected"),EXACT(metadata!N265,"missing: not provided"))),AND(IF(metadata!N265="",FALSE,IF(ISERROR(INT(metadata!N265)),FALSE,INT(metadata!N265)=metadata!N265)),metadata!N265&gt;0))</f>
        <v>0</v>
      </c>
      <c r="AQ265" t="b">
        <f>AND(IF(metadata!O265="",FALSE,TRUE),EXACT(metadata!O265,"Not applicable"))</f>
        <v>0</v>
      </c>
      <c r="AR265" t="b">
        <f>OR(AND(IF(metadata!P265="",FALSE,TRUE),OR(EXACT(metadata!P265,"not applicable"),EXACT(metadata!P265,"missing: not collected"),EXACT(metadata!P265,"missing: not provided"),EXACT(metadata!P265,"missing: restricted access"))),IF(metadata!P265="",FALSE,IF(ISERROR(INT(metadata!P265)),FALSE,INT(metadata!P265)=metadata!P265)))</f>
        <v>0</v>
      </c>
      <c r="AS265" t="b">
        <f>AND(IF(metadata!Q265="",FALSE,TRUE),EXACT(metadata!Q265,"Not applicable"))</f>
        <v>0</v>
      </c>
      <c r="AT265" t="b">
        <f>OR(AND(IF(metadata!R265="",FALSE,TRUE),OR(EXACT(metadata!R265,"not applicable"),EXACT(metadata!R265,"missing: not collected"),EXACT(metadata!R265,"missing: not provided"),EXACT(metadata!R265,"missing: restricted access"))),AND(IF(metadata!R265="",FALSE,ISNUMBER(VALUE(metadata!R265))),metadata!R265&gt;0))</f>
        <v>0</v>
      </c>
      <c r="AU265" t="b">
        <f>AND(IF(metadata!S265="",FALSE,TRUE),EXACT(metadata!S265,"missing: not provided"))</f>
        <v>0</v>
      </c>
    </row>
    <row r="266" spans="1:47" x14ac:dyDescent="0.2">
      <c r="A266" s="5" t="str">
        <f ca="1">IF(B266=" "," ",HYPERLINK(CONCATENATE("#metadata!",ADDRESS(INDEX($Y$2:$Y$1001,MATCH(ROWS($W$2:W266),$W$2:$W$1001,0),0),1)),INDEX($AB$2:$AB$1001,MATCH(ROWS($W$2:W266),$W$2:$W$1001,0),0)))</f>
        <v xml:space="preserve"> </v>
      </c>
      <c r="B266" s="4" t="str">
        <f ca="1">IF(OR(INDEX($X$2:$X$1001,MATCH(ROWS($W$2:W266),$W$2:$W$1001,0),1)&gt;=100000,INDEX($AD$1005:$AU$1005,1,MATCH(COLUMNS($AD$1006:AD1006),$AD$1006:$AU$1006,0))&gt;=100000), " ",IF(INDEX($AD$2:$AU$1001,MATCH(ROWS($W$2:W266),$W$2:$W$1001,0),MATCH(COLUMNS($AD$1006:AD1006),$AD$1006:$AU$1006,0)), HYPERLINK("#",""), HYPERLINK(CONCATENATE("#metadata!", ADDRESS(INDEX($Y$2:$Y$1001,MATCH(ROWS($W$2:W266),$W$2:$W$1001,0),0), INDEX($AD$1004:$AU$1004,1,MATCH(COLUMNS($AD$1006:AD1006),$AD$1006:$AU$1006,0)))),"Fix")))</f>
        <v xml:space="preserve"> </v>
      </c>
      <c r="C266" s="4" t="str">
        <f ca="1">IF(OR(INDEX($X$2:$X$1001,MATCH(ROWS($W$2:W266),$W$2:$W$1001,0),1)&gt;=100000,INDEX($AD$1005:$AU$1005,1,MATCH(COLUMNS($AD$1006:AE1006),$AD$1006:$AU$1006,0))&gt;=100000), " ",IF(INDEX($AD$2:$AU$1001,MATCH(ROWS($W$2:W266),$W$2:$W$1001,0),MATCH(COLUMNS($AD$1006:AE1006),$AD$1006:$AU$1006,0)), HYPERLINK("#",""), HYPERLINK(CONCATENATE("#metadata!", ADDRESS(INDEX($Y$2:$Y$1001,MATCH(ROWS($W$2:W266),$W$2:$W$1001,0),0), INDEX($AD$1004:$AU$1004,1,MATCH(COLUMNS($AD$1006:AE1006),$AD$1006:$AU$1006,0)))),"Fix")))</f>
        <v xml:space="preserve"> </v>
      </c>
      <c r="D266" s="4" t="str">
        <f ca="1">IF(OR(INDEX($X$2:$X$1001,MATCH(ROWS($W$2:W266),$W$2:$W$1001,0),1)&gt;=100000,INDEX($AD$1005:$AU$1005,1,MATCH(COLUMNS($AD$1006:AF1006),$AD$1006:$AU$1006,0))&gt;=100000), " ",IF(INDEX($AD$2:$AU$1001,MATCH(ROWS($W$2:W266),$W$2:$W$1001,0),MATCH(COLUMNS($AD$1006:AF1006),$AD$1006:$AU$1006,0)), HYPERLINK("#",""), HYPERLINK(CONCATENATE("#metadata!", ADDRESS(INDEX($Y$2:$Y$1001,MATCH(ROWS($W$2:W266),$W$2:$W$1001,0),0), INDEX($AD$1004:$AU$1004,1,MATCH(COLUMNS($AD$1006:AF1006),$AD$1006:$AU$1006,0)))),"Fix")))</f>
        <v xml:space="preserve"> </v>
      </c>
      <c r="E266" s="4" t="str">
        <f ca="1">IF(OR(INDEX($X$2:$X$1001,MATCH(ROWS($W$2:W266),$W$2:$W$1001,0),1)&gt;=100000,INDEX($AD$1005:$AU$1005,1,MATCH(COLUMNS($AD$1006:AG1006),$AD$1006:$AU$1006,0))&gt;=100000), " ",IF(INDEX($AD$2:$AU$1001,MATCH(ROWS($W$2:W266),$W$2:$W$1001,0),MATCH(COLUMNS($AD$1006:AG1006),$AD$1006:$AU$1006,0)), HYPERLINK("#",""), HYPERLINK(CONCATENATE("#metadata!", ADDRESS(INDEX($Y$2:$Y$1001,MATCH(ROWS($W$2:W266),$W$2:$W$1001,0),0), INDEX($AD$1004:$AU$1004,1,MATCH(COLUMNS($AD$1006:AG1006),$AD$1006:$AU$1006,0)))),"Fix")))</f>
        <v xml:space="preserve"> </v>
      </c>
      <c r="F266" s="4" t="str">
        <f ca="1">IF(OR(INDEX($X$2:$X$1001,MATCH(ROWS($W$2:W266),$W$2:$W$1001,0),1)&gt;=100000,INDEX($AD$1005:$AU$1005,1,MATCH(COLUMNS($AD$1006:AH1006),$AD$1006:$AU$1006,0))&gt;=100000), " ",IF(INDEX($AD$2:$AU$1001,MATCH(ROWS($W$2:W266),$W$2:$W$1001,0),MATCH(COLUMNS($AD$1006:AH1006),$AD$1006:$AU$1006,0)), HYPERLINK("#",""), HYPERLINK(CONCATENATE("#metadata!", ADDRESS(INDEX($Y$2:$Y$1001,MATCH(ROWS($W$2:W266),$W$2:$W$1001,0),0), INDEX($AD$1004:$AU$1004,1,MATCH(COLUMNS($AD$1006:AH1006),$AD$1006:$AU$1006,0)))),"Fix")))</f>
        <v xml:space="preserve"> </v>
      </c>
      <c r="G266" s="4" t="str">
        <f ca="1">IF(OR(INDEX($X$2:$X$1001,MATCH(ROWS($W$2:W266),$W$2:$W$1001,0),1)&gt;=100000,INDEX($AD$1005:$AU$1005,1,MATCH(COLUMNS($AD$1006:AI1006),$AD$1006:$AU$1006,0))&gt;=100000), " ",IF(INDEX($AD$2:$AU$1001,MATCH(ROWS($W$2:W266),$W$2:$W$1001,0),MATCH(COLUMNS($AD$1006:AI1006),$AD$1006:$AU$1006,0)), HYPERLINK("#",""), HYPERLINK(CONCATENATE("#metadata!", ADDRESS(INDEX($Y$2:$Y$1001,MATCH(ROWS($W$2:W266),$W$2:$W$1001,0),0), INDEX($AD$1004:$AU$1004,1,MATCH(COLUMNS($AD$1006:AI1006),$AD$1006:$AU$1006,0)))),"Fix")))</f>
        <v xml:space="preserve"> </v>
      </c>
      <c r="H266" s="4" t="str">
        <f ca="1">IF(OR(INDEX($X$2:$X$1001,MATCH(ROWS($W$2:W266),$W$2:$W$1001,0),1)&gt;=100000,INDEX($AD$1005:$AU$1005,1,MATCH(COLUMNS($AD$1006:AJ1006),$AD$1006:$AU$1006,0))&gt;=100000), " ",IF(INDEX($AD$2:$AU$1001,MATCH(ROWS($W$2:W266),$W$2:$W$1001,0),MATCH(COLUMNS($AD$1006:AJ1006),$AD$1006:$AU$1006,0)), HYPERLINK("#",""), HYPERLINK(CONCATENATE("#metadata!", ADDRESS(INDEX($Y$2:$Y$1001,MATCH(ROWS($W$2:W266),$W$2:$W$1001,0),0), INDEX($AD$1004:$AU$1004,1,MATCH(COLUMNS($AD$1006:AJ1006),$AD$1006:$AU$1006,0)))),"Fix")))</f>
        <v xml:space="preserve"> </v>
      </c>
      <c r="I266" s="4" t="str">
        <f ca="1">IF(OR(INDEX($X$2:$X$1001,MATCH(ROWS($W$2:W266),$W$2:$W$1001,0),1)&gt;=100000,INDEX($AD$1005:$AU$1005,1,MATCH(COLUMNS($AD$1006:AK1006),$AD$1006:$AU$1006,0))&gt;=100000), " ",IF(INDEX($AD$2:$AU$1001,MATCH(ROWS($W$2:W266),$W$2:$W$1001,0),MATCH(COLUMNS($AD$1006:AK1006),$AD$1006:$AU$1006,0)), HYPERLINK("#",""), HYPERLINK(CONCATENATE("#metadata!", ADDRESS(INDEX($Y$2:$Y$1001,MATCH(ROWS($W$2:W266),$W$2:$W$1001,0),0), INDEX($AD$1004:$AU$1004,1,MATCH(COLUMNS($AD$1006:AK1006),$AD$1006:$AU$1006,0)))),"Fix")))</f>
        <v xml:space="preserve"> </v>
      </c>
      <c r="J266" s="4" t="str">
        <f ca="1">IF(OR(INDEX($X$2:$X$1001,MATCH(ROWS($W$2:W266),$W$2:$W$1001,0),1)&gt;=100000,INDEX($AD$1005:$AU$1005,1,MATCH(COLUMNS($AD$1006:AL1006),$AD$1006:$AU$1006,0))&gt;=100000), " ",IF(INDEX($AD$2:$AU$1001,MATCH(ROWS($W$2:W266),$W$2:$W$1001,0),MATCH(COLUMNS($AD$1006:AL1006),$AD$1006:$AU$1006,0)), HYPERLINK("#",""), HYPERLINK(CONCATENATE("#metadata!", ADDRESS(INDEX($Y$2:$Y$1001,MATCH(ROWS($W$2:W266),$W$2:$W$1001,0),0), INDEX($AD$1004:$AU$1004,1,MATCH(COLUMNS($AD$1006:AL1006),$AD$1006:$AU$1006,0)))),"Fix")))</f>
        <v xml:space="preserve"> </v>
      </c>
      <c r="K266" s="4" t="str">
        <f ca="1">IF(OR(INDEX($X$2:$X$1001,MATCH(ROWS($W$2:W266),$W$2:$W$1001,0),1)&gt;=100000,INDEX($AD$1005:$AU$1005,1,MATCH(COLUMNS($AD$1006:AM1006),$AD$1006:$AU$1006,0))&gt;=100000), " ",IF(INDEX($AD$2:$AU$1001,MATCH(ROWS($W$2:W266),$W$2:$W$1001,0),MATCH(COLUMNS($AD$1006:AM1006),$AD$1006:$AU$1006,0)), HYPERLINK("#",""), HYPERLINK(CONCATENATE("#metadata!", ADDRESS(INDEX($Y$2:$Y$1001,MATCH(ROWS($W$2:W266),$W$2:$W$1001,0),0), INDEX($AD$1004:$AU$1004,1,MATCH(COLUMNS($AD$1006:AM1006),$AD$1006:$AU$1006,0)))),"Fix")))</f>
        <v xml:space="preserve"> </v>
      </c>
      <c r="L266" s="4" t="str">
        <f ca="1">IF(OR(INDEX($X$2:$X$1001,MATCH(ROWS($W$2:W266),$W$2:$W$1001,0),1)&gt;=100000,INDEX($AD$1005:$AU$1005,1,MATCH(COLUMNS($AD$1006:AN1006),$AD$1006:$AU$1006,0))&gt;=100000), " ",IF(INDEX($AD$2:$AU$1001,MATCH(ROWS($W$2:W266),$W$2:$W$1001,0),MATCH(COLUMNS($AD$1006:AN1006),$AD$1006:$AU$1006,0)), HYPERLINK("#",""), HYPERLINK(CONCATENATE("#metadata!", ADDRESS(INDEX($Y$2:$Y$1001,MATCH(ROWS($W$2:W266),$W$2:$W$1001,0),0), INDEX($AD$1004:$AU$1004,1,MATCH(COLUMNS($AD$1006:AN1006),$AD$1006:$AU$1006,0)))),"Fix")))</f>
        <v xml:space="preserve"> </v>
      </c>
      <c r="M266" s="4" t="str">
        <f ca="1">IF(OR(INDEX($X$2:$X$1001,MATCH(ROWS($W$2:W266),$W$2:$W$1001,0),1)&gt;=100000,INDEX($AD$1005:$AU$1005,1,MATCH(COLUMNS($AD$1006:AO1006),$AD$1006:$AU$1006,0))&gt;=100000), " ",IF(INDEX($AD$2:$AU$1001,MATCH(ROWS($W$2:W266),$W$2:$W$1001,0),MATCH(COLUMNS($AD$1006:AO1006),$AD$1006:$AU$1006,0)), HYPERLINK("#",""), HYPERLINK(CONCATENATE("#metadata!", ADDRESS(INDEX($Y$2:$Y$1001,MATCH(ROWS($W$2:W266),$W$2:$W$1001,0),0), INDEX($AD$1004:$AU$1004,1,MATCH(COLUMNS($AD$1006:AO1006),$AD$1006:$AU$1006,0)))),"Fix")))</f>
        <v xml:space="preserve"> </v>
      </c>
      <c r="N266" s="4" t="str">
        <f ca="1">IF(OR(INDEX($X$2:$X$1001,MATCH(ROWS($W$2:W266),$W$2:$W$1001,0),1)&gt;=100000,INDEX($AD$1005:$AU$1005,1,MATCH(COLUMNS($AD$1006:AP1006),$AD$1006:$AU$1006,0))&gt;=100000), " ",IF(INDEX($AD$2:$AU$1001,MATCH(ROWS($W$2:W266),$W$2:$W$1001,0),MATCH(COLUMNS($AD$1006:AP1006),$AD$1006:$AU$1006,0)), HYPERLINK("#",""), HYPERLINK(CONCATENATE("#metadata!", ADDRESS(INDEX($Y$2:$Y$1001,MATCH(ROWS($W$2:W266),$W$2:$W$1001,0),0), INDEX($AD$1004:$AU$1004,1,MATCH(COLUMNS($AD$1006:AP1006),$AD$1006:$AU$1006,0)))),"Fix")))</f>
        <v xml:space="preserve"> </v>
      </c>
      <c r="O266" s="4" t="str">
        <f ca="1">IF(OR(INDEX($X$2:$X$1001,MATCH(ROWS($W$2:W266),$W$2:$W$1001,0),1)&gt;=100000,INDEX($AD$1005:$AU$1005,1,MATCH(COLUMNS($AD$1006:AQ1006),$AD$1006:$AU$1006,0))&gt;=100000), " ",IF(INDEX($AD$2:$AU$1001,MATCH(ROWS($W$2:W266),$W$2:$W$1001,0),MATCH(COLUMNS($AD$1006:AQ1006),$AD$1006:$AU$1006,0)), HYPERLINK("#",""), HYPERLINK(CONCATENATE("#metadata!", ADDRESS(INDEX($Y$2:$Y$1001,MATCH(ROWS($W$2:W266),$W$2:$W$1001,0),0), INDEX($AD$1004:$AU$1004,1,MATCH(COLUMNS($AD$1006:AQ1006),$AD$1006:$AU$1006,0)))),"Fix")))</f>
        <v xml:space="preserve"> </v>
      </c>
      <c r="P266" s="4" t="str">
        <f ca="1">IF(OR(INDEX($X$2:$X$1001,MATCH(ROWS($W$2:W266),$W$2:$W$1001,0),1)&gt;=100000,INDEX($AD$1005:$AU$1005,1,MATCH(COLUMNS($AD$1006:AR1006),$AD$1006:$AU$1006,0))&gt;=100000), " ",IF(INDEX($AD$2:$AU$1001,MATCH(ROWS($W$2:W266),$W$2:$W$1001,0),MATCH(COLUMNS($AD$1006:AR1006),$AD$1006:$AU$1006,0)), HYPERLINK("#",""), HYPERLINK(CONCATENATE("#metadata!", ADDRESS(INDEX($Y$2:$Y$1001,MATCH(ROWS($W$2:W266),$W$2:$W$1001,0),0), INDEX($AD$1004:$AU$1004,1,MATCH(COLUMNS($AD$1006:AR1006),$AD$1006:$AU$1006,0)))),"Fix")))</f>
        <v xml:space="preserve"> </v>
      </c>
      <c r="Q266" s="4" t="str">
        <f ca="1">IF(OR(INDEX($X$2:$X$1001,MATCH(ROWS($W$2:W266),$W$2:$W$1001,0),1)&gt;=100000,INDEX($AD$1005:$AU$1005,1,MATCH(COLUMNS($AD$1006:AS1006),$AD$1006:$AU$1006,0))&gt;=100000), " ",IF(INDEX($AD$2:$AU$1001,MATCH(ROWS($W$2:W266),$W$2:$W$1001,0),MATCH(COLUMNS($AD$1006:AS1006),$AD$1006:$AU$1006,0)), HYPERLINK("#",""), HYPERLINK(CONCATENATE("#metadata!", ADDRESS(INDEX($Y$2:$Y$1001,MATCH(ROWS($W$2:W266),$W$2:$W$1001,0),0), INDEX($AD$1004:$AU$1004,1,MATCH(COLUMNS($AD$1006:AS1006),$AD$1006:$AU$1006,0)))),"Fix")))</f>
        <v xml:space="preserve"> </v>
      </c>
      <c r="R266" s="4" t="str">
        <f ca="1">IF(OR(INDEX($X$2:$X$1001,MATCH(ROWS($W$2:W266),$W$2:$W$1001,0),1)&gt;=100000,INDEX($AD$1005:$AU$1005,1,MATCH(COLUMNS($AD$1006:AT1006),$AD$1006:$AU$1006,0))&gt;=100000), " ",IF(INDEX($AD$2:$AU$1001,MATCH(ROWS($W$2:W266),$W$2:$W$1001,0),MATCH(COLUMNS($AD$1006:AT1006),$AD$1006:$AU$1006,0)), HYPERLINK("#",""), HYPERLINK(CONCATENATE("#metadata!", ADDRESS(INDEX($Y$2:$Y$1001,MATCH(ROWS($W$2:W266),$W$2:$W$1001,0),0), INDEX($AD$1004:$AU$1004,1,MATCH(COLUMNS($AD$1006:AT1006),$AD$1006:$AU$1006,0)))),"Fix")))</f>
        <v xml:space="preserve"> </v>
      </c>
      <c r="S266" s="4" t="str">
        <f ca="1">IF(OR(INDEX($X$2:$X$1001,MATCH(ROWS($W$2:W266),$W$2:$W$1001,0),1)&gt;=100000,INDEX($AD$1005:$AU$1005,1,MATCH(COLUMNS($AD$1006:AU1006),$AD$1006:$AU$1006,0))&gt;=100000), " ",IF(INDEX($AD$2:$AU$1001,MATCH(ROWS($W$2:W266),$W$2:$W$1001,0),MATCH(COLUMNS($AD$1006:AU1006),$AD$1006:$AU$1006,0)), HYPERLINK("#",""), HYPERLINK(CONCATENATE("#metadata!", ADDRESS(INDEX($Y$2:$Y$1001,MATCH(ROWS($W$2:W266),$W$2:$W$1001,0),0), INDEX($AD$1004:$AU$1004,1,MATCH(COLUMNS($AD$1006:AU1006),$AD$1006:$AU$1006,0)))),"Fix")))</f>
        <v xml:space="preserve"> </v>
      </c>
      <c r="W266">
        <v>265</v>
      </c>
      <c r="X266">
        <v>100266</v>
      </c>
      <c r="Y266">
        <v>266</v>
      </c>
      <c r="Z266" t="b">
        <f t="shared" si="4"/>
        <v>1</v>
      </c>
      <c r="AA266" t="b">
        <f>COUNTBLANK(metadata!B266:S266)=COLUMNS(metadata!B266:S266)</f>
        <v>1</v>
      </c>
      <c r="AB266" t="str">
        <v/>
      </c>
      <c r="AD266" t="b">
        <f ca="1">AND(IF(metadata!B266="",FALSE,TRUE),COUNTIF(metadata!B:B, metadata!B266) = 1,NOT(ISERROR(SUMPRODUCT(SEARCH(MID(metadata!B266,ROW(INDIRECT("1:"&amp;LEN(metadata!B266))), 1),"0123456789abcdefghijklmnopqrstuvwxyzABCDEFGHIJKLMNOPQRSTUVWXYZ.")))))</f>
        <v>0</v>
      </c>
      <c r="AE266" t="b">
        <f>OR(AND(IF(metadata!C266="",FALSE,TRUE),OR(EXACT(metadata!C266,"not applicable"),EXACT(metadata!C266,"missing: not collected"),EXACT(metadata!C266,"missing: not provided"),EXACT(metadata!C266,"missing: restricted access"))),AND(IF(metadata!C266="",FALSE,ISNUMBER(VALUE(metadata!C266))),metadata!C266&gt;0))</f>
        <v>0</v>
      </c>
      <c r="AF266" t="b">
        <f>AND(IF(metadata!D266="",FALSE,TRUE),EXACT(metadata!D266,"missing: not provided"))</f>
        <v>0</v>
      </c>
      <c r="AG266" t="b">
        <f>AND(IF(metadata!E266="",FALSE,TRUE),EXACT(metadata!E266,"Host-associated"))</f>
        <v>0</v>
      </c>
      <c r="AH266" t="b">
        <f>AND(IF(metadata!F266="",FALSE,TRUE),OR(EXACT(metadata!F266,"Animal"),EXACT(metadata!F266,"Fungus"),EXACT(metadata!F266,"Plant")))</f>
        <v>0</v>
      </c>
      <c r="AI266" t="b">
        <f>AND(IF(metadata!G266="",FALSE,TRUE),OR(EXACT(metadata!G266,"Plant secretion"),EXACT(metadata!G266,"Plant rhizosphere"),EXACT(metadata!G266,"Plant surface"),EXACT(metadata!G266,"Plant corpus"),EXACT(metadata!G266,"Fungus surface"),EXACT(metadata!G266,"Fungus corpus"),EXACT(metadata!G266,"Animal surface"),EXACT(metadata!G266,"Animal proximal gut"),EXACT(metadata!G266,"Animal corpus"),EXACT(metadata!G266,"Animal distal gut"),EXACT(metadata!G266,"Animal secretion")))</f>
        <v>0</v>
      </c>
      <c r="AJ266" t="b">
        <f>OR(AND(IF(metadata!H266="",FALSE,TRUE),OR(EXACT(metadata!H266,"missing: not collected"),EXACT(metadata!H266,"missing: not provided"),EXACT(metadata!H266,"missing: restricted access"))),AND(IF(metadata!H266="",FALSE,TRUE),OR(EXACT(metadata!H266,"organism-associated habitat"),EXACT(metadata!H266,"plant-associated habitat"),EXACT(metadata!H266,"animal-associated habitat"),EXACT(metadata!H266,"insecta-associated habitat"),EXACT(metadata!H266,"mammalia-associated habitat"),EXACT(metadata!H266,"human-associated habitat"),EXACT(metadata!H266,"livestock-associated habitat"))))</f>
        <v>0</v>
      </c>
      <c r="AK266" t="b">
        <f>AND(IF(metadata!I266="",FALSE,TRUE),EXACT(metadata!I266,"host-associated"))</f>
        <v>0</v>
      </c>
      <c r="AL266" t="b">
        <f>OR(AND(IF(metadata!J266="",FALSE,TRUE),OR(EXACT(metadata!J266,"not applicable"),EXACT(metadata!J266,"missing: not collected"),EXACT(metadata!J266,"missing: not provided"),EXACT(metadata!J266,"missing: restricted access"))),AND(IF(metadata!J266="",FALSE,ISNUMBER(VALUE(metadata!J266))),metadata!J266&gt;0))</f>
        <v>0</v>
      </c>
      <c r="AM266" t="b">
        <f>AND(IF(metadata!K266="",FALSE,TRUE),EXACT(metadata!K266,"missing: not provided"))</f>
        <v>0</v>
      </c>
      <c r="AN266" t="b">
        <f>IF(metadata!L266="",FALSE,TRUE)</f>
        <v>0</v>
      </c>
      <c r="AO266" t="b">
        <f>IF(metadata!M266="",FALSE,TRUE)</f>
        <v>0</v>
      </c>
      <c r="AP266" t="b">
        <f>OR(AND(IF(metadata!N266="",FALSE,TRUE),OR(EXACT(metadata!N266,"not applicable"),EXACT(metadata!N266,"missing: not collected"),EXACT(metadata!N266,"missing: not provided"))),AND(IF(metadata!N266="",FALSE,IF(ISERROR(INT(metadata!N266)),FALSE,INT(metadata!N266)=metadata!N266)),metadata!N266&gt;0))</f>
        <v>0</v>
      </c>
      <c r="AQ266" t="b">
        <f>AND(IF(metadata!O266="",FALSE,TRUE),EXACT(metadata!O266,"Not applicable"))</f>
        <v>0</v>
      </c>
      <c r="AR266" t="b">
        <f>OR(AND(IF(metadata!P266="",FALSE,TRUE),OR(EXACT(metadata!P266,"not applicable"),EXACT(metadata!P266,"missing: not collected"),EXACT(metadata!P266,"missing: not provided"),EXACT(metadata!P266,"missing: restricted access"))),IF(metadata!P266="",FALSE,IF(ISERROR(INT(metadata!P266)),FALSE,INT(metadata!P266)=metadata!P266)))</f>
        <v>0</v>
      </c>
      <c r="AS266" t="b">
        <f>AND(IF(metadata!Q266="",FALSE,TRUE),EXACT(metadata!Q266,"Not applicable"))</f>
        <v>0</v>
      </c>
      <c r="AT266" t="b">
        <f>OR(AND(IF(metadata!R266="",FALSE,TRUE),OR(EXACT(metadata!R266,"not applicable"),EXACT(metadata!R266,"missing: not collected"),EXACT(metadata!R266,"missing: not provided"),EXACT(metadata!R266,"missing: restricted access"))),AND(IF(metadata!R266="",FALSE,ISNUMBER(VALUE(metadata!R266))),metadata!R266&gt;0))</f>
        <v>0</v>
      </c>
      <c r="AU266" t="b">
        <f>AND(IF(metadata!S266="",FALSE,TRUE),EXACT(metadata!S266,"missing: not provided"))</f>
        <v>0</v>
      </c>
    </row>
    <row r="267" spans="1:47" x14ac:dyDescent="0.2">
      <c r="A267" s="5" t="str">
        <f ca="1">IF(B267=" "," ",HYPERLINK(CONCATENATE("#metadata!",ADDRESS(INDEX($Y$2:$Y$1001,MATCH(ROWS($W$2:W267),$W$2:$W$1001,0),0),1)),INDEX($AB$2:$AB$1001,MATCH(ROWS($W$2:W267),$W$2:$W$1001,0),0)))</f>
        <v xml:space="preserve"> </v>
      </c>
      <c r="B267" s="4" t="str">
        <f ca="1">IF(OR(INDEX($X$2:$X$1001,MATCH(ROWS($W$2:W267),$W$2:$W$1001,0),1)&gt;=100000,INDEX($AD$1005:$AU$1005,1,MATCH(COLUMNS($AD$1006:AD1006),$AD$1006:$AU$1006,0))&gt;=100000), " ",IF(INDEX($AD$2:$AU$1001,MATCH(ROWS($W$2:W267),$W$2:$W$1001,0),MATCH(COLUMNS($AD$1006:AD1006),$AD$1006:$AU$1006,0)), HYPERLINK("#",""), HYPERLINK(CONCATENATE("#metadata!", ADDRESS(INDEX($Y$2:$Y$1001,MATCH(ROWS($W$2:W267),$W$2:$W$1001,0),0), INDEX($AD$1004:$AU$1004,1,MATCH(COLUMNS($AD$1006:AD1006),$AD$1006:$AU$1006,0)))),"Fix")))</f>
        <v xml:space="preserve"> </v>
      </c>
      <c r="C267" s="4" t="str">
        <f ca="1">IF(OR(INDEX($X$2:$X$1001,MATCH(ROWS($W$2:W267),$W$2:$W$1001,0),1)&gt;=100000,INDEX($AD$1005:$AU$1005,1,MATCH(COLUMNS($AD$1006:AE1006),$AD$1006:$AU$1006,0))&gt;=100000), " ",IF(INDEX($AD$2:$AU$1001,MATCH(ROWS($W$2:W267),$W$2:$W$1001,0),MATCH(COLUMNS($AD$1006:AE1006),$AD$1006:$AU$1006,0)), HYPERLINK("#",""), HYPERLINK(CONCATENATE("#metadata!", ADDRESS(INDEX($Y$2:$Y$1001,MATCH(ROWS($W$2:W267),$W$2:$W$1001,0),0), INDEX($AD$1004:$AU$1004,1,MATCH(COLUMNS($AD$1006:AE1006),$AD$1006:$AU$1006,0)))),"Fix")))</f>
        <v xml:space="preserve"> </v>
      </c>
      <c r="D267" s="4" t="str">
        <f ca="1">IF(OR(INDEX($X$2:$X$1001,MATCH(ROWS($W$2:W267),$W$2:$W$1001,0),1)&gt;=100000,INDEX($AD$1005:$AU$1005,1,MATCH(COLUMNS($AD$1006:AF1006),$AD$1006:$AU$1006,0))&gt;=100000), " ",IF(INDEX($AD$2:$AU$1001,MATCH(ROWS($W$2:W267),$W$2:$W$1001,0),MATCH(COLUMNS($AD$1006:AF1006),$AD$1006:$AU$1006,0)), HYPERLINK("#",""), HYPERLINK(CONCATENATE("#metadata!", ADDRESS(INDEX($Y$2:$Y$1001,MATCH(ROWS($W$2:W267),$W$2:$W$1001,0),0), INDEX($AD$1004:$AU$1004,1,MATCH(COLUMNS($AD$1006:AF1006),$AD$1006:$AU$1006,0)))),"Fix")))</f>
        <v xml:space="preserve"> </v>
      </c>
      <c r="E267" s="4" t="str">
        <f ca="1">IF(OR(INDEX($X$2:$X$1001,MATCH(ROWS($W$2:W267),$W$2:$W$1001,0),1)&gt;=100000,INDEX($AD$1005:$AU$1005,1,MATCH(COLUMNS($AD$1006:AG1006),$AD$1006:$AU$1006,0))&gt;=100000), " ",IF(INDEX($AD$2:$AU$1001,MATCH(ROWS($W$2:W267),$W$2:$W$1001,0),MATCH(COLUMNS($AD$1006:AG1006),$AD$1006:$AU$1006,0)), HYPERLINK("#",""), HYPERLINK(CONCATENATE("#metadata!", ADDRESS(INDEX($Y$2:$Y$1001,MATCH(ROWS($W$2:W267),$W$2:$W$1001,0),0), INDEX($AD$1004:$AU$1004,1,MATCH(COLUMNS($AD$1006:AG1006),$AD$1006:$AU$1006,0)))),"Fix")))</f>
        <v xml:space="preserve"> </v>
      </c>
      <c r="F267" s="4" t="str">
        <f ca="1">IF(OR(INDEX($X$2:$X$1001,MATCH(ROWS($W$2:W267),$W$2:$W$1001,0),1)&gt;=100000,INDEX($AD$1005:$AU$1005,1,MATCH(COLUMNS($AD$1006:AH1006),$AD$1006:$AU$1006,0))&gt;=100000), " ",IF(INDEX($AD$2:$AU$1001,MATCH(ROWS($W$2:W267),$W$2:$W$1001,0),MATCH(COLUMNS($AD$1006:AH1006),$AD$1006:$AU$1006,0)), HYPERLINK("#",""), HYPERLINK(CONCATENATE("#metadata!", ADDRESS(INDEX($Y$2:$Y$1001,MATCH(ROWS($W$2:W267),$W$2:$W$1001,0),0), INDEX($AD$1004:$AU$1004,1,MATCH(COLUMNS($AD$1006:AH1006),$AD$1006:$AU$1006,0)))),"Fix")))</f>
        <v xml:space="preserve"> </v>
      </c>
      <c r="G267" s="4" t="str">
        <f ca="1">IF(OR(INDEX($X$2:$X$1001,MATCH(ROWS($W$2:W267),$W$2:$W$1001,0),1)&gt;=100000,INDEX($AD$1005:$AU$1005,1,MATCH(COLUMNS($AD$1006:AI1006),$AD$1006:$AU$1006,0))&gt;=100000), " ",IF(INDEX($AD$2:$AU$1001,MATCH(ROWS($W$2:W267),$W$2:$W$1001,0),MATCH(COLUMNS($AD$1006:AI1006),$AD$1006:$AU$1006,0)), HYPERLINK("#",""), HYPERLINK(CONCATENATE("#metadata!", ADDRESS(INDEX($Y$2:$Y$1001,MATCH(ROWS($W$2:W267),$W$2:$W$1001,0),0), INDEX($AD$1004:$AU$1004,1,MATCH(COLUMNS($AD$1006:AI1006),$AD$1006:$AU$1006,0)))),"Fix")))</f>
        <v xml:space="preserve"> </v>
      </c>
      <c r="H267" s="4" t="str">
        <f ca="1">IF(OR(INDEX($X$2:$X$1001,MATCH(ROWS($W$2:W267),$W$2:$W$1001,0),1)&gt;=100000,INDEX($AD$1005:$AU$1005,1,MATCH(COLUMNS($AD$1006:AJ1006),$AD$1006:$AU$1006,0))&gt;=100000), " ",IF(INDEX($AD$2:$AU$1001,MATCH(ROWS($W$2:W267),$W$2:$W$1001,0),MATCH(COLUMNS($AD$1006:AJ1006),$AD$1006:$AU$1006,0)), HYPERLINK("#",""), HYPERLINK(CONCATENATE("#metadata!", ADDRESS(INDEX($Y$2:$Y$1001,MATCH(ROWS($W$2:W267),$W$2:$W$1001,0),0), INDEX($AD$1004:$AU$1004,1,MATCH(COLUMNS($AD$1006:AJ1006),$AD$1006:$AU$1006,0)))),"Fix")))</f>
        <v xml:space="preserve"> </v>
      </c>
      <c r="I267" s="4" t="str">
        <f ca="1">IF(OR(INDEX($X$2:$X$1001,MATCH(ROWS($W$2:W267),$W$2:$W$1001,0),1)&gt;=100000,INDEX($AD$1005:$AU$1005,1,MATCH(COLUMNS($AD$1006:AK1006),$AD$1006:$AU$1006,0))&gt;=100000), " ",IF(INDEX($AD$2:$AU$1001,MATCH(ROWS($W$2:W267),$W$2:$W$1001,0),MATCH(COLUMNS($AD$1006:AK1006),$AD$1006:$AU$1006,0)), HYPERLINK("#",""), HYPERLINK(CONCATENATE("#metadata!", ADDRESS(INDEX($Y$2:$Y$1001,MATCH(ROWS($W$2:W267),$W$2:$W$1001,0),0), INDEX($AD$1004:$AU$1004,1,MATCH(COLUMNS($AD$1006:AK1006),$AD$1006:$AU$1006,0)))),"Fix")))</f>
        <v xml:space="preserve"> </v>
      </c>
      <c r="J267" s="4" t="str">
        <f ca="1">IF(OR(INDEX($X$2:$X$1001,MATCH(ROWS($W$2:W267),$W$2:$W$1001,0),1)&gt;=100000,INDEX($AD$1005:$AU$1005,1,MATCH(COLUMNS($AD$1006:AL1006),$AD$1006:$AU$1006,0))&gt;=100000), " ",IF(INDEX($AD$2:$AU$1001,MATCH(ROWS($W$2:W267),$W$2:$W$1001,0),MATCH(COLUMNS($AD$1006:AL1006),$AD$1006:$AU$1006,0)), HYPERLINK("#",""), HYPERLINK(CONCATENATE("#metadata!", ADDRESS(INDEX($Y$2:$Y$1001,MATCH(ROWS($W$2:W267),$W$2:$W$1001,0),0), INDEX($AD$1004:$AU$1004,1,MATCH(COLUMNS($AD$1006:AL1006),$AD$1006:$AU$1006,0)))),"Fix")))</f>
        <v xml:space="preserve"> </v>
      </c>
      <c r="K267" s="4" t="str">
        <f ca="1">IF(OR(INDEX($X$2:$X$1001,MATCH(ROWS($W$2:W267),$W$2:$W$1001,0),1)&gt;=100000,INDEX($AD$1005:$AU$1005,1,MATCH(COLUMNS($AD$1006:AM1006),$AD$1006:$AU$1006,0))&gt;=100000), " ",IF(INDEX($AD$2:$AU$1001,MATCH(ROWS($W$2:W267),$W$2:$W$1001,0),MATCH(COLUMNS($AD$1006:AM1006),$AD$1006:$AU$1006,0)), HYPERLINK("#",""), HYPERLINK(CONCATENATE("#metadata!", ADDRESS(INDEX($Y$2:$Y$1001,MATCH(ROWS($W$2:W267),$W$2:$W$1001,0),0), INDEX($AD$1004:$AU$1004,1,MATCH(COLUMNS($AD$1006:AM1006),$AD$1006:$AU$1006,0)))),"Fix")))</f>
        <v xml:space="preserve"> </v>
      </c>
      <c r="L267" s="4" t="str">
        <f ca="1">IF(OR(INDEX($X$2:$X$1001,MATCH(ROWS($W$2:W267),$W$2:$W$1001,0),1)&gt;=100000,INDEX($AD$1005:$AU$1005,1,MATCH(COLUMNS($AD$1006:AN1006),$AD$1006:$AU$1006,0))&gt;=100000), " ",IF(INDEX($AD$2:$AU$1001,MATCH(ROWS($W$2:W267),$W$2:$W$1001,0),MATCH(COLUMNS($AD$1006:AN1006),$AD$1006:$AU$1006,0)), HYPERLINK("#",""), HYPERLINK(CONCATENATE("#metadata!", ADDRESS(INDEX($Y$2:$Y$1001,MATCH(ROWS($W$2:W267),$W$2:$W$1001,0),0), INDEX($AD$1004:$AU$1004,1,MATCH(COLUMNS($AD$1006:AN1006),$AD$1006:$AU$1006,0)))),"Fix")))</f>
        <v xml:space="preserve"> </v>
      </c>
      <c r="M267" s="4" t="str">
        <f ca="1">IF(OR(INDEX($X$2:$X$1001,MATCH(ROWS($W$2:W267),$W$2:$W$1001,0),1)&gt;=100000,INDEX($AD$1005:$AU$1005,1,MATCH(COLUMNS($AD$1006:AO1006),$AD$1006:$AU$1006,0))&gt;=100000), " ",IF(INDEX($AD$2:$AU$1001,MATCH(ROWS($W$2:W267),$W$2:$W$1001,0),MATCH(COLUMNS($AD$1006:AO1006),$AD$1006:$AU$1006,0)), HYPERLINK("#",""), HYPERLINK(CONCATENATE("#metadata!", ADDRESS(INDEX($Y$2:$Y$1001,MATCH(ROWS($W$2:W267),$W$2:$W$1001,0),0), INDEX($AD$1004:$AU$1004,1,MATCH(COLUMNS($AD$1006:AO1006),$AD$1006:$AU$1006,0)))),"Fix")))</f>
        <v xml:space="preserve"> </v>
      </c>
      <c r="N267" s="4" t="str">
        <f ca="1">IF(OR(INDEX($X$2:$X$1001,MATCH(ROWS($W$2:W267),$W$2:$W$1001,0),1)&gt;=100000,INDEX($AD$1005:$AU$1005,1,MATCH(COLUMNS($AD$1006:AP1006),$AD$1006:$AU$1006,0))&gt;=100000), " ",IF(INDEX($AD$2:$AU$1001,MATCH(ROWS($W$2:W267),$W$2:$W$1001,0),MATCH(COLUMNS($AD$1006:AP1006),$AD$1006:$AU$1006,0)), HYPERLINK("#",""), HYPERLINK(CONCATENATE("#metadata!", ADDRESS(INDEX($Y$2:$Y$1001,MATCH(ROWS($W$2:W267),$W$2:$W$1001,0),0), INDEX($AD$1004:$AU$1004,1,MATCH(COLUMNS($AD$1006:AP1006),$AD$1006:$AU$1006,0)))),"Fix")))</f>
        <v xml:space="preserve"> </v>
      </c>
      <c r="O267" s="4" t="str">
        <f ca="1">IF(OR(INDEX($X$2:$X$1001,MATCH(ROWS($W$2:W267),$W$2:$W$1001,0),1)&gt;=100000,INDEX($AD$1005:$AU$1005,1,MATCH(COLUMNS($AD$1006:AQ1006),$AD$1006:$AU$1006,0))&gt;=100000), " ",IF(INDEX($AD$2:$AU$1001,MATCH(ROWS($W$2:W267),$W$2:$W$1001,0),MATCH(COLUMNS($AD$1006:AQ1006),$AD$1006:$AU$1006,0)), HYPERLINK("#",""), HYPERLINK(CONCATENATE("#metadata!", ADDRESS(INDEX($Y$2:$Y$1001,MATCH(ROWS($W$2:W267),$W$2:$W$1001,0),0), INDEX($AD$1004:$AU$1004,1,MATCH(COLUMNS($AD$1006:AQ1006),$AD$1006:$AU$1006,0)))),"Fix")))</f>
        <v xml:space="preserve"> </v>
      </c>
      <c r="P267" s="4" t="str">
        <f ca="1">IF(OR(INDEX($X$2:$X$1001,MATCH(ROWS($W$2:W267),$W$2:$W$1001,0),1)&gt;=100000,INDEX($AD$1005:$AU$1005,1,MATCH(COLUMNS($AD$1006:AR1006),$AD$1006:$AU$1006,0))&gt;=100000), " ",IF(INDEX($AD$2:$AU$1001,MATCH(ROWS($W$2:W267),$W$2:$W$1001,0),MATCH(COLUMNS($AD$1006:AR1006),$AD$1006:$AU$1006,0)), HYPERLINK("#",""), HYPERLINK(CONCATENATE("#metadata!", ADDRESS(INDEX($Y$2:$Y$1001,MATCH(ROWS($W$2:W267),$W$2:$W$1001,0),0), INDEX($AD$1004:$AU$1004,1,MATCH(COLUMNS($AD$1006:AR1006),$AD$1006:$AU$1006,0)))),"Fix")))</f>
        <v xml:space="preserve"> </v>
      </c>
      <c r="Q267" s="4" t="str">
        <f ca="1">IF(OR(INDEX($X$2:$X$1001,MATCH(ROWS($W$2:W267),$W$2:$W$1001,0),1)&gt;=100000,INDEX($AD$1005:$AU$1005,1,MATCH(COLUMNS($AD$1006:AS1006),$AD$1006:$AU$1006,0))&gt;=100000), " ",IF(INDEX($AD$2:$AU$1001,MATCH(ROWS($W$2:W267),$W$2:$W$1001,0),MATCH(COLUMNS($AD$1006:AS1006),$AD$1006:$AU$1006,0)), HYPERLINK("#",""), HYPERLINK(CONCATENATE("#metadata!", ADDRESS(INDEX($Y$2:$Y$1001,MATCH(ROWS($W$2:W267),$W$2:$W$1001,0),0), INDEX($AD$1004:$AU$1004,1,MATCH(COLUMNS($AD$1006:AS1006),$AD$1006:$AU$1006,0)))),"Fix")))</f>
        <v xml:space="preserve"> </v>
      </c>
      <c r="R267" s="4" t="str">
        <f ca="1">IF(OR(INDEX($X$2:$X$1001,MATCH(ROWS($W$2:W267),$W$2:$W$1001,0),1)&gt;=100000,INDEX($AD$1005:$AU$1005,1,MATCH(COLUMNS($AD$1006:AT1006),$AD$1006:$AU$1006,0))&gt;=100000), " ",IF(INDEX($AD$2:$AU$1001,MATCH(ROWS($W$2:W267),$W$2:$W$1001,0),MATCH(COLUMNS($AD$1006:AT1006),$AD$1006:$AU$1006,0)), HYPERLINK("#",""), HYPERLINK(CONCATENATE("#metadata!", ADDRESS(INDEX($Y$2:$Y$1001,MATCH(ROWS($W$2:W267),$W$2:$W$1001,0),0), INDEX($AD$1004:$AU$1004,1,MATCH(COLUMNS($AD$1006:AT1006),$AD$1006:$AU$1006,0)))),"Fix")))</f>
        <v xml:space="preserve"> </v>
      </c>
      <c r="S267" s="4" t="str">
        <f ca="1">IF(OR(INDEX($X$2:$X$1001,MATCH(ROWS($W$2:W267),$W$2:$W$1001,0),1)&gt;=100000,INDEX($AD$1005:$AU$1005,1,MATCH(COLUMNS($AD$1006:AU1006),$AD$1006:$AU$1006,0))&gt;=100000), " ",IF(INDEX($AD$2:$AU$1001,MATCH(ROWS($W$2:W267),$W$2:$W$1001,0),MATCH(COLUMNS($AD$1006:AU1006),$AD$1006:$AU$1006,0)), HYPERLINK("#",""), HYPERLINK(CONCATENATE("#metadata!", ADDRESS(INDEX($Y$2:$Y$1001,MATCH(ROWS($W$2:W267),$W$2:$W$1001,0),0), INDEX($AD$1004:$AU$1004,1,MATCH(COLUMNS($AD$1006:AU1006),$AD$1006:$AU$1006,0)))),"Fix")))</f>
        <v xml:space="preserve"> </v>
      </c>
      <c r="W267">
        <v>266</v>
      </c>
      <c r="X267">
        <v>100267</v>
      </c>
      <c r="Y267">
        <v>267</v>
      </c>
      <c r="Z267" t="b">
        <f t="shared" si="4"/>
        <v>1</v>
      </c>
      <c r="AA267" t="b">
        <f>COUNTBLANK(metadata!B267:S267)=COLUMNS(metadata!B267:S267)</f>
        <v>1</v>
      </c>
      <c r="AB267" t="str">
        <v/>
      </c>
      <c r="AD267" t="b">
        <f ca="1">AND(IF(metadata!B267="",FALSE,TRUE),COUNTIF(metadata!B:B, metadata!B267) = 1,NOT(ISERROR(SUMPRODUCT(SEARCH(MID(metadata!B267,ROW(INDIRECT("1:"&amp;LEN(metadata!B267))), 1),"0123456789abcdefghijklmnopqrstuvwxyzABCDEFGHIJKLMNOPQRSTUVWXYZ.")))))</f>
        <v>0</v>
      </c>
      <c r="AE267" t="b">
        <f>OR(AND(IF(metadata!C267="",FALSE,TRUE),OR(EXACT(metadata!C267,"not applicable"),EXACT(metadata!C267,"missing: not collected"),EXACT(metadata!C267,"missing: not provided"),EXACT(metadata!C267,"missing: restricted access"))),AND(IF(metadata!C267="",FALSE,ISNUMBER(VALUE(metadata!C267))),metadata!C267&gt;0))</f>
        <v>0</v>
      </c>
      <c r="AF267" t="b">
        <f>AND(IF(metadata!D267="",FALSE,TRUE),EXACT(metadata!D267,"missing: not provided"))</f>
        <v>0</v>
      </c>
      <c r="AG267" t="b">
        <f>AND(IF(metadata!E267="",FALSE,TRUE),EXACT(metadata!E267,"Host-associated"))</f>
        <v>0</v>
      </c>
      <c r="AH267" t="b">
        <f>AND(IF(metadata!F267="",FALSE,TRUE),OR(EXACT(metadata!F267,"Animal"),EXACT(metadata!F267,"Fungus"),EXACT(metadata!F267,"Plant")))</f>
        <v>0</v>
      </c>
      <c r="AI267" t="b">
        <f>AND(IF(metadata!G267="",FALSE,TRUE),OR(EXACT(metadata!G267,"Plant secretion"),EXACT(metadata!G267,"Plant rhizosphere"),EXACT(metadata!G267,"Plant surface"),EXACT(metadata!G267,"Plant corpus"),EXACT(metadata!G267,"Fungus surface"),EXACT(metadata!G267,"Fungus corpus"),EXACT(metadata!G267,"Animal surface"),EXACT(metadata!G267,"Animal proximal gut"),EXACT(metadata!G267,"Animal corpus"),EXACT(metadata!G267,"Animal distal gut"),EXACT(metadata!G267,"Animal secretion")))</f>
        <v>0</v>
      </c>
      <c r="AJ267" t="b">
        <f>OR(AND(IF(metadata!H267="",FALSE,TRUE),OR(EXACT(metadata!H267,"missing: not collected"),EXACT(metadata!H267,"missing: not provided"),EXACT(metadata!H267,"missing: restricted access"))),AND(IF(metadata!H267="",FALSE,TRUE),OR(EXACT(metadata!H267,"organism-associated habitat"),EXACT(metadata!H267,"plant-associated habitat"),EXACT(metadata!H267,"animal-associated habitat"),EXACT(metadata!H267,"insecta-associated habitat"),EXACT(metadata!H267,"mammalia-associated habitat"),EXACT(metadata!H267,"human-associated habitat"),EXACT(metadata!H267,"livestock-associated habitat"))))</f>
        <v>0</v>
      </c>
      <c r="AK267" t="b">
        <f>AND(IF(metadata!I267="",FALSE,TRUE),EXACT(metadata!I267,"host-associated"))</f>
        <v>0</v>
      </c>
      <c r="AL267" t="b">
        <f>OR(AND(IF(metadata!J267="",FALSE,TRUE),OR(EXACT(metadata!J267,"not applicable"),EXACT(metadata!J267,"missing: not collected"),EXACT(metadata!J267,"missing: not provided"),EXACT(metadata!J267,"missing: restricted access"))),AND(IF(metadata!J267="",FALSE,ISNUMBER(VALUE(metadata!J267))),metadata!J267&gt;0))</f>
        <v>0</v>
      </c>
      <c r="AM267" t="b">
        <f>AND(IF(metadata!K267="",FALSE,TRUE),EXACT(metadata!K267,"missing: not provided"))</f>
        <v>0</v>
      </c>
      <c r="AN267" t="b">
        <f>IF(metadata!L267="",FALSE,TRUE)</f>
        <v>0</v>
      </c>
      <c r="AO267" t="b">
        <f>IF(metadata!M267="",FALSE,TRUE)</f>
        <v>0</v>
      </c>
      <c r="AP267" t="b">
        <f>OR(AND(IF(metadata!N267="",FALSE,TRUE),OR(EXACT(metadata!N267,"not applicable"),EXACT(metadata!N267,"missing: not collected"),EXACT(metadata!N267,"missing: not provided"))),AND(IF(metadata!N267="",FALSE,IF(ISERROR(INT(metadata!N267)),FALSE,INT(metadata!N267)=metadata!N267)),metadata!N267&gt;0))</f>
        <v>0</v>
      </c>
      <c r="AQ267" t="b">
        <f>AND(IF(metadata!O267="",FALSE,TRUE),EXACT(metadata!O267,"Not applicable"))</f>
        <v>0</v>
      </c>
      <c r="AR267" t="b">
        <f>OR(AND(IF(metadata!P267="",FALSE,TRUE),OR(EXACT(metadata!P267,"not applicable"),EXACT(metadata!P267,"missing: not collected"),EXACT(metadata!P267,"missing: not provided"),EXACT(metadata!P267,"missing: restricted access"))),IF(metadata!P267="",FALSE,IF(ISERROR(INT(metadata!P267)),FALSE,INT(metadata!P267)=metadata!P267)))</f>
        <v>0</v>
      </c>
      <c r="AS267" t="b">
        <f>AND(IF(metadata!Q267="",FALSE,TRUE),EXACT(metadata!Q267,"Not applicable"))</f>
        <v>0</v>
      </c>
      <c r="AT267" t="b">
        <f>OR(AND(IF(metadata!R267="",FALSE,TRUE),OR(EXACT(metadata!R267,"not applicable"),EXACT(metadata!R267,"missing: not collected"),EXACT(metadata!R267,"missing: not provided"),EXACT(metadata!R267,"missing: restricted access"))),AND(IF(metadata!R267="",FALSE,ISNUMBER(VALUE(metadata!R267))),metadata!R267&gt;0))</f>
        <v>0</v>
      </c>
      <c r="AU267" t="b">
        <f>AND(IF(metadata!S267="",FALSE,TRUE),EXACT(metadata!S267,"missing: not provided"))</f>
        <v>0</v>
      </c>
    </row>
    <row r="268" spans="1:47" x14ac:dyDescent="0.2">
      <c r="A268" s="5" t="str">
        <f ca="1">IF(B268=" "," ",HYPERLINK(CONCATENATE("#metadata!",ADDRESS(INDEX($Y$2:$Y$1001,MATCH(ROWS($W$2:W268),$W$2:$W$1001,0),0),1)),INDEX($AB$2:$AB$1001,MATCH(ROWS($W$2:W268),$W$2:$W$1001,0),0)))</f>
        <v xml:space="preserve"> </v>
      </c>
      <c r="B268" s="4" t="str">
        <f ca="1">IF(OR(INDEX($X$2:$X$1001,MATCH(ROWS($W$2:W268),$W$2:$W$1001,0),1)&gt;=100000,INDEX($AD$1005:$AU$1005,1,MATCH(COLUMNS($AD$1006:AD1006),$AD$1006:$AU$1006,0))&gt;=100000), " ",IF(INDEX($AD$2:$AU$1001,MATCH(ROWS($W$2:W268),$W$2:$W$1001,0),MATCH(COLUMNS($AD$1006:AD1006),$AD$1006:$AU$1006,0)), HYPERLINK("#",""), HYPERLINK(CONCATENATE("#metadata!", ADDRESS(INDEX($Y$2:$Y$1001,MATCH(ROWS($W$2:W268),$W$2:$W$1001,0),0), INDEX($AD$1004:$AU$1004,1,MATCH(COLUMNS($AD$1006:AD1006),$AD$1006:$AU$1006,0)))),"Fix")))</f>
        <v xml:space="preserve"> </v>
      </c>
      <c r="C268" s="4" t="str">
        <f ca="1">IF(OR(INDEX($X$2:$X$1001,MATCH(ROWS($W$2:W268),$W$2:$W$1001,0),1)&gt;=100000,INDEX($AD$1005:$AU$1005,1,MATCH(COLUMNS($AD$1006:AE1006),$AD$1006:$AU$1006,0))&gt;=100000), " ",IF(INDEX($AD$2:$AU$1001,MATCH(ROWS($W$2:W268),$W$2:$W$1001,0),MATCH(COLUMNS($AD$1006:AE1006),$AD$1006:$AU$1006,0)), HYPERLINK("#",""), HYPERLINK(CONCATENATE("#metadata!", ADDRESS(INDEX($Y$2:$Y$1001,MATCH(ROWS($W$2:W268),$W$2:$W$1001,0),0), INDEX($AD$1004:$AU$1004,1,MATCH(COLUMNS($AD$1006:AE1006),$AD$1006:$AU$1006,0)))),"Fix")))</f>
        <v xml:space="preserve"> </v>
      </c>
      <c r="D268" s="4" t="str">
        <f ca="1">IF(OR(INDEX($X$2:$X$1001,MATCH(ROWS($W$2:W268),$W$2:$W$1001,0),1)&gt;=100000,INDEX($AD$1005:$AU$1005,1,MATCH(COLUMNS($AD$1006:AF1006),$AD$1006:$AU$1006,0))&gt;=100000), " ",IF(INDEX($AD$2:$AU$1001,MATCH(ROWS($W$2:W268),$W$2:$W$1001,0),MATCH(COLUMNS($AD$1006:AF1006),$AD$1006:$AU$1006,0)), HYPERLINK("#",""), HYPERLINK(CONCATENATE("#metadata!", ADDRESS(INDEX($Y$2:$Y$1001,MATCH(ROWS($W$2:W268),$W$2:$W$1001,0),0), INDEX($AD$1004:$AU$1004,1,MATCH(COLUMNS($AD$1006:AF1006),$AD$1006:$AU$1006,0)))),"Fix")))</f>
        <v xml:space="preserve"> </v>
      </c>
      <c r="E268" s="4" t="str">
        <f ca="1">IF(OR(INDEX($X$2:$X$1001,MATCH(ROWS($W$2:W268),$W$2:$W$1001,0),1)&gt;=100000,INDEX($AD$1005:$AU$1005,1,MATCH(COLUMNS($AD$1006:AG1006),$AD$1006:$AU$1006,0))&gt;=100000), " ",IF(INDEX($AD$2:$AU$1001,MATCH(ROWS($W$2:W268),$W$2:$W$1001,0),MATCH(COLUMNS($AD$1006:AG1006),$AD$1006:$AU$1006,0)), HYPERLINK("#",""), HYPERLINK(CONCATENATE("#metadata!", ADDRESS(INDEX($Y$2:$Y$1001,MATCH(ROWS($W$2:W268),$W$2:$W$1001,0),0), INDEX($AD$1004:$AU$1004,1,MATCH(COLUMNS($AD$1006:AG1006),$AD$1006:$AU$1006,0)))),"Fix")))</f>
        <v xml:space="preserve"> </v>
      </c>
      <c r="F268" s="4" t="str">
        <f ca="1">IF(OR(INDEX($X$2:$X$1001,MATCH(ROWS($W$2:W268),$W$2:$W$1001,0),1)&gt;=100000,INDEX($AD$1005:$AU$1005,1,MATCH(COLUMNS($AD$1006:AH1006),$AD$1006:$AU$1006,0))&gt;=100000), " ",IF(INDEX($AD$2:$AU$1001,MATCH(ROWS($W$2:W268),$W$2:$W$1001,0),MATCH(COLUMNS($AD$1006:AH1006),$AD$1006:$AU$1006,0)), HYPERLINK("#",""), HYPERLINK(CONCATENATE("#metadata!", ADDRESS(INDEX($Y$2:$Y$1001,MATCH(ROWS($W$2:W268),$W$2:$W$1001,0),0), INDEX($AD$1004:$AU$1004,1,MATCH(COLUMNS($AD$1006:AH1006),$AD$1006:$AU$1006,0)))),"Fix")))</f>
        <v xml:space="preserve"> </v>
      </c>
      <c r="G268" s="4" t="str">
        <f ca="1">IF(OR(INDEX($X$2:$X$1001,MATCH(ROWS($W$2:W268),$W$2:$W$1001,0),1)&gt;=100000,INDEX($AD$1005:$AU$1005,1,MATCH(COLUMNS($AD$1006:AI1006),$AD$1006:$AU$1006,0))&gt;=100000), " ",IF(INDEX($AD$2:$AU$1001,MATCH(ROWS($W$2:W268),$W$2:$W$1001,0),MATCH(COLUMNS($AD$1006:AI1006),$AD$1006:$AU$1006,0)), HYPERLINK("#",""), HYPERLINK(CONCATENATE("#metadata!", ADDRESS(INDEX($Y$2:$Y$1001,MATCH(ROWS($W$2:W268),$W$2:$W$1001,0),0), INDEX($AD$1004:$AU$1004,1,MATCH(COLUMNS($AD$1006:AI1006),$AD$1006:$AU$1006,0)))),"Fix")))</f>
        <v xml:space="preserve"> </v>
      </c>
      <c r="H268" s="4" t="str">
        <f ca="1">IF(OR(INDEX($X$2:$X$1001,MATCH(ROWS($W$2:W268),$W$2:$W$1001,0),1)&gt;=100000,INDEX($AD$1005:$AU$1005,1,MATCH(COLUMNS($AD$1006:AJ1006),$AD$1006:$AU$1006,0))&gt;=100000), " ",IF(INDEX($AD$2:$AU$1001,MATCH(ROWS($W$2:W268),$W$2:$W$1001,0),MATCH(COLUMNS($AD$1006:AJ1006),$AD$1006:$AU$1006,0)), HYPERLINK("#",""), HYPERLINK(CONCATENATE("#metadata!", ADDRESS(INDEX($Y$2:$Y$1001,MATCH(ROWS($W$2:W268),$W$2:$W$1001,0),0), INDEX($AD$1004:$AU$1004,1,MATCH(COLUMNS($AD$1006:AJ1006),$AD$1006:$AU$1006,0)))),"Fix")))</f>
        <v xml:space="preserve"> </v>
      </c>
      <c r="I268" s="4" t="str">
        <f ca="1">IF(OR(INDEX($X$2:$X$1001,MATCH(ROWS($W$2:W268),$W$2:$W$1001,0),1)&gt;=100000,INDEX($AD$1005:$AU$1005,1,MATCH(COLUMNS($AD$1006:AK1006),$AD$1006:$AU$1006,0))&gt;=100000), " ",IF(INDEX($AD$2:$AU$1001,MATCH(ROWS($W$2:W268),$W$2:$W$1001,0),MATCH(COLUMNS($AD$1006:AK1006),$AD$1006:$AU$1006,0)), HYPERLINK("#",""), HYPERLINK(CONCATENATE("#metadata!", ADDRESS(INDEX($Y$2:$Y$1001,MATCH(ROWS($W$2:W268),$W$2:$W$1001,0),0), INDEX($AD$1004:$AU$1004,1,MATCH(COLUMNS($AD$1006:AK1006),$AD$1006:$AU$1006,0)))),"Fix")))</f>
        <v xml:space="preserve"> </v>
      </c>
      <c r="J268" s="4" t="str">
        <f ca="1">IF(OR(INDEX($X$2:$X$1001,MATCH(ROWS($W$2:W268),$W$2:$W$1001,0),1)&gt;=100000,INDEX($AD$1005:$AU$1005,1,MATCH(COLUMNS($AD$1006:AL1006),$AD$1006:$AU$1006,0))&gt;=100000), " ",IF(INDEX($AD$2:$AU$1001,MATCH(ROWS($W$2:W268),$W$2:$W$1001,0),MATCH(COLUMNS($AD$1006:AL1006),$AD$1006:$AU$1006,0)), HYPERLINK("#",""), HYPERLINK(CONCATENATE("#metadata!", ADDRESS(INDEX($Y$2:$Y$1001,MATCH(ROWS($W$2:W268),$W$2:$W$1001,0),0), INDEX($AD$1004:$AU$1004,1,MATCH(COLUMNS($AD$1006:AL1006),$AD$1006:$AU$1006,0)))),"Fix")))</f>
        <v xml:space="preserve"> </v>
      </c>
      <c r="K268" s="4" t="str">
        <f ca="1">IF(OR(INDEX($X$2:$X$1001,MATCH(ROWS($W$2:W268),$W$2:$W$1001,0),1)&gt;=100000,INDEX($AD$1005:$AU$1005,1,MATCH(COLUMNS($AD$1006:AM1006),$AD$1006:$AU$1006,0))&gt;=100000), " ",IF(INDEX($AD$2:$AU$1001,MATCH(ROWS($W$2:W268),$W$2:$W$1001,0),MATCH(COLUMNS($AD$1006:AM1006),$AD$1006:$AU$1006,0)), HYPERLINK("#",""), HYPERLINK(CONCATENATE("#metadata!", ADDRESS(INDEX($Y$2:$Y$1001,MATCH(ROWS($W$2:W268),$W$2:$W$1001,0),0), INDEX($AD$1004:$AU$1004,1,MATCH(COLUMNS($AD$1006:AM1006),$AD$1006:$AU$1006,0)))),"Fix")))</f>
        <v xml:space="preserve"> </v>
      </c>
      <c r="L268" s="4" t="str">
        <f ca="1">IF(OR(INDEX($X$2:$X$1001,MATCH(ROWS($W$2:W268),$W$2:$W$1001,0),1)&gt;=100000,INDEX($AD$1005:$AU$1005,1,MATCH(COLUMNS($AD$1006:AN1006),$AD$1006:$AU$1006,0))&gt;=100000), " ",IF(INDEX($AD$2:$AU$1001,MATCH(ROWS($W$2:W268),$W$2:$W$1001,0),MATCH(COLUMNS($AD$1006:AN1006),$AD$1006:$AU$1006,0)), HYPERLINK("#",""), HYPERLINK(CONCATENATE("#metadata!", ADDRESS(INDEX($Y$2:$Y$1001,MATCH(ROWS($W$2:W268),$W$2:$W$1001,0),0), INDEX($AD$1004:$AU$1004,1,MATCH(COLUMNS($AD$1006:AN1006),$AD$1006:$AU$1006,0)))),"Fix")))</f>
        <v xml:space="preserve"> </v>
      </c>
      <c r="M268" s="4" t="str">
        <f ca="1">IF(OR(INDEX($X$2:$X$1001,MATCH(ROWS($W$2:W268),$W$2:$W$1001,0),1)&gt;=100000,INDEX($AD$1005:$AU$1005,1,MATCH(COLUMNS($AD$1006:AO1006),$AD$1006:$AU$1006,0))&gt;=100000), " ",IF(INDEX($AD$2:$AU$1001,MATCH(ROWS($W$2:W268),$W$2:$W$1001,0),MATCH(COLUMNS($AD$1006:AO1006),$AD$1006:$AU$1006,0)), HYPERLINK("#",""), HYPERLINK(CONCATENATE("#metadata!", ADDRESS(INDEX($Y$2:$Y$1001,MATCH(ROWS($W$2:W268),$W$2:$W$1001,0),0), INDEX($AD$1004:$AU$1004,1,MATCH(COLUMNS($AD$1006:AO1006),$AD$1006:$AU$1006,0)))),"Fix")))</f>
        <v xml:space="preserve"> </v>
      </c>
      <c r="N268" s="4" t="str">
        <f ca="1">IF(OR(INDEX($X$2:$X$1001,MATCH(ROWS($W$2:W268),$W$2:$W$1001,0),1)&gt;=100000,INDEX($AD$1005:$AU$1005,1,MATCH(COLUMNS($AD$1006:AP1006),$AD$1006:$AU$1006,0))&gt;=100000), " ",IF(INDEX($AD$2:$AU$1001,MATCH(ROWS($W$2:W268),$W$2:$W$1001,0),MATCH(COLUMNS($AD$1006:AP1006),$AD$1006:$AU$1006,0)), HYPERLINK("#",""), HYPERLINK(CONCATENATE("#metadata!", ADDRESS(INDEX($Y$2:$Y$1001,MATCH(ROWS($W$2:W268),$W$2:$W$1001,0),0), INDEX($AD$1004:$AU$1004,1,MATCH(COLUMNS($AD$1006:AP1006),$AD$1006:$AU$1006,0)))),"Fix")))</f>
        <v xml:space="preserve"> </v>
      </c>
      <c r="O268" s="4" t="str">
        <f ca="1">IF(OR(INDEX($X$2:$X$1001,MATCH(ROWS($W$2:W268),$W$2:$W$1001,0),1)&gt;=100000,INDEX($AD$1005:$AU$1005,1,MATCH(COLUMNS($AD$1006:AQ1006),$AD$1006:$AU$1006,0))&gt;=100000), " ",IF(INDEX($AD$2:$AU$1001,MATCH(ROWS($W$2:W268),$W$2:$W$1001,0),MATCH(COLUMNS($AD$1006:AQ1006),$AD$1006:$AU$1006,0)), HYPERLINK("#",""), HYPERLINK(CONCATENATE("#metadata!", ADDRESS(INDEX($Y$2:$Y$1001,MATCH(ROWS($W$2:W268),$W$2:$W$1001,0),0), INDEX($AD$1004:$AU$1004,1,MATCH(COLUMNS($AD$1006:AQ1006),$AD$1006:$AU$1006,0)))),"Fix")))</f>
        <v xml:space="preserve"> </v>
      </c>
      <c r="P268" s="4" t="str">
        <f ca="1">IF(OR(INDEX($X$2:$X$1001,MATCH(ROWS($W$2:W268),$W$2:$W$1001,0),1)&gt;=100000,INDEX($AD$1005:$AU$1005,1,MATCH(COLUMNS($AD$1006:AR1006),$AD$1006:$AU$1006,0))&gt;=100000), " ",IF(INDEX($AD$2:$AU$1001,MATCH(ROWS($W$2:W268),$W$2:$W$1001,0),MATCH(COLUMNS($AD$1006:AR1006),$AD$1006:$AU$1006,0)), HYPERLINK("#",""), HYPERLINK(CONCATENATE("#metadata!", ADDRESS(INDEX($Y$2:$Y$1001,MATCH(ROWS($W$2:W268),$W$2:$W$1001,0),0), INDEX($AD$1004:$AU$1004,1,MATCH(COLUMNS($AD$1006:AR1006),$AD$1006:$AU$1006,0)))),"Fix")))</f>
        <v xml:space="preserve"> </v>
      </c>
      <c r="Q268" s="4" t="str">
        <f ca="1">IF(OR(INDEX($X$2:$X$1001,MATCH(ROWS($W$2:W268),$W$2:$W$1001,0),1)&gt;=100000,INDEX($AD$1005:$AU$1005,1,MATCH(COLUMNS($AD$1006:AS1006),$AD$1006:$AU$1006,0))&gt;=100000), " ",IF(INDEX($AD$2:$AU$1001,MATCH(ROWS($W$2:W268),$W$2:$W$1001,0),MATCH(COLUMNS($AD$1006:AS1006),$AD$1006:$AU$1006,0)), HYPERLINK("#",""), HYPERLINK(CONCATENATE("#metadata!", ADDRESS(INDEX($Y$2:$Y$1001,MATCH(ROWS($W$2:W268),$W$2:$W$1001,0),0), INDEX($AD$1004:$AU$1004,1,MATCH(COLUMNS($AD$1006:AS1006),$AD$1006:$AU$1006,0)))),"Fix")))</f>
        <v xml:space="preserve"> </v>
      </c>
      <c r="R268" s="4" t="str">
        <f ca="1">IF(OR(INDEX($X$2:$X$1001,MATCH(ROWS($W$2:W268),$W$2:$W$1001,0),1)&gt;=100000,INDEX($AD$1005:$AU$1005,1,MATCH(COLUMNS($AD$1006:AT1006),$AD$1006:$AU$1006,0))&gt;=100000), " ",IF(INDEX($AD$2:$AU$1001,MATCH(ROWS($W$2:W268),$W$2:$W$1001,0),MATCH(COLUMNS($AD$1006:AT1006),$AD$1006:$AU$1006,0)), HYPERLINK("#",""), HYPERLINK(CONCATENATE("#metadata!", ADDRESS(INDEX($Y$2:$Y$1001,MATCH(ROWS($W$2:W268),$W$2:$W$1001,0),0), INDEX($AD$1004:$AU$1004,1,MATCH(COLUMNS($AD$1006:AT1006),$AD$1006:$AU$1006,0)))),"Fix")))</f>
        <v xml:space="preserve"> </v>
      </c>
      <c r="S268" s="4" t="str">
        <f ca="1">IF(OR(INDEX($X$2:$X$1001,MATCH(ROWS($W$2:W268),$W$2:$W$1001,0),1)&gt;=100000,INDEX($AD$1005:$AU$1005,1,MATCH(COLUMNS($AD$1006:AU1006),$AD$1006:$AU$1006,0))&gt;=100000), " ",IF(INDEX($AD$2:$AU$1001,MATCH(ROWS($W$2:W268),$W$2:$W$1001,0),MATCH(COLUMNS($AD$1006:AU1006),$AD$1006:$AU$1006,0)), HYPERLINK("#",""), HYPERLINK(CONCATENATE("#metadata!", ADDRESS(INDEX($Y$2:$Y$1001,MATCH(ROWS($W$2:W268),$W$2:$W$1001,0),0), INDEX($AD$1004:$AU$1004,1,MATCH(COLUMNS($AD$1006:AU1006),$AD$1006:$AU$1006,0)))),"Fix")))</f>
        <v xml:space="preserve"> </v>
      </c>
      <c r="W268">
        <v>267</v>
      </c>
      <c r="X268">
        <v>100268</v>
      </c>
      <c r="Y268">
        <v>268</v>
      </c>
      <c r="Z268" t="b">
        <f t="shared" si="4"/>
        <v>1</v>
      </c>
      <c r="AA268" t="b">
        <f>COUNTBLANK(metadata!B268:S268)=COLUMNS(metadata!B268:S268)</f>
        <v>1</v>
      </c>
      <c r="AB268" t="str">
        <v/>
      </c>
      <c r="AD268" t="b">
        <f ca="1">AND(IF(metadata!B268="",FALSE,TRUE),COUNTIF(metadata!B:B, metadata!B268) = 1,NOT(ISERROR(SUMPRODUCT(SEARCH(MID(metadata!B268,ROW(INDIRECT("1:"&amp;LEN(metadata!B268))), 1),"0123456789abcdefghijklmnopqrstuvwxyzABCDEFGHIJKLMNOPQRSTUVWXYZ.")))))</f>
        <v>0</v>
      </c>
      <c r="AE268" t="b">
        <f>OR(AND(IF(metadata!C268="",FALSE,TRUE),OR(EXACT(metadata!C268,"not applicable"),EXACT(metadata!C268,"missing: not collected"),EXACT(metadata!C268,"missing: not provided"),EXACT(metadata!C268,"missing: restricted access"))),AND(IF(metadata!C268="",FALSE,ISNUMBER(VALUE(metadata!C268))),metadata!C268&gt;0))</f>
        <v>0</v>
      </c>
      <c r="AF268" t="b">
        <f>AND(IF(metadata!D268="",FALSE,TRUE),EXACT(metadata!D268,"missing: not provided"))</f>
        <v>0</v>
      </c>
      <c r="AG268" t="b">
        <f>AND(IF(metadata!E268="",FALSE,TRUE),EXACT(metadata!E268,"Host-associated"))</f>
        <v>0</v>
      </c>
      <c r="AH268" t="b">
        <f>AND(IF(metadata!F268="",FALSE,TRUE),OR(EXACT(metadata!F268,"Animal"),EXACT(metadata!F268,"Fungus"),EXACT(metadata!F268,"Plant")))</f>
        <v>0</v>
      </c>
      <c r="AI268" t="b">
        <f>AND(IF(metadata!G268="",FALSE,TRUE),OR(EXACT(metadata!G268,"Plant secretion"),EXACT(metadata!G268,"Plant rhizosphere"),EXACT(metadata!G268,"Plant surface"),EXACT(metadata!G268,"Plant corpus"),EXACT(metadata!G268,"Fungus surface"),EXACT(metadata!G268,"Fungus corpus"),EXACT(metadata!G268,"Animal surface"),EXACT(metadata!G268,"Animal proximal gut"),EXACT(metadata!G268,"Animal corpus"),EXACT(metadata!G268,"Animal distal gut"),EXACT(metadata!G268,"Animal secretion")))</f>
        <v>0</v>
      </c>
      <c r="AJ268" t="b">
        <f>OR(AND(IF(metadata!H268="",FALSE,TRUE),OR(EXACT(metadata!H268,"missing: not collected"),EXACT(metadata!H268,"missing: not provided"),EXACT(metadata!H268,"missing: restricted access"))),AND(IF(metadata!H268="",FALSE,TRUE),OR(EXACT(metadata!H268,"organism-associated habitat"),EXACT(metadata!H268,"plant-associated habitat"),EXACT(metadata!H268,"animal-associated habitat"),EXACT(metadata!H268,"insecta-associated habitat"),EXACT(metadata!H268,"mammalia-associated habitat"),EXACT(metadata!H268,"human-associated habitat"),EXACT(metadata!H268,"livestock-associated habitat"))))</f>
        <v>0</v>
      </c>
      <c r="AK268" t="b">
        <f>AND(IF(metadata!I268="",FALSE,TRUE),EXACT(metadata!I268,"host-associated"))</f>
        <v>0</v>
      </c>
      <c r="AL268" t="b">
        <f>OR(AND(IF(metadata!J268="",FALSE,TRUE),OR(EXACT(metadata!J268,"not applicable"),EXACT(metadata!J268,"missing: not collected"),EXACT(metadata!J268,"missing: not provided"),EXACT(metadata!J268,"missing: restricted access"))),AND(IF(metadata!J268="",FALSE,ISNUMBER(VALUE(metadata!J268))),metadata!J268&gt;0))</f>
        <v>0</v>
      </c>
      <c r="AM268" t="b">
        <f>AND(IF(metadata!K268="",FALSE,TRUE),EXACT(metadata!K268,"missing: not provided"))</f>
        <v>0</v>
      </c>
      <c r="AN268" t="b">
        <f>IF(metadata!L268="",FALSE,TRUE)</f>
        <v>0</v>
      </c>
      <c r="AO268" t="b">
        <f>IF(metadata!M268="",FALSE,TRUE)</f>
        <v>0</v>
      </c>
      <c r="AP268" t="b">
        <f>OR(AND(IF(metadata!N268="",FALSE,TRUE),OR(EXACT(metadata!N268,"not applicable"),EXACT(metadata!N268,"missing: not collected"),EXACT(metadata!N268,"missing: not provided"))),AND(IF(metadata!N268="",FALSE,IF(ISERROR(INT(metadata!N268)),FALSE,INT(metadata!N268)=metadata!N268)),metadata!N268&gt;0))</f>
        <v>0</v>
      </c>
      <c r="AQ268" t="b">
        <f>AND(IF(metadata!O268="",FALSE,TRUE),EXACT(metadata!O268,"Not applicable"))</f>
        <v>0</v>
      </c>
      <c r="AR268" t="b">
        <f>OR(AND(IF(metadata!P268="",FALSE,TRUE),OR(EXACT(metadata!P268,"not applicable"),EXACT(metadata!P268,"missing: not collected"),EXACT(metadata!P268,"missing: not provided"),EXACT(metadata!P268,"missing: restricted access"))),IF(metadata!P268="",FALSE,IF(ISERROR(INT(metadata!P268)),FALSE,INT(metadata!P268)=metadata!P268)))</f>
        <v>0</v>
      </c>
      <c r="AS268" t="b">
        <f>AND(IF(metadata!Q268="",FALSE,TRUE),EXACT(metadata!Q268,"Not applicable"))</f>
        <v>0</v>
      </c>
      <c r="AT268" t="b">
        <f>OR(AND(IF(metadata!R268="",FALSE,TRUE),OR(EXACT(metadata!R268,"not applicable"),EXACT(metadata!R268,"missing: not collected"),EXACT(metadata!R268,"missing: not provided"),EXACT(metadata!R268,"missing: restricted access"))),AND(IF(metadata!R268="",FALSE,ISNUMBER(VALUE(metadata!R268))),metadata!R268&gt;0))</f>
        <v>0</v>
      </c>
      <c r="AU268" t="b">
        <f>AND(IF(metadata!S268="",FALSE,TRUE),EXACT(metadata!S268,"missing: not provided"))</f>
        <v>0</v>
      </c>
    </row>
    <row r="269" spans="1:47" x14ac:dyDescent="0.2">
      <c r="A269" s="5" t="str">
        <f ca="1">IF(B269=" "," ",HYPERLINK(CONCATENATE("#metadata!",ADDRESS(INDEX($Y$2:$Y$1001,MATCH(ROWS($W$2:W269),$W$2:$W$1001,0),0),1)),INDEX($AB$2:$AB$1001,MATCH(ROWS($W$2:W269),$W$2:$W$1001,0),0)))</f>
        <v xml:space="preserve"> </v>
      </c>
      <c r="B269" s="4" t="str">
        <f ca="1">IF(OR(INDEX($X$2:$X$1001,MATCH(ROWS($W$2:W269),$W$2:$W$1001,0),1)&gt;=100000,INDEX($AD$1005:$AU$1005,1,MATCH(COLUMNS($AD$1006:AD1006),$AD$1006:$AU$1006,0))&gt;=100000), " ",IF(INDEX($AD$2:$AU$1001,MATCH(ROWS($W$2:W269),$W$2:$W$1001,0),MATCH(COLUMNS($AD$1006:AD1006),$AD$1006:$AU$1006,0)), HYPERLINK("#",""), HYPERLINK(CONCATENATE("#metadata!", ADDRESS(INDEX($Y$2:$Y$1001,MATCH(ROWS($W$2:W269),$W$2:$W$1001,0),0), INDEX($AD$1004:$AU$1004,1,MATCH(COLUMNS($AD$1006:AD1006),$AD$1006:$AU$1006,0)))),"Fix")))</f>
        <v xml:space="preserve"> </v>
      </c>
      <c r="C269" s="4" t="str">
        <f ca="1">IF(OR(INDEX($X$2:$X$1001,MATCH(ROWS($W$2:W269),$W$2:$W$1001,0),1)&gt;=100000,INDEX($AD$1005:$AU$1005,1,MATCH(COLUMNS($AD$1006:AE1006),$AD$1006:$AU$1006,0))&gt;=100000), " ",IF(INDEX($AD$2:$AU$1001,MATCH(ROWS($W$2:W269),$W$2:$W$1001,0),MATCH(COLUMNS($AD$1006:AE1006),$AD$1006:$AU$1006,0)), HYPERLINK("#",""), HYPERLINK(CONCATENATE("#metadata!", ADDRESS(INDEX($Y$2:$Y$1001,MATCH(ROWS($W$2:W269),$W$2:$W$1001,0),0), INDEX($AD$1004:$AU$1004,1,MATCH(COLUMNS($AD$1006:AE1006),$AD$1006:$AU$1006,0)))),"Fix")))</f>
        <v xml:space="preserve"> </v>
      </c>
      <c r="D269" s="4" t="str">
        <f ca="1">IF(OR(INDEX($X$2:$X$1001,MATCH(ROWS($W$2:W269),$W$2:$W$1001,0),1)&gt;=100000,INDEX($AD$1005:$AU$1005,1,MATCH(COLUMNS($AD$1006:AF1006),$AD$1006:$AU$1006,0))&gt;=100000), " ",IF(INDEX($AD$2:$AU$1001,MATCH(ROWS($W$2:W269),$W$2:$W$1001,0),MATCH(COLUMNS($AD$1006:AF1006),$AD$1006:$AU$1006,0)), HYPERLINK("#",""), HYPERLINK(CONCATENATE("#metadata!", ADDRESS(INDEX($Y$2:$Y$1001,MATCH(ROWS($W$2:W269),$W$2:$W$1001,0),0), INDEX($AD$1004:$AU$1004,1,MATCH(COLUMNS($AD$1006:AF1006),$AD$1006:$AU$1006,0)))),"Fix")))</f>
        <v xml:space="preserve"> </v>
      </c>
      <c r="E269" s="4" t="str">
        <f ca="1">IF(OR(INDEX($X$2:$X$1001,MATCH(ROWS($W$2:W269),$W$2:$W$1001,0),1)&gt;=100000,INDEX($AD$1005:$AU$1005,1,MATCH(COLUMNS($AD$1006:AG1006),$AD$1006:$AU$1006,0))&gt;=100000), " ",IF(INDEX($AD$2:$AU$1001,MATCH(ROWS($W$2:W269),$W$2:$W$1001,0),MATCH(COLUMNS($AD$1006:AG1006),$AD$1006:$AU$1006,0)), HYPERLINK("#",""), HYPERLINK(CONCATENATE("#metadata!", ADDRESS(INDEX($Y$2:$Y$1001,MATCH(ROWS($W$2:W269),$W$2:$W$1001,0),0), INDEX($AD$1004:$AU$1004,1,MATCH(COLUMNS($AD$1006:AG1006),$AD$1006:$AU$1006,0)))),"Fix")))</f>
        <v xml:space="preserve"> </v>
      </c>
      <c r="F269" s="4" t="str">
        <f ca="1">IF(OR(INDEX($X$2:$X$1001,MATCH(ROWS($W$2:W269),$W$2:$W$1001,0),1)&gt;=100000,INDEX($AD$1005:$AU$1005,1,MATCH(COLUMNS($AD$1006:AH1006),$AD$1006:$AU$1006,0))&gt;=100000), " ",IF(INDEX($AD$2:$AU$1001,MATCH(ROWS($W$2:W269),$W$2:$W$1001,0),MATCH(COLUMNS($AD$1006:AH1006),$AD$1006:$AU$1006,0)), HYPERLINK("#",""), HYPERLINK(CONCATENATE("#metadata!", ADDRESS(INDEX($Y$2:$Y$1001,MATCH(ROWS($W$2:W269),$W$2:$W$1001,0),0), INDEX($AD$1004:$AU$1004,1,MATCH(COLUMNS($AD$1006:AH1006),$AD$1006:$AU$1006,0)))),"Fix")))</f>
        <v xml:space="preserve"> </v>
      </c>
      <c r="G269" s="4" t="str">
        <f ca="1">IF(OR(INDEX($X$2:$X$1001,MATCH(ROWS($W$2:W269),$W$2:$W$1001,0),1)&gt;=100000,INDEX($AD$1005:$AU$1005,1,MATCH(COLUMNS($AD$1006:AI1006),$AD$1006:$AU$1006,0))&gt;=100000), " ",IF(INDEX($AD$2:$AU$1001,MATCH(ROWS($W$2:W269),$W$2:$W$1001,0),MATCH(COLUMNS($AD$1006:AI1006),$AD$1006:$AU$1006,0)), HYPERLINK("#",""), HYPERLINK(CONCATENATE("#metadata!", ADDRESS(INDEX($Y$2:$Y$1001,MATCH(ROWS($W$2:W269),$W$2:$W$1001,0),0), INDEX($AD$1004:$AU$1004,1,MATCH(COLUMNS($AD$1006:AI1006),$AD$1006:$AU$1006,0)))),"Fix")))</f>
        <v xml:space="preserve"> </v>
      </c>
      <c r="H269" s="4" t="str">
        <f ca="1">IF(OR(INDEX($X$2:$X$1001,MATCH(ROWS($W$2:W269),$W$2:$W$1001,0),1)&gt;=100000,INDEX($AD$1005:$AU$1005,1,MATCH(COLUMNS($AD$1006:AJ1006),$AD$1006:$AU$1006,0))&gt;=100000), " ",IF(INDEX($AD$2:$AU$1001,MATCH(ROWS($W$2:W269),$W$2:$W$1001,0),MATCH(COLUMNS($AD$1006:AJ1006),$AD$1006:$AU$1006,0)), HYPERLINK("#",""), HYPERLINK(CONCATENATE("#metadata!", ADDRESS(INDEX($Y$2:$Y$1001,MATCH(ROWS($W$2:W269),$W$2:$W$1001,0),0), INDEX($AD$1004:$AU$1004,1,MATCH(COLUMNS($AD$1006:AJ1006),$AD$1006:$AU$1006,0)))),"Fix")))</f>
        <v xml:space="preserve"> </v>
      </c>
      <c r="I269" s="4" t="str">
        <f ca="1">IF(OR(INDEX($X$2:$X$1001,MATCH(ROWS($W$2:W269),$W$2:$W$1001,0),1)&gt;=100000,INDEX($AD$1005:$AU$1005,1,MATCH(COLUMNS($AD$1006:AK1006),$AD$1006:$AU$1006,0))&gt;=100000), " ",IF(INDEX($AD$2:$AU$1001,MATCH(ROWS($W$2:W269),$W$2:$W$1001,0),MATCH(COLUMNS($AD$1006:AK1006),$AD$1006:$AU$1006,0)), HYPERLINK("#",""), HYPERLINK(CONCATENATE("#metadata!", ADDRESS(INDEX($Y$2:$Y$1001,MATCH(ROWS($W$2:W269),$W$2:$W$1001,0),0), INDEX($AD$1004:$AU$1004,1,MATCH(COLUMNS($AD$1006:AK1006),$AD$1006:$AU$1006,0)))),"Fix")))</f>
        <v xml:space="preserve"> </v>
      </c>
      <c r="J269" s="4" t="str">
        <f ca="1">IF(OR(INDEX($X$2:$X$1001,MATCH(ROWS($W$2:W269),$W$2:$W$1001,0),1)&gt;=100000,INDEX($AD$1005:$AU$1005,1,MATCH(COLUMNS($AD$1006:AL1006),$AD$1006:$AU$1006,0))&gt;=100000), " ",IF(INDEX($AD$2:$AU$1001,MATCH(ROWS($W$2:W269),$W$2:$W$1001,0),MATCH(COLUMNS($AD$1006:AL1006),$AD$1006:$AU$1006,0)), HYPERLINK("#",""), HYPERLINK(CONCATENATE("#metadata!", ADDRESS(INDEX($Y$2:$Y$1001,MATCH(ROWS($W$2:W269),$W$2:$W$1001,0),0), INDEX($AD$1004:$AU$1004,1,MATCH(COLUMNS($AD$1006:AL1006),$AD$1006:$AU$1006,0)))),"Fix")))</f>
        <v xml:space="preserve"> </v>
      </c>
      <c r="K269" s="4" t="str">
        <f ca="1">IF(OR(INDEX($X$2:$X$1001,MATCH(ROWS($W$2:W269),$W$2:$W$1001,0),1)&gt;=100000,INDEX($AD$1005:$AU$1005,1,MATCH(COLUMNS($AD$1006:AM1006),$AD$1006:$AU$1006,0))&gt;=100000), " ",IF(INDEX($AD$2:$AU$1001,MATCH(ROWS($W$2:W269),$W$2:$W$1001,0),MATCH(COLUMNS($AD$1006:AM1006),$AD$1006:$AU$1006,0)), HYPERLINK("#",""), HYPERLINK(CONCATENATE("#metadata!", ADDRESS(INDEX($Y$2:$Y$1001,MATCH(ROWS($W$2:W269),$W$2:$W$1001,0),0), INDEX($AD$1004:$AU$1004,1,MATCH(COLUMNS($AD$1006:AM1006),$AD$1006:$AU$1006,0)))),"Fix")))</f>
        <v xml:space="preserve"> </v>
      </c>
      <c r="L269" s="4" t="str">
        <f ca="1">IF(OR(INDEX($X$2:$X$1001,MATCH(ROWS($W$2:W269),$W$2:$W$1001,0),1)&gt;=100000,INDEX($AD$1005:$AU$1005,1,MATCH(COLUMNS($AD$1006:AN1006),$AD$1006:$AU$1006,0))&gt;=100000), " ",IF(INDEX($AD$2:$AU$1001,MATCH(ROWS($W$2:W269),$W$2:$W$1001,0),MATCH(COLUMNS($AD$1006:AN1006),$AD$1006:$AU$1006,0)), HYPERLINK("#",""), HYPERLINK(CONCATENATE("#metadata!", ADDRESS(INDEX($Y$2:$Y$1001,MATCH(ROWS($W$2:W269),$W$2:$W$1001,0),0), INDEX($AD$1004:$AU$1004,1,MATCH(COLUMNS($AD$1006:AN1006),$AD$1006:$AU$1006,0)))),"Fix")))</f>
        <v xml:space="preserve"> </v>
      </c>
      <c r="M269" s="4" t="str">
        <f ca="1">IF(OR(INDEX($X$2:$X$1001,MATCH(ROWS($W$2:W269),$W$2:$W$1001,0),1)&gt;=100000,INDEX($AD$1005:$AU$1005,1,MATCH(COLUMNS($AD$1006:AO1006),$AD$1006:$AU$1006,0))&gt;=100000), " ",IF(INDEX($AD$2:$AU$1001,MATCH(ROWS($W$2:W269),$W$2:$W$1001,0),MATCH(COLUMNS($AD$1006:AO1006),$AD$1006:$AU$1006,0)), HYPERLINK("#",""), HYPERLINK(CONCATENATE("#metadata!", ADDRESS(INDEX($Y$2:$Y$1001,MATCH(ROWS($W$2:W269),$W$2:$W$1001,0),0), INDEX($AD$1004:$AU$1004,1,MATCH(COLUMNS($AD$1006:AO1006),$AD$1006:$AU$1006,0)))),"Fix")))</f>
        <v xml:space="preserve"> </v>
      </c>
      <c r="N269" s="4" t="str">
        <f ca="1">IF(OR(INDEX($X$2:$X$1001,MATCH(ROWS($W$2:W269),$W$2:$W$1001,0),1)&gt;=100000,INDEX($AD$1005:$AU$1005,1,MATCH(COLUMNS($AD$1006:AP1006),$AD$1006:$AU$1006,0))&gt;=100000), " ",IF(INDEX($AD$2:$AU$1001,MATCH(ROWS($W$2:W269),$W$2:$W$1001,0),MATCH(COLUMNS($AD$1006:AP1006),$AD$1006:$AU$1006,0)), HYPERLINK("#",""), HYPERLINK(CONCATENATE("#metadata!", ADDRESS(INDEX($Y$2:$Y$1001,MATCH(ROWS($W$2:W269),$W$2:$W$1001,0),0), INDEX($AD$1004:$AU$1004,1,MATCH(COLUMNS($AD$1006:AP1006),$AD$1006:$AU$1006,0)))),"Fix")))</f>
        <v xml:space="preserve"> </v>
      </c>
      <c r="O269" s="4" t="str">
        <f ca="1">IF(OR(INDEX($X$2:$X$1001,MATCH(ROWS($W$2:W269),$W$2:$W$1001,0),1)&gt;=100000,INDEX($AD$1005:$AU$1005,1,MATCH(COLUMNS($AD$1006:AQ1006),$AD$1006:$AU$1006,0))&gt;=100000), " ",IF(INDEX($AD$2:$AU$1001,MATCH(ROWS($W$2:W269),$W$2:$W$1001,0),MATCH(COLUMNS($AD$1006:AQ1006),$AD$1006:$AU$1006,0)), HYPERLINK("#",""), HYPERLINK(CONCATENATE("#metadata!", ADDRESS(INDEX($Y$2:$Y$1001,MATCH(ROWS($W$2:W269),$W$2:$W$1001,0),0), INDEX($AD$1004:$AU$1004,1,MATCH(COLUMNS($AD$1006:AQ1006),$AD$1006:$AU$1006,0)))),"Fix")))</f>
        <v xml:space="preserve"> </v>
      </c>
      <c r="P269" s="4" t="str">
        <f ca="1">IF(OR(INDEX($X$2:$X$1001,MATCH(ROWS($W$2:W269),$W$2:$W$1001,0),1)&gt;=100000,INDEX($AD$1005:$AU$1005,1,MATCH(COLUMNS($AD$1006:AR1006),$AD$1006:$AU$1006,0))&gt;=100000), " ",IF(INDEX($AD$2:$AU$1001,MATCH(ROWS($W$2:W269),$W$2:$W$1001,0),MATCH(COLUMNS($AD$1006:AR1006),$AD$1006:$AU$1006,0)), HYPERLINK("#",""), HYPERLINK(CONCATENATE("#metadata!", ADDRESS(INDEX($Y$2:$Y$1001,MATCH(ROWS($W$2:W269),$W$2:$W$1001,0),0), INDEX($AD$1004:$AU$1004,1,MATCH(COLUMNS($AD$1006:AR1006),$AD$1006:$AU$1006,0)))),"Fix")))</f>
        <v xml:space="preserve"> </v>
      </c>
      <c r="Q269" s="4" t="str">
        <f ca="1">IF(OR(INDEX($X$2:$X$1001,MATCH(ROWS($W$2:W269),$W$2:$W$1001,0),1)&gt;=100000,INDEX($AD$1005:$AU$1005,1,MATCH(COLUMNS($AD$1006:AS1006),$AD$1006:$AU$1006,0))&gt;=100000), " ",IF(INDEX($AD$2:$AU$1001,MATCH(ROWS($W$2:W269),$W$2:$W$1001,0),MATCH(COLUMNS($AD$1006:AS1006),$AD$1006:$AU$1006,0)), HYPERLINK("#",""), HYPERLINK(CONCATENATE("#metadata!", ADDRESS(INDEX($Y$2:$Y$1001,MATCH(ROWS($W$2:W269),$W$2:$W$1001,0),0), INDEX($AD$1004:$AU$1004,1,MATCH(COLUMNS($AD$1006:AS1006),$AD$1006:$AU$1006,0)))),"Fix")))</f>
        <v xml:space="preserve"> </v>
      </c>
      <c r="R269" s="4" t="str">
        <f ca="1">IF(OR(INDEX($X$2:$X$1001,MATCH(ROWS($W$2:W269),$W$2:$W$1001,0),1)&gt;=100000,INDEX($AD$1005:$AU$1005,1,MATCH(COLUMNS($AD$1006:AT1006),$AD$1006:$AU$1006,0))&gt;=100000), " ",IF(INDEX($AD$2:$AU$1001,MATCH(ROWS($W$2:W269),$W$2:$W$1001,0),MATCH(COLUMNS($AD$1006:AT1006),$AD$1006:$AU$1006,0)), HYPERLINK("#",""), HYPERLINK(CONCATENATE("#metadata!", ADDRESS(INDEX($Y$2:$Y$1001,MATCH(ROWS($W$2:W269),$W$2:$W$1001,0),0), INDEX($AD$1004:$AU$1004,1,MATCH(COLUMNS($AD$1006:AT1006),$AD$1006:$AU$1006,0)))),"Fix")))</f>
        <v xml:space="preserve"> </v>
      </c>
      <c r="S269" s="4" t="str">
        <f ca="1">IF(OR(INDEX($X$2:$X$1001,MATCH(ROWS($W$2:W269),$W$2:$W$1001,0),1)&gt;=100000,INDEX($AD$1005:$AU$1005,1,MATCH(COLUMNS($AD$1006:AU1006),$AD$1006:$AU$1006,0))&gt;=100000), " ",IF(INDEX($AD$2:$AU$1001,MATCH(ROWS($W$2:W269),$W$2:$W$1001,0),MATCH(COLUMNS($AD$1006:AU1006),$AD$1006:$AU$1006,0)), HYPERLINK("#",""), HYPERLINK(CONCATENATE("#metadata!", ADDRESS(INDEX($Y$2:$Y$1001,MATCH(ROWS($W$2:W269),$W$2:$W$1001,0),0), INDEX($AD$1004:$AU$1004,1,MATCH(COLUMNS($AD$1006:AU1006),$AD$1006:$AU$1006,0)))),"Fix")))</f>
        <v xml:space="preserve"> </v>
      </c>
      <c r="W269">
        <v>268</v>
      </c>
      <c r="X269">
        <v>100269</v>
      </c>
      <c r="Y269">
        <v>269</v>
      </c>
      <c r="Z269" t="b">
        <f t="shared" si="4"/>
        <v>1</v>
      </c>
      <c r="AA269" t="b">
        <f>COUNTBLANK(metadata!B269:S269)=COLUMNS(metadata!B269:S269)</f>
        <v>1</v>
      </c>
      <c r="AB269" t="str">
        <v/>
      </c>
      <c r="AD269" t="b">
        <f ca="1">AND(IF(metadata!B269="",FALSE,TRUE),COUNTIF(metadata!B:B, metadata!B269) = 1,NOT(ISERROR(SUMPRODUCT(SEARCH(MID(metadata!B269,ROW(INDIRECT("1:"&amp;LEN(metadata!B269))), 1),"0123456789abcdefghijklmnopqrstuvwxyzABCDEFGHIJKLMNOPQRSTUVWXYZ.")))))</f>
        <v>0</v>
      </c>
      <c r="AE269" t="b">
        <f>OR(AND(IF(metadata!C269="",FALSE,TRUE),OR(EXACT(metadata!C269,"not applicable"),EXACT(metadata!C269,"missing: not collected"),EXACT(metadata!C269,"missing: not provided"),EXACT(metadata!C269,"missing: restricted access"))),AND(IF(metadata!C269="",FALSE,ISNUMBER(VALUE(metadata!C269))),metadata!C269&gt;0))</f>
        <v>0</v>
      </c>
      <c r="AF269" t="b">
        <f>AND(IF(metadata!D269="",FALSE,TRUE),EXACT(metadata!D269,"missing: not provided"))</f>
        <v>0</v>
      </c>
      <c r="AG269" t="b">
        <f>AND(IF(metadata!E269="",FALSE,TRUE),EXACT(metadata!E269,"Host-associated"))</f>
        <v>0</v>
      </c>
      <c r="AH269" t="b">
        <f>AND(IF(metadata!F269="",FALSE,TRUE),OR(EXACT(metadata!F269,"Animal"),EXACT(metadata!F269,"Fungus"),EXACT(metadata!F269,"Plant")))</f>
        <v>0</v>
      </c>
      <c r="AI269" t="b">
        <f>AND(IF(metadata!G269="",FALSE,TRUE),OR(EXACT(metadata!G269,"Plant secretion"),EXACT(metadata!G269,"Plant rhizosphere"),EXACT(metadata!G269,"Plant surface"),EXACT(metadata!G269,"Plant corpus"),EXACT(metadata!G269,"Fungus surface"),EXACT(metadata!G269,"Fungus corpus"),EXACT(metadata!G269,"Animal surface"),EXACT(metadata!G269,"Animal proximal gut"),EXACT(metadata!G269,"Animal corpus"),EXACT(metadata!G269,"Animal distal gut"),EXACT(metadata!G269,"Animal secretion")))</f>
        <v>0</v>
      </c>
      <c r="AJ269" t="b">
        <f>OR(AND(IF(metadata!H269="",FALSE,TRUE),OR(EXACT(metadata!H269,"missing: not collected"),EXACT(metadata!H269,"missing: not provided"),EXACT(metadata!H269,"missing: restricted access"))),AND(IF(metadata!H269="",FALSE,TRUE),OR(EXACT(metadata!H269,"organism-associated habitat"),EXACT(metadata!H269,"plant-associated habitat"),EXACT(metadata!H269,"animal-associated habitat"),EXACT(metadata!H269,"insecta-associated habitat"),EXACT(metadata!H269,"mammalia-associated habitat"),EXACT(metadata!H269,"human-associated habitat"),EXACT(metadata!H269,"livestock-associated habitat"))))</f>
        <v>0</v>
      </c>
      <c r="AK269" t="b">
        <f>AND(IF(metadata!I269="",FALSE,TRUE),EXACT(metadata!I269,"host-associated"))</f>
        <v>0</v>
      </c>
      <c r="AL269" t="b">
        <f>OR(AND(IF(metadata!J269="",FALSE,TRUE),OR(EXACT(metadata!J269,"not applicable"),EXACT(metadata!J269,"missing: not collected"),EXACT(metadata!J269,"missing: not provided"),EXACT(metadata!J269,"missing: restricted access"))),AND(IF(metadata!J269="",FALSE,ISNUMBER(VALUE(metadata!J269))),metadata!J269&gt;0))</f>
        <v>0</v>
      </c>
      <c r="AM269" t="b">
        <f>AND(IF(metadata!K269="",FALSE,TRUE),EXACT(metadata!K269,"missing: not provided"))</f>
        <v>0</v>
      </c>
      <c r="AN269" t="b">
        <f>IF(metadata!L269="",FALSE,TRUE)</f>
        <v>0</v>
      </c>
      <c r="AO269" t="b">
        <f>IF(metadata!M269="",FALSE,TRUE)</f>
        <v>0</v>
      </c>
      <c r="AP269" t="b">
        <f>OR(AND(IF(metadata!N269="",FALSE,TRUE),OR(EXACT(metadata!N269,"not applicable"),EXACT(metadata!N269,"missing: not collected"),EXACT(metadata!N269,"missing: not provided"))),AND(IF(metadata!N269="",FALSE,IF(ISERROR(INT(metadata!N269)),FALSE,INT(metadata!N269)=metadata!N269)),metadata!N269&gt;0))</f>
        <v>0</v>
      </c>
      <c r="AQ269" t="b">
        <f>AND(IF(metadata!O269="",FALSE,TRUE),EXACT(metadata!O269,"Not applicable"))</f>
        <v>0</v>
      </c>
      <c r="AR269" t="b">
        <f>OR(AND(IF(metadata!P269="",FALSE,TRUE),OR(EXACT(metadata!P269,"not applicable"),EXACT(metadata!P269,"missing: not collected"),EXACT(metadata!P269,"missing: not provided"),EXACT(metadata!P269,"missing: restricted access"))),IF(metadata!P269="",FALSE,IF(ISERROR(INT(metadata!P269)),FALSE,INT(metadata!P269)=metadata!P269)))</f>
        <v>0</v>
      </c>
      <c r="AS269" t="b">
        <f>AND(IF(metadata!Q269="",FALSE,TRUE),EXACT(metadata!Q269,"Not applicable"))</f>
        <v>0</v>
      </c>
      <c r="AT269" t="b">
        <f>OR(AND(IF(metadata!R269="",FALSE,TRUE),OR(EXACT(metadata!R269,"not applicable"),EXACT(metadata!R269,"missing: not collected"),EXACT(metadata!R269,"missing: not provided"),EXACT(metadata!R269,"missing: restricted access"))),AND(IF(metadata!R269="",FALSE,ISNUMBER(VALUE(metadata!R269))),metadata!R269&gt;0))</f>
        <v>0</v>
      </c>
      <c r="AU269" t="b">
        <f>AND(IF(metadata!S269="",FALSE,TRUE),EXACT(metadata!S269,"missing: not provided"))</f>
        <v>0</v>
      </c>
    </row>
    <row r="270" spans="1:47" x14ac:dyDescent="0.2">
      <c r="A270" s="5" t="str">
        <f ca="1">IF(B270=" "," ",HYPERLINK(CONCATENATE("#metadata!",ADDRESS(INDEX($Y$2:$Y$1001,MATCH(ROWS($W$2:W270),$W$2:$W$1001,0),0),1)),INDEX($AB$2:$AB$1001,MATCH(ROWS($W$2:W270),$W$2:$W$1001,0),0)))</f>
        <v xml:space="preserve"> </v>
      </c>
      <c r="B270" s="4" t="str">
        <f ca="1">IF(OR(INDEX($X$2:$X$1001,MATCH(ROWS($W$2:W270),$W$2:$W$1001,0),1)&gt;=100000,INDEX($AD$1005:$AU$1005,1,MATCH(COLUMNS($AD$1006:AD1006),$AD$1006:$AU$1006,0))&gt;=100000), " ",IF(INDEX($AD$2:$AU$1001,MATCH(ROWS($W$2:W270),$W$2:$W$1001,0),MATCH(COLUMNS($AD$1006:AD1006),$AD$1006:$AU$1006,0)), HYPERLINK("#",""), HYPERLINK(CONCATENATE("#metadata!", ADDRESS(INDEX($Y$2:$Y$1001,MATCH(ROWS($W$2:W270),$W$2:$W$1001,0),0), INDEX($AD$1004:$AU$1004,1,MATCH(COLUMNS($AD$1006:AD1006),$AD$1006:$AU$1006,0)))),"Fix")))</f>
        <v xml:space="preserve"> </v>
      </c>
      <c r="C270" s="4" t="str">
        <f ca="1">IF(OR(INDEX($X$2:$X$1001,MATCH(ROWS($W$2:W270),$W$2:$W$1001,0),1)&gt;=100000,INDEX($AD$1005:$AU$1005,1,MATCH(COLUMNS($AD$1006:AE1006),$AD$1006:$AU$1006,0))&gt;=100000), " ",IF(INDEX($AD$2:$AU$1001,MATCH(ROWS($W$2:W270),$W$2:$W$1001,0),MATCH(COLUMNS($AD$1006:AE1006),$AD$1006:$AU$1006,0)), HYPERLINK("#",""), HYPERLINK(CONCATENATE("#metadata!", ADDRESS(INDEX($Y$2:$Y$1001,MATCH(ROWS($W$2:W270),$W$2:$W$1001,0),0), INDEX($AD$1004:$AU$1004,1,MATCH(COLUMNS($AD$1006:AE1006),$AD$1006:$AU$1006,0)))),"Fix")))</f>
        <v xml:space="preserve"> </v>
      </c>
      <c r="D270" s="4" t="str">
        <f ca="1">IF(OR(INDEX($X$2:$X$1001,MATCH(ROWS($W$2:W270),$W$2:$W$1001,0),1)&gt;=100000,INDEX($AD$1005:$AU$1005,1,MATCH(COLUMNS($AD$1006:AF1006),$AD$1006:$AU$1006,0))&gt;=100000), " ",IF(INDEX($AD$2:$AU$1001,MATCH(ROWS($W$2:W270),$W$2:$W$1001,0),MATCH(COLUMNS($AD$1006:AF1006),$AD$1006:$AU$1006,0)), HYPERLINK("#",""), HYPERLINK(CONCATENATE("#metadata!", ADDRESS(INDEX($Y$2:$Y$1001,MATCH(ROWS($W$2:W270),$W$2:$W$1001,0),0), INDEX($AD$1004:$AU$1004,1,MATCH(COLUMNS($AD$1006:AF1006),$AD$1006:$AU$1006,0)))),"Fix")))</f>
        <v xml:space="preserve"> </v>
      </c>
      <c r="E270" s="4" t="str">
        <f ca="1">IF(OR(INDEX($X$2:$X$1001,MATCH(ROWS($W$2:W270),$W$2:$W$1001,0),1)&gt;=100000,INDEX($AD$1005:$AU$1005,1,MATCH(COLUMNS($AD$1006:AG1006),$AD$1006:$AU$1006,0))&gt;=100000), " ",IF(INDEX($AD$2:$AU$1001,MATCH(ROWS($W$2:W270),$W$2:$W$1001,0),MATCH(COLUMNS($AD$1006:AG1006),$AD$1006:$AU$1006,0)), HYPERLINK("#",""), HYPERLINK(CONCATENATE("#metadata!", ADDRESS(INDEX($Y$2:$Y$1001,MATCH(ROWS($W$2:W270),$W$2:$W$1001,0),0), INDEX($AD$1004:$AU$1004,1,MATCH(COLUMNS($AD$1006:AG1006),$AD$1006:$AU$1006,0)))),"Fix")))</f>
        <v xml:space="preserve"> </v>
      </c>
      <c r="F270" s="4" t="str">
        <f ca="1">IF(OR(INDEX($X$2:$X$1001,MATCH(ROWS($W$2:W270),$W$2:$W$1001,0),1)&gt;=100000,INDEX($AD$1005:$AU$1005,1,MATCH(COLUMNS($AD$1006:AH1006),$AD$1006:$AU$1006,0))&gt;=100000), " ",IF(INDEX($AD$2:$AU$1001,MATCH(ROWS($W$2:W270),$W$2:$W$1001,0),MATCH(COLUMNS($AD$1006:AH1006),$AD$1006:$AU$1006,0)), HYPERLINK("#",""), HYPERLINK(CONCATENATE("#metadata!", ADDRESS(INDEX($Y$2:$Y$1001,MATCH(ROWS($W$2:W270),$W$2:$W$1001,0),0), INDEX($AD$1004:$AU$1004,1,MATCH(COLUMNS($AD$1006:AH1006),$AD$1006:$AU$1006,0)))),"Fix")))</f>
        <v xml:space="preserve"> </v>
      </c>
      <c r="G270" s="4" t="str">
        <f ca="1">IF(OR(INDEX($X$2:$X$1001,MATCH(ROWS($W$2:W270),$W$2:$W$1001,0),1)&gt;=100000,INDEX($AD$1005:$AU$1005,1,MATCH(COLUMNS($AD$1006:AI1006),$AD$1006:$AU$1006,0))&gt;=100000), " ",IF(INDEX($AD$2:$AU$1001,MATCH(ROWS($W$2:W270),$W$2:$W$1001,0),MATCH(COLUMNS($AD$1006:AI1006),$AD$1006:$AU$1006,0)), HYPERLINK("#",""), HYPERLINK(CONCATENATE("#metadata!", ADDRESS(INDEX($Y$2:$Y$1001,MATCH(ROWS($W$2:W270),$W$2:$W$1001,0),0), INDEX($AD$1004:$AU$1004,1,MATCH(COLUMNS($AD$1006:AI1006),$AD$1006:$AU$1006,0)))),"Fix")))</f>
        <v xml:space="preserve"> </v>
      </c>
      <c r="H270" s="4" t="str">
        <f ca="1">IF(OR(INDEX($X$2:$X$1001,MATCH(ROWS($W$2:W270),$W$2:$W$1001,0),1)&gt;=100000,INDEX($AD$1005:$AU$1005,1,MATCH(COLUMNS($AD$1006:AJ1006),$AD$1006:$AU$1006,0))&gt;=100000), " ",IF(INDEX($AD$2:$AU$1001,MATCH(ROWS($W$2:W270),$W$2:$W$1001,0),MATCH(COLUMNS($AD$1006:AJ1006),$AD$1006:$AU$1006,0)), HYPERLINK("#",""), HYPERLINK(CONCATENATE("#metadata!", ADDRESS(INDEX($Y$2:$Y$1001,MATCH(ROWS($W$2:W270),$W$2:$W$1001,0),0), INDEX($AD$1004:$AU$1004,1,MATCH(COLUMNS($AD$1006:AJ1006),$AD$1006:$AU$1006,0)))),"Fix")))</f>
        <v xml:space="preserve"> </v>
      </c>
      <c r="I270" s="4" t="str">
        <f ca="1">IF(OR(INDEX($X$2:$X$1001,MATCH(ROWS($W$2:W270),$W$2:$W$1001,0),1)&gt;=100000,INDEX($AD$1005:$AU$1005,1,MATCH(COLUMNS($AD$1006:AK1006),$AD$1006:$AU$1006,0))&gt;=100000), " ",IF(INDEX($AD$2:$AU$1001,MATCH(ROWS($W$2:W270),$W$2:$W$1001,0),MATCH(COLUMNS($AD$1006:AK1006),$AD$1006:$AU$1006,0)), HYPERLINK("#",""), HYPERLINK(CONCATENATE("#metadata!", ADDRESS(INDEX($Y$2:$Y$1001,MATCH(ROWS($W$2:W270),$W$2:$W$1001,0),0), INDEX($AD$1004:$AU$1004,1,MATCH(COLUMNS($AD$1006:AK1006),$AD$1006:$AU$1006,0)))),"Fix")))</f>
        <v xml:space="preserve"> </v>
      </c>
      <c r="J270" s="4" t="str">
        <f ca="1">IF(OR(INDEX($X$2:$X$1001,MATCH(ROWS($W$2:W270),$W$2:$W$1001,0),1)&gt;=100000,INDEX($AD$1005:$AU$1005,1,MATCH(COLUMNS($AD$1006:AL1006),$AD$1006:$AU$1006,0))&gt;=100000), " ",IF(INDEX($AD$2:$AU$1001,MATCH(ROWS($W$2:W270),$W$2:$W$1001,0),MATCH(COLUMNS($AD$1006:AL1006),$AD$1006:$AU$1006,0)), HYPERLINK("#",""), HYPERLINK(CONCATENATE("#metadata!", ADDRESS(INDEX($Y$2:$Y$1001,MATCH(ROWS($W$2:W270),$W$2:$W$1001,0),0), INDEX($AD$1004:$AU$1004,1,MATCH(COLUMNS($AD$1006:AL1006),$AD$1006:$AU$1006,0)))),"Fix")))</f>
        <v xml:space="preserve"> </v>
      </c>
      <c r="K270" s="4" t="str">
        <f ca="1">IF(OR(INDEX($X$2:$X$1001,MATCH(ROWS($W$2:W270),$W$2:$W$1001,0),1)&gt;=100000,INDEX($AD$1005:$AU$1005,1,MATCH(COLUMNS($AD$1006:AM1006),$AD$1006:$AU$1006,0))&gt;=100000), " ",IF(INDEX($AD$2:$AU$1001,MATCH(ROWS($W$2:W270),$W$2:$W$1001,0),MATCH(COLUMNS($AD$1006:AM1006),$AD$1006:$AU$1006,0)), HYPERLINK("#",""), HYPERLINK(CONCATENATE("#metadata!", ADDRESS(INDEX($Y$2:$Y$1001,MATCH(ROWS($W$2:W270),$W$2:$W$1001,0),0), INDEX($AD$1004:$AU$1004,1,MATCH(COLUMNS($AD$1006:AM1006),$AD$1006:$AU$1006,0)))),"Fix")))</f>
        <v xml:space="preserve"> </v>
      </c>
      <c r="L270" s="4" t="str">
        <f ca="1">IF(OR(INDEX($X$2:$X$1001,MATCH(ROWS($W$2:W270),$W$2:$W$1001,0),1)&gt;=100000,INDEX($AD$1005:$AU$1005,1,MATCH(COLUMNS($AD$1006:AN1006),$AD$1006:$AU$1006,0))&gt;=100000), " ",IF(INDEX($AD$2:$AU$1001,MATCH(ROWS($W$2:W270),$W$2:$W$1001,0),MATCH(COLUMNS($AD$1006:AN1006),$AD$1006:$AU$1006,0)), HYPERLINK("#",""), HYPERLINK(CONCATENATE("#metadata!", ADDRESS(INDEX($Y$2:$Y$1001,MATCH(ROWS($W$2:W270),$W$2:$W$1001,0),0), INDEX($AD$1004:$AU$1004,1,MATCH(COLUMNS($AD$1006:AN1006),$AD$1006:$AU$1006,0)))),"Fix")))</f>
        <v xml:space="preserve"> </v>
      </c>
      <c r="M270" s="4" t="str">
        <f ca="1">IF(OR(INDEX($X$2:$X$1001,MATCH(ROWS($W$2:W270),$W$2:$W$1001,0),1)&gt;=100000,INDEX($AD$1005:$AU$1005,1,MATCH(COLUMNS($AD$1006:AO1006),$AD$1006:$AU$1006,0))&gt;=100000), " ",IF(INDEX($AD$2:$AU$1001,MATCH(ROWS($W$2:W270),$W$2:$W$1001,0),MATCH(COLUMNS($AD$1006:AO1006),$AD$1006:$AU$1006,0)), HYPERLINK("#",""), HYPERLINK(CONCATENATE("#metadata!", ADDRESS(INDEX($Y$2:$Y$1001,MATCH(ROWS($W$2:W270),$W$2:$W$1001,0),0), INDEX($AD$1004:$AU$1004,1,MATCH(COLUMNS($AD$1006:AO1006),$AD$1006:$AU$1006,0)))),"Fix")))</f>
        <v xml:space="preserve"> </v>
      </c>
      <c r="N270" s="4" t="str">
        <f ca="1">IF(OR(INDEX($X$2:$X$1001,MATCH(ROWS($W$2:W270),$W$2:$W$1001,0),1)&gt;=100000,INDEX($AD$1005:$AU$1005,1,MATCH(COLUMNS($AD$1006:AP1006),$AD$1006:$AU$1006,0))&gt;=100000), " ",IF(INDEX($AD$2:$AU$1001,MATCH(ROWS($W$2:W270),$W$2:$W$1001,0),MATCH(COLUMNS($AD$1006:AP1006),$AD$1006:$AU$1006,0)), HYPERLINK("#",""), HYPERLINK(CONCATENATE("#metadata!", ADDRESS(INDEX($Y$2:$Y$1001,MATCH(ROWS($W$2:W270),$W$2:$W$1001,0),0), INDEX($AD$1004:$AU$1004,1,MATCH(COLUMNS($AD$1006:AP1006),$AD$1006:$AU$1006,0)))),"Fix")))</f>
        <v xml:space="preserve"> </v>
      </c>
      <c r="O270" s="4" t="str">
        <f ca="1">IF(OR(INDEX($X$2:$X$1001,MATCH(ROWS($W$2:W270),$W$2:$W$1001,0),1)&gt;=100000,INDEX($AD$1005:$AU$1005,1,MATCH(COLUMNS($AD$1006:AQ1006),$AD$1006:$AU$1006,0))&gt;=100000), " ",IF(INDEX($AD$2:$AU$1001,MATCH(ROWS($W$2:W270),$W$2:$W$1001,0),MATCH(COLUMNS($AD$1006:AQ1006),$AD$1006:$AU$1006,0)), HYPERLINK("#",""), HYPERLINK(CONCATENATE("#metadata!", ADDRESS(INDEX($Y$2:$Y$1001,MATCH(ROWS($W$2:W270),$W$2:$W$1001,0),0), INDEX($AD$1004:$AU$1004,1,MATCH(COLUMNS($AD$1006:AQ1006),$AD$1006:$AU$1006,0)))),"Fix")))</f>
        <v xml:space="preserve"> </v>
      </c>
      <c r="P270" s="4" t="str">
        <f ca="1">IF(OR(INDEX($X$2:$X$1001,MATCH(ROWS($W$2:W270),$W$2:$W$1001,0),1)&gt;=100000,INDEX($AD$1005:$AU$1005,1,MATCH(COLUMNS($AD$1006:AR1006),$AD$1006:$AU$1006,0))&gt;=100000), " ",IF(INDEX($AD$2:$AU$1001,MATCH(ROWS($W$2:W270),$W$2:$W$1001,0),MATCH(COLUMNS($AD$1006:AR1006),$AD$1006:$AU$1006,0)), HYPERLINK("#",""), HYPERLINK(CONCATENATE("#metadata!", ADDRESS(INDEX($Y$2:$Y$1001,MATCH(ROWS($W$2:W270),$W$2:$W$1001,0),0), INDEX($AD$1004:$AU$1004,1,MATCH(COLUMNS($AD$1006:AR1006),$AD$1006:$AU$1006,0)))),"Fix")))</f>
        <v xml:space="preserve"> </v>
      </c>
      <c r="Q270" s="4" t="str">
        <f ca="1">IF(OR(INDEX($X$2:$X$1001,MATCH(ROWS($W$2:W270),$W$2:$W$1001,0),1)&gt;=100000,INDEX($AD$1005:$AU$1005,1,MATCH(COLUMNS($AD$1006:AS1006),$AD$1006:$AU$1006,0))&gt;=100000), " ",IF(INDEX($AD$2:$AU$1001,MATCH(ROWS($W$2:W270),$W$2:$W$1001,0),MATCH(COLUMNS($AD$1006:AS1006),$AD$1006:$AU$1006,0)), HYPERLINK("#",""), HYPERLINK(CONCATENATE("#metadata!", ADDRESS(INDEX($Y$2:$Y$1001,MATCH(ROWS($W$2:W270),$W$2:$W$1001,0),0), INDEX($AD$1004:$AU$1004,1,MATCH(COLUMNS($AD$1006:AS1006),$AD$1006:$AU$1006,0)))),"Fix")))</f>
        <v xml:space="preserve"> </v>
      </c>
      <c r="R270" s="4" t="str">
        <f ca="1">IF(OR(INDEX($X$2:$X$1001,MATCH(ROWS($W$2:W270),$W$2:$W$1001,0),1)&gt;=100000,INDEX($AD$1005:$AU$1005,1,MATCH(COLUMNS($AD$1006:AT1006),$AD$1006:$AU$1006,0))&gt;=100000), " ",IF(INDEX($AD$2:$AU$1001,MATCH(ROWS($W$2:W270),$W$2:$W$1001,0),MATCH(COLUMNS($AD$1006:AT1006),$AD$1006:$AU$1006,0)), HYPERLINK("#",""), HYPERLINK(CONCATENATE("#metadata!", ADDRESS(INDEX($Y$2:$Y$1001,MATCH(ROWS($W$2:W270),$W$2:$W$1001,0),0), INDEX($AD$1004:$AU$1004,1,MATCH(COLUMNS($AD$1006:AT1006),$AD$1006:$AU$1006,0)))),"Fix")))</f>
        <v xml:space="preserve"> </v>
      </c>
      <c r="S270" s="4" t="str">
        <f ca="1">IF(OR(INDEX($X$2:$X$1001,MATCH(ROWS($W$2:W270),$W$2:$W$1001,0),1)&gt;=100000,INDEX($AD$1005:$AU$1005,1,MATCH(COLUMNS($AD$1006:AU1006),$AD$1006:$AU$1006,0))&gt;=100000), " ",IF(INDEX($AD$2:$AU$1001,MATCH(ROWS($W$2:W270),$W$2:$W$1001,0),MATCH(COLUMNS($AD$1006:AU1006),$AD$1006:$AU$1006,0)), HYPERLINK("#",""), HYPERLINK(CONCATENATE("#metadata!", ADDRESS(INDEX($Y$2:$Y$1001,MATCH(ROWS($W$2:W270),$W$2:$W$1001,0),0), INDEX($AD$1004:$AU$1004,1,MATCH(COLUMNS($AD$1006:AU1006),$AD$1006:$AU$1006,0)))),"Fix")))</f>
        <v xml:space="preserve"> </v>
      </c>
      <c r="W270">
        <v>269</v>
      </c>
      <c r="X270">
        <v>100270</v>
      </c>
      <c r="Y270">
        <v>270</v>
      </c>
      <c r="Z270" t="b">
        <f t="shared" si="4"/>
        <v>1</v>
      </c>
      <c r="AA270" t="b">
        <f>COUNTBLANK(metadata!B270:S270)=COLUMNS(metadata!B270:S270)</f>
        <v>1</v>
      </c>
      <c r="AB270" t="str">
        <v/>
      </c>
      <c r="AD270" t="b">
        <f ca="1">AND(IF(metadata!B270="",FALSE,TRUE),COUNTIF(metadata!B:B, metadata!B270) = 1,NOT(ISERROR(SUMPRODUCT(SEARCH(MID(metadata!B270,ROW(INDIRECT("1:"&amp;LEN(metadata!B270))), 1),"0123456789abcdefghijklmnopqrstuvwxyzABCDEFGHIJKLMNOPQRSTUVWXYZ.")))))</f>
        <v>0</v>
      </c>
      <c r="AE270" t="b">
        <f>OR(AND(IF(metadata!C270="",FALSE,TRUE),OR(EXACT(metadata!C270,"not applicable"),EXACT(metadata!C270,"missing: not collected"),EXACT(metadata!C270,"missing: not provided"),EXACT(metadata!C270,"missing: restricted access"))),AND(IF(metadata!C270="",FALSE,ISNUMBER(VALUE(metadata!C270))),metadata!C270&gt;0))</f>
        <v>0</v>
      </c>
      <c r="AF270" t="b">
        <f>AND(IF(metadata!D270="",FALSE,TRUE),EXACT(metadata!D270,"missing: not provided"))</f>
        <v>0</v>
      </c>
      <c r="AG270" t="b">
        <f>AND(IF(metadata!E270="",FALSE,TRUE),EXACT(metadata!E270,"Host-associated"))</f>
        <v>0</v>
      </c>
      <c r="AH270" t="b">
        <f>AND(IF(metadata!F270="",FALSE,TRUE),OR(EXACT(metadata!F270,"Animal"),EXACT(metadata!F270,"Fungus"),EXACT(metadata!F270,"Plant")))</f>
        <v>0</v>
      </c>
      <c r="AI270" t="b">
        <f>AND(IF(metadata!G270="",FALSE,TRUE),OR(EXACT(metadata!G270,"Plant secretion"),EXACT(metadata!G270,"Plant rhizosphere"),EXACT(metadata!G270,"Plant surface"),EXACT(metadata!G270,"Plant corpus"),EXACT(metadata!G270,"Fungus surface"),EXACT(metadata!G270,"Fungus corpus"),EXACT(metadata!G270,"Animal surface"),EXACT(metadata!G270,"Animal proximal gut"),EXACT(metadata!G270,"Animal corpus"),EXACT(metadata!G270,"Animal distal gut"),EXACT(metadata!G270,"Animal secretion")))</f>
        <v>0</v>
      </c>
      <c r="AJ270" t="b">
        <f>OR(AND(IF(metadata!H270="",FALSE,TRUE),OR(EXACT(metadata!H270,"missing: not collected"),EXACT(metadata!H270,"missing: not provided"),EXACT(metadata!H270,"missing: restricted access"))),AND(IF(metadata!H270="",FALSE,TRUE),OR(EXACT(metadata!H270,"organism-associated habitat"),EXACT(metadata!H270,"plant-associated habitat"),EXACT(metadata!H270,"animal-associated habitat"),EXACT(metadata!H270,"insecta-associated habitat"),EXACT(metadata!H270,"mammalia-associated habitat"),EXACT(metadata!H270,"human-associated habitat"),EXACT(metadata!H270,"livestock-associated habitat"))))</f>
        <v>0</v>
      </c>
      <c r="AK270" t="b">
        <f>AND(IF(metadata!I270="",FALSE,TRUE),EXACT(metadata!I270,"host-associated"))</f>
        <v>0</v>
      </c>
      <c r="AL270" t="b">
        <f>OR(AND(IF(metadata!J270="",FALSE,TRUE),OR(EXACT(metadata!J270,"not applicable"),EXACT(metadata!J270,"missing: not collected"),EXACT(metadata!J270,"missing: not provided"),EXACT(metadata!J270,"missing: restricted access"))),AND(IF(metadata!J270="",FALSE,ISNUMBER(VALUE(metadata!J270))),metadata!J270&gt;0))</f>
        <v>0</v>
      </c>
      <c r="AM270" t="b">
        <f>AND(IF(metadata!K270="",FALSE,TRUE),EXACT(metadata!K270,"missing: not provided"))</f>
        <v>0</v>
      </c>
      <c r="AN270" t="b">
        <f>IF(metadata!L270="",FALSE,TRUE)</f>
        <v>0</v>
      </c>
      <c r="AO270" t="b">
        <f>IF(metadata!M270="",FALSE,TRUE)</f>
        <v>0</v>
      </c>
      <c r="AP270" t="b">
        <f>OR(AND(IF(metadata!N270="",FALSE,TRUE),OR(EXACT(metadata!N270,"not applicable"),EXACT(metadata!N270,"missing: not collected"),EXACT(metadata!N270,"missing: not provided"))),AND(IF(metadata!N270="",FALSE,IF(ISERROR(INT(metadata!N270)),FALSE,INT(metadata!N270)=metadata!N270)),metadata!N270&gt;0))</f>
        <v>0</v>
      </c>
      <c r="AQ270" t="b">
        <f>AND(IF(metadata!O270="",FALSE,TRUE),EXACT(metadata!O270,"Not applicable"))</f>
        <v>0</v>
      </c>
      <c r="AR270" t="b">
        <f>OR(AND(IF(metadata!P270="",FALSE,TRUE),OR(EXACT(metadata!P270,"not applicable"),EXACT(metadata!P270,"missing: not collected"),EXACT(metadata!P270,"missing: not provided"),EXACT(metadata!P270,"missing: restricted access"))),IF(metadata!P270="",FALSE,IF(ISERROR(INT(metadata!P270)),FALSE,INT(metadata!P270)=metadata!P270)))</f>
        <v>0</v>
      </c>
      <c r="AS270" t="b">
        <f>AND(IF(metadata!Q270="",FALSE,TRUE),EXACT(metadata!Q270,"Not applicable"))</f>
        <v>0</v>
      </c>
      <c r="AT270" t="b">
        <f>OR(AND(IF(metadata!R270="",FALSE,TRUE),OR(EXACT(metadata!R270,"not applicable"),EXACT(metadata!R270,"missing: not collected"),EXACT(metadata!R270,"missing: not provided"),EXACT(metadata!R270,"missing: restricted access"))),AND(IF(metadata!R270="",FALSE,ISNUMBER(VALUE(metadata!R270))),metadata!R270&gt;0))</f>
        <v>0</v>
      </c>
      <c r="AU270" t="b">
        <f>AND(IF(metadata!S270="",FALSE,TRUE),EXACT(metadata!S270,"missing: not provided"))</f>
        <v>0</v>
      </c>
    </row>
    <row r="271" spans="1:47" x14ac:dyDescent="0.2">
      <c r="A271" s="5" t="str">
        <f ca="1">IF(B271=" "," ",HYPERLINK(CONCATENATE("#metadata!",ADDRESS(INDEX($Y$2:$Y$1001,MATCH(ROWS($W$2:W271),$W$2:$W$1001,0),0),1)),INDEX($AB$2:$AB$1001,MATCH(ROWS($W$2:W271),$W$2:$W$1001,0),0)))</f>
        <v xml:space="preserve"> </v>
      </c>
      <c r="B271" s="4" t="str">
        <f ca="1">IF(OR(INDEX($X$2:$X$1001,MATCH(ROWS($W$2:W271),$W$2:$W$1001,0),1)&gt;=100000,INDEX($AD$1005:$AU$1005,1,MATCH(COLUMNS($AD$1006:AD1006),$AD$1006:$AU$1006,0))&gt;=100000), " ",IF(INDEX($AD$2:$AU$1001,MATCH(ROWS($W$2:W271),$W$2:$W$1001,0),MATCH(COLUMNS($AD$1006:AD1006),$AD$1006:$AU$1006,0)), HYPERLINK("#",""), HYPERLINK(CONCATENATE("#metadata!", ADDRESS(INDEX($Y$2:$Y$1001,MATCH(ROWS($W$2:W271),$W$2:$W$1001,0),0), INDEX($AD$1004:$AU$1004,1,MATCH(COLUMNS($AD$1006:AD1006),$AD$1006:$AU$1006,0)))),"Fix")))</f>
        <v xml:space="preserve"> </v>
      </c>
      <c r="C271" s="4" t="str">
        <f ca="1">IF(OR(INDEX($X$2:$X$1001,MATCH(ROWS($W$2:W271),$W$2:$W$1001,0),1)&gt;=100000,INDEX($AD$1005:$AU$1005,1,MATCH(COLUMNS($AD$1006:AE1006),$AD$1006:$AU$1006,0))&gt;=100000), " ",IF(INDEX($AD$2:$AU$1001,MATCH(ROWS($W$2:W271),$W$2:$W$1001,0),MATCH(COLUMNS($AD$1006:AE1006),$AD$1006:$AU$1006,0)), HYPERLINK("#",""), HYPERLINK(CONCATENATE("#metadata!", ADDRESS(INDEX($Y$2:$Y$1001,MATCH(ROWS($W$2:W271),$W$2:$W$1001,0),0), INDEX($AD$1004:$AU$1004,1,MATCH(COLUMNS($AD$1006:AE1006),$AD$1006:$AU$1006,0)))),"Fix")))</f>
        <v xml:space="preserve"> </v>
      </c>
      <c r="D271" s="4" t="str">
        <f ca="1">IF(OR(INDEX($X$2:$X$1001,MATCH(ROWS($W$2:W271),$W$2:$W$1001,0),1)&gt;=100000,INDEX($AD$1005:$AU$1005,1,MATCH(COLUMNS($AD$1006:AF1006),$AD$1006:$AU$1006,0))&gt;=100000), " ",IF(INDEX($AD$2:$AU$1001,MATCH(ROWS($W$2:W271),$W$2:$W$1001,0),MATCH(COLUMNS($AD$1006:AF1006),$AD$1006:$AU$1006,0)), HYPERLINK("#",""), HYPERLINK(CONCATENATE("#metadata!", ADDRESS(INDEX($Y$2:$Y$1001,MATCH(ROWS($W$2:W271),$W$2:$W$1001,0),0), INDEX($AD$1004:$AU$1004,1,MATCH(COLUMNS($AD$1006:AF1006),$AD$1006:$AU$1006,0)))),"Fix")))</f>
        <v xml:space="preserve"> </v>
      </c>
      <c r="E271" s="4" t="str">
        <f ca="1">IF(OR(INDEX($X$2:$X$1001,MATCH(ROWS($W$2:W271),$W$2:$W$1001,0),1)&gt;=100000,INDEX($AD$1005:$AU$1005,1,MATCH(COLUMNS($AD$1006:AG1006),$AD$1006:$AU$1006,0))&gt;=100000), " ",IF(INDEX($AD$2:$AU$1001,MATCH(ROWS($W$2:W271),$W$2:$W$1001,0),MATCH(COLUMNS($AD$1006:AG1006),$AD$1006:$AU$1006,0)), HYPERLINK("#",""), HYPERLINK(CONCATENATE("#metadata!", ADDRESS(INDEX($Y$2:$Y$1001,MATCH(ROWS($W$2:W271),$W$2:$W$1001,0),0), INDEX($AD$1004:$AU$1004,1,MATCH(COLUMNS($AD$1006:AG1006),$AD$1006:$AU$1006,0)))),"Fix")))</f>
        <v xml:space="preserve"> </v>
      </c>
      <c r="F271" s="4" t="str">
        <f ca="1">IF(OR(INDEX($X$2:$X$1001,MATCH(ROWS($W$2:W271),$W$2:$W$1001,0),1)&gt;=100000,INDEX($AD$1005:$AU$1005,1,MATCH(COLUMNS($AD$1006:AH1006),$AD$1006:$AU$1006,0))&gt;=100000), " ",IF(INDEX($AD$2:$AU$1001,MATCH(ROWS($W$2:W271),$W$2:$W$1001,0),MATCH(COLUMNS($AD$1006:AH1006),$AD$1006:$AU$1006,0)), HYPERLINK("#",""), HYPERLINK(CONCATENATE("#metadata!", ADDRESS(INDEX($Y$2:$Y$1001,MATCH(ROWS($W$2:W271),$W$2:$W$1001,0),0), INDEX($AD$1004:$AU$1004,1,MATCH(COLUMNS($AD$1006:AH1006),$AD$1006:$AU$1006,0)))),"Fix")))</f>
        <v xml:space="preserve"> </v>
      </c>
      <c r="G271" s="4" t="str">
        <f ca="1">IF(OR(INDEX($X$2:$X$1001,MATCH(ROWS($W$2:W271),$W$2:$W$1001,0),1)&gt;=100000,INDEX($AD$1005:$AU$1005,1,MATCH(COLUMNS($AD$1006:AI1006),$AD$1006:$AU$1006,0))&gt;=100000), " ",IF(INDEX($AD$2:$AU$1001,MATCH(ROWS($W$2:W271),$W$2:$W$1001,0),MATCH(COLUMNS($AD$1006:AI1006),$AD$1006:$AU$1006,0)), HYPERLINK("#",""), HYPERLINK(CONCATENATE("#metadata!", ADDRESS(INDEX($Y$2:$Y$1001,MATCH(ROWS($W$2:W271),$W$2:$W$1001,0),0), INDEX($AD$1004:$AU$1004,1,MATCH(COLUMNS($AD$1006:AI1006),$AD$1006:$AU$1006,0)))),"Fix")))</f>
        <v xml:space="preserve"> </v>
      </c>
      <c r="H271" s="4" t="str">
        <f ca="1">IF(OR(INDEX($X$2:$X$1001,MATCH(ROWS($W$2:W271),$W$2:$W$1001,0),1)&gt;=100000,INDEX($AD$1005:$AU$1005,1,MATCH(COLUMNS($AD$1006:AJ1006),$AD$1006:$AU$1006,0))&gt;=100000), " ",IF(INDEX($AD$2:$AU$1001,MATCH(ROWS($W$2:W271),$W$2:$W$1001,0),MATCH(COLUMNS($AD$1006:AJ1006),$AD$1006:$AU$1006,0)), HYPERLINK("#",""), HYPERLINK(CONCATENATE("#metadata!", ADDRESS(INDEX($Y$2:$Y$1001,MATCH(ROWS($W$2:W271),$W$2:$W$1001,0),0), INDEX($AD$1004:$AU$1004,1,MATCH(COLUMNS($AD$1006:AJ1006),$AD$1006:$AU$1006,0)))),"Fix")))</f>
        <v xml:space="preserve"> </v>
      </c>
      <c r="I271" s="4" t="str">
        <f ca="1">IF(OR(INDEX($X$2:$X$1001,MATCH(ROWS($W$2:W271),$W$2:$W$1001,0),1)&gt;=100000,INDEX($AD$1005:$AU$1005,1,MATCH(COLUMNS($AD$1006:AK1006),$AD$1006:$AU$1006,0))&gt;=100000), " ",IF(INDEX($AD$2:$AU$1001,MATCH(ROWS($W$2:W271),$W$2:$W$1001,0),MATCH(COLUMNS($AD$1006:AK1006),$AD$1006:$AU$1006,0)), HYPERLINK("#",""), HYPERLINK(CONCATENATE("#metadata!", ADDRESS(INDEX($Y$2:$Y$1001,MATCH(ROWS($W$2:W271),$W$2:$W$1001,0),0), INDEX($AD$1004:$AU$1004,1,MATCH(COLUMNS($AD$1006:AK1006),$AD$1006:$AU$1006,0)))),"Fix")))</f>
        <v xml:space="preserve"> </v>
      </c>
      <c r="J271" s="4" t="str">
        <f ca="1">IF(OR(INDEX($X$2:$X$1001,MATCH(ROWS($W$2:W271),$W$2:$W$1001,0),1)&gt;=100000,INDEX($AD$1005:$AU$1005,1,MATCH(COLUMNS($AD$1006:AL1006),$AD$1006:$AU$1006,0))&gt;=100000), " ",IF(INDEX($AD$2:$AU$1001,MATCH(ROWS($W$2:W271),$W$2:$W$1001,0),MATCH(COLUMNS($AD$1006:AL1006),$AD$1006:$AU$1006,0)), HYPERLINK("#",""), HYPERLINK(CONCATENATE("#metadata!", ADDRESS(INDEX($Y$2:$Y$1001,MATCH(ROWS($W$2:W271),$W$2:$W$1001,0),0), INDEX($AD$1004:$AU$1004,1,MATCH(COLUMNS($AD$1006:AL1006),$AD$1006:$AU$1006,0)))),"Fix")))</f>
        <v xml:space="preserve"> </v>
      </c>
      <c r="K271" s="4" t="str">
        <f ca="1">IF(OR(INDEX($X$2:$X$1001,MATCH(ROWS($W$2:W271),$W$2:$W$1001,0),1)&gt;=100000,INDEX($AD$1005:$AU$1005,1,MATCH(COLUMNS($AD$1006:AM1006),$AD$1006:$AU$1006,0))&gt;=100000), " ",IF(INDEX($AD$2:$AU$1001,MATCH(ROWS($W$2:W271),$W$2:$W$1001,0),MATCH(COLUMNS($AD$1006:AM1006),$AD$1006:$AU$1006,0)), HYPERLINK("#",""), HYPERLINK(CONCATENATE("#metadata!", ADDRESS(INDEX($Y$2:$Y$1001,MATCH(ROWS($W$2:W271),$W$2:$W$1001,0),0), INDEX($AD$1004:$AU$1004,1,MATCH(COLUMNS($AD$1006:AM1006),$AD$1006:$AU$1006,0)))),"Fix")))</f>
        <v xml:space="preserve"> </v>
      </c>
      <c r="L271" s="4" t="str">
        <f ca="1">IF(OR(INDEX($X$2:$X$1001,MATCH(ROWS($W$2:W271),$W$2:$W$1001,0),1)&gt;=100000,INDEX($AD$1005:$AU$1005,1,MATCH(COLUMNS($AD$1006:AN1006),$AD$1006:$AU$1006,0))&gt;=100000), " ",IF(INDEX($AD$2:$AU$1001,MATCH(ROWS($W$2:W271),$W$2:$W$1001,0),MATCH(COLUMNS($AD$1006:AN1006),$AD$1006:$AU$1006,0)), HYPERLINK("#",""), HYPERLINK(CONCATENATE("#metadata!", ADDRESS(INDEX($Y$2:$Y$1001,MATCH(ROWS($W$2:W271),$W$2:$W$1001,0),0), INDEX($AD$1004:$AU$1004,1,MATCH(COLUMNS($AD$1006:AN1006),$AD$1006:$AU$1006,0)))),"Fix")))</f>
        <v xml:space="preserve"> </v>
      </c>
      <c r="M271" s="4" t="str">
        <f ca="1">IF(OR(INDEX($X$2:$X$1001,MATCH(ROWS($W$2:W271),$W$2:$W$1001,0),1)&gt;=100000,INDEX($AD$1005:$AU$1005,1,MATCH(COLUMNS($AD$1006:AO1006),$AD$1006:$AU$1006,0))&gt;=100000), " ",IF(INDEX($AD$2:$AU$1001,MATCH(ROWS($W$2:W271),$W$2:$W$1001,0),MATCH(COLUMNS($AD$1006:AO1006),$AD$1006:$AU$1006,0)), HYPERLINK("#",""), HYPERLINK(CONCATENATE("#metadata!", ADDRESS(INDEX($Y$2:$Y$1001,MATCH(ROWS($W$2:W271),$W$2:$W$1001,0),0), INDEX($AD$1004:$AU$1004,1,MATCH(COLUMNS($AD$1006:AO1006),$AD$1006:$AU$1006,0)))),"Fix")))</f>
        <v xml:space="preserve"> </v>
      </c>
      <c r="N271" s="4" t="str">
        <f ca="1">IF(OR(INDEX($X$2:$X$1001,MATCH(ROWS($W$2:W271),$W$2:$W$1001,0),1)&gt;=100000,INDEX($AD$1005:$AU$1005,1,MATCH(COLUMNS($AD$1006:AP1006),$AD$1006:$AU$1006,0))&gt;=100000), " ",IF(INDEX($AD$2:$AU$1001,MATCH(ROWS($W$2:W271),$W$2:$W$1001,0),MATCH(COLUMNS($AD$1006:AP1006),$AD$1006:$AU$1006,0)), HYPERLINK("#",""), HYPERLINK(CONCATENATE("#metadata!", ADDRESS(INDEX($Y$2:$Y$1001,MATCH(ROWS($W$2:W271),$W$2:$W$1001,0),0), INDEX($AD$1004:$AU$1004,1,MATCH(COLUMNS($AD$1006:AP1006),$AD$1006:$AU$1006,0)))),"Fix")))</f>
        <v xml:space="preserve"> </v>
      </c>
      <c r="O271" s="4" t="str">
        <f ca="1">IF(OR(INDEX($X$2:$X$1001,MATCH(ROWS($W$2:W271),$W$2:$W$1001,0),1)&gt;=100000,INDEX($AD$1005:$AU$1005,1,MATCH(COLUMNS($AD$1006:AQ1006),$AD$1006:$AU$1006,0))&gt;=100000), " ",IF(INDEX($AD$2:$AU$1001,MATCH(ROWS($W$2:W271),$W$2:$W$1001,0),MATCH(COLUMNS($AD$1006:AQ1006),$AD$1006:$AU$1006,0)), HYPERLINK("#",""), HYPERLINK(CONCATENATE("#metadata!", ADDRESS(INDEX($Y$2:$Y$1001,MATCH(ROWS($W$2:W271),$W$2:$W$1001,0),0), INDEX($AD$1004:$AU$1004,1,MATCH(COLUMNS($AD$1006:AQ1006),$AD$1006:$AU$1006,0)))),"Fix")))</f>
        <v xml:space="preserve"> </v>
      </c>
      <c r="P271" s="4" t="str">
        <f ca="1">IF(OR(INDEX($X$2:$X$1001,MATCH(ROWS($W$2:W271),$W$2:$W$1001,0),1)&gt;=100000,INDEX($AD$1005:$AU$1005,1,MATCH(COLUMNS($AD$1006:AR1006),$AD$1006:$AU$1006,0))&gt;=100000), " ",IF(INDEX($AD$2:$AU$1001,MATCH(ROWS($W$2:W271),$W$2:$W$1001,0),MATCH(COLUMNS($AD$1006:AR1006),$AD$1006:$AU$1006,0)), HYPERLINK("#",""), HYPERLINK(CONCATENATE("#metadata!", ADDRESS(INDEX($Y$2:$Y$1001,MATCH(ROWS($W$2:W271),$W$2:$W$1001,0),0), INDEX($AD$1004:$AU$1004,1,MATCH(COLUMNS($AD$1006:AR1006),$AD$1006:$AU$1006,0)))),"Fix")))</f>
        <v xml:space="preserve"> </v>
      </c>
      <c r="Q271" s="4" t="str">
        <f ca="1">IF(OR(INDEX($X$2:$X$1001,MATCH(ROWS($W$2:W271),$W$2:$W$1001,0),1)&gt;=100000,INDEX($AD$1005:$AU$1005,1,MATCH(COLUMNS($AD$1006:AS1006),$AD$1006:$AU$1006,0))&gt;=100000), " ",IF(INDEX($AD$2:$AU$1001,MATCH(ROWS($W$2:W271),$W$2:$W$1001,0),MATCH(COLUMNS($AD$1006:AS1006),$AD$1006:$AU$1006,0)), HYPERLINK("#",""), HYPERLINK(CONCATENATE("#metadata!", ADDRESS(INDEX($Y$2:$Y$1001,MATCH(ROWS($W$2:W271),$W$2:$W$1001,0),0), INDEX($AD$1004:$AU$1004,1,MATCH(COLUMNS($AD$1006:AS1006),$AD$1006:$AU$1006,0)))),"Fix")))</f>
        <v xml:space="preserve"> </v>
      </c>
      <c r="R271" s="4" t="str">
        <f ca="1">IF(OR(INDEX($X$2:$X$1001,MATCH(ROWS($W$2:W271),$W$2:$W$1001,0),1)&gt;=100000,INDEX($AD$1005:$AU$1005,1,MATCH(COLUMNS($AD$1006:AT1006),$AD$1006:$AU$1006,0))&gt;=100000), " ",IF(INDEX($AD$2:$AU$1001,MATCH(ROWS($W$2:W271),$W$2:$W$1001,0),MATCH(COLUMNS($AD$1006:AT1006),$AD$1006:$AU$1006,0)), HYPERLINK("#",""), HYPERLINK(CONCATENATE("#metadata!", ADDRESS(INDEX($Y$2:$Y$1001,MATCH(ROWS($W$2:W271),$W$2:$W$1001,0),0), INDEX($AD$1004:$AU$1004,1,MATCH(COLUMNS($AD$1006:AT1006),$AD$1006:$AU$1006,0)))),"Fix")))</f>
        <v xml:space="preserve"> </v>
      </c>
      <c r="S271" s="4" t="str">
        <f ca="1">IF(OR(INDEX($X$2:$X$1001,MATCH(ROWS($W$2:W271),$W$2:$W$1001,0),1)&gt;=100000,INDEX($AD$1005:$AU$1005,1,MATCH(COLUMNS($AD$1006:AU1006),$AD$1006:$AU$1006,0))&gt;=100000), " ",IF(INDEX($AD$2:$AU$1001,MATCH(ROWS($W$2:W271),$W$2:$W$1001,0),MATCH(COLUMNS($AD$1006:AU1006),$AD$1006:$AU$1006,0)), HYPERLINK("#",""), HYPERLINK(CONCATENATE("#metadata!", ADDRESS(INDEX($Y$2:$Y$1001,MATCH(ROWS($W$2:W271),$W$2:$W$1001,0),0), INDEX($AD$1004:$AU$1004,1,MATCH(COLUMNS($AD$1006:AU1006),$AD$1006:$AU$1006,0)))),"Fix")))</f>
        <v xml:space="preserve"> </v>
      </c>
      <c r="W271">
        <v>270</v>
      </c>
      <c r="X271">
        <v>100271</v>
      </c>
      <c r="Y271">
        <v>271</v>
      </c>
      <c r="Z271" t="b">
        <f t="shared" si="4"/>
        <v>1</v>
      </c>
      <c r="AA271" t="b">
        <f>COUNTBLANK(metadata!B271:S271)=COLUMNS(metadata!B271:S271)</f>
        <v>1</v>
      </c>
      <c r="AB271" t="str">
        <v/>
      </c>
      <c r="AD271" t="b">
        <f ca="1">AND(IF(metadata!B271="",FALSE,TRUE),COUNTIF(metadata!B:B, metadata!B271) = 1,NOT(ISERROR(SUMPRODUCT(SEARCH(MID(metadata!B271,ROW(INDIRECT("1:"&amp;LEN(metadata!B271))), 1),"0123456789abcdefghijklmnopqrstuvwxyzABCDEFGHIJKLMNOPQRSTUVWXYZ.")))))</f>
        <v>0</v>
      </c>
      <c r="AE271" t="b">
        <f>OR(AND(IF(metadata!C271="",FALSE,TRUE),OR(EXACT(metadata!C271,"not applicable"),EXACT(metadata!C271,"missing: not collected"),EXACT(metadata!C271,"missing: not provided"),EXACT(metadata!C271,"missing: restricted access"))),AND(IF(metadata!C271="",FALSE,ISNUMBER(VALUE(metadata!C271))),metadata!C271&gt;0))</f>
        <v>0</v>
      </c>
      <c r="AF271" t="b">
        <f>AND(IF(metadata!D271="",FALSE,TRUE),EXACT(metadata!D271,"missing: not provided"))</f>
        <v>0</v>
      </c>
      <c r="AG271" t="b">
        <f>AND(IF(metadata!E271="",FALSE,TRUE),EXACT(metadata!E271,"Host-associated"))</f>
        <v>0</v>
      </c>
      <c r="AH271" t="b">
        <f>AND(IF(metadata!F271="",FALSE,TRUE),OR(EXACT(metadata!F271,"Animal"),EXACT(metadata!F271,"Fungus"),EXACT(metadata!F271,"Plant")))</f>
        <v>0</v>
      </c>
      <c r="AI271" t="b">
        <f>AND(IF(metadata!G271="",FALSE,TRUE),OR(EXACT(metadata!G271,"Plant secretion"),EXACT(metadata!G271,"Plant rhizosphere"),EXACT(metadata!G271,"Plant surface"),EXACT(metadata!G271,"Plant corpus"),EXACT(metadata!G271,"Fungus surface"),EXACT(metadata!G271,"Fungus corpus"),EXACT(metadata!G271,"Animal surface"),EXACT(metadata!G271,"Animal proximal gut"),EXACT(metadata!G271,"Animal corpus"),EXACT(metadata!G271,"Animal distal gut"),EXACT(metadata!G271,"Animal secretion")))</f>
        <v>0</v>
      </c>
      <c r="AJ271" t="b">
        <f>OR(AND(IF(metadata!H271="",FALSE,TRUE),OR(EXACT(metadata!H271,"missing: not collected"),EXACT(metadata!H271,"missing: not provided"),EXACT(metadata!H271,"missing: restricted access"))),AND(IF(metadata!H271="",FALSE,TRUE),OR(EXACT(metadata!H271,"organism-associated habitat"),EXACT(metadata!H271,"plant-associated habitat"),EXACT(metadata!H271,"animal-associated habitat"),EXACT(metadata!H271,"insecta-associated habitat"),EXACT(metadata!H271,"mammalia-associated habitat"),EXACT(metadata!H271,"human-associated habitat"),EXACT(metadata!H271,"livestock-associated habitat"))))</f>
        <v>0</v>
      </c>
      <c r="AK271" t="b">
        <f>AND(IF(metadata!I271="",FALSE,TRUE),EXACT(metadata!I271,"host-associated"))</f>
        <v>0</v>
      </c>
      <c r="AL271" t="b">
        <f>OR(AND(IF(metadata!J271="",FALSE,TRUE),OR(EXACT(metadata!J271,"not applicable"),EXACT(metadata!J271,"missing: not collected"),EXACT(metadata!J271,"missing: not provided"),EXACT(metadata!J271,"missing: restricted access"))),AND(IF(metadata!J271="",FALSE,ISNUMBER(VALUE(metadata!J271))),metadata!J271&gt;0))</f>
        <v>0</v>
      </c>
      <c r="AM271" t="b">
        <f>AND(IF(metadata!K271="",FALSE,TRUE),EXACT(metadata!K271,"missing: not provided"))</f>
        <v>0</v>
      </c>
      <c r="AN271" t="b">
        <f>IF(metadata!L271="",FALSE,TRUE)</f>
        <v>0</v>
      </c>
      <c r="AO271" t="b">
        <f>IF(metadata!M271="",FALSE,TRUE)</f>
        <v>0</v>
      </c>
      <c r="AP271" t="b">
        <f>OR(AND(IF(metadata!N271="",FALSE,TRUE),OR(EXACT(metadata!N271,"not applicable"),EXACT(metadata!N271,"missing: not collected"),EXACT(metadata!N271,"missing: not provided"))),AND(IF(metadata!N271="",FALSE,IF(ISERROR(INT(metadata!N271)),FALSE,INT(metadata!N271)=metadata!N271)),metadata!N271&gt;0))</f>
        <v>0</v>
      </c>
      <c r="AQ271" t="b">
        <f>AND(IF(metadata!O271="",FALSE,TRUE),EXACT(metadata!O271,"Not applicable"))</f>
        <v>0</v>
      </c>
      <c r="AR271" t="b">
        <f>OR(AND(IF(metadata!P271="",FALSE,TRUE),OR(EXACT(metadata!P271,"not applicable"),EXACT(metadata!P271,"missing: not collected"),EXACT(metadata!P271,"missing: not provided"),EXACT(metadata!P271,"missing: restricted access"))),IF(metadata!P271="",FALSE,IF(ISERROR(INT(metadata!P271)),FALSE,INT(metadata!P271)=metadata!P271)))</f>
        <v>0</v>
      </c>
      <c r="AS271" t="b">
        <f>AND(IF(metadata!Q271="",FALSE,TRUE),EXACT(metadata!Q271,"Not applicable"))</f>
        <v>0</v>
      </c>
      <c r="AT271" t="b">
        <f>OR(AND(IF(metadata!R271="",FALSE,TRUE),OR(EXACT(metadata!R271,"not applicable"),EXACT(metadata!R271,"missing: not collected"),EXACT(metadata!R271,"missing: not provided"),EXACT(metadata!R271,"missing: restricted access"))),AND(IF(metadata!R271="",FALSE,ISNUMBER(VALUE(metadata!R271))),metadata!R271&gt;0))</f>
        <v>0</v>
      </c>
      <c r="AU271" t="b">
        <f>AND(IF(metadata!S271="",FALSE,TRUE),EXACT(metadata!S271,"missing: not provided"))</f>
        <v>0</v>
      </c>
    </row>
    <row r="272" spans="1:47" x14ac:dyDescent="0.2">
      <c r="A272" s="5" t="str">
        <f ca="1">IF(B272=" "," ",HYPERLINK(CONCATENATE("#metadata!",ADDRESS(INDEX($Y$2:$Y$1001,MATCH(ROWS($W$2:W272),$W$2:$W$1001,0),0),1)),INDEX($AB$2:$AB$1001,MATCH(ROWS($W$2:W272),$W$2:$W$1001,0),0)))</f>
        <v xml:space="preserve"> </v>
      </c>
      <c r="B272" s="4" t="str">
        <f ca="1">IF(OR(INDEX($X$2:$X$1001,MATCH(ROWS($W$2:W272),$W$2:$W$1001,0),1)&gt;=100000,INDEX($AD$1005:$AU$1005,1,MATCH(COLUMNS($AD$1006:AD1006),$AD$1006:$AU$1006,0))&gt;=100000), " ",IF(INDEX($AD$2:$AU$1001,MATCH(ROWS($W$2:W272),$W$2:$W$1001,0),MATCH(COLUMNS($AD$1006:AD1006),$AD$1006:$AU$1006,0)), HYPERLINK("#",""), HYPERLINK(CONCATENATE("#metadata!", ADDRESS(INDEX($Y$2:$Y$1001,MATCH(ROWS($W$2:W272),$W$2:$W$1001,0),0), INDEX($AD$1004:$AU$1004,1,MATCH(COLUMNS($AD$1006:AD1006),$AD$1006:$AU$1006,0)))),"Fix")))</f>
        <v xml:space="preserve"> </v>
      </c>
      <c r="C272" s="4" t="str">
        <f ca="1">IF(OR(INDEX($X$2:$X$1001,MATCH(ROWS($W$2:W272),$W$2:$W$1001,0),1)&gt;=100000,INDEX($AD$1005:$AU$1005,1,MATCH(COLUMNS($AD$1006:AE1006),$AD$1006:$AU$1006,0))&gt;=100000), " ",IF(INDEX($AD$2:$AU$1001,MATCH(ROWS($W$2:W272),$W$2:$W$1001,0),MATCH(COLUMNS($AD$1006:AE1006),$AD$1006:$AU$1006,0)), HYPERLINK("#",""), HYPERLINK(CONCATENATE("#metadata!", ADDRESS(INDEX($Y$2:$Y$1001,MATCH(ROWS($W$2:W272),$W$2:$W$1001,0),0), INDEX($AD$1004:$AU$1004,1,MATCH(COLUMNS($AD$1006:AE1006),$AD$1006:$AU$1006,0)))),"Fix")))</f>
        <v xml:space="preserve"> </v>
      </c>
      <c r="D272" s="4" t="str">
        <f ca="1">IF(OR(INDEX($X$2:$X$1001,MATCH(ROWS($W$2:W272),$W$2:$W$1001,0),1)&gt;=100000,INDEX($AD$1005:$AU$1005,1,MATCH(COLUMNS($AD$1006:AF1006),$AD$1006:$AU$1006,0))&gt;=100000), " ",IF(INDEX($AD$2:$AU$1001,MATCH(ROWS($W$2:W272),$W$2:$W$1001,0),MATCH(COLUMNS($AD$1006:AF1006),$AD$1006:$AU$1006,0)), HYPERLINK("#",""), HYPERLINK(CONCATENATE("#metadata!", ADDRESS(INDEX($Y$2:$Y$1001,MATCH(ROWS($W$2:W272),$W$2:$W$1001,0),0), INDEX($AD$1004:$AU$1004,1,MATCH(COLUMNS($AD$1006:AF1006),$AD$1006:$AU$1006,0)))),"Fix")))</f>
        <v xml:space="preserve"> </v>
      </c>
      <c r="E272" s="4" t="str">
        <f ca="1">IF(OR(INDEX($X$2:$X$1001,MATCH(ROWS($W$2:W272),$W$2:$W$1001,0),1)&gt;=100000,INDEX($AD$1005:$AU$1005,1,MATCH(COLUMNS($AD$1006:AG1006),$AD$1006:$AU$1006,0))&gt;=100000), " ",IF(INDEX($AD$2:$AU$1001,MATCH(ROWS($W$2:W272),$W$2:$W$1001,0),MATCH(COLUMNS($AD$1006:AG1006),$AD$1006:$AU$1006,0)), HYPERLINK("#",""), HYPERLINK(CONCATENATE("#metadata!", ADDRESS(INDEX($Y$2:$Y$1001,MATCH(ROWS($W$2:W272),$W$2:$W$1001,0),0), INDEX($AD$1004:$AU$1004,1,MATCH(COLUMNS($AD$1006:AG1006),$AD$1006:$AU$1006,0)))),"Fix")))</f>
        <v xml:space="preserve"> </v>
      </c>
      <c r="F272" s="4" t="str">
        <f ca="1">IF(OR(INDEX($X$2:$X$1001,MATCH(ROWS($W$2:W272),$W$2:$W$1001,0),1)&gt;=100000,INDEX($AD$1005:$AU$1005,1,MATCH(COLUMNS($AD$1006:AH1006),$AD$1006:$AU$1006,0))&gt;=100000), " ",IF(INDEX($AD$2:$AU$1001,MATCH(ROWS($W$2:W272),$W$2:$W$1001,0),MATCH(COLUMNS($AD$1006:AH1006),$AD$1006:$AU$1006,0)), HYPERLINK("#",""), HYPERLINK(CONCATENATE("#metadata!", ADDRESS(INDEX($Y$2:$Y$1001,MATCH(ROWS($W$2:W272),$W$2:$W$1001,0),0), INDEX($AD$1004:$AU$1004,1,MATCH(COLUMNS($AD$1006:AH1006),$AD$1006:$AU$1006,0)))),"Fix")))</f>
        <v xml:space="preserve"> </v>
      </c>
      <c r="G272" s="4" t="str">
        <f ca="1">IF(OR(INDEX($X$2:$X$1001,MATCH(ROWS($W$2:W272),$W$2:$W$1001,0),1)&gt;=100000,INDEX($AD$1005:$AU$1005,1,MATCH(COLUMNS($AD$1006:AI1006),$AD$1006:$AU$1006,0))&gt;=100000), " ",IF(INDEX($AD$2:$AU$1001,MATCH(ROWS($W$2:W272),$W$2:$W$1001,0),MATCH(COLUMNS($AD$1006:AI1006),$AD$1006:$AU$1006,0)), HYPERLINK("#",""), HYPERLINK(CONCATENATE("#metadata!", ADDRESS(INDEX($Y$2:$Y$1001,MATCH(ROWS($W$2:W272),$W$2:$W$1001,0),0), INDEX($AD$1004:$AU$1004,1,MATCH(COLUMNS($AD$1006:AI1006),$AD$1006:$AU$1006,0)))),"Fix")))</f>
        <v xml:space="preserve"> </v>
      </c>
      <c r="H272" s="4" t="str">
        <f ca="1">IF(OR(INDEX($X$2:$X$1001,MATCH(ROWS($W$2:W272),$W$2:$W$1001,0),1)&gt;=100000,INDEX($AD$1005:$AU$1005,1,MATCH(COLUMNS($AD$1006:AJ1006),$AD$1006:$AU$1006,0))&gt;=100000), " ",IF(INDEX($AD$2:$AU$1001,MATCH(ROWS($W$2:W272),$W$2:$W$1001,0),MATCH(COLUMNS($AD$1006:AJ1006),$AD$1006:$AU$1006,0)), HYPERLINK("#",""), HYPERLINK(CONCATENATE("#metadata!", ADDRESS(INDEX($Y$2:$Y$1001,MATCH(ROWS($W$2:W272),$W$2:$W$1001,0),0), INDEX($AD$1004:$AU$1004,1,MATCH(COLUMNS($AD$1006:AJ1006),$AD$1006:$AU$1006,0)))),"Fix")))</f>
        <v xml:space="preserve"> </v>
      </c>
      <c r="I272" s="4" t="str">
        <f ca="1">IF(OR(INDEX($X$2:$X$1001,MATCH(ROWS($W$2:W272),$W$2:$W$1001,0),1)&gt;=100000,INDEX($AD$1005:$AU$1005,1,MATCH(COLUMNS($AD$1006:AK1006),$AD$1006:$AU$1006,0))&gt;=100000), " ",IF(INDEX($AD$2:$AU$1001,MATCH(ROWS($W$2:W272),$W$2:$W$1001,0),MATCH(COLUMNS($AD$1006:AK1006),$AD$1006:$AU$1006,0)), HYPERLINK("#",""), HYPERLINK(CONCATENATE("#metadata!", ADDRESS(INDEX($Y$2:$Y$1001,MATCH(ROWS($W$2:W272),$W$2:$W$1001,0),0), INDEX($AD$1004:$AU$1004,1,MATCH(COLUMNS($AD$1006:AK1006),$AD$1006:$AU$1006,0)))),"Fix")))</f>
        <v xml:space="preserve"> </v>
      </c>
      <c r="J272" s="4" t="str">
        <f ca="1">IF(OR(INDEX($X$2:$X$1001,MATCH(ROWS($W$2:W272),$W$2:$W$1001,0),1)&gt;=100000,INDEX($AD$1005:$AU$1005,1,MATCH(COLUMNS($AD$1006:AL1006),$AD$1006:$AU$1006,0))&gt;=100000), " ",IF(INDEX($AD$2:$AU$1001,MATCH(ROWS($W$2:W272),$W$2:$W$1001,0),MATCH(COLUMNS($AD$1006:AL1006),$AD$1006:$AU$1006,0)), HYPERLINK("#",""), HYPERLINK(CONCATENATE("#metadata!", ADDRESS(INDEX($Y$2:$Y$1001,MATCH(ROWS($W$2:W272),$W$2:$W$1001,0),0), INDEX($AD$1004:$AU$1004,1,MATCH(COLUMNS($AD$1006:AL1006),$AD$1006:$AU$1006,0)))),"Fix")))</f>
        <v xml:space="preserve"> </v>
      </c>
      <c r="K272" s="4" t="str">
        <f ca="1">IF(OR(INDEX($X$2:$X$1001,MATCH(ROWS($W$2:W272),$W$2:$W$1001,0),1)&gt;=100000,INDEX($AD$1005:$AU$1005,1,MATCH(COLUMNS($AD$1006:AM1006),$AD$1006:$AU$1006,0))&gt;=100000), " ",IF(INDEX($AD$2:$AU$1001,MATCH(ROWS($W$2:W272),$W$2:$W$1001,0),MATCH(COLUMNS($AD$1006:AM1006),$AD$1006:$AU$1006,0)), HYPERLINK("#",""), HYPERLINK(CONCATENATE("#metadata!", ADDRESS(INDEX($Y$2:$Y$1001,MATCH(ROWS($W$2:W272),$W$2:$W$1001,0),0), INDEX($AD$1004:$AU$1004,1,MATCH(COLUMNS($AD$1006:AM1006),$AD$1006:$AU$1006,0)))),"Fix")))</f>
        <v xml:space="preserve"> </v>
      </c>
      <c r="L272" s="4" t="str">
        <f ca="1">IF(OR(INDEX($X$2:$X$1001,MATCH(ROWS($W$2:W272),$W$2:$W$1001,0),1)&gt;=100000,INDEX($AD$1005:$AU$1005,1,MATCH(COLUMNS($AD$1006:AN1006),$AD$1006:$AU$1006,0))&gt;=100000), " ",IF(INDEX($AD$2:$AU$1001,MATCH(ROWS($W$2:W272),$W$2:$W$1001,0),MATCH(COLUMNS($AD$1006:AN1006),$AD$1006:$AU$1006,0)), HYPERLINK("#",""), HYPERLINK(CONCATENATE("#metadata!", ADDRESS(INDEX($Y$2:$Y$1001,MATCH(ROWS($W$2:W272),$W$2:$W$1001,0),0), INDEX($AD$1004:$AU$1004,1,MATCH(COLUMNS($AD$1006:AN1006),$AD$1006:$AU$1006,0)))),"Fix")))</f>
        <v xml:space="preserve"> </v>
      </c>
      <c r="M272" s="4" t="str">
        <f ca="1">IF(OR(INDEX($X$2:$X$1001,MATCH(ROWS($W$2:W272),$W$2:$W$1001,0),1)&gt;=100000,INDEX($AD$1005:$AU$1005,1,MATCH(COLUMNS($AD$1006:AO1006),$AD$1006:$AU$1006,0))&gt;=100000), " ",IF(INDEX($AD$2:$AU$1001,MATCH(ROWS($W$2:W272),$W$2:$W$1001,0),MATCH(COLUMNS($AD$1006:AO1006),$AD$1006:$AU$1006,0)), HYPERLINK("#",""), HYPERLINK(CONCATENATE("#metadata!", ADDRESS(INDEX($Y$2:$Y$1001,MATCH(ROWS($W$2:W272),$W$2:$W$1001,0),0), INDEX($AD$1004:$AU$1004,1,MATCH(COLUMNS($AD$1006:AO1006),$AD$1006:$AU$1006,0)))),"Fix")))</f>
        <v xml:space="preserve"> </v>
      </c>
      <c r="N272" s="4" t="str">
        <f ca="1">IF(OR(INDEX($X$2:$X$1001,MATCH(ROWS($W$2:W272),$W$2:$W$1001,0),1)&gt;=100000,INDEX($AD$1005:$AU$1005,1,MATCH(COLUMNS($AD$1006:AP1006),$AD$1006:$AU$1006,0))&gt;=100000), " ",IF(INDEX($AD$2:$AU$1001,MATCH(ROWS($W$2:W272),$W$2:$W$1001,0),MATCH(COLUMNS($AD$1006:AP1006),$AD$1006:$AU$1006,0)), HYPERLINK("#",""), HYPERLINK(CONCATENATE("#metadata!", ADDRESS(INDEX($Y$2:$Y$1001,MATCH(ROWS($W$2:W272),$W$2:$W$1001,0),0), INDEX($AD$1004:$AU$1004,1,MATCH(COLUMNS($AD$1006:AP1006),$AD$1006:$AU$1006,0)))),"Fix")))</f>
        <v xml:space="preserve"> </v>
      </c>
      <c r="O272" s="4" t="str">
        <f ca="1">IF(OR(INDEX($X$2:$X$1001,MATCH(ROWS($W$2:W272),$W$2:$W$1001,0),1)&gt;=100000,INDEX($AD$1005:$AU$1005,1,MATCH(COLUMNS($AD$1006:AQ1006),$AD$1006:$AU$1006,0))&gt;=100000), " ",IF(INDEX($AD$2:$AU$1001,MATCH(ROWS($W$2:W272),$W$2:$W$1001,0),MATCH(COLUMNS($AD$1006:AQ1006),$AD$1006:$AU$1006,0)), HYPERLINK("#",""), HYPERLINK(CONCATENATE("#metadata!", ADDRESS(INDEX($Y$2:$Y$1001,MATCH(ROWS($W$2:W272),$W$2:$W$1001,0),0), INDEX($AD$1004:$AU$1004,1,MATCH(COLUMNS($AD$1006:AQ1006),$AD$1006:$AU$1006,0)))),"Fix")))</f>
        <v xml:space="preserve"> </v>
      </c>
      <c r="P272" s="4" t="str">
        <f ca="1">IF(OR(INDEX($X$2:$X$1001,MATCH(ROWS($W$2:W272),$W$2:$W$1001,0),1)&gt;=100000,INDEX($AD$1005:$AU$1005,1,MATCH(COLUMNS($AD$1006:AR1006),$AD$1006:$AU$1006,0))&gt;=100000), " ",IF(INDEX($AD$2:$AU$1001,MATCH(ROWS($W$2:W272),$W$2:$W$1001,0),MATCH(COLUMNS($AD$1006:AR1006),$AD$1006:$AU$1006,0)), HYPERLINK("#",""), HYPERLINK(CONCATENATE("#metadata!", ADDRESS(INDEX($Y$2:$Y$1001,MATCH(ROWS($W$2:W272),$W$2:$W$1001,0),0), INDEX($AD$1004:$AU$1004,1,MATCH(COLUMNS($AD$1006:AR1006),$AD$1006:$AU$1006,0)))),"Fix")))</f>
        <v xml:space="preserve"> </v>
      </c>
      <c r="Q272" s="4" t="str">
        <f ca="1">IF(OR(INDEX($X$2:$X$1001,MATCH(ROWS($W$2:W272),$W$2:$W$1001,0),1)&gt;=100000,INDEX($AD$1005:$AU$1005,1,MATCH(COLUMNS($AD$1006:AS1006),$AD$1006:$AU$1006,0))&gt;=100000), " ",IF(INDEX($AD$2:$AU$1001,MATCH(ROWS($W$2:W272),$W$2:$W$1001,0),MATCH(COLUMNS($AD$1006:AS1006),$AD$1006:$AU$1006,0)), HYPERLINK("#",""), HYPERLINK(CONCATENATE("#metadata!", ADDRESS(INDEX($Y$2:$Y$1001,MATCH(ROWS($W$2:W272),$W$2:$W$1001,0),0), INDEX($AD$1004:$AU$1004,1,MATCH(COLUMNS($AD$1006:AS1006),$AD$1006:$AU$1006,0)))),"Fix")))</f>
        <v xml:space="preserve"> </v>
      </c>
      <c r="R272" s="4" t="str">
        <f ca="1">IF(OR(INDEX($X$2:$X$1001,MATCH(ROWS($W$2:W272),$W$2:$W$1001,0),1)&gt;=100000,INDEX($AD$1005:$AU$1005,1,MATCH(COLUMNS($AD$1006:AT1006),$AD$1006:$AU$1006,0))&gt;=100000), " ",IF(INDEX($AD$2:$AU$1001,MATCH(ROWS($W$2:W272),$W$2:$W$1001,0),MATCH(COLUMNS($AD$1006:AT1006),$AD$1006:$AU$1006,0)), HYPERLINK("#",""), HYPERLINK(CONCATENATE("#metadata!", ADDRESS(INDEX($Y$2:$Y$1001,MATCH(ROWS($W$2:W272),$W$2:$W$1001,0),0), INDEX($AD$1004:$AU$1004,1,MATCH(COLUMNS($AD$1006:AT1006),$AD$1006:$AU$1006,0)))),"Fix")))</f>
        <v xml:space="preserve"> </v>
      </c>
      <c r="S272" s="4" t="str">
        <f ca="1">IF(OR(INDEX($X$2:$X$1001,MATCH(ROWS($W$2:W272),$W$2:$W$1001,0),1)&gt;=100000,INDEX($AD$1005:$AU$1005,1,MATCH(COLUMNS($AD$1006:AU1006),$AD$1006:$AU$1006,0))&gt;=100000), " ",IF(INDEX($AD$2:$AU$1001,MATCH(ROWS($W$2:W272),$W$2:$W$1001,0),MATCH(COLUMNS($AD$1006:AU1006),$AD$1006:$AU$1006,0)), HYPERLINK("#",""), HYPERLINK(CONCATENATE("#metadata!", ADDRESS(INDEX($Y$2:$Y$1001,MATCH(ROWS($W$2:W272),$W$2:$W$1001,0),0), INDEX($AD$1004:$AU$1004,1,MATCH(COLUMNS($AD$1006:AU1006),$AD$1006:$AU$1006,0)))),"Fix")))</f>
        <v xml:space="preserve"> </v>
      </c>
      <c r="W272">
        <v>271</v>
      </c>
      <c r="X272">
        <v>100272</v>
      </c>
      <c r="Y272">
        <v>272</v>
      </c>
      <c r="Z272" t="b">
        <f t="shared" si="4"/>
        <v>1</v>
      </c>
      <c r="AA272" t="b">
        <f>COUNTBLANK(metadata!B272:S272)=COLUMNS(metadata!B272:S272)</f>
        <v>1</v>
      </c>
      <c r="AB272" t="str">
        <v/>
      </c>
      <c r="AD272" t="b">
        <f ca="1">AND(IF(metadata!B272="",FALSE,TRUE),COUNTIF(metadata!B:B, metadata!B272) = 1,NOT(ISERROR(SUMPRODUCT(SEARCH(MID(metadata!B272,ROW(INDIRECT("1:"&amp;LEN(metadata!B272))), 1),"0123456789abcdefghijklmnopqrstuvwxyzABCDEFGHIJKLMNOPQRSTUVWXYZ.")))))</f>
        <v>0</v>
      </c>
      <c r="AE272" t="b">
        <f>OR(AND(IF(metadata!C272="",FALSE,TRUE),OR(EXACT(metadata!C272,"not applicable"),EXACT(metadata!C272,"missing: not collected"),EXACT(metadata!C272,"missing: not provided"),EXACT(metadata!C272,"missing: restricted access"))),AND(IF(metadata!C272="",FALSE,ISNUMBER(VALUE(metadata!C272))),metadata!C272&gt;0))</f>
        <v>0</v>
      </c>
      <c r="AF272" t="b">
        <f>AND(IF(metadata!D272="",FALSE,TRUE),EXACT(metadata!D272,"missing: not provided"))</f>
        <v>0</v>
      </c>
      <c r="AG272" t="b">
        <f>AND(IF(metadata!E272="",FALSE,TRUE),EXACT(metadata!E272,"Host-associated"))</f>
        <v>0</v>
      </c>
      <c r="AH272" t="b">
        <f>AND(IF(metadata!F272="",FALSE,TRUE),OR(EXACT(metadata!F272,"Animal"),EXACT(metadata!F272,"Fungus"),EXACT(metadata!F272,"Plant")))</f>
        <v>0</v>
      </c>
      <c r="AI272" t="b">
        <f>AND(IF(metadata!G272="",FALSE,TRUE),OR(EXACT(metadata!G272,"Plant secretion"),EXACT(metadata!G272,"Plant rhizosphere"),EXACT(metadata!G272,"Plant surface"),EXACT(metadata!G272,"Plant corpus"),EXACT(metadata!G272,"Fungus surface"),EXACT(metadata!G272,"Fungus corpus"),EXACT(metadata!G272,"Animal surface"),EXACT(metadata!G272,"Animal proximal gut"),EXACT(metadata!G272,"Animal corpus"),EXACT(metadata!G272,"Animal distal gut"),EXACT(metadata!G272,"Animal secretion")))</f>
        <v>0</v>
      </c>
      <c r="AJ272" t="b">
        <f>OR(AND(IF(metadata!H272="",FALSE,TRUE),OR(EXACT(metadata!H272,"missing: not collected"),EXACT(metadata!H272,"missing: not provided"),EXACT(metadata!H272,"missing: restricted access"))),AND(IF(metadata!H272="",FALSE,TRUE),OR(EXACT(metadata!H272,"organism-associated habitat"),EXACT(metadata!H272,"plant-associated habitat"),EXACT(metadata!H272,"animal-associated habitat"),EXACT(metadata!H272,"insecta-associated habitat"),EXACT(metadata!H272,"mammalia-associated habitat"),EXACT(metadata!H272,"human-associated habitat"),EXACT(metadata!H272,"livestock-associated habitat"))))</f>
        <v>0</v>
      </c>
      <c r="AK272" t="b">
        <f>AND(IF(metadata!I272="",FALSE,TRUE),EXACT(metadata!I272,"host-associated"))</f>
        <v>0</v>
      </c>
      <c r="AL272" t="b">
        <f>OR(AND(IF(metadata!J272="",FALSE,TRUE),OR(EXACT(metadata!J272,"not applicable"),EXACT(metadata!J272,"missing: not collected"),EXACT(metadata!J272,"missing: not provided"),EXACT(metadata!J272,"missing: restricted access"))),AND(IF(metadata!J272="",FALSE,ISNUMBER(VALUE(metadata!J272))),metadata!J272&gt;0))</f>
        <v>0</v>
      </c>
      <c r="AM272" t="b">
        <f>AND(IF(metadata!K272="",FALSE,TRUE),EXACT(metadata!K272,"missing: not provided"))</f>
        <v>0</v>
      </c>
      <c r="AN272" t="b">
        <f>IF(metadata!L272="",FALSE,TRUE)</f>
        <v>0</v>
      </c>
      <c r="AO272" t="b">
        <f>IF(metadata!M272="",FALSE,TRUE)</f>
        <v>0</v>
      </c>
      <c r="AP272" t="b">
        <f>OR(AND(IF(metadata!N272="",FALSE,TRUE),OR(EXACT(metadata!N272,"not applicable"),EXACT(metadata!N272,"missing: not collected"),EXACT(metadata!N272,"missing: not provided"))),AND(IF(metadata!N272="",FALSE,IF(ISERROR(INT(metadata!N272)),FALSE,INT(metadata!N272)=metadata!N272)),metadata!N272&gt;0))</f>
        <v>0</v>
      </c>
      <c r="AQ272" t="b">
        <f>AND(IF(metadata!O272="",FALSE,TRUE),EXACT(metadata!O272,"Not applicable"))</f>
        <v>0</v>
      </c>
      <c r="AR272" t="b">
        <f>OR(AND(IF(metadata!P272="",FALSE,TRUE),OR(EXACT(metadata!P272,"not applicable"),EXACT(metadata!P272,"missing: not collected"),EXACT(metadata!P272,"missing: not provided"),EXACT(metadata!P272,"missing: restricted access"))),IF(metadata!P272="",FALSE,IF(ISERROR(INT(metadata!P272)),FALSE,INT(metadata!P272)=metadata!P272)))</f>
        <v>0</v>
      </c>
      <c r="AS272" t="b">
        <f>AND(IF(metadata!Q272="",FALSE,TRUE),EXACT(metadata!Q272,"Not applicable"))</f>
        <v>0</v>
      </c>
      <c r="AT272" t="b">
        <f>OR(AND(IF(metadata!R272="",FALSE,TRUE),OR(EXACT(metadata!R272,"not applicable"),EXACT(metadata!R272,"missing: not collected"),EXACT(metadata!R272,"missing: not provided"),EXACT(metadata!R272,"missing: restricted access"))),AND(IF(metadata!R272="",FALSE,ISNUMBER(VALUE(metadata!R272))),metadata!R272&gt;0))</f>
        <v>0</v>
      </c>
      <c r="AU272" t="b">
        <f>AND(IF(metadata!S272="",FALSE,TRUE),EXACT(metadata!S272,"missing: not provided"))</f>
        <v>0</v>
      </c>
    </row>
    <row r="273" spans="1:47" x14ac:dyDescent="0.2">
      <c r="A273" s="5" t="str">
        <f ca="1">IF(B273=" "," ",HYPERLINK(CONCATENATE("#metadata!",ADDRESS(INDEX($Y$2:$Y$1001,MATCH(ROWS($W$2:W273),$W$2:$W$1001,0),0),1)),INDEX($AB$2:$AB$1001,MATCH(ROWS($W$2:W273),$W$2:$W$1001,0),0)))</f>
        <v xml:space="preserve"> </v>
      </c>
      <c r="B273" s="4" t="str">
        <f ca="1">IF(OR(INDEX($X$2:$X$1001,MATCH(ROWS($W$2:W273),$W$2:$W$1001,0),1)&gt;=100000,INDEX($AD$1005:$AU$1005,1,MATCH(COLUMNS($AD$1006:AD1006),$AD$1006:$AU$1006,0))&gt;=100000), " ",IF(INDEX($AD$2:$AU$1001,MATCH(ROWS($W$2:W273),$W$2:$W$1001,0),MATCH(COLUMNS($AD$1006:AD1006),$AD$1006:$AU$1006,0)), HYPERLINK("#",""), HYPERLINK(CONCATENATE("#metadata!", ADDRESS(INDEX($Y$2:$Y$1001,MATCH(ROWS($W$2:W273),$W$2:$W$1001,0),0), INDEX($AD$1004:$AU$1004,1,MATCH(COLUMNS($AD$1006:AD1006),$AD$1006:$AU$1006,0)))),"Fix")))</f>
        <v xml:space="preserve"> </v>
      </c>
      <c r="C273" s="4" t="str">
        <f ca="1">IF(OR(INDEX($X$2:$X$1001,MATCH(ROWS($W$2:W273),$W$2:$W$1001,0),1)&gt;=100000,INDEX($AD$1005:$AU$1005,1,MATCH(COLUMNS($AD$1006:AE1006),$AD$1006:$AU$1006,0))&gt;=100000), " ",IF(INDEX($AD$2:$AU$1001,MATCH(ROWS($W$2:W273),$W$2:$W$1001,0),MATCH(COLUMNS($AD$1006:AE1006),$AD$1006:$AU$1006,0)), HYPERLINK("#",""), HYPERLINK(CONCATENATE("#metadata!", ADDRESS(INDEX($Y$2:$Y$1001,MATCH(ROWS($W$2:W273),$W$2:$W$1001,0),0), INDEX($AD$1004:$AU$1004,1,MATCH(COLUMNS($AD$1006:AE1006),$AD$1006:$AU$1006,0)))),"Fix")))</f>
        <v xml:space="preserve"> </v>
      </c>
      <c r="D273" s="4" t="str">
        <f ca="1">IF(OR(INDEX($X$2:$X$1001,MATCH(ROWS($W$2:W273),$W$2:$W$1001,0),1)&gt;=100000,INDEX($AD$1005:$AU$1005,1,MATCH(COLUMNS($AD$1006:AF1006),$AD$1006:$AU$1006,0))&gt;=100000), " ",IF(INDEX($AD$2:$AU$1001,MATCH(ROWS($W$2:W273),$W$2:$W$1001,0),MATCH(COLUMNS($AD$1006:AF1006),$AD$1006:$AU$1006,0)), HYPERLINK("#",""), HYPERLINK(CONCATENATE("#metadata!", ADDRESS(INDEX($Y$2:$Y$1001,MATCH(ROWS($W$2:W273),$W$2:$W$1001,0),0), INDEX($AD$1004:$AU$1004,1,MATCH(COLUMNS($AD$1006:AF1006),$AD$1006:$AU$1006,0)))),"Fix")))</f>
        <v xml:space="preserve"> </v>
      </c>
      <c r="E273" s="4" t="str">
        <f ca="1">IF(OR(INDEX($X$2:$X$1001,MATCH(ROWS($W$2:W273),$W$2:$W$1001,0),1)&gt;=100000,INDEX($AD$1005:$AU$1005,1,MATCH(COLUMNS($AD$1006:AG1006),$AD$1006:$AU$1006,0))&gt;=100000), " ",IF(INDEX($AD$2:$AU$1001,MATCH(ROWS($W$2:W273),$W$2:$W$1001,0),MATCH(COLUMNS($AD$1006:AG1006),$AD$1006:$AU$1006,0)), HYPERLINK("#",""), HYPERLINK(CONCATENATE("#metadata!", ADDRESS(INDEX($Y$2:$Y$1001,MATCH(ROWS($W$2:W273),$W$2:$W$1001,0),0), INDEX($AD$1004:$AU$1004,1,MATCH(COLUMNS($AD$1006:AG1006),$AD$1006:$AU$1006,0)))),"Fix")))</f>
        <v xml:space="preserve"> </v>
      </c>
      <c r="F273" s="4" t="str">
        <f ca="1">IF(OR(INDEX($X$2:$X$1001,MATCH(ROWS($W$2:W273),$W$2:$W$1001,0),1)&gt;=100000,INDEX($AD$1005:$AU$1005,1,MATCH(COLUMNS($AD$1006:AH1006),$AD$1006:$AU$1006,0))&gt;=100000), " ",IF(INDEX($AD$2:$AU$1001,MATCH(ROWS($W$2:W273),$W$2:$W$1001,0),MATCH(COLUMNS($AD$1006:AH1006),$AD$1006:$AU$1006,0)), HYPERLINK("#",""), HYPERLINK(CONCATENATE("#metadata!", ADDRESS(INDEX($Y$2:$Y$1001,MATCH(ROWS($W$2:W273),$W$2:$W$1001,0),0), INDEX($AD$1004:$AU$1004,1,MATCH(COLUMNS($AD$1006:AH1006),$AD$1006:$AU$1006,0)))),"Fix")))</f>
        <v xml:space="preserve"> </v>
      </c>
      <c r="G273" s="4" t="str">
        <f ca="1">IF(OR(INDEX($X$2:$X$1001,MATCH(ROWS($W$2:W273),$W$2:$W$1001,0),1)&gt;=100000,INDEX($AD$1005:$AU$1005,1,MATCH(COLUMNS($AD$1006:AI1006),$AD$1006:$AU$1006,0))&gt;=100000), " ",IF(INDEX($AD$2:$AU$1001,MATCH(ROWS($W$2:W273),$W$2:$W$1001,0),MATCH(COLUMNS($AD$1006:AI1006),$AD$1006:$AU$1006,0)), HYPERLINK("#",""), HYPERLINK(CONCATENATE("#metadata!", ADDRESS(INDEX($Y$2:$Y$1001,MATCH(ROWS($W$2:W273),$W$2:$W$1001,0),0), INDEX($AD$1004:$AU$1004,1,MATCH(COLUMNS($AD$1006:AI1006),$AD$1006:$AU$1006,0)))),"Fix")))</f>
        <v xml:space="preserve"> </v>
      </c>
      <c r="H273" s="4" t="str">
        <f ca="1">IF(OR(INDEX($X$2:$X$1001,MATCH(ROWS($W$2:W273),$W$2:$W$1001,0),1)&gt;=100000,INDEX($AD$1005:$AU$1005,1,MATCH(COLUMNS($AD$1006:AJ1006),$AD$1006:$AU$1006,0))&gt;=100000), " ",IF(INDEX($AD$2:$AU$1001,MATCH(ROWS($W$2:W273),$W$2:$W$1001,0),MATCH(COLUMNS($AD$1006:AJ1006),$AD$1006:$AU$1006,0)), HYPERLINK("#",""), HYPERLINK(CONCATENATE("#metadata!", ADDRESS(INDEX($Y$2:$Y$1001,MATCH(ROWS($W$2:W273),$W$2:$W$1001,0),0), INDEX($AD$1004:$AU$1004,1,MATCH(COLUMNS($AD$1006:AJ1006),$AD$1006:$AU$1006,0)))),"Fix")))</f>
        <v xml:space="preserve"> </v>
      </c>
      <c r="I273" s="4" t="str">
        <f ca="1">IF(OR(INDEX($X$2:$X$1001,MATCH(ROWS($W$2:W273),$W$2:$W$1001,0),1)&gt;=100000,INDEX($AD$1005:$AU$1005,1,MATCH(COLUMNS($AD$1006:AK1006),$AD$1006:$AU$1006,0))&gt;=100000), " ",IF(INDEX($AD$2:$AU$1001,MATCH(ROWS($W$2:W273),$W$2:$W$1001,0),MATCH(COLUMNS($AD$1006:AK1006),$AD$1006:$AU$1006,0)), HYPERLINK("#",""), HYPERLINK(CONCATENATE("#metadata!", ADDRESS(INDEX($Y$2:$Y$1001,MATCH(ROWS($W$2:W273),$W$2:$W$1001,0),0), INDEX($AD$1004:$AU$1004,1,MATCH(COLUMNS($AD$1006:AK1006),$AD$1006:$AU$1006,0)))),"Fix")))</f>
        <v xml:space="preserve"> </v>
      </c>
      <c r="J273" s="4" t="str">
        <f ca="1">IF(OR(INDEX($X$2:$X$1001,MATCH(ROWS($W$2:W273),$W$2:$W$1001,0),1)&gt;=100000,INDEX($AD$1005:$AU$1005,1,MATCH(COLUMNS($AD$1006:AL1006),$AD$1006:$AU$1006,0))&gt;=100000), " ",IF(INDEX($AD$2:$AU$1001,MATCH(ROWS($W$2:W273),$W$2:$W$1001,0),MATCH(COLUMNS($AD$1006:AL1006),$AD$1006:$AU$1006,0)), HYPERLINK("#",""), HYPERLINK(CONCATENATE("#metadata!", ADDRESS(INDEX($Y$2:$Y$1001,MATCH(ROWS($W$2:W273),$W$2:$W$1001,0),0), INDEX($AD$1004:$AU$1004,1,MATCH(COLUMNS($AD$1006:AL1006),$AD$1006:$AU$1006,0)))),"Fix")))</f>
        <v xml:space="preserve"> </v>
      </c>
      <c r="K273" s="4" t="str">
        <f ca="1">IF(OR(INDEX($X$2:$X$1001,MATCH(ROWS($W$2:W273),$W$2:$W$1001,0),1)&gt;=100000,INDEX($AD$1005:$AU$1005,1,MATCH(COLUMNS($AD$1006:AM1006),$AD$1006:$AU$1006,0))&gt;=100000), " ",IF(INDEX($AD$2:$AU$1001,MATCH(ROWS($W$2:W273),$W$2:$W$1001,0),MATCH(COLUMNS($AD$1006:AM1006),$AD$1006:$AU$1006,0)), HYPERLINK("#",""), HYPERLINK(CONCATENATE("#metadata!", ADDRESS(INDEX($Y$2:$Y$1001,MATCH(ROWS($W$2:W273),$W$2:$W$1001,0),0), INDEX($AD$1004:$AU$1004,1,MATCH(COLUMNS($AD$1006:AM1006),$AD$1006:$AU$1006,0)))),"Fix")))</f>
        <v xml:space="preserve"> </v>
      </c>
      <c r="L273" s="4" t="str">
        <f ca="1">IF(OR(INDEX($X$2:$X$1001,MATCH(ROWS($W$2:W273),$W$2:$W$1001,0),1)&gt;=100000,INDEX($AD$1005:$AU$1005,1,MATCH(COLUMNS($AD$1006:AN1006),$AD$1006:$AU$1006,0))&gt;=100000), " ",IF(INDEX($AD$2:$AU$1001,MATCH(ROWS($W$2:W273),$W$2:$W$1001,0),MATCH(COLUMNS($AD$1006:AN1006),$AD$1006:$AU$1006,0)), HYPERLINK("#",""), HYPERLINK(CONCATENATE("#metadata!", ADDRESS(INDEX($Y$2:$Y$1001,MATCH(ROWS($W$2:W273),$W$2:$W$1001,0),0), INDEX($AD$1004:$AU$1004,1,MATCH(COLUMNS($AD$1006:AN1006),$AD$1006:$AU$1006,0)))),"Fix")))</f>
        <v xml:space="preserve"> </v>
      </c>
      <c r="M273" s="4" t="str">
        <f ca="1">IF(OR(INDEX($X$2:$X$1001,MATCH(ROWS($W$2:W273),$W$2:$W$1001,0),1)&gt;=100000,INDEX($AD$1005:$AU$1005,1,MATCH(COLUMNS($AD$1006:AO1006),$AD$1006:$AU$1006,0))&gt;=100000), " ",IF(INDEX($AD$2:$AU$1001,MATCH(ROWS($W$2:W273),$W$2:$W$1001,0),MATCH(COLUMNS($AD$1006:AO1006),$AD$1006:$AU$1006,0)), HYPERLINK("#",""), HYPERLINK(CONCATENATE("#metadata!", ADDRESS(INDEX($Y$2:$Y$1001,MATCH(ROWS($W$2:W273),$W$2:$W$1001,0),0), INDEX($AD$1004:$AU$1004,1,MATCH(COLUMNS($AD$1006:AO1006),$AD$1006:$AU$1006,0)))),"Fix")))</f>
        <v xml:space="preserve"> </v>
      </c>
      <c r="N273" s="4" t="str">
        <f ca="1">IF(OR(INDEX($X$2:$X$1001,MATCH(ROWS($W$2:W273),$W$2:$W$1001,0),1)&gt;=100000,INDEX($AD$1005:$AU$1005,1,MATCH(COLUMNS($AD$1006:AP1006),$AD$1006:$AU$1006,0))&gt;=100000), " ",IF(INDEX($AD$2:$AU$1001,MATCH(ROWS($W$2:W273),$W$2:$W$1001,0),MATCH(COLUMNS($AD$1006:AP1006),$AD$1006:$AU$1006,0)), HYPERLINK("#",""), HYPERLINK(CONCATENATE("#metadata!", ADDRESS(INDEX($Y$2:$Y$1001,MATCH(ROWS($W$2:W273),$W$2:$W$1001,0),0), INDEX($AD$1004:$AU$1004,1,MATCH(COLUMNS($AD$1006:AP1006),$AD$1006:$AU$1006,0)))),"Fix")))</f>
        <v xml:space="preserve"> </v>
      </c>
      <c r="O273" s="4" t="str">
        <f ca="1">IF(OR(INDEX($X$2:$X$1001,MATCH(ROWS($W$2:W273),$W$2:$W$1001,0),1)&gt;=100000,INDEX($AD$1005:$AU$1005,1,MATCH(COLUMNS($AD$1006:AQ1006),$AD$1006:$AU$1006,0))&gt;=100000), " ",IF(INDEX($AD$2:$AU$1001,MATCH(ROWS($W$2:W273),$W$2:$W$1001,0),MATCH(COLUMNS($AD$1006:AQ1006),$AD$1006:$AU$1006,0)), HYPERLINK("#",""), HYPERLINK(CONCATENATE("#metadata!", ADDRESS(INDEX($Y$2:$Y$1001,MATCH(ROWS($W$2:W273),$W$2:$W$1001,0),0), INDEX($AD$1004:$AU$1004,1,MATCH(COLUMNS($AD$1006:AQ1006),$AD$1006:$AU$1006,0)))),"Fix")))</f>
        <v xml:space="preserve"> </v>
      </c>
      <c r="P273" s="4" t="str">
        <f ca="1">IF(OR(INDEX($X$2:$X$1001,MATCH(ROWS($W$2:W273),$W$2:$W$1001,0),1)&gt;=100000,INDEX($AD$1005:$AU$1005,1,MATCH(COLUMNS($AD$1006:AR1006),$AD$1006:$AU$1006,0))&gt;=100000), " ",IF(INDEX($AD$2:$AU$1001,MATCH(ROWS($W$2:W273),$W$2:$W$1001,0),MATCH(COLUMNS($AD$1006:AR1006),$AD$1006:$AU$1006,0)), HYPERLINK("#",""), HYPERLINK(CONCATENATE("#metadata!", ADDRESS(INDEX($Y$2:$Y$1001,MATCH(ROWS($W$2:W273),$W$2:$W$1001,0),0), INDEX($AD$1004:$AU$1004,1,MATCH(COLUMNS($AD$1006:AR1006),$AD$1006:$AU$1006,0)))),"Fix")))</f>
        <v xml:space="preserve"> </v>
      </c>
      <c r="Q273" s="4" t="str">
        <f ca="1">IF(OR(INDEX($X$2:$X$1001,MATCH(ROWS($W$2:W273),$W$2:$W$1001,0),1)&gt;=100000,INDEX($AD$1005:$AU$1005,1,MATCH(COLUMNS($AD$1006:AS1006),$AD$1006:$AU$1006,0))&gt;=100000), " ",IF(INDEX($AD$2:$AU$1001,MATCH(ROWS($W$2:W273),$W$2:$W$1001,0),MATCH(COLUMNS($AD$1006:AS1006),$AD$1006:$AU$1006,0)), HYPERLINK("#",""), HYPERLINK(CONCATENATE("#metadata!", ADDRESS(INDEX($Y$2:$Y$1001,MATCH(ROWS($W$2:W273),$W$2:$W$1001,0),0), INDEX($AD$1004:$AU$1004,1,MATCH(COLUMNS($AD$1006:AS1006),$AD$1006:$AU$1006,0)))),"Fix")))</f>
        <v xml:space="preserve"> </v>
      </c>
      <c r="R273" s="4" t="str">
        <f ca="1">IF(OR(INDEX($X$2:$X$1001,MATCH(ROWS($W$2:W273),$W$2:$W$1001,0),1)&gt;=100000,INDEX($AD$1005:$AU$1005,1,MATCH(COLUMNS($AD$1006:AT1006),$AD$1006:$AU$1006,0))&gt;=100000), " ",IF(INDEX($AD$2:$AU$1001,MATCH(ROWS($W$2:W273),$W$2:$W$1001,0),MATCH(COLUMNS($AD$1006:AT1006),$AD$1006:$AU$1006,0)), HYPERLINK("#",""), HYPERLINK(CONCATENATE("#metadata!", ADDRESS(INDEX($Y$2:$Y$1001,MATCH(ROWS($W$2:W273),$W$2:$W$1001,0),0), INDEX($AD$1004:$AU$1004,1,MATCH(COLUMNS($AD$1006:AT1006),$AD$1006:$AU$1006,0)))),"Fix")))</f>
        <v xml:space="preserve"> </v>
      </c>
      <c r="S273" s="4" t="str">
        <f ca="1">IF(OR(INDEX($X$2:$X$1001,MATCH(ROWS($W$2:W273),$W$2:$W$1001,0),1)&gt;=100000,INDEX($AD$1005:$AU$1005,1,MATCH(COLUMNS($AD$1006:AU1006),$AD$1006:$AU$1006,0))&gt;=100000), " ",IF(INDEX($AD$2:$AU$1001,MATCH(ROWS($W$2:W273),$W$2:$W$1001,0),MATCH(COLUMNS($AD$1006:AU1006),$AD$1006:$AU$1006,0)), HYPERLINK("#",""), HYPERLINK(CONCATENATE("#metadata!", ADDRESS(INDEX($Y$2:$Y$1001,MATCH(ROWS($W$2:W273),$W$2:$W$1001,0),0), INDEX($AD$1004:$AU$1004,1,MATCH(COLUMNS($AD$1006:AU1006),$AD$1006:$AU$1006,0)))),"Fix")))</f>
        <v xml:space="preserve"> </v>
      </c>
      <c r="W273">
        <v>272</v>
      </c>
      <c r="X273">
        <v>100273</v>
      </c>
      <c r="Y273">
        <v>273</v>
      </c>
      <c r="Z273" t="b">
        <f t="shared" si="4"/>
        <v>1</v>
      </c>
      <c r="AA273" t="b">
        <f>COUNTBLANK(metadata!B273:S273)=COLUMNS(metadata!B273:S273)</f>
        <v>1</v>
      </c>
      <c r="AB273" t="str">
        <v/>
      </c>
      <c r="AD273" t="b">
        <f ca="1">AND(IF(metadata!B273="",FALSE,TRUE),COUNTIF(metadata!B:B, metadata!B273) = 1,NOT(ISERROR(SUMPRODUCT(SEARCH(MID(metadata!B273,ROW(INDIRECT("1:"&amp;LEN(metadata!B273))), 1),"0123456789abcdefghijklmnopqrstuvwxyzABCDEFGHIJKLMNOPQRSTUVWXYZ.")))))</f>
        <v>0</v>
      </c>
      <c r="AE273" t="b">
        <f>OR(AND(IF(metadata!C273="",FALSE,TRUE),OR(EXACT(metadata!C273,"not applicable"),EXACT(metadata!C273,"missing: not collected"),EXACT(metadata!C273,"missing: not provided"),EXACT(metadata!C273,"missing: restricted access"))),AND(IF(metadata!C273="",FALSE,ISNUMBER(VALUE(metadata!C273))),metadata!C273&gt;0))</f>
        <v>0</v>
      </c>
      <c r="AF273" t="b">
        <f>AND(IF(metadata!D273="",FALSE,TRUE),EXACT(metadata!D273,"missing: not provided"))</f>
        <v>0</v>
      </c>
      <c r="AG273" t="b">
        <f>AND(IF(metadata!E273="",FALSE,TRUE),EXACT(metadata!E273,"Host-associated"))</f>
        <v>0</v>
      </c>
      <c r="AH273" t="b">
        <f>AND(IF(metadata!F273="",FALSE,TRUE),OR(EXACT(metadata!F273,"Animal"),EXACT(metadata!F273,"Fungus"),EXACT(metadata!F273,"Plant")))</f>
        <v>0</v>
      </c>
      <c r="AI273" t="b">
        <f>AND(IF(metadata!G273="",FALSE,TRUE),OR(EXACT(metadata!G273,"Plant secretion"),EXACT(metadata!G273,"Plant rhizosphere"),EXACT(metadata!G273,"Plant surface"),EXACT(metadata!G273,"Plant corpus"),EXACT(metadata!G273,"Fungus surface"),EXACT(metadata!G273,"Fungus corpus"),EXACT(metadata!G273,"Animal surface"),EXACT(metadata!G273,"Animal proximal gut"),EXACT(metadata!G273,"Animal corpus"),EXACT(metadata!G273,"Animal distal gut"),EXACT(metadata!G273,"Animal secretion")))</f>
        <v>0</v>
      </c>
      <c r="AJ273" t="b">
        <f>OR(AND(IF(metadata!H273="",FALSE,TRUE),OR(EXACT(metadata!H273,"missing: not collected"),EXACT(metadata!H273,"missing: not provided"),EXACT(metadata!H273,"missing: restricted access"))),AND(IF(metadata!H273="",FALSE,TRUE),OR(EXACT(metadata!H273,"organism-associated habitat"),EXACT(metadata!H273,"plant-associated habitat"),EXACT(metadata!H273,"animal-associated habitat"),EXACT(metadata!H273,"insecta-associated habitat"),EXACT(metadata!H273,"mammalia-associated habitat"),EXACT(metadata!H273,"human-associated habitat"),EXACT(metadata!H273,"livestock-associated habitat"))))</f>
        <v>0</v>
      </c>
      <c r="AK273" t="b">
        <f>AND(IF(metadata!I273="",FALSE,TRUE),EXACT(metadata!I273,"host-associated"))</f>
        <v>0</v>
      </c>
      <c r="AL273" t="b">
        <f>OR(AND(IF(metadata!J273="",FALSE,TRUE),OR(EXACT(metadata!J273,"not applicable"),EXACT(metadata!J273,"missing: not collected"),EXACT(metadata!J273,"missing: not provided"),EXACT(metadata!J273,"missing: restricted access"))),AND(IF(metadata!J273="",FALSE,ISNUMBER(VALUE(metadata!J273))),metadata!J273&gt;0))</f>
        <v>0</v>
      </c>
      <c r="AM273" t="b">
        <f>AND(IF(metadata!K273="",FALSE,TRUE),EXACT(metadata!K273,"missing: not provided"))</f>
        <v>0</v>
      </c>
      <c r="AN273" t="b">
        <f>IF(metadata!L273="",FALSE,TRUE)</f>
        <v>0</v>
      </c>
      <c r="AO273" t="b">
        <f>IF(metadata!M273="",FALSE,TRUE)</f>
        <v>0</v>
      </c>
      <c r="AP273" t="b">
        <f>OR(AND(IF(metadata!N273="",FALSE,TRUE),OR(EXACT(metadata!N273,"not applicable"),EXACT(metadata!N273,"missing: not collected"),EXACT(metadata!N273,"missing: not provided"))),AND(IF(metadata!N273="",FALSE,IF(ISERROR(INT(metadata!N273)),FALSE,INT(metadata!N273)=metadata!N273)),metadata!N273&gt;0))</f>
        <v>0</v>
      </c>
      <c r="AQ273" t="b">
        <f>AND(IF(metadata!O273="",FALSE,TRUE),EXACT(metadata!O273,"Not applicable"))</f>
        <v>0</v>
      </c>
      <c r="AR273" t="b">
        <f>OR(AND(IF(metadata!P273="",FALSE,TRUE),OR(EXACT(metadata!P273,"not applicable"),EXACT(metadata!P273,"missing: not collected"),EXACT(metadata!P273,"missing: not provided"),EXACT(metadata!P273,"missing: restricted access"))),IF(metadata!P273="",FALSE,IF(ISERROR(INT(metadata!P273)),FALSE,INT(metadata!P273)=metadata!P273)))</f>
        <v>0</v>
      </c>
      <c r="AS273" t="b">
        <f>AND(IF(metadata!Q273="",FALSE,TRUE),EXACT(metadata!Q273,"Not applicable"))</f>
        <v>0</v>
      </c>
      <c r="AT273" t="b">
        <f>OR(AND(IF(metadata!R273="",FALSE,TRUE),OR(EXACT(metadata!R273,"not applicable"),EXACT(metadata!R273,"missing: not collected"),EXACT(metadata!R273,"missing: not provided"),EXACT(metadata!R273,"missing: restricted access"))),AND(IF(metadata!R273="",FALSE,ISNUMBER(VALUE(metadata!R273))),metadata!R273&gt;0))</f>
        <v>0</v>
      </c>
      <c r="AU273" t="b">
        <f>AND(IF(metadata!S273="",FALSE,TRUE),EXACT(metadata!S273,"missing: not provided"))</f>
        <v>0</v>
      </c>
    </row>
    <row r="274" spans="1:47" x14ac:dyDescent="0.2">
      <c r="A274" s="5" t="str">
        <f ca="1">IF(B274=" "," ",HYPERLINK(CONCATENATE("#metadata!",ADDRESS(INDEX($Y$2:$Y$1001,MATCH(ROWS($W$2:W274),$W$2:$W$1001,0),0),1)),INDEX($AB$2:$AB$1001,MATCH(ROWS($W$2:W274),$W$2:$W$1001,0),0)))</f>
        <v xml:space="preserve"> </v>
      </c>
      <c r="B274" s="4" t="str">
        <f ca="1">IF(OR(INDEX($X$2:$X$1001,MATCH(ROWS($W$2:W274),$W$2:$W$1001,0),1)&gt;=100000,INDEX($AD$1005:$AU$1005,1,MATCH(COLUMNS($AD$1006:AD1006),$AD$1006:$AU$1006,0))&gt;=100000), " ",IF(INDEX($AD$2:$AU$1001,MATCH(ROWS($W$2:W274),$W$2:$W$1001,0),MATCH(COLUMNS($AD$1006:AD1006),$AD$1006:$AU$1006,0)), HYPERLINK("#",""), HYPERLINK(CONCATENATE("#metadata!", ADDRESS(INDEX($Y$2:$Y$1001,MATCH(ROWS($W$2:W274),$W$2:$W$1001,0),0), INDEX($AD$1004:$AU$1004,1,MATCH(COLUMNS($AD$1006:AD1006),$AD$1006:$AU$1006,0)))),"Fix")))</f>
        <v xml:space="preserve"> </v>
      </c>
      <c r="C274" s="4" t="str">
        <f ca="1">IF(OR(INDEX($X$2:$X$1001,MATCH(ROWS($W$2:W274),$W$2:$W$1001,0),1)&gt;=100000,INDEX($AD$1005:$AU$1005,1,MATCH(COLUMNS($AD$1006:AE1006),$AD$1006:$AU$1006,0))&gt;=100000), " ",IF(INDEX($AD$2:$AU$1001,MATCH(ROWS($W$2:W274),$W$2:$W$1001,0),MATCH(COLUMNS($AD$1006:AE1006),$AD$1006:$AU$1006,0)), HYPERLINK("#",""), HYPERLINK(CONCATENATE("#metadata!", ADDRESS(INDEX($Y$2:$Y$1001,MATCH(ROWS($W$2:W274),$W$2:$W$1001,0),0), INDEX($AD$1004:$AU$1004,1,MATCH(COLUMNS($AD$1006:AE1006),$AD$1006:$AU$1006,0)))),"Fix")))</f>
        <v xml:space="preserve"> </v>
      </c>
      <c r="D274" s="4" t="str">
        <f ca="1">IF(OR(INDEX($X$2:$X$1001,MATCH(ROWS($W$2:W274),$W$2:$W$1001,0),1)&gt;=100000,INDEX($AD$1005:$AU$1005,1,MATCH(COLUMNS($AD$1006:AF1006),$AD$1006:$AU$1006,0))&gt;=100000), " ",IF(INDEX($AD$2:$AU$1001,MATCH(ROWS($W$2:W274),$W$2:$W$1001,0),MATCH(COLUMNS($AD$1006:AF1006),$AD$1006:$AU$1006,0)), HYPERLINK("#",""), HYPERLINK(CONCATENATE("#metadata!", ADDRESS(INDEX($Y$2:$Y$1001,MATCH(ROWS($W$2:W274),$W$2:$W$1001,0),0), INDEX($AD$1004:$AU$1004,1,MATCH(COLUMNS($AD$1006:AF1006),$AD$1006:$AU$1006,0)))),"Fix")))</f>
        <v xml:space="preserve"> </v>
      </c>
      <c r="E274" s="4" t="str">
        <f ca="1">IF(OR(INDEX($X$2:$X$1001,MATCH(ROWS($W$2:W274),$W$2:$W$1001,0),1)&gt;=100000,INDEX($AD$1005:$AU$1005,1,MATCH(COLUMNS($AD$1006:AG1006),$AD$1006:$AU$1006,0))&gt;=100000), " ",IF(INDEX($AD$2:$AU$1001,MATCH(ROWS($W$2:W274),$W$2:$W$1001,0),MATCH(COLUMNS($AD$1006:AG1006),$AD$1006:$AU$1006,0)), HYPERLINK("#",""), HYPERLINK(CONCATENATE("#metadata!", ADDRESS(INDEX($Y$2:$Y$1001,MATCH(ROWS($W$2:W274),$W$2:$W$1001,0),0), INDEX($AD$1004:$AU$1004,1,MATCH(COLUMNS($AD$1006:AG1006),$AD$1006:$AU$1006,0)))),"Fix")))</f>
        <v xml:space="preserve"> </v>
      </c>
      <c r="F274" s="4" t="str">
        <f ca="1">IF(OR(INDEX($X$2:$X$1001,MATCH(ROWS($W$2:W274),$W$2:$W$1001,0),1)&gt;=100000,INDEX($AD$1005:$AU$1005,1,MATCH(COLUMNS($AD$1006:AH1006),$AD$1006:$AU$1006,0))&gt;=100000), " ",IF(INDEX($AD$2:$AU$1001,MATCH(ROWS($W$2:W274),$W$2:$W$1001,0),MATCH(COLUMNS($AD$1006:AH1006),$AD$1006:$AU$1006,0)), HYPERLINK("#",""), HYPERLINK(CONCATENATE("#metadata!", ADDRESS(INDEX($Y$2:$Y$1001,MATCH(ROWS($W$2:W274),$W$2:$W$1001,0),0), INDEX($AD$1004:$AU$1004,1,MATCH(COLUMNS($AD$1006:AH1006),$AD$1006:$AU$1006,0)))),"Fix")))</f>
        <v xml:space="preserve"> </v>
      </c>
      <c r="G274" s="4" t="str">
        <f ca="1">IF(OR(INDEX($X$2:$X$1001,MATCH(ROWS($W$2:W274),$W$2:$W$1001,0),1)&gt;=100000,INDEX($AD$1005:$AU$1005,1,MATCH(COLUMNS($AD$1006:AI1006),$AD$1006:$AU$1006,0))&gt;=100000), " ",IF(INDEX($AD$2:$AU$1001,MATCH(ROWS($W$2:W274),$W$2:$W$1001,0),MATCH(COLUMNS($AD$1006:AI1006),$AD$1006:$AU$1006,0)), HYPERLINK("#",""), HYPERLINK(CONCATENATE("#metadata!", ADDRESS(INDEX($Y$2:$Y$1001,MATCH(ROWS($W$2:W274),$W$2:$W$1001,0),0), INDEX($AD$1004:$AU$1004,1,MATCH(COLUMNS($AD$1006:AI1006),$AD$1006:$AU$1006,0)))),"Fix")))</f>
        <v xml:space="preserve"> </v>
      </c>
      <c r="H274" s="4" t="str">
        <f ca="1">IF(OR(INDEX($X$2:$X$1001,MATCH(ROWS($W$2:W274),$W$2:$W$1001,0),1)&gt;=100000,INDEX($AD$1005:$AU$1005,1,MATCH(COLUMNS($AD$1006:AJ1006),$AD$1006:$AU$1006,0))&gt;=100000), " ",IF(INDEX($AD$2:$AU$1001,MATCH(ROWS($W$2:W274),$W$2:$W$1001,0),MATCH(COLUMNS($AD$1006:AJ1006),$AD$1006:$AU$1006,0)), HYPERLINK("#",""), HYPERLINK(CONCATENATE("#metadata!", ADDRESS(INDEX($Y$2:$Y$1001,MATCH(ROWS($W$2:W274),$W$2:$W$1001,0),0), INDEX($AD$1004:$AU$1004,1,MATCH(COLUMNS($AD$1006:AJ1006),$AD$1006:$AU$1006,0)))),"Fix")))</f>
        <v xml:space="preserve"> </v>
      </c>
      <c r="I274" s="4" t="str">
        <f ca="1">IF(OR(INDEX($X$2:$X$1001,MATCH(ROWS($W$2:W274),$W$2:$W$1001,0),1)&gt;=100000,INDEX($AD$1005:$AU$1005,1,MATCH(COLUMNS($AD$1006:AK1006),$AD$1006:$AU$1006,0))&gt;=100000), " ",IF(INDEX($AD$2:$AU$1001,MATCH(ROWS($W$2:W274),$W$2:$W$1001,0),MATCH(COLUMNS($AD$1006:AK1006),$AD$1006:$AU$1006,0)), HYPERLINK("#",""), HYPERLINK(CONCATENATE("#metadata!", ADDRESS(INDEX($Y$2:$Y$1001,MATCH(ROWS($W$2:W274),$W$2:$W$1001,0),0), INDEX($AD$1004:$AU$1004,1,MATCH(COLUMNS($AD$1006:AK1006),$AD$1006:$AU$1006,0)))),"Fix")))</f>
        <v xml:space="preserve"> </v>
      </c>
      <c r="J274" s="4" t="str">
        <f ca="1">IF(OR(INDEX($X$2:$X$1001,MATCH(ROWS($W$2:W274),$W$2:$W$1001,0),1)&gt;=100000,INDEX($AD$1005:$AU$1005,1,MATCH(COLUMNS($AD$1006:AL1006),$AD$1006:$AU$1006,0))&gt;=100000), " ",IF(INDEX($AD$2:$AU$1001,MATCH(ROWS($W$2:W274),$W$2:$W$1001,0),MATCH(COLUMNS($AD$1006:AL1006),$AD$1006:$AU$1006,0)), HYPERLINK("#",""), HYPERLINK(CONCATENATE("#metadata!", ADDRESS(INDEX($Y$2:$Y$1001,MATCH(ROWS($W$2:W274),$W$2:$W$1001,0),0), INDEX($AD$1004:$AU$1004,1,MATCH(COLUMNS($AD$1006:AL1006),$AD$1006:$AU$1006,0)))),"Fix")))</f>
        <v xml:space="preserve"> </v>
      </c>
      <c r="K274" s="4" t="str">
        <f ca="1">IF(OR(INDEX($X$2:$X$1001,MATCH(ROWS($W$2:W274),$W$2:$W$1001,0),1)&gt;=100000,INDEX($AD$1005:$AU$1005,1,MATCH(COLUMNS($AD$1006:AM1006),$AD$1006:$AU$1006,0))&gt;=100000), " ",IF(INDEX($AD$2:$AU$1001,MATCH(ROWS($W$2:W274),$W$2:$W$1001,0),MATCH(COLUMNS($AD$1006:AM1006),$AD$1006:$AU$1006,0)), HYPERLINK("#",""), HYPERLINK(CONCATENATE("#metadata!", ADDRESS(INDEX($Y$2:$Y$1001,MATCH(ROWS($W$2:W274),$W$2:$W$1001,0),0), INDEX($AD$1004:$AU$1004,1,MATCH(COLUMNS($AD$1006:AM1006),$AD$1006:$AU$1006,0)))),"Fix")))</f>
        <v xml:space="preserve"> </v>
      </c>
      <c r="L274" s="4" t="str">
        <f ca="1">IF(OR(INDEX($X$2:$X$1001,MATCH(ROWS($W$2:W274),$W$2:$W$1001,0),1)&gt;=100000,INDEX($AD$1005:$AU$1005,1,MATCH(COLUMNS($AD$1006:AN1006),$AD$1006:$AU$1006,0))&gt;=100000), " ",IF(INDEX($AD$2:$AU$1001,MATCH(ROWS($W$2:W274),$W$2:$W$1001,0),MATCH(COLUMNS($AD$1006:AN1006),$AD$1006:$AU$1006,0)), HYPERLINK("#",""), HYPERLINK(CONCATENATE("#metadata!", ADDRESS(INDEX($Y$2:$Y$1001,MATCH(ROWS($W$2:W274),$W$2:$W$1001,0),0), INDEX($AD$1004:$AU$1004,1,MATCH(COLUMNS($AD$1006:AN1006),$AD$1006:$AU$1006,0)))),"Fix")))</f>
        <v xml:space="preserve"> </v>
      </c>
      <c r="M274" s="4" t="str">
        <f ca="1">IF(OR(INDEX($X$2:$X$1001,MATCH(ROWS($W$2:W274),$W$2:$W$1001,0),1)&gt;=100000,INDEX($AD$1005:$AU$1005,1,MATCH(COLUMNS($AD$1006:AO1006),$AD$1006:$AU$1006,0))&gt;=100000), " ",IF(INDEX($AD$2:$AU$1001,MATCH(ROWS($W$2:W274),$W$2:$W$1001,0),MATCH(COLUMNS($AD$1006:AO1006),$AD$1006:$AU$1006,0)), HYPERLINK("#",""), HYPERLINK(CONCATENATE("#metadata!", ADDRESS(INDEX($Y$2:$Y$1001,MATCH(ROWS($W$2:W274),$W$2:$W$1001,0),0), INDEX($AD$1004:$AU$1004,1,MATCH(COLUMNS($AD$1006:AO1006),$AD$1006:$AU$1006,0)))),"Fix")))</f>
        <v xml:space="preserve"> </v>
      </c>
      <c r="N274" s="4" t="str">
        <f ca="1">IF(OR(INDEX($X$2:$X$1001,MATCH(ROWS($W$2:W274),$W$2:$W$1001,0),1)&gt;=100000,INDEX($AD$1005:$AU$1005,1,MATCH(COLUMNS($AD$1006:AP1006),$AD$1006:$AU$1006,0))&gt;=100000), " ",IF(INDEX($AD$2:$AU$1001,MATCH(ROWS($W$2:W274),$W$2:$W$1001,0),MATCH(COLUMNS($AD$1006:AP1006),$AD$1006:$AU$1006,0)), HYPERLINK("#",""), HYPERLINK(CONCATENATE("#metadata!", ADDRESS(INDEX($Y$2:$Y$1001,MATCH(ROWS($W$2:W274),$W$2:$W$1001,0),0), INDEX($AD$1004:$AU$1004,1,MATCH(COLUMNS($AD$1006:AP1006),$AD$1006:$AU$1006,0)))),"Fix")))</f>
        <v xml:space="preserve"> </v>
      </c>
      <c r="O274" s="4" t="str">
        <f ca="1">IF(OR(INDEX($X$2:$X$1001,MATCH(ROWS($W$2:W274),$W$2:$W$1001,0),1)&gt;=100000,INDEX($AD$1005:$AU$1005,1,MATCH(COLUMNS($AD$1006:AQ1006),$AD$1006:$AU$1006,0))&gt;=100000), " ",IF(INDEX($AD$2:$AU$1001,MATCH(ROWS($W$2:W274),$W$2:$W$1001,0),MATCH(COLUMNS($AD$1006:AQ1006),$AD$1006:$AU$1006,0)), HYPERLINK("#",""), HYPERLINK(CONCATENATE("#metadata!", ADDRESS(INDEX($Y$2:$Y$1001,MATCH(ROWS($W$2:W274),$W$2:$W$1001,0),0), INDEX($AD$1004:$AU$1004,1,MATCH(COLUMNS($AD$1006:AQ1006),$AD$1006:$AU$1006,0)))),"Fix")))</f>
        <v xml:space="preserve"> </v>
      </c>
      <c r="P274" s="4" t="str">
        <f ca="1">IF(OR(INDEX($X$2:$X$1001,MATCH(ROWS($W$2:W274),$W$2:$W$1001,0),1)&gt;=100000,INDEX($AD$1005:$AU$1005,1,MATCH(COLUMNS($AD$1006:AR1006),$AD$1006:$AU$1006,0))&gt;=100000), " ",IF(INDEX($AD$2:$AU$1001,MATCH(ROWS($W$2:W274),$W$2:$W$1001,0),MATCH(COLUMNS($AD$1006:AR1006),$AD$1006:$AU$1006,0)), HYPERLINK("#",""), HYPERLINK(CONCATENATE("#metadata!", ADDRESS(INDEX($Y$2:$Y$1001,MATCH(ROWS($W$2:W274),$W$2:$W$1001,0),0), INDEX($AD$1004:$AU$1004,1,MATCH(COLUMNS($AD$1006:AR1006),$AD$1006:$AU$1006,0)))),"Fix")))</f>
        <v xml:space="preserve"> </v>
      </c>
      <c r="Q274" s="4" t="str">
        <f ca="1">IF(OR(INDEX($X$2:$X$1001,MATCH(ROWS($W$2:W274),$W$2:$W$1001,0),1)&gt;=100000,INDEX($AD$1005:$AU$1005,1,MATCH(COLUMNS($AD$1006:AS1006),$AD$1006:$AU$1006,0))&gt;=100000), " ",IF(INDEX($AD$2:$AU$1001,MATCH(ROWS($W$2:W274),$W$2:$W$1001,0),MATCH(COLUMNS($AD$1006:AS1006),$AD$1006:$AU$1006,0)), HYPERLINK("#",""), HYPERLINK(CONCATENATE("#metadata!", ADDRESS(INDEX($Y$2:$Y$1001,MATCH(ROWS($W$2:W274),$W$2:$W$1001,0),0), INDEX($AD$1004:$AU$1004,1,MATCH(COLUMNS($AD$1006:AS1006),$AD$1006:$AU$1006,0)))),"Fix")))</f>
        <v xml:space="preserve"> </v>
      </c>
      <c r="R274" s="4" t="str">
        <f ca="1">IF(OR(INDEX($X$2:$X$1001,MATCH(ROWS($W$2:W274),$W$2:$W$1001,0),1)&gt;=100000,INDEX($AD$1005:$AU$1005,1,MATCH(COLUMNS($AD$1006:AT1006),$AD$1006:$AU$1006,0))&gt;=100000), " ",IF(INDEX($AD$2:$AU$1001,MATCH(ROWS($W$2:W274),$W$2:$W$1001,0),MATCH(COLUMNS($AD$1006:AT1006),$AD$1006:$AU$1006,0)), HYPERLINK("#",""), HYPERLINK(CONCATENATE("#metadata!", ADDRESS(INDEX($Y$2:$Y$1001,MATCH(ROWS($W$2:W274),$W$2:$W$1001,0),0), INDEX($AD$1004:$AU$1004,1,MATCH(COLUMNS($AD$1006:AT1006),$AD$1006:$AU$1006,0)))),"Fix")))</f>
        <v xml:space="preserve"> </v>
      </c>
      <c r="S274" s="4" t="str">
        <f ca="1">IF(OR(INDEX($X$2:$X$1001,MATCH(ROWS($W$2:W274),$W$2:$W$1001,0),1)&gt;=100000,INDEX($AD$1005:$AU$1005,1,MATCH(COLUMNS($AD$1006:AU1006),$AD$1006:$AU$1006,0))&gt;=100000), " ",IF(INDEX($AD$2:$AU$1001,MATCH(ROWS($W$2:W274),$W$2:$W$1001,0),MATCH(COLUMNS($AD$1006:AU1006),$AD$1006:$AU$1006,0)), HYPERLINK("#",""), HYPERLINK(CONCATENATE("#metadata!", ADDRESS(INDEX($Y$2:$Y$1001,MATCH(ROWS($W$2:W274),$W$2:$W$1001,0),0), INDEX($AD$1004:$AU$1004,1,MATCH(COLUMNS($AD$1006:AU1006),$AD$1006:$AU$1006,0)))),"Fix")))</f>
        <v xml:space="preserve"> </v>
      </c>
      <c r="W274">
        <v>273</v>
      </c>
      <c r="X274">
        <v>100274</v>
      </c>
      <c r="Y274">
        <v>274</v>
      </c>
      <c r="Z274" t="b">
        <f t="shared" si="4"/>
        <v>1</v>
      </c>
      <c r="AA274" t="b">
        <f>COUNTBLANK(metadata!B274:S274)=COLUMNS(metadata!B274:S274)</f>
        <v>1</v>
      </c>
      <c r="AB274" t="str">
        <v/>
      </c>
      <c r="AD274" t="b">
        <f ca="1">AND(IF(metadata!B274="",FALSE,TRUE),COUNTIF(metadata!B:B, metadata!B274) = 1,NOT(ISERROR(SUMPRODUCT(SEARCH(MID(metadata!B274,ROW(INDIRECT("1:"&amp;LEN(metadata!B274))), 1),"0123456789abcdefghijklmnopqrstuvwxyzABCDEFGHIJKLMNOPQRSTUVWXYZ.")))))</f>
        <v>0</v>
      </c>
      <c r="AE274" t="b">
        <f>OR(AND(IF(metadata!C274="",FALSE,TRUE),OR(EXACT(metadata!C274,"not applicable"),EXACT(metadata!C274,"missing: not collected"),EXACT(metadata!C274,"missing: not provided"),EXACT(metadata!C274,"missing: restricted access"))),AND(IF(metadata!C274="",FALSE,ISNUMBER(VALUE(metadata!C274))),metadata!C274&gt;0))</f>
        <v>0</v>
      </c>
      <c r="AF274" t="b">
        <f>AND(IF(metadata!D274="",FALSE,TRUE),EXACT(metadata!D274,"missing: not provided"))</f>
        <v>0</v>
      </c>
      <c r="AG274" t="b">
        <f>AND(IF(metadata!E274="",FALSE,TRUE),EXACT(metadata!E274,"Host-associated"))</f>
        <v>0</v>
      </c>
      <c r="AH274" t="b">
        <f>AND(IF(metadata!F274="",FALSE,TRUE),OR(EXACT(metadata!F274,"Animal"),EXACT(metadata!F274,"Fungus"),EXACT(metadata!F274,"Plant")))</f>
        <v>0</v>
      </c>
      <c r="AI274" t="b">
        <f>AND(IF(metadata!G274="",FALSE,TRUE),OR(EXACT(metadata!G274,"Plant secretion"),EXACT(metadata!G274,"Plant rhizosphere"),EXACT(metadata!G274,"Plant surface"),EXACT(metadata!G274,"Plant corpus"),EXACT(metadata!G274,"Fungus surface"),EXACT(metadata!G274,"Fungus corpus"),EXACT(metadata!G274,"Animal surface"),EXACT(metadata!G274,"Animal proximal gut"),EXACT(metadata!G274,"Animal corpus"),EXACT(metadata!G274,"Animal distal gut"),EXACT(metadata!G274,"Animal secretion")))</f>
        <v>0</v>
      </c>
      <c r="AJ274" t="b">
        <f>OR(AND(IF(metadata!H274="",FALSE,TRUE),OR(EXACT(metadata!H274,"missing: not collected"),EXACT(metadata!H274,"missing: not provided"),EXACT(metadata!H274,"missing: restricted access"))),AND(IF(metadata!H274="",FALSE,TRUE),OR(EXACT(metadata!H274,"organism-associated habitat"),EXACT(metadata!H274,"plant-associated habitat"),EXACT(metadata!H274,"animal-associated habitat"),EXACT(metadata!H274,"insecta-associated habitat"),EXACT(metadata!H274,"mammalia-associated habitat"),EXACT(metadata!H274,"human-associated habitat"),EXACT(metadata!H274,"livestock-associated habitat"))))</f>
        <v>0</v>
      </c>
      <c r="AK274" t="b">
        <f>AND(IF(metadata!I274="",FALSE,TRUE),EXACT(metadata!I274,"host-associated"))</f>
        <v>0</v>
      </c>
      <c r="AL274" t="b">
        <f>OR(AND(IF(metadata!J274="",FALSE,TRUE),OR(EXACT(metadata!J274,"not applicable"),EXACT(metadata!J274,"missing: not collected"),EXACT(metadata!J274,"missing: not provided"),EXACT(metadata!J274,"missing: restricted access"))),AND(IF(metadata!J274="",FALSE,ISNUMBER(VALUE(metadata!J274))),metadata!J274&gt;0))</f>
        <v>0</v>
      </c>
      <c r="AM274" t="b">
        <f>AND(IF(metadata!K274="",FALSE,TRUE),EXACT(metadata!K274,"missing: not provided"))</f>
        <v>0</v>
      </c>
      <c r="AN274" t="b">
        <f>IF(metadata!L274="",FALSE,TRUE)</f>
        <v>0</v>
      </c>
      <c r="AO274" t="b">
        <f>IF(metadata!M274="",FALSE,TRUE)</f>
        <v>0</v>
      </c>
      <c r="AP274" t="b">
        <f>OR(AND(IF(metadata!N274="",FALSE,TRUE),OR(EXACT(metadata!N274,"not applicable"),EXACT(metadata!N274,"missing: not collected"),EXACT(metadata!N274,"missing: not provided"))),AND(IF(metadata!N274="",FALSE,IF(ISERROR(INT(metadata!N274)),FALSE,INT(metadata!N274)=metadata!N274)),metadata!N274&gt;0))</f>
        <v>0</v>
      </c>
      <c r="AQ274" t="b">
        <f>AND(IF(metadata!O274="",FALSE,TRUE),EXACT(metadata!O274,"Not applicable"))</f>
        <v>0</v>
      </c>
      <c r="AR274" t="b">
        <f>OR(AND(IF(metadata!P274="",FALSE,TRUE),OR(EXACT(metadata!P274,"not applicable"),EXACT(metadata!P274,"missing: not collected"),EXACT(metadata!P274,"missing: not provided"),EXACT(metadata!P274,"missing: restricted access"))),IF(metadata!P274="",FALSE,IF(ISERROR(INT(metadata!P274)),FALSE,INT(metadata!P274)=metadata!P274)))</f>
        <v>0</v>
      </c>
      <c r="AS274" t="b">
        <f>AND(IF(metadata!Q274="",FALSE,TRUE),EXACT(metadata!Q274,"Not applicable"))</f>
        <v>0</v>
      </c>
      <c r="AT274" t="b">
        <f>OR(AND(IF(metadata!R274="",FALSE,TRUE),OR(EXACT(metadata!R274,"not applicable"),EXACT(metadata!R274,"missing: not collected"),EXACT(metadata!R274,"missing: not provided"),EXACT(metadata!R274,"missing: restricted access"))),AND(IF(metadata!R274="",FALSE,ISNUMBER(VALUE(metadata!R274))),metadata!R274&gt;0))</f>
        <v>0</v>
      </c>
      <c r="AU274" t="b">
        <f>AND(IF(metadata!S274="",FALSE,TRUE),EXACT(metadata!S274,"missing: not provided"))</f>
        <v>0</v>
      </c>
    </row>
    <row r="275" spans="1:47" x14ac:dyDescent="0.2">
      <c r="A275" s="5" t="str">
        <f ca="1">IF(B275=" "," ",HYPERLINK(CONCATENATE("#metadata!",ADDRESS(INDEX($Y$2:$Y$1001,MATCH(ROWS($W$2:W275),$W$2:$W$1001,0),0),1)),INDEX($AB$2:$AB$1001,MATCH(ROWS($W$2:W275),$W$2:$W$1001,0),0)))</f>
        <v xml:space="preserve"> </v>
      </c>
      <c r="B275" s="4" t="str">
        <f ca="1">IF(OR(INDEX($X$2:$X$1001,MATCH(ROWS($W$2:W275),$W$2:$W$1001,0),1)&gt;=100000,INDEX($AD$1005:$AU$1005,1,MATCH(COLUMNS($AD$1006:AD1006),$AD$1006:$AU$1006,0))&gt;=100000), " ",IF(INDEX($AD$2:$AU$1001,MATCH(ROWS($W$2:W275),$W$2:$W$1001,0),MATCH(COLUMNS($AD$1006:AD1006),$AD$1006:$AU$1006,0)), HYPERLINK("#",""), HYPERLINK(CONCATENATE("#metadata!", ADDRESS(INDEX($Y$2:$Y$1001,MATCH(ROWS($W$2:W275),$W$2:$W$1001,0),0), INDEX($AD$1004:$AU$1004,1,MATCH(COLUMNS($AD$1006:AD1006),$AD$1006:$AU$1006,0)))),"Fix")))</f>
        <v xml:space="preserve"> </v>
      </c>
      <c r="C275" s="4" t="str">
        <f ca="1">IF(OR(INDEX($X$2:$X$1001,MATCH(ROWS($W$2:W275),$W$2:$W$1001,0),1)&gt;=100000,INDEX($AD$1005:$AU$1005,1,MATCH(COLUMNS($AD$1006:AE1006),$AD$1006:$AU$1006,0))&gt;=100000), " ",IF(INDEX($AD$2:$AU$1001,MATCH(ROWS($W$2:W275),$W$2:$W$1001,0),MATCH(COLUMNS($AD$1006:AE1006),$AD$1006:$AU$1006,0)), HYPERLINK("#",""), HYPERLINK(CONCATENATE("#metadata!", ADDRESS(INDEX($Y$2:$Y$1001,MATCH(ROWS($W$2:W275),$W$2:$W$1001,0),0), INDEX($AD$1004:$AU$1004,1,MATCH(COLUMNS($AD$1006:AE1006),$AD$1006:$AU$1006,0)))),"Fix")))</f>
        <v xml:space="preserve"> </v>
      </c>
      <c r="D275" s="4" t="str">
        <f ca="1">IF(OR(INDEX($X$2:$X$1001,MATCH(ROWS($W$2:W275),$W$2:$W$1001,0),1)&gt;=100000,INDEX($AD$1005:$AU$1005,1,MATCH(COLUMNS($AD$1006:AF1006),$AD$1006:$AU$1006,0))&gt;=100000), " ",IF(INDEX($AD$2:$AU$1001,MATCH(ROWS($W$2:W275),$W$2:$W$1001,0),MATCH(COLUMNS($AD$1006:AF1006),$AD$1006:$AU$1006,0)), HYPERLINK("#",""), HYPERLINK(CONCATENATE("#metadata!", ADDRESS(INDEX($Y$2:$Y$1001,MATCH(ROWS($W$2:W275),$W$2:$W$1001,0),0), INDEX($AD$1004:$AU$1004,1,MATCH(COLUMNS($AD$1006:AF1006),$AD$1006:$AU$1006,0)))),"Fix")))</f>
        <v xml:space="preserve"> </v>
      </c>
      <c r="E275" s="4" t="str">
        <f ca="1">IF(OR(INDEX($X$2:$X$1001,MATCH(ROWS($W$2:W275),$W$2:$W$1001,0),1)&gt;=100000,INDEX($AD$1005:$AU$1005,1,MATCH(COLUMNS($AD$1006:AG1006),$AD$1006:$AU$1006,0))&gt;=100000), " ",IF(INDEX($AD$2:$AU$1001,MATCH(ROWS($W$2:W275),$W$2:$W$1001,0),MATCH(COLUMNS($AD$1006:AG1006),$AD$1006:$AU$1006,0)), HYPERLINK("#",""), HYPERLINK(CONCATENATE("#metadata!", ADDRESS(INDEX($Y$2:$Y$1001,MATCH(ROWS($W$2:W275),$W$2:$W$1001,0),0), INDEX($AD$1004:$AU$1004,1,MATCH(COLUMNS($AD$1006:AG1006),$AD$1006:$AU$1006,0)))),"Fix")))</f>
        <v xml:space="preserve"> </v>
      </c>
      <c r="F275" s="4" t="str">
        <f ca="1">IF(OR(INDEX($X$2:$X$1001,MATCH(ROWS($W$2:W275),$W$2:$W$1001,0),1)&gt;=100000,INDEX($AD$1005:$AU$1005,1,MATCH(COLUMNS($AD$1006:AH1006),$AD$1006:$AU$1006,0))&gt;=100000), " ",IF(INDEX($AD$2:$AU$1001,MATCH(ROWS($W$2:W275),$W$2:$W$1001,0),MATCH(COLUMNS($AD$1006:AH1006),$AD$1006:$AU$1006,0)), HYPERLINK("#",""), HYPERLINK(CONCATENATE("#metadata!", ADDRESS(INDEX($Y$2:$Y$1001,MATCH(ROWS($W$2:W275),$W$2:$W$1001,0),0), INDEX($AD$1004:$AU$1004,1,MATCH(COLUMNS($AD$1006:AH1006),$AD$1006:$AU$1006,0)))),"Fix")))</f>
        <v xml:space="preserve"> </v>
      </c>
      <c r="G275" s="4" t="str">
        <f ca="1">IF(OR(INDEX($X$2:$X$1001,MATCH(ROWS($W$2:W275),$W$2:$W$1001,0),1)&gt;=100000,INDEX($AD$1005:$AU$1005,1,MATCH(COLUMNS($AD$1006:AI1006),$AD$1006:$AU$1006,0))&gt;=100000), " ",IF(INDEX($AD$2:$AU$1001,MATCH(ROWS($W$2:W275),$W$2:$W$1001,0),MATCH(COLUMNS($AD$1006:AI1006),$AD$1006:$AU$1006,0)), HYPERLINK("#",""), HYPERLINK(CONCATENATE("#metadata!", ADDRESS(INDEX($Y$2:$Y$1001,MATCH(ROWS($W$2:W275),$W$2:$W$1001,0),0), INDEX($AD$1004:$AU$1004,1,MATCH(COLUMNS($AD$1006:AI1006),$AD$1006:$AU$1006,0)))),"Fix")))</f>
        <v xml:space="preserve"> </v>
      </c>
      <c r="H275" s="4" t="str">
        <f ca="1">IF(OR(INDEX($X$2:$X$1001,MATCH(ROWS($W$2:W275),$W$2:$W$1001,0),1)&gt;=100000,INDEX($AD$1005:$AU$1005,1,MATCH(COLUMNS($AD$1006:AJ1006),$AD$1006:$AU$1006,0))&gt;=100000), " ",IF(INDEX($AD$2:$AU$1001,MATCH(ROWS($W$2:W275),$W$2:$W$1001,0),MATCH(COLUMNS($AD$1006:AJ1006),$AD$1006:$AU$1006,0)), HYPERLINK("#",""), HYPERLINK(CONCATENATE("#metadata!", ADDRESS(INDEX($Y$2:$Y$1001,MATCH(ROWS($W$2:W275),$W$2:$W$1001,0),0), INDEX($AD$1004:$AU$1004,1,MATCH(COLUMNS($AD$1006:AJ1006),$AD$1006:$AU$1006,0)))),"Fix")))</f>
        <v xml:space="preserve"> </v>
      </c>
      <c r="I275" s="4" t="str">
        <f ca="1">IF(OR(INDEX($X$2:$X$1001,MATCH(ROWS($W$2:W275),$W$2:$W$1001,0),1)&gt;=100000,INDEX($AD$1005:$AU$1005,1,MATCH(COLUMNS($AD$1006:AK1006),$AD$1006:$AU$1006,0))&gt;=100000), " ",IF(INDEX($AD$2:$AU$1001,MATCH(ROWS($W$2:W275),$W$2:$W$1001,0),MATCH(COLUMNS($AD$1006:AK1006),$AD$1006:$AU$1006,0)), HYPERLINK("#",""), HYPERLINK(CONCATENATE("#metadata!", ADDRESS(INDEX($Y$2:$Y$1001,MATCH(ROWS($W$2:W275),$W$2:$W$1001,0),0), INDEX($AD$1004:$AU$1004,1,MATCH(COLUMNS($AD$1006:AK1006),$AD$1006:$AU$1006,0)))),"Fix")))</f>
        <v xml:space="preserve"> </v>
      </c>
      <c r="J275" s="4" t="str">
        <f ca="1">IF(OR(INDEX($X$2:$X$1001,MATCH(ROWS($W$2:W275),$W$2:$W$1001,0),1)&gt;=100000,INDEX($AD$1005:$AU$1005,1,MATCH(COLUMNS($AD$1006:AL1006),$AD$1006:$AU$1006,0))&gt;=100000), " ",IF(INDEX($AD$2:$AU$1001,MATCH(ROWS($W$2:W275),$W$2:$W$1001,0),MATCH(COLUMNS($AD$1006:AL1006),$AD$1006:$AU$1006,0)), HYPERLINK("#",""), HYPERLINK(CONCATENATE("#metadata!", ADDRESS(INDEX($Y$2:$Y$1001,MATCH(ROWS($W$2:W275),$W$2:$W$1001,0),0), INDEX($AD$1004:$AU$1004,1,MATCH(COLUMNS($AD$1006:AL1006),$AD$1006:$AU$1006,0)))),"Fix")))</f>
        <v xml:space="preserve"> </v>
      </c>
      <c r="K275" s="4" t="str">
        <f ca="1">IF(OR(INDEX($X$2:$X$1001,MATCH(ROWS($W$2:W275),$W$2:$W$1001,0),1)&gt;=100000,INDEX($AD$1005:$AU$1005,1,MATCH(COLUMNS($AD$1006:AM1006),$AD$1006:$AU$1006,0))&gt;=100000), " ",IF(INDEX($AD$2:$AU$1001,MATCH(ROWS($W$2:W275),$W$2:$W$1001,0),MATCH(COLUMNS($AD$1006:AM1006),$AD$1006:$AU$1006,0)), HYPERLINK("#",""), HYPERLINK(CONCATENATE("#metadata!", ADDRESS(INDEX($Y$2:$Y$1001,MATCH(ROWS($W$2:W275),$W$2:$W$1001,0),0), INDEX($AD$1004:$AU$1004,1,MATCH(COLUMNS($AD$1006:AM1006),$AD$1006:$AU$1006,0)))),"Fix")))</f>
        <v xml:space="preserve"> </v>
      </c>
      <c r="L275" s="4" t="str">
        <f ca="1">IF(OR(INDEX($X$2:$X$1001,MATCH(ROWS($W$2:W275),$W$2:$W$1001,0),1)&gt;=100000,INDEX($AD$1005:$AU$1005,1,MATCH(COLUMNS($AD$1006:AN1006),$AD$1006:$AU$1006,0))&gt;=100000), " ",IF(INDEX($AD$2:$AU$1001,MATCH(ROWS($W$2:W275),$W$2:$W$1001,0),MATCH(COLUMNS($AD$1006:AN1006),$AD$1006:$AU$1006,0)), HYPERLINK("#",""), HYPERLINK(CONCATENATE("#metadata!", ADDRESS(INDEX($Y$2:$Y$1001,MATCH(ROWS($W$2:W275),$W$2:$W$1001,0),0), INDEX($AD$1004:$AU$1004,1,MATCH(COLUMNS($AD$1006:AN1006),$AD$1006:$AU$1006,0)))),"Fix")))</f>
        <v xml:space="preserve"> </v>
      </c>
      <c r="M275" s="4" t="str">
        <f ca="1">IF(OR(INDEX($X$2:$X$1001,MATCH(ROWS($W$2:W275),$W$2:$W$1001,0),1)&gt;=100000,INDEX($AD$1005:$AU$1005,1,MATCH(COLUMNS($AD$1006:AO1006),$AD$1006:$AU$1006,0))&gt;=100000), " ",IF(INDEX($AD$2:$AU$1001,MATCH(ROWS($W$2:W275),$W$2:$W$1001,0),MATCH(COLUMNS($AD$1006:AO1006),$AD$1006:$AU$1006,0)), HYPERLINK("#",""), HYPERLINK(CONCATENATE("#metadata!", ADDRESS(INDEX($Y$2:$Y$1001,MATCH(ROWS($W$2:W275),$W$2:$W$1001,0),0), INDEX($AD$1004:$AU$1004,1,MATCH(COLUMNS($AD$1006:AO1006),$AD$1006:$AU$1006,0)))),"Fix")))</f>
        <v xml:space="preserve"> </v>
      </c>
      <c r="N275" s="4" t="str">
        <f ca="1">IF(OR(INDEX($X$2:$X$1001,MATCH(ROWS($W$2:W275),$W$2:$W$1001,0),1)&gt;=100000,INDEX($AD$1005:$AU$1005,1,MATCH(COLUMNS($AD$1006:AP1006),$AD$1006:$AU$1006,0))&gt;=100000), " ",IF(INDEX($AD$2:$AU$1001,MATCH(ROWS($W$2:W275),$W$2:$W$1001,0),MATCH(COLUMNS($AD$1006:AP1006),$AD$1006:$AU$1006,0)), HYPERLINK("#",""), HYPERLINK(CONCATENATE("#metadata!", ADDRESS(INDEX($Y$2:$Y$1001,MATCH(ROWS($W$2:W275),$W$2:$W$1001,0),0), INDEX($AD$1004:$AU$1004,1,MATCH(COLUMNS($AD$1006:AP1006),$AD$1006:$AU$1006,0)))),"Fix")))</f>
        <v xml:space="preserve"> </v>
      </c>
      <c r="O275" s="4" t="str">
        <f ca="1">IF(OR(INDEX($X$2:$X$1001,MATCH(ROWS($W$2:W275),$W$2:$W$1001,0),1)&gt;=100000,INDEX($AD$1005:$AU$1005,1,MATCH(COLUMNS($AD$1006:AQ1006),$AD$1006:$AU$1006,0))&gt;=100000), " ",IF(INDEX($AD$2:$AU$1001,MATCH(ROWS($W$2:W275),$W$2:$W$1001,0),MATCH(COLUMNS($AD$1006:AQ1006),$AD$1006:$AU$1006,0)), HYPERLINK("#",""), HYPERLINK(CONCATENATE("#metadata!", ADDRESS(INDEX($Y$2:$Y$1001,MATCH(ROWS($W$2:W275),$W$2:$W$1001,0),0), INDEX($AD$1004:$AU$1004,1,MATCH(COLUMNS($AD$1006:AQ1006),$AD$1006:$AU$1006,0)))),"Fix")))</f>
        <v xml:space="preserve"> </v>
      </c>
      <c r="P275" s="4" t="str">
        <f ca="1">IF(OR(INDEX($X$2:$X$1001,MATCH(ROWS($W$2:W275),$W$2:$W$1001,0),1)&gt;=100000,INDEX($AD$1005:$AU$1005,1,MATCH(COLUMNS($AD$1006:AR1006),$AD$1006:$AU$1006,0))&gt;=100000), " ",IF(INDEX($AD$2:$AU$1001,MATCH(ROWS($W$2:W275),$W$2:$W$1001,0),MATCH(COLUMNS($AD$1006:AR1006),$AD$1006:$AU$1006,0)), HYPERLINK("#",""), HYPERLINK(CONCATENATE("#metadata!", ADDRESS(INDEX($Y$2:$Y$1001,MATCH(ROWS($W$2:W275),$W$2:$W$1001,0),0), INDEX($AD$1004:$AU$1004,1,MATCH(COLUMNS($AD$1006:AR1006),$AD$1006:$AU$1006,0)))),"Fix")))</f>
        <v xml:space="preserve"> </v>
      </c>
      <c r="Q275" s="4" t="str">
        <f ca="1">IF(OR(INDEX($X$2:$X$1001,MATCH(ROWS($W$2:W275),$W$2:$W$1001,0),1)&gt;=100000,INDEX($AD$1005:$AU$1005,1,MATCH(COLUMNS($AD$1006:AS1006),$AD$1006:$AU$1006,0))&gt;=100000), " ",IF(INDEX($AD$2:$AU$1001,MATCH(ROWS($W$2:W275),$W$2:$W$1001,0),MATCH(COLUMNS($AD$1006:AS1006),$AD$1006:$AU$1006,0)), HYPERLINK("#",""), HYPERLINK(CONCATENATE("#metadata!", ADDRESS(INDEX($Y$2:$Y$1001,MATCH(ROWS($W$2:W275),$W$2:$W$1001,0),0), INDEX($AD$1004:$AU$1004,1,MATCH(COLUMNS($AD$1006:AS1006),$AD$1006:$AU$1006,0)))),"Fix")))</f>
        <v xml:space="preserve"> </v>
      </c>
      <c r="R275" s="4" t="str">
        <f ca="1">IF(OR(INDEX($X$2:$X$1001,MATCH(ROWS($W$2:W275),$W$2:$W$1001,0),1)&gt;=100000,INDEX($AD$1005:$AU$1005,1,MATCH(COLUMNS($AD$1006:AT1006),$AD$1006:$AU$1006,0))&gt;=100000), " ",IF(INDEX($AD$2:$AU$1001,MATCH(ROWS($W$2:W275),$W$2:$W$1001,0),MATCH(COLUMNS($AD$1006:AT1006),$AD$1006:$AU$1006,0)), HYPERLINK("#",""), HYPERLINK(CONCATENATE("#metadata!", ADDRESS(INDEX($Y$2:$Y$1001,MATCH(ROWS($W$2:W275),$W$2:$W$1001,0),0), INDEX($AD$1004:$AU$1004,1,MATCH(COLUMNS($AD$1006:AT1006),$AD$1006:$AU$1006,0)))),"Fix")))</f>
        <v xml:space="preserve"> </v>
      </c>
      <c r="S275" s="4" t="str">
        <f ca="1">IF(OR(INDEX($X$2:$X$1001,MATCH(ROWS($W$2:W275),$W$2:$W$1001,0),1)&gt;=100000,INDEX($AD$1005:$AU$1005,1,MATCH(COLUMNS($AD$1006:AU1006),$AD$1006:$AU$1006,0))&gt;=100000), " ",IF(INDEX($AD$2:$AU$1001,MATCH(ROWS($W$2:W275),$W$2:$W$1001,0),MATCH(COLUMNS($AD$1006:AU1006),$AD$1006:$AU$1006,0)), HYPERLINK("#",""), HYPERLINK(CONCATENATE("#metadata!", ADDRESS(INDEX($Y$2:$Y$1001,MATCH(ROWS($W$2:W275),$W$2:$W$1001,0),0), INDEX($AD$1004:$AU$1004,1,MATCH(COLUMNS($AD$1006:AU1006),$AD$1006:$AU$1006,0)))),"Fix")))</f>
        <v xml:space="preserve"> </v>
      </c>
      <c r="W275">
        <v>274</v>
      </c>
      <c r="X275">
        <v>100275</v>
      </c>
      <c r="Y275">
        <v>275</v>
      </c>
      <c r="Z275" t="b">
        <f t="shared" si="4"/>
        <v>1</v>
      </c>
      <c r="AA275" t="b">
        <f>COUNTBLANK(metadata!B275:S275)=COLUMNS(metadata!B275:S275)</f>
        <v>1</v>
      </c>
      <c r="AB275" t="str">
        <v/>
      </c>
      <c r="AD275" t="b">
        <f ca="1">AND(IF(metadata!B275="",FALSE,TRUE),COUNTIF(metadata!B:B, metadata!B275) = 1,NOT(ISERROR(SUMPRODUCT(SEARCH(MID(metadata!B275,ROW(INDIRECT("1:"&amp;LEN(metadata!B275))), 1),"0123456789abcdefghijklmnopqrstuvwxyzABCDEFGHIJKLMNOPQRSTUVWXYZ.")))))</f>
        <v>0</v>
      </c>
      <c r="AE275" t="b">
        <f>OR(AND(IF(metadata!C275="",FALSE,TRUE),OR(EXACT(metadata!C275,"not applicable"),EXACT(metadata!C275,"missing: not collected"),EXACT(metadata!C275,"missing: not provided"),EXACT(metadata!C275,"missing: restricted access"))),AND(IF(metadata!C275="",FALSE,ISNUMBER(VALUE(metadata!C275))),metadata!C275&gt;0))</f>
        <v>0</v>
      </c>
      <c r="AF275" t="b">
        <f>AND(IF(metadata!D275="",FALSE,TRUE),EXACT(metadata!D275,"missing: not provided"))</f>
        <v>0</v>
      </c>
      <c r="AG275" t="b">
        <f>AND(IF(metadata!E275="",FALSE,TRUE),EXACT(metadata!E275,"Host-associated"))</f>
        <v>0</v>
      </c>
      <c r="AH275" t="b">
        <f>AND(IF(metadata!F275="",FALSE,TRUE),OR(EXACT(metadata!F275,"Animal"),EXACT(metadata!F275,"Fungus"),EXACT(metadata!F275,"Plant")))</f>
        <v>0</v>
      </c>
      <c r="AI275" t="b">
        <f>AND(IF(metadata!G275="",FALSE,TRUE),OR(EXACT(metadata!G275,"Plant secretion"),EXACT(metadata!G275,"Plant rhizosphere"),EXACT(metadata!G275,"Plant surface"),EXACT(metadata!G275,"Plant corpus"),EXACT(metadata!G275,"Fungus surface"),EXACT(metadata!G275,"Fungus corpus"),EXACT(metadata!G275,"Animal surface"),EXACT(metadata!G275,"Animal proximal gut"),EXACT(metadata!G275,"Animal corpus"),EXACT(metadata!G275,"Animal distal gut"),EXACT(metadata!G275,"Animal secretion")))</f>
        <v>0</v>
      </c>
      <c r="AJ275" t="b">
        <f>OR(AND(IF(metadata!H275="",FALSE,TRUE),OR(EXACT(metadata!H275,"missing: not collected"),EXACT(metadata!H275,"missing: not provided"),EXACT(metadata!H275,"missing: restricted access"))),AND(IF(metadata!H275="",FALSE,TRUE),OR(EXACT(metadata!H275,"organism-associated habitat"),EXACT(metadata!H275,"plant-associated habitat"),EXACT(metadata!H275,"animal-associated habitat"),EXACT(metadata!H275,"insecta-associated habitat"),EXACT(metadata!H275,"mammalia-associated habitat"),EXACT(metadata!H275,"human-associated habitat"),EXACT(metadata!H275,"livestock-associated habitat"))))</f>
        <v>0</v>
      </c>
      <c r="AK275" t="b">
        <f>AND(IF(metadata!I275="",FALSE,TRUE),EXACT(metadata!I275,"host-associated"))</f>
        <v>0</v>
      </c>
      <c r="AL275" t="b">
        <f>OR(AND(IF(metadata!J275="",FALSE,TRUE),OR(EXACT(metadata!J275,"not applicable"),EXACT(metadata!J275,"missing: not collected"),EXACT(metadata!J275,"missing: not provided"),EXACT(metadata!J275,"missing: restricted access"))),AND(IF(metadata!J275="",FALSE,ISNUMBER(VALUE(metadata!J275))),metadata!J275&gt;0))</f>
        <v>0</v>
      </c>
      <c r="AM275" t="b">
        <f>AND(IF(metadata!K275="",FALSE,TRUE),EXACT(metadata!K275,"missing: not provided"))</f>
        <v>0</v>
      </c>
      <c r="AN275" t="b">
        <f>IF(metadata!L275="",FALSE,TRUE)</f>
        <v>0</v>
      </c>
      <c r="AO275" t="b">
        <f>IF(metadata!M275="",FALSE,TRUE)</f>
        <v>0</v>
      </c>
      <c r="AP275" t="b">
        <f>OR(AND(IF(metadata!N275="",FALSE,TRUE),OR(EXACT(metadata!N275,"not applicable"),EXACT(metadata!N275,"missing: not collected"),EXACT(metadata!N275,"missing: not provided"))),AND(IF(metadata!N275="",FALSE,IF(ISERROR(INT(metadata!N275)),FALSE,INT(metadata!N275)=metadata!N275)),metadata!N275&gt;0))</f>
        <v>0</v>
      </c>
      <c r="AQ275" t="b">
        <f>AND(IF(metadata!O275="",FALSE,TRUE),EXACT(metadata!O275,"Not applicable"))</f>
        <v>0</v>
      </c>
      <c r="AR275" t="b">
        <f>OR(AND(IF(metadata!P275="",FALSE,TRUE),OR(EXACT(metadata!P275,"not applicable"),EXACT(metadata!P275,"missing: not collected"),EXACT(metadata!P275,"missing: not provided"),EXACT(metadata!P275,"missing: restricted access"))),IF(metadata!P275="",FALSE,IF(ISERROR(INT(metadata!P275)),FALSE,INT(metadata!P275)=metadata!P275)))</f>
        <v>0</v>
      </c>
      <c r="AS275" t="b">
        <f>AND(IF(metadata!Q275="",FALSE,TRUE),EXACT(metadata!Q275,"Not applicable"))</f>
        <v>0</v>
      </c>
      <c r="AT275" t="b">
        <f>OR(AND(IF(metadata!R275="",FALSE,TRUE),OR(EXACT(metadata!R275,"not applicable"),EXACT(metadata!R275,"missing: not collected"),EXACT(metadata!R275,"missing: not provided"),EXACT(metadata!R275,"missing: restricted access"))),AND(IF(metadata!R275="",FALSE,ISNUMBER(VALUE(metadata!R275))),metadata!R275&gt;0))</f>
        <v>0</v>
      </c>
      <c r="AU275" t="b">
        <f>AND(IF(metadata!S275="",FALSE,TRUE),EXACT(metadata!S275,"missing: not provided"))</f>
        <v>0</v>
      </c>
    </row>
    <row r="276" spans="1:47" x14ac:dyDescent="0.2">
      <c r="A276" s="5" t="str">
        <f ca="1">IF(B276=" "," ",HYPERLINK(CONCATENATE("#metadata!",ADDRESS(INDEX($Y$2:$Y$1001,MATCH(ROWS($W$2:W276),$W$2:$W$1001,0),0),1)),INDEX($AB$2:$AB$1001,MATCH(ROWS($W$2:W276),$W$2:$W$1001,0),0)))</f>
        <v xml:space="preserve"> </v>
      </c>
      <c r="B276" s="4" t="str">
        <f ca="1">IF(OR(INDEX($X$2:$X$1001,MATCH(ROWS($W$2:W276),$W$2:$W$1001,0),1)&gt;=100000,INDEX($AD$1005:$AU$1005,1,MATCH(COLUMNS($AD$1006:AD1006),$AD$1006:$AU$1006,0))&gt;=100000), " ",IF(INDEX($AD$2:$AU$1001,MATCH(ROWS($W$2:W276),$W$2:$W$1001,0),MATCH(COLUMNS($AD$1006:AD1006),$AD$1006:$AU$1006,0)), HYPERLINK("#",""), HYPERLINK(CONCATENATE("#metadata!", ADDRESS(INDEX($Y$2:$Y$1001,MATCH(ROWS($W$2:W276),$W$2:$W$1001,0),0), INDEX($AD$1004:$AU$1004,1,MATCH(COLUMNS($AD$1006:AD1006),$AD$1006:$AU$1006,0)))),"Fix")))</f>
        <v xml:space="preserve"> </v>
      </c>
      <c r="C276" s="4" t="str">
        <f ca="1">IF(OR(INDEX($X$2:$X$1001,MATCH(ROWS($W$2:W276),$W$2:$W$1001,0),1)&gt;=100000,INDEX($AD$1005:$AU$1005,1,MATCH(COLUMNS($AD$1006:AE1006),$AD$1006:$AU$1006,0))&gt;=100000), " ",IF(INDEX($AD$2:$AU$1001,MATCH(ROWS($W$2:W276),$W$2:$W$1001,0),MATCH(COLUMNS($AD$1006:AE1006),$AD$1006:$AU$1006,0)), HYPERLINK("#",""), HYPERLINK(CONCATENATE("#metadata!", ADDRESS(INDEX($Y$2:$Y$1001,MATCH(ROWS($W$2:W276),$W$2:$W$1001,0),0), INDEX($AD$1004:$AU$1004,1,MATCH(COLUMNS($AD$1006:AE1006),$AD$1006:$AU$1006,0)))),"Fix")))</f>
        <v xml:space="preserve"> </v>
      </c>
      <c r="D276" s="4" t="str">
        <f ca="1">IF(OR(INDEX($X$2:$X$1001,MATCH(ROWS($W$2:W276),$W$2:$W$1001,0),1)&gt;=100000,INDEX($AD$1005:$AU$1005,1,MATCH(COLUMNS($AD$1006:AF1006),$AD$1006:$AU$1006,0))&gt;=100000), " ",IF(INDEX($AD$2:$AU$1001,MATCH(ROWS($W$2:W276),$W$2:$W$1001,0),MATCH(COLUMNS($AD$1006:AF1006),$AD$1006:$AU$1006,0)), HYPERLINK("#",""), HYPERLINK(CONCATENATE("#metadata!", ADDRESS(INDEX($Y$2:$Y$1001,MATCH(ROWS($W$2:W276),$W$2:$W$1001,0),0), INDEX($AD$1004:$AU$1004,1,MATCH(COLUMNS($AD$1006:AF1006),$AD$1006:$AU$1006,0)))),"Fix")))</f>
        <v xml:space="preserve"> </v>
      </c>
      <c r="E276" s="4" t="str">
        <f ca="1">IF(OR(INDEX($X$2:$X$1001,MATCH(ROWS($W$2:W276),$W$2:$W$1001,0),1)&gt;=100000,INDEX($AD$1005:$AU$1005,1,MATCH(COLUMNS($AD$1006:AG1006),$AD$1006:$AU$1006,0))&gt;=100000), " ",IF(INDEX($AD$2:$AU$1001,MATCH(ROWS($W$2:W276),$W$2:$W$1001,0),MATCH(COLUMNS($AD$1006:AG1006),$AD$1006:$AU$1006,0)), HYPERLINK("#",""), HYPERLINK(CONCATENATE("#metadata!", ADDRESS(INDEX($Y$2:$Y$1001,MATCH(ROWS($W$2:W276),$W$2:$W$1001,0),0), INDEX($AD$1004:$AU$1004,1,MATCH(COLUMNS($AD$1006:AG1006),$AD$1006:$AU$1006,0)))),"Fix")))</f>
        <v xml:space="preserve"> </v>
      </c>
      <c r="F276" s="4" t="str">
        <f ca="1">IF(OR(INDEX($X$2:$X$1001,MATCH(ROWS($W$2:W276),$W$2:$W$1001,0),1)&gt;=100000,INDEX($AD$1005:$AU$1005,1,MATCH(COLUMNS($AD$1006:AH1006),$AD$1006:$AU$1006,0))&gt;=100000), " ",IF(INDEX($AD$2:$AU$1001,MATCH(ROWS($W$2:W276),$W$2:$W$1001,0),MATCH(COLUMNS($AD$1006:AH1006),$AD$1006:$AU$1006,0)), HYPERLINK("#",""), HYPERLINK(CONCATENATE("#metadata!", ADDRESS(INDEX($Y$2:$Y$1001,MATCH(ROWS($W$2:W276),$W$2:$W$1001,0),0), INDEX($AD$1004:$AU$1004,1,MATCH(COLUMNS($AD$1006:AH1006),$AD$1006:$AU$1006,0)))),"Fix")))</f>
        <v xml:space="preserve"> </v>
      </c>
      <c r="G276" s="4" t="str">
        <f ca="1">IF(OR(INDEX($X$2:$X$1001,MATCH(ROWS($W$2:W276),$W$2:$W$1001,0),1)&gt;=100000,INDEX($AD$1005:$AU$1005,1,MATCH(COLUMNS($AD$1006:AI1006),$AD$1006:$AU$1006,0))&gt;=100000), " ",IF(INDEX($AD$2:$AU$1001,MATCH(ROWS($W$2:W276),$W$2:$W$1001,0),MATCH(COLUMNS($AD$1006:AI1006),$AD$1006:$AU$1006,0)), HYPERLINK("#",""), HYPERLINK(CONCATENATE("#metadata!", ADDRESS(INDEX($Y$2:$Y$1001,MATCH(ROWS($W$2:W276),$W$2:$W$1001,0),0), INDEX($AD$1004:$AU$1004,1,MATCH(COLUMNS($AD$1006:AI1006),$AD$1006:$AU$1006,0)))),"Fix")))</f>
        <v xml:space="preserve"> </v>
      </c>
      <c r="H276" s="4" t="str">
        <f ca="1">IF(OR(INDEX($X$2:$X$1001,MATCH(ROWS($W$2:W276),$W$2:$W$1001,0),1)&gt;=100000,INDEX($AD$1005:$AU$1005,1,MATCH(COLUMNS($AD$1006:AJ1006),$AD$1006:$AU$1006,0))&gt;=100000), " ",IF(INDEX($AD$2:$AU$1001,MATCH(ROWS($W$2:W276),$W$2:$W$1001,0),MATCH(COLUMNS($AD$1006:AJ1006),$AD$1006:$AU$1006,0)), HYPERLINK("#",""), HYPERLINK(CONCATENATE("#metadata!", ADDRESS(INDEX($Y$2:$Y$1001,MATCH(ROWS($W$2:W276),$W$2:$W$1001,0),0), INDEX($AD$1004:$AU$1004,1,MATCH(COLUMNS($AD$1006:AJ1006),$AD$1006:$AU$1006,0)))),"Fix")))</f>
        <v xml:space="preserve"> </v>
      </c>
      <c r="I276" s="4" t="str">
        <f ca="1">IF(OR(INDEX($X$2:$X$1001,MATCH(ROWS($W$2:W276),$W$2:$W$1001,0),1)&gt;=100000,INDEX($AD$1005:$AU$1005,1,MATCH(COLUMNS($AD$1006:AK1006),$AD$1006:$AU$1006,0))&gt;=100000), " ",IF(INDEX($AD$2:$AU$1001,MATCH(ROWS($W$2:W276),$W$2:$W$1001,0),MATCH(COLUMNS($AD$1006:AK1006),$AD$1006:$AU$1006,0)), HYPERLINK("#",""), HYPERLINK(CONCATENATE("#metadata!", ADDRESS(INDEX($Y$2:$Y$1001,MATCH(ROWS($W$2:W276),$W$2:$W$1001,0),0), INDEX($AD$1004:$AU$1004,1,MATCH(COLUMNS($AD$1006:AK1006),$AD$1006:$AU$1006,0)))),"Fix")))</f>
        <v xml:space="preserve"> </v>
      </c>
      <c r="J276" s="4" t="str">
        <f ca="1">IF(OR(INDEX($X$2:$X$1001,MATCH(ROWS($W$2:W276),$W$2:$W$1001,0),1)&gt;=100000,INDEX($AD$1005:$AU$1005,1,MATCH(COLUMNS($AD$1006:AL1006),$AD$1006:$AU$1006,0))&gt;=100000), " ",IF(INDEX($AD$2:$AU$1001,MATCH(ROWS($W$2:W276),$W$2:$W$1001,0),MATCH(COLUMNS($AD$1006:AL1006),$AD$1006:$AU$1006,0)), HYPERLINK("#",""), HYPERLINK(CONCATENATE("#metadata!", ADDRESS(INDEX($Y$2:$Y$1001,MATCH(ROWS($W$2:W276),$W$2:$W$1001,0),0), INDEX($AD$1004:$AU$1004,1,MATCH(COLUMNS($AD$1006:AL1006),$AD$1006:$AU$1006,0)))),"Fix")))</f>
        <v xml:space="preserve"> </v>
      </c>
      <c r="K276" s="4" t="str">
        <f ca="1">IF(OR(INDEX($X$2:$X$1001,MATCH(ROWS($W$2:W276),$W$2:$W$1001,0),1)&gt;=100000,INDEX($AD$1005:$AU$1005,1,MATCH(COLUMNS($AD$1006:AM1006),$AD$1006:$AU$1006,0))&gt;=100000), " ",IF(INDEX($AD$2:$AU$1001,MATCH(ROWS($W$2:W276),$W$2:$W$1001,0),MATCH(COLUMNS($AD$1006:AM1006),$AD$1006:$AU$1006,0)), HYPERLINK("#",""), HYPERLINK(CONCATENATE("#metadata!", ADDRESS(INDEX($Y$2:$Y$1001,MATCH(ROWS($W$2:W276),$W$2:$W$1001,0),0), INDEX($AD$1004:$AU$1004,1,MATCH(COLUMNS($AD$1006:AM1006),$AD$1006:$AU$1006,0)))),"Fix")))</f>
        <v xml:space="preserve"> </v>
      </c>
      <c r="L276" s="4" t="str">
        <f ca="1">IF(OR(INDEX($X$2:$X$1001,MATCH(ROWS($W$2:W276),$W$2:$W$1001,0),1)&gt;=100000,INDEX($AD$1005:$AU$1005,1,MATCH(COLUMNS($AD$1006:AN1006),$AD$1006:$AU$1006,0))&gt;=100000), " ",IF(INDEX($AD$2:$AU$1001,MATCH(ROWS($W$2:W276),$W$2:$W$1001,0),MATCH(COLUMNS($AD$1006:AN1006),$AD$1006:$AU$1006,0)), HYPERLINK("#",""), HYPERLINK(CONCATENATE("#metadata!", ADDRESS(INDEX($Y$2:$Y$1001,MATCH(ROWS($W$2:W276),$W$2:$W$1001,0),0), INDEX($AD$1004:$AU$1004,1,MATCH(COLUMNS($AD$1006:AN1006),$AD$1006:$AU$1006,0)))),"Fix")))</f>
        <v xml:space="preserve"> </v>
      </c>
      <c r="M276" s="4" t="str">
        <f ca="1">IF(OR(INDEX($X$2:$X$1001,MATCH(ROWS($W$2:W276),$W$2:$W$1001,0),1)&gt;=100000,INDEX($AD$1005:$AU$1005,1,MATCH(COLUMNS($AD$1006:AO1006),$AD$1006:$AU$1006,0))&gt;=100000), " ",IF(INDEX($AD$2:$AU$1001,MATCH(ROWS($W$2:W276),$W$2:$W$1001,0),MATCH(COLUMNS($AD$1006:AO1006),$AD$1006:$AU$1006,0)), HYPERLINK("#",""), HYPERLINK(CONCATENATE("#metadata!", ADDRESS(INDEX($Y$2:$Y$1001,MATCH(ROWS($W$2:W276),$W$2:$W$1001,0),0), INDEX($AD$1004:$AU$1004,1,MATCH(COLUMNS($AD$1006:AO1006),$AD$1006:$AU$1006,0)))),"Fix")))</f>
        <v xml:space="preserve"> </v>
      </c>
      <c r="N276" s="4" t="str">
        <f ca="1">IF(OR(INDEX($X$2:$X$1001,MATCH(ROWS($W$2:W276),$W$2:$W$1001,0),1)&gt;=100000,INDEX($AD$1005:$AU$1005,1,MATCH(COLUMNS($AD$1006:AP1006),$AD$1006:$AU$1006,0))&gt;=100000), " ",IF(INDEX($AD$2:$AU$1001,MATCH(ROWS($W$2:W276),$W$2:$W$1001,0),MATCH(COLUMNS($AD$1006:AP1006),$AD$1006:$AU$1006,0)), HYPERLINK("#",""), HYPERLINK(CONCATENATE("#metadata!", ADDRESS(INDEX($Y$2:$Y$1001,MATCH(ROWS($W$2:W276),$W$2:$W$1001,0),0), INDEX($AD$1004:$AU$1004,1,MATCH(COLUMNS($AD$1006:AP1006),$AD$1006:$AU$1006,0)))),"Fix")))</f>
        <v xml:space="preserve"> </v>
      </c>
      <c r="O276" s="4" t="str">
        <f ca="1">IF(OR(INDEX($X$2:$X$1001,MATCH(ROWS($W$2:W276),$W$2:$W$1001,0),1)&gt;=100000,INDEX($AD$1005:$AU$1005,1,MATCH(COLUMNS($AD$1006:AQ1006),$AD$1006:$AU$1006,0))&gt;=100000), " ",IF(INDEX($AD$2:$AU$1001,MATCH(ROWS($W$2:W276),$W$2:$W$1001,0),MATCH(COLUMNS($AD$1006:AQ1006),$AD$1006:$AU$1006,0)), HYPERLINK("#",""), HYPERLINK(CONCATENATE("#metadata!", ADDRESS(INDEX($Y$2:$Y$1001,MATCH(ROWS($W$2:W276),$W$2:$W$1001,0),0), INDEX($AD$1004:$AU$1004,1,MATCH(COLUMNS($AD$1006:AQ1006),$AD$1006:$AU$1006,0)))),"Fix")))</f>
        <v xml:space="preserve"> </v>
      </c>
      <c r="P276" s="4" t="str">
        <f ca="1">IF(OR(INDEX($X$2:$X$1001,MATCH(ROWS($W$2:W276),$W$2:$W$1001,0),1)&gt;=100000,INDEX($AD$1005:$AU$1005,1,MATCH(COLUMNS($AD$1006:AR1006),$AD$1006:$AU$1006,0))&gt;=100000), " ",IF(INDEX($AD$2:$AU$1001,MATCH(ROWS($W$2:W276),$W$2:$W$1001,0),MATCH(COLUMNS($AD$1006:AR1006),$AD$1006:$AU$1006,0)), HYPERLINK("#",""), HYPERLINK(CONCATENATE("#metadata!", ADDRESS(INDEX($Y$2:$Y$1001,MATCH(ROWS($W$2:W276),$W$2:$W$1001,0),0), INDEX($AD$1004:$AU$1004,1,MATCH(COLUMNS($AD$1006:AR1006),$AD$1006:$AU$1006,0)))),"Fix")))</f>
        <v xml:space="preserve"> </v>
      </c>
      <c r="Q276" s="4" t="str">
        <f ca="1">IF(OR(INDEX($X$2:$X$1001,MATCH(ROWS($W$2:W276),$W$2:$W$1001,0),1)&gt;=100000,INDEX($AD$1005:$AU$1005,1,MATCH(COLUMNS($AD$1006:AS1006),$AD$1006:$AU$1006,0))&gt;=100000), " ",IF(INDEX($AD$2:$AU$1001,MATCH(ROWS($W$2:W276),$W$2:$W$1001,0),MATCH(COLUMNS($AD$1006:AS1006),$AD$1006:$AU$1006,0)), HYPERLINK("#",""), HYPERLINK(CONCATENATE("#metadata!", ADDRESS(INDEX($Y$2:$Y$1001,MATCH(ROWS($W$2:W276),$W$2:$W$1001,0),0), INDEX($AD$1004:$AU$1004,1,MATCH(COLUMNS($AD$1006:AS1006),$AD$1006:$AU$1006,0)))),"Fix")))</f>
        <v xml:space="preserve"> </v>
      </c>
      <c r="R276" s="4" t="str">
        <f ca="1">IF(OR(INDEX($X$2:$X$1001,MATCH(ROWS($W$2:W276),$W$2:$W$1001,0),1)&gt;=100000,INDEX($AD$1005:$AU$1005,1,MATCH(COLUMNS($AD$1006:AT1006),$AD$1006:$AU$1006,0))&gt;=100000), " ",IF(INDEX($AD$2:$AU$1001,MATCH(ROWS($W$2:W276),$W$2:$W$1001,0),MATCH(COLUMNS($AD$1006:AT1006),$AD$1006:$AU$1006,0)), HYPERLINK("#",""), HYPERLINK(CONCATENATE("#metadata!", ADDRESS(INDEX($Y$2:$Y$1001,MATCH(ROWS($W$2:W276),$W$2:$W$1001,0),0), INDEX($AD$1004:$AU$1004,1,MATCH(COLUMNS($AD$1006:AT1006),$AD$1006:$AU$1006,0)))),"Fix")))</f>
        <v xml:space="preserve"> </v>
      </c>
      <c r="S276" s="4" t="str">
        <f ca="1">IF(OR(INDEX($X$2:$X$1001,MATCH(ROWS($W$2:W276),$W$2:$W$1001,0),1)&gt;=100000,INDEX($AD$1005:$AU$1005,1,MATCH(COLUMNS($AD$1006:AU1006),$AD$1006:$AU$1006,0))&gt;=100000), " ",IF(INDEX($AD$2:$AU$1001,MATCH(ROWS($W$2:W276),$W$2:$W$1001,0),MATCH(COLUMNS($AD$1006:AU1006),$AD$1006:$AU$1006,0)), HYPERLINK("#",""), HYPERLINK(CONCATENATE("#metadata!", ADDRESS(INDEX($Y$2:$Y$1001,MATCH(ROWS($W$2:W276),$W$2:$W$1001,0),0), INDEX($AD$1004:$AU$1004,1,MATCH(COLUMNS($AD$1006:AU1006),$AD$1006:$AU$1006,0)))),"Fix")))</f>
        <v xml:space="preserve"> </v>
      </c>
      <c r="W276">
        <v>275</v>
      </c>
      <c r="X276">
        <v>100276</v>
      </c>
      <c r="Y276">
        <v>276</v>
      </c>
      <c r="Z276" t="b">
        <f t="shared" si="4"/>
        <v>1</v>
      </c>
      <c r="AA276" t="b">
        <f>COUNTBLANK(metadata!B276:S276)=COLUMNS(metadata!B276:S276)</f>
        <v>1</v>
      </c>
      <c r="AB276" t="str">
        <v/>
      </c>
      <c r="AD276" t="b">
        <f ca="1">AND(IF(metadata!B276="",FALSE,TRUE),COUNTIF(metadata!B:B, metadata!B276) = 1,NOT(ISERROR(SUMPRODUCT(SEARCH(MID(metadata!B276,ROW(INDIRECT("1:"&amp;LEN(metadata!B276))), 1),"0123456789abcdefghijklmnopqrstuvwxyzABCDEFGHIJKLMNOPQRSTUVWXYZ.")))))</f>
        <v>0</v>
      </c>
      <c r="AE276" t="b">
        <f>OR(AND(IF(metadata!C276="",FALSE,TRUE),OR(EXACT(metadata!C276,"not applicable"),EXACT(metadata!C276,"missing: not collected"),EXACT(metadata!C276,"missing: not provided"),EXACT(metadata!C276,"missing: restricted access"))),AND(IF(metadata!C276="",FALSE,ISNUMBER(VALUE(metadata!C276))),metadata!C276&gt;0))</f>
        <v>0</v>
      </c>
      <c r="AF276" t="b">
        <f>AND(IF(metadata!D276="",FALSE,TRUE),EXACT(metadata!D276,"missing: not provided"))</f>
        <v>0</v>
      </c>
      <c r="AG276" t="b">
        <f>AND(IF(metadata!E276="",FALSE,TRUE),EXACT(metadata!E276,"Host-associated"))</f>
        <v>0</v>
      </c>
      <c r="AH276" t="b">
        <f>AND(IF(metadata!F276="",FALSE,TRUE),OR(EXACT(metadata!F276,"Animal"),EXACT(metadata!F276,"Fungus"),EXACT(metadata!F276,"Plant")))</f>
        <v>0</v>
      </c>
      <c r="AI276" t="b">
        <f>AND(IF(metadata!G276="",FALSE,TRUE),OR(EXACT(metadata!G276,"Plant secretion"),EXACT(metadata!G276,"Plant rhizosphere"),EXACT(metadata!G276,"Plant surface"),EXACT(metadata!G276,"Plant corpus"),EXACT(metadata!G276,"Fungus surface"),EXACT(metadata!G276,"Fungus corpus"),EXACT(metadata!G276,"Animal surface"),EXACT(metadata!G276,"Animal proximal gut"),EXACT(metadata!G276,"Animal corpus"),EXACT(metadata!G276,"Animal distal gut"),EXACT(metadata!G276,"Animal secretion")))</f>
        <v>0</v>
      </c>
      <c r="AJ276" t="b">
        <f>OR(AND(IF(metadata!H276="",FALSE,TRUE),OR(EXACT(metadata!H276,"missing: not collected"),EXACT(metadata!H276,"missing: not provided"),EXACT(metadata!H276,"missing: restricted access"))),AND(IF(metadata!H276="",FALSE,TRUE),OR(EXACT(metadata!H276,"organism-associated habitat"),EXACT(metadata!H276,"plant-associated habitat"),EXACT(metadata!H276,"animal-associated habitat"),EXACT(metadata!H276,"insecta-associated habitat"),EXACT(metadata!H276,"mammalia-associated habitat"),EXACT(metadata!H276,"human-associated habitat"),EXACT(metadata!H276,"livestock-associated habitat"))))</f>
        <v>0</v>
      </c>
      <c r="AK276" t="b">
        <f>AND(IF(metadata!I276="",FALSE,TRUE),EXACT(metadata!I276,"host-associated"))</f>
        <v>0</v>
      </c>
      <c r="AL276" t="b">
        <f>OR(AND(IF(metadata!J276="",FALSE,TRUE),OR(EXACT(metadata!J276,"not applicable"),EXACT(metadata!J276,"missing: not collected"),EXACT(metadata!J276,"missing: not provided"),EXACT(metadata!J276,"missing: restricted access"))),AND(IF(metadata!J276="",FALSE,ISNUMBER(VALUE(metadata!J276))),metadata!J276&gt;0))</f>
        <v>0</v>
      </c>
      <c r="AM276" t="b">
        <f>AND(IF(metadata!K276="",FALSE,TRUE),EXACT(metadata!K276,"missing: not provided"))</f>
        <v>0</v>
      </c>
      <c r="AN276" t="b">
        <f>IF(metadata!L276="",FALSE,TRUE)</f>
        <v>0</v>
      </c>
      <c r="AO276" t="b">
        <f>IF(metadata!M276="",FALSE,TRUE)</f>
        <v>0</v>
      </c>
      <c r="AP276" t="b">
        <f>OR(AND(IF(metadata!N276="",FALSE,TRUE),OR(EXACT(metadata!N276,"not applicable"),EXACT(metadata!N276,"missing: not collected"),EXACT(metadata!N276,"missing: not provided"))),AND(IF(metadata!N276="",FALSE,IF(ISERROR(INT(metadata!N276)),FALSE,INT(metadata!N276)=metadata!N276)),metadata!N276&gt;0))</f>
        <v>0</v>
      </c>
      <c r="AQ276" t="b">
        <f>AND(IF(metadata!O276="",FALSE,TRUE),EXACT(metadata!O276,"Not applicable"))</f>
        <v>0</v>
      </c>
      <c r="AR276" t="b">
        <f>OR(AND(IF(metadata!P276="",FALSE,TRUE),OR(EXACT(metadata!P276,"not applicable"),EXACT(metadata!P276,"missing: not collected"),EXACT(metadata!P276,"missing: not provided"),EXACT(metadata!P276,"missing: restricted access"))),IF(metadata!P276="",FALSE,IF(ISERROR(INT(metadata!P276)),FALSE,INT(metadata!P276)=metadata!P276)))</f>
        <v>0</v>
      </c>
      <c r="AS276" t="b">
        <f>AND(IF(metadata!Q276="",FALSE,TRUE),EXACT(metadata!Q276,"Not applicable"))</f>
        <v>0</v>
      </c>
      <c r="AT276" t="b">
        <f>OR(AND(IF(metadata!R276="",FALSE,TRUE),OR(EXACT(metadata!R276,"not applicable"),EXACT(metadata!R276,"missing: not collected"),EXACT(metadata!R276,"missing: not provided"),EXACT(metadata!R276,"missing: restricted access"))),AND(IF(metadata!R276="",FALSE,ISNUMBER(VALUE(metadata!R276))),metadata!R276&gt;0))</f>
        <v>0</v>
      </c>
      <c r="AU276" t="b">
        <f>AND(IF(metadata!S276="",FALSE,TRUE),EXACT(metadata!S276,"missing: not provided"))</f>
        <v>0</v>
      </c>
    </row>
    <row r="277" spans="1:47" x14ac:dyDescent="0.2">
      <c r="A277" s="5" t="str">
        <f ca="1">IF(B277=" "," ",HYPERLINK(CONCATENATE("#metadata!",ADDRESS(INDEX($Y$2:$Y$1001,MATCH(ROWS($W$2:W277),$W$2:$W$1001,0),0),1)),INDEX($AB$2:$AB$1001,MATCH(ROWS($W$2:W277),$W$2:$W$1001,0),0)))</f>
        <v xml:space="preserve"> </v>
      </c>
      <c r="B277" s="4" t="str">
        <f ca="1">IF(OR(INDEX($X$2:$X$1001,MATCH(ROWS($W$2:W277),$W$2:$W$1001,0),1)&gt;=100000,INDEX($AD$1005:$AU$1005,1,MATCH(COLUMNS($AD$1006:AD1006),$AD$1006:$AU$1006,0))&gt;=100000), " ",IF(INDEX($AD$2:$AU$1001,MATCH(ROWS($W$2:W277),$W$2:$W$1001,0),MATCH(COLUMNS($AD$1006:AD1006),$AD$1006:$AU$1006,0)), HYPERLINK("#",""), HYPERLINK(CONCATENATE("#metadata!", ADDRESS(INDEX($Y$2:$Y$1001,MATCH(ROWS($W$2:W277),$W$2:$W$1001,0),0), INDEX($AD$1004:$AU$1004,1,MATCH(COLUMNS($AD$1006:AD1006),$AD$1006:$AU$1006,0)))),"Fix")))</f>
        <v xml:space="preserve"> </v>
      </c>
      <c r="C277" s="4" t="str">
        <f ca="1">IF(OR(INDEX($X$2:$X$1001,MATCH(ROWS($W$2:W277),$W$2:$W$1001,0),1)&gt;=100000,INDEX($AD$1005:$AU$1005,1,MATCH(COLUMNS($AD$1006:AE1006),$AD$1006:$AU$1006,0))&gt;=100000), " ",IF(INDEX($AD$2:$AU$1001,MATCH(ROWS($W$2:W277),$W$2:$W$1001,0),MATCH(COLUMNS($AD$1006:AE1006),$AD$1006:$AU$1006,0)), HYPERLINK("#",""), HYPERLINK(CONCATENATE("#metadata!", ADDRESS(INDEX($Y$2:$Y$1001,MATCH(ROWS($W$2:W277),$W$2:$W$1001,0),0), INDEX($AD$1004:$AU$1004,1,MATCH(COLUMNS($AD$1006:AE1006),$AD$1006:$AU$1006,0)))),"Fix")))</f>
        <v xml:space="preserve"> </v>
      </c>
      <c r="D277" s="4" t="str">
        <f ca="1">IF(OR(INDEX($X$2:$X$1001,MATCH(ROWS($W$2:W277),$W$2:$W$1001,0),1)&gt;=100000,INDEX($AD$1005:$AU$1005,1,MATCH(COLUMNS($AD$1006:AF1006),$AD$1006:$AU$1006,0))&gt;=100000), " ",IF(INDEX($AD$2:$AU$1001,MATCH(ROWS($W$2:W277),$W$2:$W$1001,0),MATCH(COLUMNS($AD$1006:AF1006),$AD$1006:$AU$1006,0)), HYPERLINK("#",""), HYPERLINK(CONCATENATE("#metadata!", ADDRESS(INDEX($Y$2:$Y$1001,MATCH(ROWS($W$2:W277),$W$2:$W$1001,0),0), INDEX($AD$1004:$AU$1004,1,MATCH(COLUMNS($AD$1006:AF1006),$AD$1006:$AU$1006,0)))),"Fix")))</f>
        <v xml:space="preserve"> </v>
      </c>
      <c r="E277" s="4" t="str">
        <f ca="1">IF(OR(INDEX($X$2:$X$1001,MATCH(ROWS($W$2:W277),$W$2:$W$1001,0),1)&gt;=100000,INDEX($AD$1005:$AU$1005,1,MATCH(COLUMNS($AD$1006:AG1006),$AD$1006:$AU$1006,0))&gt;=100000), " ",IF(INDEX($AD$2:$AU$1001,MATCH(ROWS($W$2:W277),$W$2:$W$1001,0),MATCH(COLUMNS($AD$1006:AG1006),$AD$1006:$AU$1006,0)), HYPERLINK("#",""), HYPERLINK(CONCATENATE("#metadata!", ADDRESS(INDEX($Y$2:$Y$1001,MATCH(ROWS($W$2:W277),$W$2:$W$1001,0),0), INDEX($AD$1004:$AU$1004,1,MATCH(COLUMNS($AD$1006:AG1006),$AD$1006:$AU$1006,0)))),"Fix")))</f>
        <v xml:space="preserve"> </v>
      </c>
      <c r="F277" s="4" t="str">
        <f ca="1">IF(OR(INDEX($X$2:$X$1001,MATCH(ROWS($W$2:W277),$W$2:$W$1001,0),1)&gt;=100000,INDEX($AD$1005:$AU$1005,1,MATCH(COLUMNS($AD$1006:AH1006),$AD$1006:$AU$1006,0))&gt;=100000), " ",IF(INDEX($AD$2:$AU$1001,MATCH(ROWS($W$2:W277),$W$2:$W$1001,0),MATCH(COLUMNS($AD$1006:AH1006),$AD$1006:$AU$1006,0)), HYPERLINK("#",""), HYPERLINK(CONCATENATE("#metadata!", ADDRESS(INDEX($Y$2:$Y$1001,MATCH(ROWS($W$2:W277),$W$2:$W$1001,0),0), INDEX($AD$1004:$AU$1004,1,MATCH(COLUMNS($AD$1006:AH1006),$AD$1006:$AU$1006,0)))),"Fix")))</f>
        <v xml:space="preserve"> </v>
      </c>
      <c r="G277" s="4" t="str">
        <f ca="1">IF(OR(INDEX($X$2:$X$1001,MATCH(ROWS($W$2:W277),$W$2:$W$1001,0),1)&gt;=100000,INDEX($AD$1005:$AU$1005,1,MATCH(COLUMNS($AD$1006:AI1006),$AD$1006:$AU$1006,0))&gt;=100000), " ",IF(INDEX($AD$2:$AU$1001,MATCH(ROWS($W$2:W277),$W$2:$W$1001,0),MATCH(COLUMNS($AD$1006:AI1006),$AD$1006:$AU$1006,0)), HYPERLINK("#",""), HYPERLINK(CONCATENATE("#metadata!", ADDRESS(INDEX($Y$2:$Y$1001,MATCH(ROWS($W$2:W277),$W$2:$W$1001,0),0), INDEX($AD$1004:$AU$1004,1,MATCH(COLUMNS($AD$1006:AI1006),$AD$1006:$AU$1006,0)))),"Fix")))</f>
        <v xml:space="preserve"> </v>
      </c>
      <c r="H277" s="4" t="str">
        <f ca="1">IF(OR(INDEX($X$2:$X$1001,MATCH(ROWS($W$2:W277),$W$2:$W$1001,0),1)&gt;=100000,INDEX($AD$1005:$AU$1005,1,MATCH(COLUMNS($AD$1006:AJ1006),$AD$1006:$AU$1006,0))&gt;=100000), " ",IF(INDEX($AD$2:$AU$1001,MATCH(ROWS($W$2:W277),$W$2:$W$1001,0),MATCH(COLUMNS($AD$1006:AJ1006),$AD$1006:$AU$1006,0)), HYPERLINK("#",""), HYPERLINK(CONCATENATE("#metadata!", ADDRESS(INDEX($Y$2:$Y$1001,MATCH(ROWS($W$2:W277),$W$2:$W$1001,0),0), INDEX($AD$1004:$AU$1004,1,MATCH(COLUMNS($AD$1006:AJ1006),$AD$1006:$AU$1006,0)))),"Fix")))</f>
        <v xml:space="preserve"> </v>
      </c>
      <c r="I277" s="4" t="str">
        <f ca="1">IF(OR(INDEX($X$2:$X$1001,MATCH(ROWS($W$2:W277),$W$2:$W$1001,0),1)&gt;=100000,INDEX($AD$1005:$AU$1005,1,MATCH(COLUMNS($AD$1006:AK1006),$AD$1006:$AU$1006,0))&gt;=100000), " ",IF(INDEX($AD$2:$AU$1001,MATCH(ROWS($W$2:W277),$W$2:$W$1001,0),MATCH(COLUMNS($AD$1006:AK1006),$AD$1006:$AU$1006,0)), HYPERLINK("#",""), HYPERLINK(CONCATENATE("#metadata!", ADDRESS(INDEX($Y$2:$Y$1001,MATCH(ROWS($W$2:W277),$W$2:$W$1001,0),0), INDEX($AD$1004:$AU$1004,1,MATCH(COLUMNS($AD$1006:AK1006),$AD$1006:$AU$1006,0)))),"Fix")))</f>
        <v xml:space="preserve"> </v>
      </c>
      <c r="J277" s="4" t="str">
        <f ca="1">IF(OR(INDEX($X$2:$X$1001,MATCH(ROWS($W$2:W277),$W$2:$W$1001,0),1)&gt;=100000,INDEX($AD$1005:$AU$1005,1,MATCH(COLUMNS($AD$1006:AL1006),$AD$1006:$AU$1006,0))&gt;=100000), " ",IF(INDEX($AD$2:$AU$1001,MATCH(ROWS($W$2:W277),$W$2:$W$1001,0),MATCH(COLUMNS($AD$1006:AL1006),$AD$1006:$AU$1006,0)), HYPERLINK("#",""), HYPERLINK(CONCATENATE("#metadata!", ADDRESS(INDEX($Y$2:$Y$1001,MATCH(ROWS($W$2:W277),$W$2:$W$1001,0),0), INDEX($AD$1004:$AU$1004,1,MATCH(COLUMNS($AD$1006:AL1006),$AD$1006:$AU$1006,0)))),"Fix")))</f>
        <v xml:space="preserve"> </v>
      </c>
      <c r="K277" s="4" t="str">
        <f ca="1">IF(OR(INDEX($X$2:$X$1001,MATCH(ROWS($W$2:W277),$W$2:$W$1001,0),1)&gt;=100000,INDEX($AD$1005:$AU$1005,1,MATCH(COLUMNS($AD$1006:AM1006),$AD$1006:$AU$1006,0))&gt;=100000), " ",IF(INDEX($AD$2:$AU$1001,MATCH(ROWS($W$2:W277),$W$2:$W$1001,0),MATCH(COLUMNS($AD$1006:AM1006),$AD$1006:$AU$1006,0)), HYPERLINK("#",""), HYPERLINK(CONCATENATE("#metadata!", ADDRESS(INDEX($Y$2:$Y$1001,MATCH(ROWS($W$2:W277),$W$2:$W$1001,0),0), INDEX($AD$1004:$AU$1004,1,MATCH(COLUMNS($AD$1006:AM1006),$AD$1006:$AU$1006,0)))),"Fix")))</f>
        <v xml:space="preserve"> </v>
      </c>
      <c r="L277" s="4" t="str">
        <f ca="1">IF(OR(INDEX($X$2:$X$1001,MATCH(ROWS($W$2:W277),$W$2:$W$1001,0),1)&gt;=100000,INDEX($AD$1005:$AU$1005,1,MATCH(COLUMNS($AD$1006:AN1006),$AD$1006:$AU$1006,0))&gt;=100000), " ",IF(INDEX($AD$2:$AU$1001,MATCH(ROWS($W$2:W277),$W$2:$W$1001,0),MATCH(COLUMNS($AD$1006:AN1006),$AD$1006:$AU$1006,0)), HYPERLINK("#",""), HYPERLINK(CONCATENATE("#metadata!", ADDRESS(INDEX($Y$2:$Y$1001,MATCH(ROWS($W$2:W277),$W$2:$W$1001,0),0), INDEX($AD$1004:$AU$1004,1,MATCH(COLUMNS($AD$1006:AN1006),$AD$1006:$AU$1006,0)))),"Fix")))</f>
        <v xml:space="preserve"> </v>
      </c>
      <c r="M277" s="4" t="str">
        <f ca="1">IF(OR(INDEX($X$2:$X$1001,MATCH(ROWS($W$2:W277),$W$2:$W$1001,0),1)&gt;=100000,INDEX($AD$1005:$AU$1005,1,MATCH(COLUMNS($AD$1006:AO1006),$AD$1006:$AU$1006,0))&gt;=100000), " ",IF(INDEX($AD$2:$AU$1001,MATCH(ROWS($W$2:W277),$W$2:$W$1001,0),MATCH(COLUMNS($AD$1006:AO1006),$AD$1006:$AU$1006,0)), HYPERLINK("#",""), HYPERLINK(CONCATENATE("#metadata!", ADDRESS(INDEX($Y$2:$Y$1001,MATCH(ROWS($W$2:W277),$W$2:$W$1001,0),0), INDEX($AD$1004:$AU$1004,1,MATCH(COLUMNS($AD$1006:AO1006),$AD$1006:$AU$1006,0)))),"Fix")))</f>
        <v xml:space="preserve"> </v>
      </c>
      <c r="N277" s="4" t="str">
        <f ca="1">IF(OR(INDEX($X$2:$X$1001,MATCH(ROWS($W$2:W277),$W$2:$W$1001,0),1)&gt;=100000,INDEX($AD$1005:$AU$1005,1,MATCH(COLUMNS($AD$1006:AP1006),$AD$1006:$AU$1006,0))&gt;=100000), " ",IF(INDEX($AD$2:$AU$1001,MATCH(ROWS($W$2:W277),$W$2:$W$1001,0),MATCH(COLUMNS($AD$1006:AP1006),$AD$1006:$AU$1006,0)), HYPERLINK("#",""), HYPERLINK(CONCATENATE("#metadata!", ADDRESS(INDEX($Y$2:$Y$1001,MATCH(ROWS($W$2:W277),$W$2:$W$1001,0),0), INDEX($AD$1004:$AU$1004,1,MATCH(COLUMNS($AD$1006:AP1006),$AD$1006:$AU$1006,0)))),"Fix")))</f>
        <v xml:space="preserve"> </v>
      </c>
      <c r="O277" s="4" t="str">
        <f ca="1">IF(OR(INDEX($X$2:$X$1001,MATCH(ROWS($W$2:W277),$W$2:$W$1001,0),1)&gt;=100000,INDEX($AD$1005:$AU$1005,1,MATCH(COLUMNS($AD$1006:AQ1006),$AD$1006:$AU$1006,0))&gt;=100000), " ",IF(INDEX($AD$2:$AU$1001,MATCH(ROWS($W$2:W277),$W$2:$W$1001,0),MATCH(COLUMNS($AD$1006:AQ1006),$AD$1006:$AU$1006,0)), HYPERLINK("#",""), HYPERLINK(CONCATENATE("#metadata!", ADDRESS(INDEX($Y$2:$Y$1001,MATCH(ROWS($W$2:W277),$W$2:$W$1001,0),0), INDEX($AD$1004:$AU$1004,1,MATCH(COLUMNS($AD$1006:AQ1006),$AD$1006:$AU$1006,0)))),"Fix")))</f>
        <v xml:space="preserve"> </v>
      </c>
      <c r="P277" s="4" t="str">
        <f ca="1">IF(OR(INDEX($X$2:$X$1001,MATCH(ROWS($W$2:W277),$W$2:$W$1001,0),1)&gt;=100000,INDEX($AD$1005:$AU$1005,1,MATCH(COLUMNS($AD$1006:AR1006),$AD$1006:$AU$1006,0))&gt;=100000), " ",IF(INDEX($AD$2:$AU$1001,MATCH(ROWS($W$2:W277),$W$2:$W$1001,0),MATCH(COLUMNS($AD$1006:AR1006),$AD$1006:$AU$1006,0)), HYPERLINK("#",""), HYPERLINK(CONCATENATE("#metadata!", ADDRESS(INDEX($Y$2:$Y$1001,MATCH(ROWS($W$2:W277),$W$2:$W$1001,0),0), INDEX($AD$1004:$AU$1004,1,MATCH(COLUMNS($AD$1006:AR1006),$AD$1006:$AU$1006,0)))),"Fix")))</f>
        <v xml:space="preserve"> </v>
      </c>
      <c r="Q277" s="4" t="str">
        <f ca="1">IF(OR(INDEX($X$2:$X$1001,MATCH(ROWS($W$2:W277),$W$2:$W$1001,0),1)&gt;=100000,INDEX($AD$1005:$AU$1005,1,MATCH(COLUMNS($AD$1006:AS1006),$AD$1006:$AU$1006,0))&gt;=100000), " ",IF(INDEX($AD$2:$AU$1001,MATCH(ROWS($W$2:W277),$W$2:$W$1001,0),MATCH(COLUMNS($AD$1006:AS1006),$AD$1006:$AU$1006,0)), HYPERLINK("#",""), HYPERLINK(CONCATENATE("#metadata!", ADDRESS(INDEX($Y$2:$Y$1001,MATCH(ROWS($W$2:W277),$W$2:$W$1001,0),0), INDEX($AD$1004:$AU$1004,1,MATCH(COLUMNS($AD$1006:AS1006),$AD$1006:$AU$1006,0)))),"Fix")))</f>
        <v xml:space="preserve"> </v>
      </c>
      <c r="R277" s="4" t="str">
        <f ca="1">IF(OR(INDEX($X$2:$X$1001,MATCH(ROWS($W$2:W277),$W$2:$W$1001,0),1)&gt;=100000,INDEX($AD$1005:$AU$1005,1,MATCH(COLUMNS($AD$1006:AT1006),$AD$1006:$AU$1006,0))&gt;=100000), " ",IF(INDEX($AD$2:$AU$1001,MATCH(ROWS($W$2:W277),$W$2:$W$1001,0),MATCH(COLUMNS($AD$1006:AT1006),$AD$1006:$AU$1006,0)), HYPERLINK("#",""), HYPERLINK(CONCATENATE("#metadata!", ADDRESS(INDEX($Y$2:$Y$1001,MATCH(ROWS($W$2:W277),$W$2:$W$1001,0),0), INDEX($AD$1004:$AU$1004,1,MATCH(COLUMNS($AD$1006:AT1006),$AD$1006:$AU$1006,0)))),"Fix")))</f>
        <v xml:space="preserve"> </v>
      </c>
      <c r="S277" s="4" t="str">
        <f ca="1">IF(OR(INDEX($X$2:$X$1001,MATCH(ROWS($W$2:W277),$W$2:$W$1001,0),1)&gt;=100000,INDEX($AD$1005:$AU$1005,1,MATCH(COLUMNS($AD$1006:AU1006),$AD$1006:$AU$1006,0))&gt;=100000), " ",IF(INDEX($AD$2:$AU$1001,MATCH(ROWS($W$2:W277),$W$2:$W$1001,0),MATCH(COLUMNS($AD$1006:AU1006),$AD$1006:$AU$1006,0)), HYPERLINK("#",""), HYPERLINK(CONCATENATE("#metadata!", ADDRESS(INDEX($Y$2:$Y$1001,MATCH(ROWS($W$2:W277),$W$2:$W$1001,0),0), INDEX($AD$1004:$AU$1004,1,MATCH(COLUMNS($AD$1006:AU1006),$AD$1006:$AU$1006,0)))),"Fix")))</f>
        <v xml:space="preserve"> </v>
      </c>
      <c r="W277">
        <v>276</v>
      </c>
      <c r="X277">
        <v>100277</v>
      </c>
      <c r="Y277">
        <v>277</v>
      </c>
      <c r="Z277" t="b">
        <f t="shared" si="4"/>
        <v>1</v>
      </c>
      <c r="AA277" t="b">
        <f>COUNTBLANK(metadata!B277:S277)=COLUMNS(metadata!B277:S277)</f>
        <v>1</v>
      </c>
      <c r="AB277" t="str">
        <v/>
      </c>
      <c r="AD277" t="b">
        <f ca="1">AND(IF(metadata!B277="",FALSE,TRUE),COUNTIF(metadata!B:B, metadata!B277) = 1,NOT(ISERROR(SUMPRODUCT(SEARCH(MID(metadata!B277,ROW(INDIRECT("1:"&amp;LEN(metadata!B277))), 1),"0123456789abcdefghijklmnopqrstuvwxyzABCDEFGHIJKLMNOPQRSTUVWXYZ.")))))</f>
        <v>0</v>
      </c>
      <c r="AE277" t="b">
        <f>OR(AND(IF(metadata!C277="",FALSE,TRUE),OR(EXACT(metadata!C277,"not applicable"),EXACT(metadata!C277,"missing: not collected"),EXACT(metadata!C277,"missing: not provided"),EXACT(metadata!C277,"missing: restricted access"))),AND(IF(metadata!C277="",FALSE,ISNUMBER(VALUE(metadata!C277))),metadata!C277&gt;0))</f>
        <v>0</v>
      </c>
      <c r="AF277" t="b">
        <f>AND(IF(metadata!D277="",FALSE,TRUE),EXACT(metadata!D277,"missing: not provided"))</f>
        <v>0</v>
      </c>
      <c r="AG277" t="b">
        <f>AND(IF(metadata!E277="",FALSE,TRUE),EXACT(metadata!E277,"Host-associated"))</f>
        <v>0</v>
      </c>
      <c r="AH277" t="b">
        <f>AND(IF(metadata!F277="",FALSE,TRUE),OR(EXACT(metadata!F277,"Animal"),EXACT(metadata!F277,"Fungus"),EXACT(metadata!F277,"Plant")))</f>
        <v>0</v>
      </c>
      <c r="AI277" t="b">
        <f>AND(IF(metadata!G277="",FALSE,TRUE),OR(EXACT(metadata!G277,"Plant secretion"),EXACT(metadata!G277,"Plant rhizosphere"),EXACT(metadata!G277,"Plant surface"),EXACT(metadata!G277,"Plant corpus"),EXACT(metadata!G277,"Fungus surface"),EXACT(metadata!G277,"Fungus corpus"),EXACT(metadata!G277,"Animal surface"),EXACT(metadata!G277,"Animal proximal gut"),EXACT(metadata!G277,"Animal corpus"),EXACT(metadata!G277,"Animal distal gut"),EXACT(metadata!G277,"Animal secretion")))</f>
        <v>0</v>
      </c>
      <c r="AJ277" t="b">
        <f>OR(AND(IF(metadata!H277="",FALSE,TRUE),OR(EXACT(metadata!H277,"missing: not collected"),EXACT(metadata!H277,"missing: not provided"),EXACT(metadata!H277,"missing: restricted access"))),AND(IF(metadata!H277="",FALSE,TRUE),OR(EXACT(metadata!H277,"organism-associated habitat"),EXACT(metadata!H277,"plant-associated habitat"),EXACT(metadata!H277,"animal-associated habitat"),EXACT(metadata!H277,"insecta-associated habitat"),EXACT(metadata!H277,"mammalia-associated habitat"),EXACT(metadata!H277,"human-associated habitat"),EXACT(metadata!H277,"livestock-associated habitat"))))</f>
        <v>0</v>
      </c>
      <c r="AK277" t="b">
        <f>AND(IF(metadata!I277="",FALSE,TRUE),EXACT(metadata!I277,"host-associated"))</f>
        <v>0</v>
      </c>
      <c r="AL277" t="b">
        <f>OR(AND(IF(metadata!J277="",FALSE,TRUE),OR(EXACT(metadata!J277,"not applicable"),EXACT(metadata!J277,"missing: not collected"),EXACT(metadata!J277,"missing: not provided"),EXACT(metadata!J277,"missing: restricted access"))),AND(IF(metadata!J277="",FALSE,ISNUMBER(VALUE(metadata!J277))),metadata!J277&gt;0))</f>
        <v>0</v>
      </c>
      <c r="AM277" t="b">
        <f>AND(IF(metadata!K277="",FALSE,TRUE),EXACT(metadata!K277,"missing: not provided"))</f>
        <v>0</v>
      </c>
      <c r="AN277" t="b">
        <f>IF(metadata!L277="",FALSE,TRUE)</f>
        <v>0</v>
      </c>
      <c r="AO277" t="b">
        <f>IF(metadata!M277="",FALSE,TRUE)</f>
        <v>0</v>
      </c>
      <c r="AP277" t="b">
        <f>OR(AND(IF(metadata!N277="",FALSE,TRUE),OR(EXACT(metadata!N277,"not applicable"),EXACT(metadata!N277,"missing: not collected"),EXACT(metadata!N277,"missing: not provided"))),AND(IF(metadata!N277="",FALSE,IF(ISERROR(INT(metadata!N277)),FALSE,INT(metadata!N277)=metadata!N277)),metadata!N277&gt;0))</f>
        <v>0</v>
      </c>
      <c r="AQ277" t="b">
        <f>AND(IF(metadata!O277="",FALSE,TRUE),EXACT(metadata!O277,"Not applicable"))</f>
        <v>0</v>
      </c>
      <c r="AR277" t="b">
        <f>OR(AND(IF(metadata!P277="",FALSE,TRUE),OR(EXACT(metadata!P277,"not applicable"),EXACT(metadata!P277,"missing: not collected"),EXACT(metadata!P277,"missing: not provided"),EXACT(metadata!P277,"missing: restricted access"))),IF(metadata!P277="",FALSE,IF(ISERROR(INT(metadata!P277)),FALSE,INT(metadata!P277)=metadata!P277)))</f>
        <v>0</v>
      </c>
      <c r="AS277" t="b">
        <f>AND(IF(metadata!Q277="",FALSE,TRUE),EXACT(metadata!Q277,"Not applicable"))</f>
        <v>0</v>
      </c>
      <c r="AT277" t="b">
        <f>OR(AND(IF(metadata!R277="",FALSE,TRUE),OR(EXACT(metadata!R277,"not applicable"),EXACT(metadata!R277,"missing: not collected"),EXACT(metadata!R277,"missing: not provided"),EXACT(metadata!R277,"missing: restricted access"))),AND(IF(metadata!R277="",FALSE,ISNUMBER(VALUE(metadata!R277))),metadata!R277&gt;0))</f>
        <v>0</v>
      </c>
      <c r="AU277" t="b">
        <f>AND(IF(metadata!S277="",FALSE,TRUE),EXACT(metadata!S277,"missing: not provided"))</f>
        <v>0</v>
      </c>
    </row>
    <row r="278" spans="1:47" x14ac:dyDescent="0.2">
      <c r="A278" s="5" t="str">
        <f ca="1">IF(B278=" "," ",HYPERLINK(CONCATENATE("#metadata!",ADDRESS(INDEX($Y$2:$Y$1001,MATCH(ROWS($W$2:W278),$W$2:$W$1001,0),0),1)),INDEX($AB$2:$AB$1001,MATCH(ROWS($W$2:W278),$W$2:$W$1001,0),0)))</f>
        <v xml:space="preserve"> </v>
      </c>
      <c r="B278" s="4" t="str">
        <f ca="1">IF(OR(INDEX($X$2:$X$1001,MATCH(ROWS($W$2:W278),$W$2:$W$1001,0),1)&gt;=100000,INDEX($AD$1005:$AU$1005,1,MATCH(COLUMNS($AD$1006:AD1006),$AD$1006:$AU$1006,0))&gt;=100000), " ",IF(INDEX($AD$2:$AU$1001,MATCH(ROWS($W$2:W278),$W$2:$W$1001,0),MATCH(COLUMNS($AD$1006:AD1006),$AD$1006:$AU$1006,0)), HYPERLINK("#",""), HYPERLINK(CONCATENATE("#metadata!", ADDRESS(INDEX($Y$2:$Y$1001,MATCH(ROWS($W$2:W278),$W$2:$W$1001,0),0), INDEX($AD$1004:$AU$1004,1,MATCH(COLUMNS($AD$1006:AD1006),$AD$1006:$AU$1006,0)))),"Fix")))</f>
        <v xml:space="preserve"> </v>
      </c>
      <c r="C278" s="4" t="str">
        <f ca="1">IF(OR(INDEX($X$2:$X$1001,MATCH(ROWS($W$2:W278),$W$2:$W$1001,0),1)&gt;=100000,INDEX($AD$1005:$AU$1005,1,MATCH(COLUMNS($AD$1006:AE1006),$AD$1006:$AU$1006,0))&gt;=100000), " ",IF(INDEX($AD$2:$AU$1001,MATCH(ROWS($W$2:W278),$W$2:$W$1001,0),MATCH(COLUMNS($AD$1006:AE1006),$AD$1006:$AU$1006,0)), HYPERLINK("#",""), HYPERLINK(CONCATENATE("#metadata!", ADDRESS(INDEX($Y$2:$Y$1001,MATCH(ROWS($W$2:W278),$W$2:$W$1001,0),0), INDEX($AD$1004:$AU$1004,1,MATCH(COLUMNS($AD$1006:AE1006),$AD$1006:$AU$1006,0)))),"Fix")))</f>
        <v xml:space="preserve"> </v>
      </c>
      <c r="D278" s="4" t="str">
        <f ca="1">IF(OR(INDEX($X$2:$X$1001,MATCH(ROWS($W$2:W278),$W$2:$W$1001,0),1)&gt;=100000,INDEX($AD$1005:$AU$1005,1,MATCH(COLUMNS($AD$1006:AF1006),$AD$1006:$AU$1006,0))&gt;=100000), " ",IF(INDEX($AD$2:$AU$1001,MATCH(ROWS($W$2:W278),$W$2:$W$1001,0),MATCH(COLUMNS($AD$1006:AF1006),$AD$1006:$AU$1006,0)), HYPERLINK("#",""), HYPERLINK(CONCATENATE("#metadata!", ADDRESS(INDEX($Y$2:$Y$1001,MATCH(ROWS($W$2:W278),$W$2:$W$1001,0),0), INDEX($AD$1004:$AU$1004,1,MATCH(COLUMNS($AD$1006:AF1006),$AD$1006:$AU$1006,0)))),"Fix")))</f>
        <v xml:space="preserve"> </v>
      </c>
      <c r="E278" s="4" t="str">
        <f ca="1">IF(OR(INDEX($X$2:$X$1001,MATCH(ROWS($W$2:W278),$W$2:$W$1001,0),1)&gt;=100000,INDEX($AD$1005:$AU$1005,1,MATCH(COLUMNS($AD$1006:AG1006),$AD$1006:$AU$1006,0))&gt;=100000), " ",IF(INDEX($AD$2:$AU$1001,MATCH(ROWS($W$2:W278),$W$2:$W$1001,0),MATCH(COLUMNS($AD$1006:AG1006),$AD$1006:$AU$1006,0)), HYPERLINK("#",""), HYPERLINK(CONCATENATE("#metadata!", ADDRESS(INDEX($Y$2:$Y$1001,MATCH(ROWS($W$2:W278),$W$2:$W$1001,0),0), INDEX($AD$1004:$AU$1004,1,MATCH(COLUMNS($AD$1006:AG1006),$AD$1006:$AU$1006,0)))),"Fix")))</f>
        <v xml:space="preserve"> </v>
      </c>
      <c r="F278" s="4" t="str">
        <f ca="1">IF(OR(INDEX($X$2:$X$1001,MATCH(ROWS($W$2:W278),$W$2:$W$1001,0),1)&gt;=100000,INDEX($AD$1005:$AU$1005,1,MATCH(COLUMNS($AD$1006:AH1006),$AD$1006:$AU$1006,0))&gt;=100000), " ",IF(INDEX($AD$2:$AU$1001,MATCH(ROWS($W$2:W278),$W$2:$W$1001,0),MATCH(COLUMNS($AD$1006:AH1006),$AD$1006:$AU$1006,0)), HYPERLINK("#",""), HYPERLINK(CONCATENATE("#metadata!", ADDRESS(INDEX($Y$2:$Y$1001,MATCH(ROWS($W$2:W278),$W$2:$W$1001,0),0), INDEX($AD$1004:$AU$1004,1,MATCH(COLUMNS($AD$1006:AH1006),$AD$1006:$AU$1006,0)))),"Fix")))</f>
        <v xml:space="preserve"> </v>
      </c>
      <c r="G278" s="4" t="str">
        <f ca="1">IF(OR(INDEX($X$2:$X$1001,MATCH(ROWS($W$2:W278),$W$2:$W$1001,0),1)&gt;=100000,INDEX($AD$1005:$AU$1005,1,MATCH(COLUMNS($AD$1006:AI1006),$AD$1006:$AU$1006,0))&gt;=100000), " ",IF(INDEX($AD$2:$AU$1001,MATCH(ROWS($W$2:W278),$W$2:$W$1001,0),MATCH(COLUMNS($AD$1006:AI1006),$AD$1006:$AU$1006,0)), HYPERLINK("#",""), HYPERLINK(CONCATENATE("#metadata!", ADDRESS(INDEX($Y$2:$Y$1001,MATCH(ROWS($W$2:W278),$W$2:$W$1001,0),0), INDEX($AD$1004:$AU$1004,1,MATCH(COLUMNS($AD$1006:AI1006),$AD$1006:$AU$1006,0)))),"Fix")))</f>
        <v xml:space="preserve"> </v>
      </c>
      <c r="H278" s="4" t="str">
        <f ca="1">IF(OR(INDEX($X$2:$X$1001,MATCH(ROWS($W$2:W278),$W$2:$W$1001,0),1)&gt;=100000,INDEX($AD$1005:$AU$1005,1,MATCH(COLUMNS($AD$1006:AJ1006),$AD$1006:$AU$1006,0))&gt;=100000), " ",IF(INDEX($AD$2:$AU$1001,MATCH(ROWS($W$2:W278),$W$2:$W$1001,0),MATCH(COLUMNS($AD$1006:AJ1006),$AD$1006:$AU$1006,0)), HYPERLINK("#",""), HYPERLINK(CONCATENATE("#metadata!", ADDRESS(INDEX($Y$2:$Y$1001,MATCH(ROWS($W$2:W278),$W$2:$W$1001,0),0), INDEX($AD$1004:$AU$1004,1,MATCH(COLUMNS($AD$1006:AJ1006),$AD$1006:$AU$1006,0)))),"Fix")))</f>
        <v xml:space="preserve"> </v>
      </c>
      <c r="I278" s="4" t="str">
        <f ca="1">IF(OR(INDEX($X$2:$X$1001,MATCH(ROWS($W$2:W278),$W$2:$W$1001,0),1)&gt;=100000,INDEX($AD$1005:$AU$1005,1,MATCH(COLUMNS($AD$1006:AK1006),$AD$1006:$AU$1006,0))&gt;=100000), " ",IF(INDEX($AD$2:$AU$1001,MATCH(ROWS($W$2:W278),$W$2:$W$1001,0),MATCH(COLUMNS($AD$1006:AK1006),$AD$1006:$AU$1006,0)), HYPERLINK("#",""), HYPERLINK(CONCATENATE("#metadata!", ADDRESS(INDEX($Y$2:$Y$1001,MATCH(ROWS($W$2:W278),$W$2:$W$1001,0),0), INDEX($AD$1004:$AU$1004,1,MATCH(COLUMNS($AD$1006:AK1006),$AD$1006:$AU$1006,0)))),"Fix")))</f>
        <v xml:space="preserve"> </v>
      </c>
      <c r="J278" s="4" t="str">
        <f ca="1">IF(OR(INDEX($X$2:$X$1001,MATCH(ROWS($W$2:W278),$W$2:$W$1001,0),1)&gt;=100000,INDEX($AD$1005:$AU$1005,1,MATCH(COLUMNS($AD$1006:AL1006),$AD$1006:$AU$1006,0))&gt;=100000), " ",IF(INDEX($AD$2:$AU$1001,MATCH(ROWS($W$2:W278),$W$2:$W$1001,0),MATCH(COLUMNS($AD$1006:AL1006),$AD$1006:$AU$1006,0)), HYPERLINK("#",""), HYPERLINK(CONCATENATE("#metadata!", ADDRESS(INDEX($Y$2:$Y$1001,MATCH(ROWS($W$2:W278),$W$2:$W$1001,0),0), INDEX($AD$1004:$AU$1004,1,MATCH(COLUMNS($AD$1006:AL1006),$AD$1006:$AU$1006,0)))),"Fix")))</f>
        <v xml:space="preserve"> </v>
      </c>
      <c r="K278" s="4" t="str">
        <f ca="1">IF(OR(INDEX($X$2:$X$1001,MATCH(ROWS($W$2:W278),$W$2:$W$1001,0),1)&gt;=100000,INDEX($AD$1005:$AU$1005,1,MATCH(COLUMNS($AD$1006:AM1006),$AD$1006:$AU$1006,0))&gt;=100000), " ",IF(INDEX($AD$2:$AU$1001,MATCH(ROWS($W$2:W278),$W$2:$W$1001,0),MATCH(COLUMNS($AD$1006:AM1006),$AD$1006:$AU$1006,0)), HYPERLINK("#",""), HYPERLINK(CONCATENATE("#metadata!", ADDRESS(INDEX($Y$2:$Y$1001,MATCH(ROWS($W$2:W278),$W$2:$W$1001,0),0), INDEX($AD$1004:$AU$1004,1,MATCH(COLUMNS($AD$1006:AM1006),$AD$1006:$AU$1006,0)))),"Fix")))</f>
        <v xml:space="preserve"> </v>
      </c>
      <c r="L278" s="4" t="str">
        <f ca="1">IF(OR(INDEX($X$2:$X$1001,MATCH(ROWS($W$2:W278),$W$2:$W$1001,0),1)&gt;=100000,INDEX($AD$1005:$AU$1005,1,MATCH(COLUMNS($AD$1006:AN1006),$AD$1006:$AU$1006,0))&gt;=100000), " ",IF(INDEX($AD$2:$AU$1001,MATCH(ROWS($W$2:W278),$W$2:$W$1001,0),MATCH(COLUMNS($AD$1006:AN1006),$AD$1006:$AU$1006,0)), HYPERLINK("#",""), HYPERLINK(CONCATENATE("#metadata!", ADDRESS(INDEX($Y$2:$Y$1001,MATCH(ROWS($W$2:W278),$W$2:$W$1001,0),0), INDEX($AD$1004:$AU$1004,1,MATCH(COLUMNS($AD$1006:AN1006),$AD$1006:$AU$1006,0)))),"Fix")))</f>
        <v xml:space="preserve"> </v>
      </c>
      <c r="M278" s="4" t="str">
        <f ca="1">IF(OR(INDEX($X$2:$X$1001,MATCH(ROWS($W$2:W278),$W$2:$W$1001,0),1)&gt;=100000,INDEX($AD$1005:$AU$1005,1,MATCH(COLUMNS($AD$1006:AO1006),$AD$1006:$AU$1006,0))&gt;=100000), " ",IF(INDEX($AD$2:$AU$1001,MATCH(ROWS($W$2:W278),$W$2:$W$1001,0),MATCH(COLUMNS($AD$1006:AO1006),$AD$1006:$AU$1006,0)), HYPERLINK("#",""), HYPERLINK(CONCATENATE("#metadata!", ADDRESS(INDEX($Y$2:$Y$1001,MATCH(ROWS($W$2:W278),$W$2:$W$1001,0),0), INDEX($AD$1004:$AU$1004,1,MATCH(COLUMNS($AD$1006:AO1006),$AD$1006:$AU$1006,0)))),"Fix")))</f>
        <v xml:space="preserve"> </v>
      </c>
      <c r="N278" s="4" t="str">
        <f ca="1">IF(OR(INDEX($X$2:$X$1001,MATCH(ROWS($W$2:W278),$W$2:$W$1001,0),1)&gt;=100000,INDEX($AD$1005:$AU$1005,1,MATCH(COLUMNS($AD$1006:AP1006),$AD$1006:$AU$1006,0))&gt;=100000), " ",IF(INDEX($AD$2:$AU$1001,MATCH(ROWS($W$2:W278),$W$2:$W$1001,0),MATCH(COLUMNS($AD$1006:AP1006),$AD$1006:$AU$1006,0)), HYPERLINK("#",""), HYPERLINK(CONCATENATE("#metadata!", ADDRESS(INDEX($Y$2:$Y$1001,MATCH(ROWS($W$2:W278),$W$2:$W$1001,0),0), INDEX($AD$1004:$AU$1004,1,MATCH(COLUMNS($AD$1006:AP1006),$AD$1006:$AU$1006,0)))),"Fix")))</f>
        <v xml:space="preserve"> </v>
      </c>
      <c r="O278" s="4" t="str">
        <f ca="1">IF(OR(INDEX($X$2:$X$1001,MATCH(ROWS($W$2:W278),$W$2:$W$1001,0),1)&gt;=100000,INDEX($AD$1005:$AU$1005,1,MATCH(COLUMNS($AD$1006:AQ1006),$AD$1006:$AU$1006,0))&gt;=100000), " ",IF(INDEX($AD$2:$AU$1001,MATCH(ROWS($W$2:W278),$W$2:$W$1001,0),MATCH(COLUMNS($AD$1006:AQ1006),$AD$1006:$AU$1006,0)), HYPERLINK("#",""), HYPERLINK(CONCATENATE("#metadata!", ADDRESS(INDEX($Y$2:$Y$1001,MATCH(ROWS($W$2:W278),$W$2:$W$1001,0),0), INDEX($AD$1004:$AU$1004,1,MATCH(COLUMNS($AD$1006:AQ1006),$AD$1006:$AU$1006,0)))),"Fix")))</f>
        <v xml:space="preserve"> </v>
      </c>
      <c r="P278" s="4" t="str">
        <f ca="1">IF(OR(INDEX($X$2:$X$1001,MATCH(ROWS($W$2:W278),$W$2:$W$1001,0),1)&gt;=100000,INDEX($AD$1005:$AU$1005,1,MATCH(COLUMNS($AD$1006:AR1006),$AD$1006:$AU$1006,0))&gt;=100000), " ",IF(INDEX($AD$2:$AU$1001,MATCH(ROWS($W$2:W278),$W$2:$W$1001,0),MATCH(COLUMNS($AD$1006:AR1006),$AD$1006:$AU$1006,0)), HYPERLINK("#",""), HYPERLINK(CONCATENATE("#metadata!", ADDRESS(INDEX($Y$2:$Y$1001,MATCH(ROWS($W$2:W278),$W$2:$W$1001,0),0), INDEX($AD$1004:$AU$1004,1,MATCH(COLUMNS($AD$1006:AR1006),$AD$1006:$AU$1006,0)))),"Fix")))</f>
        <v xml:space="preserve"> </v>
      </c>
      <c r="Q278" s="4" t="str">
        <f ca="1">IF(OR(INDEX($X$2:$X$1001,MATCH(ROWS($W$2:W278),$W$2:$W$1001,0),1)&gt;=100000,INDEX($AD$1005:$AU$1005,1,MATCH(COLUMNS($AD$1006:AS1006),$AD$1006:$AU$1006,0))&gt;=100000), " ",IF(INDEX($AD$2:$AU$1001,MATCH(ROWS($W$2:W278),$W$2:$W$1001,0),MATCH(COLUMNS($AD$1006:AS1006),$AD$1006:$AU$1006,0)), HYPERLINK("#",""), HYPERLINK(CONCATENATE("#metadata!", ADDRESS(INDEX($Y$2:$Y$1001,MATCH(ROWS($W$2:W278),$W$2:$W$1001,0),0), INDEX($AD$1004:$AU$1004,1,MATCH(COLUMNS($AD$1006:AS1006),$AD$1006:$AU$1006,0)))),"Fix")))</f>
        <v xml:space="preserve"> </v>
      </c>
      <c r="R278" s="4" t="str">
        <f ca="1">IF(OR(INDEX($X$2:$X$1001,MATCH(ROWS($W$2:W278),$W$2:$W$1001,0),1)&gt;=100000,INDEX($AD$1005:$AU$1005,1,MATCH(COLUMNS($AD$1006:AT1006),$AD$1006:$AU$1006,0))&gt;=100000), " ",IF(INDEX($AD$2:$AU$1001,MATCH(ROWS($W$2:W278),$W$2:$W$1001,0),MATCH(COLUMNS($AD$1006:AT1006),$AD$1006:$AU$1006,0)), HYPERLINK("#",""), HYPERLINK(CONCATENATE("#metadata!", ADDRESS(INDEX($Y$2:$Y$1001,MATCH(ROWS($W$2:W278),$W$2:$W$1001,0),0), INDEX($AD$1004:$AU$1004,1,MATCH(COLUMNS($AD$1006:AT1006),$AD$1006:$AU$1006,0)))),"Fix")))</f>
        <v xml:space="preserve"> </v>
      </c>
      <c r="S278" s="4" t="str">
        <f ca="1">IF(OR(INDEX($X$2:$X$1001,MATCH(ROWS($W$2:W278),$W$2:$W$1001,0),1)&gt;=100000,INDEX($AD$1005:$AU$1005,1,MATCH(COLUMNS($AD$1006:AU1006),$AD$1006:$AU$1006,0))&gt;=100000), " ",IF(INDEX($AD$2:$AU$1001,MATCH(ROWS($W$2:W278),$W$2:$W$1001,0),MATCH(COLUMNS($AD$1006:AU1006),$AD$1006:$AU$1006,0)), HYPERLINK("#",""), HYPERLINK(CONCATENATE("#metadata!", ADDRESS(INDEX($Y$2:$Y$1001,MATCH(ROWS($W$2:W278),$W$2:$W$1001,0),0), INDEX($AD$1004:$AU$1004,1,MATCH(COLUMNS($AD$1006:AU1006),$AD$1006:$AU$1006,0)))),"Fix")))</f>
        <v xml:space="preserve"> </v>
      </c>
      <c r="W278">
        <v>277</v>
      </c>
      <c r="X278">
        <v>100278</v>
      </c>
      <c r="Y278">
        <v>278</v>
      </c>
      <c r="Z278" t="b">
        <f t="shared" si="4"/>
        <v>1</v>
      </c>
      <c r="AA278" t="b">
        <f>COUNTBLANK(metadata!B278:S278)=COLUMNS(metadata!B278:S278)</f>
        <v>1</v>
      </c>
      <c r="AB278" t="str">
        <v/>
      </c>
      <c r="AD278" t="b">
        <f ca="1">AND(IF(metadata!B278="",FALSE,TRUE),COUNTIF(metadata!B:B, metadata!B278) = 1,NOT(ISERROR(SUMPRODUCT(SEARCH(MID(metadata!B278,ROW(INDIRECT("1:"&amp;LEN(metadata!B278))), 1),"0123456789abcdefghijklmnopqrstuvwxyzABCDEFGHIJKLMNOPQRSTUVWXYZ.")))))</f>
        <v>0</v>
      </c>
      <c r="AE278" t="b">
        <f>OR(AND(IF(metadata!C278="",FALSE,TRUE),OR(EXACT(metadata!C278,"not applicable"),EXACT(metadata!C278,"missing: not collected"),EXACT(metadata!C278,"missing: not provided"),EXACT(metadata!C278,"missing: restricted access"))),AND(IF(metadata!C278="",FALSE,ISNUMBER(VALUE(metadata!C278))),metadata!C278&gt;0))</f>
        <v>0</v>
      </c>
      <c r="AF278" t="b">
        <f>AND(IF(metadata!D278="",FALSE,TRUE),EXACT(metadata!D278,"missing: not provided"))</f>
        <v>0</v>
      </c>
      <c r="AG278" t="b">
        <f>AND(IF(metadata!E278="",FALSE,TRUE),EXACT(metadata!E278,"Host-associated"))</f>
        <v>0</v>
      </c>
      <c r="AH278" t="b">
        <f>AND(IF(metadata!F278="",FALSE,TRUE),OR(EXACT(metadata!F278,"Animal"),EXACT(metadata!F278,"Fungus"),EXACT(metadata!F278,"Plant")))</f>
        <v>0</v>
      </c>
      <c r="AI278" t="b">
        <f>AND(IF(metadata!G278="",FALSE,TRUE),OR(EXACT(metadata!G278,"Plant secretion"),EXACT(metadata!G278,"Plant rhizosphere"),EXACT(metadata!G278,"Plant surface"),EXACT(metadata!G278,"Plant corpus"),EXACT(metadata!G278,"Fungus surface"),EXACT(metadata!G278,"Fungus corpus"),EXACT(metadata!G278,"Animal surface"),EXACT(metadata!G278,"Animal proximal gut"),EXACT(metadata!G278,"Animal corpus"),EXACT(metadata!G278,"Animal distal gut"),EXACT(metadata!G278,"Animal secretion")))</f>
        <v>0</v>
      </c>
      <c r="AJ278" t="b">
        <f>OR(AND(IF(metadata!H278="",FALSE,TRUE),OR(EXACT(metadata!H278,"missing: not collected"),EXACT(metadata!H278,"missing: not provided"),EXACT(metadata!H278,"missing: restricted access"))),AND(IF(metadata!H278="",FALSE,TRUE),OR(EXACT(metadata!H278,"organism-associated habitat"),EXACT(metadata!H278,"plant-associated habitat"),EXACT(metadata!H278,"animal-associated habitat"),EXACT(metadata!H278,"insecta-associated habitat"),EXACT(metadata!H278,"mammalia-associated habitat"),EXACT(metadata!H278,"human-associated habitat"),EXACT(metadata!H278,"livestock-associated habitat"))))</f>
        <v>0</v>
      </c>
      <c r="AK278" t="b">
        <f>AND(IF(metadata!I278="",FALSE,TRUE),EXACT(metadata!I278,"host-associated"))</f>
        <v>0</v>
      </c>
      <c r="AL278" t="b">
        <f>OR(AND(IF(metadata!J278="",FALSE,TRUE),OR(EXACT(metadata!J278,"not applicable"),EXACT(metadata!J278,"missing: not collected"),EXACT(metadata!J278,"missing: not provided"),EXACT(metadata!J278,"missing: restricted access"))),AND(IF(metadata!J278="",FALSE,ISNUMBER(VALUE(metadata!J278))),metadata!J278&gt;0))</f>
        <v>0</v>
      </c>
      <c r="AM278" t="b">
        <f>AND(IF(metadata!K278="",FALSE,TRUE),EXACT(metadata!K278,"missing: not provided"))</f>
        <v>0</v>
      </c>
      <c r="AN278" t="b">
        <f>IF(metadata!L278="",FALSE,TRUE)</f>
        <v>0</v>
      </c>
      <c r="AO278" t="b">
        <f>IF(metadata!M278="",FALSE,TRUE)</f>
        <v>0</v>
      </c>
      <c r="AP278" t="b">
        <f>OR(AND(IF(metadata!N278="",FALSE,TRUE),OR(EXACT(metadata!N278,"not applicable"),EXACT(metadata!N278,"missing: not collected"),EXACT(metadata!N278,"missing: not provided"))),AND(IF(metadata!N278="",FALSE,IF(ISERROR(INT(metadata!N278)),FALSE,INT(metadata!N278)=metadata!N278)),metadata!N278&gt;0))</f>
        <v>0</v>
      </c>
      <c r="AQ278" t="b">
        <f>AND(IF(metadata!O278="",FALSE,TRUE),EXACT(metadata!O278,"Not applicable"))</f>
        <v>0</v>
      </c>
      <c r="AR278" t="b">
        <f>OR(AND(IF(metadata!P278="",FALSE,TRUE),OR(EXACT(metadata!P278,"not applicable"),EXACT(metadata!P278,"missing: not collected"),EXACT(metadata!P278,"missing: not provided"),EXACT(metadata!P278,"missing: restricted access"))),IF(metadata!P278="",FALSE,IF(ISERROR(INT(metadata!P278)),FALSE,INT(metadata!P278)=metadata!P278)))</f>
        <v>0</v>
      </c>
      <c r="AS278" t="b">
        <f>AND(IF(metadata!Q278="",FALSE,TRUE),EXACT(metadata!Q278,"Not applicable"))</f>
        <v>0</v>
      </c>
      <c r="AT278" t="b">
        <f>OR(AND(IF(metadata!R278="",FALSE,TRUE),OR(EXACT(metadata!R278,"not applicable"),EXACT(metadata!R278,"missing: not collected"),EXACT(metadata!R278,"missing: not provided"),EXACT(metadata!R278,"missing: restricted access"))),AND(IF(metadata!R278="",FALSE,ISNUMBER(VALUE(metadata!R278))),metadata!R278&gt;0))</f>
        <v>0</v>
      </c>
      <c r="AU278" t="b">
        <f>AND(IF(metadata!S278="",FALSE,TRUE),EXACT(metadata!S278,"missing: not provided"))</f>
        <v>0</v>
      </c>
    </row>
    <row r="279" spans="1:47" x14ac:dyDescent="0.2">
      <c r="A279" s="5" t="str">
        <f ca="1">IF(B279=" "," ",HYPERLINK(CONCATENATE("#metadata!",ADDRESS(INDEX($Y$2:$Y$1001,MATCH(ROWS($W$2:W279),$W$2:$W$1001,0),0),1)),INDEX($AB$2:$AB$1001,MATCH(ROWS($W$2:W279),$W$2:$W$1001,0),0)))</f>
        <v xml:space="preserve"> </v>
      </c>
      <c r="B279" s="4" t="str">
        <f ca="1">IF(OR(INDEX($X$2:$X$1001,MATCH(ROWS($W$2:W279),$W$2:$W$1001,0),1)&gt;=100000,INDEX($AD$1005:$AU$1005,1,MATCH(COLUMNS($AD$1006:AD1006),$AD$1006:$AU$1006,0))&gt;=100000), " ",IF(INDEX($AD$2:$AU$1001,MATCH(ROWS($W$2:W279),$W$2:$W$1001,0),MATCH(COLUMNS($AD$1006:AD1006),$AD$1006:$AU$1006,0)), HYPERLINK("#",""), HYPERLINK(CONCATENATE("#metadata!", ADDRESS(INDEX($Y$2:$Y$1001,MATCH(ROWS($W$2:W279),$W$2:$W$1001,0),0), INDEX($AD$1004:$AU$1004,1,MATCH(COLUMNS($AD$1006:AD1006),$AD$1006:$AU$1006,0)))),"Fix")))</f>
        <v xml:space="preserve"> </v>
      </c>
      <c r="C279" s="4" t="str">
        <f ca="1">IF(OR(INDEX($X$2:$X$1001,MATCH(ROWS($W$2:W279),$W$2:$W$1001,0),1)&gt;=100000,INDEX($AD$1005:$AU$1005,1,MATCH(COLUMNS($AD$1006:AE1006),$AD$1006:$AU$1006,0))&gt;=100000), " ",IF(INDEX($AD$2:$AU$1001,MATCH(ROWS($W$2:W279),$W$2:$W$1001,0),MATCH(COLUMNS($AD$1006:AE1006),$AD$1006:$AU$1006,0)), HYPERLINK("#",""), HYPERLINK(CONCATENATE("#metadata!", ADDRESS(INDEX($Y$2:$Y$1001,MATCH(ROWS($W$2:W279),$W$2:$W$1001,0),0), INDEX($AD$1004:$AU$1004,1,MATCH(COLUMNS($AD$1006:AE1006),$AD$1006:$AU$1006,0)))),"Fix")))</f>
        <v xml:space="preserve"> </v>
      </c>
      <c r="D279" s="4" t="str">
        <f ca="1">IF(OR(INDEX($X$2:$X$1001,MATCH(ROWS($W$2:W279),$W$2:$W$1001,0),1)&gt;=100000,INDEX($AD$1005:$AU$1005,1,MATCH(COLUMNS($AD$1006:AF1006),$AD$1006:$AU$1006,0))&gt;=100000), " ",IF(INDEX($AD$2:$AU$1001,MATCH(ROWS($W$2:W279),$W$2:$W$1001,0),MATCH(COLUMNS($AD$1006:AF1006),$AD$1006:$AU$1006,0)), HYPERLINK("#",""), HYPERLINK(CONCATENATE("#metadata!", ADDRESS(INDEX($Y$2:$Y$1001,MATCH(ROWS($W$2:W279),$W$2:$W$1001,0),0), INDEX($AD$1004:$AU$1004,1,MATCH(COLUMNS($AD$1006:AF1006),$AD$1006:$AU$1006,0)))),"Fix")))</f>
        <v xml:space="preserve"> </v>
      </c>
      <c r="E279" s="4" t="str">
        <f ca="1">IF(OR(INDEX($X$2:$X$1001,MATCH(ROWS($W$2:W279),$W$2:$W$1001,0),1)&gt;=100000,INDEX($AD$1005:$AU$1005,1,MATCH(COLUMNS($AD$1006:AG1006),$AD$1006:$AU$1006,0))&gt;=100000), " ",IF(INDEX($AD$2:$AU$1001,MATCH(ROWS($W$2:W279),$W$2:$W$1001,0),MATCH(COLUMNS($AD$1006:AG1006),$AD$1006:$AU$1006,0)), HYPERLINK("#",""), HYPERLINK(CONCATENATE("#metadata!", ADDRESS(INDEX($Y$2:$Y$1001,MATCH(ROWS($W$2:W279),$W$2:$W$1001,0),0), INDEX($AD$1004:$AU$1004,1,MATCH(COLUMNS($AD$1006:AG1006),$AD$1006:$AU$1006,0)))),"Fix")))</f>
        <v xml:space="preserve"> </v>
      </c>
      <c r="F279" s="4" t="str">
        <f ca="1">IF(OR(INDEX($X$2:$X$1001,MATCH(ROWS($W$2:W279),$W$2:$W$1001,0),1)&gt;=100000,INDEX($AD$1005:$AU$1005,1,MATCH(COLUMNS($AD$1006:AH1006),$AD$1006:$AU$1006,0))&gt;=100000), " ",IF(INDEX($AD$2:$AU$1001,MATCH(ROWS($W$2:W279),$W$2:$W$1001,0),MATCH(COLUMNS($AD$1006:AH1006),$AD$1006:$AU$1006,0)), HYPERLINK("#",""), HYPERLINK(CONCATENATE("#metadata!", ADDRESS(INDEX($Y$2:$Y$1001,MATCH(ROWS($W$2:W279),$W$2:$W$1001,0),0), INDEX($AD$1004:$AU$1004,1,MATCH(COLUMNS($AD$1006:AH1006),$AD$1006:$AU$1006,0)))),"Fix")))</f>
        <v xml:space="preserve"> </v>
      </c>
      <c r="G279" s="4" t="str">
        <f ca="1">IF(OR(INDEX($X$2:$X$1001,MATCH(ROWS($W$2:W279),$W$2:$W$1001,0),1)&gt;=100000,INDEX($AD$1005:$AU$1005,1,MATCH(COLUMNS($AD$1006:AI1006),$AD$1006:$AU$1006,0))&gt;=100000), " ",IF(INDEX($AD$2:$AU$1001,MATCH(ROWS($W$2:W279),$W$2:$W$1001,0),MATCH(COLUMNS($AD$1006:AI1006),$AD$1006:$AU$1006,0)), HYPERLINK("#",""), HYPERLINK(CONCATENATE("#metadata!", ADDRESS(INDEX($Y$2:$Y$1001,MATCH(ROWS($W$2:W279),$W$2:$W$1001,0),0), INDEX($AD$1004:$AU$1004,1,MATCH(COLUMNS($AD$1006:AI1006),$AD$1006:$AU$1006,0)))),"Fix")))</f>
        <v xml:space="preserve"> </v>
      </c>
      <c r="H279" s="4" t="str">
        <f ca="1">IF(OR(INDEX($X$2:$X$1001,MATCH(ROWS($W$2:W279),$W$2:$W$1001,0),1)&gt;=100000,INDEX($AD$1005:$AU$1005,1,MATCH(COLUMNS($AD$1006:AJ1006),$AD$1006:$AU$1006,0))&gt;=100000), " ",IF(INDEX($AD$2:$AU$1001,MATCH(ROWS($W$2:W279),$W$2:$W$1001,0),MATCH(COLUMNS($AD$1006:AJ1006),$AD$1006:$AU$1006,0)), HYPERLINK("#",""), HYPERLINK(CONCATENATE("#metadata!", ADDRESS(INDEX($Y$2:$Y$1001,MATCH(ROWS($W$2:W279),$W$2:$W$1001,0),0), INDEX($AD$1004:$AU$1004,1,MATCH(COLUMNS($AD$1006:AJ1006),$AD$1006:$AU$1006,0)))),"Fix")))</f>
        <v xml:space="preserve"> </v>
      </c>
      <c r="I279" s="4" t="str">
        <f ca="1">IF(OR(INDEX($X$2:$X$1001,MATCH(ROWS($W$2:W279),$W$2:$W$1001,0),1)&gt;=100000,INDEX($AD$1005:$AU$1005,1,MATCH(COLUMNS($AD$1006:AK1006),$AD$1006:$AU$1006,0))&gt;=100000), " ",IF(INDEX($AD$2:$AU$1001,MATCH(ROWS($W$2:W279),$W$2:$W$1001,0),MATCH(COLUMNS($AD$1006:AK1006),$AD$1006:$AU$1006,0)), HYPERLINK("#",""), HYPERLINK(CONCATENATE("#metadata!", ADDRESS(INDEX($Y$2:$Y$1001,MATCH(ROWS($W$2:W279),$W$2:$W$1001,0),0), INDEX($AD$1004:$AU$1004,1,MATCH(COLUMNS($AD$1006:AK1006),$AD$1006:$AU$1006,0)))),"Fix")))</f>
        <v xml:space="preserve"> </v>
      </c>
      <c r="J279" s="4" t="str">
        <f ca="1">IF(OR(INDEX($X$2:$X$1001,MATCH(ROWS($W$2:W279),$W$2:$W$1001,0),1)&gt;=100000,INDEX($AD$1005:$AU$1005,1,MATCH(COLUMNS($AD$1006:AL1006),$AD$1006:$AU$1006,0))&gt;=100000), " ",IF(INDEX($AD$2:$AU$1001,MATCH(ROWS($W$2:W279),$W$2:$W$1001,0),MATCH(COLUMNS($AD$1006:AL1006),$AD$1006:$AU$1006,0)), HYPERLINK("#",""), HYPERLINK(CONCATENATE("#metadata!", ADDRESS(INDEX($Y$2:$Y$1001,MATCH(ROWS($W$2:W279),$W$2:$W$1001,0),0), INDEX($AD$1004:$AU$1004,1,MATCH(COLUMNS($AD$1006:AL1006),$AD$1006:$AU$1006,0)))),"Fix")))</f>
        <v xml:space="preserve"> </v>
      </c>
      <c r="K279" s="4" t="str">
        <f ca="1">IF(OR(INDEX($X$2:$X$1001,MATCH(ROWS($W$2:W279),$W$2:$W$1001,0),1)&gt;=100000,INDEX($AD$1005:$AU$1005,1,MATCH(COLUMNS($AD$1006:AM1006),$AD$1006:$AU$1006,0))&gt;=100000), " ",IF(INDEX($AD$2:$AU$1001,MATCH(ROWS($W$2:W279),$W$2:$W$1001,0),MATCH(COLUMNS($AD$1006:AM1006),$AD$1006:$AU$1006,0)), HYPERLINK("#",""), HYPERLINK(CONCATENATE("#metadata!", ADDRESS(INDEX($Y$2:$Y$1001,MATCH(ROWS($W$2:W279),$W$2:$W$1001,0),0), INDEX($AD$1004:$AU$1004,1,MATCH(COLUMNS($AD$1006:AM1006),$AD$1006:$AU$1006,0)))),"Fix")))</f>
        <v xml:space="preserve"> </v>
      </c>
      <c r="L279" s="4" t="str">
        <f ca="1">IF(OR(INDEX($X$2:$X$1001,MATCH(ROWS($W$2:W279),$W$2:$W$1001,0),1)&gt;=100000,INDEX($AD$1005:$AU$1005,1,MATCH(COLUMNS($AD$1006:AN1006),$AD$1006:$AU$1006,0))&gt;=100000), " ",IF(INDEX($AD$2:$AU$1001,MATCH(ROWS($W$2:W279),$W$2:$W$1001,0),MATCH(COLUMNS($AD$1006:AN1006),$AD$1006:$AU$1006,0)), HYPERLINK("#",""), HYPERLINK(CONCATENATE("#metadata!", ADDRESS(INDEX($Y$2:$Y$1001,MATCH(ROWS($W$2:W279),$W$2:$W$1001,0),0), INDEX($AD$1004:$AU$1004,1,MATCH(COLUMNS($AD$1006:AN1006),$AD$1006:$AU$1006,0)))),"Fix")))</f>
        <v xml:space="preserve"> </v>
      </c>
      <c r="M279" s="4" t="str">
        <f ca="1">IF(OR(INDEX($X$2:$X$1001,MATCH(ROWS($W$2:W279),$W$2:$W$1001,0),1)&gt;=100000,INDEX($AD$1005:$AU$1005,1,MATCH(COLUMNS($AD$1006:AO1006),$AD$1006:$AU$1006,0))&gt;=100000), " ",IF(INDEX($AD$2:$AU$1001,MATCH(ROWS($W$2:W279),$W$2:$W$1001,0),MATCH(COLUMNS($AD$1006:AO1006),$AD$1006:$AU$1006,0)), HYPERLINK("#",""), HYPERLINK(CONCATENATE("#metadata!", ADDRESS(INDEX($Y$2:$Y$1001,MATCH(ROWS($W$2:W279),$W$2:$W$1001,0),0), INDEX($AD$1004:$AU$1004,1,MATCH(COLUMNS($AD$1006:AO1006),$AD$1006:$AU$1006,0)))),"Fix")))</f>
        <v xml:space="preserve"> </v>
      </c>
      <c r="N279" s="4" t="str">
        <f ca="1">IF(OR(INDEX($X$2:$X$1001,MATCH(ROWS($W$2:W279),$W$2:$W$1001,0),1)&gt;=100000,INDEX($AD$1005:$AU$1005,1,MATCH(COLUMNS($AD$1006:AP1006),$AD$1006:$AU$1006,0))&gt;=100000), " ",IF(INDEX($AD$2:$AU$1001,MATCH(ROWS($W$2:W279),$W$2:$W$1001,0),MATCH(COLUMNS($AD$1006:AP1006),$AD$1006:$AU$1006,0)), HYPERLINK("#",""), HYPERLINK(CONCATENATE("#metadata!", ADDRESS(INDEX($Y$2:$Y$1001,MATCH(ROWS($W$2:W279),$W$2:$W$1001,0),0), INDEX($AD$1004:$AU$1004,1,MATCH(COLUMNS($AD$1006:AP1006),$AD$1006:$AU$1006,0)))),"Fix")))</f>
        <v xml:space="preserve"> </v>
      </c>
      <c r="O279" s="4" t="str">
        <f ca="1">IF(OR(INDEX($X$2:$X$1001,MATCH(ROWS($W$2:W279),$W$2:$W$1001,0),1)&gt;=100000,INDEX($AD$1005:$AU$1005,1,MATCH(COLUMNS($AD$1006:AQ1006),$AD$1006:$AU$1006,0))&gt;=100000), " ",IF(INDEX($AD$2:$AU$1001,MATCH(ROWS($W$2:W279),$W$2:$W$1001,0),MATCH(COLUMNS($AD$1006:AQ1006),$AD$1006:$AU$1006,0)), HYPERLINK("#",""), HYPERLINK(CONCATENATE("#metadata!", ADDRESS(INDEX($Y$2:$Y$1001,MATCH(ROWS($W$2:W279),$W$2:$W$1001,0),0), INDEX($AD$1004:$AU$1004,1,MATCH(COLUMNS($AD$1006:AQ1006),$AD$1006:$AU$1006,0)))),"Fix")))</f>
        <v xml:space="preserve"> </v>
      </c>
      <c r="P279" s="4" t="str">
        <f ca="1">IF(OR(INDEX($X$2:$X$1001,MATCH(ROWS($W$2:W279),$W$2:$W$1001,0),1)&gt;=100000,INDEX($AD$1005:$AU$1005,1,MATCH(COLUMNS($AD$1006:AR1006),$AD$1006:$AU$1006,0))&gt;=100000), " ",IF(INDEX($AD$2:$AU$1001,MATCH(ROWS($W$2:W279),$W$2:$W$1001,0),MATCH(COLUMNS($AD$1006:AR1006),$AD$1006:$AU$1006,0)), HYPERLINK("#",""), HYPERLINK(CONCATENATE("#metadata!", ADDRESS(INDEX($Y$2:$Y$1001,MATCH(ROWS($W$2:W279),$W$2:$W$1001,0),0), INDEX($AD$1004:$AU$1004,1,MATCH(COLUMNS($AD$1006:AR1006),$AD$1006:$AU$1006,0)))),"Fix")))</f>
        <v xml:space="preserve"> </v>
      </c>
      <c r="Q279" s="4" t="str">
        <f ca="1">IF(OR(INDEX($X$2:$X$1001,MATCH(ROWS($W$2:W279),$W$2:$W$1001,0),1)&gt;=100000,INDEX($AD$1005:$AU$1005,1,MATCH(COLUMNS($AD$1006:AS1006),$AD$1006:$AU$1006,0))&gt;=100000), " ",IF(INDEX($AD$2:$AU$1001,MATCH(ROWS($W$2:W279),$W$2:$W$1001,0),MATCH(COLUMNS($AD$1006:AS1006),$AD$1006:$AU$1006,0)), HYPERLINK("#",""), HYPERLINK(CONCATENATE("#metadata!", ADDRESS(INDEX($Y$2:$Y$1001,MATCH(ROWS($W$2:W279),$W$2:$W$1001,0),0), INDEX($AD$1004:$AU$1004,1,MATCH(COLUMNS($AD$1006:AS1006),$AD$1006:$AU$1006,0)))),"Fix")))</f>
        <v xml:space="preserve"> </v>
      </c>
      <c r="R279" s="4" t="str">
        <f ca="1">IF(OR(INDEX($X$2:$X$1001,MATCH(ROWS($W$2:W279),$W$2:$W$1001,0),1)&gt;=100000,INDEX($AD$1005:$AU$1005,1,MATCH(COLUMNS($AD$1006:AT1006),$AD$1006:$AU$1006,0))&gt;=100000), " ",IF(INDEX($AD$2:$AU$1001,MATCH(ROWS($W$2:W279),$W$2:$W$1001,0),MATCH(COLUMNS($AD$1006:AT1006),$AD$1006:$AU$1006,0)), HYPERLINK("#",""), HYPERLINK(CONCATENATE("#metadata!", ADDRESS(INDEX($Y$2:$Y$1001,MATCH(ROWS($W$2:W279),$W$2:$W$1001,0),0), INDEX($AD$1004:$AU$1004,1,MATCH(COLUMNS($AD$1006:AT1006),$AD$1006:$AU$1006,0)))),"Fix")))</f>
        <v xml:space="preserve"> </v>
      </c>
      <c r="S279" s="4" t="str">
        <f ca="1">IF(OR(INDEX($X$2:$X$1001,MATCH(ROWS($W$2:W279),$W$2:$W$1001,0),1)&gt;=100000,INDEX($AD$1005:$AU$1005,1,MATCH(COLUMNS($AD$1006:AU1006),$AD$1006:$AU$1006,0))&gt;=100000), " ",IF(INDEX($AD$2:$AU$1001,MATCH(ROWS($W$2:W279),$W$2:$W$1001,0),MATCH(COLUMNS($AD$1006:AU1006),$AD$1006:$AU$1006,0)), HYPERLINK("#",""), HYPERLINK(CONCATENATE("#metadata!", ADDRESS(INDEX($Y$2:$Y$1001,MATCH(ROWS($W$2:W279),$W$2:$W$1001,0),0), INDEX($AD$1004:$AU$1004,1,MATCH(COLUMNS($AD$1006:AU1006),$AD$1006:$AU$1006,0)))),"Fix")))</f>
        <v xml:space="preserve"> </v>
      </c>
      <c r="W279">
        <v>278</v>
      </c>
      <c r="X279">
        <v>100279</v>
      </c>
      <c r="Y279">
        <v>279</v>
      </c>
      <c r="Z279" t="b">
        <f t="shared" si="4"/>
        <v>1</v>
      </c>
      <c r="AA279" t="b">
        <f>COUNTBLANK(metadata!B279:S279)=COLUMNS(metadata!B279:S279)</f>
        <v>1</v>
      </c>
      <c r="AB279" t="str">
        <v/>
      </c>
      <c r="AD279" t="b">
        <f ca="1">AND(IF(metadata!B279="",FALSE,TRUE),COUNTIF(metadata!B:B, metadata!B279) = 1,NOT(ISERROR(SUMPRODUCT(SEARCH(MID(metadata!B279,ROW(INDIRECT("1:"&amp;LEN(metadata!B279))), 1),"0123456789abcdefghijklmnopqrstuvwxyzABCDEFGHIJKLMNOPQRSTUVWXYZ.")))))</f>
        <v>0</v>
      </c>
      <c r="AE279" t="b">
        <f>OR(AND(IF(metadata!C279="",FALSE,TRUE),OR(EXACT(metadata!C279,"not applicable"),EXACT(metadata!C279,"missing: not collected"),EXACT(metadata!C279,"missing: not provided"),EXACT(metadata!C279,"missing: restricted access"))),AND(IF(metadata!C279="",FALSE,ISNUMBER(VALUE(metadata!C279))),metadata!C279&gt;0))</f>
        <v>0</v>
      </c>
      <c r="AF279" t="b">
        <f>AND(IF(metadata!D279="",FALSE,TRUE),EXACT(metadata!D279,"missing: not provided"))</f>
        <v>0</v>
      </c>
      <c r="AG279" t="b">
        <f>AND(IF(metadata!E279="",FALSE,TRUE),EXACT(metadata!E279,"Host-associated"))</f>
        <v>0</v>
      </c>
      <c r="AH279" t="b">
        <f>AND(IF(metadata!F279="",FALSE,TRUE),OR(EXACT(metadata!F279,"Animal"),EXACT(metadata!F279,"Fungus"),EXACT(metadata!F279,"Plant")))</f>
        <v>0</v>
      </c>
      <c r="AI279" t="b">
        <f>AND(IF(metadata!G279="",FALSE,TRUE),OR(EXACT(metadata!G279,"Plant secretion"),EXACT(metadata!G279,"Plant rhizosphere"),EXACT(metadata!G279,"Plant surface"),EXACT(metadata!G279,"Plant corpus"),EXACT(metadata!G279,"Fungus surface"),EXACT(metadata!G279,"Fungus corpus"),EXACT(metadata!G279,"Animal surface"),EXACT(metadata!G279,"Animal proximal gut"),EXACT(metadata!G279,"Animal corpus"),EXACT(metadata!G279,"Animal distal gut"),EXACT(metadata!G279,"Animal secretion")))</f>
        <v>0</v>
      </c>
      <c r="AJ279" t="b">
        <f>OR(AND(IF(metadata!H279="",FALSE,TRUE),OR(EXACT(metadata!H279,"missing: not collected"),EXACT(metadata!H279,"missing: not provided"),EXACT(metadata!H279,"missing: restricted access"))),AND(IF(metadata!H279="",FALSE,TRUE),OR(EXACT(metadata!H279,"organism-associated habitat"),EXACT(metadata!H279,"plant-associated habitat"),EXACT(metadata!H279,"animal-associated habitat"),EXACT(metadata!H279,"insecta-associated habitat"),EXACT(metadata!H279,"mammalia-associated habitat"),EXACT(metadata!H279,"human-associated habitat"),EXACT(metadata!H279,"livestock-associated habitat"))))</f>
        <v>0</v>
      </c>
      <c r="AK279" t="b">
        <f>AND(IF(metadata!I279="",FALSE,TRUE),EXACT(metadata!I279,"host-associated"))</f>
        <v>0</v>
      </c>
      <c r="AL279" t="b">
        <f>OR(AND(IF(metadata!J279="",FALSE,TRUE),OR(EXACT(metadata!J279,"not applicable"),EXACT(metadata!J279,"missing: not collected"),EXACT(metadata!J279,"missing: not provided"),EXACT(metadata!J279,"missing: restricted access"))),AND(IF(metadata!J279="",FALSE,ISNUMBER(VALUE(metadata!J279))),metadata!J279&gt;0))</f>
        <v>0</v>
      </c>
      <c r="AM279" t="b">
        <f>AND(IF(metadata!K279="",FALSE,TRUE),EXACT(metadata!K279,"missing: not provided"))</f>
        <v>0</v>
      </c>
      <c r="AN279" t="b">
        <f>IF(metadata!L279="",FALSE,TRUE)</f>
        <v>0</v>
      </c>
      <c r="AO279" t="b">
        <f>IF(metadata!M279="",FALSE,TRUE)</f>
        <v>0</v>
      </c>
      <c r="AP279" t="b">
        <f>OR(AND(IF(metadata!N279="",FALSE,TRUE),OR(EXACT(metadata!N279,"not applicable"),EXACT(metadata!N279,"missing: not collected"),EXACT(metadata!N279,"missing: not provided"))),AND(IF(metadata!N279="",FALSE,IF(ISERROR(INT(metadata!N279)),FALSE,INT(metadata!N279)=metadata!N279)),metadata!N279&gt;0))</f>
        <v>0</v>
      </c>
      <c r="AQ279" t="b">
        <f>AND(IF(metadata!O279="",FALSE,TRUE),EXACT(metadata!O279,"Not applicable"))</f>
        <v>0</v>
      </c>
      <c r="AR279" t="b">
        <f>OR(AND(IF(metadata!P279="",FALSE,TRUE),OR(EXACT(metadata!P279,"not applicable"),EXACT(metadata!P279,"missing: not collected"),EXACT(metadata!P279,"missing: not provided"),EXACT(metadata!P279,"missing: restricted access"))),IF(metadata!P279="",FALSE,IF(ISERROR(INT(metadata!P279)),FALSE,INT(metadata!P279)=metadata!P279)))</f>
        <v>0</v>
      </c>
      <c r="AS279" t="b">
        <f>AND(IF(metadata!Q279="",FALSE,TRUE),EXACT(metadata!Q279,"Not applicable"))</f>
        <v>0</v>
      </c>
      <c r="AT279" t="b">
        <f>OR(AND(IF(metadata!R279="",FALSE,TRUE),OR(EXACT(metadata!R279,"not applicable"),EXACT(metadata!R279,"missing: not collected"),EXACT(metadata!R279,"missing: not provided"),EXACT(metadata!R279,"missing: restricted access"))),AND(IF(metadata!R279="",FALSE,ISNUMBER(VALUE(metadata!R279))),metadata!R279&gt;0))</f>
        <v>0</v>
      </c>
      <c r="AU279" t="b">
        <f>AND(IF(metadata!S279="",FALSE,TRUE),EXACT(metadata!S279,"missing: not provided"))</f>
        <v>0</v>
      </c>
    </row>
    <row r="280" spans="1:47" x14ac:dyDescent="0.2">
      <c r="A280" s="5" t="str">
        <f ca="1">IF(B280=" "," ",HYPERLINK(CONCATENATE("#metadata!",ADDRESS(INDEX($Y$2:$Y$1001,MATCH(ROWS($W$2:W280),$W$2:$W$1001,0),0),1)),INDEX($AB$2:$AB$1001,MATCH(ROWS($W$2:W280),$W$2:$W$1001,0),0)))</f>
        <v xml:space="preserve"> </v>
      </c>
      <c r="B280" s="4" t="str">
        <f ca="1">IF(OR(INDEX($X$2:$X$1001,MATCH(ROWS($W$2:W280),$W$2:$W$1001,0),1)&gt;=100000,INDEX($AD$1005:$AU$1005,1,MATCH(COLUMNS($AD$1006:AD1006),$AD$1006:$AU$1006,0))&gt;=100000), " ",IF(INDEX($AD$2:$AU$1001,MATCH(ROWS($W$2:W280),$W$2:$W$1001,0),MATCH(COLUMNS($AD$1006:AD1006),$AD$1006:$AU$1006,0)), HYPERLINK("#",""), HYPERLINK(CONCATENATE("#metadata!", ADDRESS(INDEX($Y$2:$Y$1001,MATCH(ROWS($W$2:W280),$W$2:$W$1001,0),0), INDEX($AD$1004:$AU$1004,1,MATCH(COLUMNS($AD$1006:AD1006),$AD$1006:$AU$1006,0)))),"Fix")))</f>
        <v xml:space="preserve"> </v>
      </c>
      <c r="C280" s="4" t="str">
        <f ca="1">IF(OR(INDEX($X$2:$X$1001,MATCH(ROWS($W$2:W280),$W$2:$W$1001,0),1)&gt;=100000,INDEX($AD$1005:$AU$1005,1,MATCH(COLUMNS($AD$1006:AE1006),$AD$1006:$AU$1006,0))&gt;=100000), " ",IF(INDEX($AD$2:$AU$1001,MATCH(ROWS($W$2:W280),$W$2:$W$1001,0),MATCH(COLUMNS($AD$1006:AE1006),$AD$1006:$AU$1006,0)), HYPERLINK("#",""), HYPERLINK(CONCATENATE("#metadata!", ADDRESS(INDEX($Y$2:$Y$1001,MATCH(ROWS($W$2:W280),$W$2:$W$1001,0),0), INDEX($AD$1004:$AU$1004,1,MATCH(COLUMNS($AD$1006:AE1006),$AD$1006:$AU$1006,0)))),"Fix")))</f>
        <v xml:space="preserve"> </v>
      </c>
      <c r="D280" s="4" t="str">
        <f ca="1">IF(OR(INDEX($X$2:$X$1001,MATCH(ROWS($W$2:W280),$W$2:$W$1001,0),1)&gt;=100000,INDEX($AD$1005:$AU$1005,1,MATCH(COLUMNS($AD$1006:AF1006),$AD$1006:$AU$1006,0))&gt;=100000), " ",IF(INDEX($AD$2:$AU$1001,MATCH(ROWS($W$2:W280),$W$2:$W$1001,0),MATCH(COLUMNS($AD$1006:AF1006),$AD$1006:$AU$1006,0)), HYPERLINK("#",""), HYPERLINK(CONCATENATE("#metadata!", ADDRESS(INDEX($Y$2:$Y$1001,MATCH(ROWS($W$2:W280),$W$2:$W$1001,0),0), INDEX($AD$1004:$AU$1004,1,MATCH(COLUMNS($AD$1006:AF1006),$AD$1006:$AU$1006,0)))),"Fix")))</f>
        <v xml:space="preserve"> </v>
      </c>
      <c r="E280" s="4" t="str">
        <f ca="1">IF(OR(INDEX($X$2:$X$1001,MATCH(ROWS($W$2:W280),$W$2:$W$1001,0),1)&gt;=100000,INDEX($AD$1005:$AU$1005,1,MATCH(COLUMNS($AD$1006:AG1006),$AD$1006:$AU$1006,0))&gt;=100000), " ",IF(INDEX($AD$2:$AU$1001,MATCH(ROWS($W$2:W280),$W$2:$W$1001,0),MATCH(COLUMNS($AD$1006:AG1006),$AD$1006:$AU$1006,0)), HYPERLINK("#",""), HYPERLINK(CONCATENATE("#metadata!", ADDRESS(INDEX($Y$2:$Y$1001,MATCH(ROWS($W$2:W280),$W$2:$W$1001,0),0), INDEX($AD$1004:$AU$1004,1,MATCH(COLUMNS($AD$1006:AG1006),$AD$1006:$AU$1006,0)))),"Fix")))</f>
        <v xml:space="preserve"> </v>
      </c>
      <c r="F280" s="4" t="str">
        <f ca="1">IF(OR(INDEX($X$2:$X$1001,MATCH(ROWS($W$2:W280),$W$2:$W$1001,0),1)&gt;=100000,INDEX($AD$1005:$AU$1005,1,MATCH(COLUMNS($AD$1006:AH1006),$AD$1006:$AU$1006,0))&gt;=100000), " ",IF(INDEX($AD$2:$AU$1001,MATCH(ROWS($W$2:W280),$W$2:$W$1001,0),MATCH(COLUMNS($AD$1006:AH1006),$AD$1006:$AU$1006,0)), HYPERLINK("#",""), HYPERLINK(CONCATENATE("#metadata!", ADDRESS(INDEX($Y$2:$Y$1001,MATCH(ROWS($W$2:W280),$W$2:$W$1001,0),0), INDEX($AD$1004:$AU$1004,1,MATCH(COLUMNS($AD$1006:AH1006),$AD$1006:$AU$1006,0)))),"Fix")))</f>
        <v xml:space="preserve"> </v>
      </c>
      <c r="G280" s="4" t="str">
        <f ca="1">IF(OR(INDEX($X$2:$X$1001,MATCH(ROWS($W$2:W280),$W$2:$W$1001,0),1)&gt;=100000,INDEX($AD$1005:$AU$1005,1,MATCH(COLUMNS($AD$1006:AI1006),$AD$1006:$AU$1006,0))&gt;=100000), " ",IF(INDEX($AD$2:$AU$1001,MATCH(ROWS($W$2:W280),$W$2:$W$1001,0),MATCH(COLUMNS($AD$1006:AI1006),$AD$1006:$AU$1006,0)), HYPERLINK("#",""), HYPERLINK(CONCATENATE("#metadata!", ADDRESS(INDEX($Y$2:$Y$1001,MATCH(ROWS($W$2:W280),$W$2:$W$1001,0),0), INDEX($AD$1004:$AU$1004,1,MATCH(COLUMNS($AD$1006:AI1006),$AD$1006:$AU$1006,0)))),"Fix")))</f>
        <v xml:space="preserve"> </v>
      </c>
      <c r="H280" s="4" t="str">
        <f ca="1">IF(OR(INDEX($X$2:$X$1001,MATCH(ROWS($W$2:W280),$W$2:$W$1001,0),1)&gt;=100000,INDEX($AD$1005:$AU$1005,1,MATCH(COLUMNS($AD$1006:AJ1006),$AD$1006:$AU$1006,0))&gt;=100000), " ",IF(INDEX($AD$2:$AU$1001,MATCH(ROWS($W$2:W280),$W$2:$W$1001,0),MATCH(COLUMNS($AD$1006:AJ1006),$AD$1006:$AU$1006,0)), HYPERLINK("#",""), HYPERLINK(CONCATENATE("#metadata!", ADDRESS(INDEX($Y$2:$Y$1001,MATCH(ROWS($W$2:W280),$W$2:$W$1001,0),0), INDEX($AD$1004:$AU$1004,1,MATCH(COLUMNS($AD$1006:AJ1006),$AD$1006:$AU$1006,0)))),"Fix")))</f>
        <v xml:space="preserve"> </v>
      </c>
      <c r="I280" s="4" t="str">
        <f ca="1">IF(OR(INDEX($X$2:$X$1001,MATCH(ROWS($W$2:W280),$W$2:$W$1001,0),1)&gt;=100000,INDEX($AD$1005:$AU$1005,1,MATCH(COLUMNS($AD$1006:AK1006),$AD$1006:$AU$1006,0))&gt;=100000), " ",IF(INDEX($AD$2:$AU$1001,MATCH(ROWS($W$2:W280),$W$2:$W$1001,0),MATCH(COLUMNS($AD$1006:AK1006),$AD$1006:$AU$1006,0)), HYPERLINK("#",""), HYPERLINK(CONCATENATE("#metadata!", ADDRESS(INDEX($Y$2:$Y$1001,MATCH(ROWS($W$2:W280),$W$2:$W$1001,0),0), INDEX($AD$1004:$AU$1004,1,MATCH(COLUMNS($AD$1006:AK1006),$AD$1006:$AU$1006,0)))),"Fix")))</f>
        <v xml:space="preserve"> </v>
      </c>
      <c r="J280" s="4" t="str">
        <f ca="1">IF(OR(INDEX($X$2:$X$1001,MATCH(ROWS($W$2:W280),$W$2:$W$1001,0),1)&gt;=100000,INDEX($AD$1005:$AU$1005,1,MATCH(COLUMNS($AD$1006:AL1006),$AD$1006:$AU$1006,0))&gt;=100000), " ",IF(INDEX($AD$2:$AU$1001,MATCH(ROWS($W$2:W280),$W$2:$W$1001,0),MATCH(COLUMNS($AD$1006:AL1006),$AD$1006:$AU$1006,0)), HYPERLINK("#",""), HYPERLINK(CONCATENATE("#metadata!", ADDRESS(INDEX($Y$2:$Y$1001,MATCH(ROWS($W$2:W280),$W$2:$W$1001,0),0), INDEX($AD$1004:$AU$1004,1,MATCH(COLUMNS($AD$1006:AL1006),$AD$1006:$AU$1006,0)))),"Fix")))</f>
        <v xml:space="preserve"> </v>
      </c>
      <c r="K280" s="4" t="str">
        <f ca="1">IF(OR(INDEX($X$2:$X$1001,MATCH(ROWS($W$2:W280),$W$2:$W$1001,0),1)&gt;=100000,INDEX($AD$1005:$AU$1005,1,MATCH(COLUMNS($AD$1006:AM1006),$AD$1006:$AU$1006,0))&gt;=100000), " ",IF(INDEX($AD$2:$AU$1001,MATCH(ROWS($W$2:W280),$W$2:$W$1001,0),MATCH(COLUMNS($AD$1006:AM1006),$AD$1006:$AU$1006,0)), HYPERLINK("#",""), HYPERLINK(CONCATENATE("#metadata!", ADDRESS(INDEX($Y$2:$Y$1001,MATCH(ROWS($W$2:W280),$W$2:$W$1001,0),0), INDEX($AD$1004:$AU$1004,1,MATCH(COLUMNS($AD$1006:AM1006),$AD$1006:$AU$1006,0)))),"Fix")))</f>
        <v xml:space="preserve"> </v>
      </c>
      <c r="L280" s="4" t="str">
        <f ca="1">IF(OR(INDEX($X$2:$X$1001,MATCH(ROWS($W$2:W280),$W$2:$W$1001,0),1)&gt;=100000,INDEX($AD$1005:$AU$1005,1,MATCH(COLUMNS($AD$1006:AN1006),$AD$1006:$AU$1006,0))&gt;=100000), " ",IF(INDEX($AD$2:$AU$1001,MATCH(ROWS($W$2:W280),$W$2:$W$1001,0),MATCH(COLUMNS($AD$1006:AN1006),$AD$1006:$AU$1006,0)), HYPERLINK("#",""), HYPERLINK(CONCATENATE("#metadata!", ADDRESS(INDEX($Y$2:$Y$1001,MATCH(ROWS($W$2:W280),$W$2:$W$1001,0),0), INDEX($AD$1004:$AU$1004,1,MATCH(COLUMNS($AD$1006:AN1006),$AD$1006:$AU$1006,0)))),"Fix")))</f>
        <v xml:space="preserve"> </v>
      </c>
      <c r="M280" s="4" t="str">
        <f ca="1">IF(OR(INDEX($X$2:$X$1001,MATCH(ROWS($W$2:W280),$W$2:$W$1001,0),1)&gt;=100000,INDEX($AD$1005:$AU$1005,1,MATCH(COLUMNS($AD$1006:AO1006),$AD$1006:$AU$1006,0))&gt;=100000), " ",IF(INDEX($AD$2:$AU$1001,MATCH(ROWS($W$2:W280),$W$2:$W$1001,0),MATCH(COLUMNS($AD$1006:AO1006),$AD$1006:$AU$1006,0)), HYPERLINK("#",""), HYPERLINK(CONCATENATE("#metadata!", ADDRESS(INDEX($Y$2:$Y$1001,MATCH(ROWS($W$2:W280),$W$2:$W$1001,0),0), INDEX($AD$1004:$AU$1004,1,MATCH(COLUMNS($AD$1006:AO1006),$AD$1006:$AU$1006,0)))),"Fix")))</f>
        <v xml:space="preserve"> </v>
      </c>
      <c r="N280" s="4" t="str">
        <f ca="1">IF(OR(INDEX($X$2:$X$1001,MATCH(ROWS($W$2:W280),$W$2:$W$1001,0),1)&gt;=100000,INDEX($AD$1005:$AU$1005,1,MATCH(COLUMNS($AD$1006:AP1006),$AD$1006:$AU$1006,0))&gt;=100000), " ",IF(INDEX($AD$2:$AU$1001,MATCH(ROWS($W$2:W280),$W$2:$W$1001,0),MATCH(COLUMNS($AD$1006:AP1006),$AD$1006:$AU$1006,0)), HYPERLINK("#",""), HYPERLINK(CONCATENATE("#metadata!", ADDRESS(INDEX($Y$2:$Y$1001,MATCH(ROWS($W$2:W280),$W$2:$W$1001,0),0), INDEX($AD$1004:$AU$1004,1,MATCH(COLUMNS($AD$1006:AP1006),$AD$1006:$AU$1006,0)))),"Fix")))</f>
        <v xml:space="preserve"> </v>
      </c>
      <c r="O280" s="4" t="str">
        <f ca="1">IF(OR(INDEX($X$2:$X$1001,MATCH(ROWS($W$2:W280),$W$2:$W$1001,0),1)&gt;=100000,INDEX($AD$1005:$AU$1005,1,MATCH(COLUMNS($AD$1006:AQ1006),$AD$1006:$AU$1006,0))&gt;=100000), " ",IF(INDEX($AD$2:$AU$1001,MATCH(ROWS($W$2:W280),$W$2:$W$1001,0),MATCH(COLUMNS($AD$1006:AQ1006),$AD$1006:$AU$1006,0)), HYPERLINK("#",""), HYPERLINK(CONCATENATE("#metadata!", ADDRESS(INDEX($Y$2:$Y$1001,MATCH(ROWS($W$2:W280),$W$2:$W$1001,0),0), INDEX($AD$1004:$AU$1004,1,MATCH(COLUMNS($AD$1006:AQ1006),$AD$1006:$AU$1006,0)))),"Fix")))</f>
        <v xml:space="preserve"> </v>
      </c>
      <c r="P280" s="4" t="str">
        <f ca="1">IF(OR(INDEX($X$2:$X$1001,MATCH(ROWS($W$2:W280),$W$2:$W$1001,0),1)&gt;=100000,INDEX($AD$1005:$AU$1005,1,MATCH(COLUMNS($AD$1006:AR1006),$AD$1006:$AU$1006,0))&gt;=100000), " ",IF(INDEX($AD$2:$AU$1001,MATCH(ROWS($W$2:W280),$W$2:$W$1001,0),MATCH(COLUMNS($AD$1006:AR1006),$AD$1006:$AU$1006,0)), HYPERLINK("#",""), HYPERLINK(CONCATENATE("#metadata!", ADDRESS(INDEX($Y$2:$Y$1001,MATCH(ROWS($W$2:W280),$W$2:$W$1001,0),0), INDEX($AD$1004:$AU$1004,1,MATCH(COLUMNS($AD$1006:AR1006),$AD$1006:$AU$1006,0)))),"Fix")))</f>
        <v xml:space="preserve"> </v>
      </c>
      <c r="Q280" s="4" t="str">
        <f ca="1">IF(OR(INDEX($X$2:$X$1001,MATCH(ROWS($W$2:W280),$W$2:$W$1001,0),1)&gt;=100000,INDEX($AD$1005:$AU$1005,1,MATCH(COLUMNS($AD$1006:AS1006),$AD$1006:$AU$1006,0))&gt;=100000), " ",IF(INDEX($AD$2:$AU$1001,MATCH(ROWS($W$2:W280),$W$2:$W$1001,0),MATCH(COLUMNS($AD$1006:AS1006),$AD$1006:$AU$1006,0)), HYPERLINK("#",""), HYPERLINK(CONCATENATE("#metadata!", ADDRESS(INDEX($Y$2:$Y$1001,MATCH(ROWS($W$2:W280),$W$2:$W$1001,0),0), INDEX($AD$1004:$AU$1004,1,MATCH(COLUMNS($AD$1006:AS1006),$AD$1006:$AU$1006,0)))),"Fix")))</f>
        <v xml:space="preserve"> </v>
      </c>
      <c r="R280" s="4" t="str">
        <f ca="1">IF(OR(INDEX($X$2:$X$1001,MATCH(ROWS($W$2:W280),$W$2:$W$1001,0),1)&gt;=100000,INDEX($AD$1005:$AU$1005,1,MATCH(COLUMNS($AD$1006:AT1006),$AD$1006:$AU$1006,0))&gt;=100000), " ",IF(INDEX($AD$2:$AU$1001,MATCH(ROWS($W$2:W280),$W$2:$W$1001,0),MATCH(COLUMNS($AD$1006:AT1006),$AD$1006:$AU$1006,0)), HYPERLINK("#",""), HYPERLINK(CONCATENATE("#metadata!", ADDRESS(INDEX($Y$2:$Y$1001,MATCH(ROWS($W$2:W280),$W$2:$W$1001,0),0), INDEX($AD$1004:$AU$1004,1,MATCH(COLUMNS($AD$1006:AT1006),$AD$1006:$AU$1006,0)))),"Fix")))</f>
        <v xml:space="preserve"> </v>
      </c>
      <c r="S280" s="4" t="str">
        <f ca="1">IF(OR(INDEX($X$2:$X$1001,MATCH(ROWS($W$2:W280),$W$2:$W$1001,0),1)&gt;=100000,INDEX($AD$1005:$AU$1005,1,MATCH(COLUMNS($AD$1006:AU1006),$AD$1006:$AU$1006,0))&gt;=100000), " ",IF(INDEX($AD$2:$AU$1001,MATCH(ROWS($W$2:W280),$W$2:$W$1001,0),MATCH(COLUMNS($AD$1006:AU1006),$AD$1006:$AU$1006,0)), HYPERLINK("#",""), HYPERLINK(CONCATENATE("#metadata!", ADDRESS(INDEX($Y$2:$Y$1001,MATCH(ROWS($W$2:W280),$W$2:$W$1001,0),0), INDEX($AD$1004:$AU$1004,1,MATCH(COLUMNS($AD$1006:AU1006),$AD$1006:$AU$1006,0)))),"Fix")))</f>
        <v xml:space="preserve"> </v>
      </c>
      <c r="W280">
        <v>279</v>
      </c>
      <c r="X280">
        <v>100280</v>
      </c>
      <c r="Y280">
        <v>280</v>
      </c>
      <c r="Z280" t="b">
        <f t="shared" si="4"/>
        <v>1</v>
      </c>
      <c r="AA280" t="b">
        <f>COUNTBLANK(metadata!B280:S280)=COLUMNS(metadata!B280:S280)</f>
        <v>1</v>
      </c>
      <c r="AB280" t="str">
        <v/>
      </c>
      <c r="AD280" t="b">
        <f ca="1">AND(IF(metadata!B280="",FALSE,TRUE),COUNTIF(metadata!B:B, metadata!B280) = 1,NOT(ISERROR(SUMPRODUCT(SEARCH(MID(metadata!B280,ROW(INDIRECT("1:"&amp;LEN(metadata!B280))), 1),"0123456789abcdefghijklmnopqrstuvwxyzABCDEFGHIJKLMNOPQRSTUVWXYZ.")))))</f>
        <v>0</v>
      </c>
      <c r="AE280" t="b">
        <f>OR(AND(IF(metadata!C280="",FALSE,TRUE),OR(EXACT(metadata!C280,"not applicable"),EXACT(metadata!C280,"missing: not collected"),EXACT(metadata!C280,"missing: not provided"),EXACT(metadata!C280,"missing: restricted access"))),AND(IF(metadata!C280="",FALSE,ISNUMBER(VALUE(metadata!C280))),metadata!C280&gt;0))</f>
        <v>0</v>
      </c>
      <c r="AF280" t="b">
        <f>AND(IF(metadata!D280="",FALSE,TRUE),EXACT(metadata!D280,"missing: not provided"))</f>
        <v>0</v>
      </c>
      <c r="AG280" t="b">
        <f>AND(IF(metadata!E280="",FALSE,TRUE),EXACT(metadata!E280,"Host-associated"))</f>
        <v>0</v>
      </c>
      <c r="AH280" t="b">
        <f>AND(IF(metadata!F280="",FALSE,TRUE),OR(EXACT(metadata!F280,"Animal"),EXACT(metadata!F280,"Fungus"),EXACT(metadata!F280,"Plant")))</f>
        <v>0</v>
      </c>
      <c r="AI280" t="b">
        <f>AND(IF(metadata!G280="",FALSE,TRUE),OR(EXACT(metadata!G280,"Plant secretion"),EXACT(metadata!G280,"Plant rhizosphere"),EXACT(metadata!G280,"Plant surface"),EXACT(metadata!G280,"Plant corpus"),EXACT(metadata!G280,"Fungus surface"),EXACT(metadata!G280,"Fungus corpus"),EXACT(metadata!G280,"Animal surface"),EXACT(metadata!G280,"Animal proximal gut"),EXACT(metadata!G280,"Animal corpus"),EXACT(metadata!G280,"Animal distal gut"),EXACT(metadata!G280,"Animal secretion")))</f>
        <v>0</v>
      </c>
      <c r="AJ280" t="b">
        <f>OR(AND(IF(metadata!H280="",FALSE,TRUE),OR(EXACT(metadata!H280,"missing: not collected"),EXACT(metadata!H280,"missing: not provided"),EXACT(metadata!H280,"missing: restricted access"))),AND(IF(metadata!H280="",FALSE,TRUE),OR(EXACT(metadata!H280,"organism-associated habitat"),EXACT(metadata!H280,"plant-associated habitat"),EXACT(metadata!H280,"animal-associated habitat"),EXACT(metadata!H280,"insecta-associated habitat"),EXACT(metadata!H280,"mammalia-associated habitat"),EXACT(metadata!H280,"human-associated habitat"),EXACT(metadata!H280,"livestock-associated habitat"))))</f>
        <v>0</v>
      </c>
      <c r="AK280" t="b">
        <f>AND(IF(metadata!I280="",FALSE,TRUE),EXACT(metadata!I280,"host-associated"))</f>
        <v>0</v>
      </c>
      <c r="AL280" t="b">
        <f>OR(AND(IF(metadata!J280="",FALSE,TRUE),OR(EXACT(metadata!J280,"not applicable"),EXACT(metadata!J280,"missing: not collected"),EXACT(metadata!J280,"missing: not provided"),EXACT(metadata!J280,"missing: restricted access"))),AND(IF(metadata!J280="",FALSE,ISNUMBER(VALUE(metadata!J280))),metadata!J280&gt;0))</f>
        <v>0</v>
      </c>
      <c r="AM280" t="b">
        <f>AND(IF(metadata!K280="",FALSE,TRUE),EXACT(metadata!K280,"missing: not provided"))</f>
        <v>0</v>
      </c>
      <c r="AN280" t="b">
        <f>IF(metadata!L280="",FALSE,TRUE)</f>
        <v>0</v>
      </c>
      <c r="AO280" t="b">
        <f>IF(metadata!M280="",FALSE,TRUE)</f>
        <v>0</v>
      </c>
      <c r="AP280" t="b">
        <f>OR(AND(IF(metadata!N280="",FALSE,TRUE),OR(EXACT(metadata!N280,"not applicable"),EXACT(metadata!N280,"missing: not collected"),EXACT(metadata!N280,"missing: not provided"))),AND(IF(metadata!N280="",FALSE,IF(ISERROR(INT(metadata!N280)),FALSE,INT(metadata!N280)=metadata!N280)),metadata!N280&gt;0))</f>
        <v>0</v>
      </c>
      <c r="AQ280" t="b">
        <f>AND(IF(metadata!O280="",FALSE,TRUE),EXACT(metadata!O280,"Not applicable"))</f>
        <v>0</v>
      </c>
      <c r="AR280" t="b">
        <f>OR(AND(IF(metadata!P280="",FALSE,TRUE),OR(EXACT(metadata!P280,"not applicable"),EXACT(metadata!P280,"missing: not collected"),EXACT(metadata!P280,"missing: not provided"),EXACT(metadata!P280,"missing: restricted access"))),IF(metadata!P280="",FALSE,IF(ISERROR(INT(metadata!P280)),FALSE,INT(metadata!P280)=metadata!P280)))</f>
        <v>0</v>
      </c>
      <c r="AS280" t="b">
        <f>AND(IF(metadata!Q280="",FALSE,TRUE),EXACT(metadata!Q280,"Not applicable"))</f>
        <v>0</v>
      </c>
      <c r="AT280" t="b">
        <f>OR(AND(IF(metadata!R280="",FALSE,TRUE),OR(EXACT(metadata!R280,"not applicable"),EXACT(metadata!R280,"missing: not collected"),EXACT(metadata!R280,"missing: not provided"),EXACT(metadata!R280,"missing: restricted access"))),AND(IF(metadata!R280="",FALSE,ISNUMBER(VALUE(metadata!R280))),metadata!R280&gt;0))</f>
        <v>0</v>
      </c>
      <c r="AU280" t="b">
        <f>AND(IF(metadata!S280="",FALSE,TRUE),EXACT(metadata!S280,"missing: not provided"))</f>
        <v>0</v>
      </c>
    </row>
    <row r="281" spans="1:47" x14ac:dyDescent="0.2">
      <c r="A281" s="5" t="str">
        <f ca="1">IF(B281=" "," ",HYPERLINK(CONCATENATE("#metadata!",ADDRESS(INDEX($Y$2:$Y$1001,MATCH(ROWS($W$2:W281),$W$2:$W$1001,0),0),1)),INDEX($AB$2:$AB$1001,MATCH(ROWS($W$2:W281),$W$2:$W$1001,0),0)))</f>
        <v xml:space="preserve"> </v>
      </c>
      <c r="B281" s="4" t="str">
        <f ca="1">IF(OR(INDEX($X$2:$X$1001,MATCH(ROWS($W$2:W281),$W$2:$W$1001,0),1)&gt;=100000,INDEX($AD$1005:$AU$1005,1,MATCH(COLUMNS($AD$1006:AD1006),$AD$1006:$AU$1006,0))&gt;=100000), " ",IF(INDEX($AD$2:$AU$1001,MATCH(ROWS($W$2:W281),$W$2:$W$1001,0),MATCH(COLUMNS($AD$1006:AD1006),$AD$1006:$AU$1006,0)), HYPERLINK("#",""), HYPERLINK(CONCATENATE("#metadata!", ADDRESS(INDEX($Y$2:$Y$1001,MATCH(ROWS($W$2:W281),$W$2:$W$1001,0),0), INDEX($AD$1004:$AU$1004,1,MATCH(COLUMNS($AD$1006:AD1006),$AD$1006:$AU$1006,0)))),"Fix")))</f>
        <v xml:space="preserve"> </v>
      </c>
      <c r="C281" s="4" t="str">
        <f ca="1">IF(OR(INDEX($X$2:$X$1001,MATCH(ROWS($W$2:W281),$W$2:$W$1001,0),1)&gt;=100000,INDEX($AD$1005:$AU$1005,1,MATCH(COLUMNS($AD$1006:AE1006),$AD$1006:$AU$1006,0))&gt;=100000), " ",IF(INDEX($AD$2:$AU$1001,MATCH(ROWS($W$2:W281),$W$2:$W$1001,0),MATCH(COLUMNS($AD$1006:AE1006),$AD$1006:$AU$1006,0)), HYPERLINK("#",""), HYPERLINK(CONCATENATE("#metadata!", ADDRESS(INDEX($Y$2:$Y$1001,MATCH(ROWS($W$2:W281),$W$2:$W$1001,0),0), INDEX($AD$1004:$AU$1004,1,MATCH(COLUMNS($AD$1006:AE1006),$AD$1006:$AU$1006,0)))),"Fix")))</f>
        <v xml:space="preserve"> </v>
      </c>
      <c r="D281" s="4" t="str">
        <f ca="1">IF(OR(INDEX($X$2:$X$1001,MATCH(ROWS($W$2:W281),$W$2:$W$1001,0),1)&gt;=100000,INDEX($AD$1005:$AU$1005,1,MATCH(COLUMNS($AD$1006:AF1006),$AD$1006:$AU$1006,0))&gt;=100000), " ",IF(INDEX($AD$2:$AU$1001,MATCH(ROWS($W$2:W281),$W$2:$W$1001,0),MATCH(COLUMNS($AD$1006:AF1006),$AD$1006:$AU$1006,0)), HYPERLINK("#",""), HYPERLINK(CONCATENATE("#metadata!", ADDRESS(INDEX($Y$2:$Y$1001,MATCH(ROWS($W$2:W281),$W$2:$W$1001,0),0), INDEX($AD$1004:$AU$1004,1,MATCH(COLUMNS($AD$1006:AF1006),$AD$1006:$AU$1006,0)))),"Fix")))</f>
        <v xml:space="preserve"> </v>
      </c>
      <c r="E281" s="4" t="str">
        <f ca="1">IF(OR(INDEX($X$2:$X$1001,MATCH(ROWS($W$2:W281),$W$2:$W$1001,0),1)&gt;=100000,INDEX($AD$1005:$AU$1005,1,MATCH(COLUMNS($AD$1006:AG1006),$AD$1006:$AU$1006,0))&gt;=100000), " ",IF(INDEX($AD$2:$AU$1001,MATCH(ROWS($W$2:W281),$W$2:$W$1001,0),MATCH(COLUMNS($AD$1006:AG1006),$AD$1006:$AU$1006,0)), HYPERLINK("#",""), HYPERLINK(CONCATENATE("#metadata!", ADDRESS(INDEX($Y$2:$Y$1001,MATCH(ROWS($W$2:W281),$W$2:$W$1001,0),0), INDEX($AD$1004:$AU$1004,1,MATCH(COLUMNS($AD$1006:AG1006),$AD$1006:$AU$1006,0)))),"Fix")))</f>
        <v xml:space="preserve"> </v>
      </c>
      <c r="F281" s="4" t="str">
        <f ca="1">IF(OR(INDEX($X$2:$X$1001,MATCH(ROWS($W$2:W281),$W$2:$W$1001,0),1)&gt;=100000,INDEX($AD$1005:$AU$1005,1,MATCH(COLUMNS($AD$1006:AH1006),$AD$1006:$AU$1006,0))&gt;=100000), " ",IF(INDEX($AD$2:$AU$1001,MATCH(ROWS($W$2:W281),$W$2:$W$1001,0),MATCH(COLUMNS($AD$1006:AH1006),$AD$1006:$AU$1006,0)), HYPERLINK("#",""), HYPERLINK(CONCATENATE("#metadata!", ADDRESS(INDEX($Y$2:$Y$1001,MATCH(ROWS($W$2:W281),$W$2:$W$1001,0),0), INDEX($AD$1004:$AU$1004,1,MATCH(COLUMNS($AD$1006:AH1006),$AD$1006:$AU$1006,0)))),"Fix")))</f>
        <v xml:space="preserve"> </v>
      </c>
      <c r="G281" s="4" t="str">
        <f ca="1">IF(OR(INDEX($X$2:$X$1001,MATCH(ROWS($W$2:W281),$W$2:$W$1001,0),1)&gt;=100000,INDEX($AD$1005:$AU$1005,1,MATCH(COLUMNS($AD$1006:AI1006),$AD$1006:$AU$1006,0))&gt;=100000), " ",IF(INDEX($AD$2:$AU$1001,MATCH(ROWS($W$2:W281),$W$2:$W$1001,0),MATCH(COLUMNS($AD$1006:AI1006),$AD$1006:$AU$1006,0)), HYPERLINK("#",""), HYPERLINK(CONCATENATE("#metadata!", ADDRESS(INDEX($Y$2:$Y$1001,MATCH(ROWS($W$2:W281),$W$2:$W$1001,0),0), INDEX($AD$1004:$AU$1004,1,MATCH(COLUMNS($AD$1006:AI1006),$AD$1006:$AU$1006,0)))),"Fix")))</f>
        <v xml:space="preserve"> </v>
      </c>
      <c r="H281" s="4" t="str">
        <f ca="1">IF(OR(INDEX($X$2:$X$1001,MATCH(ROWS($W$2:W281),$W$2:$W$1001,0),1)&gt;=100000,INDEX($AD$1005:$AU$1005,1,MATCH(COLUMNS($AD$1006:AJ1006),$AD$1006:$AU$1006,0))&gt;=100000), " ",IF(INDEX($AD$2:$AU$1001,MATCH(ROWS($W$2:W281),$W$2:$W$1001,0),MATCH(COLUMNS($AD$1006:AJ1006),$AD$1006:$AU$1006,0)), HYPERLINK("#",""), HYPERLINK(CONCATENATE("#metadata!", ADDRESS(INDEX($Y$2:$Y$1001,MATCH(ROWS($W$2:W281),$W$2:$W$1001,0),0), INDEX($AD$1004:$AU$1004,1,MATCH(COLUMNS($AD$1006:AJ1006),$AD$1006:$AU$1006,0)))),"Fix")))</f>
        <v xml:space="preserve"> </v>
      </c>
      <c r="I281" s="4" t="str">
        <f ca="1">IF(OR(INDEX($X$2:$X$1001,MATCH(ROWS($W$2:W281),$W$2:$W$1001,0),1)&gt;=100000,INDEX($AD$1005:$AU$1005,1,MATCH(COLUMNS($AD$1006:AK1006),$AD$1006:$AU$1006,0))&gt;=100000), " ",IF(INDEX($AD$2:$AU$1001,MATCH(ROWS($W$2:W281),$W$2:$W$1001,0),MATCH(COLUMNS($AD$1006:AK1006),$AD$1006:$AU$1006,0)), HYPERLINK("#",""), HYPERLINK(CONCATENATE("#metadata!", ADDRESS(INDEX($Y$2:$Y$1001,MATCH(ROWS($W$2:W281),$W$2:$W$1001,0),0), INDEX($AD$1004:$AU$1004,1,MATCH(COLUMNS($AD$1006:AK1006),$AD$1006:$AU$1006,0)))),"Fix")))</f>
        <v xml:space="preserve"> </v>
      </c>
      <c r="J281" s="4" t="str">
        <f ca="1">IF(OR(INDEX($X$2:$X$1001,MATCH(ROWS($W$2:W281),$W$2:$W$1001,0),1)&gt;=100000,INDEX($AD$1005:$AU$1005,1,MATCH(COLUMNS($AD$1006:AL1006),$AD$1006:$AU$1006,0))&gt;=100000), " ",IF(INDEX($AD$2:$AU$1001,MATCH(ROWS($W$2:W281),$W$2:$W$1001,0),MATCH(COLUMNS($AD$1006:AL1006),$AD$1006:$AU$1006,0)), HYPERLINK("#",""), HYPERLINK(CONCATENATE("#metadata!", ADDRESS(INDEX($Y$2:$Y$1001,MATCH(ROWS($W$2:W281),$W$2:$W$1001,0),0), INDEX($AD$1004:$AU$1004,1,MATCH(COLUMNS($AD$1006:AL1006),$AD$1006:$AU$1006,0)))),"Fix")))</f>
        <v xml:space="preserve"> </v>
      </c>
      <c r="K281" s="4" t="str">
        <f ca="1">IF(OR(INDEX($X$2:$X$1001,MATCH(ROWS($W$2:W281),$W$2:$W$1001,0),1)&gt;=100000,INDEX($AD$1005:$AU$1005,1,MATCH(COLUMNS($AD$1006:AM1006),$AD$1006:$AU$1006,0))&gt;=100000), " ",IF(INDEX($AD$2:$AU$1001,MATCH(ROWS($W$2:W281),$W$2:$W$1001,0),MATCH(COLUMNS($AD$1006:AM1006),$AD$1006:$AU$1006,0)), HYPERLINK("#",""), HYPERLINK(CONCATENATE("#metadata!", ADDRESS(INDEX($Y$2:$Y$1001,MATCH(ROWS($W$2:W281),$W$2:$W$1001,0),0), INDEX($AD$1004:$AU$1004,1,MATCH(COLUMNS($AD$1006:AM1006),$AD$1006:$AU$1006,0)))),"Fix")))</f>
        <v xml:space="preserve"> </v>
      </c>
      <c r="L281" s="4" t="str">
        <f ca="1">IF(OR(INDEX($X$2:$X$1001,MATCH(ROWS($W$2:W281),$W$2:$W$1001,0),1)&gt;=100000,INDEX($AD$1005:$AU$1005,1,MATCH(COLUMNS($AD$1006:AN1006),$AD$1006:$AU$1006,0))&gt;=100000), " ",IF(INDEX($AD$2:$AU$1001,MATCH(ROWS($W$2:W281),$W$2:$W$1001,0),MATCH(COLUMNS($AD$1006:AN1006),$AD$1006:$AU$1006,0)), HYPERLINK("#",""), HYPERLINK(CONCATENATE("#metadata!", ADDRESS(INDEX($Y$2:$Y$1001,MATCH(ROWS($W$2:W281),$W$2:$W$1001,0),0), INDEX($AD$1004:$AU$1004,1,MATCH(COLUMNS($AD$1006:AN1006),$AD$1006:$AU$1006,0)))),"Fix")))</f>
        <v xml:space="preserve"> </v>
      </c>
      <c r="M281" s="4" t="str">
        <f ca="1">IF(OR(INDEX($X$2:$X$1001,MATCH(ROWS($W$2:W281),$W$2:$W$1001,0),1)&gt;=100000,INDEX($AD$1005:$AU$1005,1,MATCH(COLUMNS($AD$1006:AO1006),$AD$1006:$AU$1006,0))&gt;=100000), " ",IF(INDEX($AD$2:$AU$1001,MATCH(ROWS($W$2:W281),$W$2:$W$1001,0),MATCH(COLUMNS($AD$1006:AO1006),$AD$1006:$AU$1006,0)), HYPERLINK("#",""), HYPERLINK(CONCATENATE("#metadata!", ADDRESS(INDEX($Y$2:$Y$1001,MATCH(ROWS($W$2:W281),$W$2:$W$1001,0),0), INDEX($AD$1004:$AU$1004,1,MATCH(COLUMNS($AD$1006:AO1006),$AD$1006:$AU$1006,0)))),"Fix")))</f>
        <v xml:space="preserve"> </v>
      </c>
      <c r="N281" s="4" t="str">
        <f ca="1">IF(OR(INDEX($X$2:$X$1001,MATCH(ROWS($W$2:W281),$W$2:$W$1001,0),1)&gt;=100000,INDEX($AD$1005:$AU$1005,1,MATCH(COLUMNS($AD$1006:AP1006),$AD$1006:$AU$1006,0))&gt;=100000), " ",IF(INDEX($AD$2:$AU$1001,MATCH(ROWS($W$2:W281),$W$2:$W$1001,0),MATCH(COLUMNS($AD$1006:AP1006),$AD$1006:$AU$1006,0)), HYPERLINK("#",""), HYPERLINK(CONCATENATE("#metadata!", ADDRESS(INDEX($Y$2:$Y$1001,MATCH(ROWS($W$2:W281),$W$2:$W$1001,0),0), INDEX($AD$1004:$AU$1004,1,MATCH(COLUMNS($AD$1006:AP1006),$AD$1006:$AU$1006,0)))),"Fix")))</f>
        <v xml:space="preserve"> </v>
      </c>
      <c r="O281" s="4" t="str">
        <f ca="1">IF(OR(INDEX($X$2:$X$1001,MATCH(ROWS($W$2:W281),$W$2:$W$1001,0),1)&gt;=100000,INDEX($AD$1005:$AU$1005,1,MATCH(COLUMNS($AD$1006:AQ1006),$AD$1006:$AU$1006,0))&gt;=100000), " ",IF(INDEX($AD$2:$AU$1001,MATCH(ROWS($W$2:W281),$W$2:$W$1001,0),MATCH(COLUMNS($AD$1006:AQ1006),$AD$1006:$AU$1006,0)), HYPERLINK("#",""), HYPERLINK(CONCATENATE("#metadata!", ADDRESS(INDEX($Y$2:$Y$1001,MATCH(ROWS($W$2:W281),$W$2:$W$1001,0),0), INDEX($AD$1004:$AU$1004,1,MATCH(COLUMNS($AD$1006:AQ1006),$AD$1006:$AU$1006,0)))),"Fix")))</f>
        <v xml:space="preserve"> </v>
      </c>
      <c r="P281" s="4" t="str">
        <f ca="1">IF(OR(INDEX($X$2:$X$1001,MATCH(ROWS($W$2:W281),$W$2:$W$1001,0),1)&gt;=100000,INDEX($AD$1005:$AU$1005,1,MATCH(COLUMNS($AD$1006:AR1006),$AD$1006:$AU$1006,0))&gt;=100000), " ",IF(INDEX($AD$2:$AU$1001,MATCH(ROWS($W$2:W281),$W$2:$W$1001,0),MATCH(COLUMNS($AD$1006:AR1006),$AD$1006:$AU$1006,0)), HYPERLINK("#",""), HYPERLINK(CONCATENATE("#metadata!", ADDRESS(INDEX($Y$2:$Y$1001,MATCH(ROWS($W$2:W281),$W$2:$W$1001,0),0), INDEX($AD$1004:$AU$1004,1,MATCH(COLUMNS($AD$1006:AR1006),$AD$1006:$AU$1006,0)))),"Fix")))</f>
        <v xml:space="preserve"> </v>
      </c>
      <c r="Q281" s="4" t="str">
        <f ca="1">IF(OR(INDEX($X$2:$X$1001,MATCH(ROWS($W$2:W281),$W$2:$W$1001,0),1)&gt;=100000,INDEX($AD$1005:$AU$1005,1,MATCH(COLUMNS($AD$1006:AS1006),$AD$1006:$AU$1006,0))&gt;=100000), " ",IF(INDEX($AD$2:$AU$1001,MATCH(ROWS($W$2:W281),$W$2:$W$1001,0),MATCH(COLUMNS($AD$1006:AS1006),$AD$1006:$AU$1006,0)), HYPERLINK("#",""), HYPERLINK(CONCATENATE("#metadata!", ADDRESS(INDEX($Y$2:$Y$1001,MATCH(ROWS($W$2:W281),$W$2:$W$1001,0),0), INDEX($AD$1004:$AU$1004,1,MATCH(COLUMNS($AD$1006:AS1006),$AD$1006:$AU$1006,0)))),"Fix")))</f>
        <v xml:space="preserve"> </v>
      </c>
      <c r="R281" s="4" t="str">
        <f ca="1">IF(OR(INDEX($X$2:$X$1001,MATCH(ROWS($W$2:W281),$W$2:$W$1001,0),1)&gt;=100000,INDEX($AD$1005:$AU$1005,1,MATCH(COLUMNS($AD$1006:AT1006),$AD$1006:$AU$1006,0))&gt;=100000), " ",IF(INDEX($AD$2:$AU$1001,MATCH(ROWS($W$2:W281),$W$2:$W$1001,0),MATCH(COLUMNS($AD$1006:AT1006),$AD$1006:$AU$1006,0)), HYPERLINK("#",""), HYPERLINK(CONCATENATE("#metadata!", ADDRESS(INDEX($Y$2:$Y$1001,MATCH(ROWS($W$2:W281),$W$2:$W$1001,0),0), INDEX($AD$1004:$AU$1004,1,MATCH(COLUMNS($AD$1006:AT1006),$AD$1006:$AU$1006,0)))),"Fix")))</f>
        <v xml:space="preserve"> </v>
      </c>
      <c r="S281" s="4" t="str">
        <f ca="1">IF(OR(INDEX($X$2:$X$1001,MATCH(ROWS($W$2:W281),$W$2:$W$1001,0),1)&gt;=100000,INDEX($AD$1005:$AU$1005,1,MATCH(COLUMNS($AD$1006:AU1006),$AD$1006:$AU$1006,0))&gt;=100000), " ",IF(INDEX($AD$2:$AU$1001,MATCH(ROWS($W$2:W281),$W$2:$W$1001,0),MATCH(COLUMNS($AD$1006:AU1006),$AD$1006:$AU$1006,0)), HYPERLINK("#",""), HYPERLINK(CONCATENATE("#metadata!", ADDRESS(INDEX($Y$2:$Y$1001,MATCH(ROWS($W$2:W281),$W$2:$W$1001,0),0), INDEX($AD$1004:$AU$1004,1,MATCH(COLUMNS($AD$1006:AU1006),$AD$1006:$AU$1006,0)))),"Fix")))</f>
        <v xml:space="preserve"> </v>
      </c>
      <c r="W281">
        <v>280</v>
      </c>
      <c r="X281">
        <v>100281</v>
      </c>
      <c r="Y281">
        <v>281</v>
      </c>
      <c r="Z281" t="b">
        <f t="shared" si="4"/>
        <v>1</v>
      </c>
      <c r="AA281" t="b">
        <f>COUNTBLANK(metadata!B281:S281)=COLUMNS(metadata!B281:S281)</f>
        <v>1</v>
      </c>
      <c r="AB281" t="str">
        <v/>
      </c>
      <c r="AD281" t="b">
        <f ca="1">AND(IF(metadata!B281="",FALSE,TRUE),COUNTIF(metadata!B:B, metadata!B281) = 1,NOT(ISERROR(SUMPRODUCT(SEARCH(MID(metadata!B281,ROW(INDIRECT("1:"&amp;LEN(metadata!B281))), 1),"0123456789abcdefghijklmnopqrstuvwxyzABCDEFGHIJKLMNOPQRSTUVWXYZ.")))))</f>
        <v>0</v>
      </c>
      <c r="AE281" t="b">
        <f>OR(AND(IF(metadata!C281="",FALSE,TRUE),OR(EXACT(metadata!C281,"not applicable"),EXACT(metadata!C281,"missing: not collected"),EXACT(metadata!C281,"missing: not provided"),EXACT(metadata!C281,"missing: restricted access"))),AND(IF(metadata!C281="",FALSE,ISNUMBER(VALUE(metadata!C281))),metadata!C281&gt;0))</f>
        <v>0</v>
      </c>
      <c r="AF281" t="b">
        <f>AND(IF(metadata!D281="",FALSE,TRUE),EXACT(metadata!D281,"missing: not provided"))</f>
        <v>0</v>
      </c>
      <c r="AG281" t="b">
        <f>AND(IF(metadata!E281="",FALSE,TRUE),EXACT(metadata!E281,"Host-associated"))</f>
        <v>0</v>
      </c>
      <c r="AH281" t="b">
        <f>AND(IF(metadata!F281="",FALSE,TRUE),OR(EXACT(metadata!F281,"Animal"),EXACT(metadata!F281,"Fungus"),EXACT(metadata!F281,"Plant")))</f>
        <v>0</v>
      </c>
      <c r="AI281" t="b">
        <f>AND(IF(metadata!G281="",FALSE,TRUE),OR(EXACT(metadata!G281,"Plant secretion"),EXACT(metadata!G281,"Plant rhizosphere"),EXACT(metadata!G281,"Plant surface"),EXACT(metadata!G281,"Plant corpus"),EXACT(metadata!G281,"Fungus surface"),EXACT(metadata!G281,"Fungus corpus"),EXACT(metadata!G281,"Animal surface"),EXACT(metadata!G281,"Animal proximal gut"),EXACT(metadata!G281,"Animal corpus"),EXACT(metadata!G281,"Animal distal gut"),EXACT(metadata!G281,"Animal secretion")))</f>
        <v>0</v>
      </c>
      <c r="AJ281" t="b">
        <f>OR(AND(IF(metadata!H281="",FALSE,TRUE),OR(EXACT(metadata!H281,"missing: not collected"),EXACT(metadata!H281,"missing: not provided"),EXACT(metadata!H281,"missing: restricted access"))),AND(IF(metadata!H281="",FALSE,TRUE),OR(EXACT(metadata!H281,"organism-associated habitat"),EXACT(metadata!H281,"plant-associated habitat"),EXACT(metadata!H281,"animal-associated habitat"),EXACT(metadata!H281,"insecta-associated habitat"),EXACT(metadata!H281,"mammalia-associated habitat"),EXACT(metadata!H281,"human-associated habitat"),EXACT(metadata!H281,"livestock-associated habitat"))))</f>
        <v>0</v>
      </c>
      <c r="AK281" t="b">
        <f>AND(IF(metadata!I281="",FALSE,TRUE),EXACT(metadata!I281,"host-associated"))</f>
        <v>0</v>
      </c>
      <c r="AL281" t="b">
        <f>OR(AND(IF(metadata!J281="",FALSE,TRUE),OR(EXACT(metadata!J281,"not applicable"),EXACT(metadata!J281,"missing: not collected"),EXACT(metadata!J281,"missing: not provided"),EXACT(metadata!J281,"missing: restricted access"))),AND(IF(metadata!J281="",FALSE,ISNUMBER(VALUE(metadata!J281))),metadata!J281&gt;0))</f>
        <v>0</v>
      </c>
      <c r="AM281" t="b">
        <f>AND(IF(metadata!K281="",FALSE,TRUE),EXACT(metadata!K281,"missing: not provided"))</f>
        <v>0</v>
      </c>
      <c r="AN281" t="b">
        <f>IF(metadata!L281="",FALSE,TRUE)</f>
        <v>0</v>
      </c>
      <c r="AO281" t="b">
        <f>IF(metadata!M281="",FALSE,TRUE)</f>
        <v>0</v>
      </c>
      <c r="AP281" t="b">
        <f>OR(AND(IF(metadata!N281="",FALSE,TRUE),OR(EXACT(metadata!N281,"not applicable"),EXACT(metadata!N281,"missing: not collected"),EXACT(metadata!N281,"missing: not provided"))),AND(IF(metadata!N281="",FALSE,IF(ISERROR(INT(metadata!N281)),FALSE,INT(metadata!N281)=metadata!N281)),metadata!N281&gt;0))</f>
        <v>0</v>
      </c>
      <c r="AQ281" t="b">
        <f>AND(IF(metadata!O281="",FALSE,TRUE),EXACT(metadata!O281,"Not applicable"))</f>
        <v>0</v>
      </c>
      <c r="AR281" t="b">
        <f>OR(AND(IF(metadata!P281="",FALSE,TRUE),OR(EXACT(metadata!P281,"not applicable"),EXACT(metadata!P281,"missing: not collected"),EXACT(metadata!P281,"missing: not provided"),EXACT(metadata!P281,"missing: restricted access"))),IF(metadata!P281="",FALSE,IF(ISERROR(INT(metadata!P281)),FALSE,INT(metadata!P281)=metadata!P281)))</f>
        <v>0</v>
      </c>
      <c r="AS281" t="b">
        <f>AND(IF(metadata!Q281="",FALSE,TRUE),EXACT(metadata!Q281,"Not applicable"))</f>
        <v>0</v>
      </c>
      <c r="AT281" t="b">
        <f>OR(AND(IF(metadata!R281="",FALSE,TRUE),OR(EXACT(metadata!R281,"not applicable"),EXACT(metadata!R281,"missing: not collected"),EXACT(metadata!R281,"missing: not provided"),EXACT(metadata!R281,"missing: restricted access"))),AND(IF(metadata!R281="",FALSE,ISNUMBER(VALUE(metadata!R281))),metadata!R281&gt;0))</f>
        <v>0</v>
      </c>
      <c r="AU281" t="b">
        <f>AND(IF(metadata!S281="",FALSE,TRUE),EXACT(metadata!S281,"missing: not provided"))</f>
        <v>0</v>
      </c>
    </row>
    <row r="282" spans="1:47" x14ac:dyDescent="0.2">
      <c r="A282" s="5" t="str">
        <f ca="1">IF(B282=" "," ",HYPERLINK(CONCATENATE("#metadata!",ADDRESS(INDEX($Y$2:$Y$1001,MATCH(ROWS($W$2:W282),$W$2:$W$1001,0),0),1)),INDEX($AB$2:$AB$1001,MATCH(ROWS($W$2:W282),$W$2:$W$1001,0),0)))</f>
        <v xml:space="preserve"> </v>
      </c>
      <c r="B282" s="4" t="str">
        <f ca="1">IF(OR(INDEX($X$2:$X$1001,MATCH(ROWS($W$2:W282),$W$2:$W$1001,0),1)&gt;=100000,INDEX($AD$1005:$AU$1005,1,MATCH(COLUMNS($AD$1006:AD1006),$AD$1006:$AU$1006,0))&gt;=100000), " ",IF(INDEX($AD$2:$AU$1001,MATCH(ROWS($W$2:W282),$W$2:$W$1001,0),MATCH(COLUMNS($AD$1006:AD1006),$AD$1006:$AU$1006,0)), HYPERLINK("#",""), HYPERLINK(CONCATENATE("#metadata!", ADDRESS(INDEX($Y$2:$Y$1001,MATCH(ROWS($W$2:W282),$W$2:$W$1001,0),0), INDEX($AD$1004:$AU$1004,1,MATCH(COLUMNS($AD$1006:AD1006),$AD$1006:$AU$1006,0)))),"Fix")))</f>
        <v xml:space="preserve"> </v>
      </c>
      <c r="C282" s="4" t="str">
        <f ca="1">IF(OR(INDEX($X$2:$X$1001,MATCH(ROWS($W$2:W282),$W$2:$W$1001,0),1)&gt;=100000,INDEX($AD$1005:$AU$1005,1,MATCH(COLUMNS($AD$1006:AE1006),$AD$1006:$AU$1006,0))&gt;=100000), " ",IF(INDEX($AD$2:$AU$1001,MATCH(ROWS($W$2:W282),$W$2:$W$1001,0),MATCH(COLUMNS($AD$1006:AE1006),$AD$1006:$AU$1006,0)), HYPERLINK("#",""), HYPERLINK(CONCATENATE("#metadata!", ADDRESS(INDEX($Y$2:$Y$1001,MATCH(ROWS($W$2:W282),$W$2:$W$1001,0),0), INDEX($AD$1004:$AU$1004,1,MATCH(COLUMNS($AD$1006:AE1006),$AD$1006:$AU$1006,0)))),"Fix")))</f>
        <v xml:space="preserve"> </v>
      </c>
      <c r="D282" s="4" t="str">
        <f ca="1">IF(OR(INDEX($X$2:$X$1001,MATCH(ROWS($W$2:W282),$W$2:$W$1001,0),1)&gt;=100000,INDEX($AD$1005:$AU$1005,1,MATCH(COLUMNS($AD$1006:AF1006),$AD$1006:$AU$1006,0))&gt;=100000), " ",IF(INDEX($AD$2:$AU$1001,MATCH(ROWS($W$2:W282),$W$2:$W$1001,0),MATCH(COLUMNS($AD$1006:AF1006),$AD$1006:$AU$1006,0)), HYPERLINK("#",""), HYPERLINK(CONCATENATE("#metadata!", ADDRESS(INDEX($Y$2:$Y$1001,MATCH(ROWS($W$2:W282),$W$2:$W$1001,0),0), INDEX($AD$1004:$AU$1004,1,MATCH(COLUMNS($AD$1006:AF1006),$AD$1006:$AU$1006,0)))),"Fix")))</f>
        <v xml:space="preserve"> </v>
      </c>
      <c r="E282" s="4" t="str">
        <f ca="1">IF(OR(INDEX($X$2:$X$1001,MATCH(ROWS($W$2:W282),$W$2:$W$1001,0),1)&gt;=100000,INDEX($AD$1005:$AU$1005,1,MATCH(COLUMNS($AD$1006:AG1006),$AD$1006:$AU$1006,0))&gt;=100000), " ",IF(INDEX($AD$2:$AU$1001,MATCH(ROWS($W$2:W282),$W$2:$W$1001,0),MATCH(COLUMNS($AD$1006:AG1006),$AD$1006:$AU$1006,0)), HYPERLINK("#",""), HYPERLINK(CONCATENATE("#metadata!", ADDRESS(INDEX($Y$2:$Y$1001,MATCH(ROWS($W$2:W282),$W$2:$W$1001,0),0), INDEX($AD$1004:$AU$1004,1,MATCH(COLUMNS($AD$1006:AG1006),$AD$1006:$AU$1006,0)))),"Fix")))</f>
        <v xml:space="preserve"> </v>
      </c>
      <c r="F282" s="4" t="str">
        <f ca="1">IF(OR(INDEX($X$2:$X$1001,MATCH(ROWS($W$2:W282),$W$2:$W$1001,0),1)&gt;=100000,INDEX($AD$1005:$AU$1005,1,MATCH(COLUMNS($AD$1006:AH1006),$AD$1006:$AU$1006,0))&gt;=100000), " ",IF(INDEX($AD$2:$AU$1001,MATCH(ROWS($W$2:W282),$W$2:$W$1001,0),MATCH(COLUMNS($AD$1006:AH1006),$AD$1006:$AU$1006,0)), HYPERLINK("#",""), HYPERLINK(CONCATENATE("#metadata!", ADDRESS(INDEX($Y$2:$Y$1001,MATCH(ROWS($W$2:W282),$W$2:$W$1001,0),0), INDEX($AD$1004:$AU$1004,1,MATCH(COLUMNS($AD$1006:AH1006),$AD$1006:$AU$1006,0)))),"Fix")))</f>
        <v xml:space="preserve"> </v>
      </c>
      <c r="G282" s="4" t="str">
        <f ca="1">IF(OR(INDEX($X$2:$X$1001,MATCH(ROWS($W$2:W282),$W$2:$W$1001,0),1)&gt;=100000,INDEX($AD$1005:$AU$1005,1,MATCH(COLUMNS($AD$1006:AI1006),$AD$1006:$AU$1006,0))&gt;=100000), " ",IF(INDEX($AD$2:$AU$1001,MATCH(ROWS($W$2:W282),$W$2:$W$1001,0),MATCH(COLUMNS($AD$1006:AI1006),$AD$1006:$AU$1006,0)), HYPERLINK("#",""), HYPERLINK(CONCATENATE("#metadata!", ADDRESS(INDEX($Y$2:$Y$1001,MATCH(ROWS($W$2:W282),$W$2:$W$1001,0),0), INDEX($AD$1004:$AU$1004,1,MATCH(COLUMNS($AD$1006:AI1006),$AD$1006:$AU$1006,0)))),"Fix")))</f>
        <v xml:space="preserve"> </v>
      </c>
      <c r="H282" s="4" t="str">
        <f ca="1">IF(OR(INDEX($X$2:$X$1001,MATCH(ROWS($W$2:W282),$W$2:$W$1001,0),1)&gt;=100000,INDEX($AD$1005:$AU$1005,1,MATCH(COLUMNS($AD$1006:AJ1006),$AD$1006:$AU$1006,0))&gt;=100000), " ",IF(INDEX($AD$2:$AU$1001,MATCH(ROWS($W$2:W282),$W$2:$W$1001,0),MATCH(COLUMNS($AD$1006:AJ1006),$AD$1006:$AU$1006,0)), HYPERLINK("#",""), HYPERLINK(CONCATENATE("#metadata!", ADDRESS(INDEX($Y$2:$Y$1001,MATCH(ROWS($W$2:W282),$W$2:$W$1001,0),0), INDEX($AD$1004:$AU$1004,1,MATCH(COLUMNS($AD$1006:AJ1006),$AD$1006:$AU$1006,0)))),"Fix")))</f>
        <v xml:space="preserve"> </v>
      </c>
      <c r="I282" s="4" t="str">
        <f ca="1">IF(OR(INDEX($X$2:$X$1001,MATCH(ROWS($W$2:W282),$W$2:$W$1001,0),1)&gt;=100000,INDEX($AD$1005:$AU$1005,1,MATCH(COLUMNS($AD$1006:AK1006),$AD$1006:$AU$1006,0))&gt;=100000), " ",IF(INDEX($AD$2:$AU$1001,MATCH(ROWS($W$2:W282),$W$2:$W$1001,0),MATCH(COLUMNS($AD$1006:AK1006),$AD$1006:$AU$1006,0)), HYPERLINK("#",""), HYPERLINK(CONCATENATE("#metadata!", ADDRESS(INDEX($Y$2:$Y$1001,MATCH(ROWS($W$2:W282),$W$2:$W$1001,0),0), INDEX($AD$1004:$AU$1004,1,MATCH(COLUMNS($AD$1006:AK1006),$AD$1006:$AU$1006,0)))),"Fix")))</f>
        <v xml:space="preserve"> </v>
      </c>
      <c r="J282" s="4" t="str">
        <f ca="1">IF(OR(INDEX($X$2:$X$1001,MATCH(ROWS($W$2:W282),$W$2:$W$1001,0),1)&gt;=100000,INDEX($AD$1005:$AU$1005,1,MATCH(COLUMNS($AD$1006:AL1006),$AD$1006:$AU$1006,0))&gt;=100000), " ",IF(INDEX($AD$2:$AU$1001,MATCH(ROWS($W$2:W282),$W$2:$W$1001,0),MATCH(COLUMNS($AD$1006:AL1006),$AD$1006:$AU$1006,0)), HYPERLINK("#",""), HYPERLINK(CONCATENATE("#metadata!", ADDRESS(INDEX($Y$2:$Y$1001,MATCH(ROWS($W$2:W282),$W$2:$W$1001,0),0), INDEX($AD$1004:$AU$1004,1,MATCH(COLUMNS($AD$1006:AL1006),$AD$1006:$AU$1006,0)))),"Fix")))</f>
        <v xml:space="preserve"> </v>
      </c>
      <c r="K282" s="4" t="str">
        <f ca="1">IF(OR(INDEX($X$2:$X$1001,MATCH(ROWS($W$2:W282),$W$2:$W$1001,0),1)&gt;=100000,INDEX($AD$1005:$AU$1005,1,MATCH(COLUMNS($AD$1006:AM1006),$AD$1006:$AU$1006,0))&gt;=100000), " ",IF(INDEX($AD$2:$AU$1001,MATCH(ROWS($W$2:W282),$W$2:$W$1001,0),MATCH(COLUMNS($AD$1006:AM1006),$AD$1006:$AU$1006,0)), HYPERLINK("#",""), HYPERLINK(CONCATENATE("#metadata!", ADDRESS(INDEX($Y$2:$Y$1001,MATCH(ROWS($W$2:W282),$W$2:$W$1001,0),0), INDEX($AD$1004:$AU$1004,1,MATCH(COLUMNS($AD$1006:AM1006),$AD$1006:$AU$1006,0)))),"Fix")))</f>
        <v xml:space="preserve"> </v>
      </c>
      <c r="L282" s="4" t="str">
        <f ca="1">IF(OR(INDEX($X$2:$X$1001,MATCH(ROWS($W$2:W282),$W$2:$W$1001,0),1)&gt;=100000,INDEX($AD$1005:$AU$1005,1,MATCH(COLUMNS($AD$1006:AN1006),$AD$1006:$AU$1006,0))&gt;=100000), " ",IF(INDEX($AD$2:$AU$1001,MATCH(ROWS($W$2:W282),$W$2:$W$1001,0),MATCH(COLUMNS($AD$1006:AN1006),$AD$1006:$AU$1006,0)), HYPERLINK("#",""), HYPERLINK(CONCATENATE("#metadata!", ADDRESS(INDEX($Y$2:$Y$1001,MATCH(ROWS($W$2:W282),$W$2:$W$1001,0),0), INDEX($AD$1004:$AU$1004,1,MATCH(COLUMNS($AD$1006:AN1006),$AD$1006:$AU$1006,0)))),"Fix")))</f>
        <v xml:space="preserve"> </v>
      </c>
      <c r="M282" s="4" t="str">
        <f ca="1">IF(OR(INDEX($X$2:$X$1001,MATCH(ROWS($W$2:W282),$W$2:$W$1001,0),1)&gt;=100000,INDEX($AD$1005:$AU$1005,1,MATCH(COLUMNS($AD$1006:AO1006),$AD$1006:$AU$1006,0))&gt;=100000), " ",IF(INDEX($AD$2:$AU$1001,MATCH(ROWS($W$2:W282),$W$2:$W$1001,0),MATCH(COLUMNS($AD$1006:AO1006),$AD$1006:$AU$1006,0)), HYPERLINK("#",""), HYPERLINK(CONCATENATE("#metadata!", ADDRESS(INDEX($Y$2:$Y$1001,MATCH(ROWS($W$2:W282),$W$2:$W$1001,0),0), INDEX($AD$1004:$AU$1004,1,MATCH(COLUMNS($AD$1006:AO1006),$AD$1006:$AU$1006,0)))),"Fix")))</f>
        <v xml:space="preserve"> </v>
      </c>
      <c r="N282" s="4" t="str">
        <f ca="1">IF(OR(INDEX($X$2:$X$1001,MATCH(ROWS($W$2:W282),$W$2:$W$1001,0),1)&gt;=100000,INDEX($AD$1005:$AU$1005,1,MATCH(COLUMNS($AD$1006:AP1006),$AD$1006:$AU$1006,0))&gt;=100000), " ",IF(INDEX($AD$2:$AU$1001,MATCH(ROWS($W$2:W282),$W$2:$W$1001,0),MATCH(COLUMNS($AD$1006:AP1006),$AD$1006:$AU$1006,0)), HYPERLINK("#",""), HYPERLINK(CONCATENATE("#metadata!", ADDRESS(INDEX($Y$2:$Y$1001,MATCH(ROWS($W$2:W282),$W$2:$W$1001,0),0), INDEX($AD$1004:$AU$1004,1,MATCH(COLUMNS($AD$1006:AP1006),$AD$1006:$AU$1006,0)))),"Fix")))</f>
        <v xml:space="preserve"> </v>
      </c>
      <c r="O282" s="4" t="str">
        <f ca="1">IF(OR(INDEX($X$2:$X$1001,MATCH(ROWS($W$2:W282),$W$2:$W$1001,0),1)&gt;=100000,INDEX($AD$1005:$AU$1005,1,MATCH(COLUMNS($AD$1006:AQ1006),$AD$1006:$AU$1006,0))&gt;=100000), " ",IF(INDEX($AD$2:$AU$1001,MATCH(ROWS($W$2:W282),$W$2:$W$1001,0),MATCH(COLUMNS($AD$1006:AQ1006),$AD$1006:$AU$1006,0)), HYPERLINK("#",""), HYPERLINK(CONCATENATE("#metadata!", ADDRESS(INDEX($Y$2:$Y$1001,MATCH(ROWS($W$2:W282),$W$2:$W$1001,0),0), INDEX($AD$1004:$AU$1004,1,MATCH(COLUMNS($AD$1006:AQ1006),$AD$1006:$AU$1006,0)))),"Fix")))</f>
        <v xml:space="preserve"> </v>
      </c>
      <c r="P282" s="4" t="str">
        <f ca="1">IF(OR(INDEX($X$2:$X$1001,MATCH(ROWS($W$2:W282),$W$2:$W$1001,0),1)&gt;=100000,INDEX($AD$1005:$AU$1005,1,MATCH(COLUMNS($AD$1006:AR1006),$AD$1006:$AU$1006,0))&gt;=100000), " ",IF(INDEX($AD$2:$AU$1001,MATCH(ROWS($W$2:W282),$W$2:$W$1001,0),MATCH(COLUMNS($AD$1006:AR1006),$AD$1006:$AU$1006,0)), HYPERLINK("#",""), HYPERLINK(CONCATENATE("#metadata!", ADDRESS(INDEX($Y$2:$Y$1001,MATCH(ROWS($W$2:W282),$W$2:$W$1001,0),0), INDEX($AD$1004:$AU$1004,1,MATCH(COLUMNS($AD$1006:AR1006),$AD$1006:$AU$1006,0)))),"Fix")))</f>
        <v xml:space="preserve"> </v>
      </c>
      <c r="Q282" s="4" t="str">
        <f ca="1">IF(OR(INDEX($X$2:$X$1001,MATCH(ROWS($W$2:W282),$W$2:$W$1001,0),1)&gt;=100000,INDEX($AD$1005:$AU$1005,1,MATCH(COLUMNS($AD$1006:AS1006),$AD$1006:$AU$1006,0))&gt;=100000), " ",IF(INDEX($AD$2:$AU$1001,MATCH(ROWS($W$2:W282),$W$2:$W$1001,0),MATCH(COLUMNS($AD$1006:AS1006),$AD$1006:$AU$1006,0)), HYPERLINK("#",""), HYPERLINK(CONCATENATE("#metadata!", ADDRESS(INDEX($Y$2:$Y$1001,MATCH(ROWS($W$2:W282),$W$2:$W$1001,0),0), INDEX($AD$1004:$AU$1004,1,MATCH(COLUMNS($AD$1006:AS1006),$AD$1006:$AU$1006,0)))),"Fix")))</f>
        <v xml:space="preserve"> </v>
      </c>
      <c r="R282" s="4" t="str">
        <f ca="1">IF(OR(INDEX($X$2:$X$1001,MATCH(ROWS($W$2:W282),$W$2:$W$1001,0),1)&gt;=100000,INDEX($AD$1005:$AU$1005,1,MATCH(COLUMNS($AD$1006:AT1006),$AD$1006:$AU$1006,0))&gt;=100000), " ",IF(INDEX($AD$2:$AU$1001,MATCH(ROWS($W$2:W282),$W$2:$W$1001,0),MATCH(COLUMNS($AD$1006:AT1006),$AD$1006:$AU$1006,0)), HYPERLINK("#",""), HYPERLINK(CONCATENATE("#metadata!", ADDRESS(INDEX($Y$2:$Y$1001,MATCH(ROWS($W$2:W282),$W$2:$W$1001,0),0), INDEX($AD$1004:$AU$1004,1,MATCH(COLUMNS($AD$1006:AT1006),$AD$1006:$AU$1006,0)))),"Fix")))</f>
        <v xml:space="preserve"> </v>
      </c>
      <c r="S282" s="4" t="str">
        <f ca="1">IF(OR(INDEX($X$2:$X$1001,MATCH(ROWS($W$2:W282),$W$2:$W$1001,0),1)&gt;=100000,INDEX($AD$1005:$AU$1005,1,MATCH(COLUMNS($AD$1006:AU1006),$AD$1006:$AU$1006,0))&gt;=100000), " ",IF(INDEX($AD$2:$AU$1001,MATCH(ROWS($W$2:W282),$W$2:$W$1001,0),MATCH(COLUMNS($AD$1006:AU1006),$AD$1006:$AU$1006,0)), HYPERLINK("#",""), HYPERLINK(CONCATENATE("#metadata!", ADDRESS(INDEX($Y$2:$Y$1001,MATCH(ROWS($W$2:W282),$W$2:$W$1001,0),0), INDEX($AD$1004:$AU$1004,1,MATCH(COLUMNS($AD$1006:AU1006),$AD$1006:$AU$1006,0)))),"Fix")))</f>
        <v xml:space="preserve"> </v>
      </c>
      <c r="W282">
        <v>281</v>
      </c>
      <c r="X282">
        <v>100282</v>
      </c>
      <c r="Y282">
        <v>282</v>
      </c>
      <c r="Z282" t="b">
        <f t="shared" si="4"/>
        <v>1</v>
      </c>
      <c r="AA282" t="b">
        <f>COUNTBLANK(metadata!B282:S282)=COLUMNS(metadata!B282:S282)</f>
        <v>1</v>
      </c>
      <c r="AB282" t="str">
        <v/>
      </c>
      <c r="AD282" t="b">
        <f ca="1">AND(IF(metadata!B282="",FALSE,TRUE),COUNTIF(metadata!B:B, metadata!B282) = 1,NOT(ISERROR(SUMPRODUCT(SEARCH(MID(metadata!B282,ROW(INDIRECT("1:"&amp;LEN(metadata!B282))), 1),"0123456789abcdefghijklmnopqrstuvwxyzABCDEFGHIJKLMNOPQRSTUVWXYZ.")))))</f>
        <v>0</v>
      </c>
      <c r="AE282" t="b">
        <f>OR(AND(IF(metadata!C282="",FALSE,TRUE),OR(EXACT(metadata!C282,"not applicable"),EXACT(metadata!C282,"missing: not collected"),EXACT(metadata!C282,"missing: not provided"),EXACT(metadata!C282,"missing: restricted access"))),AND(IF(metadata!C282="",FALSE,ISNUMBER(VALUE(metadata!C282))),metadata!C282&gt;0))</f>
        <v>0</v>
      </c>
      <c r="AF282" t="b">
        <f>AND(IF(metadata!D282="",FALSE,TRUE),EXACT(metadata!D282,"missing: not provided"))</f>
        <v>0</v>
      </c>
      <c r="AG282" t="b">
        <f>AND(IF(metadata!E282="",FALSE,TRUE),EXACT(metadata!E282,"Host-associated"))</f>
        <v>0</v>
      </c>
      <c r="AH282" t="b">
        <f>AND(IF(metadata!F282="",FALSE,TRUE),OR(EXACT(metadata!F282,"Animal"),EXACT(metadata!F282,"Fungus"),EXACT(metadata!F282,"Plant")))</f>
        <v>0</v>
      </c>
      <c r="AI282" t="b">
        <f>AND(IF(metadata!G282="",FALSE,TRUE),OR(EXACT(metadata!G282,"Plant secretion"),EXACT(metadata!G282,"Plant rhizosphere"),EXACT(metadata!G282,"Plant surface"),EXACT(metadata!G282,"Plant corpus"),EXACT(metadata!G282,"Fungus surface"),EXACT(metadata!G282,"Fungus corpus"),EXACT(metadata!G282,"Animal surface"),EXACT(metadata!G282,"Animal proximal gut"),EXACT(metadata!G282,"Animal corpus"),EXACT(metadata!G282,"Animal distal gut"),EXACT(metadata!G282,"Animal secretion")))</f>
        <v>0</v>
      </c>
      <c r="AJ282" t="b">
        <f>OR(AND(IF(metadata!H282="",FALSE,TRUE),OR(EXACT(metadata!H282,"missing: not collected"),EXACT(metadata!H282,"missing: not provided"),EXACT(metadata!H282,"missing: restricted access"))),AND(IF(metadata!H282="",FALSE,TRUE),OR(EXACT(metadata!H282,"organism-associated habitat"),EXACT(metadata!H282,"plant-associated habitat"),EXACT(metadata!H282,"animal-associated habitat"),EXACT(metadata!H282,"insecta-associated habitat"),EXACT(metadata!H282,"mammalia-associated habitat"),EXACT(metadata!H282,"human-associated habitat"),EXACT(metadata!H282,"livestock-associated habitat"))))</f>
        <v>0</v>
      </c>
      <c r="AK282" t="b">
        <f>AND(IF(metadata!I282="",FALSE,TRUE),EXACT(metadata!I282,"host-associated"))</f>
        <v>0</v>
      </c>
      <c r="AL282" t="b">
        <f>OR(AND(IF(metadata!J282="",FALSE,TRUE),OR(EXACT(metadata!J282,"not applicable"),EXACT(metadata!J282,"missing: not collected"),EXACT(metadata!J282,"missing: not provided"),EXACT(metadata!J282,"missing: restricted access"))),AND(IF(metadata!J282="",FALSE,ISNUMBER(VALUE(metadata!J282))),metadata!J282&gt;0))</f>
        <v>0</v>
      </c>
      <c r="AM282" t="b">
        <f>AND(IF(metadata!K282="",FALSE,TRUE),EXACT(metadata!K282,"missing: not provided"))</f>
        <v>0</v>
      </c>
      <c r="AN282" t="b">
        <f>IF(metadata!L282="",FALSE,TRUE)</f>
        <v>0</v>
      </c>
      <c r="AO282" t="b">
        <f>IF(metadata!M282="",FALSE,TRUE)</f>
        <v>0</v>
      </c>
      <c r="AP282" t="b">
        <f>OR(AND(IF(metadata!N282="",FALSE,TRUE),OR(EXACT(metadata!N282,"not applicable"),EXACT(metadata!N282,"missing: not collected"),EXACT(metadata!N282,"missing: not provided"))),AND(IF(metadata!N282="",FALSE,IF(ISERROR(INT(metadata!N282)),FALSE,INT(metadata!N282)=metadata!N282)),metadata!N282&gt;0))</f>
        <v>0</v>
      </c>
      <c r="AQ282" t="b">
        <f>AND(IF(metadata!O282="",FALSE,TRUE),EXACT(metadata!O282,"Not applicable"))</f>
        <v>0</v>
      </c>
      <c r="AR282" t="b">
        <f>OR(AND(IF(metadata!P282="",FALSE,TRUE),OR(EXACT(metadata!P282,"not applicable"),EXACT(metadata!P282,"missing: not collected"),EXACT(metadata!P282,"missing: not provided"),EXACT(metadata!P282,"missing: restricted access"))),IF(metadata!P282="",FALSE,IF(ISERROR(INT(metadata!P282)),FALSE,INT(metadata!P282)=metadata!P282)))</f>
        <v>0</v>
      </c>
      <c r="AS282" t="b">
        <f>AND(IF(metadata!Q282="",FALSE,TRUE),EXACT(metadata!Q282,"Not applicable"))</f>
        <v>0</v>
      </c>
      <c r="AT282" t="b">
        <f>OR(AND(IF(metadata!R282="",FALSE,TRUE),OR(EXACT(metadata!R282,"not applicable"),EXACT(metadata!R282,"missing: not collected"),EXACT(metadata!R282,"missing: not provided"),EXACT(metadata!R282,"missing: restricted access"))),AND(IF(metadata!R282="",FALSE,ISNUMBER(VALUE(metadata!R282))),metadata!R282&gt;0))</f>
        <v>0</v>
      </c>
      <c r="AU282" t="b">
        <f>AND(IF(metadata!S282="",FALSE,TRUE),EXACT(metadata!S282,"missing: not provided"))</f>
        <v>0</v>
      </c>
    </row>
    <row r="283" spans="1:47" x14ac:dyDescent="0.2">
      <c r="A283" s="5" t="str">
        <f ca="1">IF(B283=" "," ",HYPERLINK(CONCATENATE("#metadata!",ADDRESS(INDEX($Y$2:$Y$1001,MATCH(ROWS($W$2:W283),$W$2:$W$1001,0),0),1)),INDEX($AB$2:$AB$1001,MATCH(ROWS($W$2:W283),$W$2:$W$1001,0),0)))</f>
        <v xml:space="preserve"> </v>
      </c>
      <c r="B283" s="4" t="str">
        <f ca="1">IF(OR(INDEX($X$2:$X$1001,MATCH(ROWS($W$2:W283),$W$2:$W$1001,0),1)&gt;=100000,INDEX($AD$1005:$AU$1005,1,MATCH(COLUMNS($AD$1006:AD1006),$AD$1006:$AU$1006,0))&gt;=100000), " ",IF(INDEX($AD$2:$AU$1001,MATCH(ROWS($W$2:W283),$W$2:$W$1001,0),MATCH(COLUMNS($AD$1006:AD1006),$AD$1006:$AU$1006,0)), HYPERLINK("#",""), HYPERLINK(CONCATENATE("#metadata!", ADDRESS(INDEX($Y$2:$Y$1001,MATCH(ROWS($W$2:W283),$W$2:$W$1001,0),0), INDEX($AD$1004:$AU$1004,1,MATCH(COLUMNS($AD$1006:AD1006),$AD$1006:$AU$1006,0)))),"Fix")))</f>
        <v xml:space="preserve"> </v>
      </c>
      <c r="C283" s="4" t="str">
        <f ca="1">IF(OR(INDEX($X$2:$X$1001,MATCH(ROWS($W$2:W283),$W$2:$W$1001,0),1)&gt;=100000,INDEX($AD$1005:$AU$1005,1,MATCH(COLUMNS($AD$1006:AE1006),$AD$1006:$AU$1006,0))&gt;=100000), " ",IF(INDEX($AD$2:$AU$1001,MATCH(ROWS($W$2:W283),$W$2:$W$1001,0),MATCH(COLUMNS($AD$1006:AE1006),$AD$1006:$AU$1006,0)), HYPERLINK("#",""), HYPERLINK(CONCATENATE("#metadata!", ADDRESS(INDEX($Y$2:$Y$1001,MATCH(ROWS($W$2:W283),$W$2:$W$1001,0),0), INDEX($AD$1004:$AU$1004,1,MATCH(COLUMNS($AD$1006:AE1006),$AD$1006:$AU$1006,0)))),"Fix")))</f>
        <v xml:space="preserve"> </v>
      </c>
      <c r="D283" s="4" t="str">
        <f ca="1">IF(OR(INDEX($X$2:$X$1001,MATCH(ROWS($W$2:W283),$W$2:$W$1001,0),1)&gt;=100000,INDEX($AD$1005:$AU$1005,1,MATCH(COLUMNS($AD$1006:AF1006),$AD$1006:$AU$1006,0))&gt;=100000), " ",IF(INDEX($AD$2:$AU$1001,MATCH(ROWS($W$2:W283),$W$2:$W$1001,0),MATCH(COLUMNS($AD$1006:AF1006),$AD$1006:$AU$1006,0)), HYPERLINK("#",""), HYPERLINK(CONCATENATE("#metadata!", ADDRESS(INDEX($Y$2:$Y$1001,MATCH(ROWS($W$2:W283),$W$2:$W$1001,0),0), INDEX($AD$1004:$AU$1004,1,MATCH(COLUMNS($AD$1006:AF1006),$AD$1006:$AU$1006,0)))),"Fix")))</f>
        <v xml:space="preserve"> </v>
      </c>
      <c r="E283" s="4" t="str">
        <f ca="1">IF(OR(INDEX($X$2:$X$1001,MATCH(ROWS($W$2:W283),$W$2:$W$1001,0),1)&gt;=100000,INDEX($AD$1005:$AU$1005,1,MATCH(COLUMNS($AD$1006:AG1006),$AD$1006:$AU$1006,0))&gt;=100000), " ",IF(INDEX($AD$2:$AU$1001,MATCH(ROWS($W$2:W283),$W$2:$W$1001,0),MATCH(COLUMNS($AD$1006:AG1006),$AD$1006:$AU$1006,0)), HYPERLINK("#",""), HYPERLINK(CONCATENATE("#metadata!", ADDRESS(INDEX($Y$2:$Y$1001,MATCH(ROWS($W$2:W283),$W$2:$W$1001,0),0), INDEX($AD$1004:$AU$1004,1,MATCH(COLUMNS($AD$1006:AG1006),$AD$1006:$AU$1006,0)))),"Fix")))</f>
        <v xml:space="preserve"> </v>
      </c>
      <c r="F283" s="4" t="str">
        <f ca="1">IF(OR(INDEX($X$2:$X$1001,MATCH(ROWS($W$2:W283),$W$2:$W$1001,0),1)&gt;=100000,INDEX($AD$1005:$AU$1005,1,MATCH(COLUMNS($AD$1006:AH1006),$AD$1006:$AU$1006,0))&gt;=100000), " ",IF(INDEX($AD$2:$AU$1001,MATCH(ROWS($W$2:W283),$W$2:$W$1001,0),MATCH(COLUMNS($AD$1006:AH1006),$AD$1006:$AU$1006,0)), HYPERLINK("#",""), HYPERLINK(CONCATENATE("#metadata!", ADDRESS(INDEX($Y$2:$Y$1001,MATCH(ROWS($W$2:W283),$W$2:$W$1001,0),0), INDEX($AD$1004:$AU$1004,1,MATCH(COLUMNS($AD$1006:AH1006),$AD$1006:$AU$1006,0)))),"Fix")))</f>
        <v xml:space="preserve"> </v>
      </c>
      <c r="G283" s="4" t="str">
        <f ca="1">IF(OR(INDEX($X$2:$X$1001,MATCH(ROWS($W$2:W283),$W$2:$W$1001,0),1)&gt;=100000,INDEX($AD$1005:$AU$1005,1,MATCH(COLUMNS($AD$1006:AI1006),$AD$1006:$AU$1006,0))&gt;=100000), " ",IF(INDEX($AD$2:$AU$1001,MATCH(ROWS($W$2:W283),$W$2:$W$1001,0),MATCH(COLUMNS($AD$1006:AI1006),$AD$1006:$AU$1006,0)), HYPERLINK("#",""), HYPERLINK(CONCATENATE("#metadata!", ADDRESS(INDEX($Y$2:$Y$1001,MATCH(ROWS($W$2:W283),$W$2:$W$1001,0),0), INDEX($AD$1004:$AU$1004,1,MATCH(COLUMNS($AD$1006:AI1006),$AD$1006:$AU$1006,0)))),"Fix")))</f>
        <v xml:space="preserve"> </v>
      </c>
      <c r="H283" s="4" t="str">
        <f ca="1">IF(OR(INDEX($X$2:$X$1001,MATCH(ROWS($W$2:W283),$W$2:$W$1001,0),1)&gt;=100000,INDEX($AD$1005:$AU$1005,1,MATCH(COLUMNS($AD$1006:AJ1006),$AD$1006:$AU$1006,0))&gt;=100000), " ",IF(INDEX($AD$2:$AU$1001,MATCH(ROWS($W$2:W283),$W$2:$W$1001,0),MATCH(COLUMNS($AD$1006:AJ1006),$AD$1006:$AU$1006,0)), HYPERLINK("#",""), HYPERLINK(CONCATENATE("#metadata!", ADDRESS(INDEX($Y$2:$Y$1001,MATCH(ROWS($W$2:W283),$W$2:$W$1001,0),0), INDEX($AD$1004:$AU$1004,1,MATCH(COLUMNS($AD$1006:AJ1006),$AD$1006:$AU$1006,0)))),"Fix")))</f>
        <v xml:space="preserve"> </v>
      </c>
      <c r="I283" s="4" t="str">
        <f ca="1">IF(OR(INDEX($X$2:$X$1001,MATCH(ROWS($W$2:W283),$W$2:$W$1001,0),1)&gt;=100000,INDEX($AD$1005:$AU$1005,1,MATCH(COLUMNS($AD$1006:AK1006),$AD$1006:$AU$1006,0))&gt;=100000), " ",IF(INDEX($AD$2:$AU$1001,MATCH(ROWS($W$2:W283),$W$2:$W$1001,0),MATCH(COLUMNS($AD$1006:AK1006),$AD$1006:$AU$1006,0)), HYPERLINK("#",""), HYPERLINK(CONCATENATE("#metadata!", ADDRESS(INDEX($Y$2:$Y$1001,MATCH(ROWS($W$2:W283),$W$2:$W$1001,0),0), INDEX($AD$1004:$AU$1004,1,MATCH(COLUMNS($AD$1006:AK1006),$AD$1006:$AU$1006,0)))),"Fix")))</f>
        <v xml:space="preserve"> </v>
      </c>
      <c r="J283" s="4" t="str">
        <f ca="1">IF(OR(INDEX($X$2:$X$1001,MATCH(ROWS($W$2:W283),$W$2:$W$1001,0),1)&gt;=100000,INDEX($AD$1005:$AU$1005,1,MATCH(COLUMNS($AD$1006:AL1006),$AD$1006:$AU$1006,0))&gt;=100000), " ",IF(INDEX($AD$2:$AU$1001,MATCH(ROWS($W$2:W283),$W$2:$W$1001,0),MATCH(COLUMNS($AD$1006:AL1006),$AD$1006:$AU$1006,0)), HYPERLINK("#",""), HYPERLINK(CONCATENATE("#metadata!", ADDRESS(INDEX($Y$2:$Y$1001,MATCH(ROWS($W$2:W283),$W$2:$W$1001,0),0), INDEX($AD$1004:$AU$1004,1,MATCH(COLUMNS($AD$1006:AL1006),$AD$1006:$AU$1006,0)))),"Fix")))</f>
        <v xml:space="preserve"> </v>
      </c>
      <c r="K283" s="4" t="str">
        <f ca="1">IF(OR(INDEX($X$2:$X$1001,MATCH(ROWS($W$2:W283),$W$2:$W$1001,0),1)&gt;=100000,INDEX($AD$1005:$AU$1005,1,MATCH(COLUMNS($AD$1006:AM1006),$AD$1006:$AU$1006,0))&gt;=100000), " ",IF(INDEX($AD$2:$AU$1001,MATCH(ROWS($W$2:W283),$W$2:$W$1001,0),MATCH(COLUMNS($AD$1006:AM1006),$AD$1006:$AU$1006,0)), HYPERLINK("#",""), HYPERLINK(CONCATENATE("#metadata!", ADDRESS(INDEX($Y$2:$Y$1001,MATCH(ROWS($W$2:W283),$W$2:$W$1001,0),0), INDEX($AD$1004:$AU$1004,1,MATCH(COLUMNS($AD$1006:AM1006),$AD$1006:$AU$1006,0)))),"Fix")))</f>
        <v xml:space="preserve"> </v>
      </c>
      <c r="L283" s="4" t="str">
        <f ca="1">IF(OR(INDEX($X$2:$X$1001,MATCH(ROWS($W$2:W283),$W$2:$W$1001,0),1)&gt;=100000,INDEX($AD$1005:$AU$1005,1,MATCH(COLUMNS($AD$1006:AN1006),$AD$1006:$AU$1006,0))&gt;=100000), " ",IF(INDEX($AD$2:$AU$1001,MATCH(ROWS($W$2:W283),$W$2:$W$1001,0),MATCH(COLUMNS($AD$1006:AN1006),$AD$1006:$AU$1006,0)), HYPERLINK("#",""), HYPERLINK(CONCATENATE("#metadata!", ADDRESS(INDEX($Y$2:$Y$1001,MATCH(ROWS($W$2:W283),$W$2:$W$1001,0),0), INDEX($AD$1004:$AU$1004,1,MATCH(COLUMNS($AD$1006:AN1006),$AD$1006:$AU$1006,0)))),"Fix")))</f>
        <v xml:space="preserve"> </v>
      </c>
      <c r="M283" s="4" t="str">
        <f ca="1">IF(OR(INDEX($X$2:$X$1001,MATCH(ROWS($W$2:W283),$W$2:$W$1001,0),1)&gt;=100000,INDEX($AD$1005:$AU$1005,1,MATCH(COLUMNS($AD$1006:AO1006),$AD$1006:$AU$1006,0))&gt;=100000), " ",IF(INDEX($AD$2:$AU$1001,MATCH(ROWS($W$2:W283),$W$2:$W$1001,0),MATCH(COLUMNS($AD$1006:AO1006),$AD$1006:$AU$1006,0)), HYPERLINK("#",""), HYPERLINK(CONCATENATE("#metadata!", ADDRESS(INDEX($Y$2:$Y$1001,MATCH(ROWS($W$2:W283),$W$2:$W$1001,0),0), INDEX($AD$1004:$AU$1004,1,MATCH(COLUMNS($AD$1006:AO1006),$AD$1006:$AU$1006,0)))),"Fix")))</f>
        <v xml:space="preserve"> </v>
      </c>
      <c r="N283" s="4" t="str">
        <f ca="1">IF(OR(INDEX($X$2:$X$1001,MATCH(ROWS($W$2:W283),$W$2:$W$1001,0),1)&gt;=100000,INDEX($AD$1005:$AU$1005,1,MATCH(COLUMNS($AD$1006:AP1006),$AD$1006:$AU$1006,0))&gt;=100000), " ",IF(INDEX($AD$2:$AU$1001,MATCH(ROWS($W$2:W283),$W$2:$W$1001,0),MATCH(COLUMNS($AD$1006:AP1006),$AD$1006:$AU$1006,0)), HYPERLINK("#",""), HYPERLINK(CONCATENATE("#metadata!", ADDRESS(INDEX($Y$2:$Y$1001,MATCH(ROWS($W$2:W283),$W$2:$W$1001,0),0), INDEX($AD$1004:$AU$1004,1,MATCH(COLUMNS($AD$1006:AP1006),$AD$1006:$AU$1006,0)))),"Fix")))</f>
        <v xml:space="preserve"> </v>
      </c>
      <c r="O283" s="4" t="str">
        <f ca="1">IF(OR(INDEX($X$2:$X$1001,MATCH(ROWS($W$2:W283),$W$2:$W$1001,0),1)&gt;=100000,INDEX($AD$1005:$AU$1005,1,MATCH(COLUMNS($AD$1006:AQ1006),$AD$1006:$AU$1006,0))&gt;=100000), " ",IF(INDEX($AD$2:$AU$1001,MATCH(ROWS($W$2:W283),$W$2:$W$1001,0),MATCH(COLUMNS($AD$1006:AQ1006),$AD$1006:$AU$1006,0)), HYPERLINK("#",""), HYPERLINK(CONCATENATE("#metadata!", ADDRESS(INDEX($Y$2:$Y$1001,MATCH(ROWS($W$2:W283),$W$2:$W$1001,0),0), INDEX($AD$1004:$AU$1004,1,MATCH(COLUMNS($AD$1006:AQ1006),$AD$1006:$AU$1006,0)))),"Fix")))</f>
        <v xml:space="preserve"> </v>
      </c>
      <c r="P283" s="4" t="str">
        <f ca="1">IF(OR(INDEX($X$2:$X$1001,MATCH(ROWS($W$2:W283),$W$2:$W$1001,0),1)&gt;=100000,INDEX($AD$1005:$AU$1005,1,MATCH(COLUMNS($AD$1006:AR1006),$AD$1006:$AU$1006,0))&gt;=100000), " ",IF(INDEX($AD$2:$AU$1001,MATCH(ROWS($W$2:W283),$W$2:$W$1001,0),MATCH(COLUMNS($AD$1006:AR1006),$AD$1006:$AU$1006,0)), HYPERLINK("#",""), HYPERLINK(CONCATENATE("#metadata!", ADDRESS(INDEX($Y$2:$Y$1001,MATCH(ROWS($W$2:W283),$W$2:$W$1001,0),0), INDEX($AD$1004:$AU$1004,1,MATCH(COLUMNS($AD$1006:AR1006),$AD$1006:$AU$1006,0)))),"Fix")))</f>
        <v xml:space="preserve"> </v>
      </c>
      <c r="Q283" s="4" t="str">
        <f ca="1">IF(OR(INDEX($X$2:$X$1001,MATCH(ROWS($W$2:W283),$W$2:$W$1001,0),1)&gt;=100000,INDEX($AD$1005:$AU$1005,1,MATCH(COLUMNS($AD$1006:AS1006),$AD$1006:$AU$1006,0))&gt;=100000), " ",IF(INDEX($AD$2:$AU$1001,MATCH(ROWS($W$2:W283),$W$2:$W$1001,0),MATCH(COLUMNS($AD$1006:AS1006),$AD$1006:$AU$1006,0)), HYPERLINK("#",""), HYPERLINK(CONCATENATE("#metadata!", ADDRESS(INDEX($Y$2:$Y$1001,MATCH(ROWS($W$2:W283),$W$2:$W$1001,0),0), INDEX($AD$1004:$AU$1004,1,MATCH(COLUMNS($AD$1006:AS1006),$AD$1006:$AU$1006,0)))),"Fix")))</f>
        <v xml:space="preserve"> </v>
      </c>
      <c r="R283" s="4" t="str">
        <f ca="1">IF(OR(INDEX($X$2:$X$1001,MATCH(ROWS($W$2:W283),$W$2:$W$1001,0),1)&gt;=100000,INDEX($AD$1005:$AU$1005,1,MATCH(COLUMNS($AD$1006:AT1006),$AD$1006:$AU$1006,0))&gt;=100000), " ",IF(INDEX($AD$2:$AU$1001,MATCH(ROWS($W$2:W283),$W$2:$W$1001,0),MATCH(COLUMNS($AD$1006:AT1006),$AD$1006:$AU$1006,0)), HYPERLINK("#",""), HYPERLINK(CONCATENATE("#metadata!", ADDRESS(INDEX($Y$2:$Y$1001,MATCH(ROWS($W$2:W283),$W$2:$W$1001,0),0), INDEX($AD$1004:$AU$1004,1,MATCH(COLUMNS($AD$1006:AT1006),$AD$1006:$AU$1006,0)))),"Fix")))</f>
        <v xml:space="preserve"> </v>
      </c>
      <c r="S283" s="4" t="str">
        <f ca="1">IF(OR(INDEX($X$2:$X$1001,MATCH(ROWS($W$2:W283),$W$2:$W$1001,0),1)&gt;=100000,INDEX($AD$1005:$AU$1005,1,MATCH(COLUMNS($AD$1006:AU1006),$AD$1006:$AU$1006,0))&gt;=100000), " ",IF(INDEX($AD$2:$AU$1001,MATCH(ROWS($W$2:W283),$W$2:$W$1001,0),MATCH(COLUMNS($AD$1006:AU1006),$AD$1006:$AU$1006,0)), HYPERLINK("#",""), HYPERLINK(CONCATENATE("#metadata!", ADDRESS(INDEX($Y$2:$Y$1001,MATCH(ROWS($W$2:W283),$W$2:$W$1001,0),0), INDEX($AD$1004:$AU$1004,1,MATCH(COLUMNS($AD$1006:AU1006),$AD$1006:$AU$1006,0)))),"Fix")))</f>
        <v xml:space="preserve"> </v>
      </c>
      <c r="W283">
        <v>282</v>
      </c>
      <c r="X283">
        <v>100283</v>
      </c>
      <c r="Y283">
        <v>283</v>
      </c>
      <c r="Z283" t="b">
        <f t="shared" si="4"/>
        <v>1</v>
      </c>
      <c r="AA283" t="b">
        <f>COUNTBLANK(metadata!B283:S283)=COLUMNS(metadata!B283:S283)</f>
        <v>1</v>
      </c>
      <c r="AB283" t="str">
        <v/>
      </c>
      <c r="AD283" t="b">
        <f ca="1">AND(IF(metadata!B283="",FALSE,TRUE),COUNTIF(metadata!B:B, metadata!B283) = 1,NOT(ISERROR(SUMPRODUCT(SEARCH(MID(metadata!B283,ROW(INDIRECT("1:"&amp;LEN(metadata!B283))), 1),"0123456789abcdefghijklmnopqrstuvwxyzABCDEFGHIJKLMNOPQRSTUVWXYZ.")))))</f>
        <v>0</v>
      </c>
      <c r="AE283" t="b">
        <f>OR(AND(IF(metadata!C283="",FALSE,TRUE),OR(EXACT(metadata!C283,"not applicable"),EXACT(metadata!C283,"missing: not collected"),EXACT(metadata!C283,"missing: not provided"),EXACT(metadata!C283,"missing: restricted access"))),AND(IF(metadata!C283="",FALSE,ISNUMBER(VALUE(metadata!C283))),metadata!C283&gt;0))</f>
        <v>0</v>
      </c>
      <c r="AF283" t="b">
        <f>AND(IF(metadata!D283="",FALSE,TRUE),EXACT(metadata!D283,"missing: not provided"))</f>
        <v>0</v>
      </c>
      <c r="AG283" t="b">
        <f>AND(IF(metadata!E283="",FALSE,TRUE),EXACT(metadata!E283,"Host-associated"))</f>
        <v>0</v>
      </c>
      <c r="AH283" t="b">
        <f>AND(IF(metadata!F283="",FALSE,TRUE),OR(EXACT(metadata!F283,"Animal"),EXACT(metadata!F283,"Fungus"),EXACT(metadata!F283,"Plant")))</f>
        <v>0</v>
      </c>
      <c r="AI283" t="b">
        <f>AND(IF(metadata!G283="",FALSE,TRUE),OR(EXACT(metadata!G283,"Plant secretion"),EXACT(metadata!G283,"Plant rhizosphere"),EXACT(metadata!G283,"Plant surface"),EXACT(metadata!G283,"Plant corpus"),EXACT(metadata!G283,"Fungus surface"),EXACT(metadata!G283,"Fungus corpus"),EXACT(metadata!G283,"Animal surface"),EXACT(metadata!G283,"Animal proximal gut"),EXACT(metadata!G283,"Animal corpus"),EXACT(metadata!G283,"Animal distal gut"),EXACT(metadata!G283,"Animal secretion")))</f>
        <v>0</v>
      </c>
      <c r="AJ283" t="b">
        <f>OR(AND(IF(metadata!H283="",FALSE,TRUE),OR(EXACT(metadata!H283,"missing: not collected"),EXACT(metadata!H283,"missing: not provided"),EXACT(metadata!H283,"missing: restricted access"))),AND(IF(metadata!H283="",FALSE,TRUE),OR(EXACT(metadata!H283,"organism-associated habitat"),EXACT(metadata!H283,"plant-associated habitat"),EXACT(metadata!H283,"animal-associated habitat"),EXACT(metadata!H283,"insecta-associated habitat"),EXACT(metadata!H283,"mammalia-associated habitat"),EXACT(metadata!H283,"human-associated habitat"),EXACT(metadata!H283,"livestock-associated habitat"))))</f>
        <v>0</v>
      </c>
      <c r="AK283" t="b">
        <f>AND(IF(metadata!I283="",FALSE,TRUE),EXACT(metadata!I283,"host-associated"))</f>
        <v>0</v>
      </c>
      <c r="AL283" t="b">
        <f>OR(AND(IF(metadata!J283="",FALSE,TRUE),OR(EXACT(metadata!J283,"not applicable"),EXACT(metadata!J283,"missing: not collected"),EXACT(metadata!J283,"missing: not provided"),EXACT(metadata!J283,"missing: restricted access"))),AND(IF(metadata!J283="",FALSE,ISNUMBER(VALUE(metadata!J283))),metadata!J283&gt;0))</f>
        <v>0</v>
      </c>
      <c r="AM283" t="b">
        <f>AND(IF(metadata!K283="",FALSE,TRUE),EXACT(metadata!K283,"missing: not provided"))</f>
        <v>0</v>
      </c>
      <c r="AN283" t="b">
        <f>IF(metadata!L283="",FALSE,TRUE)</f>
        <v>0</v>
      </c>
      <c r="AO283" t="b">
        <f>IF(metadata!M283="",FALSE,TRUE)</f>
        <v>0</v>
      </c>
      <c r="AP283" t="b">
        <f>OR(AND(IF(metadata!N283="",FALSE,TRUE),OR(EXACT(metadata!N283,"not applicable"),EXACT(metadata!N283,"missing: not collected"),EXACT(metadata!N283,"missing: not provided"))),AND(IF(metadata!N283="",FALSE,IF(ISERROR(INT(metadata!N283)),FALSE,INT(metadata!N283)=metadata!N283)),metadata!N283&gt;0))</f>
        <v>0</v>
      </c>
      <c r="AQ283" t="b">
        <f>AND(IF(metadata!O283="",FALSE,TRUE),EXACT(metadata!O283,"Not applicable"))</f>
        <v>0</v>
      </c>
      <c r="AR283" t="b">
        <f>OR(AND(IF(metadata!P283="",FALSE,TRUE),OR(EXACT(metadata!P283,"not applicable"),EXACT(metadata!P283,"missing: not collected"),EXACT(metadata!P283,"missing: not provided"),EXACT(metadata!P283,"missing: restricted access"))),IF(metadata!P283="",FALSE,IF(ISERROR(INT(metadata!P283)),FALSE,INT(metadata!P283)=metadata!P283)))</f>
        <v>0</v>
      </c>
      <c r="AS283" t="b">
        <f>AND(IF(metadata!Q283="",FALSE,TRUE),EXACT(metadata!Q283,"Not applicable"))</f>
        <v>0</v>
      </c>
      <c r="AT283" t="b">
        <f>OR(AND(IF(metadata!R283="",FALSE,TRUE),OR(EXACT(metadata!R283,"not applicable"),EXACT(metadata!R283,"missing: not collected"),EXACT(metadata!R283,"missing: not provided"),EXACT(metadata!R283,"missing: restricted access"))),AND(IF(metadata!R283="",FALSE,ISNUMBER(VALUE(metadata!R283))),metadata!R283&gt;0))</f>
        <v>0</v>
      </c>
      <c r="AU283" t="b">
        <f>AND(IF(metadata!S283="",FALSE,TRUE),EXACT(metadata!S283,"missing: not provided"))</f>
        <v>0</v>
      </c>
    </row>
    <row r="284" spans="1:47" x14ac:dyDescent="0.2">
      <c r="A284" s="5" t="str">
        <f ca="1">IF(B284=" "," ",HYPERLINK(CONCATENATE("#metadata!",ADDRESS(INDEX($Y$2:$Y$1001,MATCH(ROWS($W$2:W284),$W$2:$W$1001,0),0),1)),INDEX($AB$2:$AB$1001,MATCH(ROWS($W$2:W284),$W$2:$W$1001,0),0)))</f>
        <v xml:space="preserve"> </v>
      </c>
      <c r="B284" s="4" t="str">
        <f ca="1">IF(OR(INDEX($X$2:$X$1001,MATCH(ROWS($W$2:W284),$W$2:$W$1001,0),1)&gt;=100000,INDEX($AD$1005:$AU$1005,1,MATCH(COLUMNS($AD$1006:AD1006),$AD$1006:$AU$1006,0))&gt;=100000), " ",IF(INDEX($AD$2:$AU$1001,MATCH(ROWS($W$2:W284),$W$2:$W$1001,0),MATCH(COLUMNS($AD$1006:AD1006),$AD$1006:$AU$1006,0)), HYPERLINK("#",""), HYPERLINK(CONCATENATE("#metadata!", ADDRESS(INDEX($Y$2:$Y$1001,MATCH(ROWS($W$2:W284),$W$2:$W$1001,0),0), INDEX($AD$1004:$AU$1004,1,MATCH(COLUMNS($AD$1006:AD1006),$AD$1006:$AU$1006,0)))),"Fix")))</f>
        <v xml:space="preserve"> </v>
      </c>
      <c r="C284" s="4" t="str">
        <f ca="1">IF(OR(INDEX($X$2:$X$1001,MATCH(ROWS($W$2:W284),$W$2:$W$1001,0),1)&gt;=100000,INDEX($AD$1005:$AU$1005,1,MATCH(COLUMNS($AD$1006:AE1006),$AD$1006:$AU$1006,0))&gt;=100000), " ",IF(INDEX($AD$2:$AU$1001,MATCH(ROWS($W$2:W284),$W$2:$W$1001,0),MATCH(COLUMNS($AD$1006:AE1006),$AD$1006:$AU$1006,0)), HYPERLINK("#",""), HYPERLINK(CONCATENATE("#metadata!", ADDRESS(INDEX($Y$2:$Y$1001,MATCH(ROWS($W$2:W284),$W$2:$W$1001,0),0), INDEX($AD$1004:$AU$1004,1,MATCH(COLUMNS($AD$1006:AE1006),$AD$1006:$AU$1006,0)))),"Fix")))</f>
        <v xml:space="preserve"> </v>
      </c>
      <c r="D284" s="4" t="str">
        <f ca="1">IF(OR(INDEX($X$2:$X$1001,MATCH(ROWS($W$2:W284),$W$2:$W$1001,0),1)&gt;=100000,INDEX($AD$1005:$AU$1005,1,MATCH(COLUMNS($AD$1006:AF1006),$AD$1006:$AU$1006,0))&gt;=100000), " ",IF(INDEX($AD$2:$AU$1001,MATCH(ROWS($W$2:W284),$W$2:$W$1001,0),MATCH(COLUMNS($AD$1006:AF1006),$AD$1006:$AU$1006,0)), HYPERLINK("#",""), HYPERLINK(CONCATENATE("#metadata!", ADDRESS(INDEX($Y$2:$Y$1001,MATCH(ROWS($W$2:W284),$W$2:$W$1001,0),0), INDEX($AD$1004:$AU$1004,1,MATCH(COLUMNS($AD$1006:AF1006),$AD$1006:$AU$1006,0)))),"Fix")))</f>
        <v xml:space="preserve"> </v>
      </c>
      <c r="E284" s="4" t="str">
        <f ca="1">IF(OR(INDEX($X$2:$X$1001,MATCH(ROWS($W$2:W284),$W$2:$W$1001,0),1)&gt;=100000,INDEX($AD$1005:$AU$1005,1,MATCH(COLUMNS($AD$1006:AG1006),$AD$1006:$AU$1006,0))&gt;=100000), " ",IF(INDEX($AD$2:$AU$1001,MATCH(ROWS($W$2:W284),$W$2:$W$1001,0),MATCH(COLUMNS($AD$1006:AG1006),$AD$1006:$AU$1006,0)), HYPERLINK("#",""), HYPERLINK(CONCATENATE("#metadata!", ADDRESS(INDEX($Y$2:$Y$1001,MATCH(ROWS($W$2:W284),$W$2:$W$1001,0),0), INDEX($AD$1004:$AU$1004,1,MATCH(COLUMNS($AD$1006:AG1006),$AD$1006:$AU$1006,0)))),"Fix")))</f>
        <v xml:space="preserve"> </v>
      </c>
      <c r="F284" s="4" t="str">
        <f ca="1">IF(OR(INDEX($X$2:$X$1001,MATCH(ROWS($W$2:W284),$W$2:$W$1001,0),1)&gt;=100000,INDEX($AD$1005:$AU$1005,1,MATCH(COLUMNS($AD$1006:AH1006),$AD$1006:$AU$1006,0))&gt;=100000), " ",IF(INDEX($AD$2:$AU$1001,MATCH(ROWS($W$2:W284),$W$2:$W$1001,0),MATCH(COLUMNS($AD$1006:AH1006),$AD$1006:$AU$1006,0)), HYPERLINK("#",""), HYPERLINK(CONCATENATE("#metadata!", ADDRESS(INDEX($Y$2:$Y$1001,MATCH(ROWS($W$2:W284),$W$2:$W$1001,0),0), INDEX($AD$1004:$AU$1004,1,MATCH(COLUMNS($AD$1006:AH1006),$AD$1006:$AU$1006,0)))),"Fix")))</f>
        <v xml:space="preserve"> </v>
      </c>
      <c r="G284" s="4" t="str">
        <f ca="1">IF(OR(INDEX($X$2:$X$1001,MATCH(ROWS($W$2:W284),$W$2:$W$1001,0),1)&gt;=100000,INDEX($AD$1005:$AU$1005,1,MATCH(COLUMNS($AD$1006:AI1006),$AD$1006:$AU$1006,0))&gt;=100000), " ",IF(INDEX($AD$2:$AU$1001,MATCH(ROWS($W$2:W284),$W$2:$W$1001,0),MATCH(COLUMNS($AD$1006:AI1006),$AD$1006:$AU$1006,0)), HYPERLINK("#",""), HYPERLINK(CONCATENATE("#metadata!", ADDRESS(INDEX($Y$2:$Y$1001,MATCH(ROWS($W$2:W284),$W$2:$W$1001,0),0), INDEX($AD$1004:$AU$1004,1,MATCH(COLUMNS($AD$1006:AI1006),$AD$1006:$AU$1006,0)))),"Fix")))</f>
        <v xml:space="preserve"> </v>
      </c>
      <c r="H284" s="4" t="str">
        <f ca="1">IF(OR(INDEX($X$2:$X$1001,MATCH(ROWS($W$2:W284),$W$2:$W$1001,0),1)&gt;=100000,INDEX($AD$1005:$AU$1005,1,MATCH(COLUMNS($AD$1006:AJ1006),$AD$1006:$AU$1006,0))&gt;=100000), " ",IF(INDEX($AD$2:$AU$1001,MATCH(ROWS($W$2:W284),$W$2:$W$1001,0),MATCH(COLUMNS($AD$1006:AJ1006),$AD$1006:$AU$1006,0)), HYPERLINK("#",""), HYPERLINK(CONCATENATE("#metadata!", ADDRESS(INDEX($Y$2:$Y$1001,MATCH(ROWS($W$2:W284),$W$2:$W$1001,0),0), INDEX($AD$1004:$AU$1004,1,MATCH(COLUMNS($AD$1006:AJ1006),$AD$1006:$AU$1006,0)))),"Fix")))</f>
        <v xml:space="preserve"> </v>
      </c>
      <c r="I284" s="4" t="str">
        <f ca="1">IF(OR(INDEX($X$2:$X$1001,MATCH(ROWS($W$2:W284),$W$2:$W$1001,0),1)&gt;=100000,INDEX($AD$1005:$AU$1005,1,MATCH(COLUMNS($AD$1006:AK1006),$AD$1006:$AU$1006,0))&gt;=100000), " ",IF(INDEX($AD$2:$AU$1001,MATCH(ROWS($W$2:W284),$W$2:$W$1001,0),MATCH(COLUMNS($AD$1006:AK1006),$AD$1006:$AU$1006,0)), HYPERLINK("#",""), HYPERLINK(CONCATENATE("#metadata!", ADDRESS(INDEX($Y$2:$Y$1001,MATCH(ROWS($W$2:W284),$W$2:$W$1001,0),0), INDEX($AD$1004:$AU$1004,1,MATCH(COLUMNS($AD$1006:AK1006),$AD$1006:$AU$1006,0)))),"Fix")))</f>
        <v xml:space="preserve"> </v>
      </c>
      <c r="J284" s="4" t="str">
        <f ca="1">IF(OR(INDEX($X$2:$X$1001,MATCH(ROWS($W$2:W284),$W$2:$W$1001,0),1)&gt;=100000,INDEX($AD$1005:$AU$1005,1,MATCH(COLUMNS($AD$1006:AL1006),$AD$1006:$AU$1006,0))&gt;=100000), " ",IF(INDEX($AD$2:$AU$1001,MATCH(ROWS($W$2:W284),$W$2:$W$1001,0),MATCH(COLUMNS($AD$1006:AL1006),$AD$1006:$AU$1006,0)), HYPERLINK("#",""), HYPERLINK(CONCATENATE("#metadata!", ADDRESS(INDEX($Y$2:$Y$1001,MATCH(ROWS($W$2:W284),$W$2:$W$1001,0),0), INDEX($AD$1004:$AU$1004,1,MATCH(COLUMNS($AD$1006:AL1006),$AD$1006:$AU$1006,0)))),"Fix")))</f>
        <v xml:space="preserve"> </v>
      </c>
      <c r="K284" s="4" t="str">
        <f ca="1">IF(OR(INDEX($X$2:$X$1001,MATCH(ROWS($W$2:W284),$W$2:$W$1001,0),1)&gt;=100000,INDEX($AD$1005:$AU$1005,1,MATCH(COLUMNS($AD$1006:AM1006),$AD$1006:$AU$1006,0))&gt;=100000), " ",IF(INDEX($AD$2:$AU$1001,MATCH(ROWS($W$2:W284),$W$2:$W$1001,0),MATCH(COLUMNS($AD$1006:AM1006),$AD$1006:$AU$1006,0)), HYPERLINK("#",""), HYPERLINK(CONCATENATE("#metadata!", ADDRESS(INDEX($Y$2:$Y$1001,MATCH(ROWS($W$2:W284),$W$2:$W$1001,0),0), INDEX($AD$1004:$AU$1004,1,MATCH(COLUMNS($AD$1006:AM1006),$AD$1006:$AU$1006,0)))),"Fix")))</f>
        <v xml:space="preserve"> </v>
      </c>
      <c r="L284" s="4" t="str">
        <f ca="1">IF(OR(INDEX($X$2:$X$1001,MATCH(ROWS($W$2:W284),$W$2:$W$1001,0),1)&gt;=100000,INDEX($AD$1005:$AU$1005,1,MATCH(COLUMNS($AD$1006:AN1006),$AD$1006:$AU$1006,0))&gt;=100000), " ",IF(INDEX($AD$2:$AU$1001,MATCH(ROWS($W$2:W284),$W$2:$W$1001,0),MATCH(COLUMNS($AD$1006:AN1006),$AD$1006:$AU$1006,0)), HYPERLINK("#",""), HYPERLINK(CONCATENATE("#metadata!", ADDRESS(INDEX($Y$2:$Y$1001,MATCH(ROWS($W$2:W284),$W$2:$W$1001,0),0), INDEX($AD$1004:$AU$1004,1,MATCH(COLUMNS($AD$1006:AN1006),$AD$1006:$AU$1006,0)))),"Fix")))</f>
        <v xml:space="preserve"> </v>
      </c>
      <c r="M284" s="4" t="str">
        <f ca="1">IF(OR(INDEX($X$2:$X$1001,MATCH(ROWS($W$2:W284),$W$2:$W$1001,0),1)&gt;=100000,INDEX($AD$1005:$AU$1005,1,MATCH(COLUMNS($AD$1006:AO1006),$AD$1006:$AU$1006,0))&gt;=100000), " ",IF(INDEX($AD$2:$AU$1001,MATCH(ROWS($W$2:W284),$W$2:$W$1001,0),MATCH(COLUMNS($AD$1006:AO1006),$AD$1006:$AU$1006,0)), HYPERLINK("#",""), HYPERLINK(CONCATENATE("#metadata!", ADDRESS(INDEX($Y$2:$Y$1001,MATCH(ROWS($W$2:W284),$W$2:$W$1001,0),0), INDEX($AD$1004:$AU$1004,1,MATCH(COLUMNS($AD$1006:AO1006),$AD$1006:$AU$1006,0)))),"Fix")))</f>
        <v xml:space="preserve"> </v>
      </c>
      <c r="N284" s="4" t="str">
        <f ca="1">IF(OR(INDEX($X$2:$X$1001,MATCH(ROWS($W$2:W284),$W$2:$W$1001,0),1)&gt;=100000,INDEX($AD$1005:$AU$1005,1,MATCH(COLUMNS($AD$1006:AP1006),$AD$1006:$AU$1006,0))&gt;=100000), " ",IF(INDEX($AD$2:$AU$1001,MATCH(ROWS($W$2:W284),$W$2:$W$1001,0),MATCH(COLUMNS($AD$1006:AP1006),$AD$1006:$AU$1006,0)), HYPERLINK("#",""), HYPERLINK(CONCATENATE("#metadata!", ADDRESS(INDEX($Y$2:$Y$1001,MATCH(ROWS($W$2:W284),$W$2:$W$1001,0),0), INDEX($AD$1004:$AU$1004,1,MATCH(COLUMNS($AD$1006:AP1006),$AD$1006:$AU$1006,0)))),"Fix")))</f>
        <v xml:space="preserve"> </v>
      </c>
      <c r="O284" s="4" t="str">
        <f ca="1">IF(OR(INDEX($X$2:$X$1001,MATCH(ROWS($W$2:W284),$W$2:$W$1001,0),1)&gt;=100000,INDEX($AD$1005:$AU$1005,1,MATCH(COLUMNS($AD$1006:AQ1006),$AD$1006:$AU$1006,0))&gt;=100000), " ",IF(INDEX($AD$2:$AU$1001,MATCH(ROWS($W$2:W284),$W$2:$W$1001,0),MATCH(COLUMNS($AD$1006:AQ1006),$AD$1006:$AU$1006,0)), HYPERLINK("#",""), HYPERLINK(CONCATENATE("#metadata!", ADDRESS(INDEX($Y$2:$Y$1001,MATCH(ROWS($W$2:W284),$W$2:$W$1001,0),0), INDEX($AD$1004:$AU$1004,1,MATCH(COLUMNS($AD$1006:AQ1006),$AD$1006:$AU$1006,0)))),"Fix")))</f>
        <v xml:space="preserve"> </v>
      </c>
      <c r="P284" s="4" t="str">
        <f ca="1">IF(OR(INDEX($X$2:$X$1001,MATCH(ROWS($W$2:W284),$W$2:$W$1001,0),1)&gt;=100000,INDEX($AD$1005:$AU$1005,1,MATCH(COLUMNS($AD$1006:AR1006),$AD$1006:$AU$1006,0))&gt;=100000), " ",IF(INDEX($AD$2:$AU$1001,MATCH(ROWS($W$2:W284),$W$2:$W$1001,0),MATCH(COLUMNS($AD$1006:AR1006),$AD$1006:$AU$1006,0)), HYPERLINK("#",""), HYPERLINK(CONCATENATE("#metadata!", ADDRESS(INDEX($Y$2:$Y$1001,MATCH(ROWS($W$2:W284),$W$2:$W$1001,0),0), INDEX($AD$1004:$AU$1004,1,MATCH(COLUMNS($AD$1006:AR1006),$AD$1006:$AU$1006,0)))),"Fix")))</f>
        <v xml:space="preserve"> </v>
      </c>
      <c r="Q284" s="4" t="str">
        <f ca="1">IF(OR(INDEX($X$2:$X$1001,MATCH(ROWS($W$2:W284),$W$2:$W$1001,0),1)&gt;=100000,INDEX($AD$1005:$AU$1005,1,MATCH(COLUMNS($AD$1006:AS1006),$AD$1006:$AU$1006,0))&gt;=100000), " ",IF(INDEX($AD$2:$AU$1001,MATCH(ROWS($W$2:W284),$W$2:$W$1001,0),MATCH(COLUMNS($AD$1006:AS1006),$AD$1006:$AU$1006,0)), HYPERLINK("#",""), HYPERLINK(CONCATENATE("#metadata!", ADDRESS(INDEX($Y$2:$Y$1001,MATCH(ROWS($W$2:W284),$W$2:$W$1001,0),0), INDEX($AD$1004:$AU$1004,1,MATCH(COLUMNS($AD$1006:AS1006),$AD$1006:$AU$1006,0)))),"Fix")))</f>
        <v xml:space="preserve"> </v>
      </c>
      <c r="R284" s="4" t="str">
        <f ca="1">IF(OR(INDEX($X$2:$X$1001,MATCH(ROWS($W$2:W284),$W$2:$W$1001,0),1)&gt;=100000,INDEX($AD$1005:$AU$1005,1,MATCH(COLUMNS($AD$1006:AT1006),$AD$1006:$AU$1006,0))&gt;=100000), " ",IF(INDEX($AD$2:$AU$1001,MATCH(ROWS($W$2:W284),$W$2:$W$1001,0),MATCH(COLUMNS($AD$1006:AT1006),$AD$1006:$AU$1006,0)), HYPERLINK("#",""), HYPERLINK(CONCATENATE("#metadata!", ADDRESS(INDEX($Y$2:$Y$1001,MATCH(ROWS($W$2:W284),$W$2:$W$1001,0),0), INDEX($AD$1004:$AU$1004,1,MATCH(COLUMNS($AD$1006:AT1006),$AD$1006:$AU$1006,0)))),"Fix")))</f>
        <v xml:space="preserve"> </v>
      </c>
      <c r="S284" s="4" t="str">
        <f ca="1">IF(OR(INDEX($X$2:$X$1001,MATCH(ROWS($W$2:W284),$W$2:$W$1001,0),1)&gt;=100000,INDEX($AD$1005:$AU$1005,1,MATCH(COLUMNS($AD$1006:AU1006),$AD$1006:$AU$1006,0))&gt;=100000), " ",IF(INDEX($AD$2:$AU$1001,MATCH(ROWS($W$2:W284),$W$2:$W$1001,0),MATCH(COLUMNS($AD$1006:AU1006),$AD$1006:$AU$1006,0)), HYPERLINK("#",""), HYPERLINK(CONCATENATE("#metadata!", ADDRESS(INDEX($Y$2:$Y$1001,MATCH(ROWS($W$2:W284),$W$2:$W$1001,0),0), INDEX($AD$1004:$AU$1004,1,MATCH(COLUMNS($AD$1006:AU1006),$AD$1006:$AU$1006,0)))),"Fix")))</f>
        <v xml:space="preserve"> </v>
      </c>
      <c r="W284">
        <v>283</v>
      </c>
      <c r="X284">
        <v>100284</v>
      </c>
      <c r="Y284">
        <v>284</v>
      </c>
      <c r="Z284" t="b">
        <f t="shared" si="4"/>
        <v>1</v>
      </c>
      <c r="AA284" t="b">
        <f>COUNTBLANK(metadata!B284:S284)=COLUMNS(metadata!B284:S284)</f>
        <v>1</v>
      </c>
      <c r="AB284" t="str">
        <v/>
      </c>
      <c r="AD284" t="b">
        <f ca="1">AND(IF(metadata!B284="",FALSE,TRUE),COUNTIF(metadata!B:B, metadata!B284) = 1,NOT(ISERROR(SUMPRODUCT(SEARCH(MID(metadata!B284,ROW(INDIRECT("1:"&amp;LEN(metadata!B284))), 1),"0123456789abcdefghijklmnopqrstuvwxyzABCDEFGHIJKLMNOPQRSTUVWXYZ.")))))</f>
        <v>0</v>
      </c>
      <c r="AE284" t="b">
        <f>OR(AND(IF(metadata!C284="",FALSE,TRUE),OR(EXACT(metadata!C284,"not applicable"),EXACT(metadata!C284,"missing: not collected"),EXACT(metadata!C284,"missing: not provided"),EXACT(metadata!C284,"missing: restricted access"))),AND(IF(metadata!C284="",FALSE,ISNUMBER(VALUE(metadata!C284))),metadata!C284&gt;0))</f>
        <v>0</v>
      </c>
      <c r="AF284" t="b">
        <f>AND(IF(metadata!D284="",FALSE,TRUE),EXACT(metadata!D284,"missing: not provided"))</f>
        <v>0</v>
      </c>
      <c r="AG284" t="b">
        <f>AND(IF(metadata!E284="",FALSE,TRUE),EXACT(metadata!E284,"Host-associated"))</f>
        <v>0</v>
      </c>
      <c r="AH284" t="b">
        <f>AND(IF(metadata!F284="",FALSE,TRUE),OR(EXACT(metadata!F284,"Animal"),EXACT(metadata!F284,"Fungus"),EXACT(metadata!F284,"Plant")))</f>
        <v>0</v>
      </c>
      <c r="AI284" t="b">
        <f>AND(IF(metadata!G284="",FALSE,TRUE),OR(EXACT(metadata!G284,"Plant secretion"),EXACT(metadata!G284,"Plant rhizosphere"),EXACT(metadata!G284,"Plant surface"),EXACT(metadata!G284,"Plant corpus"),EXACT(metadata!G284,"Fungus surface"),EXACT(metadata!G284,"Fungus corpus"),EXACT(metadata!G284,"Animal surface"),EXACT(metadata!G284,"Animal proximal gut"),EXACT(metadata!G284,"Animal corpus"),EXACT(metadata!G284,"Animal distal gut"),EXACT(metadata!G284,"Animal secretion")))</f>
        <v>0</v>
      </c>
      <c r="AJ284" t="b">
        <f>OR(AND(IF(metadata!H284="",FALSE,TRUE),OR(EXACT(metadata!H284,"missing: not collected"),EXACT(metadata!H284,"missing: not provided"),EXACT(metadata!H284,"missing: restricted access"))),AND(IF(metadata!H284="",FALSE,TRUE),OR(EXACT(metadata!H284,"organism-associated habitat"),EXACT(metadata!H284,"plant-associated habitat"),EXACT(metadata!H284,"animal-associated habitat"),EXACT(metadata!H284,"insecta-associated habitat"),EXACT(metadata!H284,"mammalia-associated habitat"),EXACT(metadata!H284,"human-associated habitat"),EXACT(metadata!H284,"livestock-associated habitat"))))</f>
        <v>0</v>
      </c>
      <c r="AK284" t="b">
        <f>AND(IF(metadata!I284="",FALSE,TRUE),EXACT(metadata!I284,"host-associated"))</f>
        <v>0</v>
      </c>
      <c r="AL284" t="b">
        <f>OR(AND(IF(metadata!J284="",FALSE,TRUE),OR(EXACT(metadata!J284,"not applicable"),EXACT(metadata!J284,"missing: not collected"),EXACT(metadata!J284,"missing: not provided"),EXACT(metadata!J284,"missing: restricted access"))),AND(IF(metadata!J284="",FALSE,ISNUMBER(VALUE(metadata!J284))),metadata!J284&gt;0))</f>
        <v>0</v>
      </c>
      <c r="AM284" t="b">
        <f>AND(IF(metadata!K284="",FALSE,TRUE),EXACT(metadata!K284,"missing: not provided"))</f>
        <v>0</v>
      </c>
      <c r="AN284" t="b">
        <f>IF(metadata!L284="",FALSE,TRUE)</f>
        <v>0</v>
      </c>
      <c r="AO284" t="b">
        <f>IF(metadata!M284="",FALSE,TRUE)</f>
        <v>0</v>
      </c>
      <c r="AP284" t="b">
        <f>OR(AND(IF(metadata!N284="",FALSE,TRUE),OR(EXACT(metadata!N284,"not applicable"),EXACT(metadata!N284,"missing: not collected"),EXACT(metadata!N284,"missing: not provided"))),AND(IF(metadata!N284="",FALSE,IF(ISERROR(INT(metadata!N284)),FALSE,INT(metadata!N284)=metadata!N284)),metadata!N284&gt;0))</f>
        <v>0</v>
      </c>
      <c r="AQ284" t="b">
        <f>AND(IF(metadata!O284="",FALSE,TRUE),EXACT(metadata!O284,"Not applicable"))</f>
        <v>0</v>
      </c>
      <c r="AR284" t="b">
        <f>OR(AND(IF(metadata!P284="",FALSE,TRUE),OR(EXACT(metadata!P284,"not applicable"),EXACT(metadata!P284,"missing: not collected"),EXACT(metadata!P284,"missing: not provided"),EXACT(metadata!P284,"missing: restricted access"))),IF(metadata!P284="",FALSE,IF(ISERROR(INT(metadata!P284)),FALSE,INT(metadata!P284)=metadata!P284)))</f>
        <v>0</v>
      </c>
      <c r="AS284" t="b">
        <f>AND(IF(metadata!Q284="",FALSE,TRUE),EXACT(metadata!Q284,"Not applicable"))</f>
        <v>0</v>
      </c>
      <c r="AT284" t="b">
        <f>OR(AND(IF(metadata!R284="",FALSE,TRUE),OR(EXACT(metadata!R284,"not applicable"),EXACT(metadata!R284,"missing: not collected"),EXACT(metadata!R284,"missing: not provided"),EXACT(metadata!R284,"missing: restricted access"))),AND(IF(metadata!R284="",FALSE,ISNUMBER(VALUE(metadata!R284))),metadata!R284&gt;0))</f>
        <v>0</v>
      </c>
      <c r="AU284" t="b">
        <f>AND(IF(metadata!S284="",FALSE,TRUE),EXACT(metadata!S284,"missing: not provided"))</f>
        <v>0</v>
      </c>
    </row>
    <row r="285" spans="1:47" x14ac:dyDescent="0.2">
      <c r="A285" s="5" t="str">
        <f ca="1">IF(B285=" "," ",HYPERLINK(CONCATENATE("#metadata!",ADDRESS(INDEX($Y$2:$Y$1001,MATCH(ROWS($W$2:W285),$W$2:$W$1001,0),0),1)),INDEX($AB$2:$AB$1001,MATCH(ROWS($W$2:W285),$W$2:$W$1001,0),0)))</f>
        <v xml:space="preserve"> </v>
      </c>
      <c r="B285" s="4" t="str">
        <f ca="1">IF(OR(INDEX($X$2:$X$1001,MATCH(ROWS($W$2:W285),$W$2:$W$1001,0),1)&gt;=100000,INDEX($AD$1005:$AU$1005,1,MATCH(COLUMNS($AD$1006:AD1006),$AD$1006:$AU$1006,0))&gt;=100000), " ",IF(INDEX($AD$2:$AU$1001,MATCH(ROWS($W$2:W285),$W$2:$W$1001,0),MATCH(COLUMNS($AD$1006:AD1006),$AD$1006:$AU$1006,0)), HYPERLINK("#",""), HYPERLINK(CONCATENATE("#metadata!", ADDRESS(INDEX($Y$2:$Y$1001,MATCH(ROWS($W$2:W285),$W$2:$W$1001,0),0), INDEX($AD$1004:$AU$1004,1,MATCH(COLUMNS($AD$1006:AD1006),$AD$1006:$AU$1006,0)))),"Fix")))</f>
        <v xml:space="preserve"> </v>
      </c>
      <c r="C285" s="4" t="str">
        <f ca="1">IF(OR(INDEX($X$2:$X$1001,MATCH(ROWS($W$2:W285),$W$2:$W$1001,0),1)&gt;=100000,INDEX($AD$1005:$AU$1005,1,MATCH(COLUMNS($AD$1006:AE1006),$AD$1006:$AU$1006,0))&gt;=100000), " ",IF(INDEX($AD$2:$AU$1001,MATCH(ROWS($W$2:W285),$W$2:$W$1001,0),MATCH(COLUMNS($AD$1006:AE1006),$AD$1006:$AU$1006,0)), HYPERLINK("#",""), HYPERLINK(CONCATENATE("#metadata!", ADDRESS(INDEX($Y$2:$Y$1001,MATCH(ROWS($W$2:W285),$W$2:$W$1001,0),0), INDEX($AD$1004:$AU$1004,1,MATCH(COLUMNS($AD$1006:AE1006),$AD$1006:$AU$1006,0)))),"Fix")))</f>
        <v xml:space="preserve"> </v>
      </c>
      <c r="D285" s="4" t="str">
        <f ca="1">IF(OR(INDEX($X$2:$X$1001,MATCH(ROWS($W$2:W285),$W$2:$W$1001,0),1)&gt;=100000,INDEX($AD$1005:$AU$1005,1,MATCH(COLUMNS($AD$1006:AF1006),$AD$1006:$AU$1006,0))&gt;=100000), " ",IF(INDEX($AD$2:$AU$1001,MATCH(ROWS($W$2:W285),$W$2:$W$1001,0),MATCH(COLUMNS($AD$1006:AF1006),$AD$1006:$AU$1006,0)), HYPERLINK("#",""), HYPERLINK(CONCATENATE("#metadata!", ADDRESS(INDEX($Y$2:$Y$1001,MATCH(ROWS($W$2:W285),$W$2:$W$1001,0),0), INDEX($AD$1004:$AU$1004,1,MATCH(COLUMNS($AD$1006:AF1006),$AD$1006:$AU$1006,0)))),"Fix")))</f>
        <v xml:space="preserve"> </v>
      </c>
      <c r="E285" s="4" t="str">
        <f ca="1">IF(OR(INDEX($X$2:$X$1001,MATCH(ROWS($W$2:W285),$W$2:$W$1001,0),1)&gt;=100000,INDEX($AD$1005:$AU$1005,1,MATCH(COLUMNS($AD$1006:AG1006),$AD$1006:$AU$1006,0))&gt;=100000), " ",IF(INDEX($AD$2:$AU$1001,MATCH(ROWS($W$2:W285),$W$2:$W$1001,0),MATCH(COLUMNS($AD$1006:AG1006),$AD$1006:$AU$1006,0)), HYPERLINK("#",""), HYPERLINK(CONCATENATE("#metadata!", ADDRESS(INDEX($Y$2:$Y$1001,MATCH(ROWS($W$2:W285),$W$2:$W$1001,0),0), INDEX($AD$1004:$AU$1004,1,MATCH(COLUMNS($AD$1006:AG1006),$AD$1006:$AU$1006,0)))),"Fix")))</f>
        <v xml:space="preserve"> </v>
      </c>
      <c r="F285" s="4" t="str">
        <f ca="1">IF(OR(INDEX($X$2:$X$1001,MATCH(ROWS($W$2:W285),$W$2:$W$1001,0),1)&gt;=100000,INDEX($AD$1005:$AU$1005,1,MATCH(COLUMNS($AD$1006:AH1006),$AD$1006:$AU$1006,0))&gt;=100000), " ",IF(INDEX($AD$2:$AU$1001,MATCH(ROWS($W$2:W285),$W$2:$W$1001,0),MATCH(COLUMNS($AD$1006:AH1006),$AD$1006:$AU$1006,0)), HYPERLINK("#",""), HYPERLINK(CONCATENATE("#metadata!", ADDRESS(INDEX($Y$2:$Y$1001,MATCH(ROWS($W$2:W285),$W$2:$W$1001,0),0), INDEX($AD$1004:$AU$1004,1,MATCH(COLUMNS($AD$1006:AH1006),$AD$1006:$AU$1006,0)))),"Fix")))</f>
        <v xml:space="preserve"> </v>
      </c>
      <c r="G285" s="4" t="str">
        <f ca="1">IF(OR(INDEX($X$2:$X$1001,MATCH(ROWS($W$2:W285),$W$2:$W$1001,0),1)&gt;=100000,INDEX($AD$1005:$AU$1005,1,MATCH(COLUMNS($AD$1006:AI1006),$AD$1006:$AU$1006,0))&gt;=100000), " ",IF(INDEX($AD$2:$AU$1001,MATCH(ROWS($W$2:W285),$W$2:$W$1001,0),MATCH(COLUMNS($AD$1006:AI1006),$AD$1006:$AU$1006,0)), HYPERLINK("#",""), HYPERLINK(CONCATENATE("#metadata!", ADDRESS(INDEX($Y$2:$Y$1001,MATCH(ROWS($W$2:W285),$W$2:$W$1001,0),0), INDEX($AD$1004:$AU$1004,1,MATCH(COLUMNS($AD$1006:AI1006),$AD$1006:$AU$1006,0)))),"Fix")))</f>
        <v xml:space="preserve"> </v>
      </c>
      <c r="H285" s="4" t="str">
        <f ca="1">IF(OR(INDEX($X$2:$X$1001,MATCH(ROWS($W$2:W285),$W$2:$W$1001,0),1)&gt;=100000,INDEX($AD$1005:$AU$1005,1,MATCH(COLUMNS($AD$1006:AJ1006),$AD$1006:$AU$1006,0))&gt;=100000), " ",IF(INDEX($AD$2:$AU$1001,MATCH(ROWS($W$2:W285),$W$2:$W$1001,0),MATCH(COLUMNS($AD$1006:AJ1006),$AD$1006:$AU$1006,0)), HYPERLINK("#",""), HYPERLINK(CONCATENATE("#metadata!", ADDRESS(INDEX($Y$2:$Y$1001,MATCH(ROWS($W$2:W285),$W$2:$W$1001,0),0), INDEX($AD$1004:$AU$1004,1,MATCH(COLUMNS($AD$1006:AJ1006),$AD$1006:$AU$1006,0)))),"Fix")))</f>
        <v xml:space="preserve"> </v>
      </c>
      <c r="I285" s="4" t="str">
        <f ca="1">IF(OR(INDEX($X$2:$X$1001,MATCH(ROWS($W$2:W285),$W$2:$W$1001,0),1)&gt;=100000,INDEX($AD$1005:$AU$1005,1,MATCH(COLUMNS($AD$1006:AK1006),$AD$1006:$AU$1006,0))&gt;=100000), " ",IF(INDEX($AD$2:$AU$1001,MATCH(ROWS($W$2:W285),$W$2:$W$1001,0),MATCH(COLUMNS($AD$1006:AK1006),$AD$1006:$AU$1006,0)), HYPERLINK("#",""), HYPERLINK(CONCATENATE("#metadata!", ADDRESS(INDEX($Y$2:$Y$1001,MATCH(ROWS($W$2:W285),$W$2:$W$1001,0),0), INDEX($AD$1004:$AU$1004,1,MATCH(COLUMNS($AD$1006:AK1006),$AD$1006:$AU$1006,0)))),"Fix")))</f>
        <v xml:space="preserve"> </v>
      </c>
      <c r="J285" s="4" t="str">
        <f ca="1">IF(OR(INDEX($X$2:$X$1001,MATCH(ROWS($W$2:W285),$W$2:$W$1001,0),1)&gt;=100000,INDEX($AD$1005:$AU$1005,1,MATCH(COLUMNS($AD$1006:AL1006),$AD$1006:$AU$1006,0))&gt;=100000), " ",IF(INDEX($AD$2:$AU$1001,MATCH(ROWS($W$2:W285),$W$2:$W$1001,0),MATCH(COLUMNS($AD$1006:AL1006),$AD$1006:$AU$1006,0)), HYPERLINK("#",""), HYPERLINK(CONCATENATE("#metadata!", ADDRESS(INDEX($Y$2:$Y$1001,MATCH(ROWS($W$2:W285),$W$2:$W$1001,0),0), INDEX($AD$1004:$AU$1004,1,MATCH(COLUMNS($AD$1006:AL1006),$AD$1006:$AU$1006,0)))),"Fix")))</f>
        <v xml:space="preserve"> </v>
      </c>
      <c r="K285" s="4" t="str">
        <f ca="1">IF(OR(INDEX($X$2:$X$1001,MATCH(ROWS($W$2:W285),$W$2:$W$1001,0),1)&gt;=100000,INDEX($AD$1005:$AU$1005,1,MATCH(COLUMNS($AD$1006:AM1006),$AD$1006:$AU$1006,0))&gt;=100000), " ",IF(INDEX($AD$2:$AU$1001,MATCH(ROWS($W$2:W285),$W$2:$W$1001,0),MATCH(COLUMNS($AD$1006:AM1006),$AD$1006:$AU$1006,0)), HYPERLINK("#",""), HYPERLINK(CONCATENATE("#metadata!", ADDRESS(INDEX($Y$2:$Y$1001,MATCH(ROWS($W$2:W285),$W$2:$W$1001,0),0), INDEX($AD$1004:$AU$1004,1,MATCH(COLUMNS($AD$1006:AM1006),$AD$1006:$AU$1006,0)))),"Fix")))</f>
        <v xml:space="preserve"> </v>
      </c>
      <c r="L285" s="4" t="str">
        <f ca="1">IF(OR(INDEX($X$2:$X$1001,MATCH(ROWS($W$2:W285),$W$2:$W$1001,0),1)&gt;=100000,INDEX($AD$1005:$AU$1005,1,MATCH(COLUMNS($AD$1006:AN1006),$AD$1006:$AU$1006,0))&gt;=100000), " ",IF(INDEX($AD$2:$AU$1001,MATCH(ROWS($W$2:W285),$W$2:$W$1001,0),MATCH(COLUMNS($AD$1006:AN1006),$AD$1006:$AU$1006,0)), HYPERLINK("#",""), HYPERLINK(CONCATENATE("#metadata!", ADDRESS(INDEX($Y$2:$Y$1001,MATCH(ROWS($W$2:W285),$W$2:$W$1001,0),0), INDEX($AD$1004:$AU$1004,1,MATCH(COLUMNS($AD$1006:AN1006),$AD$1006:$AU$1006,0)))),"Fix")))</f>
        <v xml:space="preserve"> </v>
      </c>
      <c r="M285" s="4" t="str">
        <f ca="1">IF(OR(INDEX($X$2:$X$1001,MATCH(ROWS($W$2:W285),$W$2:$W$1001,0),1)&gt;=100000,INDEX($AD$1005:$AU$1005,1,MATCH(COLUMNS($AD$1006:AO1006),$AD$1006:$AU$1006,0))&gt;=100000), " ",IF(INDEX($AD$2:$AU$1001,MATCH(ROWS($W$2:W285),$W$2:$W$1001,0),MATCH(COLUMNS($AD$1006:AO1006),$AD$1006:$AU$1006,0)), HYPERLINK("#",""), HYPERLINK(CONCATENATE("#metadata!", ADDRESS(INDEX($Y$2:$Y$1001,MATCH(ROWS($W$2:W285),$W$2:$W$1001,0),0), INDEX($AD$1004:$AU$1004,1,MATCH(COLUMNS($AD$1006:AO1006),$AD$1006:$AU$1006,0)))),"Fix")))</f>
        <v xml:space="preserve"> </v>
      </c>
      <c r="N285" s="4" t="str">
        <f ca="1">IF(OR(INDEX($X$2:$X$1001,MATCH(ROWS($W$2:W285),$W$2:$W$1001,0),1)&gt;=100000,INDEX($AD$1005:$AU$1005,1,MATCH(COLUMNS($AD$1006:AP1006),$AD$1006:$AU$1006,0))&gt;=100000), " ",IF(INDEX($AD$2:$AU$1001,MATCH(ROWS($W$2:W285),$W$2:$W$1001,0),MATCH(COLUMNS($AD$1006:AP1006),$AD$1006:$AU$1006,0)), HYPERLINK("#",""), HYPERLINK(CONCATENATE("#metadata!", ADDRESS(INDEX($Y$2:$Y$1001,MATCH(ROWS($W$2:W285),$W$2:$W$1001,0),0), INDEX($AD$1004:$AU$1004,1,MATCH(COLUMNS($AD$1006:AP1006),$AD$1006:$AU$1006,0)))),"Fix")))</f>
        <v xml:space="preserve"> </v>
      </c>
      <c r="O285" s="4" t="str">
        <f ca="1">IF(OR(INDEX($X$2:$X$1001,MATCH(ROWS($W$2:W285),$W$2:$W$1001,0),1)&gt;=100000,INDEX($AD$1005:$AU$1005,1,MATCH(COLUMNS($AD$1006:AQ1006),$AD$1006:$AU$1006,0))&gt;=100000), " ",IF(INDEX($AD$2:$AU$1001,MATCH(ROWS($W$2:W285),$W$2:$W$1001,0),MATCH(COLUMNS($AD$1006:AQ1006),$AD$1006:$AU$1006,0)), HYPERLINK("#",""), HYPERLINK(CONCATENATE("#metadata!", ADDRESS(INDEX($Y$2:$Y$1001,MATCH(ROWS($W$2:W285),$W$2:$W$1001,0),0), INDEX($AD$1004:$AU$1004,1,MATCH(COLUMNS($AD$1006:AQ1006),$AD$1006:$AU$1006,0)))),"Fix")))</f>
        <v xml:space="preserve"> </v>
      </c>
      <c r="P285" s="4" t="str">
        <f ca="1">IF(OR(INDEX($X$2:$X$1001,MATCH(ROWS($W$2:W285),$W$2:$W$1001,0),1)&gt;=100000,INDEX($AD$1005:$AU$1005,1,MATCH(COLUMNS($AD$1006:AR1006),$AD$1006:$AU$1006,0))&gt;=100000), " ",IF(INDEX($AD$2:$AU$1001,MATCH(ROWS($W$2:W285),$W$2:$W$1001,0),MATCH(COLUMNS($AD$1006:AR1006),$AD$1006:$AU$1006,0)), HYPERLINK("#",""), HYPERLINK(CONCATENATE("#metadata!", ADDRESS(INDEX($Y$2:$Y$1001,MATCH(ROWS($W$2:W285),$W$2:$W$1001,0),0), INDEX($AD$1004:$AU$1004,1,MATCH(COLUMNS($AD$1006:AR1006),$AD$1006:$AU$1006,0)))),"Fix")))</f>
        <v xml:space="preserve"> </v>
      </c>
      <c r="Q285" s="4" t="str">
        <f ca="1">IF(OR(INDEX($X$2:$X$1001,MATCH(ROWS($W$2:W285),$W$2:$W$1001,0),1)&gt;=100000,INDEX($AD$1005:$AU$1005,1,MATCH(COLUMNS($AD$1006:AS1006),$AD$1006:$AU$1006,0))&gt;=100000), " ",IF(INDEX($AD$2:$AU$1001,MATCH(ROWS($W$2:W285),$W$2:$W$1001,0),MATCH(COLUMNS($AD$1006:AS1006),$AD$1006:$AU$1006,0)), HYPERLINK("#",""), HYPERLINK(CONCATENATE("#metadata!", ADDRESS(INDEX($Y$2:$Y$1001,MATCH(ROWS($W$2:W285),$W$2:$W$1001,0),0), INDEX($AD$1004:$AU$1004,1,MATCH(COLUMNS($AD$1006:AS1006),$AD$1006:$AU$1006,0)))),"Fix")))</f>
        <v xml:space="preserve"> </v>
      </c>
      <c r="R285" s="4" t="str">
        <f ca="1">IF(OR(INDEX($X$2:$X$1001,MATCH(ROWS($W$2:W285),$W$2:$W$1001,0),1)&gt;=100000,INDEX($AD$1005:$AU$1005,1,MATCH(COLUMNS($AD$1006:AT1006),$AD$1006:$AU$1006,0))&gt;=100000), " ",IF(INDEX($AD$2:$AU$1001,MATCH(ROWS($W$2:W285),$W$2:$W$1001,0),MATCH(COLUMNS($AD$1006:AT1006),$AD$1006:$AU$1006,0)), HYPERLINK("#",""), HYPERLINK(CONCATENATE("#metadata!", ADDRESS(INDEX($Y$2:$Y$1001,MATCH(ROWS($W$2:W285),$W$2:$W$1001,0),0), INDEX($AD$1004:$AU$1004,1,MATCH(COLUMNS($AD$1006:AT1006),$AD$1006:$AU$1006,0)))),"Fix")))</f>
        <v xml:space="preserve"> </v>
      </c>
      <c r="S285" s="4" t="str">
        <f ca="1">IF(OR(INDEX($X$2:$X$1001,MATCH(ROWS($W$2:W285),$W$2:$W$1001,0),1)&gt;=100000,INDEX($AD$1005:$AU$1005,1,MATCH(COLUMNS($AD$1006:AU1006),$AD$1006:$AU$1006,0))&gt;=100000), " ",IF(INDEX($AD$2:$AU$1001,MATCH(ROWS($W$2:W285),$W$2:$W$1001,0),MATCH(COLUMNS($AD$1006:AU1006),$AD$1006:$AU$1006,0)), HYPERLINK("#",""), HYPERLINK(CONCATENATE("#metadata!", ADDRESS(INDEX($Y$2:$Y$1001,MATCH(ROWS($W$2:W285),$W$2:$W$1001,0),0), INDEX($AD$1004:$AU$1004,1,MATCH(COLUMNS($AD$1006:AU1006),$AD$1006:$AU$1006,0)))),"Fix")))</f>
        <v xml:space="preserve"> </v>
      </c>
      <c r="W285">
        <v>284</v>
      </c>
      <c r="X285">
        <v>100285</v>
      </c>
      <c r="Y285">
        <v>285</v>
      </c>
      <c r="Z285" t="b">
        <f t="shared" si="4"/>
        <v>1</v>
      </c>
      <c r="AA285" t="b">
        <f>COUNTBLANK(metadata!B285:S285)=COLUMNS(metadata!B285:S285)</f>
        <v>1</v>
      </c>
      <c r="AB285" t="str">
        <v/>
      </c>
      <c r="AD285" t="b">
        <f ca="1">AND(IF(metadata!B285="",FALSE,TRUE),COUNTIF(metadata!B:B, metadata!B285) = 1,NOT(ISERROR(SUMPRODUCT(SEARCH(MID(metadata!B285,ROW(INDIRECT("1:"&amp;LEN(metadata!B285))), 1),"0123456789abcdefghijklmnopqrstuvwxyzABCDEFGHIJKLMNOPQRSTUVWXYZ.")))))</f>
        <v>0</v>
      </c>
      <c r="AE285" t="b">
        <f>OR(AND(IF(metadata!C285="",FALSE,TRUE),OR(EXACT(metadata!C285,"not applicable"),EXACT(metadata!C285,"missing: not collected"),EXACT(metadata!C285,"missing: not provided"),EXACT(metadata!C285,"missing: restricted access"))),AND(IF(metadata!C285="",FALSE,ISNUMBER(VALUE(metadata!C285))),metadata!C285&gt;0))</f>
        <v>0</v>
      </c>
      <c r="AF285" t="b">
        <f>AND(IF(metadata!D285="",FALSE,TRUE),EXACT(metadata!D285,"missing: not provided"))</f>
        <v>0</v>
      </c>
      <c r="AG285" t="b">
        <f>AND(IF(metadata!E285="",FALSE,TRUE),EXACT(metadata!E285,"Host-associated"))</f>
        <v>0</v>
      </c>
      <c r="AH285" t="b">
        <f>AND(IF(metadata!F285="",FALSE,TRUE),OR(EXACT(metadata!F285,"Animal"),EXACT(metadata!F285,"Fungus"),EXACT(metadata!F285,"Plant")))</f>
        <v>0</v>
      </c>
      <c r="AI285" t="b">
        <f>AND(IF(metadata!G285="",FALSE,TRUE),OR(EXACT(metadata!G285,"Plant secretion"),EXACT(metadata!G285,"Plant rhizosphere"),EXACT(metadata!G285,"Plant surface"),EXACT(metadata!G285,"Plant corpus"),EXACT(metadata!G285,"Fungus surface"),EXACT(metadata!G285,"Fungus corpus"),EXACT(metadata!G285,"Animal surface"),EXACT(metadata!G285,"Animal proximal gut"),EXACT(metadata!G285,"Animal corpus"),EXACT(metadata!G285,"Animal distal gut"),EXACT(metadata!G285,"Animal secretion")))</f>
        <v>0</v>
      </c>
      <c r="AJ285" t="b">
        <f>OR(AND(IF(metadata!H285="",FALSE,TRUE),OR(EXACT(metadata!H285,"missing: not collected"),EXACT(metadata!H285,"missing: not provided"),EXACT(metadata!H285,"missing: restricted access"))),AND(IF(metadata!H285="",FALSE,TRUE),OR(EXACT(metadata!H285,"organism-associated habitat"),EXACT(metadata!H285,"plant-associated habitat"),EXACT(metadata!H285,"animal-associated habitat"),EXACT(metadata!H285,"insecta-associated habitat"),EXACT(metadata!H285,"mammalia-associated habitat"),EXACT(metadata!H285,"human-associated habitat"),EXACT(metadata!H285,"livestock-associated habitat"))))</f>
        <v>0</v>
      </c>
      <c r="AK285" t="b">
        <f>AND(IF(metadata!I285="",FALSE,TRUE),EXACT(metadata!I285,"host-associated"))</f>
        <v>0</v>
      </c>
      <c r="AL285" t="b">
        <f>OR(AND(IF(metadata!J285="",FALSE,TRUE),OR(EXACT(metadata!J285,"not applicable"),EXACT(metadata!J285,"missing: not collected"),EXACT(metadata!J285,"missing: not provided"),EXACT(metadata!J285,"missing: restricted access"))),AND(IF(metadata!J285="",FALSE,ISNUMBER(VALUE(metadata!J285))),metadata!J285&gt;0))</f>
        <v>0</v>
      </c>
      <c r="AM285" t="b">
        <f>AND(IF(metadata!K285="",FALSE,TRUE),EXACT(metadata!K285,"missing: not provided"))</f>
        <v>0</v>
      </c>
      <c r="AN285" t="b">
        <f>IF(metadata!L285="",FALSE,TRUE)</f>
        <v>0</v>
      </c>
      <c r="AO285" t="b">
        <f>IF(metadata!M285="",FALSE,TRUE)</f>
        <v>0</v>
      </c>
      <c r="AP285" t="b">
        <f>OR(AND(IF(metadata!N285="",FALSE,TRUE),OR(EXACT(metadata!N285,"not applicable"),EXACT(metadata!N285,"missing: not collected"),EXACT(metadata!N285,"missing: not provided"))),AND(IF(metadata!N285="",FALSE,IF(ISERROR(INT(metadata!N285)),FALSE,INT(metadata!N285)=metadata!N285)),metadata!N285&gt;0))</f>
        <v>0</v>
      </c>
      <c r="AQ285" t="b">
        <f>AND(IF(metadata!O285="",FALSE,TRUE),EXACT(metadata!O285,"Not applicable"))</f>
        <v>0</v>
      </c>
      <c r="AR285" t="b">
        <f>OR(AND(IF(metadata!P285="",FALSE,TRUE),OR(EXACT(metadata!P285,"not applicable"),EXACT(metadata!P285,"missing: not collected"),EXACT(metadata!P285,"missing: not provided"),EXACT(metadata!P285,"missing: restricted access"))),IF(metadata!P285="",FALSE,IF(ISERROR(INT(metadata!P285)),FALSE,INT(metadata!P285)=metadata!P285)))</f>
        <v>0</v>
      </c>
      <c r="AS285" t="b">
        <f>AND(IF(metadata!Q285="",FALSE,TRUE),EXACT(metadata!Q285,"Not applicable"))</f>
        <v>0</v>
      </c>
      <c r="AT285" t="b">
        <f>OR(AND(IF(metadata!R285="",FALSE,TRUE),OR(EXACT(metadata!R285,"not applicable"),EXACT(metadata!R285,"missing: not collected"),EXACT(metadata!R285,"missing: not provided"),EXACT(metadata!R285,"missing: restricted access"))),AND(IF(metadata!R285="",FALSE,ISNUMBER(VALUE(metadata!R285))),metadata!R285&gt;0))</f>
        <v>0</v>
      </c>
      <c r="AU285" t="b">
        <f>AND(IF(metadata!S285="",FALSE,TRUE),EXACT(metadata!S285,"missing: not provided"))</f>
        <v>0</v>
      </c>
    </row>
    <row r="286" spans="1:47" x14ac:dyDescent="0.2">
      <c r="A286" s="5" t="str">
        <f ca="1">IF(B286=" "," ",HYPERLINK(CONCATENATE("#metadata!",ADDRESS(INDEX($Y$2:$Y$1001,MATCH(ROWS($W$2:W286),$W$2:$W$1001,0),0),1)),INDEX($AB$2:$AB$1001,MATCH(ROWS($W$2:W286),$W$2:$W$1001,0),0)))</f>
        <v xml:space="preserve"> </v>
      </c>
      <c r="B286" s="4" t="str">
        <f ca="1">IF(OR(INDEX($X$2:$X$1001,MATCH(ROWS($W$2:W286),$W$2:$W$1001,0),1)&gt;=100000,INDEX($AD$1005:$AU$1005,1,MATCH(COLUMNS($AD$1006:AD1006),$AD$1006:$AU$1006,0))&gt;=100000), " ",IF(INDEX($AD$2:$AU$1001,MATCH(ROWS($W$2:W286),$W$2:$W$1001,0),MATCH(COLUMNS($AD$1006:AD1006),$AD$1006:$AU$1006,0)), HYPERLINK("#",""), HYPERLINK(CONCATENATE("#metadata!", ADDRESS(INDEX($Y$2:$Y$1001,MATCH(ROWS($W$2:W286),$W$2:$W$1001,0),0), INDEX($AD$1004:$AU$1004,1,MATCH(COLUMNS($AD$1006:AD1006),$AD$1006:$AU$1006,0)))),"Fix")))</f>
        <v xml:space="preserve"> </v>
      </c>
      <c r="C286" s="4" t="str">
        <f ca="1">IF(OR(INDEX($X$2:$X$1001,MATCH(ROWS($W$2:W286),$W$2:$W$1001,0),1)&gt;=100000,INDEX($AD$1005:$AU$1005,1,MATCH(COLUMNS($AD$1006:AE1006),$AD$1006:$AU$1006,0))&gt;=100000), " ",IF(INDEX($AD$2:$AU$1001,MATCH(ROWS($W$2:W286),$W$2:$W$1001,0),MATCH(COLUMNS($AD$1006:AE1006),$AD$1006:$AU$1006,0)), HYPERLINK("#",""), HYPERLINK(CONCATENATE("#metadata!", ADDRESS(INDEX($Y$2:$Y$1001,MATCH(ROWS($W$2:W286),$W$2:$W$1001,0),0), INDEX($AD$1004:$AU$1004,1,MATCH(COLUMNS($AD$1006:AE1006),$AD$1006:$AU$1006,0)))),"Fix")))</f>
        <v xml:space="preserve"> </v>
      </c>
      <c r="D286" s="4" t="str">
        <f ca="1">IF(OR(INDEX($X$2:$X$1001,MATCH(ROWS($W$2:W286),$W$2:$W$1001,0),1)&gt;=100000,INDEX($AD$1005:$AU$1005,1,MATCH(COLUMNS($AD$1006:AF1006),$AD$1006:$AU$1006,0))&gt;=100000), " ",IF(INDEX($AD$2:$AU$1001,MATCH(ROWS($W$2:W286),$W$2:$W$1001,0),MATCH(COLUMNS($AD$1006:AF1006),$AD$1006:$AU$1006,0)), HYPERLINK("#",""), HYPERLINK(CONCATENATE("#metadata!", ADDRESS(INDEX($Y$2:$Y$1001,MATCH(ROWS($W$2:W286),$W$2:$W$1001,0),0), INDEX($AD$1004:$AU$1004,1,MATCH(COLUMNS($AD$1006:AF1006),$AD$1006:$AU$1006,0)))),"Fix")))</f>
        <v xml:space="preserve"> </v>
      </c>
      <c r="E286" s="4" t="str">
        <f ca="1">IF(OR(INDEX($X$2:$X$1001,MATCH(ROWS($W$2:W286),$W$2:$W$1001,0),1)&gt;=100000,INDEX($AD$1005:$AU$1005,1,MATCH(COLUMNS($AD$1006:AG1006),$AD$1006:$AU$1006,0))&gt;=100000), " ",IF(INDEX($AD$2:$AU$1001,MATCH(ROWS($W$2:W286),$W$2:$W$1001,0),MATCH(COLUMNS($AD$1006:AG1006),$AD$1006:$AU$1006,0)), HYPERLINK("#",""), HYPERLINK(CONCATENATE("#metadata!", ADDRESS(INDEX($Y$2:$Y$1001,MATCH(ROWS($W$2:W286),$W$2:$W$1001,0),0), INDEX($AD$1004:$AU$1004,1,MATCH(COLUMNS($AD$1006:AG1006),$AD$1006:$AU$1006,0)))),"Fix")))</f>
        <v xml:space="preserve"> </v>
      </c>
      <c r="F286" s="4" t="str">
        <f ca="1">IF(OR(INDEX($X$2:$X$1001,MATCH(ROWS($W$2:W286),$W$2:$W$1001,0),1)&gt;=100000,INDEX($AD$1005:$AU$1005,1,MATCH(COLUMNS($AD$1006:AH1006),$AD$1006:$AU$1006,0))&gt;=100000), " ",IF(INDEX($AD$2:$AU$1001,MATCH(ROWS($W$2:W286),$W$2:$W$1001,0),MATCH(COLUMNS($AD$1006:AH1006),$AD$1006:$AU$1006,0)), HYPERLINK("#",""), HYPERLINK(CONCATENATE("#metadata!", ADDRESS(INDEX($Y$2:$Y$1001,MATCH(ROWS($W$2:W286),$W$2:$W$1001,0),0), INDEX($AD$1004:$AU$1004,1,MATCH(COLUMNS($AD$1006:AH1006),$AD$1006:$AU$1006,0)))),"Fix")))</f>
        <v xml:space="preserve"> </v>
      </c>
      <c r="G286" s="4" t="str">
        <f ca="1">IF(OR(INDEX($X$2:$X$1001,MATCH(ROWS($W$2:W286),$W$2:$W$1001,0),1)&gt;=100000,INDEX($AD$1005:$AU$1005,1,MATCH(COLUMNS($AD$1006:AI1006),$AD$1006:$AU$1006,0))&gt;=100000), " ",IF(INDEX($AD$2:$AU$1001,MATCH(ROWS($W$2:W286),$W$2:$W$1001,0),MATCH(COLUMNS($AD$1006:AI1006),$AD$1006:$AU$1006,0)), HYPERLINK("#",""), HYPERLINK(CONCATENATE("#metadata!", ADDRESS(INDEX($Y$2:$Y$1001,MATCH(ROWS($W$2:W286),$W$2:$W$1001,0),0), INDEX($AD$1004:$AU$1004,1,MATCH(COLUMNS($AD$1006:AI1006),$AD$1006:$AU$1006,0)))),"Fix")))</f>
        <v xml:space="preserve"> </v>
      </c>
      <c r="H286" s="4" t="str">
        <f ca="1">IF(OR(INDEX($X$2:$X$1001,MATCH(ROWS($W$2:W286),$W$2:$W$1001,0),1)&gt;=100000,INDEX($AD$1005:$AU$1005,1,MATCH(COLUMNS($AD$1006:AJ1006),$AD$1006:$AU$1006,0))&gt;=100000), " ",IF(INDEX($AD$2:$AU$1001,MATCH(ROWS($W$2:W286),$W$2:$W$1001,0),MATCH(COLUMNS($AD$1006:AJ1006),$AD$1006:$AU$1006,0)), HYPERLINK("#",""), HYPERLINK(CONCATENATE("#metadata!", ADDRESS(INDEX($Y$2:$Y$1001,MATCH(ROWS($W$2:W286),$W$2:$W$1001,0),0), INDEX($AD$1004:$AU$1004,1,MATCH(COLUMNS($AD$1006:AJ1006),$AD$1006:$AU$1006,0)))),"Fix")))</f>
        <v xml:space="preserve"> </v>
      </c>
      <c r="I286" s="4" t="str">
        <f ca="1">IF(OR(INDEX($X$2:$X$1001,MATCH(ROWS($W$2:W286),$W$2:$W$1001,0),1)&gt;=100000,INDEX($AD$1005:$AU$1005,1,MATCH(COLUMNS($AD$1006:AK1006),$AD$1006:$AU$1006,0))&gt;=100000), " ",IF(INDEX($AD$2:$AU$1001,MATCH(ROWS($W$2:W286),$W$2:$W$1001,0),MATCH(COLUMNS($AD$1006:AK1006),$AD$1006:$AU$1006,0)), HYPERLINK("#",""), HYPERLINK(CONCATENATE("#metadata!", ADDRESS(INDEX($Y$2:$Y$1001,MATCH(ROWS($W$2:W286),$W$2:$W$1001,0),0), INDEX($AD$1004:$AU$1004,1,MATCH(COLUMNS($AD$1006:AK1006),$AD$1006:$AU$1006,0)))),"Fix")))</f>
        <v xml:space="preserve"> </v>
      </c>
      <c r="J286" s="4" t="str">
        <f ca="1">IF(OR(INDEX($X$2:$X$1001,MATCH(ROWS($W$2:W286),$W$2:$W$1001,0),1)&gt;=100000,INDEX($AD$1005:$AU$1005,1,MATCH(COLUMNS($AD$1006:AL1006),$AD$1006:$AU$1006,0))&gt;=100000), " ",IF(INDEX($AD$2:$AU$1001,MATCH(ROWS($W$2:W286),$W$2:$W$1001,0),MATCH(COLUMNS($AD$1006:AL1006),$AD$1006:$AU$1006,0)), HYPERLINK("#",""), HYPERLINK(CONCATENATE("#metadata!", ADDRESS(INDEX($Y$2:$Y$1001,MATCH(ROWS($W$2:W286),$W$2:$W$1001,0),0), INDEX($AD$1004:$AU$1004,1,MATCH(COLUMNS($AD$1006:AL1006),$AD$1006:$AU$1006,0)))),"Fix")))</f>
        <v xml:space="preserve"> </v>
      </c>
      <c r="K286" s="4" t="str">
        <f ca="1">IF(OR(INDEX($X$2:$X$1001,MATCH(ROWS($W$2:W286),$W$2:$W$1001,0),1)&gt;=100000,INDEX($AD$1005:$AU$1005,1,MATCH(COLUMNS($AD$1006:AM1006),$AD$1006:$AU$1006,0))&gt;=100000), " ",IF(INDEX($AD$2:$AU$1001,MATCH(ROWS($W$2:W286),$W$2:$W$1001,0),MATCH(COLUMNS($AD$1006:AM1006),$AD$1006:$AU$1006,0)), HYPERLINK("#",""), HYPERLINK(CONCATENATE("#metadata!", ADDRESS(INDEX($Y$2:$Y$1001,MATCH(ROWS($W$2:W286),$W$2:$W$1001,0),0), INDEX($AD$1004:$AU$1004,1,MATCH(COLUMNS($AD$1006:AM1006),$AD$1006:$AU$1006,0)))),"Fix")))</f>
        <v xml:space="preserve"> </v>
      </c>
      <c r="L286" s="4" t="str">
        <f ca="1">IF(OR(INDEX($X$2:$X$1001,MATCH(ROWS($W$2:W286),$W$2:$W$1001,0),1)&gt;=100000,INDEX($AD$1005:$AU$1005,1,MATCH(COLUMNS($AD$1006:AN1006),$AD$1006:$AU$1006,0))&gt;=100000), " ",IF(INDEX($AD$2:$AU$1001,MATCH(ROWS($W$2:W286),$W$2:$W$1001,0),MATCH(COLUMNS($AD$1006:AN1006),$AD$1006:$AU$1006,0)), HYPERLINK("#",""), HYPERLINK(CONCATENATE("#metadata!", ADDRESS(INDEX($Y$2:$Y$1001,MATCH(ROWS($W$2:W286),$W$2:$W$1001,0),0), INDEX($AD$1004:$AU$1004,1,MATCH(COLUMNS($AD$1006:AN1006),$AD$1006:$AU$1006,0)))),"Fix")))</f>
        <v xml:space="preserve"> </v>
      </c>
      <c r="M286" s="4" t="str">
        <f ca="1">IF(OR(INDEX($X$2:$X$1001,MATCH(ROWS($W$2:W286),$W$2:$W$1001,0),1)&gt;=100000,INDEX($AD$1005:$AU$1005,1,MATCH(COLUMNS($AD$1006:AO1006),$AD$1006:$AU$1006,0))&gt;=100000), " ",IF(INDEX($AD$2:$AU$1001,MATCH(ROWS($W$2:W286),$W$2:$W$1001,0),MATCH(COLUMNS($AD$1006:AO1006),$AD$1006:$AU$1006,0)), HYPERLINK("#",""), HYPERLINK(CONCATENATE("#metadata!", ADDRESS(INDEX($Y$2:$Y$1001,MATCH(ROWS($W$2:W286),$W$2:$W$1001,0),0), INDEX($AD$1004:$AU$1004,1,MATCH(COLUMNS($AD$1006:AO1006),$AD$1006:$AU$1006,0)))),"Fix")))</f>
        <v xml:space="preserve"> </v>
      </c>
      <c r="N286" s="4" t="str">
        <f ca="1">IF(OR(INDEX($X$2:$X$1001,MATCH(ROWS($W$2:W286),$W$2:$W$1001,0),1)&gt;=100000,INDEX($AD$1005:$AU$1005,1,MATCH(COLUMNS($AD$1006:AP1006),$AD$1006:$AU$1006,0))&gt;=100000), " ",IF(INDEX($AD$2:$AU$1001,MATCH(ROWS($W$2:W286),$W$2:$W$1001,0),MATCH(COLUMNS($AD$1006:AP1006),$AD$1006:$AU$1006,0)), HYPERLINK("#",""), HYPERLINK(CONCATENATE("#metadata!", ADDRESS(INDEX($Y$2:$Y$1001,MATCH(ROWS($W$2:W286),$W$2:$W$1001,0),0), INDEX($AD$1004:$AU$1004,1,MATCH(COLUMNS($AD$1006:AP1006),$AD$1006:$AU$1006,0)))),"Fix")))</f>
        <v xml:space="preserve"> </v>
      </c>
      <c r="O286" s="4" t="str">
        <f ca="1">IF(OR(INDEX($X$2:$X$1001,MATCH(ROWS($W$2:W286),$W$2:$W$1001,0),1)&gt;=100000,INDEX($AD$1005:$AU$1005,1,MATCH(COLUMNS($AD$1006:AQ1006),$AD$1006:$AU$1006,0))&gt;=100000), " ",IF(INDEX($AD$2:$AU$1001,MATCH(ROWS($W$2:W286),$W$2:$W$1001,0),MATCH(COLUMNS($AD$1006:AQ1006),$AD$1006:$AU$1006,0)), HYPERLINK("#",""), HYPERLINK(CONCATENATE("#metadata!", ADDRESS(INDEX($Y$2:$Y$1001,MATCH(ROWS($W$2:W286),$W$2:$W$1001,0),0), INDEX($AD$1004:$AU$1004,1,MATCH(COLUMNS($AD$1006:AQ1006),$AD$1006:$AU$1006,0)))),"Fix")))</f>
        <v xml:space="preserve"> </v>
      </c>
      <c r="P286" s="4" t="str">
        <f ca="1">IF(OR(INDEX($X$2:$X$1001,MATCH(ROWS($W$2:W286),$W$2:$W$1001,0),1)&gt;=100000,INDEX($AD$1005:$AU$1005,1,MATCH(COLUMNS($AD$1006:AR1006),$AD$1006:$AU$1006,0))&gt;=100000), " ",IF(INDEX($AD$2:$AU$1001,MATCH(ROWS($W$2:W286),$W$2:$W$1001,0),MATCH(COLUMNS($AD$1006:AR1006),$AD$1006:$AU$1006,0)), HYPERLINK("#",""), HYPERLINK(CONCATENATE("#metadata!", ADDRESS(INDEX($Y$2:$Y$1001,MATCH(ROWS($W$2:W286),$W$2:$W$1001,0),0), INDEX($AD$1004:$AU$1004,1,MATCH(COLUMNS($AD$1006:AR1006),$AD$1006:$AU$1006,0)))),"Fix")))</f>
        <v xml:space="preserve"> </v>
      </c>
      <c r="Q286" s="4" t="str">
        <f ca="1">IF(OR(INDEX($X$2:$X$1001,MATCH(ROWS($W$2:W286),$W$2:$W$1001,0),1)&gt;=100000,INDEX($AD$1005:$AU$1005,1,MATCH(COLUMNS($AD$1006:AS1006),$AD$1006:$AU$1006,0))&gt;=100000), " ",IF(INDEX($AD$2:$AU$1001,MATCH(ROWS($W$2:W286),$W$2:$W$1001,0),MATCH(COLUMNS($AD$1006:AS1006),$AD$1006:$AU$1006,0)), HYPERLINK("#",""), HYPERLINK(CONCATENATE("#metadata!", ADDRESS(INDEX($Y$2:$Y$1001,MATCH(ROWS($W$2:W286),$W$2:$W$1001,0),0), INDEX($AD$1004:$AU$1004,1,MATCH(COLUMNS($AD$1006:AS1006),$AD$1006:$AU$1006,0)))),"Fix")))</f>
        <v xml:space="preserve"> </v>
      </c>
      <c r="R286" s="4" t="str">
        <f ca="1">IF(OR(INDEX($X$2:$X$1001,MATCH(ROWS($W$2:W286),$W$2:$W$1001,0),1)&gt;=100000,INDEX($AD$1005:$AU$1005,1,MATCH(COLUMNS($AD$1006:AT1006),$AD$1006:$AU$1006,0))&gt;=100000), " ",IF(INDEX($AD$2:$AU$1001,MATCH(ROWS($W$2:W286),$W$2:$W$1001,0),MATCH(COLUMNS($AD$1006:AT1006),$AD$1006:$AU$1006,0)), HYPERLINK("#",""), HYPERLINK(CONCATENATE("#metadata!", ADDRESS(INDEX($Y$2:$Y$1001,MATCH(ROWS($W$2:W286),$W$2:$W$1001,0),0), INDEX($AD$1004:$AU$1004,1,MATCH(COLUMNS($AD$1006:AT1006),$AD$1006:$AU$1006,0)))),"Fix")))</f>
        <v xml:space="preserve"> </v>
      </c>
      <c r="S286" s="4" t="str">
        <f ca="1">IF(OR(INDEX($X$2:$X$1001,MATCH(ROWS($W$2:W286),$W$2:$W$1001,0),1)&gt;=100000,INDEX($AD$1005:$AU$1005,1,MATCH(COLUMNS($AD$1006:AU1006),$AD$1006:$AU$1006,0))&gt;=100000), " ",IF(INDEX($AD$2:$AU$1001,MATCH(ROWS($W$2:W286),$W$2:$W$1001,0),MATCH(COLUMNS($AD$1006:AU1006),$AD$1006:$AU$1006,0)), HYPERLINK("#",""), HYPERLINK(CONCATENATE("#metadata!", ADDRESS(INDEX($Y$2:$Y$1001,MATCH(ROWS($W$2:W286),$W$2:$W$1001,0),0), INDEX($AD$1004:$AU$1004,1,MATCH(COLUMNS($AD$1006:AU1006),$AD$1006:$AU$1006,0)))),"Fix")))</f>
        <v xml:space="preserve"> </v>
      </c>
      <c r="W286">
        <v>285</v>
      </c>
      <c r="X286">
        <v>100286</v>
      </c>
      <c r="Y286">
        <v>286</v>
      </c>
      <c r="Z286" t="b">
        <f t="shared" si="4"/>
        <v>1</v>
      </c>
      <c r="AA286" t="b">
        <f>COUNTBLANK(metadata!B286:S286)=COLUMNS(metadata!B286:S286)</f>
        <v>1</v>
      </c>
      <c r="AB286" t="str">
        <v/>
      </c>
      <c r="AD286" t="b">
        <f ca="1">AND(IF(metadata!B286="",FALSE,TRUE),COUNTIF(metadata!B:B, metadata!B286) = 1,NOT(ISERROR(SUMPRODUCT(SEARCH(MID(metadata!B286,ROW(INDIRECT("1:"&amp;LEN(metadata!B286))), 1),"0123456789abcdefghijklmnopqrstuvwxyzABCDEFGHIJKLMNOPQRSTUVWXYZ.")))))</f>
        <v>0</v>
      </c>
      <c r="AE286" t="b">
        <f>OR(AND(IF(metadata!C286="",FALSE,TRUE),OR(EXACT(metadata!C286,"not applicable"),EXACT(metadata!C286,"missing: not collected"),EXACT(metadata!C286,"missing: not provided"),EXACT(metadata!C286,"missing: restricted access"))),AND(IF(metadata!C286="",FALSE,ISNUMBER(VALUE(metadata!C286))),metadata!C286&gt;0))</f>
        <v>0</v>
      </c>
      <c r="AF286" t="b">
        <f>AND(IF(metadata!D286="",FALSE,TRUE),EXACT(metadata!D286,"missing: not provided"))</f>
        <v>0</v>
      </c>
      <c r="AG286" t="b">
        <f>AND(IF(metadata!E286="",FALSE,TRUE),EXACT(metadata!E286,"Host-associated"))</f>
        <v>0</v>
      </c>
      <c r="AH286" t="b">
        <f>AND(IF(metadata!F286="",FALSE,TRUE),OR(EXACT(metadata!F286,"Animal"),EXACT(metadata!F286,"Fungus"),EXACT(metadata!F286,"Plant")))</f>
        <v>0</v>
      </c>
      <c r="AI286" t="b">
        <f>AND(IF(metadata!G286="",FALSE,TRUE),OR(EXACT(metadata!G286,"Plant secretion"),EXACT(metadata!G286,"Plant rhizosphere"),EXACT(metadata!G286,"Plant surface"),EXACT(metadata!G286,"Plant corpus"),EXACT(metadata!G286,"Fungus surface"),EXACT(metadata!G286,"Fungus corpus"),EXACT(metadata!G286,"Animal surface"),EXACT(metadata!G286,"Animal proximal gut"),EXACT(metadata!G286,"Animal corpus"),EXACT(metadata!G286,"Animal distal gut"),EXACT(metadata!G286,"Animal secretion")))</f>
        <v>0</v>
      </c>
      <c r="AJ286" t="b">
        <f>OR(AND(IF(metadata!H286="",FALSE,TRUE),OR(EXACT(metadata!H286,"missing: not collected"),EXACT(metadata!H286,"missing: not provided"),EXACT(metadata!H286,"missing: restricted access"))),AND(IF(metadata!H286="",FALSE,TRUE),OR(EXACT(metadata!H286,"organism-associated habitat"),EXACT(metadata!H286,"plant-associated habitat"),EXACT(metadata!H286,"animal-associated habitat"),EXACT(metadata!H286,"insecta-associated habitat"),EXACT(metadata!H286,"mammalia-associated habitat"),EXACT(metadata!H286,"human-associated habitat"),EXACT(metadata!H286,"livestock-associated habitat"))))</f>
        <v>0</v>
      </c>
      <c r="AK286" t="b">
        <f>AND(IF(metadata!I286="",FALSE,TRUE),EXACT(metadata!I286,"host-associated"))</f>
        <v>0</v>
      </c>
      <c r="AL286" t="b">
        <f>OR(AND(IF(metadata!J286="",FALSE,TRUE),OR(EXACT(metadata!J286,"not applicable"),EXACT(metadata!J286,"missing: not collected"),EXACT(metadata!J286,"missing: not provided"),EXACT(metadata!J286,"missing: restricted access"))),AND(IF(metadata!J286="",FALSE,ISNUMBER(VALUE(metadata!J286))),metadata!J286&gt;0))</f>
        <v>0</v>
      </c>
      <c r="AM286" t="b">
        <f>AND(IF(metadata!K286="",FALSE,TRUE),EXACT(metadata!K286,"missing: not provided"))</f>
        <v>0</v>
      </c>
      <c r="AN286" t="b">
        <f>IF(metadata!L286="",FALSE,TRUE)</f>
        <v>0</v>
      </c>
      <c r="AO286" t="b">
        <f>IF(metadata!M286="",FALSE,TRUE)</f>
        <v>0</v>
      </c>
      <c r="AP286" t="b">
        <f>OR(AND(IF(metadata!N286="",FALSE,TRUE),OR(EXACT(metadata!N286,"not applicable"),EXACT(metadata!N286,"missing: not collected"),EXACT(metadata!N286,"missing: not provided"))),AND(IF(metadata!N286="",FALSE,IF(ISERROR(INT(metadata!N286)),FALSE,INT(metadata!N286)=metadata!N286)),metadata!N286&gt;0))</f>
        <v>0</v>
      </c>
      <c r="AQ286" t="b">
        <f>AND(IF(metadata!O286="",FALSE,TRUE),EXACT(metadata!O286,"Not applicable"))</f>
        <v>0</v>
      </c>
      <c r="AR286" t="b">
        <f>OR(AND(IF(metadata!P286="",FALSE,TRUE),OR(EXACT(metadata!P286,"not applicable"),EXACT(metadata!P286,"missing: not collected"),EXACT(metadata!P286,"missing: not provided"),EXACT(metadata!P286,"missing: restricted access"))),IF(metadata!P286="",FALSE,IF(ISERROR(INT(metadata!P286)),FALSE,INT(metadata!P286)=metadata!P286)))</f>
        <v>0</v>
      </c>
      <c r="AS286" t="b">
        <f>AND(IF(metadata!Q286="",FALSE,TRUE),EXACT(metadata!Q286,"Not applicable"))</f>
        <v>0</v>
      </c>
      <c r="AT286" t="b">
        <f>OR(AND(IF(metadata!R286="",FALSE,TRUE),OR(EXACT(metadata!R286,"not applicable"),EXACT(metadata!R286,"missing: not collected"),EXACT(metadata!R286,"missing: not provided"),EXACT(metadata!R286,"missing: restricted access"))),AND(IF(metadata!R286="",FALSE,ISNUMBER(VALUE(metadata!R286))),metadata!R286&gt;0))</f>
        <v>0</v>
      </c>
      <c r="AU286" t="b">
        <f>AND(IF(metadata!S286="",FALSE,TRUE),EXACT(metadata!S286,"missing: not provided"))</f>
        <v>0</v>
      </c>
    </row>
    <row r="287" spans="1:47" x14ac:dyDescent="0.2">
      <c r="A287" s="5" t="str">
        <f ca="1">IF(B287=" "," ",HYPERLINK(CONCATENATE("#metadata!",ADDRESS(INDEX($Y$2:$Y$1001,MATCH(ROWS($W$2:W287),$W$2:$W$1001,0),0),1)),INDEX($AB$2:$AB$1001,MATCH(ROWS($W$2:W287),$W$2:$W$1001,0),0)))</f>
        <v xml:space="preserve"> </v>
      </c>
      <c r="B287" s="4" t="str">
        <f ca="1">IF(OR(INDEX($X$2:$X$1001,MATCH(ROWS($W$2:W287),$W$2:$W$1001,0),1)&gt;=100000,INDEX($AD$1005:$AU$1005,1,MATCH(COLUMNS($AD$1006:AD1006),$AD$1006:$AU$1006,0))&gt;=100000), " ",IF(INDEX($AD$2:$AU$1001,MATCH(ROWS($W$2:W287),$W$2:$W$1001,0),MATCH(COLUMNS($AD$1006:AD1006),$AD$1006:$AU$1006,0)), HYPERLINK("#",""), HYPERLINK(CONCATENATE("#metadata!", ADDRESS(INDEX($Y$2:$Y$1001,MATCH(ROWS($W$2:W287),$W$2:$W$1001,0),0), INDEX($AD$1004:$AU$1004,1,MATCH(COLUMNS($AD$1006:AD1006),$AD$1006:$AU$1006,0)))),"Fix")))</f>
        <v xml:space="preserve"> </v>
      </c>
      <c r="C287" s="4" t="str">
        <f ca="1">IF(OR(INDEX($X$2:$X$1001,MATCH(ROWS($W$2:W287),$W$2:$W$1001,0),1)&gt;=100000,INDEX($AD$1005:$AU$1005,1,MATCH(COLUMNS($AD$1006:AE1006),$AD$1006:$AU$1006,0))&gt;=100000), " ",IF(INDEX($AD$2:$AU$1001,MATCH(ROWS($W$2:W287),$W$2:$W$1001,0),MATCH(COLUMNS($AD$1006:AE1006),$AD$1006:$AU$1006,0)), HYPERLINK("#",""), HYPERLINK(CONCATENATE("#metadata!", ADDRESS(INDEX($Y$2:$Y$1001,MATCH(ROWS($W$2:W287),$W$2:$W$1001,0),0), INDEX($AD$1004:$AU$1004,1,MATCH(COLUMNS($AD$1006:AE1006),$AD$1006:$AU$1006,0)))),"Fix")))</f>
        <v xml:space="preserve"> </v>
      </c>
      <c r="D287" s="4" t="str">
        <f ca="1">IF(OR(INDEX($X$2:$X$1001,MATCH(ROWS($W$2:W287),$W$2:$W$1001,0),1)&gt;=100000,INDEX($AD$1005:$AU$1005,1,MATCH(COLUMNS($AD$1006:AF1006),$AD$1006:$AU$1006,0))&gt;=100000), " ",IF(INDEX($AD$2:$AU$1001,MATCH(ROWS($W$2:W287),$W$2:$W$1001,0),MATCH(COLUMNS($AD$1006:AF1006),$AD$1006:$AU$1006,0)), HYPERLINK("#",""), HYPERLINK(CONCATENATE("#metadata!", ADDRESS(INDEX($Y$2:$Y$1001,MATCH(ROWS($W$2:W287),$W$2:$W$1001,0),0), INDEX($AD$1004:$AU$1004,1,MATCH(COLUMNS($AD$1006:AF1006),$AD$1006:$AU$1006,0)))),"Fix")))</f>
        <v xml:space="preserve"> </v>
      </c>
      <c r="E287" s="4" t="str">
        <f ca="1">IF(OR(INDEX($X$2:$X$1001,MATCH(ROWS($W$2:W287),$W$2:$W$1001,0),1)&gt;=100000,INDEX($AD$1005:$AU$1005,1,MATCH(COLUMNS($AD$1006:AG1006),$AD$1006:$AU$1006,0))&gt;=100000), " ",IF(INDEX($AD$2:$AU$1001,MATCH(ROWS($W$2:W287),$W$2:$W$1001,0),MATCH(COLUMNS($AD$1006:AG1006),$AD$1006:$AU$1006,0)), HYPERLINK("#",""), HYPERLINK(CONCATENATE("#metadata!", ADDRESS(INDEX($Y$2:$Y$1001,MATCH(ROWS($W$2:W287),$W$2:$W$1001,0),0), INDEX($AD$1004:$AU$1004,1,MATCH(COLUMNS($AD$1006:AG1006),$AD$1006:$AU$1006,0)))),"Fix")))</f>
        <v xml:space="preserve"> </v>
      </c>
      <c r="F287" s="4" t="str">
        <f ca="1">IF(OR(INDEX($X$2:$X$1001,MATCH(ROWS($W$2:W287),$W$2:$W$1001,0),1)&gt;=100000,INDEX($AD$1005:$AU$1005,1,MATCH(COLUMNS($AD$1006:AH1006),$AD$1006:$AU$1006,0))&gt;=100000), " ",IF(INDEX($AD$2:$AU$1001,MATCH(ROWS($W$2:W287),$W$2:$W$1001,0),MATCH(COLUMNS($AD$1006:AH1006),$AD$1006:$AU$1006,0)), HYPERLINK("#",""), HYPERLINK(CONCATENATE("#metadata!", ADDRESS(INDEX($Y$2:$Y$1001,MATCH(ROWS($W$2:W287),$W$2:$W$1001,0),0), INDEX($AD$1004:$AU$1004,1,MATCH(COLUMNS($AD$1006:AH1006),$AD$1006:$AU$1006,0)))),"Fix")))</f>
        <v xml:space="preserve"> </v>
      </c>
      <c r="G287" s="4" t="str">
        <f ca="1">IF(OR(INDEX($X$2:$X$1001,MATCH(ROWS($W$2:W287),$W$2:$W$1001,0),1)&gt;=100000,INDEX($AD$1005:$AU$1005,1,MATCH(COLUMNS($AD$1006:AI1006),$AD$1006:$AU$1006,0))&gt;=100000), " ",IF(INDEX($AD$2:$AU$1001,MATCH(ROWS($W$2:W287),$W$2:$W$1001,0),MATCH(COLUMNS($AD$1006:AI1006),$AD$1006:$AU$1006,0)), HYPERLINK("#",""), HYPERLINK(CONCATENATE("#metadata!", ADDRESS(INDEX($Y$2:$Y$1001,MATCH(ROWS($W$2:W287),$W$2:$W$1001,0),0), INDEX($AD$1004:$AU$1004,1,MATCH(COLUMNS($AD$1006:AI1006),$AD$1006:$AU$1006,0)))),"Fix")))</f>
        <v xml:space="preserve"> </v>
      </c>
      <c r="H287" s="4" t="str">
        <f ca="1">IF(OR(INDEX($X$2:$X$1001,MATCH(ROWS($W$2:W287),$W$2:$W$1001,0),1)&gt;=100000,INDEX($AD$1005:$AU$1005,1,MATCH(COLUMNS($AD$1006:AJ1006),$AD$1006:$AU$1006,0))&gt;=100000), " ",IF(INDEX($AD$2:$AU$1001,MATCH(ROWS($W$2:W287),$W$2:$W$1001,0),MATCH(COLUMNS($AD$1006:AJ1006),$AD$1006:$AU$1006,0)), HYPERLINK("#",""), HYPERLINK(CONCATENATE("#metadata!", ADDRESS(INDEX($Y$2:$Y$1001,MATCH(ROWS($W$2:W287),$W$2:$W$1001,0),0), INDEX($AD$1004:$AU$1004,1,MATCH(COLUMNS($AD$1006:AJ1006),$AD$1006:$AU$1006,0)))),"Fix")))</f>
        <v xml:space="preserve"> </v>
      </c>
      <c r="I287" s="4" t="str">
        <f ca="1">IF(OR(INDEX($X$2:$X$1001,MATCH(ROWS($W$2:W287),$W$2:$W$1001,0),1)&gt;=100000,INDEX($AD$1005:$AU$1005,1,MATCH(COLUMNS($AD$1006:AK1006),$AD$1006:$AU$1006,0))&gt;=100000), " ",IF(INDEX($AD$2:$AU$1001,MATCH(ROWS($W$2:W287),$W$2:$W$1001,0),MATCH(COLUMNS($AD$1006:AK1006),$AD$1006:$AU$1006,0)), HYPERLINK("#",""), HYPERLINK(CONCATENATE("#metadata!", ADDRESS(INDEX($Y$2:$Y$1001,MATCH(ROWS($W$2:W287),$W$2:$W$1001,0),0), INDEX($AD$1004:$AU$1004,1,MATCH(COLUMNS($AD$1006:AK1006),$AD$1006:$AU$1006,0)))),"Fix")))</f>
        <v xml:space="preserve"> </v>
      </c>
      <c r="J287" s="4" t="str">
        <f ca="1">IF(OR(INDEX($X$2:$X$1001,MATCH(ROWS($W$2:W287),$W$2:$W$1001,0),1)&gt;=100000,INDEX($AD$1005:$AU$1005,1,MATCH(COLUMNS($AD$1006:AL1006),$AD$1006:$AU$1006,0))&gt;=100000), " ",IF(INDEX($AD$2:$AU$1001,MATCH(ROWS($W$2:W287),$W$2:$W$1001,0),MATCH(COLUMNS($AD$1006:AL1006),$AD$1006:$AU$1006,0)), HYPERLINK("#",""), HYPERLINK(CONCATENATE("#metadata!", ADDRESS(INDEX($Y$2:$Y$1001,MATCH(ROWS($W$2:W287),$W$2:$W$1001,0),0), INDEX($AD$1004:$AU$1004,1,MATCH(COLUMNS($AD$1006:AL1006),$AD$1006:$AU$1006,0)))),"Fix")))</f>
        <v xml:space="preserve"> </v>
      </c>
      <c r="K287" s="4" t="str">
        <f ca="1">IF(OR(INDEX($X$2:$X$1001,MATCH(ROWS($W$2:W287),$W$2:$W$1001,0),1)&gt;=100000,INDEX($AD$1005:$AU$1005,1,MATCH(COLUMNS($AD$1006:AM1006),$AD$1006:$AU$1006,0))&gt;=100000), " ",IF(INDEX($AD$2:$AU$1001,MATCH(ROWS($W$2:W287),$W$2:$W$1001,0),MATCH(COLUMNS($AD$1006:AM1006),$AD$1006:$AU$1006,0)), HYPERLINK("#",""), HYPERLINK(CONCATENATE("#metadata!", ADDRESS(INDEX($Y$2:$Y$1001,MATCH(ROWS($W$2:W287),$W$2:$W$1001,0),0), INDEX($AD$1004:$AU$1004,1,MATCH(COLUMNS($AD$1006:AM1006),$AD$1006:$AU$1006,0)))),"Fix")))</f>
        <v xml:space="preserve"> </v>
      </c>
      <c r="L287" s="4" t="str">
        <f ca="1">IF(OR(INDEX($X$2:$X$1001,MATCH(ROWS($W$2:W287),$W$2:$W$1001,0),1)&gt;=100000,INDEX($AD$1005:$AU$1005,1,MATCH(COLUMNS($AD$1006:AN1006),$AD$1006:$AU$1006,0))&gt;=100000), " ",IF(INDEX($AD$2:$AU$1001,MATCH(ROWS($W$2:W287),$W$2:$W$1001,0),MATCH(COLUMNS($AD$1006:AN1006),$AD$1006:$AU$1006,0)), HYPERLINK("#",""), HYPERLINK(CONCATENATE("#metadata!", ADDRESS(INDEX($Y$2:$Y$1001,MATCH(ROWS($W$2:W287),$W$2:$W$1001,0),0), INDEX($AD$1004:$AU$1004,1,MATCH(COLUMNS($AD$1006:AN1006),$AD$1006:$AU$1006,0)))),"Fix")))</f>
        <v xml:space="preserve"> </v>
      </c>
      <c r="M287" s="4" t="str">
        <f ca="1">IF(OR(INDEX($X$2:$X$1001,MATCH(ROWS($W$2:W287),$W$2:$W$1001,0),1)&gt;=100000,INDEX($AD$1005:$AU$1005,1,MATCH(COLUMNS($AD$1006:AO1006),$AD$1006:$AU$1006,0))&gt;=100000), " ",IF(INDEX($AD$2:$AU$1001,MATCH(ROWS($W$2:W287),$W$2:$W$1001,0),MATCH(COLUMNS($AD$1006:AO1006),$AD$1006:$AU$1006,0)), HYPERLINK("#",""), HYPERLINK(CONCATENATE("#metadata!", ADDRESS(INDEX($Y$2:$Y$1001,MATCH(ROWS($W$2:W287),$W$2:$W$1001,0),0), INDEX($AD$1004:$AU$1004,1,MATCH(COLUMNS($AD$1006:AO1006),$AD$1006:$AU$1006,0)))),"Fix")))</f>
        <v xml:space="preserve"> </v>
      </c>
      <c r="N287" s="4" t="str">
        <f ca="1">IF(OR(INDEX($X$2:$X$1001,MATCH(ROWS($W$2:W287),$W$2:$W$1001,0),1)&gt;=100000,INDEX($AD$1005:$AU$1005,1,MATCH(COLUMNS($AD$1006:AP1006),$AD$1006:$AU$1006,0))&gt;=100000), " ",IF(INDEX($AD$2:$AU$1001,MATCH(ROWS($W$2:W287),$W$2:$W$1001,0),MATCH(COLUMNS($AD$1006:AP1006),$AD$1006:$AU$1006,0)), HYPERLINK("#",""), HYPERLINK(CONCATENATE("#metadata!", ADDRESS(INDEX($Y$2:$Y$1001,MATCH(ROWS($W$2:W287),$W$2:$W$1001,0),0), INDEX($AD$1004:$AU$1004,1,MATCH(COLUMNS($AD$1006:AP1006),$AD$1006:$AU$1006,0)))),"Fix")))</f>
        <v xml:space="preserve"> </v>
      </c>
      <c r="O287" s="4" t="str">
        <f ca="1">IF(OR(INDEX($X$2:$X$1001,MATCH(ROWS($W$2:W287),$W$2:$W$1001,0),1)&gt;=100000,INDEX($AD$1005:$AU$1005,1,MATCH(COLUMNS($AD$1006:AQ1006),$AD$1006:$AU$1006,0))&gt;=100000), " ",IF(INDEX($AD$2:$AU$1001,MATCH(ROWS($W$2:W287),$W$2:$W$1001,0),MATCH(COLUMNS($AD$1006:AQ1006),$AD$1006:$AU$1006,0)), HYPERLINK("#",""), HYPERLINK(CONCATENATE("#metadata!", ADDRESS(INDEX($Y$2:$Y$1001,MATCH(ROWS($W$2:W287),$W$2:$W$1001,0),0), INDEX($AD$1004:$AU$1004,1,MATCH(COLUMNS($AD$1006:AQ1006),$AD$1006:$AU$1006,0)))),"Fix")))</f>
        <v xml:space="preserve"> </v>
      </c>
      <c r="P287" s="4" t="str">
        <f ca="1">IF(OR(INDEX($X$2:$X$1001,MATCH(ROWS($W$2:W287),$W$2:$W$1001,0),1)&gt;=100000,INDEX($AD$1005:$AU$1005,1,MATCH(COLUMNS($AD$1006:AR1006),$AD$1006:$AU$1006,0))&gt;=100000), " ",IF(INDEX($AD$2:$AU$1001,MATCH(ROWS($W$2:W287),$W$2:$W$1001,0),MATCH(COLUMNS($AD$1006:AR1006),$AD$1006:$AU$1006,0)), HYPERLINK("#",""), HYPERLINK(CONCATENATE("#metadata!", ADDRESS(INDEX($Y$2:$Y$1001,MATCH(ROWS($W$2:W287),$W$2:$W$1001,0),0), INDEX($AD$1004:$AU$1004,1,MATCH(COLUMNS($AD$1006:AR1006),$AD$1006:$AU$1006,0)))),"Fix")))</f>
        <v xml:space="preserve"> </v>
      </c>
      <c r="Q287" s="4" t="str">
        <f ca="1">IF(OR(INDEX($X$2:$X$1001,MATCH(ROWS($W$2:W287),$W$2:$W$1001,0),1)&gt;=100000,INDEX($AD$1005:$AU$1005,1,MATCH(COLUMNS($AD$1006:AS1006),$AD$1006:$AU$1006,0))&gt;=100000), " ",IF(INDEX($AD$2:$AU$1001,MATCH(ROWS($W$2:W287),$W$2:$W$1001,0),MATCH(COLUMNS($AD$1006:AS1006),$AD$1006:$AU$1006,0)), HYPERLINK("#",""), HYPERLINK(CONCATENATE("#metadata!", ADDRESS(INDEX($Y$2:$Y$1001,MATCH(ROWS($W$2:W287),$W$2:$W$1001,0),0), INDEX($AD$1004:$AU$1004,1,MATCH(COLUMNS($AD$1006:AS1006),$AD$1006:$AU$1006,0)))),"Fix")))</f>
        <v xml:space="preserve"> </v>
      </c>
      <c r="R287" s="4" t="str">
        <f ca="1">IF(OR(INDEX($X$2:$X$1001,MATCH(ROWS($W$2:W287),$W$2:$W$1001,0),1)&gt;=100000,INDEX($AD$1005:$AU$1005,1,MATCH(COLUMNS($AD$1006:AT1006),$AD$1006:$AU$1006,0))&gt;=100000), " ",IF(INDEX($AD$2:$AU$1001,MATCH(ROWS($W$2:W287),$W$2:$W$1001,0),MATCH(COLUMNS($AD$1006:AT1006),$AD$1006:$AU$1006,0)), HYPERLINK("#",""), HYPERLINK(CONCATENATE("#metadata!", ADDRESS(INDEX($Y$2:$Y$1001,MATCH(ROWS($W$2:W287),$W$2:$W$1001,0),0), INDEX($AD$1004:$AU$1004,1,MATCH(COLUMNS($AD$1006:AT1006),$AD$1006:$AU$1006,0)))),"Fix")))</f>
        <v xml:space="preserve"> </v>
      </c>
      <c r="S287" s="4" t="str">
        <f ca="1">IF(OR(INDEX($X$2:$X$1001,MATCH(ROWS($W$2:W287),$W$2:$W$1001,0),1)&gt;=100000,INDEX($AD$1005:$AU$1005,1,MATCH(COLUMNS($AD$1006:AU1006),$AD$1006:$AU$1006,0))&gt;=100000), " ",IF(INDEX($AD$2:$AU$1001,MATCH(ROWS($W$2:W287),$W$2:$W$1001,0),MATCH(COLUMNS($AD$1006:AU1006),$AD$1006:$AU$1006,0)), HYPERLINK("#",""), HYPERLINK(CONCATENATE("#metadata!", ADDRESS(INDEX($Y$2:$Y$1001,MATCH(ROWS($W$2:W287),$W$2:$W$1001,0),0), INDEX($AD$1004:$AU$1004,1,MATCH(COLUMNS($AD$1006:AU1006),$AD$1006:$AU$1006,0)))),"Fix")))</f>
        <v xml:space="preserve"> </v>
      </c>
      <c r="W287">
        <v>286</v>
      </c>
      <c r="X287">
        <v>100287</v>
      </c>
      <c r="Y287">
        <v>287</v>
      </c>
      <c r="Z287" t="b">
        <f t="shared" si="4"/>
        <v>1</v>
      </c>
      <c r="AA287" t="b">
        <f>COUNTBLANK(metadata!B287:S287)=COLUMNS(metadata!B287:S287)</f>
        <v>1</v>
      </c>
      <c r="AB287" t="str">
        <v/>
      </c>
      <c r="AD287" t="b">
        <f ca="1">AND(IF(metadata!B287="",FALSE,TRUE),COUNTIF(metadata!B:B, metadata!B287) = 1,NOT(ISERROR(SUMPRODUCT(SEARCH(MID(metadata!B287,ROW(INDIRECT("1:"&amp;LEN(metadata!B287))), 1),"0123456789abcdefghijklmnopqrstuvwxyzABCDEFGHIJKLMNOPQRSTUVWXYZ.")))))</f>
        <v>0</v>
      </c>
      <c r="AE287" t="b">
        <f>OR(AND(IF(metadata!C287="",FALSE,TRUE),OR(EXACT(metadata!C287,"not applicable"),EXACT(metadata!C287,"missing: not collected"),EXACT(metadata!C287,"missing: not provided"),EXACT(metadata!C287,"missing: restricted access"))),AND(IF(metadata!C287="",FALSE,ISNUMBER(VALUE(metadata!C287))),metadata!C287&gt;0))</f>
        <v>0</v>
      </c>
      <c r="AF287" t="b">
        <f>AND(IF(metadata!D287="",FALSE,TRUE),EXACT(metadata!D287,"missing: not provided"))</f>
        <v>0</v>
      </c>
      <c r="AG287" t="b">
        <f>AND(IF(metadata!E287="",FALSE,TRUE),EXACT(metadata!E287,"Host-associated"))</f>
        <v>0</v>
      </c>
      <c r="AH287" t="b">
        <f>AND(IF(metadata!F287="",FALSE,TRUE),OR(EXACT(metadata!F287,"Animal"),EXACT(metadata!F287,"Fungus"),EXACT(metadata!F287,"Plant")))</f>
        <v>0</v>
      </c>
      <c r="AI287" t="b">
        <f>AND(IF(metadata!G287="",FALSE,TRUE),OR(EXACT(metadata!G287,"Plant secretion"),EXACT(metadata!G287,"Plant rhizosphere"),EXACT(metadata!G287,"Plant surface"),EXACT(metadata!G287,"Plant corpus"),EXACT(metadata!G287,"Fungus surface"),EXACT(metadata!G287,"Fungus corpus"),EXACT(metadata!G287,"Animal surface"),EXACT(metadata!G287,"Animal proximal gut"),EXACT(metadata!G287,"Animal corpus"),EXACT(metadata!G287,"Animal distal gut"),EXACT(metadata!G287,"Animal secretion")))</f>
        <v>0</v>
      </c>
      <c r="AJ287" t="b">
        <f>OR(AND(IF(metadata!H287="",FALSE,TRUE),OR(EXACT(metadata!H287,"missing: not collected"),EXACT(metadata!H287,"missing: not provided"),EXACT(metadata!H287,"missing: restricted access"))),AND(IF(metadata!H287="",FALSE,TRUE),OR(EXACT(metadata!H287,"organism-associated habitat"),EXACT(metadata!H287,"plant-associated habitat"),EXACT(metadata!H287,"animal-associated habitat"),EXACT(metadata!H287,"insecta-associated habitat"),EXACT(metadata!H287,"mammalia-associated habitat"),EXACT(metadata!H287,"human-associated habitat"),EXACT(metadata!H287,"livestock-associated habitat"))))</f>
        <v>0</v>
      </c>
      <c r="AK287" t="b">
        <f>AND(IF(metadata!I287="",FALSE,TRUE),EXACT(metadata!I287,"host-associated"))</f>
        <v>0</v>
      </c>
      <c r="AL287" t="b">
        <f>OR(AND(IF(metadata!J287="",FALSE,TRUE),OR(EXACT(metadata!J287,"not applicable"),EXACT(metadata!J287,"missing: not collected"),EXACT(metadata!J287,"missing: not provided"),EXACT(metadata!J287,"missing: restricted access"))),AND(IF(metadata!J287="",FALSE,ISNUMBER(VALUE(metadata!J287))),metadata!J287&gt;0))</f>
        <v>0</v>
      </c>
      <c r="AM287" t="b">
        <f>AND(IF(metadata!K287="",FALSE,TRUE),EXACT(metadata!K287,"missing: not provided"))</f>
        <v>0</v>
      </c>
      <c r="AN287" t="b">
        <f>IF(metadata!L287="",FALSE,TRUE)</f>
        <v>0</v>
      </c>
      <c r="AO287" t="b">
        <f>IF(metadata!M287="",FALSE,TRUE)</f>
        <v>0</v>
      </c>
      <c r="AP287" t="b">
        <f>OR(AND(IF(metadata!N287="",FALSE,TRUE),OR(EXACT(metadata!N287,"not applicable"),EXACT(metadata!N287,"missing: not collected"),EXACT(metadata!N287,"missing: not provided"))),AND(IF(metadata!N287="",FALSE,IF(ISERROR(INT(metadata!N287)),FALSE,INT(metadata!N287)=metadata!N287)),metadata!N287&gt;0))</f>
        <v>0</v>
      </c>
      <c r="AQ287" t="b">
        <f>AND(IF(metadata!O287="",FALSE,TRUE),EXACT(metadata!O287,"Not applicable"))</f>
        <v>0</v>
      </c>
      <c r="AR287" t="b">
        <f>OR(AND(IF(metadata!P287="",FALSE,TRUE),OR(EXACT(metadata!P287,"not applicable"),EXACT(metadata!P287,"missing: not collected"),EXACT(metadata!P287,"missing: not provided"),EXACT(metadata!P287,"missing: restricted access"))),IF(metadata!P287="",FALSE,IF(ISERROR(INT(metadata!P287)),FALSE,INT(metadata!P287)=metadata!P287)))</f>
        <v>0</v>
      </c>
      <c r="AS287" t="b">
        <f>AND(IF(metadata!Q287="",FALSE,TRUE),EXACT(metadata!Q287,"Not applicable"))</f>
        <v>0</v>
      </c>
      <c r="AT287" t="b">
        <f>OR(AND(IF(metadata!R287="",FALSE,TRUE),OR(EXACT(metadata!R287,"not applicable"),EXACT(metadata!R287,"missing: not collected"),EXACT(metadata!R287,"missing: not provided"),EXACT(metadata!R287,"missing: restricted access"))),AND(IF(metadata!R287="",FALSE,ISNUMBER(VALUE(metadata!R287))),metadata!R287&gt;0))</f>
        <v>0</v>
      </c>
      <c r="AU287" t="b">
        <f>AND(IF(metadata!S287="",FALSE,TRUE),EXACT(metadata!S287,"missing: not provided"))</f>
        <v>0</v>
      </c>
    </row>
    <row r="288" spans="1:47" x14ac:dyDescent="0.2">
      <c r="A288" s="5" t="str">
        <f ca="1">IF(B288=" "," ",HYPERLINK(CONCATENATE("#metadata!",ADDRESS(INDEX($Y$2:$Y$1001,MATCH(ROWS($W$2:W288),$W$2:$W$1001,0),0),1)),INDEX($AB$2:$AB$1001,MATCH(ROWS($W$2:W288),$W$2:$W$1001,0),0)))</f>
        <v xml:space="preserve"> </v>
      </c>
      <c r="B288" s="4" t="str">
        <f ca="1">IF(OR(INDEX($X$2:$X$1001,MATCH(ROWS($W$2:W288),$W$2:$W$1001,0),1)&gt;=100000,INDEX($AD$1005:$AU$1005,1,MATCH(COLUMNS($AD$1006:AD1006),$AD$1006:$AU$1006,0))&gt;=100000), " ",IF(INDEX($AD$2:$AU$1001,MATCH(ROWS($W$2:W288),$W$2:$W$1001,0),MATCH(COLUMNS($AD$1006:AD1006),$AD$1006:$AU$1006,0)), HYPERLINK("#",""), HYPERLINK(CONCATENATE("#metadata!", ADDRESS(INDEX($Y$2:$Y$1001,MATCH(ROWS($W$2:W288),$W$2:$W$1001,0),0), INDEX($AD$1004:$AU$1004,1,MATCH(COLUMNS($AD$1006:AD1006),$AD$1006:$AU$1006,0)))),"Fix")))</f>
        <v xml:space="preserve"> </v>
      </c>
      <c r="C288" s="4" t="str">
        <f ca="1">IF(OR(INDEX($X$2:$X$1001,MATCH(ROWS($W$2:W288),$W$2:$W$1001,0),1)&gt;=100000,INDEX($AD$1005:$AU$1005,1,MATCH(COLUMNS($AD$1006:AE1006),$AD$1006:$AU$1006,0))&gt;=100000), " ",IF(INDEX($AD$2:$AU$1001,MATCH(ROWS($W$2:W288),$W$2:$W$1001,0),MATCH(COLUMNS($AD$1006:AE1006),$AD$1006:$AU$1006,0)), HYPERLINK("#",""), HYPERLINK(CONCATENATE("#metadata!", ADDRESS(INDEX($Y$2:$Y$1001,MATCH(ROWS($W$2:W288),$W$2:$W$1001,0),0), INDEX($AD$1004:$AU$1004,1,MATCH(COLUMNS($AD$1006:AE1006),$AD$1006:$AU$1006,0)))),"Fix")))</f>
        <v xml:space="preserve"> </v>
      </c>
      <c r="D288" s="4" t="str">
        <f ca="1">IF(OR(INDEX($X$2:$X$1001,MATCH(ROWS($W$2:W288),$W$2:$W$1001,0),1)&gt;=100000,INDEX($AD$1005:$AU$1005,1,MATCH(COLUMNS($AD$1006:AF1006),$AD$1006:$AU$1006,0))&gt;=100000), " ",IF(INDEX($AD$2:$AU$1001,MATCH(ROWS($W$2:W288),$W$2:$W$1001,0),MATCH(COLUMNS($AD$1006:AF1006),$AD$1006:$AU$1006,0)), HYPERLINK("#",""), HYPERLINK(CONCATENATE("#metadata!", ADDRESS(INDEX($Y$2:$Y$1001,MATCH(ROWS($W$2:W288),$W$2:$W$1001,0),0), INDEX($AD$1004:$AU$1004,1,MATCH(COLUMNS($AD$1006:AF1006),$AD$1006:$AU$1006,0)))),"Fix")))</f>
        <v xml:space="preserve"> </v>
      </c>
      <c r="E288" s="4" t="str">
        <f ca="1">IF(OR(INDEX($X$2:$X$1001,MATCH(ROWS($W$2:W288),$W$2:$W$1001,0),1)&gt;=100000,INDEX($AD$1005:$AU$1005,1,MATCH(COLUMNS($AD$1006:AG1006),$AD$1006:$AU$1006,0))&gt;=100000), " ",IF(INDEX($AD$2:$AU$1001,MATCH(ROWS($W$2:W288),$W$2:$W$1001,0),MATCH(COLUMNS($AD$1006:AG1006),$AD$1006:$AU$1006,0)), HYPERLINK("#",""), HYPERLINK(CONCATENATE("#metadata!", ADDRESS(INDEX($Y$2:$Y$1001,MATCH(ROWS($W$2:W288),$W$2:$W$1001,0),0), INDEX($AD$1004:$AU$1004,1,MATCH(COLUMNS($AD$1006:AG1006),$AD$1006:$AU$1006,0)))),"Fix")))</f>
        <v xml:space="preserve"> </v>
      </c>
      <c r="F288" s="4" t="str">
        <f ca="1">IF(OR(INDEX($X$2:$X$1001,MATCH(ROWS($W$2:W288),$W$2:$W$1001,0),1)&gt;=100000,INDEX($AD$1005:$AU$1005,1,MATCH(COLUMNS($AD$1006:AH1006),$AD$1006:$AU$1006,0))&gt;=100000), " ",IF(INDEX($AD$2:$AU$1001,MATCH(ROWS($W$2:W288),$W$2:$W$1001,0),MATCH(COLUMNS($AD$1006:AH1006),$AD$1006:$AU$1006,0)), HYPERLINK("#",""), HYPERLINK(CONCATENATE("#metadata!", ADDRESS(INDEX($Y$2:$Y$1001,MATCH(ROWS($W$2:W288),$W$2:$W$1001,0),0), INDEX($AD$1004:$AU$1004,1,MATCH(COLUMNS($AD$1006:AH1006),$AD$1006:$AU$1006,0)))),"Fix")))</f>
        <v xml:space="preserve"> </v>
      </c>
      <c r="G288" s="4" t="str">
        <f ca="1">IF(OR(INDEX($X$2:$X$1001,MATCH(ROWS($W$2:W288),$W$2:$W$1001,0),1)&gt;=100000,INDEX($AD$1005:$AU$1005,1,MATCH(COLUMNS($AD$1006:AI1006),$AD$1006:$AU$1006,0))&gt;=100000), " ",IF(INDEX($AD$2:$AU$1001,MATCH(ROWS($W$2:W288),$W$2:$W$1001,0),MATCH(COLUMNS($AD$1006:AI1006),$AD$1006:$AU$1006,0)), HYPERLINK("#",""), HYPERLINK(CONCATENATE("#metadata!", ADDRESS(INDEX($Y$2:$Y$1001,MATCH(ROWS($W$2:W288),$W$2:$W$1001,0),0), INDEX($AD$1004:$AU$1004,1,MATCH(COLUMNS($AD$1006:AI1006),$AD$1006:$AU$1006,0)))),"Fix")))</f>
        <v xml:space="preserve"> </v>
      </c>
      <c r="H288" s="4" t="str">
        <f ca="1">IF(OR(INDEX($X$2:$X$1001,MATCH(ROWS($W$2:W288),$W$2:$W$1001,0),1)&gt;=100000,INDEX($AD$1005:$AU$1005,1,MATCH(COLUMNS($AD$1006:AJ1006),$AD$1006:$AU$1006,0))&gt;=100000), " ",IF(INDEX($AD$2:$AU$1001,MATCH(ROWS($W$2:W288),$W$2:$W$1001,0),MATCH(COLUMNS($AD$1006:AJ1006),$AD$1006:$AU$1006,0)), HYPERLINK("#",""), HYPERLINK(CONCATENATE("#metadata!", ADDRESS(INDEX($Y$2:$Y$1001,MATCH(ROWS($W$2:W288),$W$2:$W$1001,0),0), INDEX($AD$1004:$AU$1004,1,MATCH(COLUMNS($AD$1006:AJ1006),$AD$1006:$AU$1006,0)))),"Fix")))</f>
        <v xml:space="preserve"> </v>
      </c>
      <c r="I288" s="4" t="str">
        <f ca="1">IF(OR(INDEX($X$2:$X$1001,MATCH(ROWS($W$2:W288),$W$2:$W$1001,0),1)&gt;=100000,INDEX($AD$1005:$AU$1005,1,MATCH(COLUMNS($AD$1006:AK1006),$AD$1006:$AU$1006,0))&gt;=100000), " ",IF(INDEX($AD$2:$AU$1001,MATCH(ROWS($W$2:W288),$W$2:$W$1001,0),MATCH(COLUMNS($AD$1006:AK1006),$AD$1006:$AU$1006,0)), HYPERLINK("#",""), HYPERLINK(CONCATENATE("#metadata!", ADDRESS(INDEX($Y$2:$Y$1001,MATCH(ROWS($W$2:W288),$W$2:$W$1001,0),0), INDEX($AD$1004:$AU$1004,1,MATCH(COLUMNS($AD$1006:AK1006),$AD$1006:$AU$1006,0)))),"Fix")))</f>
        <v xml:space="preserve"> </v>
      </c>
      <c r="J288" s="4" t="str">
        <f ca="1">IF(OR(INDEX($X$2:$X$1001,MATCH(ROWS($W$2:W288),$W$2:$W$1001,0),1)&gt;=100000,INDEX($AD$1005:$AU$1005,1,MATCH(COLUMNS($AD$1006:AL1006),$AD$1006:$AU$1006,0))&gt;=100000), " ",IF(INDEX($AD$2:$AU$1001,MATCH(ROWS($W$2:W288),$W$2:$W$1001,0),MATCH(COLUMNS($AD$1006:AL1006),$AD$1006:$AU$1006,0)), HYPERLINK("#",""), HYPERLINK(CONCATENATE("#metadata!", ADDRESS(INDEX($Y$2:$Y$1001,MATCH(ROWS($W$2:W288),$W$2:$W$1001,0),0), INDEX($AD$1004:$AU$1004,1,MATCH(COLUMNS($AD$1006:AL1006),$AD$1006:$AU$1006,0)))),"Fix")))</f>
        <v xml:space="preserve"> </v>
      </c>
      <c r="K288" s="4" t="str">
        <f ca="1">IF(OR(INDEX($X$2:$X$1001,MATCH(ROWS($W$2:W288),$W$2:$W$1001,0),1)&gt;=100000,INDEX($AD$1005:$AU$1005,1,MATCH(COLUMNS($AD$1006:AM1006),$AD$1006:$AU$1006,0))&gt;=100000), " ",IF(INDEX($AD$2:$AU$1001,MATCH(ROWS($W$2:W288),$W$2:$W$1001,0),MATCH(COLUMNS($AD$1006:AM1006),$AD$1006:$AU$1006,0)), HYPERLINK("#",""), HYPERLINK(CONCATENATE("#metadata!", ADDRESS(INDEX($Y$2:$Y$1001,MATCH(ROWS($W$2:W288),$W$2:$W$1001,0),0), INDEX($AD$1004:$AU$1004,1,MATCH(COLUMNS($AD$1006:AM1006),$AD$1006:$AU$1006,0)))),"Fix")))</f>
        <v xml:space="preserve"> </v>
      </c>
      <c r="L288" s="4" t="str">
        <f ca="1">IF(OR(INDEX($X$2:$X$1001,MATCH(ROWS($W$2:W288),$W$2:$W$1001,0),1)&gt;=100000,INDEX($AD$1005:$AU$1005,1,MATCH(COLUMNS($AD$1006:AN1006),$AD$1006:$AU$1006,0))&gt;=100000), " ",IF(INDEX($AD$2:$AU$1001,MATCH(ROWS($W$2:W288),$W$2:$W$1001,0),MATCH(COLUMNS($AD$1006:AN1006),$AD$1006:$AU$1006,0)), HYPERLINK("#",""), HYPERLINK(CONCATENATE("#metadata!", ADDRESS(INDEX($Y$2:$Y$1001,MATCH(ROWS($W$2:W288),$W$2:$W$1001,0),0), INDEX($AD$1004:$AU$1004,1,MATCH(COLUMNS($AD$1006:AN1006),$AD$1006:$AU$1006,0)))),"Fix")))</f>
        <v xml:space="preserve"> </v>
      </c>
      <c r="M288" s="4" t="str">
        <f ca="1">IF(OR(INDEX($X$2:$X$1001,MATCH(ROWS($W$2:W288),$W$2:$W$1001,0),1)&gt;=100000,INDEX($AD$1005:$AU$1005,1,MATCH(COLUMNS($AD$1006:AO1006),$AD$1006:$AU$1006,0))&gt;=100000), " ",IF(INDEX($AD$2:$AU$1001,MATCH(ROWS($W$2:W288),$W$2:$W$1001,0),MATCH(COLUMNS($AD$1006:AO1006),$AD$1006:$AU$1006,0)), HYPERLINK("#",""), HYPERLINK(CONCATENATE("#metadata!", ADDRESS(INDEX($Y$2:$Y$1001,MATCH(ROWS($W$2:W288),$W$2:$W$1001,0),0), INDEX($AD$1004:$AU$1004,1,MATCH(COLUMNS($AD$1006:AO1006),$AD$1006:$AU$1006,0)))),"Fix")))</f>
        <v xml:space="preserve"> </v>
      </c>
      <c r="N288" s="4" t="str">
        <f ca="1">IF(OR(INDEX($X$2:$X$1001,MATCH(ROWS($W$2:W288),$W$2:$W$1001,0),1)&gt;=100000,INDEX($AD$1005:$AU$1005,1,MATCH(COLUMNS($AD$1006:AP1006),$AD$1006:$AU$1006,0))&gt;=100000), " ",IF(INDEX($AD$2:$AU$1001,MATCH(ROWS($W$2:W288),$W$2:$W$1001,0),MATCH(COLUMNS($AD$1006:AP1006),$AD$1006:$AU$1006,0)), HYPERLINK("#",""), HYPERLINK(CONCATENATE("#metadata!", ADDRESS(INDEX($Y$2:$Y$1001,MATCH(ROWS($W$2:W288),$W$2:$W$1001,0),0), INDEX($AD$1004:$AU$1004,1,MATCH(COLUMNS($AD$1006:AP1006),$AD$1006:$AU$1006,0)))),"Fix")))</f>
        <v xml:space="preserve"> </v>
      </c>
      <c r="O288" s="4" t="str">
        <f ca="1">IF(OR(INDEX($X$2:$X$1001,MATCH(ROWS($W$2:W288),$W$2:$W$1001,0),1)&gt;=100000,INDEX($AD$1005:$AU$1005,1,MATCH(COLUMNS($AD$1006:AQ1006),$AD$1006:$AU$1006,0))&gt;=100000), " ",IF(INDEX($AD$2:$AU$1001,MATCH(ROWS($W$2:W288),$W$2:$W$1001,0),MATCH(COLUMNS($AD$1006:AQ1006),$AD$1006:$AU$1006,0)), HYPERLINK("#",""), HYPERLINK(CONCATENATE("#metadata!", ADDRESS(INDEX($Y$2:$Y$1001,MATCH(ROWS($W$2:W288),$W$2:$W$1001,0),0), INDEX($AD$1004:$AU$1004,1,MATCH(COLUMNS($AD$1006:AQ1006),$AD$1006:$AU$1006,0)))),"Fix")))</f>
        <v xml:space="preserve"> </v>
      </c>
      <c r="P288" s="4" t="str">
        <f ca="1">IF(OR(INDEX($X$2:$X$1001,MATCH(ROWS($W$2:W288),$W$2:$W$1001,0),1)&gt;=100000,INDEX($AD$1005:$AU$1005,1,MATCH(COLUMNS($AD$1006:AR1006),$AD$1006:$AU$1006,0))&gt;=100000), " ",IF(INDEX($AD$2:$AU$1001,MATCH(ROWS($W$2:W288),$W$2:$W$1001,0),MATCH(COLUMNS($AD$1006:AR1006),$AD$1006:$AU$1006,0)), HYPERLINK("#",""), HYPERLINK(CONCATENATE("#metadata!", ADDRESS(INDEX($Y$2:$Y$1001,MATCH(ROWS($W$2:W288),$W$2:$W$1001,0),0), INDEX($AD$1004:$AU$1004,1,MATCH(COLUMNS($AD$1006:AR1006),$AD$1006:$AU$1006,0)))),"Fix")))</f>
        <v xml:space="preserve"> </v>
      </c>
      <c r="Q288" s="4" t="str">
        <f ca="1">IF(OR(INDEX($X$2:$X$1001,MATCH(ROWS($W$2:W288),$W$2:$W$1001,0),1)&gt;=100000,INDEX($AD$1005:$AU$1005,1,MATCH(COLUMNS($AD$1006:AS1006),$AD$1006:$AU$1006,0))&gt;=100000), " ",IF(INDEX($AD$2:$AU$1001,MATCH(ROWS($W$2:W288),$W$2:$W$1001,0),MATCH(COLUMNS($AD$1006:AS1006),$AD$1006:$AU$1006,0)), HYPERLINK("#",""), HYPERLINK(CONCATENATE("#metadata!", ADDRESS(INDEX($Y$2:$Y$1001,MATCH(ROWS($W$2:W288),$W$2:$W$1001,0),0), INDEX($AD$1004:$AU$1004,1,MATCH(COLUMNS($AD$1006:AS1006),$AD$1006:$AU$1006,0)))),"Fix")))</f>
        <v xml:space="preserve"> </v>
      </c>
      <c r="R288" s="4" t="str">
        <f ca="1">IF(OR(INDEX($X$2:$X$1001,MATCH(ROWS($W$2:W288),$W$2:$W$1001,0),1)&gt;=100000,INDEX($AD$1005:$AU$1005,1,MATCH(COLUMNS($AD$1006:AT1006),$AD$1006:$AU$1006,0))&gt;=100000), " ",IF(INDEX($AD$2:$AU$1001,MATCH(ROWS($W$2:W288),$W$2:$W$1001,0),MATCH(COLUMNS($AD$1006:AT1006),$AD$1006:$AU$1006,0)), HYPERLINK("#",""), HYPERLINK(CONCATENATE("#metadata!", ADDRESS(INDEX($Y$2:$Y$1001,MATCH(ROWS($W$2:W288),$W$2:$W$1001,0),0), INDEX($AD$1004:$AU$1004,1,MATCH(COLUMNS($AD$1006:AT1006),$AD$1006:$AU$1006,0)))),"Fix")))</f>
        <v xml:space="preserve"> </v>
      </c>
      <c r="S288" s="4" t="str">
        <f ca="1">IF(OR(INDEX($X$2:$X$1001,MATCH(ROWS($W$2:W288),$W$2:$W$1001,0),1)&gt;=100000,INDEX($AD$1005:$AU$1005,1,MATCH(COLUMNS($AD$1006:AU1006),$AD$1006:$AU$1006,0))&gt;=100000), " ",IF(INDEX($AD$2:$AU$1001,MATCH(ROWS($W$2:W288),$W$2:$W$1001,0),MATCH(COLUMNS($AD$1006:AU1006),$AD$1006:$AU$1006,0)), HYPERLINK("#",""), HYPERLINK(CONCATENATE("#metadata!", ADDRESS(INDEX($Y$2:$Y$1001,MATCH(ROWS($W$2:W288),$W$2:$W$1001,0),0), INDEX($AD$1004:$AU$1004,1,MATCH(COLUMNS($AD$1006:AU1006),$AD$1006:$AU$1006,0)))),"Fix")))</f>
        <v xml:space="preserve"> </v>
      </c>
      <c r="W288">
        <v>287</v>
      </c>
      <c r="X288">
        <v>100288</v>
      </c>
      <c r="Y288">
        <v>288</v>
      </c>
      <c r="Z288" t="b">
        <f t="shared" si="4"/>
        <v>1</v>
      </c>
      <c r="AA288" t="b">
        <f>COUNTBLANK(metadata!B288:S288)=COLUMNS(metadata!B288:S288)</f>
        <v>1</v>
      </c>
      <c r="AB288" t="str">
        <v/>
      </c>
      <c r="AD288" t="b">
        <f ca="1">AND(IF(metadata!B288="",FALSE,TRUE),COUNTIF(metadata!B:B, metadata!B288) = 1,NOT(ISERROR(SUMPRODUCT(SEARCH(MID(metadata!B288,ROW(INDIRECT("1:"&amp;LEN(metadata!B288))), 1),"0123456789abcdefghijklmnopqrstuvwxyzABCDEFGHIJKLMNOPQRSTUVWXYZ.")))))</f>
        <v>0</v>
      </c>
      <c r="AE288" t="b">
        <f>OR(AND(IF(metadata!C288="",FALSE,TRUE),OR(EXACT(metadata!C288,"not applicable"),EXACT(metadata!C288,"missing: not collected"),EXACT(metadata!C288,"missing: not provided"),EXACT(metadata!C288,"missing: restricted access"))),AND(IF(metadata!C288="",FALSE,ISNUMBER(VALUE(metadata!C288))),metadata!C288&gt;0))</f>
        <v>0</v>
      </c>
      <c r="AF288" t="b">
        <f>AND(IF(metadata!D288="",FALSE,TRUE),EXACT(metadata!D288,"missing: not provided"))</f>
        <v>0</v>
      </c>
      <c r="AG288" t="b">
        <f>AND(IF(metadata!E288="",FALSE,TRUE),EXACT(metadata!E288,"Host-associated"))</f>
        <v>0</v>
      </c>
      <c r="AH288" t="b">
        <f>AND(IF(metadata!F288="",FALSE,TRUE),OR(EXACT(metadata!F288,"Animal"),EXACT(metadata!F288,"Fungus"),EXACT(metadata!F288,"Plant")))</f>
        <v>0</v>
      </c>
      <c r="AI288" t="b">
        <f>AND(IF(metadata!G288="",FALSE,TRUE),OR(EXACT(metadata!G288,"Plant secretion"),EXACT(metadata!G288,"Plant rhizosphere"),EXACT(metadata!G288,"Plant surface"),EXACT(metadata!G288,"Plant corpus"),EXACT(metadata!G288,"Fungus surface"),EXACT(metadata!G288,"Fungus corpus"),EXACT(metadata!G288,"Animal surface"),EXACT(metadata!G288,"Animal proximal gut"),EXACT(metadata!G288,"Animal corpus"),EXACT(metadata!G288,"Animal distal gut"),EXACT(metadata!G288,"Animal secretion")))</f>
        <v>0</v>
      </c>
      <c r="AJ288" t="b">
        <f>OR(AND(IF(metadata!H288="",FALSE,TRUE),OR(EXACT(metadata!H288,"missing: not collected"),EXACT(metadata!H288,"missing: not provided"),EXACT(metadata!H288,"missing: restricted access"))),AND(IF(metadata!H288="",FALSE,TRUE),OR(EXACT(metadata!H288,"organism-associated habitat"),EXACT(metadata!H288,"plant-associated habitat"),EXACT(metadata!H288,"animal-associated habitat"),EXACT(metadata!H288,"insecta-associated habitat"),EXACT(metadata!H288,"mammalia-associated habitat"),EXACT(metadata!H288,"human-associated habitat"),EXACT(metadata!H288,"livestock-associated habitat"))))</f>
        <v>0</v>
      </c>
      <c r="AK288" t="b">
        <f>AND(IF(metadata!I288="",FALSE,TRUE),EXACT(metadata!I288,"host-associated"))</f>
        <v>0</v>
      </c>
      <c r="AL288" t="b">
        <f>OR(AND(IF(metadata!J288="",FALSE,TRUE),OR(EXACT(metadata!J288,"not applicable"),EXACT(metadata!J288,"missing: not collected"),EXACT(metadata!J288,"missing: not provided"),EXACT(metadata!J288,"missing: restricted access"))),AND(IF(metadata!J288="",FALSE,ISNUMBER(VALUE(metadata!J288))),metadata!J288&gt;0))</f>
        <v>0</v>
      </c>
      <c r="AM288" t="b">
        <f>AND(IF(metadata!K288="",FALSE,TRUE),EXACT(metadata!K288,"missing: not provided"))</f>
        <v>0</v>
      </c>
      <c r="AN288" t="b">
        <f>IF(metadata!L288="",FALSE,TRUE)</f>
        <v>0</v>
      </c>
      <c r="AO288" t="b">
        <f>IF(metadata!M288="",FALSE,TRUE)</f>
        <v>0</v>
      </c>
      <c r="AP288" t="b">
        <f>OR(AND(IF(metadata!N288="",FALSE,TRUE),OR(EXACT(metadata!N288,"not applicable"),EXACT(metadata!N288,"missing: not collected"),EXACT(metadata!N288,"missing: not provided"))),AND(IF(metadata!N288="",FALSE,IF(ISERROR(INT(metadata!N288)),FALSE,INT(metadata!N288)=metadata!N288)),metadata!N288&gt;0))</f>
        <v>0</v>
      </c>
      <c r="AQ288" t="b">
        <f>AND(IF(metadata!O288="",FALSE,TRUE),EXACT(metadata!O288,"Not applicable"))</f>
        <v>0</v>
      </c>
      <c r="AR288" t="b">
        <f>OR(AND(IF(metadata!P288="",FALSE,TRUE),OR(EXACT(metadata!P288,"not applicable"),EXACT(metadata!P288,"missing: not collected"),EXACT(metadata!P288,"missing: not provided"),EXACT(metadata!P288,"missing: restricted access"))),IF(metadata!P288="",FALSE,IF(ISERROR(INT(metadata!P288)),FALSE,INT(metadata!P288)=metadata!P288)))</f>
        <v>0</v>
      </c>
      <c r="AS288" t="b">
        <f>AND(IF(metadata!Q288="",FALSE,TRUE),EXACT(metadata!Q288,"Not applicable"))</f>
        <v>0</v>
      </c>
      <c r="AT288" t="b">
        <f>OR(AND(IF(metadata!R288="",FALSE,TRUE),OR(EXACT(metadata!R288,"not applicable"),EXACT(metadata!R288,"missing: not collected"),EXACT(metadata!R288,"missing: not provided"),EXACT(metadata!R288,"missing: restricted access"))),AND(IF(metadata!R288="",FALSE,ISNUMBER(VALUE(metadata!R288))),metadata!R288&gt;0))</f>
        <v>0</v>
      </c>
      <c r="AU288" t="b">
        <f>AND(IF(metadata!S288="",FALSE,TRUE),EXACT(metadata!S288,"missing: not provided"))</f>
        <v>0</v>
      </c>
    </row>
    <row r="289" spans="1:47" x14ac:dyDescent="0.2">
      <c r="A289" s="5" t="str">
        <f ca="1">IF(B289=" "," ",HYPERLINK(CONCATENATE("#metadata!",ADDRESS(INDEX($Y$2:$Y$1001,MATCH(ROWS($W$2:W289),$W$2:$W$1001,0),0),1)),INDEX($AB$2:$AB$1001,MATCH(ROWS($W$2:W289),$W$2:$W$1001,0),0)))</f>
        <v xml:space="preserve"> </v>
      </c>
      <c r="B289" s="4" t="str">
        <f ca="1">IF(OR(INDEX($X$2:$X$1001,MATCH(ROWS($W$2:W289),$W$2:$W$1001,0),1)&gt;=100000,INDEX($AD$1005:$AU$1005,1,MATCH(COLUMNS($AD$1006:AD1006),$AD$1006:$AU$1006,0))&gt;=100000), " ",IF(INDEX($AD$2:$AU$1001,MATCH(ROWS($W$2:W289),$W$2:$W$1001,0),MATCH(COLUMNS($AD$1006:AD1006),$AD$1006:$AU$1006,0)), HYPERLINK("#",""), HYPERLINK(CONCATENATE("#metadata!", ADDRESS(INDEX($Y$2:$Y$1001,MATCH(ROWS($W$2:W289),$W$2:$W$1001,0),0), INDEX($AD$1004:$AU$1004,1,MATCH(COLUMNS($AD$1006:AD1006),$AD$1006:$AU$1006,0)))),"Fix")))</f>
        <v xml:space="preserve"> </v>
      </c>
      <c r="C289" s="4" t="str">
        <f ca="1">IF(OR(INDEX($X$2:$X$1001,MATCH(ROWS($W$2:W289),$W$2:$W$1001,0),1)&gt;=100000,INDEX($AD$1005:$AU$1005,1,MATCH(COLUMNS($AD$1006:AE1006),$AD$1006:$AU$1006,0))&gt;=100000), " ",IF(INDEX($AD$2:$AU$1001,MATCH(ROWS($W$2:W289),$W$2:$W$1001,0),MATCH(COLUMNS($AD$1006:AE1006),$AD$1006:$AU$1006,0)), HYPERLINK("#",""), HYPERLINK(CONCATENATE("#metadata!", ADDRESS(INDEX($Y$2:$Y$1001,MATCH(ROWS($W$2:W289),$W$2:$W$1001,0),0), INDEX($AD$1004:$AU$1004,1,MATCH(COLUMNS($AD$1006:AE1006),$AD$1006:$AU$1006,0)))),"Fix")))</f>
        <v xml:space="preserve"> </v>
      </c>
      <c r="D289" s="4" t="str">
        <f ca="1">IF(OR(INDEX($X$2:$X$1001,MATCH(ROWS($W$2:W289),$W$2:$W$1001,0),1)&gt;=100000,INDEX($AD$1005:$AU$1005,1,MATCH(COLUMNS($AD$1006:AF1006),$AD$1006:$AU$1006,0))&gt;=100000), " ",IF(INDEX($AD$2:$AU$1001,MATCH(ROWS($W$2:W289),$W$2:$W$1001,0),MATCH(COLUMNS($AD$1006:AF1006),$AD$1006:$AU$1006,0)), HYPERLINK("#",""), HYPERLINK(CONCATENATE("#metadata!", ADDRESS(INDEX($Y$2:$Y$1001,MATCH(ROWS($W$2:W289),$W$2:$W$1001,0),0), INDEX($AD$1004:$AU$1004,1,MATCH(COLUMNS($AD$1006:AF1006),$AD$1006:$AU$1006,0)))),"Fix")))</f>
        <v xml:space="preserve"> </v>
      </c>
      <c r="E289" s="4" t="str">
        <f ca="1">IF(OR(INDEX($X$2:$X$1001,MATCH(ROWS($W$2:W289),$W$2:$W$1001,0),1)&gt;=100000,INDEX($AD$1005:$AU$1005,1,MATCH(COLUMNS($AD$1006:AG1006),$AD$1006:$AU$1006,0))&gt;=100000), " ",IF(INDEX($AD$2:$AU$1001,MATCH(ROWS($W$2:W289),$W$2:$W$1001,0),MATCH(COLUMNS($AD$1006:AG1006),$AD$1006:$AU$1006,0)), HYPERLINK("#",""), HYPERLINK(CONCATENATE("#metadata!", ADDRESS(INDEX($Y$2:$Y$1001,MATCH(ROWS($W$2:W289),$W$2:$W$1001,0),0), INDEX($AD$1004:$AU$1004,1,MATCH(COLUMNS($AD$1006:AG1006),$AD$1006:$AU$1006,0)))),"Fix")))</f>
        <v xml:space="preserve"> </v>
      </c>
      <c r="F289" s="4" t="str">
        <f ca="1">IF(OR(INDEX($X$2:$X$1001,MATCH(ROWS($W$2:W289),$W$2:$W$1001,0),1)&gt;=100000,INDEX($AD$1005:$AU$1005,1,MATCH(COLUMNS($AD$1006:AH1006),$AD$1006:$AU$1006,0))&gt;=100000), " ",IF(INDEX($AD$2:$AU$1001,MATCH(ROWS($W$2:W289),$W$2:$W$1001,0),MATCH(COLUMNS($AD$1006:AH1006),$AD$1006:$AU$1006,0)), HYPERLINK("#",""), HYPERLINK(CONCATENATE("#metadata!", ADDRESS(INDEX($Y$2:$Y$1001,MATCH(ROWS($W$2:W289),$W$2:$W$1001,0),0), INDEX($AD$1004:$AU$1004,1,MATCH(COLUMNS($AD$1006:AH1006),$AD$1006:$AU$1006,0)))),"Fix")))</f>
        <v xml:space="preserve"> </v>
      </c>
      <c r="G289" s="4" t="str">
        <f ca="1">IF(OR(INDEX($X$2:$X$1001,MATCH(ROWS($W$2:W289),$W$2:$W$1001,0),1)&gt;=100000,INDEX($AD$1005:$AU$1005,1,MATCH(COLUMNS($AD$1006:AI1006),$AD$1006:$AU$1006,0))&gt;=100000), " ",IF(INDEX($AD$2:$AU$1001,MATCH(ROWS($W$2:W289),$W$2:$W$1001,0),MATCH(COLUMNS($AD$1006:AI1006),$AD$1006:$AU$1006,0)), HYPERLINK("#",""), HYPERLINK(CONCATENATE("#metadata!", ADDRESS(INDEX($Y$2:$Y$1001,MATCH(ROWS($W$2:W289),$W$2:$W$1001,0),0), INDEX($AD$1004:$AU$1004,1,MATCH(COLUMNS($AD$1006:AI1006),$AD$1006:$AU$1006,0)))),"Fix")))</f>
        <v xml:space="preserve"> </v>
      </c>
      <c r="H289" s="4" t="str">
        <f ca="1">IF(OR(INDEX($X$2:$X$1001,MATCH(ROWS($W$2:W289),$W$2:$W$1001,0),1)&gt;=100000,INDEX($AD$1005:$AU$1005,1,MATCH(COLUMNS($AD$1006:AJ1006),$AD$1006:$AU$1006,0))&gt;=100000), " ",IF(INDEX($AD$2:$AU$1001,MATCH(ROWS($W$2:W289),$W$2:$W$1001,0),MATCH(COLUMNS($AD$1006:AJ1006),$AD$1006:$AU$1006,0)), HYPERLINK("#",""), HYPERLINK(CONCATENATE("#metadata!", ADDRESS(INDEX($Y$2:$Y$1001,MATCH(ROWS($W$2:W289),$W$2:$W$1001,0),0), INDEX($AD$1004:$AU$1004,1,MATCH(COLUMNS($AD$1006:AJ1006),$AD$1006:$AU$1006,0)))),"Fix")))</f>
        <v xml:space="preserve"> </v>
      </c>
      <c r="I289" s="4" t="str">
        <f ca="1">IF(OR(INDEX($X$2:$X$1001,MATCH(ROWS($W$2:W289),$W$2:$W$1001,0),1)&gt;=100000,INDEX($AD$1005:$AU$1005,1,MATCH(COLUMNS($AD$1006:AK1006),$AD$1006:$AU$1006,0))&gt;=100000), " ",IF(INDEX($AD$2:$AU$1001,MATCH(ROWS($W$2:W289),$W$2:$W$1001,0),MATCH(COLUMNS($AD$1006:AK1006),$AD$1006:$AU$1006,0)), HYPERLINK("#",""), HYPERLINK(CONCATENATE("#metadata!", ADDRESS(INDEX($Y$2:$Y$1001,MATCH(ROWS($W$2:W289),$W$2:$W$1001,0),0), INDEX($AD$1004:$AU$1004,1,MATCH(COLUMNS($AD$1006:AK1006),$AD$1006:$AU$1006,0)))),"Fix")))</f>
        <v xml:space="preserve"> </v>
      </c>
      <c r="J289" s="4" t="str">
        <f ca="1">IF(OR(INDEX($X$2:$X$1001,MATCH(ROWS($W$2:W289),$W$2:$W$1001,0),1)&gt;=100000,INDEX($AD$1005:$AU$1005,1,MATCH(COLUMNS($AD$1006:AL1006),$AD$1006:$AU$1006,0))&gt;=100000), " ",IF(INDEX($AD$2:$AU$1001,MATCH(ROWS($W$2:W289),$W$2:$W$1001,0),MATCH(COLUMNS($AD$1006:AL1006),$AD$1006:$AU$1006,0)), HYPERLINK("#",""), HYPERLINK(CONCATENATE("#metadata!", ADDRESS(INDEX($Y$2:$Y$1001,MATCH(ROWS($W$2:W289),$W$2:$W$1001,0),0), INDEX($AD$1004:$AU$1004,1,MATCH(COLUMNS($AD$1006:AL1006),$AD$1006:$AU$1006,0)))),"Fix")))</f>
        <v xml:space="preserve"> </v>
      </c>
      <c r="K289" s="4" t="str">
        <f ca="1">IF(OR(INDEX($X$2:$X$1001,MATCH(ROWS($W$2:W289),$W$2:$W$1001,0),1)&gt;=100000,INDEX($AD$1005:$AU$1005,1,MATCH(COLUMNS($AD$1006:AM1006),$AD$1006:$AU$1006,0))&gt;=100000), " ",IF(INDEX($AD$2:$AU$1001,MATCH(ROWS($W$2:W289),$W$2:$W$1001,0),MATCH(COLUMNS($AD$1006:AM1006),$AD$1006:$AU$1006,0)), HYPERLINK("#",""), HYPERLINK(CONCATENATE("#metadata!", ADDRESS(INDEX($Y$2:$Y$1001,MATCH(ROWS($W$2:W289),$W$2:$W$1001,0),0), INDEX($AD$1004:$AU$1004,1,MATCH(COLUMNS($AD$1006:AM1006),$AD$1006:$AU$1006,0)))),"Fix")))</f>
        <v xml:space="preserve"> </v>
      </c>
      <c r="L289" s="4" t="str">
        <f ca="1">IF(OR(INDEX($X$2:$X$1001,MATCH(ROWS($W$2:W289),$W$2:$W$1001,0),1)&gt;=100000,INDEX($AD$1005:$AU$1005,1,MATCH(COLUMNS($AD$1006:AN1006),$AD$1006:$AU$1006,0))&gt;=100000), " ",IF(INDEX($AD$2:$AU$1001,MATCH(ROWS($W$2:W289),$W$2:$W$1001,0),MATCH(COLUMNS($AD$1006:AN1006),$AD$1006:$AU$1006,0)), HYPERLINK("#",""), HYPERLINK(CONCATENATE("#metadata!", ADDRESS(INDEX($Y$2:$Y$1001,MATCH(ROWS($W$2:W289),$W$2:$W$1001,0),0), INDEX($AD$1004:$AU$1004,1,MATCH(COLUMNS($AD$1006:AN1006),$AD$1006:$AU$1006,0)))),"Fix")))</f>
        <v xml:space="preserve"> </v>
      </c>
      <c r="M289" s="4" t="str">
        <f ca="1">IF(OR(INDEX($X$2:$X$1001,MATCH(ROWS($W$2:W289),$W$2:$W$1001,0),1)&gt;=100000,INDEX($AD$1005:$AU$1005,1,MATCH(COLUMNS($AD$1006:AO1006),$AD$1006:$AU$1006,0))&gt;=100000), " ",IF(INDEX($AD$2:$AU$1001,MATCH(ROWS($W$2:W289),$W$2:$W$1001,0),MATCH(COLUMNS($AD$1006:AO1006),$AD$1006:$AU$1006,0)), HYPERLINK("#",""), HYPERLINK(CONCATENATE("#metadata!", ADDRESS(INDEX($Y$2:$Y$1001,MATCH(ROWS($W$2:W289),$W$2:$W$1001,0),0), INDEX($AD$1004:$AU$1004,1,MATCH(COLUMNS($AD$1006:AO1006),$AD$1006:$AU$1006,0)))),"Fix")))</f>
        <v xml:space="preserve"> </v>
      </c>
      <c r="N289" s="4" t="str">
        <f ca="1">IF(OR(INDEX($X$2:$X$1001,MATCH(ROWS($W$2:W289),$W$2:$W$1001,0),1)&gt;=100000,INDEX($AD$1005:$AU$1005,1,MATCH(COLUMNS($AD$1006:AP1006),$AD$1006:$AU$1006,0))&gt;=100000), " ",IF(INDEX($AD$2:$AU$1001,MATCH(ROWS($W$2:W289),$W$2:$W$1001,0),MATCH(COLUMNS($AD$1006:AP1006),$AD$1006:$AU$1006,0)), HYPERLINK("#",""), HYPERLINK(CONCATENATE("#metadata!", ADDRESS(INDEX($Y$2:$Y$1001,MATCH(ROWS($W$2:W289),$W$2:$W$1001,0),0), INDEX($AD$1004:$AU$1004,1,MATCH(COLUMNS($AD$1006:AP1006),$AD$1006:$AU$1006,0)))),"Fix")))</f>
        <v xml:space="preserve"> </v>
      </c>
      <c r="O289" s="4" t="str">
        <f ca="1">IF(OR(INDEX($X$2:$X$1001,MATCH(ROWS($W$2:W289),$W$2:$W$1001,0),1)&gt;=100000,INDEX($AD$1005:$AU$1005,1,MATCH(COLUMNS($AD$1006:AQ1006),$AD$1006:$AU$1006,0))&gt;=100000), " ",IF(INDEX($AD$2:$AU$1001,MATCH(ROWS($W$2:W289),$W$2:$W$1001,0),MATCH(COLUMNS($AD$1006:AQ1006),$AD$1006:$AU$1006,0)), HYPERLINK("#",""), HYPERLINK(CONCATENATE("#metadata!", ADDRESS(INDEX($Y$2:$Y$1001,MATCH(ROWS($W$2:W289),$W$2:$W$1001,0),0), INDEX($AD$1004:$AU$1004,1,MATCH(COLUMNS($AD$1006:AQ1006),$AD$1006:$AU$1006,0)))),"Fix")))</f>
        <v xml:space="preserve"> </v>
      </c>
      <c r="P289" s="4" t="str">
        <f ca="1">IF(OR(INDEX($X$2:$X$1001,MATCH(ROWS($W$2:W289),$W$2:$W$1001,0),1)&gt;=100000,INDEX($AD$1005:$AU$1005,1,MATCH(COLUMNS($AD$1006:AR1006),$AD$1006:$AU$1006,0))&gt;=100000), " ",IF(INDEX($AD$2:$AU$1001,MATCH(ROWS($W$2:W289),$W$2:$W$1001,0),MATCH(COLUMNS($AD$1006:AR1006),$AD$1006:$AU$1006,0)), HYPERLINK("#",""), HYPERLINK(CONCATENATE("#metadata!", ADDRESS(INDEX($Y$2:$Y$1001,MATCH(ROWS($W$2:W289),$W$2:$W$1001,0),0), INDEX($AD$1004:$AU$1004,1,MATCH(COLUMNS($AD$1006:AR1006),$AD$1006:$AU$1006,0)))),"Fix")))</f>
        <v xml:space="preserve"> </v>
      </c>
      <c r="Q289" s="4" t="str">
        <f ca="1">IF(OR(INDEX($X$2:$X$1001,MATCH(ROWS($W$2:W289),$W$2:$W$1001,0),1)&gt;=100000,INDEX($AD$1005:$AU$1005,1,MATCH(COLUMNS($AD$1006:AS1006),$AD$1006:$AU$1006,0))&gt;=100000), " ",IF(INDEX($AD$2:$AU$1001,MATCH(ROWS($W$2:W289),$W$2:$W$1001,0),MATCH(COLUMNS($AD$1006:AS1006),$AD$1006:$AU$1006,0)), HYPERLINK("#",""), HYPERLINK(CONCATENATE("#metadata!", ADDRESS(INDEX($Y$2:$Y$1001,MATCH(ROWS($W$2:W289),$W$2:$W$1001,0),0), INDEX($AD$1004:$AU$1004,1,MATCH(COLUMNS($AD$1006:AS1006),$AD$1006:$AU$1006,0)))),"Fix")))</f>
        <v xml:space="preserve"> </v>
      </c>
      <c r="R289" s="4" t="str">
        <f ca="1">IF(OR(INDEX($X$2:$X$1001,MATCH(ROWS($W$2:W289),$W$2:$W$1001,0),1)&gt;=100000,INDEX($AD$1005:$AU$1005,1,MATCH(COLUMNS($AD$1006:AT1006),$AD$1006:$AU$1006,0))&gt;=100000), " ",IF(INDEX($AD$2:$AU$1001,MATCH(ROWS($W$2:W289),$W$2:$W$1001,0),MATCH(COLUMNS($AD$1006:AT1006),$AD$1006:$AU$1006,0)), HYPERLINK("#",""), HYPERLINK(CONCATENATE("#metadata!", ADDRESS(INDEX($Y$2:$Y$1001,MATCH(ROWS($W$2:W289),$W$2:$W$1001,0),0), INDEX($AD$1004:$AU$1004,1,MATCH(COLUMNS($AD$1006:AT1006),$AD$1006:$AU$1006,0)))),"Fix")))</f>
        <v xml:space="preserve"> </v>
      </c>
      <c r="S289" s="4" t="str">
        <f ca="1">IF(OR(INDEX($X$2:$X$1001,MATCH(ROWS($W$2:W289),$W$2:$W$1001,0),1)&gt;=100000,INDEX($AD$1005:$AU$1005,1,MATCH(COLUMNS($AD$1006:AU1006),$AD$1006:$AU$1006,0))&gt;=100000), " ",IF(INDEX($AD$2:$AU$1001,MATCH(ROWS($W$2:W289),$W$2:$W$1001,0),MATCH(COLUMNS($AD$1006:AU1006),$AD$1006:$AU$1006,0)), HYPERLINK("#",""), HYPERLINK(CONCATENATE("#metadata!", ADDRESS(INDEX($Y$2:$Y$1001,MATCH(ROWS($W$2:W289),$W$2:$W$1001,0),0), INDEX($AD$1004:$AU$1004,1,MATCH(COLUMNS($AD$1006:AU1006),$AD$1006:$AU$1006,0)))),"Fix")))</f>
        <v xml:space="preserve"> </v>
      </c>
      <c r="W289">
        <v>288</v>
      </c>
      <c r="X289">
        <v>100289</v>
      </c>
      <c r="Y289">
        <v>289</v>
      </c>
      <c r="Z289" t="b">
        <f t="shared" si="4"/>
        <v>1</v>
      </c>
      <c r="AA289" t="b">
        <f>COUNTBLANK(metadata!B289:S289)=COLUMNS(metadata!B289:S289)</f>
        <v>1</v>
      </c>
      <c r="AB289" t="str">
        <v/>
      </c>
      <c r="AD289" t="b">
        <f ca="1">AND(IF(metadata!B289="",FALSE,TRUE),COUNTIF(metadata!B:B, metadata!B289) = 1,NOT(ISERROR(SUMPRODUCT(SEARCH(MID(metadata!B289,ROW(INDIRECT("1:"&amp;LEN(metadata!B289))), 1),"0123456789abcdefghijklmnopqrstuvwxyzABCDEFGHIJKLMNOPQRSTUVWXYZ.")))))</f>
        <v>0</v>
      </c>
      <c r="AE289" t="b">
        <f>OR(AND(IF(metadata!C289="",FALSE,TRUE),OR(EXACT(metadata!C289,"not applicable"),EXACT(metadata!C289,"missing: not collected"),EXACT(metadata!C289,"missing: not provided"),EXACT(metadata!C289,"missing: restricted access"))),AND(IF(metadata!C289="",FALSE,ISNUMBER(VALUE(metadata!C289))),metadata!C289&gt;0))</f>
        <v>0</v>
      </c>
      <c r="AF289" t="b">
        <f>AND(IF(metadata!D289="",FALSE,TRUE),EXACT(metadata!D289,"missing: not provided"))</f>
        <v>0</v>
      </c>
      <c r="AG289" t="b">
        <f>AND(IF(metadata!E289="",FALSE,TRUE),EXACT(metadata!E289,"Host-associated"))</f>
        <v>0</v>
      </c>
      <c r="AH289" t="b">
        <f>AND(IF(metadata!F289="",FALSE,TRUE),OR(EXACT(metadata!F289,"Animal"),EXACT(metadata!F289,"Fungus"),EXACT(metadata!F289,"Plant")))</f>
        <v>0</v>
      </c>
      <c r="AI289" t="b">
        <f>AND(IF(metadata!G289="",FALSE,TRUE),OR(EXACT(metadata!G289,"Plant secretion"),EXACT(metadata!G289,"Plant rhizosphere"),EXACT(metadata!G289,"Plant surface"),EXACT(metadata!G289,"Plant corpus"),EXACT(metadata!G289,"Fungus surface"),EXACT(metadata!G289,"Fungus corpus"),EXACT(metadata!G289,"Animal surface"),EXACT(metadata!G289,"Animal proximal gut"),EXACT(metadata!G289,"Animal corpus"),EXACT(metadata!G289,"Animal distal gut"),EXACT(metadata!G289,"Animal secretion")))</f>
        <v>0</v>
      </c>
      <c r="AJ289" t="b">
        <f>OR(AND(IF(metadata!H289="",FALSE,TRUE),OR(EXACT(metadata!H289,"missing: not collected"),EXACT(metadata!H289,"missing: not provided"),EXACT(metadata!H289,"missing: restricted access"))),AND(IF(metadata!H289="",FALSE,TRUE),OR(EXACT(metadata!H289,"organism-associated habitat"),EXACT(metadata!H289,"plant-associated habitat"),EXACT(metadata!H289,"animal-associated habitat"),EXACT(metadata!H289,"insecta-associated habitat"),EXACT(metadata!H289,"mammalia-associated habitat"),EXACT(metadata!H289,"human-associated habitat"),EXACT(metadata!H289,"livestock-associated habitat"))))</f>
        <v>0</v>
      </c>
      <c r="AK289" t="b">
        <f>AND(IF(metadata!I289="",FALSE,TRUE),EXACT(metadata!I289,"host-associated"))</f>
        <v>0</v>
      </c>
      <c r="AL289" t="b">
        <f>OR(AND(IF(metadata!J289="",FALSE,TRUE),OR(EXACT(metadata!J289,"not applicable"),EXACT(metadata!J289,"missing: not collected"),EXACT(metadata!J289,"missing: not provided"),EXACT(metadata!J289,"missing: restricted access"))),AND(IF(metadata!J289="",FALSE,ISNUMBER(VALUE(metadata!J289))),metadata!J289&gt;0))</f>
        <v>0</v>
      </c>
      <c r="AM289" t="b">
        <f>AND(IF(metadata!K289="",FALSE,TRUE),EXACT(metadata!K289,"missing: not provided"))</f>
        <v>0</v>
      </c>
      <c r="AN289" t="b">
        <f>IF(metadata!L289="",FALSE,TRUE)</f>
        <v>0</v>
      </c>
      <c r="AO289" t="b">
        <f>IF(metadata!M289="",FALSE,TRUE)</f>
        <v>0</v>
      </c>
      <c r="AP289" t="b">
        <f>OR(AND(IF(metadata!N289="",FALSE,TRUE),OR(EXACT(metadata!N289,"not applicable"),EXACT(metadata!N289,"missing: not collected"),EXACT(metadata!N289,"missing: not provided"))),AND(IF(metadata!N289="",FALSE,IF(ISERROR(INT(metadata!N289)),FALSE,INT(metadata!N289)=metadata!N289)),metadata!N289&gt;0))</f>
        <v>0</v>
      </c>
      <c r="AQ289" t="b">
        <f>AND(IF(metadata!O289="",FALSE,TRUE),EXACT(metadata!O289,"Not applicable"))</f>
        <v>0</v>
      </c>
      <c r="AR289" t="b">
        <f>OR(AND(IF(metadata!P289="",FALSE,TRUE),OR(EXACT(metadata!P289,"not applicable"),EXACT(metadata!P289,"missing: not collected"),EXACT(metadata!P289,"missing: not provided"),EXACT(metadata!P289,"missing: restricted access"))),IF(metadata!P289="",FALSE,IF(ISERROR(INT(metadata!P289)),FALSE,INT(metadata!P289)=metadata!P289)))</f>
        <v>0</v>
      </c>
      <c r="AS289" t="b">
        <f>AND(IF(metadata!Q289="",FALSE,TRUE),EXACT(metadata!Q289,"Not applicable"))</f>
        <v>0</v>
      </c>
      <c r="AT289" t="b">
        <f>OR(AND(IF(metadata!R289="",FALSE,TRUE),OR(EXACT(metadata!R289,"not applicable"),EXACT(metadata!R289,"missing: not collected"),EXACT(metadata!R289,"missing: not provided"),EXACT(metadata!R289,"missing: restricted access"))),AND(IF(metadata!R289="",FALSE,ISNUMBER(VALUE(metadata!R289))),metadata!R289&gt;0))</f>
        <v>0</v>
      </c>
      <c r="AU289" t="b">
        <f>AND(IF(metadata!S289="",FALSE,TRUE),EXACT(metadata!S289,"missing: not provided"))</f>
        <v>0</v>
      </c>
    </row>
    <row r="290" spans="1:47" x14ac:dyDescent="0.2">
      <c r="A290" s="5" t="str">
        <f ca="1">IF(B290=" "," ",HYPERLINK(CONCATENATE("#metadata!",ADDRESS(INDEX($Y$2:$Y$1001,MATCH(ROWS($W$2:W290),$W$2:$W$1001,0),0),1)),INDEX($AB$2:$AB$1001,MATCH(ROWS($W$2:W290),$W$2:$W$1001,0),0)))</f>
        <v xml:space="preserve"> </v>
      </c>
      <c r="B290" s="4" t="str">
        <f ca="1">IF(OR(INDEX($X$2:$X$1001,MATCH(ROWS($W$2:W290),$W$2:$W$1001,0),1)&gt;=100000,INDEX($AD$1005:$AU$1005,1,MATCH(COLUMNS($AD$1006:AD1006),$AD$1006:$AU$1006,0))&gt;=100000), " ",IF(INDEX($AD$2:$AU$1001,MATCH(ROWS($W$2:W290),$W$2:$W$1001,0),MATCH(COLUMNS($AD$1006:AD1006),$AD$1006:$AU$1006,0)), HYPERLINK("#",""), HYPERLINK(CONCATENATE("#metadata!", ADDRESS(INDEX($Y$2:$Y$1001,MATCH(ROWS($W$2:W290),$W$2:$W$1001,0),0), INDEX($AD$1004:$AU$1004,1,MATCH(COLUMNS($AD$1006:AD1006),$AD$1006:$AU$1006,0)))),"Fix")))</f>
        <v xml:space="preserve"> </v>
      </c>
      <c r="C290" s="4" t="str">
        <f ca="1">IF(OR(INDEX($X$2:$X$1001,MATCH(ROWS($W$2:W290),$W$2:$W$1001,0),1)&gt;=100000,INDEX($AD$1005:$AU$1005,1,MATCH(COLUMNS($AD$1006:AE1006),$AD$1006:$AU$1006,0))&gt;=100000), " ",IF(INDEX($AD$2:$AU$1001,MATCH(ROWS($W$2:W290),$W$2:$W$1001,0),MATCH(COLUMNS($AD$1006:AE1006),$AD$1006:$AU$1006,0)), HYPERLINK("#",""), HYPERLINK(CONCATENATE("#metadata!", ADDRESS(INDEX($Y$2:$Y$1001,MATCH(ROWS($W$2:W290),$W$2:$W$1001,0),0), INDEX($AD$1004:$AU$1004,1,MATCH(COLUMNS($AD$1006:AE1006),$AD$1006:$AU$1006,0)))),"Fix")))</f>
        <v xml:space="preserve"> </v>
      </c>
      <c r="D290" s="4" t="str">
        <f ca="1">IF(OR(INDEX($X$2:$X$1001,MATCH(ROWS($W$2:W290),$W$2:$W$1001,0),1)&gt;=100000,INDEX($AD$1005:$AU$1005,1,MATCH(COLUMNS($AD$1006:AF1006),$AD$1006:$AU$1006,0))&gt;=100000), " ",IF(INDEX($AD$2:$AU$1001,MATCH(ROWS($W$2:W290),$W$2:$W$1001,0),MATCH(COLUMNS($AD$1006:AF1006),$AD$1006:$AU$1006,0)), HYPERLINK("#",""), HYPERLINK(CONCATENATE("#metadata!", ADDRESS(INDEX($Y$2:$Y$1001,MATCH(ROWS($W$2:W290),$W$2:$W$1001,0),0), INDEX($AD$1004:$AU$1004,1,MATCH(COLUMNS($AD$1006:AF1006),$AD$1006:$AU$1006,0)))),"Fix")))</f>
        <v xml:space="preserve"> </v>
      </c>
      <c r="E290" s="4" t="str">
        <f ca="1">IF(OR(INDEX($X$2:$X$1001,MATCH(ROWS($W$2:W290),$W$2:$W$1001,0),1)&gt;=100000,INDEX($AD$1005:$AU$1005,1,MATCH(COLUMNS($AD$1006:AG1006),$AD$1006:$AU$1006,0))&gt;=100000), " ",IF(INDEX($AD$2:$AU$1001,MATCH(ROWS($W$2:W290),$W$2:$W$1001,0),MATCH(COLUMNS($AD$1006:AG1006),$AD$1006:$AU$1006,0)), HYPERLINK("#",""), HYPERLINK(CONCATENATE("#metadata!", ADDRESS(INDEX($Y$2:$Y$1001,MATCH(ROWS($W$2:W290),$W$2:$W$1001,0),0), INDEX($AD$1004:$AU$1004,1,MATCH(COLUMNS($AD$1006:AG1006),$AD$1006:$AU$1006,0)))),"Fix")))</f>
        <v xml:space="preserve"> </v>
      </c>
      <c r="F290" s="4" t="str">
        <f ca="1">IF(OR(INDEX($X$2:$X$1001,MATCH(ROWS($W$2:W290),$W$2:$W$1001,0),1)&gt;=100000,INDEX($AD$1005:$AU$1005,1,MATCH(COLUMNS($AD$1006:AH1006),$AD$1006:$AU$1006,0))&gt;=100000), " ",IF(INDEX($AD$2:$AU$1001,MATCH(ROWS($W$2:W290),$W$2:$W$1001,0),MATCH(COLUMNS($AD$1006:AH1006),$AD$1006:$AU$1006,0)), HYPERLINK("#",""), HYPERLINK(CONCATENATE("#metadata!", ADDRESS(INDEX($Y$2:$Y$1001,MATCH(ROWS($W$2:W290),$W$2:$W$1001,0),0), INDEX($AD$1004:$AU$1004,1,MATCH(COLUMNS($AD$1006:AH1006),$AD$1006:$AU$1006,0)))),"Fix")))</f>
        <v xml:space="preserve"> </v>
      </c>
      <c r="G290" s="4" t="str">
        <f ca="1">IF(OR(INDEX($X$2:$X$1001,MATCH(ROWS($W$2:W290),$W$2:$W$1001,0),1)&gt;=100000,INDEX($AD$1005:$AU$1005,1,MATCH(COLUMNS($AD$1006:AI1006),$AD$1006:$AU$1006,0))&gt;=100000), " ",IF(INDEX($AD$2:$AU$1001,MATCH(ROWS($W$2:W290),$W$2:$W$1001,0),MATCH(COLUMNS($AD$1006:AI1006),$AD$1006:$AU$1006,0)), HYPERLINK("#",""), HYPERLINK(CONCATENATE("#metadata!", ADDRESS(INDEX($Y$2:$Y$1001,MATCH(ROWS($W$2:W290),$W$2:$W$1001,0),0), INDEX($AD$1004:$AU$1004,1,MATCH(COLUMNS($AD$1006:AI1006),$AD$1006:$AU$1006,0)))),"Fix")))</f>
        <v xml:space="preserve"> </v>
      </c>
      <c r="H290" s="4" t="str">
        <f ca="1">IF(OR(INDEX($X$2:$X$1001,MATCH(ROWS($W$2:W290),$W$2:$W$1001,0),1)&gt;=100000,INDEX($AD$1005:$AU$1005,1,MATCH(COLUMNS($AD$1006:AJ1006),$AD$1006:$AU$1006,0))&gt;=100000), " ",IF(INDEX($AD$2:$AU$1001,MATCH(ROWS($W$2:W290),$W$2:$W$1001,0),MATCH(COLUMNS($AD$1006:AJ1006),$AD$1006:$AU$1006,0)), HYPERLINK("#",""), HYPERLINK(CONCATENATE("#metadata!", ADDRESS(INDEX($Y$2:$Y$1001,MATCH(ROWS($W$2:W290),$W$2:$W$1001,0),0), INDEX($AD$1004:$AU$1004,1,MATCH(COLUMNS($AD$1006:AJ1006),$AD$1006:$AU$1006,0)))),"Fix")))</f>
        <v xml:space="preserve"> </v>
      </c>
      <c r="I290" s="4" t="str">
        <f ca="1">IF(OR(INDEX($X$2:$X$1001,MATCH(ROWS($W$2:W290),$W$2:$W$1001,0),1)&gt;=100000,INDEX($AD$1005:$AU$1005,1,MATCH(COLUMNS($AD$1006:AK1006),$AD$1006:$AU$1006,0))&gt;=100000), " ",IF(INDEX($AD$2:$AU$1001,MATCH(ROWS($W$2:W290),$W$2:$W$1001,0),MATCH(COLUMNS($AD$1006:AK1006),$AD$1006:$AU$1006,0)), HYPERLINK("#",""), HYPERLINK(CONCATENATE("#metadata!", ADDRESS(INDEX($Y$2:$Y$1001,MATCH(ROWS($W$2:W290),$W$2:$W$1001,0),0), INDEX($AD$1004:$AU$1004,1,MATCH(COLUMNS($AD$1006:AK1006),$AD$1006:$AU$1006,0)))),"Fix")))</f>
        <v xml:space="preserve"> </v>
      </c>
      <c r="J290" s="4" t="str">
        <f ca="1">IF(OR(INDEX($X$2:$X$1001,MATCH(ROWS($W$2:W290),$W$2:$W$1001,0),1)&gt;=100000,INDEX($AD$1005:$AU$1005,1,MATCH(COLUMNS($AD$1006:AL1006),$AD$1006:$AU$1006,0))&gt;=100000), " ",IF(INDEX($AD$2:$AU$1001,MATCH(ROWS($W$2:W290),$W$2:$W$1001,0),MATCH(COLUMNS($AD$1006:AL1006),$AD$1006:$AU$1006,0)), HYPERLINK("#",""), HYPERLINK(CONCATENATE("#metadata!", ADDRESS(INDEX($Y$2:$Y$1001,MATCH(ROWS($W$2:W290),$W$2:$W$1001,0),0), INDEX($AD$1004:$AU$1004,1,MATCH(COLUMNS($AD$1006:AL1006),$AD$1006:$AU$1006,0)))),"Fix")))</f>
        <v xml:space="preserve"> </v>
      </c>
      <c r="K290" s="4" t="str">
        <f ca="1">IF(OR(INDEX($X$2:$X$1001,MATCH(ROWS($W$2:W290),$W$2:$W$1001,0),1)&gt;=100000,INDEX($AD$1005:$AU$1005,1,MATCH(COLUMNS($AD$1006:AM1006),$AD$1006:$AU$1006,0))&gt;=100000), " ",IF(INDEX($AD$2:$AU$1001,MATCH(ROWS($W$2:W290),$W$2:$W$1001,0),MATCH(COLUMNS($AD$1006:AM1006),$AD$1006:$AU$1006,0)), HYPERLINK("#",""), HYPERLINK(CONCATENATE("#metadata!", ADDRESS(INDEX($Y$2:$Y$1001,MATCH(ROWS($W$2:W290),$W$2:$W$1001,0),0), INDEX($AD$1004:$AU$1004,1,MATCH(COLUMNS($AD$1006:AM1006),$AD$1006:$AU$1006,0)))),"Fix")))</f>
        <v xml:space="preserve"> </v>
      </c>
      <c r="L290" s="4" t="str">
        <f ca="1">IF(OR(INDEX($X$2:$X$1001,MATCH(ROWS($W$2:W290),$W$2:$W$1001,0),1)&gt;=100000,INDEX($AD$1005:$AU$1005,1,MATCH(COLUMNS($AD$1006:AN1006),$AD$1006:$AU$1006,0))&gt;=100000), " ",IF(INDEX($AD$2:$AU$1001,MATCH(ROWS($W$2:W290),$W$2:$W$1001,0),MATCH(COLUMNS($AD$1006:AN1006),$AD$1006:$AU$1006,0)), HYPERLINK("#",""), HYPERLINK(CONCATENATE("#metadata!", ADDRESS(INDEX($Y$2:$Y$1001,MATCH(ROWS($W$2:W290),$W$2:$W$1001,0),0), INDEX($AD$1004:$AU$1004,1,MATCH(COLUMNS($AD$1006:AN1006),$AD$1006:$AU$1006,0)))),"Fix")))</f>
        <v xml:space="preserve"> </v>
      </c>
      <c r="M290" s="4" t="str">
        <f ca="1">IF(OR(INDEX($X$2:$X$1001,MATCH(ROWS($W$2:W290),$W$2:$W$1001,0),1)&gt;=100000,INDEX($AD$1005:$AU$1005,1,MATCH(COLUMNS($AD$1006:AO1006),$AD$1006:$AU$1006,0))&gt;=100000), " ",IF(INDEX($AD$2:$AU$1001,MATCH(ROWS($W$2:W290),$W$2:$W$1001,0),MATCH(COLUMNS($AD$1006:AO1006),$AD$1006:$AU$1006,0)), HYPERLINK("#",""), HYPERLINK(CONCATENATE("#metadata!", ADDRESS(INDEX($Y$2:$Y$1001,MATCH(ROWS($W$2:W290),$W$2:$W$1001,0),0), INDEX($AD$1004:$AU$1004,1,MATCH(COLUMNS($AD$1006:AO1006),$AD$1006:$AU$1006,0)))),"Fix")))</f>
        <v xml:space="preserve"> </v>
      </c>
      <c r="N290" s="4" t="str">
        <f ca="1">IF(OR(INDEX($X$2:$X$1001,MATCH(ROWS($W$2:W290),$W$2:$W$1001,0),1)&gt;=100000,INDEX($AD$1005:$AU$1005,1,MATCH(COLUMNS($AD$1006:AP1006),$AD$1006:$AU$1006,0))&gt;=100000), " ",IF(INDEX($AD$2:$AU$1001,MATCH(ROWS($W$2:W290),$W$2:$W$1001,0),MATCH(COLUMNS($AD$1006:AP1006),$AD$1006:$AU$1006,0)), HYPERLINK("#",""), HYPERLINK(CONCATENATE("#metadata!", ADDRESS(INDEX($Y$2:$Y$1001,MATCH(ROWS($W$2:W290),$W$2:$W$1001,0),0), INDEX($AD$1004:$AU$1004,1,MATCH(COLUMNS($AD$1006:AP1006),$AD$1006:$AU$1006,0)))),"Fix")))</f>
        <v xml:space="preserve"> </v>
      </c>
      <c r="O290" s="4" t="str">
        <f ca="1">IF(OR(INDEX($X$2:$X$1001,MATCH(ROWS($W$2:W290),$W$2:$W$1001,0),1)&gt;=100000,INDEX($AD$1005:$AU$1005,1,MATCH(COLUMNS($AD$1006:AQ1006),$AD$1006:$AU$1006,0))&gt;=100000), " ",IF(INDEX($AD$2:$AU$1001,MATCH(ROWS($W$2:W290),$W$2:$W$1001,0),MATCH(COLUMNS($AD$1006:AQ1006),$AD$1006:$AU$1006,0)), HYPERLINK("#",""), HYPERLINK(CONCATENATE("#metadata!", ADDRESS(INDEX($Y$2:$Y$1001,MATCH(ROWS($W$2:W290),$W$2:$W$1001,0),0), INDEX($AD$1004:$AU$1004,1,MATCH(COLUMNS($AD$1006:AQ1006),$AD$1006:$AU$1006,0)))),"Fix")))</f>
        <v xml:space="preserve"> </v>
      </c>
      <c r="P290" s="4" t="str">
        <f ca="1">IF(OR(INDEX($X$2:$X$1001,MATCH(ROWS($W$2:W290),$W$2:$W$1001,0),1)&gt;=100000,INDEX($AD$1005:$AU$1005,1,MATCH(COLUMNS($AD$1006:AR1006),$AD$1006:$AU$1006,0))&gt;=100000), " ",IF(INDEX($AD$2:$AU$1001,MATCH(ROWS($W$2:W290),$W$2:$W$1001,0),MATCH(COLUMNS($AD$1006:AR1006),$AD$1006:$AU$1006,0)), HYPERLINK("#",""), HYPERLINK(CONCATENATE("#metadata!", ADDRESS(INDEX($Y$2:$Y$1001,MATCH(ROWS($W$2:W290),$W$2:$W$1001,0),0), INDEX($AD$1004:$AU$1004,1,MATCH(COLUMNS($AD$1006:AR1006),$AD$1006:$AU$1006,0)))),"Fix")))</f>
        <v xml:space="preserve"> </v>
      </c>
      <c r="Q290" s="4" t="str">
        <f ca="1">IF(OR(INDEX($X$2:$X$1001,MATCH(ROWS($W$2:W290),$W$2:$W$1001,0),1)&gt;=100000,INDEX($AD$1005:$AU$1005,1,MATCH(COLUMNS($AD$1006:AS1006),$AD$1006:$AU$1006,0))&gt;=100000), " ",IF(INDEX($AD$2:$AU$1001,MATCH(ROWS($W$2:W290),$W$2:$W$1001,0),MATCH(COLUMNS($AD$1006:AS1006),$AD$1006:$AU$1006,0)), HYPERLINK("#",""), HYPERLINK(CONCATENATE("#metadata!", ADDRESS(INDEX($Y$2:$Y$1001,MATCH(ROWS($W$2:W290),$W$2:$W$1001,0),0), INDEX($AD$1004:$AU$1004,1,MATCH(COLUMNS($AD$1006:AS1006),$AD$1006:$AU$1006,0)))),"Fix")))</f>
        <v xml:space="preserve"> </v>
      </c>
      <c r="R290" s="4" t="str">
        <f ca="1">IF(OR(INDEX($X$2:$X$1001,MATCH(ROWS($W$2:W290),$W$2:$W$1001,0),1)&gt;=100000,INDEX($AD$1005:$AU$1005,1,MATCH(COLUMNS($AD$1006:AT1006),$AD$1006:$AU$1006,0))&gt;=100000), " ",IF(INDEX($AD$2:$AU$1001,MATCH(ROWS($W$2:W290),$W$2:$W$1001,0),MATCH(COLUMNS($AD$1006:AT1006),$AD$1006:$AU$1006,0)), HYPERLINK("#",""), HYPERLINK(CONCATENATE("#metadata!", ADDRESS(INDEX($Y$2:$Y$1001,MATCH(ROWS($W$2:W290),$W$2:$W$1001,0),0), INDEX($AD$1004:$AU$1004,1,MATCH(COLUMNS($AD$1006:AT1006),$AD$1006:$AU$1006,0)))),"Fix")))</f>
        <v xml:space="preserve"> </v>
      </c>
      <c r="S290" s="4" t="str">
        <f ca="1">IF(OR(INDEX($X$2:$X$1001,MATCH(ROWS($W$2:W290),$W$2:$W$1001,0),1)&gt;=100000,INDEX($AD$1005:$AU$1005,1,MATCH(COLUMNS($AD$1006:AU1006),$AD$1006:$AU$1006,0))&gt;=100000), " ",IF(INDEX($AD$2:$AU$1001,MATCH(ROWS($W$2:W290),$W$2:$W$1001,0),MATCH(COLUMNS($AD$1006:AU1006),$AD$1006:$AU$1006,0)), HYPERLINK("#",""), HYPERLINK(CONCATENATE("#metadata!", ADDRESS(INDEX($Y$2:$Y$1001,MATCH(ROWS($W$2:W290),$W$2:$W$1001,0),0), INDEX($AD$1004:$AU$1004,1,MATCH(COLUMNS($AD$1006:AU1006),$AD$1006:$AU$1006,0)))),"Fix")))</f>
        <v xml:space="preserve"> </v>
      </c>
      <c r="W290">
        <v>289</v>
      </c>
      <c r="X290">
        <v>100290</v>
      </c>
      <c r="Y290">
        <v>290</v>
      </c>
      <c r="Z290" t="b">
        <f t="shared" si="4"/>
        <v>1</v>
      </c>
      <c r="AA290" t="b">
        <f>COUNTBLANK(metadata!B290:S290)=COLUMNS(metadata!B290:S290)</f>
        <v>1</v>
      </c>
      <c r="AB290" t="str">
        <v/>
      </c>
      <c r="AD290" t="b">
        <f ca="1">AND(IF(metadata!B290="",FALSE,TRUE),COUNTIF(metadata!B:B, metadata!B290) = 1,NOT(ISERROR(SUMPRODUCT(SEARCH(MID(metadata!B290,ROW(INDIRECT("1:"&amp;LEN(metadata!B290))), 1),"0123456789abcdefghijklmnopqrstuvwxyzABCDEFGHIJKLMNOPQRSTUVWXYZ.")))))</f>
        <v>0</v>
      </c>
      <c r="AE290" t="b">
        <f>OR(AND(IF(metadata!C290="",FALSE,TRUE),OR(EXACT(metadata!C290,"not applicable"),EXACT(metadata!C290,"missing: not collected"),EXACT(metadata!C290,"missing: not provided"),EXACT(metadata!C290,"missing: restricted access"))),AND(IF(metadata!C290="",FALSE,ISNUMBER(VALUE(metadata!C290))),metadata!C290&gt;0))</f>
        <v>0</v>
      </c>
      <c r="AF290" t="b">
        <f>AND(IF(metadata!D290="",FALSE,TRUE),EXACT(metadata!D290,"missing: not provided"))</f>
        <v>0</v>
      </c>
      <c r="AG290" t="b">
        <f>AND(IF(metadata!E290="",FALSE,TRUE),EXACT(metadata!E290,"Host-associated"))</f>
        <v>0</v>
      </c>
      <c r="AH290" t="b">
        <f>AND(IF(metadata!F290="",FALSE,TRUE),OR(EXACT(metadata!F290,"Animal"),EXACT(metadata!F290,"Fungus"),EXACT(metadata!F290,"Plant")))</f>
        <v>0</v>
      </c>
      <c r="AI290" t="b">
        <f>AND(IF(metadata!G290="",FALSE,TRUE),OR(EXACT(metadata!G290,"Plant secretion"),EXACT(metadata!G290,"Plant rhizosphere"),EXACT(metadata!G290,"Plant surface"),EXACT(metadata!G290,"Plant corpus"),EXACT(metadata!G290,"Fungus surface"),EXACT(metadata!G290,"Fungus corpus"),EXACT(metadata!G290,"Animal surface"),EXACT(metadata!G290,"Animal proximal gut"),EXACT(metadata!G290,"Animal corpus"),EXACT(metadata!G290,"Animal distal gut"),EXACT(metadata!G290,"Animal secretion")))</f>
        <v>0</v>
      </c>
      <c r="AJ290" t="b">
        <f>OR(AND(IF(metadata!H290="",FALSE,TRUE),OR(EXACT(metadata!H290,"missing: not collected"),EXACT(metadata!H290,"missing: not provided"),EXACT(metadata!H290,"missing: restricted access"))),AND(IF(metadata!H290="",FALSE,TRUE),OR(EXACT(metadata!H290,"organism-associated habitat"),EXACT(metadata!H290,"plant-associated habitat"),EXACT(metadata!H290,"animal-associated habitat"),EXACT(metadata!H290,"insecta-associated habitat"),EXACT(metadata!H290,"mammalia-associated habitat"),EXACT(metadata!H290,"human-associated habitat"),EXACT(metadata!H290,"livestock-associated habitat"))))</f>
        <v>0</v>
      </c>
      <c r="AK290" t="b">
        <f>AND(IF(metadata!I290="",FALSE,TRUE),EXACT(metadata!I290,"host-associated"))</f>
        <v>0</v>
      </c>
      <c r="AL290" t="b">
        <f>OR(AND(IF(metadata!J290="",FALSE,TRUE),OR(EXACT(metadata!J290,"not applicable"),EXACT(metadata!J290,"missing: not collected"),EXACT(metadata!J290,"missing: not provided"),EXACT(metadata!J290,"missing: restricted access"))),AND(IF(metadata!J290="",FALSE,ISNUMBER(VALUE(metadata!J290))),metadata!J290&gt;0))</f>
        <v>0</v>
      </c>
      <c r="AM290" t="b">
        <f>AND(IF(metadata!K290="",FALSE,TRUE),EXACT(metadata!K290,"missing: not provided"))</f>
        <v>0</v>
      </c>
      <c r="AN290" t="b">
        <f>IF(metadata!L290="",FALSE,TRUE)</f>
        <v>0</v>
      </c>
      <c r="AO290" t="b">
        <f>IF(metadata!M290="",FALSE,TRUE)</f>
        <v>0</v>
      </c>
      <c r="AP290" t="b">
        <f>OR(AND(IF(metadata!N290="",FALSE,TRUE),OR(EXACT(metadata!N290,"not applicable"),EXACT(metadata!N290,"missing: not collected"),EXACT(metadata!N290,"missing: not provided"))),AND(IF(metadata!N290="",FALSE,IF(ISERROR(INT(metadata!N290)),FALSE,INT(metadata!N290)=metadata!N290)),metadata!N290&gt;0))</f>
        <v>0</v>
      </c>
      <c r="AQ290" t="b">
        <f>AND(IF(metadata!O290="",FALSE,TRUE),EXACT(metadata!O290,"Not applicable"))</f>
        <v>0</v>
      </c>
      <c r="AR290" t="b">
        <f>OR(AND(IF(metadata!P290="",FALSE,TRUE),OR(EXACT(metadata!P290,"not applicable"),EXACT(metadata!P290,"missing: not collected"),EXACT(metadata!P290,"missing: not provided"),EXACT(metadata!P290,"missing: restricted access"))),IF(metadata!P290="",FALSE,IF(ISERROR(INT(metadata!P290)),FALSE,INT(metadata!P290)=metadata!P290)))</f>
        <v>0</v>
      </c>
      <c r="AS290" t="b">
        <f>AND(IF(metadata!Q290="",FALSE,TRUE),EXACT(metadata!Q290,"Not applicable"))</f>
        <v>0</v>
      </c>
      <c r="AT290" t="b">
        <f>OR(AND(IF(metadata!R290="",FALSE,TRUE),OR(EXACT(metadata!R290,"not applicable"),EXACT(metadata!R290,"missing: not collected"),EXACT(metadata!R290,"missing: not provided"),EXACT(metadata!R290,"missing: restricted access"))),AND(IF(metadata!R290="",FALSE,ISNUMBER(VALUE(metadata!R290))),metadata!R290&gt;0))</f>
        <v>0</v>
      </c>
      <c r="AU290" t="b">
        <f>AND(IF(metadata!S290="",FALSE,TRUE),EXACT(metadata!S290,"missing: not provided"))</f>
        <v>0</v>
      </c>
    </row>
    <row r="291" spans="1:47" x14ac:dyDescent="0.2">
      <c r="A291" s="5" t="str">
        <f ca="1">IF(B291=" "," ",HYPERLINK(CONCATENATE("#metadata!",ADDRESS(INDEX($Y$2:$Y$1001,MATCH(ROWS($W$2:W291),$W$2:$W$1001,0),0),1)),INDEX($AB$2:$AB$1001,MATCH(ROWS($W$2:W291),$W$2:$W$1001,0),0)))</f>
        <v xml:space="preserve"> </v>
      </c>
      <c r="B291" s="4" t="str">
        <f ca="1">IF(OR(INDEX($X$2:$X$1001,MATCH(ROWS($W$2:W291),$W$2:$W$1001,0),1)&gt;=100000,INDEX($AD$1005:$AU$1005,1,MATCH(COLUMNS($AD$1006:AD1006),$AD$1006:$AU$1006,0))&gt;=100000), " ",IF(INDEX($AD$2:$AU$1001,MATCH(ROWS($W$2:W291),$W$2:$W$1001,0),MATCH(COLUMNS($AD$1006:AD1006),$AD$1006:$AU$1006,0)), HYPERLINK("#",""), HYPERLINK(CONCATENATE("#metadata!", ADDRESS(INDEX($Y$2:$Y$1001,MATCH(ROWS($W$2:W291),$W$2:$W$1001,0),0), INDEX($AD$1004:$AU$1004,1,MATCH(COLUMNS($AD$1006:AD1006),$AD$1006:$AU$1006,0)))),"Fix")))</f>
        <v xml:space="preserve"> </v>
      </c>
      <c r="C291" s="4" t="str">
        <f ca="1">IF(OR(INDEX($X$2:$X$1001,MATCH(ROWS($W$2:W291),$W$2:$W$1001,0),1)&gt;=100000,INDEX($AD$1005:$AU$1005,1,MATCH(COLUMNS($AD$1006:AE1006),$AD$1006:$AU$1006,0))&gt;=100000), " ",IF(INDEX($AD$2:$AU$1001,MATCH(ROWS($W$2:W291),$W$2:$W$1001,0),MATCH(COLUMNS($AD$1006:AE1006),$AD$1006:$AU$1006,0)), HYPERLINK("#",""), HYPERLINK(CONCATENATE("#metadata!", ADDRESS(INDEX($Y$2:$Y$1001,MATCH(ROWS($W$2:W291),$W$2:$W$1001,0),0), INDEX($AD$1004:$AU$1004,1,MATCH(COLUMNS($AD$1006:AE1006),$AD$1006:$AU$1006,0)))),"Fix")))</f>
        <v xml:space="preserve"> </v>
      </c>
      <c r="D291" s="4" t="str">
        <f ca="1">IF(OR(INDEX($X$2:$X$1001,MATCH(ROWS($W$2:W291),$W$2:$W$1001,0),1)&gt;=100000,INDEX($AD$1005:$AU$1005,1,MATCH(COLUMNS($AD$1006:AF1006),$AD$1006:$AU$1006,0))&gt;=100000), " ",IF(INDEX($AD$2:$AU$1001,MATCH(ROWS($W$2:W291),$W$2:$W$1001,0),MATCH(COLUMNS($AD$1006:AF1006),$AD$1006:$AU$1006,0)), HYPERLINK("#",""), HYPERLINK(CONCATENATE("#metadata!", ADDRESS(INDEX($Y$2:$Y$1001,MATCH(ROWS($W$2:W291),$W$2:$W$1001,0),0), INDEX($AD$1004:$AU$1004,1,MATCH(COLUMNS($AD$1006:AF1006),$AD$1006:$AU$1006,0)))),"Fix")))</f>
        <v xml:space="preserve"> </v>
      </c>
      <c r="E291" s="4" t="str">
        <f ca="1">IF(OR(INDEX($X$2:$X$1001,MATCH(ROWS($W$2:W291),$W$2:$W$1001,0),1)&gt;=100000,INDEX($AD$1005:$AU$1005,1,MATCH(COLUMNS($AD$1006:AG1006),$AD$1006:$AU$1006,0))&gt;=100000), " ",IF(INDEX($AD$2:$AU$1001,MATCH(ROWS($W$2:W291),$W$2:$W$1001,0),MATCH(COLUMNS($AD$1006:AG1006),$AD$1006:$AU$1006,0)), HYPERLINK("#",""), HYPERLINK(CONCATENATE("#metadata!", ADDRESS(INDEX($Y$2:$Y$1001,MATCH(ROWS($W$2:W291),$W$2:$W$1001,0),0), INDEX($AD$1004:$AU$1004,1,MATCH(COLUMNS($AD$1006:AG1006),$AD$1006:$AU$1006,0)))),"Fix")))</f>
        <v xml:space="preserve"> </v>
      </c>
      <c r="F291" s="4" t="str">
        <f ca="1">IF(OR(INDEX($X$2:$X$1001,MATCH(ROWS($W$2:W291),$W$2:$W$1001,0),1)&gt;=100000,INDEX($AD$1005:$AU$1005,1,MATCH(COLUMNS($AD$1006:AH1006),$AD$1006:$AU$1006,0))&gt;=100000), " ",IF(INDEX($AD$2:$AU$1001,MATCH(ROWS($W$2:W291),$W$2:$W$1001,0),MATCH(COLUMNS($AD$1006:AH1006),$AD$1006:$AU$1006,0)), HYPERLINK("#",""), HYPERLINK(CONCATENATE("#metadata!", ADDRESS(INDEX($Y$2:$Y$1001,MATCH(ROWS($W$2:W291),$W$2:$W$1001,0),0), INDEX($AD$1004:$AU$1004,1,MATCH(COLUMNS($AD$1006:AH1006),$AD$1006:$AU$1006,0)))),"Fix")))</f>
        <v xml:space="preserve"> </v>
      </c>
      <c r="G291" s="4" t="str">
        <f ca="1">IF(OR(INDEX($X$2:$X$1001,MATCH(ROWS($W$2:W291),$W$2:$W$1001,0),1)&gt;=100000,INDEX($AD$1005:$AU$1005,1,MATCH(COLUMNS($AD$1006:AI1006),$AD$1006:$AU$1006,0))&gt;=100000), " ",IF(INDEX($AD$2:$AU$1001,MATCH(ROWS($W$2:W291),$W$2:$W$1001,0),MATCH(COLUMNS($AD$1006:AI1006),$AD$1006:$AU$1006,0)), HYPERLINK("#",""), HYPERLINK(CONCATENATE("#metadata!", ADDRESS(INDEX($Y$2:$Y$1001,MATCH(ROWS($W$2:W291),$W$2:$W$1001,0),0), INDEX($AD$1004:$AU$1004,1,MATCH(COLUMNS($AD$1006:AI1006),$AD$1006:$AU$1006,0)))),"Fix")))</f>
        <v xml:space="preserve"> </v>
      </c>
      <c r="H291" s="4" t="str">
        <f ca="1">IF(OR(INDEX($X$2:$X$1001,MATCH(ROWS($W$2:W291),$W$2:$W$1001,0),1)&gt;=100000,INDEX($AD$1005:$AU$1005,1,MATCH(COLUMNS($AD$1006:AJ1006),$AD$1006:$AU$1006,0))&gt;=100000), " ",IF(INDEX($AD$2:$AU$1001,MATCH(ROWS($W$2:W291),$W$2:$W$1001,0),MATCH(COLUMNS($AD$1006:AJ1006),$AD$1006:$AU$1006,0)), HYPERLINK("#",""), HYPERLINK(CONCATENATE("#metadata!", ADDRESS(INDEX($Y$2:$Y$1001,MATCH(ROWS($W$2:W291),$W$2:$W$1001,0),0), INDEX($AD$1004:$AU$1004,1,MATCH(COLUMNS($AD$1006:AJ1006),$AD$1006:$AU$1006,0)))),"Fix")))</f>
        <v xml:space="preserve"> </v>
      </c>
      <c r="I291" s="4" t="str">
        <f ca="1">IF(OR(INDEX($X$2:$X$1001,MATCH(ROWS($W$2:W291),$W$2:$W$1001,0),1)&gt;=100000,INDEX($AD$1005:$AU$1005,1,MATCH(COLUMNS($AD$1006:AK1006),$AD$1006:$AU$1006,0))&gt;=100000), " ",IF(INDEX($AD$2:$AU$1001,MATCH(ROWS($W$2:W291),$W$2:$W$1001,0),MATCH(COLUMNS($AD$1006:AK1006),$AD$1006:$AU$1006,0)), HYPERLINK("#",""), HYPERLINK(CONCATENATE("#metadata!", ADDRESS(INDEX($Y$2:$Y$1001,MATCH(ROWS($W$2:W291),$W$2:$W$1001,0),0), INDEX($AD$1004:$AU$1004,1,MATCH(COLUMNS($AD$1006:AK1006),$AD$1006:$AU$1006,0)))),"Fix")))</f>
        <v xml:space="preserve"> </v>
      </c>
      <c r="J291" s="4" t="str">
        <f ca="1">IF(OR(INDEX($X$2:$X$1001,MATCH(ROWS($W$2:W291),$W$2:$W$1001,0),1)&gt;=100000,INDEX($AD$1005:$AU$1005,1,MATCH(COLUMNS($AD$1006:AL1006),$AD$1006:$AU$1006,0))&gt;=100000), " ",IF(INDEX($AD$2:$AU$1001,MATCH(ROWS($W$2:W291),$W$2:$W$1001,0),MATCH(COLUMNS($AD$1006:AL1006),$AD$1006:$AU$1006,0)), HYPERLINK("#",""), HYPERLINK(CONCATENATE("#metadata!", ADDRESS(INDEX($Y$2:$Y$1001,MATCH(ROWS($W$2:W291),$W$2:$W$1001,0),0), INDEX($AD$1004:$AU$1004,1,MATCH(COLUMNS($AD$1006:AL1006),$AD$1006:$AU$1006,0)))),"Fix")))</f>
        <v xml:space="preserve"> </v>
      </c>
      <c r="K291" s="4" t="str">
        <f ca="1">IF(OR(INDEX($X$2:$X$1001,MATCH(ROWS($W$2:W291),$W$2:$W$1001,0),1)&gt;=100000,INDEX($AD$1005:$AU$1005,1,MATCH(COLUMNS($AD$1006:AM1006),$AD$1006:$AU$1006,0))&gt;=100000), " ",IF(INDEX($AD$2:$AU$1001,MATCH(ROWS($W$2:W291),$W$2:$W$1001,0),MATCH(COLUMNS($AD$1006:AM1006),$AD$1006:$AU$1006,0)), HYPERLINK("#",""), HYPERLINK(CONCATENATE("#metadata!", ADDRESS(INDEX($Y$2:$Y$1001,MATCH(ROWS($W$2:W291),$W$2:$W$1001,0),0), INDEX($AD$1004:$AU$1004,1,MATCH(COLUMNS($AD$1006:AM1006),$AD$1006:$AU$1006,0)))),"Fix")))</f>
        <v xml:space="preserve"> </v>
      </c>
      <c r="L291" s="4" t="str">
        <f ca="1">IF(OR(INDEX($X$2:$X$1001,MATCH(ROWS($W$2:W291),$W$2:$W$1001,0),1)&gt;=100000,INDEX($AD$1005:$AU$1005,1,MATCH(COLUMNS($AD$1006:AN1006),$AD$1006:$AU$1006,0))&gt;=100000), " ",IF(INDEX($AD$2:$AU$1001,MATCH(ROWS($W$2:W291),$W$2:$W$1001,0),MATCH(COLUMNS($AD$1006:AN1006),$AD$1006:$AU$1006,0)), HYPERLINK("#",""), HYPERLINK(CONCATENATE("#metadata!", ADDRESS(INDEX($Y$2:$Y$1001,MATCH(ROWS($W$2:W291),$W$2:$W$1001,0),0), INDEX($AD$1004:$AU$1004,1,MATCH(COLUMNS($AD$1006:AN1006),$AD$1006:$AU$1006,0)))),"Fix")))</f>
        <v xml:space="preserve"> </v>
      </c>
      <c r="M291" s="4" t="str">
        <f ca="1">IF(OR(INDEX($X$2:$X$1001,MATCH(ROWS($W$2:W291),$W$2:$W$1001,0),1)&gt;=100000,INDEX($AD$1005:$AU$1005,1,MATCH(COLUMNS($AD$1006:AO1006),$AD$1006:$AU$1006,0))&gt;=100000), " ",IF(INDEX($AD$2:$AU$1001,MATCH(ROWS($W$2:W291),$W$2:$W$1001,0),MATCH(COLUMNS($AD$1006:AO1006),$AD$1006:$AU$1006,0)), HYPERLINK("#",""), HYPERLINK(CONCATENATE("#metadata!", ADDRESS(INDEX($Y$2:$Y$1001,MATCH(ROWS($W$2:W291),$W$2:$W$1001,0),0), INDEX($AD$1004:$AU$1004,1,MATCH(COLUMNS($AD$1006:AO1006),$AD$1006:$AU$1006,0)))),"Fix")))</f>
        <v xml:space="preserve"> </v>
      </c>
      <c r="N291" s="4" t="str">
        <f ca="1">IF(OR(INDEX($X$2:$X$1001,MATCH(ROWS($W$2:W291),$W$2:$W$1001,0),1)&gt;=100000,INDEX($AD$1005:$AU$1005,1,MATCH(COLUMNS($AD$1006:AP1006),$AD$1006:$AU$1006,0))&gt;=100000), " ",IF(INDEX($AD$2:$AU$1001,MATCH(ROWS($W$2:W291),$W$2:$W$1001,0),MATCH(COLUMNS($AD$1006:AP1006),$AD$1006:$AU$1006,0)), HYPERLINK("#",""), HYPERLINK(CONCATENATE("#metadata!", ADDRESS(INDEX($Y$2:$Y$1001,MATCH(ROWS($W$2:W291),$W$2:$W$1001,0),0), INDEX($AD$1004:$AU$1004,1,MATCH(COLUMNS($AD$1006:AP1006),$AD$1006:$AU$1006,0)))),"Fix")))</f>
        <v xml:space="preserve"> </v>
      </c>
      <c r="O291" s="4" t="str">
        <f ca="1">IF(OR(INDEX($X$2:$X$1001,MATCH(ROWS($W$2:W291),$W$2:$W$1001,0),1)&gt;=100000,INDEX($AD$1005:$AU$1005,1,MATCH(COLUMNS($AD$1006:AQ1006),$AD$1006:$AU$1006,0))&gt;=100000), " ",IF(INDEX($AD$2:$AU$1001,MATCH(ROWS($W$2:W291),$W$2:$W$1001,0),MATCH(COLUMNS($AD$1006:AQ1006),$AD$1006:$AU$1006,0)), HYPERLINK("#",""), HYPERLINK(CONCATENATE("#metadata!", ADDRESS(INDEX($Y$2:$Y$1001,MATCH(ROWS($W$2:W291),$W$2:$W$1001,0),0), INDEX($AD$1004:$AU$1004,1,MATCH(COLUMNS($AD$1006:AQ1006),$AD$1006:$AU$1006,0)))),"Fix")))</f>
        <v xml:space="preserve"> </v>
      </c>
      <c r="P291" s="4" t="str">
        <f ca="1">IF(OR(INDEX($X$2:$X$1001,MATCH(ROWS($W$2:W291),$W$2:$W$1001,0),1)&gt;=100000,INDEX($AD$1005:$AU$1005,1,MATCH(COLUMNS($AD$1006:AR1006),$AD$1006:$AU$1006,0))&gt;=100000), " ",IF(INDEX($AD$2:$AU$1001,MATCH(ROWS($W$2:W291),$W$2:$W$1001,0),MATCH(COLUMNS($AD$1006:AR1006),$AD$1006:$AU$1006,0)), HYPERLINK("#",""), HYPERLINK(CONCATENATE("#metadata!", ADDRESS(INDEX($Y$2:$Y$1001,MATCH(ROWS($W$2:W291),$W$2:$W$1001,0),0), INDEX($AD$1004:$AU$1004,1,MATCH(COLUMNS($AD$1006:AR1006),$AD$1006:$AU$1006,0)))),"Fix")))</f>
        <v xml:space="preserve"> </v>
      </c>
      <c r="Q291" s="4" t="str">
        <f ca="1">IF(OR(INDEX($X$2:$X$1001,MATCH(ROWS($W$2:W291),$W$2:$W$1001,0),1)&gt;=100000,INDEX($AD$1005:$AU$1005,1,MATCH(COLUMNS($AD$1006:AS1006),$AD$1006:$AU$1006,0))&gt;=100000), " ",IF(INDEX($AD$2:$AU$1001,MATCH(ROWS($W$2:W291),$W$2:$W$1001,0),MATCH(COLUMNS($AD$1006:AS1006),$AD$1006:$AU$1006,0)), HYPERLINK("#",""), HYPERLINK(CONCATENATE("#metadata!", ADDRESS(INDEX($Y$2:$Y$1001,MATCH(ROWS($W$2:W291),$W$2:$W$1001,0),0), INDEX($AD$1004:$AU$1004,1,MATCH(COLUMNS($AD$1006:AS1006),$AD$1006:$AU$1006,0)))),"Fix")))</f>
        <v xml:space="preserve"> </v>
      </c>
      <c r="R291" s="4" t="str">
        <f ca="1">IF(OR(INDEX($X$2:$X$1001,MATCH(ROWS($W$2:W291),$W$2:$W$1001,0),1)&gt;=100000,INDEX($AD$1005:$AU$1005,1,MATCH(COLUMNS($AD$1006:AT1006),$AD$1006:$AU$1006,0))&gt;=100000), " ",IF(INDEX($AD$2:$AU$1001,MATCH(ROWS($W$2:W291),$W$2:$W$1001,0),MATCH(COLUMNS($AD$1006:AT1006),$AD$1006:$AU$1006,0)), HYPERLINK("#",""), HYPERLINK(CONCATENATE("#metadata!", ADDRESS(INDEX($Y$2:$Y$1001,MATCH(ROWS($W$2:W291),$W$2:$W$1001,0),0), INDEX($AD$1004:$AU$1004,1,MATCH(COLUMNS($AD$1006:AT1006),$AD$1006:$AU$1006,0)))),"Fix")))</f>
        <v xml:space="preserve"> </v>
      </c>
      <c r="S291" s="4" t="str">
        <f ca="1">IF(OR(INDEX($X$2:$X$1001,MATCH(ROWS($W$2:W291),$W$2:$W$1001,0),1)&gt;=100000,INDEX($AD$1005:$AU$1005,1,MATCH(COLUMNS($AD$1006:AU1006),$AD$1006:$AU$1006,0))&gt;=100000), " ",IF(INDEX($AD$2:$AU$1001,MATCH(ROWS($W$2:W291),$W$2:$W$1001,0),MATCH(COLUMNS($AD$1006:AU1006),$AD$1006:$AU$1006,0)), HYPERLINK("#",""), HYPERLINK(CONCATENATE("#metadata!", ADDRESS(INDEX($Y$2:$Y$1001,MATCH(ROWS($W$2:W291),$W$2:$W$1001,0),0), INDEX($AD$1004:$AU$1004,1,MATCH(COLUMNS($AD$1006:AU1006),$AD$1006:$AU$1006,0)))),"Fix")))</f>
        <v xml:space="preserve"> </v>
      </c>
      <c r="W291">
        <v>290</v>
      </c>
      <c r="X291">
        <v>100291</v>
      </c>
      <c r="Y291">
        <v>291</v>
      </c>
      <c r="Z291" t="b">
        <f t="shared" si="4"/>
        <v>1</v>
      </c>
      <c r="AA291" t="b">
        <f>COUNTBLANK(metadata!B291:S291)=COLUMNS(metadata!B291:S291)</f>
        <v>1</v>
      </c>
      <c r="AB291" t="str">
        <v/>
      </c>
      <c r="AD291" t="b">
        <f ca="1">AND(IF(metadata!B291="",FALSE,TRUE),COUNTIF(metadata!B:B, metadata!B291) = 1,NOT(ISERROR(SUMPRODUCT(SEARCH(MID(metadata!B291,ROW(INDIRECT("1:"&amp;LEN(metadata!B291))), 1),"0123456789abcdefghijklmnopqrstuvwxyzABCDEFGHIJKLMNOPQRSTUVWXYZ.")))))</f>
        <v>0</v>
      </c>
      <c r="AE291" t="b">
        <f>OR(AND(IF(metadata!C291="",FALSE,TRUE),OR(EXACT(metadata!C291,"not applicable"),EXACT(metadata!C291,"missing: not collected"),EXACT(metadata!C291,"missing: not provided"),EXACT(metadata!C291,"missing: restricted access"))),AND(IF(metadata!C291="",FALSE,ISNUMBER(VALUE(metadata!C291))),metadata!C291&gt;0))</f>
        <v>0</v>
      </c>
      <c r="AF291" t="b">
        <f>AND(IF(metadata!D291="",FALSE,TRUE),EXACT(metadata!D291,"missing: not provided"))</f>
        <v>0</v>
      </c>
      <c r="AG291" t="b">
        <f>AND(IF(metadata!E291="",FALSE,TRUE),EXACT(metadata!E291,"Host-associated"))</f>
        <v>0</v>
      </c>
      <c r="AH291" t="b">
        <f>AND(IF(metadata!F291="",FALSE,TRUE),OR(EXACT(metadata!F291,"Animal"),EXACT(metadata!F291,"Fungus"),EXACT(metadata!F291,"Plant")))</f>
        <v>0</v>
      </c>
      <c r="AI291" t="b">
        <f>AND(IF(metadata!G291="",FALSE,TRUE),OR(EXACT(metadata!G291,"Plant secretion"),EXACT(metadata!G291,"Plant rhizosphere"),EXACT(metadata!G291,"Plant surface"),EXACT(metadata!G291,"Plant corpus"),EXACT(metadata!G291,"Fungus surface"),EXACT(metadata!G291,"Fungus corpus"),EXACT(metadata!G291,"Animal surface"),EXACT(metadata!G291,"Animal proximal gut"),EXACT(metadata!G291,"Animal corpus"),EXACT(metadata!G291,"Animal distal gut"),EXACT(metadata!G291,"Animal secretion")))</f>
        <v>0</v>
      </c>
      <c r="AJ291" t="b">
        <f>OR(AND(IF(metadata!H291="",FALSE,TRUE),OR(EXACT(metadata!H291,"missing: not collected"),EXACT(metadata!H291,"missing: not provided"),EXACT(metadata!H291,"missing: restricted access"))),AND(IF(metadata!H291="",FALSE,TRUE),OR(EXACT(metadata!H291,"organism-associated habitat"),EXACT(metadata!H291,"plant-associated habitat"),EXACT(metadata!H291,"animal-associated habitat"),EXACT(metadata!H291,"insecta-associated habitat"),EXACT(metadata!H291,"mammalia-associated habitat"),EXACT(metadata!H291,"human-associated habitat"),EXACT(metadata!H291,"livestock-associated habitat"))))</f>
        <v>0</v>
      </c>
      <c r="AK291" t="b">
        <f>AND(IF(metadata!I291="",FALSE,TRUE),EXACT(metadata!I291,"host-associated"))</f>
        <v>0</v>
      </c>
      <c r="AL291" t="b">
        <f>OR(AND(IF(metadata!J291="",FALSE,TRUE),OR(EXACT(metadata!J291,"not applicable"),EXACT(metadata!J291,"missing: not collected"),EXACT(metadata!J291,"missing: not provided"),EXACT(metadata!J291,"missing: restricted access"))),AND(IF(metadata!J291="",FALSE,ISNUMBER(VALUE(metadata!J291))),metadata!J291&gt;0))</f>
        <v>0</v>
      </c>
      <c r="AM291" t="b">
        <f>AND(IF(metadata!K291="",FALSE,TRUE),EXACT(metadata!K291,"missing: not provided"))</f>
        <v>0</v>
      </c>
      <c r="AN291" t="b">
        <f>IF(metadata!L291="",FALSE,TRUE)</f>
        <v>0</v>
      </c>
      <c r="AO291" t="b">
        <f>IF(metadata!M291="",FALSE,TRUE)</f>
        <v>0</v>
      </c>
      <c r="AP291" t="b">
        <f>OR(AND(IF(metadata!N291="",FALSE,TRUE),OR(EXACT(metadata!N291,"not applicable"),EXACT(metadata!N291,"missing: not collected"),EXACT(metadata!N291,"missing: not provided"))),AND(IF(metadata!N291="",FALSE,IF(ISERROR(INT(metadata!N291)),FALSE,INT(metadata!N291)=metadata!N291)),metadata!N291&gt;0))</f>
        <v>0</v>
      </c>
      <c r="AQ291" t="b">
        <f>AND(IF(metadata!O291="",FALSE,TRUE),EXACT(metadata!O291,"Not applicable"))</f>
        <v>0</v>
      </c>
      <c r="AR291" t="b">
        <f>OR(AND(IF(metadata!P291="",FALSE,TRUE),OR(EXACT(metadata!P291,"not applicable"),EXACT(metadata!P291,"missing: not collected"),EXACT(metadata!P291,"missing: not provided"),EXACT(metadata!P291,"missing: restricted access"))),IF(metadata!P291="",FALSE,IF(ISERROR(INT(metadata!P291)),FALSE,INT(metadata!P291)=metadata!P291)))</f>
        <v>0</v>
      </c>
      <c r="AS291" t="b">
        <f>AND(IF(metadata!Q291="",FALSE,TRUE),EXACT(metadata!Q291,"Not applicable"))</f>
        <v>0</v>
      </c>
      <c r="AT291" t="b">
        <f>OR(AND(IF(metadata!R291="",FALSE,TRUE),OR(EXACT(metadata!R291,"not applicable"),EXACT(metadata!R291,"missing: not collected"),EXACT(metadata!R291,"missing: not provided"),EXACT(metadata!R291,"missing: restricted access"))),AND(IF(metadata!R291="",FALSE,ISNUMBER(VALUE(metadata!R291))),metadata!R291&gt;0))</f>
        <v>0</v>
      </c>
      <c r="AU291" t="b">
        <f>AND(IF(metadata!S291="",FALSE,TRUE),EXACT(metadata!S291,"missing: not provided"))</f>
        <v>0</v>
      </c>
    </row>
    <row r="292" spans="1:47" x14ac:dyDescent="0.2">
      <c r="A292" s="5" t="str">
        <f ca="1">IF(B292=" "," ",HYPERLINK(CONCATENATE("#metadata!",ADDRESS(INDEX($Y$2:$Y$1001,MATCH(ROWS($W$2:W292),$W$2:$W$1001,0),0),1)),INDEX($AB$2:$AB$1001,MATCH(ROWS($W$2:W292),$W$2:$W$1001,0),0)))</f>
        <v xml:space="preserve"> </v>
      </c>
      <c r="B292" s="4" t="str">
        <f ca="1">IF(OR(INDEX($X$2:$X$1001,MATCH(ROWS($W$2:W292),$W$2:$W$1001,0),1)&gt;=100000,INDEX($AD$1005:$AU$1005,1,MATCH(COLUMNS($AD$1006:AD1006),$AD$1006:$AU$1006,0))&gt;=100000), " ",IF(INDEX($AD$2:$AU$1001,MATCH(ROWS($W$2:W292),$W$2:$W$1001,0),MATCH(COLUMNS($AD$1006:AD1006),$AD$1006:$AU$1006,0)), HYPERLINK("#",""), HYPERLINK(CONCATENATE("#metadata!", ADDRESS(INDEX($Y$2:$Y$1001,MATCH(ROWS($W$2:W292),$W$2:$W$1001,0),0), INDEX($AD$1004:$AU$1004,1,MATCH(COLUMNS($AD$1006:AD1006),$AD$1006:$AU$1006,0)))),"Fix")))</f>
        <v xml:space="preserve"> </v>
      </c>
      <c r="C292" s="4" t="str">
        <f ca="1">IF(OR(INDEX($X$2:$X$1001,MATCH(ROWS($W$2:W292),$W$2:$W$1001,0),1)&gt;=100000,INDEX($AD$1005:$AU$1005,1,MATCH(COLUMNS($AD$1006:AE1006),$AD$1006:$AU$1006,0))&gt;=100000), " ",IF(INDEX($AD$2:$AU$1001,MATCH(ROWS($W$2:W292),$W$2:$W$1001,0),MATCH(COLUMNS($AD$1006:AE1006),$AD$1006:$AU$1006,0)), HYPERLINK("#",""), HYPERLINK(CONCATENATE("#metadata!", ADDRESS(INDEX($Y$2:$Y$1001,MATCH(ROWS($W$2:W292),$W$2:$W$1001,0),0), INDEX($AD$1004:$AU$1004,1,MATCH(COLUMNS($AD$1006:AE1006),$AD$1006:$AU$1006,0)))),"Fix")))</f>
        <v xml:space="preserve"> </v>
      </c>
      <c r="D292" s="4" t="str">
        <f ca="1">IF(OR(INDEX($X$2:$X$1001,MATCH(ROWS($W$2:W292),$W$2:$W$1001,0),1)&gt;=100000,INDEX($AD$1005:$AU$1005,1,MATCH(COLUMNS($AD$1006:AF1006),$AD$1006:$AU$1006,0))&gt;=100000), " ",IF(INDEX($AD$2:$AU$1001,MATCH(ROWS($W$2:W292),$W$2:$W$1001,0),MATCH(COLUMNS($AD$1006:AF1006),$AD$1006:$AU$1006,0)), HYPERLINK("#",""), HYPERLINK(CONCATENATE("#metadata!", ADDRESS(INDEX($Y$2:$Y$1001,MATCH(ROWS($W$2:W292),$W$2:$W$1001,0),0), INDEX($AD$1004:$AU$1004,1,MATCH(COLUMNS($AD$1006:AF1006),$AD$1006:$AU$1006,0)))),"Fix")))</f>
        <v xml:space="preserve"> </v>
      </c>
      <c r="E292" s="4" t="str">
        <f ca="1">IF(OR(INDEX($X$2:$X$1001,MATCH(ROWS($W$2:W292),$W$2:$W$1001,0),1)&gt;=100000,INDEX($AD$1005:$AU$1005,1,MATCH(COLUMNS($AD$1006:AG1006),$AD$1006:$AU$1006,0))&gt;=100000), " ",IF(INDEX($AD$2:$AU$1001,MATCH(ROWS($W$2:W292),$W$2:$W$1001,0),MATCH(COLUMNS($AD$1006:AG1006),$AD$1006:$AU$1006,0)), HYPERLINK("#",""), HYPERLINK(CONCATENATE("#metadata!", ADDRESS(INDEX($Y$2:$Y$1001,MATCH(ROWS($W$2:W292),$W$2:$W$1001,0),0), INDEX($AD$1004:$AU$1004,1,MATCH(COLUMNS($AD$1006:AG1006),$AD$1006:$AU$1006,0)))),"Fix")))</f>
        <v xml:space="preserve"> </v>
      </c>
      <c r="F292" s="4" t="str">
        <f ca="1">IF(OR(INDEX($X$2:$X$1001,MATCH(ROWS($W$2:W292),$W$2:$W$1001,0),1)&gt;=100000,INDEX($AD$1005:$AU$1005,1,MATCH(COLUMNS($AD$1006:AH1006),$AD$1006:$AU$1006,0))&gt;=100000), " ",IF(INDEX($AD$2:$AU$1001,MATCH(ROWS($W$2:W292),$W$2:$W$1001,0),MATCH(COLUMNS($AD$1006:AH1006),$AD$1006:$AU$1006,0)), HYPERLINK("#",""), HYPERLINK(CONCATENATE("#metadata!", ADDRESS(INDEX($Y$2:$Y$1001,MATCH(ROWS($W$2:W292),$W$2:$W$1001,0),0), INDEX($AD$1004:$AU$1004,1,MATCH(COLUMNS($AD$1006:AH1006),$AD$1006:$AU$1006,0)))),"Fix")))</f>
        <v xml:space="preserve"> </v>
      </c>
      <c r="G292" s="4" t="str">
        <f ca="1">IF(OR(INDEX($X$2:$X$1001,MATCH(ROWS($W$2:W292),$W$2:$W$1001,0),1)&gt;=100000,INDEX($AD$1005:$AU$1005,1,MATCH(COLUMNS($AD$1006:AI1006),$AD$1006:$AU$1006,0))&gt;=100000), " ",IF(INDEX($AD$2:$AU$1001,MATCH(ROWS($W$2:W292),$W$2:$W$1001,0),MATCH(COLUMNS($AD$1006:AI1006),$AD$1006:$AU$1006,0)), HYPERLINK("#",""), HYPERLINK(CONCATENATE("#metadata!", ADDRESS(INDEX($Y$2:$Y$1001,MATCH(ROWS($W$2:W292),$W$2:$W$1001,0),0), INDEX($AD$1004:$AU$1004,1,MATCH(COLUMNS($AD$1006:AI1006),$AD$1006:$AU$1006,0)))),"Fix")))</f>
        <v xml:space="preserve"> </v>
      </c>
      <c r="H292" s="4" t="str">
        <f ca="1">IF(OR(INDEX($X$2:$X$1001,MATCH(ROWS($W$2:W292),$W$2:$W$1001,0),1)&gt;=100000,INDEX($AD$1005:$AU$1005,1,MATCH(COLUMNS($AD$1006:AJ1006),$AD$1006:$AU$1006,0))&gt;=100000), " ",IF(INDEX($AD$2:$AU$1001,MATCH(ROWS($W$2:W292),$W$2:$W$1001,0),MATCH(COLUMNS($AD$1006:AJ1006),$AD$1006:$AU$1006,0)), HYPERLINK("#",""), HYPERLINK(CONCATENATE("#metadata!", ADDRESS(INDEX($Y$2:$Y$1001,MATCH(ROWS($W$2:W292),$W$2:$W$1001,0),0), INDEX($AD$1004:$AU$1004,1,MATCH(COLUMNS($AD$1006:AJ1006),$AD$1006:$AU$1006,0)))),"Fix")))</f>
        <v xml:space="preserve"> </v>
      </c>
      <c r="I292" s="4" t="str">
        <f ca="1">IF(OR(INDEX($X$2:$X$1001,MATCH(ROWS($W$2:W292),$W$2:$W$1001,0),1)&gt;=100000,INDEX($AD$1005:$AU$1005,1,MATCH(COLUMNS($AD$1006:AK1006),$AD$1006:$AU$1006,0))&gt;=100000), " ",IF(INDEX($AD$2:$AU$1001,MATCH(ROWS($W$2:W292),$W$2:$W$1001,0),MATCH(COLUMNS($AD$1006:AK1006),$AD$1006:$AU$1006,0)), HYPERLINK("#",""), HYPERLINK(CONCATENATE("#metadata!", ADDRESS(INDEX($Y$2:$Y$1001,MATCH(ROWS($W$2:W292),$W$2:$W$1001,0),0), INDEX($AD$1004:$AU$1004,1,MATCH(COLUMNS($AD$1006:AK1006),$AD$1006:$AU$1006,0)))),"Fix")))</f>
        <v xml:space="preserve"> </v>
      </c>
      <c r="J292" s="4" t="str">
        <f ca="1">IF(OR(INDEX($X$2:$X$1001,MATCH(ROWS($W$2:W292),$W$2:$W$1001,0),1)&gt;=100000,INDEX($AD$1005:$AU$1005,1,MATCH(COLUMNS($AD$1006:AL1006),$AD$1006:$AU$1006,0))&gt;=100000), " ",IF(INDEX($AD$2:$AU$1001,MATCH(ROWS($W$2:W292),$W$2:$W$1001,0),MATCH(COLUMNS($AD$1006:AL1006),$AD$1006:$AU$1006,0)), HYPERLINK("#",""), HYPERLINK(CONCATENATE("#metadata!", ADDRESS(INDEX($Y$2:$Y$1001,MATCH(ROWS($W$2:W292),$W$2:$W$1001,0),0), INDEX($AD$1004:$AU$1004,1,MATCH(COLUMNS($AD$1006:AL1006),$AD$1006:$AU$1006,0)))),"Fix")))</f>
        <v xml:space="preserve"> </v>
      </c>
      <c r="K292" s="4" t="str">
        <f ca="1">IF(OR(INDEX($X$2:$X$1001,MATCH(ROWS($W$2:W292),$W$2:$W$1001,0),1)&gt;=100000,INDEX($AD$1005:$AU$1005,1,MATCH(COLUMNS($AD$1006:AM1006),$AD$1006:$AU$1006,0))&gt;=100000), " ",IF(INDEX($AD$2:$AU$1001,MATCH(ROWS($W$2:W292),$W$2:$W$1001,0),MATCH(COLUMNS($AD$1006:AM1006),$AD$1006:$AU$1006,0)), HYPERLINK("#",""), HYPERLINK(CONCATENATE("#metadata!", ADDRESS(INDEX($Y$2:$Y$1001,MATCH(ROWS($W$2:W292),$W$2:$W$1001,0),0), INDEX($AD$1004:$AU$1004,1,MATCH(COLUMNS($AD$1006:AM1006),$AD$1006:$AU$1006,0)))),"Fix")))</f>
        <v xml:space="preserve"> </v>
      </c>
      <c r="L292" s="4" t="str">
        <f ca="1">IF(OR(INDEX($X$2:$X$1001,MATCH(ROWS($W$2:W292),$W$2:$W$1001,0),1)&gt;=100000,INDEX($AD$1005:$AU$1005,1,MATCH(COLUMNS($AD$1006:AN1006),$AD$1006:$AU$1006,0))&gt;=100000), " ",IF(INDEX($AD$2:$AU$1001,MATCH(ROWS($W$2:W292),$W$2:$W$1001,0),MATCH(COLUMNS($AD$1006:AN1006),$AD$1006:$AU$1006,0)), HYPERLINK("#",""), HYPERLINK(CONCATENATE("#metadata!", ADDRESS(INDEX($Y$2:$Y$1001,MATCH(ROWS($W$2:W292),$W$2:$W$1001,0),0), INDEX($AD$1004:$AU$1004,1,MATCH(COLUMNS($AD$1006:AN1006),$AD$1006:$AU$1006,0)))),"Fix")))</f>
        <v xml:space="preserve"> </v>
      </c>
      <c r="M292" s="4" t="str">
        <f ca="1">IF(OR(INDEX($X$2:$X$1001,MATCH(ROWS($W$2:W292),$W$2:$W$1001,0),1)&gt;=100000,INDEX($AD$1005:$AU$1005,1,MATCH(COLUMNS($AD$1006:AO1006),$AD$1006:$AU$1006,0))&gt;=100000), " ",IF(INDEX($AD$2:$AU$1001,MATCH(ROWS($W$2:W292),$W$2:$W$1001,0),MATCH(COLUMNS($AD$1006:AO1006),$AD$1006:$AU$1006,0)), HYPERLINK("#",""), HYPERLINK(CONCATENATE("#metadata!", ADDRESS(INDEX($Y$2:$Y$1001,MATCH(ROWS($W$2:W292),$W$2:$W$1001,0),0), INDEX($AD$1004:$AU$1004,1,MATCH(COLUMNS($AD$1006:AO1006),$AD$1006:$AU$1006,0)))),"Fix")))</f>
        <v xml:space="preserve"> </v>
      </c>
      <c r="N292" s="4" t="str">
        <f ca="1">IF(OR(INDEX($X$2:$X$1001,MATCH(ROWS($W$2:W292),$W$2:$W$1001,0),1)&gt;=100000,INDEX($AD$1005:$AU$1005,1,MATCH(COLUMNS($AD$1006:AP1006),$AD$1006:$AU$1006,0))&gt;=100000), " ",IF(INDEX($AD$2:$AU$1001,MATCH(ROWS($W$2:W292),$W$2:$W$1001,0),MATCH(COLUMNS($AD$1006:AP1006),$AD$1006:$AU$1006,0)), HYPERLINK("#",""), HYPERLINK(CONCATENATE("#metadata!", ADDRESS(INDEX($Y$2:$Y$1001,MATCH(ROWS($W$2:W292),$W$2:$W$1001,0),0), INDEX($AD$1004:$AU$1004,1,MATCH(COLUMNS($AD$1006:AP1006),$AD$1006:$AU$1006,0)))),"Fix")))</f>
        <v xml:space="preserve"> </v>
      </c>
      <c r="O292" s="4" t="str">
        <f ca="1">IF(OR(INDEX($X$2:$X$1001,MATCH(ROWS($W$2:W292),$W$2:$W$1001,0),1)&gt;=100000,INDEX($AD$1005:$AU$1005,1,MATCH(COLUMNS($AD$1006:AQ1006),$AD$1006:$AU$1006,0))&gt;=100000), " ",IF(INDEX($AD$2:$AU$1001,MATCH(ROWS($W$2:W292),$W$2:$W$1001,0),MATCH(COLUMNS($AD$1006:AQ1006),$AD$1006:$AU$1006,0)), HYPERLINK("#",""), HYPERLINK(CONCATENATE("#metadata!", ADDRESS(INDEX($Y$2:$Y$1001,MATCH(ROWS($W$2:W292),$W$2:$W$1001,0),0), INDEX($AD$1004:$AU$1004,1,MATCH(COLUMNS($AD$1006:AQ1006),$AD$1006:$AU$1006,0)))),"Fix")))</f>
        <v xml:space="preserve"> </v>
      </c>
      <c r="P292" s="4" t="str">
        <f ca="1">IF(OR(INDEX($X$2:$X$1001,MATCH(ROWS($W$2:W292),$W$2:$W$1001,0),1)&gt;=100000,INDEX($AD$1005:$AU$1005,1,MATCH(COLUMNS($AD$1006:AR1006),$AD$1006:$AU$1006,0))&gt;=100000), " ",IF(INDEX($AD$2:$AU$1001,MATCH(ROWS($W$2:W292),$W$2:$W$1001,0),MATCH(COLUMNS($AD$1006:AR1006),$AD$1006:$AU$1006,0)), HYPERLINK("#",""), HYPERLINK(CONCATENATE("#metadata!", ADDRESS(INDEX($Y$2:$Y$1001,MATCH(ROWS($W$2:W292),$W$2:$W$1001,0),0), INDEX($AD$1004:$AU$1004,1,MATCH(COLUMNS($AD$1006:AR1006),$AD$1006:$AU$1006,0)))),"Fix")))</f>
        <v xml:space="preserve"> </v>
      </c>
      <c r="Q292" s="4" t="str">
        <f ca="1">IF(OR(INDEX($X$2:$X$1001,MATCH(ROWS($W$2:W292),$W$2:$W$1001,0),1)&gt;=100000,INDEX($AD$1005:$AU$1005,1,MATCH(COLUMNS($AD$1006:AS1006),$AD$1006:$AU$1006,0))&gt;=100000), " ",IF(INDEX($AD$2:$AU$1001,MATCH(ROWS($W$2:W292),$W$2:$W$1001,0),MATCH(COLUMNS($AD$1006:AS1006),$AD$1006:$AU$1006,0)), HYPERLINK("#",""), HYPERLINK(CONCATENATE("#metadata!", ADDRESS(INDEX($Y$2:$Y$1001,MATCH(ROWS($W$2:W292),$W$2:$W$1001,0),0), INDEX($AD$1004:$AU$1004,1,MATCH(COLUMNS($AD$1006:AS1006),$AD$1006:$AU$1006,0)))),"Fix")))</f>
        <v xml:space="preserve"> </v>
      </c>
      <c r="R292" s="4" t="str">
        <f ca="1">IF(OR(INDEX($X$2:$X$1001,MATCH(ROWS($W$2:W292),$W$2:$W$1001,0),1)&gt;=100000,INDEX($AD$1005:$AU$1005,1,MATCH(COLUMNS($AD$1006:AT1006),$AD$1006:$AU$1006,0))&gt;=100000), " ",IF(INDEX($AD$2:$AU$1001,MATCH(ROWS($W$2:W292),$W$2:$W$1001,0),MATCH(COLUMNS($AD$1006:AT1006),$AD$1006:$AU$1006,0)), HYPERLINK("#",""), HYPERLINK(CONCATENATE("#metadata!", ADDRESS(INDEX($Y$2:$Y$1001,MATCH(ROWS($W$2:W292),$W$2:$W$1001,0),0), INDEX($AD$1004:$AU$1004,1,MATCH(COLUMNS($AD$1006:AT1006),$AD$1006:$AU$1006,0)))),"Fix")))</f>
        <v xml:space="preserve"> </v>
      </c>
      <c r="S292" s="4" t="str">
        <f ca="1">IF(OR(INDEX($X$2:$X$1001,MATCH(ROWS($W$2:W292),$W$2:$W$1001,0),1)&gt;=100000,INDEX($AD$1005:$AU$1005,1,MATCH(COLUMNS($AD$1006:AU1006),$AD$1006:$AU$1006,0))&gt;=100000), " ",IF(INDEX($AD$2:$AU$1001,MATCH(ROWS($W$2:W292),$W$2:$W$1001,0),MATCH(COLUMNS($AD$1006:AU1006),$AD$1006:$AU$1006,0)), HYPERLINK("#",""), HYPERLINK(CONCATENATE("#metadata!", ADDRESS(INDEX($Y$2:$Y$1001,MATCH(ROWS($W$2:W292),$W$2:$W$1001,0),0), INDEX($AD$1004:$AU$1004,1,MATCH(COLUMNS($AD$1006:AU1006),$AD$1006:$AU$1006,0)))),"Fix")))</f>
        <v xml:space="preserve"> </v>
      </c>
      <c r="W292">
        <v>291</v>
      </c>
      <c r="X292">
        <v>100292</v>
      </c>
      <c r="Y292">
        <v>292</v>
      </c>
      <c r="Z292" t="b">
        <f t="shared" si="4"/>
        <v>1</v>
      </c>
      <c r="AA292" t="b">
        <f>COUNTBLANK(metadata!B292:S292)=COLUMNS(metadata!B292:S292)</f>
        <v>1</v>
      </c>
      <c r="AB292" t="str">
        <v/>
      </c>
      <c r="AD292" t="b">
        <f ca="1">AND(IF(metadata!B292="",FALSE,TRUE),COUNTIF(metadata!B:B, metadata!B292) = 1,NOT(ISERROR(SUMPRODUCT(SEARCH(MID(metadata!B292,ROW(INDIRECT("1:"&amp;LEN(metadata!B292))), 1),"0123456789abcdefghijklmnopqrstuvwxyzABCDEFGHIJKLMNOPQRSTUVWXYZ.")))))</f>
        <v>0</v>
      </c>
      <c r="AE292" t="b">
        <f>OR(AND(IF(metadata!C292="",FALSE,TRUE),OR(EXACT(metadata!C292,"not applicable"),EXACT(metadata!C292,"missing: not collected"),EXACT(metadata!C292,"missing: not provided"),EXACT(metadata!C292,"missing: restricted access"))),AND(IF(metadata!C292="",FALSE,ISNUMBER(VALUE(metadata!C292))),metadata!C292&gt;0))</f>
        <v>0</v>
      </c>
      <c r="AF292" t="b">
        <f>AND(IF(metadata!D292="",FALSE,TRUE),EXACT(metadata!D292,"missing: not provided"))</f>
        <v>0</v>
      </c>
      <c r="AG292" t="b">
        <f>AND(IF(metadata!E292="",FALSE,TRUE),EXACT(metadata!E292,"Host-associated"))</f>
        <v>0</v>
      </c>
      <c r="AH292" t="b">
        <f>AND(IF(metadata!F292="",FALSE,TRUE),OR(EXACT(metadata!F292,"Animal"),EXACT(metadata!F292,"Fungus"),EXACT(metadata!F292,"Plant")))</f>
        <v>0</v>
      </c>
      <c r="AI292" t="b">
        <f>AND(IF(metadata!G292="",FALSE,TRUE),OR(EXACT(metadata!G292,"Plant secretion"),EXACT(metadata!G292,"Plant rhizosphere"),EXACT(metadata!G292,"Plant surface"),EXACT(metadata!G292,"Plant corpus"),EXACT(metadata!G292,"Fungus surface"),EXACT(metadata!G292,"Fungus corpus"),EXACT(metadata!G292,"Animal surface"),EXACT(metadata!G292,"Animal proximal gut"),EXACT(metadata!G292,"Animal corpus"),EXACT(metadata!G292,"Animal distal gut"),EXACT(metadata!G292,"Animal secretion")))</f>
        <v>0</v>
      </c>
      <c r="AJ292" t="b">
        <f>OR(AND(IF(metadata!H292="",FALSE,TRUE),OR(EXACT(metadata!H292,"missing: not collected"),EXACT(metadata!H292,"missing: not provided"),EXACT(metadata!H292,"missing: restricted access"))),AND(IF(metadata!H292="",FALSE,TRUE),OR(EXACT(metadata!H292,"organism-associated habitat"),EXACT(metadata!H292,"plant-associated habitat"),EXACT(metadata!H292,"animal-associated habitat"),EXACT(metadata!H292,"insecta-associated habitat"),EXACT(metadata!H292,"mammalia-associated habitat"),EXACT(metadata!H292,"human-associated habitat"),EXACT(metadata!H292,"livestock-associated habitat"))))</f>
        <v>0</v>
      </c>
      <c r="AK292" t="b">
        <f>AND(IF(metadata!I292="",FALSE,TRUE),EXACT(metadata!I292,"host-associated"))</f>
        <v>0</v>
      </c>
      <c r="AL292" t="b">
        <f>OR(AND(IF(metadata!J292="",FALSE,TRUE),OR(EXACT(metadata!J292,"not applicable"),EXACT(metadata!J292,"missing: not collected"),EXACT(metadata!J292,"missing: not provided"),EXACT(metadata!J292,"missing: restricted access"))),AND(IF(metadata!J292="",FALSE,ISNUMBER(VALUE(metadata!J292))),metadata!J292&gt;0))</f>
        <v>0</v>
      </c>
      <c r="AM292" t="b">
        <f>AND(IF(metadata!K292="",FALSE,TRUE),EXACT(metadata!K292,"missing: not provided"))</f>
        <v>0</v>
      </c>
      <c r="AN292" t="b">
        <f>IF(metadata!L292="",FALSE,TRUE)</f>
        <v>0</v>
      </c>
      <c r="AO292" t="b">
        <f>IF(metadata!M292="",FALSE,TRUE)</f>
        <v>0</v>
      </c>
      <c r="AP292" t="b">
        <f>OR(AND(IF(metadata!N292="",FALSE,TRUE),OR(EXACT(metadata!N292,"not applicable"),EXACT(metadata!N292,"missing: not collected"),EXACT(metadata!N292,"missing: not provided"))),AND(IF(metadata!N292="",FALSE,IF(ISERROR(INT(metadata!N292)),FALSE,INT(metadata!N292)=metadata!N292)),metadata!N292&gt;0))</f>
        <v>0</v>
      </c>
      <c r="AQ292" t="b">
        <f>AND(IF(metadata!O292="",FALSE,TRUE),EXACT(metadata!O292,"Not applicable"))</f>
        <v>0</v>
      </c>
      <c r="AR292" t="b">
        <f>OR(AND(IF(metadata!P292="",FALSE,TRUE),OR(EXACT(metadata!P292,"not applicable"),EXACT(metadata!P292,"missing: not collected"),EXACT(metadata!P292,"missing: not provided"),EXACT(metadata!P292,"missing: restricted access"))),IF(metadata!P292="",FALSE,IF(ISERROR(INT(metadata!P292)),FALSE,INT(metadata!P292)=metadata!P292)))</f>
        <v>0</v>
      </c>
      <c r="AS292" t="b">
        <f>AND(IF(metadata!Q292="",FALSE,TRUE),EXACT(metadata!Q292,"Not applicable"))</f>
        <v>0</v>
      </c>
      <c r="AT292" t="b">
        <f>OR(AND(IF(metadata!R292="",FALSE,TRUE),OR(EXACT(metadata!R292,"not applicable"),EXACT(metadata!R292,"missing: not collected"),EXACT(metadata!R292,"missing: not provided"),EXACT(metadata!R292,"missing: restricted access"))),AND(IF(metadata!R292="",FALSE,ISNUMBER(VALUE(metadata!R292))),metadata!R292&gt;0))</f>
        <v>0</v>
      </c>
      <c r="AU292" t="b">
        <f>AND(IF(metadata!S292="",FALSE,TRUE),EXACT(metadata!S292,"missing: not provided"))</f>
        <v>0</v>
      </c>
    </row>
    <row r="293" spans="1:47" x14ac:dyDescent="0.2">
      <c r="A293" s="5" t="str">
        <f ca="1">IF(B293=" "," ",HYPERLINK(CONCATENATE("#metadata!",ADDRESS(INDEX($Y$2:$Y$1001,MATCH(ROWS($W$2:W293),$W$2:$W$1001,0),0),1)),INDEX($AB$2:$AB$1001,MATCH(ROWS($W$2:W293),$W$2:$W$1001,0),0)))</f>
        <v xml:space="preserve"> </v>
      </c>
      <c r="B293" s="4" t="str">
        <f ca="1">IF(OR(INDEX($X$2:$X$1001,MATCH(ROWS($W$2:W293),$W$2:$W$1001,0),1)&gt;=100000,INDEX($AD$1005:$AU$1005,1,MATCH(COLUMNS($AD$1006:AD1006),$AD$1006:$AU$1006,0))&gt;=100000), " ",IF(INDEX($AD$2:$AU$1001,MATCH(ROWS($W$2:W293),$W$2:$W$1001,0),MATCH(COLUMNS($AD$1006:AD1006),$AD$1006:$AU$1006,0)), HYPERLINK("#",""), HYPERLINK(CONCATENATE("#metadata!", ADDRESS(INDEX($Y$2:$Y$1001,MATCH(ROWS($W$2:W293),$W$2:$W$1001,0),0), INDEX($AD$1004:$AU$1004,1,MATCH(COLUMNS($AD$1006:AD1006),$AD$1006:$AU$1006,0)))),"Fix")))</f>
        <v xml:space="preserve"> </v>
      </c>
      <c r="C293" s="4" t="str">
        <f ca="1">IF(OR(INDEX($X$2:$X$1001,MATCH(ROWS($W$2:W293),$W$2:$W$1001,0),1)&gt;=100000,INDEX($AD$1005:$AU$1005,1,MATCH(COLUMNS($AD$1006:AE1006),$AD$1006:$AU$1006,0))&gt;=100000), " ",IF(INDEX($AD$2:$AU$1001,MATCH(ROWS($W$2:W293),$W$2:$W$1001,0),MATCH(COLUMNS($AD$1006:AE1006),$AD$1006:$AU$1006,0)), HYPERLINK("#",""), HYPERLINK(CONCATENATE("#metadata!", ADDRESS(INDEX($Y$2:$Y$1001,MATCH(ROWS($W$2:W293),$W$2:$W$1001,0),0), INDEX($AD$1004:$AU$1004,1,MATCH(COLUMNS($AD$1006:AE1006),$AD$1006:$AU$1006,0)))),"Fix")))</f>
        <v xml:space="preserve"> </v>
      </c>
      <c r="D293" s="4" t="str">
        <f ca="1">IF(OR(INDEX($X$2:$X$1001,MATCH(ROWS($W$2:W293),$W$2:$W$1001,0),1)&gt;=100000,INDEX($AD$1005:$AU$1005,1,MATCH(COLUMNS($AD$1006:AF1006),$AD$1006:$AU$1006,0))&gt;=100000), " ",IF(INDEX($AD$2:$AU$1001,MATCH(ROWS($W$2:W293),$W$2:$W$1001,0),MATCH(COLUMNS($AD$1006:AF1006),$AD$1006:$AU$1006,0)), HYPERLINK("#",""), HYPERLINK(CONCATENATE("#metadata!", ADDRESS(INDEX($Y$2:$Y$1001,MATCH(ROWS($W$2:W293),$W$2:$W$1001,0),0), INDEX($AD$1004:$AU$1004,1,MATCH(COLUMNS($AD$1006:AF1006),$AD$1006:$AU$1006,0)))),"Fix")))</f>
        <v xml:space="preserve"> </v>
      </c>
      <c r="E293" s="4" t="str">
        <f ca="1">IF(OR(INDEX($X$2:$X$1001,MATCH(ROWS($W$2:W293),$W$2:$W$1001,0),1)&gt;=100000,INDEX($AD$1005:$AU$1005,1,MATCH(COLUMNS($AD$1006:AG1006),$AD$1006:$AU$1006,0))&gt;=100000), " ",IF(INDEX($AD$2:$AU$1001,MATCH(ROWS($W$2:W293),$W$2:$W$1001,0),MATCH(COLUMNS($AD$1006:AG1006),$AD$1006:$AU$1006,0)), HYPERLINK("#",""), HYPERLINK(CONCATENATE("#metadata!", ADDRESS(INDEX($Y$2:$Y$1001,MATCH(ROWS($W$2:W293),$W$2:$W$1001,0),0), INDEX($AD$1004:$AU$1004,1,MATCH(COLUMNS($AD$1006:AG1006),$AD$1006:$AU$1006,0)))),"Fix")))</f>
        <v xml:space="preserve"> </v>
      </c>
      <c r="F293" s="4" t="str">
        <f ca="1">IF(OR(INDEX($X$2:$X$1001,MATCH(ROWS($W$2:W293),$W$2:$W$1001,0),1)&gt;=100000,INDEX($AD$1005:$AU$1005,1,MATCH(COLUMNS($AD$1006:AH1006),$AD$1006:$AU$1006,0))&gt;=100000), " ",IF(INDEX($AD$2:$AU$1001,MATCH(ROWS($W$2:W293),$W$2:$W$1001,0),MATCH(COLUMNS($AD$1006:AH1006),$AD$1006:$AU$1006,0)), HYPERLINK("#",""), HYPERLINK(CONCATENATE("#metadata!", ADDRESS(INDEX($Y$2:$Y$1001,MATCH(ROWS($W$2:W293),$W$2:$W$1001,0),0), INDEX($AD$1004:$AU$1004,1,MATCH(COLUMNS($AD$1006:AH1006),$AD$1006:$AU$1006,0)))),"Fix")))</f>
        <v xml:space="preserve"> </v>
      </c>
      <c r="G293" s="4" t="str">
        <f ca="1">IF(OR(INDEX($X$2:$X$1001,MATCH(ROWS($W$2:W293),$W$2:$W$1001,0),1)&gt;=100000,INDEX($AD$1005:$AU$1005,1,MATCH(COLUMNS($AD$1006:AI1006),$AD$1006:$AU$1006,0))&gt;=100000), " ",IF(INDEX($AD$2:$AU$1001,MATCH(ROWS($W$2:W293),$W$2:$W$1001,0),MATCH(COLUMNS($AD$1006:AI1006),$AD$1006:$AU$1006,0)), HYPERLINK("#",""), HYPERLINK(CONCATENATE("#metadata!", ADDRESS(INDEX($Y$2:$Y$1001,MATCH(ROWS($W$2:W293),$W$2:$W$1001,0),0), INDEX($AD$1004:$AU$1004,1,MATCH(COLUMNS($AD$1006:AI1006),$AD$1006:$AU$1006,0)))),"Fix")))</f>
        <v xml:space="preserve"> </v>
      </c>
      <c r="H293" s="4" t="str">
        <f ca="1">IF(OR(INDEX($X$2:$X$1001,MATCH(ROWS($W$2:W293),$W$2:$W$1001,0),1)&gt;=100000,INDEX($AD$1005:$AU$1005,1,MATCH(COLUMNS($AD$1006:AJ1006),$AD$1006:$AU$1006,0))&gt;=100000), " ",IF(INDEX($AD$2:$AU$1001,MATCH(ROWS($W$2:W293),$W$2:$W$1001,0),MATCH(COLUMNS($AD$1006:AJ1006),$AD$1006:$AU$1006,0)), HYPERLINK("#",""), HYPERLINK(CONCATENATE("#metadata!", ADDRESS(INDEX($Y$2:$Y$1001,MATCH(ROWS($W$2:W293),$W$2:$W$1001,0),0), INDEX($AD$1004:$AU$1004,1,MATCH(COLUMNS($AD$1006:AJ1006),$AD$1006:$AU$1006,0)))),"Fix")))</f>
        <v xml:space="preserve"> </v>
      </c>
      <c r="I293" s="4" t="str">
        <f ca="1">IF(OR(INDEX($X$2:$X$1001,MATCH(ROWS($W$2:W293),$W$2:$W$1001,0),1)&gt;=100000,INDEX($AD$1005:$AU$1005,1,MATCH(COLUMNS($AD$1006:AK1006),$AD$1006:$AU$1006,0))&gt;=100000), " ",IF(INDEX($AD$2:$AU$1001,MATCH(ROWS($W$2:W293),$W$2:$W$1001,0),MATCH(COLUMNS($AD$1006:AK1006),$AD$1006:$AU$1006,0)), HYPERLINK("#",""), HYPERLINK(CONCATENATE("#metadata!", ADDRESS(INDEX($Y$2:$Y$1001,MATCH(ROWS($W$2:W293),$W$2:$W$1001,0),0), INDEX($AD$1004:$AU$1004,1,MATCH(COLUMNS($AD$1006:AK1006),$AD$1006:$AU$1006,0)))),"Fix")))</f>
        <v xml:space="preserve"> </v>
      </c>
      <c r="J293" s="4" t="str">
        <f ca="1">IF(OR(INDEX($X$2:$X$1001,MATCH(ROWS($W$2:W293),$W$2:$W$1001,0),1)&gt;=100000,INDEX($AD$1005:$AU$1005,1,MATCH(COLUMNS($AD$1006:AL1006),$AD$1006:$AU$1006,0))&gt;=100000), " ",IF(INDEX($AD$2:$AU$1001,MATCH(ROWS($W$2:W293),$W$2:$W$1001,0),MATCH(COLUMNS($AD$1006:AL1006),$AD$1006:$AU$1006,0)), HYPERLINK("#",""), HYPERLINK(CONCATENATE("#metadata!", ADDRESS(INDEX($Y$2:$Y$1001,MATCH(ROWS($W$2:W293),$W$2:$W$1001,0),0), INDEX($AD$1004:$AU$1004,1,MATCH(COLUMNS($AD$1006:AL1006),$AD$1006:$AU$1006,0)))),"Fix")))</f>
        <v xml:space="preserve"> </v>
      </c>
      <c r="K293" s="4" t="str">
        <f ca="1">IF(OR(INDEX($X$2:$X$1001,MATCH(ROWS($W$2:W293),$W$2:$W$1001,0),1)&gt;=100000,INDEX($AD$1005:$AU$1005,1,MATCH(COLUMNS($AD$1006:AM1006),$AD$1006:$AU$1006,0))&gt;=100000), " ",IF(INDEX($AD$2:$AU$1001,MATCH(ROWS($W$2:W293),$W$2:$W$1001,0),MATCH(COLUMNS($AD$1006:AM1006),$AD$1006:$AU$1006,0)), HYPERLINK("#",""), HYPERLINK(CONCATENATE("#metadata!", ADDRESS(INDEX($Y$2:$Y$1001,MATCH(ROWS($W$2:W293),$W$2:$W$1001,0),0), INDEX($AD$1004:$AU$1004,1,MATCH(COLUMNS($AD$1006:AM1006),$AD$1006:$AU$1006,0)))),"Fix")))</f>
        <v xml:space="preserve"> </v>
      </c>
      <c r="L293" s="4" t="str">
        <f ca="1">IF(OR(INDEX($X$2:$X$1001,MATCH(ROWS($W$2:W293),$W$2:$W$1001,0),1)&gt;=100000,INDEX($AD$1005:$AU$1005,1,MATCH(COLUMNS($AD$1006:AN1006),$AD$1006:$AU$1006,0))&gt;=100000), " ",IF(INDEX($AD$2:$AU$1001,MATCH(ROWS($W$2:W293),$W$2:$W$1001,0),MATCH(COLUMNS($AD$1006:AN1006),$AD$1006:$AU$1006,0)), HYPERLINK("#",""), HYPERLINK(CONCATENATE("#metadata!", ADDRESS(INDEX($Y$2:$Y$1001,MATCH(ROWS($W$2:W293),$W$2:$W$1001,0),0), INDEX($AD$1004:$AU$1004,1,MATCH(COLUMNS($AD$1006:AN1006),$AD$1006:$AU$1006,0)))),"Fix")))</f>
        <v xml:space="preserve"> </v>
      </c>
      <c r="M293" s="4" t="str">
        <f ca="1">IF(OR(INDEX($X$2:$X$1001,MATCH(ROWS($W$2:W293),$W$2:$W$1001,0),1)&gt;=100000,INDEX($AD$1005:$AU$1005,1,MATCH(COLUMNS($AD$1006:AO1006),$AD$1006:$AU$1006,0))&gt;=100000), " ",IF(INDEX($AD$2:$AU$1001,MATCH(ROWS($W$2:W293),$W$2:$W$1001,0),MATCH(COLUMNS($AD$1006:AO1006),$AD$1006:$AU$1006,0)), HYPERLINK("#",""), HYPERLINK(CONCATENATE("#metadata!", ADDRESS(INDEX($Y$2:$Y$1001,MATCH(ROWS($W$2:W293),$W$2:$W$1001,0),0), INDEX($AD$1004:$AU$1004,1,MATCH(COLUMNS($AD$1006:AO1006),$AD$1006:$AU$1006,0)))),"Fix")))</f>
        <v xml:space="preserve"> </v>
      </c>
      <c r="N293" s="4" t="str">
        <f ca="1">IF(OR(INDEX($X$2:$X$1001,MATCH(ROWS($W$2:W293),$W$2:$W$1001,0),1)&gt;=100000,INDEX($AD$1005:$AU$1005,1,MATCH(COLUMNS($AD$1006:AP1006),$AD$1006:$AU$1006,0))&gt;=100000), " ",IF(INDEX($AD$2:$AU$1001,MATCH(ROWS($W$2:W293),$W$2:$W$1001,0),MATCH(COLUMNS($AD$1006:AP1006),$AD$1006:$AU$1006,0)), HYPERLINK("#",""), HYPERLINK(CONCATENATE("#metadata!", ADDRESS(INDEX($Y$2:$Y$1001,MATCH(ROWS($W$2:W293),$W$2:$W$1001,0),0), INDEX($AD$1004:$AU$1004,1,MATCH(COLUMNS($AD$1006:AP1006),$AD$1006:$AU$1006,0)))),"Fix")))</f>
        <v xml:space="preserve"> </v>
      </c>
      <c r="O293" s="4" t="str">
        <f ca="1">IF(OR(INDEX($X$2:$X$1001,MATCH(ROWS($W$2:W293),$W$2:$W$1001,0),1)&gt;=100000,INDEX($AD$1005:$AU$1005,1,MATCH(COLUMNS($AD$1006:AQ1006),$AD$1006:$AU$1006,0))&gt;=100000), " ",IF(INDEX($AD$2:$AU$1001,MATCH(ROWS($W$2:W293),$W$2:$W$1001,0),MATCH(COLUMNS($AD$1006:AQ1006),$AD$1006:$AU$1006,0)), HYPERLINK("#",""), HYPERLINK(CONCATENATE("#metadata!", ADDRESS(INDEX($Y$2:$Y$1001,MATCH(ROWS($W$2:W293),$W$2:$W$1001,0),0), INDEX($AD$1004:$AU$1004,1,MATCH(COLUMNS($AD$1006:AQ1006),$AD$1006:$AU$1006,0)))),"Fix")))</f>
        <v xml:space="preserve"> </v>
      </c>
      <c r="P293" s="4" t="str">
        <f ca="1">IF(OR(INDEX($X$2:$X$1001,MATCH(ROWS($W$2:W293),$W$2:$W$1001,0),1)&gt;=100000,INDEX($AD$1005:$AU$1005,1,MATCH(COLUMNS($AD$1006:AR1006),$AD$1006:$AU$1006,0))&gt;=100000), " ",IF(INDEX($AD$2:$AU$1001,MATCH(ROWS($W$2:W293),$W$2:$W$1001,0),MATCH(COLUMNS($AD$1006:AR1006),$AD$1006:$AU$1006,0)), HYPERLINK("#",""), HYPERLINK(CONCATENATE("#metadata!", ADDRESS(INDEX($Y$2:$Y$1001,MATCH(ROWS($W$2:W293),$W$2:$W$1001,0),0), INDEX($AD$1004:$AU$1004,1,MATCH(COLUMNS($AD$1006:AR1006),$AD$1006:$AU$1006,0)))),"Fix")))</f>
        <v xml:space="preserve"> </v>
      </c>
      <c r="Q293" s="4" t="str">
        <f ca="1">IF(OR(INDEX($X$2:$X$1001,MATCH(ROWS($W$2:W293),$W$2:$W$1001,0),1)&gt;=100000,INDEX($AD$1005:$AU$1005,1,MATCH(COLUMNS($AD$1006:AS1006),$AD$1006:$AU$1006,0))&gt;=100000), " ",IF(INDEX($AD$2:$AU$1001,MATCH(ROWS($W$2:W293),$W$2:$W$1001,0),MATCH(COLUMNS($AD$1006:AS1006),$AD$1006:$AU$1006,0)), HYPERLINK("#",""), HYPERLINK(CONCATENATE("#metadata!", ADDRESS(INDEX($Y$2:$Y$1001,MATCH(ROWS($W$2:W293),$W$2:$W$1001,0),0), INDEX($AD$1004:$AU$1004,1,MATCH(COLUMNS($AD$1006:AS1006),$AD$1006:$AU$1006,0)))),"Fix")))</f>
        <v xml:space="preserve"> </v>
      </c>
      <c r="R293" s="4" t="str">
        <f ca="1">IF(OR(INDEX($X$2:$X$1001,MATCH(ROWS($W$2:W293),$W$2:$W$1001,0),1)&gt;=100000,INDEX($AD$1005:$AU$1005,1,MATCH(COLUMNS($AD$1006:AT1006),$AD$1006:$AU$1006,0))&gt;=100000), " ",IF(INDEX($AD$2:$AU$1001,MATCH(ROWS($W$2:W293),$W$2:$W$1001,0),MATCH(COLUMNS($AD$1006:AT1006),$AD$1006:$AU$1006,0)), HYPERLINK("#",""), HYPERLINK(CONCATENATE("#metadata!", ADDRESS(INDEX($Y$2:$Y$1001,MATCH(ROWS($W$2:W293),$W$2:$W$1001,0),0), INDEX($AD$1004:$AU$1004,1,MATCH(COLUMNS($AD$1006:AT1006),$AD$1006:$AU$1006,0)))),"Fix")))</f>
        <v xml:space="preserve"> </v>
      </c>
      <c r="S293" s="4" t="str">
        <f ca="1">IF(OR(INDEX($X$2:$X$1001,MATCH(ROWS($W$2:W293),$W$2:$W$1001,0),1)&gt;=100000,INDEX($AD$1005:$AU$1005,1,MATCH(COLUMNS($AD$1006:AU1006),$AD$1006:$AU$1006,0))&gt;=100000), " ",IF(INDEX($AD$2:$AU$1001,MATCH(ROWS($W$2:W293),$W$2:$W$1001,0),MATCH(COLUMNS($AD$1006:AU1006),$AD$1006:$AU$1006,0)), HYPERLINK("#",""), HYPERLINK(CONCATENATE("#metadata!", ADDRESS(INDEX($Y$2:$Y$1001,MATCH(ROWS($W$2:W293),$W$2:$W$1001,0),0), INDEX($AD$1004:$AU$1004,1,MATCH(COLUMNS($AD$1006:AU1006),$AD$1006:$AU$1006,0)))),"Fix")))</f>
        <v xml:space="preserve"> </v>
      </c>
      <c r="W293">
        <v>292</v>
      </c>
      <c r="X293">
        <v>100293</v>
      </c>
      <c r="Y293">
        <v>293</v>
      </c>
      <c r="Z293" t="b">
        <f t="shared" si="4"/>
        <v>1</v>
      </c>
      <c r="AA293" t="b">
        <f>COUNTBLANK(metadata!B293:S293)=COLUMNS(metadata!B293:S293)</f>
        <v>1</v>
      </c>
      <c r="AB293" t="str">
        <v/>
      </c>
      <c r="AD293" t="b">
        <f ca="1">AND(IF(metadata!B293="",FALSE,TRUE),COUNTIF(metadata!B:B, metadata!B293) = 1,NOT(ISERROR(SUMPRODUCT(SEARCH(MID(metadata!B293,ROW(INDIRECT("1:"&amp;LEN(metadata!B293))), 1),"0123456789abcdefghijklmnopqrstuvwxyzABCDEFGHIJKLMNOPQRSTUVWXYZ.")))))</f>
        <v>0</v>
      </c>
      <c r="AE293" t="b">
        <f>OR(AND(IF(metadata!C293="",FALSE,TRUE),OR(EXACT(metadata!C293,"not applicable"),EXACT(metadata!C293,"missing: not collected"),EXACT(metadata!C293,"missing: not provided"),EXACT(metadata!C293,"missing: restricted access"))),AND(IF(metadata!C293="",FALSE,ISNUMBER(VALUE(metadata!C293))),metadata!C293&gt;0))</f>
        <v>0</v>
      </c>
      <c r="AF293" t="b">
        <f>AND(IF(metadata!D293="",FALSE,TRUE),EXACT(metadata!D293,"missing: not provided"))</f>
        <v>0</v>
      </c>
      <c r="AG293" t="b">
        <f>AND(IF(metadata!E293="",FALSE,TRUE),EXACT(metadata!E293,"Host-associated"))</f>
        <v>0</v>
      </c>
      <c r="AH293" t="b">
        <f>AND(IF(metadata!F293="",FALSE,TRUE),OR(EXACT(metadata!F293,"Animal"),EXACT(metadata!F293,"Fungus"),EXACT(metadata!F293,"Plant")))</f>
        <v>0</v>
      </c>
      <c r="AI293" t="b">
        <f>AND(IF(metadata!G293="",FALSE,TRUE),OR(EXACT(metadata!G293,"Plant secretion"),EXACT(metadata!G293,"Plant rhizosphere"),EXACT(metadata!G293,"Plant surface"),EXACT(metadata!G293,"Plant corpus"),EXACT(metadata!G293,"Fungus surface"),EXACT(metadata!G293,"Fungus corpus"),EXACT(metadata!G293,"Animal surface"),EXACT(metadata!G293,"Animal proximal gut"),EXACT(metadata!G293,"Animal corpus"),EXACT(metadata!G293,"Animal distal gut"),EXACT(metadata!G293,"Animal secretion")))</f>
        <v>0</v>
      </c>
      <c r="AJ293" t="b">
        <f>OR(AND(IF(metadata!H293="",FALSE,TRUE),OR(EXACT(metadata!H293,"missing: not collected"),EXACT(metadata!H293,"missing: not provided"),EXACT(metadata!H293,"missing: restricted access"))),AND(IF(metadata!H293="",FALSE,TRUE),OR(EXACT(metadata!H293,"organism-associated habitat"),EXACT(metadata!H293,"plant-associated habitat"),EXACT(metadata!H293,"animal-associated habitat"),EXACT(metadata!H293,"insecta-associated habitat"),EXACT(metadata!H293,"mammalia-associated habitat"),EXACT(metadata!H293,"human-associated habitat"),EXACT(metadata!H293,"livestock-associated habitat"))))</f>
        <v>0</v>
      </c>
      <c r="AK293" t="b">
        <f>AND(IF(metadata!I293="",FALSE,TRUE),EXACT(metadata!I293,"host-associated"))</f>
        <v>0</v>
      </c>
      <c r="AL293" t="b">
        <f>OR(AND(IF(metadata!J293="",FALSE,TRUE),OR(EXACT(metadata!J293,"not applicable"),EXACT(metadata!J293,"missing: not collected"),EXACT(metadata!J293,"missing: not provided"),EXACT(metadata!J293,"missing: restricted access"))),AND(IF(metadata!J293="",FALSE,ISNUMBER(VALUE(metadata!J293))),metadata!J293&gt;0))</f>
        <v>0</v>
      </c>
      <c r="AM293" t="b">
        <f>AND(IF(metadata!K293="",FALSE,TRUE),EXACT(metadata!K293,"missing: not provided"))</f>
        <v>0</v>
      </c>
      <c r="AN293" t="b">
        <f>IF(metadata!L293="",FALSE,TRUE)</f>
        <v>0</v>
      </c>
      <c r="AO293" t="b">
        <f>IF(metadata!M293="",FALSE,TRUE)</f>
        <v>0</v>
      </c>
      <c r="AP293" t="b">
        <f>OR(AND(IF(metadata!N293="",FALSE,TRUE),OR(EXACT(metadata!N293,"not applicable"),EXACT(metadata!N293,"missing: not collected"),EXACT(metadata!N293,"missing: not provided"))),AND(IF(metadata!N293="",FALSE,IF(ISERROR(INT(metadata!N293)),FALSE,INT(metadata!N293)=metadata!N293)),metadata!N293&gt;0))</f>
        <v>0</v>
      </c>
      <c r="AQ293" t="b">
        <f>AND(IF(metadata!O293="",FALSE,TRUE),EXACT(metadata!O293,"Not applicable"))</f>
        <v>0</v>
      </c>
      <c r="AR293" t="b">
        <f>OR(AND(IF(metadata!P293="",FALSE,TRUE),OR(EXACT(metadata!P293,"not applicable"),EXACT(metadata!P293,"missing: not collected"),EXACT(metadata!P293,"missing: not provided"),EXACT(metadata!P293,"missing: restricted access"))),IF(metadata!P293="",FALSE,IF(ISERROR(INT(metadata!P293)),FALSE,INT(metadata!P293)=metadata!P293)))</f>
        <v>0</v>
      </c>
      <c r="AS293" t="b">
        <f>AND(IF(metadata!Q293="",FALSE,TRUE),EXACT(metadata!Q293,"Not applicable"))</f>
        <v>0</v>
      </c>
      <c r="AT293" t="b">
        <f>OR(AND(IF(metadata!R293="",FALSE,TRUE),OR(EXACT(metadata!R293,"not applicable"),EXACT(metadata!R293,"missing: not collected"),EXACT(metadata!R293,"missing: not provided"),EXACT(metadata!R293,"missing: restricted access"))),AND(IF(metadata!R293="",FALSE,ISNUMBER(VALUE(metadata!R293))),metadata!R293&gt;0))</f>
        <v>0</v>
      </c>
      <c r="AU293" t="b">
        <f>AND(IF(metadata!S293="",FALSE,TRUE),EXACT(metadata!S293,"missing: not provided"))</f>
        <v>0</v>
      </c>
    </row>
    <row r="294" spans="1:47" x14ac:dyDescent="0.2">
      <c r="A294" s="5" t="str">
        <f ca="1">IF(B294=" "," ",HYPERLINK(CONCATENATE("#metadata!",ADDRESS(INDEX($Y$2:$Y$1001,MATCH(ROWS($W$2:W294),$W$2:$W$1001,0),0),1)),INDEX($AB$2:$AB$1001,MATCH(ROWS($W$2:W294),$W$2:$W$1001,0),0)))</f>
        <v xml:space="preserve"> </v>
      </c>
      <c r="B294" s="4" t="str">
        <f ca="1">IF(OR(INDEX($X$2:$X$1001,MATCH(ROWS($W$2:W294),$W$2:$W$1001,0),1)&gt;=100000,INDEX($AD$1005:$AU$1005,1,MATCH(COLUMNS($AD$1006:AD1006),$AD$1006:$AU$1006,0))&gt;=100000), " ",IF(INDEX($AD$2:$AU$1001,MATCH(ROWS($W$2:W294),$W$2:$W$1001,0),MATCH(COLUMNS($AD$1006:AD1006),$AD$1006:$AU$1006,0)), HYPERLINK("#",""), HYPERLINK(CONCATENATE("#metadata!", ADDRESS(INDEX($Y$2:$Y$1001,MATCH(ROWS($W$2:W294),$W$2:$W$1001,0),0), INDEX($AD$1004:$AU$1004,1,MATCH(COLUMNS($AD$1006:AD1006),$AD$1006:$AU$1006,0)))),"Fix")))</f>
        <v xml:space="preserve"> </v>
      </c>
      <c r="C294" s="4" t="str">
        <f ca="1">IF(OR(INDEX($X$2:$X$1001,MATCH(ROWS($W$2:W294),$W$2:$W$1001,0),1)&gt;=100000,INDEX($AD$1005:$AU$1005,1,MATCH(COLUMNS($AD$1006:AE1006),$AD$1006:$AU$1006,0))&gt;=100000), " ",IF(INDEX($AD$2:$AU$1001,MATCH(ROWS($W$2:W294),$W$2:$W$1001,0),MATCH(COLUMNS($AD$1006:AE1006),$AD$1006:$AU$1006,0)), HYPERLINK("#",""), HYPERLINK(CONCATENATE("#metadata!", ADDRESS(INDEX($Y$2:$Y$1001,MATCH(ROWS($W$2:W294),$W$2:$W$1001,0),0), INDEX($AD$1004:$AU$1004,1,MATCH(COLUMNS($AD$1006:AE1006),$AD$1006:$AU$1006,0)))),"Fix")))</f>
        <v xml:space="preserve"> </v>
      </c>
      <c r="D294" s="4" t="str">
        <f ca="1">IF(OR(INDEX($X$2:$X$1001,MATCH(ROWS($W$2:W294),$W$2:$W$1001,0),1)&gt;=100000,INDEX($AD$1005:$AU$1005,1,MATCH(COLUMNS($AD$1006:AF1006),$AD$1006:$AU$1006,0))&gt;=100000), " ",IF(INDEX($AD$2:$AU$1001,MATCH(ROWS($W$2:W294),$W$2:$W$1001,0),MATCH(COLUMNS($AD$1006:AF1006),$AD$1006:$AU$1006,0)), HYPERLINK("#",""), HYPERLINK(CONCATENATE("#metadata!", ADDRESS(INDEX($Y$2:$Y$1001,MATCH(ROWS($W$2:W294),$W$2:$W$1001,0),0), INDEX($AD$1004:$AU$1004,1,MATCH(COLUMNS($AD$1006:AF1006),$AD$1006:$AU$1006,0)))),"Fix")))</f>
        <v xml:space="preserve"> </v>
      </c>
      <c r="E294" s="4" t="str">
        <f ca="1">IF(OR(INDEX($X$2:$X$1001,MATCH(ROWS($W$2:W294),$W$2:$W$1001,0),1)&gt;=100000,INDEX($AD$1005:$AU$1005,1,MATCH(COLUMNS($AD$1006:AG1006),$AD$1006:$AU$1006,0))&gt;=100000), " ",IF(INDEX($AD$2:$AU$1001,MATCH(ROWS($W$2:W294),$W$2:$W$1001,0),MATCH(COLUMNS($AD$1006:AG1006),$AD$1006:$AU$1006,0)), HYPERLINK("#",""), HYPERLINK(CONCATENATE("#metadata!", ADDRESS(INDEX($Y$2:$Y$1001,MATCH(ROWS($W$2:W294),$W$2:$W$1001,0),0), INDEX($AD$1004:$AU$1004,1,MATCH(COLUMNS($AD$1006:AG1006),$AD$1006:$AU$1006,0)))),"Fix")))</f>
        <v xml:space="preserve"> </v>
      </c>
      <c r="F294" s="4" t="str">
        <f ca="1">IF(OR(INDEX($X$2:$X$1001,MATCH(ROWS($W$2:W294),$W$2:$W$1001,0),1)&gt;=100000,INDEX($AD$1005:$AU$1005,1,MATCH(COLUMNS($AD$1006:AH1006),$AD$1006:$AU$1006,0))&gt;=100000), " ",IF(INDEX($AD$2:$AU$1001,MATCH(ROWS($W$2:W294),$W$2:$W$1001,0),MATCH(COLUMNS($AD$1006:AH1006),$AD$1006:$AU$1006,0)), HYPERLINK("#",""), HYPERLINK(CONCATENATE("#metadata!", ADDRESS(INDEX($Y$2:$Y$1001,MATCH(ROWS($W$2:W294),$W$2:$W$1001,0),0), INDEX($AD$1004:$AU$1004,1,MATCH(COLUMNS($AD$1006:AH1006),$AD$1006:$AU$1006,0)))),"Fix")))</f>
        <v xml:space="preserve"> </v>
      </c>
      <c r="G294" s="4" t="str">
        <f ca="1">IF(OR(INDEX($X$2:$X$1001,MATCH(ROWS($W$2:W294),$W$2:$W$1001,0),1)&gt;=100000,INDEX($AD$1005:$AU$1005,1,MATCH(COLUMNS($AD$1006:AI1006),$AD$1006:$AU$1006,0))&gt;=100000), " ",IF(INDEX($AD$2:$AU$1001,MATCH(ROWS($W$2:W294),$W$2:$W$1001,0),MATCH(COLUMNS($AD$1006:AI1006),$AD$1006:$AU$1006,0)), HYPERLINK("#",""), HYPERLINK(CONCATENATE("#metadata!", ADDRESS(INDEX($Y$2:$Y$1001,MATCH(ROWS($W$2:W294),$W$2:$W$1001,0),0), INDEX($AD$1004:$AU$1004,1,MATCH(COLUMNS($AD$1006:AI1006),$AD$1006:$AU$1006,0)))),"Fix")))</f>
        <v xml:space="preserve"> </v>
      </c>
      <c r="H294" s="4" t="str">
        <f ca="1">IF(OR(INDEX($X$2:$X$1001,MATCH(ROWS($W$2:W294),$W$2:$W$1001,0),1)&gt;=100000,INDEX($AD$1005:$AU$1005,1,MATCH(COLUMNS($AD$1006:AJ1006),$AD$1006:$AU$1006,0))&gt;=100000), " ",IF(INDEX($AD$2:$AU$1001,MATCH(ROWS($W$2:W294),$W$2:$W$1001,0),MATCH(COLUMNS($AD$1006:AJ1006),$AD$1006:$AU$1006,0)), HYPERLINK("#",""), HYPERLINK(CONCATENATE("#metadata!", ADDRESS(INDEX($Y$2:$Y$1001,MATCH(ROWS($W$2:W294),$W$2:$W$1001,0),0), INDEX($AD$1004:$AU$1004,1,MATCH(COLUMNS($AD$1006:AJ1006),$AD$1006:$AU$1006,0)))),"Fix")))</f>
        <v xml:space="preserve"> </v>
      </c>
      <c r="I294" s="4" t="str">
        <f ca="1">IF(OR(INDEX($X$2:$X$1001,MATCH(ROWS($W$2:W294),$W$2:$W$1001,0),1)&gt;=100000,INDEX($AD$1005:$AU$1005,1,MATCH(COLUMNS($AD$1006:AK1006),$AD$1006:$AU$1006,0))&gt;=100000), " ",IF(INDEX($AD$2:$AU$1001,MATCH(ROWS($W$2:W294),$W$2:$W$1001,0),MATCH(COLUMNS($AD$1006:AK1006),$AD$1006:$AU$1006,0)), HYPERLINK("#",""), HYPERLINK(CONCATENATE("#metadata!", ADDRESS(INDEX($Y$2:$Y$1001,MATCH(ROWS($W$2:W294),$W$2:$W$1001,0),0), INDEX($AD$1004:$AU$1004,1,MATCH(COLUMNS($AD$1006:AK1006),$AD$1006:$AU$1006,0)))),"Fix")))</f>
        <v xml:space="preserve"> </v>
      </c>
      <c r="J294" s="4" t="str">
        <f ca="1">IF(OR(INDEX($X$2:$X$1001,MATCH(ROWS($W$2:W294),$W$2:$W$1001,0),1)&gt;=100000,INDEX($AD$1005:$AU$1005,1,MATCH(COLUMNS($AD$1006:AL1006),$AD$1006:$AU$1006,0))&gt;=100000), " ",IF(INDEX($AD$2:$AU$1001,MATCH(ROWS($W$2:W294),$W$2:$W$1001,0),MATCH(COLUMNS($AD$1006:AL1006),$AD$1006:$AU$1006,0)), HYPERLINK("#",""), HYPERLINK(CONCATENATE("#metadata!", ADDRESS(INDEX($Y$2:$Y$1001,MATCH(ROWS($W$2:W294),$W$2:$W$1001,0),0), INDEX($AD$1004:$AU$1004,1,MATCH(COLUMNS($AD$1006:AL1006),$AD$1006:$AU$1006,0)))),"Fix")))</f>
        <v xml:space="preserve"> </v>
      </c>
      <c r="K294" s="4" t="str">
        <f ca="1">IF(OR(INDEX($X$2:$X$1001,MATCH(ROWS($W$2:W294),$W$2:$W$1001,0),1)&gt;=100000,INDEX($AD$1005:$AU$1005,1,MATCH(COLUMNS($AD$1006:AM1006),$AD$1006:$AU$1006,0))&gt;=100000), " ",IF(INDEX($AD$2:$AU$1001,MATCH(ROWS($W$2:W294),$W$2:$W$1001,0),MATCH(COLUMNS($AD$1006:AM1006),$AD$1006:$AU$1006,0)), HYPERLINK("#",""), HYPERLINK(CONCATENATE("#metadata!", ADDRESS(INDEX($Y$2:$Y$1001,MATCH(ROWS($W$2:W294),$W$2:$W$1001,0),0), INDEX($AD$1004:$AU$1004,1,MATCH(COLUMNS($AD$1006:AM1006),$AD$1006:$AU$1006,0)))),"Fix")))</f>
        <v xml:space="preserve"> </v>
      </c>
      <c r="L294" s="4" t="str">
        <f ca="1">IF(OR(INDEX($X$2:$X$1001,MATCH(ROWS($W$2:W294),$W$2:$W$1001,0),1)&gt;=100000,INDEX($AD$1005:$AU$1005,1,MATCH(COLUMNS($AD$1006:AN1006),$AD$1006:$AU$1006,0))&gt;=100000), " ",IF(INDEX($AD$2:$AU$1001,MATCH(ROWS($W$2:W294),$W$2:$W$1001,0),MATCH(COLUMNS($AD$1006:AN1006),$AD$1006:$AU$1006,0)), HYPERLINK("#",""), HYPERLINK(CONCATENATE("#metadata!", ADDRESS(INDEX($Y$2:$Y$1001,MATCH(ROWS($W$2:W294),$W$2:$W$1001,0),0), INDEX($AD$1004:$AU$1004,1,MATCH(COLUMNS($AD$1006:AN1006),$AD$1006:$AU$1006,0)))),"Fix")))</f>
        <v xml:space="preserve"> </v>
      </c>
      <c r="M294" s="4" t="str">
        <f ca="1">IF(OR(INDEX($X$2:$X$1001,MATCH(ROWS($W$2:W294),$W$2:$W$1001,0),1)&gt;=100000,INDEX($AD$1005:$AU$1005,1,MATCH(COLUMNS($AD$1006:AO1006),$AD$1006:$AU$1006,0))&gt;=100000), " ",IF(INDEX($AD$2:$AU$1001,MATCH(ROWS($W$2:W294),$W$2:$W$1001,0),MATCH(COLUMNS($AD$1006:AO1006),$AD$1006:$AU$1006,0)), HYPERLINK("#",""), HYPERLINK(CONCATENATE("#metadata!", ADDRESS(INDEX($Y$2:$Y$1001,MATCH(ROWS($W$2:W294),$W$2:$W$1001,0),0), INDEX($AD$1004:$AU$1004,1,MATCH(COLUMNS($AD$1006:AO1006),$AD$1006:$AU$1006,0)))),"Fix")))</f>
        <v xml:space="preserve"> </v>
      </c>
      <c r="N294" s="4" t="str">
        <f ca="1">IF(OR(INDEX($X$2:$X$1001,MATCH(ROWS($W$2:W294),$W$2:$W$1001,0),1)&gt;=100000,INDEX($AD$1005:$AU$1005,1,MATCH(COLUMNS($AD$1006:AP1006),$AD$1006:$AU$1006,0))&gt;=100000), " ",IF(INDEX($AD$2:$AU$1001,MATCH(ROWS($W$2:W294),$W$2:$W$1001,0),MATCH(COLUMNS($AD$1006:AP1006),$AD$1006:$AU$1006,0)), HYPERLINK("#",""), HYPERLINK(CONCATENATE("#metadata!", ADDRESS(INDEX($Y$2:$Y$1001,MATCH(ROWS($W$2:W294),$W$2:$W$1001,0),0), INDEX($AD$1004:$AU$1004,1,MATCH(COLUMNS($AD$1006:AP1006),$AD$1006:$AU$1006,0)))),"Fix")))</f>
        <v xml:space="preserve"> </v>
      </c>
      <c r="O294" s="4" t="str">
        <f ca="1">IF(OR(INDEX($X$2:$X$1001,MATCH(ROWS($W$2:W294),$W$2:$W$1001,0),1)&gt;=100000,INDEX($AD$1005:$AU$1005,1,MATCH(COLUMNS($AD$1006:AQ1006),$AD$1006:$AU$1006,0))&gt;=100000), " ",IF(INDEX($AD$2:$AU$1001,MATCH(ROWS($W$2:W294),$W$2:$W$1001,0),MATCH(COLUMNS($AD$1006:AQ1006),$AD$1006:$AU$1006,0)), HYPERLINK("#",""), HYPERLINK(CONCATENATE("#metadata!", ADDRESS(INDEX($Y$2:$Y$1001,MATCH(ROWS($W$2:W294),$W$2:$W$1001,0),0), INDEX($AD$1004:$AU$1004,1,MATCH(COLUMNS($AD$1006:AQ1006),$AD$1006:$AU$1006,0)))),"Fix")))</f>
        <v xml:space="preserve"> </v>
      </c>
      <c r="P294" s="4" t="str">
        <f ca="1">IF(OR(INDEX($X$2:$X$1001,MATCH(ROWS($W$2:W294),$W$2:$W$1001,0),1)&gt;=100000,INDEX($AD$1005:$AU$1005,1,MATCH(COLUMNS($AD$1006:AR1006),$AD$1006:$AU$1006,0))&gt;=100000), " ",IF(INDEX($AD$2:$AU$1001,MATCH(ROWS($W$2:W294),$W$2:$W$1001,0),MATCH(COLUMNS($AD$1006:AR1006),$AD$1006:$AU$1006,0)), HYPERLINK("#",""), HYPERLINK(CONCATENATE("#metadata!", ADDRESS(INDEX($Y$2:$Y$1001,MATCH(ROWS($W$2:W294),$W$2:$W$1001,0),0), INDEX($AD$1004:$AU$1004,1,MATCH(COLUMNS($AD$1006:AR1006),$AD$1006:$AU$1006,0)))),"Fix")))</f>
        <v xml:space="preserve"> </v>
      </c>
      <c r="Q294" s="4" t="str">
        <f ca="1">IF(OR(INDEX($X$2:$X$1001,MATCH(ROWS($W$2:W294),$W$2:$W$1001,0),1)&gt;=100000,INDEX($AD$1005:$AU$1005,1,MATCH(COLUMNS($AD$1006:AS1006),$AD$1006:$AU$1006,0))&gt;=100000), " ",IF(INDEX($AD$2:$AU$1001,MATCH(ROWS($W$2:W294),$W$2:$W$1001,0),MATCH(COLUMNS($AD$1006:AS1006),$AD$1006:$AU$1006,0)), HYPERLINK("#",""), HYPERLINK(CONCATENATE("#metadata!", ADDRESS(INDEX($Y$2:$Y$1001,MATCH(ROWS($W$2:W294),$W$2:$W$1001,0),0), INDEX($AD$1004:$AU$1004,1,MATCH(COLUMNS($AD$1006:AS1006),$AD$1006:$AU$1006,0)))),"Fix")))</f>
        <v xml:space="preserve"> </v>
      </c>
      <c r="R294" s="4" t="str">
        <f ca="1">IF(OR(INDEX($X$2:$X$1001,MATCH(ROWS($W$2:W294),$W$2:$W$1001,0),1)&gt;=100000,INDEX($AD$1005:$AU$1005,1,MATCH(COLUMNS($AD$1006:AT1006),$AD$1006:$AU$1006,0))&gt;=100000), " ",IF(INDEX($AD$2:$AU$1001,MATCH(ROWS($W$2:W294),$W$2:$W$1001,0),MATCH(COLUMNS($AD$1006:AT1006),$AD$1006:$AU$1006,0)), HYPERLINK("#",""), HYPERLINK(CONCATENATE("#metadata!", ADDRESS(INDEX($Y$2:$Y$1001,MATCH(ROWS($W$2:W294),$W$2:$W$1001,0),0), INDEX($AD$1004:$AU$1004,1,MATCH(COLUMNS($AD$1006:AT1006),$AD$1006:$AU$1006,0)))),"Fix")))</f>
        <v xml:space="preserve"> </v>
      </c>
      <c r="S294" s="4" t="str">
        <f ca="1">IF(OR(INDEX($X$2:$X$1001,MATCH(ROWS($W$2:W294),$W$2:$W$1001,0),1)&gt;=100000,INDEX($AD$1005:$AU$1005,1,MATCH(COLUMNS($AD$1006:AU1006),$AD$1006:$AU$1006,0))&gt;=100000), " ",IF(INDEX($AD$2:$AU$1001,MATCH(ROWS($W$2:W294),$W$2:$W$1001,0),MATCH(COLUMNS($AD$1006:AU1006),$AD$1006:$AU$1006,0)), HYPERLINK("#",""), HYPERLINK(CONCATENATE("#metadata!", ADDRESS(INDEX($Y$2:$Y$1001,MATCH(ROWS($W$2:W294),$W$2:$W$1001,0),0), INDEX($AD$1004:$AU$1004,1,MATCH(COLUMNS($AD$1006:AU1006),$AD$1006:$AU$1006,0)))),"Fix")))</f>
        <v xml:space="preserve"> </v>
      </c>
      <c r="W294">
        <v>293</v>
      </c>
      <c r="X294">
        <v>100294</v>
      </c>
      <c r="Y294">
        <v>294</v>
      </c>
      <c r="Z294" t="b">
        <f t="shared" si="4"/>
        <v>1</v>
      </c>
      <c r="AA294" t="b">
        <f>COUNTBLANK(metadata!B294:S294)=COLUMNS(metadata!B294:S294)</f>
        <v>1</v>
      </c>
      <c r="AB294" t="str">
        <v/>
      </c>
      <c r="AD294" t="b">
        <f ca="1">AND(IF(metadata!B294="",FALSE,TRUE),COUNTIF(metadata!B:B, metadata!B294) = 1,NOT(ISERROR(SUMPRODUCT(SEARCH(MID(metadata!B294,ROW(INDIRECT("1:"&amp;LEN(metadata!B294))), 1),"0123456789abcdefghijklmnopqrstuvwxyzABCDEFGHIJKLMNOPQRSTUVWXYZ.")))))</f>
        <v>0</v>
      </c>
      <c r="AE294" t="b">
        <f>OR(AND(IF(metadata!C294="",FALSE,TRUE),OR(EXACT(metadata!C294,"not applicable"),EXACT(metadata!C294,"missing: not collected"),EXACT(metadata!C294,"missing: not provided"),EXACT(metadata!C294,"missing: restricted access"))),AND(IF(metadata!C294="",FALSE,ISNUMBER(VALUE(metadata!C294))),metadata!C294&gt;0))</f>
        <v>0</v>
      </c>
      <c r="AF294" t="b">
        <f>AND(IF(metadata!D294="",FALSE,TRUE),EXACT(metadata!D294,"missing: not provided"))</f>
        <v>0</v>
      </c>
      <c r="AG294" t="b">
        <f>AND(IF(metadata!E294="",FALSE,TRUE),EXACT(metadata!E294,"Host-associated"))</f>
        <v>0</v>
      </c>
      <c r="AH294" t="b">
        <f>AND(IF(metadata!F294="",FALSE,TRUE),OR(EXACT(metadata!F294,"Animal"),EXACT(metadata!F294,"Fungus"),EXACT(metadata!F294,"Plant")))</f>
        <v>0</v>
      </c>
      <c r="AI294" t="b">
        <f>AND(IF(metadata!G294="",FALSE,TRUE),OR(EXACT(metadata!G294,"Plant secretion"),EXACT(metadata!G294,"Plant rhizosphere"),EXACT(metadata!G294,"Plant surface"),EXACT(metadata!G294,"Plant corpus"),EXACT(metadata!G294,"Fungus surface"),EXACT(metadata!G294,"Fungus corpus"),EXACT(metadata!G294,"Animal surface"),EXACT(metadata!G294,"Animal proximal gut"),EXACT(metadata!G294,"Animal corpus"),EXACT(metadata!G294,"Animal distal gut"),EXACT(metadata!G294,"Animal secretion")))</f>
        <v>0</v>
      </c>
      <c r="AJ294" t="b">
        <f>OR(AND(IF(metadata!H294="",FALSE,TRUE),OR(EXACT(metadata!H294,"missing: not collected"),EXACT(metadata!H294,"missing: not provided"),EXACT(metadata!H294,"missing: restricted access"))),AND(IF(metadata!H294="",FALSE,TRUE),OR(EXACT(metadata!H294,"organism-associated habitat"),EXACT(metadata!H294,"plant-associated habitat"),EXACT(metadata!H294,"animal-associated habitat"),EXACT(metadata!H294,"insecta-associated habitat"),EXACT(metadata!H294,"mammalia-associated habitat"),EXACT(metadata!H294,"human-associated habitat"),EXACT(metadata!H294,"livestock-associated habitat"))))</f>
        <v>0</v>
      </c>
      <c r="AK294" t="b">
        <f>AND(IF(metadata!I294="",FALSE,TRUE),EXACT(metadata!I294,"host-associated"))</f>
        <v>0</v>
      </c>
      <c r="AL294" t="b">
        <f>OR(AND(IF(metadata!J294="",FALSE,TRUE),OR(EXACT(metadata!J294,"not applicable"),EXACT(metadata!J294,"missing: not collected"),EXACT(metadata!J294,"missing: not provided"),EXACT(metadata!J294,"missing: restricted access"))),AND(IF(metadata!J294="",FALSE,ISNUMBER(VALUE(metadata!J294))),metadata!J294&gt;0))</f>
        <v>0</v>
      </c>
      <c r="AM294" t="b">
        <f>AND(IF(metadata!K294="",FALSE,TRUE),EXACT(metadata!K294,"missing: not provided"))</f>
        <v>0</v>
      </c>
      <c r="AN294" t="b">
        <f>IF(metadata!L294="",FALSE,TRUE)</f>
        <v>0</v>
      </c>
      <c r="AO294" t="b">
        <f>IF(metadata!M294="",FALSE,TRUE)</f>
        <v>0</v>
      </c>
      <c r="AP294" t="b">
        <f>OR(AND(IF(metadata!N294="",FALSE,TRUE),OR(EXACT(metadata!N294,"not applicable"),EXACT(metadata!N294,"missing: not collected"),EXACT(metadata!N294,"missing: not provided"))),AND(IF(metadata!N294="",FALSE,IF(ISERROR(INT(metadata!N294)),FALSE,INT(metadata!N294)=metadata!N294)),metadata!N294&gt;0))</f>
        <v>0</v>
      </c>
      <c r="AQ294" t="b">
        <f>AND(IF(metadata!O294="",FALSE,TRUE),EXACT(metadata!O294,"Not applicable"))</f>
        <v>0</v>
      </c>
      <c r="AR294" t="b">
        <f>OR(AND(IF(metadata!P294="",FALSE,TRUE),OR(EXACT(metadata!P294,"not applicable"),EXACT(metadata!P294,"missing: not collected"),EXACT(metadata!P294,"missing: not provided"),EXACT(metadata!P294,"missing: restricted access"))),IF(metadata!P294="",FALSE,IF(ISERROR(INT(metadata!P294)),FALSE,INT(metadata!P294)=metadata!P294)))</f>
        <v>0</v>
      </c>
      <c r="AS294" t="b">
        <f>AND(IF(metadata!Q294="",FALSE,TRUE),EXACT(metadata!Q294,"Not applicable"))</f>
        <v>0</v>
      </c>
      <c r="AT294" t="b">
        <f>OR(AND(IF(metadata!R294="",FALSE,TRUE),OR(EXACT(metadata!R294,"not applicable"),EXACT(metadata!R294,"missing: not collected"),EXACT(metadata!R294,"missing: not provided"),EXACT(metadata!R294,"missing: restricted access"))),AND(IF(metadata!R294="",FALSE,ISNUMBER(VALUE(metadata!R294))),metadata!R294&gt;0))</f>
        <v>0</v>
      </c>
      <c r="AU294" t="b">
        <f>AND(IF(metadata!S294="",FALSE,TRUE),EXACT(metadata!S294,"missing: not provided"))</f>
        <v>0</v>
      </c>
    </row>
    <row r="295" spans="1:47" x14ac:dyDescent="0.2">
      <c r="A295" s="5" t="str">
        <f ca="1">IF(B295=" "," ",HYPERLINK(CONCATENATE("#metadata!",ADDRESS(INDEX($Y$2:$Y$1001,MATCH(ROWS($W$2:W295),$W$2:$W$1001,0),0),1)),INDEX($AB$2:$AB$1001,MATCH(ROWS($W$2:W295),$W$2:$W$1001,0),0)))</f>
        <v xml:space="preserve"> </v>
      </c>
      <c r="B295" s="4" t="str">
        <f ca="1">IF(OR(INDEX($X$2:$X$1001,MATCH(ROWS($W$2:W295),$W$2:$W$1001,0),1)&gt;=100000,INDEX($AD$1005:$AU$1005,1,MATCH(COLUMNS($AD$1006:AD1006),$AD$1006:$AU$1006,0))&gt;=100000), " ",IF(INDEX($AD$2:$AU$1001,MATCH(ROWS($W$2:W295),$W$2:$W$1001,0),MATCH(COLUMNS($AD$1006:AD1006),$AD$1006:$AU$1006,0)), HYPERLINK("#",""), HYPERLINK(CONCATENATE("#metadata!", ADDRESS(INDEX($Y$2:$Y$1001,MATCH(ROWS($W$2:W295),$W$2:$W$1001,0),0), INDEX($AD$1004:$AU$1004,1,MATCH(COLUMNS($AD$1006:AD1006),$AD$1006:$AU$1006,0)))),"Fix")))</f>
        <v xml:space="preserve"> </v>
      </c>
      <c r="C295" s="4" t="str">
        <f ca="1">IF(OR(INDEX($X$2:$X$1001,MATCH(ROWS($W$2:W295),$W$2:$W$1001,0),1)&gt;=100000,INDEX($AD$1005:$AU$1005,1,MATCH(COLUMNS($AD$1006:AE1006),$AD$1006:$AU$1006,0))&gt;=100000), " ",IF(INDEX($AD$2:$AU$1001,MATCH(ROWS($W$2:W295),$W$2:$W$1001,0),MATCH(COLUMNS($AD$1006:AE1006),$AD$1006:$AU$1006,0)), HYPERLINK("#",""), HYPERLINK(CONCATENATE("#metadata!", ADDRESS(INDEX($Y$2:$Y$1001,MATCH(ROWS($W$2:W295),$W$2:$W$1001,0),0), INDEX($AD$1004:$AU$1004,1,MATCH(COLUMNS($AD$1006:AE1006),$AD$1006:$AU$1006,0)))),"Fix")))</f>
        <v xml:space="preserve"> </v>
      </c>
      <c r="D295" s="4" t="str">
        <f ca="1">IF(OR(INDEX($X$2:$X$1001,MATCH(ROWS($W$2:W295),$W$2:$W$1001,0),1)&gt;=100000,INDEX($AD$1005:$AU$1005,1,MATCH(COLUMNS($AD$1006:AF1006),$AD$1006:$AU$1006,0))&gt;=100000), " ",IF(INDEX($AD$2:$AU$1001,MATCH(ROWS($W$2:W295),$W$2:$W$1001,0),MATCH(COLUMNS($AD$1006:AF1006),$AD$1006:$AU$1006,0)), HYPERLINK("#",""), HYPERLINK(CONCATENATE("#metadata!", ADDRESS(INDEX($Y$2:$Y$1001,MATCH(ROWS($W$2:W295),$W$2:$W$1001,0),0), INDEX($AD$1004:$AU$1004,1,MATCH(COLUMNS($AD$1006:AF1006),$AD$1006:$AU$1006,0)))),"Fix")))</f>
        <v xml:space="preserve"> </v>
      </c>
      <c r="E295" s="4" t="str">
        <f ca="1">IF(OR(INDEX($X$2:$X$1001,MATCH(ROWS($W$2:W295),$W$2:$W$1001,0),1)&gt;=100000,INDEX($AD$1005:$AU$1005,1,MATCH(COLUMNS($AD$1006:AG1006),$AD$1006:$AU$1006,0))&gt;=100000), " ",IF(INDEX($AD$2:$AU$1001,MATCH(ROWS($W$2:W295),$W$2:$W$1001,0),MATCH(COLUMNS($AD$1006:AG1006),$AD$1006:$AU$1006,0)), HYPERLINK("#",""), HYPERLINK(CONCATENATE("#metadata!", ADDRESS(INDEX($Y$2:$Y$1001,MATCH(ROWS($W$2:W295),$W$2:$W$1001,0),0), INDEX($AD$1004:$AU$1004,1,MATCH(COLUMNS($AD$1006:AG1006),$AD$1006:$AU$1006,0)))),"Fix")))</f>
        <v xml:space="preserve"> </v>
      </c>
      <c r="F295" s="4" t="str">
        <f ca="1">IF(OR(INDEX($X$2:$X$1001,MATCH(ROWS($W$2:W295),$W$2:$W$1001,0),1)&gt;=100000,INDEX($AD$1005:$AU$1005,1,MATCH(COLUMNS($AD$1006:AH1006),$AD$1006:$AU$1006,0))&gt;=100000), " ",IF(INDEX($AD$2:$AU$1001,MATCH(ROWS($W$2:W295),$W$2:$W$1001,0),MATCH(COLUMNS($AD$1006:AH1006),$AD$1006:$AU$1006,0)), HYPERLINK("#",""), HYPERLINK(CONCATENATE("#metadata!", ADDRESS(INDEX($Y$2:$Y$1001,MATCH(ROWS($W$2:W295),$W$2:$W$1001,0),0), INDEX($AD$1004:$AU$1004,1,MATCH(COLUMNS($AD$1006:AH1006),$AD$1006:$AU$1006,0)))),"Fix")))</f>
        <v xml:space="preserve"> </v>
      </c>
      <c r="G295" s="4" t="str">
        <f ca="1">IF(OR(INDEX($X$2:$X$1001,MATCH(ROWS($W$2:W295),$W$2:$W$1001,0),1)&gt;=100000,INDEX($AD$1005:$AU$1005,1,MATCH(COLUMNS($AD$1006:AI1006),$AD$1006:$AU$1006,0))&gt;=100000), " ",IF(INDEX($AD$2:$AU$1001,MATCH(ROWS($W$2:W295),$W$2:$W$1001,0),MATCH(COLUMNS($AD$1006:AI1006),$AD$1006:$AU$1006,0)), HYPERLINK("#",""), HYPERLINK(CONCATENATE("#metadata!", ADDRESS(INDEX($Y$2:$Y$1001,MATCH(ROWS($W$2:W295),$W$2:$W$1001,0),0), INDEX($AD$1004:$AU$1004,1,MATCH(COLUMNS($AD$1006:AI1006),$AD$1006:$AU$1006,0)))),"Fix")))</f>
        <v xml:space="preserve"> </v>
      </c>
      <c r="H295" s="4" t="str">
        <f ca="1">IF(OR(INDEX($X$2:$X$1001,MATCH(ROWS($W$2:W295),$W$2:$W$1001,0),1)&gt;=100000,INDEX($AD$1005:$AU$1005,1,MATCH(COLUMNS($AD$1006:AJ1006),$AD$1006:$AU$1006,0))&gt;=100000), " ",IF(INDEX($AD$2:$AU$1001,MATCH(ROWS($W$2:W295),$W$2:$W$1001,0),MATCH(COLUMNS($AD$1006:AJ1006),$AD$1006:$AU$1006,0)), HYPERLINK("#",""), HYPERLINK(CONCATENATE("#metadata!", ADDRESS(INDEX($Y$2:$Y$1001,MATCH(ROWS($W$2:W295),$W$2:$W$1001,0),0), INDEX($AD$1004:$AU$1004,1,MATCH(COLUMNS($AD$1006:AJ1006),$AD$1006:$AU$1006,0)))),"Fix")))</f>
        <v xml:space="preserve"> </v>
      </c>
      <c r="I295" s="4" t="str">
        <f ca="1">IF(OR(INDEX($X$2:$X$1001,MATCH(ROWS($W$2:W295),$W$2:$W$1001,0),1)&gt;=100000,INDEX($AD$1005:$AU$1005,1,MATCH(COLUMNS($AD$1006:AK1006),$AD$1006:$AU$1006,0))&gt;=100000), " ",IF(INDEX($AD$2:$AU$1001,MATCH(ROWS($W$2:W295),$W$2:$W$1001,0),MATCH(COLUMNS($AD$1006:AK1006),$AD$1006:$AU$1006,0)), HYPERLINK("#",""), HYPERLINK(CONCATENATE("#metadata!", ADDRESS(INDEX($Y$2:$Y$1001,MATCH(ROWS($W$2:W295),$W$2:$W$1001,0),0), INDEX($AD$1004:$AU$1004,1,MATCH(COLUMNS($AD$1006:AK1006),$AD$1006:$AU$1006,0)))),"Fix")))</f>
        <v xml:space="preserve"> </v>
      </c>
      <c r="J295" s="4" t="str">
        <f ca="1">IF(OR(INDEX($X$2:$X$1001,MATCH(ROWS($W$2:W295),$W$2:$W$1001,0),1)&gt;=100000,INDEX($AD$1005:$AU$1005,1,MATCH(COLUMNS($AD$1006:AL1006),$AD$1006:$AU$1006,0))&gt;=100000), " ",IF(INDEX($AD$2:$AU$1001,MATCH(ROWS($W$2:W295),$W$2:$W$1001,0),MATCH(COLUMNS($AD$1006:AL1006),$AD$1006:$AU$1006,0)), HYPERLINK("#",""), HYPERLINK(CONCATENATE("#metadata!", ADDRESS(INDEX($Y$2:$Y$1001,MATCH(ROWS($W$2:W295),$W$2:$W$1001,0),0), INDEX($AD$1004:$AU$1004,1,MATCH(COLUMNS($AD$1006:AL1006),$AD$1006:$AU$1006,0)))),"Fix")))</f>
        <v xml:space="preserve"> </v>
      </c>
      <c r="K295" s="4" t="str">
        <f ca="1">IF(OR(INDEX($X$2:$X$1001,MATCH(ROWS($W$2:W295),$W$2:$W$1001,0),1)&gt;=100000,INDEX($AD$1005:$AU$1005,1,MATCH(COLUMNS($AD$1006:AM1006),$AD$1006:$AU$1006,0))&gt;=100000), " ",IF(INDEX($AD$2:$AU$1001,MATCH(ROWS($W$2:W295),$W$2:$W$1001,0),MATCH(COLUMNS($AD$1006:AM1006),$AD$1006:$AU$1006,0)), HYPERLINK("#",""), HYPERLINK(CONCATENATE("#metadata!", ADDRESS(INDEX($Y$2:$Y$1001,MATCH(ROWS($W$2:W295),$W$2:$W$1001,0),0), INDEX($AD$1004:$AU$1004,1,MATCH(COLUMNS($AD$1006:AM1006),$AD$1006:$AU$1006,0)))),"Fix")))</f>
        <v xml:space="preserve"> </v>
      </c>
      <c r="L295" s="4" t="str">
        <f ca="1">IF(OR(INDEX($X$2:$X$1001,MATCH(ROWS($W$2:W295),$W$2:$W$1001,0),1)&gt;=100000,INDEX($AD$1005:$AU$1005,1,MATCH(COLUMNS($AD$1006:AN1006),$AD$1006:$AU$1006,0))&gt;=100000), " ",IF(INDEX($AD$2:$AU$1001,MATCH(ROWS($W$2:W295),$W$2:$W$1001,0),MATCH(COLUMNS($AD$1006:AN1006),$AD$1006:$AU$1006,0)), HYPERLINK("#",""), HYPERLINK(CONCATENATE("#metadata!", ADDRESS(INDEX($Y$2:$Y$1001,MATCH(ROWS($W$2:W295),$W$2:$W$1001,0),0), INDEX($AD$1004:$AU$1004,1,MATCH(COLUMNS($AD$1006:AN1006),$AD$1006:$AU$1006,0)))),"Fix")))</f>
        <v xml:space="preserve"> </v>
      </c>
      <c r="M295" s="4" t="str">
        <f ca="1">IF(OR(INDEX($X$2:$X$1001,MATCH(ROWS($W$2:W295),$W$2:$W$1001,0),1)&gt;=100000,INDEX($AD$1005:$AU$1005,1,MATCH(COLUMNS($AD$1006:AO1006),$AD$1006:$AU$1006,0))&gt;=100000), " ",IF(INDEX($AD$2:$AU$1001,MATCH(ROWS($W$2:W295),$W$2:$W$1001,0),MATCH(COLUMNS($AD$1006:AO1006),$AD$1006:$AU$1006,0)), HYPERLINK("#",""), HYPERLINK(CONCATENATE("#metadata!", ADDRESS(INDEX($Y$2:$Y$1001,MATCH(ROWS($W$2:W295),$W$2:$W$1001,0),0), INDEX($AD$1004:$AU$1004,1,MATCH(COLUMNS($AD$1006:AO1006),$AD$1006:$AU$1006,0)))),"Fix")))</f>
        <v xml:space="preserve"> </v>
      </c>
      <c r="N295" s="4" t="str">
        <f ca="1">IF(OR(INDEX($X$2:$X$1001,MATCH(ROWS($W$2:W295),$W$2:$W$1001,0),1)&gt;=100000,INDEX($AD$1005:$AU$1005,1,MATCH(COLUMNS($AD$1006:AP1006),$AD$1006:$AU$1006,0))&gt;=100000), " ",IF(INDEX($AD$2:$AU$1001,MATCH(ROWS($W$2:W295),$W$2:$W$1001,0),MATCH(COLUMNS($AD$1006:AP1006),$AD$1006:$AU$1006,0)), HYPERLINK("#",""), HYPERLINK(CONCATENATE("#metadata!", ADDRESS(INDEX($Y$2:$Y$1001,MATCH(ROWS($W$2:W295),$W$2:$W$1001,0),0), INDEX($AD$1004:$AU$1004,1,MATCH(COLUMNS($AD$1006:AP1006),$AD$1006:$AU$1006,0)))),"Fix")))</f>
        <v xml:space="preserve"> </v>
      </c>
      <c r="O295" s="4" t="str">
        <f ca="1">IF(OR(INDEX($X$2:$X$1001,MATCH(ROWS($W$2:W295),$W$2:$W$1001,0),1)&gt;=100000,INDEX($AD$1005:$AU$1005,1,MATCH(COLUMNS($AD$1006:AQ1006),$AD$1006:$AU$1006,0))&gt;=100000), " ",IF(INDEX($AD$2:$AU$1001,MATCH(ROWS($W$2:W295),$W$2:$W$1001,0),MATCH(COLUMNS($AD$1006:AQ1006),$AD$1006:$AU$1006,0)), HYPERLINK("#",""), HYPERLINK(CONCATENATE("#metadata!", ADDRESS(INDEX($Y$2:$Y$1001,MATCH(ROWS($W$2:W295),$W$2:$W$1001,0),0), INDEX($AD$1004:$AU$1004,1,MATCH(COLUMNS($AD$1006:AQ1006),$AD$1006:$AU$1006,0)))),"Fix")))</f>
        <v xml:space="preserve"> </v>
      </c>
      <c r="P295" s="4" t="str">
        <f ca="1">IF(OR(INDEX($X$2:$X$1001,MATCH(ROWS($W$2:W295),$W$2:$W$1001,0),1)&gt;=100000,INDEX($AD$1005:$AU$1005,1,MATCH(COLUMNS($AD$1006:AR1006),$AD$1006:$AU$1006,0))&gt;=100000), " ",IF(INDEX($AD$2:$AU$1001,MATCH(ROWS($W$2:W295),$W$2:$W$1001,0),MATCH(COLUMNS($AD$1006:AR1006),$AD$1006:$AU$1006,0)), HYPERLINK("#",""), HYPERLINK(CONCATENATE("#metadata!", ADDRESS(INDEX($Y$2:$Y$1001,MATCH(ROWS($W$2:W295),$W$2:$W$1001,0),0), INDEX($AD$1004:$AU$1004,1,MATCH(COLUMNS($AD$1006:AR1006),$AD$1006:$AU$1006,0)))),"Fix")))</f>
        <v xml:space="preserve"> </v>
      </c>
      <c r="Q295" s="4" t="str">
        <f ca="1">IF(OR(INDEX($X$2:$X$1001,MATCH(ROWS($W$2:W295),$W$2:$W$1001,0),1)&gt;=100000,INDEX($AD$1005:$AU$1005,1,MATCH(COLUMNS($AD$1006:AS1006),$AD$1006:$AU$1006,0))&gt;=100000), " ",IF(INDEX($AD$2:$AU$1001,MATCH(ROWS($W$2:W295),$W$2:$W$1001,0),MATCH(COLUMNS($AD$1006:AS1006),$AD$1006:$AU$1006,0)), HYPERLINK("#",""), HYPERLINK(CONCATENATE("#metadata!", ADDRESS(INDEX($Y$2:$Y$1001,MATCH(ROWS($W$2:W295),$W$2:$W$1001,0),0), INDEX($AD$1004:$AU$1004,1,MATCH(COLUMNS($AD$1006:AS1006),$AD$1006:$AU$1006,0)))),"Fix")))</f>
        <v xml:space="preserve"> </v>
      </c>
      <c r="R295" s="4" t="str">
        <f ca="1">IF(OR(INDEX($X$2:$X$1001,MATCH(ROWS($W$2:W295),$W$2:$W$1001,0),1)&gt;=100000,INDEX($AD$1005:$AU$1005,1,MATCH(COLUMNS($AD$1006:AT1006),$AD$1006:$AU$1006,0))&gt;=100000), " ",IF(INDEX($AD$2:$AU$1001,MATCH(ROWS($W$2:W295),$W$2:$W$1001,0),MATCH(COLUMNS($AD$1006:AT1006),$AD$1006:$AU$1006,0)), HYPERLINK("#",""), HYPERLINK(CONCATENATE("#metadata!", ADDRESS(INDEX($Y$2:$Y$1001,MATCH(ROWS($W$2:W295),$W$2:$W$1001,0),0), INDEX($AD$1004:$AU$1004,1,MATCH(COLUMNS($AD$1006:AT1006),$AD$1006:$AU$1006,0)))),"Fix")))</f>
        <v xml:space="preserve"> </v>
      </c>
      <c r="S295" s="4" t="str">
        <f ca="1">IF(OR(INDEX($X$2:$X$1001,MATCH(ROWS($W$2:W295),$W$2:$W$1001,0),1)&gt;=100000,INDEX($AD$1005:$AU$1005,1,MATCH(COLUMNS($AD$1006:AU1006),$AD$1006:$AU$1006,0))&gt;=100000), " ",IF(INDEX($AD$2:$AU$1001,MATCH(ROWS($W$2:W295),$W$2:$W$1001,0),MATCH(COLUMNS($AD$1006:AU1006),$AD$1006:$AU$1006,0)), HYPERLINK("#",""), HYPERLINK(CONCATENATE("#metadata!", ADDRESS(INDEX($Y$2:$Y$1001,MATCH(ROWS($W$2:W295),$W$2:$W$1001,0),0), INDEX($AD$1004:$AU$1004,1,MATCH(COLUMNS($AD$1006:AU1006),$AD$1006:$AU$1006,0)))),"Fix")))</f>
        <v xml:space="preserve"> </v>
      </c>
      <c r="W295">
        <v>294</v>
      </c>
      <c r="X295">
        <v>100295</v>
      </c>
      <c r="Y295">
        <v>295</v>
      </c>
      <c r="Z295" t="b">
        <f t="shared" si="4"/>
        <v>1</v>
      </c>
      <c r="AA295" t="b">
        <f>COUNTBLANK(metadata!B295:S295)=COLUMNS(metadata!B295:S295)</f>
        <v>1</v>
      </c>
      <c r="AB295" t="str">
        <v/>
      </c>
      <c r="AD295" t="b">
        <f ca="1">AND(IF(metadata!B295="",FALSE,TRUE),COUNTIF(metadata!B:B, metadata!B295) = 1,NOT(ISERROR(SUMPRODUCT(SEARCH(MID(metadata!B295,ROW(INDIRECT("1:"&amp;LEN(metadata!B295))), 1),"0123456789abcdefghijklmnopqrstuvwxyzABCDEFGHIJKLMNOPQRSTUVWXYZ.")))))</f>
        <v>0</v>
      </c>
      <c r="AE295" t="b">
        <f>OR(AND(IF(metadata!C295="",FALSE,TRUE),OR(EXACT(metadata!C295,"not applicable"),EXACT(metadata!C295,"missing: not collected"),EXACT(metadata!C295,"missing: not provided"),EXACT(metadata!C295,"missing: restricted access"))),AND(IF(metadata!C295="",FALSE,ISNUMBER(VALUE(metadata!C295))),metadata!C295&gt;0))</f>
        <v>0</v>
      </c>
      <c r="AF295" t="b">
        <f>AND(IF(metadata!D295="",FALSE,TRUE),EXACT(metadata!D295,"missing: not provided"))</f>
        <v>0</v>
      </c>
      <c r="AG295" t="b">
        <f>AND(IF(metadata!E295="",FALSE,TRUE),EXACT(metadata!E295,"Host-associated"))</f>
        <v>0</v>
      </c>
      <c r="AH295" t="b">
        <f>AND(IF(metadata!F295="",FALSE,TRUE),OR(EXACT(metadata!F295,"Animal"),EXACT(metadata!F295,"Fungus"),EXACT(metadata!F295,"Plant")))</f>
        <v>0</v>
      </c>
      <c r="AI295" t="b">
        <f>AND(IF(metadata!G295="",FALSE,TRUE),OR(EXACT(metadata!G295,"Plant secretion"),EXACT(metadata!G295,"Plant rhizosphere"),EXACT(metadata!G295,"Plant surface"),EXACT(metadata!G295,"Plant corpus"),EXACT(metadata!G295,"Fungus surface"),EXACT(metadata!G295,"Fungus corpus"),EXACT(metadata!G295,"Animal surface"),EXACT(metadata!G295,"Animal proximal gut"),EXACT(metadata!G295,"Animal corpus"),EXACT(metadata!G295,"Animal distal gut"),EXACT(metadata!G295,"Animal secretion")))</f>
        <v>0</v>
      </c>
      <c r="AJ295" t="b">
        <f>OR(AND(IF(metadata!H295="",FALSE,TRUE),OR(EXACT(metadata!H295,"missing: not collected"),EXACT(metadata!H295,"missing: not provided"),EXACT(metadata!H295,"missing: restricted access"))),AND(IF(metadata!H295="",FALSE,TRUE),OR(EXACT(metadata!H295,"organism-associated habitat"),EXACT(metadata!H295,"plant-associated habitat"),EXACT(metadata!H295,"animal-associated habitat"),EXACT(metadata!H295,"insecta-associated habitat"),EXACT(metadata!H295,"mammalia-associated habitat"),EXACT(metadata!H295,"human-associated habitat"),EXACT(metadata!H295,"livestock-associated habitat"))))</f>
        <v>0</v>
      </c>
      <c r="AK295" t="b">
        <f>AND(IF(metadata!I295="",FALSE,TRUE),EXACT(metadata!I295,"host-associated"))</f>
        <v>0</v>
      </c>
      <c r="AL295" t="b">
        <f>OR(AND(IF(metadata!J295="",FALSE,TRUE),OR(EXACT(metadata!J295,"not applicable"),EXACT(metadata!J295,"missing: not collected"),EXACT(metadata!J295,"missing: not provided"),EXACT(metadata!J295,"missing: restricted access"))),AND(IF(metadata!J295="",FALSE,ISNUMBER(VALUE(metadata!J295))),metadata!J295&gt;0))</f>
        <v>0</v>
      </c>
      <c r="AM295" t="b">
        <f>AND(IF(metadata!K295="",FALSE,TRUE),EXACT(metadata!K295,"missing: not provided"))</f>
        <v>0</v>
      </c>
      <c r="AN295" t="b">
        <f>IF(metadata!L295="",FALSE,TRUE)</f>
        <v>0</v>
      </c>
      <c r="AO295" t="b">
        <f>IF(metadata!M295="",FALSE,TRUE)</f>
        <v>0</v>
      </c>
      <c r="AP295" t="b">
        <f>OR(AND(IF(metadata!N295="",FALSE,TRUE),OR(EXACT(metadata!N295,"not applicable"),EXACT(metadata!N295,"missing: not collected"),EXACT(metadata!N295,"missing: not provided"))),AND(IF(metadata!N295="",FALSE,IF(ISERROR(INT(metadata!N295)),FALSE,INT(metadata!N295)=metadata!N295)),metadata!N295&gt;0))</f>
        <v>0</v>
      </c>
      <c r="AQ295" t="b">
        <f>AND(IF(metadata!O295="",FALSE,TRUE),EXACT(metadata!O295,"Not applicable"))</f>
        <v>0</v>
      </c>
      <c r="AR295" t="b">
        <f>OR(AND(IF(metadata!P295="",FALSE,TRUE),OR(EXACT(metadata!P295,"not applicable"),EXACT(metadata!P295,"missing: not collected"),EXACT(metadata!P295,"missing: not provided"),EXACT(metadata!P295,"missing: restricted access"))),IF(metadata!P295="",FALSE,IF(ISERROR(INT(metadata!P295)),FALSE,INT(metadata!P295)=metadata!P295)))</f>
        <v>0</v>
      </c>
      <c r="AS295" t="b">
        <f>AND(IF(metadata!Q295="",FALSE,TRUE),EXACT(metadata!Q295,"Not applicable"))</f>
        <v>0</v>
      </c>
      <c r="AT295" t="b">
        <f>OR(AND(IF(metadata!R295="",FALSE,TRUE),OR(EXACT(metadata!R295,"not applicable"),EXACT(metadata!R295,"missing: not collected"),EXACT(metadata!R295,"missing: not provided"),EXACT(metadata!R295,"missing: restricted access"))),AND(IF(metadata!R295="",FALSE,ISNUMBER(VALUE(metadata!R295))),metadata!R295&gt;0))</f>
        <v>0</v>
      </c>
      <c r="AU295" t="b">
        <f>AND(IF(metadata!S295="",FALSE,TRUE),EXACT(metadata!S295,"missing: not provided"))</f>
        <v>0</v>
      </c>
    </row>
    <row r="296" spans="1:47" x14ac:dyDescent="0.2">
      <c r="A296" s="5" t="str">
        <f ca="1">IF(B296=" "," ",HYPERLINK(CONCATENATE("#metadata!",ADDRESS(INDEX($Y$2:$Y$1001,MATCH(ROWS($W$2:W296),$W$2:$W$1001,0),0),1)),INDEX($AB$2:$AB$1001,MATCH(ROWS($W$2:W296),$W$2:$W$1001,0),0)))</f>
        <v xml:space="preserve"> </v>
      </c>
      <c r="B296" s="4" t="str">
        <f ca="1">IF(OR(INDEX($X$2:$X$1001,MATCH(ROWS($W$2:W296),$W$2:$W$1001,0),1)&gt;=100000,INDEX($AD$1005:$AU$1005,1,MATCH(COLUMNS($AD$1006:AD1006),$AD$1006:$AU$1006,0))&gt;=100000), " ",IF(INDEX($AD$2:$AU$1001,MATCH(ROWS($W$2:W296),$W$2:$W$1001,0),MATCH(COLUMNS($AD$1006:AD1006),$AD$1006:$AU$1006,0)), HYPERLINK("#",""), HYPERLINK(CONCATENATE("#metadata!", ADDRESS(INDEX($Y$2:$Y$1001,MATCH(ROWS($W$2:W296),$W$2:$W$1001,0),0), INDEX($AD$1004:$AU$1004,1,MATCH(COLUMNS($AD$1006:AD1006),$AD$1006:$AU$1006,0)))),"Fix")))</f>
        <v xml:space="preserve"> </v>
      </c>
      <c r="C296" s="4" t="str">
        <f ca="1">IF(OR(INDEX($X$2:$X$1001,MATCH(ROWS($W$2:W296),$W$2:$W$1001,0),1)&gt;=100000,INDEX($AD$1005:$AU$1005,1,MATCH(COLUMNS($AD$1006:AE1006),$AD$1006:$AU$1006,0))&gt;=100000), " ",IF(INDEX($AD$2:$AU$1001,MATCH(ROWS($W$2:W296),$W$2:$W$1001,0),MATCH(COLUMNS($AD$1006:AE1006),$AD$1006:$AU$1006,0)), HYPERLINK("#",""), HYPERLINK(CONCATENATE("#metadata!", ADDRESS(INDEX($Y$2:$Y$1001,MATCH(ROWS($W$2:W296),$W$2:$W$1001,0),0), INDEX($AD$1004:$AU$1004,1,MATCH(COLUMNS($AD$1006:AE1006),$AD$1006:$AU$1006,0)))),"Fix")))</f>
        <v xml:space="preserve"> </v>
      </c>
      <c r="D296" s="4" t="str">
        <f ca="1">IF(OR(INDEX($X$2:$X$1001,MATCH(ROWS($W$2:W296),$W$2:$W$1001,0),1)&gt;=100000,INDEX($AD$1005:$AU$1005,1,MATCH(COLUMNS($AD$1006:AF1006),$AD$1006:$AU$1006,0))&gt;=100000), " ",IF(INDEX($AD$2:$AU$1001,MATCH(ROWS($W$2:W296),$W$2:$W$1001,0),MATCH(COLUMNS($AD$1006:AF1006),$AD$1006:$AU$1006,0)), HYPERLINK("#",""), HYPERLINK(CONCATENATE("#metadata!", ADDRESS(INDEX($Y$2:$Y$1001,MATCH(ROWS($W$2:W296),$W$2:$W$1001,0),0), INDEX($AD$1004:$AU$1004,1,MATCH(COLUMNS($AD$1006:AF1006),$AD$1006:$AU$1006,0)))),"Fix")))</f>
        <v xml:space="preserve"> </v>
      </c>
      <c r="E296" s="4" t="str">
        <f ca="1">IF(OR(INDEX($X$2:$X$1001,MATCH(ROWS($W$2:W296),$W$2:$W$1001,0),1)&gt;=100000,INDEX($AD$1005:$AU$1005,1,MATCH(COLUMNS($AD$1006:AG1006),$AD$1006:$AU$1006,0))&gt;=100000), " ",IF(INDEX($AD$2:$AU$1001,MATCH(ROWS($W$2:W296),$W$2:$W$1001,0),MATCH(COLUMNS($AD$1006:AG1006),$AD$1006:$AU$1006,0)), HYPERLINK("#",""), HYPERLINK(CONCATENATE("#metadata!", ADDRESS(INDEX($Y$2:$Y$1001,MATCH(ROWS($W$2:W296),$W$2:$W$1001,0),0), INDEX($AD$1004:$AU$1004,1,MATCH(COLUMNS($AD$1006:AG1006),$AD$1006:$AU$1006,0)))),"Fix")))</f>
        <v xml:space="preserve"> </v>
      </c>
      <c r="F296" s="4" t="str">
        <f ca="1">IF(OR(INDEX($X$2:$X$1001,MATCH(ROWS($W$2:W296),$W$2:$W$1001,0),1)&gt;=100000,INDEX($AD$1005:$AU$1005,1,MATCH(COLUMNS($AD$1006:AH1006),$AD$1006:$AU$1006,0))&gt;=100000), " ",IF(INDEX($AD$2:$AU$1001,MATCH(ROWS($W$2:W296),$W$2:$W$1001,0),MATCH(COLUMNS($AD$1006:AH1006),$AD$1006:$AU$1006,0)), HYPERLINK("#",""), HYPERLINK(CONCATENATE("#metadata!", ADDRESS(INDEX($Y$2:$Y$1001,MATCH(ROWS($W$2:W296),$W$2:$W$1001,0),0), INDEX($AD$1004:$AU$1004,1,MATCH(COLUMNS($AD$1006:AH1006),$AD$1006:$AU$1006,0)))),"Fix")))</f>
        <v xml:space="preserve"> </v>
      </c>
      <c r="G296" s="4" t="str">
        <f ca="1">IF(OR(INDEX($X$2:$X$1001,MATCH(ROWS($W$2:W296),$W$2:$W$1001,0),1)&gt;=100000,INDEX($AD$1005:$AU$1005,1,MATCH(COLUMNS($AD$1006:AI1006),$AD$1006:$AU$1006,0))&gt;=100000), " ",IF(INDEX($AD$2:$AU$1001,MATCH(ROWS($W$2:W296),$W$2:$W$1001,0),MATCH(COLUMNS($AD$1006:AI1006),$AD$1006:$AU$1006,0)), HYPERLINK("#",""), HYPERLINK(CONCATENATE("#metadata!", ADDRESS(INDEX($Y$2:$Y$1001,MATCH(ROWS($W$2:W296),$W$2:$W$1001,0),0), INDEX($AD$1004:$AU$1004,1,MATCH(COLUMNS($AD$1006:AI1006),$AD$1006:$AU$1006,0)))),"Fix")))</f>
        <v xml:space="preserve"> </v>
      </c>
      <c r="H296" s="4" t="str">
        <f ca="1">IF(OR(INDEX($X$2:$X$1001,MATCH(ROWS($W$2:W296),$W$2:$W$1001,0),1)&gt;=100000,INDEX($AD$1005:$AU$1005,1,MATCH(COLUMNS($AD$1006:AJ1006),$AD$1006:$AU$1006,0))&gt;=100000), " ",IF(INDEX($AD$2:$AU$1001,MATCH(ROWS($W$2:W296),$W$2:$W$1001,0),MATCH(COLUMNS($AD$1006:AJ1006),$AD$1006:$AU$1006,0)), HYPERLINK("#",""), HYPERLINK(CONCATENATE("#metadata!", ADDRESS(INDEX($Y$2:$Y$1001,MATCH(ROWS($W$2:W296),$W$2:$W$1001,0),0), INDEX($AD$1004:$AU$1004,1,MATCH(COLUMNS($AD$1006:AJ1006),$AD$1006:$AU$1006,0)))),"Fix")))</f>
        <v xml:space="preserve"> </v>
      </c>
      <c r="I296" s="4" t="str">
        <f ca="1">IF(OR(INDEX($X$2:$X$1001,MATCH(ROWS($W$2:W296),$W$2:$W$1001,0),1)&gt;=100000,INDEX($AD$1005:$AU$1005,1,MATCH(COLUMNS($AD$1006:AK1006),$AD$1006:$AU$1006,0))&gt;=100000), " ",IF(INDEX($AD$2:$AU$1001,MATCH(ROWS($W$2:W296),$W$2:$W$1001,0),MATCH(COLUMNS($AD$1006:AK1006),$AD$1006:$AU$1006,0)), HYPERLINK("#",""), HYPERLINK(CONCATENATE("#metadata!", ADDRESS(INDEX($Y$2:$Y$1001,MATCH(ROWS($W$2:W296),$W$2:$W$1001,0),0), INDEX($AD$1004:$AU$1004,1,MATCH(COLUMNS($AD$1006:AK1006),$AD$1006:$AU$1006,0)))),"Fix")))</f>
        <v xml:space="preserve"> </v>
      </c>
      <c r="J296" s="4" t="str">
        <f ca="1">IF(OR(INDEX($X$2:$X$1001,MATCH(ROWS($W$2:W296),$W$2:$W$1001,0),1)&gt;=100000,INDEX($AD$1005:$AU$1005,1,MATCH(COLUMNS($AD$1006:AL1006),$AD$1006:$AU$1006,0))&gt;=100000), " ",IF(INDEX($AD$2:$AU$1001,MATCH(ROWS($W$2:W296),$W$2:$W$1001,0),MATCH(COLUMNS($AD$1006:AL1006),$AD$1006:$AU$1006,0)), HYPERLINK("#",""), HYPERLINK(CONCATENATE("#metadata!", ADDRESS(INDEX($Y$2:$Y$1001,MATCH(ROWS($W$2:W296),$W$2:$W$1001,0),0), INDEX($AD$1004:$AU$1004,1,MATCH(COLUMNS($AD$1006:AL1006),$AD$1006:$AU$1006,0)))),"Fix")))</f>
        <v xml:space="preserve"> </v>
      </c>
      <c r="K296" s="4" t="str">
        <f ca="1">IF(OR(INDEX($X$2:$X$1001,MATCH(ROWS($W$2:W296),$W$2:$W$1001,0),1)&gt;=100000,INDEX($AD$1005:$AU$1005,1,MATCH(COLUMNS($AD$1006:AM1006),$AD$1006:$AU$1006,0))&gt;=100000), " ",IF(INDEX($AD$2:$AU$1001,MATCH(ROWS($W$2:W296),$W$2:$W$1001,0),MATCH(COLUMNS($AD$1006:AM1006),$AD$1006:$AU$1006,0)), HYPERLINK("#",""), HYPERLINK(CONCATENATE("#metadata!", ADDRESS(INDEX($Y$2:$Y$1001,MATCH(ROWS($W$2:W296),$W$2:$W$1001,0),0), INDEX($AD$1004:$AU$1004,1,MATCH(COLUMNS($AD$1006:AM1006),$AD$1006:$AU$1006,0)))),"Fix")))</f>
        <v xml:space="preserve"> </v>
      </c>
      <c r="L296" s="4" t="str">
        <f ca="1">IF(OR(INDEX($X$2:$X$1001,MATCH(ROWS($W$2:W296),$W$2:$W$1001,0),1)&gt;=100000,INDEX($AD$1005:$AU$1005,1,MATCH(COLUMNS($AD$1006:AN1006),$AD$1006:$AU$1006,0))&gt;=100000), " ",IF(INDEX($AD$2:$AU$1001,MATCH(ROWS($W$2:W296),$W$2:$W$1001,0),MATCH(COLUMNS($AD$1006:AN1006),$AD$1006:$AU$1006,0)), HYPERLINK("#",""), HYPERLINK(CONCATENATE("#metadata!", ADDRESS(INDEX($Y$2:$Y$1001,MATCH(ROWS($W$2:W296),$W$2:$W$1001,0),0), INDEX($AD$1004:$AU$1004,1,MATCH(COLUMNS($AD$1006:AN1006),$AD$1006:$AU$1006,0)))),"Fix")))</f>
        <v xml:space="preserve"> </v>
      </c>
      <c r="M296" s="4" t="str">
        <f ca="1">IF(OR(INDEX($X$2:$X$1001,MATCH(ROWS($W$2:W296),$W$2:$W$1001,0),1)&gt;=100000,INDEX($AD$1005:$AU$1005,1,MATCH(COLUMNS($AD$1006:AO1006),$AD$1006:$AU$1006,0))&gt;=100000), " ",IF(INDEX($AD$2:$AU$1001,MATCH(ROWS($W$2:W296),$W$2:$W$1001,0),MATCH(COLUMNS($AD$1006:AO1006),$AD$1006:$AU$1006,0)), HYPERLINK("#",""), HYPERLINK(CONCATENATE("#metadata!", ADDRESS(INDEX($Y$2:$Y$1001,MATCH(ROWS($W$2:W296),$W$2:$W$1001,0),0), INDEX($AD$1004:$AU$1004,1,MATCH(COLUMNS($AD$1006:AO1006),$AD$1006:$AU$1006,0)))),"Fix")))</f>
        <v xml:space="preserve"> </v>
      </c>
      <c r="N296" s="4" t="str">
        <f ca="1">IF(OR(INDEX($X$2:$X$1001,MATCH(ROWS($W$2:W296),$W$2:$W$1001,0),1)&gt;=100000,INDEX($AD$1005:$AU$1005,1,MATCH(COLUMNS($AD$1006:AP1006),$AD$1006:$AU$1006,0))&gt;=100000), " ",IF(INDEX($AD$2:$AU$1001,MATCH(ROWS($W$2:W296),$W$2:$W$1001,0),MATCH(COLUMNS($AD$1006:AP1006),$AD$1006:$AU$1006,0)), HYPERLINK("#",""), HYPERLINK(CONCATENATE("#metadata!", ADDRESS(INDEX($Y$2:$Y$1001,MATCH(ROWS($W$2:W296),$W$2:$W$1001,0),0), INDEX($AD$1004:$AU$1004,1,MATCH(COLUMNS($AD$1006:AP1006),$AD$1006:$AU$1006,0)))),"Fix")))</f>
        <v xml:space="preserve"> </v>
      </c>
      <c r="O296" s="4" t="str">
        <f ca="1">IF(OR(INDEX($X$2:$X$1001,MATCH(ROWS($W$2:W296),$W$2:$W$1001,0),1)&gt;=100000,INDEX($AD$1005:$AU$1005,1,MATCH(COLUMNS($AD$1006:AQ1006),$AD$1006:$AU$1006,0))&gt;=100000), " ",IF(INDEX($AD$2:$AU$1001,MATCH(ROWS($W$2:W296),$W$2:$W$1001,0),MATCH(COLUMNS($AD$1006:AQ1006),$AD$1006:$AU$1006,0)), HYPERLINK("#",""), HYPERLINK(CONCATENATE("#metadata!", ADDRESS(INDEX($Y$2:$Y$1001,MATCH(ROWS($W$2:W296),$W$2:$W$1001,0),0), INDEX($AD$1004:$AU$1004,1,MATCH(COLUMNS($AD$1006:AQ1006),$AD$1006:$AU$1006,0)))),"Fix")))</f>
        <v xml:space="preserve"> </v>
      </c>
      <c r="P296" s="4" t="str">
        <f ca="1">IF(OR(INDEX($X$2:$X$1001,MATCH(ROWS($W$2:W296),$W$2:$W$1001,0),1)&gt;=100000,INDEX($AD$1005:$AU$1005,1,MATCH(COLUMNS($AD$1006:AR1006),$AD$1006:$AU$1006,0))&gt;=100000), " ",IF(INDEX($AD$2:$AU$1001,MATCH(ROWS($W$2:W296),$W$2:$W$1001,0),MATCH(COLUMNS($AD$1006:AR1006),$AD$1006:$AU$1006,0)), HYPERLINK("#",""), HYPERLINK(CONCATENATE("#metadata!", ADDRESS(INDEX($Y$2:$Y$1001,MATCH(ROWS($W$2:W296),$W$2:$W$1001,0),0), INDEX($AD$1004:$AU$1004,1,MATCH(COLUMNS($AD$1006:AR1006),$AD$1006:$AU$1006,0)))),"Fix")))</f>
        <v xml:space="preserve"> </v>
      </c>
      <c r="Q296" s="4" t="str">
        <f ca="1">IF(OR(INDEX($X$2:$X$1001,MATCH(ROWS($W$2:W296),$W$2:$W$1001,0),1)&gt;=100000,INDEX($AD$1005:$AU$1005,1,MATCH(COLUMNS($AD$1006:AS1006),$AD$1006:$AU$1006,0))&gt;=100000), " ",IF(INDEX($AD$2:$AU$1001,MATCH(ROWS($W$2:W296),$W$2:$W$1001,0),MATCH(COLUMNS($AD$1006:AS1006),$AD$1006:$AU$1006,0)), HYPERLINK("#",""), HYPERLINK(CONCATENATE("#metadata!", ADDRESS(INDEX($Y$2:$Y$1001,MATCH(ROWS($W$2:W296),$W$2:$W$1001,0),0), INDEX($AD$1004:$AU$1004,1,MATCH(COLUMNS($AD$1006:AS1006),$AD$1006:$AU$1006,0)))),"Fix")))</f>
        <v xml:space="preserve"> </v>
      </c>
      <c r="R296" s="4" t="str">
        <f ca="1">IF(OR(INDEX($X$2:$X$1001,MATCH(ROWS($W$2:W296),$W$2:$W$1001,0),1)&gt;=100000,INDEX($AD$1005:$AU$1005,1,MATCH(COLUMNS($AD$1006:AT1006),$AD$1006:$AU$1006,0))&gt;=100000), " ",IF(INDEX($AD$2:$AU$1001,MATCH(ROWS($W$2:W296),$W$2:$W$1001,0),MATCH(COLUMNS($AD$1006:AT1006),$AD$1006:$AU$1006,0)), HYPERLINK("#",""), HYPERLINK(CONCATENATE("#metadata!", ADDRESS(INDEX($Y$2:$Y$1001,MATCH(ROWS($W$2:W296),$W$2:$W$1001,0),0), INDEX($AD$1004:$AU$1004,1,MATCH(COLUMNS($AD$1006:AT1006),$AD$1006:$AU$1006,0)))),"Fix")))</f>
        <v xml:space="preserve"> </v>
      </c>
      <c r="S296" s="4" t="str">
        <f ca="1">IF(OR(INDEX($X$2:$X$1001,MATCH(ROWS($W$2:W296),$W$2:$W$1001,0),1)&gt;=100000,INDEX($AD$1005:$AU$1005,1,MATCH(COLUMNS($AD$1006:AU1006),$AD$1006:$AU$1006,0))&gt;=100000), " ",IF(INDEX($AD$2:$AU$1001,MATCH(ROWS($W$2:W296),$W$2:$W$1001,0),MATCH(COLUMNS($AD$1006:AU1006),$AD$1006:$AU$1006,0)), HYPERLINK("#",""), HYPERLINK(CONCATENATE("#metadata!", ADDRESS(INDEX($Y$2:$Y$1001,MATCH(ROWS($W$2:W296),$W$2:$W$1001,0),0), INDEX($AD$1004:$AU$1004,1,MATCH(COLUMNS($AD$1006:AU1006),$AD$1006:$AU$1006,0)))),"Fix")))</f>
        <v xml:space="preserve"> </v>
      </c>
      <c r="W296">
        <v>295</v>
      </c>
      <c r="X296">
        <v>100296</v>
      </c>
      <c r="Y296">
        <v>296</v>
      </c>
      <c r="Z296" t="b">
        <f t="shared" si="4"/>
        <v>1</v>
      </c>
      <c r="AA296" t="b">
        <f>COUNTBLANK(metadata!B296:S296)=COLUMNS(metadata!B296:S296)</f>
        <v>1</v>
      </c>
      <c r="AB296" t="str">
        <v/>
      </c>
      <c r="AD296" t="b">
        <f ca="1">AND(IF(metadata!B296="",FALSE,TRUE),COUNTIF(metadata!B:B, metadata!B296) = 1,NOT(ISERROR(SUMPRODUCT(SEARCH(MID(metadata!B296,ROW(INDIRECT("1:"&amp;LEN(metadata!B296))), 1),"0123456789abcdefghijklmnopqrstuvwxyzABCDEFGHIJKLMNOPQRSTUVWXYZ.")))))</f>
        <v>0</v>
      </c>
      <c r="AE296" t="b">
        <f>OR(AND(IF(metadata!C296="",FALSE,TRUE),OR(EXACT(metadata!C296,"not applicable"),EXACT(metadata!C296,"missing: not collected"),EXACT(metadata!C296,"missing: not provided"),EXACT(metadata!C296,"missing: restricted access"))),AND(IF(metadata!C296="",FALSE,ISNUMBER(VALUE(metadata!C296))),metadata!C296&gt;0))</f>
        <v>0</v>
      </c>
      <c r="AF296" t="b">
        <f>AND(IF(metadata!D296="",FALSE,TRUE),EXACT(metadata!D296,"missing: not provided"))</f>
        <v>0</v>
      </c>
      <c r="AG296" t="b">
        <f>AND(IF(metadata!E296="",FALSE,TRUE),EXACT(metadata!E296,"Host-associated"))</f>
        <v>0</v>
      </c>
      <c r="AH296" t="b">
        <f>AND(IF(metadata!F296="",FALSE,TRUE),OR(EXACT(metadata!F296,"Animal"),EXACT(metadata!F296,"Fungus"),EXACT(metadata!F296,"Plant")))</f>
        <v>0</v>
      </c>
      <c r="AI296" t="b">
        <f>AND(IF(metadata!G296="",FALSE,TRUE),OR(EXACT(metadata!G296,"Plant secretion"),EXACT(metadata!G296,"Plant rhizosphere"),EXACT(metadata!G296,"Plant surface"),EXACT(metadata!G296,"Plant corpus"),EXACT(metadata!G296,"Fungus surface"),EXACT(metadata!G296,"Fungus corpus"),EXACT(metadata!G296,"Animal surface"),EXACT(metadata!G296,"Animal proximal gut"),EXACT(metadata!G296,"Animal corpus"),EXACT(metadata!G296,"Animal distal gut"),EXACT(metadata!G296,"Animal secretion")))</f>
        <v>0</v>
      </c>
      <c r="AJ296" t="b">
        <f>OR(AND(IF(metadata!H296="",FALSE,TRUE),OR(EXACT(metadata!H296,"missing: not collected"),EXACT(metadata!H296,"missing: not provided"),EXACT(metadata!H296,"missing: restricted access"))),AND(IF(metadata!H296="",FALSE,TRUE),OR(EXACT(metadata!H296,"organism-associated habitat"),EXACT(metadata!H296,"plant-associated habitat"),EXACT(metadata!H296,"animal-associated habitat"),EXACT(metadata!H296,"insecta-associated habitat"),EXACT(metadata!H296,"mammalia-associated habitat"),EXACT(metadata!H296,"human-associated habitat"),EXACT(metadata!H296,"livestock-associated habitat"))))</f>
        <v>0</v>
      </c>
      <c r="AK296" t="b">
        <f>AND(IF(metadata!I296="",FALSE,TRUE),EXACT(metadata!I296,"host-associated"))</f>
        <v>0</v>
      </c>
      <c r="AL296" t="b">
        <f>OR(AND(IF(metadata!J296="",FALSE,TRUE),OR(EXACT(metadata!J296,"not applicable"),EXACT(metadata!J296,"missing: not collected"),EXACT(metadata!J296,"missing: not provided"),EXACT(metadata!J296,"missing: restricted access"))),AND(IF(metadata!J296="",FALSE,ISNUMBER(VALUE(metadata!J296))),metadata!J296&gt;0))</f>
        <v>0</v>
      </c>
      <c r="AM296" t="b">
        <f>AND(IF(metadata!K296="",FALSE,TRUE),EXACT(metadata!K296,"missing: not provided"))</f>
        <v>0</v>
      </c>
      <c r="AN296" t="b">
        <f>IF(metadata!L296="",FALSE,TRUE)</f>
        <v>0</v>
      </c>
      <c r="AO296" t="b">
        <f>IF(metadata!M296="",FALSE,TRUE)</f>
        <v>0</v>
      </c>
      <c r="AP296" t="b">
        <f>OR(AND(IF(metadata!N296="",FALSE,TRUE),OR(EXACT(metadata!N296,"not applicable"),EXACT(metadata!N296,"missing: not collected"),EXACT(metadata!N296,"missing: not provided"))),AND(IF(metadata!N296="",FALSE,IF(ISERROR(INT(metadata!N296)),FALSE,INT(metadata!N296)=metadata!N296)),metadata!N296&gt;0))</f>
        <v>0</v>
      </c>
      <c r="AQ296" t="b">
        <f>AND(IF(metadata!O296="",FALSE,TRUE),EXACT(metadata!O296,"Not applicable"))</f>
        <v>0</v>
      </c>
      <c r="AR296" t="b">
        <f>OR(AND(IF(metadata!P296="",FALSE,TRUE),OR(EXACT(metadata!P296,"not applicable"),EXACT(metadata!P296,"missing: not collected"),EXACT(metadata!P296,"missing: not provided"),EXACT(metadata!P296,"missing: restricted access"))),IF(metadata!P296="",FALSE,IF(ISERROR(INT(metadata!P296)),FALSE,INT(metadata!P296)=metadata!P296)))</f>
        <v>0</v>
      </c>
      <c r="AS296" t="b">
        <f>AND(IF(metadata!Q296="",FALSE,TRUE),EXACT(metadata!Q296,"Not applicable"))</f>
        <v>0</v>
      </c>
      <c r="AT296" t="b">
        <f>OR(AND(IF(metadata!R296="",FALSE,TRUE),OR(EXACT(metadata!R296,"not applicable"),EXACT(metadata!R296,"missing: not collected"),EXACT(metadata!R296,"missing: not provided"),EXACT(metadata!R296,"missing: restricted access"))),AND(IF(metadata!R296="",FALSE,ISNUMBER(VALUE(metadata!R296))),metadata!R296&gt;0))</f>
        <v>0</v>
      </c>
      <c r="AU296" t="b">
        <f>AND(IF(metadata!S296="",FALSE,TRUE),EXACT(metadata!S296,"missing: not provided"))</f>
        <v>0</v>
      </c>
    </row>
    <row r="297" spans="1:47" x14ac:dyDescent="0.2">
      <c r="A297" s="5" t="str">
        <f ca="1">IF(B297=" "," ",HYPERLINK(CONCATENATE("#metadata!",ADDRESS(INDEX($Y$2:$Y$1001,MATCH(ROWS($W$2:W297),$W$2:$W$1001,0),0),1)),INDEX($AB$2:$AB$1001,MATCH(ROWS($W$2:W297),$W$2:$W$1001,0),0)))</f>
        <v xml:space="preserve"> </v>
      </c>
      <c r="B297" s="4" t="str">
        <f ca="1">IF(OR(INDEX($X$2:$X$1001,MATCH(ROWS($W$2:W297),$W$2:$W$1001,0),1)&gt;=100000,INDEX($AD$1005:$AU$1005,1,MATCH(COLUMNS($AD$1006:AD1006),$AD$1006:$AU$1006,0))&gt;=100000), " ",IF(INDEX($AD$2:$AU$1001,MATCH(ROWS($W$2:W297),$W$2:$W$1001,0),MATCH(COLUMNS($AD$1006:AD1006),$AD$1006:$AU$1006,0)), HYPERLINK("#",""), HYPERLINK(CONCATENATE("#metadata!", ADDRESS(INDEX($Y$2:$Y$1001,MATCH(ROWS($W$2:W297),$W$2:$W$1001,0),0), INDEX($AD$1004:$AU$1004,1,MATCH(COLUMNS($AD$1006:AD1006),$AD$1006:$AU$1006,0)))),"Fix")))</f>
        <v xml:space="preserve"> </v>
      </c>
      <c r="C297" s="4" t="str">
        <f ca="1">IF(OR(INDEX($X$2:$X$1001,MATCH(ROWS($W$2:W297),$W$2:$W$1001,0),1)&gt;=100000,INDEX($AD$1005:$AU$1005,1,MATCH(COLUMNS($AD$1006:AE1006),$AD$1006:$AU$1006,0))&gt;=100000), " ",IF(INDEX($AD$2:$AU$1001,MATCH(ROWS($W$2:W297),$W$2:$W$1001,0),MATCH(COLUMNS($AD$1006:AE1006),$AD$1006:$AU$1006,0)), HYPERLINK("#",""), HYPERLINK(CONCATENATE("#metadata!", ADDRESS(INDEX($Y$2:$Y$1001,MATCH(ROWS($W$2:W297),$W$2:$W$1001,0),0), INDEX($AD$1004:$AU$1004,1,MATCH(COLUMNS($AD$1006:AE1006),$AD$1006:$AU$1006,0)))),"Fix")))</f>
        <v xml:space="preserve"> </v>
      </c>
      <c r="D297" s="4" t="str">
        <f ca="1">IF(OR(INDEX($X$2:$X$1001,MATCH(ROWS($W$2:W297),$W$2:$W$1001,0),1)&gt;=100000,INDEX($AD$1005:$AU$1005,1,MATCH(COLUMNS($AD$1006:AF1006),$AD$1006:$AU$1006,0))&gt;=100000), " ",IF(INDEX($AD$2:$AU$1001,MATCH(ROWS($W$2:W297),$W$2:$W$1001,0),MATCH(COLUMNS($AD$1006:AF1006),$AD$1006:$AU$1006,0)), HYPERLINK("#",""), HYPERLINK(CONCATENATE("#metadata!", ADDRESS(INDEX($Y$2:$Y$1001,MATCH(ROWS($W$2:W297),$W$2:$W$1001,0),0), INDEX($AD$1004:$AU$1004,1,MATCH(COLUMNS($AD$1006:AF1006),$AD$1006:$AU$1006,0)))),"Fix")))</f>
        <v xml:space="preserve"> </v>
      </c>
      <c r="E297" s="4" t="str">
        <f ca="1">IF(OR(INDEX($X$2:$X$1001,MATCH(ROWS($W$2:W297),$W$2:$W$1001,0),1)&gt;=100000,INDEX($AD$1005:$AU$1005,1,MATCH(COLUMNS($AD$1006:AG1006),$AD$1006:$AU$1006,0))&gt;=100000), " ",IF(INDEX($AD$2:$AU$1001,MATCH(ROWS($W$2:W297),$W$2:$W$1001,0),MATCH(COLUMNS($AD$1006:AG1006),$AD$1006:$AU$1006,0)), HYPERLINK("#",""), HYPERLINK(CONCATENATE("#metadata!", ADDRESS(INDEX($Y$2:$Y$1001,MATCH(ROWS($W$2:W297),$W$2:$W$1001,0),0), INDEX($AD$1004:$AU$1004,1,MATCH(COLUMNS($AD$1006:AG1006),$AD$1006:$AU$1006,0)))),"Fix")))</f>
        <v xml:space="preserve"> </v>
      </c>
      <c r="F297" s="4" t="str">
        <f ca="1">IF(OR(INDEX($X$2:$X$1001,MATCH(ROWS($W$2:W297),$W$2:$W$1001,0),1)&gt;=100000,INDEX($AD$1005:$AU$1005,1,MATCH(COLUMNS($AD$1006:AH1006),$AD$1006:$AU$1006,0))&gt;=100000), " ",IF(INDEX($AD$2:$AU$1001,MATCH(ROWS($W$2:W297),$W$2:$W$1001,0),MATCH(COLUMNS($AD$1006:AH1006),$AD$1006:$AU$1006,0)), HYPERLINK("#",""), HYPERLINK(CONCATENATE("#metadata!", ADDRESS(INDEX($Y$2:$Y$1001,MATCH(ROWS($W$2:W297),$W$2:$W$1001,0),0), INDEX($AD$1004:$AU$1004,1,MATCH(COLUMNS($AD$1006:AH1006),$AD$1006:$AU$1006,0)))),"Fix")))</f>
        <v xml:space="preserve"> </v>
      </c>
      <c r="G297" s="4" t="str">
        <f ca="1">IF(OR(INDEX($X$2:$X$1001,MATCH(ROWS($W$2:W297),$W$2:$W$1001,0),1)&gt;=100000,INDEX($AD$1005:$AU$1005,1,MATCH(COLUMNS($AD$1006:AI1006),$AD$1006:$AU$1006,0))&gt;=100000), " ",IF(INDEX($AD$2:$AU$1001,MATCH(ROWS($W$2:W297),$W$2:$W$1001,0),MATCH(COLUMNS($AD$1006:AI1006),$AD$1006:$AU$1006,0)), HYPERLINK("#",""), HYPERLINK(CONCATENATE("#metadata!", ADDRESS(INDEX($Y$2:$Y$1001,MATCH(ROWS($W$2:W297),$W$2:$W$1001,0),0), INDEX($AD$1004:$AU$1004,1,MATCH(COLUMNS($AD$1006:AI1006),$AD$1006:$AU$1006,0)))),"Fix")))</f>
        <v xml:space="preserve"> </v>
      </c>
      <c r="H297" s="4" t="str">
        <f ca="1">IF(OR(INDEX($X$2:$X$1001,MATCH(ROWS($W$2:W297),$W$2:$W$1001,0),1)&gt;=100000,INDEX($AD$1005:$AU$1005,1,MATCH(COLUMNS($AD$1006:AJ1006),$AD$1006:$AU$1006,0))&gt;=100000), " ",IF(INDEX($AD$2:$AU$1001,MATCH(ROWS($W$2:W297),$W$2:$W$1001,0),MATCH(COLUMNS($AD$1006:AJ1006),$AD$1006:$AU$1006,0)), HYPERLINK("#",""), HYPERLINK(CONCATENATE("#metadata!", ADDRESS(INDEX($Y$2:$Y$1001,MATCH(ROWS($W$2:W297),$W$2:$W$1001,0),0), INDEX($AD$1004:$AU$1004,1,MATCH(COLUMNS($AD$1006:AJ1006),$AD$1006:$AU$1006,0)))),"Fix")))</f>
        <v xml:space="preserve"> </v>
      </c>
      <c r="I297" s="4" t="str">
        <f ca="1">IF(OR(INDEX($X$2:$X$1001,MATCH(ROWS($W$2:W297),$W$2:$W$1001,0),1)&gt;=100000,INDEX($AD$1005:$AU$1005,1,MATCH(COLUMNS($AD$1006:AK1006),$AD$1006:$AU$1006,0))&gt;=100000), " ",IF(INDEX($AD$2:$AU$1001,MATCH(ROWS($W$2:W297),$W$2:$W$1001,0),MATCH(COLUMNS($AD$1006:AK1006),$AD$1006:$AU$1006,0)), HYPERLINK("#",""), HYPERLINK(CONCATENATE("#metadata!", ADDRESS(INDEX($Y$2:$Y$1001,MATCH(ROWS($W$2:W297),$W$2:$W$1001,0),0), INDEX($AD$1004:$AU$1004,1,MATCH(COLUMNS($AD$1006:AK1006),$AD$1006:$AU$1006,0)))),"Fix")))</f>
        <v xml:space="preserve"> </v>
      </c>
      <c r="J297" s="4" t="str">
        <f ca="1">IF(OR(INDEX($X$2:$X$1001,MATCH(ROWS($W$2:W297),$W$2:$W$1001,0),1)&gt;=100000,INDEX($AD$1005:$AU$1005,1,MATCH(COLUMNS($AD$1006:AL1006),$AD$1006:$AU$1006,0))&gt;=100000), " ",IF(INDEX($AD$2:$AU$1001,MATCH(ROWS($W$2:W297),$W$2:$W$1001,0),MATCH(COLUMNS($AD$1006:AL1006),$AD$1006:$AU$1006,0)), HYPERLINK("#",""), HYPERLINK(CONCATENATE("#metadata!", ADDRESS(INDEX($Y$2:$Y$1001,MATCH(ROWS($W$2:W297),$W$2:$W$1001,0),0), INDEX($AD$1004:$AU$1004,1,MATCH(COLUMNS($AD$1006:AL1006),$AD$1006:$AU$1006,0)))),"Fix")))</f>
        <v xml:space="preserve"> </v>
      </c>
      <c r="K297" s="4" t="str">
        <f ca="1">IF(OR(INDEX($X$2:$X$1001,MATCH(ROWS($W$2:W297),$W$2:$W$1001,0),1)&gt;=100000,INDEX($AD$1005:$AU$1005,1,MATCH(COLUMNS($AD$1006:AM1006),$AD$1006:$AU$1006,0))&gt;=100000), " ",IF(INDEX($AD$2:$AU$1001,MATCH(ROWS($W$2:W297),$W$2:$W$1001,0),MATCH(COLUMNS($AD$1006:AM1006),$AD$1006:$AU$1006,0)), HYPERLINK("#",""), HYPERLINK(CONCATENATE("#metadata!", ADDRESS(INDEX($Y$2:$Y$1001,MATCH(ROWS($W$2:W297),$W$2:$W$1001,0),0), INDEX($AD$1004:$AU$1004,1,MATCH(COLUMNS($AD$1006:AM1006),$AD$1006:$AU$1006,0)))),"Fix")))</f>
        <v xml:space="preserve"> </v>
      </c>
      <c r="L297" s="4" t="str">
        <f ca="1">IF(OR(INDEX($X$2:$X$1001,MATCH(ROWS($W$2:W297),$W$2:$W$1001,0),1)&gt;=100000,INDEX($AD$1005:$AU$1005,1,MATCH(COLUMNS($AD$1006:AN1006),$AD$1006:$AU$1006,0))&gt;=100000), " ",IF(INDEX($AD$2:$AU$1001,MATCH(ROWS($W$2:W297),$W$2:$W$1001,0),MATCH(COLUMNS($AD$1006:AN1006),$AD$1006:$AU$1006,0)), HYPERLINK("#",""), HYPERLINK(CONCATENATE("#metadata!", ADDRESS(INDEX($Y$2:$Y$1001,MATCH(ROWS($W$2:W297),$W$2:$W$1001,0),0), INDEX($AD$1004:$AU$1004,1,MATCH(COLUMNS($AD$1006:AN1006),$AD$1006:$AU$1006,0)))),"Fix")))</f>
        <v xml:space="preserve"> </v>
      </c>
      <c r="M297" s="4" t="str">
        <f ca="1">IF(OR(INDEX($X$2:$X$1001,MATCH(ROWS($W$2:W297),$W$2:$W$1001,0),1)&gt;=100000,INDEX($AD$1005:$AU$1005,1,MATCH(COLUMNS($AD$1006:AO1006),$AD$1006:$AU$1006,0))&gt;=100000), " ",IF(INDEX($AD$2:$AU$1001,MATCH(ROWS($W$2:W297),$W$2:$W$1001,0),MATCH(COLUMNS($AD$1006:AO1006),$AD$1006:$AU$1006,0)), HYPERLINK("#",""), HYPERLINK(CONCATENATE("#metadata!", ADDRESS(INDEX($Y$2:$Y$1001,MATCH(ROWS($W$2:W297),$W$2:$W$1001,0),0), INDEX($AD$1004:$AU$1004,1,MATCH(COLUMNS($AD$1006:AO1006),$AD$1006:$AU$1006,0)))),"Fix")))</f>
        <v xml:space="preserve"> </v>
      </c>
      <c r="N297" s="4" t="str">
        <f ca="1">IF(OR(INDEX($X$2:$X$1001,MATCH(ROWS($W$2:W297),$W$2:$W$1001,0),1)&gt;=100000,INDEX($AD$1005:$AU$1005,1,MATCH(COLUMNS($AD$1006:AP1006),$AD$1006:$AU$1006,0))&gt;=100000), " ",IF(INDEX($AD$2:$AU$1001,MATCH(ROWS($W$2:W297),$W$2:$W$1001,0),MATCH(COLUMNS($AD$1006:AP1006),$AD$1006:$AU$1006,0)), HYPERLINK("#",""), HYPERLINK(CONCATENATE("#metadata!", ADDRESS(INDEX($Y$2:$Y$1001,MATCH(ROWS($W$2:W297),$W$2:$W$1001,0),0), INDEX($AD$1004:$AU$1004,1,MATCH(COLUMNS($AD$1006:AP1006),$AD$1006:$AU$1006,0)))),"Fix")))</f>
        <v xml:space="preserve"> </v>
      </c>
      <c r="O297" s="4" t="str">
        <f ca="1">IF(OR(INDEX($X$2:$X$1001,MATCH(ROWS($W$2:W297),$W$2:$W$1001,0),1)&gt;=100000,INDEX($AD$1005:$AU$1005,1,MATCH(COLUMNS($AD$1006:AQ1006),$AD$1006:$AU$1006,0))&gt;=100000), " ",IF(INDEX($AD$2:$AU$1001,MATCH(ROWS($W$2:W297),$W$2:$W$1001,0),MATCH(COLUMNS($AD$1006:AQ1006),$AD$1006:$AU$1006,0)), HYPERLINK("#",""), HYPERLINK(CONCATENATE("#metadata!", ADDRESS(INDEX($Y$2:$Y$1001,MATCH(ROWS($W$2:W297),$W$2:$W$1001,0),0), INDEX($AD$1004:$AU$1004,1,MATCH(COLUMNS($AD$1006:AQ1006),$AD$1006:$AU$1006,0)))),"Fix")))</f>
        <v xml:space="preserve"> </v>
      </c>
      <c r="P297" s="4" t="str">
        <f ca="1">IF(OR(INDEX($X$2:$X$1001,MATCH(ROWS($W$2:W297),$W$2:$W$1001,0),1)&gt;=100000,INDEX($AD$1005:$AU$1005,1,MATCH(COLUMNS($AD$1006:AR1006),$AD$1006:$AU$1006,0))&gt;=100000), " ",IF(INDEX($AD$2:$AU$1001,MATCH(ROWS($W$2:W297),$W$2:$W$1001,0),MATCH(COLUMNS($AD$1006:AR1006),$AD$1006:$AU$1006,0)), HYPERLINK("#",""), HYPERLINK(CONCATENATE("#metadata!", ADDRESS(INDEX($Y$2:$Y$1001,MATCH(ROWS($W$2:W297),$W$2:$W$1001,0),0), INDEX($AD$1004:$AU$1004,1,MATCH(COLUMNS($AD$1006:AR1006),$AD$1006:$AU$1006,0)))),"Fix")))</f>
        <v xml:space="preserve"> </v>
      </c>
      <c r="Q297" s="4" t="str">
        <f ca="1">IF(OR(INDEX($X$2:$X$1001,MATCH(ROWS($W$2:W297),$W$2:$W$1001,0),1)&gt;=100000,INDEX($AD$1005:$AU$1005,1,MATCH(COLUMNS($AD$1006:AS1006),$AD$1006:$AU$1006,0))&gt;=100000), " ",IF(INDEX($AD$2:$AU$1001,MATCH(ROWS($W$2:W297),$W$2:$W$1001,0),MATCH(COLUMNS($AD$1006:AS1006),$AD$1006:$AU$1006,0)), HYPERLINK("#",""), HYPERLINK(CONCATENATE("#metadata!", ADDRESS(INDEX($Y$2:$Y$1001,MATCH(ROWS($W$2:W297),$W$2:$W$1001,0),0), INDEX($AD$1004:$AU$1004,1,MATCH(COLUMNS($AD$1006:AS1006),$AD$1006:$AU$1006,0)))),"Fix")))</f>
        <v xml:space="preserve"> </v>
      </c>
      <c r="R297" s="4" t="str">
        <f ca="1">IF(OR(INDEX($X$2:$X$1001,MATCH(ROWS($W$2:W297),$W$2:$W$1001,0),1)&gt;=100000,INDEX($AD$1005:$AU$1005,1,MATCH(COLUMNS($AD$1006:AT1006),$AD$1006:$AU$1006,0))&gt;=100000), " ",IF(INDEX($AD$2:$AU$1001,MATCH(ROWS($W$2:W297),$W$2:$W$1001,0),MATCH(COLUMNS($AD$1006:AT1006),$AD$1006:$AU$1006,0)), HYPERLINK("#",""), HYPERLINK(CONCATENATE("#metadata!", ADDRESS(INDEX($Y$2:$Y$1001,MATCH(ROWS($W$2:W297),$W$2:$W$1001,0),0), INDEX($AD$1004:$AU$1004,1,MATCH(COLUMNS($AD$1006:AT1006),$AD$1006:$AU$1006,0)))),"Fix")))</f>
        <v xml:space="preserve"> </v>
      </c>
      <c r="S297" s="4" t="str">
        <f ca="1">IF(OR(INDEX($X$2:$X$1001,MATCH(ROWS($W$2:W297),$W$2:$W$1001,0),1)&gt;=100000,INDEX($AD$1005:$AU$1005,1,MATCH(COLUMNS($AD$1006:AU1006),$AD$1006:$AU$1006,0))&gt;=100000), " ",IF(INDEX($AD$2:$AU$1001,MATCH(ROWS($W$2:W297),$W$2:$W$1001,0),MATCH(COLUMNS($AD$1006:AU1006),$AD$1006:$AU$1006,0)), HYPERLINK("#",""), HYPERLINK(CONCATENATE("#metadata!", ADDRESS(INDEX($Y$2:$Y$1001,MATCH(ROWS($W$2:W297),$W$2:$W$1001,0),0), INDEX($AD$1004:$AU$1004,1,MATCH(COLUMNS($AD$1006:AU1006),$AD$1006:$AU$1006,0)))),"Fix")))</f>
        <v xml:space="preserve"> </v>
      </c>
      <c r="W297">
        <v>296</v>
      </c>
      <c r="X297">
        <v>100297</v>
      </c>
      <c r="Y297">
        <v>297</v>
      </c>
      <c r="Z297" t="b">
        <f t="shared" si="4"/>
        <v>1</v>
      </c>
      <c r="AA297" t="b">
        <f>COUNTBLANK(metadata!B297:S297)=COLUMNS(metadata!B297:S297)</f>
        <v>1</v>
      </c>
      <c r="AB297" t="str">
        <v/>
      </c>
      <c r="AD297" t="b">
        <f ca="1">AND(IF(metadata!B297="",FALSE,TRUE),COUNTIF(metadata!B:B, metadata!B297) = 1,NOT(ISERROR(SUMPRODUCT(SEARCH(MID(metadata!B297,ROW(INDIRECT("1:"&amp;LEN(metadata!B297))), 1),"0123456789abcdefghijklmnopqrstuvwxyzABCDEFGHIJKLMNOPQRSTUVWXYZ.")))))</f>
        <v>0</v>
      </c>
      <c r="AE297" t="b">
        <f>OR(AND(IF(metadata!C297="",FALSE,TRUE),OR(EXACT(metadata!C297,"not applicable"),EXACT(metadata!C297,"missing: not collected"),EXACT(metadata!C297,"missing: not provided"),EXACT(metadata!C297,"missing: restricted access"))),AND(IF(metadata!C297="",FALSE,ISNUMBER(VALUE(metadata!C297))),metadata!C297&gt;0))</f>
        <v>0</v>
      </c>
      <c r="AF297" t="b">
        <f>AND(IF(metadata!D297="",FALSE,TRUE),EXACT(metadata!D297,"missing: not provided"))</f>
        <v>0</v>
      </c>
      <c r="AG297" t="b">
        <f>AND(IF(metadata!E297="",FALSE,TRUE),EXACT(metadata!E297,"Host-associated"))</f>
        <v>0</v>
      </c>
      <c r="AH297" t="b">
        <f>AND(IF(metadata!F297="",FALSE,TRUE),OR(EXACT(metadata!F297,"Animal"),EXACT(metadata!F297,"Fungus"),EXACT(metadata!F297,"Plant")))</f>
        <v>0</v>
      </c>
      <c r="AI297" t="b">
        <f>AND(IF(metadata!G297="",FALSE,TRUE),OR(EXACT(metadata!G297,"Plant secretion"),EXACT(metadata!G297,"Plant rhizosphere"),EXACT(metadata!G297,"Plant surface"),EXACT(metadata!G297,"Plant corpus"),EXACT(metadata!G297,"Fungus surface"),EXACT(metadata!G297,"Fungus corpus"),EXACT(metadata!G297,"Animal surface"),EXACT(metadata!G297,"Animal proximal gut"),EXACT(metadata!G297,"Animal corpus"),EXACT(metadata!G297,"Animal distal gut"),EXACT(metadata!G297,"Animal secretion")))</f>
        <v>0</v>
      </c>
      <c r="AJ297" t="b">
        <f>OR(AND(IF(metadata!H297="",FALSE,TRUE),OR(EXACT(metadata!H297,"missing: not collected"),EXACT(metadata!H297,"missing: not provided"),EXACT(metadata!H297,"missing: restricted access"))),AND(IF(metadata!H297="",FALSE,TRUE),OR(EXACT(metadata!H297,"organism-associated habitat"),EXACT(metadata!H297,"plant-associated habitat"),EXACT(metadata!H297,"animal-associated habitat"),EXACT(metadata!H297,"insecta-associated habitat"),EXACT(metadata!H297,"mammalia-associated habitat"),EXACT(metadata!H297,"human-associated habitat"),EXACT(metadata!H297,"livestock-associated habitat"))))</f>
        <v>0</v>
      </c>
      <c r="AK297" t="b">
        <f>AND(IF(metadata!I297="",FALSE,TRUE),EXACT(metadata!I297,"host-associated"))</f>
        <v>0</v>
      </c>
      <c r="AL297" t="b">
        <f>OR(AND(IF(metadata!J297="",FALSE,TRUE),OR(EXACT(metadata!J297,"not applicable"),EXACT(metadata!J297,"missing: not collected"),EXACT(metadata!J297,"missing: not provided"),EXACT(metadata!J297,"missing: restricted access"))),AND(IF(metadata!J297="",FALSE,ISNUMBER(VALUE(metadata!J297))),metadata!J297&gt;0))</f>
        <v>0</v>
      </c>
      <c r="AM297" t="b">
        <f>AND(IF(metadata!K297="",FALSE,TRUE),EXACT(metadata!K297,"missing: not provided"))</f>
        <v>0</v>
      </c>
      <c r="AN297" t="b">
        <f>IF(metadata!L297="",FALSE,TRUE)</f>
        <v>0</v>
      </c>
      <c r="AO297" t="b">
        <f>IF(metadata!M297="",FALSE,TRUE)</f>
        <v>0</v>
      </c>
      <c r="AP297" t="b">
        <f>OR(AND(IF(metadata!N297="",FALSE,TRUE),OR(EXACT(metadata!N297,"not applicable"),EXACT(metadata!N297,"missing: not collected"),EXACT(metadata!N297,"missing: not provided"))),AND(IF(metadata!N297="",FALSE,IF(ISERROR(INT(metadata!N297)),FALSE,INT(metadata!N297)=metadata!N297)),metadata!N297&gt;0))</f>
        <v>0</v>
      </c>
      <c r="AQ297" t="b">
        <f>AND(IF(metadata!O297="",FALSE,TRUE),EXACT(metadata!O297,"Not applicable"))</f>
        <v>0</v>
      </c>
      <c r="AR297" t="b">
        <f>OR(AND(IF(metadata!P297="",FALSE,TRUE),OR(EXACT(metadata!P297,"not applicable"),EXACT(metadata!P297,"missing: not collected"),EXACT(metadata!P297,"missing: not provided"),EXACT(metadata!P297,"missing: restricted access"))),IF(metadata!P297="",FALSE,IF(ISERROR(INT(metadata!P297)),FALSE,INT(metadata!P297)=metadata!P297)))</f>
        <v>0</v>
      </c>
      <c r="AS297" t="b">
        <f>AND(IF(metadata!Q297="",FALSE,TRUE),EXACT(metadata!Q297,"Not applicable"))</f>
        <v>0</v>
      </c>
      <c r="AT297" t="b">
        <f>OR(AND(IF(metadata!R297="",FALSE,TRUE),OR(EXACT(metadata!R297,"not applicable"),EXACT(metadata!R297,"missing: not collected"),EXACT(metadata!R297,"missing: not provided"),EXACT(metadata!R297,"missing: restricted access"))),AND(IF(metadata!R297="",FALSE,ISNUMBER(VALUE(metadata!R297))),metadata!R297&gt;0))</f>
        <v>0</v>
      </c>
      <c r="AU297" t="b">
        <f>AND(IF(metadata!S297="",FALSE,TRUE),EXACT(metadata!S297,"missing: not provided"))</f>
        <v>0</v>
      </c>
    </row>
    <row r="298" spans="1:47" x14ac:dyDescent="0.2">
      <c r="A298" s="5" t="str">
        <f ca="1">IF(B298=" "," ",HYPERLINK(CONCATENATE("#metadata!",ADDRESS(INDEX($Y$2:$Y$1001,MATCH(ROWS($W$2:W298),$W$2:$W$1001,0),0),1)),INDEX($AB$2:$AB$1001,MATCH(ROWS($W$2:W298),$W$2:$W$1001,0),0)))</f>
        <v xml:space="preserve"> </v>
      </c>
      <c r="B298" s="4" t="str">
        <f ca="1">IF(OR(INDEX($X$2:$X$1001,MATCH(ROWS($W$2:W298),$W$2:$W$1001,0),1)&gt;=100000,INDEX($AD$1005:$AU$1005,1,MATCH(COLUMNS($AD$1006:AD1006),$AD$1006:$AU$1006,0))&gt;=100000), " ",IF(INDEX($AD$2:$AU$1001,MATCH(ROWS($W$2:W298),$W$2:$W$1001,0),MATCH(COLUMNS($AD$1006:AD1006),$AD$1006:$AU$1006,0)), HYPERLINK("#",""), HYPERLINK(CONCATENATE("#metadata!", ADDRESS(INDEX($Y$2:$Y$1001,MATCH(ROWS($W$2:W298),$W$2:$W$1001,0),0), INDEX($AD$1004:$AU$1004,1,MATCH(COLUMNS($AD$1006:AD1006),$AD$1006:$AU$1006,0)))),"Fix")))</f>
        <v xml:space="preserve"> </v>
      </c>
      <c r="C298" s="4" t="str">
        <f ca="1">IF(OR(INDEX($X$2:$X$1001,MATCH(ROWS($W$2:W298),$W$2:$W$1001,0),1)&gt;=100000,INDEX($AD$1005:$AU$1005,1,MATCH(COLUMNS($AD$1006:AE1006),$AD$1006:$AU$1006,0))&gt;=100000), " ",IF(INDEX($AD$2:$AU$1001,MATCH(ROWS($W$2:W298),$W$2:$W$1001,0),MATCH(COLUMNS($AD$1006:AE1006),$AD$1006:$AU$1006,0)), HYPERLINK("#",""), HYPERLINK(CONCATENATE("#metadata!", ADDRESS(INDEX($Y$2:$Y$1001,MATCH(ROWS($W$2:W298),$W$2:$W$1001,0),0), INDEX($AD$1004:$AU$1004,1,MATCH(COLUMNS($AD$1006:AE1006),$AD$1006:$AU$1006,0)))),"Fix")))</f>
        <v xml:space="preserve"> </v>
      </c>
      <c r="D298" s="4" t="str">
        <f ca="1">IF(OR(INDEX($X$2:$X$1001,MATCH(ROWS($W$2:W298),$W$2:$W$1001,0),1)&gt;=100000,INDEX($AD$1005:$AU$1005,1,MATCH(COLUMNS($AD$1006:AF1006),$AD$1006:$AU$1006,0))&gt;=100000), " ",IF(INDEX($AD$2:$AU$1001,MATCH(ROWS($W$2:W298),$W$2:$W$1001,0),MATCH(COLUMNS($AD$1006:AF1006),$AD$1006:$AU$1006,0)), HYPERLINK("#",""), HYPERLINK(CONCATENATE("#metadata!", ADDRESS(INDEX($Y$2:$Y$1001,MATCH(ROWS($W$2:W298),$W$2:$W$1001,0),0), INDEX($AD$1004:$AU$1004,1,MATCH(COLUMNS($AD$1006:AF1006),$AD$1006:$AU$1006,0)))),"Fix")))</f>
        <v xml:space="preserve"> </v>
      </c>
      <c r="E298" s="4" t="str">
        <f ca="1">IF(OR(INDEX($X$2:$X$1001,MATCH(ROWS($W$2:W298),$W$2:$W$1001,0),1)&gt;=100000,INDEX($AD$1005:$AU$1005,1,MATCH(COLUMNS($AD$1006:AG1006),$AD$1006:$AU$1006,0))&gt;=100000), " ",IF(INDEX($AD$2:$AU$1001,MATCH(ROWS($W$2:W298),$W$2:$W$1001,0),MATCH(COLUMNS($AD$1006:AG1006),$AD$1006:$AU$1006,0)), HYPERLINK("#",""), HYPERLINK(CONCATENATE("#metadata!", ADDRESS(INDEX($Y$2:$Y$1001,MATCH(ROWS($W$2:W298),$W$2:$W$1001,0),0), INDEX($AD$1004:$AU$1004,1,MATCH(COLUMNS($AD$1006:AG1006),$AD$1006:$AU$1006,0)))),"Fix")))</f>
        <v xml:space="preserve"> </v>
      </c>
      <c r="F298" s="4" t="str">
        <f ca="1">IF(OR(INDEX($X$2:$X$1001,MATCH(ROWS($W$2:W298),$W$2:$W$1001,0),1)&gt;=100000,INDEX($AD$1005:$AU$1005,1,MATCH(COLUMNS($AD$1006:AH1006),$AD$1006:$AU$1006,0))&gt;=100000), " ",IF(INDEX($AD$2:$AU$1001,MATCH(ROWS($W$2:W298),$W$2:$W$1001,0),MATCH(COLUMNS($AD$1006:AH1006),$AD$1006:$AU$1006,0)), HYPERLINK("#",""), HYPERLINK(CONCATENATE("#metadata!", ADDRESS(INDEX($Y$2:$Y$1001,MATCH(ROWS($W$2:W298),$W$2:$W$1001,0),0), INDEX($AD$1004:$AU$1004,1,MATCH(COLUMNS($AD$1006:AH1006),$AD$1006:$AU$1006,0)))),"Fix")))</f>
        <v xml:space="preserve"> </v>
      </c>
      <c r="G298" s="4" t="str">
        <f ca="1">IF(OR(INDEX($X$2:$X$1001,MATCH(ROWS($W$2:W298),$W$2:$W$1001,0),1)&gt;=100000,INDEX($AD$1005:$AU$1005,1,MATCH(COLUMNS($AD$1006:AI1006),$AD$1006:$AU$1006,0))&gt;=100000), " ",IF(INDEX($AD$2:$AU$1001,MATCH(ROWS($W$2:W298),$W$2:$W$1001,0),MATCH(COLUMNS($AD$1006:AI1006),$AD$1006:$AU$1006,0)), HYPERLINK("#",""), HYPERLINK(CONCATENATE("#metadata!", ADDRESS(INDEX($Y$2:$Y$1001,MATCH(ROWS($W$2:W298),$W$2:$W$1001,0),0), INDEX($AD$1004:$AU$1004,1,MATCH(COLUMNS($AD$1006:AI1006),$AD$1006:$AU$1006,0)))),"Fix")))</f>
        <v xml:space="preserve"> </v>
      </c>
      <c r="H298" s="4" t="str">
        <f ca="1">IF(OR(INDEX($X$2:$X$1001,MATCH(ROWS($W$2:W298),$W$2:$W$1001,0),1)&gt;=100000,INDEX($AD$1005:$AU$1005,1,MATCH(COLUMNS($AD$1006:AJ1006),$AD$1006:$AU$1006,0))&gt;=100000), " ",IF(INDEX($AD$2:$AU$1001,MATCH(ROWS($W$2:W298),$W$2:$W$1001,0),MATCH(COLUMNS($AD$1006:AJ1006),$AD$1006:$AU$1006,0)), HYPERLINK("#",""), HYPERLINK(CONCATENATE("#metadata!", ADDRESS(INDEX($Y$2:$Y$1001,MATCH(ROWS($W$2:W298),$W$2:$W$1001,0),0), INDEX($AD$1004:$AU$1004,1,MATCH(COLUMNS($AD$1006:AJ1006),$AD$1006:$AU$1006,0)))),"Fix")))</f>
        <v xml:space="preserve"> </v>
      </c>
      <c r="I298" s="4" t="str">
        <f ca="1">IF(OR(INDEX($X$2:$X$1001,MATCH(ROWS($W$2:W298),$W$2:$W$1001,0),1)&gt;=100000,INDEX($AD$1005:$AU$1005,1,MATCH(COLUMNS($AD$1006:AK1006),$AD$1006:$AU$1006,0))&gt;=100000), " ",IF(INDEX($AD$2:$AU$1001,MATCH(ROWS($W$2:W298),$W$2:$W$1001,0),MATCH(COLUMNS($AD$1006:AK1006),$AD$1006:$AU$1006,0)), HYPERLINK("#",""), HYPERLINK(CONCATENATE("#metadata!", ADDRESS(INDEX($Y$2:$Y$1001,MATCH(ROWS($W$2:W298),$W$2:$W$1001,0),0), INDEX($AD$1004:$AU$1004,1,MATCH(COLUMNS($AD$1006:AK1006),$AD$1006:$AU$1006,0)))),"Fix")))</f>
        <v xml:space="preserve"> </v>
      </c>
      <c r="J298" s="4" t="str">
        <f ca="1">IF(OR(INDEX($X$2:$X$1001,MATCH(ROWS($W$2:W298),$W$2:$W$1001,0),1)&gt;=100000,INDEX($AD$1005:$AU$1005,1,MATCH(COLUMNS($AD$1006:AL1006),$AD$1006:$AU$1006,0))&gt;=100000), " ",IF(INDEX($AD$2:$AU$1001,MATCH(ROWS($W$2:W298),$W$2:$W$1001,0),MATCH(COLUMNS($AD$1006:AL1006),$AD$1006:$AU$1006,0)), HYPERLINK("#",""), HYPERLINK(CONCATENATE("#metadata!", ADDRESS(INDEX($Y$2:$Y$1001,MATCH(ROWS($W$2:W298),$W$2:$W$1001,0),0), INDEX($AD$1004:$AU$1004,1,MATCH(COLUMNS($AD$1006:AL1006),$AD$1006:$AU$1006,0)))),"Fix")))</f>
        <v xml:space="preserve"> </v>
      </c>
      <c r="K298" s="4" t="str">
        <f ca="1">IF(OR(INDEX($X$2:$X$1001,MATCH(ROWS($W$2:W298),$W$2:$W$1001,0),1)&gt;=100000,INDEX($AD$1005:$AU$1005,1,MATCH(COLUMNS($AD$1006:AM1006),$AD$1006:$AU$1006,0))&gt;=100000), " ",IF(INDEX($AD$2:$AU$1001,MATCH(ROWS($W$2:W298),$W$2:$W$1001,0),MATCH(COLUMNS($AD$1006:AM1006),$AD$1006:$AU$1006,0)), HYPERLINK("#",""), HYPERLINK(CONCATENATE("#metadata!", ADDRESS(INDEX($Y$2:$Y$1001,MATCH(ROWS($W$2:W298),$W$2:$W$1001,0),0), INDEX($AD$1004:$AU$1004,1,MATCH(COLUMNS($AD$1006:AM1006),$AD$1006:$AU$1006,0)))),"Fix")))</f>
        <v xml:space="preserve"> </v>
      </c>
      <c r="L298" s="4" t="str">
        <f ca="1">IF(OR(INDEX($X$2:$X$1001,MATCH(ROWS($W$2:W298),$W$2:$W$1001,0),1)&gt;=100000,INDEX($AD$1005:$AU$1005,1,MATCH(COLUMNS($AD$1006:AN1006),$AD$1006:$AU$1006,0))&gt;=100000), " ",IF(INDEX($AD$2:$AU$1001,MATCH(ROWS($W$2:W298),$W$2:$W$1001,0),MATCH(COLUMNS($AD$1006:AN1006),$AD$1006:$AU$1006,0)), HYPERLINK("#",""), HYPERLINK(CONCATENATE("#metadata!", ADDRESS(INDEX($Y$2:$Y$1001,MATCH(ROWS($W$2:W298),$W$2:$W$1001,0),0), INDEX($AD$1004:$AU$1004,1,MATCH(COLUMNS($AD$1006:AN1006),$AD$1006:$AU$1006,0)))),"Fix")))</f>
        <v xml:space="preserve"> </v>
      </c>
      <c r="M298" s="4" t="str">
        <f ca="1">IF(OR(INDEX($X$2:$X$1001,MATCH(ROWS($W$2:W298),$W$2:$W$1001,0),1)&gt;=100000,INDEX($AD$1005:$AU$1005,1,MATCH(COLUMNS($AD$1006:AO1006),$AD$1006:$AU$1006,0))&gt;=100000), " ",IF(INDEX($AD$2:$AU$1001,MATCH(ROWS($W$2:W298),$W$2:$W$1001,0),MATCH(COLUMNS($AD$1006:AO1006),$AD$1006:$AU$1006,0)), HYPERLINK("#",""), HYPERLINK(CONCATENATE("#metadata!", ADDRESS(INDEX($Y$2:$Y$1001,MATCH(ROWS($W$2:W298),$W$2:$W$1001,0),0), INDEX($AD$1004:$AU$1004,1,MATCH(COLUMNS($AD$1006:AO1006),$AD$1006:$AU$1006,0)))),"Fix")))</f>
        <v xml:space="preserve"> </v>
      </c>
      <c r="N298" s="4" t="str">
        <f ca="1">IF(OR(INDEX($X$2:$X$1001,MATCH(ROWS($W$2:W298),$W$2:$W$1001,0),1)&gt;=100000,INDEX($AD$1005:$AU$1005,1,MATCH(COLUMNS($AD$1006:AP1006),$AD$1006:$AU$1006,0))&gt;=100000), " ",IF(INDEX($AD$2:$AU$1001,MATCH(ROWS($W$2:W298),$W$2:$W$1001,0),MATCH(COLUMNS($AD$1006:AP1006),$AD$1006:$AU$1006,0)), HYPERLINK("#",""), HYPERLINK(CONCATENATE("#metadata!", ADDRESS(INDEX($Y$2:$Y$1001,MATCH(ROWS($W$2:W298),$W$2:$W$1001,0),0), INDEX($AD$1004:$AU$1004,1,MATCH(COLUMNS($AD$1006:AP1006),$AD$1006:$AU$1006,0)))),"Fix")))</f>
        <v xml:space="preserve"> </v>
      </c>
      <c r="O298" s="4" t="str">
        <f ca="1">IF(OR(INDEX($X$2:$X$1001,MATCH(ROWS($W$2:W298),$W$2:$W$1001,0),1)&gt;=100000,INDEX($AD$1005:$AU$1005,1,MATCH(COLUMNS($AD$1006:AQ1006),$AD$1006:$AU$1006,0))&gt;=100000), " ",IF(INDEX($AD$2:$AU$1001,MATCH(ROWS($W$2:W298),$W$2:$W$1001,0),MATCH(COLUMNS($AD$1006:AQ1006),$AD$1006:$AU$1006,0)), HYPERLINK("#",""), HYPERLINK(CONCATENATE("#metadata!", ADDRESS(INDEX($Y$2:$Y$1001,MATCH(ROWS($W$2:W298),$W$2:$W$1001,0),0), INDEX($AD$1004:$AU$1004,1,MATCH(COLUMNS($AD$1006:AQ1006),$AD$1006:$AU$1006,0)))),"Fix")))</f>
        <v xml:space="preserve"> </v>
      </c>
      <c r="P298" s="4" t="str">
        <f ca="1">IF(OR(INDEX($X$2:$X$1001,MATCH(ROWS($W$2:W298),$W$2:$W$1001,0),1)&gt;=100000,INDEX($AD$1005:$AU$1005,1,MATCH(COLUMNS($AD$1006:AR1006),$AD$1006:$AU$1006,0))&gt;=100000), " ",IF(INDEX($AD$2:$AU$1001,MATCH(ROWS($W$2:W298),$W$2:$W$1001,0),MATCH(COLUMNS($AD$1006:AR1006),$AD$1006:$AU$1006,0)), HYPERLINK("#",""), HYPERLINK(CONCATENATE("#metadata!", ADDRESS(INDEX($Y$2:$Y$1001,MATCH(ROWS($W$2:W298),$W$2:$W$1001,0),0), INDEX($AD$1004:$AU$1004,1,MATCH(COLUMNS($AD$1006:AR1006),$AD$1006:$AU$1006,0)))),"Fix")))</f>
        <v xml:space="preserve"> </v>
      </c>
      <c r="Q298" s="4" t="str">
        <f ca="1">IF(OR(INDEX($X$2:$X$1001,MATCH(ROWS($W$2:W298),$W$2:$W$1001,0),1)&gt;=100000,INDEX($AD$1005:$AU$1005,1,MATCH(COLUMNS($AD$1006:AS1006),$AD$1006:$AU$1006,0))&gt;=100000), " ",IF(INDEX($AD$2:$AU$1001,MATCH(ROWS($W$2:W298),$W$2:$W$1001,0),MATCH(COLUMNS($AD$1006:AS1006),$AD$1006:$AU$1006,0)), HYPERLINK("#",""), HYPERLINK(CONCATENATE("#metadata!", ADDRESS(INDEX($Y$2:$Y$1001,MATCH(ROWS($W$2:W298),$W$2:$W$1001,0),0), INDEX($AD$1004:$AU$1004,1,MATCH(COLUMNS($AD$1006:AS1006),$AD$1006:$AU$1006,0)))),"Fix")))</f>
        <v xml:space="preserve"> </v>
      </c>
      <c r="R298" s="4" t="str">
        <f ca="1">IF(OR(INDEX($X$2:$X$1001,MATCH(ROWS($W$2:W298),$W$2:$W$1001,0),1)&gt;=100000,INDEX($AD$1005:$AU$1005,1,MATCH(COLUMNS($AD$1006:AT1006),$AD$1006:$AU$1006,0))&gt;=100000), " ",IF(INDEX($AD$2:$AU$1001,MATCH(ROWS($W$2:W298),$W$2:$W$1001,0),MATCH(COLUMNS($AD$1006:AT1006),$AD$1006:$AU$1006,0)), HYPERLINK("#",""), HYPERLINK(CONCATENATE("#metadata!", ADDRESS(INDEX($Y$2:$Y$1001,MATCH(ROWS($W$2:W298),$W$2:$W$1001,0),0), INDEX($AD$1004:$AU$1004,1,MATCH(COLUMNS($AD$1006:AT1006),$AD$1006:$AU$1006,0)))),"Fix")))</f>
        <v xml:space="preserve"> </v>
      </c>
      <c r="S298" s="4" t="str">
        <f ca="1">IF(OR(INDEX($X$2:$X$1001,MATCH(ROWS($W$2:W298),$W$2:$W$1001,0),1)&gt;=100000,INDEX($AD$1005:$AU$1005,1,MATCH(COLUMNS($AD$1006:AU1006),$AD$1006:$AU$1006,0))&gt;=100000), " ",IF(INDEX($AD$2:$AU$1001,MATCH(ROWS($W$2:W298),$W$2:$W$1001,0),MATCH(COLUMNS($AD$1006:AU1006),$AD$1006:$AU$1006,0)), HYPERLINK("#",""), HYPERLINK(CONCATENATE("#metadata!", ADDRESS(INDEX($Y$2:$Y$1001,MATCH(ROWS($W$2:W298),$W$2:$W$1001,0),0), INDEX($AD$1004:$AU$1004,1,MATCH(COLUMNS($AD$1006:AU1006),$AD$1006:$AU$1006,0)))),"Fix")))</f>
        <v xml:space="preserve"> </v>
      </c>
      <c r="W298">
        <v>297</v>
      </c>
      <c r="X298">
        <v>100298</v>
      </c>
      <c r="Y298">
        <v>298</v>
      </c>
      <c r="Z298" t="b">
        <f t="shared" si="4"/>
        <v>1</v>
      </c>
      <c r="AA298" t="b">
        <f>COUNTBLANK(metadata!B298:S298)=COLUMNS(metadata!B298:S298)</f>
        <v>1</v>
      </c>
      <c r="AB298" t="str">
        <v/>
      </c>
      <c r="AD298" t="b">
        <f ca="1">AND(IF(metadata!B298="",FALSE,TRUE),COUNTIF(metadata!B:B, metadata!B298) = 1,NOT(ISERROR(SUMPRODUCT(SEARCH(MID(metadata!B298,ROW(INDIRECT("1:"&amp;LEN(metadata!B298))), 1),"0123456789abcdefghijklmnopqrstuvwxyzABCDEFGHIJKLMNOPQRSTUVWXYZ.")))))</f>
        <v>0</v>
      </c>
      <c r="AE298" t="b">
        <f>OR(AND(IF(metadata!C298="",FALSE,TRUE),OR(EXACT(metadata!C298,"not applicable"),EXACT(metadata!C298,"missing: not collected"),EXACT(metadata!C298,"missing: not provided"),EXACT(metadata!C298,"missing: restricted access"))),AND(IF(metadata!C298="",FALSE,ISNUMBER(VALUE(metadata!C298))),metadata!C298&gt;0))</f>
        <v>0</v>
      </c>
      <c r="AF298" t="b">
        <f>AND(IF(metadata!D298="",FALSE,TRUE),EXACT(metadata!D298,"missing: not provided"))</f>
        <v>0</v>
      </c>
      <c r="AG298" t="b">
        <f>AND(IF(metadata!E298="",FALSE,TRUE),EXACT(metadata!E298,"Host-associated"))</f>
        <v>0</v>
      </c>
      <c r="AH298" t="b">
        <f>AND(IF(metadata!F298="",FALSE,TRUE),OR(EXACT(metadata!F298,"Animal"),EXACT(metadata!F298,"Fungus"),EXACT(metadata!F298,"Plant")))</f>
        <v>0</v>
      </c>
      <c r="AI298" t="b">
        <f>AND(IF(metadata!G298="",FALSE,TRUE),OR(EXACT(metadata!G298,"Plant secretion"),EXACT(metadata!G298,"Plant rhizosphere"),EXACT(metadata!G298,"Plant surface"),EXACT(metadata!G298,"Plant corpus"),EXACT(metadata!G298,"Fungus surface"),EXACT(metadata!G298,"Fungus corpus"),EXACT(metadata!G298,"Animal surface"),EXACT(metadata!G298,"Animal proximal gut"),EXACT(metadata!G298,"Animal corpus"),EXACT(metadata!G298,"Animal distal gut"),EXACT(metadata!G298,"Animal secretion")))</f>
        <v>0</v>
      </c>
      <c r="AJ298" t="b">
        <f>OR(AND(IF(metadata!H298="",FALSE,TRUE),OR(EXACT(metadata!H298,"missing: not collected"),EXACT(metadata!H298,"missing: not provided"),EXACT(metadata!H298,"missing: restricted access"))),AND(IF(metadata!H298="",FALSE,TRUE),OR(EXACT(metadata!H298,"organism-associated habitat"),EXACT(metadata!H298,"plant-associated habitat"),EXACT(metadata!H298,"animal-associated habitat"),EXACT(metadata!H298,"insecta-associated habitat"),EXACT(metadata!H298,"mammalia-associated habitat"),EXACT(metadata!H298,"human-associated habitat"),EXACT(metadata!H298,"livestock-associated habitat"))))</f>
        <v>0</v>
      </c>
      <c r="AK298" t="b">
        <f>AND(IF(metadata!I298="",FALSE,TRUE),EXACT(metadata!I298,"host-associated"))</f>
        <v>0</v>
      </c>
      <c r="AL298" t="b">
        <f>OR(AND(IF(metadata!J298="",FALSE,TRUE),OR(EXACT(metadata!J298,"not applicable"),EXACT(metadata!J298,"missing: not collected"),EXACT(metadata!J298,"missing: not provided"),EXACT(metadata!J298,"missing: restricted access"))),AND(IF(metadata!J298="",FALSE,ISNUMBER(VALUE(metadata!J298))),metadata!J298&gt;0))</f>
        <v>0</v>
      </c>
      <c r="AM298" t="b">
        <f>AND(IF(metadata!K298="",FALSE,TRUE),EXACT(metadata!K298,"missing: not provided"))</f>
        <v>0</v>
      </c>
      <c r="AN298" t="b">
        <f>IF(metadata!L298="",FALSE,TRUE)</f>
        <v>0</v>
      </c>
      <c r="AO298" t="b">
        <f>IF(metadata!M298="",FALSE,TRUE)</f>
        <v>0</v>
      </c>
      <c r="AP298" t="b">
        <f>OR(AND(IF(metadata!N298="",FALSE,TRUE),OR(EXACT(metadata!N298,"not applicable"),EXACT(metadata!N298,"missing: not collected"),EXACT(metadata!N298,"missing: not provided"))),AND(IF(metadata!N298="",FALSE,IF(ISERROR(INT(metadata!N298)),FALSE,INT(metadata!N298)=metadata!N298)),metadata!N298&gt;0))</f>
        <v>0</v>
      </c>
      <c r="AQ298" t="b">
        <f>AND(IF(metadata!O298="",FALSE,TRUE),EXACT(metadata!O298,"Not applicable"))</f>
        <v>0</v>
      </c>
      <c r="AR298" t="b">
        <f>OR(AND(IF(metadata!P298="",FALSE,TRUE),OR(EXACT(metadata!P298,"not applicable"),EXACT(metadata!P298,"missing: not collected"),EXACT(metadata!P298,"missing: not provided"),EXACT(metadata!P298,"missing: restricted access"))),IF(metadata!P298="",FALSE,IF(ISERROR(INT(metadata!P298)),FALSE,INT(metadata!P298)=metadata!P298)))</f>
        <v>0</v>
      </c>
      <c r="AS298" t="b">
        <f>AND(IF(metadata!Q298="",FALSE,TRUE),EXACT(metadata!Q298,"Not applicable"))</f>
        <v>0</v>
      </c>
      <c r="AT298" t="b">
        <f>OR(AND(IF(metadata!R298="",FALSE,TRUE),OR(EXACT(metadata!R298,"not applicable"),EXACT(metadata!R298,"missing: not collected"),EXACT(metadata!R298,"missing: not provided"),EXACT(metadata!R298,"missing: restricted access"))),AND(IF(metadata!R298="",FALSE,ISNUMBER(VALUE(metadata!R298))),metadata!R298&gt;0))</f>
        <v>0</v>
      </c>
      <c r="AU298" t="b">
        <f>AND(IF(metadata!S298="",FALSE,TRUE),EXACT(metadata!S298,"missing: not provided"))</f>
        <v>0</v>
      </c>
    </row>
    <row r="299" spans="1:47" x14ac:dyDescent="0.2">
      <c r="A299" s="5" t="str">
        <f ca="1">IF(B299=" "," ",HYPERLINK(CONCATENATE("#metadata!",ADDRESS(INDEX($Y$2:$Y$1001,MATCH(ROWS($W$2:W299),$W$2:$W$1001,0),0),1)),INDEX($AB$2:$AB$1001,MATCH(ROWS($W$2:W299),$W$2:$W$1001,0),0)))</f>
        <v xml:space="preserve"> </v>
      </c>
      <c r="B299" s="4" t="str">
        <f ca="1">IF(OR(INDEX($X$2:$X$1001,MATCH(ROWS($W$2:W299),$W$2:$W$1001,0),1)&gt;=100000,INDEX($AD$1005:$AU$1005,1,MATCH(COLUMNS($AD$1006:AD1006),$AD$1006:$AU$1006,0))&gt;=100000), " ",IF(INDEX($AD$2:$AU$1001,MATCH(ROWS($W$2:W299),$W$2:$W$1001,0),MATCH(COLUMNS($AD$1006:AD1006),$AD$1006:$AU$1006,0)), HYPERLINK("#",""), HYPERLINK(CONCATENATE("#metadata!", ADDRESS(INDEX($Y$2:$Y$1001,MATCH(ROWS($W$2:W299),$W$2:$W$1001,0),0), INDEX($AD$1004:$AU$1004,1,MATCH(COLUMNS($AD$1006:AD1006),$AD$1006:$AU$1006,0)))),"Fix")))</f>
        <v xml:space="preserve"> </v>
      </c>
      <c r="C299" s="4" t="str">
        <f ca="1">IF(OR(INDEX($X$2:$X$1001,MATCH(ROWS($W$2:W299),$W$2:$W$1001,0),1)&gt;=100000,INDEX($AD$1005:$AU$1005,1,MATCH(COLUMNS($AD$1006:AE1006),$AD$1006:$AU$1006,0))&gt;=100000), " ",IF(INDEX($AD$2:$AU$1001,MATCH(ROWS($W$2:W299),$W$2:$W$1001,0),MATCH(COLUMNS($AD$1006:AE1006),$AD$1006:$AU$1006,0)), HYPERLINK("#",""), HYPERLINK(CONCATENATE("#metadata!", ADDRESS(INDEX($Y$2:$Y$1001,MATCH(ROWS($W$2:W299),$W$2:$W$1001,0),0), INDEX($AD$1004:$AU$1004,1,MATCH(COLUMNS($AD$1006:AE1006),$AD$1006:$AU$1006,0)))),"Fix")))</f>
        <v xml:space="preserve"> </v>
      </c>
      <c r="D299" s="4" t="str">
        <f ca="1">IF(OR(INDEX($X$2:$X$1001,MATCH(ROWS($W$2:W299),$W$2:$W$1001,0),1)&gt;=100000,INDEX($AD$1005:$AU$1005,1,MATCH(COLUMNS($AD$1006:AF1006),$AD$1006:$AU$1006,0))&gt;=100000), " ",IF(INDEX($AD$2:$AU$1001,MATCH(ROWS($W$2:W299),$W$2:$W$1001,0),MATCH(COLUMNS($AD$1006:AF1006),$AD$1006:$AU$1006,0)), HYPERLINK("#",""), HYPERLINK(CONCATENATE("#metadata!", ADDRESS(INDEX($Y$2:$Y$1001,MATCH(ROWS($W$2:W299),$W$2:$W$1001,0),0), INDEX($AD$1004:$AU$1004,1,MATCH(COLUMNS($AD$1006:AF1006),$AD$1006:$AU$1006,0)))),"Fix")))</f>
        <v xml:space="preserve"> </v>
      </c>
      <c r="E299" s="4" t="str">
        <f ca="1">IF(OR(INDEX($X$2:$X$1001,MATCH(ROWS($W$2:W299),$W$2:$W$1001,0),1)&gt;=100000,INDEX($AD$1005:$AU$1005,1,MATCH(COLUMNS($AD$1006:AG1006),$AD$1006:$AU$1006,0))&gt;=100000), " ",IF(INDEX($AD$2:$AU$1001,MATCH(ROWS($W$2:W299),$W$2:$W$1001,0),MATCH(COLUMNS($AD$1006:AG1006),$AD$1006:$AU$1006,0)), HYPERLINK("#",""), HYPERLINK(CONCATENATE("#metadata!", ADDRESS(INDEX($Y$2:$Y$1001,MATCH(ROWS($W$2:W299),$W$2:$W$1001,0),0), INDEX($AD$1004:$AU$1004,1,MATCH(COLUMNS($AD$1006:AG1006),$AD$1006:$AU$1006,0)))),"Fix")))</f>
        <v xml:space="preserve"> </v>
      </c>
      <c r="F299" s="4" t="str">
        <f ca="1">IF(OR(INDEX($X$2:$X$1001,MATCH(ROWS($W$2:W299),$W$2:$W$1001,0),1)&gt;=100000,INDEX($AD$1005:$AU$1005,1,MATCH(COLUMNS($AD$1006:AH1006),$AD$1006:$AU$1006,0))&gt;=100000), " ",IF(INDEX($AD$2:$AU$1001,MATCH(ROWS($W$2:W299),$W$2:$W$1001,0),MATCH(COLUMNS($AD$1006:AH1006),$AD$1006:$AU$1006,0)), HYPERLINK("#",""), HYPERLINK(CONCATENATE("#metadata!", ADDRESS(INDEX($Y$2:$Y$1001,MATCH(ROWS($W$2:W299),$W$2:$W$1001,0),0), INDEX($AD$1004:$AU$1004,1,MATCH(COLUMNS($AD$1006:AH1006),$AD$1006:$AU$1006,0)))),"Fix")))</f>
        <v xml:space="preserve"> </v>
      </c>
      <c r="G299" s="4" t="str">
        <f ca="1">IF(OR(INDEX($X$2:$X$1001,MATCH(ROWS($W$2:W299),$W$2:$W$1001,0),1)&gt;=100000,INDEX($AD$1005:$AU$1005,1,MATCH(COLUMNS($AD$1006:AI1006),$AD$1006:$AU$1006,0))&gt;=100000), " ",IF(INDEX($AD$2:$AU$1001,MATCH(ROWS($W$2:W299),$W$2:$W$1001,0),MATCH(COLUMNS($AD$1006:AI1006),$AD$1006:$AU$1006,0)), HYPERLINK("#",""), HYPERLINK(CONCATENATE("#metadata!", ADDRESS(INDEX($Y$2:$Y$1001,MATCH(ROWS($W$2:W299),$W$2:$W$1001,0),0), INDEX($AD$1004:$AU$1004,1,MATCH(COLUMNS($AD$1006:AI1006),$AD$1006:$AU$1006,0)))),"Fix")))</f>
        <v xml:space="preserve"> </v>
      </c>
      <c r="H299" s="4" t="str">
        <f ca="1">IF(OR(INDEX($X$2:$X$1001,MATCH(ROWS($W$2:W299),$W$2:$W$1001,0),1)&gt;=100000,INDEX($AD$1005:$AU$1005,1,MATCH(COLUMNS($AD$1006:AJ1006),$AD$1006:$AU$1006,0))&gt;=100000), " ",IF(INDEX($AD$2:$AU$1001,MATCH(ROWS($W$2:W299),$W$2:$W$1001,0),MATCH(COLUMNS($AD$1006:AJ1006),$AD$1006:$AU$1006,0)), HYPERLINK("#",""), HYPERLINK(CONCATENATE("#metadata!", ADDRESS(INDEX($Y$2:$Y$1001,MATCH(ROWS($W$2:W299),$W$2:$W$1001,0),0), INDEX($AD$1004:$AU$1004,1,MATCH(COLUMNS($AD$1006:AJ1006),$AD$1006:$AU$1006,0)))),"Fix")))</f>
        <v xml:space="preserve"> </v>
      </c>
      <c r="I299" s="4" t="str">
        <f ca="1">IF(OR(INDEX($X$2:$X$1001,MATCH(ROWS($W$2:W299),$W$2:$W$1001,0),1)&gt;=100000,INDEX($AD$1005:$AU$1005,1,MATCH(COLUMNS($AD$1006:AK1006),$AD$1006:$AU$1006,0))&gt;=100000), " ",IF(INDEX($AD$2:$AU$1001,MATCH(ROWS($W$2:W299),$W$2:$W$1001,0),MATCH(COLUMNS($AD$1006:AK1006),$AD$1006:$AU$1006,0)), HYPERLINK("#",""), HYPERLINK(CONCATENATE("#metadata!", ADDRESS(INDEX($Y$2:$Y$1001,MATCH(ROWS($W$2:W299),$W$2:$W$1001,0),0), INDEX($AD$1004:$AU$1004,1,MATCH(COLUMNS($AD$1006:AK1006),$AD$1006:$AU$1006,0)))),"Fix")))</f>
        <v xml:space="preserve"> </v>
      </c>
      <c r="J299" s="4" t="str">
        <f ca="1">IF(OR(INDEX($X$2:$X$1001,MATCH(ROWS($W$2:W299),$W$2:$W$1001,0),1)&gt;=100000,INDEX($AD$1005:$AU$1005,1,MATCH(COLUMNS($AD$1006:AL1006),$AD$1006:$AU$1006,0))&gt;=100000), " ",IF(INDEX($AD$2:$AU$1001,MATCH(ROWS($W$2:W299),$W$2:$W$1001,0),MATCH(COLUMNS($AD$1006:AL1006),$AD$1006:$AU$1006,0)), HYPERLINK("#",""), HYPERLINK(CONCATENATE("#metadata!", ADDRESS(INDEX($Y$2:$Y$1001,MATCH(ROWS($W$2:W299),$W$2:$W$1001,0),0), INDEX($AD$1004:$AU$1004,1,MATCH(COLUMNS($AD$1006:AL1006),$AD$1006:$AU$1006,0)))),"Fix")))</f>
        <v xml:space="preserve"> </v>
      </c>
      <c r="K299" s="4" t="str">
        <f ca="1">IF(OR(INDEX($X$2:$X$1001,MATCH(ROWS($W$2:W299),$W$2:$W$1001,0),1)&gt;=100000,INDEX($AD$1005:$AU$1005,1,MATCH(COLUMNS($AD$1006:AM1006),$AD$1006:$AU$1006,0))&gt;=100000), " ",IF(INDEX($AD$2:$AU$1001,MATCH(ROWS($W$2:W299),$W$2:$W$1001,0),MATCH(COLUMNS($AD$1006:AM1006),$AD$1006:$AU$1006,0)), HYPERLINK("#",""), HYPERLINK(CONCATENATE("#metadata!", ADDRESS(INDEX($Y$2:$Y$1001,MATCH(ROWS($W$2:W299),$W$2:$W$1001,0),0), INDEX($AD$1004:$AU$1004,1,MATCH(COLUMNS($AD$1006:AM1006),$AD$1006:$AU$1006,0)))),"Fix")))</f>
        <v xml:space="preserve"> </v>
      </c>
      <c r="L299" s="4" t="str">
        <f ca="1">IF(OR(INDEX($X$2:$X$1001,MATCH(ROWS($W$2:W299),$W$2:$W$1001,0),1)&gt;=100000,INDEX($AD$1005:$AU$1005,1,MATCH(COLUMNS($AD$1006:AN1006),$AD$1006:$AU$1006,0))&gt;=100000), " ",IF(INDEX($AD$2:$AU$1001,MATCH(ROWS($W$2:W299),$W$2:$W$1001,0),MATCH(COLUMNS($AD$1006:AN1006),$AD$1006:$AU$1006,0)), HYPERLINK("#",""), HYPERLINK(CONCATENATE("#metadata!", ADDRESS(INDEX($Y$2:$Y$1001,MATCH(ROWS($W$2:W299),$W$2:$W$1001,0),0), INDEX($AD$1004:$AU$1004,1,MATCH(COLUMNS($AD$1006:AN1006),$AD$1006:$AU$1006,0)))),"Fix")))</f>
        <v xml:space="preserve"> </v>
      </c>
      <c r="M299" s="4" t="str">
        <f ca="1">IF(OR(INDEX($X$2:$X$1001,MATCH(ROWS($W$2:W299),$W$2:$W$1001,0),1)&gt;=100000,INDEX($AD$1005:$AU$1005,1,MATCH(COLUMNS($AD$1006:AO1006),$AD$1006:$AU$1006,0))&gt;=100000), " ",IF(INDEX($AD$2:$AU$1001,MATCH(ROWS($W$2:W299),$W$2:$W$1001,0),MATCH(COLUMNS($AD$1006:AO1006),$AD$1006:$AU$1006,0)), HYPERLINK("#",""), HYPERLINK(CONCATENATE("#metadata!", ADDRESS(INDEX($Y$2:$Y$1001,MATCH(ROWS($W$2:W299),$W$2:$W$1001,0),0), INDEX($AD$1004:$AU$1004,1,MATCH(COLUMNS($AD$1006:AO1006),$AD$1006:$AU$1006,0)))),"Fix")))</f>
        <v xml:space="preserve"> </v>
      </c>
      <c r="N299" s="4" t="str">
        <f ca="1">IF(OR(INDEX($X$2:$X$1001,MATCH(ROWS($W$2:W299),$W$2:$W$1001,0),1)&gt;=100000,INDEX($AD$1005:$AU$1005,1,MATCH(COLUMNS($AD$1006:AP1006),$AD$1006:$AU$1006,0))&gt;=100000), " ",IF(INDEX($AD$2:$AU$1001,MATCH(ROWS($W$2:W299),$W$2:$W$1001,0),MATCH(COLUMNS($AD$1006:AP1006),$AD$1006:$AU$1006,0)), HYPERLINK("#",""), HYPERLINK(CONCATENATE("#metadata!", ADDRESS(INDEX($Y$2:$Y$1001,MATCH(ROWS($W$2:W299),$W$2:$W$1001,0),0), INDEX($AD$1004:$AU$1004,1,MATCH(COLUMNS($AD$1006:AP1006),$AD$1006:$AU$1006,0)))),"Fix")))</f>
        <v xml:space="preserve"> </v>
      </c>
      <c r="O299" s="4" t="str">
        <f ca="1">IF(OR(INDEX($X$2:$X$1001,MATCH(ROWS($W$2:W299),$W$2:$W$1001,0),1)&gt;=100000,INDEX($AD$1005:$AU$1005,1,MATCH(COLUMNS($AD$1006:AQ1006),$AD$1006:$AU$1006,0))&gt;=100000), " ",IF(INDEX($AD$2:$AU$1001,MATCH(ROWS($W$2:W299),$W$2:$W$1001,0),MATCH(COLUMNS($AD$1006:AQ1006),$AD$1006:$AU$1006,0)), HYPERLINK("#",""), HYPERLINK(CONCATENATE("#metadata!", ADDRESS(INDEX($Y$2:$Y$1001,MATCH(ROWS($W$2:W299),$W$2:$W$1001,0),0), INDEX($AD$1004:$AU$1004,1,MATCH(COLUMNS($AD$1006:AQ1006),$AD$1006:$AU$1006,0)))),"Fix")))</f>
        <v xml:space="preserve"> </v>
      </c>
      <c r="P299" s="4" t="str">
        <f ca="1">IF(OR(INDEX($X$2:$X$1001,MATCH(ROWS($W$2:W299),$W$2:$W$1001,0),1)&gt;=100000,INDEX($AD$1005:$AU$1005,1,MATCH(COLUMNS($AD$1006:AR1006),$AD$1006:$AU$1006,0))&gt;=100000), " ",IF(INDEX($AD$2:$AU$1001,MATCH(ROWS($W$2:W299),$W$2:$W$1001,0),MATCH(COLUMNS($AD$1006:AR1006),$AD$1006:$AU$1006,0)), HYPERLINK("#",""), HYPERLINK(CONCATENATE("#metadata!", ADDRESS(INDEX($Y$2:$Y$1001,MATCH(ROWS($W$2:W299),$W$2:$W$1001,0),0), INDEX($AD$1004:$AU$1004,1,MATCH(COLUMNS($AD$1006:AR1006),$AD$1006:$AU$1006,0)))),"Fix")))</f>
        <v xml:space="preserve"> </v>
      </c>
      <c r="Q299" s="4" t="str">
        <f ca="1">IF(OR(INDEX($X$2:$X$1001,MATCH(ROWS($W$2:W299),$W$2:$W$1001,0),1)&gt;=100000,INDEX($AD$1005:$AU$1005,1,MATCH(COLUMNS($AD$1006:AS1006),$AD$1006:$AU$1006,0))&gt;=100000), " ",IF(INDEX($AD$2:$AU$1001,MATCH(ROWS($W$2:W299),$W$2:$W$1001,0),MATCH(COLUMNS($AD$1006:AS1006),$AD$1006:$AU$1006,0)), HYPERLINK("#",""), HYPERLINK(CONCATENATE("#metadata!", ADDRESS(INDEX($Y$2:$Y$1001,MATCH(ROWS($W$2:W299),$W$2:$W$1001,0),0), INDEX($AD$1004:$AU$1004,1,MATCH(COLUMNS($AD$1006:AS1006),$AD$1006:$AU$1006,0)))),"Fix")))</f>
        <v xml:space="preserve"> </v>
      </c>
      <c r="R299" s="4" t="str">
        <f ca="1">IF(OR(INDEX($X$2:$X$1001,MATCH(ROWS($W$2:W299),$W$2:$W$1001,0),1)&gt;=100000,INDEX($AD$1005:$AU$1005,1,MATCH(COLUMNS($AD$1006:AT1006),$AD$1006:$AU$1006,0))&gt;=100000), " ",IF(INDEX($AD$2:$AU$1001,MATCH(ROWS($W$2:W299),$W$2:$W$1001,0),MATCH(COLUMNS($AD$1006:AT1006),$AD$1006:$AU$1006,0)), HYPERLINK("#",""), HYPERLINK(CONCATENATE("#metadata!", ADDRESS(INDEX($Y$2:$Y$1001,MATCH(ROWS($W$2:W299),$W$2:$W$1001,0),0), INDEX($AD$1004:$AU$1004,1,MATCH(COLUMNS($AD$1006:AT1006),$AD$1006:$AU$1006,0)))),"Fix")))</f>
        <v xml:space="preserve"> </v>
      </c>
      <c r="S299" s="4" t="str">
        <f ca="1">IF(OR(INDEX($X$2:$X$1001,MATCH(ROWS($W$2:W299),$W$2:$W$1001,0),1)&gt;=100000,INDEX($AD$1005:$AU$1005,1,MATCH(COLUMNS($AD$1006:AU1006),$AD$1006:$AU$1006,0))&gt;=100000), " ",IF(INDEX($AD$2:$AU$1001,MATCH(ROWS($W$2:W299),$W$2:$W$1001,0),MATCH(COLUMNS($AD$1006:AU1006),$AD$1006:$AU$1006,0)), HYPERLINK("#",""), HYPERLINK(CONCATENATE("#metadata!", ADDRESS(INDEX($Y$2:$Y$1001,MATCH(ROWS($W$2:W299),$W$2:$W$1001,0),0), INDEX($AD$1004:$AU$1004,1,MATCH(COLUMNS($AD$1006:AU1006),$AD$1006:$AU$1006,0)))),"Fix")))</f>
        <v xml:space="preserve"> </v>
      </c>
      <c r="W299">
        <v>298</v>
      </c>
      <c r="X299">
        <v>100299</v>
      </c>
      <c r="Y299">
        <v>299</v>
      </c>
      <c r="Z299" t="b">
        <f t="shared" si="4"/>
        <v>1</v>
      </c>
      <c r="AA299" t="b">
        <f>COUNTBLANK(metadata!B299:S299)=COLUMNS(metadata!B299:S299)</f>
        <v>1</v>
      </c>
      <c r="AB299" t="str">
        <v/>
      </c>
      <c r="AD299" t="b">
        <f ca="1">AND(IF(metadata!B299="",FALSE,TRUE),COUNTIF(metadata!B:B, metadata!B299) = 1,NOT(ISERROR(SUMPRODUCT(SEARCH(MID(metadata!B299,ROW(INDIRECT("1:"&amp;LEN(metadata!B299))), 1),"0123456789abcdefghijklmnopqrstuvwxyzABCDEFGHIJKLMNOPQRSTUVWXYZ.")))))</f>
        <v>0</v>
      </c>
      <c r="AE299" t="b">
        <f>OR(AND(IF(metadata!C299="",FALSE,TRUE),OR(EXACT(metadata!C299,"not applicable"),EXACT(metadata!C299,"missing: not collected"),EXACT(metadata!C299,"missing: not provided"),EXACT(metadata!C299,"missing: restricted access"))),AND(IF(metadata!C299="",FALSE,ISNUMBER(VALUE(metadata!C299))),metadata!C299&gt;0))</f>
        <v>0</v>
      </c>
      <c r="AF299" t="b">
        <f>AND(IF(metadata!D299="",FALSE,TRUE),EXACT(metadata!D299,"missing: not provided"))</f>
        <v>0</v>
      </c>
      <c r="AG299" t="b">
        <f>AND(IF(metadata!E299="",FALSE,TRUE),EXACT(metadata!E299,"Host-associated"))</f>
        <v>0</v>
      </c>
      <c r="AH299" t="b">
        <f>AND(IF(metadata!F299="",FALSE,TRUE),OR(EXACT(metadata!F299,"Animal"),EXACT(metadata!F299,"Fungus"),EXACT(metadata!F299,"Plant")))</f>
        <v>0</v>
      </c>
      <c r="AI299" t="b">
        <f>AND(IF(metadata!G299="",FALSE,TRUE),OR(EXACT(metadata!G299,"Plant secretion"),EXACT(metadata!G299,"Plant rhizosphere"),EXACT(metadata!G299,"Plant surface"),EXACT(metadata!G299,"Plant corpus"),EXACT(metadata!G299,"Fungus surface"),EXACT(metadata!G299,"Fungus corpus"),EXACT(metadata!G299,"Animal surface"),EXACT(metadata!G299,"Animal proximal gut"),EXACT(metadata!G299,"Animal corpus"),EXACT(metadata!G299,"Animal distal gut"),EXACT(metadata!G299,"Animal secretion")))</f>
        <v>0</v>
      </c>
      <c r="AJ299" t="b">
        <f>OR(AND(IF(metadata!H299="",FALSE,TRUE),OR(EXACT(metadata!H299,"missing: not collected"),EXACT(metadata!H299,"missing: not provided"),EXACT(metadata!H299,"missing: restricted access"))),AND(IF(metadata!H299="",FALSE,TRUE),OR(EXACT(metadata!H299,"organism-associated habitat"),EXACT(metadata!H299,"plant-associated habitat"),EXACT(metadata!H299,"animal-associated habitat"),EXACT(metadata!H299,"insecta-associated habitat"),EXACT(metadata!H299,"mammalia-associated habitat"),EXACT(metadata!H299,"human-associated habitat"),EXACT(metadata!H299,"livestock-associated habitat"))))</f>
        <v>0</v>
      </c>
      <c r="AK299" t="b">
        <f>AND(IF(metadata!I299="",FALSE,TRUE),EXACT(metadata!I299,"host-associated"))</f>
        <v>0</v>
      </c>
      <c r="AL299" t="b">
        <f>OR(AND(IF(metadata!J299="",FALSE,TRUE),OR(EXACT(metadata!J299,"not applicable"),EXACT(metadata!J299,"missing: not collected"),EXACT(metadata!J299,"missing: not provided"),EXACT(metadata!J299,"missing: restricted access"))),AND(IF(metadata!J299="",FALSE,ISNUMBER(VALUE(metadata!J299))),metadata!J299&gt;0))</f>
        <v>0</v>
      </c>
      <c r="AM299" t="b">
        <f>AND(IF(metadata!K299="",FALSE,TRUE),EXACT(metadata!K299,"missing: not provided"))</f>
        <v>0</v>
      </c>
      <c r="AN299" t="b">
        <f>IF(metadata!L299="",FALSE,TRUE)</f>
        <v>0</v>
      </c>
      <c r="AO299" t="b">
        <f>IF(metadata!M299="",FALSE,TRUE)</f>
        <v>0</v>
      </c>
      <c r="AP299" t="b">
        <f>OR(AND(IF(metadata!N299="",FALSE,TRUE),OR(EXACT(metadata!N299,"not applicable"),EXACT(metadata!N299,"missing: not collected"),EXACT(metadata!N299,"missing: not provided"))),AND(IF(metadata!N299="",FALSE,IF(ISERROR(INT(metadata!N299)),FALSE,INT(metadata!N299)=metadata!N299)),metadata!N299&gt;0))</f>
        <v>0</v>
      </c>
      <c r="AQ299" t="b">
        <f>AND(IF(metadata!O299="",FALSE,TRUE),EXACT(metadata!O299,"Not applicable"))</f>
        <v>0</v>
      </c>
      <c r="AR299" t="b">
        <f>OR(AND(IF(metadata!P299="",FALSE,TRUE),OR(EXACT(metadata!P299,"not applicable"),EXACT(metadata!P299,"missing: not collected"),EXACT(metadata!P299,"missing: not provided"),EXACT(metadata!P299,"missing: restricted access"))),IF(metadata!P299="",FALSE,IF(ISERROR(INT(metadata!P299)),FALSE,INT(metadata!P299)=metadata!P299)))</f>
        <v>0</v>
      </c>
      <c r="AS299" t="b">
        <f>AND(IF(metadata!Q299="",FALSE,TRUE),EXACT(metadata!Q299,"Not applicable"))</f>
        <v>0</v>
      </c>
      <c r="AT299" t="b">
        <f>OR(AND(IF(metadata!R299="",FALSE,TRUE),OR(EXACT(metadata!R299,"not applicable"),EXACT(metadata!R299,"missing: not collected"),EXACT(metadata!R299,"missing: not provided"),EXACT(metadata!R299,"missing: restricted access"))),AND(IF(metadata!R299="",FALSE,ISNUMBER(VALUE(metadata!R299))),metadata!R299&gt;0))</f>
        <v>0</v>
      </c>
      <c r="AU299" t="b">
        <f>AND(IF(metadata!S299="",FALSE,TRUE),EXACT(metadata!S299,"missing: not provided"))</f>
        <v>0</v>
      </c>
    </row>
    <row r="300" spans="1:47" x14ac:dyDescent="0.2">
      <c r="A300" s="5" t="str">
        <f ca="1">IF(B300=" "," ",HYPERLINK(CONCATENATE("#metadata!",ADDRESS(INDEX($Y$2:$Y$1001,MATCH(ROWS($W$2:W300),$W$2:$W$1001,0),0),1)),INDEX($AB$2:$AB$1001,MATCH(ROWS($W$2:W300),$W$2:$W$1001,0),0)))</f>
        <v xml:space="preserve"> </v>
      </c>
      <c r="B300" s="4" t="str">
        <f ca="1">IF(OR(INDEX($X$2:$X$1001,MATCH(ROWS($W$2:W300),$W$2:$W$1001,0),1)&gt;=100000,INDEX($AD$1005:$AU$1005,1,MATCH(COLUMNS($AD$1006:AD1006),$AD$1006:$AU$1006,0))&gt;=100000), " ",IF(INDEX($AD$2:$AU$1001,MATCH(ROWS($W$2:W300),$W$2:$W$1001,0),MATCH(COLUMNS($AD$1006:AD1006),$AD$1006:$AU$1006,0)), HYPERLINK("#",""), HYPERLINK(CONCATENATE("#metadata!", ADDRESS(INDEX($Y$2:$Y$1001,MATCH(ROWS($W$2:W300),$W$2:$W$1001,0),0), INDEX($AD$1004:$AU$1004,1,MATCH(COLUMNS($AD$1006:AD1006),$AD$1006:$AU$1006,0)))),"Fix")))</f>
        <v xml:space="preserve"> </v>
      </c>
      <c r="C300" s="4" t="str">
        <f ca="1">IF(OR(INDEX($X$2:$X$1001,MATCH(ROWS($W$2:W300),$W$2:$W$1001,0),1)&gt;=100000,INDEX($AD$1005:$AU$1005,1,MATCH(COLUMNS($AD$1006:AE1006),$AD$1006:$AU$1006,0))&gt;=100000), " ",IF(INDEX($AD$2:$AU$1001,MATCH(ROWS($W$2:W300),$W$2:$W$1001,0),MATCH(COLUMNS($AD$1006:AE1006),$AD$1006:$AU$1006,0)), HYPERLINK("#",""), HYPERLINK(CONCATENATE("#metadata!", ADDRESS(INDEX($Y$2:$Y$1001,MATCH(ROWS($W$2:W300),$W$2:$W$1001,0),0), INDEX($AD$1004:$AU$1004,1,MATCH(COLUMNS($AD$1006:AE1006),$AD$1006:$AU$1006,0)))),"Fix")))</f>
        <v xml:space="preserve"> </v>
      </c>
      <c r="D300" s="4" t="str">
        <f ca="1">IF(OR(INDEX($X$2:$X$1001,MATCH(ROWS($W$2:W300),$W$2:$W$1001,0),1)&gt;=100000,INDEX($AD$1005:$AU$1005,1,MATCH(COLUMNS($AD$1006:AF1006),$AD$1006:$AU$1006,0))&gt;=100000), " ",IF(INDEX($AD$2:$AU$1001,MATCH(ROWS($W$2:W300),$W$2:$W$1001,0),MATCH(COLUMNS($AD$1006:AF1006),$AD$1006:$AU$1006,0)), HYPERLINK("#",""), HYPERLINK(CONCATENATE("#metadata!", ADDRESS(INDEX($Y$2:$Y$1001,MATCH(ROWS($W$2:W300),$W$2:$W$1001,0),0), INDEX($AD$1004:$AU$1004,1,MATCH(COLUMNS($AD$1006:AF1006),$AD$1006:$AU$1006,0)))),"Fix")))</f>
        <v xml:space="preserve"> </v>
      </c>
      <c r="E300" s="4" t="str">
        <f ca="1">IF(OR(INDEX($X$2:$X$1001,MATCH(ROWS($W$2:W300),$W$2:$W$1001,0),1)&gt;=100000,INDEX($AD$1005:$AU$1005,1,MATCH(COLUMNS($AD$1006:AG1006),$AD$1006:$AU$1006,0))&gt;=100000), " ",IF(INDEX($AD$2:$AU$1001,MATCH(ROWS($W$2:W300),$W$2:$W$1001,0),MATCH(COLUMNS($AD$1006:AG1006),$AD$1006:$AU$1006,0)), HYPERLINK("#",""), HYPERLINK(CONCATENATE("#metadata!", ADDRESS(INDEX($Y$2:$Y$1001,MATCH(ROWS($W$2:W300),$W$2:$W$1001,0),0), INDEX($AD$1004:$AU$1004,1,MATCH(COLUMNS($AD$1006:AG1006),$AD$1006:$AU$1006,0)))),"Fix")))</f>
        <v xml:space="preserve"> </v>
      </c>
      <c r="F300" s="4" t="str">
        <f ca="1">IF(OR(INDEX($X$2:$X$1001,MATCH(ROWS($W$2:W300),$W$2:$W$1001,0),1)&gt;=100000,INDEX($AD$1005:$AU$1005,1,MATCH(COLUMNS($AD$1006:AH1006),$AD$1006:$AU$1006,0))&gt;=100000), " ",IF(INDEX($AD$2:$AU$1001,MATCH(ROWS($W$2:W300),$W$2:$W$1001,0),MATCH(COLUMNS($AD$1006:AH1006),$AD$1006:$AU$1006,0)), HYPERLINK("#",""), HYPERLINK(CONCATENATE("#metadata!", ADDRESS(INDEX($Y$2:$Y$1001,MATCH(ROWS($W$2:W300),$W$2:$W$1001,0),0), INDEX($AD$1004:$AU$1004,1,MATCH(COLUMNS($AD$1006:AH1006),$AD$1006:$AU$1006,0)))),"Fix")))</f>
        <v xml:space="preserve"> </v>
      </c>
      <c r="G300" s="4" t="str">
        <f ca="1">IF(OR(INDEX($X$2:$X$1001,MATCH(ROWS($W$2:W300),$W$2:$W$1001,0),1)&gt;=100000,INDEX($AD$1005:$AU$1005,1,MATCH(COLUMNS($AD$1006:AI1006),$AD$1006:$AU$1006,0))&gt;=100000), " ",IF(INDEX($AD$2:$AU$1001,MATCH(ROWS($W$2:W300),$W$2:$W$1001,0),MATCH(COLUMNS($AD$1006:AI1006),$AD$1006:$AU$1006,0)), HYPERLINK("#",""), HYPERLINK(CONCATENATE("#metadata!", ADDRESS(INDEX($Y$2:$Y$1001,MATCH(ROWS($W$2:W300),$W$2:$W$1001,0),0), INDEX($AD$1004:$AU$1004,1,MATCH(COLUMNS($AD$1006:AI1006),$AD$1006:$AU$1006,0)))),"Fix")))</f>
        <v xml:space="preserve"> </v>
      </c>
      <c r="H300" s="4" t="str">
        <f ca="1">IF(OR(INDEX($X$2:$X$1001,MATCH(ROWS($W$2:W300),$W$2:$W$1001,0),1)&gt;=100000,INDEX($AD$1005:$AU$1005,1,MATCH(COLUMNS($AD$1006:AJ1006),$AD$1006:$AU$1006,0))&gt;=100000), " ",IF(INDEX($AD$2:$AU$1001,MATCH(ROWS($W$2:W300),$W$2:$W$1001,0),MATCH(COLUMNS($AD$1006:AJ1006),$AD$1006:$AU$1006,0)), HYPERLINK("#",""), HYPERLINK(CONCATENATE("#metadata!", ADDRESS(INDEX($Y$2:$Y$1001,MATCH(ROWS($W$2:W300),$W$2:$W$1001,0),0), INDEX($AD$1004:$AU$1004,1,MATCH(COLUMNS($AD$1006:AJ1006),$AD$1006:$AU$1006,0)))),"Fix")))</f>
        <v xml:space="preserve"> </v>
      </c>
      <c r="I300" s="4" t="str">
        <f ca="1">IF(OR(INDEX($X$2:$X$1001,MATCH(ROWS($W$2:W300),$W$2:$W$1001,0),1)&gt;=100000,INDEX($AD$1005:$AU$1005,1,MATCH(COLUMNS($AD$1006:AK1006),$AD$1006:$AU$1006,0))&gt;=100000), " ",IF(INDEX($AD$2:$AU$1001,MATCH(ROWS($W$2:W300),$W$2:$W$1001,0),MATCH(COLUMNS($AD$1006:AK1006),$AD$1006:$AU$1006,0)), HYPERLINK("#",""), HYPERLINK(CONCATENATE("#metadata!", ADDRESS(INDEX($Y$2:$Y$1001,MATCH(ROWS($W$2:W300),$W$2:$W$1001,0),0), INDEX($AD$1004:$AU$1004,1,MATCH(COLUMNS($AD$1006:AK1006),$AD$1006:$AU$1006,0)))),"Fix")))</f>
        <v xml:space="preserve"> </v>
      </c>
      <c r="J300" s="4" t="str">
        <f ca="1">IF(OR(INDEX($X$2:$X$1001,MATCH(ROWS($W$2:W300),$W$2:$W$1001,0),1)&gt;=100000,INDEX($AD$1005:$AU$1005,1,MATCH(COLUMNS($AD$1006:AL1006),$AD$1006:$AU$1006,0))&gt;=100000), " ",IF(INDEX($AD$2:$AU$1001,MATCH(ROWS($W$2:W300),$W$2:$W$1001,0),MATCH(COLUMNS($AD$1006:AL1006),$AD$1006:$AU$1006,0)), HYPERLINK("#",""), HYPERLINK(CONCATENATE("#metadata!", ADDRESS(INDEX($Y$2:$Y$1001,MATCH(ROWS($W$2:W300),$W$2:$W$1001,0),0), INDEX($AD$1004:$AU$1004,1,MATCH(COLUMNS($AD$1006:AL1006),$AD$1006:$AU$1006,0)))),"Fix")))</f>
        <v xml:space="preserve"> </v>
      </c>
      <c r="K300" s="4" t="str">
        <f ca="1">IF(OR(INDEX($X$2:$X$1001,MATCH(ROWS($W$2:W300),$W$2:$W$1001,0),1)&gt;=100000,INDEX($AD$1005:$AU$1005,1,MATCH(COLUMNS($AD$1006:AM1006),$AD$1006:$AU$1006,0))&gt;=100000), " ",IF(INDEX($AD$2:$AU$1001,MATCH(ROWS($W$2:W300),$W$2:$W$1001,0),MATCH(COLUMNS($AD$1006:AM1006),$AD$1006:$AU$1006,0)), HYPERLINK("#",""), HYPERLINK(CONCATENATE("#metadata!", ADDRESS(INDEX($Y$2:$Y$1001,MATCH(ROWS($W$2:W300),$W$2:$W$1001,0),0), INDEX($AD$1004:$AU$1004,1,MATCH(COLUMNS($AD$1006:AM1006),$AD$1006:$AU$1006,0)))),"Fix")))</f>
        <v xml:space="preserve"> </v>
      </c>
      <c r="L300" s="4" t="str">
        <f ca="1">IF(OR(INDEX($X$2:$X$1001,MATCH(ROWS($W$2:W300),$W$2:$W$1001,0),1)&gt;=100000,INDEX($AD$1005:$AU$1005,1,MATCH(COLUMNS($AD$1006:AN1006),$AD$1006:$AU$1006,0))&gt;=100000), " ",IF(INDEX($AD$2:$AU$1001,MATCH(ROWS($W$2:W300),$W$2:$W$1001,0),MATCH(COLUMNS($AD$1006:AN1006),$AD$1006:$AU$1006,0)), HYPERLINK("#",""), HYPERLINK(CONCATENATE("#metadata!", ADDRESS(INDEX($Y$2:$Y$1001,MATCH(ROWS($W$2:W300),$W$2:$W$1001,0),0), INDEX($AD$1004:$AU$1004,1,MATCH(COLUMNS($AD$1006:AN1006),$AD$1006:$AU$1006,0)))),"Fix")))</f>
        <v xml:space="preserve"> </v>
      </c>
      <c r="M300" s="4" t="str">
        <f ca="1">IF(OR(INDEX($X$2:$X$1001,MATCH(ROWS($W$2:W300),$W$2:$W$1001,0),1)&gt;=100000,INDEX($AD$1005:$AU$1005,1,MATCH(COLUMNS($AD$1006:AO1006),$AD$1006:$AU$1006,0))&gt;=100000), " ",IF(INDEX($AD$2:$AU$1001,MATCH(ROWS($W$2:W300),$W$2:$W$1001,0),MATCH(COLUMNS($AD$1006:AO1006),$AD$1006:$AU$1006,0)), HYPERLINK("#",""), HYPERLINK(CONCATENATE("#metadata!", ADDRESS(INDEX($Y$2:$Y$1001,MATCH(ROWS($W$2:W300),$W$2:$W$1001,0),0), INDEX($AD$1004:$AU$1004,1,MATCH(COLUMNS($AD$1006:AO1006),$AD$1006:$AU$1006,0)))),"Fix")))</f>
        <v xml:space="preserve"> </v>
      </c>
      <c r="N300" s="4" t="str">
        <f ca="1">IF(OR(INDEX($X$2:$X$1001,MATCH(ROWS($W$2:W300),$W$2:$W$1001,0),1)&gt;=100000,INDEX($AD$1005:$AU$1005,1,MATCH(COLUMNS($AD$1006:AP1006),$AD$1006:$AU$1006,0))&gt;=100000), " ",IF(INDEX($AD$2:$AU$1001,MATCH(ROWS($W$2:W300),$W$2:$W$1001,0),MATCH(COLUMNS($AD$1006:AP1006),$AD$1006:$AU$1006,0)), HYPERLINK("#",""), HYPERLINK(CONCATENATE("#metadata!", ADDRESS(INDEX($Y$2:$Y$1001,MATCH(ROWS($W$2:W300),$W$2:$W$1001,0),0), INDEX($AD$1004:$AU$1004,1,MATCH(COLUMNS($AD$1006:AP1006),$AD$1006:$AU$1006,0)))),"Fix")))</f>
        <v xml:space="preserve"> </v>
      </c>
      <c r="O300" s="4" t="str">
        <f ca="1">IF(OR(INDEX($X$2:$X$1001,MATCH(ROWS($W$2:W300),$W$2:$W$1001,0),1)&gt;=100000,INDEX($AD$1005:$AU$1005,1,MATCH(COLUMNS($AD$1006:AQ1006),$AD$1006:$AU$1006,0))&gt;=100000), " ",IF(INDEX($AD$2:$AU$1001,MATCH(ROWS($W$2:W300),$W$2:$W$1001,0),MATCH(COLUMNS($AD$1006:AQ1006),$AD$1006:$AU$1006,0)), HYPERLINK("#",""), HYPERLINK(CONCATENATE("#metadata!", ADDRESS(INDEX($Y$2:$Y$1001,MATCH(ROWS($W$2:W300),$W$2:$W$1001,0),0), INDEX($AD$1004:$AU$1004,1,MATCH(COLUMNS($AD$1006:AQ1006),$AD$1006:$AU$1006,0)))),"Fix")))</f>
        <v xml:space="preserve"> </v>
      </c>
      <c r="P300" s="4" t="str">
        <f ca="1">IF(OR(INDEX($X$2:$X$1001,MATCH(ROWS($W$2:W300),$W$2:$W$1001,0),1)&gt;=100000,INDEX($AD$1005:$AU$1005,1,MATCH(COLUMNS($AD$1006:AR1006),$AD$1006:$AU$1006,0))&gt;=100000), " ",IF(INDEX($AD$2:$AU$1001,MATCH(ROWS($W$2:W300),$W$2:$W$1001,0),MATCH(COLUMNS($AD$1006:AR1006),$AD$1006:$AU$1006,0)), HYPERLINK("#",""), HYPERLINK(CONCATENATE("#metadata!", ADDRESS(INDEX($Y$2:$Y$1001,MATCH(ROWS($W$2:W300),$W$2:$W$1001,0),0), INDEX($AD$1004:$AU$1004,1,MATCH(COLUMNS($AD$1006:AR1006),$AD$1006:$AU$1006,0)))),"Fix")))</f>
        <v xml:space="preserve"> </v>
      </c>
      <c r="Q300" s="4" t="str">
        <f ca="1">IF(OR(INDEX($X$2:$X$1001,MATCH(ROWS($W$2:W300),$W$2:$W$1001,0),1)&gt;=100000,INDEX($AD$1005:$AU$1005,1,MATCH(COLUMNS($AD$1006:AS1006),$AD$1006:$AU$1006,0))&gt;=100000), " ",IF(INDEX($AD$2:$AU$1001,MATCH(ROWS($W$2:W300),$W$2:$W$1001,0),MATCH(COLUMNS($AD$1006:AS1006),$AD$1006:$AU$1006,0)), HYPERLINK("#",""), HYPERLINK(CONCATENATE("#metadata!", ADDRESS(INDEX($Y$2:$Y$1001,MATCH(ROWS($W$2:W300),$W$2:$W$1001,0),0), INDEX($AD$1004:$AU$1004,1,MATCH(COLUMNS($AD$1006:AS1006),$AD$1006:$AU$1006,0)))),"Fix")))</f>
        <v xml:space="preserve"> </v>
      </c>
      <c r="R300" s="4" t="str">
        <f ca="1">IF(OR(INDEX($X$2:$X$1001,MATCH(ROWS($W$2:W300),$W$2:$W$1001,0),1)&gt;=100000,INDEX($AD$1005:$AU$1005,1,MATCH(COLUMNS($AD$1006:AT1006),$AD$1006:$AU$1006,0))&gt;=100000), " ",IF(INDEX($AD$2:$AU$1001,MATCH(ROWS($W$2:W300),$W$2:$W$1001,0),MATCH(COLUMNS($AD$1006:AT1006),$AD$1006:$AU$1006,0)), HYPERLINK("#",""), HYPERLINK(CONCATENATE("#metadata!", ADDRESS(INDEX($Y$2:$Y$1001,MATCH(ROWS($W$2:W300),$W$2:$W$1001,0),0), INDEX($AD$1004:$AU$1004,1,MATCH(COLUMNS($AD$1006:AT1006),$AD$1006:$AU$1006,0)))),"Fix")))</f>
        <v xml:space="preserve"> </v>
      </c>
      <c r="S300" s="4" t="str">
        <f ca="1">IF(OR(INDEX($X$2:$X$1001,MATCH(ROWS($W$2:W300),$W$2:$W$1001,0),1)&gt;=100000,INDEX($AD$1005:$AU$1005,1,MATCH(COLUMNS($AD$1006:AU1006),$AD$1006:$AU$1006,0))&gt;=100000), " ",IF(INDEX($AD$2:$AU$1001,MATCH(ROWS($W$2:W300),$W$2:$W$1001,0),MATCH(COLUMNS($AD$1006:AU1006),$AD$1006:$AU$1006,0)), HYPERLINK("#",""), HYPERLINK(CONCATENATE("#metadata!", ADDRESS(INDEX($Y$2:$Y$1001,MATCH(ROWS($W$2:W300),$W$2:$W$1001,0),0), INDEX($AD$1004:$AU$1004,1,MATCH(COLUMNS($AD$1006:AU1006),$AD$1006:$AU$1006,0)))),"Fix")))</f>
        <v xml:space="preserve"> </v>
      </c>
      <c r="W300">
        <v>299</v>
      </c>
      <c r="X300">
        <v>100300</v>
      </c>
      <c r="Y300">
        <v>300</v>
      </c>
      <c r="Z300" t="b">
        <f t="shared" si="4"/>
        <v>1</v>
      </c>
      <c r="AA300" t="b">
        <f>COUNTBLANK(metadata!B300:S300)=COLUMNS(metadata!B300:S300)</f>
        <v>1</v>
      </c>
      <c r="AB300" t="str">
        <v/>
      </c>
      <c r="AD300" t="b">
        <f ca="1">AND(IF(metadata!B300="",FALSE,TRUE),COUNTIF(metadata!B:B, metadata!B300) = 1,NOT(ISERROR(SUMPRODUCT(SEARCH(MID(metadata!B300,ROW(INDIRECT("1:"&amp;LEN(metadata!B300))), 1),"0123456789abcdefghijklmnopqrstuvwxyzABCDEFGHIJKLMNOPQRSTUVWXYZ.")))))</f>
        <v>0</v>
      </c>
      <c r="AE300" t="b">
        <f>OR(AND(IF(metadata!C300="",FALSE,TRUE),OR(EXACT(metadata!C300,"not applicable"),EXACT(metadata!C300,"missing: not collected"),EXACT(metadata!C300,"missing: not provided"),EXACT(metadata!C300,"missing: restricted access"))),AND(IF(metadata!C300="",FALSE,ISNUMBER(VALUE(metadata!C300))),metadata!C300&gt;0))</f>
        <v>0</v>
      </c>
      <c r="AF300" t="b">
        <f>AND(IF(metadata!D300="",FALSE,TRUE),EXACT(metadata!D300,"missing: not provided"))</f>
        <v>0</v>
      </c>
      <c r="AG300" t="b">
        <f>AND(IF(metadata!E300="",FALSE,TRUE),EXACT(metadata!E300,"Host-associated"))</f>
        <v>0</v>
      </c>
      <c r="AH300" t="b">
        <f>AND(IF(metadata!F300="",FALSE,TRUE),OR(EXACT(metadata!F300,"Animal"),EXACT(metadata!F300,"Fungus"),EXACT(metadata!F300,"Plant")))</f>
        <v>0</v>
      </c>
      <c r="AI300" t="b">
        <f>AND(IF(metadata!G300="",FALSE,TRUE),OR(EXACT(metadata!G300,"Plant secretion"),EXACT(metadata!G300,"Plant rhizosphere"),EXACT(metadata!G300,"Plant surface"),EXACT(metadata!G300,"Plant corpus"),EXACT(metadata!G300,"Fungus surface"),EXACT(metadata!G300,"Fungus corpus"),EXACT(metadata!G300,"Animal surface"),EXACT(metadata!G300,"Animal proximal gut"),EXACT(metadata!G300,"Animal corpus"),EXACT(metadata!G300,"Animal distal gut"),EXACT(metadata!G300,"Animal secretion")))</f>
        <v>0</v>
      </c>
      <c r="AJ300" t="b">
        <f>OR(AND(IF(metadata!H300="",FALSE,TRUE),OR(EXACT(metadata!H300,"missing: not collected"),EXACT(metadata!H300,"missing: not provided"),EXACT(metadata!H300,"missing: restricted access"))),AND(IF(metadata!H300="",FALSE,TRUE),OR(EXACT(metadata!H300,"organism-associated habitat"),EXACT(metadata!H300,"plant-associated habitat"),EXACT(metadata!H300,"animal-associated habitat"),EXACT(metadata!H300,"insecta-associated habitat"),EXACT(metadata!H300,"mammalia-associated habitat"),EXACT(metadata!H300,"human-associated habitat"),EXACT(metadata!H300,"livestock-associated habitat"))))</f>
        <v>0</v>
      </c>
      <c r="AK300" t="b">
        <f>AND(IF(metadata!I300="",FALSE,TRUE),EXACT(metadata!I300,"host-associated"))</f>
        <v>0</v>
      </c>
      <c r="AL300" t="b">
        <f>OR(AND(IF(metadata!J300="",FALSE,TRUE),OR(EXACT(metadata!J300,"not applicable"),EXACT(metadata!J300,"missing: not collected"),EXACT(metadata!J300,"missing: not provided"),EXACT(metadata!J300,"missing: restricted access"))),AND(IF(metadata!J300="",FALSE,ISNUMBER(VALUE(metadata!J300))),metadata!J300&gt;0))</f>
        <v>0</v>
      </c>
      <c r="AM300" t="b">
        <f>AND(IF(metadata!K300="",FALSE,TRUE),EXACT(metadata!K300,"missing: not provided"))</f>
        <v>0</v>
      </c>
      <c r="AN300" t="b">
        <f>IF(metadata!L300="",FALSE,TRUE)</f>
        <v>0</v>
      </c>
      <c r="AO300" t="b">
        <f>IF(metadata!M300="",FALSE,TRUE)</f>
        <v>0</v>
      </c>
      <c r="AP300" t="b">
        <f>OR(AND(IF(metadata!N300="",FALSE,TRUE),OR(EXACT(metadata!N300,"not applicable"),EXACT(metadata!N300,"missing: not collected"),EXACT(metadata!N300,"missing: not provided"))),AND(IF(metadata!N300="",FALSE,IF(ISERROR(INT(metadata!N300)),FALSE,INT(metadata!N300)=metadata!N300)),metadata!N300&gt;0))</f>
        <v>0</v>
      </c>
      <c r="AQ300" t="b">
        <f>AND(IF(metadata!O300="",FALSE,TRUE),EXACT(metadata!O300,"Not applicable"))</f>
        <v>0</v>
      </c>
      <c r="AR300" t="b">
        <f>OR(AND(IF(metadata!P300="",FALSE,TRUE),OR(EXACT(metadata!P300,"not applicable"),EXACT(metadata!P300,"missing: not collected"),EXACT(metadata!P300,"missing: not provided"),EXACT(metadata!P300,"missing: restricted access"))),IF(metadata!P300="",FALSE,IF(ISERROR(INT(metadata!P300)),FALSE,INT(metadata!P300)=metadata!P300)))</f>
        <v>0</v>
      </c>
      <c r="AS300" t="b">
        <f>AND(IF(metadata!Q300="",FALSE,TRUE),EXACT(metadata!Q300,"Not applicable"))</f>
        <v>0</v>
      </c>
      <c r="AT300" t="b">
        <f>OR(AND(IF(metadata!R300="",FALSE,TRUE),OR(EXACT(metadata!R300,"not applicable"),EXACT(metadata!R300,"missing: not collected"),EXACT(metadata!R300,"missing: not provided"),EXACT(metadata!R300,"missing: restricted access"))),AND(IF(metadata!R300="",FALSE,ISNUMBER(VALUE(metadata!R300))),metadata!R300&gt;0))</f>
        <v>0</v>
      </c>
      <c r="AU300" t="b">
        <f>AND(IF(metadata!S300="",FALSE,TRUE),EXACT(metadata!S300,"missing: not provided"))</f>
        <v>0</v>
      </c>
    </row>
    <row r="301" spans="1:47" x14ac:dyDescent="0.2">
      <c r="A301" s="5" t="str">
        <f ca="1">IF(B301=" "," ",HYPERLINK(CONCATENATE("#metadata!",ADDRESS(INDEX($Y$2:$Y$1001,MATCH(ROWS($W$2:W301),$W$2:$W$1001,0),0),1)),INDEX($AB$2:$AB$1001,MATCH(ROWS($W$2:W301),$W$2:$W$1001,0),0)))</f>
        <v xml:space="preserve"> </v>
      </c>
      <c r="B301" s="4" t="str">
        <f ca="1">IF(OR(INDEX($X$2:$X$1001,MATCH(ROWS($W$2:W301),$W$2:$W$1001,0),1)&gt;=100000,INDEX($AD$1005:$AU$1005,1,MATCH(COLUMNS($AD$1006:AD1006),$AD$1006:$AU$1006,0))&gt;=100000), " ",IF(INDEX($AD$2:$AU$1001,MATCH(ROWS($W$2:W301),$W$2:$W$1001,0),MATCH(COLUMNS($AD$1006:AD1006),$AD$1006:$AU$1006,0)), HYPERLINK("#",""), HYPERLINK(CONCATENATE("#metadata!", ADDRESS(INDEX($Y$2:$Y$1001,MATCH(ROWS($W$2:W301),$W$2:$W$1001,0),0), INDEX($AD$1004:$AU$1004,1,MATCH(COLUMNS($AD$1006:AD1006),$AD$1006:$AU$1006,0)))),"Fix")))</f>
        <v xml:space="preserve"> </v>
      </c>
      <c r="C301" s="4" t="str">
        <f ca="1">IF(OR(INDEX($X$2:$X$1001,MATCH(ROWS($W$2:W301),$W$2:$W$1001,0),1)&gt;=100000,INDEX($AD$1005:$AU$1005,1,MATCH(COLUMNS($AD$1006:AE1006),$AD$1006:$AU$1006,0))&gt;=100000), " ",IF(INDEX($AD$2:$AU$1001,MATCH(ROWS($W$2:W301),$W$2:$W$1001,0),MATCH(COLUMNS($AD$1006:AE1006),$AD$1006:$AU$1006,0)), HYPERLINK("#",""), HYPERLINK(CONCATENATE("#metadata!", ADDRESS(INDEX($Y$2:$Y$1001,MATCH(ROWS($W$2:W301),$W$2:$W$1001,0),0), INDEX($AD$1004:$AU$1004,1,MATCH(COLUMNS($AD$1006:AE1006),$AD$1006:$AU$1006,0)))),"Fix")))</f>
        <v xml:space="preserve"> </v>
      </c>
      <c r="D301" s="4" t="str">
        <f ca="1">IF(OR(INDEX($X$2:$X$1001,MATCH(ROWS($W$2:W301),$W$2:$W$1001,0),1)&gt;=100000,INDEX($AD$1005:$AU$1005,1,MATCH(COLUMNS($AD$1006:AF1006),$AD$1006:$AU$1006,0))&gt;=100000), " ",IF(INDEX($AD$2:$AU$1001,MATCH(ROWS($W$2:W301),$W$2:$W$1001,0),MATCH(COLUMNS($AD$1006:AF1006),$AD$1006:$AU$1006,0)), HYPERLINK("#",""), HYPERLINK(CONCATENATE("#metadata!", ADDRESS(INDEX($Y$2:$Y$1001,MATCH(ROWS($W$2:W301),$W$2:$W$1001,0),0), INDEX($AD$1004:$AU$1004,1,MATCH(COLUMNS($AD$1006:AF1006),$AD$1006:$AU$1006,0)))),"Fix")))</f>
        <v xml:space="preserve"> </v>
      </c>
      <c r="E301" s="4" t="str">
        <f ca="1">IF(OR(INDEX($X$2:$X$1001,MATCH(ROWS($W$2:W301),$W$2:$W$1001,0),1)&gt;=100000,INDEX($AD$1005:$AU$1005,1,MATCH(COLUMNS($AD$1006:AG1006),$AD$1006:$AU$1006,0))&gt;=100000), " ",IF(INDEX($AD$2:$AU$1001,MATCH(ROWS($W$2:W301),$W$2:$W$1001,0),MATCH(COLUMNS($AD$1006:AG1006),$AD$1006:$AU$1006,0)), HYPERLINK("#",""), HYPERLINK(CONCATENATE("#metadata!", ADDRESS(INDEX($Y$2:$Y$1001,MATCH(ROWS($W$2:W301),$W$2:$W$1001,0),0), INDEX($AD$1004:$AU$1004,1,MATCH(COLUMNS($AD$1006:AG1006),$AD$1006:$AU$1006,0)))),"Fix")))</f>
        <v xml:space="preserve"> </v>
      </c>
      <c r="F301" s="4" t="str">
        <f ca="1">IF(OR(INDEX($X$2:$X$1001,MATCH(ROWS($W$2:W301),$W$2:$W$1001,0),1)&gt;=100000,INDEX($AD$1005:$AU$1005,1,MATCH(COLUMNS($AD$1006:AH1006),$AD$1006:$AU$1006,0))&gt;=100000), " ",IF(INDEX($AD$2:$AU$1001,MATCH(ROWS($W$2:W301),$W$2:$W$1001,0),MATCH(COLUMNS($AD$1006:AH1006),$AD$1006:$AU$1006,0)), HYPERLINK("#",""), HYPERLINK(CONCATENATE("#metadata!", ADDRESS(INDEX($Y$2:$Y$1001,MATCH(ROWS($W$2:W301),$W$2:$W$1001,0),0), INDEX($AD$1004:$AU$1004,1,MATCH(COLUMNS($AD$1006:AH1006),$AD$1006:$AU$1006,0)))),"Fix")))</f>
        <v xml:space="preserve"> </v>
      </c>
      <c r="G301" s="4" t="str">
        <f ca="1">IF(OR(INDEX($X$2:$X$1001,MATCH(ROWS($W$2:W301),$W$2:$W$1001,0),1)&gt;=100000,INDEX($AD$1005:$AU$1005,1,MATCH(COLUMNS($AD$1006:AI1006),$AD$1006:$AU$1006,0))&gt;=100000), " ",IF(INDEX($AD$2:$AU$1001,MATCH(ROWS($W$2:W301),$W$2:$W$1001,0),MATCH(COLUMNS($AD$1006:AI1006),$AD$1006:$AU$1006,0)), HYPERLINK("#",""), HYPERLINK(CONCATENATE("#metadata!", ADDRESS(INDEX($Y$2:$Y$1001,MATCH(ROWS($W$2:W301),$W$2:$W$1001,0),0), INDEX($AD$1004:$AU$1004,1,MATCH(COLUMNS($AD$1006:AI1006),$AD$1006:$AU$1006,0)))),"Fix")))</f>
        <v xml:space="preserve"> </v>
      </c>
      <c r="H301" s="4" t="str">
        <f ca="1">IF(OR(INDEX($X$2:$X$1001,MATCH(ROWS($W$2:W301),$W$2:$W$1001,0),1)&gt;=100000,INDEX($AD$1005:$AU$1005,1,MATCH(COLUMNS($AD$1006:AJ1006),$AD$1006:$AU$1006,0))&gt;=100000), " ",IF(INDEX($AD$2:$AU$1001,MATCH(ROWS($W$2:W301),$W$2:$W$1001,0),MATCH(COLUMNS($AD$1006:AJ1006),$AD$1006:$AU$1006,0)), HYPERLINK("#",""), HYPERLINK(CONCATENATE("#metadata!", ADDRESS(INDEX($Y$2:$Y$1001,MATCH(ROWS($W$2:W301),$W$2:$W$1001,0),0), INDEX($AD$1004:$AU$1004,1,MATCH(COLUMNS($AD$1006:AJ1006),$AD$1006:$AU$1006,0)))),"Fix")))</f>
        <v xml:space="preserve"> </v>
      </c>
      <c r="I301" s="4" t="str">
        <f ca="1">IF(OR(INDEX($X$2:$X$1001,MATCH(ROWS($W$2:W301),$W$2:$W$1001,0),1)&gt;=100000,INDEX($AD$1005:$AU$1005,1,MATCH(COLUMNS($AD$1006:AK1006),$AD$1006:$AU$1006,0))&gt;=100000), " ",IF(INDEX($AD$2:$AU$1001,MATCH(ROWS($W$2:W301),$W$2:$W$1001,0),MATCH(COLUMNS($AD$1006:AK1006),$AD$1006:$AU$1006,0)), HYPERLINK("#",""), HYPERLINK(CONCATENATE("#metadata!", ADDRESS(INDEX($Y$2:$Y$1001,MATCH(ROWS($W$2:W301),$W$2:$W$1001,0),0), INDEX($AD$1004:$AU$1004,1,MATCH(COLUMNS($AD$1006:AK1006),$AD$1006:$AU$1006,0)))),"Fix")))</f>
        <v xml:space="preserve"> </v>
      </c>
      <c r="J301" s="4" t="str">
        <f ca="1">IF(OR(INDEX($X$2:$X$1001,MATCH(ROWS($W$2:W301),$W$2:$W$1001,0),1)&gt;=100000,INDEX($AD$1005:$AU$1005,1,MATCH(COLUMNS($AD$1006:AL1006),$AD$1006:$AU$1006,0))&gt;=100000), " ",IF(INDEX($AD$2:$AU$1001,MATCH(ROWS($W$2:W301),$W$2:$W$1001,0),MATCH(COLUMNS($AD$1006:AL1006),$AD$1006:$AU$1006,0)), HYPERLINK("#",""), HYPERLINK(CONCATENATE("#metadata!", ADDRESS(INDEX($Y$2:$Y$1001,MATCH(ROWS($W$2:W301),$W$2:$W$1001,0),0), INDEX($AD$1004:$AU$1004,1,MATCH(COLUMNS($AD$1006:AL1006),$AD$1006:$AU$1006,0)))),"Fix")))</f>
        <v xml:space="preserve"> </v>
      </c>
      <c r="K301" s="4" t="str">
        <f ca="1">IF(OR(INDEX($X$2:$X$1001,MATCH(ROWS($W$2:W301),$W$2:$W$1001,0),1)&gt;=100000,INDEX($AD$1005:$AU$1005,1,MATCH(COLUMNS($AD$1006:AM1006),$AD$1006:$AU$1006,0))&gt;=100000), " ",IF(INDEX($AD$2:$AU$1001,MATCH(ROWS($W$2:W301),$W$2:$W$1001,0),MATCH(COLUMNS($AD$1006:AM1006),$AD$1006:$AU$1006,0)), HYPERLINK("#",""), HYPERLINK(CONCATENATE("#metadata!", ADDRESS(INDEX($Y$2:$Y$1001,MATCH(ROWS($W$2:W301),$W$2:$W$1001,0),0), INDEX($AD$1004:$AU$1004,1,MATCH(COLUMNS($AD$1006:AM1006),$AD$1006:$AU$1006,0)))),"Fix")))</f>
        <v xml:space="preserve"> </v>
      </c>
      <c r="L301" s="4" t="str">
        <f ca="1">IF(OR(INDEX($X$2:$X$1001,MATCH(ROWS($W$2:W301),$W$2:$W$1001,0),1)&gt;=100000,INDEX($AD$1005:$AU$1005,1,MATCH(COLUMNS($AD$1006:AN1006),$AD$1006:$AU$1006,0))&gt;=100000), " ",IF(INDEX($AD$2:$AU$1001,MATCH(ROWS($W$2:W301),$W$2:$W$1001,0),MATCH(COLUMNS($AD$1006:AN1006),$AD$1006:$AU$1006,0)), HYPERLINK("#",""), HYPERLINK(CONCATENATE("#metadata!", ADDRESS(INDEX($Y$2:$Y$1001,MATCH(ROWS($W$2:W301),$W$2:$W$1001,0),0), INDEX($AD$1004:$AU$1004,1,MATCH(COLUMNS($AD$1006:AN1006),$AD$1006:$AU$1006,0)))),"Fix")))</f>
        <v xml:space="preserve"> </v>
      </c>
      <c r="M301" s="4" t="str">
        <f ca="1">IF(OR(INDEX($X$2:$X$1001,MATCH(ROWS($W$2:W301),$W$2:$W$1001,0),1)&gt;=100000,INDEX($AD$1005:$AU$1005,1,MATCH(COLUMNS($AD$1006:AO1006),$AD$1006:$AU$1006,0))&gt;=100000), " ",IF(INDEX($AD$2:$AU$1001,MATCH(ROWS($W$2:W301),$W$2:$W$1001,0),MATCH(COLUMNS($AD$1006:AO1006),$AD$1006:$AU$1006,0)), HYPERLINK("#",""), HYPERLINK(CONCATENATE("#metadata!", ADDRESS(INDEX($Y$2:$Y$1001,MATCH(ROWS($W$2:W301),$W$2:$W$1001,0),0), INDEX($AD$1004:$AU$1004,1,MATCH(COLUMNS($AD$1006:AO1006),$AD$1006:$AU$1006,0)))),"Fix")))</f>
        <v xml:space="preserve"> </v>
      </c>
      <c r="N301" s="4" t="str">
        <f ca="1">IF(OR(INDEX($X$2:$X$1001,MATCH(ROWS($W$2:W301),$W$2:$W$1001,0),1)&gt;=100000,INDEX($AD$1005:$AU$1005,1,MATCH(COLUMNS($AD$1006:AP1006),$AD$1006:$AU$1006,0))&gt;=100000), " ",IF(INDEX($AD$2:$AU$1001,MATCH(ROWS($W$2:W301),$W$2:$W$1001,0),MATCH(COLUMNS($AD$1006:AP1006),$AD$1006:$AU$1006,0)), HYPERLINK("#",""), HYPERLINK(CONCATENATE("#metadata!", ADDRESS(INDEX($Y$2:$Y$1001,MATCH(ROWS($W$2:W301),$W$2:$W$1001,0),0), INDEX($AD$1004:$AU$1004,1,MATCH(COLUMNS($AD$1006:AP1006),$AD$1006:$AU$1006,0)))),"Fix")))</f>
        <v xml:space="preserve"> </v>
      </c>
      <c r="O301" s="4" t="str">
        <f ca="1">IF(OR(INDEX($X$2:$X$1001,MATCH(ROWS($W$2:W301),$W$2:$W$1001,0),1)&gt;=100000,INDEX($AD$1005:$AU$1005,1,MATCH(COLUMNS($AD$1006:AQ1006),$AD$1006:$AU$1006,0))&gt;=100000), " ",IF(INDEX($AD$2:$AU$1001,MATCH(ROWS($W$2:W301),$W$2:$W$1001,0),MATCH(COLUMNS($AD$1006:AQ1006),$AD$1006:$AU$1006,0)), HYPERLINK("#",""), HYPERLINK(CONCATENATE("#metadata!", ADDRESS(INDEX($Y$2:$Y$1001,MATCH(ROWS($W$2:W301),$W$2:$W$1001,0),0), INDEX($AD$1004:$AU$1004,1,MATCH(COLUMNS($AD$1006:AQ1006),$AD$1006:$AU$1006,0)))),"Fix")))</f>
        <v xml:space="preserve"> </v>
      </c>
      <c r="P301" s="4" t="str">
        <f ca="1">IF(OR(INDEX($X$2:$X$1001,MATCH(ROWS($W$2:W301),$W$2:$W$1001,0),1)&gt;=100000,INDEX($AD$1005:$AU$1005,1,MATCH(COLUMNS($AD$1006:AR1006),$AD$1006:$AU$1006,0))&gt;=100000), " ",IF(INDEX($AD$2:$AU$1001,MATCH(ROWS($W$2:W301),$W$2:$W$1001,0),MATCH(COLUMNS($AD$1006:AR1006),$AD$1006:$AU$1006,0)), HYPERLINK("#",""), HYPERLINK(CONCATENATE("#metadata!", ADDRESS(INDEX($Y$2:$Y$1001,MATCH(ROWS($W$2:W301),$W$2:$W$1001,0),0), INDEX($AD$1004:$AU$1004,1,MATCH(COLUMNS($AD$1006:AR1006),$AD$1006:$AU$1006,0)))),"Fix")))</f>
        <v xml:space="preserve"> </v>
      </c>
      <c r="Q301" s="4" t="str">
        <f ca="1">IF(OR(INDEX($X$2:$X$1001,MATCH(ROWS($W$2:W301),$W$2:$W$1001,0),1)&gt;=100000,INDEX($AD$1005:$AU$1005,1,MATCH(COLUMNS($AD$1006:AS1006),$AD$1006:$AU$1006,0))&gt;=100000), " ",IF(INDEX($AD$2:$AU$1001,MATCH(ROWS($W$2:W301),$W$2:$W$1001,0),MATCH(COLUMNS($AD$1006:AS1006),$AD$1006:$AU$1006,0)), HYPERLINK("#",""), HYPERLINK(CONCATENATE("#metadata!", ADDRESS(INDEX($Y$2:$Y$1001,MATCH(ROWS($W$2:W301),$W$2:$W$1001,0),0), INDEX($AD$1004:$AU$1004,1,MATCH(COLUMNS($AD$1006:AS1006),$AD$1006:$AU$1006,0)))),"Fix")))</f>
        <v xml:space="preserve"> </v>
      </c>
      <c r="R301" s="4" t="str">
        <f ca="1">IF(OR(INDEX($X$2:$X$1001,MATCH(ROWS($W$2:W301),$W$2:$W$1001,0),1)&gt;=100000,INDEX($AD$1005:$AU$1005,1,MATCH(COLUMNS($AD$1006:AT1006),$AD$1006:$AU$1006,0))&gt;=100000), " ",IF(INDEX($AD$2:$AU$1001,MATCH(ROWS($W$2:W301),$W$2:$W$1001,0),MATCH(COLUMNS($AD$1006:AT1006),$AD$1006:$AU$1006,0)), HYPERLINK("#",""), HYPERLINK(CONCATENATE("#metadata!", ADDRESS(INDEX($Y$2:$Y$1001,MATCH(ROWS($W$2:W301),$W$2:$W$1001,0),0), INDEX($AD$1004:$AU$1004,1,MATCH(COLUMNS($AD$1006:AT1006),$AD$1006:$AU$1006,0)))),"Fix")))</f>
        <v xml:space="preserve"> </v>
      </c>
      <c r="S301" s="4" t="str">
        <f ca="1">IF(OR(INDEX($X$2:$X$1001,MATCH(ROWS($W$2:W301),$W$2:$W$1001,0),1)&gt;=100000,INDEX($AD$1005:$AU$1005,1,MATCH(COLUMNS($AD$1006:AU1006),$AD$1006:$AU$1006,0))&gt;=100000), " ",IF(INDEX($AD$2:$AU$1001,MATCH(ROWS($W$2:W301),$W$2:$W$1001,0),MATCH(COLUMNS($AD$1006:AU1006),$AD$1006:$AU$1006,0)), HYPERLINK("#",""), HYPERLINK(CONCATENATE("#metadata!", ADDRESS(INDEX($Y$2:$Y$1001,MATCH(ROWS($W$2:W301),$W$2:$W$1001,0),0), INDEX($AD$1004:$AU$1004,1,MATCH(COLUMNS($AD$1006:AU1006),$AD$1006:$AU$1006,0)))),"Fix")))</f>
        <v xml:space="preserve"> </v>
      </c>
      <c r="W301">
        <v>300</v>
      </c>
      <c r="X301">
        <v>100301</v>
      </c>
      <c r="Y301">
        <v>301</v>
      </c>
      <c r="Z301" t="b">
        <f t="shared" si="4"/>
        <v>1</v>
      </c>
      <c r="AA301" t="b">
        <f>COUNTBLANK(metadata!B301:S301)=COLUMNS(metadata!B301:S301)</f>
        <v>1</v>
      </c>
      <c r="AB301" t="str">
        <v/>
      </c>
      <c r="AD301" t="b">
        <f ca="1">AND(IF(metadata!B301="",FALSE,TRUE),COUNTIF(metadata!B:B, metadata!B301) = 1,NOT(ISERROR(SUMPRODUCT(SEARCH(MID(metadata!B301,ROW(INDIRECT("1:"&amp;LEN(metadata!B301))), 1),"0123456789abcdefghijklmnopqrstuvwxyzABCDEFGHIJKLMNOPQRSTUVWXYZ.")))))</f>
        <v>0</v>
      </c>
      <c r="AE301" t="b">
        <f>OR(AND(IF(metadata!C301="",FALSE,TRUE),OR(EXACT(metadata!C301,"not applicable"),EXACT(metadata!C301,"missing: not collected"),EXACT(metadata!C301,"missing: not provided"),EXACT(metadata!C301,"missing: restricted access"))),AND(IF(metadata!C301="",FALSE,ISNUMBER(VALUE(metadata!C301))),metadata!C301&gt;0))</f>
        <v>0</v>
      </c>
      <c r="AF301" t="b">
        <f>AND(IF(metadata!D301="",FALSE,TRUE),EXACT(metadata!D301,"missing: not provided"))</f>
        <v>0</v>
      </c>
      <c r="AG301" t="b">
        <f>AND(IF(metadata!E301="",FALSE,TRUE),EXACT(metadata!E301,"Host-associated"))</f>
        <v>0</v>
      </c>
      <c r="AH301" t="b">
        <f>AND(IF(metadata!F301="",FALSE,TRUE),OR(EXACT(metadata!F301,"Animal"),EXACT(metadata!F301,"Fungus"),EXACT(metadata!F301,"Plant")))</f>
        <v>0</v>
      </c>
      <c r="AI301" t="b">
        <f>AND(IF(metadata!G301="",FALSE,TRUE),OR(EXACT(metadata!G301,"Plant secretion"),EXACT(metadata!G301,"Plant rhizosphere"),EXACT(metadata!G301,"Plant surface"),EXACT(metadata!G301,"Plant corpus"),EXACT(metadata!G301,"Fungus surface"),EXACT(metadata!G301,"Fungus corpus"),EXACT(metadata!G301,"Animal surface"),EXACT(metadata!G301,"Animal proximal gut"),EXACT(metadata!G301,"Animal corpus"),EXACT(metadata!G301,"Animal distal gut"),EXACT(metadata!G301,"Animal secretion")))</f>
        <v>0</v>
      </c>
      <c r="AJ301" t="b">
        <f>OR(AND(IF(metadata!H301="",FALSE,TRUE),OR(EXACT(metadata!H301,"missing: not collected"),EXACT(metadata!H301,"missing: not provided"),EXACT(metadata!H301,"missing: restricted access"))),AND(IF(metadata!H301="",FALSE,TRUE),OR(EXACT(metadata!H301,"organism-associated habitat"),EXACT(metadata!H301,"plant-associated habitat"),EXACT(metadata!H301,"animal-associated habitat"),EXACT(metadata!H301,"insecta-associated habitat"),EXACT(metadata!H301,"mammalia-associated habitat"),EXACT(metadata!H301,"human-associated habitat"),EXACT(metadata!H301,"livestock-associated habitat"))))</f>
        <v>0</v>
      </c>
      <c r="AK301" t="b">
        <f>AND(IF(metadata!I301="",FALSE,TRUE),EXACT(metadata!I301,"host-associated"))</f>
        <v>0</v>
      </c>
      <c r="AL301" t="b">
        <f>OR(AND(IF(metadata!J301="",FALSE,TRUE),OR(EXACT(metadata!J301,"not applicable"),EXACT(metadata!J301,"missing: not collected"),EXACT(metadata!J301,"missing: not provided"),EXACT(metadata!J301,"missing: restricted access"))),AND(IF(metadata!J301="",FALSE,ISNUMBER(VALUE(metadata!J301))),metadata!J301&gt;0))</f>
        <v>0</v>
      </c>
      <c r="AM301" t="b">
        <f>AND(IF(metadata!K301="",FALSE,TRUE),EXACT(metadata!K301,"missing: not provided"))</f>
        <v>0</v>
      </c>
      <c r="AN301" t="b">
        <f>IF(metadata!L301="",FALSE,TRUE)</f>
        <v>0</v>
      </c>
      <c r="AO301" t="b">
        <f>IF(metadata!M301="",FALSE,TRUE)</f>
        <v>0</v>
      </c>
      <c r="AP301" t="b">
        <f>OR(AND(IF(metadata!N301="",FALSE,TRUE),OR(EXACT(metadata!N301,"not applicable"),EXACT(metadata!N301,"missing: not collected"),EXACT(metadata!N301,"missing: not provided"))),AND(IF(metadata!N301="",FALSE,IF(ISERROR(INT(metadata!N301)),FALSE,INT(metadata!N301)=metadata!N301)),metadata!N301&gt;0))</f>
        <v>0</v>
      </c>
      <c r="AQ301" t="b">
        <f>AND(IF(metadata!O301="",FALSE,TRUE),EXACT(metadata!O301,"Not applicable"))</f>
        <v>0</v>
      </c>
      <c r="AR301" t="b">
        <f>OR(AND(IF(metadata!P301="",FALSE,TRUE),OR(EXACT(metadata!P301,"not applicable"),EXACT(metadata!P301,"missing: not collected"),EXACT(metadata!P301,"missing: not provided"),EXACT(metadata!P301,"missing: restricted access"))),IF(metadata!P301="",FALSE,IF(ISERROR(INT(metadata!P301)),FALSE,INT(metadata!P301)=metadata!P301)))</f>
        <v>0</v>
      </c>
      <c r="AS301" t="b">
        <f>AND(IF(metadata!Q301="",FALSE,TRUE),EXACT(metadata!Q301,"Not applicable"))</f>
        <v>0</v>
      </c>
      <c r="AT301" t="b">
        <f>OR(AND(IF(metadata!R301="",FALSE,TRUE),OR(EXACT(metadata!R301,"not applicable"),EXACT(metadata!R301,"missing: not collected"),EXACT(metadata!R301,"missing: not provided"),EXACT(metadata!R301,"missing: restricted access"))),AND(IF(metadata!R301="",FALSE,ISNUMBER(VALUE(metadata!R301))),metadata!R301&gt;0))</f>
        <v>0</v>
      </c>
      <c r="AU301" t="b">
        <f>AND(IF(metadata!S301="",FALSE,TRUE),EXACT(metadata!S301,"missing: not provided"))</f>
        <v>0</v>
      </c>
    </row>
    <row r="302" spans="1:47" x14ac:dyDescent="0.2">
      <c r="A302" s="5" t="str">
        <f ca="1">IF(B302=" "," ",HYPERLINK(CONCATENATE("#metadata!",ADDRESS(INDEX($Y$2:$Y$1001,MATCH(ROWS($W$2:W302),$W$2:$W$1001,0),0),1)),INDEX($AB$2:$AB$1001,MATCH(ROWS($W$2:W302),$W$2:$W$1001,0),0)))</f>
        <v xml:space="preserve"> </v>
      </c>
      <c r="B302" s="4" t="str">
        <f ca="1">IF(OR(INDEX($X$2:$X$1001,MATCH(ROWS($W$2:W302),$W$2:$W$1001,0),1)&gt;=100000,INDEX($AD$1005:$AU$1005,1,MATCH(COLUMNS($AD$1006:AD1006),$AD$1006:$AU$1006,0))&gt;=100000), " ",IF(INDEX($AD$2:$AU$1001,MATCH(ROWS($W$2:W302),$W$2:$W$1001,0),MATCH(COLUMNS($AD$1006:AD1006),$AD$1006:$AU$1006,0)), HYPERLINK("#",""), HYPERLINK(CONCATENATE("#metadata!", ADDRESS(INDEX($Y$2:$Y$1001,MATCH(ROWS($W$2:W302),$W$2:$W$1001,0),0), INDEX($AD$1004:$AU$1004,1,MATCH(COLUMNS($AD$1006:AD1006),$AD$1006:$AU$1006,0)))),"Fix")))</f>
        <v xml:space="preserve"> </v>
      </c>
      <c r="C302" s="4" t="str">
        <f ca="1">IF(OR(INDEX($X$2:$X$1001,MATCH(ROWS($W$2:W302),$W$2:$W$1001,0),1)&gt;=100000,INDEX($AD$1005:$AU$1005,1,MATCH(COLUMNS($AD$1006:AE1006),$AD$1006:$AU$1006,0))&gt;=100000), " ",IF(INDEX($AD$2:$AU$1001,MATCH(ROWS($W$2:W302),$W$2:$W$1001,0),MATCH(COLUMNS($AD$1006:AE1006),$AD$1006:$AU$1006,0)), HYPERLINK("#",""), HYPERLINK(CONCATENATE("#metadata!", ADDRESS(INDEX($Y$2:$Y$1001,MATCH(ROWS($W$2:W302),$W$2:$W$1001,0),0), INDEX($AD$1004:$AU$1004,1,MATCH(COLUMNS($AD$1006:AE1006),$AD$1006:$AU$1006,0)))),"Fix")))</f>
        <v xml:space="preserve"> </v>
      </c>
      <c r="D302" s="4" t="str">
        <f ca="1">IF(OR(INDEX($X$2:$X$1001,MATCH(ROWS($W$2:W302),$W$2:$W$1001,0),1)&gt;=100000,INDEX($AD$1005:$AU$1005,1,MATCH(COLUMNS($AD$1006:AF1006),$AD$1006:$AU$1006,0))&gt;=100000), " ",IF(INDEX($AD$2:$AU$1001,MATCH(ROWS($W$2:W302),$W$2:$W$1001,0),MATCH(COLUMNS($AD$1006:AF1006),$AD$1006:$AU$1006,0)), HYPERLINK("#",""), HYPERLINK(CONCATENATE("#metadata!", ADDRESS(INDEX($Y$2:$Y$1001,MATCH(ROWS($W$2:W302),$W$2:$W$1001,0),0), INDEX($AD$1004:$AU$1004,1,MATCH(COLUMNS($AD$1006:AF1006),$AD$1006:$AU$1006,0)))),"Fix")))</f>
        <v xml:space="preserve"> </v>
      </c>
      <c r="E302" s="4" t="str">
        <f ca="1">IF(OR(INDEX($X$2:$X$1001,MATCH(ROWS($W$2:W302),$W$2:$W$1001,0),1)&gt;=100000,INDEX($AD$1005:$AU$1005,1,MATCH(COLUMNS($AD$1006:AG1006),$AD$1006:$AU$1006,0))&gt;=100000), " ",IF(INDEX($AD$2:$AU$1001,MATCH(ROWS($W$2:W302),$W$2:$W$1001,0),MATCH(COLUMNS($AD$1006:AG1006),$AD$1006:$AU$1006,0)), HYPERLINK("#",""), HYPERLINK(CONCATENATE("#metadata!", ADDRESS(INDEX($Y$2:$Y$1001,MATCH(ROWS($W$2:W302),$W$2:$W$1001,0),0), INDEX($AD$1004:$AU$1004,1,MATCH(COLUMNS($AD$1006:AG1006),$AD$1006:$AU$1006,0)))),"Fix")))</f>
        <v xml:space="preserve"> </v>
      </c>
      <c r="F302" s="4" t="str">
        <f ca="1">IF(OR(INDEX($X$2:$X$1001,MATCH(ROWS($W$2:W302),$W$2:$W$1001,0),1)&gt;=100000,INDEX($AD$1005:$AU$1005,1,MATCH(COLUMNS($AD$1006:AH1006),$AD$1006:$AU$1006,0))&gt;=100000), " ",IF(INDEX($AD$2:$AU$1001,MATCH(ROWS($W$2:W302),$W$2:$W$1001,0),MATCH(COLUMNS($AD$1006:AH1006),$AD$1006:$AU$1006,0)), HYPERLINK("#",""), HYPERLINK(CONCATENATE("#metadata!", ADDRESS(INDEX($Y$2:$Y$1001,MATCH(ROWS($W$2:W302),$W$2:$W$1001,0),0), INDEX($AD$1004:$AU$1004,1,MATCH(COLUMNS($AD$1006:AH1006),$AD$1006:$AU$1006,0)))),"Fix")))</f>
        <v xml:space="preserve"> </v>
      </c>
      <c r="G302" s="4" t="str">
        <f ca="1">IF(OR(INDEX($X$2:$X$1001,MATCH(ROWS($W$2:W302),$W$2:$W$1001,0),1)&gt;=100000,INDEX($AD$1005:$AU$1005,1,MATCH(COLUMNS($AD$1006:AI1006),$AD$1006:$AU$1006,0))&gt;=100000), " ",IF(INDEX($AD$2:$AU$1001,MATCH(ROWS($W$2:W302),$W$2:$W$1001,0),MATCH(COLUMNS($AD$1006:AI1006),$AD$1006:$AU$1006,0)), HYPERLINK("#",""), HYPERLINK(CONCATENATE("#metadata!", ADDRESS(INDEX($Y$2:$Y$1001,MATCH(ROWS($W$2:W302),$W$2:$W$1001,0),0), INDEX($AD$1004:$AU$1004,1,MATCH(COLUMNS($AD$1006:AI1006),$AD$1006:$AU$1006,0)))),"Fix")))</f>
        <v xml:space="preserve"> </v>
      </c>
      <c r="H302" s="4" t="str">
        <f ca="1">IF(OR(INDEX($X$2:$X$1001,MATCH(ROWS($W$2:W302),$W$2:$W$1001,0),1)&gt;=100000,INDEX($AD$1005:$AU$1005,1,MATCH(COLUMNS($AD$1006:AJ1006),$AD$1006:$AU$1006,0))&gt;=100000), " ",IF(INDEX($AD$2:$AU$1001,MATCH(ROWS($W$2:W302),$W$2:$W$1001,0),MATCH(COLUMNS($AD$1006:AJ1006),$AD$1006:$AU$1006,0)), HYPERLINK("#",""), HYPERLINK(CONCATENATE("#metadata!", ADDRESS(INDEX($Y$2:$Y$1001,MATCH(ROWS($W$2:W302),$W$2:$W$1001,0),0), INDEX($AD$1004:$AU$1004,1,MATCH(COLUMNS($AD$1006:AJ1006),$AD$1006:$AU$1006,0)))),"Fix")))</f>
        <v xml:space="preserve"> </v>
      </c>
      <c r="I302" s="4" t="str">
        <f ca="1">IF(OR(INDEX($X$2:$X$1001,MATCH(ROWS($W$2:W302),$W$2:$W$1001,0),1)&gt;=100000,INDEX($AD$1005:$AU$1005,1,MATCH(COLUMNS($AD$1006:AK1006),$AD$1006:$AU$1006,0))&gt;=100000), " ",IF(INDEX($AD$2:$AU$1001,MATCH(ROWS($W$2:W302),$W$2:$W$1001,0),MATCH(COLUMNS($AD$1006:AK1006),$AD$1006:$AU$1006,0)), HYPERLINK("#",""), HYPERLINK(CONCATENATE("#metadata!", ADDRESS(INDEX($Y$2:$Y$1001,MATCH(ROWS($W$2:W302),$W$2:$W$1001,0),0), INDEX($AD$1004:$AU$1004,1,MATCH(COLUMNS($AD$1006:AK1006),$AD$1006:$AU$1006,0)))),"Fix")))</f>
        <v xml:space="preserve"> </v>
      </c>
      <c r="J302" s="4" t="str">
        <f ca="1">IF(OR(INDEX($X$2:$X$1001,MATCH(ROWS($W$2:W302),$W$2:$W$1001,0),1)&gt;=100000,INDEX($AD$1005:$AU$1005,1,MATCH(COLUMNS($AD$1006:AL1006),$AD$1006:$AU$1006,0))&gt;=100000), " ",IF(INDEX($AD$2:$AU$1001,MATCH(ROWS($W$2:W302),$W$2:$W$1001,0),MATCH(COLUMNS($AD$1006:AL1006),$AD$1006:$AU$1006,0)), HYPERLINK("#",""), HYPERLINK(CONCATENATE("#metadata!", ADDRESS(INDEX($Y$2:$Y$1001,MATCH(ROWS($W$2:W302),$W$2:$W$1001,0),0), INDEX($AD$1004:$AU$1004,1,MATCH(COLUMNS($AD$1006:AL1006),$AD$1006:$AU$1006,0)))),"Fix")))</f>
        <v xml:space="preserve"> </v>
      </c>
      <c r="K302" s="4" t="str">
        <f ca="1">IF(OR(INDEX($X$2:$X$1001,MATCH(ROWS($W$2:W302),$W$2:$W$1001,0),1)&gt;=100000,INDEX($AD$1005:$AU$1005,1,MATCH(COLUMNS($AD$1006:AM1006),$AD$1006:$AU$1006,0))&gt;=100000), " ",IF(INDEX($AD$2:$AU$1001,MATCH(ROWS($W$2:W302),$W$2:$W$1001,0),MATCH(COLUMNS($AD$1006:AM1006),$AD$1006:$AU$1006,0)), HYPERLINK("#",""), HYPERLINK(CONCATENATE("#metadata!", ADDRESS(INDEX($Y$2:$Y$1001,MATCH(ROWS($W$2:W302),$W$2:$W$1001,0),0), INDEX($AD$1004:$AU$1004,1,MATCH(COLUMNS($AD$1006:AM1006),$AD$1006:$AU$1006,0)))),"Fix")))</f>
        <v xml:space="preserve"> </v>
      </c>
      <c r="L302" s="4" t="str">
        <f ca="1">IF(OR(INDEX($X$2:$X$1001,MATCH(ROWS($W$2:W302),$W$2:$W$1001,0),1)&gt;=100000,INDEX($AD$1005:$AU$1005,1,MATCH(COLUMNS($AD$1006:AN1006),$AD$1006:$AU$1006,0))&gt;=100000), " ",IF(INDEX($AD$2:$AU$1001,MATCH(ROWS($W$2:W302),$W$2:$W$1001,0),MATCH(COLUMNS($AD$1006:AN1006),$AD$1006:$AU$1006,0)), HYPERLINK("#",""), HYPERLINK(CONCATENATE("#metadata!", ADDRESS(INDEX($Y$2:$Y$1001,MATCH(ROWS($W$2:W302),$W$2:$W$1001,0),0), INDEX($AD$1004:$AU$1004,1,MATCH(COLUMNS($AD$1006:AN1006),$AD$1006:$AU$1006,0)))),"Fix")))</f>
        <v xml:space="preserve"> </v>
      </c>
      <c r="M302" s="4" t="str">
        <f ca="1">IF(OR(INDEX($X$2:$X$1001,MATCH(ROWS($W$2:W302),$W$2:$W$1001,0),1)&gt;=100000,INDEX($AD$1005:$AU$1005,1,MATCH(COLUMNS($AD$1006:AO1006),$AD$1006:$AU$1006,0))&gt;=100000), " ",IF(INDEX($AD$2:$AU$1001,MATCH(ROWS($W$2:W302),$W$2:$W$1001,0),MATCH(COLUMNS($AD$1006:AO1006),$AD$1006:$AU$1006,0)), HYPERLINK("#",""), HYPERLINK(CONCATENATE("#metadata!", ADDRESS(INDEX($Y$2:$Y$1001,MATCH(ROWS($W$2:W302),$W$2:$W$1001,0),0), INDEX($AD$1004:$AU$1004,1,MATCH(COLUMNS($AD$1006:AO1006),$AD$1006:$AU$1006,0)))),"Fix")))</f>
        <v xml:space="preserve"> </v>
      </c>
      <c r="N302" s="4" t="str">
        <f ca="1">IF(OR(INDEX($X$2:$X$1001,MATCH(ROWS($W$2:W302),$W$2:$W$1001,0),1)&gt;=100000,INDEX($AD$1005:$AU$1005,1,MATCH(COLUMNS($AD$1006:AP1006),$AD$1006:$AU$1006,0))&gt;=100000), " ",IF(INDEX($AD$2:$AU$1001,MATCH(ROWS($W$2:W302),$W$2:$W$1001,0),MATCH(COLUMNS($AD$1006:AP1006),$AD$1006:$AU$1006,0)), HYPERLINK("#",""), HYPERLINK(CONCATENATE("#metadata!", ADDRESS(INDEX($Y$2:$Y$1001,MATCH(ROWS($W$2:W302),$W$2:$W$1001,0),0), INDEX($AD$1004:$AU$1004,1,MATCH(COLUMNS($AD$1006:AP1006),$AD$1006:$AU$1006,0)))),"Fix")))</f>
        <v xml:space="preserve"> </v>
      </c>
      <c r="O302" s="4" t="str">
        <f ca="1">IF(OR(INDEX($X$2:$X$1001,MATCH(ROWS($W$2:W302),$W$2:$W$1001,0),1)&gt;=100000,INDEX($AD$1005:$AU$1005,1,MATCH(COLUMNS($AD$1006:AQ1006),$AD$1006:$AU$1006,0))&gt;=100000), " ",IF(INDEX($AD$2:$AU$1001,MATCH(ROWS($W$2:W302),$W$2:$W$1001,0),MATCH(COLUMNS($AD$1006:AQ1006),$AD$1006:$AU$1006,0)), HYPERLINK("#",""), HYPERLINK(CONCATENATE("#metadata!", ADDRESS(INDEX($Y$2:$Y$1001,MATCH(ROWS($W$2:W302),$W$2:$W$1001,0),0), INDEX($AD$1004:$AU$1004,1,MATCH(COLUMNS($AD$1006:AQ1006),$AD$1006:$AU$1006,0)))),"Fix")))</f>
        <v xml:space="preserve"> </v>
      </c>
      <c r="P302" s="4" t="str">
        <f ca="1">IF(OR(INDEX($X$2:$X$1001,MATCH(ROWS($W$2:W302),$W$2:$W$1001,0),1)&gt;=100000,INDEX($AD$1005:$AU$1005,1,MATCH(COLUMNS($AD$1006:AR1006),$AD$1006:$AU$1006,0))&gt;=100000), " ",IF(INDEX($AD$2:$AU$1001,MATCH(ROWS($W$2:W302),$W$2:$W$1001,0),MATCH(COLUMNS($AD$1006:AR1006),$AD$1006:$AU$1006,0)), HYPERLINK("#",""), HYPERLINK(CONCATENATE("#metadata!", ADDRESS(INDEX($Y$2:$Y$1001,MATCH(ROWS($W$2:W302),$W$2:$W$1001,0),0), INDEX($AD$1004:$AU$1004,1,MATCH(COLUMNS($AD$1006:AR1006),$AD$1006:$AU$1006,0)))),"Fix")))</f>
        <v xml:space="preserve"> </v>
      </c>
      <c r="Q302" s="4" t="str">
        <f ca="1">IF(OR(INDEX($X$2:$X$1001,MATCH(ROWS($W$2:W302),$W$2:$W$1001,0),1)&gt;=100000,INDEX($AD$1005:$AU$1005,1,MATCH(COLUMNS($AD$1006:AS1006),$AD$1006:$AU$1006,0))&gt;=100000), " ",IF(INDEX($AD$2:$AU$1001,MATCH(ROWS($W$2:W302),$W$2:$W$1001,0),MATCH(COLUMNS($AD$1006:AS1006),$AD$1006:$AU$1006,0)), HYPERLINK("#",""), HYPERLINK(CONCATENATE("#metadata!", ADDRESS(INDEX($Y$2:$Y$1001,MATCH(ROWS($W$2:W302),$W$2:$W$1001,0),0), INDEX($AD$1004:$AU$1004,1,MATCH(COLUMNS($AD$1006:AS1006),$AD$1006:$AU$1006,0)))),"Fix")))</f>
        <v xml:space="preserve"> </v>
      </c>
      <c r="R302" s="4" t="str">
        <f ca="1">IF(OR(INDEX($X$2:$X$1001,MATCH(ROWS($W$2:W302),$W$2:$W$1001,0),1)&gt;=100000,INDEX($AD$1005:$AU$1005,1,MATCH(COLUMNS($AD$1006:AT1006),$AD$1006:$AU$1006,0))&gt;=100000), " ",IF(INDEX($AD$2:$AU$1001,MATCH(ROWS($W$2:W302),$W$2:$W$1001,0),MATCH(COLUMNS($AD$1006:AT1006),$AD$1006:$AU$1006,0)), HYPERLINK("#",""), HYPERLINK(CONCATENATE("#metadata!", ADDRESS(INDEX($Y$2:$Y$1001,MATCH(ROWS($W$2:W302),$W$2:$W$1001,0),0), INDEX($AD$1004:$AU$1004,1,MATCH(COLUMNS($AD$1006:AT1006),$AD$1006:$AU$1006,0)))),"Fix")))</f>
        <v xml:space="preserve"> </v>
      </c>
      <c r="S302" s="4" t="str">
        <f ca="1">IF(OR(INDEX($X$2:$X$1001,MATCH(ROWS($W$2:W302),$W$2:$W$1001,0),1)&gt;=100000,INDEX($AD$1005:$AU$1005,1,MATCH(COLUMNS($AD$1006:AU1006),$AD$1006:$AU$1006,0))&gt;=100000), " ",IF(INDEX($AD$2:$AU$1001,MATCH(ROWS($W$2:W302),$W$2:$W$1001,0),MATCH(COLUMNS($AD$1006:AU1006),$AD$1006:$AU$1006,0)), HYPERLINK("#",""), HYPERLINK(CONCATENATE("#metadata!", ADDRESS(INDEX($Y$2:$Y$1001,MATCH(ROWS($W$2:W302),$W$2:$W$1001,0),0), INDEX($AD$1004:$AU$1004,1,MATCH(COLUMNS($AD$1006:AU1006),$AD$1006:$AU$1006,0)))),"Fix")))</f>
        <v xml:space="preserve"> </v>
      </c>
      <c r="W302">
        <v>301</v>
      </c>
      <c r="X302">
        <v>100302</v>
      </c>
      <c r="Y302">
        <v>302</v>
      </c>
      <c r="Z302" t="b">
        <f t="shared" si="4"/>
        <v>1</v>
      </c>
      <c r="AA302" t="b">
        <f>COUNTBLANK(metadata!B302:S302)=COLUMNS(metadata!B302:S302)</f>
        <v>1</v>
      </c>
      <c r="AB302" t="str">
        <v/>
      </c>
      <c r="AD302" t="b">
        <f ca="1">AND(IF(metadata!B302="",FALSE,TRUE),COUNTIF(metadata!B:B, metadata!B302) = 1,NOT(ISERROR(SUMPRODUCT(SEARCH(MID(metadata!B302,ROW(INDIRECT("1:"&amp;LEN(metadata!B302))), 1),"0123456789abcdefghijklmnopqrstuvwxyzABCDEFGHIJKLMNOPQRSTUVWXYZ.")))))</f>
        <v>0</v>
      </c>
      <c r="AE302" t="b">
        <f>OR(AND(IF(metadata!C302="",FALSE,TRUE),OR(EXACT(metadata!C302,"not applicable"),EXACT(metadata!C302,"missing: not collected"),EXACT(metadata!C302,"missing: not provided"),EXACT(metadata!C302,"missing: restricted access"))),AND(IF(metadata!C302="",FALSE,ISNUMBER(VALUE(metadata!C302))),metadata!C302&gt;0))</f>
        <v>0</v>
      </c>
      <c r="AF302" t="b">
        <f>AND(IF(metadata!D302="",FALSE,TRUE),EXACT(metadata!D302,"missing: not provided"))</f>
        <v>0</v>
      </c>
      <c r="AG302" t="b">
        <f>AND(IF(metadata!E302="",FALSE,TRUE),EXACT(metadata!E302,"Host-associated"))</f>
        <v>0</v>
      </c>
      <c r="AH302" t="b">
        <f>AND(IF(metadata!F302="",FALSE,TRUE),OR(EXACT(metadata!F302,"Animal"),EXACT(metadata!F302,"Fungus"),EXACT(metadata!F302,"Plant")))</f>
        <v>0</v>
      </c>
      <c r="AI302" t="b">
        <f>AND(IF(metadata!G302="",FALSE,TRUE),OR(EXACT(metadata!G302,"Plant secretion"),EXACT(metadata!G302,"Plant rhizosphere"),EXACT(metadata!G302,"Plant surface"),EXACT(metadata!G302,"Plant corpus"),EXACT(metadata!G302,"Fungus surface"),EXACT(metadata!G302,"Fungus corpus"),EXACT(metadata!G302,"Animal surface"),EXACT(metadata!G302,"Animal proximal gut"),EXACT(metadata!G302,"Animal corpus"),EXACT(metadata!G302,"Animal distal gut"),EXACT(metadata!G302,"Animal secretion")))</f>
        <v>0</v>
      </c>
      <c r="AJ302" t="b">
        <f>OR(AND(IF(metadata!H302="",FALSE,TRUE),OR(EXACT(metadata!H302,"missing: not collected"),EXACT(metadata!H302,"missing: not provided"),EXACT(metadata!H302,"missing: restricted access"))),AND(IF(metadata!H302="",FALSE,TRUE),OR(EXACT(metadata!H302,"organism-associated habitat"),EXACT(metadata!H302,"plant-associated habitat"),EXACT(metadata!H302,"animal-associated habitat"),EXACT(metadata!H302,"insecta-associated habitat"),EXACT(metadata!H302,"mammalia-associated habitat"),EXACT(metadata!H302,"human-associated habitat"),EXACT(metadata!H302,"livestock-associated habitat"))))</f>
        <v>0</v>
      </c>
      <c r="AK302" t="b">
        <f>AND(IF(metadata!I302="",FALSE,TRUE),EXACT(metadata!I302,"host-associated"))</f>
        <v>0</v>
      </c>
      <c r="AL302" t="b">
        <f>OR(AND(IF(metadata!J302="",FALSE,TRUE),OR(EXACT(metadata!J302,"not applicable"),EXACT(metadata!J302,"missing: not collected"),EXACT(metadata!J302,"missing: not provided"),EXACT(metadata!J302,"missing: restricted access"))),AND(IF(metadata!J302="",FALSE,ISNUMBER(VALUE(metadata!J302))),metadata!J302&gt;0))</f>
        <v>0</v>
      </c>
      <c r="AM302" t="b">
        <f>AND(IF(metadata!K302="",FALSE,TRUE),EXACT(metadata!K302,"missing: not provided"))</f>
        <v>0</v>
      </c>
      <c r="AN302" t="b">
        <f>IF(metadata!L302="",FALSE,TRUE)</f>
        <v>0</v>
      </c>
      <c r="AO302" t="b">
        <f>IF(metadata!M302="",FALSE,TRUE)</f>
        <v>0</v>
      </c>
      <c r="AP302" t="b">
        <f>OR(AND(IF(metadata!N302="",FALSE,TRUE),OR(EXACT(metadata!N302,"not applicable"),EXACT(metadata!N302,"missing: not collected"),EXACT(metadata!N302,"missing: not provided"))),AND(IF(metadata!N302="",FALSE,IF(ISERROR(INT(metadata!N302)),FALSE,INT(metadata!N302)=metadata!N302)),metadata!N302&gt;0))</f>
        <v>0</v>
      </c>
      <c r="AQ302" t="b">
        <f>AND(IF(metadata!O302="",FALSE,TRUE),EXACT(metadata!O302,"Not applicable"))</f>
        <v>0</v>
      </c>
      <c r="AR302" t="b">
        <f>OR(AND(IF(metadata!P302="",FALSE,TRUE),OR(EXACT(metadata!P302,"not applicable"),EXACT(metadata!P302,"missing: not collected"),EXACT(metadata!P302,"missing: not provided"),EXACT(metadata!P302,"missing: restricted access"))),IF(metadata!P302="",FALSE,IF(ISERROR(INT(metadata!P302)),FALSE,INT(metadata!P302)=metadata!P302)))</f>
        <v>0</v>
      </c>
      <c r="AS302" t="b">
        <f>AND(IF(metadata!Q302="",FALSE,TRUE),EXACT(metadata!Q302,"Not applicable"))</f>
        <v>0</v>
      </c>
      <c r="AT302" t="b">
        <f>OR(AND(IF(metadata!R302="",FALSE,TRUE),OR(EXACT(metadata!R302,"not applicable"),EXACT(metadata!R302,"missing: not collected"),EXACT(metadata!R302,"missing: not provided"),EXACT(metadata!R302,"missing: restricted access"))),AND(IF(metadata!R302="",FALSE,ISNUMBER(VALUE(metadata!R302))),metadata!R302&gt;0))</f>
        <v>0</v>
      </c>
      <c r="AU302" t="b">
        <f>AND(IF(metadata!S302="",FALSE,TRUE),EXACT(metadata!S302,"missing: not provided"))</f>
        <v>0</v>
      </c>
    </row>
    <row r="303" spans="1:47" x14ac:dyDescent="0.2">
      <c r="A303" s="5" t="str">
        <f ca="1">IF(B303=" "," ",HYPERLINK(CONCATENATE("#metadata!",ADDRESS(INDEX($Y$2:$Y$1001,MATCH(ROWS($W$2:W303),$W$2:$W$1001,0),0),1)),INDEX($AB$2:$AB$1001,MATCH(ROWS($W$2:W303),$W$2:$W$1001,0),0)))</f>
        <v xml:space="preserve"> </v>
      </c>
      <c r="B303" s="4" t="str">
        <f ca="1">IF(OR(INDEX($X$2:$X$1001,MATCH(ROWS($W$2:W303),$W$2:$W$1001,0),1)&gt;=100000,INDEX($AD$1005:$AU$1005,1,MATCH(COLUMNS($AD$1006:AD1006),$AD$1006:$AU$1006,0))&gt;=100000), " ",IF(INDEX($AD$2:$AU$1001,MATCH(ROWS($W$2:W303),$W$2:$W$1001,0),MATCH(COLUMNS($AD$1006:AD1006),$AD$1006:$AU$1006,0)), HYPERLINK("#",""), HYPERLINK(CONCATENATE("#metadata!", ADDRESS(INDEX($Y$2:$Y$1001,MATCH(ROWS($W$2:W303),$W$2:$W$1001,0),0), INDEX($AD$1004:$AU$1004,1,MATCH(COLUMNS($AD$1006:AD1006),$AD$1006:$AU$1006,0)))),"Fix")))</f>
        <v xml:space="preserve"> </v>
      </c>
      <c r="C303" s="4" t="str">
        <f ca="1">IF(OR(INDEX($X$2:$X$1001,MATCH(ROWS($W$2:W303),$W$2:$W$1001,0),1)&gt;=100000,INDEX($AD$1005:$AU$1005,1,MATCH(COLUMNS($AD$1006:AE1006),$AD$1006:$AU$1006,0))&gt;=100000), " ",IF(INDEX($AD$2:$AU$1001,MATCH(ROWS($W$2:W303),$W$2:$W$1001,0),MATCH(COLUMNS($AD$1006:AE1006),$AD$1006:$AU$1006,0)), HYPERLINK("#",""), HYPERLINK(CONCATENATE("#metadata!", ADDRESS(INDEX($Y$2:$Y$1001,MATCH(ROWS($W$2:W303),$W$2:$W$1001,0),0), INDEX($AD$1004:$AU$1004,1,MATCH(COLUMNS($AD$1006:AE1006),$AD$1006:$AU$1006,0)))),"Fix")))</f>
        <v xml:space="preserve"> </v>
      </c>
      <c r="D303" s="4" t="str">
        <f ca="1">IF(OR(INDEX($X$2:$X$1001,MATCH(ROWS($W$2:W303),$W$2:$W$1001,0),1)&gt;=100000,INDEX($AD$1005:$AU$1005,1,MATCH(COLUMNS($AD$1006:AF1006),$AD$1006:$AU$1006,0))&gt;=100000), " ",IF(INDEX($AD$2:$AU$1001,MATCH(ROWS($W$2:W303),$W$2:$W$1001,0),MATCH(COLUMNS($AD$1006:AF1006),$AD$1006:$AU$1006,0)), HYPERLINK("#",""), HYPERLINK(CONCATENATE("#metadata!", ADDRESS(INDEX($Y$2:$Y$1001,MATCH(ROWS($W$2:W303),$W$2:$W$1001,0),0), INDEX($AD$1004:$AU$1004,1,MATCH(COLUMNS($AD$1006:AF1006),$AD$1006:$AU$1006,0)))),"Fix")))</f>
        <v xml:space="preserve"> </v>
      </c>
      <c r="E303" s="4" t="str">
        <f ca="1">IF(OR(INDEX($X$2:$X$1001,MATCH(ROWS($W$2:W303),$W$2:$W$1001,0),1)&gt;=100000,INDEX($AD$1005:$AU$1005,1,MATCH(COLUMNS($AD$1006:AG1006),$AD$1006:$AU$1006,0))&gt;=100000), " ",IF(INDEX($AD$2:$AU$1001,MATCH(ROWS($W$2:W303),$W$2:$W$1001,0),MATCH(COLUMNS($AD$1006:AG1006),$AD$1006:$AU$1006,0)), HYPERLINK("#",""), HYPERLINK(CONCATENATE("#metadata!", ADDRESS(INDEX($Y$2:$Y$1001,MATCH(ROWS($W$2:W303),$W$2:$W$1001,0),0), INDEX($AD$1004:$AU$1004,1,MATCH(COLUMNS($AD$1006:AG1006),$AD$1006:$AU$1006,0)))),"Fix")))</f>
        <v xml:space="preserve"> </v>
      </c>
      <c r="F303" s="4" t="str">
        <f ca="1">IF(OR(INDEX($X$2:$X$1001,MATCH(ROWS($W$2:W303),$W$2:$W$1001,0),1)&gt;=100000,INDEX($AD$1005:$AU$1005,1,MATCH(COLUMNS($AD$1006:AH1006),$AD$1006:$AU$1006,0))&gt;=100000), " ",IF(INDEX($AD$2:$AU$1001,MATCH(ROWS($W$2:W303),$W$2:$W$1001,0),MATCH(COLUMNS($AD$1006:AH1006),$AD$1006:$AU$1006,0)), HYPERLINK("#",""), HYPERLINK(CONCATENATE("#metadata!", ADDRESS(INDEX($Y$2:$Y$1001,MATCH(ROWS($W$2:W303),$W$2:$W$1001,0),0), INDEX($AD$1004:$AU$1004,1,MATCH(COLUMNS($AD$1006:AH1006),$AD$1006:$AU$1006,0)))),"Fix")))</f>
        <v xml:space="preserve"> </v>
      </c>
      <c r="G303" s="4" t="str">
        <f ca="1">IF(OR(INDEX($X$2:$X$1001,MATCH(ROWS($W$2:W303),$W$2:$W$1001,0),1)&gt;=100000,INDEX($AD$1005:$AU$1005,1,MATCH(COLUMNS($AD$1006:AI1006),$AD$1006:$AU$1006,0))&gt;=100000), " ",IF(INDEX($AD$2:$AU$1001,MATCH(ROWS($W$2:W303),$W$2:$W$1001,0),MATCH(COLUMNS($AD$1006:AI1006),$AD$1006:$AU$1006,0)), HYPERLINK("#",""), HYPERLINK(CONCATENATE("#metadata!", ADDRESS(INDEX($Y$2:$Y$1001,MATCH(ROWS($W$2:W303),$W$2:$W$1001,0),0), INDEX($AD$1004:$AU$1004,1,MATCH(COLUMNS($AD$1006:AI1006),$AD$1006:$AU$1006,0)))),"Fix")))</f>
        <v xml:space="preserve"> </v>
      </c>
      <c r="H303" s="4" t="str">
        <f ca="1">IF(OR(INDEX($X$2:$X$1001,MATCH(ROWS($W$2:W303),$W$2:$W$1001,0),1)&gt;=100000,INDEX($AD$1005:$AU$1005,1,MATCH(COLUMNS($AD$1006:AJ1006),$AD$1006:$AU$1006,0))&gt;=100000), " ",IF(INDEX($AD$2:$AU$1001,MATCH(ROWS($W$2:W303),$W$2:$W$1001,0),MATCH(COLUMNS($AD$1006:AJ1006),$AD$1006:$AU$1006,0)), HYPERLINK("#",""), HYPERLINK(CONCATENATE("#metadata!", ADDRESS(INDEX($Y$2:$Y$1001,MATCH(ROWS($W$2:W303),$W$2:$W$1001,0),0), INDEX($AD$1004:$AU$1004,1,MATCH(COLUMNS($AD$1006:AJ1006),$AD$1006:$AU$1006,0)))),"Fix")))</f>
        <v xml:space="preserve"> </v>
      </c>
      <c r="I303" s="4" t="str">
        <f ca="1">IF(OR(INDEX($X$2:$X$1001,MATCH(ROWS($W$2:W303),$W$2:$W$1001,0),1)&gt;=100000,INDEX($AD$1005:$AU$1005,1,MATCH(COLUMNS($AD$1006:AK1006),$AD$1006:$AU$1006,0))&gt;=100000), " ",IF(INDEX($AD$2:$AU$1001,MATCH(ROWS($W$2:W303),$W$2:$W$1001,0),MATCH(COLUMNS($AD$1006:AK1006),$AD$1006:$AU$1006,0)), HYPERLINK("#",""), HYPERLINK(CONCATENATE("#metadata!", ADDRESS(INDEX($Y$2:$Y$1001,MATCH(ROWS($W$2:W303),$W$2:$W$1001,0),0), INDEX($AD$1004:$AU$1004,1,MATCH(COLUMNS($AD$1006:AK1006),$AD$1006:$AU$1006,0)))),"Fix")))</f>
        <v xml:space="preserve"> </v>
      </c>
      <c r="J303" s="4" t="str">
        <f ca="1">IF(OR(INDEX($X$2:$X$1001,MATCH(ROWS($W$2:W303),$W$2:$W$1001,0),1)&gt;=100000,INDEX($AD$1005:$AU$1005,1,MATCH(COLUMNS($AD$1006:AL1006),$AD$1006:$AU$1006,0))&gt;=100000), " ",IF(INDEX($AD$2:$AU$1001,MATCH(ROWS($W$2:W303),$W$2:$W$1001,0),MATCH(COLUMNS($AD$1006:AL1006),$AD$1006:$AU$1006,0)), HYPERLINK("#",""), HYPERLINK(CONCATENATE("#metadata!", ADDRESS(INDEX($Y$2:$Y$1001,MATCH(ROWS($W$2:W303),$W$2:$W$1001,0),0), INDEX($AD$1004:$AU$1004,1,MATCH(COLUMNS($AD$1006:AL1006),$AD$1006:$AU$1006,0)))),"Fix")))</f>
        <v xml:space="preserve"> </v>
      </c>
      <c r="K303" s="4" t="str">
        <f ca="1">IF(OR(INDEX($X$2:$X$1001,MATCH(ROWS($W$2:W303),$W$2:$W$1001,0),1)&gt;=100000,INDEX($AD$1005:$AU$1005,1,MATCH(COLUMNS($AD$1006:AM1006),$AD$1006:$AU$1006,0))&gt;=100000), " ",IF(INDEX($AD$2:$AU$1001,MATCH(ROWS($W$2:W303),$W$2:$W$1001,0),MATCH(COLUMNS($AD$1006:AM1006),$AD$1006:$AU$1006,0)), HYPERLINK("#",""), HYPERLINK(CONCATENATE("#metadata!", ADDRESS(INDEX($Y$2:$Y$1001,MATCH(ROWS($W$2:W303),$W$2:$W$1001,0),0), INDEX($AD$1004:$AU$1004,1,MATCH(COLUMNS($AD$1006:AM1006),$AD$1006:$AU$1006,0)))),"Fix")))</f>
        <v xml:space="preserve"> </v>
      </c>
      <c r="L303" s="4" t="str">
        <f ca="1">IF(OR(INDEX($X$2:$X$1001,MATCH(ROWS($W$2:W303),$W$2:$W$1001,0),1)&gt;=100000,INDEX($AD$1005:$AU$1005,1,MATCH(COLUMNS($AD$1006:AN1006),$AD$1006:$AU$1006,0))&gt;=100000), " ",IF(INDEX($AD$2:$AU$1001,MATCH(ROWS($W$2:W303),$W$2:$W$1001,0),MATCH(COLUMNS($AD$1006:AN1006),$AD$1006:$AU$1006,0)), HYPERLINK("#",""), HYPERLINK(CONCATENATE("#metadata!", ADDRESS(INDEX($Y$2:$Y$1001,MATCH(ROWS($W$2:W303),$W$2:$W$1001,0),0), INDEX($AD$1004:$AU$1004,1,MATCH(COLUMNS($AD$1006:AN1006),$AD$1006:$AU$1006,0)))),"Fix")))</f>
        <v xml:space="preserve"> </v>
      </c>
      <c r="M303" s="4" t="str">
        <f ca="1">IF(OR(INDEX($X$2:$X$1001,MATCH(ROWS($W$2:W303),$W$2:$W$1001,0),1)&gt;=100000,INDEX($AD$1005:$AU$1005,1,MATCH(COLUMNS($AD$1006:AO1006),$AD$1006:$AU$1006,0))&gt;=100000), " ",IF(INDEX($AD$2:$AU$1001,MATCH(ROWS($W$2:W303),$W$2:$W$1001,0),MATCH(COLUMNS($AD$1006:AO1006),$AD$1006:$AU$1006,0)), HYPERLINK("#",""), HYPERLINK(CONCATENATE("#metadata!", ADDRESS(INDEX($Y$2:$Y$1001,MATCH(ROWS($W$2:W303),$W$2:$W$1001,0),0), INDEX($AD$1004:$AU$1004,1,MATCH(COLUMNS($AD$1006:AO1006),$AD$1006:$AU$1006,0)))),"Fix")))</f>
        <v xml:space="preserve"> </v>
      </c>
      <c r="N303" s="4" t="str">
        <f ca="1">IF(OR(INDEX($X$2:$X$1001,MATCH(ROWS($W$2:W303),$W$2:$W$1001,0),1)&gt;=100000,INDEX($AD$1005:$AU$1005,1,MATCH(COLUMNS($AD$1006:AP1006),$AD$1006:$AU$1006,0))&gt;=100000), " ",IF(INDEX($AD$2:$AU$1001,MATCH(ROWS($W$2:W303),$W$2:$W$1001,0),MATCH(COLUMNS($AD$1006:AP1006),$AD$1006:$AU$1006,0)), HYPERLINK("#",""), HYPERLINK(CONCATENATE("#metadata!", ADDRESS(INDEX($Y$2:$Y$1001,MATCH(ROWS($W$2:W303),$W$2:$W$1001,0),0), INDEX($AD$1004:$AU$1004,1,MATCH(COLUMNS($AD$1006:AP1006),$AD$1006:$AU$1006,0)))),"Fix")))</f>
        <v xml:space="preserve"> </v>
      </c>
      <c r="O303" s="4" t="str">
        <f ca="1">IF(OR(INDEX($X$2:$X$1001,MATCH(ROWS($W$2:W303),$W$2:$W$1001,0),1)&gt;=100000,INDEX($AD$1005:$AU$1005,1,MATCH(COLUMNS($AD$1006:AQ1006),$AD$1006:$AU$1006,0))&gt;=100000), " ",IF(INDEX($AD$2:$AU$1001,MATCH(ROWS($W$2:W303),$W$2:$W$1001,0),MATCH(COLUMNS($AD$1006:AQ1006),$AD$1006:$AU$1006,0)), HYPERLINK("#",""), HYPERLINK(CONCATENATE("#metadata!", ADDRESS(INDEX($Y$2:$Y$1001,MATCH(ROWS($W$2:W303),$W$2:$W$1001,0),0), INDEX($AD$1004:$AU$1004,1,MATCH(COLUMNS($AD$1006:AQ1006),$AD$1006:$AU$1006,0)))),"Fix")))</f>
        <v xml:space="preserve"> </v>
      </c>
      <c r="P303" s="4" t="str">
        <f ca="1">IF(OR(INDEX($X$2:$X$1001,MATCH(ROWS($W$2:W303),$W$2:$W$1001,0),1)&gt;=100000,INDEX($AD$1005:$AU$1005,1,MATCH(COLUMNS($AD$1006:AR1006),$AD$1006:$AU$1006,0))&gt;=100000), " ",IF(INDEX($AD$2:$AU$1001,MATCH(ROWS($W$2:W303),$W$2:$W$1001,0),MATCH(COLUMNS($AD$1006:AR1006),$AD$1006:$AU$1006,0)), HYPERLINK("#",""), HYPERLINK(CONCATENATE("#metadata!", ADDRESS(INDEX($Y$2:$Y$1001,MATCH(ROWS($W$2:W303),$W$2:$W$1001,0),0), INDEX($AD$1004:$AU$1004,1,MATCH(COLUMNS($AD$1006:AR1006),$AD$1006:$AU$1006,0)))),"Fix")))</f>
        <v xml:space="preserve"> </v>
      </c>
      <c r="Q303" s="4" t="str">
        <f ca="1">IF(OR(INDEX($X$2:$X$1001,MATCH(ROWS($W$2:W303),$W$2:$W$1001,0),1)&gt;=100000,INDEX($AD$1005:$AU$1005,1,MATCH(COLUMNS($AD$1006:AS1006),$AD$1006:$AU$1006,0))&gt;=100000), " ",IF(INDEX($AD$2:$AU$1001,MATCH(ROWS($W$2:W303),$W$2:$W$1001,0),MATCH(COLUMNS($AD$1006:AS1006),$AD$1006:$AU$1006,0)), HYPERLINK("#",""), HYPERLINK(CONCATENATE("#metadata!", ADDRESS(INDEX($Y$2:$Y$1001,MATCH(ROWS($W$2:W303),$W$2:$W$1001,0),0), INDEX($AD$1004:$AU$1004,1,MATCH(COLUMNS($AD$1006:AS1006),$AD$1006:$AU$1006,0)))),"Fix")))</f>
        <v xml:space="preserve"> </v>
      </c>
      <c r="R303" s="4" t="str">
        <f ca="1">IF(OR(INDEX($X$2:$X$1001,MATCH(ROWS($W$2:W303),$W$2:$W$1001,0),1)&gt;=100000,INDEX($AD$1005:$AU$1005,1,MATCH(COLUMNS($AD$1006:AT1006),$AD$1006:$AU$1006,0))&gt;=100000), " ",IF(INDEX($AD$2:$AU$1001,MATCH(ROWS($W$2:W303),$W$2:$W$1001,0),MATCH(COLUMNS($AD$1006:AT1006),$AD$1006:$AU$1006,0)), HYPERLINK("#",""), HYPERLINK(CONCATENATE("#metadata!", ADDRESS(INDEX($Y$2:$Y$1001,MATCH(ROWS($W$2:W303),$W$2:$W$1001,0),0), INDEX($AD$1004:$AU$1004,1,MATCH(COLUMNS($AD$1006:AT1006),$AD$1006:$AU$1006,0)))),"Fix")))</f>
        <v xml:space="preserve"> </v>
      </c>
      <c r="S303" s="4" t="str">
        <f ca="1">IF(OR(INDEX($X$2:$X$1001,MATCH(ROWS($W$2:W303),$W$2:$W$1001,0),1)&gt;=100000,INDEX($AD$1005:$AU$1005,1,MATCH(COLUMNS($AD$1006:AU1006),$AD$1006:$AU$1006,0))&gt;=100000), " ",IF(INDEX($AD$2:$AU$1001,MATCH(ROWS($W$2:W303),$W$2:$W$1001,0),MATCH(COLUMNS($AD$1006:AU1006),$AD$1006:$AU$1006,0)), HYPERLINK("#",""), HYPERLINK(CONCATENATE("#metadata!", ADDRESS(INDEX($Y$2:$Y$1001,MATCH(ROWS($W$2:W303),$W$2:$W$1001,0),0), INDEX($AD$1004:$AU$1004,1,MATCH(COLUMNS($AD$1006:AU1006),$AD$1006:$AU$1006,0)))),"Fix")))</f>
        <v xml:space="preserve"> </v>
      </c>
      <c r="W303">
        <v>302</v>
      </c>
      <c r="X303">
        <v>100303</v>
      </c>
      <c r="Y303">
        <v>303</v>
      </c>
      <c r="Z303" t="b">
        <f t="shared" si="4"/>
        <v>1</v>
      </c>
      <c r="AA303" t="b">
        <f>COUNTBLANK(metadata!B303:S303)=COLUMNS(metadata!B303:S303)</f>
        <v>1</v>
      </c>
      <c r="AB303" t="str">
        <v/>
      </c>
      <c r="AD303" t="b">
        <f ca="1">AND(IF(metadata!B303="",FALSE,TRUE),COUNTIF(metadata!B:B, metadata!B303) = 1,NOT(ISERROR(SUMPRODUCT(SEARCH(MID(metadata!B303,ROW(INDIRECT("1:"&amp;LEN(metadata!B303))), 1),"0123456789abcdefghijklmnopqrstuvwxyzABCDEFGHIJKLMNOPQRSTUVWXYZ.")))))</f>
        <v>0</v>
      </c>
      <c r="AE303" t="b">
        <f>OR(AND(IF(metadata!C303="",FALSE,TRUE),OR(EXACT(metadata!C303,"not applicable"),EXACT(metadata!C303,"missing: not collected"),EXACT(metadata!C303,"missing: not provided"),EXACT(metadata!C303,"missing: restricted access"))),AND(IF(metadata!C303="",FALSE,ISNUMBER(VALUE(metadata!C303))),metadata!C303&gt;0))</f>
        <v>0</v>
      </c>
      <c r="AF303" t="b">
        <f>AND(IF(metadata!D303="",FALSE,TRUE),EXACT(metadata!D303,"missing: not provided"))</f>
        <v>0</v>
      </c>
      <c r="AG303" t="b">
        <f>AND(IF(metadata!E303="",FALSE,TRUE),EXACT(metadata!E303,"Host-associated"))</f>
        <v>0</v>
      </c>
      <c r="AH303" t="b">
        <f>AND(IF(metadata!F303="",FALSE,TRUE),OR(EXACT(metadata!F303,"Animal"),EXACT(metadata!F303,"Fungus"),EXACT(metadata!F303,"Plant")))</f>
        <v>0</v>
      </c>
      <c r="AI303" t="b">
        <f>AND(IF(metadata!G303="",FALSE,TRUE),OR(EXACT(metadata!G303,"Plant secretion"),EXACT(metadata!G303,"Plant rhizosphere"),EXACT(metadata!G303,"Plant surface"),EXACT(metadata!G303,"Plant corpus"),EXACT(metadata!G303,"Fungus surface"),EXACT(metadata!G303,"Fungus corpus"),EXACT(metadata!G303,"Animal surface"),EXACT(metadata!G303,"Animal proximal gut"),EXACT(metadata!G303,"Animal corpus"),EXACT(metadata!G303,"Animal distal gut"),EXACT(metadata!G303,"Animal secretion")))</f>
        <v>0</v>
      </c>
      <c r="AJ303" t="b">
        <f>OR(AND(IF(metadata!H303="",FALSE,TRUE),OR(EXACT(metadata!H303,"missing: not collected"),EXACT(metadata!H303,"missing: not provided"),EXACT(metadata!H303,"missing: restricted access"))),AND(IF(metadata!H303="",FALSE,TRUE),OR(EXACT(metadata!H303,"organism-associated habitat"),EXACT(metadata!H303,"plant-associated habitat"),EXACT(metadata!H303,"animal-associated habitat"),EXACT(metadata!H303,"insecta-associated habitat"),EXACT(metadata!H303,"mammalia-associated habitat"),EXACT(metadata!H303,"human-associated habitat"),EXACT(metadata!H303,"livestock-associated habitat"))))</f>
        <v>0</v>
      </c>
      <c r="AK303" t="b">
        <f>AND(IF(metadata!I303="",FALSE,TRUE),EXACT(metadata!I303,"host-associated"))</f>
        <v>0</v>
      </c>
      <c r="AL303" t="b">
        <f>OR(AND(IF(metadata!J303="",FALSE,TRUE),OR(EXACT(metadata!J303,"not applicable"),EXACT(metadata!J303,"missing: not collected"),EXACT(metadata!J303,"missing: not provided"),EXACT(metadata!J303,"missing: restricted access"))),AND(IF(metadata!J303="",FALSE,ISNUMBER(VALUE(metadata!J303))),metadata!J303&gt;0))</f>
        <v>0</v>
      </c>
      <c r="AM303" t="b">
        <f>AND(IF(metadata!K303="",FALSE,TRUE),EXACT(metadata!K303,"missing: not provided"))</f>
        <v>0</v>
      </c>
      <c r="AN303" t="b">
        <f>IF(metadata!L303="",FALSE,TRUE)</f>
        <v>0</v>
      </c>
      <c r="AO303" t="b">
        <f>IF(metadata!M303="",FALSE,TRUE)</f>
        <v>0</v>
      </c>
      <c r="AP303" t="b">
        <f>OR(AND(IF(metadata!N303="",FALSE,TRUE),OR(EXACT(metadata!N303,"not applicable"),EXACT(metadata!N303,"missing: not collected"),EXACT(metadata!N303,"missing: not provided"))),AND(IF(metadata!N303="",FALSE,IF(ISERROR(INT(metadata!N303)),FALSE,INT(metadata!N303)=metadata!N303)),metadata!N303&gt;0))</f>
        <v>0</v>
      </c>
      <c r="AQ303" t="b">
        <f>AND(IF(metadata!O303="",FALSE,TRUE),EXACT(metadata!O303,"Not applicable"))</f>
        <v>0</v>
      </c>
      <c r="AR303" t="b">
        <f>OR(AND(IF(metadata!P303="",FALSE,TRUE),OR(EXACT(metadata!P303,"not applicable"),EXACT(metadata!P303,"missing: not collected"),EXACT(metadata!P303,"missing: not provided"),EXACT(metadata!P303,"missing: restricted access"))),IF(metadata!P303="",FALSE,IF(ISERROR(INT(metadata!P303)),FALSE,INT(metadata!P303)=metadata!P303)))</f>
        <v>0</v>
      </c>
      <c r="AS303" t="b">
        <f>AND(IF(metadata!Q303="",FALSE,TRUE),EXACT(metadata!Q303,"Not applicable"))</f>
        <v>0</v>
      </c>
      <c r="AT303" t="b">
        <f>OR(AND(IF(metadata!R303="",FALSE,TRUE),OR(EXACT(metadata!R303,"not applicable"),EXACT(metadata!R303,"missing: not collected"),EXACT(metadata!R303,"missing: not provided"),EXACT(metadata!R303,"missing: restricted access"))),AND(IF(metadata!R303="",FALSE,ISNUMBER(VALUE(metadata!R303))),metadata!R303&gt;0))</f>
        <v>0</v>
      </c>
      <c r="AU303" t="b">
        <f>AND(IF(metadata!S303="",FALSE,TRUE),EXACT(metadata!S303,"missing: not provided"))</f>
        <v>0</v>
      </c>
    </row>
    <row r="304" spans="1:47" x14ac:dyDescent="0.2">
      <c r="A304" s="5" t="str">
        <f ca="1">IF(B304=" "," ",HYPERLINK(CONCATENATE("#metadata!",ADDRESS(INDEX($Y$2:$Y$1001,MATCH(ROWS($W$2:W304),$W$2:$W$1001,0),0),1)),INDEX($AB$2:$AB$1001,MATCH(ROWS($W$2:W304),$W$2:$W$1001,0),0)))</f>
        <v xml:space="preserve"> </v>
      </c>
      <c r="B304" s="4" t="str">
        <f ca="1">IF(OR(INDEX($X$2:$X$1001,MATCH(ROWS($W$2:W304),$W$2:$W$1001,0),1)&gt;=100000,INDEX($AD$1005:$AU$1005,1,MATCH(COLUMNS($AD$1006:AD1006),$AD$1006:$AU$1006,0))&gt;=100000), " ",IF(INDEX($AD$2:$AU$1001,MATCH(ROWS($W$2:W304),$W$2:$W$1001,0),MATCH(COLUMNS($AD$1006:AD1006),$AD$1006:$AU$1006,0)), HYPERLINK("#",""), HYPERLINK(CONCATENATE("#metadata!", ADDRESS(INDEX($Y$2:$Y$1001,MATCH(ROWS($W$2:W304),$W$2:$W$1001,0),0), INDEX($AD$1004:$AU$1004,1,MATCH(COLUMNS($AD$1006:AD1006),$AD$1006:$AU$1006,0)))),"Fix")))</f>
        <v xml:space="preserve"> </v>
      </c>
      <c r="C304" s="4" t="str">
        <f ca="1">IF(OR(INDEX($X$2:$X$1001,MATCH(ROWS($W$2:W304),$W$2:$W$1001,0),1)&gt;=100000,INDEX($AD$1005:$AU$1005,1,MATCH(COLUMNS($AD$1006:AE1006),$AD$1006:$AU$1006,0))&gt;=100000), " ",IF(INDEX($AD$2:$AU$1001,MATCH(ROWS($W$2:W304),$W$2:$W$1001,0),MATCH(COLUMNS($AD$1006:AE1006),$AD$1006:$AU$1006,0)), HYPERLINK("#",""), HYPERLINK(CONCATENATE("#metadata!", ADDRESS(INDEX($Y$2:$Y$1001,MATCH(ROWS($W$2:W304),$W$2:$W$1001,0),0), INDEX($AD$1004:$AU$1004,1,MATCH(COLUMNS($AD$1006:AE1006),$AD$1006:$AU$1006,0)))),"Fix")))</f>
        <v xml:space="preserve"> </v>
      </c>
      <c r="D304" s="4" t="str">
        <f ca="1">IF(OR(INDEX($X$2:$X$1001,MATCH(ROWS($W$2:W304),$W$2:$W$1001,0),1)&gt;=100000,INDEX($AD$1005:$AU$1005,1,MATCH(COLUMNS($AD$1006:AF1006),$AD$1006:$AU$1006,0))&gt;=100000), " ",IF(INDEX($AD$2:$AU$1001,MATCH(ROWS($W$2:W304),$W$2:$W$1001,0),MATCH(COLUMNS($AD$1006:AF1006),$AD$1006:$AU$1006,0)), HYPERLINK("#",""), HYPERLINK(CONCATENATE("#metadata!", ADDRESS(INDEX($Y$2:$Y$1001,MATCH(ROWS($W$2:W304),$W$2:$W$1001,0),0), INDEX($AD$1004:$AU$1004,1,MATCH(COLUMNS($AD$1006:AF1006),$AD$1006:$AU$1006,0)))),"Fix")))</f>
        <v xml:space="preserve"> </v>
      </c>
      <c r="E304" s="4" t="str">
        <f ca="1">IF(OR(INDEX($X$2:$X$1001,MATCH(ROWS($W$2:W304),$W$2:$W$1001,0),1)&gt;=100000,INDEX($AD$1005:$AU$1005,1,MATCH(COLUMNS($AD$1006:AG1006),$AD$1006:$AU$1006,0))&gt;=100000), " ",IF(INDEX($AD$2:$AU$1001,MATCH(ROWS($W$2:W304),$W$2:$W$1001,0),MATCH(COLUMNS($AD$1006:AG1006),$AD$1006:$AU$1006,0)), HYPERLINK("#",""), HYPERLINK(CONCATENATE("#metadata!", ADDRESS(INDEX($Y$2:$Y$1001,MATCH(ROWS($W$2:W304),$W$2:$W$1001,0),0), INDEX($AD$1004:$AU$1004,1,MATCH(COLUMNS($AD$1006:AG1006),$AD$1006:$AU$1006,0)))),"Fix")))</f>
        <v xml:space="preserve"> </v>
      </c>
      <c r="F304" s="4" t="str">
        <f ca="1">IF(OR(INDEX($X$2:$X$1001,MATCH(ROWS($W$2:W304),$W$2:$W$1001,0),1)&gt;=100000,INDEX($AD$1005:$AU$1005,1,MATCH(COLUMNS($AD$1006:AH1006),$AD$1006:$AU$1006,0))&gt;=100000), " ",IF(INDEX($AD$2:$AU$1001,MATCH(ROWS($W$2:W304),$W$2:$W$1001,0),MATCH(COLUMNS($AD$1006:AH1006),$AD$1006:$AU$1006,0)), HYPERLINK("#",""), HYPERLINK(CONCATENATE("#metadata!", ADDRESS(INDEX($Y$2:$Y$1001,MATCH(ROWS($W$2:W304),$W$2:$W$1001,0),0), INDEX($AD$1004:$AU$1004,1,MATCH(COLUMNS($AD$1006:AH1006),$AD$1006:$AU$1006,0)))),"Fix")))</f>
        <v xml:space="preserve"> </v>
      </c>
      <c r="G304" s="4" t="str">
        <f ca="1">IF(OR(INDEX($X$2:$X$1001,MATCH(ROWS($W$2:W304),$W$2:$W$1001,0),1)&gt;=100000,INDEX($AD$1005:$AU$1005,1,MATCH(COLUMNS($AD$1006:AI1006),$AD$1006:$AU$1006,0))&gt;=100000), " ",IF(INDEX($AD$2:$AU$1001,MATCH(ROWS($W$2:W304),$W$2:$W$1001,0),MATCH(COLUMNS($AD$1006:AI1006),$AD$1006:$AU$1006,0)), HYPERLINK("#",""), HYPERLINK(CONCATENATE("#metadata!", ADDRESS(INDEX($Y$2:$Y$1001,MATCH(ROWS($W$2:W304),$W$2:$W$1001,0),0), INDEX($AD$1004:$AU$1004,1,MATCH(COLUMNS($AD$1006:AI1006),$AD$1006:$AU$1006,0)))),"Fix")))</f>
        <v xml:space="preserve"> </v>
      </c>
      <c r="H304" s="4" t="str">
        <f ca="1">IF(OR(INDEX($X$2:$X$1001,MATCH(ROWS($W$2:W304),$W$2:$W$1001,0),1)&gt;=100000,INDEX($AD$1005:$AU$1005,1,MATCH(COLUMNS($AD$1006:AJ1006),$AD$1006:$AU$1006,0))&gt;=100000), " ",IF(INDEX($AD$2:$AU$1001,MATCH(ROWS($W$2:W304),$W$2:$W$1001,0),MATCH(COLUMNS($AD$1006:AJ1006),$AD$1006:$AU$1006,0)), HYPERLINK("#",""), HYPERLINK(CONCATENATE("#metadata!", ADDRESS(INDEX($Y$2:$Y$1001,MATCH(ROWS($W$2:W304),$W$2:$W$1001,0),0), INDEX($AD$1004:$AU$1004,1,MATCH(COLUMNS($AD$1006:AJ1006),$AD$1006:$AU$1006,0)))),"Fix")))</f>
        <v xml:space="preserve"> </v>
      </c>
      <c r="I304" s="4" t="str">
        <f ca="1">IF(OR(INDEX($X$2:$X$1001,MATCH(ROWS($W$2:W304),$W$2:$W$1001,0),1)&gt;=100000,INDEX($AD$1005:$AU$1005,1,MATCH(COLUMNS($AD$1006:AK1006),$AD$1006:$AU$1006,0))&gt;=100000), " ",IF(INDEX($AD$2:$AU$1001,MATCH(ROWS($W$2:W304),$W$2:$W$1001,0),MATCH(COLUMNS($AD$1006:AK1006),$AD$1006:$AU$1006,0)), HYPERLINK("#",""), HYPERLINK(CONCATENATE("#metadata!", ADDRESS(INDEX($Y$2:$Y$1001,MATCH(ROWS($W$2:W304),$W$2:$W$1001,0),0), INDEX($AD$1004:$AU$1004,1,MATCH(COLUMNS($AD$1006:AK1006),$AD$1006:$AU$1006,0)))),"Fix")))</f>
        <v xml:space="preserve"> </v>
      </c>
      <c r="J304" s="4" t="str">
        <f ca="1">IF(OR(INDEX($X$2:$X$1001,MATCH(ROWS($W$2:W304),$W$2:$W$1001,0),1)&gt;=100000,INDEX($AD$1005:$AU$1005,1,MATCH(COLUMNS($AD$1006:AL1006),$AD$1006:$AU$1006,0))&gt;=100000), " ",IF(INDEX($AD$2:$AU$1001,MATCH(ROWS($W$2:W304),$W$2:$W$1001,0),MATCH(COLUMNS($AD$1006:AL1006),$AD$1006:$AU$1006,0)), HYPERLINK("#",""), HYPERLINK(CONCATENATE("#metadata!", ADDRESS(INDEX($Y$2:$Y$1001,MATCH(ROWS($W$2:W304),$W$2:$W$1001,0),0), INDEX($AD$1004:$AU$1004,1,MATCH(COLUMNS($AD$1006:AL1006),$AD$1006:$AU$1006,0)))),"Fix")))</f>
        <v xml:space="preserve"> </v>
      </c>
      <c r="K304" s="4" t="str">
        <f ca="1">IF(OR(INDEX($X$2:$X$1001,MATCH(ROWS($W$2:W304),$W$2:$W$1001,0),1)&gt;=100000,INDEX($AD$1005:$AU$1005,1,MATCH(COLUMNS($AD$1006:AM1006),$AD$1006:$AU$1006,0))&gt;=100000), " ",IF(INDEX($AD$2:$AU$1001,MATCH(ROWS($W$2:W304),$W$2:$W$1001,0),MATCH(COLUMNS($AD$1006:AM1006),$AD$1006:$AU$1006,0)), HYPERLINK("#",""), HYPERLINK(CONCATENATE("#metadata!", ADDRESS(INDEX($Y$2:$Y$1001,MATCH(ROWS($W$2:W304),$W$2:$W$1001,0),0), INDEX($AD$1004:$AU$1004,1,MATCH(COLUMNS($AD$1006:AM1006),$AD$1006:$AU$1006,0)))),"Fix")))</f>
        <v xml:space="preserve"> </v>
      </c>
      <c r="L304" s="4" t="str">
        <f ca="1">IF(OR(INDEX($X$2:$X$1001,MATCH(ROWS($W$2:W304),$W$2:$W$1001,0),1)&gt;=100000,INDEX($AD$1005:$AU$1005,1,MATCH(COLUMNS($AD$1006:AN1006),$AD$1006:$AU$1006,0))&gt;=100000), " ",IF(INDEX($AD$2:$AU$1001,MATCH(ROWS($W$2:W304),$W$2:$W$1001,0),MATCH(COLUMNS($AD$1006:AN1006),$AD$1006:$AU$1006,0)), HYPERLINK("#",""), HYPERLINK(CONCATENATE("#metadata!", ADDRESS(INDEX($Y$2:$Y$1001,MATCH(ROWS($W$2:W304),$W$2:$W$1001,0),0), INDEX($AD$1004:$AU$1004,1,MATCH(COLUMNS($AD$1006:AN1006),$AD$1006:$AU$1006,0)))),"Fix")))</f>
        <v xml:space="preserve"> </v>
      </c>
      <c r="M304" s="4" t="str">
        <f ca="1">IF(OR(INDEX($X$2:$X$1001,MATCH(ROWS($W$2:W304),$W$2:$W$1001,0),1)&gt;=100000,INDEX($AD$1005:$AU$1005,1,MATCH(COLUMNS($AD$1006:AO1006),$AD$1006:$AU$1006,0))&gt;=100000), " ",IF(INDEX($AD$2:$AU$1001,MATCH(ROWS($W$2:W304),$W$2:$W$1001,0),MATCH(COLUMNS($AD$1006:AO1006),$AD$1006:$AU$1006,0)), HYPERLINK("#",""), HYPERLINK(CONCATENATE("#metadata!", ADDRESS(INDEX($Y$2:$Y$1001,MATCH(ROWS($W$2:W304),$W$2:$W$1001,0),0), INDEX($AD$1004:$AU$1004,1,MATCH(COLUMNS($AD$1006:AO1006),$AD$1006:$AU$1006,0)))),"Fix")))</f>
        <v xml:space="preserve"> </v>
      </c>
      <c r="N304" s="4" t="str">
        <f ca="1">IF(OR(INDEX($X$2:$X$1001,MATCH(ROWS($W$2:W304),$W$2:$W$1001,0),1)&gt;=100000,INDEX($AD$1005:$AU$1005,1,MATCH(COLUMNS($AD$1006:AP1006),$AD$1006:$AU$1006,0))&gt;=100000), " ",IF(INDEX($AD$2:$AU$1001,MATCH(ROWS($W$2:W304),$W$2:$W$1001,0),MATCH(COLUMNS($AD$1006:AP1006),$AD$1006:$AU$1006,0)), HYPERLINK("#",""), HYPERLINK(CONCATENATE("#metadata!", ADDRESS(INDEX($Y$2:$Y$1001,MATCH(ROWS($W$2:W304),$W$2:$W$1001,0),0), INDEX($AD$1004:$AU$1004,1,MATCH(COLUMNS($AD$1006:AP1006),$AD$1006:$AU$1006,0)))),"Fix")))</f>
        <v xml:space="preserve"> </v>
      </c>
      <c r="O304" s="4" t="str">
        <f ca="1">IF(OR(INDEX($X$2:$X$1001,MATCH(ROWS($W$2:W304),$W$2:$W$1001,0),1)&gt;=100000,INDEX($AD$1005:$AU$1005,1,MATCH(COLUMNS($AD$1006:AQ1006),$AD$1006:$AU$1006,0))&gt;=100000), " ",IF(INDEX($AD$2:$AU$1001,MATCH(ROWS($W$2:W304),$W$2:$W$1001,0),MATCH(COLUMNS($AD$1006:AQ1006),$AD$1006:$AU$1006,0)), HYPERLINK("#",""), HYPERLINK(CONCATENATE("#metadata!", ADDRESS(INDEX($Y$2:$Y$1001,MATCH(ROWS($W$2:W304),$W$2:$W$1001,0),0), INDEX($AD$1004:$AU$1004,1,MATCH(COLUMNS($AD$1006:AQ1006),$AD$1006:$AU$1006,0)))),"Fix")))</f>
        <v xml:space="preserve"> </v>
      </c>
      <c r="P304" s="4" t="str">
        <f ca="1">IF(OR(INDEX($X$2:$X$1001,MATCH(ROWS($W$2:W304),$W$2:$W$1001,0),1)&gt;=100000,INDEX($AD$1005:$AU$1005,1,MATCH(COLUMNS($AD$1006:AR1006),$AD$1006:$AU$1006,0))&gt;=100000), " ",IF(INDEX($AD$2:$AU$1001,MATCH(ROWS($W$2:W304),$W$2:$W$1001,0),MATCH(COLUMNS($AD$1006:AR1006),$AD$1006:$AU$1006,0)), HYPERLINK("#",""), HYPERLINK(CONCATENATE("#metadata!", ADDRESS(INDEX($Y$2:$Y$1001,MATCH(ROWS($W$2:W304),$W$2:$W$1001,0),0), INDEX($AD$1004:$AU$1004,1,MATCH(COLUMNS($AD$1006:AR1006),$AD$1006:$AU$1006,0)))),"Fix")))</f>
        <v xml:space="preserve"> </v>
      </c>
      <c r="Q304" s="4" t="str">
        <f ca="1">IF(OR(INDEX($X$2:$X$1001,MATCH(ROWS($W$2:W304),$W$2:$W$1001,0),1)&gt;=100000,INDEX($AD$1005:$AU$1005,1,MATCH(COLUMNS($AD$1006:AS1006),$AD$1006:$AU$1006,0))&gt;=100000), " ",IF(INDEX($AD$2:$AU$1001,MATCH(ROWS($W$2:W304),$W$2:$W$1001,0),MATCH(COLUMNS($AD$1006:AS1006),$AD$1006:$AU$1006,0)), HYPERLINK("#",""), HYPERLINK(CONCATENATE("#metadata!", ADDRESS(INDEX($Y$2:$Y$1001,MATCH(ROWS($W$2:W304),$W$2:$W$1001,0),0), INDEX($AD$1004:$AU$1004,1,MATCH(COLUMNS($AD$1006:AS1006),$AD$1006:$AU$1006,0)))),"Fix")))</f>
        <v xml:space="preserve"> </v>
      </c>
      <c r="R304" s="4" t="str">
        <f ca="1">IF(OR(INDEX($X$2:$X$1001,MATCH(ROWS($W$2:W304),$W$2:$W$1001,0),1)&gt;=100000,INDEX($AD$1005:$AU$1005,1,MATCH(COLUMNS($AD$1006:AT1006),$AD$1006:$AU$1006,0))&gt;=100000), " ",IF(INDEX($AD$2:$AU$1001,MATCH(ROWS($W$2:W304),$W$2:$W$1001,0),MATCH(COLUMNS($AD$1006:AT1006),$AD$1006:$AU$1006,0)), HYPERLINK("#",""), HYPERLINK(CONCATENATE("#metadata!", ADDRESS(INDEX($Y$2:$Y$1001,MATCH(ROWS($W$2:W304),$W$2:$W$1001,0),0), INDEX($AD$1004:$AU$1004,1,MATCH(COLUMNS($AD$1006:AT1006),$AD$1006:$AU$1006,0)))),"Fix")))</f>
        <v xml:space="preserve"> </v>
      </c>
      <c r="S304" s="4" t="str">
        <f ca="1">IF(OR(INDEX($X$2:$X$1001,MATCH(ROWS($W$2:W304),$W$2:$W$1001,0),1)&gt;=100000,INDEX($AD$1005:$AU$1005,1,MATCH(COLUMNS($AD$1006:AU1006),$AD$1006:$AU$1006,0))&gt;=100000), " ",IF(INDEX($AD$2:$AU$1001,MATCH(ROWS($W$2:W304),$W$2:$W$1001,0),MATCH(COLUMNS($AD$1006:AU1006),$AD$1006:$AU$1006,0)), HYPERLINK("#",""), HYPERLINK(CONCATENATE("#metadata!", ADDRESS(INDEX($Y$2:$Y$1001,MATCH(ROWS($W$2:W304),$W$2:$W$1001,0),0), INDEX($AD$1004:$AU$1004,1,MATCH(COLUMNS($AD$1006:AU1006),$AD$1006:$AU$1006,0)))),"Fix")))</f>
        <v xml:space="preserve"> </v>
      </c>
      <c r="W304">
        <v>303</v>
      </c>
      <c r="X304">
        <v>100304</v>
      </c>
      <c r="Y304">
        <v>304</v>
      </c>
      <c r="Z304" t="b">
        <f t="shared" si="4"/>
        <v>1</v>
      </c>
      <c r="AA304" t="b">
        <f>COUNTBLANK(metadata!B304:S304)=COLUMNS(metadata!B304:S304)</f>
        <v>1</v>
      </c>
      <c r="AB304" t="str">
        <v/>
      </c>
      <c r="AD304" t="b">
        <f ca="1">AND(IF(metadata!B304="",FALSE,TRUE),COUNTIF(metadata!B:B, metadata!B304) = 1,NOT(ISERROR(SUMPRODUCT(SEARCH(MID(metadata!B304,ROW(INDIRECT("1:"&amp;LEN(metadata!B304))), 1),"0123456789abcdefghijklmnopqrstuvwxyzABCDEFGHIJKLMNOPQRSTUVWXYZ.")))))</f>
        <v>0</v>
      </c>
      <c r="AE304" t="b">
        <f>OR(AND(IF(metadata!C304="",FALSE,TRUE),OR(EXACT(metadata!C304,"not applicable"),EXACT(metadata!C304,"missing: not collected"),EXACT(metadata!C304,"missing: not provided"),EXACT(metadata!C304,"missing: restricted access"))),AND(IF(metadata!C304="",FALSE,ISNUMBER(VALUE(metadata!C304))),metadata!C304&gt;0))</f>
        <v>0</v>
      </c>
      <c r="AF304" t="b">
        <f>AND(IF(metadata!D304="",FALSE,TRUE),EXACT(metadata!D304,"missing: not provided"))</f>
        <v>0</v>
      </c>
      <c r="AG304" t="b">
        <f>AND(IF(metadata!E304="",FALSE,TRUE),EXACT(metadata!E304,"Host-associated"))</f>
        <v>0</v>
      </c>
      <c r="AH304" t="b">
        <f>AND(IF(metadata!F304="",FALSE,TRUE),OR(EXACT(metadata!F304,"Animal"),EXACT(metadata!F304,"Fungus"),EXACT(metadata!F304,"Plant")))</f>
        <v>0</v>
      </c>
      <c r="AI304" t="b">
        <f>AND(IF(metadata!G304="",FALSE,TRUE),OR(EXACT(metadata!G304,"Plant secretion"),EXACT(metadata!G304,"Plant rhizosphere"),EXACT(metadata!G304,"Plant surface"),EXACT(metadata!G304,"Plant corpus"),EXACT(metadata!G304,"Fungus surface"),EXACT(metadata!G304,"Fungus corpus"),EXACT(metadata!G304,"Animal surface"),EXACT(metadata!G304,"Animal proximal gut"),EXACT(metadata!G304,"Animal corpus"),EXACT(metadata!G304,"Animal distal gut"),EXACT(metadata!G304,"Animal secretion")))</f>
        <v>0</v>
      </c>
      <c r="AJ304" t="b">
        <f>OR(AND(IF(metadata!H304="",FALSE,TRUE),OR(EXACT(metadata!H304,"missing: not collected"),EXACT(metadata!H304,"missing: not provided"),EXACT(metadata!H304,"missing: restricted access"))),AND(IF(metadata!H304="",FALSE,TRUE),OR(EXACT(metadata!H304,"organism-associated habitat"),EXACT(metadata!H304,"plant-associated habitat"),EXACT(metadata!H304,"animal-associated habitat"),EXACT(metadata!H304,"insecta-associated habitat"),EXACT(metadata!H304,"mammalia-associated habitat"),EXACT(metadata!H304,"human-associated habitat"),EXACT(metadata!H304,"livestock-associated habitat"))))</f>
        <v>0</v>
      </c>
      <c r="AK304" t="b">
        <f>AND(IF(metadata!I304="",FALSE,TRUE),EXACT(metadata!I304,"host-associated"))</f>
        <v>0</v>
      </c>
      <c r="AL304" t="b">
        <f>OR(AND(IF(metadata!J304="",FALSE,TRUE),OR(EXACT(metadata!J304,"not applicable"),EXACT(metadata!J304,"missing: not collected"),EXACT(metadata!J304,"missing: not provided"),EXACT(metadata!J304,"missing: restricted access"))),AND(IF(metadata!J304="",FALSE,ISNUMBER(VALUE(metadata!J304))),metadata!J304&gt;0))</f>
        <v>0</v>
      </c>
      <c r="AM304" t="b">
        <f>AND(IF(metadata!K304="",FALSE,TRUE),EXACT(metadata!K304,"missing: not provided"))</f>
        <v>0</v>
      </c>
      <c r="AN304" t="b">
        <f>IF(metadata!L304="",FALSE,TRUE)</f>
        <v>0</v>
      </c>
      <c r="AO304" t="b">
        <f>IF(metadata!M304="",FALSE,TRUE)</f>
        <v>0</v>
      </c>
      <c r="AP304" t="b">
        <f>OR(AND(IF(metadata!N304="",FALSE,TRUE),OR(EXACT(metadata!N304,"not applicable"),EXACT(metadata!N304,"missing: not collected"),EXACT(metadata!N304,"missing: not provided"))),AND(IF(metadata!N304="",FALSE,IF(ISERROR(INT(metadata!N304)),FALSE,INT(metadata!N304)=metadata!N304)),metadata!N304&gt;0))</f>
        <v>0</v>
      </c>
      <c r="AQ304" t="b">
        <f>AND(IF(metadata!O304="",FALSE,TRUE),EXACT(metadata!O304,"Not applicable"))</f>
        <v>0</v>
      </c>
      <c r="AR304" t="b">
        <f>OR(AND(IF(metadata!P304="",FALSE,TRUE),OR(EXACT(metadata!P304,"not applicable"),EXACT(metadata!P304,"missing: not collected"),EXACT(metadata!P304,"missing: not provided"),EXACT(metadata!P304,"missing: restricted access"))),IF(metadata!P304="",FALSE,IF(ISERROR(INT(metadata!P304)),FALSE,INT(metadata!P304)=metadata!P304)))</f>
        <v>0</v>
      </c>
      <c r="AS304" t="b">
        <f>AND(IF(metadata!Q304="",FALSE,TRUE),EXACT(metadata!Q304,"Not applicable"))</f>
        <v>0</v>
      </c>
      <c r="AT304" t="b">
        <f>OR(AND(IF(metadata!R304="",FALSE,TRUE),OR(EXACT(metadata!R304,"not applicable"),EXACT(metadata!R304,"missing: not collected"),EXACT(metadata!R304,"missing: not provided"),EXACT(metadata!R304,"missing: restricted access"))),AND(IF(metadata!R304="",FALSE,ISNUMBER(VALUE(metadata!R304))),metadata!R304&gt;0))</f>
        <v>0</v>
      </c>
      <c r="AU304" t="b">
        <f>AND(IF(metadata!S304="",FALSE,TRUE),EXACT(metadata!S304,"missing: not provided"))</f>
        <v>0</v>
      </c>
    </row>
    <row r="305" spans="1:47" x14ac:dyDescent="0.2">
      <c r="A305" s="5" t="str">
        <f ca="1">IF(B305=" "," ",HYPERLINK(CONCATENATE("#metadata!",ADDRESS(INDEX($Y$2:$Y$1001,MATCH(ROWS($W$2:W305),$W$2:$W$1001,0),0),1)),INDEX($AB$2:$AB$1001,MATCH(ROWS($W$2:W305),$W$2:$W$1001,0),0)))</f>
        <v xml:space="preserve"> </v>
      </c>
      <c r="B305" s="4" t="str">
        <f ca="1">IF(OR(INDEX($X$2:$X$1001,MATCH(ROWS($W$2:W305),$W$2:$W$1001,0),1)&gt;=100000,INDEX($AD$1005:$AU$1005,1,MATCH(COLUMNS($AD$1006:AD1006),$AD$1006:$AU$1006,0))&gt;=100000), " ",IF(INDEX($AD$2:$AU$1001,MATCH(ROWS($W$2:W305),$W$2:$W$1001,0),MATCH(COLUMNS($AD$1006:AD1006),$AD$1006:$AU$1006,0)), HYPERLINK("#",""), HYPERLINK(CONCATENATE("#metadata!", ADDRESS(INDEX($Y$2:$Y$1001,MATCH(ROWS($W$2:W305),$W$2:$W$1001,0),0), INDEX($AD$1004:$AU$1004,1,MATCH(COLUMNS($AD$1006:AD1006),$AD$1006:$AU$1006,0)))),"Fix")))</f>
        <v xml:space="preserve"> </v>
      </c>
      <c r="C305" s="4" t="str">
        <f ca="1">IF(OR(INDEX($X$2:$X$1001,MATCH(ROWS($W$2:W305),$W$2:$W$1001,0),1)&gt;=100000,INDEX($AD$1005:$AU$1005,1,MATCH(COLUMNS($AD$1006:AE1006),$AD$1006:$AU$1006,0))&gt;=100000), " ",IF(INDEX($AD$2:$AU$1001,MATCH(ROWS($W$2:W305),$W$2:$W$1001,0),MATCH(COLUMNS($AD$1006:AE1006),$AD$1006:$AU$1006,0)), HYPERLINK("#",""), HYPERLINK(CONCATENATE("#metadata!", ADDRESS(INDEX($Y$2:$Y$1001,MATCH(ROWS($W$2:W305),$W$2:$W$1001,0),0), INDEX($AD$1004:$AU$1004,1,MATCH(COLUMNS($AD$1006:AE1006),$AD$1006:$AU$1006,0)))),"Fix")))</f>
        <v xml:space="preserve"> </v>
      </c>
      <c r="D305" s="4" t="str">
        <f ca="1">IF(OR(INDEX($X$2:$X$1001,MATCH(ROWS($W$2:W305),$W$2:$W$1001,0),1)&gt;=100000,INDEX($AD$1005:$AU$1005,1,MATCH(COLUMNS($AD$1006:AF1006),$AD$1006:$AU$1006,0))&gt;=100000), " ",IF(INDEX($AD$2:$AU$1001,MATCH(ROWS($W$2:W305),$W$2:$W$1001,0),MATCH(COLUMNS($AD$1006:AF1006),$AD$1006:$AU$1006,0)), HYPERLINK("#",""), HYPERLINK(CONCATENATE("#metadata!", ADDRESS(INDEX($Y$2:$Y$1001,MATCH(ROWS($W$2:W305),$W$2:$W$1001,0),0), INDEX($AD$1004:$AU$1004,1,MATCH(COLUMNS($AD$1006:AF1006),$AD$1006:$AU$1006,0)))),"Fix")))</f>
        <v xml:space="preserve"> </v>
      </c>
      <c r="E305" s="4" t="str">
        <f ca="1">IF(OR(INDEX($X$2:$X$1001,MATCH(ROWS($W$2:W305),$W$2:$W$1001,0),1)&gt;=100000,INDEX($AD$1005:$AU$1005,1,MATCH(COLUMNS($AD$1006:AG1006),$AD$1006:$AU$1006,0))&gt;=100000), " ",IF(INDEX($AD$2:$AU$1001,MATCH(ROWS($W$2:W305),$W$2:$W$1001,0),MATCH(COLUMNS($AD$1006:AG1006),$AD$1006:$AU$1006,0)), HYPERLINK("#",""), HYPERLINK(CONCATENATE("#metadata!", ADDRESS(INDEX($Y$2:$Y$1001,MATCH(ROWS($W$2:W305),$W$2:$W$1001,0),0), INDEX($AD$1004:$AU$1004,1,MATCH(COLUMNS($AD$1006:AG1006),$AD$1006:$AU$1006,0)))),"Fix")))</f>
        <v xml:space="preserve"> </v>
      </c>
      <c r="F305" s="4" t="str">
        <f ca="1">IF(OR(INDEX($X$2:$X$1001,MATCH(ROWS($W$2:W305),$W$2:$W$1001,0),1)&gt;=100000,INDEX($AD$1005:$AU$1005,1,MATCH(COLUMNS($AD$1006:AH1006),$AD$1006:$AU$1006,0))&gt;=100000), " ",IF(INDEX($AD$2:$AU$1001,MATCH(ROWS($W$2:W305),$W$2:$W$1001,0),MATCH(COLUMNS($AD$1006:AH1006),$AD$1006:$AU$1006,0)), HYPERLINK("#",""), HYPERLINK(CONCATENATE("#metadata!", ADDRESS(INDEX($Y$2:$Y$1001,MATCH(ROWS($W$2:W305),$W$2:$W$1001,0),0), INDEX($AD$1004:$AU$1004,1,MATCH(COLUMNS($AD$1006:AH1006),$AD$1006:$AU$1006,0)))),"Fix")))</f>
        <v xml:space="preserve"> </v>
      </c>
      <c r="G305" s="4" t="str">
        <f ca="1">IF(OR(INDEX($X$2:$X$1001,MATCH(ROWS($W$2:W305),$W$2:$W$1001,0),1)&gt;=100000,INDEX($AD$1005:$AU$1005,1,MATCH(COLUMNS($AD$1006:AI1006),$AD$1006:$AU$1006,0))&gt;=100000), " ",IF(INDEX($AD$2:$AU$1001,MATCH(ROWS($W$2:W305),$W$2:$W$1001,0),MATCH(COLUMNS($AD$1006:AI1006),$AD$1006:$AU$1006,0)), HYPERLINK("#",""), HYPERLINK(CONCATENATE("#metadata!", ADDRESS(INDEX($Y$2:$Y$1001,MATCH(ROWS($W$2:W305),$W$2:$W$1001,0),0), INDEX($AD$1004:$AU$1004,1,MATCH(COLUMNS($AD$1006:AI1006),$AD$1006:$AU$1006,0)))),"Fix")))</f>
        <v xml:space="preserve"> </v>
      </c>
      <c r="H305" s="4" t="str">
        <f ca="1">IF(OR(INDEX($X$2:$X$1001,MATCH(ROWS($W$2:W305),$W$2:$W$1001,0),1)&gt;=100000,INDEX($AD$1005:$AU$1005,1,MATCH(COLUMNS($AD$1006:AJ1006),$AD$1006:$AU$1006,0))&gt;=100000), " ",IF(INDEX($AD$2:$AU$1001,MATCH(ROWS($W$2:W305),$W$2:$W$1001,0),MATCH(COLUMNS($AD$1006:AJ1006),$AD$1006:$AU$1006,0)), HYPERLINK("#",""), HYPERLINK(CONCATENATE("#metadata!", ADDRESS(INDEX($Y$2:$Y$1001,MATCH(ROWS($W$2:W305),$W$2:$W$1001,0),0), INDEX($AD$1004:$AU$1004,1,MATCH(COLUMNS($AD$1006:AJ1006),$AD$1006:$AU$1006,0)))),"Fix")))</f>
        <v xml:space="preserve"> </v>
      </c>
      <c r="I305" s="4" t="str">
        <f ca="1">IF(OR(INDEX($X$2:$X$1001,MATCH(ROWS($W$2:W305),$W$2:$W$1001,0),1)&gt;=100000,INDEX($AD$1005:$AU$1005,1,MATCH(COLUMNS($AD$1006:AK1006),$AD$1006:$AU$1006,0))&gt;=100000), " ",IF(INDEX($AD$2:$AU$1001,MATCH(ROWS($W$2:W305),$W$2:$W$1001,0),MATCH(COLUMNS($AD$1006:AK1006),$AD$1006:$AU$1006,0)), HYPERLINK("#",""), HYPERLINK(CONCATENATE("#metadata!", ADDRESS(INDEX($Y$2:$Y$1001,MATCH(ROWS($W$2:W305),$W$2:$W$1001,0),0), INDEX($AD$1004:$AU$1004,1,MATCH(COLUMNS($AD$1006:AK1006),$AD$1006:$AU$1006,0)))),"Fix")))</f>
        <v xml:space="preserve"> </v>
      </c>
      <c r="J305" s="4" t="str">
        <f ca="1">IF(OR(INDEX($X$2:$X$1001,MATCH(ROWS($W$2:W305),$W$2:$W$1001,0),1)&gt;=100000,INDEX($AD$1005:$AU$1005,1,MATCH(COLUMNS($AD$1006:AL1006),$AD$1006:$AU$1006,0))&gt;=100000), " ",IF(INDEX($AD$2:$AU$1001,MATCH(ROWS($W$2:W305),$W$2:$W$1001,0),MATCH(COLUMNS($AD$1006:AL1006),$AD$1006:$AU$1006,0)), HYPERLINK("#",""), HYPERLINK(CONCATENATE("#metadata!", ADDRESS(INDEX($Y$2:$Y$1001,MATCH(ROWS($W$2:W305),$W$2:$W$1001,0),0), INDEX($AD$1004:$AU$1004,1,MATCH(COLUMNS($AD$1006:AL1006),$AD$1006:$AU$1006,0)))),"Fix")))</f>
        <v xml:space="preserve"> </v>
      </c>
      <c r="K305" s="4" t="str">
        <f ca="1">IF(OR(INDEX($X$2:$X$1001,MATCH(ROWS($W$2:W305),$W$2:$W$1001,0),1)&gt;=100000,INDEX($AD$1005:$AU$1005,1,MATCH(COLUMNS($AD$1006:AM1006),$AD$1006:$AU$1006,0))&gt;=100000), " ",IF(INDEX($AD$2:$AU$1001,MATCH(ROWS($W$2:W305),$W$2:$W$1001,0),MATCH(COLUMNS($AD$1006:AM1006),$AD$1006:$AU$1006,0)), HYPERLINK("#",""), HYPERLINK(CONCATENATE("#metadata!", ADDRESS(INDEX($Y$2:$Y$1001,MATCH(ROWS($W$2:W305),$W$2:$W$1001,0),0), INDEX($AD$1004:$AU$1004,1,MATCH(COLUMNS($AD$1006:AM1006),$AD$1006:$AU$1006,0)))),"Fix")))</f>
        <v xml:space="preserve"> </v>
      </c>
      <c r="L305" s="4" t="str">
        <f ca="1">IF(OR(INDEX($X$2:$X$1001,MATCH(ROWS($W$2:W305),$W$2:$W$1001,0),1)&gt;=100000,INDEX($AD$1005:$AU$1005,1,MATCH(COLUMNS($AD$1006:AN1006),$AD$1006:$AU$1006,0))&gt;=100000), " ",IF(INDEX($AD$2:$AU$1001,MATCH(ROWS($W$2:W305),$W$2:$W$1001,0),MATCH(COLUMNS($AD$1006:AN1006),$AD$1006:$AU$1006,0)), HYPERLINK("#",""), HYPERLINK(CONCATENATE("#metadata!", ADDRESS(INDEX($Y$2:$Y$1001,MATCH(ROWS($W$2:W305),$W$2:$W$1001,0),0), INDEX($AD$1004:$AU$1004,1,MATCH(COLUMNS($AD$1006:AN1006),$AD$1006:$AU$1006,0)))),"Fix")))</f>
        <v xml:space="preserve"> </v>
      </c>
      <c r="M305" s="4" t="str">
        <f ca="1">IF(OR(INDEX($X$2:$X$1001,MATCH(ROWS($W$2:W305),$W$2:$W$1001,0),1)&gt;=100000,INDEX($AD$1005:$AU$1005,1,MATCH(COLUMNS($AD$1006:AO1006),$AD$1006:$AU$1006,0))&gt;=100000), " ",IF(INDEX($AD$2:$AU$1001,MATCH(ROWS($W$2:W305),$W$2:$W$1001,0),MATCH(COLUMNS($AD$1006:AO1006),$AD$1006:$AU$1006,0)), HYPERLINK("#",""), HYPERLINK(CONCATENATE("#metadata!", ADDRESS(INDEX($Y$2:$Y$1001,MATCH(ROWS($W$2:W305),$W$2:$W$1001,0),0), INDEX($AD$1004:$AU$1004,1,MATCH(COLUMNS($AD$1006:AO1006),$AD$1006:$AU$1006,0)))),"Fix")))</f>
        <v xml:space="preserve"> </v>
      </c>
      <c r="N305" s="4" t="str">
        <f ca="1">IF(OR(INDEX($X$2:$X$1001,MATCH(ROWS($W$2:W305),$W$2:$W$1001,0),1)&gt;=100000,INDEX($AD$1005:$AU$1005,1,MATCH(COLUMNS($AD$1006:AP1006),$AD$1006:$AU$1006,0))&gt;=100000), " ",IF(INDEX($AD$2:$AU$1001,MATCH(ROWS($W$2:W305),$W$2:$W$1001,0),MATCH(COLUMNS($AD$1006:AP1006),$AD$1006:$AU$1006,0)), HYPERLINK("#",""), HYPERLINK(CONCATENATE("#metadata!", ADDRESS(INDEX($Y$2:$Y$1001,MATCH(ROWS($W$2:W305),$W$2:$W$1001,0),0), INDEX($AD$1004:$AU$1004,1,MATCH(COLUMNS($AD$1006:AP1006),$AD$1006:$AU$1006,0)))),"Fix")))</f>
        <v xml:space="preserve"> </v>
      </c>
      <c r="O305" s="4" t="str">
        <f ca="1">IF(OR(INDEX($X$2:$X$1001,MATCH(ROWS($W$2:W305),$W$2:$W$1001,0),1)&gt;=100000,INDEX($AD$1005:$AU$1005,1,MATCH(COLUMNS($AD$1006:AQ1006),$AD$1006:$AU$1006,0))&gt;=100000), " ",IF(INDEX($AD$2:$AU$1001,MATCH(ROWS($W$2:W305),$W$2:$W$1001,0),MATCH(COLUMNS($AD$1006:AQ1006),$AD$1006:$AU$1006,0)), HYPERLINK("#",""), HYPERLINK(CONCATENATE("#metadata!", ADDRESS(INDEX($Y$2:$Y$1001,MATCH(ROWS($W$2:W305),$W$2:$W$1001,0),0), INDEX($AD$1004:$AU$1004,1,MATCH(COLUMNS($AD$1006:AQ1006),$AD$1006:$AU$1006,0)))),"Fix")))</f>
        <v xml:space="preserve"> </v>
      </c>
      <c r="P305" s="4" t="str">
        <f ca="1">IF(OR(INDEX($X$2:$X$1001,MATCH(ROWS($W$2:W305),$W$2:$W$1001,0),1)&gt;=100000,INDEX($AD$1005:$AU$1005,1,MATCH(COLUMNS($AD$1006:AR1006),$AD$1006:$AU$1006,0))&gt;=100000), " ",IF(INDEX($AD$2:$AU$1001,MATCH(ROWS($W$2:W305),$W$2:$W$1001,0),MATCH(COLUMNS($AD$1006:AR1006),$AD$1006:$AU$1006,0)), HYPERLINK("#",""), HYPERLINK(CONCATENATE("#metadata!", ADDRESS(INDEX($Y$2:$Y$1001,MATCH(ROWS($W$2:W305),$W$2:$W$1001,0),0), INDEX($AD$1004:$AU$1004,1,MATCH(COLUMNS($AD$1006:AR1006),$AD$1006:$AU$1006,0)))),"Fix")))</f>
        <v xml:space="preserve"> </v>
      </c>
      <c r="Q305" s="4" t="str">
        <f ca="1">IF(OR(INDEX($X$2:$X$1001,MATCH(ROWS($W$2:W305),$W$2:$W$1001,0),1)&gt;=100000,INDEX($AD$1005:$AU$1005,1,MATCH(COLUMNS($AD$1006:AS1006),$AD$1006:$AU$1006,0))&gt;=100000), " ",IF(INDEX($AD$2:$AU$1001,MATCH(ROWS($W$2:W305),$W$2:$W$1001,0),MATCH(COLUMNS($AD$1006:AS1006),$AD$1006:$AU$1006,0)), HYPERLINK("#",""), HYPERLINK(CONCATENATE("#metadata!", ADDRESS(INDEX($Y$2:$Y$1001,MATCH(ROWS($W$2:W305),$W$2:$W$1001,0),0), INDEX($AD$1004:$AU$1004,1,MATCH(COLUMNS($AD$1006:AS1006),$AD$1006:$AU$1006,0)))),"Fix")))</f>
        <v xml:space="preserve"> </v>
      </c>
      <c r="R305" s="4" t="str">
        <f ca="1">IF(OR(INDEX($X$2:$X$1001,MATCH(ROWS($W$2:W305),$W$2:$W$1001,0),1)&gt;=100000,INDEX($AD$1005:$AU$1005,1,MATCH(COLUMNS($AD$1006:AT1006),$AD$1006:$AU$1006,0))&gt;=100000), " ",IF(INDEX($AD$2:$AU$1001,MATCH(ROWS($W$2:W305),$W$2:$W$1001,0),MATCH(COLUMNS($AD$1006:AT1006),$AD$1006:$AU$1006,0)), HYPERLINK("#",""), HYPERLINK(CONCATENATE("#metadata!", ADDRESS(INDEX($Y$2:$Y$1001,MATCH(ROWS($W$2:W305),$W$2:$W$1001,0),0), INDEX($AD$1004:$AU$1004,1,MATCH(COLUMNS($AD$1006:AT1006),$AD$1006:$AU$1006,0)))),"Fix")))</f>
        <v xml:space="preserve"> </v>
      </c>
      <c r="S305" s="4" t="str">
        <f ca="1">IF(OR(INDEX($X$2:$X$1001,MATCH(ROWS($W$2:W305),$W$2:$W$1001,0),1)&gt;=100000,INDEX($AD$1005:$AU$1005,1,MATCH(COLUMNS($AD$1006:AU1006),$AD$1006:$AU$1006,0))&gt;=100000), " ",IF(INDEX($AD$2:$AU$1001,MATCH(ROWS($W$2:W305),$W$2:$W$1001,0),MATCH(COLUMNS($AD$1006:AU1006),$AD$1006:$AU$1006,0)), HYPERLINK("#",""), HYPERLINK(CONCATENATE("#metadata!", ADDRESS(INDEX($Y$2:$Y$1001,MATCH(ROWS($W$2:W305),$W$2:$W$1001,0),0), INDEX($AD$1004:$AU$1004,1,MATCH(COLUMNS($AD$1006:AU1006),$AD$1006:$AU$1006,0)))),"Fix")))</f>
        <v xml:space="preserve"> </v>
      </c>
      <c r="W305">
        <v>304</v>
      </c>
      <c r="X305">
        <v>100305</v>
      </c>
      <c r="Y305">
        <v>305</v>
      </c>
      <c r="Z305" t="b">
        <f t="shared" si="4"/>
        <v>1</v>
      </c>
      <c r="AA305" t="b">
        <f>COUNTBLANK(metadata!B305:S305)=COLUMNS(metadata!B305:S305)</f>
        <v>1</v>
      </c>
      <c r="AB305" t="str">
        <v/>
      </c>
      <c r="AD305" t="b">
        <f ca="1">AND(IF(metadata!B305="",FALSE,TRUE),COUNTIF(metadata!B:B, metadata!B305) = 1,NOT(ISERROR(SUMPRODUCT(SEARCH(MID(metadata!B305,ROW(INDIRECT("1:"&amp;LEN(metadata!B305))), 1),"0123456789abcdefghijklmnopqrstuvwxyzABCDEFGHIJKLMNOPQRSTUVWXYZ.")))))</f>
        <v>0</v>
      </c>
      <c r="AE305" t="b">
        <f>OR(AND(IF(metadata!C305="",FALSE,TRUE),OR(EXACT(metadata!C305,"not applicable"),EXACT(metadata!C305,"missing: not collected"),EXACT(metadata!C305,"missing: not provided"),EXACT(metadata!C305,"missing: restricted access"))),AND(IF(metadata!C305="",FALSE,ISNUMBER(VALUE(metadata!C305))),metadata!C305&gt;0))</f>
        <v>0</v>
      </c>
      <c r="AF305" t="b">
        <f>AND(IF(metadata!D305="",FALSE,TRUE),EXACT(metadata!D305,"missing: not provided"))</f>
        <v>0</v>
      </c>
      <c r="AG305" t="b">
        <f>AND(IF(metadata!E305="",FALSE,TRUE),EXACT(metadata!E305,"Host-associated"))</f>
        <v>0</v>
      </c>
      <c r="AH305" t="b">
        <f>AND(IF(metadata!F305="",FALSE,TRUE),OR(EXACT(metadata!F305,"Animal"),EXACT(metadata!F305,"Fungus"),EXACT(metadata!F305,"Plant")))</f>
        <v>0</v>
      </c>
      <c r="AI305" t="b">
        <f>AND(IF(metadata!G305="",FALSE,TRUE),OR(EXACT(metadata!G305,"Plant secretion"),EXACT(metadata!G305,"Plant rhizosphere"),EXACT(metadata!G305,"Plant surface"),EXACT(metadata!G305,"Plant corpus"),EXACT(metadata!G305,"Fungus surface"),EXACT(metadata!G305,"Fungus corpus"),EXACT(metadata!G305,"Animal surface"),EXACT(metadata!G305,"Animal proximal gut"),EXACT(metadata!G305,"Animal corpus"),EXACT(metadata!G305,"Animal distal gut"),EXACT(metadata!G305,"Animal secretion")))</f>
        <v>0</v>
      </c>
      <c r="AJ305" t="b">
        <f>OR(AND(IF(metadata!H305="",FALSE,TRUE),OR(EXACT(metadata!H305,"missing: not collected"),EXACT(metadata!H305,"missing: not provided"),EXACT(metadata!H305,"missing: restricted access"))),AND(IF(metadata!H305="",FALSE,TRUE),OR(EXACT(metadata!H305,"organism-associated habitat"),EXACT(metadata!H305,"plant-associated habitat"),EXACT(metadata!H305,"animal-associated habitat"),EXACT(metadata!H305,"insecta-associated habitat"),EXACT(metadata!H305,"mammalia-associated habitat"),EXACT(metadata!H305,"human-associated habitat"),EXACT(metadata!H305,"livestock-associated habitat"))))</f>
        <v>0</v>
      </c>
      <c r="AK305" t="b">
        <f>AND(IF(metadata!I305="",FALSE,TRUE),EXACT(metadata!I305,"host-associated"))</f>
        <v>0</v>
      </c>
      <c r="AL305" t="b">
        <f>OR(AND(IF(metadata!J305="",FALSE,TRUE),OR(EXACT(metadata!J305,"not applicable"),EXACT(metadata!J305,"missing: not collected"),EXACT(metadata!J305,"missing: not provided"),EXACT(metadata!J305,"missing: restricted access"))),AND(IF(metadata!J305="",FALSE,ISNUMBER(VALUE(metadata!J305))),metadata!J305&gt;0))</f>
        <v>0</v>
      </c>
      <c r="AM305" t="b">
        <f>AND(IF(metadata!K305="",FALSE,TRUE),EXACT(metadata!K305,"missing: not provided"))</f>
        <v>0</v>
      </c>
      <c r="AN305" t="b">
        <f>IF(metadata!L305="",FALSE,TRUE)</f>
        <v>0</v>
      </c>
      <c r="AO305" t="b">
        <f>IF(metadata!M305="",FALSE,TRUE)</f>
        <v>0</v>
      </c>
      <c r="AP305" t="b">
        <f>OR(AND(IF(metadata!N305="",FALSE,TRUE),OR(EXACT(metadata!N305,"not applicable"),EXACT(metadata!N305,"missing: not collected"),EXACT(metadata!N305,"missing: not provided"))),AND(IF(metadata!N305="",FALSE,IF(ISERROR(INT(metadata!N305)),FALSE,INT(metadata!N305)=metadata!N305)),metadata!N305&gt;0))</f>
        <v>0</v>
      </c>
      <c r="AQ305" t="b">
        <f>AND(IF(metadata!O305="",FALSE,TRUE),EXACT(metadata!O305,"Not applicable"))</f>
        <v>0</v>
      </c>
      <c r="AR305" t="b">
        <f>OR(AND(IF(metadata!P305="",FALSE,TRUE),OR(EXACT(metadata!P305,"not applicable"),EXACT(metadata!P305,"missing: not collected"),EXACT(metadata!P305,"missing: not provided"),EXACT(metadata!P305,"missing: restricted access"))),IF(metadata!P305="",FALSE,IF(ISERROR(INT(metadata!P305)),FALSE,INT(metadata!P305)=metadata!P305)))</f>
        <v>0</v>
      </c>
      <c r="AS305" t="b">
        <f>AND(IF(metadata!Q305="",FALSE,TRUE),EXACT(metadata!Q305,"Not applicable"))</f>
        <v>0</v>
      </c>
      <c r="AT305" t="b">
        <f>OR(AND(IF(metadata!R305="",FALSE,TRUE),OR(EXACT(metadata!R305,"not applicable"),EXACT(metadata!R305,"missing: not collected"),EXACT(metadata!R305,"missing: not provided"),EXACT(metadata!R305,"missing: restricted access"))),AND(IF(metadata!R305="",FALSE,ISNUMBER(VALUE(metadata!R305))),metadata!R305&gt;0))</f>
        <v>0</v>
      </c>
      <c r="AU305" t="b">
        <f>AND(IF(metadata!S305="",FALSE,TRUE),EXACT(metadata!S305,"missing: not provided"))</f>
        <v>0</v>
      </c>
    </row>
    <row r="306" spans="1:47" x14ac:dyDescent="0.2">
      <c r="A306" s="5" t="str">
        <f ca="1">IF(B306=" "," ",HYPERLINK(CONCATENATE("#metadata!",ADDRESS(INDEX($Y$2:$Y$1001,MATCH(ROWS($W$2:W306),$W$2:$W$1001,0),0),1)),INDEX($AB$2:$AB$1001,MATCH(ROWS($W$2:W306),$W$2:$W$1001,0),0)))</f>
        <v xml:space="preserve"> </v>
      </c>
      <c r="B306" s="4" t="str">
        <f ca="1">IF(OR(INDEX($X$2:$X$1001,MATCH(ROWS($W$2:W306),$W$2:$W$1001,0),1)&gt;=100000,INDEX($AD$1005:$AU$1005,1,MATCH(COLUMNS($AD$1006:AD1006),$AD$1006:$AU$1006,0))&gt;=100000), " ",IF(INDEX($AD$2:$AU$1001,MATCH(ROWS($W$2:W306),$W$2:$W$1001,0),MATCH(COLUMNS($AD$1006:AD1006),$AD$1006:$AU$1006,0)), HYPERLINK("#",""), HYPERLINK(CONCATENATE("#metadata!", ADDRESS(INDEX($Y$2:$Y$1001,MATCH(ROWS($W$2:W306),$W$2:$W$1001,0),0), INDEX($AD$1004:$AU$1004,1,MATCH(COLUMNS($AD$1006:AD1006),$AD$1006:$AU$1006,0)))),"Fix")))</f>
        <v xml:space="preserve"> </v>
      </c>
      <c r="C306" s="4" t="str">
        <f ca="1">IF(OR(INDEX($X$2:$X$1001,MATCH(ROWS($W$2:W306),$W$2:$W$1001,0),1)&gt;=100000,INDEX($AD$1005:$AU$1005,1,MATCH(COLUMNS($AD$1006:AE1006),$AD$1006:$AU$1006,0))&gt;=100000), " ",IF(INDEX($AD$2:$AU$1001,MATCH(ROWS($W$2:W306),$W$2:$W$1001,0),MATCH(COLUMNS($AD$1006:AE1006),$AD$1006:$AU$1006,0)), HYPERLINK("#",""), HYPERLINK(CONCATENATE("#metadata!", ADDRESS(INDEX($Y$2:$Y$1001,MATCH(ROWS($W$2:W306),$W$2:$W$1001,0),0), INDEX($AD$1004:$AU$1004,1,MATCH(COLUMNS($AD$1006:AE1006),$AD$1006:$AU$1006,0)))),"Fix")))</f>
        <v xml:space="preserve"> </v>
      </c>
      <c r="D306" s="4" t="str">
        <f ca="1">IF(OR(INDEX($X$2:$X$1001,MATCH(ROWS($W$2:W306),$W$2:$W$1001,0),1)&gt;=100000,INDEX($AD$1005:$AU$1005,1,MATCH(COLUMNS($AD$1006:AF1006),$AD$1006:$AU$1006,0))&gt;=100000), " ",IF(INDEX($AD$2:$AU$1001,MATCH(ROWS($W$2:W306),$W$2:$W$1001,0),MATCH(COLUMNS($AD$1006:AF1006),$AD$1006:$AU$1006,0)), HYPERLINK("#",""), HYPERLINK(CONCATENATE("#metadata!", ADDRESS(INDEX($Y$2:$Y$1001,MATCH(ROWS($W$2:W306),$W$2:$W$1001,0),0), INDEX($AD$1004:$AU$1004,1,MATCH(COLUMNS($AD$1006:AF1006),$AD$1006:$AU$1006,0)))),"Fix")))</f>
        <v xml:space="preserve"> </v>
      </c>
      <c r="E306" s="4" t="str">
        <f ca="1">IF(OR(INDEX($X$2:$X$1001,MATCH(ROWS($W$2:W306),$W$2:$W$1001,0),1)&gt;=100000,INDEX($AD$1005:$AU$1005,1,MATCH(COLUMNS($AD$1006:AG1006),$AD$1006:$AU$1006,0))&gt;=100000), " ",IF(INDEX($AD$2:$AU$1001,MATCH(ROWS($W$2:W306),$W$2:$W$1001,0),MATCH(COLUMNS($AD$1006:AG1006),$AD$1006:$AU$1006,0)), HYPERLINK("#",""), HYPERLINK(CONCATENATE("#metadata!", ADDRESS(INDEX($Y$2:$Y$1001,MATCH(ROWS($W$2:W306),$W$2:$W$1001,0),0), INDEX($AD$1004:$AU$1004,1,MATCH(COLUMNS($AD$1006:AG1006),$AD$1006:$AU$1006,0)))),"Fix")))</f>
        <v xml:space="preserve"> </v>
      </c>
      <c r="F306" s="4" t="str">
        <f ca="1">IF(OR(INDEX($X$2:$X$1001,MATCH(ROWS($W$2:W306),$W$2:$W$1001,0),1)&gt;=100000,INDEX($AD$1005:$AU$1005,1,MATCH(COLUMNS($AD$1006:AH1006),$AD$1006:$AU$1006,0))&gt;=100000), " ",IF(INDEX($AD$2:$AU$1001,MATCH(ROWS($W$2:W306),$W$2:$W$1001,0),MATCH(COLUMNS($AD$1006:AH1006),$AD$1006:$AU$1006,0)), HYPERLINK("#",""), HYPERLINK(CONCATENATE("#metadata!", ADDRESS(INDEX($Y$2:$Y$1001,MATCH(ROWS($W$2:W306),$W$2:$W$1001,0),0), INDEX($AD$1004:$AU$1004,1,MATCH(COLUMNS($AD$1006:AH1006),$AD$1006:$AU$1006,0)))),"Fix")))</f>
        <v xml:space="preserve"> </v>
      </c>
      <c r="G306" s="4" t="str">
        <f ca="1">IF(OR(INDEX($X$2:$X$1001,MATCH(ROWS($W$2:W306),$W$2:$W$1001,0),1)&gt;=100000,INDEX($AD$1005:$AU$1005,1,MATCH(COLUMNS($AD$1006:AI1006),$AD$1006:$AU$1006,0))&gt;=100000), " ",IF(INDEX($AD$2:$AU$1001,MATCH(ROWS($W$2:W306),$W$2:$W$1001,0),MATCH(COLUMNS($AD$1006:AI1006),$AD$1006:$AU$1006,0)), HYPERLINK("#",""), HYPERLINK(CONCATENATE("#metadata!", ADDRESS(INDEX($Y$2:$Y$1001,MATCH(ROWS($W$2:W306),$W$2:$W$1001,0),0), INDEX($AD$1004:$AU$1004,1,MATCH(COLUMNS($AD$1006:AI1006),$AD$1006:$AU$1006,0)))),"Fix")))</f>
        <v xml:space="preserve"> </v>
      </c>
      <c r="H306" s="4" t="str">
        <f ca="1">IF(OR(INDEX($X$2:$X$1001,MATCH(ROWS($W$2:W306),$W$2:$W$1001,0),1)&gt;=100000,INDEX($AD$1005:$AU$1005,1,MATCH(COLUMNS($AD$1006:AJ1006),$AD$1006:$AU$1006,0))&gt;=100000), " ",IF(INDEX($AD$2:$AU$1001,MATCH(ROWS($W$2:W306),$W$2:$W$1001,0),MATCH(COLUMNS($AD$1006:AJ1006),$AD$1006:$AU$1006,0)), HYPERLINK("#",""), HYPERLINK(CONCATENATE("#metadata!", ADDRESS(INDEX($Y$2:$Y$1001,MATCH(ROWS($W$2:W306),$W$2:$W$1001,0),0), INDEX($AD$1004:$AU$1004,1,MATCH(COLUMNS($AD$1006:AJ1006),$AD$1006:$AU$1006,0)))),"Fix")))</f>
        <v xml:space="preserve"> </v>
      </c>
      <c r="I306" s="4" t="str">
        <f ca="1">IF(OR(INDEX($X$2:$X$1001,MATCH(ROWS($W$2:W306),$W$2:$W$1001,0),1)&gt;=100000,INDEX($AD$1005:$AU$1005,1,MATCH(COLUMNS($AD$1006:AK1006),$AD$1006:$AU$1006,0))&gt;=100000), " ",IF(INDEX($AD$2:$AU$1001,MATCH(ROWS($W$2:W306),$W$2:$W$1001,0),MATCH(COLUMNS($AD$1006:AK1006),$AD$1006:$AU$1006,0)), HYPERLINK("#",""), HYPERLINK(CONCATENATE("#metadata!", ADDRESS(INDEX($Y$2:$Y$1001,MATCH(ROWS($W$2:W306),$W$2:$W$1001,0),0), INDEX($AD$1004:$AU$1004,1,MATCH(COLUMNS($AD$1006:AK1006),$AD$1006:$AU$1006,0)))),"Fix")))</f>
        <v xml:space="preserve"> </v>
      </c>
      <c r="J306" s="4" t="str">
        <f ca="1">IF(OR(INDEX($X$2:$X$1001,MATCH(ROWS($W$2:W306),$W$2:$W$1001,0),1)&gt;=100000,INDEX($AD$1005:$AU$1005,1,MATCH(COLUMNS($AD$1006:AL1006),$AD$1006:$AU$1006,0))&gt;=100000), " ",IF(INDEX($AD$2:$AU$1001,MATCH(ROWS($W$2:W306),$W$2:$W$1001,0),MATCH(COLUMNS($AD$1006:AL1006),$AD$1006:$AU$1006,0)), HYPERLINK("#",""), HYPERLINK(CONCATENATE("#metadata!", ADDRESS(INDEX($Y$2:$Y$1001,MATCH(ROWS($W$2:W306),$W$2:$W$1001,0),0), INDEX($AD$1004:$AU$1004,1,MATCH(COLUMNS($AD$1006:AL1006),$AD$1006:$AU$1006,0)))),"Fix")))</f>
        <v xml:space="preserve"> </v>
      </c>
      <c r="K306" s="4" t="str">
        <f ca="1">IF(OR(INDEX($X$2:$X$1001,MATCH(ROWS($W$2:W306),$W$2:$W$1001,0),1)&gt;=100000,INDEX($AD$1005:$AU$1005,1,MATCH(COLUMNS($AD$1006:AM1006),$AD$1006:$AU$1006,0))&gt;=100000), " ",IF(INDEX($AD$2:$AU$1001,MATCH(ROWS($W$2:W306),$W$2:$W$1001,0),MATCH(COLUMNS($AD$1006:AM1006),$AD$1006:$AU$1006,0)), HYPERLINK("#",""), HYPERLINK(CONCATENATE("#metadata!", ADDRESS(INDEX($Y$2:$Y$1001,MATCH(ROWS($W$2:W306),$W$2:$W$1001,0),0), INDEX($AD$1004:$AU$1004,1,MATCH(COLUMNS($AD$1006:AM1006),$AD$1006:$AU$1006,0)))),"Fix")))</f>
        <v xml:space="preserve"> </v>
      </c>
      <c r="L306" s="4" t="str">
        <f ca="1">IF(OR(INDEX($X$2:$X$1001,MATCH(ROWS($W$2:W306),$W$2:$W$1001,0),1)&gt;=100000,INDEX($AD$1005:$AU$1005,1,MATCH(COLUMNS($AD$1006:AN1006),$AD$1006:$AU$1006,0))&gt;=100000), " ",IF(INDEX($AD$2:$AU$1001,MATCH(ROWS($W$2:W306),$W$2:$W$1001,0),MATCH(COLUMNS($AD$1006:AN1006),$AD$1006:$AU$1006,0)), HYPERLINK("#",""), HYPERLINK(CONCATENATE("#metadata!", ADDRESS(INDEX($Y$2:$Y$1001,MATCH(ROWS($W$2:W306),$W$2:$W$1001,0),0), INDEX($AD$1004:$AU$1004,1,MATCH(COLUMNS($AD$1006:AN1006),$AD$1006:$AU$1006,0)))),"Fix")))</f>
        <v xml:space="preserve"> </v>
      </c>
      <c r="M306" s="4" t="str">
        <f ca="1">IF(OR(INDEX($X$2:$X$1001,MATCH(ROWS($W$2:W306),$W$2:$W$1001,0),1)&gt;=100000,INDEX($AD$1005:$AU$1005,1,MATCH(COLUMNS($AD$1006:AO1006),$AD$1006:$AU$1006,0))&gt;=100000), " ",IF(INDEX($AD$2:$AU$1001,MATCH(ROWS($W$2:W306),$W$2:$W$1001,0),MATCH(COLUMNS($AD$1006:AO1006),$AD$1006:$AU$1006,0)), HYPERLINK("#",""), HYPERLINK(CONCATENATE("#metadata!", ADDRESS(INDEX($Y$2:$Y$1001,MATCH(ROWS($W$2:W306),$W$2:$W$1001,0),0), INDEX($AD$1004:$AU$1004,1,MATCH(COLUMNS($AD$1006:AO1006),$AD$1006:$AU$1006,0)))),"Fix")))</f>
        <v xml:space="preserve"> </v>
      </c>
      <c r="N306" s="4" t="str">
        <f ca="1">IF(OR(INDEX($X$2:$X$1001,MATCH(ROWS($W$2:W306),$W$2:$W$1001,0),1)&gt;=100000,INDEX($AD$1005:$AU$1005,1,MATCH(COLUMNS($AD$1006:AP1006),$AD$1006:$AU$1006,0))&gt;=100000), " ",IF(INDEX($AD$2:$AU$1001,MATCH(ROWS($W$2:W306),$W$2:$W$1001,0),MATCH(COLUMNS($AD$1006:AP1006),$AD$1006:$AU$1006,0)), HYPERLINK("#",""), HYPERLINK(CONCATENATE("#metadata!", ADDRESS(INDEX($Y$2:$Y$1001,MATCH(ROWS($W$2:W306),$W$2:$W$1001,0),0), INDEX($AD$1004:$AU$1004,1,MATCH(COLUMNS($AD$1006:AP1006),$AD$1006:$AU$1006,0)))),"Fix")))</f>
        <v xml:space="preserve"> </v>
      </c>
      <c r="O306" s="4" t="str">
        <f ca="1">IF(OR(INDEX($X$2:$X$1001,MATCH(ROWS($W$2:W306),$W$2:$W$1001,0),1)&gt;=100000,INDEX($AD$1005:$AU$1005,1,MATCH(COLUMNS($AD$1006:AQ1006),$AD$1006:$AU$1006,0))&gt;=100000), " ",IF(INDEX($AD$2:$AU$1001,MATCH(ROWS($W$2:W306),$W$2:$W$1001,0),MATCH(COLUMNS($AD$1006:AQ1006),$AD$1006:$AU$1006,0)), HYPERLINK("#",""), HYPERLINK(CONCATENATE("#metadata!", ADDRESS(INDEX($Y$2:$Y$1001,MATCH(ROWS($W$2:W306),$W$2:$W$1001,0),0), INDEX($AD$1004:$AU$1004,1,MATCH(COLUMNS($AD$1006:AQ1006),$AD$1006:$AU$1006,0)))),"Fix")))</f>
        <v xml:space="preserve"> </v>
      </c>
      <c r="P306" s="4" t="str">
        <f ca="1">IF(OR(INDEX($X$2:$X$1001,MATCH(ROWS($W$2:W306),$W$2:$W$1001,0),1)&gt;=100000,INDEX($AD$1005:$AU$1005,1,MATCH(COLUMNS($AD$1006:AR1006),$AD$1006:$AU$1006,0))&gt;=100000), " ",IF(INDEX($AD$2:$AU$1001,MATCH(ROWS($W$2:W306),$W$2:$W$1001,0),MATCH(COLUMNS($AD$1006:AR1006),$AD$1006:$AU$1006,0)), HYPERLINK("#",""), HYPERLINK(CONCATENATE("#metadata!", ADDRESS(INDEX($Y$2:$Y$1001,MATCH(ROWS($W$2:W306),$W$2:$W$1001,0),0), INDEX($AD$1004:$AU$1004,1,MATCH(COLUMNS($AD$1006:AR1006),$AD$1006:$AU$1006,0)))),"Fix")))</f>
        <v xml:space="preserve"> </v>
      </c>
      <c r="Q306" s="4" t="str">
        <f ca="1">IF(OR(INDEX($X$2:$X$1001,MATCH(ROWS($W$2:W306),$W$2:$W$1001,0),1)&gt;=100000,INDEX($AD$1005:$AU$1005,1,MATCH(COLUMNS($AD$1006:AS1006),$AD$1006:$AU$1006,0))&gt;=100000), " ",IF(INDEX($AD$2:$AU$1001,MATCH(ROWS($W$2:W306),$W$2:$W$1001,0),MATCH(COLUMNS($AD$1006:AS1006),$AD$1006:$AU$1006,0)), HYPERLINK("#",""), HYPERLINK(CONCATENATE("#metadata!", ADDRESS(INDEX($Y$2:$Y$1001,MATCH(ROWS($W$2:W306),$W$2:$W$1001,0),0), INDEX($AD$1004:$AU$1004,1,MATCH(COLUMNS($AD$1006:AS1006),$AD$1006:$AU$1006,0)))),"Fix")))</f>
        <v xml:space="preserve"> </v>
      </c>
      <c r="R306" s="4" t="str">
        <f ca="1">IF(OR(INDEX($X$2:$X$1001,MATCH(ROWS($W$2:W306),$W$2:$W$1001,0),1)&gt;=100000,INDEX($AD$1005:$AU$1005,1,MATCH(COLUMNS($AD$1006:AT1006),$AD$1006:$AU$1006,0))&gt;=100000), " ",IF(INDEX($AD$2:$AU$1001,MATCH(ROWS($W$2:W306),$W$2:$W$1001,0),MATCH(COLUMNS($AD$1006:AT1006),$AD$1006:$AU$1006,0)), HYPERLINK("#",""), HYPERLINK(CONCATENATE("#metadata!", ADDRESS(INDEX($Y$2:$Y$1001,MATCH(ROWS($W$2:W306),$W$2:$W$1001,0),0), INDEX($AD$1004:$AU$1004,1,MATCH(COLUMNS($AD$1006:AT1006),$AD$1006:$AU$1006,0)))),"Fix")))</f>
        <v xml:space="preserve"> </v>
      </c>
      <c r="S306" s="4" t="str">
        <f ca="1">IF(OR(INDEX($X$2:$X$1001,MATCH(ROWS($W$2:W306),$W$2:$W$1001,0),1)&gt;=100000,INDEX($AD$1005:$AU$1005,1,MATCH(COLUMNS($AD$1006:AU1006),$AD$1006:$AU$1006,0))&gt;=100000), " ",IF(INDEX($AD$2:$AU$1001,MATCH(ROWS($W$2:W306),$W$2:$W$1001,0),MATCH(COLUMNS($AD$1006:AU1006),$AD$1006:$AU$1006,0)), HYPERLINK("#",""), HYPERLINK(CONCATENATE("#metadata!", ADDRESS(INDEX($Y$2:$Y$1001,MATCH(ROWS($W$2:W306),$W$2:$W$1001,0),0), INDEX($AD$1004:$AU$1004,1,MATCH(COLUMNS($AD$1006:AU1006),$AD$1006:$AU$1006,0)))),"Fix")))</f>
        <v xml:space="preserve"> </v>
      </c>
      <c r="W306">
        <v>305</v>
      </c>
      <c r="X306">
        <v>100306</v>
      </c>
      <c r="Y306">
        <v>306</v>
      </c>
      <c r="Z306" t="b">
        <f t="shared" si="4"/>
        <v>1</v>
      </c>
      <c r="AA306" t="b">
        <f>COUNTBLANK(metadata!B306:S306)=COLUMNS(metadata!B306:S306)</f>
        <v>1</v>
      </c>
      <c r="AB306" t="str">
        <v/>
      </c>
      <c r="AD306" t="b">
        <f ca="1">AND(IF(metadata!B306="",FALSE,TRUE),COUNTIF(metadata!B:B, metadata!B306) = 1,NOT(ISERROR(SUMPRODUCT(SEARCH(MID(metadata!B306,ROW(INDIRECT("1:"&amp;LEN(metadata!B306))), 1),"0123456789abcdefghijklmnopqrstuvwxyzABCDEFGHIJKLMNOPQRSTUVWXYZ.")))))</f>
        <v>0</v>
      </c>
      <c r="AE306" t="b">
        <f>OR(AND(IF(metadata!C306="",FALSE,TRUE),OR(EXACT(metadata!C306,"not applicable"),EXACT(metadata!C306,"missing: not collected"),EXACT(metadata!C306,"missing: not provided"),EXACT(metadata!C306,"missing: restricted access"))),AND(IF(metadata!C306="",FALSE,ISNUMBER(VALUE(metadata!C306))),metadata!C306&gt;0))</f>
        <v>0</v>
      </c>
      <c r="AF306" t="b">
        <f>AND(IF(metadata!D306="",FALSE,TRUE),EXACT(metadata!D306,"missing: not provided"))</f>
        <v>0</v>
      </c>
      <c r="AG306" t="b">
        <f>AND(IF(metadata!E306="",FALSE,TRUE),EXACT(metadata!E306,"Host-associated"))</f>
        <v>0</v>
      </c>
      <c r="AH306" t="b">
        <f>AND(IF(metadata!F306="",FALSE,TRUE),OR(EXACT(metadata!F306,"Animal"),EXACT(metadata!F306,"Fungus"),EXACT(metadata!F306,"Plant")))</f>
        <v>0</v>
      </c>
      <c r="AI306" t="b">
        <f>AND(IF(metadata!G306="",FALSE,TRUE),OR(EXACT(metadata!G306,"Plant secretion"),EXACT(metadata!G306,"Plant rhizosphere"),EXACT(metadata!G306,"Plant surface"),EXACT(metadata!G306,"Plant corpus"),EXACT(metadata!G306,"Fungus surface"),EXACT(metadata!G306,"Fungus corpus"),EXACT(metadata!G306,"Animal surface"),EXACT(metadata!G306,"Animal proximal gut"),EXACT(metadata!G306,"Animal corpus"),EXACT(metadata!G306,"Animal distal gut"),EXACT(metadata!G306,"Animal secretion")))</f>
        <v>0</v>
      </c>
      <c r="AJ306" t="b">
        <f>OR(AND(IF(metadata!H306="",FALSE,TRUE),OR(EXACT(metadata!H306,"missing: not collected"),EXACT(metadata!H306,"missing: not provided"),EXACT(metadata!H306,"missing: restricted access"))),AND(IF(metadata!H306="",FALSE,TRUE),OR(EXACT(metadata!H306,"organism-associated habitat"),EXACT(metadata!H306,"plant-associated habitat"),EXACT(metadata!H306,"animal-associated habitat"),EXACT(metadata!H306,"insecta-associated habitat"),EXACT(metadata!H306,"mammalia-associated habitat"),EXACT(metadata!H306,"human-associated habitat"),EXACT(metadata!H306,"livestock-associated habitat"))))</f>
        <v>0</v>
      </c>
      <c r="AK306" t="b">
        <f>AND(IF(metadata!I306="",FALSE,TRUE),EXACT(metadata!I306,"host-associated"))</f>
        <v>0</v>
      </c>
      <c r="AL306" t="b">
        <f>OR(AND(IF(metadata!J306="",FALSE,TRUE),OR(EXACT(metadata!J306,"not applicable"),EXACT(metadata!J306,"missing: not collected"),EXACT(metadata!J306,"missing: not provided"),EXACT(metadata!J306,"missing: restricted access"))),AND(IF(metadata!J306="",FALSE,ISNUMBER(VALUE(metadata!J306))),metadata!J306&gt;0))</f>
        <v>0</v>
      </c>
      <c r="AM306" t="b">
        <f>AND(IF(metadata!K306="",FALSE,TRUE),EXACT(metadata!K306,"missing: not provided"))</f>
        <v>0</v>
      </c>
      <c r="AN306" t="b">
        <f>IF(metadata!L306="",FALSE,TRUE)</f>
        <v>0</v>
      </c>
      <c r="AO306" t="b">
        <f>IF(metadata!M306="",FALSE,TRUE)</f>
        <v>0</v>
      </c>
      <c r="AP306" t="b">
        <f>OR(AND(IF(metadata!N306="",FALSE,TRUE),OR(EXACT(metadata!N306,"not applicable"),EXACT(metadata!N306,"missing: not collected"),EXACT(metadata!N306,"missing: not provided"))),AND(IF(metadata!N306="",FALSE,IF(ISERROR(INT(metadata!N306)),FALSE,INT(metadata!N306)=metadata!N306)),metadata!N306&gt;0))</f>
        <v>0</v>
      </c>
      <c r="AQ306" t="b">
        <f>AND(IF(metadata!O306="",FALSE,TRUE),EXACT(metadata!O306,"Not applicable"))</f>
        <v>0</v>
      </c>
      <c r="AR306" t="b">
        <f>OR(AND(IF(metadata!P306="",FALSE,TRUE),OR(EXACT(metadata!P306,"not applicable"),EXACT(metadata!P306,"missing: not collected"),EXACT(metadata!P306,"missing: not provided"),EXACT(metadata!P306,"missing: restricted access"))),IF(metadata!P306="",FALSE,IF(ISERROR(INT(metadata!P306)),FALSE,INT(metadata!P306)=metadata!P306)))</f>
        <v>0</v>
      </c>
      <c r="AS306" t="b">
        <f>AND(IF(metadata!Q306="",FALSE,TRUE),EXACT(metadata!Q306,"Not applicable"))</f>
        <v>0</v>
      </c>
      <c r="AT306" t="b">
        <f>OR(AND(IF(metadata!R306="",FALSE,TRUE),OR(EXACT(metadata!R306,"not applicable"),EXACT(metadata!R306,"missing: not collected"),EXACT(metadata!R306,"missing: not provided"),EXACT(metadata!R306,"missing: restricted access"))),AND(IF(metadata!R306="",FALSE,ISNUMBER(VALUE(metadata!R306))),metadata!R306&gt;0))</f>
        <v>0</v>
      </c>
      <c r="AU306" t="b">
        <f>AND(IF(metadata!S306="",FALSE,TRUE),EXACT(metadata!S306,"missing: not provided"))</f>
        <v>0</v>
      </c>
    </row>
    <row r="307" spans="1:47" x14ac:dyDescent="0.2">
      <c r="A307" s="5" t="str">
        <f ca="1">IF(B307=" "," ",HYPERLINK(CONCATENATE("#metadata!",ADDRESS(INDEX($Y$2:$Y$1001,MATCH(ROWS($W$2:W307),$W$2:$W$1001,0),0),1)),INDEX($AB$2:$AB$1001,MATCH(ROWS($W$2:W307),$W$2:$W$1001,0),0)))</f>
        <v xml:space="preserve"> </v>
      </c>
      <c r="B307" s="4" t="str">
        <f ca="1">IF(OR(INDEX($X$2:$X$1001,MATCH(ROWS($W$2:W307),$W$2:$W$1001,0),1)&gt;=100000,INDEX($AD$1005:$AU$1005,1,MATCH(COLUMNS($AD$1006:AD1006),$AD$1006:$AU$1006,0))&gt;=100000), " ",IF(INDEX($AD$2:$AU$1001,MATCH(ROWS($W$2:W307),$W$2:$W$1001,0),MATCH(COLUMNS($AD$1006:AD1006),$AD$1006:$AU$1006,0)), HYPERLINK("#",""), HYPERLINK(CONCATENATE("#metadata!", ADDRESS(INDEX($Y$2:$Y$1001,MATCH(ROWS($W$2:W307),$W$2:$W$1001,0),0), INDEX($AD$1004:$AU$1004,1,MATCH(COLUMNS($AD$1006:AD1006),$AD$1006:$AU$1006,0)))),"Fix")))</f>
        <v xml:space="preserve"> </v>
      </c>
      <c r="C307" s="4" t="str">
        <f ca="1">IF(OR(INDEX($X$2:$X$1001,MATCH(ROWS($W$2:W307),$W$2:$W$1001,0),1)&gt;=100000,INDEX($AD$1005:$AU$1005,1,MATCH(COLUMNS($AD$1006:AE1006),$AD$1006:$AU$1006,0))&gt;=100000), " ",IF(INDEX($AD$2:$AU$1001,MATCH(ROWS($W$2:W307),$W$2:$W$1001,0),MATCH(COLUMNS($AD$1006:AE1006),$AD$1006:$AU$1006,0)), HYPERLINK("#",""), HYPERLINK(CONCATENATE("#metadata!", ADDRESS(INDEX($Y$2:$Y$1001,MATCH(ROWS($W$2:W307),$W$2:$W$1001,0),0), INDEX($AD$1004:$AU$1004,1,MATCH(COLUMNS($AD$1006:AE1006),$AD$1006:$AU$1006,0)))),"Fix")))</f>
        <v xml:space="preserve"> </v>
      </c>
      <c r="D307" s="4" t="str">
        <f ca="1">IF(OR(INDEX($X$2:$X$1001,MATCH(ROWS($W$2:W307),$W$2:$W$1001,0),1)&gt;=100000,INDEX($AD$1005:$AU$1005,1,MATCH(COLUMNS($AD$1006:AF1006),$AD$1006:$AU$1006,0))&gt;=100000), " ",IF(INDEX($AD$2:$AU$1001,MATCH(ROWS($W$2:W307),$W$2:$W$1001,0),MATCH(COLUMNS($AD$1006:AF1006),$AD$1006:$AU$1006,0)), HYPERLINK("#",""), HYPERLINK(CONCATENATE("#metadata!", ADDRESS(INDEX($Y$2:$Y$1001,MATCH(ROWS($W$2:W307),$W$2:$W$1001,0),0), INDEX($AD$1004:$AU$1004,1,MATCH(COLUMNS($AD$1006:AF1006),$AD$1006:$AU$1006,0)))),"Fix")))</f>
        <v xml:space="preserve"> </v>
      </c>
      <c r="E307" s="4" t="str">
        <f ca="1">IF(OR(INDEX($X$2:$X$1001,MATCH(ROWS($W$2:W307),$W$2:$W$1001,0),1)&gt;=100000,INDEX($AD$1005:$AU$1005,1,MATCH(COLUMNS($AD$1006:AG1006),$AD$1006:$AU$1006,0))&gt;=100000), " ",IF(INDEX($AD$2:$AU$1001,MATCH(ROWS($W$2:W307),$W$2:$W$1001,0),MATCH(COLUMNS($AD$1006:AG1006),$AD$1006:$AU$1006,0)), HYPERLINK("#",""), HYPERLINK(CONCATENATE("#metadata!", ADDRESS(INDEX($Y$2:$Y$1001,MATCH(ROWS($W$2:W307),$W$2:$W$1001,0),0), INDEX($AD$1004:$AU$1004,1,MATCH(COLUMNS($AD$1006:AG1006),$AD$1006:$AU$1006,0)))),"Fix")))</f>
        <v xml:space="preserve"> </v>
      </c>
      <c r="F307" s="4" t="str">
        <f ca="1">IF(OR(INDEX($X$2:$X$1001,MATCH(ROWS($W$2:W307),$W$2:$W$1001,0),1)&gt;=100000,INDEX($AD$1005:$AU$1005,1,MATCH(COLUMNS($AD$1006:AH1006),$AD$1006:$AU$1006,0))&gt;=100000), " ",IF(INDEX($AD$2:$AU$1001,MATCH(ROWS($W$2:W307),$W$2:$W$1001,0),MATCH(COLUMNS($AD$1006:AH1006),$AD$1006:$AU$1006,0)), HYPERLINK("#",""), HYPERLINK(CONCATENATE("#metadata!", ADDRESS(INDEX($Y$2:$Y$1001,MATCH(ROWS($W$2:W307),$W$2:$W$1001,0),0), INDEX($AD$1004:$AU$1004,1,MATCH(COLUMNS($AD$1006:AH1006),$AD$1006:$AU$1006,0)))),"Fix")))</f>
        <v xml:space="preserve"> </v>
      </c>
      <c r="G307" s="4" t="str">
        <f ca="1">IF(OR(INDEX($X$2:$X$1001,MATCH(ROWS($W$2:W307),$W$2:$W$1001,0),1)&gt;=100000,INDEX($AD$1005:$AU$1005,1,MATCH(COLUMNS($AD$1006:AI1006),$AD$1006:$AU$1006,0))&gt;=100000), " ",IF(INDEX($AD$2:$AU$1001,MATCH(ROWS($W$2:W307),$W$2:$W$1001,0),MATCH(COLUMNS($AD$1006:AI1006),$AD$1006:$AU$1006,0)), HYPERLINK("#",""), HYPERLINK(CONCATENATE("#metadata!", ADDRESS(INDEX($Y$2:$Y$1001,MATCH(ROWS($W$2:W307),$W$2:$W$1001,0),0), INDEX($AD$1004:$AU$1004,1,MATCH(COLUMNS($AD$1006:AI1006),$AD$1006:$AU$1006,0)))),"Fix")))</f>
        <v xml:space="preserve"> </v>
      </c>
      <c r="H307" s="4" t="str">
        <f ca="1">IF(OR(INDEX($X$2:$X$1001,MATCH(ROWS($W$2:W307),$W$2:$W$1001,0),1)&gt;=100000,INDEX($AD$1005:$AU$1005,1,MATCH(COLUMNS($AD$1006:AJ1006),$AD$1006:$AU$1006,0))&gt;=100000), " ",IF(INDEX($AD$2:$AU$1001,MATCH(ROWS($W$2:W307),$W$2:$W$1001,0),MATCH(COLUMNS($AD$1006:AJ1006),$AD$1006:$AU$1006,0)), HYPERLINK("#",""), HYPERLINK(CONCATENATE("#metadata!", ADDRESS(INDEX($Y$2:$Y$1001,MATCH(ROWS($W$2:W307),$W$2:$W$1001,0),0), INDEX($AD$1004:$AU$1004,1,MATCH(COLUMNS($AD$1006:AJ1006),$AD$1006:$AU$1006,0)))),"Fix")))</f>
        <v xml:space="preserve"> </v>
      </c>
      <c r="I307" s="4" t="str">
        <f ca="1">IF(OR(INDEX($X$2:$X$1001,MATCH(ROWS($W$2:W307),$W$2:$W$1001,0),1)&gt;=100000,INDEX($AD$1005:$AU$1005,1,MATCH(COLUMNS($AD$1006:AK1006),$AD$1006:$AU$1006,0))&gt;=100000), " ",IF(INDEX($AD$2:$AU$1001,MATCH(ROWS($W$2:W307),$W$2:$W$1001,0),MATCH(COLUMNS($AD$1006:AK1006),$AD$1006:$AU$1006,0)), HYPERLINK("#",""), HYPERLINK(CONCATENATE("#metadata!", ADDRESS(INDEX($Y$2:$Y$1001,MATCH(ROWS($W$2:W307),$W$2:$W$1001,0),0), INDEX($AD$1004:$AU$1004,1,MATCH(COLUMNS($AD$1006:AK1006),$AD$1006:$AU$1006,0)))),"Fix")))</f>
        <v xml:space="preserve"> </v>
      </c>
      <c r="J307" s="4" t="str">
        <f ca="1">IF(OR(INDEX($X$2:$X$1001,MATCH(ROWS($W$2:W307),$W$2:$W$1001,0),1)&gt;=100000,INDEX($AD$1005:$AU$1005,1,MATCH(COLUMNS($AD$1006:AL1006),$AD$1006:$AU$1006,0))&gt;=100000), " ",IF(INDEX($AD$2:$AU$1001,MATCH(ROWS($W$2:W307),$W$2:$W$1001,0),MATCH(COLUMNS($AD$1006:AL1006),$AD$1006:$AU$1006,0)), HYPERLINK("#",""), HYPERLINK(CONCATENATE("#metadata!", ADDRESS(INDEX($Y$2:$Y$1001,MATCH(ROWS($W$2:W307),$W$2:$W$1001,0),0), INDEX($AD$1004:$AU$1004,1,MATCH(COLUMNS($AD$1006:AL1006),$AD$1006:$AU$1006,0)))),"Fix")))</f>
        <v xml:space="preserve"> </v>
      </c>
      <c r="K307" s="4" t="str">
        <f ca="1">IF(OR(INDEX($X$2:$X$1001,MATCH(ROWS($W$2:W307),$W$2:$W$1001,0),1)&gt;=100000,INDEX($AD$1005:$AU$1005,1,MATCH(COLUMNS($AD$1006:AM1006),$AD$1006:$AU$1006,0))&gt;=100000), " ",IF(INDEX($AD$2:$AU$1001,MATCH(ROWS($W$2:W307),$W$2:$W$1001,0),MATCH(COLUMNS($AD$1006:AM1006),$AD$1006:$AU$1006,0)), HYPERLINK("#",""), HYPERLINK(CONCATENATE("#metadata!", ADDRESS(INDEX($Y$2:$Y$1001,MATCH(ROWS($W$2:W307),$W$2:$W$1001,0),0), INDEX($AD$1004:$AU$1004,1,MATCH(COLUMNS($AD$1006:AM1006),$AD$1006:$AU$1006,0)))),"Fix")))</f>
        <v xml:space="preserve"> </v>
      </c>
      <c r="L307" s="4" t="str">
        <f ca="1">IF(OR(INDEX($X$2:$X$1001,MATCH(ROWS($W$2:W307),$W$2:$W$1001,0),1)&gt;=100000,INDEX($AD$1005:$AU$1005,1,MATCH(COLUMNS($AD$1006:AN1006),$AD$1006:$AU$1006,0))&gt;=100000), " ",IF(INDEX($AD$2:$AU$1001,MATCH(ROWS($W$2:W307),$W$2:$W$1001,0),MATCH(COLUMNS($AD$1006:AN1006),$AD$1006:$AU$1006,0)), HYPERLINK("#",""), HYPERLINK(CONCATENATE("#metadata!", ADDRESS(INDEX($Y$2:$Y$1001,MATCH(ROWS($W$2:W307),$W$2:$W$1001,0),0), INDEX($AD$1004:$AU$1004,1,MATCH(COLUMNS($AD$1006:AN1006),$AD$1006:$AU$1006,0)))),"Fix")))</f>
        <v xml:space="preserve"> </v>
      </c>
      <c r="M307" s="4" t="str">
        <f ca="1">IF(OR(INDEX($X$2:$X$1001,MATCH(ROWS($W$2:W307),$W$2:$W$1001,0),1)&gt;=100000,INDEX($AD$1005:$AU$1005,1,MATCH(COLUMNS($AD$1006:AO1006),$AD$1006:$AU$1006,0))&gt;=100000), " ",IF(INDEX($AD$2:$AU$1001,MATCH(ROWS($W$2:W307),$W$2:$W$1001,0),MATCH(COLUMNS($AD$1006:AO1006),$AD$1006:$AU$1006,0)), HYPERLINK("#",""), HYPERLINK(CONCATENATE("#metadata!", ADDRESS(INDEX($Y$2:$Y$1001,MATCH(ROWS($W$2:W307),$W$2:$W$1001,0),0), INDEX($AD$1004:$AU$1004,1,MATCH(COLUMNS($AD$1006:AO1006),$AD$1006:$AU$1006,0)))),"Fix")))</f>
        <v xml:space="preserve"> </v>
      </c>
      <c r="N307" s="4" t="str">
        <f ca="1">IF(OR(INDEX($X$2:$X$1001,MATCH(ROWS($W$2:W307),$W$2:$W$1001,0),1)&gt;=100000,INDEX($AD$1005:$AU$1005,1,MATCH(COLUMNS($AD$1006:AP1006),$AD$1006:$AU$1006,0))&gt;=100000), " ",IF(INDEX($AD$2:$AU$1001,MATCH(ROWS($W$2:W307),$W$2:$W$1001,0),MATCH(COLUMNS($AD$1006:AP1006),$AD$1006:$AU$1006,0)), HYPERLINK("#",""), HYPERLINK(CONCATENATE("#metadata!", ADDRESS(INDEX($Y$2:$Y$1001,MATCH(ROWS($W$2:W307),$W$2:$W$1001,0),0), INDEX($AD$1004:$AU$1004,1,MATCH(COLUMNS($AD$1006:AP1006),$AD$1006:$AU$1006,0)))),"Fix")))</f>
        <v xml:space="preserve"> </v>
      </c>
      <c r="O307" s="4" t="str">
        <f ca="1">IF(OR(INDEX($X$2:$X$1001,MATCH(ROWS($W$2:W307),$W$2:$W$1001,0),1)&gt;=100000,INDEX($AD$1005:$AU$1005,1,MATCH(COLUMNS($AD$1006:AQ1006),$AD$1006:$AU$1006,0))&gt;=100000), " ",IF(INDEX($AD$2:$AU$1001,MATCH(ROWS($W$2:W307),$W$2:$W$1001,0),MATCH(COLUMNS($AD$1006:AQ1006),$AD$1006:$AU$1006,0)), HYPERLINK("#",""), HYPERLINK(CONCATENATE("#metadata!", ADDRESS(INDEX($Y$2:$Y$1001,MATCH(ROWS($W$2:W307),$W$2:$W$1001,0),0), INDEX($AD$1004:$AU$1004,1,MATCH(COLUMNS($AD$1006:AQ1006),$AD$1006:$AU$1006,0)))),"Fix")))</f>
        <v xml:space="preserve"> </v>
      </c>
      <c r="P307" s="4" t="str">
        <f ca="1">IF(OR(INDEX($X$2:$X$1001,MATCH(ROWS($W$2:W307),$W$2:$W$1001,0),1)&gt;=100000,INDEX($AD$1005:$AU$1005,1,MATCH(COLUMNS($AD$1006:AR1006),$AD$1006:$AU$1006,0))&gt;=100000), " ",IF(INDEX($AD$2:$AU$1001,MATCH(ROWS($W$2:W307),$W$2:$W$1001,0),MATCH(COLUMNS($AD$1006:AR1006),$AD$1006:$AU$1006,0)), HYPERLINK("#",""), HYPERLINK(CONCATENATE("#metadata!", ADDRESS(INDEX($Y$2:$Y$1001,MATCH(ROWS($W$2:W307),$W$2:$W$1001,0),0), INDEX($AD$1004:$AU$1004,1,MATCH(COLUMNS($AD$1006:AR1006),$AD$1006:$AU$1006,0)))),"Fix")))</f>
        <v xml:space="preserve"> </v>
      </c>
      <c r="Q307" s="4" t="str">
        <f ca="1">IF(OR(INDEX($X$2:$X$1001,MATCH(ROWS($W$2:W307),$W$2:$W$1001,0),1)&gt;=100000,INDEX($AD$1005:$AU$1005,1,MATCH(COLUMNS($AD$1006:AS1006),$AD$1006:$AU$1006,0))&gt;=100000), " ",IF(INDEX($AD$2:$AU$1001,MATCH(ROWS($W$2:W307),$W$2:$W$1001,0),MATCH(COLUMNS($AD$1006:AS1006),$AD$1006:$AU$1006,0)), HYPERLINK("#",""), HYPERLINK(CONCATENATE("#metadata!", ADDRESS(INDEX($Y$2:$Y$1001,MATCH(ROWS($W$2:W307),$W$2:$W$1001,0),0), INDEX($AD$1004:$AU$1004,1,MATCH(COLUMNS($AD$1006:AS1006),$AD$1006:$AU$1006,0)))),"Fix")))</f>
        <v xml:space="preserve"> </v>
      </c>
      <c r="R307" s="4" t="str">
        <f ca="1">IF(OR(INDEX($X$2:$X$1001,MATCH(ROWS($W$2:W307),$W$2:$W$1001,0),1)&gt;=100000,INDEX($AD$1005:$AU$1005,1,MATCH(COLUMNS($AD$1006:AT1006),$AD$1006:$AU$1006,0))&gt;=100000), " ",IF(INDEX($AD$2:$AU$1001,MATCH(ROWS($W$2:W307),$W$2:$W$1001,0),MATCH(COLUMNS($AD$1006:AT1006),$AD$1006:$AU$1006,0)), HYPERLINK("#",""), HYPERLINK(CONCATENATE("#metadata!", ADDRESS(INDEX($Y$2:$Y$1001,MATCH(ROWS($W$2:W307),$W$2:$W$1001,0),0), INDEX($AD$1004:$AU$1004,1,MATCH(COLUMNS($AD$1006:AT1006),$AD$1006:$AU$1006,0)))),"Fix")))</f>
        <v xml:space="preserve"> </v>
      </c>
      <c r="S307" s="4" t="str">
        <f ca="1">IF(OR(INDEX($X$2:$X$1001,MATCH(ROWS($W$2:W307),$W$2:$W$1001,0),1)&gt;=100000,INDEX($AD$1005:$AU$1005,1,MATCH(COLUMNS($AD$1006:AU1006),$AD$1006:$AU$1006,0))&gt;=100000), " ",IF(INDEX($AD$2:$AU$1001,MATCH(ROWS($W$2:W307),$W$2:$W$1001,0),MATCH(COLUMNS($AD$1006:AU1006),$AD$1006:$AU$1006,0)), HYPERLINK("#",""), HYPERLINK(CONCATENATE("#metadata!", ADDRESS(INDEX($Y$2:$Y$1001,MATCH(ROWS($W$2:W307),$W$2:$W$1001,0),0), INDEX($AD$1004:$AU$1004,1,MATCH(COLUMNS($AD$1006:AU1006),$AD$1006:$AU$1006,0)))),"Fix")))</f>
        <v xml:space="preserve"> </v>
      </c>
      <c r="W307">
        <v>306</v>
      </c>
      <c r="X307">
        <v>100307</v>
      </c>
      <c r="Y307">
        <v>307</v>
      </c>
      <c r="Z307" t="b">
        <f t="shared" si="4"/>
        <v>1</v>
      </c>
      <c r="AA307" t="b">
        <f>COUNTBLANK(metadata!B307:S307)=COLUMNS(metadata!B307:S307)</f>
        <v>1</v>
      </c>
      <c r="AB307" t="str">
        <v/>
      </c>
      <c r="AD307" t="b">
        <f ca="1">AND(IF(metadata!B307="",FALSE,TRUE),COUNTIF(metadata!B:B, metadata!B307) = 1,NOT(ISERROR(SUMPRODUCT(SEARCH(MID(metadata!B307,ROW(INDIRECT("1:"&amp;LEN(metadata!B307))), 1),"0123456789abcdefghijklmnopqrstuvwxyzABCDEFGHIJKLMNOPQRSTUVWXYZ.")))))</f>
        <v>0</v>
      </c>
      <c r="AE307" t="b">
        <f>OR(AND(IF(metadata!C307="",FALSE,TRUE),OR(EXACT(metadata!C307,"not applicable"),EXACT(metadata!C307,"missing: not collected"),EXACT(metadata!C307,"missing: not provided"),EXACT(metadata!C307,"missing: restricted access"))),AND(IF(metadata!C307="",FALSE,ISNUMBER(VALUE(metadata!C307))),metadata!C307&gt;0))</f>
        <v>0</v>
      </c>
      <c r="AF307" t="b">
        <f>AND(IF(metadata!D307="",FALSE,TRUE),EXACT(metadata!D307,"missing: not provided"))</f>
        <v>0</v>
      </c>
      <c r="AG307" t="b">
        <f>AND(IF(metadata!E307="",FALSE,TRUE),EXACT(metadata!E307,"Host-associated"))</f>
        <v>0</v>
      </c>
      <c r="AH307" t="b">
        <f>AND(IF(metadata!F307="",FALSE,TRUE),OR(EXACT(metadata!F307,"Animal"),EXACT(metadata!F307,"Fungus"),EXACT(metadata!F307,"Plant")))</f>
        <v>0</v>
      </c>
      <c r="AI307" t="b">
        <f>AND(IF(metadata!G307="",FALSE,TRUE),OR(EXACT(metadata!G307,"Plant secretion"),EXACT(metadata!G307,"Plant rhizosphere"),EXACT(metadata!G307,"Plant surface"),EXACT(metadata!G307,"Plant corpus"),EXACT(metadata!G307,"Fungus surface"),EXACT(metadata!G307,"Fungus corpus"),EXACT(metadata!G307,"Animal surface"),EXACT(metadata!G307,"Animal proximal gut"),EXACT(metadata!G307,"Animal corpus"),EXACT(metadata!G307,"Animal distal gut"),EXACT(metadata!G307,"Animal secretion")))</f>
        <v>0</v>
      </c>
      <c r="AJ307" t="b">
        <f>OR(AND(IF(metadata!H307="",FALSE,TRUE),OR(EXACT(metadata!H307,"missing: not collected"),EXACT(metadata!H307,"missing: not provided"),EXACT(metadata!H307,"missing: restricted access"))),AND(IF(metadata!H307="",FALSE,TRUE),OR(EXACT(metadata!H307,"organism-associated habitat"),EXACT(metadata!H307,"plant-associated habitat"),EXACT(metadata!H307,"animal-associated habitat"),EXACT(metadata!H307,"insecta-associated habitat"),EXACT(metadata!H307,"mammalia-associated habitat"),EXACT(metadata!H307,"human-associated habitat"),EXACT(metadata!H307,"livestock-associated habitat"))))</f>
        <v>0</v>
      </c>
      <c r="AK307" t="b">
        <f>AND(IF(metadata!I307="",FALSE,TRUE),EXACT(metadata!I307,"host-associated"))</f>
        <v>0</v>
      </c>
      <c r="AL307" t="b">
        <f>OR(AND(IF(metadata!J307="",FALSE,TRUE),OR(EXACT(metadata!J307,"not applicable"),EXACT(metadata!J307,"missing: not collected"),EXACT(metadata!J307,"missing: not provided"),EXACT(metadata!J307,"missing: restricted access"))),AND(IF(metadata!J307="",FALSE,ISNUMBER(VALUE(metadata!J307))),metadata!J307&gt;0))</f>
        <v>0</v>
      </c>
      <c r="AM307" t="b">
        <f>AND(IF(metadata!K307="",FALSE,TRUE),EXACT(metadata!K307,"missing: not provided"))</f>
        <v>0</v>
      </c>
      <c r="AN307" t="b">
        <f>IF(metadata!L307="",FALSE,TRUE)</f>
        <v>0</v>
      </c>
      <c r="AO307" t="b">
        <f>IF(metadata!M307="",FALSE,TRUE)</f>
        <v>0</v>
      </c>
      <c r="AP307" t="b">
        <f>OR(AND(IF(metadata!N307="",FALSE,TRUE),OR(EXACT(metadata!N307,"not applicable"),EXACT(metadata!N307,"missing: not collected"),EXACT(metadata!N307,"missing: not provided"))),AND(IF(metadata!N307="",FALSE,IF(ISERROR(INT(metadata!N307)),FALSE,INT(metadata!N307)=metadata!N307)),metadata!N307&gt;0))</f>
        <v>0</v>
      </c>
      <c r="AQ307" t="b">
        <f>AND(IF(metadata!O307="",FALSE,TRUE),EXACT(metadata!O307,"Not applicable"))</f>
        <v>0</v>
      </c>
      <c r="AR307" t="b">
        <f>OR(AND(IF(metadata!P307="",FALSE,TRUE),OR(EXACT(metadata!P307,"not applicable"),EXACT(metadata!P307,"missing: not collected"),EXACT(metadata!P307,"missing: not provided"),EXACT(metadata!P307,"missing: restricted access"))),IF(metadata!P307="",FALSE,IF(ISERROR(INT(metadata!P307)),FALSE,INT(metadata!P307)=metadata!P307)))</f>
        <v>0</v>
      </c>
      <c r="AS307" t="b">
        <f>AND(IF(metadata!Q307="",FALSE,TRUE),EXACT(metadata!Q307,"Not applicable"))</f>
        <v>0</v>
      </c>
      <c r="AT307" t="b">
        <f>OR(AND(IF(metadata!R307="",FALSE,TRUE),OR(EXACT(metadata!R307,"not applicable"),EXACT(metadata!R307,"missing: not collected"),EXACT(metadata!R307,"missing: not provided"),EXACT(metadata!R307,"missing: restricted access"))),AND(IF(metadata!R307="",FALSE,ISNUMBER(VALUE(metadata!R307))),metadata!R307&gt;0))</f>
        <v>0</v>
      </c>
      <c r="AU307" t="b">
        <f>AND(IF(metadata!S307="",FALSE,TRUE),EXACT(metadata!S307,"missing: not provided"))</f>
        <v>0</v>
      </c>
    </row>
    <row r="308" spans="1:47" x14ac:dyDescent="0.2">
      <c r="A308" s="5" t="str">
        <f ca="1">IF(B308=" "," ",HYPERLINK(CONCATENATE("#metadata!",ADDRESS(INDEX($Y$2:$Y$1001,MATCH(ROWS($W$2:W308),$W$2:$W$1001,0),0),1)),INDEX($AB$2:$AB$1001,MATCH(ROWS($W$2:W308),$W$2:$W$1001,0),0)))</f>
        <v xml:space="preserve"> </v>
      </c>
      <c r="B308" s="4" t="str">
        <f ca="1">IF(OR(INDEX($X$2:$X$1001,MATCH(ROWS($W$2:W308),$W$2:$W$1001,0),1)&gt;=100000,INDEX($AD$1005:$AU$1005,1,MATCH(COLUMNS($AD$1006:AD1006),$AD$1006:$AU$1006,0))&gt;=100000), " ",IF(INDEX($AD$2:$AU$1001,MATCH(ROWS($W$2:W308),$W$2:$W$1001,0),MATCH(COLUMNS($AD$1006:AD1006),$AD$1006:$AU$1006,0)), HYPERLINK("#",""), HYPERLINK(CONCATENATE("#metadata!", ADDRESS(INDEX($Y$2:$Y$1001,MATCH(ROWS($W$2:W308),$W$2:$W$1001,0),0), INDEX($AD$1004:$AU$1004,1,MATCH(COLUMNS($AD$1006:AD1006),$AD$1006:$AU$1006,0)))),"Fix")))</f>
        <v xml:space="preserve"> </v>
      </c>
      <c r="C308" s="4" t="str">
        <f ca="1">IF(OR(INDEX($X$2:$X$1001,MATCH(ROWS($W$2:W308),$W$2:$W$1001,0),1)&gt;=100000,INDEX($AD$1005:$AU$1005,1,MATCH(COLUMNS($AD$1006:AE1006),$AD$1006:$AU$1006,0))&gt;=100000), " ",IF(INDEX($AD$2:$AU$1001,MATCH(ROWS($W$2:W308),$W$2:$W$1001,0),MATCH(COLUMNS($AD$1006:AE1006),$AD$1006:$AU$1006,0)), HYPERLINK("#",""), HYPERLINK(CONCATENATE("#metadata!", ADDRESS(INDEX($Y$2:$Y$1001,MATCH(ROWS($W$2:W308),$W$2:$W$1001,0),0), INDEX($AD$1004:$AU$1004,1,MATCH(COLUMNS($AD$1006:AE1006),$AD$1006:$AU$1006,0)))),"Fix")))</f>
        <v xml:space="preserve"> </v>
      </c>
      <c r="D308" s="4" t="str">
        <f ca="1">IF(OR(INDEX($X$2:$X$1001,MATCH(ROWS($W$2:W308),$W$2:$W$1001,0),1)&gt;=100000,INDEX($AD$1005:$AU$1005,1,MATCH(COLUMNS($AD$1006:AF1006),$AD$1006:$AU$1006,0))&gt;=100000), " ",IF(INDEX($AD$2:$AU$1001,MATCH(ROWS($W$2:W308),$W$2:$W$1001,0),MATCH(COLUMNS($AD$1006:AF1006),$AD$1006:$AU$1006,0)), HYPERLINK("#",""), HYPERLINK(CONCATENATE("#metadata!", ADDRESS(INDEX($Y$2:$Y$1001,MATCH(ROWS($W$2:W308),$W$2:$W$1001,0),0), INDEX($AD$1004:$AU$1004,1,MATCH(COLUMNS($AD$1006:AF1006),$AD$1006:$AU$1006,0)))),"Fix")))</f>
        <v xml:space="preserve"> </v>
      </c>
      <c r="E308" s="4" t="str">
        <f ca="1">IF(OR(INDEX($X$2:$X$1001,MATCH(ROWS($W$2:W308),$W$2:$W$1001,0),1)&gt;=100000,INDEX($AD$1005:$AU$1005,1,MATCH(COLUMNS($AD$1006:AG1006),$AD$1006:$AU$1006,0))&gt;=100000), " ",IF(INDEX($AD$2:$AU$1001,MATCH(ROWS($W$2:W308),$W$2:$W$1001,0),MATCH(COLUMNS($AD$1006:AG1006),$AD$1006:$AU$1006,0)), HYPERLINK("#",""), HYPERLINK(CONCATENATE("#metadata!", ADDRESS(INDEX($Y$2:$Y$1001,MATCH(ROWS($W$2:W308),$W$2:$W$1001,0),0), INDEX($AD$1004:$AU$1004,1,MATCH(COLUMNS($AD$1006:AG1006),$AD$1006:$AU$1006,0)))),"Fix")))</f>
        <v xml:space="preserve"> </v>
      </c>
      <c r="F308" s="4" t="str">
        <f ca="1">IF(OR(INDEX($X$2:$X$1001,MATCH(ROWS($W$2:W308),$W$2:$W$1001,0),1)&gt;=100000,INDEX($AD$1005:$AU$1005,1,MATCH(COLUMNS($AD$1006:AH1006),$AD$1006:$AU$1006,0))&gt;=100000), " ",IF(INDEX($AD$2:$AU$1001,MATCH(ROWS($W$2:W308),$W$2:$W$1001,0),MATCH(COLUMNS($AD$1006:AH1006),$AD$1006:$AU$1006,0)), HYPERLINK("#",""), HYPERLINK(CONCATENATE("#metadata!", ADDRESS(INDEX($Y$2:$Y$1001,MATCH(ROWS($W$2:W308),$W$2:$W$1001,0),0), INDEX($AD$1004:$AU$1004,1,MATCH(COLUMNS($AD$1006:AH1006),$AD$1006:$AU$1006,0)))),"Fix")))</f>
        <v xml:space="preserve"> </v>
      </c>
      <c r="G308" s="4" t="str">
        <f ca="1">IF(OR(INDEX($X$2:$X$1001,MATCH(ROWS($W$2:W308),$W$2:$W$1001,0),1)&gt;=100000,INDEX($AD$1005:$AU$1005,1,MATCH(COLUMNS($AD$1006:AI1006),$AD$1006:$AU$1006,0))&gt;=100000), " ",IF(INDEX($AD$2:$AU$1001,MATCH(ROWS($W$2:W308),$W$2:$W$1001,0),MATCH(COLUMNS($AD$1006:AI1006),$AD$1006:$AU$1006,0)), HYPERLINK("#",""), HYPERLINK(CONCATENATE("#metadata!", ADDRESS(INDEX($Y$2:$Y$1001,MATCH(ROWS($W$2:W308),$W$2:$W$1001,0),0), INDEX($AD$1004:$AU$1004,1,MATCH(COLUMNS($AD$1006:AI1006),$AD$1006:$AU$1006,0)))),"Fix")))</f>
        <v xml:space="preserve"> </v>
      </c>
      <c r="H308" s="4" t="str">
        <f ca="1">IF(OR(INDEX($X$2:$X$1001,MATCH(ROWS($W$2:W308),$W$2:$W$1001,0),1)&gt;=100000,INDEX($AD$1005:$AU$1005,1,MATCH(COLUMNS($AD$1006:AJ1006),$AD$1006:$AU$1006,0))&gt;=100000), " ",IF(INDEX($AD$2:$AU$1001,MATCH(ROWS($W$2:W308),$W$2:$W$1001,0),MATCH(COLUMNS($AD$1006:AJ1006),$AD$1006:$AU$1006,0)), HYPERLINK("#",""), HYPERLINK(CONCATENATE("#metadata!", ADDRESS(INDEX($Y$2:$Y$1001,MATCH(ROWS($W$2:W308),$W$2:$W$1001,0),0), INDEX($AD$1004:$AU$1004,1,MATCH(COLUMNS($AD$1006:AJ1006),$AD$1006:$AU$1006,0)))),"Fix")))</f>
        <v xml:space="preserve"> </v>
      </c>
      <c r="I308" s="4" t="str">
        <f ca="1">IF(OR(INDEX($X$2:$X$1001,MATCH(ROWS($W$2:W308),$W$2:$W$1001,0),1)&gt;=100000,INDEX($AD$1005:$AU$1005,1,MATCH(COLUMNS($AD$1006:AK1006),$AD$1006:$AU$1006,0))&gt;=100000), " ",IF(INDEX($AD$2:$AU$1001,MATCH(ROWS($W$2:W308),$W$2:$W$1001,0),MATCH(COLUMNS($AD$1006:AK1006),$AD$1006:$AU$1006,0)), HYPERLINK("#",""), HYPERLINK(CONCATENATE("#metadata!", ADDRESS(INDEX($Y$2:$Y$1001,MATCH(ROWS($W$2:W308),$W$2:$W$1001,0),0), INDEX($AD$1004:$AU$1004,1,MATCH(COLUMNS($AD$1006:AK1006),$AD$1006:$AU$1006,0)))),"Fix")))</f>
        <v xml:space="preserve"> </v>
      </c>
      <c r="J308" s="4" t="str">
        <f ca="1">IF(OR(INDEX($X$2:$X$1001,MATCH(ROWS($W$2:W308),$W$2:$W$1001,0),1)&gt;=100000,INDEX($AD$1005:$AU$1005,1,MATCH(COLUMNS($AD$1006:AL1006),$AD$1006:$AU$1006,0))&gt;=100000), " ",IF(INDEX($AD$2:$AU$1001,MATCH(ROWS($W$2:W308),$W$2:$W$1001,0),MATCH(COLUMNS($AD$1006:AL1006),$AD$1006:$AU$1006,0)), HYPERLINK("#",""), HYPERLINK(CONCATENATE("#metadata!", ADDRESS(INDEX($Y$2:$Y$1001,MATCH(ROWS($W$2:W308),$W$2:$W$1001,0),0), INDEX($AD$1004:$AU$1004,1,MATCH(COLUMNS($AD$1006:AL1006),$AD$1006:$AU$1006,0)))),"Fix")))</f>
        <v xml:space="preserve"> </v>
      </c>
      <c r="K308" s="4" t="str">
        <f ca="1">IF(OR(INDEX($X$2:$X$1001,MATCH(ROWS($W$2:W308),$W$2:$W$1001,0),1)&gt;=100000,INDEX($AD$1005:$AU$1005,1,MATCH(COLUMNS($AD$1006:AM1006),$AD$1006:$AU$1006,0))&gt;=100000), " ",IF(INDEX($AD$2:$AU$1001,MATCH(ROWS($W$2:W308),$W$2:$W$1001,0),MATCH(COLUMNS($AD$1006:AM1006),$AD$1006:$AU$1006,0)), HYPERLINK("#",""), HYPERLINK(CONCATENATE("#metadata!", ADDRESS(INDEX($Y$2:$Y$1001,MATCH(ROWS($W$2:W308),$W$2:$W$1001,0),0), INDEX($AD$1004:$AU$1004,1,MATCH(COLUMNS($AD$1006:AM1006),$AD$1006:$AU$1006,0)))),"Fix")))</f>
        <v xml:space="preserve"> </v>
      </c>
      <c r="L308" s="4" t="str">
        <f ca="1">IF(OR(INDEX($X$2:$X$1001,MATCH(ROWS($W$2:W308),$W$2:$W$1001,0),1)&gt;=100000,INDEX($AD$1005:$AU$1005,1,MATCH(COLUMNS($AD$1006:AN1006),$AD$1006:$AU$1006,0))&gt;=100000), " ",IF(INDEX($AD$2:$AU$1001,MATCH(ROWS($W$2:W308),$W$2:$W$1001,0),MATCH(COLUMNS($AD$1006:AN1006),$AD$1006:$AU$1006,0)), HYPERLINK("#",""), HYPERLINK(CONCATENATE("#metadata!", ADDRESS(INDEX($Y$2:$Y$1001,MATCH(ROWS($W$2:W308),$W$2:$W$1001,0),0), INDEX($AD$1004:$AU$1004,1,MATCH(COLUMNS($AD$1006:AN1006),$AD$1006:$AU$1006,0)))),"Fix")))</f>
        <v xml:space="preserve"> </v>
      </c>
      <c r="M308" s="4" t="str">
        <f ca="1">IF(OR(INDEX($X$2:$X$1001,MATCH(ROWS($W$2:W308),$W$2:$W$1001,0),1)&gt;=100000,INDEX($AD$1005:$AU$1005,1,MATCH(COLUMNS($AD$1006:AO1006),$AD$1006:$AU$1006,0))&gt;=100000), " ",IF(INDEX($AD$2:$AU$1001,MATCH(ROWS($W$2:W308),$W$2:$W$1001,0),MATCH(COLUMNS($AD$1006:AO1006),$AD$1006:$AU$1006,0)), HYPERLINK("#",""), HYPERLINK(CONCATENATE("#metadata!", ADDRESS(INDEX($Y$2:$Y$1001,MATCH(ROWS($W$2:W308),$W$2:$W$1001,0),0), INDEX($AD$1004:$AU$1004,1,MATCH(COLUMNS($AD$1006:AO1006),$AD$1006:$AU$1006,0)))),"Fix")))</f>
        <v xml:space="preserve"> </v>
      </c>
      <c r="N308" s="4" t="str">
        <f ca="1">IF(OR(INDEX($X$2:$X$1001,MATCH(ROWS($W$2:W308),$W$2:$W$1001,0),1)&gt;=100000,INDEX($AD$1005:$AU$1005,1,MATCH(COLUMNS($AD$1006:AP1006),$AD$1006:$AU$1006,0))&gt;=100000), " ",IF(INDEX($AD$2:$AU$1001,MATCH(ROWS($W$2:W308),$W$2:$W$1001,0),MATCH(COLUMNS($AD$1006:AP1006),$AD$1006:$AU$1006,0)), HYPERLINK("#",""), HYPERLINK(CONCATENATE("#metadata!", ADDRESS(INDEX($Y$2:$Y$1001,MATCH(ROWS($W$2:W308),$W$2:$W$1001,0),0), INDEX($AD$1004:$AU$1004,1,MATCH(COLUMNS($AD$1006:AP1006),$AD$1006:$AU$1006,0)))),"Fix")))</f>
        <v xml:space="preserve"> </v>
      </c>
      <c r="O308" s="4" t="str">
        <f ca="1">IF(OR(INDEX($X$2:$X$1001,MATCH(ROWS($W$2:W308),$W$2:$W$1001,0),1)&gt;=100000,INDEX($AD$1005:$AU$1005,1,MATCH(COLUMNS($AD$1006:AQ1006),$AD$1006:$AU$1006,0))&gt;=100000), " ",IF(INDEX($AD$2:$AU$1001,MATCH(ROWS($W$2:W308),$W$2:$W$1001,0),MATCH(COLUMNS($AD$1006:AQ1006),$AD$1006:$AU$1006,0)), HYPERLINK("#",""), HYPERLINK(CONCATENATE("#metadata!", ADDRESS(INDEX($Y$2:$Y$1001,MATCH(ROWS($W$2:W308),$W$2:$W$1001,0),0), INDEX($AD$1004:$AU$1004,1,MATCH(COLUMNS($AD$1006:AQ1006),$AD$1006:$AU$1006,0)))),"Fix")))</f>
        <v xml:space="preserve"> </v>
      </c>
      <c r="P308" s="4" t="str">
        <f ca="1">IF(OR(INDEX($X$2:$X$1001,MATCH(ROWS($W$2:W308),$W$2:$W$1001,0),1)&gt;=100000,INDEX($AD$1005:$AU$1005,1,MATCH(COLUMNS($AD$1006:AR1006),$AD$1006:$AU$1006,0))&gt;=100000), " ",IF(INDEX($AD$2:$AU$1001,MATCH(ROWS($W$2:W308),$W$2:$W$1001,0),MATCH(COLUMNS($AD$1006:AR1006),$AD$1006:$AU$1006,0)), HYPERLINK("#",""), HYPERLINK(CONCATENATE("#metadata!", ADDRESS(INDEX($Y$2:$Y$1001,MATCH(ROWS($W$2:W308),$W$2:$W$1001,0),0), INDEX($AD$1004:$AU$1004,1,MATCH(COLUMNS($AD$1006:AR1006),$AD$1006:$AU$1006,0)))),"Fix")))</f>
        <v xml:space="preserve"> </v>
      </c>
      <c r="Q308" s="4" t="str">
        <f ca="1">IF(OR(INDEX($X$2:$X$1001,MATCH(ROWS($W$2:W308),$W$2:$W$1001,0),1)&gt;=100000,INDEX($AD$1005:$AU$1005,1,MATCH(COLUMNS($AD$1006:AS1006),$AD$1006:$AU$1006,0))&gt;=100000), " ",IF(INDEX($AD$2:$AU$1001,MATCH(ROWS($W$2:W308),$W$2:$W$1001,0),MATCH(COLUMNS($AD$1006:AS1006),$AD$1006:$AU$1006,0)), HYPERLINK("#",""), HYPERLINK(CONCATENATE("#metadata!", ADDRESS(INDEX($Y$2:$Y$1001,MATCH(ROWS($W$2:W308),$W$2:$W$1001,0),0), INDEX($AD$1004:$AU$1004,1,MATCH(COLUMNS($AD$1006:AS1006),$AD$1006:$AU$1006,0)))),"Fix")))</f>
        <v xml:space="preserve"> </v>
      </c>
      <c r="R308" s="4" t="str">
        <f ca="1">IF(OR(INDEX($X$2:$X$1001,MATCH(ROWS($W$2:W308),$W$2:$W$1001,0),1)&gt;=100000,INDEX($AD$1005:$AU$1005,1,MATCH(COLUMNS($AD$1006:AT1006),$AD$1006:$AU$1006,0))&gt;=100000), " ",IF(INDEX($AD$2:$AU$1001,MATCH(ROWS($W$2:W308),$W$2:$W$1001,0),MATCH(COLUMNS($AD$1006:AT1006),$AD$1006:$AU$1006,0)), HYPERLINK("#",""), HYPERLINK(CONCATENATE("#metadata!", ADDRESS(INDEX($Y$2:$Y$1001,MATCH(ROWS($W$2:W308),$W$2:$W$1001,0),0), INDEX($AD$1004:$AU$1004,1,MATCH(COLUMNS($AD$1006:AT1006),$AD$1006:$AU$1006,0)))),"Fix")))</f>
        <v xml:space="preserve"> </v>
      </c>
      <c r="S308" s="4" t="str">
        <f ca="1">IF(OR(INDEX($X$2:$X$1001,MATCH(ROWS($W$2:W308),$W$2:$W$1001,0),1)&gt;=100000,INDEX($AD$1005:$AU$1005,1,MATCH(COLUMNS($AD$1006:AU1006),$AD$1006:$AU$1006,0))&gt;=100000), " ",IF(INDEX($AD$2:$AU$1001,MATCH(ROWS($W$2:W308),$W$2:$W$1001,0),MATCH(COLUMNS($AD$1006:AU1006),$AD$1006:$AU$1006,0)), HYPERLINK("#",""), HYPERLINK(CONCATENATE("#metadata!", ADDRESS(INDEX($Y$2:$Y$1001,MATCH(ROWS($W$2:W308),$W$2:$W$1001,0),0), INDEX($AD$1004:$AU$1004,1,MATCH(COLUMNS($AD$1006:AU1006),$AD$1006:$AU$1006,0)))),"Fix")))</f>
        <v xml:space="preserve"> </v>
      </c>
      <c r="W308">
        <v>307</v>
      </c>
      <c r="X308">
        <v>100308</v>
      </c>
      <c r="Y308">
        <v>308</v>
      </c>
      <c r="Z308" t="b">
        <f t="shared" si="4"/>
        <v>1</v>
      </c>
      <c r="AA308" t="b">
        <f>COUNTBLANK(metadata!B308:S308)=COLUMNS(metadata!B308:S308)</f>
        <v>1</v>
      </c>
      <c r="AB308" t="str">
        <v/>
      </c>
      <c r="AD308" t="b">
        <f ca="1">AND(IF(metadata!B308="",FALSE,TRUE),COUNTIF(metadata!B:B, metadata!B308) = 1,NOT(ISERROR(SUMPRODUCT(SEARCH(MID(metadata!B308,ROW(INDIRECT("1:"&amp;LEN(metadata!B308))), 1),"0123456789abcdefghijklmnopqrstuvwxyzABCDEFGHIJKLMNOPQRSTUVWXYZ.")))))</f>
        <v>0</v>
      </c>
      <c r="AE308" t="b">
        <f>OR(AND(IF(metadata!C308="",FALSE,TRUE),OR(EXACT(metadata!C308,"not applicable"),EXACT(metadata!C308,"missing: not collected"),EXACT(metadata!C308,"missing: not provided"),EXACT(metadata!C308,"missing: restricted access"))),AND(IF(metadata!C308="",FALSE,ISNUMBER(VALUE(metadata!C308))),metadata!C308&gt;0))</f>
        <v>0</v>
      </c>
      <c r="AF308" t="b">
        <f>AND(IF(metadata!D308="",FALSE,TRUE),EXACT(metadata!D308,"missing: not provided"))</f>
        <v>0</v>
      </c>
      <c r="AG308" t="b">
        <f>AND(IF(metadata!E308="",FALSE,TRUE),EXACT(metadata!E308,"Host-associated"))</f>
        <v>0</v>
      </c>
      <c r="AH308" t="b">
        <f>AND(IF(metadata!F308="",FALSE,TRUE),OR(EXACT(metadata!F308,"Animal"),EXACT(metadata!F308,"Fungus"),EXACT(metadata!F308,"Plant")))</f>
        <v>0</v>
      </c>
      <c r="AI308" t="b">
        <f>AND(IF(metadata!G308="",FALSE,TRUE),OR(EXACT(metadata!G308,"Plant secretion"),EXACT(metadata!G308,"Plant rhizosphere"),EXACT(metadata!G308,"Plant surface"),EXACT(metadata!G308,"Plant corpus"),EXACT(metadata!G308,"Fungus surface"),EXACT(metadata!G308,"Fungus corpus"),EXACT(metadata!G308,"Animal surface"),EXACT(metadata!G308,"Animal proximal gut"),EXACT(metadata!G308,"Animal corpus"),EXACT(metadata!G308,"Animal distal gut"),EXACT(metadata!G308,"Animal secretion")))</f>
        <v>0</v>
      </c>
      <c r="AJ308" t="b">
        <f>OR(AND(IF(metadata!H308="",FALSE,TRUE),OR(EXACT(metadata!H308,"missing: not collected"),EXACT(metadata!H308,"missing: not provided"),EXACT(metadata!H308,"missing: restricted access"))),AND(IF(metadata!H308="",FALSE,TRUE),OR(EXACT(metadata!H308,"organism-associated habitat"),EXACT(metadata!H308,"plant-associated habitat"),EXACT(metadata!H308,"animal-associated habitat"),EXACT(metadata!H308,"insecta-associated habitat"),EXACT(metadata!H308,"mammalia-associated habitat"),EXACT(metadata!H308,"human-associated habitat"),EXACT(metadata!H308,"livestock-associated habitat"))))</f>
        <v>0</v>
      </c>
      <c r="AK308" t="b">
        <f>AND(IF(metadata!I308="",FALSE,TRUE),EXACT(metadata!I308,"host-associated"))</f>
        <v>0</v>
      </c>
      <c r="AL308" t="b">
        <f>OR(AND(IF(metadata!J308="",FALSE,TRUE),OR(EXACT(metadata!J308,"not applicable"),EXACT(metadata!J308,"missing: not collected"),EXACT(metadata!J308,"missing: not provided"),EXACT(metadata!J308,"missing: restricted access"))),AND(IF(metadata!J308="",FALSE,ISNUMBER(VALUE(metadata!J308))),metadata!J308&gt;0))</f>
        <v>0</v>
      </c>
      <c r="AM308" t="b">
        <f>AND(IF(metadata!K308="",FALSE,TRUE),EXACT(metadata!K308,"missing: not provided"))</f>
        <v>0</v>
      </c>
      <c r="AN308" t="b">
        <f>IF(metadata!L308="",FALSE,TRUE)</f>
        <v>0</v>
      </c>
      <c r="AO308" t="b">
        <f>IF(metadata!M308="",FALSE,TRUE)</f>
        <v>0</v>
      </c>
      <c r="AP308" t="b">
        <f>OR(AND(IF(metadata!N308="",FALSE,TRUE),OR(EXACT(metadata!N308,"not applicable"),EXACT(metadata!N308,"missing: not collected"),EXACT(metadata!N308,"missing: not provided"))),AND(IF(metadata!N308="",FALSE,IF(ISERROR(INT(metadata!N308)),FALSE,INT(metadata!N308)=metadata!N308)),metadata!N308&gt;0))</f>
        <v>0</v>
      </c>
      <c r="AQ308" t="b">
        <f>AND(IF(metadata!O308="",FALSE,TRUE),EXACT(metadata!O308,"Not applicable"))</f>
        <v>0</v>
      </c>
      <c r="AR308" t="b">
        <f>OR(AND(IF(metadata!P308="",FALSE,TRUE),OR(EXACT(metadata!P308,"not applicable"),EXACT(metadata!P308,"missing: not collected"),EXACT(metadata!P308,"missing: not provided"),EXACT(metadata!P308,"missing: restricted access"))),IF(metadata!P308="",FALSE,IF(ISERROR(INT(metadata!P308)),FALSE,INT(metadata!P308)=metadata!P308)))</f>
        <v>0</v>
      </c>
      <c r="AS308" t="b">
        <f>AND(IF(metadata!Q308="",FALSE,TRUE),EXACT(metadata!Q308,"Not applicable"))</f>
        <v>0</v>
      </c>
      <c r="AT308" t="b">
        <f>OR(AND(IF(metadata!R308="",FALSE,TRUE),OR(EXACT(metadata!R308,"not applicable"),EXACT(metadata!R308,"missing: not collected"),EXACT(metadata!R308,"missing: not provided"),EXACT(metadata!R308,"missing: restricted access"))),AND(IF(metadata!R308="",FALSE,ISNUMBER(VALUE(metadata!R308))),metadata!R308&gt;0))</f>
        <v>0</v>
      </c>
      <c r="AU308" t="b">
        <f>AND(IF(metadata!S308="",FALSE,TRUE),EXACT(metadata!S308,"missing: not provided"))</f>
        <v>0</v>
      </c>
    </row>
    <row r="309" spans="1:47" x14ac:dyDescent="0.2">
      <c r="A309" s="5" t="str">
        <f ca="1">IF(B309=" "," ",HYPERLINK(CONCATENATE("#metadata!",ADDRESS(INDEX($Y$2:$Y$1001,MATCH(ROWS($W$2:W309),$W$2:$W$1001,0),0),1)),INDEX($AB$2:$AB$1001,MATCH(ROWS($W$2:W309),$W$2:$W$1001,0),0)))</f>
        <v xml:space="preserve"> </v>
      </c>
      <c r="B309" s="4" t="str">
        <f ca="1">IF(OR(INDEX($X$2:$X$1001,MATCH(ROWS($W$2:W309),$W$2:$W$1001,0),1)&gt;=100000,INDEX($AD$1005:$AU$1005,1,MATCH(COLUMNS($AD$1006:AD1006),$AD$1006:$AU$1006,0))&gt;=100000), " ",IF(INDEX($AD$2:$AU$1001,MATCH(ROWS($W$2:W309),$W$2:$W$1001,0),MATCH(COLUMNS($AD$1006:AD1006),$AD$1006:$AU$1006,0)), HYPERLINK("#",""), HYPERLINK(CONCATENATE("#metadata!", ADDRESS(INDEX($Y$2:$Y$1001,MATCH(ROWS($W$2:W309),$W$2:$W$1001,0),0), INDEX($AD$1004:$AU$1004,1,MATCH(COLUMNS($AD$1006:AD1006),$AD$1006:$AU$1006,0)))),"Fix")))</f>
        <v xml:space="preserve"> </v>
      </c>
      <c r="C309" s="4" t="str">
        <f ca="1">IF(OR(INDEX($X$2:$X$1001,MATCH(ROWS($W$2:W309),$W$2:$W$1001,0),1)&gt;=100000,INDEX($AD$1005:$AU$1005,1,MATCH(COLUMNS($AD$1006:AE1006),$AD$1006:$AU$1006,0))&gt;=100000), " ",IF(INDEX($AD$2:$AU$1001,MATCH(ROWS($W$2:W309),$W$2:$W$1001,0),MATCH(COLUMNS($AD$1006:AE1006),$AD$1006:$AU$1006,0)), HYPERLINK("#",""), HYPERLINK(CONCATENATE("#metadata!", ADDRESS(INDEX($Y$2:$Y$1001,MATCH(ROWS($W$2:W309),$W$2:$W$1001,0),0), INDEX($AD$1004:$AU$1004,1,MATCH(COLUMNS($AD$1006:AE1006),$AD$1006:$AU$1006,0)))),"Fix")))</f>
        <v xml:space="preserve"> </v>
      </c>
      <c r="D309" s="4" t="str">
        <f ca="1">IF(OR(INDEX($X$2:$X$1001,MATCH(ROWS($W$2:W309),$W$2:$W$1001,0),1)&gt;=100000,INDEX($AD$1005:$AU$1005,1,MATCH(COLUMNS($AD$1006:AF1006),$AD$1006:$AU$1006,0))&gt;=100000), " ",IF(INDEX($AD$2:$AU$1001,MATCH(ROWS($W$2:W309),$W$2:$W$1001,0),MATCH(COLUMNS($AD$1006:AF1006),$AD$1006:$AU$1006,0)), HYPERLINK("#",""), HYPERLINK(CONCATENATE("#metadata!", ADDRESS(INDEX($Y$2:$Y$1001,MATCH(ROWS($W$2:W309),$W$2:$W$1001,0),0), INDEX($AD$1004:$AU$1004,1,MATCH(COLUMNS($AD$1006:AF1006),$AD$1006:$AU$1006,0)))),"Fix")))</f>
        <v xml:space="preserve"> </v>
      </c>
      <c r="E309" s="4" t="str">
        <f ca="1">IF(OR(INDEX($X$2:$X$1001,MATCH(ROWS($W$2:W309),$W$2:$W$1001,0),1)&gt;=100000,INDEX($AD$1005:$AU$1005,1,MATCH(COLUMNS($AD$1006:AG1006),$AD$1006:$AU$1006,0))&gt;=100000), " ",IF(INDEX($AD$2:$AU$1001,MATCH(ROWS($W$2:W309),$W$2:$W$1001,0),MATCH(COLUMNS($AD$1006:AG1006),$AD$1006:$AU$1006,0)), HYPERLINK("#",""), HYPERLINK(CONCATENATE("#metadata!", ADDRESS(INDEX($Y$2:$Y$1001,MATCH(ROWS($W$2:W309),$W$2:$W$1001,0),0), INDEX($AD$1004:$AU$1004,1,MATCH(COLUMNS($AD$1006:AG1006),$AD$1006:$AU$1006,0)))),"Fix")))</f>
        <v xml:space="preserve"> </v>
      </c>
      <c r="F309" s="4" t="str">
        <f ca="1">IF(OR(INDEX($X$2:$X$1001,MATCH(ROWS($W$2:W309),$W$2:$W$1001,0),1)&gt;=100000,INDEX($AD$1005:$AU$1005,1,MATCH(COLUMNS($AD$1006:AH1006),$AD$1006:$AU$1006,0))&gt;=100000), " ",IF(INDEX($AD$2:$AU$1001,MATCH(ROWS($W$2:W309),$W$2:$W$1001,0),MATCH(COLUMNS($AD$1006:AH1006),$AD$1006:$AU$1006,0)), HYPERLINK("#",""), HYPERLINK(CONCATENATE("#metadata!", ADDRESS(INDEX($Y$2:$Y$1001,MATCH(ROWS($W$2:W309),$W$2:$W$1001,0),0), INDEX($AD$1004:$AU$1004,1,MATCH(COLUMNS($AD$1006:AH1006),$AD$1006:$AU$1006,0)))),"Fix")))</f>
        <v xml:space="preserve"> </v>
      </c>
      <c r="G309" s="4" t="str">
        <f ca="1">IF(OR(INDEX($X$2:$X$1001,MATCH(ROWS($W$2:W309),$W$2:$W$1001,0),1)&gt;=100000,INDEX($AD$1005:$AU$1005,1,MATCH(COLUMNS($AD$1006:AI1006),$AD$1006:$AU$1006,0))&gt;=100000), " ",IF(INDEX($AD$2:$AU$1001,MATCH(ROWS($W$2:W309),$W$2:$W$1001,0),MATCH(COLUMNS($AD$1006:AI1006),$AD$1006:$AU$1006,0)), HYPERLINK("#",""), HYPERLINK(CONCATENATE("#metadata!", ADDRESS(INDEX($Y$2:$Y$1001,MATCH(ROWS($W$2:W309),$W$2:$W$1001,0),0), INDEX($AD$1004:$AU$1004,1,MATCH(COLUMNS($AD$1006:AI1006),$AD$1006:$AU$1006,0)))),"Fix")))</f>
        <v xml:space="preserve"> </v>
      </c>
      <c r="H309" s="4" t="str">
        <f ca="1">IF(OR(INDEX($X$2:$X$1001,MATCH(ROWS($W$2:W309),$W$2:$W$1001,0),1)&gt;=100000,INDEX($AD$1005:$AU$1005,1,MATCH(COLUMNS($AD$1006:AJ1006),$AD$1006:$AU$1006,0))&gt;=100000), " ",IF(INDEX($AD$2:$AU$1001,MATCH(ROWS($W$2:W309),$W$2:$W$1001,0),MATCH(COLUMNS($AD$1006:AJ1006),$AD$1006:$AU$1006,0)), HYPERLINK("#",""), HYPERLINK(CONCATENATE("#metadata!", ADDRESS(INDEX($Y$2:$Y$1001,MATCH(ROWS($W$2:W309),$W$2:$W$1001,0),0), INDEX($AD$1004:$AU$1004,1,MATCH(COLUMNS($AD$1006:AJ1006),$AD$1006:$AU$1006,0)))),"Fix")))</f>
        <v xml:space="preserve"> </v>
      </c>
      <c r="I309" s="4" t="str">
        <f ca="1">IF(OR(INDEX($X$2:$X$1001,MATCH(ROWS($W$2:W309),$W$2:$W$1001,0),1)&gt;=100000,INDEX($AD$1005:$AU$1005,1,MATCH(COLUMNS($AD$1006:AK1006),$AD$1006:$AU$1006,0))&gt;=100000), " ",IF(INDEX($AD$2:$AU$1001,MATCH(ROWS($W$2:W309),$W$2:$W$1001,0),MATCH(COLUMNS($AD$1006:AK1006),$AD$1006:$AU$1006,0)), HYPERLINK("#",""), HYPERLINK(CONCATENATE("#metadata!", ADDRESS(INDEX($Y$2:$Y$1001,MATCH(ROWS($W$2:W309),$W$2:$W$1001,0),0), INDEX($AD$1004:$AU$1004,1,MATCH(COLUMNS($AD$1006:AK1006),$AD$1006:$AU$1006,0)))),"Fix")))</f>
        <v xml:space="preserve"> </v>
      </c>
      <c r="J309" s="4" t="str">
        <f ca="1">IF(OR(INDEX($X$2:$X$1001,MATCH(ROWS($W$2:W309),$W$2:$W$1001,0),1)&gt;=100000,INDEX($AD$1005:$AU$1005,1,MATCH(COLUMNS($AD$1006:AL1006),$AD$1006:$AU$1006,0))&gt;=100000), " ",IF(INDEX($AD$2:$AU$1001,MATCH(ROWS($W$2:W309),$W$2:$W$1001,0),MATCH(COLUMNS($AD$1006:AL1006),$AD$1006:$AU$1006,0)), HYPERLINK("#",""), HYPERLINK(CONCATENATE("#metadata!", ADDRESS(INDEX($Y$2:$Y$1001,MATCH(ROWS($W$2:W309),$W$2:$W$1001,0),0), INDEX($AD$1004:$AU$1004,1,MATCH(COLUMNS($AD$1006:AL1006),$AD$1006:$AU$1006,0)))),"Fix")))</f>
        <v xml:space="preserve"> </v>
      </c>
      <c r="K309" s="4" t="str">
        <f ca="1">IF(OR(INDEX($X$2:$X$1001,MATCH(ROWS($W$2:W309),$W$2:$W$1001,0),1)&gt;=100000,INDEX($AD$1005:$AU$1005,1,MATCH(COLUMNS($AD$1006:AM1006),$AD$1006:$AU$1006,0))&gt;=100000), " ",IF(INDEX($AD$2:$AU$1001,MATCH(ROWS($W$2:W309),$W$2:$W$1001,0),MATCH(COLUMNS($AD$1006:AM1006),$AD$1006:$AU$1006,0)), HYPERLINK("#",""), HYPERLINK(CONCATENATE("#metadata!", ADDRESS(INDEX($Y$2:$Y$1001,MATCH(ROWS($W$2:W309),$W$2:$W$1001,0),0), INDEX($AD$1004:$AU$1004,1,MATCH(COLUMNS($AD$1006:AM1006),$AD$1006:$AU$1006,0)))),"Fix")))</f>
        <v xml:space="preserve"> </v>
      </c>
      <c r="L309" s="4" t="str">
        <f ca="1">IF(OR(INDEX($X$2:$X$1001,MATCH(ROWS($W$2:W309),$W$2:$W$1001,0),1)&gt;=100000,INDEX($AD$1005:$AU$1005,1,MATCH(COLUMNS($AD$1006:AN1006),$AD$1006:$AU$1006,0))&gt;=100000), " ",IF(INDEX($AD$2:$AU$1001,MATCH(ROWS($W$2:W309),$W$2:$W$1001,0),MATCH(COLUMNS($AD$1006:AN1006),$AD$1006:$AU$1006,0)), HYPERLINK("#",""), HYPERLINK(CONCATENATE("#metadata!", ADDRESS(INDEX($Y$2:$Y$1001,MATCH(ROWS($W$2:W309),$W$2:$W$1001,0),0), INDEX($AD$1004:$AU$1004,1,MATCH(COLUMNS($AD$1006:AN1006),$AD$1006:$AU$1006,0)))),"Fix")))</f>
        <v xml:space="preserve"> </v>
      </c>
      <c r="M309" s="4" t="str">
        <f ca="1">IF(OR(INDEX($X$2:$X$1001,MATCH(ROWS($W$2:W309),$W$2:$W$1001,0),1)&gt;=100000,INDEX($AD$1005:$AU$1005,1,MATCH(COLUMNS($AD$1006:AO1006),$AD$1006:$AU$1006,0))&gt;=100000), " ",IF(INDEX($AD$2:$AU$1001,MATCH(ROWS($W$2:W309),$W$2:$W$1001,0),MATCH(COLUMNS($AD$1006:AO1006),$AD$1006:$AU$1006,0)), HYPERLINK("#",""), HYPERLINK(CONCATENATE("#metadata!", ADDRESS(INDEX($Y$2:$Y$1001,MATCH(ROWS($W$2:W309),$W$2:$W$1001,0),0), INDEX($AD$1004:$AU$1004,1,MATCH(COLUMNS($AD$1006:AO1006),$AD$1006:$AU$1006,0)))),"Fix")))</f>
        <v xml:space="preserve"> </v>
      </c>
      <c r="N309" s="4" t="str">
        <f ca="1">IF(OR(INDEX($X$2:$X$1001,MATCH(ROWS($W$2:W309),$W$2:$W$1001,0),1)&gt;=100000,INDEX($AD$1005:$AU$1005,1,MATCH(COLUMNS($AD$1006:AP1006),$AD$1006:$AU$1006,0))&gt;=100000), " ",IF(INDEX($AD$2:$AU$1001,MATCH(ROWS($W$2:W309),$W$2:$W$1001,0),MATCH(COLUMNS($AD$1006:AP1006),$AD$1006:$AU$1006,0)), HYPERLINK("#",""), HYPERLINK(CONCATENATE("#metadata!", ADDRESS(INDEX($Y$2:$Y$1001,MATCH(ROWS($W$2:W309),$W$2:$W$1001,0),0), INDEX($AD$1004:$AU$1004,1,MATCH(COLUMNS($AD$1006:AP1006),$AD$1006:$AU$1006,0)))),"Fix")))</f>
        <v xml:space="preserve"> </v>
      </c>
      <c r="O309" s="4" t="str">
        <f ca="1">IF(OR(INDEX($X$2:$X$1001,MATCH(ROWS($W$2:W309),$W$2:$W$1001,0),1)&gt;=100000,INDEX($AD$1005:$AU$1005,1,MATCH(COLUMNS($AD$1006:AQ1006),$AD$1006:$AU$1006,0))&gt;=100000), " ",IF(INDEX($AD$2:$AU$1001,MATCH(ROWS($W$2:W309),$W$2:$W$1001,0),MATCH(COLUMNS($AD$1006:AQ1006),$AD$1006:$AU$1006,0)), HYPERLINK("#",""), HYPERLINK(CONCATENATE("#metadata!", ADDRESS(INDEX($Y$2:$Y$1001,MATCH(ROWS($W$2:W309),$W$2:$W$1001,0),0), INDEX($AD$1004:$AU$1004,1,MATCH(COLUMNS($AD$1006:AQ1006),$AD$1006:$AU$1006,0)))),"Fix")))</f>
        <v xml:space="preserve"> </v>
      </c>
      <c r="P309" s="4" t="str">
        <f ca="1">IF(OR(INDEX($X$2:$X$1001,MATCH(ROWS($W$2:W309),$W$2:$W$1001,0),1)&gt;=100000,INDEX($AD$1005:$AU$1005,1,MATCH(COLUMNS($AD$1006:AR1006),$AD$1006:$AU$1006,0))&gt;=100000), " ",IF(INDEX($AD$2:$AU$1001,MATCH(ROWS($W$2:W309),$W$2:$W$1001,0),MATCH(COLUMNS($AD$1006:AR1006),$AD$1006:$AU$1006,0)), HYPERLINK("#",""), HYPERLINK(CONCATENATE("#metadata!", ADDRESS(INDEX($Y$2:$Y$1001,MATCH(ROWS($W$2:W309),$W$2:$W$1001,0),0), INDEX($AD$1004:$AU$1004,1,MATCH(COLUMNS($AD$1006:AR1006),$AD$1006:$AU$1006,0)))),"Fix")))</f>
        <v xml:space="preserve"> </v>
      </c>
      <c r="Q309" s="4" t="str">
        <f ca="1">IF(OR(INDEX($X$2:$X$1001,MATCH(ROWS($W$2:W309),$W$2:$W$1001,0),1)&gt;=100000,INDEX($AD$1005:$AU$1005,1,MATCH(COLUMNS($AD$1006:AS1006),$AD$1006:$AU$1006,0))&gt;=100000), " ",IF(INDEX($AD$2:$AU$1001,MATCH(ROWS($W$2:W309),$W$2:$W$1001,0),MATCH(COLUMNS($AD$1006:AS1006),$AD$1006:$AU$1006,0)), HYPERLINK("#",""), HYPERLINK(CONCATENATE("#metadata!", ADDRESS(INDEX($Y$2:$Y$1001,MATCH(ROWS($W$2:W309),$W$2:$W$1001,0),0), INDEX($AD$1004:$AU$1004,1,MATCH(COLUMNS($AD$1006:AS1006),$AD$1006:$AU$1006,0)))),"Fix")))</f>
        <v xml:space="preserve"> </v>
      </c>
      <c r="R309" s="4" t="str">
        <f ca="1">IF(OR(INDEX($X$2:$X$1001,MATCH(ROWS($W$2:W309),$W$2:$W$1001,0),1)&gt;=100000,INDEX($AD$1005:$AU$1005,1,MATCH(COLUMNS($AD$1006:AT1006),$AD$1006:$AU$1006,0))&gt;=100000), " ",IF(INDEX($AD$2:$AU$1001,MATCH(ROWS($W$2:W309),$W$2:$W$1001,0),MATCH(COLUMNS($AD$1006:AT1006),$AD$1006:$AU$1006,0)), HYPERLINK("#",""), HYPERLINK(CONCATENATE("#metadata!", ADDRESS(INDEX($Y$2:$Y$1001,MATCH(ROWS($W$2:W309),$W$2:$W$1001,0),0), INDEX($AD$1004:$AU$1004,1,MATCH(COLUMNS($AD$1006:AT1006),$AD$1006:$AU$1006,0)))),"Fix")))</f>
        <v xml:space="preserve"> </v>
      </c>
      <c r="S309" s="4" t="str">
        <f ca="1">IF(OR(INDEX($X$2:$X$1001,MATCH(ROWS($W$2:W309),$W$2:$W$1001,0),1)&gt;=100000,INDEX($AD$1005:$AU$1005,1,MATCH(COLUMNS($AD$1006:AU1006),$AD$1006:$AU$1006,0))&gt;=100000), " ",IF(INDEX($AD$2:$AU$1001,MATCH(ROWS($W$2:W309),$W$2:$W$1001,0),MATCH(COLUMNS($AD$1006:AU1006),$AD$1006:$AU$1006,0)), HYPERLINK("#",""), HYPERLINK(CONCATENATE("#metadata!", ADDRESS(INDEX($Y$2:$Y$1001,MATCH(ROWS($W$2:W309),$W$2:$W$1001,0),0), INDEX($AD$1004:$AU$1004,1,MATCH(COLUMNS($AD$1006:AU1006),$AD$1006:$AU$1006,0)))),"Fix")))</f>
        <v xml:space="preserve"> </v>
      </c>
      <c r="W309">
        <v>308</v>
      </c>
      <c r="X309">
        <v>100309</v>
      </c>
      <c r="Y309">
        <v>309</v>
      </c>
      <c r="Z309" t="b">
        <f t="shared" si="4"/>
        <v>1</v>
      </c>
      <c r="AA309" t="b">
        <f>COUNTBLANK(metadata!B309:S309)=COLUMNS(metadata!B309:S309)</f>
        <v>1</v>
      </c>
      <c r="AB309" t="str">
        <v/>
      </c>
      <c r="AD309" t="b">
        <f ca="1">AND(IF(metadata!B309="",FALSE,TRUE),COUNTIF(metadata!B:B, metadata!B309) = 1,NOT(ISERROR(SUMPRODUCT(SEARCH(MID(metadata!B309,ROW(INDIRECT("1:"&amp;LEN(metadata!B309))), 1),"0123456789abcdefghijklmnopqrstuvwxyzABCDEFGHIJKLMNOPQRSTUVWXYZ.")))))</f>
        <v>0</v>
      </c>
      <c r="AE309" t="b">
        <f>OR(AND(IF(metadata!C309="",FALSE,TRUE),OR(EXACT(metadata!C309,"not applicable"),EXACT(metadata!C309,"missing: not collected"),EXACT(metadata!C309,"missing: not provided"),EXACT(metadata!C309,"missing: restricted access"))),AND(IF(metadata!C309="",FALSE,ISNUMBER(VALUE(metadata!C309))),metadata!C309&gt;0))</f>
        <v>0</v>
      </c>
      <c r="AF309" t="b">
        <f>AND(IF(metadata!D309="",FALSE,TRUE),EXACT(metadata!D309,"missing: not provided"))</f>
        <v>0</v>
      </c>
      <c r="AG309" t="b">
        <f>AND(IF(metadata!E309="",FALSE,TRUE),EXACT(metadata!E309,"Host-associated"))</f>
        <v>0</v>
      </c>
      <c r="AH309" t="b">
        <f>AND(IF(metadata!F309="",FALSE,TRUE),OR(EXACT(metadata!F309,"Animal"),EXACT(metadata!F309,"Fungus"),EXACT(metadata!F309,"Plant")))</f>
        <v>0</v>
      </c>
      <c r="AI309" t="b">
        <f>AND(IF(metadata!G309="",FALSE,TRUE),OR(EXACT(metadata!G309,"Plant secretion"),EXACT(metadata!G309,"Plant rhizosphere"),EXACT(metadata!G309,"Plant surface"),EXACT(metadata!G309,"Plant corpus"),EXACT(metadata!G309,"Fungus surface"),EXACT(metadata!G309,"Fungus corpus"),EXACT(metadata!G309,"Animal surface"),EXACT(metadata!G309,"Animal proximal gut"),EXACT(metadata!G309,"Animal corpus"),EXACT(metadata!G309,"Animal distal gut"),EXACT(metadata!G309,"Animal secretion")))</f>
        <v>0</v>
      </c>
      <c r="AJ309" t="b">
        <f>OR(AND(IF(metadata!H309="",FALSE,TRUE),OR(EXACT(metadata!H309,"missing: not collected"),EXACT(metadata!H309,"missing: not provided"),EXACT(metadata!H309,"missing: restricted access"))),AND(IF(metadata!H309="",FALSE,TRUE),OR(EXACT(metadata!H309,"organism-associated habitat"),EXACT(metadata!H309,"plant-associated habitat"),EXACT(metadata!H309,"animal-associated habitat"),EXACT(metadata!H309,"insecta-associated habitat"),EXACT(metadata!H309,"mammalia-associated habitat"),EXACT(metadata!H309,"human-associated habitat"),EXACT(metadata!H309,"livestock-associated habitat"))))</f>
        <v>0</v>
      </c>
      <c r="AK309" t="b">
        <f>AND(IF(metadata!I309="",FALSE,TRUE),EXACT(metadata!I309,"host-associated"))</f>
        <v>0</v>
      </c>
      <c r="AL309" t="b">
        <f>OR(AND(IF(metadata!J309="",FALSE,TRUE),OR(EXACT(metadata!J309,"not applicable"),EXACT(metadata!J309,"missing: not collected"),EXACT(metadata!J309,"missing: not provided"),EXACT(metadata!J309,"missing: restricted access"))),AND(IF(metadata!J309="",FALSE,ISNUMBER(VALUE(metadata!J309))),metadata!J309&gt;0))</f>
        <v>0</v>
      </c>
      <c r="AM309" t="b">
        <f>AND(IF(metadata!K309="",FALSE,TRUE),EXACT(metadata!K309,"missing: not provided"))</f>
        <v>0</v>
      </c>
      <c r="AN309" t="b">
        <f>IF(metadata!L309="",FALSE,TRUE)</f>
        <v>0</v>
      </c>
      <c r="AO309" t="b">
        <f>IF(metadata!M309="",FALSE,TRUE)</f>
        <v>0</v>
      </c>
      <c r="AP309" t="b">
        <f>OR(AND(IF(metadata!N309="",FALSE,TRUE),OR(EXACT(metadata!N309,"not applicable"),EXACT(metadata!N309,"missing: not collected"),EXACT(metadata!N309,"missing: not provided"))),AND(IF(metadata!N309="",FALSE,IF(ISERROR(INT(metadata!N309)),FALSE,INT(metadata!N309)=metadata!N309)),metadata!N309&gt;0))</f>
        <v>0</v>
      </c>
      <c r="AQ309" t="b">
        <f>AND(IF(metadata!O309="",FALSE,TRUE),EXACT(metadata!O309,"Not applicable"))</f>
        <v>0</v>
      </c>
      <c r="AR309" t="b">
        <f>OR(AND(IF(metadata!P309="",FALSE,TRUE),OR(EXACT(metadata!P309,"not applicable"),EXACT(metadata!P309,"missing: not collected"),EXACT(metadata!P309,"missing: not provided"),EXACT(metadata!P309,"missing: restricted access"))),IF(metadata!P309="",FALSE,IF(ISERROR(INT(metadata!P309)),FALSE,INT(metadata!P309)=metadata!P309)))</f>
        <v>0</v>
      </c>
      <c r="AS309" t="b">
        <f>AND(IF(metadata!Q309="",FALSE,TRUE),EXACT(metadata!Q309,"Not applicable"))</f>
        <v>0</v>
      </c>
      <c r="AT309" t="b">
        <f>OR(AND(IF(metadata!R309="",FALSE,TRUE),OR(EXACT(metadata!R309,"not applicable"),EXACT(metadata!R309,"missing: not collected"),EXACT(metadata!R309,"missing: not provided"),EXACT(metadata!R309,"missing: restricted access"))),AND(IF(metadata!R309="",FALSE,ISNUMBER(VALUE(metadata!R309))),metadata!R309&gt;0))</f>
        <v>0</v>
      </c>
      <c r="AU309" t="b">
        <f>AND(IF(metadata!S309="",FALSE,TRUE),EXACT(metadata!S309,"missing: not provided"))</f>
        <v>0</v>
      </c>
    </row>
    <row r="310" spans="1:47" x14ac:dyDescent="0.2">
      <c r="A310" s="5" t="str">
        <f ca="1">IF(B310=" "," ",HYPERLINK(CONCATENATE("#metadata!",ADDRESS(INDEX($Y$2:$Y$1001,MATCH(ROWS($W$2:W310),$W$2:$W$1001,0),0),1)),INDEX($AB$2:$AB$1001,MATCH(ROWS($W$2:W310),$W$2:$W$1001,0),0)))</f>
        <v xml:space="preserve"> </v>
      </c>
      <c r="B310" s="4" t="str">
        <f ca="1">IF(OR(INDEX($X$2:$X$1001,MATCH(ROWS($W$2:W310),$W$2:$W$1001,0),1)&gt;=100000,INDEX($AD$1005:$AU$1005,1,MATCH(COLUMNS($AD$1006:AD1006),$AD$1006:$AU$1006,0))&gt;=100000), " ",IF(INDEX($AD$2:$AU$1001,MATCH(ROWS($W$2:W310),$W$2:$W$1001,0),MATCH(COLUMNS($AD$1006:AD1006),$AD$1006:$AU$1006,0)), HYPERLINK("#",""), HYPERLINK(CONCATENATE("#metadata!", ADDRESS(INDEX($Y$2:$Y$1001,MATCH(ROWS($W$2:W310),$W$2:$W$1001,0),0), INDEX($AD$1004:$AU$1004,1,MATCH(COLUMNS($AD$1006:AD1006),$AD$1006:$AU$1006,0)))),"Fix")))</f>
        <v xml:space="preserve"> </v>
      </c>
      <c r="C310" s="4" t="str">
        <f ca="1">IF(OR(INDEX($X$2:$X$1001,MATCH(ROWS($W$2:W310),$W$2:$W$1001,0),1)&gt;=100000,INDEX($AD$1005:$AU$1005,1,MATCH(COLUMNS($AD$1006:AE1006),$AD$1006:$AU$1006,0))&gt;=100000), " ",IF(INDEX($AD$2:$AU$1001,MATCH(ROWS($W$2:W310),$W$2:$W$1001,0),MATCH(COLUMNS($AD$1006:AE1006),$AD$1006:$AU$1006,0)), HYPERLINK("#",""), HYPERLINK(CONCATENATE("#metadata!", ADDRESS(INDEX($Y$2:$Y$1001,MATCH(ROWS($W$2:W310),$W$2:$W$1001,0),0), INDEX($AD$1004:$AU$1004,1,MATCH(COLUMNS($AD$1006:AE1006),$AD$1006:$AU$1006,0)))),"Fix")))</f>
        <v xml:space="preserve"> </v>
      </c>
      <c r="D310" s="4" t="str">
        <f ca="1">IF(OR(INDEX($X$2:$X$1001,MATCH(ROWS($W$2:W310),$W$2:$W$1001,0),1)&gt;=100000,INDEX($AD$1005:$AU$1005,1,MATCH(COLUMNS($AD$1006:AF1006),$AD$1006:$AU$1006,0))&gt;=100000), " ",IF(INDEX($AD$2:$AU$1001,MATCH(ROWS($W$2:W310),$W$2:$W$1001,0),MATCH(COLUMNS($AD$1006:AF1006),$AD$1006:$AU$1006,0)), HYPERLINK("#",""), HYPERLINK(CONCATENATE("#metadata!", ADDRESS(INDEX($Y$2:$Y$1001,MATCH(ROWS($W$2:W310),$W$2:$W$1001,0),0), INDEX($AD$1004:$AU$1004,1,MATCH(COLUMNS($AD$1006:AF1006),$AD$1006:$AU$1006,0)))),"Fix")))</f>
        <v xml:space="preserve"> </v>
      </c>
      <c r="E310" s="4" t="str">
        <f ca="1">IF(OR(INDEX($X$2:$X$1001,MATCH(ROWS($W$2:W310),$W$2:$W$1001,0),1)&gt;=100000,INDEX($AD$1005:$AU$1005,1,MATCH(COLUMNS($AD$1006:AG1006),$AD$1006:$AU$1006,0))&gt;=100000), " ",IF(INDEX($AD$2:$AU$1001,MATCH(ROWS($W$2:W310),$W$2:$W$1001,0),MATCH(COLUMNS($AD$1006:AG1006),$AD$1006:$AU$1006,0)), HYPERLINK("#",""), HYPERLINK(CONCATENATE("#metadata!", ADDRESS(INDEX($Y$2:$Y$1001,MATCH(ROWS($W$2:W310),$W$2:$W$1001,0),0), INDEX($AD$1004:$AU$1004,1,MATCH(COLUMNS($AD$1006:AG1006),$AD$1006:$AU$1006,0)))),"Fix")))</f>
        <v xml:space="preserve"> </v>
      </c>
      <c r="F310" s="4" t="str">
        <f ca="1">IF(OR(INDEX($X$2:$X$1001,MATCH(ROWS($W$2:W310),$W$2:$W$1001,0),1)&gt;=100000,INDEX($AD$1005:$AU$1005,1,MATCH(COLUMNS($AD$1006:AH1006),$AD$1006:$AU$1006,0))&gt;=100000), " ",IF(INDEX($AD$2:$AU$1001,MATCH(ROWS($W$2:W310),$W$2:$W$1001,0),MATCH(COLUMNS($AD$1006:AH1006),$AD$1006:$AU$1006,0)), HYPERLINK("#",""), HYPERLINK(CONCATENATE("#metadata!", ADDRESS(INDEX($Y$2:$Y$1001,MATCH(ROWS($W$2:W310),$W$2:$W$1001,0),0), INDEX($AD$1004:$AU$1004,1,MATCH(COLUMNS($AD$1006:AH1006),$AD$1006:$AU$1006,0)))),"Fix")))</f>
        <v xml:space="preserve"> </v>
      </c>
      <c r="G310" s="4" t="str">
        <f ca="1">IF(OR(INDEX($X$2:$X$1001,MATCH(ROWS($W$2:W310),$W$2:$W$1001,0),1)&gt;=100000,INDEX($AD$1005:$AU$1005,1,MATCH(COLUMNS($AD$1006:AI1006),$AD$1006:$AU$1006,0))&gt;=100000), " ",IF(INDEX($AD$2:$AU$1001,MATCH(ROWS($W$2:W310),$W$2:$W$1001,0),MATCH(COLUMNS($AD$1006:AI1006),$AD$1006:$AU$1006,0)), HYPERLINK("#",""), HYPERLINK(CONCATENATE("#metadata!", ADDRESS(INDEX($Y$2:$Y$1001,MATCH(ROWS($W$2:W310),$W$2:$W$1001,0),0), INDEX($AD$1004:$AU$1004,1,MATCH(COLUMNS($AD$1006:AI1006),$AD$1006:$AU$1006,0)))),"Fix")))</f>
        <v xml:space="preserve"> </v>
      </c>
      <c r="H310" s="4" t="str">
        <f ca="1">IF(OR(INDEX($X$2:$X$1001,MATCH(ROWS($W$2:W310),$W$2:$W$1001,0),1)&gt;=100000,INDEX($AD$1005:$AU$1005,1,MATCH(COLUMNS($AD$1006:AJ1006),$AD$1006:$AU$1006,0))&gt;=100000), " ",IF(INDEX($AD$2:$AU$1001,MATCH(ROWS($W$2:W310),$W$2:$W$1001,0),MATCH(COLUMNS($AD$1006:AJ1006),$AD$1006:$AU$1006,0)), HYPERLINK("#",""), HYPERLINK(CONCATENATE("#metadata!", ADDRESS(INDEX($Y$2:$Y$1001,MATCH(ROWS($W$2:W310),$W$2:$W$1001,0),0), INDEX($AD$1004:$AU$1004,1,MATCH(COLUMNS($AD$1006:AJ1006),$AD$1006:$AU$1006,0)))),"Fix")))</f>
        <v xml:space="preserve"> </v>
      </c>
      <c r="I310" s="4" t="str">
        <f ca="1">IF(OR(INDEX($X$2:$X$1001,MATCH(ROWS($W$2:W310),$W$2:$W$1001,0),1)&gt;=100000,INDEX($AD$1005:$AU$1005,1,MATCH(COLUMNS($AD$1006:AK1006),$AD$1006:$AU$1006,0))&gt;=100000), " ",IF(INDEX($AD$2:$AU$1001,MATCH(ROWS($W$2:W310),$W$2:$W$1001,0),MATCH(COLUMNS($AD$1006:AK1006),$AD$1006:$AU$1006,0)), HYPERLINK("#",""), HYPERLINK(CONCATENATE("#metadata!", ADDRESS(INDEX($Y$2:$Y$1001,MATCH(ROWS($W$2:W310),$W$2:$W$1001,0),0), INDEX($AD$1004:$AU$1004,1,MATCH(COLUMNS($AD$1006:AK1006),$AD$1006:$AU$1006,0)))),"Fix")))</f>
        <v xml:space="preserve"> </v>
      </c>
      <c r="J310" s="4" t="str">
        <f ca="1">IF(OR(INDEX($X$2:$X$1001,MATCH(ROWS($W$2:W310),$W$2:$W$1001,0),1)&gt;=100000,INDEX($AD$1005:$AU$1005,1,MATCH(COLUMNS($AD$1006:AL1006),$AD$1006:$AU$1006,0))&gt;=100000), " ",IF(INDEX($AD$2:$AU$1001,MATCH(ROWS($W$2:W310),$W$2:$W$1001,0),MATCH(COLUMNS($AD$1006:AL1006),$AD$1006:$AU$1006,0)), HYPERLINK("#",""), HYPERLINK(CONCATENATE("#metadata!", ADDRESS(INDEX($Y$2:$Y$1001,MATCH(ROWS($W$2:W310),$W$2:$W$1001,0),0), INDEX($AD$1004:$AU$1004,1,MATCH(COLUMNS($AD$1006:AL1006),$AD$1006:$AU$1006,0)))),"Fix")))</f>
        <v xml:space="preserve"> </v>
      </c>
      <c r="K310" s="4" t="str">
        <f ca="1">IF(OR(INDEX($X$2:$X$1001,MATCH(ROWS($W$2:W310),$W$2:$W$1001,0),1)&gt;=100000,INDEX($AD$1005:$AU$1005,1,MATCH(COLUMNS($AD$1006:AM1006),$AD$1006:$AU$1006,0))&gt;=100000), " ",IF(INDEX($AD$2:$AU$1001,MATCH(ROWS($W$2:W310),$W$2:$W$1001,0),MATCH(COLUMNS($AD$1006:AM1006),$AD$1006:$AU$1006,0)), HYPERLINK("#",""), HYPERLINK(CONCATENATE("#metadata!", ADDRESS(INDEX($Y$2:$Y$1001,MATCH(ROWS($W$2:W310),$W$2:$W$1001,0),0), INDEX($AD$1004:$AU$1004,1,MATCH(COLUMNS($AD$1006:AM1006),$AD$1006:$AU$1006,0)))),"Fix")))</f>
        <v xml:space="preserve"> </v>
      </c>
      <c r="L310" s="4" t="str">
        <f ca="1">IF(OR(INDEX($X$2:$X$1001,MATCH(ROWS($W$2:W310),$W$2:$W$1001,0),1)&gt;=100000,INDEX($AD$1005:$AU$1005,1,MATCH(COLUMNS($AD$1006:AN1006),$AD$1006:$AU$1006,0))&gt;=100000), " ",IF(INDEX($AD$2:$AU$1001,MATCH(ROWS($W$2:W310),$W$2:$W$1001,0),MATCH(COLUMNS($AD$1006:AN1006),$AD$1006:$AU$1006,0)), HYPERLINK("#",""), HYPERLINK(CONCATENATE("#metadata!", ADDRESS(INDEX($Y$2:$Y$1001,MATCH(ROWS($W$2:W310),$W$2:$W$1001,0),0), INDEX($AD$1004:$AU$1004,1,MATCH(COLUMNS($AD$1006:AN1006),$AD$1006:$AU$1006,0)))),"Fix")))</f>
        <v xml:space="preserve"> </v>
      </c>
      <c r="M310" s="4" t="str">
        <f ca="1">IF(OR(INDEX($X$2:$X$1001,MATCH(ROWS($W$2:W310),$W$2:$W$1001,0),1)&gt;=100000,INDEX($AD$1005:$AU$1005,1,MATCH(COLUMNS($AD$1006:AO1006),$AD$1006:$AU$1006,0))&gt;=100000), " ",IF(INDEX($AD$2:$AU$1001,MATCH(ROWS($W$2:W310),$W$2:$W$1001,0),MATCH(COLUMNS($AD$1006:AO1006),$AD$1006:$AU$1006,0)), HYPERLINK("#",""), HYPERLINK(CONCATENATE("#metadata!", ADDRESS(INDEX($Y$2:$Y$1001,MATCH(ROWS($W$2:W310),$W$2:$W$1001,0),0), INDEX($AD$1004:$AU$1004,1,MATCH(COLUMNS($AD$1006:AO1006),$AD$1006:$AU$1006,0)))),"Fix")))</f>
        <v xml:space="preserve"> </v>
      </c>
      <c r="N310" s="4" t="str">
        <f ca="1">IF(OR(INDEX($X$2:$X$1001,MATCH(ROWS($W$2:W310),$W$2:$W$1001,0),1)&gt;=100000,INDEX($AD$1005:$AU$1005,1,MATCH(COLUMNS($AD$1006:AP1006),$AD$1006:$AU$1006,0))&gt;=100000), " ",IF(INDEX($AD$2:$AU$1001,MATCH(ROWS($W$2:W310),$W$2:$W$1001,0),MATCH(COLUMNS($AD$1006:AP1006),$AD$1006:$AU$1006,0)), HYPERLINK("#",""), HYPERLINK(CONCATENATE("#metadata!", ADDRESS(INDEX($Y$2:$Y$1001,MATCH(ROWS($W$2:W310),$W$2:$W$1001,0),0), INDEX($AD$1004:$AU$1004,1,MATCH(COLUMNS($AD$1006:AP1006),$AD$1006:$AU$1006,0)))),"Fix")))</f>
        <v xml:space="preserve"> </v>
      </c>
      <c r="O310" s="4" t="str">
        <f ca="1">IF(OR(INDEX($X$2:$X$1001,MATCH(ROWS($W$2:W310),$W$2:$W$1001,0),1)&gt;=100000,INDEX($AD$1005:$AU$1005,1,MATCH(COLUMNS($AD$1006:AQ1006),$AD$1006:$AU$1006,0))&gt;=100000), " ",IF(INDEX($AD$2:$AU$1001,MATCH(ROWS($W$2:W310),$W$2:$W$1001,0),MATCH(COLUMNS($AD$1006:AQ1006),$AD$1006:$AU$1006,0)), HYPERLINK("#",""), HYPERLINK(CONCATENATE("#metadata!", ADDRESS(INDEX($Y$2:$Y$1001,MATCH(ROWS($W$2:W310),$W$2:$W$1001,0),0), INDEX($AD$1004:$AU$1004,1,MATCH(COLUMNS($AD$1006:AQ1006),$AD$1006:$AU$1006,0)))),"Fix")))</f>
        <v xml:space="preserve"> </v>
      </c>
      <c r="P310" s="4" t="str">
        <f ca="1">IF(OR(INDEX($X$2:$X$1001,MATCH(ROWS($W$2:W310),$W$2:$W$1001,0),1)&gt;=100000,INDEX($AD$1005:$AU$1005,1,MATCH(COLUMNS($AD$1006:AR1006),$AD$1006:$AU$1006,0))&gt;=100000), " ",IF(INDEX($AD$2:$AU$1001,MATCH(ROWS($W$2:W310),$W$2:$W$1001,0),MATCH(COLUMNS($AD$1006:AR1006),$AD$1006:$AU$1006,0)), HYPERLINK("#",""), HYPERLINK(CONCATENATE("#metadata!", ADDRESS(INDEX($Y$2:$Y$1001,MATCH(ROWS($W$2:W310),$W$2:$W$1001,0),0), INDEX($AD$1004:$AU$1004,1,MATCH(COLUMNS($AD$1006:AR1006),$AD$1006:$AU$1006,0)))),"Fix")))</f>
        <v xml:space="preserve"> </v>
      </c>
      <c r="Q310" s="4" t="str">
        <f ca="1">IF(OR(INDEX($X$2:$X$1001,MATCH(ROWS($W$2:W310),$W$2:$W$1001,0),1)&gt;=100000,INDEX($AD$1005:$AU$1005,1,MATCH(COLUMNS($AD$1006:AS1006),$AD$1006:$AU$1006,0))&gt;=100000), " ",IF(INDEX($AD$2:$AU$1001,MATCH(ROWS($W$2:W310),$W$2:$W$1001,0),MATCH(COLUMNS($AD$1006:AS1006),$AD$1006:$AU$1006,0)), HYPERLINK("#",""), HYPERLINK(CONCATENATE("#metadata!", ADDRESS(INDEX($Y$2:$Y$1001,MATCH(ROWS($W$2:W310),$W$2:$W$1001,0),0), INDEX($AD$1004:$AU$1004,1,MATCH(COLUMNS($AD$1006:AS1006),$AD$1006:$AU$1006,0)))),"Fix")))</f>
        <v xml:space="preserve"> </v>
      </c>
      <c r="R310" s="4" t="str">
        <f ca="1">IF(OR(INDEX($X$2:$X$1001,MATCH(ROWS($W$2:W310),$W$2:$W$1001,0),1)&gt;=100000,INDEX($AD$1005:$AU$1005,1,MATCH(COLUMNS($AD$1006:AT1006),$AD$1006:$AU$1006,0))&gt;=100000), " ",IF(INDEX($AD$2:$AU$1001,MATCH(ROWS($W$2:W310),$W$2:$W$1001,0),MATCH(COLUMNS($AD$1006:AT1006),$AD$1006:$AU$1006,0)), HYPERLINK("#",""), HYPERLINK(CONCATENATE("#metadata!", ADDRESS(INDEX($Y$2:$Y$1001,MATCH(ROWS($W$2:W310),$W$2:$W$1001,0),0), INDEX($AD$1004:$AU$1004,1,MATCH(COLUMNS($AD$1006:AT1006),$AD$1006:$AU$1006,0)))),"Fix")))</f>
        <v xml:space="preserve"> </v>
      </c>
      <c r="S310" s="4" t="str">
        <f ca="1">IF(OR(INDEX($X$2:$X$1001,MATCH(ROWS($W$2:W310),$W$2:$W$1001,0),1)&gt;=100000,INDEX($AD$1005:$AU$1005,1,MATCH(COLUMNS($AD$1006:AU1006),$AD$1006:$AU$1006,0))&gt;=100000), " ",IF(INDEX($AD$2:$AU$1001,MATCH(ROWS($W$2:W310),$W$2:$W$1001,0),MATCH(COLUMNS($AD$1006:AU1006),$AD$1006:$AU$1006,0)), HYPERLINK("#",""), HYPERLINK(CONCATENATE("#metadata!", ADDRESS(INDEX($Y$2:$Y$1001,MATCH(ROWS($W$2:W310),$W$2:$W$1001,0),0), INDEX($AD$1004:$AU$1004,1,MATCH(COLUMNS($AD$1006:AU1006),$AD$1006:$AU$1006,0)))),"Fix")))</f>
        <v xml:space="preserve"> </v>
      </c>
      <c r="W310">
        <v>309</v>
      </c>
      <c r="X310">
        <v>100310</v>
      </c>
      <c r="Y310">
        <v>310</v>
      </c>
      <c r="Z310" t="b">
        <f t="shared" si="4"/>
        <v>1</v>
      </c>
      <c r="AA310" t="b">
        <f>COUNTBLANK(metadata!B310:S310)=COLUMNS(metadata!B310:S310)</f>
        <v>1</v>
      </c>
      <c r="AB310" t="str">
        <v/>
      </c>
      <c r="AD310" t="b">
        <f ca="1">AND(IF(metadata!B310="",FALSE,TRUE),COUNTIF(metadata!B:B, metadata!B310) = 1,NOT(ISERROR(SUMPRODUCT(SEARCH(MID(metadata!B310,ROW(INDIRECT("1:"&amp;LEN(metadata!B310))), 1),"0123456789abcdefghijklmnopqrstuvwxyzABCDEFGHIJKLMNOPQRSTUVWXYZ.")))))</f>
        <v>0</v>
      </c>
      <c r="AE310" t="b">
        <f>OR(AND(IF(metadata!C310="",FALSE,TRUE),OR(EXACT(metadata!C310,"not applicable"),EXACT(metadata!C310,"missing: not collected"),EXACT(metadata!C310,"missing: not provided"),EXACT(metadata!C310,"missing: restricted access"))),AND(IF(metadata!C310="",FALSE,ISNUMBER(VALUE(metadata!C310))),metadata!C310&gt;0))</f>
        <v>0</v>
      </c>
      <c r="AF310" t="b">
        <f>AND(IF(metadata!D310="",FALSE,TRUE),EXACT(metadata!D310,"missing: not provided"))</f>
        <v>0</v>
      </c>
      <c r="AG310" t="b">
        <f>AND(IF(metadata!E310="",FALSE,TRUE),EXACT(metadata!E310,"Host-associated"))</f>
        <v>0</v>
      </c>
      <c r="AH310" t="b">
        <f>AND(IF(metadata!F310="",FALSE,TRUE),OR(EXACT(metadata!F310,"Animal"),EXACT(metadata!F310,"Fungus"),EXACT(metadata!F310,"Plant")))</f>
        <v>0</v>
      </c>
      <c r="AI310" t="b">
        <f>AND(IF(metadata!G310="",FALSE,TRUE),OR(EXACT(metadata!G310,"Plant secretion"),EXACT(metadata!G310,"Plant rhizosphere"),EXACT(metadata!G310,"Plant surface"),EXACT(metadata!G310,"Plant corpus"),EXACT(metadata!G310,"Fungus surface"),EXACT(metadata!G310,"Fungus corpus"),EXACT(metadata!G310,"Animal surface"),EXACT(metadata!G310,"Animal proximal gut"),EXACT(metadata!G310,"Animal corpus"),EXACT(metadata!G310,"Animal distal gut"),EXACT(metadata!G310,"Animal secretion")))</f>
        <v>0</v>
      </c>
      <c r="AJ310" t="b">
        <f>OR(AND(IF(metadata!H310="",FALSE,TRUE),OR(EXACT(metadata!H310,"missing: not collected"),EXACT(metadata!H310,"missing: not provided"),EXACT(metadata!H310,"missing: restricted access"))),AND(IF(metadata!H310="",FALSE,TRUE),OR(EXACT(metadata!H310,"organism-associated habitat"),EXACT(metadata!H310,"plant-associated habitat"),EXACT(metadata!H310,"animal-associated habitat"),EXACT(metadata!H310,"insecta-associated habitat"),EXACT(metadata!H310,"mammalia-associated habitat"),EXACT(metadata!H310,"human-associated habitat"),EXACT(metadata!H310,"livestock-associated habitat"))))</f>
        <v>0</v>
      </c>
      <c r="AK310" t="b">
        <f>AND(IF(metadata!I310="",FALSE,TRUE),EXACT(metadata!I310,"host-associated"))</f>
        <v>0</v>
      </c>
      <c r="AL310" t="b">
        <f>OR(AND(IF(metadata!J310="",FALSE,TRUE),OR(EXACT(metadata!J310,"not applicable"),EXACT(metadata!J310,"missing: not collected"),EXACT(metadata!J310,"missing: not provided"),EXACT(metadata!J310,"missing: restricted access"))),AND(IF(metadata!J310="",FALSE,ISNUMBER(VALUE(metadata!J310))),metadata!J310&gt;0))</f>
        <v>0</v>
      </c>
      <c r="AM310" t="b">
        <f>AND(IF(metadata!K310="",FALSE,TRUE),EXACT(metadata!K310,"missing: not provided"))</f>
        <v>0</v>
      </c>
      <c r="AN310" t="b">
        <f>IF(metadata!L310="",FALSE,TRUE)</f>
        <v>0</v>
      </c>
      <c r="AO310" t="b">
        <f>IF(metadata!M310="",FALSE,TRUE)</f>
        <v>0</v>
      </c>
      <c r="AP310" t="b">
        <f>OR(AND(IF(metadata!N310="",FALSE,TRUE),OR(EXACT(metadata!N310,"not applicable"),EXACT(metadata!N310,"missing: not collected"),EXACT(metadata!N310,"missing: not provided"))),AND(IF(metadata!N310="",FALSE,IF(ISERROR(INT(metadata!N310)),FALSE,INT(metadata!N310)=metadata!N310)),metadata!N310&gt;0))</f>
        <v>0</v>
      </c>
      <c r="AQ310" t="b">
        <f>AND(IF(metadata!O310="",FALSE,TRUE),EXACT(metadata!O310,"Not applicable"))</f>
        <v>0</v>
      </c>
      <c r="AR310" t="b">
        <f>OR(AND(IF(metadata!P310="",FALSE,TRUE),OR(EXACT(metadata!P310,"not applicable"),EXACT(metadata!P310,"missing: not collected"),EXACT(metadata!P310,"missing: not provided"),EXACT(metadata!P310,"missing: restricted access"))),IF(metadata!P310="",FALSE,IF(ISERROR(INT(metadata!P310)),FALSE,INT(metadata!P310)=metadata!P310)))</f>
        <v>0</v>
      </c>
      <c r="AS310" t="b">
        <f>AND(IF(metadata!Q310="",FALSE,TRUE),EXACT(metadata!Q310,"Not applicable"))</f>
        <v>0</v>
      </c>
      <c r="AT310" t="b">
        <f>OR(AND(IF(metadata!R310="",FALSE,TRUE),OR(EXACT(metadata!R310,"not applicable"),EXACT(metadata!R310,"missing: not collected"),EXACT(metadata!R310,"missing: not provided"),EXACT(metadata!R310,"missing: restricted access"))),AND(IF(metadata!R310="",FALSE,ISNUMBER(VALUE(metadata!R310))),metadata!R310&gt;0))</f>
        <v>0</v>
      </c>
      <c r="AU310" t="b">
        <f>AND(IF(metadata!S310="",FALSE,TRUE),EXACT(metadata!S310,"missing: not provided"))</f>
        <v>0</v>
      </c>
    </row>
    <row r="311" spans="1:47" x14ac:dyDescent="0.2">
      <c r="A311" s="5" t="str">
        <f ca="1">IF(B311=" "," ",HYPERLINK(CONCATENATE("#metadata!",ADDRESS(INDEX($Y$2:$Y$1001,MATCH(ROWS($W$2:W311),$W$2:$W$1001,0),0),1)),INDEX($AB$2:$AB$1001,MATCH(ROWS($W$2:W311),$W$2:$W$1001,0),0)))</f>
        <v xml:space="preserve"> </v>
      </c>
      <c r="B311" s="4" t="str">
        <f ca="1">IF(OR(INDEX($X$2:$X$1001,MATCH(ROWS($W$2:W311),$W$2:$W$1001,0),1)&gt;=100000,INDEX($AD$1005:$AU$1005,1,MATCH(COLUMNS($AD$1006:AD1006),$AD$1006:$AU$1006,0))&gt;=100000), " ",IF(INDEX($AD$2:$AU$1001,MATCH(ROWS($W$2:W311),$W$2:$W$1001,0),MATCH(COLUMNS($AD$1006:AD1006),$AD$1006:$AU$1006,0)), HYPERLINK("#",""), HYPERLINK(CONCATENATE("#metadata!", ADDRESS(INDEX($Y$2:$Y$1001,MATCH(ROWS($W$2:W311),$W$2:$W$1001,0),0), INDEX($AD$1004:$AU$1004,1,MATCH(COLUMNS($AD$1006:AD1006),$AD$1006:$AU$1006,0)))),"Fix")))</f>
        <v xml:space="preserve"> </v>
      </c>
      <c r="C311" s="4" t="str">
        <f ca="1">IF(OR(INDEX($X$2:$X$1001,MATCH(ROWS($W$2:W311),$W$2:$W$1001,0),1)&gt;=100000,INDEX($AD$1005:$AU$1005,1,MATCH(COLUMNS($AD$1006:AE1006),$AD$1006:$AU$1006,0))&gt;=100000), " ",IF(INDEX($AD$2:$AU$1001,MATCH(ROWS($W$2:W311),$W$2:$W$1001,0),MATCH(COLUMNS($AD$1006:AE1006),$AD$1006:$AU$1006,0)), HYPERLINK("#",""), HYPERLINK(CONCATENATE("#metadata!", ADDRESS(INDEX($Y$2:$Y$1001,MATCH(ROWS($W$2:W311),$W$2:$W$1001,0),0), INDEX($AD$1004:$AU$1004,1,MATCH(COLUMNS($AD$1006:AE1006),$AD$1006:$AU$1006,0)))),"Fix")))</f>
        <v xml:space="preserve"> </v>
      </c>
      <c r="D311" s="4" t="str">
        <f ca="1">IF(OR(INDEX($X$2:$X$1001,MATCH(ROWS($W$2:W311),$W$2:$W$1001,0),1)&gt;=100000,INDEX($AD$1005:$AU$1005,1,MATCH(COLUMNS($AD$1006:AF1006),$AD$1006:$AU$1006,0))&gt;=100000), " ",IF(INDEX($AD$2:$AU$1001,MATCH(ROWS($W$2:W311),$W$2:$W$1001,0),MATCH(COLUMNS($AD$1006:AF1006),$AD$1006:$AU$1006,0)), HYPERLINK("#",""), HYPERLINK(CONCATENATE("#metadata!", ADDRESS(INDEX($Y$2:$Y$1001,MATCH(ROWS($W$2:W311),$W$2:$W$1001,0),0), INDEX($AD$1004:$AU$1004,1,MATCH(COLUMNS($AD$1006:AF1006),$AD$1006:$AU$1006,0)))),"Fix")))</f>
        <v xml:space="preserve"> </v>
      </c>
      <c r="E311" s="4" t="str">
        <f ca="1">IF(OR(INDEX($X$2:$X$1001,MATCH(ROWS($W$2:W311),$W$2:$W$1001,0),1)&gt;=100000,INDEX($AD$1005:$AU$1005,1,MATCH(COLUMNS($AD$1006:AG1006),$AD$1006:$AU$1006,0))&gt;=100000), " ",IF(INDEX($AD$2:$AU$1001,MATCH(ROWS($W$2:W311),$W$2:$W$1001,0),MATCH(COLUMNS($AD$1006:AG1006),$AD$1006:$AU$1006,0)), HYPERLINK("#",""), HYPERLINK(CONCATENATE("#metadata!", ADDRESS(INDEX($Y$2:$Y$1001,MATCH(ROWS($W$2:W311),$W$2:$W$1001,0),0), INDEX($AD$1004:$AU$1004,1,MATCH(COLUMNS($AD$1006:AG1006),$AD$1006:$AU$1006,0)))),"Fix")))</f>
        <v xml:space="preserve"> </v>
      </c>
      <c r="F311" s="4" t="str">
        <f ca="1">IF(OR(INDEX($X$2:$X$1001,MATCH(ROWS($W$2:W311),$W$2:$W$1001,0),1)&gt;=100000,INDEX($AD$1005:$AU$1005,1,MATCH(COLUMNS($AD$1006:AH1006),$AD$1006:$AU$1006,0))&gt;=100000), " ",IF(INDEX($AD$2:$AU$1001,MATCH(ROWS($W$2:W311),$W$2:$W$1001,0),MATCH(COLUMNS($AD$1006:AH1006),$AD$1006:$AU$1006,0)), HYPERLINK("#",""), HYPERLINK(CONCATENATE("#metadata!", ADDRESS(INDEX($Y$2:$Y$1001,MATCH(ROWS($W$2:W311),$W$2:$W$1001,0),0), INDEX($AD$1004:$AU$1004,1,MATCH(COLUMNS($AD$1006:AH1006),$AD$1006:$AU$1006,0)))),"Fix")))</f>
        <v xml:space="preserve"> </v>
      </c>
      <c r="G311" s="4" t="str">
        <f ca="1">IF(OR(INDEX($X$2:$X$1001,MATCH(ROWS($W$2:W311),$W$2:$W$1001,0),1)&gt;=100000,INDEX($AD$1005:$AU$1005,1,MATCH(COLUMNS($AD$1006:AI1006),$AD$1006:$AU$1006,0))&gt;=100000), " ",IF(INDEX($AD$2:$AU$1001,MATCH(ROWS($W$2:W311),$W$2:$W$1001,0),MATCH(COLUMNS($AD$1006:AI1006),$AD$1006:$AU$1006,0)), HYPERLINK("#",""), HYPERLINK(CONCATENATE("#metadata!", ADDRESS(INDEX($Y$2:$Y$1001,MATCH(ROWS($W$2:W311),$W$2:$W$1001,0),0), INDEX($AD$1004:$AU$1004,1,MATCH(COLUMNS($AD$1006:AI1006),$AD$1006:$AU$1006,0)))),"Fix")))</f>
        <v xml:space="preserve"> </v>
      </c>
      <c r="H311" s="4" t="str">
        <f ca="1">IF(OR(INDEX($X$2:$X$1001,MATCH(ROWS($W$2:W311),$W$2:$W$1001,0),1)&gt;=100000,INDEX($AD$1005:$AU$1005,1,MATCH(COLUMNS($AD$1006:AJ1006),$AD$1006:$AU$1006,0))&gt;=100000), " ",IF(INDEX($AD$2:$AU$1001,MATCH(ROWS($W$2:W311),$W$2:$W$1001,0),MATCH(COLUMNS($AD$1006:AJ1006),$AD$1006:$AU$1006,0)), HYPERLINK("#",""), HYPERLINK(CONCATENATE("#metadata!", ADDRESS(INDEX($Y$2:$Y$1001,MATCH(ROWS($W$2:W311),$W$2:$W$1001,0),0), INDEX($AD$1004:$AU$1004,1,MATCH(COLUMNS($AD$1006:AJ1006),$AD$1006:$AU$1006,0)))),"Fix")))</f>
        <v xml:space="preserve"> </v>
      </c>
      <c r="I311" s="4" t="str">
        <f ca="1">IF(OR(INDEX($X$2:$X$1001,MATCH(ROWS($W$2:W311),$W$2:$W$1001,0),1)&gt;=100000,INDEX($AD$1005:$AU$1005,1,MATCH(COLUMNS($AD$1006:AK1006),$AD$1006:$AU$1006,0))&gt;=100000), " ",IF(INDEX($AD$2:$AU$1001,MATCH(ROWS($W$2:W311),$W$2:$W$1001,0),MATCH(COLUMNS($AD$1006:AK1006),$AD$1006:$AU$1006,0)), HYPERLINK("#",""), HYPERLINK(CONCATENATE("#metadata!", ADDRESS(INDEX($Y$2:$Y$1001,MATCH(ROWS($W$2:W311),$W$2:$W$1001,0),0), INDEX($AD$1004:$AU$1004,1,MATCH(COLUMNS($AD$1006:AK1006),$AD$1006:$AU$1006,0)))),"Fix")))</f>
        <v xml:space="preserve"> </v>
      </c>
      <c r="J311" s="4" t="str">
        <f ca="1">IF(OR(INDEX($X$2:$X$1001,MATCH(ROWS($W$2:W311),$W$2:$W$1001,0),1)&gt;=100000,INDEX($AD$1005:$AU$1005,1,MATCH(COLUMNS($AD$1006:AL1006),$AD$1006:$AU$1006,0))&gt;=100000), " ",IF(INDEX($AD$2:$AU$1001,MATCH(ROWS($W$2:W311),$W$2:$W$1001,0),MATCH(COLUMNS($AD$1006:AL1006),$AD$1006:$AU$1006,0)), HYPERLINK("#",""), HYPERLINK(CONCATENATE("#metadata!", ADDRESS(INDEX($Y$2:$Y$1001,MATCH(ROWS($W$2:W311),$W$2:$W$1001,0),0), INDEX($AD$1004:$AU$1004,1,MATCH(COLUMNS($AD$1006:AL1006),$AD$1006:$AU$1006,0)))),"Fix")))</f>
        <v xml:space="preserve"> </v>
      </c>
      <c r="K311" s="4" t="str">
        <f ca="1">IF(OR(INDEX($X$2:$X$1001,MATCH(ROWS($W$2:W311),$W$2:$W$1001,0),1)&gt;=100000,INDEX($AD$1005:$AU$1005,1,MATCH(COLUMNS($AD$1006:AM1006),$AD$1006:$AU$1006,0))&gt;=100000), " ",IF(INDEX($AD$2:$AU$1001,MATCH(ROWS($W$2:W311),$W$2:$W$1001,0),MATCH(COLUMNS($AD$1006:AM1006),$AD$1006:$AU$1006,0)), HYPERLINK("#",""), HYPERLINK(CONCATENATE("#metadata!", ADDRESS(INDEX($Y$2:$Y$1001,MATCH(ROWS($W$2:W311),$W$2:$W$1001,0),0), INDEX($AD$1004:$AU$1004,1,MATCH(COLUMNS($AD$1006:AM1006),$AD$1006:$AU$1006,0)))),"Fix")))</f>
        <v xml:space="preserve"> </v>
      </c>
      <c r="L311" s="4" t="str">
        <f ca="1">IF(OR(INDEX($X$2:$X$1001,MATCH(ROWS($W$2:W311),$W$2:$W$1001,0),1)&gt;=100000,INDEX($AD$1005:$AU$1005,1,MATCH(COLUMNS($AD$1006:AN1006),$AD$1006:$AU$1006,0))&gt;=100000), " ",IF(INDEX($AD$2:$AU$1001,MATCH(ROWS($W$2:W311),$W$2:$W$1001,0),MATCH(COLUMNS($AD$1006:AN1006),$AD$1006:$AU$1006,0)), HYPERLINK("#",""), HYPERLINK(CONCATENATE("#metadata!", ADDRESS(INDEX($Y$2:$Y$1001,MATCH(ROWS($W$2:W311),$W$2:$W$1001,0),0), INDEX($AD$1004:$AU$1004,1,MATCH(COLUMNS($AD$1006:AN1006),$AD$1006:$AU$1006,0)))),"Fix")))</f>
        <v xml:space="preserve"> </v>
      </c>
      <c r="M311" s="4" t="str">
        <f ca="1">IF(OR(INDEX($X$2:$X$1001,MATCH(ROWS($W$2:W311),$W$2:$W$1001,0),1)&gt;=100000,INDEX($AD$1005:$AU$1005,1,MATCH(COLUMNS($AD$1006:AO1006),$AD$1006:$AU$1006,0))&gt;=100000), " ",IF(INDEX($AD$2:$AU$1001,MATCH(ROWS($W$2:W311),$W$2:$W$1001,0),MATCH(COLUMNS($AD$1006:AO1006),$AD$1006:$AU$1006,0)), HYPERLINK("#",""), HYPERLINK(CONCATENATE("#metadata!", ADDRESS(INDEX($Y$2:$Y$1001,MATCH(ROWS($W$2:W311),$W$2:$W$1001,0),0), INDEX($AD$1004:$AU$1004,1,MATCH(COLUMNS($AD$1006:AO1006),$AD$1006:$AU$1006,0)))),"Fix")))</f>
        <v xml:space="preserve"> </v>
      </c>
      <c r="N311" s="4" t="str">
        <f ca="1">IF(OR(INDEX($X$2:$X$1001,MATCH(ROWS($W$2:W311),$W$2:$W$1001,0),1)&gt;=100000,INDEX($AD$1005:$AU$1005,1,MATCH(COLUMNS($AD$1006:AP1006),$AD$1006:$AU$1006,0))&gt;=100000), " ",IF(INDEX($AD$2:$AU$1001,MATCH(ROWS($W$2:W311),$W$2:$W$1001,0),MATCH(COLUMNS($AD$1006:AP1006),$AD$1006:$AU$1006,0)), HYPERLINK("#",""), HYPERLINK(CONCATENATE("#metadata!", ADDRESS(INDEX($Y$2:$Y$1001,MATCH(ROWS($W$2:W311),$W$2:$W$1001,0),0), INDEX($AD$1004:$AU$1004,1,MATCH(COLUMNS($AD$1006:AP1006),$AD$1006:$AU$1006,0)))),"Fix")))</f>
        <v xml:space="preserve"> </v>
      </c>
      <c r="O311" s="4" t="str">
        <f ca="1">IF(OR(INDEX($X$2:$X$1001,MATCH(ROWS($W$2:W311),$W$2:$W$1001,0),1)&gt;=100000,INDEX($AD$1005:$AU$1005,1,MATCH(COLUMNS($AD$1006:AQ1006),$AD$1006:$AU$1006,0))&gt;=100000), " ",IF(INDEX($AD$2:$AU$1001,MATCH(ROWS($W$2:W311),$W$2:$W$1001,0),MATCH(COLUMNS($AD$1006:AQ1006),$AD$1006:$AU$1006,0)), HYPERLINK("#",""), HYPERLINK(CONCATENATE("#metadata!", ADDRESS(INDEX($Y$2:$Y$1001,MATCH(ROWS($W$2:W311),$W$2:$W$1001,0),0), INDEX($AD$1004:$AU$1004,1,MATCH(COLUMNS($AD$1006:AQ1006),$AD$1006:$AU$1006,0)))),"Fix")))</f>
        <v xml:space="preserve"> </v>
      </c>
      <c r="P311" s="4" t="str">
        <f ca="1">IF(OR(INDEX($X$2:$X$1001,MATCH(ROWS($W$2:W311),$W$2:$W$1001,0),1)&gt;=100000,INDEX($AD$1005:$AU$1005,1,MATCH(COLUMNS($AD$1006:AR1006),$AD$1006:$AU$1006,0))&gt;=100000), " ",IF(INDEX($AD$2:$AU$1001,MATCH(ROWS($W$2:W311),$W$2:$W$1001,0),MATCH(COLUMNS($AD$1006:AR1006),$AD$1006:$AU$1006,0)), HYPERLINK("#",""), HYPERLINK(CONCATENATE("#metadata!", ADDRESS(INDEX($Y$2:$Y$1001,MATCH(ROWS($W$2:W311),$W$2:$W$1001,0),0), INDEX($AD$1004:$AU$1004,1,MATCH(COLUMNS($AD$1006:AR1006),$AD$1006:$AU$1006,0)))),"Fix")))</f>
        <v xml:space="preserve"> </v>
      </c>
      <c r="Q311" s="4" t="str">
        <f ca="1">IF(OR(INDEX($X$2:$X$1001,MATCH(ROWS($W$2:W311),$W$2:$W$1001,0),1)&gt;=100000,INDEX($AD$1005:$AU$1005,1,MATCH(COLUMNS($AD$1006:AS1006),$AD$1006:$AU$1006,0))&gt;=100000), " ",IF(INDEX($AD$2:$AU$1001,MATCH(ROWS($W$2:W311),$W$2:$W$1001,0),MATCH(COLUMNS($AD$1006:AS1006),$AD$1006:$AU$1006,0)), HYPERLINK("#",""), HYPERLINK(CONCATENATE("#metadata!", ADDRESS(INDEX($Y$2:$Y$1001,MATCH(ROWS($W$2:W311),$W$2:$W$1001,0),0), INDEX($AD$1004:$AU$1004,1,MATCH(COLUMNS($AD$1006:AS1006),$AD$1006:$AU$1006,0)))),"Fix")))</f>
        <v xml:space="preserve"> </v>
      </c>
      <c r="R311" s="4" t="str">
        <f ca="1">IF(OR(INDEX($X$2:$X$1001,MATCH(ROWS($W$2:W311),$W$2:$W$1001,0),1)&gt;=100000,INDEX($AD$1005:$AU$1005,1,MATCH(COLUMNS($AD$1006:AT1006),$AD$1006:$AU$1006,0))&gt;=100000), " ",IF(INDEX($AD$2:$AU$1001,MATCH(ROWS($W$2:W311),$W$2:$W$1001,0),MATCH(COLUMNS($AD$1006:AT1006),$AD$1006:$AU$1006,0)), HYPERLINK("#",""), HYPERLINK(CONCATENATE("#metadata!", ADDRESS(INDEX($Y$2:$Y$1001,MATCH(ROWS($W$2:W311),$W$2:$W$1001,0),0), INDEX($AD$1004:$AU$1004,1,MATCH(COLUMNS($AD$1006:AT1006),$AD$1006:$AU$1006,0)))),"Fix")))</f>
        <v xml:space="preserve"> </v>
      </c>
      <c r="S311" s="4" t="str">
        <f ca="1">IF(OR(INDEX($X$2:$X$1001,MATCH(ROWS($W$2:W311),$W$2:$W$1001,0),1)&gt;=100000,INDEX($AD$1005:$AU$1005,1,MATCH(COLUMNS($AD$1006:AU1006),$AD$1006:$AU$1006,0))&gt;=100000), " ",IF(INDEX($AD$2:$AU$1001,MATCH(ROWS($W$2:W311),$W$2:$W$1001,0),MATCH(COLUMNS($AD$1006:AU1006),$AD$1006:$AU$1006,0)), HYPERLINK("#",""), HYPERLINK(CONCATENATE("#metadata!", ADDRESS(INDEX($Y$2:$Y$1001,MATCH(ROWS($W$2:W311),$W$2:$W$1001,0),0), INDEX($AD$1004:$AU$1004,1,MATCH(COLUMNS($AD$1006:AU1006),$AD$1006:$AU$1006,0)))),"Fix")))</f>
        <v xml:space="preserve"> </v>
      </c>
      <c r="W311">
        <v>310</v>
      </c>
      <c r="X311">
        <v>100311</v>
      </c>
      <c r="Y311">
        <v>311</v>
      </c>
      <c r="Z311" t="b">
        <f t="shared" si="4"/>
        <v>1</v>
      </c>
      <c r="AA311" t="b">
        <f>COUNTBLANK(metadata!B311:S311)=COLUMNS(metadata!B311:S311)</f>
        <v>1</v>
      </c>
      <c r="AB311" t="str">
        <v/>
      </c>
      <c r="AD311" t="b">
        <f ca="1">AND(IF(metadata!B311="",FALSE,TRUE),COUNTIF(metadata!B:B, metadata!B311) = 1,NOT(ISERROR(SUMPRODUCT(SEARCH(MID(metadata!B311,ROW(INDIRECT("1:"&amp;LEN(metadata!B311))), 1),"0123456789abcdefghijklmnopqrstuvwxyzABCDEFGHIJKLMNOPQRSTUVWXYZ.")))))</f>
        <v>0</v>
      </c>
      <c r="AE311" t="b">
        <f>OR(AND(IF(metadata!C311="",FALSE,TRUE),OR(EXACT(metadata!C311,"not applicable"),EXACT(metadata!C311,"missing: not collected"),EXACT(metadata!C311,"missing: not provided"),EXACT(metadata!C311,"missing: restricted access"))),AND(IF(metadata!C311="",FALSE,ISNUMBER(VALUE(metadata!C311))),metadata!C311&gt;0))</f>
        <v>0</v>
      </c>
      <c r="AF311" t="b">
        <f>AND(IF(metadata!D311="",FALSE,TRUE),EXACT(metadata!D311,"missing: not provided"))</f>
        <v>0</v>
      </c>
      <c r="AG311" t="b">
        <f>AND(IF(metadata!E311="",FALSE,TRUE),EXACT(metadata!E311,"Host-associated"))</f>
        <v>0</v>
      </c>
      <c r="AH311" t="b">
        <f>AND(IF(metadata!F311="",FALSE,TRUE),OR(EXACT(metadata!F311,"Animal"),EXACT(metadata!F311,"Fungus"),EXACT(metadata!F311,"Plant")))</f>
        <v>0</v>
      </c>
      <c r="AI311" t="b">
        <f>AND(IF(metadata!G311="",FALSE,TRUE),OR(EXACT(metadata!G311,"Plant secretion"),EXACT(metadata!G311,"Plant rhizosphere"),EXACT(metadata!G311,"Plant surface"),EXACT(metadata!G311,"Plant corpus"),EXACT(metadata!G311,"Fungus surface"),EXACT(metadata!G311,"Fungus corpus"),EXACT(metadata!G311,"Animal surface"),EXACT(metadata!G311,"Animal proximal gut"),EXACT(metadata!G311,"Animal corpus"),EXACT(metadata!G311,"Animal distal gut"),EXACT(metadata!G311,"Animal secretion")))</f>
        <v>0</v>
      </c>
      <c r="AJ311" t="b">
        <f>OR(AND(IF(metadata!H311="",FALSE,TRUE),OR(EXACT(metadata!H311,"missing: not collected"),EXACT(metadata!H311,"missing: not provided"),EXACT(metadata!H311,"missing: restricted access"))),AND(IF(metadata!H311="",FALSE,TRUE),OR(EXACT(metadata!H311,"organism-associated habitat"),EXACT(metadata!H311,"plant-associated habitat"),EXACT(metadata!H311,"animal-associated habitat"),EXACT(metadata!H311,"insecta-associated habitat"),EXACT(metadata!H311,"mammalia-associated habitat"),EXACT(metadata!H311,"human-associated habitat"),EXACT(metadata!H311,"livestock-associated habitat"))))</f>
        <v>0</v>
      </c>
      <c r="AK311" t="b">
        <f>AND(IF(metadata!I311="",FALSE,TRUE),EXACT(metadata!I311,"host-associated"))</f>
        <v>0</v>
      </c>
      <c r="AL311" t="b">
        <f>OR(AND(IF(metadata!J311="",FALSE,TRUE),OR(EXACT(metadata!J311,"not applicable"),EXACT(metadata!J311,"missing: not collected"),EXACT(metadata!J311,"missing: not provided"),EXACT(metadata!J311,"missing: restricted access"))),AND(IF(metadata!J311="",FALSE,ISNUMBER(VALUE(metadata!J311))),metadata!J311&gt;0))</f>
        <v>0</v>
      </c>
      <c r="AM311" t="b">
        <f>AND(IF(metadata!K311="",FALSE,TRUE),EXACT(metadata!K311,"missing: not provided"))</f>
        <v>0</v>
      </c>
      <c r="AN311" t="b">
        <f>IF(metadata!L311="",FALSE,TRUE)</f>
        <v>0</v>
      </c>
      <c r="AO311" t="b">
        <f>IF(metadata!M311="",FALSE,TRUE)</f>
        <v>0</v>
      </c>
      <c r="AP311" t="b">
        <f>OR(AND(IF(metadata!N311="",FALSE,TRUE),OR(EXACT(metadata!N311,"not applicable"),EXACT(metadata!N311,"missing: not collected"),EXACT(metadata!N311,"missing: not provided"))),AND(IF(metadata!N311="",FALSE,IF(ISERROR(INT(metadata!N311)),FALSE,INT(metadata!N311)=metadata!N311)),metadata!N311&gt;0))</f>
        <v>0</v>
      </c>
      <c r="AQ311" t="b">
        <f>AND(IF(metadata!O311="",FALSE,TRUE),EXACT(metadata!O311,"Not applicable"))</f>
        <v>0</v>
      </c>
      <c r="AR311" t="b">
        <f>OR(AND(IF(metadata!P311="",FALSE,TRUE),OR(EXACT(metadata!P311,"not applicable"),EXACT(metadata!P311,"missing: not collected"),EXACT(metadata!P311,"missing: not provided"),EXACT(metadata!P311,"missing: restricted access"))),IF(metadata!P311="",FALSE,IF(ISERROR(INT(metadata!P311)),FALSE,INT(metadata!P311)=metadata!P311)))</f>
        <v>0</v>
      </c>
      <c r="AS311" t="b">
        <f>AND(IF(metadata!Q311="",FALSE,TRUE),EXACT(metadata!Q311,"Not applicable"))</f>
        <v>0</v>
      </c>
      <c r="AT311" t="b">
        <f>OR(AND(IF(metadata!R311="",FALSE,TRUE),OR(EXACT(metadata!R311,"not applicable"),EXACT(metadata!R311,"missing: not collected"),EXACT(metadata!R311,"missing: not provided"),EXACT(metadata!R311,"missing: restricted access"))),AND(IF(metadata!R311="",FALSE,ISNUMBER(VALUE(metadata!R311))),metadata!R311&gt;0))</f>
        <v>0</v>
      </c>
      <c r="AU311" t="b">
        <f>AND(IF(metadata!S311="",FALSE,TRUE),EXACT(metadata!S311,"missing: not provided"))</f>
        <v>0</v>
      </c>
    </row>
    <row r="312" spans="1:47" x14ac:dyDescent="0.2">
      <c r="A312" s="5" t="str">
        <f ca="1">IF(B312=" "," ",HYPERLINK(CONCATENATE("#metadata!",ADDRESS(INDEX($Y$2:$Y$1001,MATCH(ROWS($W$2:W312),$W$2:$W$1001,0),0),1)),INDEX($AB$2:$AB$1001,MATCH(ROWS($W$2:W312),$W$2:$W$1001,0),0)))</f>
        <v xml:space="preserve"> </v>
      </c>
      <c r="B312" s="4" t="str">
        <f ca="1">IF(OR(INDEX($X$2:$X$1001,MATCH(ROWS($W$2:W312),$W$2:$W$1001,0),1)&gt;=100000,INDEX($AD$1005:$AU$1005,1,MATCH(COLUMNS($AD$1006:AD1006),$AD$1006:$AU$1006,0))&gt;=100000), " ",IF(INDEX($AD$2:$AU$1001,MATCH(ROWS($W$2:W312),$W$2:$W$1001,0),MATCH(COLUMNS($AD$1006:AD1006),$AD$1006:$AU$1006,0)), HYPERLINK("#",""), HYPERLINK(CONCATENATE("#metadata!", ADDRESS(INDEX($Y$2:$Y$1001,MATCH(ROWS($W$2:W312),$W$2:$W$1001,0),0), INDEX($AD$1004:$AU$1004,1,MATCH(COLUMNS($AD$1006:AD1006),$AD$1006:$AU$1006,0)))),"Fix")))</f>
        <v xml:space="preserve"> </v>
      </c>
      <c r="C312" s="4" t="str">
        <f ca="1">IF(OR(INDEX($X$2:$X$1001,MATCH(ROWS($W$2:W312),$W$2:$W$1001,0),1)&gt;=100000,INDEX($AD$1005:$AU$1005,1,MATCH(COLUMNS($AD$1006:AE1006),$AD$1006:$AU$1006,0))&gt;=100000), " ",IF(INDEX($AD$2:$AU$1001,MATCH(ROWS($W$2:W312),$W$2:$W$1001,0),MATCH(COLUMNS($AD$1006:AE1006),$AD$1006:$AU$1006,0)), HYPERLINK("#",""), HYPERLINK(CONCATENATE("#metadata!", ADDRESS(INDEX($Y$2:$Y$1001,MATCH(ROWS($W$2:W312),$W$2:$W$1001,0),0), INDEX($AD$1004:$AU$1004,1,MATCH(COLUMNS($AD$1006:AE1006),$AD$1006:$AU$1006,0)))),"Fix")))</f>
        <v xml:space="preserve"> </v>
      </c>
      <c r="D312" s="4" t="str">
        <f ca="1">IF(OR(INDEX($X$2:$X$1001,MATCH(ROWS($W$2:W312),$W$2:$W$1001,0),1)&gt;=100000,INDEX($AD$1005:$AU$1005,1,MATCH(COLUMNS($AD$1006:AF1006),$AD$1006:$AU$1006,0))&gt;=100000), " ",IF(INDEX($AD$2:$AU$1001,MATCH(ROWS($W$2:W312),$W$2:$W$1001,0),MATCH(COLUMNS($AD$1006:AF1006),$AD$1006:$AU$1006,0)), HYPERLINK("#",""), HYPERLINK(CONCATENATE("#metadata!", ADDRESS(INDEX($Y$2:$Y$1001,MATCH(ROWS($W$2:W312),$W$2:$W$1001,0),0), INDEX($AD$1004:$AU$1004,1,MATCH(COLUMNS($AD$1006:AF1006),$AD$1006:$AU$1006,0)))),"Fix")))</f>
        <v xml:space="preserve"> </v>
      </c>
      <c r="E312" s="4" t="str">
        <f ca="1">IF(OR(INDEX($X$2:$X$1001,MATCH(ROWS($W$2:W312),$W$2:$W$1001,0),1)&gt;=100000,INDEX($AD$1005:$AU$1005,1,MATCH(COLUMNS($AD$1006:AG1006),$AD$1006:$AU$1006,0))&gt;=100000), " ",IF(INDEX($AD$2:$AU$1001,MATCH(ROWS($W$2:W312),$W$2:$W$1001,0),MATCH(COLUMNS($AD$1006:AG1006),$AD$1006:$AU$1006,0)), HYPERLINK("#",""), HYPERLINK(CONCATENATE("#metadata!", ADDRESS(INDEX($Y$2:$Y$1001,MATCH(ROWS($W$2:W312),$W$2:$W$1001,0),0), INDEX($AD$1004:$AU$1004,1,MATCH(COLUMNS($AD$1006:AG1006),$AD$1006:$AU$1006,0)))),"Fix")))</f>
        <v xml:space="preserve"> </v>
      </c>
      <c r="F312" s="4" t="str">
        <f ca="1">IF(OR(INDEX($X$2:$X$1001,MATCH(ROWS($W$2:W312),$W$2:$W$1001,0),1)&gt;=100000,INDEX($AD$1005:$AU$1005,1,MATCH(COLUMNS($AD$1006:AH1006),$AD$1006:$AU$1006,0))&gt;=100000), " ",IF(INDEX($AD$2:$AU$1001,MATCH(ROWS($W$2:W312),$W$2:$W$1001,0),MATCH(COLUMNS($AD$1006:AH1006),$AD$1006:$AU$1006,0)), HYPERLINK("#",""), HYPERLINK(CONCATENATE("#metadata!", ADDRESS(INDEX($Y$2:$Y$1001,MATCH(ROWS($W$2:W312),$W$2:$W$1001,0),0), INDEX($AD$1004:$AU$1004,1,MATCH(COLUMNS($AD$1006:AH1006),$AD$1006:$AU$1006,0)))),"Fix")))</f>
        <v xml:space="preserve"> </v>
      </c>
      <c r="G312" s="4" t="str">
        <f ca="1">IF(OR(INDEX($X$2:$X$1001,MATCH(ROWS($W$2:W312),$W$2:$W$1001,0),1)&gt;=100000,INDEX($AD$1005:$AU$1005,1,MATCH(COLUMNS($AD$1006:AI1006),$AD$1006:$AU$1006,0))&gt;=100000), " ",IF(INDEX($AD$2:$AU$1001,MATCH(ROWS($W$2:W312),$W$2:$W$1001,0),MATCH(COLUMNS($AD$1006:AI1006),$AD$1006:$AU$1006,0)), HYPERLINK("#",""), HYPERLINK(CONCATENATE("#metadata!", ADDRESS(INDEX($Y$2:$Y$1001,MATCH(ROWS($W$2:W312),$W$2:$W$1001,0),0), INDEX($AD$1004:$AU$1004,1,MATCH(COLUMNS($AD$1006:AI1006),$AD$1006:$AU$1006,0)))),"Fix")))</f>
        <v xml:space="preserve"> </v>
      </c>
      <c r="H312" s="4" t="str">
        <f ca="1">IF(OR(INDEX($X$2:$X$1001,MATCH(ROWS($W$2:W312),$W$2:$W$1001,0),1)&gt;=100000,INDEX($AD$1005:$AU$1005,1,MATCH(COLUMNS($AD$1006:AJ1006),$AD$1006:$AU$1006,0))&gt;=100000), " ",IF(INDEX($AD$2:$AU$1001,MATCH(ROWS($W$2:W312),$W$2:$W$1001,0),MATCH(COLUMNS($AD$1006:AJ1006),$AD$1006:$AU$1006,0)), HYPERLINK("#",""), HYPERLINK(CONCATENATE("#metadata!", ADDRESS(INDEX($Y$2:$Y$1001,MATCH(ROWS($W$2:W312),$W$2:$W$1001,0),0), INDEX($AD$1004:$AU$1004,1,MATCH(COLUMNS($AD$1006:AJ1006),$AD$1006:$AU$1006,0)))),"Fix")))</f>
        <v xml:space="preserve"> </v>
      </c>
      <c r="I312" s="4" t="str">
        <f ca="1">IF(OR(INDEX($X$2:$X$1001,MATCH(ROWS($W$2:W312),$W$2:$W$1001,0),1)&gt;=100000,INDEX($AD$1005:$AU$1005,1,MATCH(COLUMNS($AD$1006:AK1006),$AD$1006:$AU$1006,0))&gt;=100000), " ",IF(INDEX($AD$2:$AU$1001,MATCH(ROWS($W$2:W312),$W$2:$W$1001,0),MATCH(COLUMNS($AD$1006:AK1006),$AD$1006:$AU$1006,0)), HYPERLINK("#",""), HYPERLINK(CONCATENATE("#metadata!", ADDRESS(INDEX($Y$2:$Y$1001,MATCH(ROWS($W$2:W312),$W$2:$W$1001,0),0), INDEX($AD$1004:$AU$1004,1,MATCH(COLUMNS($AD$1006:AK1006),$AD$1006:$AU$1006,0)))),"Fix")))</f>
        <v xml:space="preserve"> </v>
      </c>
      <c r="J312" s="4" t="str">
        <f ca="1">IF(OR(INDEX($X$2:$X$1001,MATCH(ROWS($W$2:W312),$W$2:$W$1001,0),1)&gt;=100000,INDEX($AD$1005:$AU$1005,1,MATCH(COLUMNS($AD$1006:AL1006),$AD$1006:$AU$1006,0))&gt;=100000), " ",IF(INDEX($AD$2:$AU$1001,MATCH(ROWS($W$2:W312),$W$2:$W$1001,0),MATCH(COLUMNS($AD$1006:AL1006),$AD$1006:$AU$1006,0)), HYPERLINK("#",""), HYPERLINK(CONCATENATE("#metadata!", ADDRESS(INDEX($Y$2:$Y$1001,MATCH(ROWS($W$2:W312),$W$2:$W$1001,0),0), INDEX($AD$1004:$AU$1004,1,MATCH(COLUMNS($AD$1006:AL1006),$AD$1006:$AU$1006,0)))),"Fix")))</f>
        <v xml:space="preserve"> </v>
      </c>
      <c r="K312" s="4" t="str">
        <f ca="1">IF(OR(INDEX($X$2:$X$1001,MATCH(ROWS($W$2:W312),$W$2:$W$1001,0),1)&gt;=100000,INDEX($AD$1005:$AU$1005,1,MATCH(COLUMNS($AD$1006:AM1006),$AD$1006:$AU$1006,0))&gt;=100000), " ",IF(INDEX($AD$2:$AU$1001,MATCH(ROWS($W$2:W312),$W$2:$W$1001,0),MATCH(COLUMNS($AD$1006:AM1006),$AD$1006:$AU$1006,0)), HYPERLINK("#",""), HYPERLINK(CONCATENATE("#metadata!", ADDRESS(INDEX($Y$2:$Y$1001,MATCH(ROWS($W$2:W312),$W$2:$W$1001,0),0), INDEX($AD$1004:$AU$1004,1,MATCH(COLUMNS($AD$1006:AM1006),$AD$1006:$AU$1006,0)))),"Fix")))</f>
        <v xml:space="preserve"> </v>
      </c>
      <c r="L312" s="4" t="str">
        <f ca="1">IF(OR(INDEX($X$2:$X$1001,MATCH(ROWS($W$2:W312),$W$2:$W$1001,0),1)&gt;=100000,INDEX($AD$1005:$AU$1005,1,MATCH(COLUMNS($AD$1006:AN1006),$AD$1006:$AU$1006,0))&gt;=100000), " ",IF(INDEX($AD$2:$AU$1001,MATCH(ROWS($W$2:W312),$W$2:$W$1001,0),MATCH(COLUMNS($AD$1006:AN1006),$AD$1006:$AU$1006,0)), HYPERLINK("#",""), HYPERLINK(CONCATENATE("#metadata!", ADDRESS(INDEX($Y$2:$Y$1001,MATCH(ROWS($W$2:W312),$W$2:$W$1001,0),0), INDEX($AD$1004:$AU$1004,1,MATCH(COLUMNS($AD$1006:AN1006),$AD$1006:$AU$1006,0)))),"Fix")))</f>
        <v xml:space="preserve"> </v>
      </c>
      <c r="M312" s="4" t="str">
        <f ca="1">IF(OR(INDEX($X$2:$X$1001,MATCH(ROWS($W$2:W312),$W$2:$W$1001,0),1)&gt;=100000,INDEX($AD$1005:$AU$1005,1,MATCH(COLUMNS($AD$1006:AO1006),$AD$1006:$AU$1006,0))&gt;=100000), " ",IF(INDEX($AD$2:$AU$1001,MATCH(ROWS($W$2:W312),$W$2:$W$1001,0),MATCH(COLUMNS($AD$1006:AO1006),$AD$1006:$AU$1006,0)), HYPERLINK("#",""), HYPERLINK(CONCATENATE("#metadata!", ADDRESS(INDEX($Y$2:$Y$1001,MATCH(ROWS($W$2:W312),$W$2:$W$1001,0),0), INDEX($AD$1004:$AU$1004,1,MATCH(COLUMNS($AD$1006:AO1006),$AD$1006:$AU$1006,0)))),"Fix")))</f>
        <v xml:space="preserve"> </v>
      </c>
      <c r="N312" s="4" t="str">
        <f ca="1">IF(OR(INDEX($X$2:$X$1001,MATCH(ROWS($W$2:W312),$W$2:$W$1001,0),1)&gt;=100000,INDEX($AD$1005:$AU$1005,1,MATCH(COLUMNS($AD$1006:AP1006),$AD$1006:$AU$1006,0))&gt;=100000), " ",IF(INDEX($AD$2:$AU$1001,MATCH(ROWS($W$2:W312),$W$2:$W$1001,0),MATCH(COLUMNS($AD$1006:AP1006),$AD$1006:$AU$1006,0)), HYPERLINK("#",""), HYPERLINK(CONCATENATE("#metadata!", ADDRESS(INDEX($Y$2:$Y$1001,MATCH(ROWS($W$2:W312),$W$2:$W$1001,0),0), INDEX($AD$1004:$AU$1004,1,MATCH(COLUMNS($AD$1006:AP1006),$AD$1006:$AU$1006,0)))),"Fix")))</f>
        <v xml:space="preserve"> </v>
      </c>
      <c r="O312" s="4" t="str">
        <f ca="1">IF(OR(INDEX($X$2:$X$1001,MATCH(ROWS($W$2:W312),$W$2:$W$1001,0),1)&gt;=100000,INDEX($AD$1005:$AU$1005,1,MATCH(COLUMNS($AD$1006:AQ1006),$AD$1006:$AU$1006,0))&gt;=100000), " ",IF(INDEX($AD$2:$AU$1001,MATCH(ROWS($W$2:W312),$W$2:$W$1001,0),MATCH(COLUMNS($AD$1006:AQ1006),$AD$1006:$AU$1006,0)), HYPERLINK("#",""), HYPERLINK(CONCATENATE("#metadata!", ADDRESS(INDEX($Y$2:$Y$1001,MATCH(ROWS($W$2:W312),$W$2:$W$1001,0),0), INDEX($AD$1004:$AU$1004,1,MATCH(COLUMNS($AD$1006:AQ1006),$AD$1006:$AU$1006,0)))),"Fix")))</f>
        <v xml:space="preserve"> </v>
      </c>
      <c r="P312" s="4" t="str">
        <f ca="1">IF(OR(INDEX($X$2:$X$1001,MATCH(ROWS($W$2:W312),$W$2:$W$1001,0),1)&gt;=100000,INDEX($AD$1005:$AU$1005,1,MATCH(COLUMNS($AD$1006:AR1006),$AD$1006:$AU$1006,0))&gt;=100000), " ",IF(INDEX($AD$2:$AU$1001,MATCH(ROWS($W$2:W312),$W$2:$W$1001,0),MATCH(COLUMNS($AD$1006:AR1006),$AD$1006:$AU$1006,0)), HYPERLINK("#",""), HYPERLINK(CONCATENATE("#metadata!", ADDRESS(INDEX($Y$2:$Y$1001,MATCH(ROWS($W$2:W312),$W$2:$W$1001,0),0), INDEX($AD$1004:$AU$1004,1,MATCH(COLUMNS($AD$1006:AR1006),$AD$1006:$AU$1006,0)))),"Fix")))</f>
        <v xml:space="preserve"> </v>
      </c>
      <c r="Q312" s="4" t="str">
        <f ca="1">IF(OR(INDEX($X$2:$X$1001,MATCH(ROWS($W$2:W312),$W$2:$W$1001,0),1)&gt;=100000,INDEX($AD$1005:$AU$1005,1,MATCH(COLUMNS($AD$1006:AS1006),$AD$1006:$AU$1006,0))&gt;=100000), " ",IF(INDEX($AD$2:$AU$1001,MATCH(ROWS($W$2:W312),$W$2:$W$1001,0),MATCH(COLUMNS($AD$1006:AS1006),$AD$1006:$AU$1006,0)), HYPERLINK("#",""), HYPERLINK(CONCATENATE("#metadata!", ADDRESS(INDEX($Y$2:$Y$1001,MATCH(ROWS($W$2:W312),$W$2:$W$1001,0),0), INDEX($AD$1004:$AU$1004,1,MATCH(COLUMNS($AD$1006:AS1006),$AD$1006:$AU$1006,0)))),"Fix")))</f>
        <v xml:space="preserve"> </v>
      </c>
      <c r="R312" s="4" t="str">
        <f ca="1">IF(OR(INDEX($X$2:$X$1001,MATCH(ROWS($W$2:W312),$W$2:$W$1001,0),1)&gt;=100000,INDEX($AD$1005:$AU$1005,1,MATCH(COLUMNS($AD$1006:AT1006),$AD$1006:$AU$1006,0))&gt;=100000), " ",IF(INDEX($AD$2:$AU$1001,MATCH(ROWS($W$2:W312),$W$2:$W$1001,0),MATCH(COLUMNS($AD$1006:AT1006),$AD$1006:$AU$1006,0)), HYPERLINK("#",""), HYPERLINK(CONCATENATE("#metadata!", ADDRESS(INDEX($Y$2:$Y$1001,MATCH(ROWS($W$2:W312),$W$2:$W$1001,0),0), INDEX($AD$1004:$AU$1004,1,MATCH(COLUMNS($AD$1006:AT1006),$AD$1006:$AU$1006,0)))),"Fix")))</f>
        <v xml:space="preserve"> </v>
      </c>
      <c r="S312" s="4" t="str">
        <f ca="1">IF(OR(INDEX($X$2:$X$1001,MATCH(ROWS($W$2:W312),$W$2:$W$1001,0),1)&gt;=100000,INDEX($AD$1005:$AU$1005,1,MATCH(COLUMNS($AD$1006:AU1006),$AD$1006:$AU$1006,0))&gt;=100000), " ",IF(INDEX($AD$2:$AU$1001,MATCH(ROWS($W$2:W312),$W$2:$W$1001,0),MATCH(COLUMNS($AD$1006:AU1006),$AD$1006:$AU$1006,0)), HYPERLINK("#",""), HYPERLINK(CONCATENATE("#metadata!", ADDRESS(INDEX($Y$2:$Y$1001,MATCH(ROWS($W$2:W312),$W$2:$W$1001,0),0), INDEX($AD$1004:$AU$1004,1,MATCH(COLUMNS($AD$1006:AU1006),$AD$1006:$AU$1006,0)))),"Fix")))</f>
        <v xml:space="preserve"> </v>
      </c>
      <c r="W312">
        <v>311</v>
      </c>
      <c r="X312">
        <v>100312</v>
      </c>
      <c r="Y312">
        <v>312</v>
      </c>
      <c r="Z312" t="b">
        <f t="shared" si="4"/>
        <v>1</v>
      </c>
      <c r="AA312" t="b">
        <f>COUNTBLANK(metadata!B312:S312)=COLUMNS(metadata!B312:S312)</f>
        <v>1</v>
      </c>
      <c r="AB312" t="str">
        <v/>
      </c>
      <c r="AD312" t="b">
        <f ca="1">AND(IF(metadata!B312="",FALSE,TRUE),COUNTIF(metadata!B:B, metadata!B312) = 1,NOT(ISERROR(SUMPRODUCT(SEARCH(MID(metadata!B312,ROW(INDIRECT("1:"&amp;LEN(metadata!B312))), 1),"0123456789abcdefghijklmnopqrstuvwxyzABCDEFGHIJKLMNOPQRSTUVWXYZ.")))))</f>
        <v>0</v>
      </c>
      <c r="AE312" t="b">
        <f>OR(AND(IF(metadata!C312="",FALSE,TRUE),OR(EXACT(metadata!C312,"not applicable"),EXACT(metadata!C312,"missing: not collected"),EXACT(metadata!C312,"missing: not provided"),EXACT(metadata!C312,"missing: restricted access"))),AND(IF(metadata!C312="",FALSE,ISNUMBER(VALUE(metadata!C312))),metadata!C312&gt;0))</f>
        <v>0</v>
      </c>
      <c r="AF312" t="b">
        <f>AND(IF(metadata!D312="",FALSE,TRUE),EXACT(metadata!D312,"missing: not provided"))</f>
        <v>0</v>
      </c>
      <c r="AG312" t="b">
        <f>AND(IF(metadata!E312="",FALSE,TRUE),EXACT(metadata!E312,"Host-associated"))</f>
        <v>0</v>
      </c>
      <c r="AH312" t="b">
        <f>AND(IF(metadata!F312="",FALSE,TRUE),OR(EXACT(metadata!F312,"Animal"),EXACT(metadata!F312,"Fungus"),EXACT(metadata!F312,"Plant")))</f>
        <v>0</v>
      </c>
      <c r="AI312" t="b">
        <f>AND(IF(metadata!G312="",FALSE,TRUE),OR(EXACT(metadata!G312,"Plant secretion"),EXACT(metadata!G312,"Plant rhizosphere"),EXACT(metadata!G312,"Plant surface"),EXACT(metadata!G312,"Plant corpus"),EXACT(metadata!G312,"Fungus surface"),EXACT(metadata!G312,"Fungus corpus"),EXACT(metadata!G312,"Animal surface"),EXACT(metadata!G312,"Animal proximal gut"),EXACT(metadata!G312,"Animal corpus"),EXACT(metadata!G312,"Animal distal gut"),EXACT(metadata!G312,"Animal secretion")))</f>
        <v>0</v>
      </c>
      <c r="AJ312" t="b">
        <f>OR(AND(IF(metadata!H312="",FALSE,TRUE),OR(EXACT(metadata!H312,"missing: not collected"),EXACT(metadata!H312,"missing: not provided"),EXACT(metadata!H312,"missing: restricted access"))),AND(IF(metadata!H312="",FALSE,TRUE),OR(EXACT(metadata!H312,"organism-associated habitat"),EXACT(metadata!H312,"plant-associated habitat"),EXACT(metadata!H312,"animal-associated habitat"),EXACT(metadata!H312,"insecta-associated habitat"),EXACT(metadata!H312,"mammalia-associated habitat"),EXACT(metadata!H312,"human-associated habitat"),EXACT(metadata!H312,"livestock-associated habitat"))))</f>
        <v>0</v>
      </c>
      <c r="AK312" t="b">
        <f>AND(IF(metadata!I312="",FALSE,TRUE),EXACT(metadata!I312,"host-associated"))</f>
        <v>0</v>
      </c>
      <c r="AL312" t="b">
        <f>OR(AND(IF(metadata!J312="",FALSE,TRUE),OR(EXACT(metadata!J312,"not applicable"),EXACT(metadata!J312,"missing: not collected"),EXACT(metadata!J312,"missing: not provided"),EXACT(metadata!J312,"missing: restricted access"))),AND(IF(metadata!J312="",FALSE,ISNUMBER(VALUE(metadata!J312))),metadata!J312&gt;0))</f>
        <v>0</v>
      </c>
      <c r="AM312" t="b">
        <f>AND(IF(metadata!K312="",FALSE,TRUE),EXACT(metadata!K312,"missing: not provided"))</f>
        <v>0</v>
      </c>
      <c r="AN312" t="b">
        <f>IF(metadata!L312="",FALSE,TRUE)</f>
        <v>0</v>
      </c>
      <c r="AO312" t="b">
        <f>IF(metadata!M312="",FALSE,TRUE)</f>
        <v>0</v>
      </c>
      <c r="AP312" t="b">
        <f>OR(AND(IF(metadata!N312="",FALSE,TRUE),OR(EXACT(metadata!N312,"not applicable"),EXACT(metadata!N312,"missing: not collected"),EXACT(metadata!N312,"missing: not provided"))),AND(IF(metadata!N312="",FALSE,IF(ISERROR(INT(metadata!N312)),FALSE,INT(metadata!N312)=metadata!N312)),metadata!N312&gt;0))</f>
        <v>0</v>
      </c>
      <c r="AQ312" t="b">
        <f>AND(IF(metadata!O312="",FALSE,TRUE),EXACT(metadata!O312,"Not applicable"))</f>
        <v>0</v>
      </c>
      <c r="AR312" t="b">
        <f>OR(AND(IF(metadata!P312="",FALSE,TRUE),OR(EXACT(metadata!P312,"not applicable"),EXACT(metadata!P312,"missing: not collected"),EXACT(metadata!P312,"missing: not provided"),EXACT(metadata!P312,"missing: restricted access"))),IF(metadata!P312="",FALSE,IF(ISERROR(INT(metadata!P312)),FALSE,INT(metadata!P312)=metadata!P312)))</f>
        <v>0</v>
      </c>
      <c r="AS312" t="b">
        <f>AND(IF(metadata!Q312="",FALSE,TRUE),EXACT(metadata!Q312,"Not applicable"))</f>
        <v>0</v>
      </c>
      <c r="AT312" t="b">
        <f>OR(AND(IF(metadata!R312="",FALSE,TRUE),OR(EXACT(metadata!R312,"not applicable"),EXACT(metadata!R312,"missing: not collected"),EXACT(metadata!R312,"missing: not provided"),EXACT(metadata!R312,"missing: restricted access"))),AND(IF(metadata!R312="",FALSE,ISNUMBER(VALUE(metadata!R312))),metadata!R312&gt;0))</f>
        <v>0</v>
      </c>
      <c r="AU312" t="b">
        <f>AND(IF(metadata!S312="",FALSE,TRUE),EXACT(metadata!S312,"missing: not provided"))</f>
        <v>0</v>
      </c>
    </row>
    <row r="313" spans="1:47" x14ac:dyDescent="0.2">
      <c r="A313" s="5" t="str">
        <f ca="1">IF(B313=" "," ",HYPERLINK(CONCATENATE("#metadata!",ADDRESS(INDEX($Y$2:$Y$1001,MATCH(ROWS($W$2:W313),$W$2:$W$1001,0),0),1)),INDEX($AB$2:$AB$1001,MATCH(ROWS($W$2:W313),$W$2:$W$1001,0),0)))</f>
        <v xml:space="preserve"> </v>
      </c>
      <c r="B313" s="4" t="str">
        <f ca="1">IF(OR(INDEX($X$2:$X$1001,MATCH(ROWS($W$2:W313),$W$2:$W$1001,0),1)&gt;=100000,INDEX($AD$1005:$AU$1005,1,MATCH(COLUMNS($AD$1006:AD1006),$AD$1006:$AU$1006,0))&gt;=100000), " ",IF(INDEX($AD$2:$AU$1001,MATCH(ROWS($W$2:W313),$W$2:$W$1001,0),MATCH(COLUMNS($AD$1006:AD1006),$AD$1006:$AU$1006,0)), HYPERLINK("#",""), HYPERLINK(CONCATENATE("#metadata!", ADDRESS(INDEX($Y$2:$Y$1001,MATCH(ROWS($W$2:W313),$W$2:$W$1001,0),0), INDEX($AD$1004:$AU$1004,1,MATCH(COLUMNS($AD$1006:AD1006),$AD$1006:$AU$1006,0)))),"Fix")))</f>
        <v xml:space="preserve"> </v>
      </c>
      <c r="C313" s="4" t="str">
        <f ca="1">IF(OR(INDEX($X$2:$X$1001,MATCH(ROWS($W$2:W313),$W$2:$W$1001,0),1)&gt;=100000,INDEX($AD$1005:$AU$1005,1,MATCH(COLUMNS($AD$1006:AE1006),$AD$1006:$AU$1006,0))&gt;=100000), " ",IF(INDEX($AD$2:$AU$1001,MATCH(ROWS($W$2:W313),$W$2:$W$1001,0),MATCH(COLUMNS($AD$1006:AE1006),$AD$1006:$AU$1006,0)), HYPERLINK("#",""), HYPERLINK(CONCATENATE("#metadata!", ADDRESS(INDEX($Y$2:$Y$1001,MATCH(ROWS($W$2:W313),$W$2:$W$1001,0),0), INDEX($AD$1004:$AU$1004,1,MATCH(COLUMNS($AD$1006:AE1006),$AD$1006:$AU$1006,0)))),"Fix")))</f>
        <v xml:space="preserve"> </v>
      </c>
      <c r="D313" s="4" t="str">
        <f ca="1">IF(OR(INDEX($X$2:$X$1001,MATCH(ROWS($W$2:W313),$W$2:$W$1001,0),1)&gt;=100000,INDEX($AD$1005:$AU$1005,1,MATCH(COLUMNS($AD$1006:AF1006),$AD$1006:$AU$1006,0))&gt;=100000), " ",IF(INDEX($AD$2:$AU$1001,MATCH(ROWS($W$2:W313),$W$2:$W$1001,0),MATCH(COLUMNS($AD$1006:AF1006),$AD$1006:$AU$1006,0)), HYPERLINK("#",""), HYPERLINK(CONCATENATE("#metadata!", ADDRESS(INDEX($Y$2:$Y$1001,MATCH(ROWS($W$2:W313),$W$2:$W$1001,0),0), INDEX($AD$1004:$AU$1004,1,MATCH(COLUMNS($AD$1006:AF1006),$AD$1006:$AU$1006,0)))),"Fix")))</f>
        <v xml:space="preserve"> </v>
      </c>
      <c r="E313" s="4" t="str">
        <f ca="1">IF(OR(INDEX($X$2:$X$1001,MATCH(ROWS($W$2:W313),$W$2:$W$1001,0),1)&gt;=100000,INDEX($AD$1005:$AU$1005,1,MATCH(COLUMNS($AD$1006:AG1006),$AD$1006:$AU$1006,0))&gt;=100000), " ",IF(INDEX($AD$2:$AU$1001,MATCH(ROWS($W$2:W313),$W$2:$W$1001,0),MATCH(COLUMNS($AD$1006:AG1006),$AD$1006:$AU$1006,0)), HYPERLINK("#",""), HYPERLINK(CONCATENATE("#metadata!", ADDRESS(INDEX($Y$2:$Y$1001,MATCH(ROWS($W$2:W313),$W$2:$W$1001,0),0), INDEX($AD$1004:$AU$1004,1,MATCH(COLUMNS($AD$1006:AG1006),$AD$1006:$AU$1006,0)))),"Fix")))</f>
        <v xml:space="preserve"> </v>
      </c>
      <c r="F313" s="4" t="str">
        <f ca="1">IF(OR(INDEX($X$2:$X$1001,MATCH(ROWS($W$2:W313),$W$2:$W$1001,0),1)&gt;=100000,INDEX($AD$1005:$AU$1005,1,MATCH(COLUMNS($AD$1006:AH1006),$AD$1006:$AU$1006,0))&gt;=100000), " ",IF(INDEX($AD$2:$AU$1001,MATCH(ROWS($W$2:W313),$W$2:$W$1001,0),MATCH(COLUMNS($AD$1006:AH1006),$AD$1006:$AU$1006,0)), HYPERLINK("#",""), HYPERLINK(CONCATENATE("#metadata!", ADDRESS(INDEX($Y$2:$Y$1001,MATCH(ROWS($W$2:W313),$W$2:$W$1001,0),0), INDEX($AD$1004:$AU$1004,1,MATCH(COLUMNS($AD$1006:AH1006),$AD$1006:$AU$1006,0)))),"Fix")))</f>
        <v xml:space="preserve"> </v>
      </c>
      <c r="G313" s="4" t="str">
        <f ca="1">IF(OR(INDEX($X$2:$X$1001,MATCH(ROWS($W$2:W313),$W$2:$W$1001,0),1)&gt;=100000,INDEX($AD$1005:$AU$1005,1,MATCH(COLUMNS($AD$1006:AI1006),$AD$1006:$AU$1006,0))&gt;=100000), " ",IF(INDEX($AD$2:$AU$1001,MATCH(ROWS($W$2:W313),$W$2:$W$1001,0),MATCH(COLUMNS($AD$1006:AI1006),$AD$1006:$AU$1006,0)), HYPERLINK("#",""), HYPERLINK(CONCATENATE("#metadata!", ADDRESS(INDEX($Y$2:$Y$1001,MATCH(ROWS($W$2:W313),$W$2:$W$1001,0),0), INDEX($AD$1004:$AU$1004,1,MATCH(COLUMNS($AD$1006:AI1006),$AD$1006:$AU$1006,0)))),"Fix")))</f>
        <v xml:space="preserve"> </v>
      </c>
      <c r="H313" s="4" t="str">
        <f ca="1">IF(OR(INDEX($X$2:$X$1001,MATCH(ROWS($W$2:W313),$W$2:$W$1001,0),1)&gt;=100000,INDEX($AD$1005:$AU$1005,1,MATCH(COLUMNS($AD$1006:AJ1006),$AD$1006:$AU$1006,0))&gt;=100000), " ",IF(INDEX($AD$2:$AU$1001,MATCH(ROWS($W$2:W313),$W$2:$W$1001,0),MATCH(COLUMNS($AD$1006:AJ1006),$AD$1006:$AU$1006,0)), HYPERLINK("#",""), HYPERLINK(CONCATENATE("#metadata!", ADDRESS(INDEX($Y$2:$Y$1001,MATCH(ROWS($W$2:W313),$W$2:$W$1001,0),0), INDEX($AD$1004:$AU$1004,1,MATCH(COLUMNS($AD$1006:AJ1006),$AD$1006:$AU$1006,0)))),"Fix")))</f>
        <v xml:space="preserve"> </v>
      </c>
      <c r="I313" s="4" t="str">
        <f ca="1">IF(OR(INDEX($X$2:$X$1001,MATCH(ROWS($W$2:W313),$W$2:$W$1001,0),1)&gt;=100000,INDEX($AD$1005:$AU$1005,1,MATCH(COLUMNS($AD$1006:AK1006),$AD$1006:$AU$1006,0))&gt;=100000), " ",IF(INDEX($AD$2:$AU$1001,MATCH(ROWS($W$2:W313),$W$2:$W$1001,0),MATCH(COLUMNS($AD$1006:AK1006),$AD$1006:$AU$1006,0)), HYPERLINK("#",""), HYPERLINK(CONCATENATE("#metadata!", ADDRESS(INDEX($Y$2:$Y$1001,MATCH(ROWS($W$2:W313),$W$2:$W$1001,0),0), INDEX($AD$1004:$AU$1004,1,MATCH(COLUMNS($AD$1006:AK1006),$AD$1006:$AU$1006,0)))),"Fix")))</f>
        <v xml:space="preserve"> </v>
      </c>
      <c r="J313" s="4" t="str">
        <f ca="1">IF(OR(INDEX($X$2:$X$1001,MATCH(ROWS($W$2:W313),$W$2:$W$1001,0),1)&gt;=100000,INDEX($AD$1005:$AU$1005,1,MATCH(COLUMNS($AD$1006:AL1006),$AD$1006:$AU$1006,0))&gt;=100000), " ",IF(INDEX($AD$2:$AU$1001,MATCH(ROWS($W$2:W313),$W$2:$W$1001,0),MATCH(COLUMNS($AD$1006:AL1006),$AD$1006:$AU$1006,0)), HYPERLINK("#",""), HYPERLINK(CONCATENATE("#metadata!", ADDRESS(INDEX($Y$2:$Y$1001,MATCH(ROWS($W$2:W313),$W$2:$W$1001,0),0), INDEX($AD$1004:$AU$1004,1,MATCH(COLUMNS($AD$1006:AL1006),$AD$1006:$AU$1006,0)))),"Fix")))</f>
        <v xml:space="preserve"> </v>
      </c>
      <c r="K313" s="4" t="str">
        <f ca="1">IF(OR(INDEX($X$2:$X$1001,MATCH(ROWS($W$2:W313),$W$2:$W$1001,0),1)&gt;=100000,INDEX($AD$1005:$AU$1005,1,MATCH(COLUMNS($AD$1006:AM1006),$AD$1006:$AU$1006,0))&gt;=100000), " ",IF(INDEX($AD$2:$AU$1001,MATCH(ROWS($W$2:W313),$W$2:$W$1001,0),MATCH(COLUMNS($AD$1006:AM1006),$AD$1006:$AU$1006,0)), HYPERLINK("#",""), HYPERLINK(CONCATENATE("#metadata!", ADDRESS(INDEX($Y$2:$Y$1001,MATCH(ROWS($W$2:W313),$W$2:$W$1001,0),0), INDEX($AD$1004:$AU$1004,1,MATCH(COLUMNS($AD$1006:AM1006),$AD$1006:$AU$1006,0)))),"Fix")))</f>
        <v xml:space="preserve"> </v>
      </c>
      <c r="L313" s="4" t="str">
        <f ca="1">IF(OR(INDEX($X$2:$X$1001,MATCH(ROWS($W$2:W313),$W$2:$W$1001,0),1)&gt;=100000,INDEX($AD$1005:$AU$1005,1,MATCH(COLUMNS($AD$1006:AN1006),$AD$1006:$AU$1006,0))&gt;=100000), " ",IF(INDEX($AD$2:$AU$1001,MATCH(ROWS($W$2:W313),$W$2:$W$1001,0),MATCH(COLUMNS($AD$1006:AN1006),$AD$1006:$AU$1006,0)), HYPERLINK("#",""), HYPERLINK(CONCATENATE("#metadata!", ADDRESS(INDEX($Y$2:$Y$1001,MATCH(ROWS($W$2:W313),$W$2:$W$1001,0),0), INDEX($AD$1004:$AU$1004,1,MATCH(COLUMNS($AD$1006:AN1006),$AD$1006:$AU$1006,0)))),"Fix")))</f>
        <v xml:space="preserve"> </v>
      </c>
      <c r="M313" s="4" t="str">
        <f ca="1">IF(OR(INDEX($X$2:$X$1001,MATCH(ROWS($W$2:W313),$W$2:$W$1001,0),1)&gt;=100000,INDEX($AD$1005:$AU$1005,1,MATCH(COLUMNS($AD$1006:AO1006),$AD$1006:$AU$1006,0))&gt;=100000), " ",IF(INDEX($AD$2:$AU$1001,MATCH(ROWS($W$2:W313),$W$2:$W$1001,0),MATCH(COLUMNS($AD$1006:AO1006),$AD$1006:$AU$1006,0)), HYPERLINK("#",""), HYPERLINK(CONCATENATE("#metadata!", ADDRESS(INDEX($Y$2:$Y$1001,MATCH(ROWS($W$2:W313),$W$2:$W$1001,0),0), INDEX($AD$1004:$AU$1004,1,MATCH(COLUMNS($AD$1006:AO1006),$AD$1006:$AU$1006,0)))),"Fix")))</f>
        <v xml:space="preserve"> </v>
      </c>
      <c r="N313" s="4" t="str">
        <f ca="1">IF(OR(INDEX($X$2:$X$1001,MATCH(ROWS($W$2:W313),$W$2:$W$1001,0),1)&gt;=100000,INDEX($AD$1005:$AU$1005,1,MATCH(COLUMNS($AD$1006:AP1006),$AD$1006:$AU$1006,0))&gt;=100000), " ",IF(INDEX($AD$2:$AU$1001,MATCH(ROWS($W$2:W313),$W$2:$W$1001,0),MATCH(COLUMNS($AD$1006:AP1006),$AD$1006:$AU$1006,0)), HYPERLINK("#",""), HYPERLINK(CONCATENATE("#metadata!", ADDRESS(INDEX($Y$2:$Y$1001,MATCH(ROWS($W$2:W313),$W$2:$W$1001,0),0), INDEX($AD$1004:$AU$1004,1,MATCH(COLUMNS($AD$1006:AP1006),$AD$1006:$AU$1006,0)))),"Fix")))</f>
        <v xml:space="preserve"> </v>
      </c>
      <c r="O313" s="4" t="str">
        <f ca="1">IF(OR(INDEX($X$2:$X$1001,MATCH(ROWS($W$2:W313),$W$2:$W$1001,0),1)&gt;=100000,INDEX($AD$1005:$AU$1005,1,MATCH(COLUMNS($AD$1006:AQ1006),$AD$1006:$AU$1006,0))&gt;=100000), " ",IF(INDEX($AD$2:$AU$1001,MATCH(ROWS($W$2:W313),$W$2:$W$1001,0),MATCH(COLUMNS($AD$1006:AQ1006),$AD$1006:$AU$1006,0)), HYPERLINK("#",""), HYPERLINK(CONCATENATE("#metadata!", ADDRESS(INDEX($Y$2:$Y$1001,MATCH(ROWS($W$2:W313),$W$2:$W$1001,0),0), INDEX($AD$1004:$AU$1004,1,MATCH(COLUMNS($AD$1006:AQ1006),$AD$1006:$AU$1006,0)))),"Fix")))</f>
        <v xml:space="preserve"> </v>
      </c>
      <c r="P313" s="4" t="str">
        <f ca="1">IF(OR(INDEX($X$2:$X$1001,MATCH(ROWS($W$2:W313),$W$2:$W$1001,0),1)&gt;=100000,INDEX($AD$1005:$AU$1005,1,MATCH(COLUMNS($AD$1006:AR1006),$AD$1006:$AU$1006,0))&gt;=100000), " ",IF(INDEX($AD$2:$AU$1001,MATCH(ROWS($W$2:W313),$W$2:$W$1001,0),MATCH(COLUMNS($AD$1006:AR1006),$AD$1006:$AU$1006,0)), HYPERLINK("#",""), HYPERLINK(CONCATENATE("#metadata!", ADDRESS(INDEX($Y$2:$Y$1001,MATCH(ROWS($W$2:W313),$W$2:$W$1001,0),0), INDEX($AD$1004:$AU$1004,1,MATCH(COLUMNS($AD$1006:AR1006),$AD$1006:$AU$1006,0)))),"Fix")))</f>
        <v xml:space="preserve"> </v>
      </c>
      <c r="Q313" s="4" t="str">
        <f ca="1">IF(OR(INDEX($X$2:$X$1001,MATCH(ROWS($W$2:W313),$W$2:$W$1001,0),1)&gt;=100000,INDEX($AD$1005:$AU$1005,1,MATCH(COLUMNS($AD$1006:AS1006),$AD$1006:$AU$1006,0))&gt;=100000), " ",IF(INDEX($AD$2:$AU$1001,MATCH(ROWS($W$2:W313),$W$2:$W$1001,0),MATCH(COLUMNS($AD$1006:AS1006),$AD$1006:$AU$1006,0)), HYPERLINK("#",""), HYPERLINK(CONCATENATE("#metadata!", ADDRESS(INDEX($Y$2:$Y$1001,MATCH(ROWS($W$2:W313),$W$2:$W$1001,0),0), INDEX($AD$1004:$AU$1004,1,MATCH(COLUMNS($AD$1006:AS1006),$AD$1006:$AU$1006,0)))),"Fix")))</f>
        <v xml:space="preserve"> </v>
      </c>
      <c r="R313" s="4" t="str">
        <f ca="1">IF(OR(INDEX($X$2:$X$1001,MATCH(ROWS($W$2:W313),$W$2:$W$1001,0),1)&gt;=100000,INDEX($AD$1005:$AU$1005,1,MATCH(COLUMNS($AD$1006:AT1006),$AD$1006:$AU$1006,0))&gt;=100000), " ",IF(INDEX($AD$2:$AU$1001,MATCH(ROWS($W$2:W313),$W$2:$W$1001,0),MATCH(COLUMNS($AD$1006:AT1006),$AD$1006:$AU$1006,0)), HYPERLINK("#",""), HYPERLINK(CONCATENATE("#metadata!", ADDRESS(INDEX($Y$2:$Y$1001,MATCH(ROWS($W$2:W313),$W$2:$W$1001,0),0), INDEX($AD$1004:$AU$1004,1,MATCH(COLUMNS($AD$1006:AT1006),$AD$1006:$AU$1006,0)))),"Fix")))</f>
        <v xml:space="preserve"> </v>
      </c>
      <c r="S313" s="4" t="str">
        <f ca="1">IF(OR(INDEX($X$2:$X$1001,MATCH(ROWS($W$2:W313),$W$2:$W$1001,0),1)&gt;=100000,INDEX($AD$1005:$AU$1005,1,MATCH(COLUMNS($AD$1006:AU1006),$AD$1006:$AU$1006,0))&gt;=100000), " ",IF(INDEX($AD$2:$AU$1001,MATCH(ROWS($W$2:W313),$W$2:$W$1001,0),MATCH(COLUMNS($AD$1006:AU1006),$AD$1006:$AU$1006,0)), HYPERLINK("#",""), HYPERLINK(CONCATENATE("#metadata!", ADDRESS(INDEX($Y$2:$Y$1001,MATCH(ROWS($W$2:W313),$W$2:$W$1001,0),0), INDEX($AD$1004:$AU$1004,1,MATCH(COLUMNS($AD$1006:AU1006),$AD$1006:$AU$1006,0)))),"Fix")))</f>
        <v xml:space="preserve"> </v>
      </c>
      <c r="W313">
        <v>312</v>
      </c>
      <c r="X313">
        <v>100313</v>
      </c>
      <c r="Y313">
        <v>313</v>
      </c>
      <c r="Z313" t="b">
        <f t="shared" si="4"/>
        <v>1</v>
      </c>
      <c r="AA313" t="b">
        <f>COUNTBLANK(metadata!B313:S313)=COLUMNS(metadata!B313:S313)</f>
        <v>1</v>
      </c>
      <c r="AB313" t="str">
        <v/>
      </c>
      <c r="AD313" t="b">
        <f ca="1">AND(IF(metadata!B313="",FALSE,TRUE),COUNTIF(metadata!B:B, metadata!B313) = 1,NOT(ISERROR(SUMPRODUCT(SEARCH(MID(metadata!B313,ROW(INDIRECT("1:"&amp;LEN(metadata!B313))), 1),"0123456789abcdefghijklmnopqrstuvwxyzABCDEFGHIJKLMNOPQRSTUVWXYZ.")))))</f>
        <v>0</v>
      </c>
      <c r="AE313" t="b">
        <f>OR(AND(IF(metadata!C313="",FALSE,TRUE),OR(EXACT(metadata!C313,"not applicable"),EXACT(metadata!C313,"missing: not collected"),EXACT(metadata!C313,"missing: not provided"),EXACT(metadata!C313,"missing: restricted access"))),AND(IF(metadata!C313="",FALSE,ISNUMBER(VALUE(metadata!C313))),metadata!C313&gt;0))</f>
        <v>0</v>
      </c>
      <c r="AF313" t="b">
        <f>AND(IF(metadata!D313="",FALSE,TRUE),EXACT(metadata!D313,"missing: not provided"))</f>
        <v>0</v>
      </c>
      <c r="AG313" t="b">
        <f>AND(IF(metadata!E313="",FALSE,TRUE),EXACT(metadata!E313,"Host-associated"))</f>
        <v>0</v>
      </c>
      <c r="AH313" t="b">
        <f>AND(IF(metadata!F313="",FALSE,TRUE),OR(EXACT(metadata!F313,"Animal"),EXACT(metadata!F313,"Fungus"),EXACT(metadata!F313,"Plant")))</f>
        <v>0</v>
      </c>
      <c r="AI313" t="b">
        <f>AND(IF(metadata!G313="",FALSE,TRUE),OR(EXACT(metadata!G313,"Plant secretion"),EXACT(metadata!G313,"Plant rhizosphere"),EXACT(metadata!G313,"Plant surface"),EXACT(metadata!G313,"Plant corpus"),EXACT(metadata!G313,"Fungus surface"),EXACT(metadata!G313,"Fungus corpus"),EXACT(metadata!G313,"Animal surface"),EXACT(metadata!G313,"Animal proximal gut"),EXACT(metadata!G313,"Animal corpus"),EXACT(metadata!G313,"Animal distal gut"),EXACT(metadata!G313,"Animal secretion")))</f>
        <v>0</v>
      </c>
      <c r="AJ313" t="b">
        <f>OR(AND(IF(metadata!H313="",FALSE,TRUE),OR(EXACT(metadata!H313,"missing: not collected"),EXACT(metadata!H313,"missing: not provided"),EXACT(metadata!H313,"missing: restricted access"))),AND(IF(metadata!H313="",FALSE,TRUE),OR(EXACT(metadata!H313,"organism-associated habitat"),EXACT(metadata!H313,"plant-associated habitat"),EXACT(metadata!H313,"animal-associated habitat"),EXACT(metadata!H313,"insecta-associated habitat"),EXACT(metadata!H313,"mammalia-associated habitat"),EXACT(metadata!H313,"human-associated habitat"),EXACT(metadata!H313,"livestock-associated habitat"))))</f>
        <v>0</v>
      </c>
      <c r="AK313" t="b">
        <f>AND(IF(metadata!I313="",FALSE,TRUE),EXACT(metadata!I313,"host-associated"))</f>
        <v>0</v>
      </c>
      <c r="AL313" t="b">
        <f>OR(AND(IF(metadata!J313="",FALSE,TRUE),OR(EXACT(metadata!J313,"not applicable"),EXACT(metadata!J313,"missing: not collected"),EXACT(metadata!J313,"missing: not provided"),EXACT(metadata!J313,"missing: restricted access"))),AND(IF(metadata!J313="",FALSE,ISNUMBER(VALUE(metadata!J313))),metadata!J313&gt;0))</f>
        <v>0</v>
      </c>
      <c r="AM313" t="b">
        <f>AND(IF(metadata!K313="",FALSE,TRUE),EXACT(metadata!K313,"missing: not provided"))</f>
        <v>0</v>
      </c>
      <c r="AN313" t="b">
        <f>IF(metadata!L313="",FALSE,TRUE)</f>
        <v>0</v>
      </c>
      <c r="AO313" t="b">
        <f>IF(metadata!M313="",FALSE,TRUE)</f>
        <v>0</v>
      </c>
      <c r="AP313" t="b">
        <f>OR(AND(IF(metadata!N313="",FALSE,TRUE),OR(EXACT(metadata!N313,"not applicable"),EXACT(metadata!N313,"missing: not collected"),EXACT(metadata!N313,"missing: not provided"))),AND(IF(metadata!N313="",FALSE,IF(ISERROR(INT(metadata!N313)),FALSE,INT(metadata!N313)=metadata!N313)),metadata!N313&gt;0))</f>
        <v>0</v>
      </c>
      <c r="AQ313" t="b">
        <f>AND(IF(metadata!O313="",FALSE,TRUE),EXACT(metadata!O313,"Not applicable"))</f>
        <v>0</v>
      </c>
      <c r="AR313" t="b">
        <f>OR(AND(IF(metadata!P313="",FALSE,TRUE),OR(EXACT(metadata!P313,"not applicable"),EXACT(metadata!P313,"missing: not collected"),EXACT(metadata!P313,"missing: not provided"),EXACT(metadata!P313,"missing: restricted access"))),IF(metadata!P313="",FALSE,IF(ISERROR(INT(metadata!P313)),FALSE,INT(metadata!P313)=metadata!P313)))</f>
        <v>0</v>
      </c>
      <c r="AS313" t="b">
        <f>AND(IF(metadata!Q313="",FALSE,TRUE),EXACT(metadata!Q313,"Not applicable"))</f>
        <v>0</v>
      </c>
      <c r="AT313" t="b">
        <f>OR(AND(IF(metadata!R313="",FALSE,TRUE),OR(EXACT(metadata!R313,"not applicable"),EXACT(metadata!R313,"missing: not collected"),EXACT(metadata!R313,"missing: not provided"),EXACT(metadata!R313,"missing: restricted access"))),AND(IF(metadata!R313="",FALSE,ISNUMBER(VALUE(metadata!R313))),metadata!R313&gt;0))</f>
        <v>0</v>
      </c>
      <c r="AU313" t="b">
        <f>AND(IF(metadata!S313="",FALSE,TRUE),EXACT(metadata!S313,"missing: not provided"))</f>
        <v>0</v>
      </c>
    </row>
    <row r="314" spans="1:47" x14ac:dyDescent="0.2">
      <c r="A314" s="5" t="str">
        <f ca="1">IF(B314=" "," ",HYPERLINK(CONCATENATE("#metadata!",ADDRESS(INDEX($Y$2:$Y$1001,MATCH(ROWS($W$2:W314),$W$2:$W$1001,0),0),1)),INDEX($AB$2:$AB$1001,MATCH(ROWS($W$2:W314),$W$2:$W$1001,0),0)))</f>
        <v xml:space="preserve"> </v>
      </c>
      <c r="B314" s="4" t="str">
        <f ca="1">IF(OR(INDEX($X$2:$X$1001,MATCH(ROWS($W$2:W314),$W$2:$W$1001,0),1)&gt;=100000,INDEX($AD$1005:$AU$1005,1,MATCH(COLUMNS($AD$1006:AD1006),$AD$1006:$AU$1006,0))&gt;=100000), " ",IF(INDEX($AD$2:$AU$1001,MATCH(ROWS($W$2:W314),$W$2:$W$1001,0),MATCH(COLUMNS($AD$1006:AD1006),$AD$1006:$AU$1006,0)), HYPERLINK("#",""), HYPERLINK(CONCATENATE("#metadata!", ADDRESS(INDEX($Y$2:$Y$1001,MATCH(ROWS($W$2:W314),$W$2:$W$1001,0),0), INDEX($AD$1004:$AU$1004,1,MATCH(COLUMNS($AD$1006:AD1006),$AD$1006:$AU$1006,0)))),"Fix")))</f>
        <v xml:space="preserve"> </v>
      </c>
      <c r="C314" s="4" t="str">
        <f ca="1">IF(OR(INDEX($X$2:$X$1001,MATCH(ROWS($W$2:W314),$W$2:$W$1001,0),1)&gt;=100000,INDEX($AD$1005:$AU$1005,1,MATCH(COLUMNS($AD$1006:AE1006),$AD$1006:$AU$1006,0))&gt;=100000), " ",IF(INDEX($AD$2:$AU$1001,MATCH(ROWS($W$2:W314),$W$2:$W$1001,0),MATCH(COLUMNS($AD$1006:AE1006),$AD$1006:$AU$1006,0)), HYPERLINK("#",""), HYPERLINK(CONCATENATE("#metadata!", ADDRESS(INDEX($Y$2:$Y$1001,MATCH(ROWS($W$2:W314),$W$2:$W$1001,0),0), INDEX($AD$1004:$AU$1004,1,MATCH(COLUMNS($AD$1006:AE1006),$AD$1006:$AU$1006,0)))),"Fix")))</f>
        <v xml:space="preserve"> </v>
      </c>
      <c r="D314" s="4" t="str">
        <f ca="1">IF(OR(INDEX($X$2:$X$1001,MATCH(ROWS($W$2:W314),$W$2:$W$1001,0),1)&gt;=100000,INDEX($AD$1005:$AU$1005,1,MATCH(COLUMNS($AD$1006:AF1006),$AD$1006:$AU$1006,0))&gt;=100000), " ",IF(INDEX($AD$2:$AU$1001,MATCH(ROWS($W$2:W314),$W$2:$W$1001,0),MATCH(COLUMNS($AD$1006:AF1006),$AD$1006:$AU$1006,0)), HYPERLINK("#",""), HYPERLINK(CONCATENATE("#metadata!", ADDRESS(INDEX($Y$2:$Y$1001,MATCH(ROWS($W$2:W314),$W$2:$W$1001,0),0), INDEX($AD$1004:$AU$1004,1,MATCH(COLUMNS($AD$1006:AF1006),$AD$1006:$AU$1006,0)))),"Fix")))</f>
        <v xml:space="preserve"> </v>
      </c>
      <c r="E314" s="4" t="str">
        <f ca="1">IF(OR(INDEX($X$2:$X$1001,MATCH(ROWS($W$2:W314),$W$2:$W$1001,0),1)&gt;=100000,INDEX($AD$1005:$AU$1005,1,MATCH(COLUMNS($AD$1006:AG1006),$AD$1006:$AU$1006,0))&gt;=100000), " ",IF(INDEX($AD$2:$AU$1001,MATCH(ROWS($W$2:W314),$W$2:$W$1001,0),MATCH(COLUMNS($AD$1006:AG1006),$AD$1006:$AU$1006,0)), HYPERLINK("#",""), HYPERLINK(CONCATENATE("#metadata!", ADDRESS(INDEX($Y$2:$Y$1001,MATCH(ROWS($W$2:W314),$W$2:$W$1001,0),0), INDEX($AD$1004:$AU$1004,1,MATCH(COLUMNS($AD$1006:AG1006),$AD$1006:$AU$1006,0)))),"Fix")))</f>
        <v xml:space="preserve"> </v>
      </c>
      <c r="F314" s="4" t="str">
        <f ca="1">IF(OR(INDEX($X$2:$X$1001,MATCH(ROWS($W$2:W314),$W$2:$W$1001,0),1)&gt;=100000,INDEX($AD$1005:$AU$1005,1,MATCH(COLUMNS($AD$1006:AH1006),$AD$1006:$AU$1006,0))&gt;=100000), " ",IF(INDEX($AD$2:$AU$1001,MATCH(ROWS($W$2:W314),$W$2:$W$1001,0),MATCH(COLUMNS($AD$1006:AH1006),$AD$1006:$AU$1006,0)), HYPERLINK("#",""), HYPERLINK(CONCATENATE("#metadata!", ADDRESS(INDEX($Y$2:$Y$1001,MATCH(ROWS($W$2:W314),$W$2:$W$1001,0),0), INDEX($AD$1004:$AU$1004,1,MATCH(COLUMNS($AD$1006:AH1006),$AD$1006:$AU$1006,0)))),"Fix")))</f>
        <v xml:space="preserve"> </v>
      </c>
      <c r="G314" s="4" t="str">
        <f ca="1">IF(OR(INDEX($X$2:$X$1001,MATCH(ROWS($W$2:W314),$W$2:$W$1001,0),1)&gt;=100000,INDEX($AD$1005:$AU$1005,1,MATCH(COLUMNS($AD$1006:AI1006),$AD$1006:$AU$1006,0))&gt;=100000), " ",IF(INDEX($AD$2:$AU$1001,MATCH(ROWS($W$2:W314),$W$2:$W$1001,0),MATCH(COLUMNS($AD$1006:AI1006),$AD$1006:$AU$1006,0)), HYPERLINK("#",""), HYPERLINK(CONCATENATE("#metadata!", ADDRESS(INDEX($Y$2:$Y$1001,MATCH(ROWS($W$2:W314),$W$2:$W$1001,0),0), INDEX($AD$1004:$AU$1004,1,MATCH(COLUMNS($AD$1006:AI1006),$AD$1006:$AU$1006,0)))),"Fix")))</f>
        <v xml:space="preserve"> </v>
      </c>
      <c r="H314" s="4" t="str">
        <f ca="1">IF(OR(INDEX($X$2:$X$1001,MATCH(ROWS($W$2:W314),$W$2:$W$1001,0),1)&gt;=100000,INDEX($AD$1005:$AU$1005,1,MATCH(COLUMNS($AD$1006:AJ1006),$AD$1006:$AU$1006,0))&gt;=100000), " ",IF(INDEX($AD$2:$AU$1001,MATCH(ROWS($W$2:W314),$W$2:$W$1001,0),MATCH(COLUMNS($AD$1006:AJ1006),$AD$1006:$AU$1006,0)), HYPERLINK("#",""), HYPERLINK(CONCATENATE("#metadata!", ADDRESS(INDEX($Y$2:$Y$1001,MATCH(ROWS($W$2:W314),$W$2:$W$1001,0),0), INDEX($AD$1004:$AU$1004,1,MATCH(COLUMNS($AD$1006:AJ1006),$AD$1006:$AU$1006,0)))),"Fix")))</f>
        <v xml:space="preserve"> </v>
      </c>
      <c r="I314" s="4" t="str">
        <f ca="1">IF(OR(INDEX($X$2:$X$1001,MATCH(ROWS($W$2:W314),$W$2:$W$1001,0),1)&gt;=100000,INDEX($AD$1005:$AU$1005,1,MATCH(COLUMNS($AD$1006:AK1006),$AD$1006:$AU$1006,0))&gt;=100000), " ",IF(INDEX($AD$2:$AU$1001,MATCH(ROWS($W$2:W314),$W$2:$W$1001,0),MATCH(COLUMNS($AD$1006:AK1006),$AD$1006:$AU$1006,0)), HYPERLINK("#",""), HYPERLINK(CONCATENATE("#metadata!", ADDRESS(INDEX($Y$2:$Y$1001,MATCH(ROWS($W$2:W314),$W$2:$W$1001,0),0), INDEX($AD$1004:$AU$1004,1,MATCH(COLUMNS($AD$1006:AK1006),$AD$1006:$AU$1006,0)))),"Fix")))</f>
        <v xml:space="preserve"> </v>
      </c>
      <c r="J314" s="4" t="str">
        <f ca="1">IF(OR(INDEX($X$2:$X$1001,MATCH(ROWS($W$2:W314),$W$2:$W$1001,0),1)&gt;=100000,INDEX($AD$1005:$AU$1005,1,MATCH(COLUMNS($AD$1006:AL1006),$AD$1006:$AU$1006,0))&gt;=100000), " ",IF(INDEX($AD$2:$AU$1001,MATCH(ROWS($W$2:W314),$W$2:$W$1001,0),MATCH(COLUMNS($AD$1006:AL1006),$AD$1006:$AU$1006,0)), HYPERLINK("#",""), HYPERLINK(CONCATENATE("#metadata!", ADDRESS(INDEX($Y$2:$Y$1001,MATCH(ROWS($W$2:W314),$W$2:$W$1001,0),0), INDEX($AD$1004:$AU$1004,1,MATCH(COLUMNS($AD$1006:AL1006),$AD$1006:$AU$1006,0)))),"Fix")))</f>
        <v xml:space="preserve"> </v>
      </c>
      <c r="K314" s="4" t="str">
        <f ca="1">IF(OR(INDEX($X$2:$X$1001,MATCH(ROWS($W$2:W314),$W$2:$W$1001,0),1)&gt;=100000,INDEX($AD$1005:$AU$1005,1,MATCH(COLUMNS($AD$1006:AM1006),$AD$1006:$AU$1006,0))&gt;=100000), " ",IF(INDEX($AD$2:$AU$1001,MATCH(ROWS($W$2:W314),$W$2:$W$1001,0),MATCH(COLUMNS($AD$1006:AM1006),$AD$1006:$AU$1006,0)), HYPERLINK("#",""), HYPERLINK(CONCATENATE("#metadata!", ADDRESS(INDEX($Y$2:$Y$1001,MATCH(ROWS($W$2:W314),$W$2:$W$1001,0),0), INDEX($AD$1004:$AU$1004,1,MATCH(COLUMNS($AD$1006:AM1006),$AD$1006:$AU$1006,0)))),"Fix")))</f>
        <v xml:space="preserve"> </v>
      </c>
      <c r="L314" s="4" t="str">
        <f ca="1">IF(OR(INDEX($X$2:$X$1001,MATCH(ROWS($W$2:W314),$W$2:$W$1001,0),1)&gt;=100000,INDEX($AD$1005:$AU$1005,1,MATCH(COLUMNS($AD$1006:AN1006),$AD$1006:$AU$1006,0))&gt;=100000), " ",IF(INDEX($AD$2:$AU$1001,MATCH(ROWS($W$2:W314),$W$2:$W$1001,0),MATCH(COLUMNS($AD$1006:AN1006),$AD$1006:$AU$1006,0)), HYPERLINK("#",""), HYPERLINK(CONCATENATE("#metadata!", ADDRESS(INDEX($Y$2:$Y$1001,MATCH(ROWS($W$2:W314),$W$2:$W$1001,0),0), INDEX($AD$1004:$AU$1004,1,MATCH(COLUMNS($AD$1006:AN1006),$AD$1006:$AU$1006,0)))),"Fix")))</f>
        <v xml:space="preserve"> </v>
      </c>
      <c r="M314" s="4" t="str">
        <f ca="1">IF(OR(INDEX($X$2:$X$1001,MATCH(ROWS($W$2:W314),$W$2:$W$1001,0),1)&gt;=100000,INDEX($AD$1005:$AU$1005,1,MATCH(COLUMNS($AD$1006:AO1006),$AD$1006:$AU$1006,0))&gt;=100000), " ",IF(INDEX($AD$2:$AU$1001,MATCH(ROWS($W$2:W314),$W$2:$W$1001,0),MATCH(COLUMNS($AD$1006:AO1006),$AD$1006:$AU$1006,0)), HYPERLINK("#",""), HYPERLINK(CONCATENATE("#metadata!", ADDRESS(INDEX($Y$2:$Y$1001,MATCH(ROWS($W$2:W314),$W$2:$W$1001,0),0), INDEX($AD$1004:$AU$1004,1,MATCH(COLUMNS($AD$1006:AO1006),$AD$1006:$AU$1006,0)))),"Fix")))</f>
        <v xml:space="preserve"> </v>
      </c>
      <c r="N314" s="4" t="str">
        <f ca="1">IF(OR(INDEX($X$2:$X$1001,MATCH(ROWS($W$2:W314),$W$2:$W$1001,0),1)&gt;=100000,INDEX($AD$1005:$AU$1005,1,MATCH(COLUMNS($AD$1006:AP1006),$AD$1006:$AU$1006,0))&gt;=100000), " ",IF(INDEX($AD$2:$AU$1001,MATCH(ROWS($W$2:W314),$W$2:$W$1001,0),MATCH(COLUMNS($AD$1006:AP1006),$AD$1006:$AU$1006,0)), HYPERLINK("#",""), HYPERLINK(CONCATENATE("#metadata!", ADDRESS(INDEX($Y$2:$Y$1001,MATCH(ROWS($W$2:W314),$W$2:$W$1001,0),0), INDEX($AD$1004:$AU$1004,1,MATCH(COLUMNS($AD$1006:AP1006),$AD$1006:$AU$1006,0)))),"Fix")))</f>
        <v xml:space="preserve"> </v>
      </c>
      <c r="O314" s="4" t="str">
        <f ca="1">IF(OR(INDEX($X$2:$X$1001,MATCH(ROWS($W$2:W314),$W$2:$W$1001,0),1)&gt;=100000,INDEX($AD$1005:$AU$1005,1,MATCH(COLUMNS($AD$1006:AQ1006),$AD$1006:$AU$1006,0))&gt;=100000), " ",IF(INDEX($AD$2:$AU$1001,MATCH(ROWS($W$2:W314),$W$2:$W$1001,0),MATCH(COLUMNS($AD$1006:AQ1006),$AD$1006:$AU$1006,0)), HYPERLINK("#",""), HYPERLINK(CONCATENATE("#metadata!", ADDRESS(INDEX($Y$2:$Y$1001,MATCH(ROWS($W$2:W314),$W$2:$W$1001,0),0), INDEX($AD$1004:$AU$1004,1,MATCH(COLUMNS($AD$1006:AQ1006),$AD$1006:$AU$1006,0)))),"Fix")))</f>
        <v xml:space="preserve"> </v>
      </c>
      <c r="P314" s="4" t="str">
        <f ca="1">IF(OR(INDEX($X$2:$X$1001,MATCH(ROWS($W$2:W314),$W$2:$W$1001,0),1)&gt;=100000,INDEX($AD$1005:$AU$1005,1,MATCH(COLUMNS($AD$1006:AR1006),$AD$1006:$AU$1006,0))&gt;=100000), " ",IF(INDEX($AD$2:$AU$1001,MATCH(ROWS($W$2:W314),$W$2:$W$1001,0),MATCH(COLUMNS($AD$1006:AR1006),$AD$1006:$AU$1006,0)), HYPERLINK("#",""), HYPERLINK(CONCATENATE("#metadata!", ADDRESS(INDEX($Y$2:$Y$1001,MATCH(ROWS($W$2:W314),$W$2:$W$1001,0),0), INDEX($AD$1004:$AU$1004,1,MATCH(COLUMNS($AD$1006:AR1006),$AD$1006:$AU$1006,0)))),"Fix")))</f>
        <v xml:space="preserve"> </v>
      </c>
      <c r="Q314" s="4" t="str">
        <f ca="1">IF(OR(INDEX($X$2:$X$1001,MATCH(ROWS($W$2:W314),$W$2:$W$1001,0),1)&gt;=100000,INDEX($AD$1005:$AU$1005,1,MATCH(COLUMNS($AD$1006:AS1006),$AD$1006:$AU$1006,0))&gt;=100000), " ",IF(INDEX($AD$2:$AU$1001,MATCH(ROWS($W$2:W314),$W$2:$W$1001,0),MATCH(COLUMNS($AD$1006:AS1006),$AD$1006:$AU$1006,0)), HYPERLINK("#",""), HYPERLINK(CONCATENATE("#metadata!", ADDRESS(INDEX($Y$2:$Y$1001,MATCH(ROWS($W$2:W314),$W$2:$W$1001,0),0), INDEX($AD$1004:$AU$1004,1,MATCH(COLUMNS($AD$1006:AS1006),$AD$1006:$AU$1006,0)))),"Fix")))</f>
        <v xml:space="preserve"> </v>
      </c>
      <c r="R314" s="4" t="str">
        <f ca="1">IF(OR(INDEX($X$2:$X$1001,MATCH(ROWS($W$2:W314),$W$2:$W$1001,0),1)&gt;=100000,INDEX($AD$1005:$AU$1005,1,MATCH(COLUMNS($AD$1006:AT1006),$AD$1006:$AU$1006,0))&gt;=100000), " ",IF(INDEX($AD$2:$AU$1001,MATCH(ROWS($W$2:W314),$W$2:$W$1001,0),MATCH(COLUMNS($AD$1006:AT1006),$AD$1006:$AU$1006,0)), HYPERLINK("#",""), HYPERLINK(CONCATENATE("#metadata!", ADDRESS(INDEX($Y$2:$Y$1001,MATCH(ROWS($W$2:W314),$W$2:$W$1001,0),0), INDEX($AD$1004:$AU$1004,1,MATCH(COLUMNS($AD$1006:AT1006),$AD$1006:$AU$1006,0)))),"Fix")))</f>
        <v xml:space="preserve"> </v>
      </c>
      <c r="S314" s="4" t="str">
        <f ca="1">IF(OR(INDEX($X$2:$X$1001,MATCH(ROWS($W$2:W314),$W$2:$W$1001,0),1)&gt;=100000,INDEX($AD$1005:$AU$1005,1,MATCH(COLUMNS($AD$1006:AU1006),$AD$1006:$AU$1006,0))&gt;=100000), " ",IF(INDEX($AD$2:$AU$1001,MATCH(ROWS($W$2:W314),$W$2:$W$1001,0),MATCH(COLUMNS($AD$1006:AU1006),$AD$1006:$AU$1006,0)), HYPERLINK("#",""), HYPERLINK(CONCATENATE("#metadata!", ADDRESS(INDEX($Y$2:$Y$1001,MATCH(ROWS($W$2:W314),$W$2:$W$1001,0),0), INDEX($AD$1004:$AU$1004,1,MATCH(COLUMNS($AD$1006:AU1006),$AD$1006:$AU$1006,0)))),"Fix")))</f>
        <v xml:space="preserve"> </v>
      </c>
      <c r="W314">
        <v>313</v>
      </c>
      <c r="X314">
        <v>100314</v>
      </c>
      <c r="Y314">
        <v>314</v>
      </c>
      <c r="Z314" t="b">
        <f t="shared" si="4"/>
        <v>1</v>
      </c>
      <c r="AA314" t="b">
        <f>COUNTBLANK(metadata!B314:S314)=COLUMNS(metadata!B314:S314)</f>
        <v>1</v>
      </c>
      <c r="AB314" t="str">
        <v/>
      </c>
      <c r="AD314" t="b">
        <f ca="1">AND(IF(metadata!B314="",FALSE,TRUE),COUNTIF(metadata!B:B, metadata!B314) = 1,NOT(ISERROR(SUMPRODUCT(SEARCH(MID(metadata!B314,ROW(INDIRECT("1:"&amp;LEN(metadata!B314))), 1),"0123456789abcdefghijklmnopqrstuvwxyzABCDEFGHIJKLMNOPQRSTUVWXYZ.")))))</f>
        <v>0</v>
      </c>
      <c r="AE314" t="b">
        <f>OR(AND(IF(metadata!C314="",FALSE,TRUE),OR(EXACT(metadata!C314,"not applicable"),EXACT(metadata!C314,"missing: not collected"),EXACT(metadata!C314,"missing: not provided"),EXACT(metadata!C314,"missing: restricted access"))),AND(IF(metadata!C314="",FALSE,ISNUMBER(VALUE(metadata!C314))),metadata!C314&gt;0))</f>
        <v>0</v>
      </c>
      <c r="AF314" t="b">
        <f>AND(IF(metadata!D314="",FALSE,TRUE),EXACT(metadata!D314,"missing: not provided"))</f>
        <v>0</v>
      </c>
      <c r="AG314" t="b">
        <f>AND(IF(metadata!E314="",FALSE,TRUE),EXACT(metadata!E314,"Host-associated"))</f>
        <v>0</v>
      </c>
      <c r="AH314" t="b">
        <f>AND(IF(metadata!F314="",FALSE,TRUE),OR(EXACT(metadata!F314,"Animal"),EXACT(metadata!F314,"Fungus"),EXACT(metadata!F314,"Plant")))</f>
        <v>0</v>
      </c>
      <c r="AI314" t="b">
        <f>AND(IF(metadata!G314="",FALSE,TRUE),OR(EXACT(metadata!G314,"Plant secretion"),EXACT(metadata!G314,"Plant rhizosphere"),EXACT(metadata!G314,"Plant surface"),EXACT(metadata!G314,"Plant corpus"),EXACT(metadata!G314,"Fungus surface"),EXACT(metadata!G314,"Fungus corpus"),EXACT(metadata!G314,"Animal surface"),EXACT(metadata!G314,"Animal proximal gut"),EXACT(metadata!G314,"Animal corpus"),EXACT(metadata!G314,"Animal distal gut"),EXACT(metadata!G314,"Animal secretion")))</f>
        <v>0</v>
      </c>
      <c r="AJ314" t="b">
        <f>OR(AND(IF(metadata!H314="",FALSE,TRUE),OR(EXACT(metadata!H314,"missing: not collected"),EXACT(metadata!H314,"missing: not provided"),EXACT(metadata!H314,"missing: restricted access"))),AND(IF(metadata!H314="",FALSE,TRUE),OR(EXACT(metadata!H314,"organism-associated habitat"),EXACT(metadata!H314,"plant-associated habitat"),EXACT(metadata!H314,"animal-associated habitat"),EXACT(metadata!H314,"insecta-associated habitat"),EXACT(metadata!H314,"mammalia-associated habitat"),EXACT(metadata!H314,"human-associated habitat"),EXACT(metadata!H314,"livestock-associated habitat"))))</f>
        <v>0</v>
      </c>
      <c r="AK314" t="b">
        <f>AND(IF(metadata!I314="",FALSE,TRUE),EXACT(metadata!I314,"host-associated"))</f>
        <v>0</v>
      </c>
      <c r="AL314" t="b">
        <f>OR(AND(IF(metadata!J314="",FALSE,TRUE),OR(EXACT(metadata!J314,"not applicable"),EXACT(metadata!J314,"missing: not collected"),EXACT(metadata!J314,"missing: not provided"),EXACT(metadata!J314,"missing: restricted access"))),AND(IF(metadata!J314="",FALSE,ISNUMBER(VALUE(metadata!J314))),metadata!J314&gt;0))</f>
        <v>0</v>
      </c>
      <c r="AM314" t="b">
        <f>AND(IF(metadata!K314="",FALSE,TRUE),EXACT(metadata!K314,"missing: not provided"))</f>
        <v>0</v>
      </c>
      <c r="AN314" t="b">
        <f>IF(metadata!L314="",FALSE,TRUE)</f>
        <v>0</v>
      </c>
      <c r="AO314" t="b">
        <f>IF(metadata!M314="",FALSE,TRUE)</f>
        <v>0</v>
      </c>
      <c r="AP314" t="b">
        <f>OR(AND(IF(metadata!N314="",FALSE,TRUE),OR(EXACT(metadata!N314,"not applicable"),EXACT(metadata!N314,"missing: not collected"),EXACT(metadata!N314,"missing: not provided"))),AND(IF(metadata!N314="",FALSE,IF(ISERROR(INT(metadata!N314)),FALSE,INT(metadata!N314)=metadata!N314)),metadata!N314&gt;0))</f>
        <v>0</v>
      </c>
      <c r="AQ314" t="b">
        <f>AND(IF(metadata!O314="",FALSE,TRUE),EXACT(metadata!O314,"Not applicable"))</f>
        <v>0</v>
      </c>
      <c r="AR314" t="b">
        <f>OR(AND(IF(metadata!P314="",FALSE,TRUE),OR(EXACT(metadata!P314,"not applicable"),EXACT(metadata!P314,"missing: not collected"),EXACT(metadata!P314,"missing: not provided"),EXACT(metadata!P314,"missing: restricted access"))),IF(metadata!P314="",FALSE,IF(ISERROR(INT(metadata!P314)),FALSE,INT(metadata!P314)=metadata!P314)))</f>
        <v>0</v>
      </c>
      <c r="AS314" t="b">
        <f>AND(IF(metadata!Q314="",FALSE,TRUE),EXACT(metadata!Q314,"Not applicable"))</f>
        <v>0</v>
      </c>
      <c r="AT314" t="b">
        <f>OR(AND(IF(metadata!R314="",FALSE,TRUE),OR(EXACT(metadata!R314,"not applicable"),EXACT(metadata!R314,"missing: not collected"),EXACT(metadata!R314,"missing: not provided"),EXACT(metadata!R314,"missing: restricted access"))),AND(IF(metadata!R314="",FALSE,ISNUMBER(VALUE(metadata!R314))),metadata!R314&gt;0))</f>
        <v>0</v>
      </c>
      <c r="AU314" t="b">
        <f>AND(IF(metadata!S314="",FALSE,TRUE),EXACT(metadata!S314,"missing: not provided"))</f>
        <v>0</v>
      </c>
    </row>
    <row r="315" spans="1:47" x14ac:dyDescent="0.2">
      <c r="A315" s="5" t="str">
        <f ca="1">IF(B315=" "," ",HYPERLINK(CONCATENATE("#metadata!",ADDRESS(INDEX($Y$2:$Y$1001,MATCH(ROWS($W$2:W315),$W$2:$W$1001,0),0),1)),INDEX($AB$2:$AB$1001,MATCH(ROWS($W$2:W315),$W$2:$W$1001,0),0)))</f>
        <v xml:space="preserve"> </v>
      </c>
      <c r="B315" s="4" t="str">
        <f ca="1">IF(OR(INDEX($X$2:$X$1001,MATCH(ROWS($W$2:W315),$W$2:$W$1001,0),1)&gt;=100000,INDEX($AD$1005:$AU$1005,1,MATCH(COLUMNS($AD$1006:AD1006),$AD$1006:$AU$1006,0))&gt;=100000), " ",IF(INDEX($AD$2:$AU$1001,MATCH(ROWS($W$2:W315),$W$2:$W$1001,0),MATCH(COLUMNS($AD$1006:AD1006),$AD$1006:$AU$1006,0)), HYPERLINK("#",""), HYPERLINK(CONCATENATE("#metadata!", ADDRESS(INDEX($Y$2:$Y$1001,MATCH(ROWS($W$2:W315),$W$2:$W$1001,0),0), INDEX($AD$1004:$AU$1004,1,MATCH(COLUMNS($AD$1006:AD1006),$AD$1006:$AU$1006,0)))),"Fix")))</f>
        <v xml:space="preserve"> </v>
      </c>
      <c r="C315" s="4" t="str">
        <f ca="1">IF(OR(INDEX($X$2:$X$1001,MATCH(ROWS($W$2:W315),$W$2:$W$1001,0),1)&gt;=100000,INDEX($AD$1005:$AU$1005,1,MATCH(COLUMNS($AD$1006:AE1006),$AD$1006:$AU$1006,0))&gt;=100000), " ",IF(INDEX($AD$2:$AU$1001,MATCH(ROWS($W$2:W315),$W$2:$W$1001,0),MATCH(COLUMNS($AD$1006:AE1006),$AD$1006:$AU$1006,0)), HYPERLINK("#",""), HYPERLINK(CONCATENATE("#metadata!", ADDRESS(INDEX($Y$2:$Y$1001,MATCH(ROWS($W$2:W315),$W$2:$W$1001,0),0), INDEX($AD$1004:$AU$1004,1,MATCH(COLUMNS($AD$1006:AE1006),$AD$1006:$AU$1006,0)))),"Fix")))</f>
        <v xml:space="preserve"> </v>
      </c>
      <c r="D315" s="4" t="str">
        <f ca="1">IF(OR(INDEX($X$2:$X$1001,MATCH(ROWS($W$2:W315),$W$2:$W$1001,0),1)&gt;=100000,INDEX($AD$1005:$AU$1005,1,MATCH(COLUMNS($AD$1006:AF1006),$AD$1006:$AU$1006,0))&gt;=100000), " ",IF(INDEX($AD$2:$AU$1001,MATCH(ROWS($W$2:W315),$W$2:$W$1001,0),MATCH(COLUMNS($AD$1006:AF1006),$AD$1006:$AU$1006,0)), HYPERLINK("#",""), HYPERLINK(CONCATENATE("#metadata!", ADDRESS(INDEX($Y$2:$Y$1001,MATCH(ROWS($W$2:W315),$W$2:$W$1001,0),0), INDEX($AD$1004:$AU$1004,1,MATCH(COLUMNS($AD$1006:AF1006),$AD$1006:$AU$1006,0)))),"Fix")))</f>
        <v xml:space="preserve"> </v>
      </c>
      <c r="E315" s="4" t="str">
        <f ca="1">IF(OR(INDEX($X$2:$X$1001,MATCH(ROWS($W$2:W315),$W$2:$W$1001,0),1)&gt;=100000,INDEX($AD$1005:$AU$1005,1,MATCH(COLUMNS($AD$1006:AG1006),$AD$1006:$AU$1006,0))&gt;=100000), " ",IF(INDEX($AD$2:$AU$1001,MATCH(ROWS($W$2:W315),$W$2:$W$1001,0),MATCH(COLUMNS($AD$1006:AG1006),$AD$1006:$AU$1006,0)), HYPERLINK("#",""), HYPERLINK(CONCATENATE("#metadata!", ADDRESS(INDEX($Y$2:$Y$1001,MATCH(ROWS($W$2:W315),$W$2:$W$1001,0),0), INDEX($AD$1004:$AU$1004,1,MATCH(COLUMNS($AD$1006:AG1006),$AD$1006:$AU$1006,0)))),"Fix")))</f>
        <v xml:space="preserve"> </v>
      </c>
      <c r="F315" s="4" t="str">
        <f ca="1">IF(OR(INDEX($X$2:$X$1001,MATCH(ROWS($W$2:W315),$W$2:$W$1001,0),1)&gt;=100000,INDEX($AD$1005:$AU$1005,1,MATCH(COLUMNS($AD$1006:AH1006),$AD$1006:$AU$1006,0))&gt;=100000), " ",IF(INDEX($AD$2:$AU$1001,MATCH(ROWS($W$2:W315),$W$2:$W$1001,0),MATCH(COLUMNS($AD$1006:AH1006),$AD$1006:$AU$1006,0)), HYPERLINK("#",""), HYPERLINK(CONCATENATE("#metadata!", ADDRESS(INDEX($Y$2:$Y$1001,MATCH(ROWS($W$2:W315),$W$2:$W$1001,0),0), INDEX($AD$1004:$AU$1004,1,MATCH(COLUMNS($AD$1006:AH1006),$AD$1006:$AU$1006,0)))),"Fix")))</f>
        <v xml:space="preserve"> </v>
      </c>
      <c r="G315" s="4" t="str">
        <f ca="1">IF(OR(INDEX($X$2:$X$1001,MATCH(ROWS($W$2:W315),$W$2:$W$1001,0),1)&gt;=100000,INDEX($AD$1005:$AU$1005,1,MATCH(COLUMNS($AD$1006:AI1006),$AD$1006:$AU$1006,0))&gt;=100000), " ",IF(INDEX($AD$2:$AU$1001,MATCH(ROWS($W$2:W315),$W$2:$W$1001,0),MATCH(COLUMNS($AD$1006:AI1006),$AD$1006:$AU$1006,0)), HYPERLINK("#",""), HYPERLINK(CONCATENATE("#metadata!", ADDRESS(INDEX($Y$2:$Y$1001,MATCH(ROWS($W$2:W315),$W$2:$W$1001,0),0), INDEX($AD$1004:$AU$1004,1,MATCH(COLUMNS($AD$1006:AI1006),$AD$1006:$AU$1006,0)))),"Fix")))</f>
        <v xml:space="preserve"> </v>
      </c>
      <c r="H315" s="4" t="str">
        <f ca="1">IF(OR(INDEX($X$2:$X$1001,MATCH(ROWS($W$2:W315),$W$2:$W$1001,0),1)&gt;=100000,INDEX($AD$1005:$AU$1005,1,MATCH(COLUMNS($AD$1006:AJ1006),$AD$1006:$AU$1006,0))&gt;=100000), " ",IF(INDEX($AD$2:$AU$1001,MATCH(ROWS($W$2:W315),$W$2:$W$1001,0),MATCH(COLUMNS($AD$1006:AJ1006),$AD$1006:$AU$1006,0)), HYPERLINK("#",""), HYPERLINK(CONCATENATE("#metadata!", ADDRESS(INDEX($Y$2:$Y$1001,MATCH(ROWS($W$2:W315),$W$2:$W$1001,0),0), INDEX($AD$1004:$AU$1004,1,MATCH(COLUMNS($AD$1006:AJ1006),$AD$1006:$AU$1006,0)))),"Fix")))</f>
        <v xml:space="preserve"> </v>
      </c>
      <c r="I315" s="4" t="str">
        <f ca="1">IF(OR(INDEX($X$2:$X$1001,MATCH(ROWS($W$2:W315),$W$2:$W$1001,0),1)&gt;=100000,INDEX($AD$1005:$AU$1005,1,MATCH(COLUMNS($AD$1006:AK1006),$AD$1006:$AU$1006,0))&gt;=100000), " ",IF(INDEX($AD$2:$AU$1001,MATCH(ROWS($W$2:W315),$W$2:$W$1001,0),MATCH(COLUMNS($AD$1006:AK1006),$AD$1006:$AU$1006,0)), HYPERLINK("#",""), HYPERLINK(CONCATENATE("#metadata!", ADDRESS(INDEX($Y$2:$Y$1001,MATCH(ROWS($W$2:W315),$W$2:$W$1001,0),0), INDEX($AD$1004:$AU$1004,1,MATCH(COLUMNS($AD$1006:AK1006),$AD$1006:$AU$1006,0)))),"Fix")))</f>
        <v xml:space="preserve"> </v>
      </c>
      <c r="J315" s="4" t="str">
        <f ca="1">IF(OR(INDEX($X$2:$X$1001,MATCH(ROWS($W$2:W315),$W$2:$W$1001,0),1)&gt;=100000,INDEX($AD$1005:$AU$1005,1,MATCH(COLUMNS($AD$1006:AL1006),$AD$1006:$AU$1006,0))&gt;=100000), " ",IF(INDEX($AD$2:$AU$1001,MATCH(ROWS($W$2:W315),$W$2:$W$1001,0),MATCH(COLUMNS($AD$1006:AL1006),$AD$1006:$AU$1006,0)), HYPERLINK("#",""), HYPERLINK(CONCATENATE("#metadata!", ADDRESS(INDEX($Y$2:$Y$1001,MATCH(ROWS($W$2:W315),$W$2:$W$1001,0),0), INDEX($AD$1004:$AU$1004,1,MATCH(COLUMNS($AD$1006:AL1006),$AD$1006:$AU$1006,0)))),"Fix")))</f>
        <v xml:space="preserve"> </v>
      </c>
      <c r="K315" s="4" t="str">
        <f ca="1">IF(OR(INDEX($X$2:$X$1001,MATCH(ROWS($W$2:W315),$W$2:$W$1001,0),1)&gt;=100000,INDEX($AD$1005:$AU$1005,1,MATCH(COLUMNS($AD$1006:AM1006),$AD$1006:$AU$1006,0))&gt;=100000), " ",IF(INDEX($AD$2:$AU$1001,MATCH(ROWS($W$2:W315),$W$2:$W$1001,0),MATCH(COLUMNS($AD$1006:AM1006),$AD$1006:$AU$1006,0)), HYPERLINK("#",""), HYPERLINK(CONCATENATE("#metadata!", ADDRESS(INDEX($Y$2:$Y$1001,MATCH(ROWS($W$2:W315),$W$2:$W$1001,0),0), INDEX($AD$1004:$AU$1004,1,MATCH(COLUMNS($AD$1006:AM1006),$AD$1006:$AU$1006,0)))),"Fix")))</f>
        <v xml:space="preserve"> </v>
      </c>
      <c r="L315" s="4" t="str">
        <f ca="1">IF(OR(INDEX($X$2:$X$1001,MATCH(ROWS($W$2:W315),$W$2:$W$1001,0),1)&gt;=100000,INDEX($AD$1005:$AU$1005,1,MATCH(COLUMNS($AD$1006:AN1006),$AD$1006:$AU$1006,0))&gt;=100000), " ",IF(INDEX($AD$2:$AU$1001,MATCH(ROWS($W$2:W315),$W$2:$W$1001,0),MATCH(COLUMNS($AD$1006:AN1006),$AD$1006:$AU$1006,0)), HYPERLINK("#",""), HYPERLINK(CONCATENATE("#metadata!", ADDRESS(INDEX($Y$2:$Y$1001,MATCH(ROWS($W$2:W315),$W$2:$W$1001,0),0), INDEX($AD$1004:$AU$1004,1,MATCH(COLUMNS($AD$1006:AN1006),$AD$1006:$AU$1006,0)))),"Fix")))</f>
        <v xml:space="preserve"> </v>
      </c>
      <c r="M315" s="4" t="str">
        <f ca="1">IF(OR(INDEX($X$2:$X$1001,MATCH(ROWS($W$2:W315),$W$2:$W$1001,0),1)&gt;=100000,INDEX($AD$1005:$AU$1005,1,MATCH(COLUMNS($AD$1006:AO1006),$AD$1006:$AU$1006,0))&gt;=100000), " ",IF(INDEX($AD$2:$AU$1001,MATCH(ROWS($W$2:W315),$W$2:$W$1001,0),MATCH(COLUMNS($AD$1006:AO1006),$AD$1006:$AU$1006,0)), HYPERLINK("#",""), HYPERLINK(CONCATENATE("#metadata!", ADDRESS(INDEX($Y$2:$Y$1001,MATCH(ROWS($W$2:W315),$W$2:$W$1001,0),0), INDEX($AD$1004:$AU$1004,1,MATCH(COLUMNS($AD$1006:AO1006),$AD$1006:$AU$1006,0)))),"Fix")))</f>
        <v xml:space="preserve"> </v>
      </c>
      <c r="N315" s="4" t="str">
        <f ca="1">IF(OR(INDEX($X$2:$X$1001,MATCH(ROWS($W$2:W315),$W$2:$W$1001,0),1)&gt;=100000,INDEX($AD$1005:$AU$1005,1,MATCH(COLUMNS($AD$1006:AP1006),$AD$1006:$AU$1006,0))&gt;=100000), " ",IF(INDEX($AD$2:$AU$1001,MATCH(ROWS($W$2:W315),$W$2:$W$1001,0),MATCH(COLUMNS($AD$1006:AP1006),$AD$1006:$AU$1006,0)), HYPERLINK("#",""), HYPERLINK(CONCATENATE("#metadata!", ADDRESS(INDEX($Y$2:$Y$1001,MATCH(ROWS($W$2:W315),$W$2:$W$1001,0),0), INDEX($AD$1004:$AU$1004,1,MATCH(COLUMNS($AD$1006:AP1006),$AD$1006:$AU$1006,0)))),"Fix")))</f>
        <v xml:space="preserve"> </v>
      </c>
      <c r="O315" s="4" t="str">
        <f ca="1">IF(OR(INDEX($X$2:$X$1001,MATCH(ROWS($W$2:W315),$W$2:$W$1001,0),1)&gt;=100000,INDEX($AD$1005:$AU$1005,1,MATCH(COLUMNS($AD$1006:AQ1006),$AD$1006:$AU$1006,0))&gt;=100000), " ",IF(INDEX($AD$2:$AU$1001,MATCH(ROWS($W$2:W315),$W$2:$W$1001,0),MATCH(COLUMNS($AD$1006:AQ1006),$AD$1006:$AU$1006,0)), HYPERLINK("#",""), HYPERLINK(CONCATENATE("#metadata!", ADDRESS(INDEX($Y$2:$Y$1001,MATCH(ROWS($W$2:W315),$W$2:$W$1001,0),0), INDEX($AD$1004:$AU$1004,1,MATCH(COLUMNS($AD$1006:AQ1006),$AD$1006:$AU$1006,0)))),"Fix")))</f>
        <v xml:space="preserve"> </v>
      </c>
      <c r="P315" s="4" t="str">
        <f ca="1">IF(OR(INDEX($X$2:$X$1001,MATCH(ROWS($W$2:W315),$W$2:$W$1001,0),1)&gt;=100000,INDEX($AD$1005:$AU$1005,1,MATCH(COLUMNS($AD$1006:AR1006),$AD$1006:$AU$1006,0))&gt;=100000), " ",IF(INDEX($AD$2:$AU$1001,MATCH(ROWS($W$2:W315),$W$2:$W$1001,0),MATCH(COLUMNS($AD$1006:AR1006),$AD$1006:$AU$1006,0)), HYPERLINK("#",""), HYPERLINK(CONCATENATE("#metadata!", ADDRESS(INDEX($Y$2:$Y$1001,MATCH(ROWS($W$2:W315),$W$2:$W$1001,0),0), INDEX($AD$1004:$AU$1004,1,MATCH(COLUMNS($AD$1006:AR1006),$AD$1006:$AU$1006,0)))),"Fix")))</f>
        <v xml:space="preserve"> </v>
      </c>
      <c r="Q315" s="4" t="str">
        <f ca="1">IF(OR(INDEX($X$2:$X$1001,MATCH(ROWS($W$2:W315),$W$2:$W$1001,0),1)&gt;=100000,INDEX($AD$1005:$AU$1005,1,MATCH(COLUMNS($AD$1006:AS1006),$AD$1006:$AU$1006,0))&gt;=100000), " ",IF(INDEX($AD$2:$AU$1001,MATCH(ROWS($W$2:W315),$W$2:$W$1001,0),MATCH(COLUMNS($AD$1006:AS1006),$AD$1006:$AU$1006,0)), HYPERLINK("#",""), HYPERLINK(CONCATENATE("#metadata!", ADDRESS(INDEX($Y$2:$Y$1001,MATCH(ROWS($W$2:W315),$W$2:$W$1001,0),0), INDEX($AD$1004:$AU$1004,1,MATCH(COLUMNS($AD$1006:AS1006),$AD$1006:$AU$1006,0)))),"Fix")))</f>
        <v xml:space="preserve"> </v>
      </c>
      <c r="R315" s="4" t="str">
        <f ca="1">IF(OR(INDEX($X$2:$X$1001,MATCH(ROWS($W$2:W315),$W$2:$W$1001,0),1)&gt;=100000,INDEX($AD$1005:$AU$1005,1,MATCH(COLUMNS($AD$1006:AT1006),$AD$1006:$AU$1006,0))&gt;=100000), " ",IF(INDEX($AD$2:$AU$1001,MATCH(ROWS($W$2:W315),$W$2:$W$1001,0),MATCH(COLUMNS($AD$1006:AT1006),$AD$1006:$AU$1006,0)), HYPERLINK("#",""), HYPERLINK(CONCATENATE("#metadata!", ADDRESS(INDEX($Y$2:$Y$1001,MATCH(ROWS($W$2:W315),$W$2:$W$1001,0),0), INDEX($AD$1004:$AU$1004,1,MATCH(COLUMNS($AD$1006:AT1006),$AD$1006:$AU$1006,0)))),"Fix")))</f>
        <v xml:space="preserve"> </v>
      </c>
      <c r="S315" s="4" t="str">
        <f ca="1">IF(OR(INDEX($X$2:$X$1001,MATCH(ROWS($W$2:W315),$W$2:$W$1001,0),1)&gt;=100000,INDEX($AD$1005:$AU$1005,1,MATCH(COLUMNS($AD$1006:AU1006),$AD$1006:$AU$1006,0))&gt;=100000), " ",IF(INDEX($AD$2:$AU$1001,MATCH(ROWS($W$2:W315),$W$2:$W$1001,0),MATCH(COLUMNS($AD$1006:AU1006),$AD$1006:$AU$1006,0)), HYPERLINK("#",""), HYPERLINK(CONCATENATE("#metadata!", ADDRESS(INDEX($Y$2:$Y$1001,MATCH(ROWS($W$2:W315),$W$2:$W$1001,0),0), INDEX($AD$1004:$AU$1004,1,MATCH(COLUMNS($AD$1006:AU1006),$AD$1006:$AU$1006,0)))),"Fix")))</f>
        <v xml:space="preserve"> </v>
      </c>
      <c r="W315">
        <v>314</v>
      </c>
      <c r="X315">
        <v>100315</v>
      </c>
      <c r="Y315">
        <v>315</v>
      </c>
      <c r="Z315" t="b">
        <f t="shared" si="4"/>
        <v>1</v>
      </c>
      <c r="AA315" t="b">
        <f>COUNTBLANK(metadata!B315:S315)=COLUMNS(metadata!B315:S315)</f>
        <v>1</v>
      </c>
      <c r="AB315" t="str">
        <v/>
      </c>
      <c r="AD315" t="b">
        <f ca="1">AND(IF(metadata!B315="",FALSE,TRUE),COUNTIF(metadata!B:B, metadata!B315) = 1,NOT(ISERROR(SUMPRODUCT(SEARCH(MID(metadata!B315,ROW(INDIRECT("1:"&amp;LEN(metadata!B315))), 1),"0123456789abcdefghijklmnopqrstuvwxyzABCDEFGHIJKLMNOPQRSTUVWXYZ.")))))</f>
        <v>0</v>
      </c>
      <c r="AE315" t="b">
        <f>OR(AND(IF(metadata!C315="",FALSE,TRUE),OR(EXACT(metadata!C315,"not applicable"),EXACT(metadata!C315,"missing: not collected"),EXACT(metadata!C315,"missing: not provided"),EXACT(metadata!C315,"missing: restricted access"))),AND(IF(metadata!C315="",FALSE,ISNUMBER(VALUE(metadata!C315))),metadata!C315&gt;0))</f>
        <v>0</v>
      </c>
      <c r="AF315" t="b">
        <f>AND(IF(metadata!D315="",FALSE,TRUE),EXACT(metadata!D315,"missing: not provided"))</f>
        <v>0</v>
      </c>
      <c r="AG315" t="b">
        <f>AND(IF(metadata!E315="",FALSE,TRUE),EXACT(metadata!E315,"Host-associated"))</f>
        <v>0</v>
      </c>
      <c r="AH315" t="b">
        <f>AND(IF(metadata!F315="",FALSE,TRUE),OR(EXACT(metadata!F315,"Animal"),EXACT(metadata!F315,"Fungus"),EXACT(metadata!F315,"Plant")))</f>
        <v>0</v>
      </c>
      <c r="AI315" t="b">
        <f>AND(IF(metadata!G315="",FALSE,TRUE),OR(EXACT(metadata!G315,"Plant secretion"),EXACT(metadata!G315,"Plant rhizosphere"),EXACT(metadata!G315,"Plant surface"),EXACT(metadata!G315,"Plant corpus"),EXACT(metadata!G315,"Fungus surface"),EXACT(metadata!G315,"Fungus corpus"),EXACT(metadata!G315,"Animal surface"),EXACT(metadata!G315,"Animal proximal gut"),EXACT(metadata!G315,"Animal corpus"),EXACT(metadata!G315,"Animal distal gut"),EXACT(metadata!G315,"Animal secretion")))</f>
        <v>0</v>
      </c>
      <c r="AJ315" t="b">
        <f>OR(AND(IF(metadata!H315="",FALSE,TRUE),OR(EXACT(metadata!H315,"missing: not collected"),EXACT(metadata!H315,"missing: not provided"),EXACT(metadata!H315,"missing: restricted access"))),AND(IF(metadata!H315="",FALSE,TRUE),OR(EXACT(metadata!H315,"organism-associated habitat"),EXACT(metadata!H315,"plant-associated habitat"),EXACT(metadata!H315,"animal-associated habitat"),EXACT(metadata!H315,"insecta-associated habitat"),EXACT(metadata!H315,"mammalia-associated habitat"),EXACT(metadata!H315,"human-associated habitat"),EXACT(metadata!H315,"livestock-associated habitat"))))</f>
        <v>0</v>
      </c>
      <c r="AK315" t="b">
        <f>AND(IF(metadata!I315="",FALSE,TRUE),EXACT(metadata!I315,"host-associated"))</f>
        <v>0</v>
      </c>
      <c r="AL315" t="b">
        <f>OR(AND(IF(metadata!J315="",FALSE,TRUE),OR(EXACT(metadata!J315,"not applicable"),EXACT(metadata!J315,"missing: not collected"),EXACT(metadata!J315,"missing: not provided"),EXACT(metadata!J315,"missing: restricted access"))),AND(IF(metadata!J315="",FALSE,ISNUMBER(VALUE(metadata!J315))),metadata!J315&gt;0))</f>
        <v>0</v>
      </c>
      <c r="AM315" t="b">
        <f>AND(IF(metadata!K315="",FALSE,TRUE),EXACT(metadata!K315,"missing: not provided"))</f>
        <v>0</v>
      </c>
      <c r="AN315" t="b">
        <f>IF(metadata!L315="",FALSE,TRUE)</f>
        <v>0</v>
      </c>
      <c r="AO315" t="b">
        <f>IF(metadata!M315="",FALSE,TRUE)</f>
        <v>0</v>
      </c>
      <c r="AP315" t="b">
        <f>OR(AND(IF(metadata!N315="",FALSE,TRUE),OR(EXACT(metadata!N315,"not applicable"),EXACT(metadata!N315,"missing: not collected"),EXACT(metadata!N315,"missing: not provided"))),AND(IF(metadata!N315="",FALSE,IF(ISERROR(INT(metadata!N315)),FALSE,INT(metadata!N315)=metadata!N315)),metadata!N315&gt;0))</f>
        <v>0</v>
      </c>
      <c r="AQ315" t="b">
        <f>AND(IF(metadata!O315="",FALSE,TRUE),EXACT(metadata!O315,"Not applicable"))</f>
        <v>0</v>
      </c>
      <c r="AR315" t="b">
        <f>OR(AND(IF(metadata!P315="",FALSE,TRUE),OR(EXACT(metadata!P315,"not applicable"),EXACT(metadata!P315,"missing: not collected"),EXACT(metadata!P315,"missing: not provided"),EXACT(metadata!P315,"missing: restricted access"))),IF(metadata!P315="",FALSE,IF(ISERROR(INT(metadata!P315)),FALSE,INT(metadata!P315)=metadata!P315)))</f>
        <v>0</v>
      </c>
      <c r="AS315" t="b">
        <f>AND(IF(metadata!Q315="",FALSE,TRUE),EXACT(metadata!Q315,"Not applicable"))</f>
        <v>0</v>
      </c>
      <c r="AT315" t="b">
        <f>OR(AND(IF(metadata!R315="",FALSE,TRUE),OR(EXACT(metadata!R315,"not applicable"),EXACT(metadata!R315,"missing: not collected"),EXACT(metadata!R315,"missing: not provided"),EXACT(metadata!R315,"missing: restricted access"))),AND(IF(metadata!R315="",FALSE,ISNUMBER(VALUE(metadata!R315))),metadata!R315&gt;0))</f>
        <v>0</v>
      </c>
      <c r="AU315" t="b">
        <f>AND(IF(metadata!S315="",FALSE,TRUE),EXACT(metadata!S315,"missing: not provided"))</f>
        <v>0</v>
      </c>
    </row>
    <row r="316" spans="1:47" x14ac:dyDescent="0.2">
      <c r="A316" s="5" t="str">
        <f ca="1">IF(B316=" "," ",HYPERLINK(CONCATENATE("#metadata!",ADDRESS(INDEX($Y$2:$Y$1001,MATCH(ROWS($W$2:W316),$W$2:$W$1001,0),0),1)),INDEX($AB$2:$AB$1001,MATCH(ROWS($W$2:W316),$W$2:$W$1001,0),0)))</f>
        <v xml:space="preserve"> </v>
      </c>
      <c r="B316" s="4" t="str">
        <f ca="1">IF(OR(INDEX($X$2:$X$1001,MATCH(ROWS($W$2:W316),$W$2:$W$1001,0),1)&gt;=100000,INDEX($AD$1005:$AU$1005,1,MATCH(COLUMNS($AD$1006:AD1006),$AD$1006:$AU$1006,0))&gt;=100000), " ",IF(INDEX($AD$2:$AU$1001,MATCH(ROWS($W$2:W316),$W$2:$W$1001,0),MATCH(COLUMNS($AD$1006:AD1006),$AD$1006:$AU$1006,0)), HYPERLINK("#",""), HYPERLINK(CONCATENATE("#metadata!", ADDRESS(INDEX($Y$2:$Y$1001,MATCH(ROWS($W$2:W316),$W$2:$W$1001,0),0), INDEX($AD$1004:$AU$1004,1,MATCH(COLUMNS($AD$1006:AD1006),$AD$1006:$AU$1006,0)))),"Fix")))</f>
        <v xml:space="preserve"> </v>
      </c>
      <c r="C316" s="4" t="str">
        <f ca="1">IF(OR(INDEX($X$2:$X$1001,MATCH(ROWS($W$2:W316),$W$2:$W$1001,0),1)&gt;=100000,INDEX($AD$1005:$AU$1005,1,MATCH(COLUMNS($AD$1006:AE1006),$AD$1006:$AU$1006,0))&gt;=100000), " ",IF(INDEX($AD$2:$AU$1001,MATCH(ROWS($W$2:W316),$W$2:$W$1001,0),MATCH(COLUMNS($AD$1006:AE1006),$AD$1006:$AU$1006,0)), HYPERLINK("#",""), HYPERLINK(CONCATENATE("#metadata!", ADDRESS(INDEX($Y$2:$Y$1001,MATCH(ROWS($W$2:W316),$W$2:$W$1001,0),0), INDEX($AD$1004:$AU$1004,1,MATCH(COLUMNS($AD$1006:AE1006),$AD$1006:$AU$1006,0)))),"Fix")))</f>
        <v xml:space="preserve"> </v>
      </c>
      <c r="D316" s="4" t="str">
        <f ca="1">IF(OR(INDEX($X$2:$X$1001,MATCH(ROWS($W$2:W316),$W$2:$W$1001,0),1)&gt;=100000,INDEX($AD$1005:$AU$1005,1,MATCH(COLUMNS($AD$1006:AF1006),$AD$1006:$AU$1006,0))&gt;=100000), " ",IF(INDEX($AD$2:$AU$1001,MATCH(ROWS($W$2:W316),$W$2:$W$1001,0),MATCH(COLUMNS($AD$1006:AF1006),$AD$1006:$AU$1006,0)), HYPERLINK("#",""), HYPERLINK(CONCATENATE("#metadata!", ADDRESS(INDEX($Y$2:$Y$1001,MATCH(ROWS($W$2:W316),$W$2:$W$1001,0),0), INDEX($AD$1004:$AU$1004,1,MATCH(COLUMNS($AD$1006:AF1006),$AD$1006:$AU$1006,0)))),"Fix")))</f>
        <v xml:space="preserve"> </v>
      </c>
      <c r="E316" s="4" t="str">
        <f ca="1">IF(OR(INDEX($X$2:$X$1001,MATCH(ROWS($W$2:W316),$W$2:$W$1001,0),1)&gt;=100000,INDEX($AD$1005:$AU$1005,1,MATCH(COLUMNS($AD$1006:AG1006),$AD$1006:$AU$1006,0))&gt;=100000), " ",IF(INDEX($AD$2:$AU$1001,MATCH(ROWS($W$2:W316),$W$2:$W$1001,0),MATCH(COLUMNS($AD$1006:AG1006),$AD$1006:$AU$1006,0)), HYPERLINK("#",""), HYPERLINK(CONCATENATE("#metadata!", ADDRESS(INDEX($Y$2:$Y$1001,MATCH(ROWS($W$2:W316),$W$2:$W$1001,0),0), INDEX($AD$1004:$AU$1004,1,MATCH(COLUMNS($AD$1006:AG1006),$AD$1006:$AU$1006,0)))),"Fix")))</f>
        <v xml:space="preserve"> </v>
      </c>
      <c r="F316" s="4" t="str">
        <f ca="1">IF(OR(INDEX($X$2:$X$1001,MATCH(ROWS($W$2:W316),$W$2:$W$1001,0),1)&gt;=100000,INDEX($AD$1005:$AU$1005,1,MATCH(COLUMNS($AD$1006:AH1006),$AD$1006:$AU$1006,0))&gt;=100000), " ",IF(INDEX($AD$2:$AU$1001,MATCH(ROWS($W$2:W316),$W$2:$W$1001,0),MATCH(COLUMNS($AD$1006:AH1006),$AD$1006:$AU$1006,0)), HYPERLINK("#",""), HYPERLINK(CONCATENATE("#metadata!", ADDRESS(INDEX($Y$2:$Y$1001,MATCH(ROWS($W$2:W316),$W$2:$W$1001,0),0), INDEX($AD$1004:$AU$1004,1,MATCH(COLUMNS($AD$1006:AH1006),$AD$1006:$AU$1006,0)))),"Fix")))</f>
        <v xml:space="preserve"> </v>
      </c>
      <c r="G316" s="4" t="str">
        <f ca="1">IF(OR(INDEX($X$2:$X$1001,MATCH(ROWS($W$2:W316),$W$2:$W$1001,0),1)&gt;=100000,INDEX($AD$1005:$AU$1005,1,MATCH(COLUMNS($AD$1006:AI1006),$AD$1006:$AU$1006,0))&gt;=100000), " ",IF(INDEX($AD$2:$AU$1001,MATCH(ROWS($W$2:W316),$W$2:$W$1001,0),MATCH(COLUMNS($AD$1006:AI1006),$AD$1006:$AU$1006,0)), HYPERLINK("#",""), HYPERLINK(CONCATENATE("#metadata!", ADDRESS(INDEX($Y$2:$Y$1001,MATCH(ROWS($W$2:W316),$W$2:$W$1001,0),0), INDEX($AD$1004:$AU$1004,1,MATCH(COLUMNS($AD$1006:AI1006),$AD$1006:$AU$1006,0)))),"Fix")))</f>
        <v xml:space="preserve"> </v>
      </c>
      <c r="H316" s="4" t="str">
        <f ca="1">IF(OR(INDEX($X$2:$X$1001,MATCH(ROWS($W$2:W316),$W$2:$W$1001,0),1)&gt;=100000,INDEX($AD$1005:$AU$1005,1,MATCH(COLUMNS($AD$1006:AJ1006),$AD$1006:$AU$1006,0))&gt;=100000), " ",IF(INDEX($AD$2:$AU$1001,MATCH(ROWS($W$2:W316),$W$2:$W$1001,0),MATCH(COLUMNS($AD$1006:AJ1006),$AD$1006:$AU$1006,0)), HYPERLINK("#",""), HYPERLINK(CONCATENATE("#metadata!", ADDRESS(INDEX($Y$2:$Y$1001,MATCH(ROWS($W$2:W316),$W$2:$W$1001,0),0), INDEX($AD$1004:$AU$1004,1,MATCH(COLUMNS($AD$1006:AJ1006),$AD$1006:$AU$1006,0)))),"Fix")))</f>
        <v xml:space="preserve"> </v>
      </c>
      <c r="I316" s="4" t="str">
        <f ca="1">IF(OR(INDEX($X$2:$X$1001,MATCH(ROWS($W$2:W316),$W$2:$W$1001,0),1)&gt;=100000,INDEX($AD$1005:$AU$1005,1,MATCH(COLUMNS($AD$1006:AK1006),$AD$1006:$AU$1006,0))&gt;=100000), " ",IF(INDEX($AD$2:$AU$1001,MATCH(ROWS($W$2:W316),$W$2:$W$1001,0),MATCH(COLUMNS($AD$1006:AK1006),$AD$1006:$AU$1006,0)), HYPERLINK("#",""), HYPERLINK(CONCATENATE("#metadata!", ADDRESS(INDEX($Y$2:$Y$1001,MATCH(ROWS($W$2:W316),$W$2:$W$1001,0),0), INDEX($AD$1004:$AU$1004,1,MATCH(COLUMNS($AD$1006:AK1006),$AD$1006:$AU$1006,0)))),"Fix")))</f>
        <v xml:space="preserve"> </v>
      </c>
      <c r="J316" s="4" t="str">
        <f ca="1">IF(OR(INDEX($X$2:$X$1001,MATCH(ROWS($W$2:W316),$W$2:$W$1001,0),1)&gt;=100000,INDEX($AD$1005:$AU$1005,1,MATCH(COLUMNS($AD$1006:AL1006),$AD$1006:$AU$1006,0))&gt;=100000), " ",IF(INDEX($AD$2:$AU$1001,MATCH(ROWS($W$2:W316),$W$2:$W$1001,0),MATCH(COLUMNS($AD$1006:AL1006),$AD$1006:$AU$1006,0)), HYPERLINK("#",""), HYPERLINK(CONCATENATE("#metadata!", ADDRESS(INDEX($Y$2:$Y$1001,MATCH(ROWS($W$2:W316),$W$2:$W$1001,0),0), INDEX($AD$1004:$AU$1004,1,MATCH(COLUMNS($AD$1006:AL1006),$AD$1006:$AU$1006,0)))),"Fix")))</f>
        <v xml:space="preserve"> </v>
      </c>
      <c r="K316" s="4" t="str">
        <f ca="1">IF(OR(INDEX($X$2:$X$1001,MATCH(ROWS($W$2:W316),$W$2:$W$1001,0),1)&gt;=100000,INDEX($AD$1005:$AU$1005,1,MATCH(COLUMNS($AD$1006:AM1006),$AD$1006:$AU$1006,0))&gt;=100000), " ",IF(INDEX($AD$2:$AU$1001,MATCH(ROWS($W$2:W316),$W$2:$W$1001,0),MATCH(COLUMNS($AD$1006:AM1006),$AD$1006:$AU$1006,0)), HYPERLINK("#",""), HYPERLINK(CONCATENATE("#metadata!", ADDRESS(INDEX($Y$2:$Y$1001,MATCH(ROWS($W$2:W316),$W$2:$W$1001,0),0), INDEX($AD$1004:$AU$1004,1,MATCH(COLUMNS($AD$1006:AM1006),$AD$1006:$AU$1006,0)))),"Fix")))</f>
        <v xml:space="preserve"> </v>
      </c>
      <c r="L316" s="4" t="str">
        <f ca="1">IF(OR(INDEX($X$2:$X$1001,MATCH(ROWS($W$2:W316),$W$2:$W$1001,0),1)&gt;=100000,INDEX($AD$1005:$AU$1005,1,MATCH(COLUMNS($AD$1006:AN1006),$AD$1006:$AU$1006,0))&gt;=100000), " ",IF(INDEX($AD$2:$AU$1001,MATCH(ROWS($W$2:W316),$W$2:$W$1001,0),MATCH(COLUMNS($AD$1006:AN1006),$AD$1006:$AU$1006,0)), HYPERLINK("#",""), HYPERLINK(CONCATENATE("#metadata!", ADDRESS(INDEX($Y$2:$Y$1001,MATCH(ROWS($W$2:W316),$W$2:$W$1001,0),0), INDEX($AD$1004:$AU$1004,1,MATCH(COLUMNS($AD$1006:AN1006),$AD$1006:$AU$1006,0)))),"Fix")))</f>
        <v xml:space="preserve"> </v>
      </c>
      <c r="M316" s="4" t="str">
        <f ca="1">IF(OR(INDEX($X$2:$X$1001,MATCH(ROWS($W$2:W316),$W$2:$W$1001,0),1)&gt;=100000,INDEX($AD$1005:$AU$1005,1,MATCH(COLUMNS($AD$1006:AO1006),$AD$1006:$AU$1006,0))&gt;=100000), " ",IF(INDEX($AD$2:$AU$1001,MATCH(ROWS($W$2:W316),$W$2:$W$1001,0),MATCH(COLUMNS($AD$1006:AO1006),$AD$1006:$AU$1006,0)), HYPERLINK("#",""), HYPERLINK(CONCATENATE("#metadata!", ADDRESS(INDEX($Y$2:$Y$1001,MATCH(ROWS($W$2:W316),$W$2:$W$1001,0),0), INDEX($AD$1004:$AU$1004,1,MATCH(COLUMNS($AD$1006:AO1006),$AD$1006:$AU$1006,0)))),"Fix")))</f>
        <v xml:space="preserve"> </v>
      </c>
      <c r="N316" s="4" t="str">
        <f ca="1">IF(OR(INDEX($X$2:$X$1001,MATCH(ROWS($W$2:W316),$W$2:$W$1001,0),1)&gt;=100000,INDEX($AD$1005:$AU$1005,1,MATCH(COLUMNS($AD$1006:AP1006),$AD$1006:$AU$1006,0))&gt;=100000), " ",IF(INDEX($AD$2:$AU$1001,MATCH(ROWS($W$2:W316),$W$2:$W$1001,0),MATCH(COLUMNS($AD$1006:AP1006),$AD$1006:$AU$1006,0)), HYPERLINK("#",""), HYPERLINK(CONCATENATE("#metadata!", ADDRESS(INDEX($Y$2:$Y$1001,MATCH(ROWS($W$2:W316),$W$2:$W$1001,0),0), INDEX($AD$1004:$AU$1004,1,MATCH(COLUMNS($AD$1006:AP1006),$AD$1006:$AU$1006,0)))),"Fix")))</f>
        <v xml:space="preserve"> </v>
      </c>
      <c r="O316" s="4" t="str">
        <f ca="1">IF(OR(INDEX($X$2:$X$1001,MATCH(ROWS($W$2:W316),$W$2:$W$1001,0),1)&gt;=100000,INDEX($AD$1005:$AU$1005,1,MATCH(COLUMNS($AD$1006:AQ1006),$AD$1006:$AU$1006,0))&gt;=100000), " ",IF(INDEX($AD$2:$AU$1001,MATCH(ROWS($W$2:W316),$W$2:$W$1001,0),MATCH(COLUMNS($AD$1006:AQ1006),$AD$1006:$AU$1006,0)), HYPERLINK("#",""), HYPERLINK(CONCATENATE("#metadata!", ADDRESS(INDEX($Y$2:$Y$1001,MATCH(ROWS($W$2:W316),$W$2:$W$1001,0),0), INDEX($AD$1004:$AU$1004,1,MATCH(COLUMNS($AD$1006:AQ1006),$AD$1006:$AU$1006,0)))),"Fix")))</f>
        <v xml:space="preserve"> </v>
      </c>
      <c r="P316" s="4" t="str">
        <f ca="1">IF(OR(INDEX($X$2:$X$1001,MATCH(ROWS($W$2:W316),$W$2:$W$1001,0),1)&gt;=100000,INDEX($AD$1005:$AU$1005,1,MATCH(COLUMNS($AD$1006:AR1006),$AD$1006:$AU$1006,0))&gt;=100000), " ",IF(INDEX($AD$2:$AU$1001,MATCH(ROWS($W$2:W316),$W$2:$W$1001,0),MATCH(COLUMNS($AD$1006:AR1006),$AD$1006:$AU$1006,0)), HYPERLINK("#",""), HYPERLINK(CONCATENATE("#metadata!", ADDRESS(INDEX($Y$2:$Y$1001,MATCH(ROWS($W$2:W316),$W$2:$W$1001,0),0), INDEX($AD$1004:$AU$1004,1,MATCH(COLUMNS($AD$1006:AR1006),$AD$1006:$AU$1006,0)))),"Fix")))</f>
        <v xml:space="preserve"> </v>
      </c>
      <c r="Q316" s="4" t="str">
        <f ca="1">IF(OR(INDEX($X$2:$X$1001,MATCH(ROWS($W$2:W316),$W$2:$W$1001,0),1)&gt;=100000,INDEX($AD$1005:$AU$1005,1,MATCH(COLUMNS($AD$1006:AS1006),$AD$1006:$AU$1006,0))&gt;=100000), " ",IF(INDEX($AD$2:$AU$1001,MATCH(ROWS($W$2:W316),$W$2:$W$1001,0),MATCH(COLUMNS($AD$1006:AS1006),$AD$1006:$AU$1006,0)), HYPERLINK("#",""), HYPERLINK(CONCATENATE("#metadata!", ADDRESS(INDEX($Y$2:$Y$1001,MATCH(ROWS($W$2:W316),$W$2:$W$1001,0),0), INDEX($AD$1004:$AU$1004,1,MATCH(COLUMNS($AD$1006:AS1006),$AD$1006:$AU$1006,0)))),"Fix")))</f>
        <v xml:space="preserve"> </v>
      </c>
      <c r="R316" s="4" t="str">
        <f ca="1">IF(OR(INDEX($X$2:$X$1001,MATCH(ROWS($W$2:W316),$W$2:$W$1001,0),1)&gt;=100000,INDEX($AD$1005:$AU$1005,1,MATCH(COLUMNS($AD$1006:AT1006),$AD$1006:$AU$1006,0))&gt;=100000), " ",IF(INDEX($AD$2:$AU$1001,MATCH(ROWS($W$2:W316),$W$2:$W$1001,0),MATCH(COLUMNS($AD$1006:AT1006),$AD$1006:$AU$1006,0)), HYPERLINK("#",""), HYPERLINK(CONCATENATE("#metadata!", ADDRESS(INDEX($Y$2:$Y$1001,MATCH(ROWS($W$2:W316),$W$2:$W$1001,0),0), INDEX($AD$1004:$AU$1004,1,MATCH(COLUMNS($AD$1006:AT1006),$AD$1006:$AU$1006,0)))),"Fix")))</f>
        <v xml:space="preserve"> </v>
      </c>
      <c r="S316" s="4" t="str">
        <f ca="1">IF(OR(INDEX($X$2:$X$1001,MATCH(ROWS($W$2:W316),$W$2:$W$1001,0),1)&gt;=100000,INDEX($AD$1005:$AU$1005,1,MATCH(COLUMNS($AD$1006:AU1006),$AD$1006:$AU$1006,0))&gt;=100000), " ",IF(INDEX($AD$2:$AU$1001,MATCH(ROWS($W$2:W316),$W$2:$W$1001,0),MATCH(COLUMNS($AD$1006:AU1006),$AD$1006:$AU$1006,0)), HYPERLINK("#",""), HYPERLINK(CONCATENATE("#metadata!", ADDRESS(INDEX($Y$2:$Y$1001,MATCH(ROWS($W$2:W316),$W$2:$W$1001,0),0), INDEX($AD$1004:$AU$1004,1,MATCH(COLUMNS($AD$1006:AU1006),$AD$1006:$AU$1006,0)))),"Fix")))</f>
        <v xml:space="preserve"> </v>
      </c>
      <c r="W316">
        <v>315</v>
      </c>
      <c r="X316">
        <v>100316</v>
      </c>
      <c r="Y316">
        <v>316</v>
      </c>
      <c r="Z316" t="b">
        <f t="shared" si="4"/>
        <v>1</v>
      </c>
      <c r="AA316" t="b">
        <f>COUNTBLANK(metadata!B316:S316)=COLUMNS(metadata!B316:S316)</f>
        <v>1</v>
      </c>
      <c r="AB316" t="str">
        <v/>
      </c>
      <c r="AD316" t="b">
        <f ca="1">AND(IF(metadata!B316="",FALSE,TRUE),COUNTIF(metadata!B:B, metadata!B316) = 1,NOT(ISERROR(SUMPRODUCT(SEARCH(MID(metadata!B316,ROW(INDIRECT("1:"&amp;LEN(metadata!B316))), 1),"0123456789abcdefghijklmnopqrstuvwxyzABCDEFGHIJKLMNOPQRSTUVWXYZ.")))))</f>
        <v>0</v>
      </c>
      <c r="AE316" t="b">
        <f>OR(AND(IF(metadata!C316="",FALSE,TRUE),OR(EXACT(metadata!C316,"not applicable"),EXACT(metadata!C316,"missing: not collected"),EXACT(metadata!C316,"missing: not provided"),EXACT(metadata!C316,"missing: restricted access"))),AND(IF(metadata!C316="",FALSE,ISNUMBER(VALUE(metadata!C316))),metadata!C316&gt;0))</f>
        <v>0</v>
      </c>
      <c r="AF316" t="b">
        <f>AND(IF(metadata!D316="",FALSE,TRUE),EXACT(metadata!D316,"missing: not provided"))</f>
        <v>0</v>
      </c>
      <c r="AG316" t="b">
        <f>AND(IF(metadata!E316="",FALSE,TRUE),EXACT(metadata!E316,"Host-associated"))</f>
        <v>0</v>
      </c>
      <c r="AH316" t="b">
        <f>AND(IF(metadata!F316="",FALSE,TRUE),OR(EXACT(metadata!F316,"Animal"),EXACT(metadata!F316,"Fungus"),EXACT(metadata!F316,"Plant")))</f>
        <v>0</v>
      </c>
      <c r="AI316" t="b">
        <f>AND(IF(metadata!G316="",FALSE,TRUE),OR(EXACT(metadata!G316,"Plant secretion"),EXACT(metadata!G316,"Plant rhizosphere"),EXACT(metadata!G316,"Plant surface"),EXACT(metadata!G316,"Plant corpus"),EXACT(metadata!G316,"Fungus surface"),EXACT(metadata!G316,"Fungus corpus"),EXACT(metadata!G316,"Animal surface"),EXACT(metadata!G316,"Animal proximal gut"),EXACT(metadata!G316,"Animal corpus"),EXACT(metadata!G316,"Animal distal gut"),EXACT(metadata!G316,"Animal secretion")))</f>
        <v>0</v>
      </c>
      <c r="AJ316" t="b">
        <f>OR(AND(IF(metadata!H316="",FALSE,TRUE),OR(EXACT(metadata!H316,"missing: not collected"),EXACT(metadata!H316,"missing: not provided"),EXACT(metadata!H316,"missing: restricted access"))),AND(IF(metadata!H316="",FALSE,TRUE),OR(EXACT(metadata!H316,"organism-associated habitat"),EXACT(metadata!H316,"plant-associated habitat"),EXACT(metadata!H316,"animal-associated habitat"),EXACT(metadata!H316,"insecta-associated habitat"),EXACT(metadata!H316,"mammalia-associated habitat"),EXACT(metadata!H316,"human-associated habitat"),EXACT(metadata!H316,"livestock-associated habitat"))))</f>
        <v>0</v>
      </c>
      <c r="AK316" t="b">
        <f>AND(IF(metadata!I316="",FALSE,TRUE),EXACT(metadata!I316,"host-associated"))</f>
        <v>0</v>
      </c>
      <c r="AL316" t="b">
        <f>OR(AND(IF(metadata!J316="",FALSE,TRUE),OR(EXACT(metadata!J316,"not applicable"),EXACT(metadata!J316,"missing: not collected"),EXACT(metadata!J316,"missing: not provided"),EXACT(metadata!J316,"missing: restricted access"))),AND(IF(metadata!J316="",FALSE,ISNUMBER(VALUE(metadata!J316))),metadata!J316&gt;0))</f>
        <v>0</v>
      </c>
      <c r="AM316" t="b">
        <f>AND(IF(metadata!K316="",FALSE,TRUE),EXACT(metadata!K316,"missing: not provided"))</f>
        <v>0</v>
      </c>
      <c r="AN316" t="b">
        <f>IF(metadata!L316="",FALSE,TRUE)</f>
        <v>0</v>
      </c>
      <c r="AO316" t="b">
        <f>IF(metadata!M316="",FALSE,TRUE)</f>
        <v>0</v>
      </c>
      <c r="AP316" t="b">
        <f>OR(AND(IF(metadata!N316="",FALSE,TRUE),OR(EXACT(metadata!N316,"not applicable"),EXACT(metadata!N316,"missing: not collected"),EXACT(metadata!N316,"missing: not provided"))),AND(IF(metadata!N316="",FALSE,IF(ISERROR(INT(metadata!N316)),FALSE,INT(metadata!N316)=metadata!N316)),metadata!N316&gt;0))</f>
        <v>0</v>
      </c>
      <c r="AQ316" t="b">
        <f>AND(IF(metadata!O316="",FALSE,TRUE),EXACT(metadata!O316,"Not applicable"))</f>
        <v>0</v>
      </c>
      <c r="AR316" t="b">
        <f>OR(AND(IF(metadata!P316="",FALSE,TRUE),OR(EXACT(metadata!P316,"not applicable"),EXACT(metadata!P316,"missing: not collected"),EXACT(metadata!P316,"missing: not provided"),EXACT(metadata!P316,"missing: restricted access"))),IF(metadata!P316="",FALSE,IF(ISERROR(INT(metadata!P316)),FALSE,INT(metadata!P316)=metadata!P316)))</f>
        <v>0</v>
      </c>
      <c r="AS316" t="b">
        <f>AND(IF(metadata!Q316="",FALSE,TRUE),EXACT(metadata!Q316,"Not applicable"))</f>
        <v>0</v>
      </c>
      <c r="AT316" t="b">
        <f>OR(AND(IF(metadata!R316="",FALSE,TRUE),OR(EXACT(metadata!R316,"not applicable"),EXACT(metadata!R316,"missing: not collected"),EXACT(metadata!R316,"missing: not provided"),EXACT(metadata!R316,"missing: restricted access"))),AND(IF(metadata!R316="",FALSE,ISNUMBER(VALUE(metadata!R316))),metadata!R316&gt;0))</f>
        <v>0</v>
      </c>
      <c r="AU316" t="b">
        <f>AND(IF(metadata!S316="",FALSE,TRUE),EXACT(metadata!S316,"missing: not provided"))</f>
        <v>0</v>
      </c>
    </row>
    <row r="317" spans="1:47" x14ac:dyDescent="0.2">
      <c r="A317" s="5" t="str">
        <f ca="1">IF(B317=" "," ",HYPERLINK(CONCATENATE("#metadata!",ADDRESS(INDEX($Y$2:$Y$1001,MATCH(ROWS($W$2:W317),$W$2:$W$1001,0),0),1)),INDEX($AB$2:$AB$1001,MATCH(ROWS($W$2:W317),$W$2:$W$1001,0),0)))</f>
        <v xml:space="preserve"> </v>
      </c>
      <c r="B317" s="4" t="str">
        <f ca="1">IF(OR(INDEX($X$2:$X$1001,MATCH(ROWS($W$2:W317),$W$2:$W$1001,0),1)&gt;=100000,INDEX($AD$1005:$AU$1005,1,MATCH(COLUMNS($AD$1006:AD1006),$AD$1006:$AU$1006,0))&gt;=100000), " ",IF(INDEX($AD$2:$AU$1001,MATCH(ROWS($W$2:W317),$W$2:$W$1001,0),MATCH(COLUMNS($AD$1006:AD1006),$AD$1006:$AU$1006,0)), HYPERLINK("#",""), HYPERLINK(CONCATENATE("#metadata!", ADDRESS(INDEX($Y$2:$Y$1001,MATCH(ROWS($W$2:W317),$W$2:$W$1001,0),0), INDEX($AD$1004:$AU$1004,1,MATCH(COLUMNS($AD$1006:AD1006),$AD$1006:$AU$1006,0)))),"Fix")))</f>
        <v xml:space="preserve"> </v>
      </c>
      <c r="C317" s="4" t="str">
        <f ca="1">IF(OR(INDEX($X$2:$X$1001,MATCH(ROWS($W$2:W317),$W$2:$W$1001,0),1)&gt;=100000,INDEX($AD$1005:$AU$1005,1,MATCH(COLUMNS($AD$1006:AE1006),$AD$1006:$AU$1006,0))&gt;=100000), " ",IF(INDEX($AD$2:$AU$1001,MATCH(ROWS($W$2:W317),$W$2:$W$1001,0),MATCH(COLUMNS($AD$1006:AE1006),$AD$1006:$AU$1006,0)), HYPERLINK("#",""), HYPERLINK(CONCATENATE("#metadata!", ADDRESS(INDEX($Y$2:$Y$1001,MATCH(ROWS($W$2:W317),$W$2:$W$1001,0),0), INDEX($AD$1004:$AU$1004,1,MATCH(COLUMNS($AD$1006:AE1006),$AD$1006:$AU$1006,0)))),"Fix")))</f>
        <v xml:space="preserve"> </v>
      </c>
      <c r="D317" s="4" t="str">
        <f ca="1">IF(OR(INDEX($X$2:$X$1001,MATCH(ROWS($W$2:W317),$W$2:$W$1001,0),1)&gt;=100000,INDEX($AD$1005:$AU$1005,1,MATCH(COLUMNS($AD$1006:AF1006),$AD$1006:$AU$1006,0))&gt;=100000), " ",IF(INDEX($AD$2:$AU$1001,MATCH(ROWS($W$2:W317),$W$2:$W$1001,0),MATCH(COLUMNS($AD$1006:AF1006),$AD$1006:$AU$1006,0)), HYPERLINK("#",""), HYPERLINK(CONCATENATE("#metadata!", ADDRESS(INDEX($Y$2:$Y$1001,MATCH(ROWS($W$2:W317),$W$2:$W$1001,0),0), INDEX($AD$1004:$AU$1004,1,MATCH(COLUMNS($AD$1006:AF1006),$AD$1006:$AU$1006,0)))),"Fix")))</f>
        <v xml:space="preserve"> </v>
      </c>
      <c r="E317" s="4" t="str">
        <f ca="1">IF(OR(INDEX($X$2:$X$1001,MATCH(ROWS($W$2:W317),$W$2:$W$1001,0),1)&gt;=100000,INDEX($AD$1005:$AU$1005,1,MATCH(COLUMNS($AD$1006:AG1006),$AD$1006:$AU$1006,0))&gt;=100000), " ",IF(INDEX($AD$2:$AU$1001,MATCH(ROWS($W$2:W317),$W$2:$W$1001,0),MATCH(COLUMNS($AD$1006:AG1006),$AD$1006:$AU$1006,0)), HYPERLINK("#",""), HYPERLINK(CONCATENATE("#metadata!", ADDRESS(INDEX($Y$2:$Y$1001,MATCH(ROWS($W$2:W317),$W$2:$W$1001,0),0), INDEX($AD$1004:$AU$1004,1,MATCH(COLUMNS($AD$1006:AG1006),$AD$1006:$AU$1006,0)))),"Fix")))</f>
        <v xml:space="preserve"> </v>
      </c>
      <c r="F317" s="4" t="str">
        <f ca="1">IF(OR(INDEX($X$2:$X$1001,MATCH(ROWS($W$2:W317),$W$2:$W$1001,0),1)&gt;=100000,INDEX($AD$1005:$AU$1005,1,MATCH(COLUMNS($AD$1006:AH1006),$AD$1006:$AU$1006,0))&gt;=100000), " ",IF(INDEX($AD$2:$AU$1001,MATCH(ROWS($W$2:W317),$W$2:$W$1001,0),MATCH(COLUMNS($AD$1006:AH1006),$AD$1006:$AU$1006,0)), HYPERLINK("#",""), HYPERLINK(CONCATENATE("#metadata!", ADDRESS(INDEX($Y$2:$Y$1001,MATCH(ROWS($W$2:W317),$W$2:$W$1001,0),0), INDEX($AD$1004:$AU$1004,1,MATCH(COLUMNS($AD$1006:AH1006),$AD$1006:$AU$1006,0)))),"Fix")))</f>
        <v xml:space="preserve"> </v>
      </c>
      <c r="G317" s="4" t="str">
        <f ca="1">IF(OR(INDEX($X$2:$X$1001,MATCH(ROWS($W$2:W317),$W$2:$W$1001,0),1)&gt;=100000,INDEX($AD$1005:$AU$1005,1,MATCH(COLUMNS($AD$1006:AI1006),$AD$1006:$AU$1006,0))&gt;=100000), " ",IF(INDEX($AD$2:$AU$1001,MATCH(ROWS($W$2:W317),$W$2:$W$1001,0),MATCH(COLUMNS($AD$1006:AI1006),$AD$1006:$AU$1006,0)), HYPERLINK("#",""), HYPERLINK(CONCATENATE("#metadata!", ADDRESS(INDEX($Y$2:$Y$1001,MATCH(ROWS($W$2:W317),$W$2:$W$1001,0),0), INDEX($AD$1004:$AU$1004,1,MATCH(COLUMNS($AD$1006:AI1006),$AD$1006:$AU$1006,0)))),"Fix")))</f>
        <v xml:space="preserve"> </v>
      </c>
      <c r="H317" s="4" t="str">
        <f ca="1">IF(OR(INDEX($X$2:$X$1001,MATCH(ROWS($W$2:W317),$W$2:$W$1001,0),1)&gt;=100000,INDEX($AD$1005:$AU$1005,1,MATCH(COLUMNS($AD$1006:AJ1006),$AD$1006:$AU$1006,0))&gt;=100000), " ",IF(INDEX($AD$2:$AU$1001,MATCH(ROWS($W$2:W317),$W$2:$W$1001,0),MATCH(COLUMNS($AD$1006:AJ1006),$AD$1006:$AU$1006,0)), HYPERLINK("#",""), HYPERLINK(CONCATENATE("#metadata!", ADDRESS(INDEX($Y$2:$Y$1001,MATCH(ROWS($W$2:W317),$W$2:$W$1001,0),0), INDEX($AD$1004:$AU$1004,1,MATCH(COLUMNS($AD$1006:AJ1006),$AD$1006:$AU$1006,0)))),"Fix")))</f>
        <v xml:space="preserve"> </v>
      </c>
      <c r="I317" s="4" t="str">
        <f ca="1">IF(OR(INDEX($X$2:$X$1001,MATCH(ROWS($W$2:W317),$W$2:$W$1001,0),1)&gt;=100000,INDEX($AD$1005:$AU$1005,1,MATCH(COLUMNS($AD$1006:AK1006),$AD$1006:$AU$1006,0))&gt;=100000), " ",IF(INDEX($AD$2:$AU$1001,MATCH(ROWS($W$2:W317),$W$2:$W$1001,0),MATCH(COLUMNS($AD$1006:AK1006),$AD$1006:$AU$1006,0)), HYPERLINK("#",""), HYPERLINK(CONCATENATE("#metadata!", ADDRESS(INDEX($Y$2:$Y$1001,MATCH(ROWS($W$2:W317),$W$2:$W$1001,0),0), INDEX($AD$1004:$AU$1004,1,MATCH(COLUMNS($AD$1006:AK1006),$AD$1006:$AU$1006,0)))),"Fix")))</f>
        <v xml:space="preserve"> </v>
      </c>
      <c r="J317" s="4" t="str">
        <f ca="1">IF(OR(INDEX($X$2:$X$1001,MATCH(ROWS($W$2:W317),$W$2:$W$1001,0),1)&gt;=100000,INDEX($AD$1005:$AU$1005,1,MATCH(COLUMNS($AD$1006:AL1006),$AD$1006:$AU$1006,0))&gt;=100000), " ",IF(INDEX($AD$2:$AU$1001,MATCH(ROWS($W$2:W317),$W$2:$W$1001,0),MATCH(COLUMNS($AD$1006:AL1006),$AD$1006:$AU$1006,0)), HYPERLINK("#",""), HYPERLINK(CONCATENATE("#metadata!", ADDRESS(INDEX($Y$2:$Y$1001,MATCH(ROWS($W$2:W317),$W$2:$W$1001,0),0), INDEX($AD$1004:$AU$1004,1,MATCH(COLUMNS($AD$1006:AL1006),$AD$1006:$AU$1006,0)))),"Fix")))</f>
        <v xml:space="preserve"> </v>
      </c>
      <c r="K317" s="4" t="str">
        <f ca="1">IF(OR(INDEX($X$2:$X$1001,MATCH(ROWS($W$2:W317),$W$2:$W$1001,0),1)&gt;=100000,INDEX($AD$1005:$AU$1005,1,MATCH(COLUMNS($AD$1006:AM1006),$AD$1006:$AU$1006,0))&gt;=100000), " ",IF(INDEX($AD$2:$AU$1001,MATCH(ROWS($W$2:W317),$W$2:$W$1001,0),MATCH(COLUMNS($AD$1006:AM1006),$AD$1006:$AU$1006,0)), HYPERLINK("#",""), HYPERLINK(CONCATENATE("#metadata!", ADDRESS(INDEX($Y$2:$Y$1001,MATCH(ROWS($W$2:W317),$W$2:$W$1001,0),0), INDEX($AD$1004:$AU$1004,1,MATCH(COLUMNS($AD$1006:AM1006),$AD$1006:$AU$1006,0)))),"Fix")))</f>
        <v xml:space="preserve"> </v>
      </c>
      <c r="L317" s="4" t="str">
        <f ca="1">IF(OR(INDEX($X$2:$X$1001,MATCH(ROWS($W$2:W317),$W$2:$W$1001,0),1)&gt;=100000,INDEX($AD$1005:$AU$1005,1,MATCH(COLUMNS($AD$1006:AN1006),$AD$1006:$AU$1006,0))&gt;=100000), " ",IF(INDEX($AD$2:$AU$1001,MATCH(ROWS($W$2:W317),$W$2:$W$1001,0),MATCH(COLUMNS($AD$1006:AN1006),$AD$1006:$AU$1006,0)), HYPERLINK("#",""), HYPERLINK(CONCATENATE("#metadata!", ADDRESS(INDEX($Y$2:$Y$1001,MATCH(ROWS($W$2:W317),$W$2:$W$1001,0),0), INDEX($AD$1004:$AU$1004,1,MATCH(COLUMNS($AD$1006:AN1006),$AD$1006:$AU$1006,0)))),"Fix")))</f>
        <v xml:space="preserve"> </v>
      </c>
      <c r="M317" s="4" t="str">
        <f ca="1">IF(OR(INDEX($X$2:$X$1001,MATCH(ROWS($W$2:W317),$W$2:$W$1001,0),1)&gt;=100000,INDEX($AD$1005:$AU$1005,1,MATCH(COLUMNS($AD$1006:AO1006),$AD$1006:$AU$1006,0))&gt;=100000), " ",IF(INDEX($AD$2:$AU$1001,MATCH(ROWS($W$2:W317),$W$2:$W$1001,0),MATCH(COLUMNS($AD$1006:AO1006),$AD$1006:$AU$1006,0)), HYPERLINK("#",""), HYPERLINK(CONCATENATE("#metadata!", ADDRESS(INDEX($Y$2:$Y$1001,MATCH(ROWS($W$2:W317),$W$2:$W$1001,0),0), INDEX($AD$1004:$AU$1004,1,MATCH(COLUMNS($AD$1006:AO1006),$AD$1006:$AU$1006,0)))),"Fix")))</f>
        <v xml:space="preserve"> </v>
      </c>
      <c r="N317" s="4" t="str">
        <f ca="1">IF(OR(INDEX($X$2:$X$1001,MATCH(ROWS($W$2:W317),$W$2:$W$1001,0),1)&gt;=100000,INDEX($AD$1005:$AU$1005,1,MATCH(COLUMNS($AD$1006:AP1006),$AD$1006:$AU$1006,0))&gt;=100000), " ",IF(INDEX($AD$2:$AU$1001,MATCH(ROWS($W$2:W317),$W$2:$W$1001,0),MATCH(COLUMNS($AD$1006:AP1006),$AD$1006:$AU$1006,0)), HYPERLINK("#",""), HYPERLINK(CONCATENATE("#metadata!", ADDRESS(INDEX($Y$2:$Y$1001,MATCH(ROWS($W$2:W317),$W$2:$W$1001,0),0), INDEX($AD$1004:$AU$1004,1,MATCH(COLUMNS($AD$1006:AP1006),$AD$1006:$AU$1006,0)))),"Fix")))</f>
        <v xml:space="preserve"> </v>
      </c>
      <c r="O317" s="4" t="str">
        <f ca="1">IF(OR(INDEX($X$2:$X$1001,MATCH(ROWS($W$2:W317),$W$2:$W$1001,0),1)&gt;=100000,INDEX($AD$1005:$AU$1005,1,MATCH(COLUMNS($AD$1006:AQ1006),$AD$1006:$AU$1006,0))&gt;=100000), " ",IF(INDEX($AD$2:$AU$1001,MATCH(ROWS($W$2:W317),$W$2:$W$1001,0),MATCH(COLUMNS($AD$1006:AQ1006),$AD$1006:$AU$1006,0)), HYPERLINK("#",""), HYPERLINK(CONCATENATE("#metadata!", ADDRESS(INDEX($Y$2:$Y$1001,MATCH(ROWS($W$2:W317),$W$2:$W$1001,0),0), INDEX($AD$1004:$AU$1004,1,MATCH(COLUMNS($AD$1006:AQ1006),$AD$1006:$AU$1006,0)))),"Fix")))</f>
        <v xml:space="preserve"> </v>
      </c>
      <c r="P317" s="4" t="str">
        <f ca="1">IF(OR(INDEX($X$2:$X$1001,MATCH(ROWS($W$2:W317),$W$2:$W$1001,0),1)&gt;=100000,INDEX($AD$1005:$AU$1005,1,MATCH(COLUMNS($AD$1006:AR1006),$AD$1006:$AU$1006,0))&gt;=100000), " ",IF(INDEX($AD$2:$AU$1001,MATCH(ROWS($W$2:W317),$W$2:$W$1001,0),MATCH(COLUMNS($AD$1006:AR1006),$AD$1006:$AU$1006,0)), HYPERLINK("#",""), HYPERLINK(CONCATENATE("#metadata!", ADDRESS(INDEX($Y$2:$Y$1001,MATCH(ROWS($W$2:W317),$W$2:$W$1001,0),0), INDEX($AD$1004:$AU$1004,1,MATCH(COLUMNS($AD$1006:AR1006),$AD$1006:$AU$1006,0)))),"Fix")))</f>
        <v xml:space="preserve"> </v>
      </c>
      <c r="Q317" s="4" t="str">
        <f ca="1">IF(OR(INDEX($X$2:$X$1001,MATCH(ROWS($W$2:W317),$W$2:$W$1001,0),1)&gt;=100000,INDEX($AD$1005:$AU$1005,1,MATCH(COLUMNS($AD$1006:AS1006),$AD$1006:$AU$1006,0))&gt;=100000), " ",IF(INDEX($AD$2:$AU$1001,MATCH(ROWS($W$2:W317),$W$2:$W$1001,0),MATCH(COLUMNS($AD$1006:AS1006),$AD$1006:$AU$1006,0)), HYPERLINK("#",""), HYPERLINK(CONCATENATE("#metadata!", ADDRESS(INDEX($Y$2:$Y$1001,MATCH(ROWS($W$2:W317),$W$2:$W$1001,0),0), INDEX($AD$1004:$AU$1004,1,MATCH(COLUMNS($AD$1006:AS1006),$AD$1006:$AU$1006,0)))),"Fix")))</f>
        <v xml:space="preserve"> </v>
      </c>
      <c r="R317" s="4" t="str">
        <f ca="1">IF(OR(INDEX($X$2:$X$1001,MATCH(ROWS($W$2:W317),$W$2:$W$1001,0),1)&gt;=100000,INDEX($AD$1005:$AU$1005,1,MATCH(COLUMNS($AD$1006:AT1006),$AD$1006:$AU$1006,0))&gt;=100000), " ",IF(INDEX($AD$2:$AU$1001,MATCH(ROWS($W$2:W317),$W$2:$W$1001,0),MATCH(COLUMNS($AD$1006:AT1006),$AD$1006:$AU$1006,0)), HYPERLINK("#",""), HYPERLINK(CONCATENATE("#metadata!", ADDRESS(INDEX($Y$2:$Y$1001,MATCH(ROWS($W$2:W317),$W$2:$W$1001,0),0), INDEX($AD$1004:$AU$1004,1,MATCH(COLUMNS($AD$1006:AT1006),$AD$1006:$AU$1006,0)))),"Fix")))</f>
        <v xml:space="preserve"> </v>
      </c>
      <c r="S317" s="4" t="str">
        <f ca="1">IF(OR(INDEX($X$2:$X$1001,MATCH(ROWS($W$2:W317),$W$2:$W$1001,0),1)&gt;=100000,INDEX($AD$1005:$AU$1005,1,MATCH(COLUMNS($AD$1006:AU1006),$AD$1006:$AU$1006,0))&gt;=100000), " ",IF(INDEX($AD$2:$AU$1001,MATCH(ROWS($W$2:W317),$W$2:$W$1001,0),MATCH(COLUMNS($AD$1006:AU1006),$AD$1006:$AU$1006,0)), HYPERLINK("#",""), HYPERLINK(CONCATENATE("#metadata!", ADDRESS(INDEX($Y$2:$Y$1001,MATCH(ROWS($W$2:W317),$W$2:$W$1001,0),0), INDEX($AD$1004:$AU$1004,1,MATCH(COLUMNS($AD$1006:AU1006),$AD$1006:$AU$1006,0)))),"Fix")))</f>
        <v xml:space="preserve"> </v>
      </c>
      <c r="W317">
        <v>316</v>
      </c>
      <c r="X317">
        <v>100317</v>
      </c>
      <c r="Y317">
        <v>317</v>
      </c>
      <c r="Z317" t="b">
        <f t="shared" si="4"/>
        <v>1</v>
      </c>
      <c r="AA317" t="b">
        <f>COUNTBLANK(metadata!B317:S317)=COLUMNS(metadata!B317:S317)</f>
        <v>1</v>
      </c>
      <c r="AB317" t="str">
        <v/>
      </c>
      <c r="AD317" t="b">
        <f ca="1">AND(IF(metadata!B317="",FALSE,TRUE),COUNTIF(metadata!B:B, metadata!B317) = 1,NOT(ISERROR(SUMPRODUCT(SEARCH(MID(metadata!B317,ROW(INDIRECT("1:"&amp;LEN(metadata!B317))), 1),"0123456789abcdefghijklmnopqrstuvwxyzABCDEFGHIJKLMNOPQRSTUVWXYZ.")))))</f>
        <v>0</v>
      </c>
      <c r="AE317" t="b">
        <f>OR(AND(IF(metadata!C317="",FALSE,TRUE),OR(EXACT(metadata!C317,"not applicable"),EXACT(metadata!C317,"missing: not collected"),EXACT(metadata!C317,"missing: not provided"),EXACT(metadata!C317,"missing: restricted access"))),AND(IF(metadata!C317="",FALSE,ISNUMBER(VALUE(metadata!C317))),metadata!C317&gt;0))</f>
        <v>0</v>
      </c>
      <c r="AF317" t="b">
        <f>AND(IF(metadata!D317="",FALSE,TRUE),EXACT(metadata!D317,"missing: not provided"))</f>
        <v>0</v>
      </c>
      <c r="AG317" t="b">
        <f>AND(IF(metadata!E317="",FALSE,TRUE),EXACT(metadata!E317,"Host-associated"))</f>
        <v>0</v>
      </c>
      <c r="AH317" t="b">
        <f>AND(IF(metadata!F317="",FALSE,TRUE),OR(EXACT(metadata!F317,"Animal"),EXACT(metadata!F317,"Fungus"),EXACT(metadata!F317,"Plant")))</f>
        <v>0</v>
      </c>
      <c r="AI317" t="b">
        <f>AND(IF(metadata!G317="",FALSE,TRUE),OR(EXACT(metadata!G317,"Plant secretion"),EXACT(metadata!G317,"Plant rhizosphere"),EXACT(metadata!G317,"Plant surface"),EXACT(metadata!G317,"Plant corpus"),EXACT(metadata!G317,"Fungus surface"),EXACT(metadata!G317,"Fungus corpus"),EXACT(metadata!G317,"Animal surface"),EXACT(metadata!G317,"Animal proximal gut"),EXACT(metadata!G317,"Animal corpus"),EXACT(metadata!G317,"Animal distal gut"),EXACT(metadata!G317,"Animal secretion")))</f>
        <v>0</v>
      </c>
      <c r="AJ317" t="b">
        <f>OR(AND(IF(metadata!H317="",FALSE,TRUE),OR(EXACT(metadata!H317,"missing: not collected"),EXACT(metadata!H317,"missing: not provided"),EXACT(metadata!H317,"missing: restricted access"))),AND(IF(metadata!H317="",FALSE,TRUE),OR(EXACT(metadata!H317,"organism-associated habitat"),EXACT(metadata!H317,"plant-associated habitat"),EXACT(metadata!H317,"animal-associated habitat"),EXACT(metadata!H317,"insecta-associated habitat"),EXACT(metadata!H317,"mammalia-associated habitat"),EXACT(metadata!H317,"human-associated habitat"),EXACT(metadata!H317,"livestock-associated habitat"))))</f>
        <v>0</v>
      </c>
      <c r="AK317" t="b">
        <f>AND(IF(metadata!I317="",FALSE,TRUE),EXACT(metadata!I317,"host-associated"))</f>
        <v>0</v>
      </c>
      <c r="AL317" t="b">
        <f>OR(AND(IF(metadata!J317="",FALSE,TRUE),OR(EXACT(metadata!J317,"not applicable"),EXACT(metadata!J317,"missing: not collected"),EXACT(metadata!J317,"missing: not provided"),EXACT(metadata!J317,"missing: restricted access"))),AND(IF(metadata!J317="",FALSE,ISNUMBER(VALUE(metadata!J317))),metadata!J317&gt;0))</f>
        <v>0</v>
      </c>
      <c r="AM317" t="b">
        <f>AND(IF(metadata!K317="",FALSE,TRUE),EXACT(metadata!K317,"missing: not provided"))</f>
        <v>0</v>
      </c>
      <c r="AN317" t="b">
        <f>IF(metadata!L317="",FALSE,TRUE)</f>
        <v>0</v>
      </c>
      <c r="AO317" t="b">
        <f>IF(metadata!M317="",FALSE,TRUE)</f>
        <v>0</v>
      </c>
      <c r="AP317" t="b">
        <f>OR(AND(IF(metadata!N317="",FALSE,TRUE),OR(EXACT(metadata!N317,"not applicable"),EXACT(metadata!N317,"missing: not collected"),EXACT(metadata!N317,"missing: not provided"))),AND(IF(metadata!N317="",FALSE,IF(ISERROR(INT(metadata!N317)),FALSE,INT(metadata!N317)=metadata!N317)),metadata!N317&gt;0))</f>
        <v>0</v>
      </c>
      <c r="AQ317" t="b">
        <f>AND(IF(metadata!O317="",FALSE,TRUE),EXACT(metadata!O317,"Not applicable"))</f>
        <v>0</v>
      </c>
      <c r="AR317" t="b">
        <f>OR(AND(IF(metadata!P317="",FALSE,TRUE),OR(EXACT(metadata!P317,"not applicable"),EXACT(metadata!P317,"missing: not collected"),EXACT(metadata!P317,"missing: not provided"),EXACT(metadata!P317,"missing: restricted access"))),IF(metadata!P317="",FALSE,IF(ISERROR(INT(metadata!P317)),FALSE,INT(metadata!P317)=metadata!P317)))</f>
        <v>0</v>
      </c>
      <c r="AS317" t="b">
        <f>AND(IF(metadata!Q317="",FALSE,TRUE),EXACT(metadata!Q317,"Not applicable"))</f>
        <v>0</v>
      </c>
      <c r="AT317" t="b">
        <f>OR(AND(IF(metadata!R317="",FALSE,TRUE),OR(EXACT(metadata!R317,"not applicable"),EXACT(metadata!R317,"missing: not collected"),EXACT(metadata!R317,"missing: not provided"),EXACT(metadata!R317,"missing: restricted access"))),AND(IF(metadata!R317="",FALSE,ISNUMBER(VALUE(metadata!R317))),metadata!R317&gt;0))</f>
        <v>0</v>
      </c>
      <c r="AU317" t="b">
        <f>AND(IF(metadata!S317="",FALSE,TRUE),EXACT(metadata!S317,"missing: not provided"))</f>
        <v>0</v>
      </c>
    </row>
    <row r="318" spans="1:47" x14ac:dyDescent="0.2">
      <c r="A318" s="5" t="str">
        <f ca="1">IF(B318=" "," ",HYPERLINK(CONCATENATE("#metadata!",ADDRESS(INDEX($Y$2:$Y$1001,MATCH(ROWS($W$2:W318),$W$2:$W$1001,0),0),1)),INDEX($AB$2:$AB$1001,MATCH(ROWS($W$2:W318),$W$2:$W$1001,0),0)))</f>
        <v xml:space="preserve"> </v>
      </c>
      <c r="B318" s="4" t="str">
        <f ca="1">IF(OR(INDEX($X$2:$X$1001,MATCH(ROWS($W$2:W318),$W$2:$W$1001,0),1)&gt;=100000,INDEX($AD$1005:$AU$1005,1,MATCH(COLUMNS($AD$1006:AD1006),$AD$1006:$AU$1006,0))&gt;=100000), " ",IF(INDEX($AD$2:$AU$1001,MATCH(ROWS($W$2:W318),$W$2:$W$1001,0),MATCH(COLUMNS($AD$1006:AD1006),$AD$1006:$AU$1006,0)), HYPERLINK("#",""), HYPERLINK(CONCATENATE("#metadata!", ADDRESS(INDEX($Y$2:$Y$1001,MATCH(ROWS($W$2:W318),$W$2:$W$1001,0),0), INDEX($AD$1004:$AU$1004,1,MATCH(COLUMNS($AD$1006:AD1006),$AD$1006:$AU$1006,0)))),"Fix")))</f>
        <v xml:space="preserve"> </v>
      </c>
      <c r="C318" s="4" t="str">
        <f ca="1">IF(OR(INDEX($X$2:$X$1001,MATCH(ROWS($W$2:W318),$W$2:$W$1001,0),1)&gt;=100000,INDEX($AD$1005:$AU$1005,1,MATCH(COLUMNS($AD$1006:AE1006),$AD$1006:$AU$1006,0))&gt;=100000), " ",IF(INDEX($AD$2:$AU$1001,MATCH(ROWS($W$2:W318),$W$2:$W$1001,0),MATCH(COLUMNS($AD$1006:AE1006),$AD$1006:$AU$1006,0)), HYPERLINK("#",""), HYPERLINK(CONCATENATE("#metadata!", ADDRESS(INDEX($Y$2:$Y$1001,MATCH(ROWS($W$2:W318),$W$2:$W$1001,0),0), INDEX($AD$1004:$AU$1004,1,MATCH(COLUMNS($AD$1006:AE1006),$AD$1006:$AU$1006,0)))),"Fix")))</f>
        <v xml:space="preserve"> </v>
      </c>
      <c r="D318" s="4" t="str">
        <f ca="1">IF(OR(INDEX($X$2:$X$1001,MATCH(ROWS($W$2:W318),$W$2:$W$1001,0),1)&gt;=100000,INDEX($AD$1005:$AU$1005,1,MATCH(COLUMNS($AD$1006:AF1006),$AD$1006:$AU$1006,0))&gt;=100000), " ",IF(INDEX($AD$2:$AU$1001,MATCH(ROWS($W$2:W318),$W$2:$W$1001,0),MATCH(COLUMNS($AD$1006:AF1006),$AD$1006:$AU$1006,0)), HYPERLINK("#",""), HYPERLINK(CONCATENATE("#metadata!", ADDRESS(INDEX($Y$2:$Y$1001,MATCH(ROWS($W$2:W318),$W$2:$W$1001,0),0), INDEX($AD$1004:$AU$1004,1,MATCH(COLUMNS($AD$1006:AF1006),$AD$1006:$AU$1006,0)))),"Fix")))</f>
        <v xml:space="preserve"> </v>
      </c>
      <c r="E318" s="4" t="str">
        <f ca="1">IF(OR(INDEX($X$2:$X$1001,MATCH(ROWS($W$2:W318),$W$2:$W$1001,0),1)&gt;=100000,INDEX($AD$1005:$AU$1005,1,MATCH(COLUMNS($AD$1006:AG1006),$AD$1006:$AU$1006,0))&gt;=100000), " ",IF(INDEX($AD$2:$AU$1001,MATCH(ROWS($W$2:W318),$W$2:$W$1001,0),MATCH(COLUMNS($AD$1006:AG1006),$AD$1006:$AU$1006,0)), HYPERLINK("#",""), HYPERLINK(CONCATENATE("#metadata!", ADDRESS(INDEX($Y$2:$Y$1001,MATCH(ROWS($W$2:W318),$W$2:$W$1001,0),0), INDEX($AD$1004:$AU$1004,1,MATCH(COLUMNS($AD$1006:AG1006),$AD$1006:$AU$1006,0)))),"Fix")))</f>
        <v xml:space="preserve"> </v>
      </c>
      <c r="F318" s="4" t="str">
        <f ca="1">IF(OR(INDEX($X$2:$X$1001,MATCH(ROWS($W$2:W318),$W$2:$W$1001,0),1)&gt;=100000,INDEX($AD$1005:$AU$1005,1,MATCH(COLUMNS($AD$1006:AH1006),$AD$1006:$AU$1006,0))&gt;=100000), " ",IF(INDEX($AD$2:$AU$1001,MATCH(ROWS($W$2:W318),$W$2:$W$1001,0),MATCH(COLUMNS($AD$1006:AH1006),$AD$1006:$AU$1006,0)), HYPERLINK("#",""), HYPERLINK(CONCATENATE("#metadata!", ADDRESS(INDEX($Y$2:$Y$1001,MATCH(ROWS($W$2:W318),$W$2:$W$1001,0),0), INDEX($AD$1004:$AU$1004,1,MATCH(COLUMNS($AD$1006:AH1006),$AD$1006:$AU$1006,0)))),"Fix")))</f>
        <v xml:space="preserve"> </v>
      </c>
      <c r="G318" s="4" t="str">
        <f ca="1">IF(OR(INDEX($X$2:$X$1001,MATCH(ROWS($W$2:W318),$W$2:$W$1001,0),1)&gt;=100000,INDEX($AD$1005:$AU$1005,1,MATCH(COLUMNS($AD$1006:AI1006),$AD$1006:$AU$1006,0))&gt;=100000), " ",IF(INDEX($AD$2:$AU$1001,MATCH(ROWS($W$2:W318),$W$2:$W$1001,0),MATCH(COLUMNS($AD$1006:AI1006),$AD$1006:$AU$1006,0)), HYPERLINK("#",""), HYPERLINK(CONCATENATE("#metadata!", ADDRESS(INDEX($Y$2:$Y$1001,MATCH(ROWS($W$2:W318),$W$2:$W$1001,0),0), INDEX($AD$1004:$AU$1004,1,MATCH(COLUMNS($AD$1006:AI1006),$AD$1006:$AU$1006,0)))),"Fix")))</f>
        <v xml:space="preserve"> </v>
      </c>
      <c r="H318" s="4" t="str">
        <f ca="1">IF(OR(INDEX($X$2:$X$1001,MATCH(ROWS($W$2:W318),$W$2:$W$1001,0),1)&gt;=100000,INDEX($AD$1005:$AU$1005,1,MATCH(COLUMNS($AD$1006:AJ1006),$AD$1006:$AU$1006,0))&gt;=100000), " ",IF(INDEX($AD$2:$AU$1001,MATCH(ROWS($W$2:W318),$W$2:$W$1001,0),MATCH(COLUMNS($AD$1006:AJ1006),$AD$1006:$AU$1006,0)), HYPERLINK("#",""), HYPERLINK(CONCATENATE("#metadata!", ADDRESS(INDEX($Y$2:$Y$1001,MATCH(ROWS($W$2:W318),$W$2:$W$1001,0),0), INDEX($AD$1004:$AU$1004,1,MATCH(COLUMNS($AD$1006:AJ1006),$AD$1006:$AU$1006,0)))),"Fix")))</f>
        <v xml:space="preserve"> </v>
      </c>
      <c r="I318" s="4" t="str">
        <f ca="1">IF(OR(INDEX($X$2:$X$1001,MATCH(ROWS($W$2:W318),$W$2:$W$1001,0),1)&gt;=100000,INDEX($AD$1005:$AU$1005,1,MATCH(COLUMNS($AD$1006:AK1006),$AD$1006:$AU$1006,0))&gt;=100000), " ",IF(INDEX($AD$2:$AU$1001,MATCH(ROWS($W$2:W318),$W$2:$W$1001,0),MATCH(COLUMNS($AD$1006:AK1006),$AD$1006:$AU$1006,0)), HYPERLINK("#",""), HYPERLINK(CONCATENATE("#metadata!", ADDRESS(INDEX($Y$2:$Y$1001,MATCH(ROWS($W$2:W318),$W$2:$W$1001,0),0), INDEX($AD$1004:$AU$1004,1,MATCH(COLUMNS($AD$1006:AK1006),$AD$1006:$AU$1006,0)))),"Fix")))</f>
        <v xml:space="preserve"> </v>
      </c>
      <c r="J318" s="4" t="str">
        <f ca="1">IF(OR(INDEX($X$2:$X$1001,MATCH(ROWS($W$2:W318),$W$2:$W$1001,0),1)&gt;=100000,INDEX($AD$1005:$AU$1005,1,MATCH(COLUMNS($AD$1006:AL1006),$AD$1006:$AU$1006,0))&gt;=100000), " ",IF(INDEX($AD$2:$AU$1001,MATCH(ROWS($W$2:W318),$W$2:$W$1001,0),MATCH(COLUMNS($AD$1006:AL1006),$AD$1006:$AU$1006,0)), HYPERLINK("#",""), HYPERLINK(CONCATENATE("#metadata!", ADDRESS(INDEX($Y$2:$Y$1001,MATCH(ROWS($W$2:W318),$W$2:$W$1001,0),0), INDEX($AD$1004:$AU$1004,1,MATCH(COLUMNS($AD$1006:AL1006),$AD$1006:$AU$1006,0)))),"Fix")))</f>
        <v xml:space="preserve"> </v>
      </c>
      <c r="K318" s="4" t="str">
        <f ca="1">IF(OR(INDEX($X$2:$X$1001,MATCH(ROWS($W$2:W318),$W$2:$W$1001,0),1)&gt;=100000,INDEX($AD$1005:$AU$1005,1,MATCH(COLUMNS($AD$1006:AM1006),$AD$1006:$AU$1006,0))&gt;=100000), " ",IF(INDEX($AD$2:$AU$1001,MATCH(ROWS($W$2:W318),$W$2:$W$1001,0),MATCH(COLUMNS($AD$1006:AM1006),$AD$1006:$AU$1006,0)), HYPERLINK("#",""), HYPERLINK(CONCATENATE("#metadata!", ADDRESS(INDEX($Y$2:$Y$1001,MATCH(ROWS($W$2:W318),$W$2:$W$1001,0),0), INDEX($AD$1004:$AU$1004,1,MATCH(COLUMNS($AD$1006:AM1006),$AD$1006:$AU$1006,0)))),"Fix")))</f>
        <v xml:space="preserve"> </v>
      </c>
      <c r="L318" s="4" t="str">
        <f ca="1">IF(OR(INDEX($X$2:$X$1001,MATCH(ROWS($W$2:W318),$W$2:$W$1001,0),1)&gt;=100000,INDEX($AD$1005:$AU$1005,1,MATCH(COLUMNS($AD$1006:AN1006),$AD$1006:$AU$1006,0))&gt;=100000), " ",IF(INDEX($AD$2:$AU$1001,MATCH(ROWS($W$2:W318),$W$2:$W$1001,0),MATCH(COLUMNS($AD$1006:AN1006),$AD$1006:$AU$1006,0)), HYPERLINK("#",""), HYPERLINK(CONCATENATE("#metadata!", ADDRESS(INDEX($Y$2:$Y$1001,MATCH(ROWS($W$2:W318),$W$2:$W$1001,0),0), INDEX($AD$1004:$AU$1004,1,MATCH(COLUMNS($AD$1006:AN1006),$AD$1006:$AU$1006,0)))),"Fix")))</f>
        <v xml:space="preserve"> </v>
      </c>
      <c r="M318" s="4" t="str">
        <f ca="1">IF(OR(INDEX($X$2:$X$1001,MATCH(ROWS($W$2:W318),$W$2:$W$1001,0),1)&gt;=100000,INDEX($AD$1005:$AU$1005,1,MATCH(COLUMNS($AD$1006:AO1006),$AD$1006:$AU$1006,0))&gt;=100000), " ",IF(INDEX($AD$2:$AU$1001,MATCH(ROWS($W$2:W318),$W$2:$W$1001,0),MATCH(COLUMNS($AD$1006:AO1006),$AD$1006:$AU$1006,0)), HYPERLINK("#",""), HYPERLINK(CONCATENATE("#metadata!", ADDRESS(INDEX($Y$2:$Y$1001,MATCH(ROWS($W$2:W318),$W$2:$W$1001,0),0), INDEX($AD$1004:$AU$1004,1,MATCH(COLUMNS($AD$1006:AO1006),$AD$1006:$AU$1006,0)))),"Fix")))</f>
        <v xml:space="preserve"> </v>
      </c>
      <c r="N318" s="4" t="str">
        <f ca="1">IF(OR(INDEX($X$2:$X$1001,MATCH(ROWS($W$2:W318),$W$2:$W$1001,0),1)&gt;=100000,INDEX($AD$1005:$AU$1005,1,MATCH(COLUMNS($AD$1006:AP1006),$AD$1006:$AU$1006,0))&gt;=100000), " ",IF(INDEX($AD$2:$AU$1001,MATCH(ROWS($W$2:W318),$W$2:$W$1001,0),MATCH(COLUMNS($AD$1006:AP1006),$AD$1006:$AU$1006,0)), HYPERLINK("#",""), HYPERLINK(CONCATENATE("#metadata!", ADDRESS(INDEX($Y$2:$Y$1001,MATCH(ROWS($W$2:W318),$W$2:$W$1001,0),0), INDEX($AD$1004:$AU$1004,1,MATCH(COLUMNS($AD$1006:AP1006),$AD$1006:$AU$1006,0)))),"Fix")))</f>
        <v xml:space="preserve"> </v>
      </c>
      <c r="O318" s="4" t="str">
        <f ca="1">IF(OR(INDEX($X$2:$X$1001,MATCH(ROWS($W$2:W318),$W$2:$W$1001,0),1)&gt;=100000,INDEX($AD$1005:$AU$1005,1,MATCH(COLUMNS($AD$1006:AQ1006),$AD$1006:$AU$1006,0))&gt;=100000), " ",IF(INDEX($AD$2:$AU$1001,MATCH(ROWS($W$2:W318),$W$2:$W$1001,0),MATCH(COLUMNS($AD$1006:AQ1006),$AD$1006:$AU$1006,0)), HYPERLINK("#",""), HYPERLINK(CONCATENATE("#metadata!", ADDRESS(INDEX($Y$2:$Y$1001,MATCH(ROWS($W$2:W318),$W$2:$W$1001,0),0), INDEX($AD$1004:$AU$1004,1,MATCH(COLUMNS($AD$1006:AQ1006),$AD$1006:$AU$1006,0)))),"Fix")))</f>
        <v xml:space="preserve"> </v>
      </c>
      <c r="P318" s="4" t="str">
        <f ca="1">IF(OR(INDEX($X$2:$X$1001,MATCH(ROWS($W$2:W318),$W$2:$W$1001,0),1)&gt;=100000,INDEX($AD$1005:$AU$1005,1,MATCH(COLUMNS($AD$1006:AR1006),$AD$1006:$AU$1006,0))&gt;=100000), " ",IF(INDEX($AD$2:$AU$1001,MATCH(ROWS($W$2:W318),$W$2:$W$1001,0),MATCH(COLUMNS($AD$1006:AR1006),$AD$1006:$AU$1006,0)), HYPERLINK("#",""), HYPERLINK(CONCATENATE("#metadata!", ADDRESS(INDEX($Y$2:$Y$1001,MATCH(ROWS($W$2:W318),$W$2:$W$1001,0),0), INDEX($AD$1004:$AU$1004,1,MATCH(COLUMNS($AD$1006:AR1006),$AD$1006:$AU$1006,0)))),"Fix")))</f>
        <v xml:space="preserve"> </v>
      </c>
      <c r="Q318" s="4" t="str">
        <f ca="1">IF(OR(INDEX($X$2:$X$1001,MATCH(ROWS($W$2:W318),$W$2:$W$1001,0),1)&gt;=100000,INDEX($AD$1005:$AU$1005,1,MATCH(COLUMNS($AD$1006:AS1006),$AD$1006:$AU$1006,0))&gt;=100000), " ",IF(INDEX($AD$2:$AU$1001,MATCH(ROWS($W$2:W318),$W$2:$W$1001,0),MATCH(COLUMNS($AD$1006:AS1006),$AD$1006:$AU$1006,0)), HYPERLINK("#",""), HYPERLINK(CONCATENATE("#metadata!", ADDRESS(INDEX($Y$2:$Y$1001,MATCH(ROWS($W$2:W318),$W$2:$W$1001,0),0), INDEX($AD$1004:$AU$1004,1,MATCH(COLUMNS($AD$1006:AS1006),$AD$1006:$AU$1006,0)))),"Fix")))</f>
        <v xml:space="preserve"> </v>
      </c>
      <c r="R318" s="4" t="str">
        <f ca="1">IF(OR(INDEX($X$2:$X$1001,MATCH(ROWS($W$2:W318),$W$2:$W$1001,0),1)&gt;=100000,INDEX($AD$1005:$AU$1005,1,MATCH(COLUMNS($AD$1006:AT1006),$AD$1006:$AU$1006,0))&gt;=100000), " ",IF(INDEX($AD$2:$AU$1001,MATCH(ROWS($W$2:W318),$W$2:$W$1001,0),MATCH(COLUMNS($AD$1006:AT1006),$AD$1006:$AU$1006,0)), HYPERLINK("#",""), HYPERLINK(CONCATENATE("#metadata!", ADDRESS(INDEX($Y$2:$Y$1001,MATCH(ROWS($W$2:W318),$W$2:$W$1001,0),0), INDEX($AD$1004:$AU$1004,1,MATCH(COLUMNS($AD$1006:AT1006),$AD$1006:$AU$1006,0)))),"Fix")))</f>
        <v xml:space="preserve"> </v>
      </c>
      <c r="S318" s="4" t="str">
        <f ca="1">IF(OR(INDEX($X$2:$X$1001,MATCH(ROWS($W$2:W318),$W$2:$W$1001,0),1)&gt;=100000,INDEX($AD$1005:$AU$1005,1,MATCH(COLUMNS($AD$1006:AU1006),$AD$1006:$AU$1006,0))&gt;=100000), " ",IF(INDEX($AD$2:$AU$1001,MATCH(ROWS($W$2:W318),$W$2:$W$1001,0),MATCH(COLUMNS($AD$1006:AU1006),$AD$1006:$AU$1006,0)), HYPERLINK("#",""), HYPERLINK(CONCATENATE("#metadata!", ADDRESS(INDEX($Y$2:$Y$1001,MATCH(ROWS($W$2:W318),$W$2:$W$1001,0),0), INDEX($AD$1004:$AU$1004,1,MATCH(COLUMNS($AD$1006:AU1006),$AD$1006:$AU$1006,0)))),"Fix")))</f>
        <v xml:space="preserve"> </v>
      </c>
      <c r="W318">
        <v>317</v>
      </c>
      <c r="X318">
        <v>100318</v>
      </c>
      <c r="Y318">
        <v>318</v>
      </c>
      <c r="Z318" t="b">
        <f t="shared" si="4"/>
        <v>1</v>
      </c>
      <c r="AA318" t="b">
        <f>COUNTBLANK(metadata!B318:S318)=COLUMNS(metadata!B318:S318)</f>
        <v>1</v>
      </c>
      <c r="AB318" t="str">
        <v/>
      </c>
      <c r="AD318" t="b">
        <f ca="1">AND(IF(metadata!B318="",FALSE,TRUE),COUNTIF(metadata!B:B, metadata!B318) = 1,NOT(ISERROR(SUMPRODUCT(SEARCH(MID(metadata!B318,ROW(INDIRECT("1:"&amp;LEN(metadata!B318))), 1),"0123456789abcdefghijklmnopqrstuvwxyzABCDEFGHIJKLMNOPQRSTUVWXYZ.")))))</f>
        <v>0</v>
      </c>
      <c r="AE318" t="b">
        <f>OR(AND(IF(metadata!C318="",FALSE,TRUE),OR(EXACT(metadata!C318,"not applicable"),EXACT(metadata!C318,"missing: not collected"),EXACT(metadata!C318,"missing: not provided"),EXACT(metadata!C318,"missing: restricted access"))),AND(IF(metadata!C318="",FALSE,ISNUMBER(VALUE(metadata!C318))),metadata!C318&gt;0))</f>
        <v>0</v>
      </c>
      <c r="AF318" t="b">
        <f>AND(IF(metadata!D318="",FALSE,TRUE),EXACT(metadata!D318,"missing: not provided"))</f>
        <v>0</v>
      </c>
      <c r="AG318" t="b">
        <f>AND(IF(metadata!E318="",FALSE,TRUE),EXACT(metadata!E318,"Host-associated"))</f>
        <v>0</v>
      </c>
      <c r="AH318" t="b">
        <f>AND(IF(metadata!F318="",FALSE,TRUE),OR(EXACT(metadata!F318,"Animal"),EXACT(metadata!F318,"Fungus"),EXACT(metadata!F318,"Plant")))</f>
        <v>0</v>
      </c>
      <c r="AI318" t="b">
        <f>AND(IF(metadata!G318="",FALSE,TRUE),OR(EXACT(metadata!G318,"Plant secretion"),EXACT(metadata!G318,"Plant rhizosphere"),EXACT(metadata!G318,"Plant surface"),EXACT(metadata!G318,"Plant corpus"),EXACT(metadata!G318,"Fungus surface"),EXACT(metadata!G318,"Fungus corpus"),EXACT(metadata!G318,"Animal surface"),EXACT(metadata!G318,"Animal proximal gut"),EXACT(metadata!G318,"Animal corpus"),EXACT(metadata!G318,"Animal distal gut"),EXACT(metadata!G318,"Animal secretion")))</f>
        <v>0</v>
      </c>
      <c r="AJ318" t="b">
        <f>OR(AND(IF(metadata!H318="",FALSE,TRUE),OR(EXACT(metadata!H318,"missing: not collected"),EXACT(metadata!H318,"missing: not provided"),EXACT(metadata!H318,"missing: restricted access"))),AND(IF(metadata!H318="",FALSE,TRUE),OR(EXACT(metadata!H318,"organism-associated habitat"),EXACT(metadata!H318,"plant-associated habitat"),EXACT(metadata!H318,"animal-associated habitat"),EXACT(metadata!H318,"insecta-associated habitat"),EXACT(metadata!H318,"mammalia-associated habitat"),EXACT(metadata!H318,"human-associated habitat"),EXACT(metadata!H318,"livestock-associated habitat"))))</f>
        <v>0</v>
      </c>
      <c r="AK318" t="b">
        <f>AND(IF(metadata!I318="",FALSE,TRUE),EXACT(metadata!I318,"host-associated"))</f>
        <v>0</v>
      </c>
      <c r="AL318" t="b">
        <f>OR(AND(IF(metadata!J318="",FALSE,TRUE),OR(EXACT(metadata!J318,"not applicable"),EXACT(metadata!J318,"missing: not collected"),EXACT(metadata!J318,"missing: not provided"),EXACT(metadata!J318,"missing: restricted access"))),AND(IF(metadata!J318="",FALSE,ISNUMBER(VALUE(metadata!J318))),metadata!J318&gt;0))</f>
        <v>0</v>
      </c>
      <c r="AM318" t="b">
        <f>AND(IF(metadata!K318="",FALSE,TRUE),EXACT(metadata!K318,"missing: not provided"))</f>
        <v>0</v>
      </c>
      <c r="AN318" t="b">
        <f>IF(metadata!L318="",FALSE,TRUE)</f>
        <v>0</v>
      </c>
      <c r="AO318" t="b">
        <f>IF(metadata!M318="",FALSE,TRUE)</f>
        <v>0</v>
      </c>
      <c r="AP318" t="b">
        <f>OR(AND(IF(metadata!N318="",FALSE,TRUE),OR(EXACT(metadata!N318,"not applicable"),EXACT(metadata!N318,"missing: not collected"),EXACT(metadata!N318,"missing: not provided"))),AND(IF(metadata!N318="",FALSE,IF(ISERROR(INT(metadata!N318)),FALSE,INT(metadata!N318)=metadata!N318)),metadata!N318&gt;0))</f>
        <v>0</v>
      </c>
      <c r="AQ318" t="b">
        <f>AND(IF(metadata!O318="",FALSE,TRUE),EXACT(metadata!O318,"Not applicable"))</f>
        <v>0</v>
      </c>
      <c r="AR318" t="b">
        <f>OR(AND(IF(metadata!P318="",FALSE,TRUE),OR(EXACT(metadata!P318,"not applicable"),EXACT(metadata!P318,"missing: not collected"),EXACT(metadata!P318,"missing: not provided"),EXACT(metadata!P318,"missing: restricted access"))),IF(metadata!P318="",FALSE,IF(ISERROR(INT(metadata!P318)),FALSE,INT(metadata!P318)=metadata!P318)))</f>
        <v>0</v>
      </c>
      <c r="AS318" t="b">
        <f>AND(IF(metadata!Q318="",FALSE,TRUE),EXACT(metadata!Q318,"Not applicable"))</f>
        <v>0</v>
      </c>
      <c r="AT318" t="b">
        <f>OR(AND(IF(metadata!R318="",FALSE,TRUE),OR(EXACT(metadata!R318,"not applicable"),EXACT(metadata!R318,"missing: not collected"),EXACT(metadata!R318,"missing: not provided"),EXACT(metadata!R318,"missing: restricted access"))),AND(IF(metadata!R318="",FALSE,ISNUMBER(VALUE(metadata!R318))),metadata!R318&gt;0))</f>
        <v>0</v>
      </c>
      <c r="AU318" t="b">
        <f>AND(IF(metadata!S318="",FALSE,TRUE),EXACT(metadata!S318,"missing: not provided"))</f>
        <v>0</v>
      </c>
    </row>
    <row r="319" spans="1:47" x14ac:dyDescent="0.2">
      <c r="A319" s="5" t="str">
        <f ca="1">IF(B319=" "," ",HYPERLINK(CONCATENATE("#metadata!",ADDRESS(INDEX($Y$2:$Y$1001,MATCH(ROWS($W$2:W319),$W$2:$W$1001,0),0),1)),INDEX($AB$2:$AB$1001,MATCH(ROWS($W$2:W319),$W$2:$W$1001,0),0)))</f>
        <v xml:space="preserve"> </v>
      </c>
      <c r="B319" s="4" t="str">
        <f ca="1">IF(OR(INDEX($X$2:$X$1001,MATCH(ROWS($W$2:W319),$W$2:$W$1001,0),1)&gt;=100000,INDEX($AD$1005:$AU$1005,1,MATCH(COLUMNS($AD$1006:AD1006),$AD$1006:$AU$1006,0))&gt;=100000), " ",IF(INDEX($AD$2:$AU$1001,MATCH(ROWS($W$2:W319),$W$2:$W$1001,0),MATCH(COLUMNS($AD$1006:AD1006),$AD$1006:$AU$1006,0)), HYPERLINK("#",""), HYPERLINK(CONCATENATE("#metadata!", ADDRESS(INDEX($Y$2:$Y$1001,MATCH(ROWS($W$2:W319),$W$2:$W$1001,0),0), INDEX($AD$1004:$AU$1004,1,MATCH(COLUMNS($AD$1006:AD1006),$AD$1006:$AU$1006,0)))),"Fix")))</f>
        <v xml:space="preserve"> </v>
      </c>
      <c r="C319" s="4" t="str">
        <f ca="1">IF(OR(INDEX($X$2:$X$1001,MATCH(ROWS($W$2:W319),$W$2:$W$1001,0),1)&gt;=100000,INDEX($AD$1005:$AU$1005,1,MATCH(COLUMNS($AD$1006:AE1006),$AD$1006:$AU$1006,0))&gt;=100000), " ",IF(INDEX($AD$2:$AU$1001,MATCH(ROWS($W$2:W319),$W$2:$W$1001,0),MATCH(COLUMNS($AD$1006:AE1006),$AD$1006:$AU$1006,0)), HYPERLINK("#",""), HYPERLINK(CONCATENATE("#metadata!", ADDRESS(INDEX($Y$2:$Y$1001,MATCH(ROWS($W$2:W319),$W$2:$W$1001,0),0), INDEX($AD$1004:$AU$1004,1,MATCH(COLUMNS($AD$1006:AE1006),$AD$1006:$AU$1006,0)))),"Fix")))</f>
        <v xml:space="preserve"> </v>
      </c>
      <c r="D319" s="4" t="str">
        <f ca="1">IF(OR(INDEX($X$2:$X$1001,MATCH(ROWS($W$2:W319),$W$2:$W$1001,0),1)&gt;=100000,INDEX($AD$1005:$AU$1005,1,MATCH(COLUMNS($AD$1006:AF1006),$AD$1006:$AU$1006,0))&gt;=100000), " ",IF(INDEX($AD$2:$AU$1001,MATCH(ROWS($W$2:W319),$W$2:$W$1001,0),MATCH(COLUMNS($AD$1006:AF1006),$AD$1006:$AU$1006,0)), HYPERLINK("#",""), HYPERLINK(CONCATENATE("#metadata!", ADDRESS(INDEX($Y$2:$Y$1001,MATCH(ROWS($W$2:W319),$W$2:$W$1001,0),0), INDEX($AD$1004:$AU$1004,1,MATCH(COLUMNS($AD$1006:AF1006),$AD$1006:$AU$1006,0)))),"Fix")))</f>
        <v xml:space="preserve"> </v>
      </c>
      <c r="E319" s="4" t="str">
        <f ca="1">IF(OR(INDEX($X$2:$X$1001,MATCH(ROWS($W$2:W319),$W$2:$W$1001,0),1)&gt;=100000,INDEX($AD$1005:$AU$1005,1,MATCH(COLUMNS($AD$1006:AG1006),$AD$1006:$AU$1006,0))&gt;=100000), " ",IF(INDEX($AD$2:$AU$1001,MATCH(ROWS($W$2:W319),$W$2:$W$1001,0),MATCH(COLUMNS($AD$1006:AG1006),$AD$1006:$AU$1006,0)), HYPERLINK("#",""), HYPERLINK(CONCATENATE("#metadata!", ADDRESS(INDEX($Y$2:$Y$1001,MATCH(ROWS($W$2:W319),$W$2:$W$1001,0),0), INDEX($AD$1004:$AU$1004,1,MATCH(COLUMNS($AD$1006:AG1006),$AD$1006:$AU$1006,0)))),"Fix")))</f>
        <v xml:space="preserve"> </v>
      </c>
      <c r="F319" s="4" t="str">
        <f ca="1">IF(OR(INDEX($X$2:$X$1001,MATCH(ROWS($W$2:W319),$W$2:$W$1001,0),1)&gt;=100000,INDEX($AD$1005:$AU$1005,1,MATCH(COLUMNS($AD$1006:AH1006),$AD$1006:$AU$1006,0))&gt;=100000), " ",IF(INDEX($AD$2:$AU$1001,MATCH(ROWS($W$2:W319),$W$2:$W$1001,0),MATCH(COLUMNS($AD$1006:AH1006),$AD$1006:$AU$1006,0)), HYPERLINK("#",""), HYPERLINK(CONCATENATE("#metadata!", ADDRESS(INDEX($Y$2:$Y$1001,MATCH(ROWS($W$2:W319),$W$2:$W$1001,0),0), INDEX($AD$1004:$AU$1004,1,MATCH(COLUMNS($AD$1006:AH1006),$AD$1006:$AU$1006,0)))),"Fix")))</f>
        <v xml:space="preserve"> </v>
      </c>
      <c r="G319" s="4" t="str">
        <f ca="1">IF(OR(INDEX($X$2:$X$1001,MATCH(ROWS($W$2:W319),$W$2:$W$1001,0),1)&gt;=100000,INDEX($AD$1005:$AU$1005,1,MATCH(COLUMNS($AD$1006:AI1006),$AD$1006:$AU$1006,0))&gt;=100000), " ",IF(INDEX($AD$2:$AU$1001,MATCH(ROWS($W$2:W319),$W$2:$W$1001,0),MATCH(COLUMNS($AD$1006:AI1006),$AD$1006:$AU$1006,0)), HYPERLINK("#",""), HYPERLINK(CONCATENATE("#metadata!", ADDRESS(INDEX($Y$2:$Y$1001,MATCH(ROWS($W$2:W319),$W$2:$W$1001,0),0), INDEX($AD$1004:$AU$1004,1,MATCH(COLUMNS($AD$1006:AI1006),$AD$1006:$AU$1006,0)))),"Fix")))</f>
        <v xml:space="preserve"> </v>
      </c>
      <c r="H319" s="4" t="str">
        <f ca="1">IF(OR(INDEX($X$2:$X$1001,MATCH(ROWS($W$2:W319),$W$2:$W$1001,0),1)&gt;=100000,INDEX($AD$1005:$AU$1005,1,MATCH(COLUMNS($AD$1006:AJ1006),$AD$1006:$AU$1006,0))&gt;=100000), " ",IF(INDEX($AD$2:$AU$1001,MATCH(ROWS($W$2:W319),$W$2:$W$1001,0),MATCH(COLUMNS($AD$1006:AJ1006),$AD$1006:$AU$1006,0)), HYPERLINK("#",""), HYPERLINK(CONCATENATE("#metadata!", ADDRESS(INDEX($Y$2:$Y$1001,MATCH(ROWS($W$2:W319),$W$2:$W$1001,0),0), INDEX($AD$1004:$AU$1004,1,MATCH(COLUMNS($AD$1006:AJ1006),$AD$1006:$AU$1006,0)))),"Fix")))</f>
        <v xml:space="preserve"> </v>
      </c>
      <c r="I319" s="4" t="str">
        <f ca="1">IF(OR(INDEX($X$2:$X$1001,MATCH(ROWS($W$2:W319),$W$2:$W$1001,0),1)&gt;=100000,INDEX($AD$1005:$AU$1005,1,MATCH(COLUMNS($AD$1006:AK1006),$AD$1006:$AU$1006,0))&gt;=100000), " ",IF(INDEX($AD$2:$AU$1001,MATCH(ROWS($W$2:W319),$W$2:$W$1001,0),MATCH(COLUMNS($AD$1006:AK1006),$AD$1006:$AU$1006,0)), HYPERLINK("#",""), HYPERLINK(CONCATENATE("#metadata!", ADDRESS(INDEX($Y$2:$Y$1001,MATCH(ROWS($W$2:W319),$W$2:$W$1001,0),0), INDEX($AD$1004:$AU$1004,1,MATCH(COLUMNS($AD$1006:AK1006),$AD$1006:$AU$1006,0)))),"Fix")))</f>
        <v xml:space="preserve"> </v>
      </c>
      <c r="J319" s="4" t="str">
        <f ca="1">IF(OR(INDEX($X$2:$X$1001,MATCH(ROWS($W$2:W319),$W$2:$W$1001,0),1)&gt;=100000,INDEX($AD$1005:$AU$1005,1,MATCH(COLUMNS($AD$1006:AL1006),$AD$1006:$AU$1006,0))&gt;=100000), " ",IF(INDEX($AD$2:$AU$1001,MATCH(ROWS($W$2:W319),$W$2:$W$1001,0),MATCH(COLUMNS($AD$1006:AL1006),$AD$1006:$AU$1006,0)), HYPERLINK("#",""), HYPERLINK(CONCATENATE("#metadata!", ADDRESS(INDEX($Y$2:$Y$1001,MATCH(ROWS($W$2:W319),$W$2:$W$1001,0),0), INDEX($AD$1004:$AU$1004,1,MATCH(COLUMNS($AD$1006:AL1006),$AD$1006:$AU$1006,0)))),"Fix")))</f>
        <v xml:space="preserve"> </v>
      </c>
      <c r="K319" s="4" t="str">
        <f ca="1">IF(OR(INDEX($X$2:$X$1001,MATCH(ROWS($W$2:W319),$W$2:$W$1001,0),1)&gt;=100000,INDEX($AD$1005:$AU$1005,1,MATCH(COLUMNS($AD$1006:AM1006),$AD$1006:$AU$1006,0))&gt;=100000), " ",IF(INDEX($AD$2:$AU$1001,MATCH(ROWS($W$2:W319),$W$2:$W$1001,0),MATCH(COLUMNS($AD$1006:AM1006),$AD$1006:$AU$1006,0)), HYPERLINK("#",""), HYPERLINK(CONCATENATE("#metadata!", ADDRESS(INDEX($Y$2:$Y$1001,MATCH(ROWS($W$2:W319),$W$2:$W$1001,0),0), INDEX($AD$1004:$AU$1004,1,MATCH(COLUMNS($AD$1006:AM1006),$AD$1006:$AU$1006,0)))),"Fix")))</f>
        <v xml:space="preserve"> </v>
      </c>
      <c r="L319" s="4" t="str">
        <f ca="1">IF(OR(INDEX($X$2:$X$1001,MATCH(ROWS($W$2:W319),$W$2:$W$1001,0),1)&gt;=100000,INDEX($AD$1005:$AU$1005,1,MATCH(COLUMNS($AD$1006:AN1006),$AD$1006:$AU$1006,0))&gt;=100000), " ",IF(INDEX($AD$2:$AU$1001,MATCH(ROWS($W$2:W319),$W$2:$W$1001,0),MATCH(COLUMNS($AD$1006:AN1006),$AD$1006:$AU$1006,0)), HYPERLINK("#",""), HYPERLINK(CONCATENATE("#metadata!", ADDRESS(INDEX($Y$2:$Y$1001,MATCH(ROWS($W$2:W319),$W$2:$W$1001,0),0), INDEX($AD$1004:$AU$1004,1,MATCH(COLUMNS($AD$1006:AN1006),$AD$1006:$AU$1006,0)))),"Fix")))</f>
        <v xml:space="preserve"> </v>
      </c>
      <c r="M319" s="4" t="str">
        <f ca="1">IF(OR(INDEX($X$2:$X$1001,MATCH(ROWS($W$2:W319),$W$2:$W$1001,0),1)&gt;=100000,INDEX($AD$1005:$AU$1005,1,MATCH(COLUMNS($AD$1006:AO1006),$AD$1006:$AU$1006,0))&gt;=100000), " ",IF(INDEX($AD$2:$AU$1001,MATCH(ROWS($W$2:W319),$W$2:$W$1001,0),MATCH(COLUMNS($AD$1006:AO1006),$AD$1006:$AU$1006,0)), HYPERLINK("#",""), HYPERLINK(CONCATENATE("#metadata!", ADDRESS(INDEX($Y$2:$Y$1001,MATCH(ROWS($W$2:W319),$W$2:$W$1001,0),0), INDEX($AD$1004:$AU$1004,1,MATCH(COLUMNS($AD$1006:AO1006),$AD$1006:$AU$1006,0)))),"Fix")))</f>
        <v xml:space="preserve"> </v>
      </c>
      <c r="N319" s="4" t="str">
        <f ca="1">IF(OR(INDEX($X$2:$X$1001,MATCH(ROWS($W$2:W319),$W$2:$W$1001,0),1)&gt;=100000,INDEX($AD$1005:$AU$1005,1,MATCH(COLUMNS($AD$1006:AP1006),$AD$1006:$AU$1006,0))&gt;=100000), " ",IF(INDEX($AD$2:$AU$1001,MATCH(ROWS($W$2:W319),$W$2:$W$1001,0),MATCH(COLUMNS($AD$1006:AP1006),$AD$1006:$AU$1006,0)), HYPERLINK("#",""), HYPERLINK(CONCATENATE("#metadata!", ADDRESS(INDEX($Y$2:$Y$1001,MATCH(ROWS($W$2:W319),$W$2:$W$1001,0),0), INDEX($AD$1004:$AU$1004,1,MATCH(COLUMNS($AD$1006:AP1006),$AD$1006:$AU$1006,0)))),"Fix")))</f>
        <v xml:space="preserve"> </v>
      </c>
      <c r="O319" s="4" t="str">
        <f ca="1">IF(OR(INDEX($X$2:$X$1001,MATCH(ROWS($W$2:W319),$W$2:$W$1001,0),1)&gt;=100000,INDEX($AD$1005:$AU$1005,1,MATCH(COLUMNS($AD$1006:AQ1006),$AD$1006:$AU$1006,0))&gt;=100000), " ",IF(INDEX($AD$2:$AU$1001,MATCH(ROWS($W$2:W319),$W$2:$W$1001,0),MATCH(COLUMNS($AD$1006:AQ1006),$AD$1006:$AU$1006,0)), HYPERLINK("#",""), HYPERLINK(CONCATENATE("#metadata!", ADDRESS(INDEX($Y$2:$Y$1001,MATCH(ROWS($W$2:W319),$W$2:$W$1001,0),0), INDEX($AD$1004:$AU$1004,1,MATCH(COLUMNS($AD$1006:AQ1006),$AD$1006:$AU$1006,0)))),"Fix")))</f>
        <v xml:space="preserve"> </v>
      </c>
      <c r="P319" s="4" t="str">
        <f ca="1">IF(OR(INDEX($X$2:$X$1001,MATCH(ROWS($W$2:W319),$W$2:$W$1001,0),1)&gt;=100000,INDEX($AD$1005:$AU$1005,1,MATCH(COLUMNS($AD$1006:AR1006),$AD$1006:$AU$1006,0))&gt;=100000), " ",IF(INDEX($AD$2:$AU$1001,MATCH(ROWS($W$2:W319),$W$2:$W$1001,0),MATCH(COLUMNS($AD$1006:AR1006),$AD$1006:$AU$1006,0)), HYPERLINK("#",""), HYPERLINK(CONCATENATE("#metadata!", ADDRESS(INDEX($Y$2:$Y$1001,MATCH(ROWS($W$2:W319),$W$2:$W$1001,0),0), INDEX($AD$1004:$AU$1004,1,MATCH(COLUMNS($AD$1006:AR1006),$AD$1006:$AU$1006,0)))),"Fix")))</f>
        <v xml:space="preserve"> </v>
      </c>
      <c r="Q319" s="4" t="str">
        <f ca="1">IF(OR(INDEX($X$2:$X$1001,MATCH(ROWS($W$2:W319),$W$2:$W$1001,0),1)&gt;=100000,INDEX($AD$1005:$AU$1005,1,MATCH(COLUMNS($AD$1006:AS1006),$AD$1006:$AU$1006,0))&gt;=100000), " ",IF(INDEX($AD$2:$AU$1001,MATCH(ROWS($W$2:W319),$W$2:$W$1001,0),MATCH(COLUMNS($AD$1006:AS1006),$AD$1006:$AU$1006,0)), HYPERLINK("#",""), HYPERLINK(CONCATENATE("#metadata!", ADDRESS(INDEX($Y$2:$Y$1001,MATCH(ROWS($W$2:W319),$W$2:$W$1001,0),0), INDEX($AD$1004:$AU$1004,1,MATCH(COLUMNS($AD$1006:AS1006),$AD$1006:$AU$1006,0)))),"Fix")))</f>
        <v xml:space="preserve"> </v>
      </c>
      <c r="R319" s="4" t="str">
        <f ca="1">IF(OR(INDEX($X$2:$X$1001,MATCH(ROWS($W$2:W319),$W$2:$W$1001,0),1)&gt;=100000,INDEX($AD$1005:$AU$1005,1,MATCH(COLUMNS($AD$1006:AT1006),$AD$1006:$AU$1006,0))&gt;=100000), " ",IF(INDEX($AD$2:$AU$1001,MATCH(ROWS($W$2:W319),$W$2:$W$1001,0),MATCH(COLUMNS($AD$1006:AT1006),$AD$1006:$AU$1006,0)), HYPERLINK("#",""), HYPERLINK(CONCATENATE("#metadata!", ADDRESS(INDEX($Y$2:$Y$1001,MATCH(ROWS($W$2:W319),$W$2:$W$1001,0),0), INDEX($AD$1004:$AU$1004,1,MATCH(COLUMNS($AD$1006:AT1006),$AD$1006:$AU$1006,0)))),"Fix")))</f>
        <v xml:space="preserve"> </v>
      </c>
      <c r="S319" s="4" t="str">
        <f ca="1">IF(OR(INDEX($X$2:$X$1001,MATCH(ROWS($W$2:W319),$W$2:$W$1001,0),1)&gt;=100000,INDEX($AD$1005:$AU$1005,1,MATCH(COLUMNS($AD$1006:AU1006),$AD$1006:$AU$1006,0))&gt;=100000), " ",IF(INDEX($AD$2:$AU$1001,MATCH(ROWS($W$2:W319),$W$2:$W$1001,0),MATCH(COLUMNS($AD$1006:AU1006),$AD$1006:$AU$1006,0)), HYPERLINK("#",""), HYPERLINK(CONCATENATE("#metadata!", ADDRESS(INDEX($Y$2:$Y$1001,MATCH(ROWS($W$2:W319),$W$2:$W$1001,0),0), INDEX($AD$1004:$AU$1004,1,MATCH(COLUMNS($AD$1006:AU1006),$AD$1006:$AU$1006,0)))),"Fix")))</f>
        <v xml:space="preserve"> </v>
      </c>
      <c r="W319">
        <v>318</v>
      </c>
      <c r="X319">
        <v>100319</v>
      </c>
      <c r="Y319">
        <v>319</v>
      </c>
      <c r="Z319" t="b">
        <f t="shared" si="4"/>
        <v>1</v>
      </c>
      <c r="AA319" t="b">
        <f>COUNTBLANK(metadata!B319:S319)=COLUMNS(metadata!B319:S319)</f>
        <v>1</v>
      </c>
      <c r="AB319" t="str">
        <v/>
      </c>
      <c r="AD319" t="b">
        <f ca="1">AND(IF(metadata!B319="",FALSE,TRUE),COUNTIF(metadata!B:B, metadata!B319) = 1,NOT(ISERROR(SUMPRODUCT(SEARCH(MID(metadata!B319,ROW(INDIRECT("1:"&amp;LEN(metadata!B319))), 1),"0123456789abcdefghijklmnopqrstuvwxyzABCDEFGHIJKLMNOPQRSTUVWXYZ.")))))</f>
        <v>0</v>
      </c>
      <c r="AE319" t="b">
        <f>OR(AND(IF(metadata!C319="",FALSE,TRUE),OR(EXACT(metadata!C319,"not applicable"),EXACT(metadata!C319,"missing: not collected"),EXACT(metadata!C319,"missing: not provided"),EXACT(metadata!C319,"missing: restricted access"))),AND(IF(metadata!C319="",FALSE,ISNUMBER(VALUE(metadata!C319))),metadata!C319&gt;0))</f>
        <v>0</v>
      </c>
      <c r="AF319" t="b">
        <f>AND(IF(metadata!D319="",FALSE,TRUE),EXACT(metadata!D319,"missing: not provided"))</f>
        <v>0</v>
      </c>
      <c r="AG319" t="b">
        <f>AND(IF(metadata!E319="",FALSE,TRUE),EXACT(metadata!E319,"Host-associated"))</f>
        <v>0</v>
      </c>
      <c r="AH319" t="b">
        <f>AND(IF(metadata!F319="",FALSE,TRUE),OR(EXACT(metadata!F319,"Animal"),EXACT(metadata!F319,"Fungus"),EXACT(metadata!F319,"Plant")))</f>
        <v>0</v>
      </c>
      <c r="AI319" t="b">
        <f>AND(IF(metadata!G319="",FALSE,TRUE),OR(EXACT(metadata!G319,"Plant secretion"),EXACT(metadata!G319,"Plant rhizosphere"),EXACT(metadata!G319,"Plant surface"),EXACT(metadata!G319,"Plant corpus"),EXACT(metadata!G319,"Fungus surface"),EXACT(metadata!G319,"Fungus corpus"),EXACT(metadata!G319,"Animal surface"),EXACT(metadata!G319,"Animal proximal gut"),EXACT(metadata!G319,"Animal corpus"),EXACT(metadata!G319,"Animal distal gut"),EXACT(metadata!G319,"Animal secretion")))</f>
        <v>0</v>
      </c>
      <c r="AJ319" t="b">
        <f>OR(AND(IF(metadata!H319="",FALSE,TRUE),OR(EXACT(metadata!H319,"missing: not collected"),EXACT(metadata!H319,"missing: not provided"),EXACT(metadata!H319,"missing: restricted access"))),AND(IF(metadata!H319="",FALSE,TRUE),OR(EXACT(metadata!H319,"organism-associated habitat"),EXACT(metadata!H319,"plant-associated habitat"),EXACT(metadata!H319,"animal-associated habitat"),EXACT(metadata!H319,"insecta-associated habitat"),EXACT(metadata!H319,"mammalia-associated habitat"),EXACT(metadata!H319,"human-associated habitat"),EXACT(metadata!H319,"livestock-associated habitat"))))</f>
        <v>0</v>
      </c>
      <c r="AK319" t="b">
        <f>AND(IF(metadata!I319="",FALSE,TRUE),EXACT(metadata!I319,"host-associated"))</f>
        <v>0</v>
      </c>
      <c r="AL319" t="b">
        <f>OR(AND(IF(metadata!J319="",FALSE,TRUE),OR(EXACT(metadata!J319,"not applicable"),EXACT(metadata!J319,"missing: not collected"),EXACT(metadata!J319,"missing: not provided"),EXACT(metadata!J319,"missing: restricted access"))),AND(IF(metadata!J319="",FALSE,ISNUMBER(VALUE(metadata!J319))),metadata!J319&gt;0))</f>
        <v>0</v>
      </c>
      <c r="AM319" t="b">
        <f>AND(IF(metadata!K319="",FALSE,TRUE),EXACT(metadata!K319,"missing: not provided"))</f>
        <v>0</v>
      </c>
      <c r="AN319" t="b">
        <f>IF(metadata!L319="",FALSE,TRUE)</f>
        <v>0</v>
      </c>
      <c r="AO319" t="b">
        <f>IF(metadata!M319="",FALSE,TRUE)</f>
        <v>0</v>
      </c>
      <c r="AP319" t="b">
        <f>OR(AND(IF(metadata!N319="",FALSE,TRUE),OR(EXACT(metadata!N319,"not applicable"),EXACT(metadata!N319,"missing: not collected"),EXACT(metadata!N319,"missing: not provided"))),AND(IF(metadata!N319="",FALSE,IF(ISERROR(INT(metadata!N319)),FALSE,INT(metadata!N319)=metadata!N319)),metadata!N319&gt;0))</f>
        <v>0</v>
      </c>
      <c r="AQ319" t="b">
        <f>AND(IF(metadata!O319="",FALSE,TRUE),EXACT(metadata!O319,"Not applicable"))</f>
        <v>0</v>
      </c>
      <c r="AR319" t="b">
        <f>OR(AND(IF(metadata!P319="",FALSE,TRUE),OR(EXACT(metadata!P319,"not applicable"),EXACT(metadata!P319,"missing: not collected"),EXACT(metadata!P319,"missing: not provided"),EXACT(metadata!P319,"missing: restricted access"))),IF(metadata!P319="",FALSE,IF(ISERROR(INT(metadata!P319)),FALSE,INT(metadata!P319)=metadata!P319)))</f>
        <v>0</v>
      </c>
      <c r="AS319" t="b">
        <f>AND(IF(metadata!Q319="",FALSE,TRUE),EXACT(metadata!Q319,"Not applicable"))</f>
        <v>0</v>
      </c>
      <c r="AT319" t="b">
        <f>OR(AND(IF(metadata!R319="",FALSE,TRUE),OR(EXACT(metadata!R319,"not applicable"),EXACT(metadata!R319,"missing: not collected"),EXACT(metadata!R319,"missing: not provided"),EXACT(metadata!R319,"missing: restricted access"))),AND(IF(metadata!R319="",FALSE,ISNUMBER(VALUE(metadata!R319))),metadata!R319&gt;0))</f>
        <v>0</v>
      </c>
      <c r="AU319" t="b">
        <f>AND(IF(metadata!S319="",FALSE,TRUE),EXACT(metadata!S319,"missing: not provided"))</f>
        <v>0</v>
      </c>
    </row>
    <row r="320" spans="1:47" x14ac:dyDescent="0.2">
      <c r="A320" s="5" t="str">
        <f ca="1">IF(B320=" "," ",HYPERLINK(CONCATENATE("#metadata!",ADDRESS(INDEX($Y$2:$Y$1001,MATCH(ROWS($W$2:W320),$W$2:$W$1001,0),0),1)),INDEX($AB$2:$AB$1001,MATCH(ROWS($W$2:W320),$W$2:$W$1001,0),0)))</f>
        <v xml:space="preserve"> </v>
      </c>
      <c r="B320" s="4" t="str">
        <f ca="1">IF(OR(INDEX($X$2:$X$1001,MATCH(ROWS($W$2:W320),$W$2:$W$1001,0),1)&gt;=100000,INDEX($AD$1005:$AU$1005,1,MATCH(COLUMNS($AD$1006:AD1006),$AD$1006:$AU$1006,0))&gt;=100000), " ",IF(INDEX($AD$2:$AU$1001,MATCH(ROWS($W$2:W320),$W$2:$W$1001,0),MATCH(COLUMNS($AD$1006:AD1006),$AD$1006:$AU$1006,0)), HYPERLINK("#",""), HYPERLINK(CONCATENATE("#metadata!", ADDRESS(INDEX($Y$2:$Y$1001,MATCH(ROWS($W$2:W320),$W$2:$W$1001,0),0), INDEX($AD$1004:$AU$1004,1,MATCH(COLUMNS($AD$1006:AD1006),$AD$1006:$AU$1006,0)))),"Fix")))</f>
        <v xml:space="preserve"> </v>
      </c>
      <c r="C320" s="4" t="str">
        <f ca="1">IF(OR(INDEX($X$2:$X$1001,MATCH(ROWS($W$2:W320),$W$2:$W$1001,0),1)&gt;=100000,INDEX($AD$1005:$AU$1005,1,MATCH(COLUMNS($AD$1006:AE1006),$AD$1006:$AU$1006,0))&gt;=100000), " ",IF(INDEX($AD$2:$AU$1001,MATCH(ROWS($W$2:W320),$W$2:$W$1001,0),MATCH(COLUMNS($AD$1006:AE1006),$AD$1006:$AU$1006,0)), HYPERLINK("#",""), HYPERLINK(CONCATENATE("#metadata!", ADDRESS(INDEX($Y$2:$Y$1001,MATCH(ROWS($W$2:W320),$W$2:$W$1001,0),0), INDEX($AD$1004:$AU$1004,1,MATCH(COLUMNS($AD$1006:AE1006),$AD$1006:$AU$1006,0)))),"Fix")))</f>
        <v xml:space="preserve"> </v>
      </c>
      <c r="D320" s="4" t="str">
        <f ca="1">IF(OR(INDEX($X$2:$X$1001,MATCH(ROWS($W$2:W320),$W$2:$W$1001,0),1)&gt;=100000,INDEX($AD$1005:$AU$1005,1,MATCH(COLUMNS($AD$1006:AF1006),$AD$1006:$AU$1006,0))&gt;=100000), " ",IF(INDEX($AD$2:$AU$1001,MATCH(ROWS($W$2:W320),$W$2:$W$1001,0),MATCH(COLUMNS($AD$1006:AF1006),$AD$1006:$AU$1006,0)), HYPERLINK("#",""), HYPERLINK(CONCATENATE("#metadata!", ADDRESS(INDEX($Y$2:$Y$1001,MATCH(ROWS($W$2:W320),$W$2:$W$1001,0),0), INDEX($AD$1004:$AU$1004,1,MATCH(COLUMNS($AD$1006:AF1006),$AD$1006:$AU$1006,0)))),"Fix")))</f>
        <v xml:space="preserve"> </v>
      </c>
      <c r="E320" s="4" t="str">
        <f ca="1">IF(OR(INDEX($X$2:$X$1001,MATCH(ROWS($W$2:W320),$W$2:$W$1001,0),1)&gt;=100000,INDEX($AD$1005:$AU$1005,1,MATCH(COLUMNS($AD$1006:AG1006),$AD$1006:$AU$1006,0))&gt;=100000), " ",IF(INDEX($AD$2:$AU$1001,MATCH(ROWS($W$2:W320),$W$2:$W$1001,0),MATCH(COLUMNS($AD$1006:AG1006),$AD$1006:$AU$1006,0)), HYPERLINK("#",""), HYPERLINK(CONCATENATE("#metadata!", ADDRESS(INDEX($Y$2:$Y$1001,MATCH(ROWS($W$2:W320),$W$2:$W$1001,0),0), INDEX($AD$1004:$AU$1004,1,MATCH(COLUMNS($AD$1006:AG1006),$AD$1006:$AU$1006,0)))),"Fix")))</f>
        <v xml:space="preserve"> </v>
      </c>
      <c r="F320" s="4" t="str">
        <f ca="1">IF(OR(INDEX($X$2:$X$1001,MATCH(ROWS($W$2:W320),$W$2:$W$1001,0),1)&gt;=100000,INDEX($AD$1005:$AU$1005,1,MATCH(COLUMNS($AD$1006:AH1006),$AD$1006:$AU$1006,0))&gt;=100000), " ",IF(INDEX($AD$2:$AU$1001,MATCH(ROWS($W$2:W320),$W$2:$W$1001,0),MATCH(COLUMNS($AD$1006:AH1006),$AD$1006:$AU$1006,0)), HYPERLINK("#",""), HYPERLINK(CONCATENATE("#metadata!", ADDRESS(INDEX($Y$2:$Y$1001,MATCH(ROWS($W$2:W320),$W$2:$W$1001,0),0), INDEX($AD$1004:$AU$1004,1,MATCH(COLUMNS($AD$1006:AH1006),$AD$1006:$AU$1006,0)))),"Fix")))</f>
        <v xml:space="preserve"> </v>
      </c>
      <c r="G320" s="4" t="str">
        <f ca="1">IF(OR(INDEX($X$2:$X$1001,MATCH(ROWS($W$2:W320),$W$2:$W$1001,0),1)&gt;=100000,INDEX($AD$1005:$AU$1005,1,MATCH(COLUMNS($AD$1006:AI1006),$AD$1006:$AU$1006,0))&gt;=100000), " ",IF(INDEX($AD$2:$AU$1001,MATCH(ROWS($W$2:W320),$W$2:$W$1001,0),MATCH(COLUMNS($AD$1006:AI1006),$AD$1006:$AU$1006,0)), HYPERLINK("#",""), HYPERLINK(CONCATENATE("#metadata!", ADDRESS(INDEX($Y$2:$Y$1001,MATCH(ROWS($W$2:W320),$W$2:$W$1001,0),0), INDEX($AD$1004:$AU$1004,1,MATCH(COLUMNS($AD$1006:AI1006),$AD$1006:$AU$1006,0)))),"Fix")))</f>
        <v xml:space="preserve"> </v>
      </c>
      <c r="H320" s="4" t="str">
        <f ca="1">IF(OR(INDEX($X$2:$X$1001,MATCH(ROWS($W$2:W320),$W$2:$W$1001,0),1)&gt;=100000,INDEX($AD$1005:$AU$1005,1,MATCH(COLUMNS($AD$1006:AJ1006),$AD$1006:$AU$1006,0))&gt;=100000), " ",IF(INDEX($AD$2:$AU$1001,MATCH(ROWS($W$2:W320),$W$2:$W$1001,0),MATCH(COLUMNS($AD$1006:AJ1006),$AD$1006:$AU$1006,0)), HYPERLINK("#",""), HYPERLINK(CONCATENATE("#metadata!", ADDRESS(INDEX($Y$2:$Y$1001,MATCH(ROWS($W$2:W320),$W$2:$W$1001,0),0), INDEX($AD$1004:$AU$1004,1,MATCH(COLUMNS($AD$1006:AJ1006),$AD$1006:$AU$1006,0)))),"Fix")))</f>
        <v xml:space="preserve"> </v>
      </c>
      <c r="I320" s="4" t="str">
        <f ca="1">IF(OR(INDEX($X$2:$X$1001,MATCH(ROWS($W$2:W320),$W$2:$W$1001,0),1)&gt;=100000,INDEX($AD$1005:$AU$1005,1,MATCH(COLUMNS($AD$1006:AK1006),$AD$1006:$AU$1006,0))&gt;=100000), " ",IF(INDEX($AD$2:$AU$1001,MATCH(ROWS($W$2:W320),$W$2:$W$1001,0),MATCH(COLUMNS($AD$1006:AK1006),$AD$1006:$AU$1006,0)), HYPERLINK("#",""), HYPERLINK(CONCATENATE("#metadata!", ADDRESS(INDEX($Y$2:$Y$1001,MATCH(ROWS($W$2:W320),$W$2:$W$1001,0),0), INDEX($AD$1004:$AU$1004,1,MATCH(COLUMNS($AD$1006:AK1006),$AD$1006:$AU$1006,0)))),"Fix")))</f>
        <v xml:space="preserve"> </v>
      </c>
      <c r="J320" s="4" t="str">
        <f ca="1">IF(OR(INDEX($X$2:$X$1001,MATCH(ROWS($W$2:W320),$W$2:$W$1001,0),1)&gt;=100000,INDEX($AD$1005:$AU$1005,1,MATCH(COLUMNS($AD$1006:AL1006),$AD$1006:$AU$1006,0))&gt;=100000), " ",IF(INDEX($AD$2:$AU$1001,MATCH(ROWS($W$2:W320),$W$2:$W$1001,0),MATCH(COLUMNS($AD$1006:AL1006),$AD$1006:$AU$1006,0)), HYPERLINK("#",""), HYPERLINK(CONCATENATE("#metadata!", ADDRESS(INDEX($Y$2:$Y$1001,MATCH(ROWS($W$2:W320),$W$2:$W$1001,0),0), INDEX($AD$1004:$AU$1004,1,MATCH(COLUMNS($AD$1006:AL1006),$AD$1006:$AU$1006,0)))),"Fix")))</f>
        <v xml:space="preserve"> </v>
      </c>
      <c r="K320" s="4" t="str">
        <f ca="1">IF(OR(INDEX($X$2:$X$1001,MATCH(ROWS($W$2:W320),$W$2:$W$1001,0),1)&gt;=100000,INDEX($AD$1005:$AU$1005,1,MATCH(COLUMNS($AD$1006:AM1006),$AD$1006:$AU$1006,0))&gt;=100000), " ",IF(INDEX($AD$2:$AU$1001,MATCH(ROWS($W$2:W320),$W$2:$W$1001,0),MATCH(COLUMNS($AD$1006:AM1006),$AD$1006:$AU$1006,0)), HYPERLINK("#",""), HYPERLINK(CONCATENATE("#metadata!", ADDRESS(INDEX($Y$2:$Y$1001,MATCH(ROWS($W$2:W320),$W$2:$W$1001,0),0), INDEX($AD$1004:$AU$1004,1,MATCH(COLUMNS($AD$1006:AM1006),$AD$1006:$AU$1006,0)))),"Fix")))</f>
        <v xml:space="preserve"> </v>
      </c>
      <c r="L320" s="4" t="str">
        <f ca="1">IF(OR(INDEX($X$2:$X$1001,MATCH(ROWS($W$2:W320),$W$2:$W$1001,0),1)&gt;=100000,INDEX($AD$1005:$AU$1005,1,MATCH(COLUMNS($AD$1006:AN1006),$AD$1006:$AU$1006,0))&gt;=100000), " ",IF(INDEX($AD$2:$AU$1001,MATCH(ROWS($W$2:W320),$W$2:$W$1001,0),MATCH(COLUMNS($AD$1006:AN1006),$AD$1006:$AU$1006,0)), HYPERLINK("#",""), HYPERLINK(CONCATENATE("#metadata!", ADDRESS(INDEX($Y$2:$Y$1001,MATCH(ROWS($W$2:W320),$W$2:$W$1001,0),0), INDEX($AD$1004:$AU$1004,1,MATCH(COLUMNS($AD$1006:AN1006),$AD$1006:$AU$1006,0)))),"Fix")))</f>
        <v xml:space="preserve"> </v>
      </c>
      <c r="M320" s="4" t="str">
        <f ca="1">IF(OR(INDEX($X$2:$X$1001,MATCH(ROWS($W$2:W320),$W$2:$W$1001,0),1)&gt;=100000,INDEX($AD$1005:$AU$1005,1,MATCH(COLUMNS($AD$1006:AO1006),$AD$1006:$AU$1006,0))&gt;=100000), " ",IF(INDEX($AD$2:$AU$1001,MATCH(ROWS($W$2:W320),$W$2:$W$1001,0),MATCH(COLUMNS($AD$1006:AO1006),$AD$1006:$AU$1006,0)), HYPERLINK("#",""), HYPERLINK(CONCATENATE("#metadata!", ADDRESS(INDEX($Y$2:$Y$1001,MATCH(ROWS($W$2:W320),$W$2:$W$1001,0),0), INDEX($AD$1004:$AU$1004,1,MATCH(COLUMNS($AD$1006:AO1006),$AD$1006:$AU$1006,0)))),"Fix")))</f>
        <v xml:space="preserve"> </v>
      </c>
      <c r="N320" s="4" t="str">
        <f ca="1">IF(OR(INDEX($X$2:$X$1001,MATCH(ROWS($W$2:W320),$W$2:$W$1001,0),1)&gt;=100000,INDEX($AD$1005:$AU$1005,1,MATCH(COLUMNS($AD$1006:AP1006),$AD$1006:$AU$1006,0))&gt;=100000), " ",IF(INDEX($AD$2:$AU$1001,MATCH(ROWS($W$2:W320),$W$2:$W$1001,0),MATCH(COLUMNS($AD$1006:AP1006),$AD$1006:$AU$1006,0)), HYPERLINK("#",""), HYPERLINK(CONCATENATE("#metadata!", ADDRESS(INDEX($Y$2:$Y$1001,MATCH(ROWS($W$2:W320),$W$2:$W$1001,0),0), INDEX($AD$1004:$AU$1004,1,MATCH(COLUMNS($AD$1006:AP1006),$AD$1006:$AU$1006,0)))),"Fix")))</f>
        <v xml:space="preserve"> </v>
      </c>
      <c r="O320" s="4" t="str">
        <f ca="1">IF(OR(INDEX($X$2:$X$1001,MATCH(ROWS($W$2:W320),$W$2:$W$1001,0),1)&gt;=100000,INDEX($AD$1005:$AU$1005,1,MATCH(COLUMNS($AD$1006:AQ1006),$AD$1006:$AU$1006,0))&gt;=100000), " ",IF(INDEX($AD$2:$AU$1001,MATCH(ROWS($W$2:W320),$W$2:$W$1001,0),MATCH(COLUMNS($AD$1006:AQ1006),$AD$1006:$AU$1006,0)), HYPERLINK("#",""), HYPERLINK(CONCATENATE("#metadata!", ADDRESS(INDEX($Y$2:$Y$1001,MATCH(ROWS($W$2:W320),$W$2:$W$1001,0),0), INDEX($AD$1004:$AU$1004,1,MATCH(COLUMNS($AD$1006:AQ1006),$AD$1006:$AU$1006,0)))),"Fix")))</f>
        <v xml:space="preserve"> </v>
      </c>
      <c r="P320" s="4" t="str">
        <f ca="1">IF(OR(INDEX($X$2:$X$1001,MATCH(ROWS($W$2:W320),$W$2:$W$1001,0),1)&gt;=100000,INDEX($AD$1005:$AU$1005,1,MATCH(COLUMNS($AD$1006:AR1006),$AD$1006:$AU$1006,0))&gt;=100000), " ",IF(INDEX($AD$2:$AU$1001,MATCH(ROWS($W$2:W320),$W$2:$W$1001,0),MATCH(COLUMNS($AD$1006:AR1006),$AD$1006:$AU$1006,0)), HYPERLINK("#",""), HYPERLINK(CONCATENATE("#metadata!", ADDRESS(INDEX($Y$2:$Y$1001,MATCH(ROWS($W$2:W320),$W$2:$W$1001,0),0), INDEX($AD$1004:$AU$1004,1,MATCH(COLUMNS($AD$1006:AR1006),$AD$1006:$AU$1006,0)))),"Fix")))</f>
        <v xml:space="preserve"> </v>
      </c>
      <c r="Q320" s="4" t="str">
        <f ca="1">IF(OR(INDEX($X$2:$X$1001,MATCH(ROWS($W$2:W320),$W$2:$W$1001,0),1)&gt;=100000,INDEX($AD$1005:$AU$1005,1,MATCH(COLUMNS($AD$1006:AS1006),$AD$1006:$AU$1006,0))&gt;=100000), " ",IF(INDEX($AD$2:$AU$1001,MATCH(ROWS($W$2:W320),$W$2:$W$1001,0),MATCH(COLUMNS($AD$1006:AS1006),$AD$1006:$AU$1006,0)), HYPERLINK("#",""), HYPERLINK(CONCATENATE("#metadata!", ADDRESS(INDEX($Y$2:$Y$1001,MATCH(ROWS($W$2:W320),$W$2:$W$1001,0),0), INDEX($AD$1004:$AU$1004,1,MATCH(COLUMNS($AD$1006:AS1006),$AD$1006:$AU$1006,0)))),"Fix")))</f>
        <v xml:space="preserve"> </v>
      </c>
      <c r="R320" s="4" t="str">
        <f ca="1">IF(OR(INDEX($X$2:$X$1001,MATCH(ROWS($W$2:W320),$W$2:$W$1001,0),1)&gt;=100000,INDEX($AD$1005:$AU$1005,1,MATCH(COLUMNS($AD$1006:AT1006),$AD$1006:$AU$1006,0))&gt;=100000), " ",IF(INDEX($AD$2:$AU$1001,MATCH(ROWS($W$2:W320),$W$2:$W$1001,0),MATCH(COLUMNS($AD$1006:AT1006),$AD$1006:$AU$1006,0)), HYPERLINK("#",""), HYPERLINK(CONCATENATE("#metadata!", ADDRESS(INDEX($Y$2:$Y$1001,MATCH(ROWS($W$2:W320),$W$2:$W$1001,0),0), INDEX($AD$1004:$AU$1004,1,MATCH(COLUMNS($AD$1006:AT1006),$AD$1006:$AU$1006,0)))),"Fix")))</f>
        <v xml:space="preserve"> </v>
      </c>
      <c r="S320" s="4" t="str">
        <f ca="1">IF(OR(INDEX($X$2:$X$1001,MATCH(ROWS($W$2:W320),$W$2:$W$1001,0),1)&gt;=100000,INDEX($AD$1005:$AU$1005,1,MATCH(COLUMNS($AD$1006:AU1006),$AD$1006:$AU$1006,0))&gt;=100000), " ",IF(INDEX($AD$2:$AU$1001,MATCH(ROWS($W$2:W320),$W$2:$W$1001,0),MATCH(COLUMNS($AD$1006:AU1006),$AD$1006:$AU$1006,0)), HYPERLINK("#",""), HYPERLINK(CONCATENATE("#metadata!", ADDRESS(INDEX($Y$2:$Y$1001,MATCH(ROWS($W$2:W320),$W$2:$W$1001,0),0), INDEX($AD$1004:$AU$1004,1,MATCH(COLUMNS($AD$1006:AU1006),$AD$1006:$AU$1006,0)))),"Fix")))</f>
        <v xml:space="preserve"> </v>
      </c>
      <c r="W320">
        <v>319</v>
      </c>
      <c r="X320">
        <v>100320</v>
      </c>
      <c r="Y320">
        <v>320</v>
      </c>
      <c r="Z320" t="b">
        <f t="shared" si="4"/>
        <v>1</v>
      </c>
      <c r="AA320" t="b">
        <f>COUNTBLANK(metadata!B320:S320)=COLUMNS(metadata!B320:S320)</f>
        <v>1</v>
      </c>
      <c r="AB320" t="str">
        <v/>
      </c>
      <c r="AD320" t="b">
        <f ca="1">AND(IF(metadata!B320="",FALSE,TRUE),COUNTIF(metadata!B:B, metadata!B320) = 1,NOT(ISERROR(SUMPRODUCT(SEARCH(MID(metadata!B320,ROW(INDIRECT("1:"&amp;LEN(metadata!B320))), 1),"0123456789abcdefghijklmnopqrstuvwxyzABCDEFGHIJKLMNOPQRSTUVWXYZ.")))))</f>
        <v>0</v>
      </c>
      <c r="AE320" t="b">
        <f>OR(AND(IF(metadata!C320="",FALSE,TRUE),OR(EXACT(metadata!C320,"not applicable"),EXACT(metadata!C320,"missing: not collected"),EXACT(metadata!C320,"missing: not provided"),EXACT(metadata!C320,"missing: restricted access"))),AND(IF(metadata!C320="",FALSE,ISNUMBER(VALUE(metadata!C320))),metadata!C320&gt;0))</f>
        <v>0</v>
      </c>
      <c r="AF320" t="b">
        <f>AND(IF(metadata!D320="",FALSE,TRUE),EXACT(metadata!D320,"missing: not provided"))</f>
        <v>0</v>
      </c>
      <c r="AG320" t="b">
        <f>AND(IF(metadata!E320="",FALSE,TRUE),EXACT(metadata!E320,"Host-associated"))</f>
        <v>0</v>
      </c>
      <c r="AH320" t="b">
        <f>AND(IF(metadata!F320="",FALSE,TRUE),OR(EXACT(metadata!F320,"Animal"),EXACT(metadata!F320,"Fungus"),EXACT(metadata!F320,"Plant")))</f>
        <v>0</v>
      </c>
      <c r="AI320" t="b">
        <f>AND(IF(metadata!G320="",FALSE,TRUE),OR(EXACT(metadata!G320,"Plant secretion"),EXACT(metadata!G320,"Plant rhizosphere"),EXACT(metadata!G320,"Plant surface"),EXACT(metadata!G320,"Plant corpus"),EXACT(metadata!G320,"Fungus surface"),EXACT(metadata!G320,"Fungus corpus"),EXACT(metadata!G320,"Animal surface"),EXACT(metadata!G320,"Animal proximal gut"),EXACT(metadata!G320,"Animal corpus"),EXACT(metadata!G320,"Animal distal gut"),EXACT(metadata!G320,"Animal secretion")))</f>
        <v>0</v>
      </c>
      <c r="AJ320" t="b">
        <f>OR(AND(IF(metadata!H320="",FALSE,TRUE),OR(EXACT(metadata!H320,"missing: not collected"),EXACT(metadata!H320,"missing: not provided"),EXACT(metadata!H320,"missing: restricted access"))),AND(IF(metadata!H320="",FALSE,TRUE),OR(EXACT(metadata!H320,"organism-associated habitat"),EXACT(metadata!H320,"plant-associated habitat"),EXACT(metadata!H320,"animal-associated habitat"),EXACT(metadata!H320,"insecta-associated habitat"),EXACT(metadata!H320,"mammalia-associated habitat"),EXACT(metadata!H320,"human-associated habitat"),EXACT(metadata!H320,"livestock-associated habitat"))))</f>
        <v>0</v>
      </c>
      <c r="AK320" t="b">
        <f>AND(IF(metadata!I320="",FALSE,TRUE),EXACT(metadata!I320,"host-associated"))</f>
        <v>0</v>
      </c>
      <c r="AL320" t="b">
        <f>OR(AND(IF(metadata!J320="",FALSE,TRUE),OR(EXACT(metadata!J320,"not applicable"),EXACT(metadata!J320,"missing: not collected"),EXACT(metadata!J320,"missing: not provided"),EXACT(metadata!J320,"missing: restricted access"))),AND(IF(metadata!J320="",FALSE,ISNUMBER(VALUE(metadata!J320))),metadata!J320&gt;0))</f>
        <v>0</v>
      </c>
      <c r="AM320" t="b">
        <f>AND(IF(metadata!K320="",FALSE,TRUE),EXACT(metadata!K320,"missing: not provided"))</f>
        <v>0</v>
      </c>
      <c r="AN320" t="b">
        <f>IF(metadata!L320="",FALSE,TRUE)</f>
        <v>0</v>
      </c>
      <c r="AO320" t="b">
        <f>IF(metadata!M320="",FALSE,TRUE)</f>
        <v>0</v>
      </c>
      <c r="AP320" t="b">
        <f>OR(AND(IF(metadata!N320="",FALSE,TRUE),OR(EXACT(metadata!N320,"not applicable"),EXACT(metadata!N320,"missing: not collected"),EXACT(metadata!N320,"missing: not provided"))),AND(IF(metadata!N320="",FALSE,IF(ISERROR(INT(metadata!N320)),FALSE,INT(metadata!N320)=metadata!N320)),metadata!N320&gt;0))</f>
        <v>0</v>
      </c>
      <c r="AQ320" t="b">
        <f>AND(IF(metadata!O320="",FALSE,TRUE),EXACT(metadata!O320,"Not applicable"))</f>
        <v>0</v>
      </c>
      <c r="AR320" t="b">
        <f>OR(AND(IF(metadata!P320="",FALSE,TRUE),OR(EXACT(metadata!P320,"not applicable"),EXACT(metadata!P320,"missing: not collected"),EXACT(metadata!P320,"missing: not provided"),EXACT(metadata!P320,"missing: restricted access"))),IF(metadata!P320="",FALSE,IF(ISERROR(INT(metadata!P320)),FALSE,INT(metadata!P320)=metadata!P320)))</f>
        <v>0</v>
      </c>
      <c r="AS320" t="b">
        <f>AND(IF(metadata!Q320="",FALSE,TRUE),EXACT(metadata!Q320,"Not applicable"))</f>
        <v>0</v>
      </c>
      <c r="AT320" t="b">
        <f>OR(AND(IF(metadata!R320="",FALSE,TRUE),OR(EXACT(metadata!R320,"not applicable"),EXACT(metadata!R320,"missing: not collected"),EXACT(metadata!R320,"missing: not provided"),EXACT(metadata!R320,"missing: restricted access"))),AND(IF(metadata!R320="",FALSE,ISNUMBER(VALUE(metadata!R320))),metadata!R320&gt;0))</f>
        <v>0</v>
      </c>
      <c r="AU320" t="b">
        <f>AND(IF(metadata!S320="",FALSE,TRUE),EXACT(metadata!S320,"missing: not provided"))</f>
        <v>0</v>
      </c>
    </row>
    <row r="321" spans="1:47" x14ac:dyDescent="0.2">
      <c r="A321" s="5" t="str">
        <f ca="1">IF(B321=" "," ",HYPERLINK(CONCATENATE("#metadata!",ADDRESS(INDEX($Y$2:$Y$1001,MATCH(ROWS($W$2:W321),$W$2:$W$1001,0),0),1)),INDEX($AB$2:$AB$1001,MATCH(ROWS($W$2:W321),$W$2:$W$1001,0),0)))</f>
        <v xml:space="preserve"> </v>
      </c>
      <c r="B321" s="4" t="str">
        <f ca="1">IF(OR(INDEX($X$2:$X$1001,MATCH(ROWS($W$2:W321),$W$2:$W$1001,0),1)&gt;=100000,INDEX($AD$1005:$AU$1005,1,MATCH(COLUMNS($AD$1006:AD1006),$AD$1006:$AU$1006,0))&gt;=100000), " ",IF(INDEX($AD$2:$AU$1001,MATCH(ROWS($W$2:W321),$W$2:$W$1001,0),MATCH(COLUMNS($AD$1006:AD1006),$AD$1006:$AU$1006,0)), HYPERLINK("#",""), HYPERLINK(CONCATENATE("#metadata!", ADDRESS(INDEX($Y$2:$Y$1001,MATCH(ROWS($W$2:W321),$W$2:$W$1001,0),0), INDEX($AD$1004:$AU$1004,1,MATCH(COLUMNS($AD$1006:AD1006),$AD$1006:$AU$1006,0)))),"Fix")))</f>
        <v xml:space="preserve"> </v>
      </c>
      <c r="C321" s="4" t="str">
        <f ca="1">IF(OR(INDEX($X$2:$X$1001,MATCH(ROWS($W$2:W321),$W$2:$W$1001,0),1)&gt;=100000,INDEX($AD$1005:$AU$1005,1,MATCH(COLUMNS($AD$1006:AE1006),$AD$1006:$AU$1006,0))&gt;=100000), " ",IF(INDEX($AD$2:$AU$1001,MATCH(ROWS($W$2:W321),$W$2:$W$1001,0),MATCH(COLUMNS($AD$1006:AE1006),$AD$1006:$AU$1006,0)), HYPERLINK("#",""), HYPERLINK(CONCATENATE("#metadata!", ADDRESS(INDEX($Y$2:$Y$1001,MATCH(ROWS($W$2:W321),$W$2:$W$1001,0),0), INDEX($AD$1004:$AU$1004,1,MATCH(COLUMNS($AD$1006:AE1006),$AD$1006:$AU$1006,0)))),"Fix")))</f>
        <v xml:space="preserve"> </v>
      </c>
      <c r="D321" s="4" t="str">
        <f ca="1">IF(OR(INDEX($X$2:$X$1001,MATCH(ROWS($W$2:W321),$W$2:$W$1001,0),1)&gt;=100000,INDEX($AD$1005:$AU$1005,1,MATCH(COLUMNS($AD$1006:AF1006),$AD$1006:$AU$1006,0))&gt;=100000), " ",IF(INDEX($AD$2:$AU$1001,MATCH(ROWS($W$2:W321),$W$2:$W$1001,0),MATCH(COLUMNS($AD$1006:AF1006),$AD$1006:$AU$1006,0)), HYPERLINK("#",""), HYPERLINK(CONCATENATE("#metadata!", ADDRESS(INDEX($Y$2:$Y$1001,MATCH(ROWS($W$2:W321),$W$2:$W$1001,0),0), INDEX($AD$1004:$AU$1004,1,MATCH(COLUMNS($AD$1006:AF1006),$AD$1006:$AU$1006,0)))),"Fix")))</f>
        <v xml:space="preserve"> </v>
      </c>
      <c r="E321" s="4" t="str">
        <f ca="1">IF(OR(INDEX($X$2:$X$1001,MATCH(ROWS($W$2:W321),$W$2:$W$1001,0),1)&gt;=100000,INDEX($AD$1005:$AU$1005,1,MATCH(COLUMNS($AD$1006:AG1006),$AD$1006:$AU$1006,0))&gt;=100000), " ",IF(INDEX($AD$2:$AU$1001,MATCH(ROWS($W$2:W321),$W$2:$W$1001,0),MATCH(COLUMNS($AD$1006:AG1006),$AD$1006:$AU$1006,0)), HYPERLINK("#",""), HYPERLINK(CONCATENATE("#metadata!", ADDRESS(INDEX($Y$2:$Y$1001,MATCH(ROWS($W$2:W321),$W$2:$W$1001,0),0), INDEX($AD$1004:$AU$1004,1,MATCH(COLUMNS($AD$1006:AG1006),$AD$1006:$AU$1006,0)))),"Fix")))</f>
        <v xml:space="preserve"> </v>
      </c>
      <c r="F321" s="4" t="str">
        <f ca="1">IF(OR(INDEX($X$2:$X$1001,MATCH(ROWS($W$2:W321),$W$2:$W$1001,0),1)&gt;=100000,INDEX($AD$1005:$AU$1005,1,MATCH(COLUMNS($AD$1006:AH1006),$AD$1006:$AU$1006,0))&gt;=100000), " ",IF(INDEX($AD$2:$AU$1001,MATCH(ROWS($W$2:W321),$W$2:$W$1001,0),MATCH(COLUMNS($AD$1006:AH1006),$AD$1006:$AU$1006,0)), HYPERLINK("#",""), HYPERLINK(CONCATENATE("#metadata!", ADDRESS(INDEX($Y$2:$Y$1001,MATCH(ROWS($W$2:W321),$W$2:$W$1001,0),0), INDEX($AD$1004:$AU$1004,1,MATCH(COLUMNS($AD$1006:AH1006),$AD$1006:$AU$1006,0)))),"Fix")))</f>
        <v xml:space="preserve"> </v>
      </c>
      <c r="G321" s="4" t="str">
        <f ca="1">IF(OR(INDEX($X$2:$X$1001,MATCH(ROWS($W$2:W321),$W$2:$W$1001,0),1)&gt;=100000,INDEX($AD$1005:$AU$1005,1,MATCH(COLUMNS($AD$1006:AI1006),$AD$1006:$AU$1006,0))&gt;=100000), " ",IF(INDEX($AD$2:$AU$1001,MATCH(ROWS($W$2:W321),$W$2:$W$1001,0),MATCH(COLUMNS($AD$1006:AI1006),$AD$1006:$AU$1006,0)), HYPERLINK("#",""), HYPERLINK(CONCATENATE("#metadata!", ADDRESS(INDEX($Y$2:$Y$1001,MATCH(ROWS($W$2:W321),$W$2:$W$1001,0),0), INDEX($AD$1004:$AU$1004,1,MATCH(COLUMNS($AD$1006:AI1006),$AD$1006:$AU$1006,0)))),"Fix")))</f>
        <v xml:space="preserve"> </v>
      </c>
      <c r="H321" s="4" t="str">
        <f ca="1">IF(OR(INDEX($X$2:$X$1001,MATCH(ROWS($W$2:W321),$W$2:$W$1001,0),1)&gt;=100000,INDEX($AD$1005:$AU$1005,1,MATCH(COLUMNS($AD$1006:AJ1006),$AD$1006:$AU$1006,0))&gt;=100000), " ",IF(INDEX($AD$2:$AU$1001,MATCH(ROWS($W$2:W321),$W$2:$W$1001,0),MATCH(COLUMNS($AD$1006:AJ1006),$AD$1006:$AU$1006,0)), HYPERLINK("#",""), HYPERLINK(CONCATENATE("#metadata!", ADDRESS(INDEX($Y$2:$Y$1001,MATCH(ROWS($W$2:W321),$W$2:$W$1001,0),0), INDEX($AD$1004:$AU$1004,1,MATCH(COLUMNS($AD$1006:AJ1006),$AD$1006:$AU$1006,0)))),"Fix")))</f>
        <v xml:space="preserve"> </v>
      </c>
      <c r="I321" s="4" t="str">
        <f ca="1">IF(OR(INDEX($X$2:$X$1001,MATCH(ROWS($W$2:W321),$W$2:$W$1001,0),1)&gt;=100000,INDEX($AD$1005:$AU$1005,1,MATCH(COLUMNS($AD$1006:AK1006),$AD$1006:$AU$1006,0))&gt;=100000), " ",IF(INDEX($AD$2:$AU$1001,MATCH(ROWS($W$2:W321),$W$2:$W$1001,0),MATCH(COLUMNS($AD$1006:AK1006),$AD$1006:$AU$1006,0)), HYPERLINK("#",""), HYPERLINK(CONCATENATE("#metadata!", ADDRESS(INDEX($Y$2:$Y$1001,MATCH(ROWS($W$2:W321),$W$2:$W$1001,0),0), INDEX($AD$1004:$AU$1004,1,MATCH(COLUMNS($AD$1006:AK1006),$AD$1006:$AU$1006,0)))),"Fix")))</f>
        <v xml:space="preserve"> </v>
      </c>
      <c r="J321" s="4" t="str">
        <f ca="1">IF(OR(INDEX($X$2:$X$1001,MATCH(ROWS($W$2:W321),$W$2:$W$1001,0),1)&gt;=100000,INDEX($AD$1005:$AU$1005,1,MATCH(COLUMNS($AD$1006:AL1006),$AD$1006:$AU$1006,0))&gt;=100000), " ",IF(INDEX($AD$2:$AU$1001,MATCH(ROWS($W$2:W321),$W$2:$W$1001,0),MATCH(COLUMNS($AD$1006:AL1006),$AD$1006:$AU$1006,0)), HYPERLINK("#",""), HYPERLINK(CONCATENATE("#metadata!", ADDRESS(INDEX($Y$2:$Y$1001,MATCH(ROWS($W$2:W321),$W$2:$W$1001,0),0), INDEX($AD$1004:$AU$1004,1,MATCH(COLUMNS($AD$1006:AL1006),$AD$1006:$AU$1006,0)))),"Fix")))</f>
        <v xml:space="preserve"> </v>
      </c>
      <c r="K321" s="4" t="str">
        <f ca="1">IF(OR(INDEX($X$2:$X$1001,MATCH(ROWS($W$2:W321),$W$2:$W$1001,0),1)&gt;=100000,INDEX($AD$1005:$AU$1005,1,MATCH(COLUMNS($AD$1006:AM1006),$AD$1006:$AU$1006,0))&gt;=100000), " ",IF(INDEX($AD$2:$AU$1001,MATCH(ROWS($W$2:W321),$W$2:$W$1001,0),MATCH(COLUMNS($AD$1006:AM1006),$AD$1006:$AU$1006,0)), HYPERLINK("#",""), HYPERLINK(CONCATENATE("#metadata!", ADDRESS(INDEX($Y$2:$Y$1001,MATCH(ROWS($W$2:W321),$W$2:$W$1001,0),0), INDEX($AD$1004:$AU$1004,1,MATCH(COLUMNS($AD$1006:AM1006),$AD$1006:$AU$1006,0)))),"Fix")))</f>
        <v xml:space="preserve"> </v>
      </c>
      <c r="L321" s="4" t="str">
        <f ca="1">IF(OR(INDEX($X$2:$X$1001,MATCH(ROWS($W$2:W321),$W$2:$W$1001,0),1)&gt;=100000,INDEX($AD$1005:$AU$1005,1,MATCH(COLUMNS($AD$1006:AN1006),$AD$1006:$AU$1006,0))&gt;=100000), " ",IF(INDEX($AD$2:$AU$1001,MATCH(ROWS($W$2:W321),$W$2:$W$1001,0),MATCH(COLUMNS($AD$1006:AN1006),$AD$1006:$AU$1006,0)), HYPERLINK("#",""), HYPERLINK(CONCATENATE("#metadata!", ADDRESS(INDEX($Y$2:$Y$1001,MATCH(ROWS($W$2:W321),$W$2:$W$1001,0),0), INDEX($AD$1004:$AU$1004,1,MATCH(COLUMNS($AD$1006:AN1006),$AD$1006:$AU$1006,0)))),"Fix")))</f>
        <v xml:space="preserve"> </v>
      </c>
      <c r="M321" s="4" t="str">
        <f ca="1">IF(OR(INDEX($X$2:$X$1001,MATCH(ROWS($W$2:W321),$W$2:$W$1001,0),1)&gt;=100000,INDEX($AD$1005:$AU$1005,1,MATCH(COLUMNS($AD$1006:AO1006),$AD$1006:$AU$1006,0))&gt;=100000), " ",IF(INDEX($AD$2:$AU$1001,MATCH(ROWS($W$2:W321),$W$2:$W$1001,0),MATCH(COLUMNS($AD$1006:AO1006),$AD$1006:$AU$1006,0)), HYPERLINK("#",""), HYPERLINK(CONCATENATE("#metadata!", ADDRESS(INDEX($Y$2:$Y$1001,MATCH(ROWS($W$2:W321),$W$2:$W$1001,0),0), INDEX($AD$1004:$AU$1004,1,MATCH(COLUMNS($AD$1006:AO1006),$AD$1006:$AU$1006,0)))),"Fix")))</f>
        <v xml:space="preserve"> </v>
      </c>
      <c r="N321" s="4" t="str">
        <f ca="1">IF(OR(INDEX($X$2:$X$1001,MATCH(ROWS($W$2:W321),$W$2:$W$1001,0),1)&gt;=100000,INDEX($AD$1005:$AU$1005,1,MATCH(COLUMNS($AD$1006:AP1006),$AD$1006:$AU$1006,0))&gt;=100000), " ",IF(INDEX($AD$2:$AU$1001,MATCH(ROWS($W$2:W321),$W$2:$W$1001,0),MATCH(COLUMNS($AD$1006:AP1006),$AD$1006:$AU$1006,0)), HYPERLINK("#",""), HYPERLINK(CONCATENATE("#metadata!", ADDRESS(INDEX($Y$2:$Y$1001,MATCH(ROWS($W$2:W321),$W$2:$W$1001,0),0), INDEX($AD$1004:$AU$1004,1,MATCH(COLUMNS($AD$1006:AP1006),$AD$1006:$AU$1006,0)))),"Fix")))</f>
        <v xml:space="preserve"> </v>
      </c>
      <c r="O321" s="4" t="str">
        <f ca="1">IF(OR(INDEX($X$2:$X$1001,MATCH(ROWS($W$2:W321),$W$2:$W$1001,0),1)&gt;=100000,INDEX($AD$1005:$AU$1005,1,MATCH(COLUMNS($AD$1006:AQ1006),$AD$1006:$AU$1006,0))&gt;=100000), " ",IF(INDEX($AD$2:$AU$1001,MATCH(ROWS($W$2:W321),$W$2:$W$1001,0),MATCH(COLUMNS($AD$1006:AQ1006),$AD$1006:$AU$1006,0)), HYPERLINK("#",""), HYPERLINK(CONCATENATE("#metadata!", ADDRESS(INDEX($Y$2:$Y$1001,MATCH(ROWS($W$2:W321),$W$2:$W$1001,0),0), INDEX($AD$1004:$AU$1004,1,MATCH(COLUMNS($AD$1006:AQ1006),$AD$1006:$AU$1006,0)))),"Fix")))</f>
        <v xml:space="preserve"> </v>
      </c>
      <c r="P321" s="4" t="str">
        <f ca="1">IF(OR(INDEX($X$2:$X$1001,MATCH(ROWS($W$2:W321),$W$2:$W$1001,0),1)&gt;=100000,INDEX($AD$1005:$AU$1005,1,MATCH(COLUMNS($AD$1006:AR1006),$AD$1006:$AU$1006,0))&gt;=100000), " ",IF(INDEX($AD$2:$AU$1001,MATCH(ROWS($W$2:W321),$W$2:$W$1001,0),MATCH(COLUMNS($AD$1006:AR1006),$AD$1006:$AU$1006,0)), HYPERLINK("#",""), HYPERLINK(CONCATENATE("#metadata!", ADDRESS(INDEX($Y$2:$Y$1001,MATCH(ROWS($W$2:W321),$W$2:$W$1001,0),0), INDEX($AD$1004:$AU$1004,1,MATCH(COLUMNS($AD$1006:AR1006),$AD$1006:$AU$1006,0)))),"Fix")))</f>
        <v xml:space="preserve"> </v>
      </c>
      <c r="Q321" s="4" t="str">
        <f ca="1">IF(OR(INDEX($X$2:$X$1001,MATCH(ROWS($W$2:W321),$W$2:$W$1001,0),1)&gt;=100000,INDEX($AD$1005:$AU$1005,1,MATCH(COLUMNS($AD$1006:AS1006),$AD$1006:$AU$1006,0))&gt;=100000), " ",IF(INDEX($AD$2:$AU$1001,MATCH(ROWS($W$2:W321),$W$2:$W$1001,0),MATCH(COLUMNS($AD$1006:AS1006),$AD$1006:$AU$1006,0)), HYPERLINK("#",""), HYPERLINK(CONCATENATE("#metadata!", ADDRESS(INDEX($Y$2:$Y$1001,MATCH(ROWS($W$2:W321),$W$2:$W$1001,0),0), INDEX($AD$1004:$AU$1004,1,MATCH(COLUMNS($AD$1006:AS1006),$AD$1006:$AU$1006,0)))),"Fix")))</f>
        <v xml:space="preserve"> </v>
      </c>
      <c r="R321" s="4" t="str">
        <f ca="1">IF(OR(INDEX($X$2:$X$1001,MATCH(ROWS($W$2:W321),$W$2:$W$1001,0),1)&gt;=100000,INDEX($AD$1005:$AU$1005,1,MATCH(COLUMNS($AD$1006:AT1006),$AD$1006:$AU$1006,0))&gt;=100000), " ",IF(INDEX($AD$2:$AU$1001,MATCH(ROWS($W$2:W321),$W$2:$W$1001,0),MATCH(COLUMNS($AD$1006:AT1006),$AD$1006:$AU$1006,0)), HYPERLINK("#",""), HYPERLINK(CONCATENATE("#metadata!", ADDRESS(INDEX($Y$2:$Y$1001,MATCH(ROWS($W$2:W321),$W$2:$W$1001,0),0), INDEX($AD$1004:$AU$1004,1,MATCH(COLUMNS($AD$1006:AT1006),$AD$1006:$AU$1006,0)))),"Fix")))</f>
        <v xml:space="preserve"> </v>
      </c>
      <c r="S321" s="4" t="str">
        <f ca="1">IF(OR(INDEX($X$2:$X$1001,MATCH(ROWS($W$2:W321),$W$2:$W$1001,0),1)&gt;=100000,INDEX($AD$1005:$AU$1005,1,MATCH(COLUMNS($AD$1006:AU1006),$AD$1006:$AU$1006,0))&gt;=100000), " ",IF(INDEX($AD$2:$AU$1001,MATCH(ROWS($W$2:W321),$W$2:$W$1001,0),MATCH(COLUMNS($AD$1006:AU1006),$AD$1006:$AU$1006,0)), HYPERLINK("#",""), HYPERLINK(CONCATENATE("#metadata!", ADDRESS(INDEX($Y$2:$Y$1001,MATCH(ROWS($W$2:W321),$W$2:$W$1001,0),0), INDEX($AD$1004:$AU$1004,1,MATCH(COLUMNS($AD$1006:AU1006),$AD$1006:$AU$1006,0)))),"Fix")))</f>
        <v xml:space="preserve"> </v>
      </c>
      <c r="W321">
        <v>320</v>
      </c>
      <c r="X321">
        <v>100321</v>
      </c>
      <c r="Y321">
        <v>321</v>
      </c>
      <c r="Z321" t="b">
        <f t="shared" si="4"/>
        <v>1</v>
      </c>
      <c r="AA321" t="b">
        <f>COUNTBLANK(metadata!B321:S321)=COLUMNS(metadata!B321:S321)</f>
        <v>1</v>
      </c>
      <c r="AB321" t="str">
        <v/>
      </c>
      <c r="AD321" t="b">
        <f ca="1">AND(IF(metadata!B321="",FALSE,TRUE),COUNTIF(metadata!B:B, metadata!B321) = 1,NOT(ISERROR(SUMPRODUCT(SEARCH(MID(metadata!B321,ROW(INDIRECT("1:"&amp;LEN(metadata!B321))), 1),"0123456789abcdefghijklmnopqrstuvwxyzABCDEFGHIJKLMNOPQRSTUVWXYZ.")))))</f>
        <v>0</v>
      </c>
      <c r="AE321" t="b">
        <f>OR(AND(IF(metadata!C321="",FALSE,TRUE),OR(EXACT(metadata!C321,"not applicable"),EXACT(metadata!C321,"missing: not collected"),EXACT(metadata!C321,"missing: not provided"),EXACT(metadata!C321,"missing: restricted access"))),AND(IF(metadata!C321="",FALSE,ISNUMBER(VALUE(metadata!C321))),metadata!C321&gt;0))</f>
        <v>0</v>
      </c>
      <c r="AF321" t="b">
        <f>AND(IF(metadata!D321="",FALSE,TRUE),EXACT(metadata!D321,"missing: not provided"))</f>
        <v>0</v>
      </c>
      <c r="AG321" t="b">
        <f>AND(IF(metadata!E321="",FALSE,TRUE),EXACT(metadata!E321,"Host-associated"))</f>
        <v>0</v>
      </c>
      <c r="AH321" t="b">
        <f>AND(IF(metadata!F321="",FALSE,TRUE),OR(EXACT(metadata!F321,"Animal"),EXACT(metadata!F321,"Fungus"),EXACT(metadata!F321,"Plant")))</f>
        <v>0</v>
      </c>
      <c r="AI321" t="b">
        <f>AND(IF(metadata!G321="",FALSE,TRUE),OR(EXACT(metadata!G321,"Plant secretion"),EXACT(metadata!G321,"Plant rhizosphere"),EXACT(metadata!G321,"Plant surface"),EXACT(metadata!G321,"Plant corpus"),EXACT(metadata!G321,"Fungus surface"),EXACT(metadata!G321,"Fungus corpus"),EXACT(metadata!G321,"Animal surface"),EXACT(metadata!G321,"Animal proximal gut"),EXACT(metadata!G321,"Animal corpus"),EXACT(metadata!G321,"Animal distal gut"),EXACT(metadata!G321,"Animal secretion")))</f>
        <v>0</v>
      </c>
      <c r="AJ321" t="b">
        <f>OR(AND(IF(metadata!H321="",FALSE,TRUE),OR(EXACT(metadata!H321,"missing: not collected"),EXACT(metadata!H321,"missing: not provided"),EXACT(metadata!H321,"missing: restricted access"))),AND(IF(metadata!H321="",FALSE,TRUE),OR(EXACT(metadata!H321,"organism-associated habitat"),EXACT(metadata!H321,"plant-associated habitat"),EXACT(metadata!H321,"animal-associated habitat"),EXACT(metadata!H321,"insecta-associated habitat"),EXACT(metadata!H321,"mammalia-associated habitat"),EXACT(metadata!H321,"human-associated habitat"),EXACT(metadata!H321,"livestock-associated habitat"))))</f>
        <v>0</v>
      </c>
      <c r="AK321" t="b">
        <f>AND(IF(metadata!I321="",FALSE,TRUE),EXACT(metadata!I321,"host-associated"))</f>
        <v>0</v>
      </c>
      <c r="AL321" t="b">
        <f>OR(AND(IF(metadata!J321="",FALSE,TRUE),OR(EXACT(metadata!J321,"not applicable"),EXACT(metadata!J321,"missing: not collected"),EXACT(metadata!J321,"missing: not provided"),EXACT(metadata!J321,"missing: restricted access"))),AND(IF(metadata!J321="",FALSE,ISNUMBER(VALUE(metadata!J321))),metadata!J321&gt;0))</f>
        <v>0</v>
      </c>
      <c r="AM321" t="b">
        <f>AND(IF(metadata!K321="",FALSE,TRUE),EXACT(metadata!K321,"missing: not provided"))</f>
        <v>0</v>
      </c>
      <c r="AN321" t="b">
        <f>IF(metadata!L321="",FALSE,TRUE)</f>
        <v>0</v>
      </c>
      <c r="AO321" t="b">
        <f>IF(metadata!M321="",FALSE,TRUE)</f>
        <v>0</v>
      </c>
      <c r="AP321" t="b">
        <f>OR(AND(IF(metadata!N321="",FALSE,TRUE),OR(EXACT(metadata!N321,"not applicable"),EXACT(metadata!N321,"missing: not collected"),EXACT(metadata!N321,"missing: not provided"))),AND(IF(metadata!N321="",FALSE,IF(ISERROR(INT(metadata!N321)),FALSE,INT(metadata!N321)=metadata!N321)),metadata!N321&gt;0))</f>
        <v>0</v>
      </c>
      <c r="AQ321" t="b">
        <f>AND(IF(metadata!O321="",FALSE,TRUE),EXACT(metadata!O321,"Not applicable"))</f>
        <v>0</v>
      </c>
      <c r="AR321" t="b">
        <f>OR(AND(IF(metadata!P321="",FALSE,TRUE),OR(EXACT(metadata!P321,"not applicable"),EXACT(metadata!P321,"missing: not collected"),EXACT(metadata!P321,"missing: not provided"),EXACT(metadata!P321,"missing: restricted access"))),IF(metadata!P321="",FALSE,IF(ISERROR(INT(metadata!P321)),FALSE,INT(metadata!P321)=metadata!P321)))</f>
        <v>0</v>
      </c>
      <c r="AS321" t="b">
        <f>AND(IF(metadata!Q321="",FALSE,TRUE),EXACT(metadata!Q321,"Not applicable"))</f>
        <v>0</v>
      </c>
      <c r="AT321" t="b">
        <f>OR(AND(IF(metadata!R321="",FALSE,TRUE),OR(EXACT(metadata!R321,"not applicable"),EXACT(metadata!R321,"missing: not collected"),EXACT(metadata!R321,"missing: not provided"),EXACT(metadata!R321,"missing: restricted access"))),AND(IF(metadata!R321="",FALSE,ISNUMBER(VALUE(metadata!R321))),metadata!R321&gt;0))</f>
        <v>0</v>
      </c>
      <c r="AU321" t="b">
        <f>AND(IF(metadata!S321="",FALSE,TRUE),EXACT(metadata!S321,"missing: not provided"))</f>
        <v>0</v>
      </c>
    </row>
    <row r="322" spans="1:47" x14ac:dyDescent="0.2">
      <c r="A322" s="5" t="str">
        <f ca="1">IF(B322=" "," ",HYPERLINK(CONCATENATE("#metadata!",ADDRESS(INDEX($Y$2:$Y$1001,MATCH(ROWS($W$2:W322),$W$2:$W$1001,0),0),1)),INDEX($AB$2:$AB$1001,MATCH(ROWS($W$2:W322),$W$2:$W$1001,0),0)))</f>
        <v xml:space="preserve"> </v>
      </c>
      <c r="B322" s="4" t="str">
        <f ca="1">IF(OR(INDEX($X$2:$X$1001,MATCH(ROWS($W$2:W322),$W$2:$W$1001,0),1)&gt;=100000,INDEX($AD$1005:$AU$1005,1,MATCH(COLUMNS($AD$1006:AD1006),$AD$1006:$AU$1006,0))&gt;=100000), " ",IF(INDEX($AD$2:$AU$1001,MATCH(ROWS($W$2:W322),$W$2:$W$1001,0),MATCH(COLUMNS($AD$1006:AD1006),$AD$1006:$AU$1006,0)), HYPERLINK("#",""), HYPERLINK(CONCATENATE("#metadata!", ADDRESS(INDEX($Y$2:$Y$1001,MATCH(ROWS($W$2:W322),$W$2:$W$1001,0),0), INDEX($AD$1004:$AU$1004,1,MATCH(COLUMNS($AD$1006:AD1006),$AD$1006:$AU$1006,0)))),"Fix")))</f>
        <v xml:space="preserve"> </v>
      </c>
      <c r="C322" s="4" t="str">
        <f ca="1">IF(OR(INDEX($X$2:$X$1001,MATCH(ROWS($W$2:W322),$W$2:$W$1001,0),1)&gt;=100000,INDEX($AD$1005:$AU$1005,1,MATCH(COLUMNS($AD$1006:AE1006),$AD$1006:$AU$1006,0))&gt;=100000), " ",IF(INDEX($AD$2:$AU$1001,MATCH(ROWS($W$2:W322),$W$2:$W$1001,0),MATCH(COLUMNS($AD$1006:AE1006),$AD$1006:$AU$1006,0)), HYPERLINK("#",""), HYPERLINK(CONCATENATE("#metadata!", ADDRESS(INDEX($Y$2:$Y$1001,MATCH(ROWS($W$2:W322),$W$2:$W$1001,0),0), INDEX($AD$1004:$AU$1004,1,MATCH(COLUMNS($AD$1006:AE1006),$AD$1006:$AU$1006,0)))),"Fix")))</f>
        <v xml:space="preserve"> </v>
      </c>
      <c r="D322" s="4" t="str">
        <f ca="1">IF(OR(INDEX($X$2:$X$1001,MATCH(ROWS($W$2:W322),$W$2:$W$1001,0),1)&gt;=100000,INDEX($AD$1005:$AU$1005,1,MATCH(COLUMNS($AD$1006:AF1006),$AD$1006:$AU$1006,0))&gt;=100000), " ",IF(INDEX($AD$2:$AU$1001,MATCH(ROWS($W$2:W322),$W$2:$W$1001,0),MATCH(COLUMNS($AD$1006:AF1006),$AD$1006:$AU$1006,0)), HYPERLINK("#",""), HYPERLINK(CONCATENATE("#metadata!", ADDRESS(INDEX($Y$2:$Y$1001,MATCH(ROWS($W$2:W322),$W$2:$W$1001,0),0), INDEX($AD$1004:$AU$1004,1,MATCH(COLUMNS($AD$1006:AF1006),$AD$1006:$AU$1006,0)))),"Fix")))</f>
        <v xml:space="preserve"> </v>
      </c>
      <c r="E322" s="4" t="str">
        <f ca="1">IF(OR(INDEX($X$2:$X$1001,MATCH(ROWS($W$2:W322),$W$2:$W$1001,0),1)&gt;=100000,INDEX($AD$1005:$AU$1005,1,MATCH(COLUMNS($AD$1006:AG1006),$AD$1006:$AU$1006,0))&gt;=100000), " ",IF(INDEX($AD$2:$AU$1001,MATCH(ROWS($W$2:W322),$W$2:$W$1001,0),MATCH(COLUMNS($AD$1006:AG1006),$AD$1006:$AU$1006,0)), HYPERLINK("#",""), HYPERLINK(CONCATENATE("#metadata!", ADDRESS(INDEX($Y$2:$Y$1001,MATCH(ROWS($W$2:W322),$W$2:$W$1001,0),0), INDEX($AD$1004:$AU$1004,1,MATCH(COLUMNS($AD$1006:AG1006),$AD$1006:$AU$1006,0)))),"Fix")))</f>
        <v xml:space="preserve"> </v>
      </c>
      <c r="F322" s="4" t="str">
        <f ca="1">IF(OR(INDEX($X$2:$X$1001,MATCH(ROWS($W$2:W322),$W$2:$W$1001,0),1)&gt;=100000,INDEX($AD$1005:$AU$1005,1,MATCH(COLUMNS($AD$1006:AH1006),$AD$1006:$AU$1006,0))&gt;=100000), " ",IF(INDEX($AD$2:$AU$1001,MATCH(ROWS($W$2:W322),$W$2:$W$1001,0),MATCH(COLUMNS($AD$1006:AH1006),$AD$1006:$AU$1006,0)), HYPERLINK("#",""), HYPERLINK(CONCATENATE("#metadata!", ADDRESS(INDEX($Y$2:$Y$1001,MATCH(ROWS($W$2:W322),$W$2:$W$1001,0),0), INDEX($AD$1004:$AU$1004,1,MATCH(COLUMNS($AD$1006:AH1006),$AD$1006:$AU$1006,0)))),"Fix")))</f>
        <v xml:space="preserve"> </v>
      </c>
      <c r="G322" s="4" t="str">
        <f ca="1">IF(OR(INDEX($X$2:$X$1001,MATCH(ROWS($W$2:W322),$W$2:$W$1001,0),1)&gt;=100000,INDEX($AD$1005:$AU$1005,1,MATCH(COLUMNS($AD$1006:AI1006),$AD$1006:$AU$1006,0))&gt;=100000), " ",IF(INDEX($AD$2:$AU$1001,MATCH(ROWS($W$2:W322),$W$2:$W$1001,0),MATCH(COLUMNS($AD$1006:AI1006),$AD$1006:$AU$1006,0)), HYPERLINK("#",""), HYPERLINK(CONCATENATE("#metadata!", ADDRESS(INDEX($Y$2:$Y$1001,MATCH(ROWS($W$2:W322),$W$2:$W$1001,0),0), INDEX($AD$1004:$AU$1004,1,MATCH(COLUMNS($AD$1006:AI1006),$AD$1006:$AU$1006,0)))),"Fix")))</f>
        <v xml:space="preserve"> </v>
      </c>
      <c r="H322" s="4" t="str">
        <f ca="1">IF(OR(INDEX($X$2:$X$1001,MATCH(ROWS($W$2:W322),$W$2:$W$1001,0),1)&gt;=100000,INDEX($AD$1005:$AU$1005,1,MATCH(COLUMNS($AD$1006:AJ1006),$AD$1006:$AU$1006,0))&gt;=100000), " ",IF(INDEX($AD$2:$AU$1001,MATCH(ROWS($W$2:W322),$W$2:$W$1001,0),MATCH(COLUMNS($AD$1006:AJ1006),$AD$1006:$AU$1006,0)), HYPERLINK("#",""), HYPERLINK(CONCATENATE("#metadata!", ADDRESS(INDEX($Y$2:$Y$1001,MATCH(ROWS($W$2:W322),$W$2:$W$1001,0),0), INDEX($AD$1004:$AU$1004,1,MATCH(COLUMNS($AD$1006:AJ1006),$AD$1006:$AU$1006,0)))),"Fix")))</f>
        <v xml:space="preserve"> </v>
      </c>
      <c r="I322" s="4" t="str">
        <f ca="1">IF(OR(INDEX($X$2:$X$1001,MATCH(ROWS($W$2:W322),$W$2:$W$1001,0),1)&gt;=100000,INDEX($AD$1005:$AU$1005,1,MATCH(COLUMNS($AD$1006:AK1006),$AD$1006:$AU$1006,0))&gt;=100000), " ",IF(INDEX($AD$2:$AU$1001,MATCH(ROWS($W$2:W322),$W$2:$W$1001,0),MATCH(COLUMNS($AD$1006:AK1006),$AD$1006:$AU$1006,0)), HYPERLINK("#",""), HYPERLINK(CONCATENATE("#metadata!", ADDRESS(INDEX($Y$2:$Y$1001,MATCH(ROWS($W$2:W322),$W$2:$W$1001,0),0), INDEX($AD$1004:$AU$1004,1,MATCH(COLUMNS($AD$1006:AK1006),$AD$1006:$AU$1006,0)))),"Fix")))</f>
        <v xml:space="preserve"> </v>
      </c>
      <c r="J322" s="4" t="str">
        <f ca="1">IF(OR(INDEX($X$2:$X$1001,MATCH(ROWS($W$2:W322),$W$2:$W$1001,0),1)&gt;=100000,INDEX($AD$1005:$AU$1005,1,MATCH(COLUMNS($AD$1006:AL1006),$AD$1006:$AU$1006,0))&gt;=100000), " ",IF(INDEX($AD$2:$AU$1001,MATCH(ROWS($W$2:W322),$W$2:$W$1001,0),MATCH(COLUMNS($AD$1006:AL1006),$AD$1006:$AU$1006,0)), HYPERLINK("#",""), HYPERLINK(CONCATENATE("#metadata!", ADDRESS(INDEX($Y$2:$Y$1001,MATCH(ROWS($W$2:W322),$W$2:$W$1001,0),0), INDEX($AD$1004:$AU$1004,1,MATCH(COLUMNS($AD$1006:AL1006),$AD$1006:$AU$1006,0)))),"Fix")))</f>
        <v xml:space="preserve"> </v>
      </c>
      <c r="K322" s="4" t="str">
        <f ca="1">IF(OR(INDEX($X$2:$X$1001,MATCH(ROWS($W$2:W322),$W$2:$W$1001,0),1)&gt;=100000,INDEX($AD$1005:$AU$1005,1,MATCH(COLUMNS($AD$1006:AM1006),$AD$1006:$AU$1006,0))&gt;=100000), " ",IF(INDEX($AD$2:$AU$1001,MATCH(ROWS($W$2:W322),$W$2:$W$1001,0),MATCH(COLUMNS($AD$1006:AM1006),$AD$1006:$AU$1006,0)), HYPERLINK("#",""), HYPERLINK(CONCATENATE("#metadata!", ADDRESS(INDEX($Y$2:$Y$1001,MATCH(ROWS($W$2:W322),$W$2:$W$1001,0),0), INDEX($AD$1004:$AU$1004,1,MATCH(COLUMNS($AD$1006:AM1006),$AD$1006:$AU$1006,0)))),"Fix")))</f>
        <v xml:space="preserve"> </v>
      </c>
      <c r="L322" s="4" t="str">
        <f ca="1">IF(OR(INDEX($X$2:$X$1001,MATCH(ROWS($W$2:W322),$W$2:$W$1001,0),1)&gt;=100000,INDEX($AD$1005:$AU$1005,1,MATCH(COLUMNS($AD$1006:AN1006),$AD$1006:$AU$1006,0))&gt;=100000), " ",IF(INDEX($AD$2:$AU$1001,MATCH(ROWS($W$2:W322),$W$2:$W$1001,0),MATCH(COLUMNS($AD$1006:AN1006),$AD$1006:$AU$1006,0)), HYPERLINK("#",""), HYPERLINK(CONCATENATE("#metadata!", ADDRESS(INDEX($Y$2:$Y$1001,MATCH(ROWS($W$2:W322),$W$2:$W$1001,0),0), INDEX($AD$1004:$AU$1004,1,MATCH(COLUMNS($AD$1006:AN1006),$AD$1006:$AU$1006,0)))),"Fix")))</f>
        <v xml:space="preserve"> </v>
      </c>
      <c r="M322" s="4" t="str">
        <f ca="1">IF(OR(INDEX($X$2:$X$1001,MATCH(ROWS($W$2:W322),$W$2:$W$1001,0),1)&gt;=100000,INDEX($AD$1005:$AU$1005,1,MATCH(COLUMNS($AD$1006:AO1006),$AD$1006:$AU$1006,0))&gt;=100000), " ",IF(INDEX($AD$2:$AU$1001,MATCH(ROWS($W$2:W322),$W$2:$W$1001,0),MATCH(COLUMNS($AD$1006:AO1006),$AD$1006:$AU$1006,0)), HYPERLINK("#",""), HYPERLINK(CONCATENATE("#metadata!", ADDRESS(INDEX($Y$2:$Y$1001,MATCH(ROWS($W$2:W322),$W$2:$W$1001,0),0), INDEX($AD$1004:$AU$1004,1,MATCH(COLUMNS($AD$1006:AO1006),$AD$1006:$AU$1006,0)))),"Fix")))</f>
        <v xml:space="preserve"> </v>
      </c>
      <c r="N322" s="4" t="str">
        <f ca="1">IF(OR(INDEX($X$2:$X$1001,MATCH(ROWS($W$2:W322),$W$2:$W$1001,0),1)&gt;=100000,INDEX($AD$1005:$AU$1005,1,MATCH(COLUMNS($AD$1006:AP1006),$AD$1006:$AU$1006,0))&gt;=100000), " ",IF(INDEX($AD$2:$AU$1001,MATCH(ROWS($W$2:W322),$W$2:$W$1001,0),MATCH(COLUMNS($AD$1006:AP1006),$AD$1006:$AU$1006,0)), HYPERLINK("#",""), HYPERLINK(CONCATENATE("#metadata!", ADDRESS(INDEX($Y$2:$Y$1001,MATCH(ROWS($W$2:W322),$W$2:$W$1001,0),0), INDEX($AD$1004:$AU$1004,1,MATCH(COLUMNS($AD$1006:AP1006),$AD$1006:$AU$1006,0)))),"Fix")))</f>
        <v xml:space="preserve"> </v>
      </c>
      <c r="O322" s="4" t="str">
        <f ca="1">IF(OR(INDEX($X$2:$X$1001,MATCH(ROWS($W$2:W322),$W$2:$W$1001,0),1)&gt;=100000,INDEX($AD$1005:$AU$1005,1,MATCH(COLUMNS($AD$1006:AQ1006),$AD$1006:$AU$1006,0))&gt;=100000), " ",IF(INDEX($AD$2:$AU$1001,MATCH(ROWS($W$2:W322),$W$2:$W$1001,0),MATCH(COLUMNS($AD$1006:AQ1006),$AD$1006:$AU$1006,0)), HYPERLINK("#",""), HYPERLINK(CONCATENATE("#metadata!", ADDRESS(INDEX($Y$2:$Y$1001,MATCH(ROWS($W$2:W322),$W$2:$W$1001,0),0), INDEX($AD$1004:$AU$1004,1,MATCH(COLUMNS($AD$1006:AQ1006),$AD$1006:$AU$1006,0)))),"Fix")))</f>
        <v xml:space="preserve"> </v>
      </c>
      <c r="P322" s="4" t="str">
        <f ca="1">IF(OR(INDEX($X$2:$X$1001,MATCH(ROWS($W$2:W322),$W$2:$W$1001,0),1)&gt;=100000,INDEX($AD$1005:$AU$1005,1,MATCH(COLUMNS($AD$1006:AR1006),$AD$1006:$AU$1006,0))&gt;=100000), " ",IF(INDEX($AD$2:$AU$1001,MATCH(ROWS($W$2:W322),$W$2:$W$1001,0),MATCH(COLUMNS($AD$1006:AR1006),$AD$1006:$AU$1006,0)), HYPERLINK("#",""), HYPERLINK(CONCATENATE("#metadata!", ADDRESS(INDEX($Y$2:$Y$1001,MATCH(ROWS($W$2:W322),$W$2:$W$1001,0),0), INDEX($AD$1004:$AU$1004,1,MATCH(COLUMNS($AD$1006:AR1006),$AD$1006:$AU$1006,0)))),"Fix")))</f>
        <v xml:space="preserve"> </v>
      </c>
      <c r="Q322" s="4" t="str">
        <f ca="1">IF(OR(INDEX($X$2:$X$1001,MATCH(ROWS($W$2:W322),$W$2:$W$1001,0),1)&gt;=100000,INDEX($AD$1005:$AU$1005,1,MATCH(COLUMNS($AD$1006:AS1006),$AD$1006:$AU$1006,0))&gt;=100000), " ",IF(INDEX($AD$2:$AU$1001,MATCH(ROWS($W$2:W322),$W$2:$W$1001,0),MATCH(COLUMNS($AD$1006:AS1006),$AD$1006:$AU$1006,0)), HYPERLINK("#",""), HYPERLINK(CONCATENATE("#metadata!", ADDRESS(INDEX($Y$2:$Y$1001,MATCH(ROWS($W$2:W322),$W$2:$W$1001,0),0), INDEX($AD$1004:$AU$1004,1,MATCH(COLUMNS($AD$1006:AS1006),$AD$1006:$AU$1006,0)))),"Fix")))</f>
        <v xml:space="preserve"> </v>
      </c>
      <c r="R322" s="4" t="str">
        <f ca="1">IF(OR(INDEX($X$2:$X$1001,MATCH(ROWS($W$2:W322),$W$2:$W$1001,0),1)&gt;=100000,INDEX($AD$1005:$AU$1005,1,MATCH(COLUMNS($AD$1006:AT1006),$AD$1006:$AU$1006,0))&gt;=100000), " ",IF(INDEX($AD$2:$AU$1001,MATCH(ROWS($W$2:W322),$W$2:$W$1001,0),MATCH(COLUMNS($AD$1006:AT1006),$AD$1006:$AU$1006,0)), HYPERLINK("#",""), HYPERLINK(CONCATENATE("#metadata!", ADDRESS(INDEX($Y$2:$Y$1001,MATCH(ROWS($W$2:W322),$W$2:$W$1001,0),0), INDEX($AD$1004:$AU$1004,1,MATCH(COLUMNS($AD$1006:AT1006),$AD$1006:$AU$1006,0)))),"Fix")))</f>
        <v xml:space="preserve"> </v>
      </c>
      <c r="S322" s="4" t="str">
        <f ca="1">IF(OR(INDEX($X$2:$X$1001,MATCH(ROWS($W$2:W322),$W$2:$W$1001,0),1)&gt;=100000,INDEX($AD$1005:$AU$1005,1,MATCH(COLUMNS($AD$1006:AU1006),$AD$1006:$AU$1006,0))&gt;=100000), " ",IF(INDEX($AD$2:$AU$1001,MATCH(ROWS($W$2:W322),$W$2:$W$1001,0),MATCH(COLUMNS($AD$1006:AU1006),$AD$1006:$AU$1006,0)), HYPERLINK("#",""), HYPERLINK(CONCATENATE("#metadata!", ADDRESS(INDEX($Y$2:$Y$1001,MATCH(ROWS($W$2:W322),$W$2:$W$1001,0),0), INDEX($AD$1004:$AU$1004,1,MATCH(COLUMNS($AD$1006:AU1006),$AD$1006:$AU$1006,0)))),"Fix")))</f>
        <v xml:space="preserve"> </v>
      </c>
      <c r="W322">
        <v>321</v>
      </c>
      <c r="X322">
        <v>100322</v>
      </c>
      <c r="Y322">
        <v>322</v>
      </c>
      <c r="Z322" t="b">
        <f t="shared" ref="Z322:Z385" si="5">IF(AA322,TRUE,AND(AD322:AU322))</f>
        <v>1</v>
      </c>
      <c r="AA322" t="b">
        <f>COUNTBLANK(metadata!B322:S322)=COLUMNS(metadata!B322:S322)</f>
        <v>1</v>
      </c>
      <c r="AB322" t="str">
        <v/>
      </c>
      <c r="AD322" t="b">
        <f ca="1">AND(IF(metadata!B322="",FALSE,TRUE),COUNTIF(metadata!B:B, metadata!B322) = 1,NOT(ISERROR(SUMPRODUCT(SEARCH(MID(metadata!B322,ROW(INDIRECT("1:"&amp;LEN(metadata!B322))), 1),"0123456789abcdefghijklmnopqrstuvwxyzABCDEFGHIJKLMNOPQRSTUVWXYZ.")))))</f>
        <v>0</v>
      </c>
      <c r="AE322" t="b">
        <f>OR(AND(IF(metadata!C322="",FALSE,TRUE),OR(EXACT(metadata!C322,"not applicable"),EXACT(metadata!C322,"missing: not collected"),EXACT(metadata!C322,"missing: not provided"),EXACT(metadata!C322,"missing: restricted access"))),AND(IF(metadata!C322="",FALSE,ISNUMBER(VALUE(metadata!C322))),metadata!C322&gt;0))</f>
        <v>0</v>
      </c>
      <c r="AF322" t="b">
        <f>AND(IF(metadata!D322="",FALSE,TRUE),EXACT(metadata!D322,"missing: not provided"))</f>
        <v>0</v>
      </c>
      <c r="AG322" t="b">
        <f>AND(IF(metadata!E322="",FALSE,TRUE),EXACT(metadata!E322,"Host-associated"))</f>
        <v>0</v>
      </c>
      <c r="AH322" t="b">
        <f>AND(IF(metadata!F322="",FALSE,TRUE),OR(EXACT(metadata!F322,"Animal"),EXACT(metadata!F322,"Fungus"),EXACT(metadata!F322,"Plant")))</f>
        <v>0</v>
      </c>
      <c r="AI322" t="b">
        <f>AND(IF(metadata!G322="",FALSE,TRUE),OR(EXACT(metadata!G322,"Plant secretion"),EXACT(metadata!G322,"Plant rhizosphere"),EXACT(metadata!G322,"Plant surface"),EXACT(metadata!G322,"Plant corpus"),EXACT(metadata!G322,"Fungus surface"),EXACT(metadata!G322,"Fungus corpus"),EXACT(metadata!G322,"Animal surface"),EXACT(metadata!G322,"Animal proximal gut"),EXACT(metadata!G322,"Animal corpus"),EXACT(metadata!G322,"Animal distal gut"),EXACT(metadata!G322,"Animal secretion")))</f>
        <v>0</v>
      </c>
      <c r="AJ322" t="b">
        <f>OR(AND(IF(metadata!H322="",FALSE,TRUE),OR(EXACT(metadata!H322,"missing: not collected"),EXACT(metadata!H322,"missing: not provided"),EXACT(metadata!H322,"missing: restricted access"))),AND(IF(metadata!H322="",FALSE,TRUE),OR(EXACT(metadata!H322,"organism-associated habitat"),EXACT(metadata!H322,"plant-associated habitat"),EXACT(metadata!H322,"animal-associated habitat"),EXACT(metadata!H322,"insecta-associated habitat"),EXACT(metadata!H322,"mammalia-associated habitat"),EXACT(metadata!H322,"human-associated habitat"),EXACT(metadata!H322,"livestock-associated habitat"))))</f>
        <v>0</v>
      </c>
      <c r="AK322" t="b">
        <f>AND(IF(metadata!I322="",FALSE,TRUE),EXACT(metadata!I322,"host-associated"))</f>
        <v>0</v>
      </c>
      <c r="AL322" t="b">
        <f>OR(AND(IF(metadata!J322="",FALSE,TRUE),OR(EXACT(metadata!J322,"not applicable"),EXACT(metadata!J322,"missing: not collected"),EXACT(metadata!J322,"missing: not provided"),EXACT(metadata!J322,"missing: restricted access"))),AND(IF(metadata!J322="",FALSE,ISNUMBER(VALUE(metadata!J322))),metadata!J322&gt;0))</f>
        <v>0</v>
      </c>
      <c r="AM322" t="b">
        <f>AND(IF(metadata!K322="",FALSE,TRUE),EXACT(metadata!K322,"missing: not provided"))</f>
        <v>0</v>
      </c>
      <c r="AN322" t="b">
        <f>IF(metadata!L322="",FALSE,TRUE)</f>
        <v>0</v>
      </c>
      <c r="AO322" t="b">
        <f>IF(metadata!M322="",FALSE,TRUE)</f>
        <v>0</v>
      </c>
      <c r="AP322" t="b">
        <f>OR(AND(IF(metadata!N322="",FALSE,TRUE),OR(EXACT(metadata!N322,"not applicable"),EXACT(metadata!N322,"missing: not collected"),EXACT(metadata!N322,"missing: not provided"))),AND(IF(metadata!N322="",FALSE,IF(ISERROR(INT(metadata!N322)),FALSE,INT(metadata!N322)=metadata!N322)),metadata!N322&gt;0))</f>
        <v>0</v>
      </c>
      <c r="AQ322" t="b">
        <f>AND(IF(metadata!O322="",FALSE,TRUE),EXACT(metadata!O322,"Not applicable"))</f>
        <v>0</v>
      </c>
      <c r="AR322" t="b">
        <f>OR(AND(IF(metadata!P322="",FALSE,TRUE),OR(EXACT(metadata!P322,"not applicable"),EXACT(metadata!P322,"missing: not collected"),EXACT(metadata!P322,"missing: not provided"),EXACT(metadata!P322,"missing: restricted access"))),IF(metadata!P322="",FALSE,IF(ISERROR(INT(metadata!P322)),FALSE,INT(metadata!P322)=metadata!P322)))</f>
        <v>0</v>
      </c>
      <c r="AS322" t="b">
        <f>AND(IF(metadata!Q322="",FALSE,TRUE),EXACT(metadata!Q322,"Not applicable"))</f>
        <v>0</v>
      </c>
      <c r="AT322" t="b">
        <f>OR(AND(IF(metadata!R322="",FALSE,TRUE),OR(EXACT(metadata!R322,"not applicable"),EXACT(metadata!R322,"missing: not collected"),EXACT(metadata!R322,"missing: not provided"),EXACT(metadata!R322,"missing: restricted access"))),AND(IF(metadata!R322="",FALSE,ISNUMBER(VALUE(metadata!R322))),metadata!R322&gt;0))</f>
        <v>0</v>
      </c>
      <c r="AU322" t="b">
        <f>AND(IF(metadata!S322="",FALSE,TRUE),EXACT(metadata!S322,"missing: not provided"))</f>
        <v>0</v>
      </c>
    </row>
    <row r="323" spans="1:47" x14ac:dyDescent="0.2">
      <c r="A323" s="5" t="str">
        <f ca="1">IF(B323=" "," ",HYPERLINK(CONCATENATE("#metadata!",ADDRESS(INDEX($Y$2:$Y$1001,MATCH(ROWS($W$2:W323),$W$2:$W$1001,0),0),1)),INDEX($AB$2:$AB$1001,MATCH(ROWS($W$2:W323),$W$2:$W$1001,0),0)))</f>
        <v xml:space="preserve"> </v>
      </c>
      <c r="B323" s="4" t="str">
        <f ca="1">IF(OR(INDEX($X$2:$X$1001,MATCH(ROWS($W$2:W323),$W$2:$W$1001,0),1)&gt;=100000,INDEX($AD$1005:$AU$1005,1,MATCH(COLUMNS($AD$1006:AD1006),$AD$1006:$AU$1006,0))&gt;=100000), " ",IF(INDEX($AD$2:$AU$1001,MATCH(ROWS($W$2:W323),$W$2:$W$1001,0),MATCH(COLUMNS($AD$1006:AD1006),$AD$1006:$AU$1006,0)), HYPERLINK("#",""), HYPERLINK(CONCATENATE("#metadata!", ADDRESS(INDEX($Y$2:$Y$1001,MATCH(ROWS($W$2:W323),$W$2:$W$1001,0),0), INDEX($AD$1004:$AU$1004,1,MATCH(COLUMNS($AD$1006:AD1006),$AD$1006:$AU$1006,0)))),"Fix")))</f>
        <v xml:space="preserve"> </v>
      </c>
      <c r="C323" s="4" t="str">
        <f ca="1">IF(OR(INDEX($X$2:$X$1001,MATCH(ROWS($W$2:W323),$W$2:$W$1001,0),1)&gt;=100000,INDEX($AD$1005:$AU$1005,1,MATCH(COLUMNS($AD$1006:AE1006),$AD$1006:$AU$1006,0))&gt;=100000), " ",IF(INDEX($AD$2:$AU$1001,MATCH(ROWS($W$2:W323),$W$2:$W$1001,0),MATCH(COLUMNS($AD$1006:AE1006),$AD$1006:$AU$1006,0)), HYPERLINK("#",""), HYPERLINK(CONCATENATE("#metadata!", ADDRESS(INDEX($Y$2:$Y$1001,MATCH(ROWS($W$2:W323),$W$2:$W$1001,0),0), INDEX($AD$1004:$AU$1004,1,MATCH(COLUMNS($AD$1006:AE1006),$AD$1006:$AU$1006,0)))),"Fix")))</f>
        <v xml:space="preserve"> </v>
      </c>
      <c r="D323" s="4" t="str">
        <f ca="1">IF(OR(INDEX($X$2:$X$1001,MATCH(ROWS($W$2:W323),$W$2:$W$1001,0),1)&gt;=100000,INDEX($AD$1005:$AU$1005,1,MATCH(COLUMNS($AD$1006:AF1006),$AD$1006:$AU$1006,0))&gt;=100000), " ",IF(INDEX($AD$2:$AU$1001,MATCH(ROWS($W$2:W323),$W$2:$W$1001,0),MATCH(COLUMNS($AD$1006:AF1006),$AD$1006:$AU$1006,0)), HYPERLINK("#",""), HYPERLINK(CONCATENATE("#metadata!", ADDRESS(INDEX($Y$2:$Y$1001,MATCH(ROWS($W$2:W323),$W$2:$W$1001,0),0), INDEX($AD$1004:$AU$1004,1,MATCH(COLUMNS($AD$1006:AF1006),$AD$1006:$AU$1006,0)))),"Fix")))</f>
        <v xml:space="preserve"> </v>
      </c>
      <c r="E323" s="4" t="str">
        <f ca="1">IF(OR(INDEX($X$2:$X$1001,MATCH(ROWS($W$2:W323),$W$2:$W$1001,0),1)&gt;=100000,INDEX($AD$1005:$AU$1005,1,MATCH(COLUMNS($AD$1006:AG1006),$AD$1006:$AU$1006,0))&gt;=100000), " ",IF(INDEX($AD$2:$AU$1001,MATCH(ROWS($W$2:W323),$W$2:$W$1001,0),MATCH(COLUMNS($AD$1006:AG1006),$AD$1006:$AU$1006,0)), HYPERLINK("#",""), HYPERLINK(CONCATENATE("#metadata!", ADDRESS(INDEX($Y$2:$Y$1001,MATCH(ROWS($W$2:W323),$W$2:$W$1001,0),0), INDEX($AD$1004:$AU$1004,1,MATCH(COLUMNS($AD$1006:AG1006),$AD$1006:$AU$1006,0)))),"Fix")))</f>
        <v xml:space="preserve"> </v>
      </c>
      <c r="F323" s="4" t="str">
        <f ca="1">IF(OR(INDEX($X$2:$X$1001,MATCH(ROWS($W$2:W323),$W$2:$W$1001,0),1)&gt;=100000,INDEX($AD$1005:$AU$1005,1,MATCH(COLUMNS($AD$1006:AH1006),$AD$1006:$AU$1006,0))&gt;=100000), " ",IF(INDEX($AD$2:$AU$1001,MATCH(ROWS($W$2:W323),$W$2:$W$1001,0),MATCH(COLUMNS($AD$1006:AH1006),$AD$1006:$AU$1006,0)), HYPERLINK("#",""), HYPERLINK(CONCATENATE("#metadata!", ADDRESS(INDEX($Y$2:$Y$1001,MATCH(ROWS($W$2:W323),$W$2:$W$1001,0),0), INDEX($AD$1004:$AU$1004,1,MATCH(COLUMNS($AD$1006:AH1006),$AD$1006:$AU$1006,0)))),"Fix")))</f>
        <v xml:space="preserve"> </v>
      </c>
      <c r="G323" s="4" t="str">
        <f ca="1">IF(OR(INDEX($X$2:$X$1001,MATCH(ROWS($W$2:W323),$W$2:$W$1001,0),1)&gt;=100000,INDEX($AD$1005:$AU$1005,1,MATCH(COLUMNS($AD$1006:AI1006),$AD$1006:$AU$1006,0))&gt;=100000), " ",IF(INDEX($AD$2:$AU$1001,MATCH(ROWS($W$2:W323),$W$2:$W$1001,0),MATCH(COLUMNS($AD$1006:AI1006),$AD$1006:$AU$1006,0)), HYPERLINK("#",""), HYPERLINK(CONCATENATE("#metadata!", ADDRESS(INDEX($Y$2:$Y$1001,MATCH(ROWS($W$2:W323),$W$2:$W$1001,0),0), INDEX($AD$1004:$AU$1004,1,MATCH(COLUMNS($AD$1006:AI1006),$AD$1006:$AU$1006,0)))),"Fix")))</f>
        <v xml:space="preserve"> </v>
      </c>
      <c r="H323" s="4" t="str">
        <f ca="1">IF(OR(INDEX($X$2:$X$1001,MATCH(ROWS($W$2:W323),$W$2:$W$1001,0),1)&gt;=100000,INDEX($AD$1005:$AU$1005,1,MATCH(COLUMNS($AD$1006:AJ1006),$AD$1006:$AU$1006,0))&gt;=100000), " ",IF(INDEX($AD$2:$AU$1001,MATCH(ROWS($W$2:W323),$W$2:$W$1001,0),MATCH(COLUMNS($AD$1006:AJ1006),$AD$1006:$AU$1006,0)), HYPERLINK("#",""), HYPERLINK(CONCATENATE("#metadata!", ADDRESS(INDEX($Y$2:$Y$1001,MATCH(ROWS($W$2:W323),$W$2:$W$1001,0),0), INDEX($AD$1004:$AU$1004,1,MATCH(COLUMNS($AD$1006:AJ1006),$AD$1006:$AU$1006,0)))),"Fix")))</f>
        <v xml:space="preserve"> </v>
      </c>
      <c r="I323" s="4" t="str">
        <f ca="1">IF(OR(INDEX($X$2:$X$1001,MATCH(ROWS($W$2:W323),$W$2:$W$1001,0),1)&gt;=100000,INDEX($AD$1005:$AU$1005,1,MATCH(COLUMNS($AD$1006:AK1006),$AD$1006:$AU$1006,0))&gt;=100000), " ",IF(INDEX($AD$2:$AU$1001,MATCH(ROWS($W$2:W323),$W$2:$W$1001,0),MATCH(COLUMNS($AD$1006:AK1006),$AD$1006:$AU$1006,0)), HYPERLINK("#",""), HYPERLINK(CONCATENATE("#metadata!", ADDRESS(INDEX($Y$2:$Y$1001,MATCH(ROWS($W$2:W323),$W$2:$W$1001,0),0), INDEX($AD$1004:$AU$1004,1,MATCH(COLUMNS($AD$1006:AK1006),$AD$1006:$AU$1006,0)))),"Fix")))</f>
        <v xml:space="preserve"> </v>
      </c>
      <c r="J323" s="4" t="str">
        <f ca="1">IF(OR(INDEX($X$2:$X$1001,MATCH(ROWS($W$2:W323),$W$2:$W$1001,0),1)&gt;=100000,INDEX($AD$1005:$AU$1005,1,MATCH(COLUMNS($AD$1006:AL1006),$AD$1006:$AU$1006,0))&gt;=100000), " ",IF(INDEX($AD$2:$AU$1001,MATCH(ROWS($W$2:W323),$W$2:$W$1001,0),MATCH(COLUMNS($AD$1006:AL1006),$AD$1006:$AU$1006,0)), HYPERLINK("#",""), HYPERLINK(CONCATENATE("#metadata!", ADDRESS(INDEX($Y$2:$Y$1001,MATCH(ROWS($W$2:W323),$W$2:$W$1001,0),0), INDEX($AD$1004:$AU$1004,1,MATCH(COLUMNS($AD$1006:AL1006),$AD$1006:$AU$1006,0)))),"Fix")))</f>
        <v xml:space="preserve"> </v>
      </c>
      <c r="K323" s="4" t="str">
        <f ca="1">IF(OR(INDEX($X$2:$X$1001,MATCH(ROWS($W$2:W323),$W$2:$W$1001,0),1)&gt;=100000,INDEX($AD$1005:$AU$1005,1,MATCH(COLUMNS($AD$1006:AM1006),$AD$1006:$AU$1006,0))&gt;=100000), " ",IF(INDEX($AD$2:$AU$1001,MATCH(ROWS($W$2:W323),$W$2:$W$1001,0),MATCH(COLUMNS($AD$1006:AM1006),$AD$1006:$AU$1006,0)), HYPERLINK("#",""), HYPERLINK(CONCATENATE("#metadata!", ADDRESS(INDEX($Y$2:$Y$1001,MATCH(ROWS($W$2:W323),$W$2:$W$1001,0),0), INDEX($AD$1004:$AU$1004,1,MATCH(COLUMNS($AD$1006:AM1006),$AD$1006:$AU$1006,0)))),"Fix")))</f>
        <v xml:space="preserve"> </v>
      </c>
      <c r="L323" s="4" t="str">
        <f ca="1">IF(OR(INDEX($X$2:$X$1001,MATCH(ROWS($W$2:W323),$W$2:$W$1001,0),1)&gt;=100000,INDEX($AD$1005:$AU$1005,1,MATCH(COLUMNS($AD$1006:AN1006),$AD$1006:$AU$1006,0))&gt;=100000), " ",IF(INDEX($AD$2:$AU$1001,MATCH(ROWS($W$2:W323),$W$2:$W$1001,0),MATCH(COLUMNS($AD$1006:AN1006),$AD$1006:$AU$1006,0)), HYPERLINK("#",""), HYPERLINK(CONCATENATE("#metadata!", ADDRESS(INDEX($Y$2:$Y$1001,MATCH(ROWS($W$2:W323),$W$2:$W$1001,0),0), INDEX($AD$1004:$AU$1004,1,MATCH(COLUMNS($AD$1006:AN1006),$AD$1006:$AU$1006,0)))),"Fix")))</f>
        <v xml:space="preserve"> </v>
      </c>
      <c r="M323" s="4" t="str">
        <f ca="1">IF(OR(INDEX($X$2:$X$1001,MATCH(ROWS($W$2:W323),$W$2:$W$1001,0),1)&gt;=100000,INDEX($AD$1005:$AU$1005,1,MATCH(COLUMNS($AD$1006:AO1006),$AD$1006:$AU$1006,0))&gt;=100000), " ",IF(INDEX($AD$2:$AU$1001,MATCH(ROWS($W$2:W323),$W$2:$W$1001,0),MATCH(COLUMNS($AD$1006:AO1006),$AD$1006:$AU$1006,0)), HYPERLINK("#",""), HYPERLINK(CONCATENATE("#metadata!", ADDRESS(INDEX($Y$2:$Y$1001,MATCH(ROWS($W$2:W323),$W$2:$W$1001,0),0), INDEX($AD$1004:$AU$1004,1,MATCH(COLUMNS($AD$1006:AO1006),$AD$1006:$AU$1006,0)))),"Fix")))</f>
        <v xml:space="preserve"> </v>
      </c>
      <c r="N323" s="4" t="str">
        <f ca="1">IF(OR(INDEX($X$2:$X$1001,MATCH(ROWS($W$2:W323),$W$2:$W$1001,0),1)&gt;=100000,INDEX($AD$1005:$AU$1005,1,MATCH(COLUMNS($AD$1006:AP1006),$AD$1006:$AU$1006,0))&gt;=100000), " ",IF(INDEX($AD$2:$AU$1001,MATCH(ROWS($W$2:W323),$W$2:$W$1001,0),MATCH(COLUMNS($AD$1006:AP1006),$AD$1006:$AU$1006,0)), HYPERLINK("#",""), HYPERLINK(CONCATENATE("#metadata!", ADDRESS(INDEX($Y$2:$Y$1001,MATCH(ROWS($W$2:W323),$W$2:$W$1001,0),0), INDEX($AD$1004:$AU$1004,1,MATCH(COLUMNS($AD$1006:AP1006),$AD$1006:$AU$1006,0)))),"Fix")))</f>
        <v xml:space="preserve"> </v>
      </c>
      <c r="O323" s="4" t="str">
        <f ca="1">IF(OR(INDEX($X$2:$X$1001,MATCH(ROWS($W$2:W323),$W$2:$W$1001,0),1)&gt;=100000,INDEX($AD$1005:$AU$1005,1,MATCH(COLUMNS($AD$1006:AQ1006),$AD$1006:$AU$1006,0))&gt;=100000), " ",IF(INDEX($AD$2:$AU$1001,MATCH(ROWS($W$2:W323),$W$2:$W$1001,0),MATCH(COLUMNS($AD$1006:AQ1006),$AD$1006:$AU$1006,0)), HYPERLINK("#",""), HYPERLINK(CONCATENATE("#metadata!", ADDRESS(INDEX($Y$2:$Y$1001,MATCH(ROWS($W$2:W323),$W$2:$W$1001,0),0), INDEX($AD$1004:$AU$1004,1,MATCH(COLUMNS($AD$1006:AQ1006),$AD$1006:$AU$1006,0)))),"Fix")))</f>
        <v xml:space="preserve"> </v>
      </c>
      <c r="P323" s="4" t="str">
        <f ca="1">IF(OR(INDEX($X$2:$X$1001,MATCH(ROWS($W$2:W323),$W$2:$W$1001,0),1)&gt;=100000,INDEX($AD$1005:$AU$1005,1,MATCH(COLUMNS($AD$1006:AR1006),$AD$1006:$AU$1006,0))&gt;=100000), " ",IF(INDEX($AD$2:$AU$1001,MATCH(ROWS($W$2:W323),$W$2:$W$1001,0),MATCH(COLUMNS($AD$1006:AR1006),$AD$1006:$AU$1006,0)), HYPERLINK("#",""), HYPERLINK(CONCATENATE("#metadata!", ADDRESS(INDEX($Y$2:$Y$1001,MATCH(ROWS($W$2:W323),$W$2:$W$1001,0),0), INDEX($AD$1004:$AU$1004,1,MATCH(COLUMNS($AD$1006:AR1006),$AD$1006:$AU$1006,0)))),"Fix")))</f>
        <v xml:space="preserve"> </v>
      </c>
      <c r="Q323" s="4" t="str">
        <f ca="1">IF(OR(INDEX($X$2:$X$1001,MATCH(ROWS($W$2:W323),$W$2:$W$1001,0),1)&gt;=100000,INDEX($AD$1005:$AU$1005,1,MATCH(COLUMNS($AD$1006:AS1006),$AD$1006:$AU$1006,0))&gt;=100000), " ",IF(INDEX($AD$2:$AU$1001,MATCH(ROWS($W$2:W323),$W$2:$W$1001,0),MATCH(COLUMNS($AD$1006:AS1006),$AD$1006:$AU$1006,0)), HYPERLINK("#",""), HYPERLINK(CONCATENATE("#metadata!", ADDRESS(INDEX($Y$2:$Y$1001,MATCH(ROWS($W$2:W323),$W$2:$W$1001,0),0), INDEX($AD$1004:$AU$1004,1,MATCH(COLUMNS($AD$1006:AS1006),$AD$1006:$AU$1006,0)))),"Fix")))</f>
        <v xml:space="preserve"> </v>
      </c>
      <c r="R323" s="4" t="str">
        <f ca="1">IF(OR(INDEX($X$2:$X$1001,MATCH(ROWS($W$2:W323),$W$2:$W$1001,0),1)&gt;=100000,INDEX($AD$1005:$AU$1005,1,MATCH(COLUMNS($AD$1006:AT1006),$AD$1006:$AU$1006,0))&gt;=100000), " ",IF(INDEX($AD$2:$AU$1001,MATCH(ROWS($W$2:W323),$W$2:$W$1001,0),MATCH(COLUMNS($AD$1006:AT1006),$AD$1006:$AU$1006,0)), HYPERLINK("#",""), HYPERLINK(CONCATENATE("#metadata!", ADDRESS(INDEX($Y$2:$Y$1001,MATCH(ROWS($W$2:W323),$W$2:$W$1001,0),0), INDEX($AD$1004:$AU$1004,1,MATCH(COLUMNS($AD$1006:AT1006),$AD$1006:$AU$1006,0)))),"Fix")))</f>
        <v xml:space="preserve"> </v>
      </c>
      <c r="S323" s="4" t="str">
        <f ca="1">IF(OR(INDEX($X$2:$X$1001,MATCH(ROWS($W$2:W323),$W$2:$W$1001,0),1)&gt;=100000,INDEX($AD$1005:$AU$1005,1,MATCH(COLUMNS($AD$1006:AU1006),$AD$1006:$AU$1006,0))&gt;=100000), " ",IF(INDEX($AD$2:$AU$1001,MATCH(ROWS($W$2:W323),$W$2:$W$1001,0),MATCH(COLUMNS($AD$1006:AU1006),$AD$1006:$AU$1006,0)), HYPERLINK("#",""), HYPERLINK(CONCATENATE("#metadata!", ADDRESS(INDEX($Y$2:$Y$1001,MATCH(ROWS($W$2:W323),$W$2:$W$1001,0),0), INDEX($AD$1004:$AU$1004,1,MATCH(COLUMNS($AD$1006:AU1006),$AD$1006:$AU$1006,0)))),"Fix")))</f>
        <v xml:space="preserve"> </v>
      </c>
      <c r="W323">
        <v>322</v>
      </c>
      <c r="X323">
        <v>100323</v>
      </c>
      <c r="Y323">
        <v>323</v>
      </c>
      <c r="Z323" t="b">
        <f t="shared" si="5"/>
        <v>1</v>
      </c>
      <c r="AA323" t="b">
        <f>COUNTBLANK(metadata!B323:S323)=COLUMNS(metadata!B323:S323)</f>
        <v>1</v>
      </c>
      <c r="AB323" t="str">
        <v/>
      </c>
      <c r="AD323" t="b">
        <f ca="1">AND(IF(metadata!B323="",FALSE,TRUE),COUNTIF(metadata!B:B, metadata!B323) = 1,NOT(ISERROR(SUMPRODUCT(SEARCH(MID(metadata!B323,ROW(INDIRECT("1:"&amp;LEN(metadata!B323))), 1),"0123456789abcdefghijklmnopqrstuvwxyzABCDEFGHIJKLMNOPQRSTUVWXYZ.")))))</f>
        <v>0</v>
      </c>
      <c r="AE323" t="b">
        <f>OR(AND(IF(metadata!C323="",FALSE,TRUE),OR(EXACT(metadata!C323,"not applicable"),EXACT(metadata!C323,"missing: not collected"),EXACT(metadata!C323,"missing: not provided"),EXACT(metadata!C323,"missing: restricted access"))),AND(IF(metadata!C323="",FALSE,ISNUMBER(VALUE(metadata!C323))),metadata!C323&gt;0))</f>
        <v>0</v>
      </c>
      <c r="AF323" t="b">
        <f>AND(IF(metadata!D323="",FALSE,TRUE),EXACT(metadata!D323,"missing: not provided"))</f>
        <v>0</v>
      </c>
      <c r="AG323" t="b">
        <f>AND(IF(metadata!E323="",FALSE,TRUE),EXACT(metadata!E323,"Host-associated"))</f>
        <v>0</v>
      </c>
      <c r="AH323" t="b">
        <f>AND(IF(metadata!F323="",FALSE,TRUE),OR(EXACT(metadata!F323,"Animal"),EXACT(metadata!F323,"Fungus"),EXACT(metadata!F323,"Plant")))</f>
        <v>0</v>
      </c>
      <c r="AI323" t="b">
        <f>AND(IF(metadata!G323="",FALSE,TRUE),OR(EXACT(metadata!G323,"Plant secretion"),EXACT(metadata!G323,"Plant rhizosphere"),EXACT(metadata!G323,"Plant surface"),EXACT(metadata!G323,"Plant corpus"),EXACT(metadata!G323,"Fungus surface"),EXACT(metadata!G323,"Fungus corpus"),EXACT(metadata!G323,"Animal surface"),EXACT(metadata!G323,"Animal proximal gut"),EXACT(metadata!G323,"Animal corpus"),EXACT(metadata!G323,"Animal distal gut"),EXACT(metadata!G323,"Animal secretion")))</f>
        <v>0</v>
      </c>
      <c r="AJ323" t="b">
        <f>OR(AND(IF(metadata!H323="",FALSE,TRUE),OR(EXACT(metadata!H323,"missing: not collected"),EXACT(metadata!H323,"missing: not provided"),EXACT(metadata!H323,"missing: restricted access"))),AND(IF(metadata!H323="",FALSE,TRUE),OR(EXACT(metadata!H323,"organism-associated habitat"),EXACT(metadata!H323,"plant-associated habitat"),EXACT(metadata!H323,"animal-associated habitat"),EXACT(metadata!H323,"insecta-associated habitat"),EXACT(metadata!H323,"mammalia-associated habitat"),EXACT(metadata!H323,"human-associated habitat"),EXACT(metadata!H323,"livestock-associated habitat"))))</f>
        <v>0</v>
      </c>
      <c r="AK323" t="b">
        <f>AND(IF(metadata!I323="",FALSE,TRUE),EXACT(metadata!I323,"host-associated"))</f>
        <v>0</v>
      </c>
      <c r="AL323" t="b">
        <f>OR(AND(IF(metadata!J323="",FALSE,TRUE),OR(EXACT(metadata!J323,"not applicable"),EXACT(metadata!J323,"missing: not collected"),EXACT(metadata!J323,"missing: not provided"),EXACT(metadata!J323,"missing: restricted access"))),AND(IF(metadata!J323="",FALSE,ISNUMBER(VALUE(metadata!J323))),metadata!J323&gt;0))</f>
        <v>0</v>
      </c>
      <c r="AM323" t="b">
        <f>AND(IF(metadata!K323="",FALSE,TRUE),EXACT(metadata!K323,"missing: not provided"))</f>
        <v>0</v>
      </c>
      <c r="AN323" t="b">
        <f>IF(metadata!L323="",FALSE,TRUE)</f>
        <v>0</v>
      </c>
      <c r="AO323" t="b">
        <f>IF(metadata!M323="",FALSE,TRUE)</f>
        <v>0</v>
      </c>
      <c r="AP323" t="b">
        <f>OR(AND(IF(metadata!N323="",FALSE,TRUE),OR(EXACT(metadata!N323,"not applicable"),EXACT(metadata!N323,"missing: not collected"),EXACT(metadata!N323,"missing: not provided"))),AND(IF(metadata!N323="",FALSE,IF(ISERROR(INT(metadata!N323)),FALSE,INT(metadata!N323)=metadata!N323)),metadata!N323&gt;0))</f>
        <v>0</v>
      </c>
      <c r="AQ323" t="b">
        <f>AND(IF(metadata!O323="",FALSE,TRUE),EXACT(metadata!O323,"Not applicable"))</f>
        <v>0</v>
      </c>
      <c r="AR323" t="b">
        <f>OR(AND(IF(metadata!P323="",FALSE,TRUE),OR(EXACT(metadata!P323,"not applicable"),EXACT(metadata!P323,"missing: not collected"),EXACT(metadata!P323,"missing: not provided"),EXACT(metadata!P323,"missing: restricted access"))),IF(metadata!P323="",FALSE,IF(ISERROR(INT(metadata!P323)),FALSE,INT(metadata!P323)=metadata!P323)))</f>
        <v>0</v>
      </c>
      <c r="AS323" t="b">
        <f>AND(IF(metadata!Q323="",FALSE,TRUE),EXACT(metadata!Q323,"Not applicable"))</f>
        <v>0</v>
      </c>
      <c r="AT323" t="b">
        <f>OR(AND(IF(metadata!R323="",FALSE,TRUE),OR(EXACT(metadata!R323,"not applicable"),EXACT(metadata!R323,"missing: not collected"),EXACT(metadata!R323,"missing: not provided"),EXACT(metadata!R323,"missing: restricted access"))),AND(IF(metadata!R323="",FALSE,ISNUMBER(VALUE(metadata!R323))),metadata!R323&gt;0))</f>
        <v>0</v>
      </c>
      <c r="AU323" t="b">
        <f>AND(IF(metadata!S323="",FALSE,TRUE),EXACT(metadata!S323,"missing: not provided"))</f>
        <v>0</v>
      </c>
    </row>
    <row r="324" spans="1:47" x14ac:dyDescent="0.2">
      <c r="A324" s="5" t="str">
        <f ca="1">IF(B324=" "," ",HYPERLINK(CONCATENATE("#metadata!",ADDRESS(INDEX($Y$2:$Y$1001,MATCH(ROWS($W$2:W324),$W$2:$W$1001,0),0),1)),INDEX($AB$2:$AB$1001,MATCH(ROWS($W$2:W324),$W$2:$W$1001,0),0)))</f>
        <v xml:space="preserve"> </v>
      </c>
      <c r="B324" s="4" t="str">
        <f ca="1">IF(OR(INDEX($X$2:$X$1001,MATCH(ROWS($W$2:W324),$W$2:$W$1001,0),1)&gt;=100000,INDEX($AD$1005:$AU$1005,1,MATCH(COLUMNS($AD$1006:AD1006),$AD$1006:$AU$1006,0))&gt;=100000), " ",IF(INDEX($AD$2:$AU$1001,MATCH(ROWS($W$2:W324),$W$2:$W$1001,0),MATCH(COLUMNS($AD$1006:AD1006),$AD$1006:$AU$1006,0)), HYPERLINK("#",""), HYPERLINK(CONCATENATE("#metadata!", ADDRESS(INDEX($Y$2:$Y$1001,MATCH(ROWS($W$2:W324),$W$2:$W$1001,0),0), INDEX($AD$1004:$AU$1004,1,MATCH(COLUMNS($AD$1006:AD1006),$AD$1006:$AU$1006,0)))),"Fix")))</f>
        <v xml:space="preserve"> </v>
      </c>
      <c r="C324" s="4" t="str">
        <f ca="1">IF(OR(INDEX($X$2:$X$1001,MATCH(ROWS($W$2:W324),$W$2:$W$1001,0),1)&gt;=100000,INDEX($AD$1005:$AU$1005,1,MATCH(COLUMNS($AD$1006:AE1006),$AD$1006:$AU$1006,0))&gt;=100000), " ",IF(INDEX($AD$2:$AU$1001,MATCH(ROWS($W$2:W324),$W$2:$W$1001,0),MATCH(COLUMNS($AD$1006:AE1006),$AD$1006:$AU$1006,0)), HYPERLINK("#",""), HYPERLINK(CONCATENATE("#metadata!", ADDRESS(INDEX($Y$2:$Y$1001,MATCH(ROWS($W$2:W324),$W$2:$W$1001,0),0), INDEX($AD$1004:$AU$1004,1,MATCH(COLUMNS($AD$1006:AE1006),$AD$1006:$AU$1006,0)))),"Fix")))</f>
        <v xml:space="preserve"> </v>
      </c>
      <c r="D324" s="4" t="str">
        <f ca="1">IF(OR(INDEX($X$2:$X$1001,MATCH(ROWS($W$2:W324),$W$2:$W$1001,0),1)&gt;=100000,INDEX($AD$1005:$AU$1005,1,MATCH(COLUMNS($AD$1006:AF1006),$AD$1006:$AU$1006,0))&gt;=100000), " ",IF(INDEX($AD$2:$AU$1001,MATCH(ROWS($W$2:W324),$W$2:$W$1001,0),MATCH(COLUMNS($AD$1006:AF1006),$AD$1006:$AU$1006,0)), HYPERLINK("#",""), HYPERLINK(CONCATENATE("#metadata!", ADDRESS(INDEX($Y$2:$Y$1001,MATCH(ROWS($W$2:W324),$W$2:$W$1001,0),0), INDEX($AD$1004:$AU$1004,1,MATCH(COLUMNS($AD$1006:AF1006),$AD$1006:$AU$1006,0)))),"Fix")))</f>
        <v xml:space="preserve"> </v>
      </c>
      <c r="E324" s="4" t="str">
        <f ca="1">IF(OR(INDEX($X$2:$X$1001,MATCH(ROWS($W$2:W324),$W$2:$W$1001,0),1)&gt;=100000,INDEX($AD$1005:$AU$1005,1,MATCH(COLUMNS($AD$1006:AG1006),$AD$1006:$AU$1006,0))&gt;=100000), " ",IF(INDEX($AD$2:$AU$1001,MATCH(ROWS($W$2:W324),$W$2:$W$1001,0),MATCH(COLUMNS($AD$1006:AG1006),$AD$1006:$AU$1006,0)), HYPERLINK("#",""), HYPERLINK(CONCATENATE("#metadata!", ADDRESS(INDEX($Y$2:$Y$1001,MATCH(ROWS($W$2:W324),$W$2:$W$1001,0),0), INDEX($AD$1004:$AU$1004,1,MATCH(COLUMNS($AD$1006:AG1006),$AD$1006:$AU$1006,0)))),"Fix")))</f>
        <v xml:space="preserve"> </v>
      </c>
      <c r="F324" s="4" t="str">
        <f ca="1">IF(OR(INDEX($X$2:$X$1001,MATCH(ROWS($W$2:W324),$W$2:$W$1001,0),1)&gt;=100000,INDEX($AD$1005:$AU$1005,1,MATCH(COLUMNS($AD$1006:AH1006),$AD$1006:$AU$1006,0))&gt;=100000), " ",IF(INDEX($AD$2:$AU$1001,MATCH(ROWS($W$2:W324),$W$2:$W$1001,0),MATCH(COLUMNS($AD$1006:AH1006),$AD$1006:$AU$1006,0)), HYPERLINK("#",""), HYPERLINK(CONCATENATE("#metadata!", ADDRESS(INDEX($Y$2:$Y$1001,MATCH(ROWS($W$2:W324),$W$2:$W$1001,0),0), INDEX($AD$1004:$AU$1004,1,MATCH(COLUMNS($AD$1006:AH1006),$AD$1006:$AU$1006,0)))),"Fix")))</f>
        <v xml:space="preserve"> </v>
      </c>
      <c r="G324" s="4" t="str">
        <f ca="1">IF(OR(INDEX($X$2:$X$1001,MATCH(ROWS($W$2:W324),$W$2:$W$1001,0),1)&gt;=100000,INDEX($AD$1005:$AU$1005,1,MATCH(COLUMNS($AD$1006:AI1006),$AD$1006:$AU$1006,0))&gt;=100000), " ",IF(INDEX($AD$2:$AU$1001,MATCH(ROWS($W$2:W324),$W$2:$W$1001,0),MATCH(COLUMNS($AD$1006:AI1006),$AD$1006:$AU$1006,0)), HYPERLINK("#",""), HYPERLINK(CONCATENATE("#metadata!", ADDRESS(INDEX($Y$2:$Y$1001,MATCH(ROWS($W$2:W324),$W$2:$W$1001,0),0), INDEX($AD$1004:$AU$1004,1,MATCH(COLUMNS($AD$1006:AI1006),$AD$1006:$AU$1006,0)))),"Fix")))</f>
        <v xml:space="preserve"> </v>
      </c>
      <c r="H324" s="4" t="str">
        <f ca="1">IF(OR(INDEX($X$2:$X$1001,MATCH(ROWS($W$2:W324),$W$2:$W$1001,0),1)&gt;=100000,INDEX($AD$1005:$AU$1005,1,MATCH(COLUMNS($AD$1006:AJ1006),$AD$1006:$AU$1006,0))&gt;=100000), " ",IF(INDEX($AD$2:$AU$1001,MATCH(ROWS($W$2:W324),$W$2:$W$1001,0),MATCH(COLUMNS($AD$1006:AJ1006),$AD$1006:$AU$1006,0)), HYPERLINK("#",""), HYPERLINK(CONCATENATE("#metadata!", ADDRESS(INDEX($Y$2:$Y$1001,MATCH(ROWS($W$2:W324),$W$2:$W$1001,0),0), INDEX($AD$1004:$AU$1004,1,MATCH(COLUMNS($AD$1006:AJ1006),$AD$1006:$AU$1006,0)))),"Fix")))</f>
        <v xml:space="preserve"> </v>
      </c>
      <c r="I324" s="4" t="str">
        <f ca="1">IF(OR(INDEX($X$2:$X$1001,MATCH(ROWS($W$2:W324),$W$2:$W$1001,0),1)&gt;=100000,INDEX($AD$1005:$AU$1005,1,MATCH(COLUMNS($AD$1006:AK1006),$AD$1006:$AU$1006,0))&gt;=100000), " ",IF(INDEX($AD$2:$AU$1001,MATCH(ROWS($W$2:W324),$W$2:$W$1001,0),MATCH(COLUMNS($AD$1006:AK1006),$AD$1006:$AU$1006,0)), HYPERLINK("#",""), HYPERLINK(CONCATENATE("#metadata!", ADDRESS(INDEX($Y$2:$Y$1001,MATCH(ROWS($W$2:W324),$W$2:$W$1001,0),0), INDEX($AD$1004:$AU$1004,1,MATCH(COLUMNS($AD$1006:AK1006),$AD$1006:$AU$1006,0)))),"Fix")))</f>
        <v xml:space="preserve"> </v>
      </c>
      <c r="J324" s="4" t="str">
        <f ca="1">IF(OR(INDEX($X$2:$X$1001,MATCH(ROWS($W$2:W324),$W$2:$W$1001,0),1)&gt;=100000,INDEX($AD$1005:$AU$1005,1,MATCH(COLUMNS($AD$1006:AL1006),$AD$1006:$AU$1006,0))&gt;=100000), " ",IF(INDEX($AD$2:$AU$1001,MATCH(ROWS($W$2:W324),$W$2:$W$1001,0),MATCH(COLUMNS($AD$1006:AL1006),$AD$1006:$AU$1006,0)), HYPERLINK("#",""), HYPERLINK(CONCATENATE("#metadata!", ADDRESS(INDEX($Y$2:$Y$1001,MATCH(ROWS($W$2:W324),$W$2:$W$1001,0),0), INDEX($AD$1004:$AU$1004,1,MATCH(COLUMNS($AD$1006:AL1006),$AD$1006:$AU$1006,0)))),"Fix")))</f>
        <v xml:space="preserve"> </v>
      </c>
      <c r="K324" s="4" t="str">
        <f ca="1">IF(OR(INDEX($X$2:$X$1001,MATCH(ROWS($W$2:W324),$W$2:$W$1001,0),1)&gt;=100000,INDEX($AD$1005:$AU$1005,1,MATCH(COLUMNS($AD$1006:AM1006),$AD$1006:$AU$1006,0))&gt;=100000), " ",IF(INDEX($AD$2:$AU$1001,MATCH(ROWS($W$2:W324),$W$2:$W$1001,0),MATCH(COLUMNS($AD$1006:AM1006),$AD$1006:$AU$1006,0)), HYPERLINK("#",""), HYPERLINK(CONCATENATE("#metadata!", ADDRESS(INDEX($Y$2:$Y$1001,MATCH(ROWS($W$2:W324),$W$2:$W$1001,0),0), INDEX($AD$1004:$AU$1004,1,MATCH(COLUMNS($AD$1006:AM1006),$AD$1006:$AU$1006,0)))),"Fix")))</f>
        <v xml:space="preserve"> </v>
      </c>
      <c r="L324" s="4" t="str">
        <f ca="1">IF(OR(INDEX($X$2:$X$1001,MATCH(ROWS($W$2:W324),$W$2:$W$1001,0),1)&gt;=100000,INDEX($AD$1005:$AU$1005,1,MATCH(COLUMNS($AD$1006:AN1006),$AD$1006:$AU$1006,0))&gt;=100000), " ",IF(INDEX($AD$2:$AU$1001,MATCH(ROWS($W$2:W324),$W$2:$W$1001,0),MATCH(COLUMNS($AD$1006:AN1006),$AD$1006:$AU$1006,0)), HYPERLINK("#",""), HYPERLINK(CONCATENATE("#metadata!", ADDRESS(INDEX($Y$2:$Y$1001,MATCH(ROWS($W$2:W324),$W$2:$W$1001,0),0), INDEX($AD$1004:$AU$1004,1,MATCH(COLUMNS($AD$1006:AN1006),$AD$1006:$AU$1006,0)))),"Fix")))</f>
        <v xml:space="preserve"> </v>
      </c>
      <c r="M324" s="4" t="str">
        <f ca="1">IF(OR(INDEX($X$2:$X$1001,MATCH(ROWS($W$2:W324),$W$2:$W$1001,0),1)&gt;=100000,INDEX($AD$1005:$AU$1005,1,MATCH(COLUMNS($AD$1006:AO1006),$AD$1006:$AU$1006,0))&gt;=100000), " ",IF(INDEX($AD$2:$AU$1001,MATCH(ROWS($W$2:W324),$W$2:$W$1001,0),MATCH(COLUMNS($AD$1006:AO1006),$AD$1006:$AU$1006,0)), HYPERLINK("#",""), HYPERLINK(CONCATENATE("#metadata!", ADDRESS(INDEX($Y$2:$Y$1001,MATCH(ROWS($W$2:W324),$W$2:$W$1001,0),0), INDEX($AD$1004:$AU$1004,1,MATCH(COLUMNS($AD$1006:AO1006),$AD$1006:$AU$1006,0)))),"Fix")))</f>
        <v xml:space="preserve"> </v>
      </c>
      <c r="N324" s="4" t="str">
        <f ca="1">IF(OR(INDEX($X$2:$X$1001,MATCH(ROWS($W$2:W324),$W$2:$W$1001,0),1)&gt;=100000,INDEX($AD$1005:$AU$1005,1,MATCH(COLUMNS($AD$1006:AP1006),$AD$1006:$AU$1006,0))&gt;=100000), " ",IF(INDEX($AD$2:$AU$1001,MATCH(ROWS($W$2:W324),$W$2:$W$1001,0),MATCH(COLUMNS($AD$1006:AP1006),$AD$1006:$AU$1006,0)), HYPERLINK("#",""), HYPERLINK(CONCATENATE("#metadata!", ADDRESS(INDEX($Y$2:$Y$1001,MATCH(ROWS($W$2:W324),$W$2:$W$1001,0),0), INDEX($AD$1004:$AU$1004,1,MATCH(COLUMNS($AD$1006:AP1006),$AD$1006:$AU$1006,0)))),"Fix")))</f>
        <v xml:space="preserve"> </v>
      </c>
      <c r="O324" s="4" t="str">
        <f ca="1">IF(OR(INDEX($X$2:$X$1001,MATCH(ROWS($W$2:W324),$W$2:$W$1001,0),1)&gt;=100000,INDEX($AD$1005:$AU$1005,1,MATCH(COLUMNS($AD$1006:AQ1006),$AD$1006:$AU$1006,0))&gt;=100000), " ",IF(INDEX($AD$2:$AU$1001,MATCH(ROWS($W$2:W324),$W$2:$W$1001,0),MATCH(COLUMNS($AD$1006:AQ1006),$AD$1006:$AU$1006,0)), HYPERLINK("#",""), HYPERLINK(CONCATENATE("#metadata!", ADDRESS(INDEX($Y$2:$Y$1001,MATCH(ROWS($W$2:W324),$W$2:$W$1001,0),0), INDEX($AD$1004:$AU$1004,1,MATCH(COLUMNS($AD$1006:AQ1006),$AD$1006:$AU$1006,0)))),"Fix")))</f>
        <v xml:space="preserve"> </v>
      </c>
      <c r="P324" s="4" t="str">
        <f ca="1">IF(OR(INDEX($X$2:$X$1001,MATCH(ROWS($W$2:W324),$W$2:$W$1001,0),1)&gt;=100000,INDEX($AD$1005:$AU$1005,1,MATCH(COLUMNS($AD$1006:AR1006),$AD$1006:$AU$1006,0))&gt;=100000), " ",IF(INDEX($AD$2:$AU$1001,MATCH(ROWS($W$2:W324),$W$2:$W$1001,0),MATCH(COLUMNS($AD$1006:AR1006),$AD$1006:$AU$1006,0)), HYPERLINK("#",""), HYPERLINK(CONCATENATE("#metadata!", ADDRESS(INDEX($Y$2:$Y$1001,MATCH(ROWS($W$2:W324),$W$2:$W$1001,0),0), INDEX($AD$1004:$AU$1004,1,MATCH(COLUMNS($AD$1006:AR1006),$AD$1006:$AU$1006,0)))),"Fix")))</f>
        <v xml:space="preserve"> </v>
      </c>
      <c r="Q324" s="4" t="str">
        <f ca="1">IF(OR(INDEX($X$2:$X$1001,MATCH(ROWS($W$2:W324),$W$2:$W$1001,0),1)&gt;=100000,INDEX($AD$1005:$AU$1005,1,MATCH(COLUMNS($AD$1006:AS1006),$AD$1006:$AU$1006,0))&gt;=100000), " ",IF(INDEX($AD$2:$AU$1001,MATCH(ROWS($W$2:W324),$W$2:$W$1001,0),MATCH(COLUMNS($AD$1006:AS1006),$AD$1006:$AU$1006,0)), HYPERLINK("#",""), HYPERLINK(CONCATENATE("#metadata!", ADDRESS(INDEX($Y$2:$Y$1001,MATCH(ROWS($W$2:W324),$W$2:$W$1001,0),0), INDEX($AD$1004:$AU$1004,1,MATCH(COLUMNS($AD$1006:AS1006),$AD$1006:$AU$1006,0)))),"Fix")))</f>
        <v xml:space="preserve"> </v>
      </c>
      <c r="R324" s="4" t="str">
        <f ca="1">IF(OR(INDEX($X$2:$X$1001,MATCH(ROWS($W$2:W324),$W$2:$W$1001,0),1)&gt;=100000,INDEX($AD$1005:$AU$1005,1,MATCH(COLUMNS($AD$1006:AT1006),$AD$1006:$AU$1006,0))&gt;=100000), " ",IF(INDEX($AD$2:$AU$1001,MATCH(ROWS($W$2:W324),$W$2:$W$1001,0),MATCH(COLUMNS($AD$1006:AT1006),$AD$1006:$AU$1006,0)), HYPERLINK("#",""), HYPERLINK(CONCATENATE("#metadata!", ADDRESS(INDEX($Y$2:$Y$1001,MATCH(ROWS($W$2:W324),$W$2:$W$1001,0),0), INDEX($AD$1004:$AU$1004,1,MATCH(COLUMNS($AD$1006:AT1006),$AD$1006:$AU$1006,0)))),"Fix")))</f>
        <v xml:space="preserve"> </v>
      </c>
      <c r="S324" s="4" t="str">
        <f ca="1">IF(OR(INDEX($X$2:$X$1001,MATCH(ROWS($W$2:W324),$W$2:$W$1001,0),1)&gt;=100000,INDEX($AD$1005:$AU$1005,1,MATCH(COLUMNS($AD$1006:AU1006),$AD$1006:$AU$1006,0))&gt;=100000), " ",IF(INDEX($AD$2:$AU$1001,MATCH(ROWS($W$2:W324),$W$2:$W$1001,0),MATCH(COLUMNS($AD$1006:AU1006),$AD$1006:$AU$1006,0)), HYPERLINK("#",""), HYPERLINK(CONCATENATE("#metadata!", ADDRESS(INDEX($Y$2:$Y$1001,MATCH(ROWS($W$2:W324),$W$2:$W$1001,0),0), INDEX($AD$1004:$AU$1004,1,MATCH(COLUMNS($AD$1006:AU1006),$AD$1006:$AU$1006,0)))),"Fix")))</f>
        <v xml:space="preserve"> </v>
      </c>
      <c r="W324">
        <v>323</v>
      </c>
      <c r="X324">
        <v>100324</v>
      </c>
      <c r="Y324">
        <v>324</v>
      </c>
      <c r="Z324" t="b">
        <f t="shared" si="5"/>
        <v>1</v>
      </c>
      <c r="AA324" t="b">
        <f>COUNTBLANK(metadata!B324:S324)=COLUMNS(metadata!B324:S324)</f>
        <v>1</v>
      </c>
      <c r="AB324" t="str">
        <v/>
      </c>
      <c r="AD324" t="b">
        <f ca="1">AND(IF(metadata!B324="",FALSE,TRUE),COUNTIF(metadata!B:B, metadata!B324) = 1,NOT(ISERROR(SUMPRODUCT(SEARCH(MID(metadata!B324,ROW(INDIRECT("1:"&amp;LEN(metadata!B324))), 1),"0123456789abcdefghijklmnopqrstuvwxyzABCDEFGHIJKLMNOPQRSTUVWXYZ.")))))</f>
        <v>0</v>
      </c>
      <c r="AE324" t="b">
        <f>OR(AND(IF(metadata!C324="",FALSE,TRUE),OR(EXACT(metadata!C324,"not applicable"),EXACT(metadata!C324,"missing: not collected"),EXACT(metadata!C324,"missing: not provided"),EXACT(metadata!C324,"missing: restricted access"))),AND(IF(metadata!C324="",FALSE,ISNUMBER(VALUE(metadata!C324))),metadata!C324&gt;0))</f>
        <v>0</v>
      </c>
      <c r="AF324" t="b">
        <f>AND(IF(metadata!D324="",FALSE,TRUE),EXACT(metadata!D324,"missing: not provided"))</f>
        <v>0</v>
      </c>
      <c r="AG324" t="b">
        <f>AND(IF(metadata!E324="",FALSE,TRUE),EXACT(metadata!E324,"Host-associated"))</f>
        <v>0</v>
      </c>
      <c r="AH324" t="b">
        <f>AND(IF(metadata!F324="",FALSE,TRUE),OR(EXACT(metadata!F324,"Animal"),EXACT(metadata!F324,"Fungus"),EXACT(metadata!F324,"Plant")))</f>
        <v>0</v>
      </c>
      <c r="AI324" t="b">
        <f>AND(IF(metadata!G324="",FALSE,TRUE),OR(EXACT(metadata!G324,"Plant secretion"),EXACT(metadata!G324,"Plant rhizosphere"),EXACT(metadata!G324,"Plant surface"),EXACT(metadata!G324,"Plant corpus"),EXACT(metadata!G324,"Fungus surface"),EXACT(metadata!G324,"Fungus corpus"),EXACT(metadata!G324,"Animal surface"),EXACT(metadata!G324,"Animal proximal gut"),EXACT(metadata!G324,"Animal corpus"),EXACT(metadata!G324,"Animal distal gut"),EXACT(metadata!G324,"Animal secretion")))</f>
        <v>0</v>
      </c>
      <c r="AJ324" t="b">
        <f>OR(AND(IF(metadata!H324="",FALSE,TRUE),OR(EXACT(metadata!H324,"missing: not collected"),EXACT(metadata!H324,"missing: not provided"),EXACT(metadata!H324,"missing: restricted access"))),AND(IF(metadata!H324="",FALSE,TRUE),OR(EXACT(metadata!H324,"organism-associated habitat"),EXACT(metadata!H324,"plant-associated habitat"),EXACT(metadata!H324,"animal-associated habitat"),EXACT(metadata!H324,"insecta-associated habitat"),EXACT(metadata!H324,"mammalia-associated habitat"),EXACT(metadata!H324,"human-associated habitat"),EXACT(metadata!H324,"livestock-associated habitat"))))</f>
        <v>0</v>
      </c>
      <c r="AK324" t="b">
        <f>AND(IF(metadata!I324="",FALSE,TRUE),EXACT(metadata!I324,"host-associated"))</f>
        <v>0</v>
      </c>
      <c r="AL324" t="b">
        <f>OR(AND(IF(metadata!J324="",FALSE,TRUE),OR(EXACT(metadata!J324,"not applicable"),EXACT(metadata!J324,"missing: not collected"),EXACT(metadata!J324,"missing: not provided"),EXACT(metadata!J324,"missing: restricted access"))),AND(IF(metadata!J324="",FALSE,ISNUMBER(VALUE(metadata!J324))),metadata!J324&gt;0))</f>
        <v>0</v>
      </c>
      <c r="AM324" t="b">
        <f>AND(IF(metadata!K324="",FALSE,TRUE),EXACT(metadata!K324,"missing: not provided"))</f>
        <v>0</v>
      </c>
      <c r="AN324" t="b">
        <f>IF(metadata!L324="",FALSE,TRUE)</f>
        <v>0</v>
      </c>
      <c r="AO324" t="b">
        <f>IF(metadata!M324="",FALSE,TRUE)</f>
        <v>0</v>
      </c>
      <c r="AP324" t="b">
        <f>OR(AND(IF(metadata!N324="",FALSE,TRUE),OR(EXACT(metadata!N324,"not applicable"),EXACT(metadata!N324,"missing: not collected"),EXACT(metadata!N324,"missing: not provided"))),AND(IF(metadata!N324="",FALSE,IF(ISERROR(INT(metadata!N324)),FALSE,INT(metadata!N324)=metadata!N324)),metadata!N324&gt;0))</f>
        <v>0</v>
      </c>
      <c r="AQ324" t="b">
        <f>AND(IF(metadata!O324="",FALSE,TRUE),EXACT(metadata!O324,"Not applicable"))</f>
        <v>0</v>
      </c>
      <c r="AR324" t="b">
        <f>OR(AND(IF(metadata!P324="",FALSE,TRUE),OR(EXACT(metadata!P324,"not applicable"),EXACT(metadata!P324,"missing: not collected"),EXACT(metadata!P324,"missing: not provided"),EXACT(metadata!P324,"missing: restricted access"))),IF(metadata!P324="",FALSE,IF(ISERROR(INT(metadata!P324)),FALSE,INT(metadata!P324)=metadata!P324)))</f>
        <v>0</v>
      </c>
      <c r="AS324" t="b">
        <f>AND(IF(metadata!Q324="",FALSE,TRUE),EXACT(metadata!Q324,"Not applicable"))</f>
        <v>0</v>
      </c>
      <c r="AT324" t="b">
        <f>OR(AND(IF(metadata!R324="",FALSE,TRUE),OR(EXACT(metadata!R324,"not applicable"),EXACT(metadata!R324,"missing: not collected"),EXACT(metadata!R324,"missing: not provided"),EXACT(metadata!R324,"missing: restricted access"))),AND(IF(metadata!R324="",FALSE,ISNUMBER(VALUE(metadata!R324))),metadata!R324&gt;0))</f>
        <v>0</v>
      </c>
      <c r="AU324" t="b">
        <f>AND(IF(metadata!S324="",FALSE,TRUE),EXACT(metadata!S324,"missing: not provided"))</f>
        <v>0</v>
      </c>
    </row>
    <row r="325" spans="1:47" x14ac:dyDescent="0.2">
      <c r="A325" s="5" t="str">
        <f ca="1">IF(B325=" "," ",HYPERLINK(CONCATENATE("#metadata!",ADDRESS(INDEX($Y$2:$Y$1001,MATCH(ROWS($W$2:W325),$W$2:$W$1001,0),0),1)),INDEX($AB$2:$AB$1001,MATCH(ROWS($W$2:W325),$W$2:$W$1001,0),0)))</f>
        <v xml:space="preserve"> </v>
      </c>
      <c r="B325" s="4" t="str">
        <f ca="1">IF(OR(INDEX($X$2:$X$1001,MATCH(ROWS($W$2:W325),$W$2:$W$1001,0),1)&gt;=100000,INDEX($AD$1005:$AU$1005,1,MATCH(COLUMNS($AD$1006:AD1006),$AD$1006:$AU$1006,0))&gt;=100000), " ",IF(INDEX($AD$2:$AU$1001,MATCH(ROWS($W$2:W325),$W$2:$W$1001,0),MATCH(COLUMNS($AD$1006:AD1006),$AD$1006:$AU$1006,0)), HYPERLINK("#",""), HYPERLINK(CONCATENATE("#metadata!", ADDRESS(INDEX($Y$2:$Y$1001,MATCH(ROWS($W$2:W325),$W$2:$W$1001,0),0), INDEX($AD$1004:$AU$1004,1,MATCH(COLUMNS($AD$1006:AD1006),$AD$1006:$AU$1006,0)))),"Fix")))</f>
        <v xml:space="preserve"> </v>
      </c>
      <c r="C325" s="4" t="str">
        <f ca="1">IF(OR(INDEX($X$2:$X$1001,MATCH(ROWS($W$2:W325),$W$2:$W$1001,0),1)&gt;=100000,INDEX($AD$1005:$AU$1005,1,MATCH(COLUMNS($AD$1006:AE1006),$AD$1006:$AU$1006,0))&gt;=100000), " ",IF(INDEX($AD$2:$AU$1001,MATCH(ROWS($W$2:W325),$W$2:$W$1001,0),MATCH(COLUMNS($AD$1006:AE1006),$AD$1006:$AU$1006,0)), HYPERLINK("#",""), HYPERLINK(CONCATENATE("#metadata!", ADDRESS(INDEX($Y$2:$Y$1001,MATCH(ROWS($W$2:W325),$W$2:$W$1001,0),0), INDEX($AD$1004:$AU$1004,1,MATCH(COLUMNS($AD$1006:AE1006),$AD$1006:$AU$1006,0)))),"Fix")))</f>
        <v xml:space="preserve"> </v>
      </c>
      <c r="D325" s="4" t="str">
        <f ca="1">IF(OR(INDEX($X$2:$X$1001,MATCH(ROWS($W$2:W325),$W$2:$W$1001,0),1)&gt;=100000,INDEX($AD$1005:$AU$1005,1,MATCH(COLUMNS($AD$1006:AF1006),$AD$1006:$AU$1006,0))&gt;=100000), " ",IF(INDEX($AD$2:$AU$1001,MATCH(ROWS($W$2:W325),$W$2:$W$1001,0),MATCH(COLUMNS($AD$1006:AF1006),$AD$1006:$AU$1006,0)), HYPERLINK("#",""), HYPERLINK(CONCATENATE("#metadata!", ADDRESS(INDEX($Y$2:$Y$1001,MATCH(ROWS($W$2:W325),$W$2:$W$1001,0),0), INDEX($AD$1004:$AU$1004,1,MATCH(COLUMNS($AD$1006:AF1006),$AD$1006:$AU$1006,0)))),"Fix")))</f>
        <v xml:space="preserve"> </v>
      </c>
      <c r="E325" s="4" t="str">
        <f ca="1">IF(OR(INDEX($X$2:$X$1001,MATCH(ROWS($W$2:W325),$W$2:$W$1001,0),1)&gt;=100000,INDEX($AD$1005:$AU$1005,1,MATCH(COLUMNS($AD$1006:AG1006),$AD$1006:$AU$1006,0))&gt;=100000), " ",IF(INDEX($AD$2:$AU$1001,MATCH(ROWS($W$2:W325),$W$2:$W$1001,0),MATCH(COLUMNS($AD$1006:AG1006),$AD$1006:$AU$1006,0)), HYPERLINK("#",""), HYPERLINK(CONCATENATE("#metadata!", ADDRESS(INDEX($Y$2:$Y$1001,MATCH(ROWS($W$2:W325),$W$2:$W$1001,0),0), INDEX($AD$1004:$AU$1004,1,MATCH(COLUMNS($AD$1006:AG1006),$AD$1006:$AU$1006,0)))),"Fix")))</f>
        <v xml:space="preserve"> </v>
      </c>
      <c r="F325" s="4" t="str">
        <f ca="1">IF(OR(INDEX($X$2:$X$1001,MATCH(ROWS($W$2:W325),$W$2:$W$1001,0),1)&gt;=100000,INDEX($AD$1005:$AU$1005,1,MATCH(COLUMNS($AD$1006:AH1006),$AD$1006:$AU$1006,0))&gt;=100000), " ",IF(INDEX($AD$2:$AU$1001,MATCH(ROWS($W$2:W325),$W$2:$W$1001,0),MATCH(COLUMNS($AD$1006:AH1006),$AD$1006:$AU$1006,0)), HYPERLINK("#",""), HYPERLINK(CONCATENATE("#metadata!", ADDRESS(INDEX($Y$2:$Y$1001,MATCH(ROWS($W$2:W325),$W$2:$W$1001,0),0), INDEX($AD$1004:$AU$1004,1,MATCH(COLUMNS($AD$1006:AH1006),$AD$1006:$AU$1006,0)))),"Fix")))</f>
        <v xml:space="preserve"> </v>
      </c>
      <c r="G325" s="4" t="str">
        <f ca="1">IF(OR(INDEX($X$2:$X$1001,MATCH(ROWS($W$2:W325),$W$2:$W$1001,0),1)&gt;=100000,INDEX($AD$1005:$AU$1005,1,MATCH(COLUMNS($AD$1006:AI1006),$AD$1006:$AU$1006,0))&gt;=100000), " ",IF(INDEX($AD$2:$AU$1001,MATCH(ROWS($W$2:W325),$W$2:$W$1001,0),MATCH(COLUMNS($AD$1006:AI1006),$AD$1006:$AU$1006,0)), HYPERLINK("#",""), HYPERLINK(CONCATENATE("#metadata!", ADDRESS(INDEX($Y$2:$Y$1001,MATCH(ROWS($W$2:W325),$W$2:$W$1001,0),0), INDEX($AD$1004:$AU$1004,1,MATCH(COLUMNS($AD$1006:AI1006),$AD$1006:$AU$1006,0)))),"Fix")))</f>
        <v xml:space="preserve"> </v>
      </c>
      <c r="H325" s="4" t="str">
        <f ca="1">IF(OR(INDEX($X$2:$X$1001,MATCH(ROWS($W$2:W325),$W$2:$W$1001,0),1)&gt;=100000,INDEX($AD$1005:$AU$1005,1,MATCH(COLUMNS($AD$1006:AJ1006),$AD$1006:$AU$1006,0))&gt;=100000), " ",IF(INDEX($AD$2:$AU$1001,MATCH(ROWS($W$2:W325),$W$2:$W$1001,0),MATCH(COLUMNS($AD$1006:AJ1006),$AD$1006:$AU$1006,0)), HYPERLINK("#",""), HYPERLINK(CONCATENATE("#metadata!", ADDRESS(INDEX($Y$2:$Y$1001,MATCH(ROWS($W$2:W325),$W$2:$W$1001,0),0), INDEX($AD$1004:$AU$1004,1,MATCH(COLUMNS($AD$1006:AJ1006),$AD$1006:$AU$1006,0)))),"Fix")))</f>
        <v xml:space="preserve"> </v>
      </c>
      <c r="I325" s="4" t="str">
        <f ca="1">IF(OR(INDEX($X$2:$X$1001,MATCH(ROWS($W$2:W325),$W$2:$W$1001,0),1)&gt;=100000,INDEX($AD$1005:$AU$1005,1,MATCH(COLUMNS($AD$1006:AK1006),$AD$1006:$AU$1006,0))&gt;=100000), " ",IF(INDEX($AD$2:$AU$1001,MATCH(ROWS($W$2:W325),$W$2:$W$1001,0),MATCH(COLUMNS($AD$1006:AK1006),$AD$1006:$AU$1006,0)), HYPERLINK("#",""), HYPERLINK(CONCATENATE("#metadata!", ADDRESS(INDEX($Y$2:$Y$1001,MATCH(ROWS($W$2:W325),$W$2:$W$1001,0),0), INDEX($AD$1004:$AU$1004,1,MATCH(COLUMNS($AD$1006:AK1006),$AD$1006:$AU$1006,0)))),"Fix")))</f>
        <v xml:space="preserve"> </v>
      </c>
      <c r="J325" s="4" t="str">
        <f ca="1">IF(OR(INDEX($X$2:$X$1001,MATCH(ROWS($W$2:W325),$W$2:$W$1001,0),1)&gt;=100000,INDEX($AD$1005:$AU$1005,1,MATCH(COLUMNS($AD$1006:AL1006),$AD$1006:$AU$1006,0))&gt;=100000), " ",IF(INDEX($AD$2:$AU$1001,MATCH(ROWS($W$2:W325),$W$2:$W$1001,0),MATCH(COLUMNS($AD$1006:AL1006),$AD$1006:$AU$1006,0)), HYPERLINK("#",""), HYPERLINK(CONCATENATE("#metadata!", ADDRESS(INDEX($Y$2:$Y$1001,MATCH(ROWS($W$2:W325),$W$2:$W$1001,0),0), INDEX($AD$1004:$AU$1004,1,MATCH(COLUMNS($AD$1006:AL1006),$AD$1006:$AU$1006,0)))),"Fix")))</f>
        <v xml:space="preserve"> </v>
      </c>
      <c r="K325" s="4" t="str">
        <f ca="1">IF(OR(INDEX($X$2:$X$1001,MATCH(ROWS($W$2:W325),$W$2:$W$1001,0),1)&gt;=100000,INDEX($AD$1005:$AU$1005,1,MATCH(COLUMNS($AD$1006:AM1006),$AD$1006:$AU$1006,0))&gt;=100000), " ",IF(INDEX($AD$2:$AU$1001,MATCH(ROWS($W$2:W325),$W$2:$W$1001,0),MATCH(COLUMNS($AD$1006:AM1006),$AD$1006:$AU$1006,0)), HYPERLINK("#",""), HYPERLINK(CONCATENATE("#metadata!", ADDRESS(INDEX($Y$2:$Y$1001,MATCH(ROWS($W$2:W325),$W$2:$W$1001,0),0), INDEX($AD$1004:$AU$1004,1,MATCH(COLUMNS($AD$1006:AM1006),$AD$1006:$AU$1006,0)))),"Fix")))</f>
        <v xml:space="preserve"> </v>
      </c>
      <c r="L325" s="4" t="str">
        <f ca="1">IF(OR(INDEX($X$2:$X$1001,MATCH(ROWS($W$2:W325),$W$2:$W$1001,0),1)&gt;=100000,INDEX($AD$1005:$AU$1005,1,MATCH(COLUMNS($AD$1006:AN1006),$AD$1006:$AU$1006,0))&gt;=100000), " ",IF(INDEX($AD$2:$AU$1001,MATCH(ROWS($W$2:W325),$W$2:$W$1001,0),MATCH(COLUMNS($AD$1006:AN1006),$AD$1006:$AU$1006,0)), HYPERLINK("#",""), HYPERLINK(CONCATENATE("#metadata!", ADDRESS(INDEX($Y$2:$Y$1001,MATCH(ROWS($W$2:W325),$W$2:$W$1001,0),0), INDEX($AD$1004:$AU$1004,1,MATCH(COLUMNS($AD$1006:AN1006),$AD$1006:$AU$1006,0)))),"Fix")))</f>
        <v xml:space="preserve"> </v>
      </c>
      <c r="M325" s="4" t="str">
        <f ca="1">IF(OR(INDEX($X$2:$X$1001,MATCH(ROWS($W$2:W325),$W$2:$W$1001,0),1)&gt;=100000,INDEX($AD$1005:$AU$1005,1,MATCH(COLUMNS($AD$1006:AO1006),$AD$1006:$AU$1006,0))&gt;=100000), " ",IF(INDEX($AD$2:$AU$1001,MATCH(ROWS($W$2:W325),$W$2:$W$1001,0),MATCH(COLUMNS($AD$1006:AO1006),$AD$1006:$AU$1006,0)), HYPERLINK("#",""), HYPERLINK(CONCATENATE("#metadata!", ADDRESS(INDEX($Y$2:$Y$1001,MATCH(ROWS($W$2:W325),$W$2:$W$1001,0),0), INDEX($AD$1004:$AU$1004,1,MATCH(COLUMNS($AD$1006:AO1006),$AD$1006:$AU$1006,0)))),"Fix")))</f>
        <v xml:space="preserve"> </v>
      </c>
      <c r="N325" s="4" t="str">
        <f ca="1">IF(OR(INDEX($X$2:$X$1001,MATCH(ROWS($W$2:W325),$W$2:$W$1001,0),1)&gt;=100000,INDEX($AD$1005:$AU$1005,1,MATCH(COLUMNS($AD$1006:AP1006),$AD$1006:$AU$1006,0))&gt;=100000), " ",IF(INDEX($AD$2:$AU$1001,MATCH(ROWS($W$2:W325),$W$2:$W$1001,0),MATCH(COLUMNS($AD$1006:AP1006),$AD$1006:$AU$1006,0)), HYPERLINK("#",""), HYPERLINK(CONCATENATE("#metadata!", ADDRESS(INDEX($Y$2:$Y$1001,MATCH(ROWS($W$2:W325),$W$2:$W$1001,0),0), INDEX($AD$1004:$AU$1004,1,MATCH(COLUMNS($AD$1006:AP1006),$AD$1006:$AU$1006,0)))),"Fix")))</f>
        <v xml:space="preserve"> </v>
      </c>
      <c r="O325" s="4" t="str">
        <f ca="1">IF(OR(INDEX($X$2:$X$1001,MATCH(ROWS($W$2:W325),$W$2:$W$1001,0),1)&gt;=100000,INDEX($AD$1005:$AU$1005,1,MATCH(COLUMNS($AD$1006:AQ1006),$AD$1006:$AU$1006,0))&gt;=100000), " ",IF(INDEX($AD$2:$AU$1001,MATCH(ROWS($W$2:W325),$W$2:$W$1001,0),MATCH(COLUMNS($AD$1006:AQ1006),$AD$1006:$AU$1006,0)), HYPERLINK("#",""), HYPERLINK(CONCATENATE("#metadata!", ADDRESS(INDEX($Y$2:$Y$1001,MATCH(ROWS($W$2:W325),$W$2:$W$1001,0),0), INDEX($AD$1004:$AU$1004,1,MATCH(COLUMNS($AD$1006:AQ1006),$AD$1006:$AU$1006,0)))),"Fix")))</f>
        <v xml:space="preserve"> </v>
      </c>
      <c r="P325" s="4" t="str">
        <f ca="1">IF(OR(INDEX($X$2:$X$1001,MATCH(ROWS($W$2:W325),$W$2:$W$1001,0),1)&gt;=100000,INDEX($AD$1005:$AU$1005,1,MATCH(COLUMNS($AD$1006:AR1006),$AD$1006:$AU$1006,0))&gt;=100000), " ",IF(INDEX($AD$2:$AU$1001,MATCH(ROWS($W$2:W325),$W$2:$W$1001,0),MATCH(COLUMNS($AD$1006:AR1006),$AD$1006:$AU$1006,0)), HYPERLINK("#",""), HYPERLINK(CONCATENATE("#metadata!", ADDRESS(INDEX($Y$2:$Y$1001,MATCH(ROWS($W$2:W325),$W$2:$W$1001,0),0), INDEX($AD$1004:$AU$1004,1,MATCH(COLUMNS($AD$1006:AR1006),$AD$1006:$AU$1006,0)))),"Fix")))</f>
        <v xml:space="preserve"> </v>
      </c>
      <c r="Q325" s="4" t="str">
        <f ca="1">IF(OR(INDEX($X$2:$X$1001,MATCH(ROWS($W$2:W325),$W$2:$W$1001,0),1)&gt;=100000,INDEX($AD$1005:$AU$1005,1,MATCH(COLUMNS($AD$1006:AS1006),$AD$1006:$AU$1006,0))&gt;=100000), " ",IF(INDEX($AD$2:$AU$1001,MATCH(ROWS($W$2:W325),$W$2:$W$1001,0),MATCH(COLUMNS($AD$1006:AS1006),$AD$1006:$AU$1006,0)), HYPERLINK("#",""), HYPERLINK(CONCATENATE("#metadata!", ADDRESS(INDEX($Y$2:$Y$1001,MATCH(ROWS($W$2:W325),$W$2:$W$1001,0),0), INDEX($AD$1004:$AU$1004,1,MATCH(COLUMNS($AD$1006:AS1006),$AD$1006:$AU$1006,0)))),"Fix")))</f>
        <v xml:space="preserve"> </v>
      </c>
      <c r="R325" s="4" t="str">
        <f ca="1">IF(OR(INDEX($X$2:$X$1001,MATCH(ROWS($W$2:W325),$W$2:$W$1001,0),1)&gt;=100000,INDEX($AD$1005:$AU$1005,1,MATCH(COLUMNS($AD$1006:AT1006),$AD$1006:$AU$1006,0))&gt;=100000), " ",IF(INDEX($AD$2:$AU$1001,MATCH(ROWS($W$2:W325),$W$2:$W$1001,0),MATCH(COLUMNS($AD$1006:AT1006),$AD$1006:$AU$1006,0)), HYPERLINK("#",""), HYPERLINK(CONCATENATE("#metadata!", ADDRESS(INDEX($Y$2:$Y$1001,MATCH(ROWS($W$2:W325),$W$2:$W$1001,0),0), INDEX($AD$1004:$AU$1004,1,MATCH(COLUMNS($AD$1006:AT1006),$AD$1006:$AU$1006,0)))),"Fix")))</f>
        <v xml:space="preserve"> </v>
      </c>
      <c r="S325" s="4" t="str">
        <f ca="1">IF(OR(INDEX($X$2:$X$1001,MATCH(ROWS($W$2:W325),$W$2:$W$1001,0),1)&gt;=100000,INDEX($AD$1005:$AU$1005,1,MATCH(COLUMNS($AD$1006:AU1006),$AD$1006:$AU$1006,0))&gt;=100000), " ",IF(INDEX($AD$2:$AU$1001,MATCH(ROWS($W$2:W325),$W$2:$W$1001,0),MATCH(COLUMNS($AD$1006:AU1006),$AD$1006:$AU$1006,0)), HYPERLINK("#",""), HYPERLINK(CONCATENATE("#metadata!", ADDRESS(INDEX($Y$2:$Y$1001,MATCH(ROWS($W$2:W325),$W$2:$W$1001,0),0), INDEX($AD$1004:$AU$1004,1,MATCH(COLUMNS($AD$1006:AU1006),$AD$1006:$AU$1006,0)))),"Fix")))</f>
        <v xml:space="preserve"> </v>
      </c>
      <c r="W325">
        <v>324</v>
      </c>
      <c r="X325">
        <v>100325</v>
      </c>
      <c r="Y325">
        <v>325</v>
      </c>
      <c r="Z325" t="b">
        <f t="shared" si="5"/>
        <v>1</v>
      </c>
      <c r="AA325" t="b">
        <f>COUNTBLANK(metadata!B325:S325)=COLUMNS(metadata!B325:S325)</f>
        <v>1</v>
      </c>
      <c r="AB325" t="str">
        <v/>
      </c>
      <c r="AD325" t="b">
        <f ca="1">AND(IF(metadata!B325="",FALSE,TRUE),COUNTIF(metadata!B:B, metadata!B325) = 1,NOT(ISERROR(SUMPRODUCT(SEARCH(MID(metadata!B325,ROW(INDIRECT("1:"&amp;LEN(metadata!B325))), 1),"0123456789abcdefghijklmnopqrstuvwxyzABCDEFGHIJKLMNOPQRSTUVWXYZ.")))))</f>
        <v>0</v>
      </c>
      <c r="AE325" t="b">
        <f>OR(AND(IF(metadata!C325="",FALSE,TRUE),OR(EXACT(metadata!C325,"not applicable"),EXACT(metadata!C325,"missing: not collected"),EXACT(metadata!C325,"missing: not provided"),EXACT(metadata!C325,"missing: restricted access"))),AND(IF(metadata!C325="",FALSE,ISNUMBER(VALUE(metadata!C325))),metadata!C325&gt;0))</f>
        <v>0</v>
      </c>
      <c r="AF325" t="b">
        <f>AND(IF(metadata!D325="",FALSE,TRUE),EXACT(metadata!D325,"missing: not provided"))</f>
        <v>0</v>
      </c>
      <c r="AG325" t="b">
        <f>AND(IF(metadata!E325="",FALSE,TRUE),EXACT(metadata!E325,"Host-associated"))</f>
        <v>0</v>
      </c>
      <c r="AH325" t="b">
        <f>AND(IF(metadata!F325="",FALSE,TRUE),OR(EXACT(metadata!F325,"Animal"),EXACT(metadata!F325,"Fungus"),EXACT(metadata!F325,"Plant")))</f>
        <v>0</v>
      </c>
      <c r="AI325" t="b">
        <f>AND(IF(metadata!G325="",FALSE,TRUE),OR(EXACT(metadata!G325,"Plant secretion"),EXACT(metadata!G325,"Plant rhizosphere"),EXACT(metadata!G325,"Plant surface"),EXACT(metadata!G325,"Plant corpus"),EXACT(metadata!G325,"Fungus surface"),EXACT(metadata!G325,"Fungus corpus"),EXACT(metadata!G325,"Animal surface"),EXACT(metadata!G325,"Animal proximal gut"),EXACT(metadata!G325,"Animal corpus"),EXACT(metadata!G325,"Animal distal gut"),EXACT(metadata!G325,"Animal secretion")))</f>
        <v>0</v>
      </c>
      <c r="AJ325" t="b">
        <f>OR(AND(IF(metadata!H325="",FALSE,TRUE),OR(EXACT(metadata!H325,"missing: not collected"),EXACT(metadata!H325,"missing: not provided"),EXACT(metadata!H325,"missing: restricted access"))),AND(IF(metadata!H325="",FALSE,TRUE),OR(EXACT(metadata!H325,"organism-associated habitat"),EXACT(metadata!H325,"plant-associated habitat"),EXACT(metadata!H325,"animal-associated habitat"),EXACT(metadata!H325,"insecta-associated habitat"),EXACT(metadata!H325,"mammalia-associated habitat"),EXACT(metadata!H325,"human-associated habitat"),EXACT(metadata!H325,"livestock-associated habitat"))))</f>
        <v>0</v>
      </c>
      <c r="AK325" t="b">
        <f>AND(IF(metadata!I325="",FALSE,TRUE),EXACT(metadata!I325,"host-associated"))</f>
        <v>0</v>
      </c>
      <c r="AL325" t="b">
        <f>OR(AND(IF(metadata!J325="",FALSE,TRUE),OR(EXACT(metadata!J325,"not applicable"),EXACT(metadata!J325,"missing: not collected"),EXACT(metadata!J325,"missing: not provided"),EXACT(metadata!J325,"missing: restricted access"))),AND(IF(metadata!J325="",FALSE,ISNUMBER(VALUE(metadata!J325))),metadata!J325&gt;0))</f>
        <v>0</v>
      </c>
      <c r="AM325" t="b">
        <f>AND(IF(metadata!K325="",FALSE,TRUE),EXACT(metadata!K325,"missing: not provided"))</f>
        <v>0</v>
      </c>
      <c r="AN325" t="b">
        <f>IF(metadata!L325="",FALSE,TRUE)</f>
        <v>0</v>
      </c>
      <c r="AO325" t="b">
        <f>IF(metadata!M325="",FALSE,TRUE)</f>
        <v>0</v>
      </c>
      <c r="AP325" t="b">
        <f>OR(AND(IF(metadata!N325="",FALSE,TRUE),OR(EXACT(metadata!N325,"not applicable"),EXACT(metadata!N325,"missing: not collected"),EXACT(metadata!N325,"missing: not provided"))),AND(IF(metadata!N325="",FALSE,IF(ISERROR(INT(metadata!N325)),FALSE,INT(metadata!N325)=metadata!N325)),metadata!N325&gt;0))</f>
        <v>0</v>
      </c>
      <c r="AQ325" t="b">
        <f>AND(IF(metadata!O325="",FALSE,TRUE),EXACT(metadata!O325,"Not applicable"))</f>
        <v>0</v>
      </c>
      <c r="AR325" t="b">
        <f>OR(AND(IF(metadata!P325="",FALSE,TRUE),OR(EXACT(metadata!P325,"not applicable"),EXACT(metadata!P325,"missing: not collected"),EXACT(metadata!P325,"missing: not provided"),EXACT(metadata!P325,"missing: restricted access"))),IF(metadata!P325="",FALSE,IF(ISERROR(INT(metadata!P325)),FALSE,INT(metadata!P325)=metadata!P325)))</f>
        <v>0</v>
      </c>
      <c r="AS325" t="b">
        <f>AND(IF(metadata!Q325="",FALSE,TRUE),EXACT(metadata!Q325,"Not applicable"))</f>
        <v>0</v>
      </c>
      <c r="AT325" t="b">
        <f>OR(AND(IF(metadata!R325="",FALSE,TRUE),OR(EXACT(metadata!R325,"not applicable"),EXACT(metadata!R325,"missing: not collected"),EXACT(metadata!R325,"missing: not provided"),EXACT(metadata!R325,"missing: restricted access"))),AND(IF(metadata!R325="",FALSE,ISNUMBER(VALUE(metadata!R325))),metadata!R325&gt;0))</f>
        <v>0</v>
      </c>
      <c r="AU325" t="b">
        <f>AND(IF(metadata!S325="",FALSE,TRUE),EXACT(metadata!S325,"missing: not provided"))</f>
        <v>0</v>
      </c>
    </row>
    <row r="326" spans="1:47" x14ac:dyDescent="0.2">
      <c r="A326" s="5" t="str">
        <f ca="1">IF(B326=" "," ",HYPERLINK(CONCATENATE("#metadata!",ADDRESS(INDEX($Y$2:$Y$1001,MATCH(ROWS($W$2:W326),$W$2:$W$1001,0),0),1)),INDEX($AB$2:$AB$1001,MATCH(ROWS($W$2:W326),$W$2:$W$1001,0),0)))</f>
        <v xml:space="preserve"> </v>
      </c>
      <c r="B326" s="4" t="str">
        <f ca="1">IF(OR(INDEX($X$2:$X$1001,MATCH(ROWS($W$2:W326),$W$2:$W$1001,0),1)&gt;=100000,INDEX($AD$1005:$AU$1005,1,MATCH(COLUMNS($AD$1006:AD1006),$AD$1006:$AU$1006,0))&gt;=100000), " ",IF(INDEX($AD$2:$AU$1001,MATCH(ROWS($W$2:W326),$W$2:$W$1001,0),MATCH(COLUMNS($AD$1006:AD1006),$AD$1006:$AU$1006,0)), HYPERLINK("#",""), HYPERLINK(CONCATENATE("#metadata!", ADDRESS(INDEX($Y$2:$Y$1001,MATCH(ROWS($W$2:W326),$W$2:$W$1001,0),0), INDEX($AD$1004:$AU$1004,1,MATCH(COLUMNS($AD$1006:AD1006),$AD$1006:$AU$1006,0)))),"Fix")))</f>
        <v xml:space="preserve"> </v>
      </c>
      <c r="C326" s="4" t="str">
        <f ca="1">IF(OR(INDEX($X$2:$X$1001,MATCH(ROWS($W$2:W326),$W$2:$W$1001,0),1)&gt;=100000,INDEX($AD$1005:$AU$1005,1,MATCH(COLUMNS($AD$1006:AE1006),$AD$1006:$AU$1006,0))&gt;=100000), " ",IF(INDEX($AD$2:$AU$1001,MATCH(ROWS($W$2:W326),$W$2:$W$1001,0),MATCH(COLUMNS($AD$1006:AE1006),$AD$1006:$AU$1006,0)), HYPERLINK("#",""), HYPERLINK(CONCATENATE("#metadata!", ADDRESS(INDEX($Y$2:$Y$1001,MATCH(ROWS($W$2:W326),$W$2:$W$1001,0),0), INDEX($AD$1004:$AU$1004,1,MATCH(COLUMNS($AD$1006:AE1006),$AD$1006:$AU$1006,0)))),"Fix")))</f>
        <v xml:space="preserve"> </v>
      </c>
      <c r="D326" s="4" t="str">
        <f ca="1">IF(OR(INDEX($X$2:$X$1001,MATCH(ROWS($W$2:W326),$W$2:$W$1001,0),1)&gt;=100000,INDEX($AD$1005:$AU$1005,1,MATCH(COLUMNS($AD$1006:AF1006),$AD$1006:$AU$1006,0))&gt;=100000), " ",IF(INDEX($AD$2:$AU$1001,MATCH(ROWS($W$2:W326),$W$2:$W$1001,0),MATCH(COLUMNS($AD$1006:AF1006),$AD$1006:$AU$1006,0)), HYPERLINK("#",""), HYPERLINK(CONCATENATE("#metadata!", ADDRESS(INDEX($Y$2:$Y$1001,MATCH(ROWS($W$2:W326),$W$2:$W$1001,0),0), INDEX($AD$1004:$AU$1004,1,MATCH(COLUMNS($AD$1006:AF1006),$AD$1006:$AU$1006,0)))),"Fix")))</f>
        <v xml:space="preserve"> </v>
      </c>
      <c r="E326" s="4" t="str">
        <f ca="1">IF(OR(INDEX($X$2:$X$1001,MATCH(ROWS($W$2:W326),$W$2:$W$1001,0),1)&gt;=100000,INDEX($AD$1005:$AU$1005,1,MATCH(COLUMNS($AD$1006:AG1006),$AD$1006:$AU$1006,0))&gt;=100000), " ",IF(INDEX($AD$2:$AU$1001,MATCH(ROWS($W$2:W326),$W$2:$W$1001,0),MATCH(COLUMNS($AD$1006:AG1006),$AD$1006:$AU$1006,0)), HYPERLINK("#",""), HYPERLINK(CONCATENATE("#metadata!", ADDRESS(INDEX($Y$2:$Y$1001,MATCH(ROWS($W$2:W326),$W$2:$W$1001,0),0), INDEX($AD$1004:$AU$1004,1,MATCH(COLUMNS($AD$1006:AG1006),$AD$1006:$AU$1006,0)))),"Fix")))</f>
        <v xml:space="preserve"> </v>
      </c>
      <c r="F326" s="4" t="str">
        <f ca="1">IF(OR(INDEX($X$2:$X$1001,MATCH(ROWS($W$2:W326),$W$2:$W$1001,0),1)&gt;=100000,INDEX($AD$1005:$AU$1005,1,MATCH(COLUMNS($AD$1006:AH1006),$AD$1006:$AU$1006,0))&gt;=100000), " ",IF(INDEX($AD$2:$AU$1001,MATCH(ROWS($W$2:W326),$W$2:$W$1001,0),MATCH(COLUMNS($AD$1006:AH1006),$AD$1006:$AU$1006,0)), HYPERLINK("#",""), HYPERLINK(CONCATENATE("#metadata!", ADDRESS(INDEX($Y$2:$Y$1001,MATCH(ROWS($W$2:W326),$W$2:$W$1001,0),0), INDEX($AD$1004:$AU$1004,1,MATCH(COLUMNS($AD$1006:AH1006),$AD$1006:$AU$1006,0)))),"Fix")))</f>
        <v xml:space="preserve"> </v>
      </c>
      <c r="G326" s="4" t="str">
        <f ca="1">IF(OR(INDEX($X$2:$X$1001,MATCH(ROWS($W$2:W326),$W$2:$W$1001,0),1)&gt;=100000,INDEX($AD$1005:$AU$1005,1,MATCH(COLUMNS($AD$1006:AI1006),$AD$1006:$AU$1006,0))&gt;=100000), " ",IF(INDEX($AD$2:$AU$1001,MATCH(ROWS($W$2:W326),$W$2:$W$1001,0),MATCH(COLUMNS($AD$1006:AI1006),$AD$1006:$AU$1006,0)), HYPERLINK("#",""), HYPERLINK(CONCATENATE("#metadata!", ADDRESS(INDEX($Y$2:$Y$1001,MATCH(ROWS($W$2:W326),$W$2:$W$1001,0),0), INDEX($AD$1004:$AU$1004,1,MATCH(COLUMNS($AD$1006:AI1006),$AD$1006:$AU$1006,0)))),"Fix")))</f>
        <v xml:space="preserve"> </v>
      </c>
      <c r="H326" s="4" t="str">
        <f ca="1">IF(OR(INDEX($X$2:$X$1001,MATCH(ROWS($W$2:W326),$W$2:$W$1001,0),1)&gt;=100000,INDEX($AD$1005:$AU$1005,1,MATCH(COLUMNS($AD$1006:AJ1006),$AD$1006:$AU$1006,0))&gt;=100000), " ",IF(INDEX($AD$2:$AU$1001,MATCH(ROWS($W$2:W326),$W$2:$W$1001,0),MATCH(COLUMNS($AD$1006:AJ1006),$AD$1006:$AU$1006,0)), HYPERLINK("#",""), HYPERLINK(CONCATENATE("#metadata!", ADDRESS(INDEX($Y$2:$Y$1001,MATCH(ROWS($W$2:W326),$W$2:$W$1001,0),0), INDEX($AD$1004:$AU$1004,1,MATCH(COLUMNS($AD$1006:AJ1006),$AD$1006:$AU$1006,0)))),"Fix")))</f>
        <v xml:space="preserve"> </v>
      </c>
      <c r="I326" s="4" t="str">
        <f ca="1">IF(OR(INDEX($X$2:$X$1001,MATCH(ROWS($W$2:W326),$W$2:$W$1001,0),1)&gt;=100000,INDEX($AD$1005:$AU$1005,1,MATCH(COLUMNS($AD$1006:AK1006),$AD$1006:$AU$1006,0))&gt;=100000), " ",IF(INDEX($AD$2:$AU$1001,MATCH(ROWS($W$2:W326),$W$2:$W$1001,0),MATCH(COLUMNS($AD$1006:AK1006),$AD$1006:$AU$1006,0)), HYPERLINK("#",""), HYPERLINK(CONCATENATE("#metadata!", ADDRESS(INDEX($Y$2:$Y$1001,MATCH(ROWS($W$2:W326),$W$2:$W$1001,0),0), INDEX($AD$1004:$AU$1004,1,MATCH(COLUMNS($AD$1006:AK1006),$AD$1006:$AU$1006,0)))),"Fix")))</f>
        <v xml:space="preserve"> </v>
      </c>
      <c r="J326" s="4" t="str">
        <f ca="1">IF(OR(INDEX($X$2:$X$1001,MATCH(ROWS($W$2:W326),$W$2:$W$1001,0),1)&gt;=100000,INDEX($AD$1005:$AU$1005,1,MATCH(COLUMNS($AD$1006:AL1006),$AD$1006:$AU$1006,0))&gt;=100000), " ",IF(INDEX($AD$2:$AU$1001,MATCH(ROWS($W$2:W326),$W$2:$W$1001,0),MATCH(COLUMNS($AD$1006:AL1006),$AD$1006:$AU$1006,0)), HYPERLINK("#",""), HYPERLINK(CONCATENATE("#metadata!", ADDRESS(INDEX($Y$2:$Y$1001,MATCH(ROWS($W$2:W326),$W$2:$W$1001,0),0), INDEX($AD$1004:$AU$1004,1,MATCH(COLUMNS($AD$1006:AL1006),$AD$1006:$AU$1006,0)))),"Fix")))</f>
        <v xml:space="preserve"> </v>
      </c>
      <c r="K326" s="4" t="str">
        <f ca="1">IF(OR(INDEX($X$2:$X$1001,MATCH(ROWS($W$2:W326),$W$2:$W$1001,0),1)&gt;=100000,INDEX($AD$1005:$AU$1005,1,MATCH(COLUMNS($AD$1006:AM1006),$AD$1006:$AU$1006,0))&gt;=100000), " ",IF(INDEX($AD$2:$AU$1001,MATCH(ROWS($W$2:W326),$W$2:$W$1001,0),MATCH(COLUMNS($AD$1006:AM1006),$AD$1006:$AU$1006,0)), HYPERLINK("#",""), HYPERLINK(CONCATENATE("#metadata!", ADDRESS(INDEX($Y$2:$Y$1001,MATCH(ROWS($W$2:W326),$W$2:$W$1001,0),0), INDEX($AD$1004:$AU$1004,1,MATCH(COLUMNS($AD$1006:AM1006),$AD$1006:$AU$1006,0)))),"Fix")))</f>
        <v xml:space="preserve"> </v>
      </c>
      <c r="L326" s="4" t="str">
        <f ca="1">IF(OR(INDEX($X$2:$X$1001,MATCH(ROWS($W$2:W326),$W$2:$W$1001,0),1)&gt;=100000,INDEX($AD$1005:$AU$1005,1,MATCH(COLUMNS($AD$1006:AN1006),$AD$1006:$AU$1006,0))&gt;=100000), " ",IF(INDEX($AD$2:$AU$1001,MATCH(ROWS($W$2:W326),$W$2:$W$1001,0),MATCH(COLUMNS($AD$1006:AN1006),$AD$1006:$AU$1006,0)), HYPERLINK("#",""), HYPERLINK(CONCATENATE("#metadata!", ADDRESS(INDEX($Y$2:$Y$1001,MATCH(ROWS($W$2:W326),$W$2:$W$1001,0),0), INDEX($AD$1004:$AU$1004,1,MATCH(COLUMNS($AD$1006:AN1006),$AD$1006:$AU$1006,0)))),"Fix")))</f>
        <v xml:space="preserve"> </v>
      </c>
      <c r="M326" s="4" t="str">
        <f ca="1">IF(OR(INDEX($X$2:$X$1001,MATCH(ROWS($W$2:W326),$W$2:$W$1001,0),1)&gt;=100000,INDEX($AD$1005:$AU$1005,1,MATCH(COLUMNS($AD$1006:AO1006),$AD$1006:$AU$1006,0))&gt;=100000), " ",IF(INDEX($AD$2:$AU$1001,MATCH(ROWS($W$2:W326),$W$2:$W$1001,0),MATCH(COLUMNS($AD$1006:AO1006),$AD$1006:$AU$1006,0)), HYPERLINK("#",""), HYPERLINK(CONCATENATE("#metadata!", ADDRESS(INDEX($Y$2:$Y$1001,MATCH(ROWS($W$2:W326),$W$2:$W$1001,0),0), INDEX($AD$1004:$AU$1004,1,MATCH(COLUMNS($AD$1006:AO1006),$AD$1006:$AU$1006,0)))),"Fix")))</f>
        <v xml:space="preserve"> </v>
      </c>
      <c r="N326" s="4" t="str">
        <f ca="1">IF(OR(INDEX($X$2:$X$1001,MATCH(ROWS($W$2:W326),$W$2:$W$1001,0),1)&gt;=100000,INDEX($AD$1005:$AU$1005,1,MATCH(COLUMNS($AD$1006:AP1006),$AD$1006:$AU$1006,0))&gt;=100000), " ",IF(INDEX($AD$2:$AU$1001,MATCH(ROWS($W$2:W326),$W$2:$W$1001,0),MATCH(COLUMNS($AD$1006:AP1006),$AD$1006:$AU$1006,0)), HYPERLINK("#",""), HYPERLINK(CONCATENATE("#metadata!", ADDRESS(INDEX($Y$2:$Y$1001,MATCH(ROWS($W$2:W326),$W$2:$W$1001,0),0), INDEX($AD$1004:$AU$1004,1,MATCH(COLUMNS($AD$1006:AP1006),$AD$1006:$AU$1006,0)))),"Fix")))</f>
        <v xml:space="preserve"> </v>
      </c>
      <c r="O326" s="4" t="str">
        <f ca="1">IF(OR(INDEX($X$2:$X$1001,MATCH(ROWS($W$2:W326),$W$2:$W$1001,0),1)&gt;=100000,INDEX($AD$1005:$AU$1005,1,MATCH(COLUMNS($AD$1006:AQ1006),$AD$1006:$AU$1006,0))&gt;=100000), " ",IF(INDEX($AD$2:$AU$1001,MATCH(ROWS($W$2:W326),$W$2:$W$1001,0),MATCH(COLUMNS($AD$1006:AQ1006),$AD$1006:$AU$1006,0)), HYPERLINK("#",""), HYPERLINK(CONCATENATE("#metadata!", ADDRESS(INDEX($Y$2:$Y$1001,MATCH(ROWS($W$2:W326),$W$2:$W$1001,0),0), INDEX($AD$1004:$AU$1004,1,MATCH(COLUMNS($AD$1006:AQ1006),$AD$1006:$AU$1006,0)))),"Fix")))</f>
        <v xml:space="preserve"> </v>
      </c>
      <c r="P326" s="4" t="str">
        <f ca="1">IF(OR(INDEX($X$2:$X$1001,MATCH(ROWS($W$2:W326),$W$2:$W$1001,0),1)&gt;=100000,INDEX($AD$1005:$AU$1005,1,MATCH(COLUMNS($AD$1006:AR1006),$AD$1006:$AU$1006,0))&gt;=100000), " ",IF(INDEX($AD$2:$AU$1001,MATCH(ROWS($W$2:W326),$W$2:$W$1001,0),MATCH(COLUMNS($AD$1006:AR1006),$AD$1006:$AU$1006,0)), HYPERLINK("#",""), HYPERLINK(CONCATENATE("#metadata!", ADDRESS(INDEX($Y$2:$Y$1001,MATCH(ROWS($W$2:W326),$W$2:$W$1001,0),0), INDEX($AD$1004:$AU$1004,1,MATCH(COLUMNS($AD$1006:AR1006),$AD$1006:$AU$1006,0)))),"Fix")))</f>
        <v xml:space="preserve"> </v>
      </c>
      <c r="Q326" s="4" t="str">
        <f ca="1">IF(OR(INDEX($X$2:$X$1001,MATCH(ROWS($W$2:W326),$W$2:$W$1001,0),1)&gt;=100000,INDEX($AD$1005:$AU$1005,1,MATCH(COLUMNS($AD$1006:AS1006),$AD$1006:$AU$1006,0))&gt;=100000), " ",IF(INDEX($AD$2:$AU$1001,MATCH(ROWS($W$2:W326),$W$2:$W$1001,0),MATCH(COLUMNS($AD$1006:AS1006),$AD$1006:$AU$1006,0)), HYPERLINK("#",""), HYPERLINK(CONCATENATE("#metadata!", ADDRESS(INDEX($Y$2:$Y$1001,MATCH(ROWS($W$2:W326),$W$2:$W$1001,0),0), INDEX($AD$1004:$AU$1004,1,MATCH(COLUMNS($AD$1006:AS1006),$AD$1006:$AU$1006,0)))),"Fix")))</f>
        <v xml:space="preserve"> </v>
      </c>
      <c r="R326" s="4" t="str">
        <f ca="1">IF(OR(INDEX($X$2:$X$1001,MATCH(ROWS($W$2:W326),$W$2:$W$1001,0),1)&gt;=100000,INDEX($AD$1005:$AU$1005,1,MATCH(COLUMNS($AD$1006:AT1006),$AD$1006:$AU$1006,0))&gt;=100000), " ",IF(INDEX($AD$2:$AU$1001,MATCH(ROWS($W$2:W326),$W$2:$W$1001,0),MATCH(COLUMNS($AD$1006:AT1006),$AD$1006:$AU$1006,0)), HYPERLINK("#",""), HYPERLINK(CONCATENATE("#metadata!", ADDRESS(INDEX($Y$2:$Y$1001,MATCH(ROWS($W$2:W326),$W$2:$W$1001,0),0), INDEX($AD$1004:$AU$1004,1,MATCH(COLUMNS($AD$1006:AT1006),$AD$1006:$AU$1006,0)))),"Fix")))</f>
        <v xml:space="preserve"> </v>
      </c>
      <c r="S326" s="4" t="str">
        <f ca="1">IF(OR(INDEX($X$2:$X$1001,MATCH(ROWS($W$2:W326),$W$2:$W$1001,0),1)&gt;=100000,INDEX($AD$1005:$AU$1005,1,MATCH(COLUMNS($AD$1006:AU1006),$AD$1006:$AU$1006,0))&gt;=100000), " ",IF(INDEX($AD$2:$AU$1001,MATCH(ROWS($W$2:W326),$W$2:$W$1001,0),MATCH(COLUMNS($AD$1006:AU1006),$AD$1006:$AU$1006,0)), HYPERLINK("#",""), HYPERLINK(CONCATENATE("#metadata!", ADDRESS(INDEX($Y$2:$Y$1001,MATCH(ROWS($W$2:W326),$W$2:$W$1001,0),0), INDEX($AD$1004:$AU$1004,1,MATCH(COLUMNS($AD$1006:AU1006),$AD$1006:$AU$1006,0)))),"Fix")))</f>
        <v xml:space="preserve"> </v>
      </c>
      <c r="W326">
        <v>325</v>
      </c>
      <c r="X326">
        <v>100326</v>
      </c>
      <c r="Y326">
        <v>326</v>
      </c>
      <c r="Z326" t="b">
        <f t="shared" si="5"/>
        <v>1</v>
      </c>
      <c r="AA326" t="b">
        <f>COUNTBLANK(metadata!B326:S326)=COLUMNS(metadata!B326:S326)</f>
        <v>1</v>
      </c>
      <c r="AB326" t="str">
        <v/>
      </c>
      <c r="AD326" t="b">
        <f ca="1">AND(IF(metadata!B326="",FALSE,TRUE),COUNTIF(metadata!B:B, metadata!B326) = 1,NOT(ISERROR(SUMPRODUCT(SEARCH(MID(metadata!B326,ROW(INDIRECT("1:"&amp;LEN(metadata!B326))), 1),"0123456789abcdefghijklmnopqrstuvwxyzABCDEFGHIJKLMNOPQRSTUVWXYZ.")))))</f>
        <v>0</v>
      </c>
      <c r="AE326" t="b">
        <f>OR(AND(IF(metadata!C326="",FALSE,TRUE),OR(EXACT(metadata!C326,"not applicable"),EXACT(metadata!C326,"missing: not collected"),EXACT(metadata!C326,"missing: not provided"),EXACT(metadata!C326,"missing: restricted access"))),AND(IF(metadata!C326="",FALSE,ISNUMBER(VALUE(metadata!C326))),metadata!C326&gt;0))</f>
        <v>0</v>
      </c>
      <c r="AF326" t="b">
        <f>AND(IF(metadata!D326="",FALSE,TRUE),EXACT(metadata!D326,"missing: not provided"))</f>
        <v>0</v>
      </c>
      <c r="AG326" t="b">
        <f>AND(IF(metadata!E326="",FALSE,TRUE),EXACT(metadata!E326,"Host-associated"))</f>
        <v>0</v>
      </c>
      <c r="AH326" t="b">
        <f>AND(IF(metadata!F326="",FALSE,TRUE),OR(EXACT(metadata!F326,"Animal"),EXACT(metadata!F326,"Fungus"),EXACT(metadata!F326,"Plant")))</f>
        <v>0</v>
      </c>
      <c r="AI326" t="b">
        <f>AND(IF(metadata!G326="",FALSE,TRUE),OR(EXACT(metadata!G326,"Plant secretion"),EXACT(metadata!G326,"Plant rhizosphere"),EXACT(metadata!G326,"Plant surface"),EXACT(metadata!G326,"Plant corpus"),EXACT(metadata!G326,"Fungus surface"),EXACT(metadata!G326,"Fungus corpus"),EXACT(metadata!G326,"Animal surface"),EXACT(metadata!G326,"Animal proximal gut"),EXACT(metadata!G326,"Animal corpus"),EXACT(metadata!G326,"Animal distal gut"),EXACT(metadata!G326,"Animal secretion")))</f>
        <v>0</v>
      </c>
      <c r="AJ326" t="b">
        <f>OR(AND(IF(metadata!H326="",FALSE,TRUE),OR(EXACT(metadata!H326,"missing: not collected"),EXACT(metadata!H326,"missing: not provided"),EXACT(metadata!H326,"missing: restricted access"))),AND(IF(metadata!H326="",FALSE,TRUE),OR(EXACT(metadata!H326,"organism-associated habitat"),EXACT(metadata!H326,"plant-associated habitat"),EXACT(metadata!H326,"animal-associated habitat"),EXACT(metadata!H326,"insecta-associated habitat"),EXACT(metadata!H326,"mammalia-associated habitat"),EXACT(metadata!H326,"human-associated habitat"),EXACT(metadata!H326,"livestock-associated habitat"))))</f>
        <v>0</v>
      </c>
      <c r="AK326" t="b">
        <f>AND(IF(metadata!I326="",FALSE,TRUE),EXACT(metadata!I326,"host-associated"))</f>
        <v>0</v>
      </c>
      <c r="AL326" t="b">
        <f>OR(AND(IF(metadata!J326="",FALSE,TRUE),OR(EXACT(metadata!J326,"not applicable"),EXACT(metadata!J326,"missing: not collected"),EXACT(metadata!J326,"missing: not provided"),EXACT(metadata!J326,"missing: restricted access"))),AND(IF(metadata!J326="",FALSE,ISNUMBER(VALUE(metadata!J326))),metadata!J326&gt;0))</f>
        <v>0</v>
      </c>
      <c r="AM326" t="b">
        <f>AND(IF(metadata!K326="",FALSE,TRUE),EXACT(metadata!K326,"missing: not provided"))</f>
        <v>0</v>
      </c>
      <c r="AN326" t="b">
        <f>IF(metadata!L326="",FALSE,TRUE)</f>
        <v>0</v>
      </c>
      <c r="AO326" t="b">
        <f>IF(metadata!M326="",FALSE,TRUE)</f>
        <v>0</v>
      </c>
      <c r="AP326" t="b">
        <f>OR(AND(IF(metadata!N326="",FALSE,TRUE),OR(EXACT(metadata!N326,"not applicable"),EXACT(metadata!N326,"missing: not collected"),EXACT(metadata!N326,"missing: not provided"))),AND(IF(metadata!N326="",FALSE,IF(ISERROR(INT(metadata!N326)),FALSE,INT(metadata!N326)=metadata!N326)),metadata!N326&gt;0))</f>
        <v>0</v>
      </c>
      <c r="AQ326" t="b">
        <f>AND(IF(metadata!O326="",FALSE,TRUE),EXACT(metadata!O326,"Not applicable"))</f>
        <v>0</v>
      </c>
      <c r="AR326" t="b">
        <f>OR(AND(IF(metadata!P326="",FALSE,TRUE),OR(EXACT(metadata!P326,"not applicable"),EXACT(metadata!P326,"missing: not collected"),EXACT(metadata!P326,"missing: not provided"),EXACT(metadata!P326,"missing: restricted access"))),IF(metadata!P326="",FALSE,IF(ISERROR(INT(metadata!P326)),FALSE,INT(metadata!P326)=metadata!P326)))</f>
        <v>0</v>
      </c>
      <c r="AS326" t="b">
        <f>AND(IF(metadata!Q326="",FALSE,TRUE),EXACT(metadata!Q326,"Not applicable"))</f>
        <v>0</v>
      </c>
      <c r="AT326" t="b">
        <f>OR(AND(IF(metadata!R326="",FALSE,TRUE),OR(EXACT(metadata!R326,"not applicable"),EXACT(metadata!R326,"missing: not collected"),EXACT(metadata!R326,"missing: not provided"),EXACT(metadata!R326,"missing: restricted access"))),AND(IF(metadata!R326="",FALSE,ISNUMBER(VALUE(metadata!R326))),metadata!R326&gt;0))</f>
        <v>0</v>
      </c>
      <c r="AU326" t="b">
        <f>AND(IF(metadata!S326="",FALSE,TRUE),EXACT(metadata!S326,"missing: not provided"))</f>
        <v>0</v>
      </c>
    </row>
    <row r="327" spans="1:47" x14ac:dyDescent="0.2">
      <c r="A327" s="5" t="str">
        <f ca="1">IF(B327=" "," ",HYPERLINK(CONCATENATE("#metadata!",ADDRESS(INDEX($Y$2:$Y$1001,MATCH(ROWS($W$2:W327),$W$2:$W$1001,0),0),1)),INDEX($AB$2:$AB$1001,MATCH(ROWS($W$2:W327),$W$2:$W$1001,0),0)))</f>
        <v xml:space="preserve"> </v>
      </c>
      <c r="B327" s="4" t="str">
        <f ca="1">IF(OR(INDEX($X$2:$X$1001,MATCH(ROWS($W$2:W327),$W$2:$W$1001,0),1)&gt;=100000,INDEX($AD$1005:$AU$1005,1,MATCH(COLUMNS($AD$1006:AD1006),$AD$1006:$AU$1006,0))&gt;=100000), " ",IF(INDEX($AD$2:$AU$1001,MATCH(ROWS($W$2:W327),$W$2:$W$1001,0),MATCH(COLUMNS($AD$1006:AD1006),$AD$1006:$AU$1006,0)), HYPERLINK("#",""), HYPERLINK(CONCATENATE("#metadata!", ADDRESS(INDEX($Y$2:$Y$1001,MATCH(ROWS($W$2:W327),$W$2:$W$1001,0),0), INDEX($AD$1004:$AU$1004,1,MATCH(COLUMNS($AD$1006:AD1006),$AD$1006:$AU$1006,0)))),"Fix")))</f>
        <v xml:space="preserve"> </v>
      </c>
      <c r="C327" s="4" t="str">
        <f ca="1">IF(OR(INDEX($X$2:$X$1001,MATCH(ROWS($W$2:W327),$W$2:$W$1001,0),1)&gt;=100000,INDEX($AD$1005:$AU$1005,1,MATCH(COLUMNS($AD$1006:AE1006),$AD$1006:$AU$1006,0))&gt;=100000), " ",IF(INDEX($AD$2:$AU$1001,MATCH(ROWS($W$2:W327),$W$2:$W$1001,0),MATCH(COLUMNS($AD$1006:AE1006),$AD$1006:$AU$1006,0)), HYPERLINK("#",""), HYPERLINK(CONCATENATE("#metadata!", ADDRESS(INDEX($Y$2:$Y$1001,MATCH(ROWS($W$2:W327),$W$2:$W$1001,0),0), INDEX($AD$1004:$AU$1004,1,MATCH(COLUMNS($AD$1006:AE1006),$AD$1006:$AU$1006,0)))),"Fix")))</f>
        <v xml:space="preserve"> </v>
      </c>
      <c r="D327" s="4" t="str">
        <f ca="1">IF(OR(INDEX($X$2:$X$1001,MATCH(ROWS($W$2:W327),$W$2:$W$1001,0),1)&gt;=100000,INDEX($AD$1005:$AU$1005,1,MATCH(COLUMNS($AD$1006:AF1006),$AD$1006:$AU$1006,0))&gt;=100000), " ",IF(INDEX($AD$2:$AU$1001,MATCH(ROWS($W$2:W327),$W$2:$W$1001,0),MATCH(COLUMNS($AD$1006:AF1006),$AD$1006:$AU$1006,0)), HYPERLINK("#",""), HYPERLINK(CONCATENATE("#metadata!", ADDRESS(INDEX($Y$2:$Y$1001,MATCH(ROWS($W$2:W327),$W$2:$W$1001,0),0), INDEX($AD$1004:$AU$1004,1,MATCH(COLUMNS($AD$1006:AF1006),$AD$1006:$AU$1006,0)))),"Fix")))</f>
        <v xml:space="preserve"> </v>
      </c>
      <c r="E327" s="4" t="str">
        <f ca="1">IF(OR(INDEX($X$2:$X$1001,MATCH(ROWS($W$2:W327),$W$2:$W$1001,0),1)&gt;=100000,INDEX($AD$1005:$AU$1005,1,MATCH(COLUMNS($AD$1006:AG1006),$AD$1006:$AU$1006,0))&gt;=100000), " ",IF(INDEX($AD$2:$AU$1001,MATCH(ROWS($W$2:W327),$W$2:$W$1001,0),MATCH(COLUMNS($AD$1006:AG1006),$AD$1006:$AU$1006,0)), HYPERLINK("#",""), HYPERLINK(CONCATENATE("#metadata!", ADDRESS(INDEX($Y$2:$Y$1001,MATCH(ROWS($W$2:W327),$W$2:$W$1001,0),0), INDEX($AD$1004:$AU$1004,1,MATCH(COLUMNS($AD$1006:AG1006),$AD$1006:$AU$1006,0)))),"Fix")))</f>
        <v xml:space="preserve"> </v>
      </c>
      <c r="F327" s="4" t="str">
        <f ca="1">IF(OR(INDEX($X$2:$X$1001,MATCH(ROWS($W$2:W327),$W$2:$W$1001,0),1)&gt;=100000,INDEX($AD$1005:$AU$1005,1,MATCH(COLUMNS($AD$1006:AH1006),$AD$1006:$AU$1006,0))&gt;=100000), " ",IF(INDEX($AD$2:$AU$1001,MATCH(ROWS($W$2:W327),$W$2:$W$1001,0),MATCH(COLUMNS($AD$1006:AH1006),$AD$1006:$AU$1006,0)), HYPERLINK("#",""), HYPERLINK(CONCATENATE("#metadata!", ADDRESS(INDEX($Y$2:$Y$1001,MATCH(ROWS($W$2:W327),$W$2:$W$1001,0),0), INDEX($AD$1004:$AU$1004,1,MATCH(COLUMNS($AD$1006:AH1006),$AD$1006:$AU$1006,0)))),"Fix")))</f>
        <v xml:space="preserve"> </v>
      </c>
      <c r="G327" s="4" t="str">
        <f ca="1">IF(OR(INDEX($X$2:$X$1001,MATCH(ROWS($W$2:W327),$W$2:$W$1001,0),1)&gt;=100000,INDEX($AD$1005:$AU$1005,1,MATCH(COLUMNS($AD$1006:AI1006),$AD$1006:$AU$1006,0))&gt;=100000), " ",IF(INDEX($AD$2:$AU$1001,MATCH(ROWS($W$2:W327),$W$2:$W$1001,0),MATCH(COLUMNS($AD$1006:AI1006),$AD$1006:$AU$1006,0)), HYPERLINK("#",""), HYPERLINK(CONCATENATE("#metadata!", ADDRESS(INDEX($Y$2:$Y$1001,MATCH(ROWS($W$2:W327),$W$2:$W$1001,0),0), INDEX($AD$1004:$AU$1004,1,MATCH(COLUMNS($AD$1006:AI1006),$AD$1006:$AU$1006,0)))),"Fix")))</f>
        <v xml:space="preserve"> </v>
      </c>
      <c r="H327" s="4" t="str">
        <f ca="1">IF(OR(INDEX($X$2:$X$1001,MATCH(ROWS($W$2:W327),$W$2:$W$1001,0),1)&gt;=100000,INDEX($AD$1005:$AU$1005,1,MATCH(COLUMNS($AD$1006:AJ1006),$AD$1006:$AU$1006,0))&gt;=100000), " ",IF(INDEX($AD$2:$AU$1001,MATCH(ROWS($W$2:W327),$W$2:$W$1001,0),MATCH(COLUMNS($AD$1006:AJ1006),$AD$1006:$AU$1006,0)), HYPERLINK("#",""), HYPERLINK(CONCATENATE("#metadata!", ADDRESS(INDEX($Y$2:$Y$1001,MATCH(ROWS($W$2:W327),$W$2:$W$1001,0),0), INDEX($AD$1004:$AU$1004,1,MATCH(COLUMNS($AD$1006:AJ1006),$AD$1006:$AU$1006,0)))),"Fix")))</f>
        <v xml:space="preserve"> </v>
      </c>
      <c r="I327" s="4" t="str">
        <f ca="1">IF(OR(INDEX($X$2:$X$1001,MATCH(ROWS($W$2:W327),$W$2:$W$1001,0),1)&gt;=100000,INDEX($AD$1005:$AU$1005,1,MATCH(COLUMNS($AD$1006:AK1006),$AD$1006:$AU$1006,0))&gt;=100000), " ",IF(INDEX($AD$2:$AU$1001,MATCH(ROWS($W$2:W327),$W$2:$W$1001,0),MATCH(COLUMNS($AD$1006:AK1006),$AD$1006:$AU$1006,0)), HYPERLINK("#",""), HYPERLINK(CONCATENATE("#metadata!", ADDRESS(INDEX($Y$2:$Y$1001,MATCH(ROWS($W$2:W327),$W$2:$W$1001,0),0), INDEX($AD$1004:$AU$1004,1,MATCH(COLUMNS($AD$1006:AK1006),$AD$1006:$AU$1006,0)))),"Fix")))</f>
        <v xml:space="preserve"> </v>
      </c>
      <c r="J327" s="4" t="str">
        <f ca="1">IF(OR(INDEX($X$2:$X$1001,MATCH(ROWS($W$2:W327),$W$2:$W$1001,0),1)&gt;=100000,INDEX($AD$1005:$AU$1005,1,MATCH(COLUMNS($AD$1006:AL1006),$AD$1006:$AU$1006,0))&gt;=100000), " ",IF(INDEX($AD$2:$AU$1001,MATCH(ROWS($W$2:W327),$W$2:$W$1001,0),MATCH(COLUMNS($AD$1006:AL1006),$AD$1006:$AU$1006,0)), HYPERLINK("#",""), HYPERLINK(CONCATENATE("#metadata!", ADDRESS(INDEX($Y$2:$Y$1001,MATCH(ROWS($W$2:W327),$W$2:$W$1001,0),0), INDEX($AD$1004:$AU$1004,1,MATCH(COLUMNS($AD$1006:AL1006),$AD$1006:$AU$1006,0)))),"Fix")))</f>
        <v xml:space="preserve"> </v>
      </c>
      <c r="K327" s="4" t="str">
        <f ca="1">IF(OR(INDEX($X$2:$X$1001,MATCH(ROWS($W$2:W327),$W$2:$W$1001,0),1)&gt;=100000,INDEX($AD$1005:$AU$1005,1,MATCH(COLUMNS($AD$1006:AM1006),$AD$1006:$AU$1006,0))&gt;=100000), " ",IF(INDEX($AD$2:$AU$1001,MATCH(ROWS($W$2:W327),$W$2:$W$1001,0),MATCH(COLUMNS($AD$1006:AM1006),$AD$1006:$AU$1006,0)), HYPERLINK("#",""), HYPERLINK(CONCATENATE("#metadata!", ADDRESS(INDEX($Y$2:$Y$1001,MATCH(ROWS($W$2:W327),$W$2:$W$1001,0),0), INDEX($AD$1004:$AU$1004,1,MATCH(COLUMNS($AD$1006:AM1006),$AD$1006:$AU$1006,0)))),"Fix")))</f>
        <v xml:space="preserve"> </v>
      </c>
      <c r="L327" s="4" t="str">
        <f ca="1">IF(OR(INDEX($X$2:$X$1001,MATCH(ROWS($W$2:W327),$W$2:$W$1001,0),1)&gt;=100000,INDEX($AD$1005:$AU$1005,1,MATCH(COLUMNS($AD$1006:AN1006),$AD$1006:$AU$1006,0))&gt;=100000), " ",IF(INDEX($AD$2:$AU$1001,MATCH(ROWS($W$2:W327),$W$2:$W$1001,0),MATCH(COLUMNS($AD$1006:AN1006),$AD$1006:$AU$1006,0)), HYPERLINK("#",""), HYPERLINK(CONCATENATE("#metadata!", ADDRESS(INDEX($Y$2:$Y$1001,MATCH(ROWS($W$2:W327),$W$2:$W$1001,0),0), INDEX($AD$1004:$AU$1004,1,MATCH(COLUMNS($AD$1006:AN1006),$AD$1006:$AU$1006,0)))),"Fix")))</f>
        <v xml:space="preserve"> </v>
      </c>
      <c r="M327" s="4" t="str">
        <f ca="1">IF(OR(INDEX($X$2:$X$1001,MATCH(ROWS($W$2:W327),$W$2:$W$1001,0),1)&gt;=100000,INDEX($AD$1005:$AU$1005,1,MATCH(COLUMNS($AD$1006:AO1006),$AD$1006:$AU$1006,0))&gt;=100000), " ",IF(INDEX($AD$2:$AU$1001,MATCH(ROWS($W$2:W327),$W$2:$W$1001,0),MATCH(COLUMNS($AD$1006:AO1006),$AD$1006:$AU$1006,0)), HYPERLINK("#",""), HYPERLINK(CONCATENATE("#metadata!", ADDRESS(INDEX($Y$2:$Y$1001,MATCH(ROWS($W$2:W327),$W$2:$W$1001,0),0), INDEX($AD$1004:$AU$1004,1,MATCH(COLUMNS($AD$1006:AO1006),$AD$1006:$AU$1006,0)))),"Fix")))</f>
        <v xml:space="preserve"> </v>
      </c>
      <c r="N327" s="4" t="str">
        <f ca="1">IF(OR(INDEX($X$2:$X$1001,MATCH(ROWS($W$2:W327),$W$2:$W$1001,0),1)&gt;=100000,INDEX($AD$1005:$AU$1005,1,MATCH(COLUMNS($AD$1006:AP1006),$AD$1006:$AU$1006,0))&gt;=100000), " ",IF(INDEX($AD$2:$AU$1001,MATCH(ROWS($W$2:W327),$W$2:$W$1001,0),MATCH(COLUMNS($AD$1006:AP1006),$AD$1006:$AU$1006,0)), HYPERLINK("#",""), HYPERLINK(CONCATENATE("#metadata!", ADDRESS(INDEX($Y$2:$Y$1001,MATCH(ROWS($W$2:W327),$W$2:$W$1001,0),0), INDEX($AD$1004:$AU$1004,1,MATCH(COLUMNS($AD$1006:AP1006),$AD$1006:$AU$1006,0)))),"Fix")))</f>
        <v xml:space="preserve"> </v>
      </c>
      <c r="O327" s="4" t="str">
        <f ca="1">IF(OR(INDEX($X$2:$X$1001,MATCH(ROWS($W$2:W327),$W$2:$W$1001,0),1)&gt;=100000,INDEX($AD$1005:$AU$1005,1,MATCH(COLUMNS($AD$1006:AQ1006),$AD$1006:$AU$1006,0))&gt;=100000), " ",IF(INDEX($AD$2:$AU$1001,MATCH(ROWS($W$2:W327),$W$2:$W$1001,0),MATCH(COLUMNS($AD$1006:AQ1006),$AD$1006:$AU$1006,0)), HYPERLINK("#",""), HYPERLINK(CONCATENATE("#metadata!", ADDRESS(INDEX($Y$2:$Y$1001,MATCH(ROWS($W$2:W327),$W$2:$W$1001,0),0), INDEX($AD$1004:$AU$1004,1,MATCH(COLUMNS($AD$1006:AQ1006),$AD$1006:$AU$1006,0)))),"Fix")))</f>
        <v xml:space="preserve"> </v>
      </c>
      <c r="P327" s="4" t="str">
        <f ca="1">IF(OR(INDEX($X$2:$X$1001,MATCH(ROWS($W$2:W327),$W$2:$W$1001,0),1)&gt;=100000,INDEX($AD$1005:$AU$1005,1,MATCH(COLUMNS($AD$1006:AR1006),$AD$1006:$AU$1006,0))&gt;=100000), " ",IF(INDEX($AD$2:$AU$1001,MATCH(ROWS($W$2:W327),$W$2:$W$1001,0),MATCH(COLUMNS($AD$1006:AR1006),$AD$1006:$AU$1006,0)), HYPERLINK("#",""), HYPERLINK(CONCATENATE("#metadata!", ADDRESS(INDEX($Y$2:$Y$1001,MATCH(ROWS($W$2:W327),$W$2:$W$1001,0),0), INDEX($AD$1004:$AU$1004,1,MATCH(COLUMNS($AD$1006:AR1006),$AD$1006:$AU$1006,0)))),"Fix")))</f>
        <v xml:space="preserve"> </v>
      </c>
      <c r="Q327" s="4" t="str">
        <f ca="1">IF(OR(INDEX($X$2:$X$1001,MATCH(ROWS($W$2:W327),$W$2:$W$1001,0),1)&gt;=100000,INDEX($AD$1005:$AU$1005,1,MATCH(COLUMNS($AD$1006:AS1006),$AD$1006:$AU$1006,0))&gt;=100000), " ",IF(INDEX($AD$2:$AU$1001,MATCH(ROWS($W$2:W327),$W$2:$W$1001,0),MATCH(COLUMNS($AD$1006:AS1006),$AD$1006:$AU$1006,0)), HYPERLINK("#",""), HYPERLINK(CONCATENATE("#metadata!", ADDRESS(INDEX($Y$2:$Y$1001,MATCH(ROWS($W$2:W327),$W$2:$W$1001,0),0), INDEX($AD$1004:$AU$1004,1,MATCH(COLUMNS($AD$1006:AS1006),$AD$1006:$AU$1006,0)))),"Fix")))</f>
        <v xml:space="preserve"> </v>
      </c>
      <c r="R327" s="4" t="str">
        <f ca="1">IF(OR(INDEX($X$2:$X$1001,MATCH(ROWS($W$2:W327),$W$2:$W$1001,0),1)&gt;=100000,INDEX($AD$1005:$AU$1005,1,MATCH(COLUMNS($AD$1006:AT1006),$AD$1006:$AU$1006,0))&gt;=100000), " ",IF(INDEX($AD$2:$AU$1001,MATCH(ROWS($W$2:W327),$W$2:$W$1001,0),MATCH(COLUMNS($AD$1006:AT1006),$AD$1006:$AU$1006,0)), HYPERLINK("#",""), HYPERLINK(CONCATENATE("#metadata!", ADDRESS(INDEX($Y$2:$Y$1001,MATCH(ROWS($W$2:W327),$W$2:$W$1001,0),0), INDEX($AD$1004:$AU$1004,1,MATCH(COLUMNS($AD$1006:AT1006),$AD$1006:$AU$1006,0)))),"Fix")))</f>
        <v xml:space="preserve"> </v>
      </c>
      <c r="S327" s="4" t="str">
        <f ca="1">IF(OR(INDEX($X$2:$X$1001,MATCH(ROWS($W$2:W327),$W$2:$W$1001,0),1)&gt;=100000,INDEX($AD$1005:$AU$1005,1,MATCH(COLUMNS($AD$1006:AU1006),$AD$1006:$AU$1006,0))&gt;=100000), " ",IF(INDEX($AD$2:$AU$1001,MATCH(ROWS($W$2:W327),$W$2:$W$1001,0),MATCH(COLUMNS($AD$1006:AU1006),$AD$1006:$AU$1006,0)), HYPERLINK("#",""), HYPERLINK(CONCATENATE("#metadata!", ADDRESS(INDEX($Y$2:$Y$1001,MATCH(ROWS($W$2:W327),$W$2:$W$1001,0),0), INDEX($AD$1004:$AU$1004,1,MATCH(COLUMNS($AD$1006:AU1006),$AD$1006:$AU$1006,0)))),"Fix")))</f>
        <v xml:space="preserve"> </v>
      </c>
      <c r="W327">
        <v>326</v>
      </c>
      <c r="X327">
        <v>100327</v>
      </c>
      <c r="Y327">
        <v>327</v>
      </c>
      <c r="Z327" t="b">
        <f t="shared" si="5"/>
        <v>1</v>
      </c>
      <c r="AA327" t="b">
        <f>COUNTBLANK(metadata!B327:S327)=COLUMNS(metadata!B327:S327)</f>
        <v>1</v>
      </c>
      <c r="AB327" t="str">
        <v/>
      </c>
      <c r="AD327" t="b">
        <f ca="1">AND(IF(metadata!B327="",FALSE,TRUE),COUNTIF(metadata!B:B, metadata!B327) = 1,NOT(ISERROR(SUMPRODUCT(SEARCH(MID(metadata!B327,ROW(INDIRECT("1:"&amp;LEN(metadata!B327))), 1),"0123456789abcdefghijklmnopqrstuvwxyzABCDEFGHIJKLMNOPQRSTUVWXYZ.")))))</f>
        <v>0</v>
      </c>
      <c r="AE327" t="b">
        <f>OR(AND(IF(metadata!C327="",FALSE,TRUE),OR(EXACT(metadata!C327,"not applicable"),EXACT(metadata!C327,"missing: not collected"),EXACT(metadata!C327,"missing: not provided"),EXACT(metadata!C327,"missing: restricted access"))),AND(IF(metadata!C327="",FALSE,ISNUMBER(VALUE(metadata!C327))),metadata!C327&gt;0))</f>
        <v>0</v>
      </c>
      <c r="AF327" t="b">
        <f>AND(IF(metadata!D327="",FALSE,TRUE),EXACT(metadata!D327,"missing: not provided"))</f>
        <v>0</v>
      </c>
      <c r="AG327" t="b">
        <f>AND(IF(metadata!E327="",FALSE,TRUE),EXACT(metadata!E327,"Host-associated"))</f>
        <v>0</v>
      </c>
      <c r="AH327" t="b">
        <f>AND(IF(metadata!F327="",FALSE,TRUE),OR(EXACT(metadata!F327,"Animal"),EXACT(metadata!F327,"Fungus"),EXACT(metadata!F327,"Plant")))</f>
        <v>0</v>
      </c>
      <c r="AI327" t="b">
        <f>AND(IF(metadata!G327="",FALSE,TRUE),OR(EXACT(metadata!G327,"Plant secretion"),EXACT(metadata!G327,"Plant rhizosphere"),EXACT(metadata!G327,"Plant surface"),EXACT(metadata!G327,"Plant corpus"),EXACT(metadata!G327,"Fungus surface"),EXACT(metadata!G327,"Fungus corpus"),EXACT(metadata!G327,"Animal surface"),EXACT(metadata!G327,"Animal proximal gut"),EXACT(metadata!G327,"Animal corpus"),EXACT(metadata!G327,"Animal distal gut"),EXACT(metadata!G327,"Animal secretion")))</f>
        <v>0</v>
      </c>
      <c r="AJ327" t="b">
        <f>OR(AND(IF(metadata!H327="",FALSE,TRUE),OR(EXACT(metadata!H327,"missing: not collected"),EXACT(metadata!H327,"missing: not provided"),EXACT(metadata!H327,"missing: restricted access"))),AND(IF(metadata!H327="",FALSE,TRUE),OR(EXACT(metadata!H327,"organism-associated habitat"),EXACT(metadata!H327,"plant-associated habitat"),EXACT(metadata!H327,"animal-associated habitat"),EXACT(metadata!H327,"insecta-associated habitat"),EXACT(metadata!H327,"mammalia-associated habitat"),EXACT(metadata!H327,"human-associated habitat"),EXACT(metadata!H327,"livestock-associated habitat"))))</f>
        <v>0</v>
      </c>
      <c r="AK327" t="b">
        <f>AND(IF(metadata!I327="",FALSE,TRUE),EXACT(metadata!I327,"host-associated"))</f>
        <v>0</v>
      </c>
      <c r="AL327" t="b">
        <f>OR(AND(IF(metadata!J327="",FALSE,TRUE),OR(EXACT(metadata!J327,"not applicable"),EXACT(metadata!J327,"missing: not collected"),EXACT(metadata!J327,"missing: not provided"),EXACT(metadata!J327,"missing: restricted access"))),AND(IF(metadata!J327="",FALSE,ISNUMBER(VALUE(metadata!J327))),metadata!J327&gt;0))</f>
        <v>0</v>
      </c>
      <c r="AM327" t="b">
        <f>AND(IF(metadata!K327="",FALSE,TRUE),EXACT(metadata!K327,"missing: not provided"))</f>
        <v>0</v>
      </c>
      <c r="AN327" t="b">
        <f>IF(metadata!L327="",FALSE,TRUE)</f>
        <v>0</v>
      </c>
      <c r="AO327" t="b">
        <f>IF(metadata!M327="",FALSE,TRUE)</f>
        <v>0</v>
      </c>
      <c r="AP327" t="b">
        <f>OR(AND(IF(metadata!N327="",FALSE,TRUE),OR(EXACT(metadata!N327,"not applicable"),EXACT(metadata!N327,"missing: not collected"),EXACT(metadata!N327,"missing: not provided"))),AND(IF(metadata!N327="",FALSE,IF(ISERROR(INT(metadata!N327)),FALSE,INT(metadata!N327)=metadata!N327)),metadata!N327&gt;0))</f>
        <v>0</v>
      </c>
      <c r="AQ327" t="b">
        <f>AND(IF(metadata!O327="",FALSE,TRUE),EXACT(metadata!O327,"Not applicable"))</f>
        <v>0</v>
      </c>
      <c r="AR327" t="b">
        <f>OR(AND(IF(metadata!P327="",FALSE,TRUE),OR(EXACT(metadata!P327,"not applicable"),EXACT(metadata!P327,"missing: not collected"),EXACT(metadata!P327,"missing: not provided"),EXACT(metadata!P327,"missing: restricted access"))),IF(metadata!P327="",FALSE,IF(ISERROR(INT(metadata!P327)),FALSE,INT(metadata!P327)=metadata!P327)))</f>
        <v>0</v>
      </c>
      <c r="AS327" t="b">
        <f>AND(IF(metadata!Q327="",FALSE,TRUE),EXACT(metadata!Q327,"Not applicable"))</f>
        <v>0</v>
      </c>
      <c r="AT327" t="b">
        <f>OR(AND(IF(metadata!R327="",FALSE,TRUE),OR(EXACT(metadata!R327,"not applicable"),EXACT(metadata!R327,"missing: not collected"),EXACT(metadata!R327,"missing: not provided"),EXACT(metadata!R327,"missing: restricted access"))),AND(IF(metadata!R327="",FALSE,ISNUMBER(VALUE(metadata!R327))),metadata!R327&gt;0))</f>
        <v>0</v>
      </c>
      <c r="AU327" t="b">
        <f>AND(IF(metadata!S327="",FALSE,TRUE),EXACT(metadata!S327,"missing: not provided"))</f>
        <v>0</v>
      </c>
    </row>
    <row r="328" spans="1:47" x14ac:dyDescent="0.2">
      <c r="A328" s="5" t="str">
        <f ca="1">IF(B328=" "," ",HYPERLINK(CONCATENATE("#metadata!",ADDRESS(INDEX($Y$2:$Y$1001,MATCH(ROWS($W$2:W328),$W$2:$W$1001,0),0),1)),INDEX($AB$2:$AB$1001,MATCH(ROWS($W$2:W328),$W$2:$W$1001,0),0)))</f>
        <v xml:space="preserve"> </v>
      </c>
      <c r="B328" s="4" t="str">
        <f ca="1">IF(OR(INDEX($X$2:$X$1001,MATCH(ROWS($W$2:W328),$W$2:$W$1001,0),1)&gt;=100000,INDEX($AD$1005:$AU$1005,1,MATCH(COLUMNS($AD$1006:AD1006),$AD$1006:$AU$1006,0))&gt;=100000), " ",IF(INDEX($AD$2:$AU$1001,MATCH(ROWS($W$2:W328),$W$2:$W$1001,0),MATCH(COLUMNS($AD$1006:AD1006),$AD$1006:$AU$1006,0)), HYPERLINK("#",""), HYPERLINK(CONCATENATE("#metadata!", ADDRESS(INDEX($Y$2:$Y$1001,MATCH(ROWS($W$2:W328),$W$2:$W$1001,0),0), INDEX($AD$1004:$AU$1004,1,MATCH(COLUMNS($AD$1006:AD1006),$AD$1006:$AU$1006,0)))),"Fix")))</f>
        <v xml:space="preserve"> </v>
      </c>
      <c r="C328" s="4" t="str">
        <f ca="1">IF(OR(INDEX($X$2:$X$1001,MATCH(ROWS($W$2:W328),$W$2:$W$1001,0),1)&gt;=100000,INDEX($AD$1005:$AU$1005,1,MATCH(COLUMNS($AD$1006:AE1006),$AD$1006:$AU$1006,0))&gt;=100000), " ",IF(INDEX($AD$2:$AU$1001,MATCH(ROWS($W$2:W328),$W$2:$W$1001,0),MATCH(COLUMNS($AD$1006:AE1006),$AD$1006:$AU$1006,0)), HYPERLINK("#",""), HYPERLINK(CONCATENATE("#metadata!", ADDRESS(INDEX($Y$2:$Y$1001,MATCH(ROWS($W$2:W328),$W$2:$W$1001,0),0), INDEX($AD$1004:$AU$1004,1,MATCH(COLUMNS($AD$1006:AE1006),$AD$1006:$AU$1006,0)))),"Fix")))</f>
        <v xml:space="preserve"> </v>
      </c>
      <c r="D328" s="4" t="str">
        <f ca="1">IF(OR(INDEX($X$2:$X$1001,MATCH(ROWS($W$2:W328),$W$2:$W$1001,0),1)&gt;=100000,INDEX($AD$1005:$AU$1005,1,MATCH(COLUMNS($AD$1006:AF1006),$AD$1006:$AU$1006,0))&gt;=100000), " ",IF(INDEX($AD$2:$AU$1001,MATCH(ROWS($W$2:W328),$W$2:$W$1001,0),MATCH(COLUMNS($AD$1006:AF1006),$AD$1006:$AU$1006,0)), HYPERLINK("#",""), HYPERLINK(CONCATENATE("#metadata!", ADDRESS(INDEX($Y$2:$Y$1001,MATCH(ROWS($W$2:W328),$W$2:$W$1001,0),0), INDEX($AD$1004:$AU$1004,1,MATCH(COLUMNS($AD$1006:AF1006),$AD$1006:$AU$1006,0)))),"Fix")))</f>
        <v xml:space="preserve"> </v>
      </c>
      <c r="E328" s="4" t="str">
        <f ca="1">IF(OR(INDEX($X$2:$X$1001,MATCH(ROWS($W$2:W328),$W$2:$W$1001,0),1)&gt;=100000,INDEX($AD$1005:$AU$1005,1,MATCH(COLUMNS($AD$1006:AG1006),$AD$1006:$AU$1006,0))&gt;=100000), " ",IF(INDEX($AD$2:$AU$1001,MATCH(ROWS($W$2:W328),$W$2:$W$1001,0),MATCH(COLUMNS($AD$1006:AG1006),$AD$1006:$AU$1006,0)), HYPERLINK("#",""), HYPERLINK(CONCATENATE("#metadata!", ADDRESS(INDEX($Y$2:$Y$1001,MATCH(ROWS($W$2:W328),$W$2:$W$1001,0),0), INDEX($AD$1004:$AU$1004,1,MATCH(COLUMNS($AD$1006:AG1006),$AD$1006:$AU$1006,0)))),"Fix")))</f>
        <v xml:space="preserve"> </v>
      </c>
      <c r="F328" s="4" t="str">
        <f ca="1">IF(OR(INDEX($X$2:$X$1001,MATCH(ROWS($W$2:W328),$W$2:$W$1001,0),1)&gt;=100000,INDEX($AD$1005:$AU$1005,1,MATCH(COLUMNS($AD$1006:AH1006),$AD$1006:$AU$1006,0))&gt;=100000), " ",IF(INDEX($AD$2:$AU$1001,MATCH(ROWS($W$2:W328),$W$2:$W$1001,0),MATCH(COLUMNS($AD$1006:AH1006),$AD$1006:$AU$1006,0)), HYPERLINK("#",""), HYPERLINK(CONCATENATE("#metadata!", ADDRESS(INDEX($Y$2:$Y$1001,MATCH(ROWS($W$2:W328),$W$2:$W$1001,0),0), INDEX($AD$1004:$AU$1004,1,MATCH(COLUMNS($AD$1006:AH1006),$AD$1006:$AU$1006,0)))),"Fix")))</f>
        <v xml:space="preserve"> </v>
      </c>
      <c r="G328" s="4" t="str">
        <f ca="1">IF(OR(INDEX($X$2:$X$1001,MATCH(ROWS($W$2:W328),$W$2:$W$1001,0),1)&gt;=100000,INDEX($AD$1005:$AU$1005,1,MATCH(COLUMNS($AD$1006:AI1006),$AD$1006:$AU$1006,0))&gt;=100000), " ",IF(INDEX($AD$2:$AU$1001,MATCH(ROWS($W$2:W328),$W$2:$W$1001,0),MATCH(COLUMNS($AD$1006:AI1006),$AD$1006:$AU$1006,0)), HYPERLINK("#",""), HYPERLINK(CONCATENATE("#metadata!", ADDRESS(INDEX($Y$2:$Y$1001,MATCH(ROWS($W$2:W328),$W$2:$W$1001,0),0), INDEX($AD$1004:$AU$1004,1,MATCH(COLUMNS($AD$1006:AI1006),$AD$1006:$AU$1006,0)))),"Fix")))</f>
        <v xml:space="preserve"> </v>
      </c>
      <c r="H328" s="4" t="str">
        <f ca="1">IF(OR(INDEX($X$2:$X$1001,MATCH(ROWS($W$2:W328),$W$2:$W$1001,0),1)&gt;=100000,INDEX($AD$1005:$AU$1005,1,MATCH(COLUMNS($AD$1006:AJ1006),$AD$1006:$AU$1006,0))&gt;=100000), " ",IF(INDEX($AD$2:$AU$1001,MATCH(ROWS($W$2:W328),$W$2:$W$1001,0),MATCH(COLUMNS($AD$1006:AJ1006),$AD$1006:$AU$1006,0)), HYPERLINK("#",""), HYPERLINK(CONCATENATE("#metadata!", ADDRESS(INDEX($Y$2:$Y$1001,MATCH(ROWS($W$2:W328),$W$2:$W$1001,0),0), INDEX($AD$1004:$AU$1004,1,MATCH(COLUMNS($AD$1006:AJ1006),$AD$1006:$AU$1006,0)))),"Fix")))</f>
        <v xml:space="preserve"> </v>
      </c>
      <c r="I328" s="4" t="str">
        <f ca="1">IF(OR(INDEX($X$2:$X$1001,MATCH(ROWS($W$2:W328),$W$2:$W$1001,0),1)&gt;=100000,INDEX($AD$1005:$AU$1005,1,MATCH(COLUMNS($AD$1006:AK1006),$AD$1006:$AU$1006,0))&gt;=100000), " ",IF(INDEX($AD$2:$AU$1001,MATCH(ROWS($W$2:W328),$W$2:$W$1001,0),MATCH(COLUMNS($AD$1006:AK1006),$AD$1006:$AU$1006,0)), HYPERLINK("#",""), HYPERLINK(CONCATENATE("#metadata!", ADDRESS(INDEX($Y$2:$Y$1001,MATCH(ROWS($W$2:W328),$W$2:$W$1001,0),0), INDEX($AD$1004:$AU$1004,1,MATCH(COLUMNS($AD$1006:AK1006),$AD$1006:$AU$1006,0)))),"Fix")))</f>
        <v xml:space="preserve"> </v>
      </c>
      <c r="J328" s="4" t="str">
        <f ca="1">IF(OR(INDEX($X$2:$X$1001,MATCH(ROWS($W$2:W328),$W$2:$W$1001,0),1)&gt;=100000,INDEX($AD$1005:$AU$1005,1,MATCH(COLUMNS($AD$1006:AL1006),$AD$1006:$AU$1006,0))&gt;=100000), " ",IF(INDEX($AD$2:$AU$1001,MATCH(ROWS($W$2:W328),$W$2:$W$1001,0),MATCH(COLUMNS($AD$1006:AL1006),$AD$1006:$AU$1006,0)), HYPERLINK("#",""), HYPERLINK(CONCATENATE("#metadata!", ADDRESS(INDEX($Y$2:$Y$1001,MATCH(ROWS($W$2:W328),$W$2:$W$1001,0),0), INDEX($AD$1004:$AU$1004,1,MATCH(COLUMNS($AD$1006:AL1006),$AD$1006:$AU$1006,0)))),"Fix")))</f>
        <v xml:space="preserve"> </v>
      </c>
      <c r="K328" s="4" t="str">
        <f ca="1">IF(OR(INDEX($X$2:$X$1001,MATCH(ROWS($W$2:W328),$W$2:$W$1001,0),1)&gt;=100000,INDEX($AD$1005:$AU$1005,1,MATCH(COLUMNS($AD$1006:AM1006),$AD$1006:$AU$1006,0))&gt;=100000), " ",IF(INDEX($AD$2:$AU$1001,MATCH(ROWS($W$2:W328),$W$2:$W$1001,0),MATCH(COLUMNS($AD$1006:AM1006),$AD$1006:$AU$1006,0)), HYPERLINK("#",""), HYPERLINK(CONCATENATE("#metadata!", ADDRESS(INDEX($Y$2:$Y$1001,MATCH(ROWS($W$2:W328),$W$2:$W$1001,0),0), INDEX($AD$1004:$AU$1004,1,MATCH(COLUMNS($AD$1006:AM1006),$AD$1006:$AU$1006,0)))),"Fix")))</f>
        <v xml:space="preserve"> </v>
      </c>
      <c r="L328" s="4" t="str">
        <f ca="1">IF(OR(INDEX($X$2:$X$1001,MATCH(ROWS($W$2:W328),$W$2:$W$1001,0),1)&gt;=100000,INDEX($AD$1005:$AU$1005,1,MATCH(COLUMNS($AD$1006:AN1006),$AD$1006:$AU$1006,0))&gt;=100000), " ",IF(INDEX($AD$2:$AU$1001,MATCH(ROWS($W$2:W328),$W$2:$W$1001,0),MATCH(COLUMNS($AD$1006:AN1006),$AD$1006:$AU$1006,0)), HYPERLINK("#",""), HYPERLINK(CONCATENATE("#metadata!", ADDRESS(INDEX($Y$2:$Y$1001,MATCH(ROWS($W$2:W328),$W$2:$W$1001,0),0), INDEX($AD$1004:$AU$1004,1,MATCH(COLUMNS($AD$1006:AN1006),$AD$1006:$AU$1006,0)))),"Fix")))</f>
        <v xml:space="preserve"> </v>
      </c>
      <c r="M328" s="4" t="str">
        <f ca="1">IF(OR(INDEX($X$2:$X$1001,MATCH(ROWS($W$2:W328),$W$2:$W$1001,0),1)&gt;=100000,INDEX($AD$1005:$AU$1005,1,MATCH(COLUMNS($AD$1006:AO1006),$AD$1006:$AU$1006,0))&gt;=100000), " ",IF(INDEX($AD$2:$AU$1001,MATCH(ROWS($W$2:W328),$W$2:$W$1001,0),MATCH(COLUMNS($AD$1006:AO1006),$AD$1006:$AU$1006,0)), HYPERLINK("#",""), HYPERLINK(CONCATENATE("#metadata!", ADDRESS(INDEX($Y$2:$Y$1001,MATCH(ROWS($W$2:W328),$W$2:$W$1001,0),0), INDEX($AD$1004:$AU$1004,1,MATCH(COLUMNS($AD$1006:AO1006),$AD$1006:$AU$1006,0)))),"Fix")))</f>
        <v xml:space="preserve"> </v>
      </c>
      <c r="N328" s="4" t="str">
        <f ca="1">IF(OR(INDEX($X$2:$X$1001,MATCH(ROWS($W$2:W328),$W$2:$W$1001,0),1)&gt;=100000,INDEX($AD$1005:$AU$1005,1,MATCH(COLUMNS($AD$1006:AP1006),$AD$1006:$AU$1006,0))&gt;=100000), " ",IF(INDEX($AD$2:$AU$1001,MATCH(ROWS($W$2:W328),$W$2:$W$1001,0),MATCH(COLUMNS($AD$1006:AP1006),$AD$1006:$AU$1006,0)), HYPERLINK("#",""), HYPERLINK(CONCATENATE("#metadata!", ADDRESS(INDEX($Y$2:$Y$1001,MATCH(ROWS($W$2:W328),$W$2:$W$1001,0),0), INDEX($AD$1004:$AU$1004,1,MATCH(COLUMNS($AD$1006:AP1006),$AD$1006:$AU$1006,0)))),"Fix")))</f>
        <v xml:space="preserve"> </v>
      </c>
      <c r="O328" s="4" t="str">
        <f ca="1">IF(OR(INDEX($X$2:$X$1001,MATCH(ROWS($W$2:W328),$W$2:$W$1001,0),1)&gt;=100000,INDEX($AD$1005:$AU$1005,1,MATCH(COLUMNS($AD$1006:AQ1006),$AD$1006:$AU$1006,0))&gt;=100000), " ",IF(INDEX($AD$2:$AU$1001,MATCH(ROWS($W$2:W328),$W$2:$W$1001,0),MATCH(COLUMNS($AD$1006:AQ1006),$AD$1006:$AU$1006,0)), HYPERLINK("#",""), HYPERLINK(CONCATENATE("#metadata!", ADDRESS(INDEX($Y$2:$Y$1001,MATCH(ROWS($W$2:W328),$W$2:$W$1001,0),0), INDEX($AD$1004:$AU$1004,1,MATCH(COLUMNS($AD$1006:AQ1006),$AD$1006:$AU$1006,0)))),"Fix")))</f>
        <v xml:space="preserve"> </v>
      </c>
      <c r="P328" s="4" t="str">
        <f ca="1">IF(OR(INDEX($X$2:$X$1001,MATCH(ROWS($W$2:W328),$W$2:$W$1001,0),1)&gt;=100000,INDEX($AD$1005:$AU$1005,1,MATCH(COLUMNS($AD$1006:AR1006),$AD$1006:$AU$1006,0))&gt;=100000), " ",IF(INDEX($AD$2:$AU$1001,MATCH(ROWS($W$2:W328),$W$2:$W$1001,0),MATCH(COLUMNS($AD$1006:AR1006),$AD$1006:$AU$1006,0)), HYPERLINK("#",""), HYPERLINK(CONCATENATE("#metadata!", ADDRESS(INDEX($Y$2:$Y$1001,MATCH(ROWS($W$2:W328),$W$2:$W$1001,0),0), INDEX($AD$1004:$AU$1004,1,MATCH(COLUMNS($AD$1006:AR1006),$AD$1006:$AU$1006,0)))),"Fix")))</f>
        <v xml:space="preserve"> </v>
      </c>
      <c r="Q328" s="4" t="str">
        <f ca="1">IF(OR(INDEX($X$2:$X$1001,MATCH(ROWS($W$2:W328),$W$2:$W$1001,0),1)&gt;=100000,INDEX($AD$1005:$AU$1005,1,MATCH(COLUMNS($AD$1006:AS1006),$AD$1006:$AU$1006,0))&gt;=100000), " ",IF(INDEX($AD$2:$AU$1001,MATCH(ROWS($W$2:W328),$W$2:$W$1001,0),MATCH(COLUMNS($AD$1006:AS1006),$AD$1006:$AU$1006,0)), HYPERLINK("#",""), HYPERLINK(CONCATENATE("#metadata!", ADDRESS(INDEX($Y$2:$Y$1001,MATCH(ROWS($W$2:W328),$W$2:$W$1001,0),0), INDEX($AD$1004:$AU$1004,1,MATCH(COLUMNS($AD$1006:AS1006),$AD$1006:$AU$1006,0)))),"Fix")))</f>
        <v xml:space="preserve"> </v>
      </c>
      <c r="R328" s="4" t="str">
        <f ca="1">IF(OR(INDEX($X$2:$X$1001,MATCH(ROWS($W$2:W328),$W$2:$W$1001,0),1)&gt;=100000,INDEX($AD$1005:$AU$1005,1,MATCH(COLUMNS($AD$1006:AT1006),$AD$1006:$AU$1006,0))&gt;=100000), " ",IF(INDEX($AD$2:$AU$1001,MATCH(ROWS($W$2:W328),$W$2:$W$1001,0),MATCH(COLUMNS($AD$1006:AT1006),$AD$1006:$AU$1006,0)), HYPERLINK("#",""), HYPERLINK(CONCATENATE("#metadata!", ADDRESS(INDEX($Y$2:$Y$1001,MATCH(ROWS($W$2:W328),$W$2:$W$1001,0),0), INDEX($AD$1004:$AU$1004,1,MATCH(COLUMNS($AD$1006:AT1006),$AD$1006:$AU$1006,0)))),"Fix")))</f>
        <v xml:space="preserve"> </v>
      </c>
      <c r="S328" s="4" t="str">
        <f ca="1">IF(OR(INDEX($X$2:$X$1001,MATCH(ROWS($W$2:W328),$W$2:$W$1001,0),1)&gt;=100000,INDEX($AD$1005:$AU$1005,1,MATCH(COLUMNS($AD$1006:AU1006),$AD$1006:$AU$1006,0))&gt;=100000), " ",IF(INDEX($AD$2:$AU$1001,MATCH(ROWS($W$2:W328),$W$2:$W$1001,0),MATCH(COLUMNS($AD$1006:AU1006),$AD$1006:$AU$1006,0)), HYPERLINK("#",""), HYPERLINK(CONCATENATE("#metadata!", ADDRESS(INDEX($Y$2:$Y$1001,MATCH(ROWS($W$2:W328),$W$2:$W$1001,0),0), INDEX($AD$1004:$AU$1004,1,MATCH(COLUMNS($AD$1006:AU1006),$AD$1006:$AU$1006,0)))),"Fix")))</f>
        <v xml:space="preserve"> </v>
      </c>
      <c r="W328">
        <v>327</v>
      </c>
      <c r="X328">
        <v>100328</v>
      </c>
      <c r="Y328">
        <v>328</v>
      </c>
      <c r="Z328" t="b">
        <f t="shared" si="5"/>
        <v>1</v>
      </c>
      <c r="AA328" t="b">
        <f>COUNTBLANK(metadata!B328:S328)=COLUMNS(metadata!B328:S328)</f>
        <v>1</v>
      </c>
      <c r="AB328" t="str">
        <v/>
      </c>
      <c r="AD328" t="b">
        <f ca="1">AND(IF(metadata!B328="",FALSE,TRUE),COUNTIF(metadata!B:B, metadata!B328) = 1,NOT(ISERROR(SUMPRODUCT(SEARCH(MID(metadata!B328,ROW(INDIRECT("1:"&amp;LEN(metadata!B328))), 1),"0123456789abcdefghijklmnopqrstuvwxyzABCDEFGHIJKLMNOPQRSTUVWXYZ.")))))</f>
        <v>0</v>
      </c>
      <c r="AE328" t="b">
        <f>OR(AND(IF(metadata!C328="",FALSE,TRUE),OR(EXACT(metadata!C328,"not applicable"),EXACT(metadata!C328,"missing: not collected"),EXACT(metadata!C328,"missing: not provided"),EXACT(metadata!C328,"missing: restricted access"))),AND(IF(metadata!C328="",FALSE,ISNUMBER(VALUE(metadata!C328))),metadata!C328&gt;0))</f>
        <v>0</v>
      </c>
      <c r="AF328" t="b">
        <f>AND(IF(metadata!D328="",FALSE,TRUE),EXACT(metadata!D328,"missing: not provided"))</f>
        <v>0</v>
      </c>
      <c r="AG328" t="b">
        <f>AND(IF(metadata!E328="",FALSE,TRUE),EXACT(metadata!E328,"Host-associated"))</f>
        <v>0</v>
      </c>
      <c r="AH328" t="b">
        <f>AND(IF(metadata!F328="",FALSE,TRUE),OR(EXACT(metadata!F328,"Animal"),EXACT(metadata!F328,"Fungus"),EXACT(metadata!F328,"Plant")))</f>
        <v>0</v>
      </c>
      <c r="AI328" t="b">
        <f>AND(IF(metadata!G328="",FALSE,TRUE),OR(EXACT(metadata!G328,"Plant secretion"),EXACT(metadata!G328,"Plant rhizosphere"),EXACT(metadata!G328,"Plant surface"),EXACT(metadata!G328,"Plant corpus"),EXACT(metadata!G328,"Fungus surface"),EXACT(metadata!G328,"Fungus corpus"),EXACT(metadata!G328,"Animal surface"),EXACT(metadata!G328,"Animal proximal gut"),EXACT(metadata!G328,"Animal corpus"),EXACT(metadata!G328,"Animal distal gut"),EXACT(metadata!G328,"Animal secretion")))</f>
        <v>0</v>
      </c>
      <c r="AJ328" t="b">
        <f>OR(AND(IF(metadata!H328="",FALSE,TRUE),OR(EXACT(metadata!H328,"missing: not collected"),EXACT(metadata!H328,"missing: not provided"),EXACT(metadata!H328,"missing: restricted access"))),AND(IF(metadata!H328="",FALSE,TRUE),OR(EXACT(metadata!H328,"organism-associated habitat"),EXACT(metadata!H328,"plant-associated habitat"),EXACT(metadata!H328,"animal-associated habitat"),EXACT(metadata!H328,"insecta-associated habitat"),EXACT(metadata!H328,"mammalia-associated habitat"),EXACT(metadata!H328,"human-associated habitat"),EXACT(metadata!H328,"livestock-associated habitat"))))</f>
        <v>0</v>
      </c>
      <c r="AK328" t="b">
        <f>AND(IF(metadata!I328="",FALSE,TRUE),EXACT(metadata!I328,"host-associated"))</f>
        <v>0</v>
      </c>
      <c r="AL328" t="b">
        <f>OR(AND(IF(metadata!J328="",FALSE,TRUE),OR(EXACT(metadata!J328,"not applicable"),EXACT(metadata!J328,"missing: not collected"),EXACT(metadata!J328,"missing: not provided"),EXACT(metadata!J328,"missing: restricted access"))),AND(IF(metadata!J328="",FALSE,ISNUMBER(VALUE(metadata!J328))),metadata!J328&gt;0))</f>
        <v>0</v>
      </c>
      <c r="AM328" t="b">
        <f>AND(IF(metadata!K328="",FALSE,TRUE),EXACT(metadata!K328,"missing: not provided"))</f>
        <v>0</v>
      </c>
      <c r="AN328" t="b">
        <f>IF(metadata!L328="",FALSE,TRUE)</f>
        <v>0</v>
      </c>
      <c r="AO328" t="b">
        <f>IF(metadata!M328="",FALSE,TRUE)</f>
        <v>0</v>
      </c>
      <c r="AP328" t="b">
        <f>OR(AND(IF(metadata!N328="",FALSE,TRUE),OR(EXACT(metadata!N328,"not applicable"),EXACT(metadata!N328,"missing: not collected"),EXACT(metadata!N328,"missing: not provided"))),AND(IF(metadata!N328="",FALSE,IF(ISERROR(INT(metadata!N328)),FALSE,INT(metadata!N328)=metadata!N328)),metadata!N328&gt;0))</f>
        <v>0</v>
      </c>
      <c r="AQ328" t="b">
        <f>AND(IF(metadata!O328="",FALSE,TRUE),EXACT(metadata!O328,"Not applicable"))</f>
        <v>0</v>
      </c>
      <c r="AR328" t="b">
        <f>OR(AND(IF(metadata!P328="",FALSE,TRUE),OR(EXACT(metadata!P328,"not applicable"),EXACT(metadata!P328,"missing: not collected"),EXACT(metadata!P328,"missing: not provided"),EXACT(metadata!P328,"missing: restricted access"))),IF(metadata!P328="",FALSE,IF(ISERROR(INT(metadata!P328)),FALSE,INT(metadata!P328)=metadata!P328)))</f>
        <v>0</v>
      </c>
      <c r="AS328" t="b">
        <f>AND(IF(metadata!Q328="",FALSE,TRUE),EXACT(metadata!Q328,"Not applicable"))</f>
        <v>0</v>
      </c>
      <c r="AT328" t="b">
        <f>OR(AND(IF(metadata!R328="",FALSE,TRUE),OR(EXACT(metadata!R328,"not applicable"),EXACT(metadata!R328,"missing: not collected"),EXACT(metadata!R328,"missing: not provided"),EXACT(metadata!R328,"missing: restricted access"))),AND(IF(metadata!R328="",FALSE,ISNUMBER(VALUE(metadata!R328))),metadata!R328&gt;0))</f>
        <v>0</v>
      </c>
      <c r="AU328" t="b">
        <f>AND(IF(metadata!S328="",FALSE,TRUE),EXACT(metadata!S328,"missing: not provided"))</f>
        <v>0</v>
      </c>
    </row>
    <row r="329" spans="1:47" x14ac:dyDescent="0.2">
      <c r="A329" s="5" t="str">
        <f ca="1">IF(B329=" "," ",HYPERLINK(CONCATENATE("#metadata!",ADDRESS(INDEX($Y$2:$Y$1001,MATCH(ROWS($W$2:W329),$W$2:$W$1001,0),0),1)),INDEX($AB$2:$AB$1001,MATCH(ROWS($W$2:W329),$W$2:$W$1001,0),0)))</f>
        <v xml:space="preserve"> </v>
      </c>
      <c r="B329" s="4" t="str">
        <f ca="1">IF(OR(INDEX($X$2:$X$1001,MATCH(ROWS($W$2:W329),$W$2:$W$1001,0),1)&gt;=100000,INDEX($AD$1005:$AU$1005,1,MATCH(COLUMNS($AD$1006:AD1006),$AD$1006:$AU$1006,0))&gt;=100000), " ",IF(INDEX($AD$2:$AU$1001,MATCH(ROWS($W$2:W329),$W$2:$W$1001,0),MATCH(COLUMNS($AD$1006:AD1006),$AD$1006:$AU$1006,0)), HYPERLINK("#",""), HYPERLINK(CONCATENATE("#metadata!", ADDRESS(INDEX($Y$2:$Y$1001,MATCH(ROWS($W$2:W329),$W$2:$W$1001,0),0), INDEX($AD$1004:$AU$1004,1,MATCH(COLUMNS($AD$1006:AD1006),$AD$1006:$AU$1006,0)))),"Fix")))</f>
        <v xml:space="preserve"> </v>
      </c>
      <c r="C329" s="4" t="str">
        <f ca="1">IF(OR(INDEX($X$2:$X$1001,MATCH(ROWS($W$2:W329),$W$2:$W$1001,0),1)&gt;=100000,INDEX($AD$1005:$AU$1005,1,MATCH(COLUMNS($AD$1006:AE1006),$AD$1006:$AU$1006,0))&gt;=100000), " ",IF(INDEX($AD$2:$AU$1001,MATCH(ROWS($W$2:W329),$W$2:$W$1001,0),MATCH(COLUMNS($AD$1006:AE1006),$AD$1006:$AU$1006,0)), HYPERLINK("#",""), HYPERLINK(CONCATENATE("#metadata!", ADDRESS(INDEX($Y$2:$Y$1001,MATCH(ROWS($W$2:W329),$W$2:$W$1001,0),0), INDEX($AD$1004:$AU$1004,1,MATCH(COLUMNS($AD$1006:AE1006),$AD$1006:$AU$1006,0)))),"Fix")))</f>
        <v xml:space="preserve"> </v>
      </c>
      <c r="D329" s="4" t="str">
        <f ca="1">IF(OR(INDEX($X$2:$X$1001,MATCH(ROWS($W$2:W329),$W$2:$W$1001,0),1)&gt;=100000,INDEX($AD$1005:$AU$1005,1,MATCH(COLUMNS($AD$1006:AF1006),$AD$1006:$AU$1006,0))&gt;=100000), " ",IF(INDEX($AD$2:$AU$1001,MATCH(ROWS($W$2:W329),$W$2:$W$1001,0),MATCH(COLUMNS($AD$1006:AF1006),$AD$1006:$AU$1006,0)), HYPERLINK("#",""), HYPERLINK(CONCATENATE("#metadata!", ADDRESS(INDEX($Y$2:$Y$1001,MATCH(ROWS($W$2:W329),$W$2:$W$1001,0),0), INDEX($AD$1004:$AU$1004,1,MATCH(COLUMNS($AD$1006:AF1006),$AD$1006:$AU$1006,0)))),"Fix")))</f>
        <v xml:space="preserve"> </v>
      </c>
      <c r="E329" s="4" t="str">
        <f ca="1">IF(OR(INDEX($X$2:$X$1001,MATCH(ROWS($W$2:W329),$W$2:$W$1001,0),1)&gt;=100000,INDEX($AD$1005:$AU$1005,1,MATCH(COLUMNS($AD$1006:AG1006),$AD$1006:$AU$1006,0))&gt;=100000), " ",IF(INDEX($AD$2:$AU$1001,MATCH(ROWS($W$2:W329),$W$2:$W$1001,0),MATCH(COLUMNS($AD$1006:AG1006),$AD$1006:$AU$1006,0)), HYPERLINK("#",""), HYPERLINK(CONCATENATE("#metadata!", ADDRESS(INDEX($Y$2:$Y$1001,MATCH(ROWS($W$2:W329),$W$2:$W$1001,0),0), INDEX($AD$1004:$AU$1004,1,MATCH(COLUMNS($AD$1006:AG1006),$AD$1006:$AU$1006,0)))),"Fix")))</f>
        <v xml:space="preserve"> </v>
      </c>
      <c r="F329" s="4" t="str">
        <f ca="1">IF(OR(INDEX($X$2:$X$1001,MATCH(ROWS($W$2:W329),$W$2:$W$1001,0),1)&gt;=100000,INDEX($AD$1005:$AU$1005,1,MATCH(COLUMNS($AD$1006:AH1006),$AD$1006:$AU$1006,0))&gt;=100000), " ",IF(INDEX($AD$2:$AU$1001,MATCH(ROWS($W$2:W329),$W$2:$W$1001,0),MATCH(COLUMNS($AD$1006:AH1006),$AD$1006:$AU$1006,0)), HYPERLINK("#",""), HYPERLINK(CONCATENATE("#metadata!", ADDRESS(INDEX($Y$2:$Y$1001,MATCH(ROWS($W$2:W329),$W$2:$W$1001,0),0), INDEX($AD$1004:$AU$1004,1,MATCH(COLUMNS($AD$1006:AH1006),$AD$1006:$AU$1006,0)))),"Fix")))</f>
        <v xml:space="preserve"> </v>
      </c>
      <c r="G329" s="4" t="str">
        <f ca="1">IF(OR(INDEX($X$2:$X$1001,MATCH(ROWS($W$2:W329),$W$2:$W$1001,0),1)&gt;=100000,INDEX($AD$1005:$AU$1005,1,MATCH(COLUMNS($AD$1006:AI1006),$AD$1006:$AU$1006,0))&gt;=100000), " ",IF(INDEX($AD$2:$AU$1001,MATCH(ROWS($W$2:W329),$W$2:$W$1001,0),MATCH(COLUMNS($AD$1006:AI1006),$AD$1006:$AU$1006,0)), HYPERLINK("#",""), HYPERLINK(CONCATENATE("#metadata!", ADDRESS(INDEX($Y$2:$Y$1001,MATCH(ROWS($W$2:W329),$W$2:$W$1001,0),0), INDEX($AD$1004:$AU$1004,1,MATCH(COLUMNS($AD$1006:AI1006),$AD$1006:$AU$1006,0)))),"Fix")))</f>
        <v xml:space="preserve"> </v>
      </c>
      <c r="H329" s="4" t="str">
        <f ca="1">IF(OR(INDEX($X$2:$X$1001,MATCH(ROWS($W$2:W329),$W$2:$W$1001,0),1)&gt;=100000,INDEX($AD$1005:$AU$1005,1,MATCH(COLUMNS($AD$1006:AJ1006),$AD$1006:$AU$1006,0))&gt;=100000), " ",IF(INDEX($AD$2:$AU$1001,MATCH(ROWS($W$2:W329),$W$2:$W$1001,0),MATCH(COLUMNS($AD$1006:AJ1006),$AD$1006:$AU$1006,0)), HYPERLINK("#",""), HYPERLINK(CONCATENATE("#metadata!", ADDRESS(INDEX($Y$2:$Y$1001,MATCH(ROWS($W$2:W329),$W$2:$W$1001,0),0), INDEX($AD$1004:$AU$1004,1,MATCH(COLUMNS($AD$1006:AJ1006),$AD$1006:$AU$1006,0)))),"Fix")))</f>
        <v xml:space="preserve"> </v>
      </c>
      <c r="I329" s="4" t="str">
        <f ca="1">IF(OR(INDEX($X$2:$X$1001,MATCH(ROWS($W$2:W329),$W$2:$W$1001,0),1)&gt;=100000,INDEX($AD$1005:$AU$1005,1,MATCH(COLUMNS($AD$1006:AK1006),$AD$1006:$AU$1006,0))&gt;=100000), " ",IF(INDEX($AD$2:$AU$1001,MATCH(ROWS($W$2:W329),$W$2:$W$1001,0),MATCH(COLUMNS($AD$1006:AK1006),$AD$1006:$AU$1006,0)), HYPERLINK("#",""), HYPERLINK(CONCATENATE("#metadata!", ADDRESS(INDEX($Y$2:$Y$1001,MATCH(ROWS($W$2:W329),$W$2:$W$1001,0),0), INDEX($AD$1004:$AU$1004,1,MATCH(COLUMNS($AD$1006:AK1006),$AD$1006:$AU$1006,0)))),"Fix")))</f>
        <v xml:space="preserve"> </v>
      </c>
      <c r="J329" s="4" t="str">
        <f ca="1">IF(OR(INDEX($X$2:$X$1001,MATCH(ROWS($W$2:W329),$W$2:$W$1001,0),1)&gt;=100000,INDEX($AD$1005:$AU$1005,1,MATCH(COLUMNS($AD$1006:AL1006),$AD$1006:$AU$1006,0))&gt;=100000), " ",IF(INDEX($AD$2:$AU$1001,MATCH(ROWS($W$2:W329),$W$2:$W$1001,0),MATCH(COLUMNS($AD$1006:AL1006),$AD$1006:$AU$1006,0)), HYPERLINK("#",""), HYPERLINK(CONCATENATE("#metadata!", ADDRESS(INDEX($Y$2:$Y$1001,MATCH(ROWS($W$2:W329),$W$2:$W$1001,0),0), INDEX($AD$1004:$AU$1004,1,MATCH(COLUMNS($AD$1006:AL1006),$AD$1006:$AU$1006,0)))),"Fix")))</f>
        <v xml:space="preserve"> </v>
      </c>
      <c r="K329" s="4" t="str">
        <f ca="1">IF(OR(INDEX($X$2:$X$1001,MATCH(ROWS($W$2:W329),$W$2:$W$1001,0),1)&gt;=100000,INDEX($AD$1005:$AU$1005,1,MATCH(COLUMNS($AD$1006:AM1006),$AD$1006:$AU$1006,0))&gt;=100000), " ",IF(INDEX($AD$2:$AU$1001,MATCH(ROWS($W$2:W329),$W$2:$W$1001,0),MATCH(COLUMNS($AD$1006:AM1006),$AD$1006:$AU$1006,0)), HYPERLINK("#",""), HYPERLINK(CONCATENATE("#metadata!", ADDRESS(INDEX($Y$2:$Y$1001,MATCH(ROWS($W$2:W329),$W$2:$W$1001,0),0), INDEX($AD$1004:$AU$1004,1,MATCH(COLUMNS($AD$1006:AM1006),$AD$1006:$AU$1006,0)))),"Fix")))</f>
        <v xml:space="preserve"> </v>
      </c>
      <c r="L329" s="4" t="str">
        <f ca="1">IF(OR(INDEX($X$2:$X$1001,MATCH(ROWS($W$2:W329),$W$2:$W$1001,0),1)&gt;=100000,INDEX($AD$1005:$AU$1005,1,MATCH(COLUMNS($AD$1006:AN1006),$AD$1006:$AU$1006,0))&gt;=100000), " ",IF(INDEX($AD$2:$AU$1001,MATCH(ROWS($W$2:W329),$W$2:$W$1001,0),MATCH(COLUMNS($AD$1006:AN1006),$AD$1006:$AU$1006,0)), HYPERLINK("#",""), HYPERLINK(CONCATENATE("#metadata!", ADDRESS(INDEX($Y$2:$Y$1001,MATCH(ROWS($W$2:W329),$W$2:$W$1001,0),0), INDEX($AD$1004:$AU$1004,1,MATCH(COLUMNS($AD$1006:AN1006),$AD$1006:$AU$1006,0)))),"Fix")))</f>
        <v xml:space="preserve"> </v>
      </c>
      <c r="M329" s="4" t="str">
        <f ca="1">IF(OR(INDEX($X$2:$X$1001,MATCH(ROWS($W$2:W329),$W$2:$W$1001,0),1)&gt;=100000,INDEX($AD$1005:$AU$1005,1,MATCH(COLUMNS($AD$1006:AO1006),$AD$1006:$AU$1006,0))&gt;=100000), " ",IF(INDEX($AD$2:$AU$1001,MATCH(ROWS($W$2:W329),$W$2:$W$1001,0),MATCH(COLUMNS($AD$1006:AO1006),$AD$1006:$AU$1006,0)), HYPERLINK("#",""), HYPERLINK(CONCATENATE("#metadata!", ADDRESS(INDEX($Y$2:$Y$1001,MATCH(ROWS($W$2:W329),$W$2:$W$1001,0),0), INDEX($AD$1004:$AU$1004,1,MATCH(COLUMNS($AD$1006:AO1006),$AD$1006:$AU$1006,0)))),"Fix")))</f>
        <v xml:space="preserve"> </v>
      </c>
      <c r="N329" s="4" t="str">
        <f ca="1">IF(OR(INDEX($X$2:$X$1001,MATCH(ROWS($W$2:W329),$W$2:$W$1001,0),1)&gt;=100000,INDEX($AD$1005:$AU$1005,1,MATCH(COLUMNS($AD$1006:AP1006),$AD$1006:$AU$1006,0))&gt;=100000), " ",IF(INDEX($AD$2:$AU$1001,MATCH(ROWS($W$2:W329),$W$2:$W$1001,0),MATCH(COLUMNS($AD$1006:AP1006),$AD$1006:$AU$1006,0)), HYPERLINK("#",""), HYPERLINK(CONCATENATE("#metadata!", ADDRESS(INDEX($Y$2:$Y$1001,MATCH(ROWS($W$2:W329),$W$2:$W$1001,0),0), INDEX($AD$1004:$AU$1004,1,MATCH(COLUMNS($AD$1006:AP1006),$AD$1006:$AU$1006,0)))),"Fix")))</f>
        <v xml:space="preserve"> </v>
      </c>
      <c r="O329" s="4" t="str">
        <f ca="1">IF(OR(INDEX($X$2:$X$1001,MATCH(ROWS($W$2:W329),$W$2:$W$1001,0),1)&gt;=100000,INDEX($AD$1005:$AU$1005,1,MATCH(COLUMNS($AD$1006:AQ1006),$AD$1006:$AU$1006,0))&gt;=100000), " ",IF(INDEX($AD$2:$AU$1001,MATCH(ROWS($W$2:W329),$W$2:$W$1001,0),MATCH(COLUMNS($AD$1006:AQ1006),$AD$1006:$AU$1006,0)), HYPERLINK("#",""), HYPERLINK(CONCATENATE("#metadata!", ADDRESS(INDEX($Y$2:$Y$1001,MATCH(ROWS($W$2:W329),$W$2:$W$1001,0),0), INDEX($AD$1004:$AU$1004,1,MATCH(COLUMNS($AD$1006:AQ1006),$AD$1006:$AU$1006,0)))),"Fix")))</f>
        <v xml:space="preserve"> </v>
      </c>
      <c r="P329" s="4" t="str">
        <f ca="1">IF(OR(INDEX($X$2:$X$1001,MATCH(ROWS($W$2:W329),$W$2:$W$1001,0),1)&gt;=100000,INDEX($AD$1005:$AU$1005,1,MATCH(COLUMNS($AD$1006:AR1006),$AD$1006:$AU$1006,0))&gt;=100000), " ",IF(INDEX($AD$2:$AU$1001,MATCH(ROWS($W$2:W329),$W$2:$W$1001,0),MATCH(COLUMNS($AD$1006:AR1006),$AD$1006:$AU$1006,0)), HYPERLINK("#",""), HYPERLINK(CONCATENATE("#metadata!", ADDRESS(INDEX($Y$2:$Y$1001,MATCH(ROWS($W$2:W329),$W$2:$W$1001,0),0), INDEX($AD$1004:$AU$1004,1,MATCH(COLUMNS($AD$1006:AR1006),$AD$1006:$AU$1006,0)))),"Fix")))</f>
        <v xml:space="preserve"> </v>
      </c>
      <c r="Q329" s="4" t="str">
        <f ca="1">IF(OR(INDEX($X$2:$X$1001,MATCH(ROWS($W$2:W329),$W$2:$W$1001,0),1)&gt;=100000,INDEX($AD$1005:$AU$1005,1,MATCH(COLUMNS($AD$1006:AS1006),$AD$1006:$AU$1006,0))&gt;=100000), " ",IF(INDEX($AD$2:$AU$1001,MATCH(ROWS($W$2:W329),$W$2:$W$1001,0),MATCH(COLUMNS($AD$1006:AS1006),$AD$1006:$AU$1006,0)), HYPERLINK("#",""), HYPERLINK(CONCATENATE("#metadata!", ADDRESS(INDEX($Y$2:$Y$1001,MATCH(ROWS($W$2:W329),$W$2:$W$1001,0),0), INDEX($AD$1004:$AU$1004,1,MATCH(COLUMNS($AD$1006:AS1006),$AD$1006:$AU$1006,0)))),"Fix")))</f>
        <v xml:space="preserve"> </v>
      </c>
      <c r="R329" s="4" t="str">
        <f ca="1">IF(OR(INDEX($X$2:$X$1001,MATCH(ROWS($W$2:W329),$W$2:$W$1001,0),1)&gt;=100000,INDEX($AD$1005:$AU$1005,1,MATCH(COLUMNS($AD$1006:AT1006),$AD$1006:$AU$1006,0))&gt;=100000), " ",IF(INDEX($AD$2:$AU$1001,MATCH(ROWS($W$2:W329),$W$2:$W$1001,0),MATCH(COLUMNS($AD$1006:AT1006),$AD$1006:$AU$1006,0)), HYPERLINK("#",""), HYPERLINK(CONCATENATE("#metadata!", ADDRESS(INDEX($Y$2:$Y$1001,MATCH(ROWS($W$2:W329),$W$2:$W$1001,0),0), INDEX($AD$1004:$AU$1004,1,MATCH(COLUMNS($AD$1006:AT1006),$AD$1006:$AU$1006,0)))),"Fix")))</f>
        <v xml:space="preserve"> </v>
      </c>
      <c r="S329" s="4" t="str">
        <f ca="1">IF(OR(INDEX($X$2:$X$1001,MATCH(ROWS($W$2:W329),$W$2:$W$1001,0),1)&gt;=100000,INDEX($AD$1005:$AU$1005,1,MATCH(COLUMNS($AD$1006:AU1006),$AD$1006:$AU$1006,0))&gt;=100000), " ",IF(INDEX($AD$2:$AU$1001,MATCH(ROWS($W$2:W329),$W$2:$W$1001,0),MATCH(COLUMNS($AD$1006:AU1006),$AD$1006:$AU$1006,0)), HYPERLINK("#",""), HYPERLINK(CONCATENATE("#metadata!", ADDRESS(INDEX($Y$2:$Y$1001,MATCH(ROWS($W$2:W329),$W$2:$W$1001,0),0), INDEX($AD$1004:$AU$1004,1,MATCH(COLUMNS($AD$1006:AU1006),$AD$1006:$AU$1006,0)))),"Fix")))</f>
        <v xml:space="preserve"> </v>
      </c>
      <c r="W329">
        <v>328</v>
      </c>
      <c r="X329">
        <v>100329</v>
      </c>
      <c r="Y329">
        <v>329</v>
      </c>
      <c r="Z329" t="b">
        <f t="shared" si="5"/>
        <v>1</v>
      </c>
      <c r="AA329" t="b">
        <f>COUNTBLANK(metadata!B329:S329)=COLUMNS(metadata!B329:S329)</f>
        <v>1</v>
      </c>
      <c r="AB329" t="str">
        <v/>
      </c>
      <c r="AD329" t="b">
        <f ca="1">AND(IF(metadata!B329="",FALSE,TRUE),COUNTIF(metadata!B:B, metadata!B329) = 1,NOT(ISERROR(SUMPRODUCT(SEARCH(MID(metadata!B329,ROW(INDIRECT("1:"&amp;LEN(metadata!B329))), 1),"0123456789abcdefghijklmnopqrstuvwxyzABCDEFGHIJKLMNOPQRSTUVWXYZ.")))))</f>
        <v>0</v>
      </c>
      <c r="AE329" t="b">
        <f>OR(AND(IF(metadata!C329="",FALSE,TRUE),OR(EXACT(metadata!C329,"not applicable"),EXACT(metadata!C329,"missing: not collected"),EXACT(metadata!C329,"missing: not provided"),EXACT(metadata!C329,"missing: restricted access"))),AND(IF(metadata!C329="",FALSE,ISNUMBER(VALUE(metadata!C329))),metadata!C329&gt;0))</f>
        <v>0</v>
      </c>
      <c r="AF329" t="b">
        <f>AND(IF(metadata!D329="",FALSE,TRUE),EXACT(metadata!D329,"missing: not provided"))</f>
        <v>0</v>
      </c>
      <c r="AG329" t="b">
        <f>AND(IF(metadata!E329="",FALSE,TRUE),EXACT(metadata!E329,"Host-associated"))</f>
        <v>0</v>
      </c>
      <c r="AH329" t="b">
        <f>AND(IF(metadata!F329="",FALSE,TRUE),OR(EXACT(metadata!F329,"Animal"),EXACT(metadata!F329,"Fungus"),EXACT(metadata!F329,"Plant")))</f>
        <v>0</v>
      </c>
      <c r="AI329" t="b">
        <f>AND(IF(metadata!G329="",FALSE,TRUE),OR(EXACT(metadata!G329,"Plant secretion"),EXACT(metadata!G329,"Plant rhizosphere"),EXACT(metadata!G329,"Plant surface"),EXACT(metadata!G329,"Plant corpus"),EXACT(metadata!G329,"Fungus surface"),EXACT(metadata!G329,"Fungus corpus"),EXACT(metadata!G329,"Animal surface"),EXACT(metadata!G329,"Animal proximal gut"),EXACT(metadata!G329,"Animal corpus"),EXACT(metadata!G329,"Animal distal gut"),EXACT(metadata!G329,"Animal secretion")))</f>
        <v>0</v>
      </c>
      <c r="AJ329" t="b">
        <f>OR(AND(IF(metadata!H329="",FALSE,TRUE),OR(EXACT(metadata!H329,"missing: not collected"),EXACT(metadata!H329,"missing: not provided"),EXACT(metadata!H329,"missing: restricted access"))),AND(IF(metadata!H329="",FALSE,TRUE),OR(EXACT(metadata!H329,"organism-associated habitat"),EXACT(metadata!H329,"plant-associated habitat"),EXACT(metadata!H329,"animal-associated habitat"),EXACT(metadata!H329,"insecta-associated habitat"),EXACT(metadata!H329,"mammalia-associated habitat"),EXACT(metadata!H329,"human-associated habitat"),EXACT(metadata!H329,"livestock-associated habitat"))))</f>
        <v>0</v>
      </c>
      <c r="AK329" t="b">
        <f>AND(IF(metadata!I329="",FALSE,TRUE),EXACT(metadata!I329,"host-associated"))</f>
        <v>0</v>
      </c>
      <c r="AL329" t="b">
        <f>OR(AND(IF(metadata!J329="",FALSE,TRUE),OR(EXACT(metadata!J329,"not applicable"),EXACT(metadata!J329,"missing: not collected"),EXACT(metadata!J329,"missing: not provided"),EXACT(metadata!J329,"missing: restricted access"))),AND(IF(metadata!J329="",FALSE,ISNUMBER(VALUE(metadata!J329))),metadata!J329&gt;0))</f>
        <v>0</v>
      </c>
      <c r="AM329" t="b">
        <f>AND(IF(metadata!K329="",FALSE,TRUE),EXACT(metadata!K329,"missing: not provided"))</f>
        <v>0</v>
      </c>
      <c r="AN329" t="b">
        <f>IF(metadata!L329="",FALSE,TRUE)</f>
        <v>0</v>
      </c>
      <c r="AO329" t="b">
        <f>IF(metadata!M329="",FALSE,TRUE)</f>
        <v>0</v>
      </c>
      <c r="AP329" t="b">
        <f>OR(AND(IF(metadata!N329="",FALSE,TRUE),OR(EXACT(metadata!N329,"not applicable"),EXACT(metadata!N329,"missing: not collected"),EXACT(metadata!N329,"missing: not provided"))),AND(IF(metadata!N329="",FALSE,IF(ISERROR(INT(metadata!N329)),FALSE,INT(metadata!N329)=metadata!N329)),metadata!N329&gt;0))</f>
        <v>0</v>
      </c>
      <c r="AQ329" t="b">
        <f>AND(IF(metadata!O329="",FALSE,TRUE),EXACT(metadata!O329,"Not applicable"))</f>
        <v>0</v>
      </c>
      <c r="AR329" t="b">
        <f>OR(AND(IF(metadata!P329="",FALSE,TRUE),OR(EXACT(metadata!P329,"not applicable"),EXACT(metadata!P329,"missing: not collected"),EXACT(metadata!P329,"missing: not provided"),EXACT(metadata!P329,"missing: restricted access"))),IF(metadata!P329="",FALSE,IF(ISERROR(INT(metadata!P329)),FALSE,INT(metadata!P329)=metadata!P329)))</f>
        <v>0</v>
      </c>
      <c r="AS329" t="b">
        <f>AND(IF(metadata!Q329="",FALSE,TRUE),EXACT(metadata!Q329,"Not applicable"))</f>
        <v>0</v>
      </c>
      <c r="AT329" t="b">
        <f>OR(AND(IF(metadata!R329="",FALSE,TRUE),OR(EXACT(metadata!R329,"not applicable"),EXACT(metadata!R329,"missing: not collected"),EXACT(metadata!R329,"missing: not provided"),EXACT(metadata!R329,"missing: restricted access"))),AND(IF(metadata!R329="",FALSE,ISNUMBER(VALUE(metadata!R329))),metadata!R329&gt;0))</f>
        <v>0</v>
      </c>
      <c r="AU329" t="b">
        <f>AND(IF(metadata!S329="",FALSE,TRUE),EXACT(metadata!S329,"missing: not provided"))</f>
        <v>0</v>
      </c>
    </row>
    <row r="330" spans="1:47" x14ac:dyDescent="0.2">
      <c r="A330" s="5" t="str">
        <f ca="1">IF(B330=" "," ",HYPERLINK(CONCATENATE("#metadata!",ADDRESS(INDEX($Y$2:$Y$1001,MATCH(ROWS($W$2:W330),$W$2:$W$1001,0),0),1)),INDEX($AB$2:$AB$1001,MATCH(ROWS($W$2:W330),$W$2:$W$1001,0),0)))</f>
        <v xml:space="preserve"> </v>
      </c>
      <c r="B330" s="4" t="str">
        <f ca="1">IF(OR(INDEX($X$2:$X$1001,MATCH(ROWS($W$2:W330),$W$2:$W$1001,0),1)&gt;=100000,INDEX($AD$1005:$AU$1005,1,MATCH(COLUMNS($AD$1006:AD1006),$AD$1006:$AU$1006,0))&gt;=100000), " ",IF(INDEX($AD$2:$AU$1001,MATCH(ROWS($W$2:W330),$W$2:$W$1001,0),MATCH(COLUMNS($AD$1006:AD1006),$AD$1006:$AU$1006,0)), HYPERLINK("#",""), HYPERLINK(CONCATENATE("#metadata!", ADDRESS(INDEX($Y$2:$Y$1001,MATCH(ROWS($W$2:W330),$W$2:$W$1001,0),0), INDEX($AD$1004:$AU$1004,1,MATCH(COLUMNS($AD$1006:AD1006),$AD$1006:$AU$1006,0)))),"Fix")))</f>
        <v xml:space="preserve"> </v>
      </c>
      <c r="C330" s="4" t="str">
        <f ca="1">IF(OR(INDEX($X$2:$X$1001,MATCH(ROWS($W$2:W330),$W$2:$W$1001,0),1)&gt;=100000,INDEX($AD$1005:$AU$1005,1,MATCH(COLUMNS($AD$1006:AE1006),$AD$1006:$AU$1006,0))&gt;=100000), " ",IF(INDEX($AD$2:$AU$1001,MATCH(ROWS($W$2:W330),$W$2:$W$1001,0),MATCH(COLUMNS($AD$1006:AE1006),$AD$1006:$AU$1006,0)), HYPERLINK("#",""), HYPERLINK(CONCATENATE("#metadata!", ADDRESS(INDEX($Y$2:$Y$1001,MATCH(ROWS($W$2:W330),$W$2:$W$1001,0),0), INDEX($AD$1004:$AU$1004,1,MATCH(COLUMNS($AD$1006:AE1006),$AD$1006:$AU$1006,0)))),"Fix")))</f>
        <v xml:space="preserve"> </v>
      </c>
      <c r="D330" s="4" t="str">
        <f ca="1">IF(OR(INDEX($X$2:$X$1001,MATCH(ROWS($W$2:W330),$W$2:$W$1001,0),1)&gt;=100000,INDEX($AD$1005:$AU$1005,1,MATCH(COLUMNS($AD$1006:AF1006),$AD$1006:$AU$1006,0))&gt;=100000), " ",IF(INDEX($AD$2:$AU$1001,MATCH(ROWS($W$2:W330),$W$2:$W$1001,0),MATCH(COLUMNS($AD$1006:AF1006),$AD$1006:$AU$1006,0)), HYPERLINK("#",""), HYPERLINK(CONCATENATE("#metadata!", ADDRESS(INDEX($Y$2:$Y$1001,MATCH(ROWS($W$2:W330),$W$2:$W$1001,0),0), INDEX($AD$1004:$AU$1004,1,MATCH(COLUMNS($AD$1006:AF1006),$AD$1006:$AU$1006,0)))),"Fix")))</f>
        <v xml:space="preserve"> </v>
      </c>
      <c r="E330" s="4" t="str">
        <f ca="1">IF(OR(INDEX($X$2:$X$1001,MATCH(ROWS($W$2:W330),$W$2:$W$1001,0),1)&gt;=100000,INDEX($AD$1005:$AU$1005,1,MATCH(COLUMNS($AD$1006:AG1006),$AD$1006:$AU$1006,0))&gt;=100000), " ",IF(INDEX($AD$2:$AU$1001,MATCH(ROWS($W$2:W330),$W$2:$W$1001,0),MATCH(COLUMNS($AD$1006:AG1006),$AD$1006:$AU$1006,0)), HYPERLINK("#",""), HYPERLINK(CONCATENATE("#metadata!", ADDRESS(INDEX($Y$2:$Y$1001,MATCH(ROWS($W$2:W330),$W$2:$W$1001,0),0), INDEX($AD$1004:$AU$1004,1,MATCH(COLUMNS($AD$1006:AG1006),$AD$1006:$AU$1006,0)))),"Fix")))</f>
        <v xml:space="preserve"> </v>
      </c>
      <c r="F330" s="4" t="str">
        <f ca="1">IF(OR(INDEX($X$2:$X$1001,MATCH(ROWS($W$2:W330),$W$2:$W$1001,0),1)&gt;=100000,INDEX($AD$1005:$AU$1005,1,MATCH(COLUMNS($AD$1006:AH1006),$AD$1006:$AU$1006,0))&gt;=100000), " ",IF(INDEX($AD$2:$AU$1001,MATCH(ROWS($W$2:W330),$W$2:$W$1001,0),MATCH(COLUMNS($AD$1006:AH1006),$AD$1006:$AU$1006,0)), HYPERLINK("#",""), HYPERLINK(CONCATENATE("#metadata!", ADDRESS(INDEX($Y$2:$Y$1001,MATCH(ROWS($W$2:W330),$W$2:$W$1001,0),0), INDEX($AD$1004:$AU$1004,1,MATCH(COLUMNS($AD$1006:AH1006),$AD$1006:$AU$1006,0)))),"Fix")))</f>
        <v xml:space="preserve"> </v>
      </c>
      <c r="G330" s="4" t="str">
        <f ca="1">IF(OR(INDEX($X$2:$X$1001,MATCH(ROWS($W$2:W330),$W$2:$W$1001,0),1)&gt;=100000,INDEX($AD$1005:$AU$1005,1,MATCH(COLUMNS($AD$1006:AI1006),$AD$1006:$AU$1006,0))&gt;=100000), " ",IF(INDEX($AD$2:$AU$1001,MATCH(ROWS($W$2:W330),$W$2:$W$1001,0),MATCH(COLUMNS($AD$1006:AI1006),$AD$1006:$AU$1006,0)), HYPERLINK("#",""), HYPERLINK(CONCATENATE("#metadata!", ADDRESS(INDEX($Y$2:$Y$1001,MATCH(ROWS($W$2:W330),$W$2:$W$1001,0),0), INDEX($AD$1004:$AU$1004,1,MATCH(COLUMNS($AD$1006:AI1006),$AD$1006:$AU$1006,0)))),"Fix")))</f>
        <v xml:space="preserve"> </v>
      </c>
      <c r="H330" s="4" t="str">
        <f ca="1">IF(OR(INDEX($X$2:$X$1001,MATCH(ROWS($W$2:W330),$W$2:$W$1001,0),1)&gt;=100000,INDEX($AD$1005:$AU$1005,1,MATCH(COLUMNS($AD$1006:AJ1006),$AD$1006:$AU$1006,0))&gt;=100000), " ",IF(INDEX($AD$2:$AU$1001,MATCH(ROWS($W$2:W330),$W$2:$W$1001,0),MATCH(COLUMNS($AD$1006:AJ1006),$AD$1006:$AU$1006,0)), HYPERLINK("#",""), HYPERLINK(CONCATENATE("#metadata!", ADDRESS(INDEX($Y$2:$Y$1001,MATCH(ROWS($W$2:W330),$W$2:$W$1001,0),0), INDEX($AD$1004:$AU$1004,1,MATCH(COLUMNS($AD$1006:AJ1006),$AD$1006:$AU$1006,0)))),"Fix")))</f>
        <v xml:space="preserve"> </v>
      </c>
      <c r="I330" s="4" t="str">
        <f ca="1">IF(OR(INDEX($X$2:$X$1001,MATCH(ROWS($W$2:W330),$W$2:$W$1001,0),1)&gt;=100000,INDEX($AD$1005:$AU$1005,1,MATCH(COLUMNS($AD$1006:AK1006),$AD$1006:$AU$1006,0))&gt;=100000), " ",IF(INDEX($AD$2:$AU$1001,MATCH(ROWS($W$2:W330),$W$2:$W$1001,0),MATCH(COLUMNS($AD$1006:AK1006),$AD$1006:$AU$1006,0)), HYPERLINK("#",""), HYPERLINK(CONCATENATE("#metadata!", ADDRESS(INDEX($Y$2:$Y$1001,MATCH(ROWS($W$2:W330),$W$2:$W$1001,0),0), INDEX($AD$1004:$AU$1004,1,MATCH(COLUMNS($AD$1006:AK1006),$AD$1006:$AU$1006,0)))),"Fix")))</f>
        <v xml:space="preserve"> </v>
      </c>
      <c r="J330" s="4" t="str">
        <f ca="1">IF(OR(INDEX($X$2:$X$1001,MATCH(ROWS($W$2:W330),$W$2:$W$1001,0),1)&gt;=100000,INDEX($AD$1005:$AU$1005,1,MATCH(COLUMNS($AD$1006:AL1006),$AD$1006:$AU$1006,0))&gt;=100000), " ",IF(INDEX($AD$2:$AU$1001,MATCH(ROWS($W$2:W330),$W$2:$W$1001,0),MATCH(COLUMNS($AD$1006:AL1006),$AD$1006:$AU$1006,0)), HYPERLINK("#",""), HYPERLINK(CONCATENATE("#metadata!", ADDRESS(INDEX($Y$2:$Y$1001,MATCH(ROWS($W$2:W330),$W$2:$W$1001,0),0), INDEX($AD$1004:$AU$1004,1,MATCH(COLUMNS($AD$1006:AL1006),$AD$1006:$AU$1006,0)))),"Fix")))</f>
        <v xml:space="preserve"> </v>
      </c>
      <c r="K330" s="4" t="str">
        <f ca="1">IF(OR(INDEX($X$2:$X$1001,MATCH(ROWS($W$2:W330),$W$2:$W$1001,0),1)&gt;=100000,INDEX($AD$1005:$AU$1005,1,MATCH(COLUMNS($AD$1006:AM1006),$AD$1006:$AU$1006,0))&gt;=100000), " ",IF(INDEX($AD$2:$AU$1001,MATCH(ROWS($W$2:W330),$W$2:$W$1001,0),MATCH(COLUMNS($AD$1006:AM1006),$AD$1006:$AU$1006,0)), HYPERLINK("#",""), HYPERLINK(CONCATENATE("#metadata!", ADDRESS(INDEX($Y$2:$Y$1001,MATCH(ROWS($W$2:W330),$W$2:$W$1001,0),0), INDEX($AD$1004:$AU$1004,1,MATCH(COLUMNS($AD$1006:AM1006),$AD$1006:$AU$1006,0)))),"Fix")))</f>
        <v xml:space="preserve"> </v>
      </c>
      <c r="L330" s="4" t="str">
        <f ca="1">IF(OR(INDEX($X$2:$X$1001,MATCH(ROWS($W$2:W330),$W$2:$W$1001,0),1)&gt;=100000,INDEX($AD$1005:$AU$1005,1,MATCH(COLUMNS($AD$1006:AN1006),$AD$1006:$AU$1006,0))&gt;=100000), " ",IF(INDEX($AD$2:$AU$1001,MATCH(ROWS($W$2:W330),$W$2:$W$1001,0),MATCH(COLUMNS($AD$1006:AN1006),$AD$1006:$AU$1006,0)), HYPERLINK("#",""), HYPERLINK(CONCATENATE("#metadata!", ADDRESS(INDEX($Y$2:$Y$1001,MATCH(ROWS($W$2:W330),$W$2:$W$1001,0),0), INDEX($AD$1004:$AU$1004,1,MATCH(COLUMNS($AD$1006:AN1006),$AD$1006:$AU$1006,0)))),"Fix")))</f>
        <v xml:space="preserve"> </v>
      </c>
      <c r="M330" s="4" t="str">
        <f ca="1">IF(OR(INDEX($X$2:$X$1001,MATCH(ROWS($W$2:W330),$W$2:$W$1001,0),1)&gt;=100000,INDEX($AD$1005:$AU$1005,1,MATCH(COLUMNS($AD$1006:AO1006),$AD$1006:$AU$1006,0))&gt;=100000), " ",IF(INDEX($AD$2:$AU$1001,MATCH(ROWS($W$2:W330),$W$2:$W$1001,0),MATCH(COLUMNS($AD$1006:AO1006),$AD$1006:$AU$1006,0)), HYPERLINK("#",""), HYPERLINK(CONCATENATE("#metadata!", ADDRESS(INDEX($Y$2:$Y$1001,MATCH(ROWS($W$2:W330),$W$2:$W$1001,0),0), INDEX($AD$1004:$AU$1004,1,MATCH(COLUMNS($AD$1006:AO1006),$AD$1006:$AU$1006,0)))),"Fix")))</f>
        <v xml:space="preserve"> </v>
      </c>
      <c r="N330" s="4" t="str">
        <f ca="1">IF(OR(INDEX($X$2:$X$1001,MATCH(ROWS($W$2:W330),$W$2:$W$1001,0),1)&gt;=100000,INDEX($AD$1005:$AU$1005,1,MATCH(COLUMNS($AD$1006:AP1006),$AD$1006:$AU$1006,0))&gt;=100000), " ",IF(INDEX($AD$2:$AU$1001,MATCH(ROWS($W$2:W330),$W$2:$W$1001,0),MATCH(COLUMNS($AD$1006:AP1006),$AD$1006:$AU$1006,0)), HYPERLINK("#",""), HYPERLINK(CONCATENATE("#metadata!", ADDRESS(INDEX($Y$2:$Y$1001,MATCH(ROWS($W$2:W330),$W$2:$W$1001,0),0), INDEX($AD$1004:$AU$1004,1,MATCH(COLUMNS($AD$1006:AP1006),$AD$1006:$AU$1006,0)))),"Fix")))</f>
        <v xml:space="preserve"> </v>
      </c>
      <c r="O330" s="4" t="str">
        <f ca="1">IF(OR(INDEX($X$2:$X$1001,MATCH(ROWS($W$2:W330),$W$2:$W$1001,0),1)&gt;=100000,INDEX($AD$1005:$AU$1005,1,MATCH(COLUMNS($AD$1006:AQ1006),$AD$1006:$AU$1006,0))&gt;=100000), " ",IF(INDEX($AD$2:$AU$1001,MATCH(ROWS($W$2:W330),$W$2:$W$1001,0),MATCH(COLUMNS($AD$1006:AQ1006),$AD$1006:$AU$1006,0)), HYPERLINK("#",""), HYPERLINK(CONCATENATE("#metadata!", ADDRESS(INDEX($Y$2:$Y$1001,MATCH(ROWS($W$2:W330),$W$2:$W$1001,0),0), INDEX($AD$1004:$AU$1004,1,MATCH(COLUMNS($AD$1006:AQ1006),$AD$1006:$AU$1006,0)))),"Fix")))</f>
        <v xml:space="preserve"> </v>
      </c>
      <c r="P330" s="4" t="str">
        <f ca="1">IF(OR(INDEX($X$2:$X$1001,MATCH(ROWS($W$2:W330),$W$2:$W$1001,0),1)&gt;=100000,INDEX($AD$1005:$AU$1005,1,MATCH(COLUMNS($AD$1006:AR1006),$AD$1006:$AU$1006,0))&gt;=100000), " ",IF(INDEX($AD$2:$AU$1001,MATCH(ROWS($W$2:W330),$W$2:$W$1001,0),MATCH(COLUMNS($AD$1006:AR1006),$AD$1006:$AU$1006,0)), HYPERLINK("#",""), HYPERLINK(CONCATENATE("#metadata!", ADDRESS(INDEX($Y$2:$Y$1001,MATCH(ROWS($W$2:W330),$W$2:$W$1001,0),0), INDEX($AD$1004:$AU$1004,1,MATCH(COLUMNS($AD$1006:AR1006),$AD$1006:$AU$1006,0)))),"Fix")))</f>
        <v xml:space="preserve"> </v>
      </c>
      <c r="Q330" s="4" t="str">
        <f ca="1">IF(OR(INDEX($X$2:$X$1001,MATCH(ROWS($W$2:W330),$W$2:$W$1001,0),1)&gt;=100000,INDEX($AD$1005:$AU$1005,1,MATCH(COLUMNS($AD$1006:AS1006),$AD$1006:$AU$1006,0))&gt;=100000), " ",IF(INDEX($AD$2:$AU$1001,MATCH(ROWS($W$2:W330),$W$2:$W$1001,0),MATCH(COLUMNS($AD$1006:AS1006),$AD$1006:$AU$1006,0)), HYPERLINK("#",""), HYPERLINK(CONCATENATE("#metadata!", ADDRESS(INDEX($Y$2:$Y$1001,MATCH(ROWS($W$2:W330),$W$2:$W$1001,0),0), INDEX($AD$1004:$AU$1004,1,MATCH(COLUMNS($AD$1006:AS1006),$AD$1006:$AU$1006,0)))),"Fix")))</f>
        <v xml:space="preserve"> </v>
      </c>
      <c r="R330" s="4" t="str">
        <f ca="1">IF(OR(INDEX($X$2:$X$1001,MATCH(ROWS($W$2:W330),$W$2:$W$1001,0),1)&gt;=100000,INDEX($AD$1005:$AU$1005,1,MATCH(COLUMNS($AD$1006:AT1006),$AD$1006:$AU$1006,0))&gt;=100000), " ",IF(INDEX($AD$2:$AU$1001,MATCH(ROWS($W$2:W330),$W$2:$W$1001,0),MATCH(COLUMNS($AD$1006:AT1006),$AD$1006:$AU$1006,0)), HYPERLINK("#",""), HYPERLINK(CONCATENATE("#metadata!", ADDRESS(INDEX($Y$2:$Y$1001,MATCH(ROWS($W$2:W330),$W$2:$W$1001,0),0), INDEX($AD$1004:$AU$1004,1,MATCH(COLUMNS($AD$1006:AT1006),$AD$1006:$AU$1006,0)))),"Fix")))</f>
        <v xml:space="preserve"> </v>
      </c>
      <c r="S330" s="4" t="str">
        <f ca="1">IF(OR(INDEX($X$2:$X$1001,MATCH(ROWS($W$2:W330),$W$2:$W$1001,0),1)&gt;=100000,INDEX($AD$1005:$AU$1005,1,MATCH(COLUMNS($AD$1006:AU1006),$AD$1006:$AU$1006,0))&gt;=100000), " ",IF(INDEX($AD$2:$AU$1001,MATCH(ROWS($W$2:W330),$W$2:$W$1001,0),MATCH(COLUMNS($AD$1006:AU1006),$AD$1006:$AU$1006,0)), HYPERLINK("#",""), HYPERLINK(CONCATENATE("#metadata!", ADDRESS(INDEX($Y$2:$Y$1001,MATCH(ROWS($W$2:W330),$W$2:$W$1001,0),0), INDEX($AD$1004:$AU$1004,1,MATCH(COLUMNS($AD$1006:AU1006),$AD$1006:$AU$1006,0)))),"Fix")))</f>
        <v xml:space="preserve"> </v>
      </c>
      <c r="W330">
        <v>329</v>
      </c>
      <c r="X330">
        <v>100330</v>
      </c>
      <c r="Y330">
        <v>330</v>
      </c>
      <c r="Z330" t="b">
        <f t="shared" si="5"/>
        <v>1</v>
      </c>
      <c r="AA330" t="b">
        <f>COUNTBLANK(metadata!B330:S330)=COLUMNS(metadata!B330:S330)</f>
        <v>1</v>
      </c>
      <c r="AB330" t="str">
        <v/>
      </c>
      <c r="AD330" t="b">
        <f ca="1">AND(IF(metadata!B330="",FALSE,TRUE),COUNTIF(metadata!B:B, metadata!B330) = 1,NOT(ISERROR(SUMPRODUCT(SEARCH(MID(metadata!B330,ROW(INDIRECT("1:"&amp;LEN(metadata!B330))), 1),"0123456789abcdefghijklmnopqrstuvwxyzABCDEFGHIJKLMNOPQRSTUVWXYZ.")))))</f>
        <v>0</v>
      </c>
      <c r="AE330" t="b">
        <f>OR(AND(IF(metadata!C330="",FALSE,TRUE),OR(EXACT(metadata!C330,"not applicable"),EXACT(metadata!C330,"missing: not collected"),EXACT(metadata!C330,"missing: not provided"),EXACT(metadata!C330,"missing: restricted access"))),AND(IF(metadata!C330="",FALSE,ISNUMBER(VALUE(metadata!C330))),metadata!C330&gt;0))</f>
        <v>0</v>
      </c>
      <c r="AF330" t="b">
        <f>AND(IF(metadata!D330="",FALSE,TRUE),EXACT(metadata!D330,"missing: not provided"))</f>
        <v>0</v>
      </c>
      <c r="AG330" t="b">
        <f>AND(IF(metadata!E330="",FALSE,TRUE),EXACT(metadata!E330,"Host-associated"))</f>
        <v>0</v>
      </c>
      <c r="AH330" t="b">
        <f>AND(IF(metadata!F330="",FALSE,TRUE),OR(EXACT(metadata!F330,"Animal"),EXACT(metadata!F330,"Fungus"),EXACT(metadata!F330,"Plant")))</f>
        <v>0</v>
      </c>
      <c r="AI330" t="b">
        <f>AND(IF(metadata!G330="",FALSE,TRUE),OR(EXACT(metadata!G330,"Plant secretion"),EXACT(metadata!G330,"Plant rhizosphere"),EXACT(metadata!G330,"Plant surface"),EXACT(metadata!G330,"Plant corpus"),EXACT(metadata!G330,"Fungus surface"),EXACT(metadata!G330,"Fungus corpus"),EXACT(metadata!G330,"Animal surface"),EXACT(metadata!G330,"Animal proximal gut"),EXACT(metadata!G330,"Animal corpus"),EXACT(metadata!G330,"Animal distal gut"),EXACT(metadata!G330,"Animal secretion")))</f>
        <v>0</v>
      </c>
      <c r="AJ330" t="b">
        <f>OR(AND(IF(metadata!H330="",FALSE,TRUE),OR(EXACT(metadata!H330,"missing: not collected"),EXACT(metadata!H330,"missing: not provided"),EXACT(metadata!H330,"missing: restricted access"))),AND(IF(metadata!H330="",FALSE,TRUE),OR(EXACT(metadata!H330,"organism-associated habitat"),EXACT(metadata!H330,"plant-associated habitat"),EXACT(metadata!H330,"animal-associated habitat"),EXACT(metadata!H330,"insecta-associated habitat"),EXACT(metadata!H330,"mammalia-associated habitat"),EXACT(metadata!H330,"human-associated habitat"),EXACT(metadata!H330,"livestock-associated habitat"))))</f>
        <v>0</v>
      </c>
      <c r="AK330" t="b">
        <f>AND(IF(metadata!I330="",FALSE,TRUE),EXACT(metadata!I330,"host-associated"))</f>
        <v>0</v>
      </c>
      <c r="AL330" t="b">
        <f>OR(AND(IF(metadata!J330="",FALSE,TRUE),OR(EXACT(metadata!J330,"not applicable"),EXACT(metadata!J330,"missing: not collected"),EXACT(metadata!J330,"missing: not provided"),EXACT(metadata!J330,"missing: restricted access"))),AND(IF(metadata!J330="",FALSE,ISNUMBER(VALUE(metadata!J330))),metadata!J330&gt;0))</f>
        <v>0</v>
      </c>
      <c r="AM330" t="b">
        <f>AND(IF(metadata!K330="",FALSE,TRUE),EXACT(metadata!K330,"missing: not provided"))</f>
        <v>0</v>
      </c>
      <c r="AN330" t="b">
        <f>IF(metadata!L330="",FALSE,TRUE)</f>
        <v>0</v>
      </c>
      <c r="AO330" t="b">
        <f>IF(metadata!M330="",FALSE,TRUE)</f>
        <v>0</v>
      </c>
      <c r="AP330" t="b">
        <f>OR(AND(IF(metadata!N330="",FALSE,TRUE),OR(EXACT(metadata!N330,"not applicable"),EXACT(metadata!N330,"missing: not collected"),EXACT(metadata!N330,"missing: not provided"))),AND(IF(metadata!N330="",FALSE,IF(ISERROR(INT(metadata!N330)),FALSE,INT(metadata!N330)=metadata!N330)),metadata!N330&gt;0))</f>
        <v>0</v>
      </c>
      <c r="AQ330" t="b">
        <f>AND(IF(metadata!O330="",FALSE,TRUE),EXACT(metadata!O330,"Not applicable"))</f>
        <v>0</v>
      </c>
      <c r="AR330" t="b">
        <f>OR(AND(IF(metadata!P330="",FALSE,TRUE),OR(EXACT(metadata!P330,"not applicable"),EXACT(metadata!P330,"missing: not collected"),EXACT(metadata!P330,"missing: not provided"),EXACT(metadata!P330,"missing: restricted access"))),IF(metadata!P330="",FALSE,IF(ISERROR(INT(metadata!P330)),FALSE,INT(metadata!P330)=metadata!P330)))</f>
        <v>0</v>
      </c>
      <c r="AS330" t="b">
        <f>AND(IF(metadata!Q330="",FALSE,TRUE),EXACT(metadata!Q330,"Not applicable"))</f>
        <v>0</v>
      </c>
      <c r="AT330" t="b">
        <f>OR(AND(IF(metadata!R330="",FALSE,TRUE),OR(EXACT(metadata!R330,"not applicable"),EXACT(metadata!R330,"missing: not collected"),EXACT(metadata!R330,"missing: not provided"),EXACT(metadata!R330,"missing: restricted access"))),AND(IF(metadata!R330="",FALSE,ISNUMBER(VALUE(metadata!R330))),metadata!R330&gt;0))</f>
        <v>0</v>
      </c>
      <c r="AU330" t="b">
        <f>AND(IF(metadata!S330="",FALSE,TRUE),EXACT(metadata!S330,"missing: not provided"))</f>
        <v>0</v>
      </c>
    </row>
    <row r="331" spans="1:47" x14ac:dyDescent="0.2">
      <c r="A331" s="5" t="str">
        <f ca="1">IF(B331=" "," ",HYPERLINK(CONCATENATE("#metadata!",ADDRESS(INDEX($Y$2:$Y$1001,MATCH(ROWS($W$2:W331),$W$2:$W$1001,0),0),1)),INDEX($AB$2:$AB$1001,MATCH(ROWS($W$2:W331),$W$2:$W$1001,0),0)))</f>
        <v xml:space="preserve"> </v>
      </c>
      <c r="B331" s="4" t="str">
        <f ca="1">IF(OR(INDEX($X$2:$X$1001,MATCH(ROWS($W$2:W331),$W$2:$W$1001,0),1)&gt;=100000,INDEX($AD$1005:$AU$1005,1,MATCH(COLUMNS($AD$1006:AD1006),$AD$1006:$AU$1006,0))&gt;=100000), " ",IF(INDEX($AD$2:$AU$1001,MATCH(ROWS($W$2:W331),$W$2:$W$1001,0),MATCH(COLUMNS($AD$1006:AD1006),$AD$1006:$AU$1006,0)), HYPERLINK("#",""), HYPERLINK(CONCATENATE("#metadata!", ADDRESS(INDEX($Y$2:$Y$1001,MATCH(ROWS($W$2:W331),$W$2:$W$1001,0),0), INDEX($AD$1004:$AU$1004,1,MATCH(COLUMNS($AD$1006:AD1006),$AD$1006:$AU$1006,0)))),"Fix")))</f>
        <v xml:space="preserve"> </v>
      </c>
      <c r="C331" s="4" t="str">
        <f ca="1">IF(OR(INDEX($X$2:$X$1001,MATCH(ROWS($W$2:W331),$W$2:$W$1001,0),1)&gt;=100000,INDEX($AD$1005:$AU$1005,1,MATCH(COLUMNS($AD$1006:AE1006),$AD$1006:$AU$1006,0))&gt;=100000), " ",IF(INDEX($AD$2:$AU$1001,MATCH(ROWS($W$2:W331),$W$2:$W$1001,0),MATCH(COLUMNS($AD$1006:AE1006),$AD$1006:$AU$1006,0)), HYPERLINK("#",""), HYPERLINK(CONCATENATE("#metadata!", ADDRESS(INDEX($Y$2:$Y$1001,MATCH(ROWS($W$2:W331),$W$2:$W$1001,0),0), INDEX($AD$1004:$AU$1004,1,MATCH(COLUMNS($AD$1006:AE1006),$AD$1006:$AU$1006,0)))),"Fix")))</f>
        <v xml:space="preserve"> </v>
      </c>
      <c r="D331" s="4" t="str">
        <f ca="1">IF(OR(INDEX($X$2:$X$1001,MATCH(ROWS($W$2:W331),$W$2:$W$1001,0),1)&gt;=100000,INDEX($AD$1005:$AU$1005,1,MATCH(COLUMNS($AD$1006:AF1006),$AD$1006:$AU$1006,0))&gt;=100000), " ",IF(INDEX($AD$2:$AU$1001,MATCH(ROWS($W$2:W331),$W$2:$W$1001,0),MATCH(COLUMNS($AD$1006:AF1006),$AD$1006:$AU$1006,0)), HYPERLINK("#",""), HYPERLINK(CONCATENATE("#metadata!", ADDRESS(INDEX($Y$2:$Y$1001,MATCH(ROWS($W$2:W331),$W$2:$W$1001,0),0), INDEX($AD$1004:$AU$1004,1,MATCH(COLUMNS($AD$1006:AF1006),$AD$1006:$AU$1006,0)))),"Fix")))</f>
        <v xml:space="preserve"> </v>
      </c>
      <c r="E331" s="4" t="str">
        <f ca="1">IF(OR(INDEX($X$2:$X$1001,MATCH(ROWS($W$2:W331),$W$2:$W$1001,0),1)&gt;=100000,INDEX($AD$1005:$AU$1005,1,MATCH(COLUMNS($AD$1006:AG1006),$AD$1006:$AU$1006,0))&gt;=100000), " ",IF(INDEX($AD$2:$AU$1001,MATCH(ROWS($W$2:W331),$W$2:$W$1001,0),MATCH(COLUMNS($AD$1006:AG1006),$AD$1006:$AU$1006,0)), HYPERLINK("#",""), HYPERLINK(CONCATENATE("#metadata!", ADDRESS(INDEX($Y$2:$Y$1001,MATCH(ROWS($W$2:W331),$W$2:$W$1001,0),0), INDEX($AD$1004:$AU$1004,1,MATCH(COLUMNS($AD$1006:AG1006),$AD$1006:$AU$1006,0)))),"Fix")))</f>
        <v xml:space="preserve"> </v>
      </c>
      <c r="F331" s="4" t="str">
        <f ca="1">IF(OR(INDEX($X$2:$X$1001,MATCH(ROWS($W$2:W331),$W$2:$W$1001,0),1)&gt;=100000,INDEX($AD$1005:$AU$1005,1,MATCH(COLUMNS($AD$1006:AH1006),$AD$1006:$AU$1006,0))&gt;=100000), " ",IF(INDEX($AD$2:$AU$1001,MATCH(ROWS($W$2:W331),$W$2:$W$1001,0),MATCH(COLUMNS($AD$1006:AH1006),$AD$1006:$AU$1006,0)), HYPERLINK("#",""), HYPERLINK(CONCATENATE("#metadata!", ADDRESS(INDEX($Y$2:$Y$1001,MATCH(ROWS($W$2:W331),$W$2:$W$1001,0),0), INDEX($AD$1004:$AU$1004,1,MATCH(COLUMNS($AD$1006:AH1006),$AD$1006:$AU$1006,0)))),"Fix")))</f>
        <v xml:space="preserve"> </v>
      </c>
      <c r="G331" s="4" t="str">
        <f ca="1">IF(OR(INDEX($X$2:$X$1001,MATCH(ROWS($W$2:W331),$W$2:$W$1001,0),1)&gt;=100000,INDEX($AD$1005:$AU$1005,1,MATCH(COLUMNS($AD$1006:AI1006),$AD$1006:$AU$1006,0))&gt;=100000), " ",IF(INDEX($AD$2:$AU$1001,MATCH(ROWS($W$2:W331),$W$2:$W$1001,0),MATCH(COLUMNS($AD$1006:AI1006),$AD$1006:$AU$1006,0)), HYPERLINK("#",""), HYPERLINK(CONCATENATE("#metadata!", ADDRESS(INDEX($Y$2:$Y$1001,MATCH(ROWS($W$2:W331),$W$2:$W$1001,0),0), INDEX($AD$1004:$AU$1004,1,MATCH(COLUMNS($AD$1006:AI1006),$AD$1006:$AU$1006,0)))),"Fix")))</f>
        <v xml:space="preserve"> </v>
      </c>
      <c r="H331" s="4" t="str">
        <f ca="1">IF(OR(INDEX($X$2:$X$1001,MATCH(ROWS($W$2:W331),$W$2:$W$1001,0),1)&gt;=100000,INDEX($AD$1005:$AU$1005,1,MATCH(COLUMNS($AD$1006:AJ1006),$AD$1006:$AU$1006,0))&gt;=100000), " ",IF(INDEX($AD$2:$AU$1001,MATCH(ROWS($W$2:W331),$W$2:$W$1001,0),MATCH(COLUMNS($AD$1006:AJ1006),$AD$1006:$AU$1006,0)), HYPERLINK("#",""), HYPERLINK(CONCATENATE("#metadata!", ADDRESS(INDEX($Y$2:$Y$1001,MATCH(ROWS($W$2:W331),$W$2:$W$1001,0),0), INDEX($AD$1004:$AU$1004,1,MATCH(COLUMNS($AD$1006:AJ1006),$AD$1006:$AU$1006,0)))),"Fix")))</f>
        <v xml:space="preserve"> </v>
      </c>
      <c r="I331" s="4" t="str">
        <f ca="1">IF(OR(INDEX($X$2:$X$1001,MATCH(ROWS($W$2:W331),$W$2:$W$1001,0),1)&gt;=100000,INDEX($AD$1005:$AU$1005,1,MATCH(COLUMNS($AD$1006:AK1006),$AD$1006:$AU$1006,0))&gt;=100000), " ",IF(INDEX($AD$2:$AU$1001,MATCH(ROWS($W$2:W331),$W$2:$W$1001,0),MATCH(COLUMNS($AD$1006:AK1006),$AD$1006:$AU$1006,0)), HYPERLINK("#",""), HYPERLINK(CONCATENATE("#metadata!", ADDRESS(INDEX($Y$2:$Y$1001,MATCH(ROWS($W$2:W331),$W$2:$W$1001,0),0), INDEX($AD$1004:$AU$1004,1,MATCH(COLUMNS($AD$1006:AK1006),$AD$1006:$AU$1006,0)))),"Fix")))</f>
        <v xml:space="preserve"> </v>
      </c>
      <c r="J331" s="4" t="str">
        <f ca="1">IF(OR(INDEX($X$2:$X$1001,MATCH(ROWS($W$2:W331),$W$2:$W$1001,0),1)&gt;=100000,INDEX($AD$1005:$AU$1005,1,MATCH(COLUMNS($AD$1006:AL1006),$AD$1006:$AU$1006,0))&gt;=100000), " ",IF(INDEX($AD$2:$AU$1001,MATCH(ROWS($W$2:W331),$W$2:$W$1001,0),MATCH(COLUMNS($AD$1006:AL1006),$AD$1006:$AU$1006,0)), HYPERLINK("#",""), HYPERLINK(CONCATENATE("#metadata!", ADDRESS(INDEX($Y$2:$Y$1001,MATCH(ROWS($W$2:W331),$W$2:$W$1001,0),0), INDEX($AD$1004:$AU$1004,1,MATCH(COLUMNS($AD$1006:AL1006),$AD$1006:$AU$1006,0)))),"Fix")))</f>
        <v xml:space="preserve"> </v>
      </c>
      <c r="K331" s="4" t="str">
        <f ca="1">IF(OR(INDEX($X$2:$X$1001,MATCH(ROWS($W$2:W331),$W$2:$W$1001,0),1)&gt;=100000,INDEX($AD$1005:$AU$1005,1,MATCH(COLUMNS($AD$1006:AM1006),$AD$1006:$AU$1006,0))&gt;=100000), " ",IF(INDEX($AD$2:$AU$1001,MATCH(ROWS($W$2:W331),$W$2:$W$1001,0),MATCH(COLUMNS($AD$1006:AM1006),$AD$1006:$AU$1006,0)), HYPERLINK("#",""), HYPERLINK(CONCATENATE("#metadata!", ADDRESS(INDEX($Y$2:$Y$1001,MATCH(ROWS($W$2:W331),$W$2:$W$1001,0),0), INDEX($AD$1004:$AU$1004,1,MATCH(COLUMNS($AD$1006:AM1006),$AD$1006:$AU$1006,0)))),"Fix")))</f>
        <v xml:space="preserve"> </v>
      </c>
      <c r="L331" s="4" t="str">
        <f ca="1">IF(OR(INDEX($X$2:$X$1001,MATCH(ROWS($W$2:W331),$W$2:$W$1001,0),1)&gt;=100000,INDEX($AD$1005:$AU$1005,1,MATCH(COLUMNS($AD$1006:AN1006),$AD$1006:$AU$1006,0))&gt;=100000), " ",IF(INDEX($AD$2:$AU$1001,MATCH(ROWS($W$2:W331),$W$2:$W$1001,0),MATCH(COLUMNS($AD$1006:AN1006),$AD$1006:$AU$1006,0)), HYPERLINK("#",""), HYPERLINK(CONCATENATE("#metadata!", ADDRESS(INDEX($Y$2:$Y$1001,MATCH(ROWS($W$2:W331),$W$2:$W$1001,0),0), INDEX($AD$1004:$AU$1004,1,MATCH(COLUMNS($AD$1006:AN1006),$AD$1006:$AU$1006,0)))),"Fix")))</f>
        <v xml:space="preserve"> </v>
      </c>
      <c r="M331" s="4" t="str">
        <f ca="1">IF(OR(INDEX($X$2:$X$1001,MATCH(ROWS($W$2:W331),$W$2:$W$1001,0),1)&gt;=100000,INDEX($AD$1005:$AU$1005,1,MATCH(COLUMNS($AD$1006:AO1006),$AD$1006:$AU$1006,0))&gt;=100000), " ",IF(INDEX($AD$2:$AU$1001,MATCH(ROWS($W$2:W331),$W$2:$W$1001,0),MATCH(COLUMNS($AD$1006:AO1006),$AD$1006:$AU$1006,0)), HYPERLINK("#",""), HYPERLINK(CONCATENATE("#metadata!", ADDRESS(INDEX($Y$2:$Y$1001,MATCH(ROWS($W$2:W331),$W$2:$W$1001,0),0), INDEX($AD$1004:$AU$1004,1,MATCH(COLUMNS($AD$1006:AO1006),$AD$1006:$AU$1006,0)))),"Fix")))</f>
        <v xml:space="preserve"> </v>
      </c>
      <c r="N331" s="4" t="str">
        <f ca="1">IF(OR(INDEX($X$2:$X$1001,MATCH(ROWS($W$2:W331),$W$2:$W$1001,0),1)&gt;=100000,INDEX($AD$1005:$AU$1005,1,MATCH(COLUMNS($AD$1006:AP1006),$AD$1006:$AU$1006,0))&gt;=100000), " ",IF(INDEX($AD$2:$AU$1001,MATCH(ROWS($W$2:W331),$W$2:$W$1001,0),MATCH(COLUMNS($AD$1006:AP1006),$AD$1006:$AU$1006,0)), HYPERLINK("#",""), HYPERLINK(CONCATENATE("#metadata!", ADDRESS(INDEX($Y$2:$Y$1001,MATCH(ROWS($W$2:W331),$W$2:$W$1001,0),0), INDEX($AD$1004:$AU$1004,1,MATCH(COLUMNS($AD$1006:AP1006),$AD$1006:$AU$1006,0)))),"Fix")))</f>
        <v xml:space="preserve"> </v>
      </c>
      <c r="O331" s="4" t="str">
        <f ca="1">IF(OR(INDEX($X$2:$X$1001,MATCH(ROWS($W$2:W331),$W$2:$W$1001,0),1)&gt;=100000,INDEX($AD$1005:$AU$1005,1,MATCH(COLUMNS($AD$1006:AQ1006),$AD$1006:$AU$1006,0))&gt;=100000), " ",IF(INDEX($AD$2:$AU$1001,MATCH(ROWS($W$2:W331),$W$2:$W$1001,0),MATCH(COLUMNS($AD$1006:AQ1006),$AD$1006:$AU$1006,0)), HYPERLINK("#",""), HYPERLINK(CONCATENATE("#metadata!", ADDRESS(INDEX($Y$2:$Y$1001,MATCH(ROWS($W$2:W331),$W$2:$W$1001,0),0), INDEX($AD$1004:$AU$1004,1,MATCH(COLUMNS($AD$1006:AQ1006),$AD$1006:$AU$1006,0)))),"Fix")))</f>
        <v xml:space="preserve"> </v>
      </c>
      <c r="P331" s="4" t="str">
        <f ca="1">IF(OR(INDEX($X$2:$X$1001,MATCH(ROWS($W$2:W331),$W$2:$W$1001,0),1)&gt;=100000,INDEX($AD$1005:$AU$1005,1,MATCH(COLUMNS($AD$1006:AR1006),$AD$1006:$AU$1006,0))&gt;=100000), " ",IF(INDEX($AD$2:$AU$1001,MATCH(ROWS($W$2:W331),$W$2:$W$1001,0),MATCH(COLUMNS($AD$1006:AR1006),$AD$1006:$AU$1006,0)), HYPERLINK("#",""), HYPERLINK(CONCATENATE("#metadata!", ADDRESS(INDEX($Y$2:$Y$1001,MATCH(ROWS($W$2:W331),$W$2:$W$1001,0),0), INDEX($AD$1004:$AU$1004,1,MATCH(COLUMNS($AD$1006:AR1006),$AD$1006:$AU$1006,0)))),"Fix")))</f>
        <v xml:space="preserve"> </v>
      </c>
      <c r="Q331" s="4" t="str">
        <f ca="1">IF(OR(INDEX($X$2:$X$1001,MATCH(ROWS($W$2:W331),$W$2:$W$1001,0),1)&gt;=100000,INDEX($AD$1005:$AU$1005,1,MATCH(COLUMNS($AD$1006:AS1006),$AD$1006:$AU$1006,0))&gt;=100000), " ",IF(INDEX($AD$2:$AU$1001,MATCH(ROWS($W$2:W331),$W$2:$W$1001,0),MATCH(COLUMNS($AD$1006:AS1006),$AD$1006:$AU$1006,0)), HYPERLINK("#",""), HYPERLINK(CONCATENATE("#metadata!", ADDRESS(INDEX($Y$2:$Y$1001,MATCH(ROWS($W$2:W331),$W$2:$W$1001,0),0), INDEX($AD$1004:$AU$1004,1,MATCH(COLUMNS($AD$1006:AS1006),$AD$1006:$AU$1006,0)))),"Fix")))</f>
        <v xml:space="preserve"> </v>
      </c>
      <c r="R331" s="4" t="str">
        <f ca="1">IF(OR(INDEX($X$2:$X$1001,MATCH(ROWS($W$2:W331),$W$2:$W$1001,0),1)&gt;=100000,INDEX($AD$1005:$AU$1005,1,MATCH(COLUMNS($AD$1006:AT1006),$AD$1006:$AU$1006,0))&gt;=100000), " ",IF(INDEX($AD$2:$AU$1001,MATCH(ROWS($W$2:W331),$W$2:$W$1001,0),MATCH(COLUMNS($AD$1006:AT1006),$AD$1006:$AU$1006,0)), HYPERLINK("#",""), HYPERLINK(CONCATENATE("#metadata!", ADDRESS(INDEX($Y$2:$Y$1001,MATCH(ROWS($W$2:W331),$W$2:$W$1001,0),0), INDEX($AD$1004:$AU$1004,1,MATCH(COLUMNS($AD$1006:AT1006),$AD$1006:$AU$1006,0)))),"Fix")))</f>
        <v xml:space="preserve"> </v>
      </c>
      <c r="S331" s="4" t="str">
        <f ca="1">IF(OR(INDEX($X$2:$X$1001,MATCH(ROWS($W$2:W331),$W$2:$W$1001,0),1)&gt;=100000,INDEX($AD$1005:$AU$1005,1,MATCH(COLUMNS($AD$1006:AU1006),$AD$1006:$AU$1006,0))&gt;=100000), " ",IF(INDEX($AD$2:$AU$1001,MATCH(ROWS($W$2:W331),$W$2:$W$1001,0),MATCH(COLUMNS($AD$1006:AU1006),$AD$1006:$AU$1006,0)), HYPERLINK("#",""), HYPERLINK(CONCATENATE("#metadata!", ADDRESS(INDEX($Y$2:$Y$1001,MATCH(ROWS($W$2:W331),$W$2:$W$1001,0),0), INDEX($AD$1004:$AU$1004,1,MATCH(COLUMNS($AD$1006:AU1006),$AD$1006:$AU$1006,0)))),"Fix")))</f>
        <v xml:space="preserve"> </v>
      </c>
      <c r="W331">
        <v>330</v>
      </c>
      <c r="X331">
        <v>100331</v>
      </c>
      <c r="Y331">
        <v>331</v>
      </c>
      <c r="Z331" t="b">
        <f t="shared" si="5"/>
        <v>1</v>
      </c>
      <c r="AA331" t="b">
        <f>COUNTBLANK(metadata!B331:S331)=COLUMNS(metadata!B331:S331)</f>
        <v>1</v>
      </c>
      <c r="AB331" t="str">
        <v/>
      </c>
      <c r="AD331" t="b">
        <f ca="1">AND(IF(metadata!B331="",FALSE,TRUE),COUNTIF(metadata!B:B, metadata!B331) = 1,NOT(ISERROR(SUMPRODUCT(SEARCH(MID(metadata!B331,ROW(INDIRECT("1:"&amp;LEN(metadata!B331))), 1),"0123456789abcdefghijklmnopqrstuvwxyzABCDEFGHIJKLMNOPQRSTUVWXYZ.")))))</f>
        <v>0</v>
      </c>
      <c r="AE331" t="b">
        <f>OR(AND(IF(metadata!C331="",FALSE,TRUE),OR(EXACT(metadata!C331,"not applicable"),EXACT(metadata!C331,"missing: not collected"),EXACT(metadata!C331,"missing: not provided"),EXACT(metadata!C331,"missing: restricted access"))),AND(IF(metadata!C331="",FALSE,ISNUMBER(VALUE(metadata!C331))),metadata!C331&gt;0))</f>
        <v>0</v>
      </c>
      <c r="AF331" t="b">
        <f>AND(IF(metadata!D331="",FALSE,TRUE),EXACT(metadata!D331,"missing: not provided"))</f>
        <v>0</v>
      </c>
      <c r="AG331" t="b">
        <f>AND(IF(metadata!E331="",FALSE,TRUE),EXACT(metadata!E331,"Host-associated"))</f>
        <v>0</v>
      </c>
      <c r="AH331" t="b">
        <f>AND(IF(metadata!F331="",FALSE,TRUE),OR(EXACT(metadata!F331,"Animal"),EXACT(metadata!F331,"Fungus"),EXACT(metadata!F331,"Plant")))</f>
        <v>0</v>
      </c>
      <c r="AI331" t="b">
        <f>AND(IF(metadata!G331="",FALSE,TRUE),OR(EXACT(metadata!G331,"Plant secretion"),EXACT(metadata!G331,"Plant rhizosphere"),EXACT(metadata!G331,"Plant surface"),EXACT(metadata!G331,"Plant corpus"),EXACT(metadata!G331,"Fungus surface"),EXACT(metadata!G331,"Fungus corpus"),EXACT(metadata!G331,"Animal surface"),EXACT(metadata!G331,"Animal proximal gut"),EXACT(metadata!G331,"Animal corpus"),EXACT(metadata!G331,"Animal distal gut"),EXACT(metadata!G331,"Animal secretion")))</f>
        <v>0</v>
      </c>
      <c r="AJ331" t="b">
        <f>OR(AND(IF(metadata!H331="",FALSE,TRUE),OR(EXACT(metadata!H331,"missing: not collected"),EXACT(metadata!H331,"missing: not provided"),EXACT(metadata!H331,"missing: restricted access"))),AND(IF(metadata!H331="",FALSE,TRUE),OR(EXACT(metadata!H331,"organism-associated habitat"),EXACT(metadata!H331,"plant-associated habitat"),EXACT(metadata!H331,"animal-associated habitat"),EXACT(metadata!H331,"insecta-associated habitat"),EXACT(metadata!H331,"mammalia-associated habitat"),EXACT(metadata!H331,"human-associated habitat"),EXACT(metadata!H331,"livestock-associated habitat"))))</f>
        <v>0</v>
      </c>
      <c r="AK331" t="b">
        <f>AND(IF(metadata!I331="",FALSE,TRUE),EXACT(metadata!I331,"host-associated"))</f>
        <v>0</v>
      </c>
      <c r="AL331" t="b">
        <f>OR(AND(IF(metadata!J331="",FALSE,TRUE),OR(EXACT(metadata!J331,"not applicable"),EXACT(metadata!J331,"missing: not collected"),EXACT(metadata!J331,"missing: not provided"),EXACT(metadata!J331,"missing: restricted access"))),AND(IF(metadata!J331="",FALSE,ISNUMBER(VALUE(metadata!J331))),metadata!J331&gt;0))</f>
        <v>0</v>
      </c>
      <c r="AM331" t="b">
        <f>AND(IF(metadata!K331="",FALSE,TRUE),EXACT(metadata!K331,"missing: not provided"))</f>
        <v>0</v>
      </c>
      <c r="AN331" t="b">
        <f>IF(metadata!L331="",FALSE,TRUE)</f>
        <v>0</v>
      </c>
      <c r="AO331" t="b">
        <f>IF(metadata!M331="",FALSE,TRUE)</f>
        <v>0</v>
      </c>
      <c r="AP331" t="b">
        <f>OR(AND(IF(metadata!N331="",FALSE,TRUE),OR(EXACT(metadata!N331,"not applicable"),EXACT(metadata!N331,"missing: not collected"),EXACT(metadata!N331,"missing: not provided"))),AND(IF(metadata!N331="",FALSE,IF(ISERROR(INT(metadata!N331)),FALSE,INT(metadata!N331)=metadata!N331)),metadata!N331&gt;0))</f>
        <v>0</v>
      </c>
      <c r="AQ331" t="b">
        <f>AND(IF(metadata!O331="",FALSE,TRUE),EXACT(metadata!O331,"Not applicable"))</f>
        <v>0</v>
      </c>
      <c r="AR331" t="b">
        <f>OR(AND(IF(metadata!P331="",FALSE,TRUE),OR(EXACT(metadata!P331,"not applicable"),EXACT(metadata!P331,"missing: not collected"),EXACT(metadata!P331,"missing: not provided"),EXACT(metadata!P331,"missing: restricted access"))),IF(metadata!P331="",FALSE,IF(ISERROR(INT(metadata!P331)),FALSE,INT(metadata!P331)=metadata!P331)))</f>
        <v>0</v>
      </c>
      <c r="AS331" t="b">
        <f>AND(IF(metadata!Q331="",FALSE,TRUE),EXACT(metadata!Q331,"Not applicable"))</f>
        <v>0</v>
      </c>
      <c r="AT331" t="b">
        <f>OR(AND(IF(metadata!R331="",FALSE,TRUE),OR(EXACT(metadata!R331,"not applicable"),EXACT(metadata!R331,"missing: not collected"),EXACT(metadata!R331,"missing: not provided"),EXACT(metadata!R331,"missing: restricted access"))),AND(IF(metadata!R331="",FALSE,ISNUMBER(VALUE(metadata!R331))),metadata!R331&gt;0))</f>
        <v>0</v>
      </c>
      <c r="AU331" t="b">
        <f>AND(IF(metadata!S331="",FALSE,TRUE),EXACT(metadata!S331,"missing: not provided"))</f>
        <v>0</v>
      </c>
    </row>
    <row r="332" spans="1:47" x14ac:dyDescent="0.2">
      <c r="A332" s="5" t="str">
        <f ca="1">IF(B332=" "," ",HYPERLINK(CONCATENATE("#metadata!",ADDRESS(INDEX($Y$2:$Y$1001,MATCH(ROWS($W$2:W332),$W$2:$W$1001,0),0),1)),INDEX($AB$2:$AB$1001,MATCH(ROWS($W$2:W332),$W$2:$W$1001,0),0)))</f>
        <v xml:space="preserve"> </v>
      </c>
      <c r="B332" s="4" t="str">
        <f ca="1">IF(OR(INDEX($X$2:$X$1001,MATCH(ROWS($W$2:W332),$W$2:$W$1001,0),1)&gt;=100000,INDEX($AD$1005:$AU$1005,1,MATCH(COLUMNS($AD$1006:AD1006),$AD$1006:$AU$1006,0))&gt;=100000), " ",IF(INDEX($AD$2:$AU$1001,MATCH(ROWS($W$2:W332),$W$2:$W$1001,0),MATCH(COLUMNS($AD$1006:AD1006),$AD$1006:$AU$1006,0)), HYPERLINK("#",""), HYPERLINK(CONCATENATE("#metadata!", ADDRESS(INDEX($Y$2:$Y$1001,MATCH(ROWS($W$2:W332),$W$2:$W$1001,0),0), INDEX($AD$1004:$AU$1004,1,MATCH(COLUMNS($AD$1006:AD1006),$AD$1006:$AU$1006,0)))),"Fix")))</f>
        <v xml:space="preserve"> </v>
      </c>
      <c r="C332" s="4" t="str">
        <f ca="1">IF(OR(INDEX($X$2:$X$1001,MATCH(ROWS($W$2:W332),$W$2:$W$1001,0),1)&gt;=100000,INDEX($AD$1005:$AU$1005,1,MATCH(COLUMNS($AD$1006:AE1006),$AD$1006:$AU$1006,0))&gt;=100000), " ",IF(INDEX($AD$2:$AU$1001,MATCH(ROWS($W$2:W332),$W$2:$W$1001,0),MATCH(COLUMNS($AD$1006:AE1006),$AD$1006:$AU$1006,0)), HYPERLINK("#",""), HYPERLINK(CONCATENATE("#metadata!", ADDRESS(INDEX($Y$2:$Y$1001,MATCH(ROWS($W$2:W332),$W$2:$W$1001,0),0), INDEX($AD$1004:$AU$1004,1,MATCH(COLUMNS($AD$1006:AE1006),$AD$1006:$AU$1006,0)))),"Fix")))</f>
        <v xml:space="preserve"> </v>
      </c>
      <c r="D332" s="4" t="str">
        <f ca="1">IF(OR(INDEX($X$2:$X$1001,MATCH(ROWS($W$2:W332),$W$2:$W$1001,0),1)&gt;=100000,INDEX($AD$1005:$AU$1005,1,MATCH(COLUMNS($AD$1006:AF1006),$AD$1006:$AU$1006,0))&gt;=100000), " ",IF(INDEX($AD$2:$AU$1001,MATCH(ROWS($W$2:W332),$W$2:$W$1001,0),MATCH(COLUMNS($AD$1006:AF1006),$AD$1006:$AU$1006,0)), HYPERLINK("#",""), HYPERLINK(CONCATENATE("#metadata!", ADDRESS(INDEX($Y$2:$Y$1001,MATCH(ROWS($W$2:W332),$W$2:$W$1001,0),0), INDEX($AD$1004:$AU$1004,1,MATCH(COLUMNS($AD$1006:AF1006),$AD$1006:$AU$1006,0)))),"Fix")))</f>
        <v xml:space="preserve"> </v>
      </c>
      <c r="E332" s="4" t="str">
        <f ca="1">IF(OR(INDEX($X$2:$X$1001,MATCH(ROWS($W$2:W332),$W$2:$W$1001,0),1)&gt;=100000,INDEX($AD$1005:$AU$1005,1,MATCH(COLUMNS($AD$1006:AG1006),$AD$1006:$AU$1006,0))&gt;=100000), " ",IF(INDEX($AD$2:$AU$1001,MATCH(ROWS($W$2:W332),$W$2:$W$1001,0),MATCH(COLUMNS($AD$1006:AG1006),$AD$1006:$AU$1006,0)), HYPERLINK("#",""), HYPERLINK(CONCATENATE("#metadata!", ADDRESS(INDEX($Y$2:$Y$1001,MATCH(ROWS($W$2:W332),$W$2:$W$1001,0),0), INDEX($AD$1004:$AU$1004,1,MATCH(COLUMNS($AD$1006:AG1006),$AD$1006:$AU$1006,0)))),"Fix")))</f>
        <v xml:space="preserve"> </v>
      </c>
      <c r="F332" s="4" t="str">
        <f ca="1">IF(OR(INDEX($X$2:$X$1001,MATCH(ROWS($W$2:W332),$W$2:$W$1001,0),1)&gt;=100000,INDEX($AD$1005:$AU$1005,1,MATCH(COLUMNS($AD$1006:AH1006),$AD$1006:$AU$1006,0))&gt;=100000), " ",IF(INDEX($AD$2:$AU$1001,MATCH(ROWS($W$2:W332),$W$2:$W$1001,0),MATCH(COLUMNS($AD$1006:AH1006),$AD$1006:$AU$1006,0)), HYPERLINK("#",""), HYPERLINK(CONCATENATE("#metadata!", ADDRESS(INDEX($Y$2:$Y$1001,MATCH(ROWS($W$2:W332),$W$2:$W$1001,0),0), INDEX($AD$1004:$AU$1004,1,MATCH(COLUMNS($AD$1006:AH1006),$AD$1006:$AU$1006,0)))),"Fix")))</f>
        <v xml:space="preserve"> </v>
      </c>
      <c r="G332" s="4" t="str">
        <f ca="1">IF(OR(INDEX($X$2:$X$1001,MATCH(ROWS($W$2:W332),$W$2:$W$1001,0),1)&gt;=100000,INDEX($AD$1005:$AU$1005,1,MATCH(COLUMNS($AD$1006:AI1006),$AD$1006:$AU$1006,0))&gt;=100000), " ",IF(INDEX($AD$2:$AU$1001,MATCH(ROWS($W$2:W332),$W$2:$W$1001,0),MATCH(COLUMNS($AD$1006:AI1006),$AD$1006:$AU$1006,0)), HYPERLINK("#",""), HYPERLINK(CONCATENATE("#metadata!", ADDRESS(INDEX($Y$2:$Y$1001,MATCH(ROWS($W$2:W332),$W$2:$W$1001,0),0), INDEX($AD$1004:$AU$1004,1,MATCH(COLUMNS($AD$1006:AI1006),$AD$1006:$AU$1006,0)))),"Fix")))</f>
        <v xml:space="preserve"> </v>
      </c>
      <c r="H332" s="4" t="str">
        <f ca="1">IF(OR(INDEX($X$2:$X$1001,MATCH(ROWS($W$2:W332),$W$2:$W$1001,0),1)&gt;=100000,INDEX($AD$1005:$AU$1005,1,MATCH(COLUMNS($AD$1006:AJ1006),$AD$1006:$AU$1006,0))&gt;=100000), " ",IF(INDEX($AD$2:$AU$1001,MATCH(ROWS($W$2:W332),$W$2:$W$1001,0),MATCH(COLUMNS($AD$1006:AJ1006),$AD$1006:$AU$1006,0)), HYPERLINK("#",""), HYPERLINK(CONCATENATE("#metadata!", ADDRESS(INDEX($Y$2:$Y$1001,MATCH(ROWS($W$2:W332),$W$2:$W$1001,0),0), INDEX($AD$1004:$AU$1004,1,MATCH(COLUMNS($AD$1006:AJ1006),$AD$1006:$AU$1006,0)))),"Fix")))</f>
        <v xml:space="preserve"> </v>
      </c>
      <c r="I332" s="4" t="str">
        <f ca="1">IF(OR(INDEX($X$2:$X$1001,MATCH(ROWS($W$2:W332),$W$2:$W$1001,0),1)&gt;=100000,INDEX($AD$1005:$AU$1005,1,MATCH(COLUMNS($AD$1006:AK1006),$AD$1006:$AU$1006,0))&gt;=100000), " ",IF(INDEX($AD$2:$AU$1001,MATCH(ROWS($W$2:W332),$W$2:$W$1001,0),MATCH(COLUMNS($AD$1006:AK1006),$AD$1006:$AU$1006,0)), HYPERLINK("#",""), HYPERLINK(CONCATENATE("#metadata!", ADDRESS(INDEX($Y$2:$Y$1001,MATCH(ROWS($W$2:W332),$W$2:$W$1001,0),0), INDEX($AD$1004:$AU$1004,1,MATCH(COLUMNS($AD$1006:AK1006),$AD$1006:$AU$1006,0)))),"Fix")))</f>
        <v xml:space="preserve"> </v>
      </c>
      <c r="J332" s="4" t="str">
        <f ca="1">IF(OR(INDEX($X$2:$X$1001,MATCH(ROWS($W$2:W332),$W$2:$W$1001,0),1)&gt;=100000,INDEX($AD$1005:$AU$1005,1,MATCH(COLUMNS($AD$1006:AL1006),$AD$1006:$AU$1006,0))&gt;=100000), " ",IF(INDEX($AD$2:$AU$1001,MATCH(ROWS($W$2:W332),$W$2:$W$1001,0),MATCH(COLUMNS($AD$1006:AL1006),$AD$1006:$AU$1006,0)), HYPERLINK("#",""), HYPERLINK(CONCATENATE("#metadata!", ADDRESS(INDEX($Y$2:$Y$1001,MATCH(ROWS($W$2:W332),$W$2:$W$1001,0),0), INDEX($AD$1004:$AU$1004,1,MATCH(COLUMNS($AD$1006:AL1006),$AD$1006:$AU$1006,0)))),"Fix")))</f>
        <v xml:space="preserve"> </v>
      </c>
      <c r="K332" s="4" t="str">
        <f ca="1">IF(OR(INDEX($X$2:$X$1001,MATCH(ROWS($W$2:W332),$W$2:$W$1001,0),1)&gt;=100000,INDEX($AD$1005:$AU$1005,1,MATCH(COLUMNS($AD$1006:AM1006),$AD$1006:$AU$1006,0))&gt;=100000), " ",IF(INDEX($AD$2:$AU$1001,MATCH(ROWS($W$2:W332),$W$2:$W$1001,0),MATCH(COLUMNS($AD$1006:AM1006),$AD$1006:$AU$1006,0)), HYPERLINK("#",""), HYPERLINK(CONCATENATE("#metadata!", ADDRESS(INDEX($Y$2:$Y$1001,MATCH(ROWS($W$2:W332),$W$2:$W$1001,0),0), INDEX($AD$1004:$AU$1004,1,MATCH(COLUMNS($AD$1006:AM1006),$AD$1006:$AU$1006,0)))),"Fix")))</f>
        <v xml:space="preserve"> </v>
      </c>
      <c r="L332" s="4" t="str">
        <f ca="1">IF(OR(INDEX($X$2:$X$1001,MATCH(ROWS($W$2:W332),$W$2:$W$1001,0),1)&gt;=100000,INDEX($AD$1005:$AU$1005,1,MATCH(COLUMNS($AD$1006:AN1006),$AD$1006:$AU$1006,0))&gt;=100000), " ",IF(INDEX($AD$2:$AU$1001,MATCH(ROWS($W$2:W332),$W$2:$W$1001,0),MATCH(COLUMNS($AD$1006:AN1006),$AD$1006:$AU$1006,0)), HYPERLINK("#",""), HYPERLINK(CONCATENATE("#metadata!", ADDRESS(INDEX($Y$2:$Y$1001,MATCH(ROWS($W$2:W332),$W$2:$W$1001,0),0), INDEX($AD$1004:$AU$1004,1,MATCH(COLUMNS($AD$1006:AN1006),$AD$1006:$AU$1006,0)))),"Fix")))</f>
        <v xml:space="preserve"> </v>
      </c>
      <c r="M332" s="4" t="str">
        <f ca="1">IF(OR(INDEX($X$2:$X$1001,MATCH(ROWS($W$2:W332),$W$2:$W$1001,0),1)&gt;=100000,INDEX($AD$1005:$AU$1005,1,MATCH(COLUMNS($AD$1006:AO1006),$AD$1006:$AU$1006,0))&gt;=100000), " ",IF(INDEX($AD$2:$AU$1001,MATCH(ROWS($W$2:W332),$W$2:$W$1001,0),MATCH(COLUMNS($AD$1006:AO1006),$AD$1006:$AU$1006,0)), HYPERLINK("#",""), HYPERLINK(CONCATENATE("#metadata!", ADDRESS(INDEX($Y$2:$Y$1001,MATCH(ROWS($W$2:W332),$W$2:$W$1001,0),0), INDEX($AD$1004:$AU$1004,1,MATCH(COLUMNS($AD$1006:AO1006),$AD$1006:$AU$1006,0)))),"Fix")))</f>
        <v xml:space="preserve"> </v>
      </c>
      <c r="N332" s="4" t="str">
        <f ca="1">IF(OR(INDEX($X$2:$X$1001,MATCH(ROWS($W$2:W332),$W$2:$W$1001,0),1)&gt;=100000,INDEX($AD$1005:$AU$1005,1,MATCH(COLUMNS($AD$1006:AP1006),$AD$1006:$AU$1006,0))&gt;=100000), " ",IF(INDEX($AD$2:$AU$1001,MATCH(ROWS($W$2:W332),$W$2:$W$1001,0),MATCH(COLUMNS($AD$1006:AP1006),$AD$1006:$AU$1006,0)), HYPERLINK("#",""), HYPERLINK(CONCATENATE("#metadata!", ADDRESS(INDEX($Y$2:$Y$1001,MATCH(ROWS($W$2:W332),$W$2:$W$1001,0),0), INDEX($AD$1004:$AU$1004,1,MATCH(COLUMNS($AD$1006:AP1006),$AD$1006:$AU$1006,0)))),"Fix")))</f>
        <v xml:space="preserve"> </v>
      </c>
      <c r="O332" s="4" t="str">
        <f ca="1">IF(OR(INDEX($X$2:$X$1001,MATCH(ROWS($W$2:W332),$W$2:$W$1001,0),1)&gt;=100000,INDEX($AD$1005:$AU$1005,1,MATCH(COLUMNS($AD$1006:AQ1006),$AD$1006:$AU$1006,0))&gt;=100000), " ",IF(INDEX($AD$2:$AU$1001,MATCH(ROWS($W$2:W332),$W$2:$W$1001,0),MATCH(COLUMNS($AD$1006:AQ1006),$AD$1006:$AU$1006,0)), HYPERLINK("#",""), HYPERLINK(CONCATENATE("#metadata!", ADDRESS(INDEX($Y$2:$Y$1001,MATCH(ROWS($W$2:W332),$W$2:$W$1001,0),0), INDEX($AD$1004:$AU$1004,1,MATCH(COLUMNS($AD$1006:AQ1006),$AD$1006:$AU$1006,0)))),"Fix")))</f>
        <v xml:space="preserve"> </v>
      </c>
      <c r="P332" s="4" t="str">
        <f ca="1">IF(OR(INDEX($X$2:$X$1001,MATCH(ROWS($W$2:W332),$W$2:$W$1001,0),1)&gt;=100000,INDEX($AD$1005:$AU$1005,1,MATCH(COLUMNS($AD$1006:AR1006),$AD$1006:$AU$1006,0))&gt;=100000), " ",IF(INDEX($AD$2:$AU$1001,MATCH(ROWS($W$2:W332),$W$2:$W$1001,0),MATCH(COLUMNS($AD$1006:AR1006),$AD$1006:$AU$1006,0)), HYPERLINK("#",""), HYPERLINK(CONCATENATE("#metadata!", ADDRESS(INDEX($Y$2:$Y$1001,MATCH(ROWS($W$2:W332),$W$2:$W$1001,0),0), INDEX($AD$1004:$AU$1004,1,MATCH(COLUMNS($AD$1006:AR1006),$AD$1006:$AU$1006,0)))),"Fix")))</f>
        <v xml:space="preserve"> </v>
      </c>
      <c r="Q332" s="4" t="str">
        <f ca="1">IF(OR(INDEX($X$2:$X$1001,MATCH(ROWS($W$2:W332),$W$2:$W$1001,0),1)&gt;=100000,INDEX($AD$1005:$AU$1005,1,MATCH(COLUMNS($AD$1006:AS1006),$AD$1006:$AU$1006,0))&gt;=100000), " ",IF(INDEX($AD$2:$AU$1001,MATCH(ROWS($W$2:W332),$W$2:$W$1001,0),MATCH(COLUMNS($AD$1006:AS1006),$AD$1006:$AU$1006,0)), HYPERLINK("#",""), HYPERLINK(CONCATENATE("#metadata!", ADDRESS(INDEX($Y$2:$Y$1001,MATCH(ROWS($W$2:W332),$W$2:$W$1001,0),0), INDEX($AD$1004:$AU$1004,1,MATCH(COLUMNS($AD$1006:AS1006),$AD$1006:$AU$1006,0)))),"Fix")))</f>
        <v xml:space="preserve"> </v>
      </c>
      <c r="R332" s="4" t="str">
        <f ca="1">IF(OR(INDEX($X$2:$X$1001,MATCH(ROWS($W$2:W332),$W$2:$W$1001,0),1)&gt;=100000,INDEX($AD$1005:$AU$1005,1,MATCH(COLUMNS($AD$1006:AT1006),$AD$1006:$AU$1006,0))&gt;=100000), " ",IF(INDEX($AD$2:$AU$1001,MATCH(ROWS($W$2:W332),$W$2:$W$1001,0),MATCH(COLUMNS($AD$1006:AT1006),$AD$1006:$AU$1006,0)), HYPERLINK("#",""), HYPERLINK(CONCATENATE("#metadata!", ADDRESS(INDEX($Y$2:$Y$1001,MATCH(ROWS($W$2:W332),$W$2:$W$1001,0),0), INDEX($AD$1004:$AU$1004,1,MATCH(COLUMNS($AD$1006:AT1006),$AD$1006:$AU$1006,0)))),"Fix")))</f>
        <v xml:space="preserve"> </v>
      </c>
      <c r="S332" s="4" t="str">
        <f ca="1">IF(OR(INDEX($X$2:$X$1001,MATCH(ROWS($W$2:W332),$W$2:$W$1001,0),1)&gt;=100000,INDEX($AD$1005:$AU$1005,1,MATCH(COLUMNS($AD$1006:AU1006),$AD$1006:$AU$1006,0))&gt;=100000), " ",IF(INDEX($AD$2:$AU$1001,MATCH(ROWS($W$2:W332),$W$2:$W$1001,0),MATCH(COLUMNS($AD$1006:AU1006),$AD$1006:$AU$1006,0)), HYPERLINK("#",""), HYPERLINK(CONCATENATE("#metadata!", ADDRESS(INDEX($Y$2:$Y$1001,MATCH(ROWS($W$2:W332),$W$2:$W$1001,0),0), INDEX($AD$1004:$AU$1004,1,MATCH(COLUMNS($AD$1006:AU1006),$AD$1006:$AU$1006,0)))),"Fix")))</f>
        <v xml:space="preserve"> </v>
      </c>
      <c r="W332">
        <v>331</v>
      </c>
      <c r="X332">
        <v>100332</v>
      </c>
      <c r="Y332">
        <v>332</v>
      </c>
      <c r="Z332" t="b">
        <f t="shared" si="5"/>
        <v>1</v>
      </c>
      <c r="AA332" t="b">
        <f>COUNTBLANK(metadata!B332:S332)=COLUMNS(metadata!B332:S332)</f>
        <v>1</v>
      </c>
      <c r="AB332" t="str">
        <v/>
      </c>
      <c r="AD332" t="b">
        <f ca="1">AND(IF(metadata!B332="",FALSE,TRUE),COUNTIF(metadata!B:B, metadata!B332) = 1,NOT(ISERROR(SUMPRODUCT(SEARCH(MID(metadata!B332,ROW(INDIRECT("1:"&amp;LEN(metadata!B332))), 1),"0123456789abcdefghijklmnopqrstuvwxyzABCDEFGHIJKLMNOPQRSTUVWXYZ.")))))</f>
        <v>0</v>
      </c>
      <c r="AE332" t="b">
        <f>OR(AND(IF(metadata!C332="",FALSE,TRUE),OR(EXACT(metadata!C332,"not applicable"),EXACT(metadata!C332,"missing: not collected"),EXACT(metadata!C332,"missing: not provided"),EXACT(metadata!C332,"missing: restricted access"))),AND(IF(metadata!C332="",FALSE,ISNUMBER(VALUE(metadata!C332))),metadata!C332&gt;0))</f>
        <v>0</v>
      </c>
      <c r="AF332" t="b">
        <f>AND(IF(metadata!D332="",FALSE,TRUE),EXACT(metadata!D332,"missing: not provided"))</f>
        <v>0</v>
      </c>
      <c r="AG332" t="b">
        <f>AND(IF(metadata!E332="",FALSE,TRUE),EXACT(metadata!E332,"Host-associated"))</f>
        <v>0</v>
      </c>
      <c r="AH332" t="b">
        <f>AND(IF(metadata!F332="",FALSE,TRUE),OR(EXACT(metadata!F332,"Animal"),EXACT(metadata!F332,"Fungus"),EXACT(metadata!F332,"Plant")))</f>
        <v>0</v>
      </c>
      <c r="AI332" t="b">
        <f>AND(IF(metadata!G332="",FALSE,TRUE),OR(EXACT(metadata!G332,"Plant secretion"),EXACT(metadata!G332,"Plant rhizosphere"),EXACT(metadata!G332,"Plant surface"),EXACT(metadata!G332,"Plant corpus"),EXACT(metadata!G332,"Fungus surface"),EXACT(metadata!G332,"Fungus corpus"),EXACT(metadata!G332,"Animal surface"),EXACT(metadata!G332,"Animal proximal gut"),EXACT(metadata!G332,"Animal corpus"),EXACT(metadata!G332,"Animal distal gut"),EXACT(metadata!G332,"Animal secretion")))</f>
        <v>0</v>
      </c>
      <c r="AJ332" t="b">
        <f>OR(AND(IF(metadata!H332="",FALSE,TRUE),OR(EXACT(metadata!H332,"missing: not collected"),EXACT(metadata!H332,"missing: not provided"),EXACT(metadata!H332,"missing: restricted access"))),AND(IF(metadata!H332="",FALSE,TRUE),OR(EXACT(metadata!H332,"organism-associated habitat"),EXACT(metadata!H332,"plant-associated habitat"),EXACT(metadata!H332,"animal-associated habitat"),EXACT(metadata!H332,"insecta-associated habitat"),EXACT(metadata!H332,"mammalia-associated habitat"),EXACT(metadata!H332,"human-associated habitat"),EXACT(metadata!H332,"livestock-associated habitat"))))</f>
        <v>0</v>
      </c>
      <c r="AK332" t="b">
        <f>AND(IF(metadata!I332="",FALSE,TRUE),EXACT(metadata!I332,"host-associated"))</f>
        <v>0</v>
      </c>
      <c r="AL332" t="b">
        <f>OR(AND(IF(metadata!J332="",FALSE,TRUE),OR(EXACT(metadata!J332,"not applicable"),EXACT(metadata!J332,"missing: not collected"),EXACT(metadata!J332,"missing: not provided"),EXACT(metadata!J332,"missing: restricted access"))),AND(IF(metadata!J332="",FALSE,ISNUMBER(VALUE(metadata!J332))),metadata!J332&gt;0))</f>
        <v>0</v>
      </c>
      <c r="AM332" t="b">
        <f>AND(IF(metadata!K332="",FALSE,TRUE),EXACT(metadata!K332,"missing: not provided"))</f>
        <v>0</v>
      </c>
      <c r="AN332" t="b">
        <f>IF(metadata!L332="",FALSE,TRUE)</f>
        <v>0</v>
      </c>
      <c r="AO332" t="b">
        <f>IF(metadata!M332="",FALSE,TRUE)</f>
        <v>0</v>
      </c>
      <c r="AP332" t="b">
        <f>OR(AND(IF(metadata!N332="",FALSE,TRUE),OR(EXACT(metadata!N332,"not applicable"),EXACT(metadata!N332,"missing: not collected"),EXACT(metadata!N332,"missing: not provided"))),AND(IF(metadata!N332="",FALSE,IF(ISERROR(INT(metadata!N332)),FALSE,INT(metadata!N332)=metadata!N332)),metadata!N332&gt;0))</f>
        <v>0</v>
      </c>
      <c r="AQ332" t="b">
        <f>AND(IF(metadata!O332="",FALSE,TRUE),EXACT(metadata!O332,"Not applicable"))</f>
        <v>0</v>
      </c>
      <c r="AR332" t="b">
        <f>OR(AND(IF(metadata!P332="",FALSE,TRUE),OR(EXACT(metadata!P332,"not applicable"),EXACT(metadata!P332,"missing: not collected"),EXACT(metadata!P332,"missing: not provided"),EXACT(metadata!P332,"missing: restricted access"))),IF(metadata!P332="",FALSE,IF(ISERROR(INT(metadata!P332)),FALSE,INT(metadata!P332)=metadata!P332)))</f>
        <v>0</v>
      </c>
      <c r="AS332" t="b">
        <f>AND(IF(metadata!Q332="",FALSE,TRUE),EXACT(metadata!Q332,"Not applicable"))</f>
        <v>0</v>
      </c>
      <c r="AT332" t="b">
        <f>OR(AND(IF(metadata!R332="",FALSE,TRUE),OR(EXACT(metadata!R332,"not applicable"),EXACT(metadata!R332,"missing: not collected"),EXACT(metadata!R332,"missing: not provided"),EXACT(metadata!R332,"missing: restricted access"))),AND(IF(metadata!R332="",FALSE,ISNUMBER(VALUE(metadata!R332))),metadata!R332&gt;0))</f>
        <v>0</v>
      </c>
      <c r="AU332" t="b">
        <f>AND(IF(metadata!S332="",FALSE,TRUE),EXACT(metadata!S332,"missing: not provided"))</f>
        <v>0</v>
      </c>
    </row>
    <row r="333" spans="1:47" x14ac:dyDescent="0.2">
      <c r="A333" s="5" t="str">
        <f ca="1">IF(B333=" "," ",HYPERLINK(CONCATENATE("#metadata!",ADDRESS(INDEX($Y$2:$Y$1001,MATCH(ROWS($W$2:W333),$W$2:$W$1001,0),0),1)),INDEX($AB$2:$AB$1001,MATCH(ROWS($W$2:W333),$W$2:$W$1001,0),0)))</f>
        <v xml:space="preserve"> </v>
      </c>
      <c r="B333" s="4" t="str">
        <f ca="1">IF(OR(INDEX($X$2:$X$1001,MATCH(ROWS($W$2:W333),$W$2:$W$1001,0),1)&gt;=100000,INDEX($AD$1005:$AU$1005,1,MATCH(COLUMNS($AD$1006:AD1006),$AD$1006:$AU$1006,0))&gt;=100000), " ",IF(INDEX($AD$2:$AU$1001,MATCH(ROWS($W$2:W333),$W$2:$W$1001,0),MATCH(COLUMNS($AD$1006:AD1006),$AD$1006:$AU$1006,0)), HYPERLINK("#",""), HYPERLINK(CONCATENATE("#metadata!", ADDRESS(INDEX($Y$2:$Y$1001,MATCH(ROWS($W$2:W333),$W$2:$W$1001,0),0), INDEX($AD$1004:$AU$1004,1,MATCH(COLUMNS($AD$1006:AD1006),$AD$1006:$AU$1006,0)))),"Fix")))</f>
        <v xml:space="preserve"> </v>
      </c>
      <c r="C333" s="4" t="str">
        <f ca="1">IF(OR(INDEX($X$2:$X$1001,MATCH(ROWS($W$2:W333),$W$2:$W$1001,0),1)&gt;=100000,INDEX($AD$1005:$AU$1005,1,MATCH(COLUMNS($AD$1006:AE1006),$AD$1006:$AU$1006,0))&gt;=100000), " ",IF(INDEX($AD$2:$AU$1001,MATCH(ROWS($W$2:W333),$W$2:$W$1001,0),MATCH(COLUMNS($AD$1006:AE1006),$AD$1006:$AU$1006,0)), HYPERLINK("#",""), HYPERLINK(CONCATENATE("#metadata!", ADDRESS(INDEX($Y$2:$Y$1001,MATCH(ROWS($W$2:W333),$W$2:$W$1001,0),0), INDEX($AD$1004:$AU$1004,1,MATCH(COLUMNS($AD$1006:AE1006),$AD$1006:$AU$1006,0)))),"Fix")))</f>
        <v xml:space="preserve"> </v>
      </c>
      <c r="D333" s="4" t="str">
        <f ca="1">IF(OR(INDEX($X$2:$X$1001,MATCH(ROWS($W$2:W333),$W$2:$W$1001,0),1)&gt;=100000,INDEX($AD$1005:$AU$1005,1,MATCH(COLUMNS($AD$1006:AF1006),$AD$1006:$AU$1006,0))&gt;=100000), " ",IF(INDEX($AD$2:$AU$1001,MATCH(ROWS($W$2:W333),$W$2:$W$1001,0),MATCH(COLUMNS($AD$1006:AF1006),$AD$1006:$AU$1006,0)), HYPERLINK("#",""), HYPERLINK(CONCATENATE("#metadata!", ADDRESS(INDEX($Y$2:$Y$1001,MATCH(ROWS($W$2:W333),$W$2:$W$1001,0),0), INDEX($AD$1004:$AU$1004,1,MATCH(COLUMNS($AD$1006:AF1006),$AD$1006:$AU$1006,0)))),"Fix")))</f>
        <v xml:space="preserve"> </v>
      </c>
      <c r="E333" s="4" t="str">
        <f ca="1">IF(OR(INDEX($X$2:$X$1001,MATCH(ROWS($W$2:W333),$W$2:$W$1001,0),1)&gt;=100000,INDEX($AD$1005:$AU$1005,1,MATCH(COLUMNS($AD$1006:AG1006),$AD$1006:$AU$1006,0))&gt;=100000), " ",IF(INDEX($AD$2:$AU$1001,MATCH(ROWS($W$2:W333),$W$2:$W$1001,0),MATCH(COLUMNS($AD$1006:AG1006),$AD$1006:$AU$1006,0)), HYPERLINK("#",""), HYPERLINK(CONCATENATE("#metadata!", ADDRESS(INDEX($Y$2:$Y$1001,MATCH(ROWS($W$2:W333),$W$2:$W$1001,0),0), INDEX($AD$1004:$AU$1004,1,MATCH(COLUMNS($AD$1006:AG1006),$AD$1006:$AU$1006,0)))),"Fix")))</f>
        <v xml:space="preserve"> </v>
      </c>
      <c r="F333" s="4" t="str">
        <f ca="1">IF(OR(INDEX($X$2:$X$1001,MATCH(ROWS($W$2:W333),$W$2:$W$1001,0),1)&gt;=100000,INDEX($AD$1005:$AU$1005,1,MATCH(COLUMNS($AD$1006:AH1006),$AD$1006:$AU$1006,0))&gt;=100000), " ",IF(INDEX($AD$2:$AU$1001,MATCH(ROWS($W$2:W333),$W$2:$W$1001,0),MATCH(COLUMNS($AD$1006:AH1006),$AD$1006:$AU$1006,0)), HYPERLINK("#",""), HYPERLINK(CONCATENATE("#metadata!", ADDRESS(INDEX($Y$2:$Y$1001,MATCH(ROWS($W$2:W333),$W$2:$W$1001,0),0), INDEX($AD$1004:$AU$1004,1,MATCH(COLUMNS($AD$1006:AH1006),$AD$1006:$AU$1006,0)))),"Fix")))</f>
        <v xml:space="preserve"> </v>
      </c>
      <c r="G333" s="4" t="str">
        <f ca="1">IF(OR(INDEX($X$2:$X$1001,MATCH(ROWS($W$2:W333),$W$2:$W$1001,0),1)&gt;=100000,INDEX($AD$1005:$AU$1005,1,MATCH(COLUMNS($AD$1006:AI1006),$AD$1006:$AU$1006,0))&gt;=100000), " ",IF(INDEX($AD$2:$AU$1001,MATCH(ROWS($W$2:W333),$W$2:$W$1001,0),MATCH(COLUMNS($AD$1006:AI1006),$AD$1006:$AU$1006,0)), HYPERLINK("#",""), HYPERLINK(CONCATENATE("#metadata!", ADDRESS(INDEX($Y$2:$Y$1001,MATCH(ROWS($W$2:W333),$W$2:$W$1001,0),0), INDEX($AD$1004:$AU$1004,1,MATCH(COLUMNS($AD$1006:AI1006),$AD$1006:$AU$1006,0)))),"Fix")))</f>
        <v xml:space="preserve"> </v>
      </c>
      <c r="H333" s="4" t="str">
        <f ca="1">IF(OR(INDEX($X$2:$X$1001,MATCH(ROWS($W$2:W333),$W$2:$W$1001,0),1)&gt;=100000,INDEX($AD$1005:$AU$1005,1,MATCH(COLUMNS($AD$1006:AJ1006),$AD$1006:$AU$1006,0))&gt;=100000), " ",IF(INDEX($AD$2:$AU$1001,MATCH(ROWS($W$2:W333),$W$2:$W$1001,0),MATCH(COLUMNS($AD$1006:AJ1006),$AD$1006:$AU$1006,0)), HYPERLINK("#",""), HYPERLINK(CONCATENATE("#metadata!", ADDRESS(INDEX($Y$2:$Y$1001,MATCH(ROWS($W$2:W333),$W$2:$W$1001,0),0), INDEX($AD$1004:$AU$1004,1,MATCH(COLUMNS($AD$1006:AJ1006),$AD$1006:$AU$1006,0)))),"Fix")))</f>
        <v xml:space="preserve"> </v>
      </c>
      <c r="I333" s="4" t="str">
        <f ca="1">IF(OR(INDEX($X$2:$X$1001,MATCH(ROWS($W$2:W333),$W$2:$W$1001,0),1)&gt;=100000,INDEX($AD$1005:$AU$1005,1,MATCH(COLUMNS($AD$1006:AK1006),$AD$1006:$AU$1006,0))&gt;=100000), " ",IF(INDEX($AD$2:$AU$1001,MATCH(ROWS($W$2:W333),$W$2:$W$1001,0),MATCH(COLUMNS($AD$1006:AK1006),$AD$1006:$AU$1006,0)), HYPERLINK("#",""), HYPERLINK(CONCATENATE("#metadata!", ADDRESS(INDEX($Y$2:$Y$1001,MATCH(ROWS($W$2:W333),$W$2:$W$1001,0),0), INDEX($AD$1004:$AU$1004,1,MATCH(COLUMNS($AD$1006:AK1006),$AD$1006:$AU$1006,0)))),"Fix")))</f>
        <v xml:space="preserve"> </v>
      </c>
      <c r="J333" s="4" t="str">
        <f ca="1">IF(OR(INDEX($X$2:$X$1001,MATCH(ROWS($W$2:W333),$W$2:$W$1001,0),1)&gt;=100000,INDEX($AD$1005:$AU$1005,1,MATCH(COLUMNS($AD$1006:AL1006),$AD$1006:$AU$1006,0))&gt;=100000), " ",IF(INDEX($AD$2:$AU$1001,MATCH(ROWS($W$2:W333),$W$2:$W$1001,0),MATCH(COLUMNS($AD$1006:AL1006),$AD$1006:$AU$1006,0)), HYPERLINK("#",""), HYPERLINK(CONCATENATE("#metadata!", ADDRESS(INDEX($Y$2:$Y$1001,MATCH(ROWS($W$2:W333),$W$2:$W$1001,0),0), INDEX($AD$1004:$AU$1004,1,MATCH(COLUMNS($AD$1006:AL1006),$AD$1006:$AU$1006,0)))),"Fix")))</f>
        <v xml:space="preserve"> </v>
      </c>
      <c r="K333" s="4" t="str">
        <f ca="1">IF(OR(INDEX($X$2:$X$1001,MATCH(ROWS($W$2:W333),$W$2:$W$1001,0),1)&gt;=100000,INDEX($AD$1005:$AU$1005,1,MATCH(COLUMNS($AD$1006:AM1006),$AD$1006:$AU$1006,0))&gt;=100000), " ",IF(INDEX($AD$2:$AU$1001,MATCH(ROWS($W$2:W333),$W$2:$W$1001,0),MATCH(COLUMNS($AD$1006:AM1006),$AD$1006:$AU$1006,0)), HYPERLINK("#",""), HYPERLINK(CONCATENATE("#metadata!", ADDRESS(INDEX($Y$2:$Y$1001,MATCH(ROWS($W$2:W333),$W$2:$W$1001,0),0), INDEX($AD$1004:$AU$1004,1,MATCH(COLUMNS($AD$1006:AM1006),$AD$1006:$AU$1006,0)))),"Fix")))</f>
        <v xml:space="preserve"> </v>
      </c>
      <c r="L333" s="4" t="str">
        <f ca="1">IF(OR(INDEX($X$2:$X$1001,MATCH(ROWS($W$2:W333),$W$2:$W$1001,0),1)&gt;=100000,INDEX($AD$1005:$AU$1005,1,MATCH(COLUMNS($AD$1006:AN1006),$AD$1006:$AU$1006,0))&gt;=100000), " ",IF(INDEX($AD$2:$AU$1001,MATCH(ROWS($W$2:W333),$W$2:$W$1001,0),MATCH(COLUMNS($AD$1006:AN1006),$AD$1006:$AU$1006,0)), HYPERLINK("#",""), HYPERLINK(CONCATENATE("#metadata!", ADDRESS(INDEX($Y$2:$Y$1001,MATCH(ROWS($W$2:W333),$W$2:$W$1001,0),0), INDEX($AD$1004:$AU$1004,1,MATCH(COLUMNS($AD$1006:AN1006),$AD$1006:$AU$1006,0)))),"Fix")))</f>
        <v xml:space="preserve"> </v>
      </c>
      <c r="M333" s="4" t="str">
        <f ca="1">IF(OR(INDEX($X$2:$X$1001,MATCH(ROWS($W$2:W333),$W$2:$W$1001,0),1)&gt;=100000,INDEX($AD$1005:$AU$1005,1,MATCH(COLUMNS($AD$1006:AO1006),$AD$1006:$AU$1006,0))&gt;=100000), " ",IF(INDEX($AD$2:$AU$1001,MATCH(ROWS($W$2:W333),$W$2:$W$1001,0),MATCH(COLUMNS($AD$1006:AO1006),$AD$1006:$AU$1006,0)), HYPERLINK("#",""), HYPERLINK(CONCATENATE("#metadata!", ADDRESS(INDEX($Y$2:$Y$1001,MATCH(ROWS($W$2:W333),$W$2:$W$1001,0),0), INDEX($AD$1004:$AU$1004,1,MATCH(COLUMNS($AD$1006:AO1006),$AD$1006:$AU$1006,0)))),"Fix")))</f>
        <v xml:space="preserve"> </v>
      </c>
      <c r="N333" s="4" t="str">
        <f ca="1">IF(OR(INDEX($X$2:$X$1001,MATCH(ROWS($W$2:W333),$W$2:$W$1001,0),1)&gt;=100000,INDEX($AD$1005:$AU$1005,1,MATCH(COLUMNS($AD$1006:AP1006),$AD$1006:$AU$1006,0))&gt;=100000), " ",IF(INDEX($AD$2:$AU$1001,MATCH(ROWS($W$2:W333),$W$2:$W$1001,0),MATCH(COLUMNS($AD$1006:AP1006),$AD$1006:$AU$1006,0)), HYPERLINK("#",""), HYPERLINK(CONCATENATE("#metadata!", ADDRESS(INDEX($Y$2:$Y$1001,MATCH(ROWS($W$2:W333),$W$2:$W$1001,0),0), INDEX($AD$1004:$AU$1004,1,MATCH(COLUMNS($AD$1006:AP1006),$AD$1006:$AU$1006,0)))),"Fix")))</f>
        <v xml:space="preserve"> </v>
      </c>
      <c r="O333" s="4" t="str">
        <f ca="1">IF(OR(INDEX($X$2:$X$1001,MATCH(ROWS($W$2:W333),$W$2:$W$1001,0),1)&gt;=100000,INDEX($AD$1005:$AU$1005,1,MATCH(COLUMNS($AD$1006:AQ1006),$AD$1006:$AU$1006,0))&gt;=100000), " ",IF(INDEX($AD$2:$AU$1001,MATCH(ROWS($W$2:W333),$W$2:$W$1001,0),MATCH(COLUMNS($AD$1006:AQ1006),$AD$1006:$AU$1006,0)), HYPERLINK("#",""), HYPERLINK(CONCATENATE("#metadata!", ADDRESS(INDEX($Y$2:$Y$1001,MATCH(ROWS($W$2:W333),$W$2:$W$1001,0),0), INDEX($AD$1004:$AU$1004,1,MATCH(COLUMNS($AD$1006:AQ1006),$AD$1006:$AU$1006,0)))),"Fix")))</f>
        <v xml:space="preserve"> </v>
      </c>
      <c r="P333" s="4" t="str">
        <f ca="1">IF(OR(INDEX($X$2:$X$1001,MATCH(ROWS($W$2:W333),$W$2:$W$1001,0),1)&gt;=100000,INDEX($AD$1005:$AU$1005,1,MATCH(COLUMNS($AD$1006:AR1006),$AD$1006:$AU$1006,0))&gt;=100000), " ",IF(INDEX($AD$2:$AU$1001,MATCH(ROWS($W$2:W333),$W$2:$W$1001,0),MATCH(COLUMNS($AD$1006:AR1006),$AD$1006:$AU$1006,0)), HYPERLINK("#",""), HYPERLINK(CONCATENATE("#metadata!", ADDRESS(INDEX($Y$2:$Y$1001,MATCH(ROWS($W$2:W333),$W$2:$W$1001,0),0), INDEX($AD$1004:$AU$1004,1,MATCH(COLUMNS($AD$1006:AR1006),$AD$1006:$AU$1006,0)))),"Fix")))</f>
        <v xml:space="preserve"> </v>
      </c>
      <c r="Q333" s="4" t="str">
        <f ca="1">IF(OR(INDEX($X$2:$X$1001,MATCH(ROWS($W$2:W333),$W$2:$W$1001,0),1)&gt;=100000,INDEX($AD$1005:$AU$1005,1,MATCH(COLUMNS($AD$1006:AS1006),$AD$1006:$AU$1006,0))&gt;=100000), " ",IF(INDEX($AD$2:$AU$1001,MATCH(ROWS($W$2:W333),$W$2:$W$1001,0),MATCH(COLUMNS($AD$1006:AS1006),$AD$1006:$AU$1006,0)), HYPERLINK("#",""), HYPERLINK(CONCATENATE("#metadata!", ADDRESS(INDEX($Y$2:$Y$1001,MATCH(ROWS($W$2:W333),$W$2:$W$1001,0),0), INDEX($AD$1004:$AU$1004,1,MATCH(COLUMNS($AD$1006:AS1006),$AD$1006:$AU$1006,0)))),"Fix")))</f>
        <v xml:space="preserve"> </v>
      </c>
      <c r="R333" s="4" t="str">
        <f ca="1">IF(OR(INDEX($X$2:$X$1001,MATCH(ROWS($W$2:W333),$W$2:$W$1001,0),1)&gt;=100000,INDEX($AD$1005:$AU$1005,1,MATCH(COLUMNS($AD$1006:AT1006),$AD$1006:$AU$1006,0))&gt;=100000), " ",IF(INDEX($AD$2:$AU$1001,MATCH(ROWS($W$2:W333),$W$2:$W$1001,0),MATCH(COLUMNS($AD$1006:AT1006),$AD$1006:$AU$1006,0)), HYPERLINK("#",""), HYPERLINK(CONCATENATE("#metadata!", ADDRESS(INDEX($Y$2:$Y$1001,MATCH(ROWS($W$2:W333),$W$2:$W$1001,0),0), INDEX($AD$1004:$AU$1004,1,MATCH(COLUMNS($AD$1006:AT1006),$AD$1006:$AU$1006,0)))),"Fix")))</f>
        <v xml:space="preserve"> </v>
      </c>
      <c r="S333" s="4" t="str">
        <f ca="1">IF(OR(INDEX($X$2:$X$1001,MATCH(ROWS($W$2:W333),$W$2:$W$1001,0),1)&gt;=100000,INDEX($AD$1005:$AU$1005,1,MATCH(COLUMNS($AD$1006:AU1006),$AD$1006:$AU$1006,0))&gt;=100000), " ",IF(INDEX($AD$2:$AU$1001,MATCH(ROWS($W$2:W333),$W$2:$W$1001,0),MATCH(COLUMNS($AD$1006:AU1006),$AD$1006:$AU$1006,0)), HYPERLINK("#",""), HYPERLINK(CONCATENATE("#metadata!", ADDRESS(INDEX($Y$2:$Y$1001,MATCH(ROWS($W$2:W333),$W$2:$W$1001,0),0), INDEX($AD$1004:$AU$1004,1,MATCH(COLUMNS($AD$1006:AU1006),$AD$1006:$AU$1006,0)))),"Fix")))</f>
        <v xml:space="preserve"> </v>
      </c>
      <c r="W333">
        <v>332</v>
      </c>
      <c r="X333">
        <v>100333</v>
      </c>
      <c r="Y333">
        <v>333</v>
      </c>
      <c r="Z333" t="b">
        <f t="shared" si="5"/>
        <v>1</v>
      </c>
      <c r="AA333" t="b">
        <f>COUNTBLANK(metadata!B333:S333)=COLUMNS(metadata!B333:S333)</f>
        <v>1</v>
      </c>
      <c r="AB333" t="str">
        <v/>
      </c>
      <c r="AD333" t="b">
        <f ca="1">AND(IF(metadata!B333="",FALSE,TRUE),COUNTIF(metadata!B:B, metadata!B333) = 1,NOT(ISERROR(SUMPRODUCT(SEARCH(MID(metadata!B333,ROW(INDIRECT("1:"&amp;LEN(metadata!B333))), 1),"0123456789abcdefghijklmnopqrstuvwxyzABCDEFGHIJKLMNOPQRSTUVWXYZ.")))))</f>
        <v>0</v>
      </c>
      <c r="AE333" t="b">
        <f>OR(AND(IF(metadata!C333="",FALSE,TRUE),OR(EXACT(metadata!C333,"not applicable"),EXACT(metadata!C333,"missing: not collected"),EXACT(metadata!C333,"missing: not provided"),EXACT(metadata!C333,"missing: restricted access"))),AND(IF(metadata!C333="",FALSE,ISNUMBER(VALUE(metadata!C333))),metadata!C333&gt;0))</f>
        <v>0</v>
      </c>
      <c r="AF333" t="b">
        <f>AND(IF(metadata!D333="",FALSE,TRUE),EXACT(metadata!D333,"missing: not provided"))</f>
        <v>0</v>
      </c>
      <c r="AG333" t="b">
        <f>AND(IF(metadata!E333="",FALSE,TRUE),EXACT(metadata!E333,"Host-associated"))</f>
        <v>0</v>
      </c>
      <c r="AH333" t="b">
        <f>AND(IF(metadata!F333="",FALSE,TRUE),OR(EXACT(metadata!F333,"Animal"),EXACT(metadata!F333,"Fungus"),EXACT(metadata!F333,"Plant")))</f>
        <v>0</v>
      </c>
      <c r="AI333" t="b">
        <f>AND(IF(metadata!G333="",FALSE,TRUE),OR(EXACT(metadata!G333,"Plant secretion"),EXACT(metadata!G333,"Plant rhizosphere"),EXACT(metadata!G333,"Plant surface"),EXACT(metadata!G333,"Plant corpus"),EXACT(metadata!G333,"Fungus surface"),EXACT(metadata!G333,"Fungus corpus"),EXACT(metadata!G333,"Animal surface"),EXACT(metadata!G333,"Animal proximal gut"),EXACT(metadata!G333,"Animal corpus"),EXACT(metadata!G333,"Animal distal gut"),EXACT(metadata!G333,"Animal secretion")))</f>
        <v>0</v>
      </c>
      <c r="AJ333" t="b">
        <f>OR(AND(IF(metadata!H333="",FALSE,TRUE),OR(EXACT(metadata!H333,"missing: not collected"),EXACT(metadata!H333,"missing: not provided"),EXACT(metadata!H333,"missing: restricted access"))),AND(IF(metadata!H333="",FALSE,TRUE),OR(EXACT(metadata!H333,"organism-associated habitat"),EXACT(metadata!H333,"plant-associated habitat"),EXACT(metadata!H333,"animal-associated habitat"),EXACT(metadata!H333,"insecta-associated habitat"),EXACT(metadata!H333,"mammalia-associated habitat"),EXACT(metadata!H333,"human-associated habitat"),EXACT(metadata!H333,"livestock-associated habitat"))))</f>
        <v>0</v>
      </c>
      <c r="AK333" t="b">
        <f>AND(IF(metadata!I333="",FALSE,TRUE),EXACT(metadata!I333,"host-associated"))</f>
        <v>0</v>
      </c>
      <c r="AL333" t="b">
        <f>OR(AND(IF(metadata!J333="",FALSE,TRUE),OR(EXACT(metadata!J333,"not applicable"),EXACT(metadata!J333,"missing: not collected"),EXACT(metadata!J333,"missing: not provided"),EXACT(metadata!J333,"missing: restricted access"))),AND(IF(metadata!J333="",FALSE,ISNUMBER(VALUE(metadata!J333))),metadata!J333&gt;0))</f>
        <v>0</v>
      </c>
      <c r="AM333" t="b">
        <f>AND(IF(metadata!K333="",FALSE,TRUE),EXACT(metadata!K333,"missing: not provided"))</f>
        <v>0</v>
      </c>
      <c r="AN333" t="b">
        <f>IF(metadata!L333="",FALSE,TRUE)</f>
        <v>0</v>
      </c>
      <c r="AO333" t="b">
        <f>IF(metadata!M333="",FALSE,TRUE)</f>
        <v>0</v>
      </c>
      <c r="AP333" t="b">
        <f>OR(AND(IF(metadata!N333="",FALSE,TRUE),OR(EXACT(metadata!N333,"not applicable"),EXACT(metadata!N333,"missing: not collected"),EXACT(metadata!N333,"missing: not provided"))),AND(IF(metadata!N333="",FALSE,IF(ISERROR(INT(metadata!N333)),FALSE,INT(metadata!N333)=metadata!N333)),metadata!N333&gt;0))</f>
        <v>0</v>
      </c>
      <c r="AQ333" t="b">
        <f>AND(IF(metadata!O333="",FALSE,TRUE),EXACT(metadata!O333,"Not applicable"))</f>
        <v>0</v>
      </c>
      <c r="AR333" t="b">
        <f>OR(AND(IF(metadata!P333="",FALSE,TRUE),OR(EXACT(metadata!P333,"not applicable"),EXACT(metadata!P333,"missing: not collected"),EXACT(metadata!P333,"missing: not provided"),EXACT(metadata!P333,"missing: restricted access"))),IF(metadata!P333="",FALSE,IF(ISERROR(INT(metadata!P333)),FALSE,INT(metadata!P333)=metadata!P333)))</f>
        <v>0</v>
      </c>
      <c r="AS333" t="b">
        <f>AND(IF(metadata!Q333="",FALSE,TRUE),EXACT(metadata!Q333,"Not applicable"))</f>
        <v>0</v>
      </c>
      <c r="AT333" t="b">
        <f>OR(AND(IF(metadata!R333="",FALSE,TRUE),OR(EXACT(metadata!R333,"not applicable"),EXACT(metadata!R333,"missing: not collected"),EXACT(metadata!R333,"missing: not provided"),EXACT(metadata!R333,"missing: restricted access"))),AND(IF(metadata!R333="",FALSE,ISNUMBER(VALUE(metadata!R333))),metadata!R333&gt;0))</f>
        <v>0</v>
      </c>
      <c r="AU333" t="b">
        <f>AND(IF(metadata!S333="",FALSE,TRUE),EXACT(metadata!S333,"missing: not provided"))</f>
        <v>0</v>
      </c>
    </row>
    <row r="334" spans="1:47" x14ac:dyDescent="0.2">
      <c r="A334" s="5" t="str">
        <f ca="1">IF(B334=" "," ",HYPERLINK(CONCATENATE("#metadata!",ADDRESS(INDEX($Y$2:$Y$1001,MATCH(ROWS($W$2:W334),$W$2:$W$1001,0),0),1)),INDEX($AB$2:$AB$1001,MATCH(ROWS($W$2:W334),$W$2:$W$1001,0),0)))</f>
        <v xml:space="preserve"> </v>
      </c>
      <c r="B334" s="4" t="str">
        <f ca="1">IF(OR(INDEX($X$2:$X$1001,MATCH(ROWS($W$2:W334),$W$2:$W$1001,0),1)&gt;=100000,INDEX($AD$1005:$AU$1005,1,MATCH(COLUMNS($AD$1006:AD1006),$AD$1006:$AU$1006,0))&gt;=100000), " ",IF(INDEX($AD$2:$AU$1001,MATCH(ROWS($W$2:W334),$W$2:$W$1001,0),MATCH(COLUMNS($AD$1006:AD1006),$AD$1006:$AU$1006,0)), HYPERLINK("#",""), HYPERLINK(CONCATENATE("#metadata!", ADDRESS(INDEX($Y$2:$Y$1001,MATCH(ROWS($W$2:W334),$W$2:$W$1001,0),0), INDEX($AD$1004:$AU$1004,1,MATCH(COLUMNS($AD$1006:AD1006),$AD$1006:$AU$1006,0)))),"Fix")))</f>
        <v xml:space="preserve"> </v>
      </c>
      <c r="C334" s="4" t="str">
        <f ca="1">IF(OR(INDEX($X$2:$X$1001,MATCH(ROWS($W$2:W334),$W$2:$W$1001,0),1)&gt;=100000,INDEX($AD$1005:$AU$1005,1,MATCH(COLUMNS($AD$1006:AE1006),$AD$1006:$AU$1006,0))&gt;=100000), " ",IF(INDEX($AD$2:$AU$1001,MATCH(ROWS($W$2:W334),$W$2:$W$1001,0),MATCH(COLUMNS($AD$1006:AE1006),$AD$1006:$AU$1006,0)), HYPERLINK("#",""), HYPERLINK(CONCATENATE("#metadata!", ADDRESS(INDEX($Y$2:$Y$1001,MATCH(ROWS($W$2:W334),$W$2:$W$1001,0),0), INDEX($AD$1004:$AU$1004,1,MATCH(COLUMNS($AD$1006:AE1006),$AD$1006:$AU$1006,0)))),"Fix")))</f>
        <v xml:space="preserve"> </v>
      </c>
      <c r="D334" s="4" t="str">
        <f ca="1">IF(OR(INDEX($X$2:$X$1001,MATCH(ROWS($W$2:W334),$W$2:$W$1001,0),1)&gt;=100000,INDEX($AD$1005:$AU$1005,1,MATCH(COLUMNS($AD$1006:AF1006),$AD$1006:$AU$1006,0))&gt;=100000), " ",IF(INDEX($AD$2:$AU$1001,MATCH(ROWS($W$2:W334),$W$2:$W$1001,0),MATCH(COLUMNS($AD$1006:AF1006),$AD$1006:$AU$1006,0)), HYPERLINK("#",""), HYPERLINK(CONCATENATE("#metadata!", ADDRESS(INDEX($Y$2:$Y$1001,MATCH(ROWS($W$2:W334),$W$2:$W$1001,0),0), INDEX($AD$1004:$AU$1004,1,MATCH(COLUMNS($AD$1006:AF1006),$AD$1006:$AU$1006,0)))),"Fix")))</f>
        <v xml:space="preserve"> </v>
      </c>
      <c r="E334" s="4" t="str">
        <f ca="1">IF(OR(INDEX($X$2:$X$1001,MATCH(ROWS($W$2:W334),$W$2:$W$1001,0),1)&gt;=100000,INDEX($AD$1005:$AU$1005,1,MATCH(COLUMNS($AD$1006:AG1006),$AD$1006:$AU$1006,0))&gt;=100000), " ",IF(INDEX($AD$2:$AU$1001,MATCH(ROWS($W$2:W334),$W$2:$W$1001,0),MATCH(COLUMNS($AD$1006:AG1006),$AD$1006:$AU$1006,0)), HYPERLINK("#",""), HYPERLINK(CONCATENATE("#metadata!", ADDRESS(INDEX($Y$2:$Y$1001,MATCH(ROWS($W$2:W334),$W$2:$W$1001,0),0), INDEX($AD$1004:$AU$1004,1,MATCH(COLUMNS($AD$1006:AG1006),$AD$1006:$AU$1006,0)))),"Fix")))</f>
        <v xml:space="preserve"> </v>
      </c>
      <c r="F334" s="4" t="str">
        <f ca="1">IF(OR(INDEX($X$2:$X$1001,MATCH(ROWS($W$2:W334),$W$2:$W$1001,0),1)&gt;=100000,INDEX($AD$1005:$AU$1005,1,MATCH(COLUMNS($AD$1006:AH1006),$AD$1006:$AU$1006,0))&gt;=100000), " ",IF(INDEX($AD$2:$AU$1001,MATCH(ROWS($W$2:W334),$W$2:$W$1001,0),MATCH(COLUMNS($AD$1006:AH1006),$AD$1006:$AU$1006,0)), HYPERLINK("#",""), HYPERLINK(CONCATENATE("#metadata!", ADDRESS(INDEX($Y$2:$Y$1001,MATCH(ROWS($W$2:W334),$W$2:$W$1001,0),0), INDEX($AD$1004:$AU$1004,1,MATCH(COLUMNS($AD$1006:AH1006),$AD$1006:$AU$1006,0)))),"Fix")))</f>
        <v xml:space="preserve"> </v>
      </c>
      <c r="G334" s="4" t="str">
        <f ca="1">IF(OR(INDEX($X$2:$X$1001,MATCH(ROWS($W$2:W334),$W$2:$W$1001,0),1)&gt;=100000,INDEX($AD$1005:$AU$1005,1,MATCH(COLUMNS($AD$1006:AI1006),$AD$1006:$AU$1006,0))&gt;=100000), " ",IF(INDEX($AD$2:$AU$1001,MATCH(ROWS($W$2:W334),$W$2:$W$1001,0),MATCH(COLUMNS($AD$1006:AI1006),$AD$1006:$AU$1006,0)), HYPERLINK("#",""), HYPERLINK(CONCATENATE("#metadata!", ADDRESS(INDEX($Y$2:$Y$1001,MATCH(ROWS($W$2:W334),$W$2:$W$1001,0),0), INDEX($AD$1004:$AU$1004,1,MATCH(COLUMNS($AD$1006:AI1006),$AD$1006:$AU$1006,0)))),"Fix")))</f>
        <v xml:space="preserve"> </v>
      </c>
      <c r="H334" s="4" t="str">
        <f ca="1">IF(OR(INDEX($X$2:$X$1001,MATCH(ROWS($W$2:W334),$W$2:$W$1001,0),1)&gt;=100000,INDEX($AD$1005:$AU$1005,1,MATCH(COLUMNS($AD$1006:AJ1006),$AD$1006:$AU$1006,0))&gt;=100000), " ",IF(INDEX($AD$2:$AU$1001,MATCH(ROWS($W$2:W334),$W$2:$W$1001,0),MATCH(COLUMNS($AD$1006:AJ1006),$AD$1006:$AU$1006,0)), HYPERLINK("#",""), HYPERLINK(CONCATENATE("#metadata!", ADDRESS(INDEX($Y$2:$Y$1001,MATCH(ROWS($W$2:W334),$W$2:$W$1001,0),0), INDEX($AD$1004:$AU$1004,1,MATCH(COLUMNS($AD$1006:AJ1006),$AD$1006:$AU$1006,0)))),"Fix")))</f>
        <v xml:space="preserve"> </v>
      </c>
      <c r="I334" s="4" t="str">
        <f ca="1">IF(OR(INDEX($X$2:$X$1001,MATCH(ROWS($W$2:W334),$W$2:$W$1001,0),1)&gt;=100000,INDEX($AD$1005:$AU$1005,1,MATCH(COLUMNS($AD$1006:AK1006),$AD$1006:$AU$1006,0))&gt;=100000), " ",IF(INDEX($AD$2:$AU$1001,MATCH(ROWS($W$2:W334),$W$2:$W$1001,0),MATCH(COLUMNS($AD$1006:AK1006),$AD$1006:$AU$1006,0)), HYPERLINK("#",""), HYPERLINK(CONCATENATE("#metadata!", ADDRESS(INDEX($Y$2:$Y$1001,MATCH(ROWS($W$2:W334),$W$2:$W$1001,0),0), INDEX($AD$1004:$AU$1004,1,MATCH(COLUMNS($AD$1006:AK1006),$AD$1006:$AU$1006,0)))),"Fix")))</f>
        <v xml:space="preserve"> </v>
      </c>
      <c r="J334" s="4" t="str">
        <f ca="1">IF(OR(INDEX($X$2:$X$1001,MATCH(ROWS($W$2:W334),$W$2:$W$1001,0),1)&gt;=100000,INDEX($AD$1005:$AU$1005,1,MATCH(COLUMNS($AD$1006:AL1006),$AD$1006:$AU$1006,0))&gt;=100000), " ",IF(INDEX($AD$2:$AU$1001,MATCH(ROWS($W$2:W334),$W$2:$W$1001,0),MATCH(COLUMNS($AD$1006:AL1006),$AD$1006:$AU$1006,0)), HYPERLINK("#",""), HYPERLINK(CONCATENATE("#metadata!", ADDRESS(INDEX($Y$2:$Y$1001,MATCH(ROWS($W$2:W334),$W$2:$W$1001,0),0), INDEX($AD$1004:$AU$1004,1,MATCH(COLUMNS($AD$1006:AL1006),$AD$1006:$AU$1006,0)))),"Fix")))</f>
        <v xml:space="preserve"> </v>
      </c>
      <c r="K334" s="4" t="str">
        <f ca="1">IF(OR(INDEX($X$2:$X$1001,MATCH(ROWS($W$2:W334),$W$2:$W$1001,0),1)&gt;=100000,INDEX($AD$1005:$AU$1005,1,MATCH(COLUMNS($AD$1006:AM1006),$AD$1006:$AU$1006,0))&gt;=100000), " ",IF(INDEX($AD$2:$AU$1001,MATCH(ROWS($W$2:W334),$W$2:$W$1001,0),MATCH(COLUMNS($AD$1006:AM1006),$AD$1006:$AU$1006,0)), HYPERLINK("#",""), HYPERLINK(CONCATENATE("#metadata!", ADDRESS(INDEX($Y$2:$Y$1001,MATCH(ROWS($W$2:W334),$W$2:$W$1001,0),0), INDEX($AD$1004:$AU$1004,1,MATCH(COLUMNS($AD$1006:AM1006),$AD$1006:$AU$1006,0)))),"Fix")))</f>
        <v xml:space="preserve"> </v>
      </c>
      <c r="L334" s="4" t="str">
        <f ca="1">IF(OR(INDEX($X$2:$X$1001,MATCH(ROWS($W$2:W334),$W$2:$W$1001,0),1)&gt;=100000,INDEX($AD$1005:$AU$1005,1,MATCH(COLUMNS($AD$1006:AN1006),$AD$1006:$AU$1006,0))&gt;=100000), " ",IF(INDEX($AD$2:$AU$1001,MATCH(ROWS($W$2:W334),$W$2:$W$1001,0),MATCH(COLUMNS($AD$1006:AN1006),$AD$1006:$AU$1006,0)), HYPERLINK("#",""), HYPERLINK(CONCATENATE("#metadata!", ADDRESS(INDEX($Y$2:$Y$1001,MATCH(ROWS($W$2:W334),$W$2:$W$1001,0),0), INDEX($AD$1004:$AU$1004,1,MATCH(COLUMNS($AD$1006:AN1006),$AD$1006:$AU$1006,0)))),"Fix")))</f>
        <v xml:space="preserve"> </v>
      </c>
      <c r="M334" s="4" t="str">
        <f ca="1">IF(OR(INDEX($X$2:$X$1001,MATCH(ROWS($W$2:W334),$W$2:$W$1001,0),1)&gt;=100000,INDEX($AD$1005:$AU$1005,1,MATCH(COLUMNS($AD$1006:AO1006),$AD$1006:$AU$1006,0))&gt;=100000), " ",IF(INDEX($AD$2:$AU$1001,MATCH(ROWS($W$2:W334),$W$2:$W$1001,0),MATCH(COLUMNS($AD$1006:AO1006),$AD$1006:$AU$1006,0)), HYPERLINK("#",""), HYPERLINK(CONCATENATE("#metadata!", ADDRESS(INDEX($Y$2:$Y$1001,MATCH(ROWS($W$2:W334),$W$2:$W$1001,0),0), INDEX($AD$1004:$AU$1004,1,MATCH(COLUMNS($AD$1006:AO1006),$AD$1006:$AU$1006,0)))),"Fix")))</f>
        <v xml:space="preserve"> </v>
      </c>
      <c r="N334" s="4" t="str">
        <f ca="1">IF(OR(INDEX($X$2:$X$1001,MATCH(ROWS($W$2:W334),$W$2:$W$1001,0),1)&gt;=100000,INDEX($AD$1005:$AU$1005,1,MATCH(COLUMNS($AD$1006:AP1006),$AD$1006:$AU$1006,0))&gt;=100000), " ",IF(INDEX($AD$2:$AU$1001,MATCH(ROWS($W$2:W334),$W$2:$W$1001,0),MATCH(COLUMNS($AD$1006:AP1006),$AD$1006:$AU$1006,0)), HYPERLINK("#",""), HYPERLINK(CONCATENATE("#metadata!", ADDRESS(INDEX($Y$2:$Y$1001,MATCH(ROWS($W$2:W334),$W$2:$W$1001,0),0), INDEX($AD$1004:$AU$1004,1,MATCH(COLUMNS($AD$1006:AP1006),$AD$1006:$AU$1006,0)))),"Fix")))</f>
        <v xml:space="preserve"> </v>
      </c>
      <c r="O334" s="4" t="str">
        <f ca="1">IF(OR(INDEX($X$2:$X$1001,MATCH(ROWS($W$2:W334),$W$2:$W$1001,0),1)&gt;=100000,INDEX($AD$1005:$AU$1005,1,MATCH(COLUMNS($AD$1006:AQ1006),$AD$1006:$AU$1006,0))&gt;=100000), " ",IF(INDEX($AD$2:$AU$1001,MATCH(ROWS($W$2:W334),$W$2:$W$1001,0),MATCH(COLUMNS($AD$1006:AQ1006),$AD$1006:$AU$1006,0)), HYPERLINK("#",""), HYPERLINK(CONCATENATE("#metadata!", ADDRESS(INDEX($Y$2:$Y$1001,MATCH(ROWS($W$2:W334),$W$2:$W$1001,0),0), INDEX($AD$1004:$AU$1004,1,MATCH(COLUMNS($AD$1006:AQ1006),$AD$1006:$AU$1006,0)))),"Fix")))</f>
        <v xml:space="preserve"> </v>
      </c>
      <c r="P334" s="4" t="str">
        <f ca="1">IF(OR(INDEX($X$2:$X$1001,MATCH(ROWS($W$2:W334),$W$2:$W$1001,0),1)&gt;=100000,INDEX($AD$1005:$AU$1005,1,MATCH(COLUMNS($AD$1006:AR1006),$AD$1006:$AU$1006,0))&gt;=100000), " ",IF(INDEX($AD$2:$AU$1001,MATCH(ROWS($W$2:W334),$W$2:$W$1001,0),MATCH(COLUMNS($AD$1006:AR1006),$AD$1006:$AU$1006,0)), HYPERLINK("#",""), HYPERLINK(CONCATENATE("#metadata!", ADDRESS(INDEX($Y$2:$Y$1001,MATCH(ROWS($W$2:W334),$W$2:$W$1001,0),0), INDEX($AD$1004:$AU$1004,1,MATCH(COLUMNS($AD$1006:AR1006),$AD$1006:$AU$1006,0)))),"Fix")))</f>
        <v xml:space="preserve"> </v>
      </c>
      <c r="Q334" s="4" t="str">
        <f ca="1">IF(OR(INDEX($X$2:$X$1001,MATCH(ROWS($W$2:W334),$W$2:$W$1001,0),1)&gt;=100000,INDEX($AD$1005:$AU$1005,1,MATCH(COLUMNS($AD$1006:AS1006),$AD$1006:$AU$1006,0))&gt;=100000), " ",IF(INDEX($AD$2:$AU$1001,MATCH(ROWS($W$2:W334),$W$2:$W$1001,0),MATCH(COLUMNS($AD$1006:AS1006),$AD$1006:$AU$1006,0)), HYPERLINK("#",""), HYPERLINK(CONCATENATE("#metadata!", ADDRESS(INDEX($Y$2:$Y$1001,MATCH(ROWS($W$2:W334),$W$2:$W$1001,0),0), INDEX($AD$1004:$AU$1004,1,MATCH(COLUMNS($AD$1006:AS1006),$AD$1006:$AU$1006,0)))),"Fix")))</f>
        <v xml:space="preserve"> </v>
      </c>
      <c r="R334" s="4" t="str">
        <f ca="1">IF(OR(INDEX($X$2:$X$1001,MATCH(ROWS($W$2:W334),$W$2:$W$1001,0),1)&gt;=100000,INDEX($AD$1005:$AU$1005,1,MATCH(COLUMNS($AD$1006:AT1006),$AD$1006:$AU$1006,0))&gt;=100000), " ",IF(INDEX($AD$2:$AU$1001,MATCH(ROWS($W$2:W334),$W$2:$W$1001,0),MATCH(COLUMNS($AD$1006:AT1006),$AD$1006:$AU$1006,0)), HYPERLINK("#",""), HYPERLINK(CONCATENATE("#metadata!", ADDRESS(INDEX($Y$2:$Y$1001,MATCH(ROWS($W$2:W334),$W$2:$W$1001,0),0), INDEX($AD$1004:$AU$1004,1,MATCH(COLUMNS($AD$1006:AT1006),$AD$1006:$AU$1006,0)))),"Fix")))</f>
        <v xml:space="preserve"> </v>
      </c>
      <c r="S334" s="4" t="str">
        <f ca="1">IF(OR(INDEX($X$2:$X$1001,MATCH(ROWS($W$2:W334),$W$2:$W$1001,0),1)&gt;=100000,INDEX($AD$1005:$AU$1005,1,MATCH(COLUMNS($AD$1006:AU1006),$AD$1006:$AU$1006,0))&gt;=100000), " ",IF(INDEX($AD$2:$AU$1001,MATCH(ROWS($W$2:W334),$W$2:$W$1001,0),MATCH(COLUMNS($AD$1006:AU1006),$AD$1006:$AU$1006,0)), HYPERLINK("#",""), HYPERLINK(CONCATENATE("#metadata!", ADDRESS(INDEX($Y$2:$Y$1001,MATCH(ROWS($W$2:W334),$W$2:$W$1001,0),0), INDEX($AD$1004:$AU$1004,1,MATCH(COLUMNS($AD$1006:AU1006),$AD$1006:$AU$1006,0)))),"Fix")))</f>
        <v xml:space="preserve"> </v>
      </c>
      <c r="W334">
        <v>333</v>
      </c>
      <c r="X334">
        <v>100334</v>
      </c>
      <c r="Y334">
        <v>334</v>
      </c>
      <c r="Z334" t="b">
        <f t="shared" si="5"/>
        <v>1</v>
      </c>
      <c r="AA334" t="b">
        <f>COUNTBLANK(metadata!B334:S334)=COLUMNS(metadata!B334:S334)</f>
        <v>1</v>
      </c>
      <c r="AB334" t="str">
        <v/>
      </c>
      <c r="AD334" t="b">
        <f ca="1">AND(IF(metadata!B334="",FALSE,TRUE),COUNTIF(metadata!B:B, metadata!B334) = 1,NOT(ISERROR(SUMPRODUCT(SEARCH(MID(metadata!B334,ROW(INDIRECT("1:"&amp;LEN(metadata!B334))), 1),"0123456789abcdefghijklmnopqrstuvwxyzABCDEFGHIJKLMNOPQRSTUVWXYZ.")))))</f>
        <v>0</v>
      </c>
      <c r="AE334" t="b">
        <f>OR(AND(IF(metadata!C334="",FALSE,TRUE),OR(EXACT(metadata!C334,"not applicable"),EXACT(metadata!C334,"missing: not collected"),EXACT(metadata!C334,"missing: not provided"),EXACT(metadata!C334,"missing: restricted access"))),AND(IF(metadata!C334="",FALSE,ISNUMBER(VALUE(metadata!C334))),metadata!C334&gt;0))</f>
        <v>0</v>
      </c>
      <c r="AF334" t="b">
        <f>AND(IF(metadata!D334="",FALSE,TRUE),EXACT(metadata!D334,"missing: not provided"))</f>
        <v>0</v>
      </c>
      <c r="AG334" t="b">
        <f>AND(IF(metadata!E334="",FALSE,TRUE),EXACT(metadata!E334,"Host-associated"))</f>
        <v>0</v>
      </c>
      <c r="AH334" t="b">
        <f>AND(IF(metadata!F334="",FALSE,TRUE),OR(EXACT(metadata!F334,"Animal"),EXACT(metadata!F334,"Fungus"),EXACT(metadata!F334,"Plant")))</f>
        <v>0</v>
      </c>
      <c r="AI334" t="b">
        <f>AND(IF(metadata!G334="",FALSE,TRUE),OR(EXACT(metadata!G334,"Plant secretion"),EXACT(metadata!G334,"Plant rhizosphere"),EXACT(metadata!G334,"Plant surface"),EXACT(metadata!G334,"Plant corpus"),EXACT(metadata!G334,"Fungus surface"),EXACT(metadata!G334,"Fungus corpus"),EXACT(metadata!G334,"Animal surface"),EXACT(metadata!G334,"Animal proximal gut"),EXACT(metadata!G334,"Animal corpus"),EXACT(metadata!G334,"Animal distal gut"),EXACT(metadata!G334,"Animal secretion")))</f>
        <v>0</v>
      </c>
      <c r="AJ334" t="b">
        <f>OR(AND(IF(metadata!H334="",FALSE,TRUE),OR(EXACT(metadata!H334,"missing: not collected"),EXACT(metadata!H334,"missing: not provided"),EXACT(metadata!H334,"missing: restricted access"))),AND(IF(metadata!H334="",FALSE,TRUE),OR(EXACT(metadata!H334,"organism-associated habitat"),EXACT(metadata!H334,"plant-associated habitat"),EXACT(metadata!H334,"animal-associated habitat"),EXACT(metadata!H334,"insecta-associated habitat"),EXACT(metadata!H334,"mammalia-associated habitat"),EXACT(metadata!H334,"human-associated habitat"),EXACT(metadata!H334,"livestock-associated habitat"))))</f>
        <v>0</v>
      </c>
      <c r="AK334" t="b">
        <f>AND(IF(metadata!I334="",FALSE,TRUE),EXACT(metadata!I334,"host-associated"))</f>
        <v>0</v>
      </c>
      <c r="AL334" t="b">
        <f>OR(AND(IF(metadata!J334="",FALSE,TRUE),OR(EXACT(metadata!J334,"not applicable"),EXACT(metadata!J334,"missing: not collected"),EXACT(metadata!J334,"missing: not provided"),EXACT(metadata!J334,"missing: restricted access"))),AND(IF(metadata!J334="",FALSE,ISNUMBER(VALUE(metadata!J334))),metadata!J334&gt;0))</f>
        <v>0</v>
      </c>
      <c r="AM334" t="b">
        <f>AND(IF(metadata!K334="",FALSE,TRUE),EXACT(metadata!K334,"missing: not provided"))</f>
        <v>0</v>
      </c>
      <c r="AN334" t="b">
        <f>IF(metadata!L334="",FALSE,TRUE)</f>
        <v>0</v>
      </c>
      <c r="AO334" t="b">
        <f>IF(metadata!M334="",FALSE,TRUE)</f>
        <v>0</v>
      </c>
      <c r="AP334" t="b">
        <f>OR(AND(IF(metadata!N334="",FALSE,TRUE),OR(EXACT(metadata!N334,"not applicable"),EXACT(metadata!N334,"missing: not collected"),EXACT(metadata!N334,"missing: not provided"))),AND(IF(metadata!N334="",FALSE,IF(ISERROR(INT(metadata!N334)),FALSE,INT(metadata!N334)=metadata!N334)),metadata!N334&gt;0))</f>
        <v>0</v>
      </c>
      <c r="AQ334" t="b">
        <f>AND(IF(metadata!O334="",FALSE,TRUE),EXACT(metadata!O334,"Not applicable"))</f>
        <v>0</v>
      </c>
      <c r="AR334" t="b">
        <f>OR(AND(IF(metadata!P334="",FALSE,TRUE),OR(EXACT(metadata!P334,"not applicable"),EXACT(metadata!P334,"missing: not collected"),EXACT(metadata!P334,"missing: not provided"),EXACT(metadata!P334,"missing: restricted access"))),IF(metadata!P334="",FALSE,IF(ISERROR(INT(metadata!P334)),FALSE,INT(metadata!P334)=metadata!P334)))</f>
        <v>0</v>
      </c>
      <c r="AS334" t="b">
        <f>AND(IF(metadata!Q334="",FALSE,TRUE),EXACT(metadata!Q334,"Not applicable"))</f>
        <v>0</v>
      </c>
      <c r="AT334" t="b">
        <f>OR(AND(IF(metadata!R334="",FALSE,TRUE),OR(EXACT(metadata!R334,"not applicable"),EXACT(metadata!R334,"missing: not collected"),EXACT(metadata!R334,"missing: not provided"),EXACT(metadata!R334,"missing: restricted access"))),AND(IF(metadata!R334="",FALSE,ISNUMBER(VALUE(metadata!R334))),metadata!R334&gt;0))</f>
        <v>0</v>
      </c>
      <c r="AU334" t="b">
        <f>AND(IF(metadata!S334="",FALSE,TRUE),EXACT(metadata!S334,"missing: not provided"))</f>
        <v>0</v>
      </c>
    </row>
    <row r="335" spans="1:47" x14ac:dyDescent="0.2">
      <c r="A335" s="5" t="str">
        <f ca="1">IF(B335=" "," ",HYPERLINK(CONCATENATE("#metadata!",ADDRESS(INDEX($Y$2:$Y$1001,MATCH(ROWS($W$2:W335),$W$2:$W$1001,0),0),1)),INDEX($AB$2:$AB$1001,MATCH(ROWS($W$2:W335),$W$2:$W$1001,0),0)))</f>
        <v xml:space="preserve"> </v>
      </c>
      <c r="B335" s="4" t="str">
        <f ca="1">IF(OR(INDEX($X$2:$X$1001,MATCH(ROWS($W$2:W335),$W$2:$W$1001,0),1)&gt;=100000,INDEX($AD$1005:$AU$1005,1,MATCH(COLUMNS($AD$1006:AD1006),$AD$1006:$AU$1006,0))&gt;=100000), " ",IF(INDEX($AD$2:$AU$1001,MATCH(ROWS($W$2:W335),$W$2:$W$1001,0),MATCH(COLUMNS($AD$1006:AD1006),$AD$1006:$AU$1006,0)), HYPERLINK("#",""), HYPERLINK(CONCATENATE("#metadata!", ADDRESS(INDEX($Y$2:$Y$1001,MATCH(ROWS($W$2:W335),$W$2:$W$1001,0),0), INDEX($AD$1004:$AU$1004,1,MATCH(COLUMNS($AD$1006:AD1006),$AD$1006:$AU$1006,0)))),"Fix")))</f>
        <v xml:space="preserve"> </v>
      </c>
      <c r="C335" s="4" t="str">
        <f ca="1">IF(OR(INDEX($X$2:$X$1001,MATCH(ROWS($W$2:W335),$W$2:$W$1001,0),1)&gt;=100000,INDEX($AD$1005:$AU$1005,1,MATCH(COLUMNS($AD$1006:AE1006),$AD$1006:$AU$1006,0))&gt;=100000), " ",IF(INDEX($AD$2:$AU$1001,MATCH(ROWS($W$2:W335),$W$2:$W$1001,0),MATCH(COLUMNS($AD$1006:AE1006),$AD$1006:$AU$1006,0)), HYPERLINK("#",""), HYPERLINK(CONCATENATE("#metadata!", ADDRESS(INDEX($Y$2:$Y$1001,MATCH(ROWS($W$2:W335),$W$2:$W$1001,0),0), INDEX($AD$1004:$AU$1004,1,MATCH(COLUMNS($AD$1006:AE1006),$AD$1006:$AU$1006,0)))),"Fix")))</f>
        <v xml:space="preserve"> </v>
      </c>
      <c r="D335" s="4" t="str">
        <f ca="1">IF(OR(INDEX($X$2:$X$1001,MATCH(ROWS($W$2:W335),$W$2:$W$1001,0),1)&gt;=100000,INDEX($AD$1005:$AU$1005,1,MATCH(COLUMNS($AD$1006:AF1006),$AD$1006:$AU$1006,0))&gt;=100000), " ",IF(INDEX($AD$2:$AU$1001,MATCH(ROWS($W$2:W335),$W$2:$W$1001,0),MATCH(COLUMNS($AD$1006:AF1006),$AD$1006:$AU$1006,0)), HYPERLINK("#",""), HYPERLINK(CONCATENATE("#metadata!", ADDRESS(INDEX($Y$2:$Y$1001,MATCH(ROWS($W$2:W335),$W$2:$W$1001,0),0), INDEX($AD$1004:$AU$1004,1,MATCH(COLUMNS($AD$1006:AF1006),$AD$1006:$AU$1006,0)))),"Fix")))</f>
        <v xml:space="preserve"> </v>
      </c>
      <c r="E335" s="4" t="str">
        <f ca="1">IF(OR(INDEX($X$2:$X$1001,MATCH(ROWS($W$2:W335),$W$2:$W$1001,0),1)&gt;=100000,INDEX($AD$1005:$AU$1005,1,MATCH(COLUMNS($AD$1006:AG1006),$AD$1006:$AU$1006,0))&gt;=100000), " ",IF(INDEX($AD$2:$AU$1001,MATCH(ROWS($W$2:W335),$W$2:$W$1001,0),MATCH(COLUMNS($AD$1006:AG1006),$AD$1006:$AU$1006,0)), HYPERLINK("#",""), HYPERLINK(CONCATENATE("#metadata!", ADDRESS(INDEX($Y$2:$Y$1001,MATCH(ROWS($W$2:W335),$W$2:$W$1001,0),0), INDEX($AD$1004:$AU$1004,1,MATCH(COLUMNS($AD$1006:AG1006),$AD$1006:$AU$1006,0)))),"Fix")))</f>
        <v xml:space="preserve"> </v>
      </c>
      <c r="F335" s="4" t="str">
        <f ca="1">IF(OR(INDEX($X$2:$X$1001,MATCH(ROWS($W$2:W335),$W$2:$W$1001,0),1)&gt;=100000,INDEX($AD$1005:$AU$1005,1,MATCH(COLUMNS($AD$1006:AH1006),$AD$1006:$AU$1006,0))&gt;=100000), " ",IF(INDEX($AD$2:$AU$1001,MATCH(ROWS($W$2:W335),$W$2:$W$1001,0),MATCH(COLUMNS($AD$1006:AH1006),$AD$1006:$AU$1006,0)), HYPERLINK("#",""), HYPERLINK(CONCATENATE("#metadata!", ADDRESS(INDEX($Y$2:$Y$1001,MATCH(ROWS($W$2:W335),$W$2:$W$1001,0),0), INDEX($AD$1004:$AU$1004,1,MATCH(COLUMNS($AD$1006:AH1006),$AD$1006:$AU$1006,0)))),"Fix")))</f>
        <v xml:space="preserve"> </v>
      </c>
      <c r="G335" s="4" t="str">
        <f ca="1">IF(OR(INDEX($X$2:$X$1001,MATCH(ROWS($W$2:W335),$W$2:$W$1001,0),1)&gt;=100000,INDEX($AD$1005:$AU$1005,1,MATCH(COLUMNS($AD$1006:AI1006),$AD$1006:$AU$1006,0))&gt;=100000), " ",IF(INDEX($AD$2:$AU$1001,MATCH(ROWS($W$2:W335),$W$2:$W$1001,0),MATCH(COLUMNS($AD$1006:AI1006),$AD$1006:$AU$1006,0)), HYPERLINK("#",""), HYPERLINK(CONCATENATE("#metadata!", ADDRESS(INDEX($Y$2:$Y$1001,MATCH(ROWS($W$2:W335),$W$2:$W$1001,0),0), INDEX($AD$1004:$AU$1004,1,MATCH(COLUMNS($AD$1006:AI1006),$AD$1006:$AU$1006,0)))),"Fix")))</f>
        <v xml:space="preserve"> </v>
      </c>
      <c r="H335" s="4" t="str">
        <f ca="1">IF(OR(INDEX($X$2:$X$1001,MATCH(ROWS($W$2:W335),$W$2:$W$1001,0),1)&gt;=100000,INDEX($AD$1005:$AU$1005,1,MATCH(COLUMNS($AD$1006:AJ1006),$AD$1006:$AU$1006,0))&gt;=100000), " ",IF(INDEX($AD$2:$AU$1001,MATCH(ROWS($W$2:W335),$W$2:$W$1001,0),MATCH(COLUMNS($AD$1006:AJ1006),$AD$1006:$AU$1006,0)), HYPERLINK("#",""), HYPERLINK(CONCATENATE("#metadata!", ADDRESS(INDEX($Y$2:$Y$1001,MATCH(ROWS($W$2:W335),$W$2:$W$1001,0),0), INDEX($AD$1004:$AU$1004,1,MATCH(COLUMNS($AD$1006:AJ1006),$AD$1006:$AU$1006,0)))),"Fix")))</f>
        <v xml:space="preserve"> </v>
      </c>
      <c r="I335" s="4" t="str">
        <f ca="1">IF(OR(INDEX($X$2:$X$1001,MATCH(ROWS($W$2:W335),$W$2:$W$1001,0),1)&gt;=100000,INDEX($AD$1005:$AU$1005,1,MATCH(COLUMNS($AD$1006:AK1006),$AD$1006:$AU$1006,0))&gt;=100000), " ",IF(INDEX($AD$2:$AU$1001,MATCH(ROWS($W$2:W335),$W$2:$W$1001,0),MATCH(COLUMNS($AD$1006:AK1006),$AD$1006:$AU$1006,0)), HYPERLINK("#",""), HYPERLINK(CONCATENATE("#metadata!", ADDRESS(INDEX($Y$2:$Y$1001,MATCH(ROWS($W$2:W335),$W$2:$W$1001,0),0), INDEX($AD$1004:$AU$1004,1,MATCH(COLUMNS($AD$1006:AK1006),$AD$1006:$AU$1006,0)))),"Fix")))</f>
        <v xml:space="preserve"> </v>
      </c>
      <c r="J335" s="4" t="str">
        <f ca="1">IF(OR(INDEX($X$2:$X$1001,MATCH(ROWS($W$2:W335),$W$2:$W$1001,0),1)&gt;=100000,INDEX($AD$1005:$AU$1005,1,MATCH(COLUMNS($AD$1006:AL1006),$AD$1006:$AU$1006,0))&gt;=100000), " ",IF(INDEX($AD$2:$AU$1001,MATCH(ROWS($W$2:W335),$W$2:$W$1001,0),MATCH(COLUMNS($AD$1006:AL1006),$AD$1006:$AU$1006,0)), HYPERLINK("#",""), HYPERLINK(CONCATENATE("#metadata!", ADDRESS(INDEX($Y$2:$Y$1001,MATCH(ROWS($W$2:W335),$W$2:$W$1001,0),0), INDEX($AD$1004:$AU$1004,1,MATCH(COLUMNS($AD$1006:AL1006),$AD$1006:$AU$1006,0)))),"Fix")))</f>
        <v xml:space="preserve"> </v>
      </c>
      <c r="K335" s="4" t="str">
        <f ca="1">IF(OR(INDEX($X$2:$X$1001,MATCH(ROWS($W$2:W335),$W$2:$W$1001,0),1)&gt;=100000,INDEX($AD$1005:$AU$1005,1,MATCH(COLUMNS($AD$1006:AM1006),$AD$1006:$AU$1006,0))&gt;=100000), " ",IF(INDEX($AD$2:$AU$1001,MATCH(ROWS($W$2:W335),$W$2:$W$1001,0),MATCH(COLUMNS($AD$1006:AM1006),$AD$1006:$AU$1006,0)), HYPERLINK("#",""), HYPERLINK(CONCATENATE("#metadata!", ADDRESS(INDEX($Y$2:$Y$1001,MATCH(ROWS($W$2:W335),$W$2:$W$1001,0),0), INDEX($AD$1004:$AU$1004,1,MATCH(COLUMNS($AD$1006:AM1006),$AD$1006:$AU$1006,0)))),"Fix")))</f>
        <v xml:space="preserve"> </v>
      </c>
      <c r="L335" s="4" t="str">
        <f ca="1">IF(OR(INDEX($X$2:$X$1001,MATCH(ROWS($W$2:W335),$W$2:$W$1001,0),1)&gt;=100000,INDEX($AD$1005:$AU$1005,1,MATCH(COLUMNS($AD$1006:AN1006),$AD$1006:$AU$1006,0))&gt;=100000), " ",IF(INDEX($AD$2:$AU$1001,MATCH(ROWS($W$2:W335),$W$2:$W$1001,0),MATCH(COLUMNS($AD$1006:AN1006),$AD$1006:$AU$1006,0)), HYPERLINK("#",""), HYPERLINK(CONCATENATE("#metadata!", ADDRESS(INDEX($Y$2:$Y$1001,MATCH(ROWS($W$2:W335),$W$2:$W$1001,0),0), INDEX($AD$1004:$AU$1004,1,MATCH(COLUMNS($AD$1006:AN1006),$AD$1006:$AU$1006,0)))),"Fix")))</f>
        <v xml:space="preserve"> </v>
      </c>
      <c r="M335" s="4" t="str">
        <f ca="1">IF(OR(INDEX($X$2:$X$1001,MATCH(ROWS($W$2:W335),$W$2:$W$1001,0),1)&gt;=100000,INDEX($AD$1005:$AU$1005,1,MATCH(COLUMNS($AD$1006:AO1006),$AD$1006:$AU$1006,0))&gt;=100000), " ",IF(INDEX($AD$2:$AU$1001,MATCH(ROWS($W$2:W335),$W$2:$W$1001,0),MATCH(COLUMNS($AD$1006:AO1006),$AD$1006:$AU$1006,0)), HYPERLINK("#",""), HYPERLINK(CONCATENATE("#metadata!", ADDRESS(INDEX($Y$2:$Y$1001,MATCH(ROWS($W$2:W335),$W$2:$W$1001,0),0), INDEX($AD$1004:$AU$1004,1,MATCH(COLUMNS($AD$1006:AO1006),$AD$1006:$AU$1006,0)))),"Fix")))</f>
        <v xml:space="preserve"> </v>
      </c>
      <c r="N335" s="4" t="str">
        <f ca="1">IF(OR(INDEX($X$2:$X$1001,MATCH(ROWS($W$2:W335),$W$2:$W$1001,0),1)&gt;=100000,INDEX($AD$1005:$AU$1005,1,MATCH(COLUMNS($AD$1006:AP1006),$AD$1006:$AU$1006,0))&gt;=100000), " ",IF(INDEX($AD$2:$AU$1001,MATCH(ROWS($W$2:W335),$W$2:$W$1001,0),MATCH(COLUMNS($AD$1006:AP1006),$AD$1006:$AU$1006,0)), HYPERLINK("#",""), HYPERLINK(CONCATENATE("#metadata!", ADDRESS(INDEX($Y$2:$Y$1001,MATCH(ROWS($W$2:W335),$W$2:$W$1001,0),0), INDEX($AD$1004:$AU$1004,1,MATCH(COLUMNS($AD$1006:AP1006),$AD$1006:$AU$1006,0)))),"Fix")))</f>
        <v xml:space="preserve"> </v>
      </c>
      <c r="O335" s="4" t="str">
        <f ca="1">IF(OR(INDEX($X$2:$X$1001,MATCH(ROWS($W$2:W335),$W$2:$W$1001,0),1)&gt;=100000,INDEX($AD$1005:$AU$1005,1,MATCH(COLUMNS($AD$1006:AQ1006),$AD$1006:$AU$1006,0))&gt;=100000), " ",IF(INDEX($AD$2:$AU$1001,MATCH(ROWS($W$2:W335),$W$2:$W$1001,0),MATCH(COLUMNS($AD$1006:AQ1006),$AD$1006:$AU$1006,0)), HYPERLINK("#",""), HYPERLINK(CONCATENATE("#metadata!", ADDRESS(INDEX($Y$2:$Y$1001,MATCH(ROWS($W$2:W335),$W$2:$W$1001,0),0), INDEX($AD$1004:$AU$1004,1,MATCH(COLUMNS($AD$1006:AQ1006),$AD$1006:$AU$1006,0)))),"Fix")))</f>
        <v xml:space="preserve"> </v>
      </c>
      <c r="P335" s="4" t="str">
        <f ca="1">IF(OR(INDEX($X$2:$X$1001,MATCH(ROWS($W$2:W335),$W$2:$W$1001,0),1)&gt;=100000,INDEX($AD$1005:$AU$1005,1,MATCH(COLUMNS($AD$1006:AR1006),$AD$1006:$AU$1006,0))&gt;=100000), " ",IF(INDEX($AD$2:$AU$1001,MATCH(ROWS($W$2:W335),$W$2:$W$1001,0),MATCH(COLUMNS($AD$1006:AR1006),$AD$1006:$AU$1006,0)), HYPERLINK("#",""), HYPERLINK(CONCATENATE("#metadata!", ADDRESS(INDEX($Y$2:$Y$1001,MATCH(ROWS($W$2:W335),$W$2:$W$1001,0),0), INDEX($AD$1004:$AU$1004,1,MATCH(COLUMNS($AD$1006:AR1006),$AD$1006:$AU$1006,0)))),"Fix")))</f>
        <v xml:space="preserve"> </v>
      </c>
      <c r="Q335" s="4" t="str">
        <f ca="1">IF(OR(INDEX($X$2:$X$1001,MATCH(ROWS($W$2:W335),$W$2:$W$1001,0),1)&gt;=100000,INDEX($AD$1005:$AU$1005,1,MATCH(COLUMNS($AD$1006:AS1006),$AD$1006:$AU$1006,0))&gt;=100000), " ",IF(INDEX($AD$2:$AU$1001,MATCH(ROWS($W$2:W335),$W$2:$W$1001,0),MATCH(COLUMNS($AD$1006:AS1006),$AD$1006:$AU$1006,0)), HYPERLINK("#",""), HYPERLINK(CONCATENATE("#metadata!", ADDRESS(INDEX($Y$2:$Y$1001,MATCH(ROWS($W$2:W335),$W$2:$W$1001,0),0), INDEX($AD$1004:$AU$1004,1,MATCH(COLUMNS($AD$1006:AS1006),$AD$1006:$AU$1006,0)))),"Fix")))</f>
        <v xml:space="preserve"> </v>
      </c>
      <c r="R335" s="4" t="str">
        <f ca="1">IF(OR(INDEX($X$2:$X$1001,MATCH(ROWS($W$2:W335),$W$2:$W$1001,0),1)&gt;=100000,INDEX($AD$1005:$AU$1005,1,MATCH(COLUMNS($AD$1006:AT1006),$AD$1006:$AU$1006,0))&gt;=100000), " ",IF(INDEX($AD$2:$AU$1001,MATCH(ROWS($W$2:W335),$W$2:$W$1001,0),MATCH(COLUMNS($AD$1006:AT1006),$AD$1006:$AU$1006,0)), HYPERLINK("#",""), HYPERLINK(CONCATENATE("#metadata!", ADDRESS(INDEX($Y$2:$Y$1001,MATCH(ROWS($W$2:W335),$W$2:$W$1001,0),0), INDEX($AD$1004:$AU$1004,1,MATCH(COLUMNS($AD$1006:AT1006),$AD$1006:$AU$1006,0)))),"Fix")))</f>
        <v xml:space="preserve"> </v>
      </c>
      <c r="S335" s="4" t="str">
        <f ca="1">IF(OR(INDEX($X$2:$X$1001,MATCH(ROWS($W$2:W335),$W$2:$W$1001,0),1)&gt;=100000,INDEX($AD$1005:$AU$1005,1,MATCH(COLUMNS($AD$1006:AU1006),$AD$1006:$AU$1006,0))&gt;=100000), " ",IF(INDEX($AD$2:$AU$1001,MATCH(ROWS($W$2:W335),$W$2:$W$1001,0),MATCH(COLUMNS($AD$1006:AU1006),$AD$1006:$AU$1006,0)), HYPERLINK("#",""), HYPERLINK(CONCATENATE("#metadata!", ADDRESS(INDEX($Y$2:$Y$1001,MATCH(ROWS($W$2:W335),$W$2:$W$1001,0),0), INDEX($AD$1004:$AU$1004,1,MATCH(COLUMNS($AD$1006:AU1006),$AD$1006:$AU$1006,0)))),"Fix")))</f>
        <v xml:space="preserve"> </v>
      </c>
      <c r="W335">
        <v>334</v>
      </c>
      <c r="X335">
        <v>100335</v>
      </c>
      <c r="Y335">
        <v>335</v>
      </c>
      <c r="Z335" t="b">
        <f t="shared" si="5"/>
        <v>1</v>
      </c>
      <c r="AA335" t="b">
        <f>COUNTBLANK(metadata!B335:S335)=COLUMNS(metadata!B335:S335)</f>
        <v>1</v>
      </c>
      <c r="AB335" t="str">
        <v/>
      </c>
      <c r="AD335" t="b">
        <f ca="1">AND(IF(metadata!B335="",FALSE,TRUE),COUNTIF(metadata!B:B, metadata!B335) = 1,NOT(ISERROR(SUMPRODUCT(SEARCH(MID(metadata!B335,ROW(INDIRECT("1:"&amp;LEN(metadata!B335))), 1),"0123456789abcdefghijklmnopqrstuvwxyzABCDEFGHIJKLMNOPQRSTUVWXYZ.")))))</f>
        <v>0</v>
      </c>
      <c r="AE335" t="b">
        <f>OR(AND(IF(metadata!C335="",FALSE,TRUE),OR(EXACT(metadata!C335,"not applicable"),EXACT(metadata!C335,"missing: not collected"),EXACT(metadata!C335,"missing: not provided"),EXACT(metadata!C335,"missing: restricted access"))),AND(IF(metadata!C335="",FALSE,ISNUMBER(VALUE(metadata!C335))),metadata!C335&gt;0))</f>
        <v>0</v>
      </c>
      <c r="AF335" t="b">
        <f>AND(IF(metadata!D335="",FALSE,TRUE),EXACT(metadata!D335,"missing: not provided"))</f>
        <v>0</v>
      </c>
      <c r="AG335" t="b">
        <f>AND(IF(metadata!E335="",FALSE,TRUE),EXACT(metadata!E335,"Host-associated"))</f>
        <v>0</v>
      </c>
      <c r="AH335" t="b">
        <f>AND(IF(metadata!F335="",FALSE,TRUE),OR(EXACT(metadata!F335,"Animal"),EXACT(metadata!F335,"Fungus"),EXACT(metadata!F335,"Plant")))</f>
        <v>0</v>
      </c>
      <c r="AI335" t="b">
        <f>AND(IF(metadata!G335="",FALSE,TRUE),OR(EXACT(metadata!G335,"Plant secretion"),EXACT(metadata!G335,"Plant rhizosphere"),EXACT(metadata!G335,"Plant surface"),EXACT(metadata!G335,"Plant corpus"),EXACT(metadata!G335,"Fungus surface"),EXACT(metadata!G335,"Fungus corpus"),EXACT(metadata!G335,"Animal surface"),EXACT(metadata!G335,"Animal proximal gut"),EXACT(metadata!G335,"Animal corpus"),EXACT(metadata!G335,"Animal distal gut"),EXACT(metadata!G335,"Animal secretion")))</f>
        <v>0</v>
      </c>
      <c r="AJ335" t="b">
        <f>OR(AND(IF(metadata!H335="",FALSE,TRUE),OR(EXACT(metadata!H335,"missing: not collected"),EXACT(metadata!H335,"missing: not provided"),EXACT(metadata!H335,"missing: restricted access"))),AND(IF(metadata!H335="",FALSE,TRUE),OR(EXACT(metadata!H335,"organism-associated habitat"),EXACT(metadata!H335,"plant-associated habitat"),EXACT(metadata!H335,"animal-associated habitat"),EXACT(metadata!H335,"insecta-associated habitat"),EXACT(metadata!H335,"mammalia-associated habitat"),EXACT(metadata!H335,"human-associated habitat"),EXACT(metadata!H335,"livestock-associated habitat"))))</f>
        <v>0</v>
      </c>
      <c r="AK335" t="b">
        <f>AND(IF(metadata!I335="",FALSE,TRUE),EXACT(metadata!I335,"host-associated"))</f>
        <v>0</v>
      </c>
      <c r="AL335" t="b">
        <f>OR(AND(IF(metadata!J335="",FALSE,TRUE),OR(EXACT(metadata!J335,"not applicable"),EXACT(metadata!J335,"missing: not collected"),EXACT(metadata!J335,"missing: not provided"),EXACT(metadata!J335,"missing: restricted access"))),AND(IF(metadata!J335="",FALSE,ISNUMBER(VALUE(metadata!J335))),metadata!J335&gt;0))</f>
        <v>0</v>
      </c>
      <c r="AM335" t="b">
        <f>AND(IF(metadata!K335="",FALSE,TRUE),EXACT(metadata!K335,"missing: not provided"))</f>
        <v>0</v>
      </c>
      <c r="AN335" t="b">
        <f>IF(metadata!L335="",FALSE,TRUE)</f>
        <v>0</v>
      </c>
      <c r="AO335" t="b">
        <f>IF(metadata!M335="",FALSE,TRUE)</f>
        <v>0</v>
      </c>
      <c r="AP335" t="b">
        <f>OR(AND(IF(metadata!N335="",FALSE,TRUE),OR(EXACT(metadata!N335,"not applicable"),EXACT(metadata!N335,"missing: not collected"),EXACT(metadata!N335,"missing: not provided"))),AND(IF(metadata!N335="",FALSE,IF(ISERROR(INT(metadata!N335)),FALSE,INT(metadata!N335)=metadata!N335)),metadata!N335&gt;0))</f>
        <v>0</v>
      </c>
      <c r="AQ335" t="b">
        <f>AND(IF(metadata!O335="",FALSE,TRUE),EXACT(metadata!O335,"Not applicable"))</f>
        <v>0</v>
      </c>
      <c r="AR335" t="b">
        <f>OR(AND(IF(metadata!P335="",FALSE,TRUE),OR(EXACT(metadata!P335,"not applicable"),EXACT(metadata!P335,"missing: not collected"),EXACT(metadata!P335,"missing: not provided"),EXACT(metadata!P335,"missing: restricted access"))),IF(metadata!P335="",FALSE,IF(ISERROR(INT(metadata!P335)),FALSE,INT(metadata!P335)=metadata!P335)))</f>
        <v>0</v>
      </c>
      <c r="AS335" t="b">
        <f>AND(IF(metadata!Q335="",FALSE,TRUE),EXACT(metadata!Q335,"Not applicable"))</f>
        <v>0</v>
      </c>
      <c r="AT335" t="b">
        <f>OR(AND(IF(metadata!R335="",FALSE,TRUE),OR(EXACT(metadata!R335,"not applicable"),EXACT(metadata!R335,"missing: not collected"),EXACT(metadata!R335,"missing: not provided"),EXACT(metadata!R335,"missing: restricted access"))),AND(IF(metadata!R335="",FALSE,ISNUMBER(VALUE(metadata!R335))),metadata!R335&gt;0))</f>
        <v>0</v>
      </c>
      <c r="AU335" t="b">
        <f>AND(IF(metadata!S335="",FALSE,TRUE),EXACT(metadata!S335,"missing: not provided"))</f>
        <v>0</v>
      </c>
    </row>
    <row r="336" spans="1:47" x14ac:dyDescent="0.2">
      <c r="A336" s="5" t="str">
        <f ca="1">IF(B336=" "," ",HYPERLINK(CONCATENATE("#metadata!",ADDRESS(INDEX($Y$2:$Y$1001,MATCH(ROWS($W$2:W336),$W$2:$W$1001,0),0),1)),INDEX($AB$2:$AB$1001,MATCH(ROWS($W$2:W336),$W$2:$W$1001,0),0)))</f>
        <v xml:space="preserve"> </v>
      </c>
      <c r="B336" s="4" t="str">
        <f ca="1">IF(OR(INDEX($X$2:$X$1001,MATCH(ROWS($W$2:W336),$W$2:$W$1001,0),1)&gt;=100000,INDEX($AD$1005:$AU$1005,1,MATCH(COLUMNS($AD$1006:AD1006),$AD$1006:$AU$1006,0))&gt;=100000), " ",IF(INDEX($AD$2:$AU$1001,MATCH(ROWS($W$2:W336),$W$2:$W$1001,0),MATCH(COLUMNS($AD$1006:AD1006),$AD$1006:$AU$1006,0)), HYPERLINK("#",""), HYPERLINK(CONCATENATE("#metadata!", ADDRESS(INDEX($Y$2:$Y$1001,MATCH(ROWS($W$2:W336),$W$2:$W$1001,0),0), INDEX($AD$1004:$AU$1004,1,MATCH(COLUMNS($AD$1006:AD1006),$AD$1006:$AU$1006,0)))),"Fix")))</f>
        <v xml:space="preserve"> </v>
      </c>
      <c r="C336" s="4" t="str">
        <f ca="1">IF(OR(INDEX($X$2:$X$1001,MATCH(ROWS($W$2:W336),$W$2:$W$1001,0),1)&gt;=100000,INDEX($AD$1005:$AU$1005,1,MATCH(COLUMNS($AD$1006:AE1006),$AD$1006:$AU$1006,0))&gt;=100000), " ",IF(INDEX($AD$2:$AU$1001,MATCH(ROWS($W$2:W336),$W$2:$W$1001,0),MATCH(COLUMNS($AD$1006:AE1006),$AD$1006:$AU$1006,0)), HYPERLINK("#",""), HYPERLINK(CONCATENATE("#metadata!", ADDRESS(INDEX($Y$2:$Y$1001,MATCH(ROWS($W$2:W336),$W$2:$W$1001,0),0), INDEX($AD$1004:$AU$1004,1,MATCH(COLUMNS($AD$1006:AE1006),$AD$1006:$AU$1006,0)))),"Fix")))</f>
        <v xml:space="preserve"> </v>
      </c>
      <c r="D336" s="4" t="str">
        <f ca="1">IF(OR(INDEX($X$2:$X$1001,MATCH(ROWS($W$2:W336),$W$2:$W$1001,0),1)&gt;=100000,INDEX($AD$1005:$AU$1005,1,MATCH(COLUMNS($AD$1006:AF1006),$AD$1006:$AU$1006,0))&gt;=100000), " ",IF(INDEX($AD$2:$AU$1001,MATCH(ROWS($W$2:W336),$W$2:$W$1001,0),MATCH(COLUMNS($AD$1006:AF1006),$AD$1006:$AU$1006,0)), HYPERLINK("#",""), HYPERLINK(CONCATENATE("#metadata!", ADDRESS(INDEX($Y$2:$Y$1001,MATCH(ROWS($W$2:W336),$W$2:$W$1001,0),0), INDEX($AD$1004:$AU$1004,1,MATCH(COLUMNS($AD$1006:AF1006),$AD$1006:$AU$1006,0)))),"Fix")))</f>
        <v xml:space="preserve"> </v>
      </c>
      <c r="E336" s="4" t="str">
        <f ca="1">IF(OR(INDEX($X$2:$X$1001,MATCH(ROWS($W$2:W336),$W$2:$W$1001,0),1)&gt;=100000,INDEX($AD$1005:$AU$1005,1,MATCH(COLUMNS($AD$1006:AG1006),$AD$1006:$AU$1006,0))&gt;=100000), " ",IF(INDEX($AD$2:$AU$1001,MATCH(ROWS($W$2:W336),$W$2:$W$1001,0),MATCH(COLUMNS($AD$1006:AG1006),$AD$1006:$AU$1006,0)), HYPERLINK("#",""), HYPERLINK(CONCATENATE("#metadata!", ADDRESS(INDEX($Y$2:$Y$1001,MATCH(ROWS($W$2:W336),$W$2:$W$1001,0),0), INDEX($AD$1004:$AU$1004,1,MATCH(COLUMNS($AD$1006:AG1006),$AD$1006:$AU$1006,0)))),"Fix")))</f>
        <v xml:space="preserve"> </v>
      </c>
      <c r="F336" s="4" t="str">
        <f ca="1">IF(OR(INDEX($X$2:$X$1001,MATCH(ROWS($W$2:W336),$W$2:$W$1001,0),1)&gt;=100000,INDEX($AD$1005:$AU$1005,1,MATCH(COLUMNS($AD$1006:AH1006),$AD$1006:$AU$1006,0))&gt;=100000), " ",IF(INDEX($AD$2:$AU$1001,MATCH(ROWS($W$2:W336),$W$2:$W$1001,0),MATCH(COLUMNS($AD$1006:AH1006),$AD$1006:$AU$1006,0)), HYPERLINK("#",""), HYPERLINK(CONCATENATE("#metadata!", ADDRESS(INDEX($Y$2:$Y$1001,MATCH(ROWS($W$2:W336),$W$2:$W$1001,0),0), INDEX($AD$1004:$AU$1004,1,MATCH(COLUMNS($AD$1006:AH1006),$AD$1006:$AU$1006,0)))),"Fix")))</f>
        <v xml:space="preserve"> </v>
      </c>
      <c r="G336" s="4" t="str">
        <f ca="1">IF(OR(INDEX($X$2:$X$1001,MATCH(ROWS($W$2:W336),$W$2:$W$1001,0),1)&gt;=100000,INDEX($AD$1005:$AU$1005,1,MATCH(COLUMNS($AD$1006:AI1006),$AD$1006:$AU$1006,0))&gt;=100000), " ",IF(INDEX($AD$2:$AU$1001,MATCH(ROWS($W$2:W336),$W$2:$W$1001,0),MATCH(COLUMNS($AD$1006:AI1006),$AD$1006:$AU$1006,0)), HYPERLINK("#",""), HYPERLINK(CONCATENATE("#metadata!", ADDRESS(INDEX($Y$2:$Y$1001,MATCH(ROWS($W$2:W336),$W$2:$W$1001,0),0), INDEX($AD$1004:$AU$1004,1,MATCH(COLUMNS($AD$1006:AI1006),$AD$1006:$AU$1006,0)))),"Fix")))</f>
        <v xml:space="preserve"> </v>
      </c>
      <c r="H336" s="4" t="str">
        <f ca="1">IF(OR(INDEX($X$2:$X$1001,MATCH(ROWS($W$2:W336),$W$2:$W$1001,0),1)&gt;=100000,INDEX($AD$1005:$AU$1005,1,MATCH(COLUMNS($AD$1006:AJ1006),$AD$1006:$AU$1006,0))&gt;=100000), " ",IF(INDEX($AD$2:$AU$1001,MATCH(ROWS($W$2:W336),$W$2:$W$1001,0),MATCH(COLUMNS($AD$1006:AJ1006),$AD$1006:$AU$1006,0)), HYPERLINK("#",""), HYPERLINK(CONCATENATE("#metadata!", ADDRESS(INDEX($Y$2:$Y$1001,MATCH(ROWS($W$2:W336),$W$2:$W$1001,0),0), INDEX($AD$1004:$AU$1004,1,MATCH(COLUMNS($AD$1006:AJ1006),$AD$1006:$AU$1006,0)))),"Fix")))</f>
        <v xml:space="preserve"> </v>
      </c>
      <c r="I336" s="4" t="str">
        <f ca="1">IF(OR(INDEX($X$2:$X$1001,MATCH(ROWS($W$2:W336),$W$2:$W$1001,0),1)&gt;=100000,INDEX($AD$1005:$AU$1005,1,MATCH(COLUMNS($AD$1006:AK1006),$AD$1006:$AU$1006,0))&gt;=100000), " ",IF(INDEX($AD$2:$AU$1001,MATCH(ROWS($W$2:W336),$W$2:$W$1001,0),MATCH(COLUMNS($AD$1006:AK1006),$AD$1006:$AU$1006,0)), HYPERLINK("#",""), HYPERLINK(CONCATENATE("#metadata!", ADDRESS(INDEX($Y$2:$Y$1001,MATCH(ROWS($W$2:W336),$W$2:$W$1001,0),0), INDEX($AD$1004:$AU$1004,1,MATCH(COLUMNS($AD$1006:AK1006),$AD$1006:$AU$1006,0)))),"Fix")))</f>
        <v xml:space="preserve"> </v>
      </c>
      <c r="J336" s="4" t="str">
        <f ca="1">IF(OR(INDEX($X$2:$X$1001,MATCH(ROWS($W$2:W336),$W$2:$W$1001,0),1)&gt;=100000,INDEX($AD$1005:$AU$1005,1,MATCH(COLUMNS($AD$1006:AL1006),$AD$1006:$AU$1006,0))&gt;=100000), " ",IF(INDEX($AD$2:$AU$1001,MATCH(ROWS($W$2:W336),$W$2:$W$1001,0),MATCH(COLUMNS($AD$1006:AL1006),$AD$1006:$AU$1006,0)), HYPERLINK("#",""), HYPERLINK(CONCATENATE("#metadata!", ADDRESS(INDEX($Y$2:$Y$1001,MATCH(ROWS($W$2:W336),$W$2:$W$1001,0),0), INDEX($AD$1004:$AU$1004,1,MATCH(COLUMNS($AD$1006:AL1006),$AD$1006:$AU$1006,0)))),"Fix")))</f>
        <v xml:space="preserve"> </v>
      </c>
      <c r="K336" s="4" t="str">
        <f ca="1">IF(OR(INDEX($X$2:$X$1001,MATCH(ROWS($W$2:W336),$W$2:$W$1001,0),1)&gt;=100000,INDEX($AD$1005:$AU$1005,1,MATCH(COLUMNS($AD$1006:AM1006),$AD$1006:$AU$1006,0))&gt;=100000), " ",IF(INDEX($AD$2:$AU$1001,MATCH(ROWS($W$2:W336),$W$2:$W$1001,0),MATCH(COLUMNS($AD$1006:AM1006),$AD$1006:$AU$1006,0)), HYPERLINK("#",""), HYPERLINK(CONCATENATE("#metadata!", ADDRESS(INDEX($Y$2:$Y$1001,MATCH(ROWS($W$2:W336),$W$2:$W$1001,0),0), INDEX($AD$1004:$AU$1004,1,MATCH(COLUMNS($AD$1006:AM1006),$AD$1006:$AU$1006,0)))),"Fix")))</f>
        <v xml:space="preserve"> </v>
      </c>
      <c r="L336" s="4" t="str">
        <f ca="1">IF(OR(INDEX($X$2:$X$1001,MATCH(ROWS($W$2:W336),$W$2:$W$1001,0),1)&gt;=100000,INDEX($AD$1005:$AU$1005,1,MATCH(COLUMNS($AD$1006:AN1006),$AD$1006:$AU$1006,0))&gt;=100000), " ",IF(INDEX($AD$2:$AU$1001,MATCH(ROWS($W$2:W336),$W$2:$W$1001,0),MATCH(COLUMNS($AD$1006:AN1006),$AD$1006:$AU$1006,0)), HYPERLINK("#",""), HYPERLINK(CONCATENATE("#metadata!", ADDRESS(INDEX($Y$2:$Y$1001,MATCH(ROWS($W$2:W336),$W$2:$W$1001,0),0), INDEX($AD$1004:$AU$1004,1,MATCH(COLUMNS($AD$1006:AN1006),$AD$1006:$AU$1006,0)))),"Fix")))</f>
        <v xml:space="preserve"> </v>
      </c>
      <c r="M336" s="4" t="str">
        <f ca="1">IF(OR(INDEX($X$2:$X$1001,MATCH(ROWS($W$2:W336),$W$2:$W$1001,0),1)&gt;=100000,INDEX($AD$1005:$AU$1005,1,MATCH(COLUMNS($AD$1006:AO1006),$AD$1006:$AU$1006,0))&gt;=100000), " ",IF(INDEX($AD$2:$AU$1001,MATCH(ROWS($W$2:W336),$W$2:$W$1001,0),MATCH(COLUMNS($AD$1006:AO1006),$AD$1006:$AU$1006,0)), HYPERLINK("#",""), HYPERLINK(CONCATENATE("#metadata!", ADDRESS(INDEX($Y$2:$Y$1001,MATCH(ROWS($W$2:W336),$W$2:$W$1001,0),0), INDEX($AD$1004:$AU$1004,1,MATCH(COLUMNS($AD$1006:AO1006),$AD$1006:$AU$1006,0)))),"Fix")))</f>
        <v xml:space="preserve"> </v>
      </c>
      <c r="N336" s="4" t="str">
        <f ca="1">IF(OR(INDEX($X$2:$X$1001,MATCH(ROWS($W$2:W336),$W$2:$W$1001,0),1)&gt;=100000,INDEX($AD$1005:$AU$1005,1,MATCH(COLUMNS($AD$1006:AP1006),$AD$1006:$AU$1006,0))&gt;=100000), " ",IF(INDEX($AD$2:$AU$1001,MATCH(ROWS($W$2:W336),$W$2:$W$1001,0),MATCH(COLUMNS($AD$1006:AP1006),$AD$1006:$AU$1006,0)), HYPERLINK("#",""), HYPERLINK(CONCATENATE("#metadata!", ADDRESS(INDEX($Y$2:$Y$1001,MATCH(ROWS($W$2:W336),$W$2:$W$1001,0),0), INDEX($AD$1004:$AU$1004,1,MATCH(COLUMNS($AD$1006:AP1006),$AD$1006:$AU$1006,0)))),"Fix")))</f>
        <v xml:space="preserve"> </v>
      </c>
      <c r="O336" s="4" t="str">
        <f ca="1">IF(OR(INDEX($X$2:$X$1001,MATCH(ROWS($W$2:W336),$W$2:$W$1001,0),1)&gt;=100000,INDEX($AD$1005:$AU$1005,1,MATCH(COLUMNS($AD$1006:AQ1006),$AD$1006:$AU$1006,0))&gt;=100000), " ",IF(INDEX($AD$2:$AU$1001,MATCH(ROWS($W$2:W336),$W$2:$W$1001,0),MATCH(COLUMNS($AD$1006:AQ1006),$AD$1006:$AU$1006,0)), HYPERLINK("#",""), HYPERLINK(CONCATENATE("#metadata!", ADDRESS(INDEX($Y$2:$Y$1001,MATCH(ROWS($W$2:W336),$W$2:$W$1001,0),0), INDEX($AD$1004:$AU$1004,1,MATCH(COLUMNS($AD$1006:AQ1006),$AD$1006:$AU$1006,0)))),"Fix")))</f>
        <v xml:space="preserve"> </v>
      </c>
      <c r="P336" s="4" t="str">
        <f ca="1">IF(OR(INDEX($X$2:$X$1001,MATCH(ROWS($W$2:W336),$W$2:$W$1001,0),1)&gt;=100000,INDEX($AD$1005:$AU$1005,1,MATCH(COLUMNS($AD$1006:AR1006),$AD$1006:$AU$1006,0))&gt;=100000), " ",IF(INDEX($AD$2:$AU$1001,MATCH(ROWS($W$2:W336),$W$2:$W$1001,0),MATCH(COLUMNS($AD$1006:AR1006),$AD$1006:$AU$1006,0)), HYPERLINK("#",""), HYPERLINK(CONCATENATE("#metadata!", ADDRESS(INDEX($Y$2:$Y$1001,MATCH(ROWS($W$2:W336),$W$2:$W$1001,0),0), INDEX($AD$1004:$AU$1004,1,MATCH(COLUMNS($AD$1006:AR1006),$AD$1006:$AU$1006,0)))),"Fix")))</f>
        <v xml:space="preserve"> </v>
      </c>
      <c r="Q336" s="4" t="str">
        <f ca="1">IF(OR(INDEX($X$2:$X$1001,MATCH(ROWS($W$2:W336),$W$2:$W$1001,0),1)&gt;=100000,INDEX($AD$1005:$AU$1005,1,MATCH(COLUMNS($AD$1006:AS1006),$AD$1006:$AU$1006,0))&gt;=100000), " ",IF(INDEX($AD$2:$AU$1001,MATCH(ROWS($W$2:W336),$W$2:$W$1001,0),MATCH(COLUMNS($AD$1006:AS1006),$AD$1006:$AU$1006,0)), HYPERLINK("#",""), HYPERLINK(CONCATENATE("#metadata!", ADDRESS(INDEX($Y$2:$Y$1001,MATCH(ROWS($W$2:W336),$W$2:$W$1001,0),0), INDEX($AD$1004:$AU$1004,1,MATCH(COLUMNS($AD$1006:AS1006),$AD$1006:$AU$1006,0)))),"Fix")))</f>
        <v xml:space="preserve"> </v>
      </c>
      <c r="R336" s="4" t="str">
        <f ca="1">IF(OR(INDEX($X$2:$X$1001,MATCH(ROWS($W$2:W336),$W$2:$W$1001,0),1)&gt;=100000,INDEX($AD$1005:$AU$1005,1,MATCH(COLUMNS($AD$1006:AT1006),$AD$1006:$AU$1006,0))&gt;=100000), " ",IF(INDEX($AD$2:$AU$1001,MATCH(ROWS($W$2:W336),$W$2:$W$1001,0),MATCH(COLUMNS($AD$1006:AT1006),$AD$1006:$AU$1006,0)), HYPERLINK("#",""), HYPERLINK(CONCATENATE("#metadata!", ADDRESS(INDEX($Y$2:$Y$1001,MATCH(ROWS($W$2:W336),$W$2:$W$1001,0),0), INDEX($AD$1004:$AU$1004,1,MATCH(COLUMNS($AD$1006:AT1006),$AD$1006:$AU$1006,0)))),"Fix")))</f>
        <v xml:space="preserve"> </v>
      </c>
      <c r="S336" s="4" t="str">
        <f ca="1">IF(OR(INDEX($X$2:$X$1001,MATCH(ROWS($W$2:W336),$W$2:$W$1001,0),1)&gt;=100000,INDEX($AD$1005:$AU$1005,1,MATCH(COLUMNS($AD$1006:AU1006),$AD$1006:$AU$1006,0))&gt;=100000), " ",IF(INDEX($AD$2:$AU$1001,MATCH(ROWS($W$2:W336),$W$2:$W$1001,0),MATCH(COLUMNS($AD$1006:AU1006),$AD$1006:$AU$1006,0)), HYPERLINK("#",""), HYPERLINK(CONCATENATE("#metadata!", ADDRESS(INDEX($Y$2:$Y$1001,MATCH(ROWS($W$2:W336),$W$2:$W$1001,0),0), INDEX($AD$1004:$AU$1004,1,MATCH(COLUMNS($AD$1006:AU1006),$AD$1006:$AU$1006,0)))),"Fix")))</f>
        <v xml:space="preserve"> </v>
      </c>
      <c r="W336">
        <v>335</v>
      </c>
      <c r="X336">
        <v>100336</v>
      </c>
      <c r="Y336">
        <v>336</v>
      </c>
      <c r="Z336" t="b">
        <f t="shared" si="5"/>
        <v>1</v>
      </c>
      <c r="AA336" t="b">
        <f>COUNTBLANK(metadata!B336:S336)=COLUMNS(metadata!B336:S336)</f>
        <v>1</v>
      </c>
      <c r="AB336" t="str">
        <v/>
      </c>
      <c r="AD336" t="b">
        <f ca="1">AND(IF(metadata!B336="",FALSE,TRUE),COUNTIF(metadata!B:B, metadata!B336) = 1,NOT(ISERROR(SUMPRODUCT(SEARCH(MID(metadata!B336,ROW(INDIRECT("1:"&amp;LEN(metadata!B336))), 1),"0123456789abcdefghijklmnopqrstuvwxyzABCDEFGHIJKLMNOPQRSTUVWXYZ.")))))</f>
        <v>0</v>
      </c>
      <c r="AE336" t="b">
        <f>OR(AND(IF(metadata!C336="",FALSE,TRUE),OR(EXACT(metadata!C336,"not applicable"),EXACT(metadata!C336,"missing: not collected"),EXACT(metadata!C336,"missing: not provided"),EXACT(metadata!C336,"missing: restricted access"))),AND(IF(metadata!C336="",FALSE,ISNUMBER(VALUE(metadata!C336))),metadata!C336&gt;0))</f>
        <v>0</v>
      </c>
      <c r="AF336" t="b">
        <f>AND(IF(metadata!D336="",FALSE,TRUE),EXACT(metadata!D336,"missing: not provided"))</f>
        <v>0</v>
      </c>
      <c r="AG336" t="b">
        <f>AND(IF(metadata!E336="",FALSE,TRUE),EXACT(metadata!E336,"Host-associated"))</f>
        <v>0</v>
      </c>
      <c r="AH336" t="b">
        <f>AND(IF(metadata!F336="",FALSE,TRUE),OR(EXACT(metadata!F336,"Animal"),EXACT(metadata!F336,"Fungus"),EXACT(metadata!F336,"Plant")))</f>
        <v>0</v>
      </c>
      <c r="AI336" t="b">
        <f>AND(IF(metadata!G336="",FALSE,TRUE),OR(EXACT(metadata!G336,"Plant secretion"),EXACT(metadata!G336,"Plant rhizosphere"),EXACT(metadata!G336,"Plant surface"),EXACT(metadata!G336,"Plant corpus"),EXACT(metadata!G336,"Fungus surface"),EXACT(metadata!G336,"Fungus corpus"),EXACT(metadata!G336,"Animal surface"),EXACT(metadata!G336,"Animal proximal gut"),EXACT(metadata!G336,"Animal corpus"),EXACT(metadata!G336,"Animal distal gut"),EXACT(metadata!G336,"Animal secretion")))</f>
        <v>0</v>
      </c>
      <c r="AJ336" t="b">
        <f>OR(AND(IF(metadata!H336="",FALSE,TRUE),OR(EXACT(metadata!H336,"missing: not collected"),EXACT(metadata!H336,"missing: not provided"),EXACT(metadata!H336,"missing: restricted access"))),AND(IF(metadata!H336="",FALSE,TRUE),OR(EXACT(metadata!H336,"organism-associated habitat"),EXACT(metadata!H336,"plant-associated habitat"),EXACT(metadata!H336,"animal-associated habitat"),EXACT(metadata!H336,"insecta-associated habitat"),EXACT(metadata!H336,"mammalia-associated habitat"),EXACT(metadata!H336,"human-associated habitat"),EXACT(metadata!H336,"livestock-associated habitat"))))</f>
        <v>0</v>
      </c>
      <c r="AK336" t="b">
        <f>AND(IF(metadata!I336="",FALSE,TRUE),EXACT(metadata!I336,"host-associated"))</f>
        <v>0</v>
      </c>
      <c r="AL336" t="b">
        <f>OR(AND(IF(metadata!J336="",FALSE,TRUE),OR(EXACT(metadata!J336,"not applicable"),EXACT(metadata!J336,"missing: not collected"),EXACT(metadata!J336,"missing: not provided"),EXACT(metadata!J336,"missing: restricted access"))),AND(IF(metadata!J336="",FALSE,ISNUMBER(VALUE(metadata!J336))),metadata!J336&gt;0))</f>
        <v>0</v>
      </c>
      <c r="AM336" t="b">
        <f>AND(IF(metadata!K336="",FALSE,TRUE),EXACT(metadata!K336,"missing: not provided"))</f>
        <v>0</v>
      </c>
      <c r="AN336" t="b">
        <f>IF(metadata!L336="",FALSE,TRUE)</f>
        <v>0</v>
      </c>
      <c r="AO336" t="b">
        <f>IF(metadata!M336="",FALSE,TRUE)</f>
        <v>0</v>
      </c>
      <c r="AP336" t="b">
        <f>OR(AND(IF(metadata!N336="",FALSE,TRUE),OR(EXACT(metadata!N336,"not applicable"),EXACT(metadata!N336,"missing: not collected"),EXACT(metadata!N336,"missing: not provided"))),AND(IF(metadata!N336="",FALSE,IF(ISERROR(INT(metadata!N336)),FALSE,INT(metadata!N336)=metadata!N336)),metadata!N336&gt;0))</f>
        <v>0</v>
      </c>
      <c r="AQ336" t="b">
        <f>AND(IF(metadata!O336="",FALSE,TRUE),EXACT(metadata!O336,"Not applicable"))</f>
        <v>0</v>
      </c>
      <c r="AR336" t="b">
        <f>OR(AND(IF(metadata!P336="",FALSE,TRUE),OR(EXACT(metadata!P336,"not applicable"),EXACT(metadata!P336,"missing: not collected"),EXACT(metadata!P336,"missing: not provided"),EXACT(metadata!P336,"missing: restricted access"))),IF(metadata!P336="",FALSE,IF(ISERROR(INT(metadata!P336)),FALSE,INT(metadata!P336)=metadata!P336)))</f>
        <v>0</v>
      </c>
      <c r="AS336" t="b">
        <f>AND(IF(metadata!Q336="",FALSE,TRUE),EXACT(metadata!Q336,"Not applicable"))</f>
        <v>0</v>
      </c>
      <c r="AT336" t="b">
        <f>OR(AND(IF(metadata!R336="",FALSE,TRUE),OR(EXACT(metadata!R336,"not applicable"),EXACT(metadata!R336,"missing: not collected"),EXACT(metadata!R336,"missing: not provided"),EXACT(metadata!R336,"missing: restricted access"))),AND(IF(metadata!R336="",FALSE,ISNUMBER(VALUE(metadata!R336))),metadata!R336&gt;0))</f>
        <v>0</v>
      </c>
      <c r="AU336" t="b">
        <f>AND(IF(metadata!S336="",FALSE,TRUE),EXACT(metadata!S336,"missing: not provided"))</f>
        <v>0</v>
      </c>
    </row>
    <row r="337" spans="1:47" x14ac:dyDescent="0.2">
      <c r="A337" s="5" t="str">
        <f ca="1">IF(B337=" "," ",HYPERLINK(CONCATENATE("#metadata!",ADDRESS(INDEX($Y$2:$Y$1001,MATCH(ROWS($W$2:W337),$W$2:$W$1001,0),0),1)),INDEX($AB$2:$AB$1001,MATCH(ROWS($W$2:W337),$W$2:$W$1001,0),0)))</f>
        <v xml:space="preserve"> </v>
      </c>
      <c r="B337" s="4" t="str">
        <f ca="1">IF(OR(INDEX($X$2:$X$1001,MATCH(ROWS($W$2:W337),$W$2:$W$1001,0),1)&gt;=100000,INDEX($AD$1005:$AU$1005,1,MATCH(COLUMNS($AD$1006:AD1006),$AD$1006:$AU$1006,0))&gt;=100000), " ",IF(INDEX($AD$2:$AU$1001,MATCH(ROWS($W$2:W337),$W$2:$W$1001,0),MATCH(COLUMNS($AD$1006:AD1006),$AD$1006:$AU$1006,0)), HYPERLINK("#",""), HYPERLINK(CONCATENATE("#metadata!", ADDRESS(INDEX($Y$2:$Y$1001,MATCH(ROWS($W$2:W337),$W$2:$W$1001,0),0), INDEX($AD$1004:$AU$1004,1,MATCH(COLUMNS($AD$1006:AD1006),$AD$1006:$AU$1006,0)))),"Fix")))</f>
        <v xml:space="preserve"> </v>
      </c>
      <c r="C337" s="4" t="str">
        <f ca="1">IF(OR(INDEX($X$2:$X$1001,MATCH(ROWS($W$2:W337),$W$2:$W$1001,0),1)&gt;=100000,INDEX($AD$1005:$AU$1005,1,MATCH(COLUMNS($AD$1006:AE1006),$AD$1006:$AU$1006,0))&gt;=100000), " ",IF(INDEX($AD$2:$AU$1001,MATCH(ROWS($W$2:W337),$W$2:$W$1001,0),MATCH(COLUMNS($AD$1006:AE1006),$AD$1006:$AU$1006,0)), HYPERLINK("#",""), HYPERLINK(CONCATENATE("#metadata!", ADDRESS(INDEX($Y$2:$Y$1001,MATCH(ROWS($W$2:W337),$W$2:$W$1001,0),0), INDEX($AD$1004:$AU$1004,1,MATCH(COLUMNS($AD$1006:AE1006),$AD$1006:$AU$1006,0)))),"Fix")))</f>
        <v xml:space="preserve"> </v>
      </c>
      <c r="D337" s="4" t="str">
        <f ca="1">IF(OR(INDEX($X$2:$X$1001,MATCH(ROWS($W$2:W337),$W$2:$W$1001,0),1)&gt;=100000,INDEX($AD$1005:$AU$1005,1,MATCH(COLUMNS($AD$1006:AF1006),$AD$1006:$AU$1006,0))&gt;=100000), " ",IF(INDEX($AD$2:$AU$1001,MATCH(ROWS($W$2:W337),$W$2:$W$1001,0),MATCH(COLUMNS($AD$1006:AF1006),$AD$1006:$AU$1006,0)), HYPERLINK("#",""), HYPERLINK(CONCATENATE("#metadata!", ADDRESS(INDEX($Y$2:$Y$1001,MATCH(ROWS($W$2:W337),$W$2:$W$1001,0),0), INDEX($AD$1004:$AU$1004,1,MATCH(COLUMNS($AD$1006:AF1006),$AD$1006:$AU$1006,0)))),"Fix")))</f>
        <v xml:space="preserve"> </v>
      </c>
      <c r="E337" s="4" t="str">
        <f ca="1">IF(OR(INDEX($X$2:$X$1001,MATCH(ROWS($W$2:W337),$W$2:$W$1001,0),1)&gt;=100000,INDEX($AD$1005:$AU$1005,1,MATCH(COLUMNS($AD$1006:AG1006),$AD$1006:$AU$1006,0))&gt;=100000), " ",IF(INDEX($AD$2:$AU$1001,MATCH(ROWS($W$2:W337),$W$2:$W$1001,0),MATCH(COLUMNS($AD$1006:AG1006),$AD$1006:$AU$1006,0)), HYPERLINK("#",""), HYPERLINK(CONCATENATE("#metadata!", ADDRESS(INDEX($Y$2:$Y$1001,MATCH(ROWS($W$2:W337),$W$2:$W$1001,0),0), INDEX($AD$1004:$AU$1004,1,MATCH(COLUMNS($AD$1006:AG1006),$AD$1006:$AU$1006,0)))),"Fix")))</f>
        <v xml:space="preserve"> </v>
      </c>
      <c r="F337" s="4" t="str">
        <f ca="1">IF(OR(INDEX($X$2:$X$1001,MATCH(ROWS($W$2:W337),$W$2:$W$1001,0),1)&gt;=100000,INDEX($AD$1005:$AU$1005,1,MATCH(COLUMNS($AD$1006:AH1006),$AD$1006:$AU$1006,0))&gt;=100000), " ",IF(INDEX($AD$2:$AU$1001,MATCH(ROWS($W$2:W337),$W$2:$W$1001,0),MATCH(COLUMNS($AD$1006:AH1006),$AD$1006:$AU$1006,0)), HYPERLINK("#",""), HYPERLINK(CONCATENATE("#metadata!", ADDRESS(INDEX($Y$2:$Y$1001,MATCH(ROWS($W$2:W337),$W$2:$W$1001,0),0), INDEX($AD$1004:$AU$1004,1,MATCH(COLUMNS($AD$1006:AH1006),$AD$1006:$AU$1006,0)))),"Fix")))</f>
        <v xml:space="preserve"> </v>
      </c>
      <c r="G337" s="4" t="str">
        <f ca="1">IF(OR(INDEX($X$2:$X$1001,MATCH(ROWS($W$2:W337),$W$2:$W$1001,0),1)&gt;=100000,INDEX($AD$1005:$AU$1005,1,MATCH(COLUMNS($AD$1006:AI1006),$AD$1006:$AU$1006,0))&gt;=100000), " ",IF(INDEX($AD$2:$AU$1001,MATCH(ROWS($W$2:W337),$W$2:$W$1001,0),MATCH(COLUMNS($AD$1006:AI1006),$AD$1006:$AU$1006,0)), HYPERLINK("#",""), HYPERLINK(CONCATENATE("#metadata!", ADDRESS(INDEX($Y$2:$Y$1001,MATCH(ROWS($W$2:W337),$W$2:$W$1001,0),0), INDEX($AD$1004:$AU$1004,1,MATCH(COLUMNS($AD$1006:AI1006),$AD$1006:$AU$1006,0)))),"Fix")))</f>
        <v xml:space="preserve"> </v>
      </c>
      <c r="H337" s="4" t="str">
        <f ca="1">IF(OR(INDEX($X$2:$X$1001,MATCH(ROWS($W$2:W337),$W$2:$W$1001,0),1)&gt;=100000,INDEX($AD$1005:$AU$1005,1,MATCH(COLUMNS($AD$1006:AJ1006),$AD$1006:$AU$1006,0))&gt;=100000), " ",IF(INDEX($AD$2:$AU$1001,MATCH(ROWS($W$2:W337),$W$2:$W$1001,0),MATCH(COLUMNS($AD$1006:AJ1006),$AD$1006:$AU$1006,0)), HYPERLINK("#",""), HYPERLINK(CONCATENATE("#metadata!", ADDRESS(INDEX($Y$2:$Y$1001,MATCH(ROWS($W$2:W337),$W$2:$W$1001,0),0), INDEX($AD$1004:$AU$1004,1,MATCH(COLUMNS($AD$1006:AJ1006),$AD$1006:$AU$1006,0)))),"Fix")))</f>
        <v xml:space="preserve"> </v>
      </c>
      <c r="I337" s="4" t="str">
        <f ca="1">IF(OR(INDEX($X$2:$X$1001,MATCH(ROWS($W$2:W337),$W$2:$W$1001,0),1)&gt;=100000,INDEX($AD$1005:$AU$1005,1,MATCH(COLUMNS($AD$1006:AK1006),$AD$1006:$AU$1006,0))&gt;=100000), " ",IF(INDEX($AD$2:$AU$1001,MATCH(ROWS($W$2:W337),$W$2:$W$1001,0),MATCH(COLUMNS($AD$1006:AK1006),$AD$1006:$AU$1006,0)), HYPERLINK("#",""), HYPERLINK(CONCATENATE("#metadata!", ADDRESS(INDEX($Y$2:$Y$1001,MATCH(ROWS($W$2:W337),$W$2:$W$1001,0),0), INDEX($AD$1004:$AU$1004,1,MATCH(COLUMNS($AD$1006:AK1006),$AD$1006:$AU$1006,0)))),"Fix")))</f>
        <v xml:space="preserve"> </v>
      </c>
      <c r="J337" s="4" t="str">
        <f ca="1">IF(OR(INDEX($X$2:$X$1001,MATCH(ROWS($W$2:W337),$W$2:$W$1001,0),1)&gt;=100000,INDEX($AD$1005:$AU$1005,1,MATCH(COLUMNS($AD$1006:AL1006),$AD$1006:$AU$1006,0))&gt;=100000), " ",IF(INDEX($AD$2:$AU$1001,MATCH(ROWS($W$2:W337),$W$2:$W$1001,0),MATCH(COLUMNS($AD$1006:AL1006),$AD$1006:$AU$1006,0)), HYPERLINK("#",""), HYPERLINK(CONCATENATE("#metadata!", ADDRESS(INDEX($Y$2:$Y$1001,MATCH(ROWS($W$2:W337),$W$2:$W$1001,0),0), INDEX($AD$1004:$AU$1004,1,MATCH(COLUMNS($AD$1006:AL1006),$AD$1006:$AU$1006,0)))),"Fix")))</f>
        <v xml:space="preserve"> </v>
      </c>
      <c r="K337" s="4" t="str">
        <f ca="1">IF(OR(INDEX($X$2:$X$1001,MATCH(ROWS($W$2:W337),$W$2:$W$1001,0),1)&gt;=100000,INDEX($AD$1005:$AU$1005,1,MATCH(COLUMNS($AD$1006:AM1006),$AD$1006:$AU$1006,0))&gt;=100000), " ",IF(INDEX($AD$2:$AU$1001,MATCH(ROWS($W$2:W337),$W$2:$W$1001,0),MATCH(COLUMNS($AD$1006:AM1006),$AD$1006:$AU$1006,0)), HYPERLINK("#",""), HYPERLINK(CONCATENATE("#metadata!", ADDRESS(INDEX($Y$2:$Y$1001,MATCH(ROWS($W$2:W337),$W$2:$W$1001,0),0), INDEX($AD$1004:$AU$1004,1,MATCH(COLUMNS($AD$1006:AM1006),$AD$1006:$AU$1006,0)))),"Fix")))</f>
        <v xml:space="preserve"> </v>
      </c>
      <c r="L337" s="4" t="str">
        <f ca="1">IF(OR(INDEX($X$2:$X$1001,MATCH(ROWS($W$2:W337),$W$2:$W$1001,0),1)&gt;=100000,INDEX($AD$1005:$AU$1005,1,MATCH(COLUMNS($AD$1006:AN1006),$AD$1006:$AU$1006,0))&gt;=100000), " ",IF(INDEX($AD$2:$AU$1001,MATCH(ROWS($W$2:W337),$W$2:$W$1001,0),MATCH(COLUMNS($AD$1006:AN1006),$AD$1006:$AU$1006,0)), HYPERLINK("#",""), HYPERLINK(CONCATENATE("#metadata!", ADDRESS(INDEX($Y$2:$Y$1001,MATCH(ROWS($W$2:W337),$W$2:$W$1001,0),0), INDEX($AD$1004:$AU$1004,1,MATCH(COLUMNS($AD$1006:AN1006),$AD$1006:$AU$1006,0)))),"Fix")))</f>
        <v xml:space="preserve"> </v>
      </c>
      <c r="M337" s="4" t="str">
        <f ca="1">IF(OR(INDEX($X$2:$X$1001,MATCH(ROWS($W$2:W337),$W$2:$W$1001,0),1)&gt;=100000,INDEX($AD$1005:$AU$1005,1,MATCH(COLUMNS($AD$1006:AO1006),$AD$1006:$AU$1006,0))&gt;=100000), " ",IF(INDEX($AD$2:$AU$1001,MATCH(ROWS($W$2:W337),$W$2:$W$1001,0),MATCH(COLUMNS($AD$1006:AO1006),$AD$1006:$AU$1006,0)), HYPERLINK("#",""), HYPERLINK(CONCATENATE("#metadata!", ADDRESS(INDEX($Y$2:$Y$1001,MATCH(ROWS($W$2:W337),$W$2:$W$1001,0),0), INDEX($AD$1004:$AU$1004,1,MATCH(COLUMNS($AD$1006:AO1006),$AD$1006:$AU$1006,0)))),"Fix")))</f>
        <v xml:space="preserve"> </v>
      </c>
      <c r="N337" s="4" t="str">
        <f ca="1">IF(OR(INDEX($X$2:$X$1001,MATCH(ROWS($W$2:W337),$W$2:$W$1001,0),1)&gt;=100000,INDEX($AD$1005:$AU$1005,1,MATCH(COLUMNS($AD$1006:AP1006),$AD$1006:$AU$1006,0))&gt;=100000), " ",IF(INDEX($AD$2:$AU$1001,MATCH(ROWS($W$2:W337),$W$2:$W$1001,0),MATCH(COLUMNS($AD$1006:AP1006),$AD$1006:$AU$1006,0)), HYPERLINK("#",""), HYPERLINK(CONCATENATE("#metadata!", ADDRESS(INDEX($Y$2:$Y$1001,MATCH(ROWS($W$2:W337),$W$2:$W$1001,0),0), INDEX($AD$1004:$AU$1004,1,MATCH(COLUMNS($AD$1006:AP1006),$AD$1006:$AU$1006,0)))),"Fix")))</f>
        <v xml:space="preserve"> </v>
      </c>
      <c r="O337" s="4" t="str">
        <f ca="1">IF(OR(INDEX($X$2:$X$1001,MATCH(ROWS($W$2:W337),$W$2:$W$1001,0),1)&gt;=100000,INDEX($AD$1005:$AU$1005,1,MATCH(COLUMNS($AD$1006:AQ1006),$AD$1006:$AU$1006,0))&gt;=100000), " ",IF(INDEX($AD$2:$AU$1001,MATCH(ROWS($W$2:W337),$W$2:$W$1001,0),MATCH(COLUMNS($AD$1006:AQ1006),$AD$1006:$AU$1006,0)), HYPERLINK("#",""), HYPERLINK(CONCATENATE("#metadata!", ADDRESS(INDEX($Y$2:$Y$1001,MATCH(ROWS($W$2:W337),$W$2:$W$1001,0),0), INDEX($AD$1004:$AU$1004,1,MATCH(COLUMNS($AD$1006:AQ1006),$AD$1006:$AU$1006,0)))),"Fix")))</f>
        <v xml:space="preserve"> </v>
      </c>
      <c r="P337" s="4" t="str">
        <f ca="1">IF(OR(INDEX($X$2:$X$1001,MATCH(ROWS($W$2:W337),$W$2:$W$1001,0),1)&gt;=100000,INDEX($AD$1005:$AU$1005,1,MATCH(COLUMNS($AD$1006:AR1006),$AD$1006:$AU$1006,0))&gt;=100000), " ",IF(INDEX($AD$2:$AU$1001,MATCH(ROWS($W$2:W337),$W$2:$W$1001,0),MATCH(COLUMNS($AD$1006:AR1006),$AD$1006:$AU$1006,0)), HYPERLINK("#",""), HYPERLINK(CONCATENATE("#metadata!", ADDRESS(INDEX($Y$2:$Y$1001,MATCH(ROWS($W$2:W337),$W$2:$W$1001,0),0), INDEX($AD$1004:$AU$1004,1,MATCH(COLUMNS($AD$1006:AR1006),$AD$1006:$AU$1006,0)))),"Fix")))</f>
        <v xml:space="preserve"> </v>
      </c>
      <c r="Q337" s="4" t="str">
        <f ca="1">IF(OR(INDEX($X$2:$X$1001,MATCH(ROWS($W$2:W337),$W$2:$W$1001,0),1)&gt;=100000,INDEX($AD$1005:$AU$1005,1,MATCH(COLUMNS($AD$1006:AS1006),$AD$1006:$AU$1006,0))&gt;=100000), " ",IF(INDEX($AD$2:$AU$1001,MATCH(ROWS($W$2:W337),$W$2:$W$1001,0),MATCH(COLUMNS($AD$1006:AS1006),$AD$1006:$AU$1006,0)), HYPERLINK("#",""), HYPERLINK(CONCATENATE("#metadata!", ADDRESS(INDEX($Y$2:$Y$1001,MATCH(ROWS($W$2:W337),$W$2:$W$1001,0),0), INDEX($AD$1004:$AU$1004,1,MATCH(COLUMNS($AD$1006:AS1006),$AD$1006:$AU$1006,0)))),"Fix")))</f>
        <v xml:space="preserve"> </v>
      </c>
      <c r="R337" s="4" t="str">
        <f ca="1">IF(OR(INDEX($X$2:$X$1001,MATCH(ROWS($W$2:W337),$W$2:$W$1001,0),1)&gt;=100000,INDEX($AD$1005:$AU$1005,1,MATCH(COLUMNS($AD$1006:AT1006),$AD$1006:$AU$1006,0))&gt;=100000), " ",IF(INDEX($AD$2:$AU$1001,MATCH(ROWS($W$2:W337),$W$2:$W$1001,0),MATCH(COLUMNS($AD$1006:AT1006),$AD$1006:$AU$1006,0)), HYPERLINK("#",""), HYPERLINK(CONCATENATE("#metadata!", ADDRESS(INDEX($Y$2:$Y$1001,MATCH(ROWS($W$2:W337),$W$2:$W$1001,0),0), INDEX($AD$1004:$AU$1004,1,MATCH(COLUMNS($AD$1006:AT1006),$AD$1006:$AU$1006,0)))),"Fix")))</f>
        <v xml:space="preserve"> </v>
      </c>
      <c r="S337" s="4" t="str">
        <f ca="1">IF(OR(INDEX($X$2:$X$1001,MATCH(ROWS($W$2:W337),$W$2:$W$1001,0),1)&gt;=100000,INDEX($AD$1005:$AU$1005,1,MATCH(COLUMNS($AD$1006:AU1006),$AD$1006:$AU$1006,0))&gt;=100000), " ",IF(INDEX($AD$2:$AU$1001,MATCH(ROWS($W$2:W337),$W$2:$W$1001,0),MATCH(COLUMNS($AD$1006:AU1006),$AD$1006:$AU$1006,0)), HYPERLINK("#",""), HYPERLINK(CONCATENATE("#metadata!", ADDRESS(INDEX($Y$2:$Y$1001,MATCH(ROWS($W$2:W337),$W$2:$W$1001,0),0), INDEX($AD$1004:$AU$1004,1,MATCH(COLUMNS($AD$1006:AU1006),$AD$1006:$AU$1006,0)))),"Fix")))</f>
        <v xml:space="preserve"> </v>
      </c>
      <c r="W337">
        <v>336</v>
      </c>
      <c r="X337">
        <v>100337</v>
      </c>
      <c r="Y337">
        <v>337</v>
      </c>
      <c r="Z337" t="b">
        <f t="shared" si="5"/>
        <v>1</v>
      </c>
      <c r="AA337" t="b">
        <f>COUNTBLANK(metadata!B337:S337)=COLUMNS(metadata!B337:S337)</f>
        <v>1</v>
      </c>
      <c r="AB337" t="str">
        <v/>
      </c>
      <c r="AD337" t="b">
        <f ca="1">AND(IF(metadata!B337="",FALSE,TRUE),COUNTIF(metadata!B:B, metadata!B337) = 1,NOT(ISERROR(SUMPRODUCT(SEARCH(MID(metadata!B337,ROW(INDIRECT("1:"&amp;LEN(metadata!B337))), 1),"0123456789abcdefghijklmnopqrstuvwxyzABCDEFGHIJKLMNOPQRSTUVWXYZ.")))))</f>
        <v>0</v>
      </c>
      <c r="AE337" t="b">
        <f>OR(AND(IF(metadata!C337="",FALSE,TRUE),OR(EXACT(metadata!C337,"not applicable"),EXACT(metadata!C337,"missing: not collected"),EXACT(metadata!C337,"missing: not provided"),EXACT(metadata!C337,"missing: restricted access"))),AND(IF(metadata!C337="",FALSE,ISNUMBER(VALUE(metadata!C337))),metadata!C337&gt;0))</f>
        <v>0</v>
      </c>
      <c r="AF337" t="b">
        <f>AND(IF(metadata!D337="",FALSE,TRUE),EXACT(metadata!D337,"missing: not provided"))</f>
        <v>0</v>
      </c>
      <c r="AG337" t="b">
        <f>AND(IF(metadata!E337="",FALSE,TRUE),EXACT(metadata!E337,"Host-associated"))</f>
        <v>0</v>
      </c>
      <c r="AH337" t="b">
        <f>AND(IF(metadata!F337="",FALSE,TRUE),OR(EXACT(metadata!F337,"Animal"),EXACT(metadata!F337,"Fungus"),EXACT(metadata!F337,"Plant")))</f>
        <v>0</v>
      </c>
      <c r="AI337" t="b">
        <f>AND(IF(metadata!G337="",FALSE,TRUE),OR(EXACT(metadata!G337,"Plant secretion"),EXACT(metadata!G337,"Plant rhizosphere"),EXACT(metadata!G337,"Plant surface"),EXACT(metadata!G337,"Plant corpus"),EXACT(metadata!G337,"Fungus surface"),EXACT(metadata!G337,"Fungus corpus"),EXACT(metadata!G337,"Animal surface"),EXACT(metadata!G337,"Animal proximal gut"),EXACT(metadata!G337,"Animal corpus"),EXACT(metadata!G337,"Animal distal gut"),EXACT(metadata!G337,"Animal secretion")))</f>
        <v>0</v>
      </c>
      <c r="AJ337" t="b">
        <f>OR(AND(IF(metadata!H337="",FALSE,TRUE),OR(EXACT(metadata!H337,"missing: not collected"),EXACT(metadata!H337,"missing: not provided"),EXACT(metadata!H337,"missing: restricted access"))),AND(IF(metadata!H337="",FALSE,TRUE),OR(EXACT(metadata!H337,"organism-associated habitat"),EXACT(metadata!H337,"plant-associated habitat"),EXACT(metadata!H337,"animal-associated habitat"),EXACT(metadata!H337,"insecta-associated habitat"),EXACT(metadata!H337,"mammalia-associated habitat"),EXACT(metadata!H337,"human-associated habitat"),EXACT(metadata!H337,"livestock-associated habitat"))))</f>
        <v>0</v>
      </c>
      <c r="AK337" t="b">
        <f>AND(IF(metadata!I337="",FALSE,TRUE),EXACT(metadata!I337,"host-associated"))</f>
        <v>0</v>
      </c>
      <c r="AL337" t="b">
        <f>OR(AND(IF(metadata!J337="",FALSE,TRUE),OR(EXACT(metadata!J337,"not applicable"),EXACT(metadata!J337,"missing: not collected"),EXACT(metadata!J337,"missing: not provided"),EXACT(metadata!J337,"missing: restricted access"))),AND(IF(metadata!J337="",FALSE,ISNUMBER(VALUE(metadata!J337))),metadata!J337&gt;0))</f>
        <v>0</v>
      </c>
      <c r="AM337" t="b">
        <f>AND(IF(metadata!K337="",FALSE,TRUE),EXACT(metadata!K337,"missing: not provided"))</f>
        <v>0</v>
      </c>
      <c r="AN337" t="b">
        <f>IF(metadata!L337="",FALSE,TRUE)</f>
        <v>0</v>
      </c>
      <c r="AO337" t="b">
        <f>IF(metadata!M337="",FALSE,TRUE)</f>
        <v>0</v>
      </c>
      <c r="AP337" t="b">
        <f>OR(AND(IF(metadata!N337="",FALSE,TRUE),OR(EXACT(metadata!N337,"not applicable"),EXACT(metadata!N337,"missing: not collected"),EXACT(metadata!N337,"missing: not provided"))),AND(IF(metadata!N337="",FALSE,IF(ISERROR(INT(metadata!N337)),FALSE,INT(metadata!N337)=metadata!N337)),metadata!N337&gt;0))</f>
        <v>0</v>
      </c>
      <c r="AQ337" t="b">
        <f>AND(IF(metadata!O337="",FALSE,TRUE),EXACT(metadata!O337,"Not applicable"))</f>
        <v>0</v>
      </c>
      <c r="AR337" t="b">
        <f>OR(AND(IF(metadata!P337="",FALSE,TRUE),OR(EXACT(metadata!P337,"not applicable"),EXACT(metadata!P337,"missing: not collected"),EXACT(metadata!P337,"missing: not provided"),EXACT(metadata!P337,"missing: restricted access"))),IF(metadata!P337="",FALSE,IF(ISERROR(INT(metadata!P337)),FALSE,INT(metadata!P337)=metadata!P337)))</f>
        <v>0</v>
      </c>
      <c r="AS337" t="b">
        <f>AND(IF(metadata!Q337="",FALSE,TRUE),EXACT(metadata!Q337,"Not applicable"))</f>
        <v>0</v>
      </c>
      <c r="AT337" t="b">
        <f>OR(AND(IF(metadata!R337="",FALSE,TRUE),OR(EXACT(metadata!R337,"not applicable"),EXACT(metadata!R337,"missing: not collected"),EXACT(metadata!R337,"missing: not provided"),EXACT(metadata!R337,"missing: restricted access"))),AND(IF(metadata!R337="",FALSE,ISNUMBER(VALUE(metadata!R337))),metadata!R337&gt;0))</f>
        <v>0</v>
      </c>
      <c r="AU337" t="b">
        <f>AND(IF(metadata!S337="",FALSE,TRUE),EXACT(metadata!S337,"missing: not provided"))</f>
        <v>0</v>
      </c>
    </row>
    <row r="338" spans="1:47" x14ac:dyDescent="0.2">
      <c r="A338" s="5" t="str">
        <f ca="1">IF(B338=" "," ",HYPERLINK(CONCATENATE("#metadata!",ADDRESS(INDEX($Y$2:$Y$1001,MATCH(ROWS($W$2:W338),$W$2:$W$1001,0),0),1)),INDEX($AB$2:$AB$1001,MATCH(ROWS($W$2:W338),$W$2:$W$1001,0),0)))</f>
        <v xml:space="preserve"> </v>
      </c>
      <c r="B338" s="4" t="str">
        <f ca="1">IF(OR(INDEX($X$2:$X$1001,MATCH(ROWS($W$2:W338),$W$2:$W$1001,0),1)&gt;=100000,INDEX($AD$1005:$AU$1005,1,MATCH(COLUMNS($AD$1006:AD1006),$AD$1006:$AU$1006,0))&gt;=100000), " ",IF(INDEX($AD$2:$AU$1001,MATCH(ROWS($W$2:W338),$W$2:$W$1001,0),MATCH(COLUMNS($AD$1006:AD1006),$AD$1006:$AU$1006,0)), HYPERLINK("#",""), HYPERLINK(CONCATENATE("#metadata!", ADDRESS(INDEX($Y$2:$Y$1001,MATCH(ROWS($W$2:W338),$W$2:$W$1001,0),0), INDEX($AD$1004:$AU$1004,1,MATCH(COLUMNS($AD$1006:AD1006),$AD$1006:$AU$1006,0)))),"Fix")))</f>
        <v xml:space="preserve"> </v>
      </c>
      <c r="C338" s="4" t="str">
        <f ca="1">IF(OR(INDEX($X$2:$X$1001,MATCH(ROWS($W$2:W338),$W$2:$W$1001,0),1)&gt;=100000,INDEX($AD$1005:$AU$1005,1,MATCH(COLUMNS($AD$1006:AE1006),$AD$1006:$AU$1006,0))&gt;=100000), " ",IF(INDEX($AD$2:$AU$1001,MATCH(ROWS($W$2:W338),$W$2:$W$1001,0),MATCH(COLUMNS($AD$1006:AE1006),$AD$1006:$AU$1006,0)), HYPERLINK("#",""), HYPERLINK(CONCATENATE("#metadata!", ADDRESS(INDEX($Y$2:$Y$1001,MATCH(ROWS($W$2:W338),$W$2:$W$1001,0),0), INDEX($AD$1004:$AU$1004,1,MATCH(COLUMNS($AD$1006:AE1006),$AD$1006:$AU$1006,0)))),"Fix")))</f>
        <v xml:space="preserve"> </v>
      </c>
      <c r="D338" s="4" t="str">
        <f ca="1">IF(OR(INDEX($X$2:$X$1001,MATCH(ROWS($W$2:W338),$W$2:$W$1001,0),1)&gt;=100000,INDEX($AD$1005:$AU$1005,1,MATCH(COLUMNS($AD$1006:AF1006),$AD$1006:$AU$1006,0))&gt;=100000), " ",IF(INDEX($AD$2:$AU$1001,MATCH(ROWS($W$2:W338),$W$2:$W$1001,0),MATCH(COLUMNS($AD$1006:AF1006),$AD$1006:$AU$1006,0)), HYPERLINK("#",""), HYPERLINK(CONCATENATE("#metadata!", ADDRESS(INDEX($Y$2:$Y$1001,MATCH(ROWS($W$2:W338),$W$2:$W$1001,0),0), INDEX($AD$1004:$AU$1004,1,MATCH(COLUMNS($AD$1006:AF1006),$AD$1006:$AU$1006,0)))),"Fix")))</f>
        <v xml:space="preserve"> </v>
      </c>
      <c r="E338" s="4" t="str">
        <f ca="1">IF(OR(INDEX($X$2:$X$1001,MATCH(ROWS($W$2:W338),$W$2:$W$1001,0),1)&gt;=100000,INDEX($AD$1005:$AU$1005,1,MATCH(COLUMNS($AD$1006:AG1006),$AD$1006:$AU$1006,0))&gt;=100000), " ",IF(INDEX($AD$2:$AU$1001,MATCH(ROWS($W$2:W338),$W$2:$W$1001,0),MATCH(COLUMNS($AD$1006:AG1006),$AD$1006:$AU$1006,0)), HYPERLINK("#",""), HYPERLINK(CONCATENATE("#metadata!", ADDRESS(INDEX($Y$2:$Y$1001,MATCH(ROWS($W$2:W338),$W$2:$W$1001,0),0), INDEX($AD$1004:$AU$1004,1,MATCH(COLUMNS($AD$1006:AG1006),$AD$1006:$AU$1006,0)))),"Fix")))</f>
        <v xml:space="preserve"> </v>
      </c>
      <c r="F338" s="4" t="str">
        <f ca="1">IF(OR(INDEX($X$2:$X$1001,MATCH(ROWS($W$2:W338),$W$2:$W$1001,0),1)&gt;=100000,INDEX($AD$1005:$AU$1005,1,MATCH(COLUMNS($AD$1006:AH1006),$AD$1006:$AU$1006,0))&gt;=100000), " ",IF(INDEX($AD$2:$AU$1001,MATCH(ROWS($W$2:W338),$W$2:$W$1001,0),MATCH(COLUMNS($AD$1006:AH1006),$AD$1006:$AU$1006,0)), HYPERLINK("#",""), HYPERLINK(CONCATENATE("#metadata!", ADDRESS(INDEX($Y$2:$Y$1001,MATCH(ROWS($W$2:W338),$W$2:$W$1001,0),0), INDEX($AD$1004:$AU$1004,1,MATCH(COLUMNS($AD$1006:AH1006),$AD$1006:$AU$1006,0)))),"Fix")))</f>
        <v xml:space="preserve"> </v>
      </c>
      <c r="G338" s="4" t="str">
        <f ca="1">IF(OR(INDEX($X$2:$X$1001,MATCH(ROWS($W$2:W338),$W$2:$W$1001,0),1)&gt;=100000,INDEX($AD$1005:$AU$1005,1,MATCH(COLUMNS($AD$1006:AI1006),$AD$1006:$AU$1006,0))&gt;=100000), " ",IF(INDEX($AD$2:$AU$1001,MATCH(ROWS($W$2:W338),$W$2:$W$1001,0),MATCH(COLUMNS($AD$1006:AI1006),$AD$1006:$AU$1006,0)), HYPERLINK("#",""), HYPERLINK(CONCATENATE("#metadata!", ADDRESS(INDEX($Y$2:$Y$1001,MATCH(ROWS($W$2:W338),$W$2:$W$1001,0),0), INDEX($AD$1004:$AU$1004,1,MATCH(COLUMNS($AD$1006:AI1006),$AD$1006:$AU$1006,0)))),"Fix")))</f>
        <v xml:space="preserve"> </v>
      </c>
      <c r="H338" s="4" t="str">
        <f ca="1">IF(OR(INDEX($X$2:$X$1001,MATCH(ROWS($W$2:W338),$W$2:$W$1001,0),1)&gt;=100000,INDEX($AD$1005:$AU$1005,1,MATCH(COLUMNS($AD$1006:AJ1006),$AD$1006:$AU$1006,0))&gt;=100000), " ",IF(INDEX($AD$2:$AU$1001,MATCH(ROWS($W$2:W338),$W$2:$W$1001,0),MATCH(COLUMNS($AD$1006:AJ1006),$AD$1006:$AU$1006,0)), HYPERLINK("#",""), HYPERLINK(CONCATENATE("#metadata!", ADDRESS(INDEX($Y$2:$Y$1001,MATCH(ROWS($W$2:W338),$W$2:$W$1001,0),0), INDEX($AD$1004:$AU$1004,1,MATCH(COLUMNS($AD$1006:AJ1006),$AD$1006:$AU$1006,0)))),"Fix")))</f>
        <v xml:space="preserve"> </v>
      </c>
      <c r="I338" s="4" t="str">
        <f ca="1">IF(OR(INDEX($X$2:$X$1001,MATCH(ROWS($W$2:W338),$W$2:$W$1001,0),1)&gt;=100000,INDEX($AD$1005:$AU$1005,1,MATCH(COLUMNS($AD$1006:AK1006),$AD$1006:$AU$1006,0))&gt;=100000), " ",IF(INDEX($AD$2:$AU$1001,MATCH(ROWS($W$2:W338),$W$2:$W$1001,0),MATCH(COLUMNS($AD$1006:AK1006),$AD$1006:$AU$1006,0)), HYPERLINK("#",""), HYPERLINK(CONCATENATE("#metadata!", ADDRESS(INDEX($Y$2:$Y$1001,MATCH(ROWS($W$2:W338),$W$2:$W$1001,0),0), INDEX($AD$1004:$AU$1004,1,MATCH(COLUMNS($AD$1006:AK1006),$AD$1006:$AU$1006,0)))),"Fix")))</f>
        <v xml:space="preserve"> </v>
      </c>
      <c r="J338" s="4" t="str">
        <f ca="1">IF(OR(INDEX($X$2:$X$1001,MATCH(ROWS($W$2:W338),$W$2:$W$1001,0),1)&gt;=100000,INDEX($AD$1005:$AU$1005,1,MATCH(COLUMNS($AD$1006:AL1006),$AD$1006:$AU$1006,0))&gt;=100000), " ",IF(INDEX($AD$2:$AU$1001,MATCH(ROWS($W$2:W338),$W$2:$W$1001,0),MATCH(COLUMNS($AD$1006:AL1006),$AD$1006:$AU$1006,0)), HYPERLINK("#",""), HYPERLINK(CONCATENATE("#metadata!", ADDRESS(INDEX($Y$2:$Y$1001,MATCH(ROWS($W$2:W338),$W$2:$W$1001,0),0), INDEX($AD$1004:$AU$1004,1,MATCH(COLUMNS($AD$1006:AL1006),$AD$1006:$AU$1006,0)))),"Fix")))</f>
        <v xml:space="preserve"> </v>
      </c>
      <c r="K338" s="4" t="str">
        <f ca="1">IF(OR(INDEX($X$2:$X$1001,MATCH(ROWS($W$2:W338),$W$2:$W$1001,0),1)&gt;=100000,INDEX($AD$1005:$AU$1005,1,MATCH(COLUMNS($AD$1006:AM1006),$AD$1006:$AU$1006,0))&gt;=100000), " ",IF(INDEX($AD$2:$AU$1001,MATCH(ROWS($W$2:W338),$W$2:$W$1001,0),MATCH(COLUMNS($AD$1006:AM1006),$AD$1006:$AU$1006,0)), HYPERLINK("#",""), HYPERLINK(CONCATENATE("#metadata!", ADDRESS(INDEX($Y$2:$Y$1001,MATCH(ROWS($W$2:W338),$W$2:$W$1001,0),0), INDEX($AD$1004:$AU$1004,1,MATCH(COLUMNS($AD$1006:AM1006),$AD$1006:$AU$1006,0)))),"Fix")))</f>
        <v xml:space="preserve"> </v>
      </c>
      <c r="L338" s="4" t="str">
        <f ca="1">IF(OR(INDEX($X$2:$X$1001,MATCH(ROWS($W$2:W338),$W$2:$W$1001,0),1)&gt;=100000,INDEX($AD$1005:$AU$1005,1,MATCH(COLUMNS($AD$1006:AN1006),$AD$1006:$AU$1006,0))&gt;=100000), " ",IF(INDEX($AD$2:$AU$1001,MATCH(ROWS($W$2:W338),$W$2:$W$1001,0),MATCH(COLUMNS($AD$1006:AN1006),$AD$1006:$AU$1006,0)), HYPERLINK("#",""), HYPERLINK(CONCATENATE("#metadata!", ADDRESS(INDEX($Y$2:$Y$1001,MATCH(ROWS($W$2:W338),$W$2:$W$1001,0),0), INDEX($AD$1004:$AU$1004,1,MATCH(COLUMNS($AD$1006:AN1006),$AD$1006:$AU$1006,0)))),"Fix")))</f>
        <v xml:space="preserve"> </v>
      </c>
      <c r="M338" s="4" t="str">
        <f ca="1">IF(OR(INDEX($X$2:$X$1001,MATCH(ROWS($W$2:W338),$W$2:$W$1001,0),1)&gt;=100000,INDEX($AD$1005:$AU$1005,1,MATCH(COLUMNS($AD$1006:AO1006),$AD$1006:$AU$1006,0))&gt;=100000), " ",IF(INDEX($AD$2:$AU$1001,MATCH(ROWS($W$2:W338),$W$2:$W$1001,0),MATCH(COLUMNS($AD$1006:AO1006),$AD$1006:$AU$1006,0)), HYPERLINK("#",""), HYPERLINK(CONCATENATE("#metadata!", ADDRESS(INDEX($Y$2:$Y$1001,MATCH(ROWS($W$2:W338),$W$2:$W$1001,0),0), INDEX($AD$1004:$AU$1004,1,MATCH(COLUMNS($AD$1006:AO1006),$AD$1006:$AU$1006,0)))),"Fix")))</f>
        <v xml:space="preserve"> </v>
      </c>
      <c r="N338" s="4" t="str">
        <f ca="1">IF(OR(INDEX($X$2:$X$1001,MATCH(ROWS($W$2:W338),$W$2:$W$1001,0),1)&gt;=100000,INDEX($AD$1005:$AU$1005,1,MATCH(COLUMNS($AD$1006:AP1006),$AD$1006:$AU$1006,0))&gt;=100000), " ",IF(INDEX($AD$2:$AU$1001,MATCH(ROWS($W$2:W338),$W$2:$W$1001,0),MATCH(COLUMNS($AD$1006:AP1006),$AD$1006:$AU$1006,0)), HYPERLINK("#",""), HYPERLINK(CONCATENATE("#metadata!", ADDRESS(INDEX($Y$2:$Y$1001,MATCH(ROWS($W$2:W338),$W$2:$W$1001,0),0), INDEX($AD$1004:$AU$1004,1,MATCH(COLUMNS($AD$1006:AP1006),$AD$1006:$AU$1006,0)))),"Fix")))</f>
        <v xml:space="preserve"> </v>
      </c>
      <c r="O338" s="4" t="str">
        <f ca="1">IF(OR(INDEX($X$2:$X$1001,MATCH(ROWS($W$2:W338),$W$2:$W$1001,0),1)&gt;=100000,INDEX($AD$1005:$AU$1005,1,MATCH(COLUMNS($AD$1006:AQ1006),$AD$1006:$AU$1006,0))&gt;=100000), " ",IF(INDEX($AD$2:$AU$1001,MATCH(ROWS($W$2:W338),$W$2:$W$1001,0),MATCH(COLUMNS($AD$1006:AQ1006),$AD$1006:$AU$1006,0)), HYPERLINK("#",""), HYPERLINK(CONCATENATE("#metadata!", ADDRESS(INDEX($Y$2:$Y$1001,MATCH(ROWS($W$2:W338),$W$2:$W$1001,0),0), INDEX($AD$1004:$AU$1004,1,MATCH(COLUMNS($AD$1006:AQ1006),$AD$1006:$AU$1006,0)))),"Fix")))</f>
        <v xml:space="preserve"> </v>
      </c>
      <c r="P338" s="4" t="str">
        <f ca="1">IF(OR(INDEX($X$2:$X$1001,MATCH(ROWS($W$2:W338),$W$2:$W$1001,0),1)&gt;=100000,INDEX($AD$1005:$AU$1005,1,MATCH(COLUMNS($AD$1006:AR1006),$AD$1006:$AU$1006,0))&gt;=100000), " ",IF(INDEX($AD$2:$AU$1001,MATCH(ROWS($W$2:W338),$W$2:$W$1001,0),MATCH(COLUMNS($AD$1006:AR1006),$AD$1006:$AU$1006,0)), HYPERLINK("#",""), HYPERLINK(CONCATENATE("#metadata!", ADDRESS(INDEX($Y$2:$Y$1001,MATCH(ROWS($W$2:W338),$W$2:$W$1001,0),0), INDEX($AD$1004:$AU$1004,1,MATCH(COLUMNS($AD$1006:AR1006),$AD$1006:$AU$1006,0)))),"Fix")))</f>
        <v xml:space="preserve"> </v>
      </c>
      <c r="Q338" s="4" t="str">
        <f ca="1">IF(OR(INDEX($X$2:$X$1001,MATCH(ROWS($W$2:W338),$W$2:$W$1001,0),1)&gt;=100000,INDEX($AD$1005:$AU$1005,1,MATCH(COLUMNS($AD$1006:AS1006),$AD$1006:$AU$1006,0))&gt;=100000), " ",IF(INDEX($AD$2:$AU$1001,MATCH(ROWS($W$2:W338),$W$2:$W$1001,0),MATCH(COLUMNS($AD$1006:AS1006),$AD$1006:$AU$1006,0)), HYPERLINK("#",""), HYPERLINK(CONCATENATE("#metadata!", ADDRESS(INDEX($Y$2:$Y$1001,MATCH(ROWS($W$2:W338),$W$2:$W$1001,0),0), INDEX($AD$1004:$AU$1004,1,MATCH(COLUMNS($AD$1006:AS1006),$AD$1006:$AU$1006,0)))),"Fix")))</f>
        <v xml:space="preserve"> </v>
      </c>
      <c r="R338" s="4" t="str">
        <f ca="1">IF(OR(INDEX($X$2:$X$1001,MATCH(ROWS($W$2:W338),$W$2:$W$1001,0),1)&gt;=100000,INDEX($AD$1005:$AU$1005,1,MATCH(COLUMNS($AD$1006:AT1006),$AD$1006:$AU$1006,0))&gt;=100000), " ",IF(INDEX($AD$2:$AU$1001,MATCH(ROWS($W$2:W338),$W$2:$W$1001,0),MATCH(COLUMNS($AD$1006:AT1006),$AD$1006:$AU$1006,0)), HYPERLINK("#",""), HYPERLINK(CONCATENATE("#metadata!", ADDRESS(INDEX($Y$2:$Y$1001,MATCH(ROWS($W$2:W338),$W$2:$W$1001,0),0), INDEX($AD$1004:$AU$1004,1,MATCH(COLUMNS($AD$1006:AT1006),$AD$1006:$AU$1006,0)))),"Fix")))</f>
        <v xml:space="preserve"> </v>
      </c>
      <c r="S338" s="4" t="str">
        <f ca="1">IF(OR(INDEX($X$2:$X$1001,MATCH(ROWS($W$2:W338),$W$2:$W$1001,0),1)&gt;=100000,INDEX($AD$1005:$AU$1005,1,MATCH(COLUMNS($AD$1006:AU1006),$AD$1006:$AU$1006,0))&gt;=100000), " ",IF(INDEX($AD$2:$AU$1001,MATCH(ROWS($W$2:W338),$W$2:$W$1001,0),MATCH(COLUMNS($AD$1006:AU1006),$AD$1006:$AU$1006,0)), HYPERLINK("#",""), HYPERLINK(CONCATENATE("#metadata!", ADDRESS(INDEX($Y$2:$Y$1001,MATCH(ROWS($W$2:W338),$W$2:$W$1001,0),0), INDEX($AD$1004:$AU$1004,1,MATCH(COLUMNS($AD$1006:AU1006),$AD$1006:$AU$1006,0)))),"Fix")))</f>
        <v xml:space="preserve"> </v>
      </c>
      <c r="W338">
        <v>337</v>
      </c>
      <c r="X338">
        <v>100338</v>
      </c>
      <c r="Y338">
        <v>338</v>
      </c>
      <c r="Z338" t="b">
        <f t="shared" si="5"/>
        <v>1</v>
      </c>
      <c r="AA338" t="b">
        <f>COUNTBLANK(metadata!B338:S338)=COLUMNS(metadata!B338:S338)</f>
        <v>1</v>
      </c>
      <c r="AB338" t="str">
        <v/>
      </c>
      <c r="AD338" t="b">
        <f ca="1">AND(IF(metadata!B338="",FALSE,TRUE),COUNTIF(metadata!B:B, metadata!B338) = 1,NOT(ISERROR(SUMPRODUCT(SEARCH(MID(metadata!B338,ROW(INDIRECT("1:"&amp;LEN(metadata!B338))), 1),"0123456789abcdefghijklmnopqrstuvwxyzABCDEFGHIJKLMNOPQRSTUVWXYZ.")))))</f>
        <v>0</v>
      </c>
      <c r="AE338" t="b">
        <f>OR(AND(IF(metadata!C338="",FALSE,TRUE),OR(EXACT(metadata!C338,"not applicable"),EXACT(metadata!C338,"missing: not collected"),EXACT(metadata!C338,"missing: not provided"),EXACT(metadata!C338,"missing: restricted access"))),AND(IF(metadata!C338="",FALSE,ISNUMBER(VALUE(metadata!C338))),metadata!C338&gt;0))</f>
        <v>0</v>
      </c>
      <c r="AF338" t="b">
        <f>AND(IF(metadata!D338="",FALSE,TRUE),EXACT(metadata!D338,"missing: not provided"))</f>
        <v>0</v>
      </c>
      <c r="AG338" t="b">
        <f>AND(IF(metadata!E338="",FALSE,TRUE),EXACT(metadata!E338,"Host-associated"))</f>
        <v>0</v>
      </c>
      <c r="AH338" t="b">
        <f>AND(IF(metadata!F338="",FALSE,TRUE),OR(EXACT(metadata!F338,"Animal"),EXACT(metadata!F338,"Fungus"),EXACT(metadata!F338,"Plant")))</f>
        <v>0</v>
      </c>
      <c r="AI338" t="b">
        <f>AND(IF(metadata!G338="",FALSE,TRUE),OR(EXACT(metadata!G338,"Plant secretion"),EXACT(metadata!G338,"Plant rhizosphere"),EXACT(metadata!G338,"Plant surface"),EXACT(metadata!G338,"Plant corpus"),EXACT(metadata!G338,"Fungus surface"),EXACT(metadata!G338,"Fungus corpus"),EXACT(metadata!G338,"Animal surface"),EXACT(metadata!G338,"Animal proximal gut"),EXACT(metadata!G338,"Animal corpus"),EXACT(metadata!G338,"Animal distal gut"),EXACT(metadata!G338,"Animal secretion")))</f>
        <v>0</v>
      </c>
      <c r="AJ338" t="b">
        <f>OR(AND(IF(metadata!H338="",FALSE,TRUE),OR(EXACT(metadata!H338,"missing: not collected"),EXACT(metadata!H338,"missing: not provided"),EXACT(metadata!H338,"missing: restricted access"))),AND(IF(metadata!H338="",FALSE,TRUE),OR(EXACT(metadata!H338,"organism-associated habitat"),EXACT(metadata!H338,"plant-associated habitat"),EXACT(metadata!H338,"animal-associated habitat"),EXACT(metadata!H338,"insecta-associated habitat"),EXACT(metadata!H338,"mammalia-associated habitat"),EXACT(metadata!H338,"human-associated habitat"),EXACT(metadata!H338,"livestock-associated habitat"))))</f>
        <v>0</v>
      </c>
      <c r="AK338" t="b">
        <f>AND(IF(metadata!I338="",FALSE,TRUE),EXACT(metadata!I338,"host-associated"))</f>
        <v>0</v>
      </c>
      <c r="AL338" t="b">
        <f>OR(AND(IF(metadata!J338="",FALSE,TRUE),OR(EXACT(metadata!J338,"not applicable"),EXACT(metadata!J338,"missing: not collected"),EXACT(metadata!J338,"missing: not provided"),EXACT(metadata!J338,"missing: restricted access"))),AND(IF(metadata!J338="",FALSE,ISNUMBER(VALUE(metadata!J338))),metadata!J338&gt;0))</f>
        <v>0</v>
      </c>
      <c r="AM338" t="b">
        <f>AND(IF(metadata!K338="",FALSE,TRUE),EXACT(metadata!K338,"missing: not provided"))</f>
        <v>0</v>
      </c>
      <c r="AN338" t="b">
        <f>IF(metadata!L338="",FALSE,TRUE)</f>
        <v>0</v>
      </c>
      <c r="AO338" t="b">
        <f>IF(metadata!M338="",FALSE,TRUE)</f>
        <v>0</v>
      </c>
      <c r="AP338" t="b">
        <f>OR(AND(IF(metadata!N338="",FALSE,TRUE),OR(EXACT(metadata!N338,"not applicable"),EXACT(metadata!N338,"missing: not collected"),EXACT(metadata!N338,"missing: not provided"))),AND(IF(metadata!N338="",FALSE,IF(ISERROR(INT(metadata!N338)),FALSE,INT(metadata!N338)=metadata!N338)),metadata!N338&gt;0))</f>
        <v>0</v>
      </c>
      <c r="AQ338" t="b">
        <f>AND(IF(metadata!O338="",FALSE,TRUE),EXACT(metadata!O338,"Not applicable"))</f>
        <v>0</v>
      </c>
      <c r="AR338" t="b">
        <f>OR(AND(IF(metadata!P338="",FALSE,TRUE),OR(EXACT(metadata!P338,"not applicable"),EXACT(metadata!P338,"missing: not collected"),EXACT(metadata!P338,"missing: not provided"),EXACT(metadata!P338,"missing: restricted access"))),IF(metadata!P338="",FALSE,IF(ISERROR(INT(metadata!P338)),FALSE,INT(metadata!P338)=metadata!P338)))</f>
        <v>0</v>
      </c>
      <c r="AS338" t="b">
        <f>AND(IF(metadata!Q338="",FALSE,TRUE),EXACT(metadata!Q338,"Not applicable"))</f>
        <v>0</v>
      </c>
      <c r="AT338" t="b">
        <f>OR(AND(IF(metadata!R338="",FALSE,TRUE),OR(EXACT(metadata!R338,"not applicable"),EXACT(metadata!R338,"missing: not collected"),EXACT(metadata!R338,"missing: not provided"),EXACT(metadata!R338,"missing: restricted access"))),AND(IF(metadata!R338="",FALSE,ISNUMBER(VALUE(metadata!R338))),metadata!R338&gt;0))</f>
        <v>0</v>
      </c>
      <c r="AU338" t="b">
        <f>AND(IF(metadata!S338="",FALSE,TRUE),EXACT(metadata!S338,"missing: not provided"))</f>
        <v>0</v>
      </c>
    </row>
    <row r="339" spans="1:47" x14ac:dyDescent="0.2">
      <c r="A339" s="5" t="str">
        <f ca="1">IF(B339=" "," ",HYPERLINK(CONCATENATE("#metadata!",ADDRESS(INDEX($Y$2:$Y$1001,MATCH(ROWS($W$2:W339),$W$2:$W$1001,0),0),1)),INDEX($AB$2:$AB$1001,MATCH(ROWS($W$2:W339),$W$2:$W$1001,0),0)))</f>
        <v xml:space="preserve"> </v>
      </c>
      <c r="B339" s="4" t="str">
        <f ca="1">IF(OR(INDEX($X$2:$X$1001,MATCH(ROWS($W$2:W339),$W$2:$W$1001,0),1)&gt;=100000,INDEX($AD$1005:$AU$1005,1,MATCH(COLUMNS($AD$1006:AD1006),$AD$1006:$AU$1006,0))&gt;=100000), " ",IF(INDEX($AD$2:$AU$1001,MATCH(ROWS($W$2:W339),$W$2:$W$1001,0),MATCH(COLUMNS($AD$1006:AD1006),$AD$1006:$AU$1006,0)), HYPERLINK("#",""), HYPERLINK(CONCATENATE("#metadata!", ADDRESS(INDEX($Y$2:$Y$1001,MATCH(ROWS($W$2:W339),$W$2:$W$1001,0),0), INDEX($AD$1004:$AU$1004,1,MATCH(COLUMNS($AD$1006:AD1006),$AD$1006:$AU$1006,0)))),"Fix")))</f>
        <v xml:space="preserve"> </v>
      </c>
      <c r="C339" s="4" t="str">
        <f ca="1">IF(OR(INDEX($X$2:$X$1001,MATCH(ROWS($W$2:W339),$W$2:$W$1001,0),1)&gt;=100000,INDEX($AD$1005:$AU$1005,1,MATCH(COLUMNS($AD$1006:AE1006),$AD$1006:$AU$1006,0))&gt;=100000), " ",IF(INDEX($AD$2:$AU$1001,MATCH(ROWS($W$2:W339),$W$2:$W$1001,0),MATCH(COLUMNS($AD$1006:AE1006),$AD$1006:$AU$1006,0)), HYPERLINK("#",""), HYPERLINK(CONCATENATE("#metadata!", ADDRESS(INDEX($Y$2:$Y$1001,MATCH(ROWS($W$2:W339),$W$2:$W$1001,0),0), INDEX($AD$1004:$AU$1004,1,MATCH(COLUMNS($AD$1006:AE1006),$AD$1006:$AU$1006,0)))),"Fix")))</f>
        <v xml:space="preserve"> </v>
      </c>
      <c r="D339" s="4" t="str">
        <f ca="1">IF(OR(INDEX($X$2:$X$1001,MATCH(ROWS($W$2:W339),$W$2:$W$1001,0),1)&gt;=100000,INDEX($AD$1005:$AU$1005,1,MATCH(COLUMNS($AD$1006:AF1006),$AD$1006:$AU$1006,0))&gt;=100000), " ",IF(INDEX($AD$2:$AU$1001,MATCH(ROWS($W$2:W339),$W$2:$W$1001,0),MATCH(COLUMNS($AD$1006:AF1006),$AD$1006:$AU$1006,0)), HYPERLINK("#",""), HYPERLINK(CONCATENATE("#metadata!", ADDRESS(INDEX($Y$2:$Y$1001,MATCH(ROWS($W$2:W339),$W$2:$W$1001,0),0), INDEX($AD$1004:$AU$1004,1,MATCH(COLUMNS($AD$1006:AF1006),$AD$1006:$AU$1006,0)))),"Fix")))</f>
        <v xml:space="preserve"> </v>
      </c>
      <c r="E339" s="4" t="str">
        <f ca="1">IF(OR(INDEX($X$2:$X$1001,MATCH(ROWS($W$2:W339),$W$2:$W$1001,0),1)&gt;=100000,INDEX($AD$1005:$AU$1005,1,MATCH(COLUMNS($AD$1006:AG1006),$AD$1006:$AU$1006,0))&gt;=100000), " ",IF(INDEX($AD$2:$AU$1001,MATCH(ROWS($W$2:W339),$W$2:$W$1001,0),MATCH(COLUMNS($AD$1006:AG1006),$AD$1006:$AU$1006,0)), HYPERLINK("#",""), HYPERLINK(CONCATENATE("#metadata!", ADDRESS(INDEX($Y$2:$Y$1001,MATCH(ROWS($W$2:W339),$W$2:$W$1001,0),0), INDEX($AD$1004:$AU$1004,1,MATCH(COLUMNS($AD$1006:AG1006),$AD$1006:$AU$1006,0)))),"Fix")))</f>
        <v xml:space="preserve"> </v>
      </c>
      <c r="F339" s="4" t="str">
        <f ca="1">IF(OR(INDEX($X$2:$X$1001,MATCH(ROWS($W$2:W339),$W$2:$W$1001,0),1)&gt;=100000,INDEX($AD$1005:$AU$1005,1,MATCH(COLUMNS($AD$1006:AH1006),$AD$1006:$AU$1006,0))&gt;=100000), " ",IF(INDEX($AD$2:$AU$1001,MATCH(ROWS($W$2:W339),$W$2:$W$1001,0),MATCH(COLUMNS($AD$1006:AH1006),$AD$1006:$AU$1006,0)), HYPERLINK("#",""), HYPERLINK(CONCATENATE("#metadata!", ADDRESS(INDEX($Y$2:$Y$1001,MATCH(ROWS($W$2:W339),$W$2:$W$1001,0),0), INDEX($AD$1004:$AU$1004,1,MATCH(COLUMNS($AD$1006:AH1006),$AD$1006:$AU$1006,0)))),"Fix")))</f>
        <v xml:space="preserve"> </v>
      </c>
      <c r="G339" s="4" t="str">
        <f ca="1">IF(OR(INDEX($X$2:$X$1001,MATCH(ROWS($W$2:W339),$W$2:$W$1001,0),1)&gt;=100000,INDEX($AD$1005:$AU$1005,1,MATCH(COLUMNS($AD$1006:AI1006),$AD$1006:$AU$1006,0))&gt;=100000), " ",IF(INDEX($AD$2:$AU$1001,MATCH(ROWS($W$2:W339),$W$2:$W$1001,0),MATCH(COLUMNS($AD$1006:AI1006),$AD$1006:$AU$1006,0)), HYPERLINK("#",""), HYPERLINK(CONCATENATE("#metadata!", ADDRESS(INDEX($Y$2:$Y$1001,MATCH(ROWS($W$2:W339),$W$2:$W$1001,0),0), INDEX($AD$1004:$AU$1004,1,MATCH(COLUMNS($AD$1006:AI1006),$AD$1006:$AU$1006,0)))),"Fix")))</f>
        <v xml:space="preserve"> </v>
      </c>
      <c r="H339" s="4" t="str">
        <f ca="1">IF(OR(INDEX($X$2:$X$1001,MATCH(ROWS($W$2:W339),$W$2:$W$1001,0),1)&gt;=100000,INDEX($AD$1005:$AU$1005,1,MATCH(COLUMNS($AD$1006:AJ1006),$AD$1006:$AU$1006,0))&gt;=100000), " ",IF(INDEX($AD$2:$AU$1001,MATCH(ROWS($W$2:W339),$W$2:$W$1001,0),MATCH(COLUMNS($AD$1006:AJ1006),$AD$1006:$AU$1006,0)), HYPERLINK("#",""), HYPERLINK(CONCATENATE("#metadata!", ADDRESS(INDEX($Y$2:$Y$1001,MATCH(ROWS($W$2:W339),$W$2:$W$1001,0),0), INDEX($AD$1004:$AU$1004,1,MATCH(COLUMNS($AD$1006:AJ1006),$AD$1006:$AU$1006,0)))),"Fix")))</f>
        <v xml:space="preserve"> </v>
      </c>
      <c r="I339" s="4" t="str">
        <f ca="1">IF(OR(INDEX($X$2:$X$1001,MATCH(ROWS($W$2:W339),$W$2:$W$1001,0),1)&gt;=100000,INDEX($AD$1005:$AU$1005,1,MATCH(COLUMNS($AD$1006:AK1006),$AD$1006:$AU$1006,0))&gt;=100000), " ",IF(INDEX($AD$2:$AU$1001,MATCH(ROWS($W$2:W339),$W$2:$W$1001,0),MATCH(COLUMNS($AD$1006:AK1006),$AD$1006:$AU$1006,0)), HYPERLINK("#",""), HYPERLINK(CONCATENATE("#metadata!", ADDRESS(INDEX($Y$2:$Y$1001,MATCH(ROWS($W$2:W339),$W$2:$W$1001,0),0), INDEX($AD$1004:$AU$1004,1,MATCH(COLUMNS($AD$1006:AK1006),$AD$1006:$AU$1006,0)))),"Fix")))</f>
        <v xml:space="preserve"> </v>
      </c>
      <c r="J339" s="4" t="str">
        <f ca="1">IF(OR(INDEX($X$2:$X$1001,MATCH(ROWS($W$2:W339),$W$2:$W$1001,0),1)&gt;=100000,INDEX($AD$1005:$AU$1005,1,MATCH(COLUMNS($AD$1006:AL1006),$AD$1006:$AU$1006,0))&gt;=100000), " ",IF(INDEX($AD$2:$AU$1001,MATCH(ROWS($W$2:W339),$W$2:$W$1001,0),MATCH(COLUMNS($AD$1006:AL1006),$AD$1006:$AU$1006,0)), HYPERLINK("#",""), HYPERLINK(CONCATENATE("#metadata!", ADDRESS(INDEX($Y$2:$Y$1001,MATCH(ROWS($W$2:W339),$W$2:$W$1001,0),0), INDEX($AD$1004:$AU$1004,1,MATCH(COLUMNS($AD$1006:AL1006),$AD$1006:$AU$1006,0)))),"Fix")))</f>
        <v xml:space="preserve"> </v>
      </c>
      <c r="K339" s="4" t="str">
        <f ca="1">IF(OR(INDEX($X$2:$X$1001,MATCH(ROWS($W$2:W339),$W$2:$W$1001,0),1)&gt;=100000,INDEX($AD$1005:$AU$1005,1,MATCH(COLUMNS($AD$1006:AM1006),$AD$1006:$AU$1006,0))&gt;=100000), " ",IF(INDEX($AD$2:$AU$1001,MATCH(ROWS($W$2:W339),$W$2:$W$1001,0),MATCH(COLUMNS($AD$1006:AM1006),$AD$1006:$AU$1006,0)), HYPERLINK("#",""), HYPERLINK(CONCATENATE("#metadata!", ADDRESS(INDEX($Y$2:$Y$1001,MATCH(ROWS($W$2:W339),$W$2:$W$1001,0),0), INDEX($AD$1004:$AU$1004,1,MATCH(COLUMNS($AD$1006:AM1006),$AD$1006:$AU$1006,0)))),"Fix")))</f>
        <v xml:space="preserve"> </v>
      </c>
      <c r="L339" s="4" t="str">
        <f ca="1">IF(OR(INDEX($X$2:$X$1001,MATCH(ROWS($W$2:W339),$W$2:$W$1001,0),1)&gt;=100000,INDEX($AD$1005:$AU$1005,1,MATCH(COLUMNS($AD$1006:AN1006),$AD$1006:$AU$1006,0))&gt;=100000), " ",IF(INDEX($AD$2:$AU$1001,MATCH(ROWS($W$2:W339),$W$2:$W$1001,0),MATCH(COLUMNS($AD$1006:AN1006),$AD$1006:$AU$1006,0)), HYPERLINK("#",""), HYPERLINK(CONCATENATE("#metadata!", ADDRESS(INDEX($Y$2:$Y$1001,MATCH(ROWS($W$2:W339),$W$2:$W$1001,0),0), INDEX($AD$1004:$AU$1004,1,MATCH(COLUMNS($AD$1006:AN1006),$AD$1006:$AU$1006,0)))),"Fix")))</f>
        <v xml:space="preserve"> </v>
      </c>
      <c r="M339" s="4" t="str">
        <f ca="1">IF(OR(INDEX($X$2:$X$1001,MATCH(ROWS($W$2:W339),$W$2:$W$1001,0),1)&gt;=100000,INDEX($AD$1005:$AU$1005,1,MATCH(COLUMNS($AD$1006:AO1006),$AD$1006:$AU$1006,0))&gt;=100000), " ",IF(INDEX($AD$2:$AU$1001,MATCH(ROWS($W$2:W339),$W$2:$W$1001,0),MATCH(COLUMNS($AD$1006:AO1006),$AD$1006:$AU$1006,0)), HYPERLINK("#",""), HYPERLINK(CONCATENATE("#metadata!", ADDRESS(INDEX($Y$2:$Y$1001,MATCH(ROWS($W$2:W339),$W$2:$W$1001,0),0), INDEX($AD$1004:$AU$1004,1,MATCH(COLUMNS($AD$1006:AO1006),$AD$1006:$AU$1006,0)))),"Fix")))</f>
        <v xml:space="preserve"> </v>
      </c>
      <c r="N339" s="4" t="str">
        <f ca="1">IF(OR(INDEX($X$2:$X$1001,MATCH(ROWS($W$2:W339),$W$2:$W$1001,0),1)&gt;=100000,INDEX($AD$1005:$AU$1005,1,MATCH(COLUMNS($AD$1006:AP1006),$AD$1006:$AU$1006,0))&gt;=100000), " ",IF(INDEX($AD$2:$AU$1001,MATCH(ROWS($W$2:W339),$W$2:$W$1001,0),MATCH(COLUMNS($AD$1006:AP1006),$AD$1006:$AU$1006,0)), HYPERLINK("#",""), HYPERLINK(CONCATENATE("#metadata!", ADDRESS(INDEX($Y$2:$Y$1001,MATCH(ROWS($W$2:W339),$W$2:$W$1001,0),0), INDEX($AD$1004:$AU$1004,1,MATCH(COLUMNS($AD$1006:AP1006),$AD$1006:$AU$1006,0)))),"Fix")))</f>
        <v xml:space="preserve"> </v>
      </c>
      <c r="O339" s="4" t="str">
        <f ca="1">IF(OR(INDEX($X$2:$X$1001,MATCH(ROWS($W$2:W339),$W$2:$W$1001,0),1)&gt;=100000,INDEX($AD$1005:$AU$1005,1,MATCH(COLUMNS($AD$1006:AQ1006),$AD$1006:$AU$1006,0))&gt;=100000), " ",IF(INDEX($AD$2:$AU$1001,MATCH(ROWS($W$2:W339),$W$2:$W$1001,0),MATCH(COLUMNS($AD$1006:AQ1006),$AD$1006:$AU$1006,0)), HYPERLINK("#",""), HYPERLINK(CONCATENATE("#metadata!", ADDRESS(INDEX($Y$2:$Y$1001,MATCH(ROWS($W$2:W339),$W$2:$W$1001,0),0), INDEX($AD$1004:$AU$1004,1,MATCH(COLUMNS($AD$1006:AQ1006),$AD$1006:$AU$1006,0)))),"Fix")))</f>
        <v xml:space="preserve"> </v>
      </c>
      <c r="P339" s="4" t="str">
        <f ca="1">IF(OR(INDEX($X$2:$X$1001,MATCH(ROWS($W$2:W339),$W$2:$W$1001,0),1)&gt;=100000,INDEX($AD$1005:$AU$1005,1,MATCH(COLUMNS($AD$1006:AR1006),$AD$1006:$AU$1006,0))&gt;=100000), " ",IF(INDEX($AD$2:$AU$1001,MATCH(ROWS($W$2:W339),$W$2:$W$1001,0),MATCH(COLUMNS($AD$1006:AR1006),$AD$1006:$AU$1006,0)), HYPERLINK("#",""), HYPERLINK(CONCATENATE("#metadata!", ADDRESS(INDEX($Y$2:$Y$1001,MATCH(ROWS($W$2:W339),$W$2:$W$1001,0),0), INDEX($AD$1004:$AU$1004,1,MATCH(COLUMNS($AD$1006:AR1006),$AD$1006:$AU$1006,0)))),"Fix")))</f>
        <v xml:space="preserve"> </v>
      </c>
      <c r="Q339" s="4" t="str">
        <f ca="1">IF(OR(INDEX($X$2:$X$1001,MATCH(ROWS($W$2:W339),$W$2:$W$1001,0),1)&gt;=100000,INDEX($AD$1005:$AU$1005,1,MATCH(COLUMNS($AD$1006:AS1006),$AD$1006:$AU$1006,0))&gt;=100000), " ",IF(INDEX($AD$2:$AU$1001,MATCH(ROWS($W$2:W339),$W$2:$W$1001,0),MATCH(COLUMNS($AD$1006:AS1006),$AD$1006:$AU$1006,0)), HYPERLINK("#",""), HYPERLINK(CONCATENATE("#metadata!", ADDRESS(INDEX($Y$2:$Y$1001,MATCH(ROWS($W$2:W339),$W$2:$W$1001,0),0), INDEX($AD$1004:$AU$1004,1,MATCH(COLUMNS($AD$1006:AS1006),$AD$1006:$AU$1006,0)))),"Fix")))</f>
        <v xml:space="preserve"> </v>
      </c>
      <c r="R339" s="4" t="str">
        <f ca="1">IF(OR(INDEX($X$2:$X$1001,MATCH(ROWS($W$2:W339),$W$2:$W$1001,0),1)&gt;=100000,INDEX($AD$1005:$AU$1005,1,MATCH(COLUMNS($AD$1006:AT1006),$AD$1006:$AU$1006,0))&gt;=100000), " ",IF(INDEX($AD$2:$AU$1001,MATCH(ROWS($W$2:W339),$W$2:$W$1001,0),MATCH(COLUMNS($AD$1006:AT1006),$AD$1006:$AU$1006,0)), HYPERLINK("#",""), HYPERLINK(CONCATENATE("#metadata!", ADDRESS(INDEX($Y$2:$Y$1001,MATCH(ROWS($W$2:W339),$W$2:$W$1001,0),0), INDEX($AD$1004:$AU$1004,1,MATCH(COLUMNS($AD$1006:AT1006),$AD$1006:$AU$1006,0)))),"Fix")))</f>
        <v xml:space="preserve"> </v>
      </c>
      <c r="S339" s="4" t="str">
        <f ca="1">IF(OR(INDEX($X$2:$X$1001,MATCH(ROWS($W$2:W339),$W$2:$W$1001,0),1)&gt;=100000,INDEX($AD$1005:$AU$1005,1,MATCH(COLUMNS($AD$1006:AU1006),$AD$1006:$AU$1006,0))&gt;=100000), " ",IF(INDEX($AD$2:$AU$1001,MATCH(ROWS($W$2:W339),$W$2:$W$1001,0),MATCH(COLUMNS($AD$1006:AU1006),$AD$1006:$AU$1006,0)), HYPERLINK("#",""), HYPERLINK(CONCATENATE("#metadata!", ADDRESS(INDEX($Y$2:$Y$1001,MATCH(ROWS($W$2:W339),$W$2:$W$1001,0),0), INDEX($AD$1004:$AU$1004,1,MATCH(COLUMNS($AD$1006:AU1006),$AD$1006:$AU$1006,0)))),"Fix")))</f>
        <v xml:space="preserve"> </v>
      </c>
      <c r="W339">
        <v>338</v>
      </c>
      <c r="X339">
        <v>100339</v>
      </c>
      <c r="Y339">
        <v>339</v>
      </c>
      <c r="Z339" t="b">
        <f t="shared" si="5"/>
        <v>1</v>
      </c>
      <c r="AA339" t="b">
        <f>COUNTBLANK(metadata!B339:S339)=COLUMNS(metadata!B339:S339)</f>
        <v>1</v>
      </c>
      <c r="AB339" t="str">
        <v/>
      </c>
      <c r="AD339" t="b">
        <f ca="1">AND(IF(metadata!B339="",FALSE,TRUE),COUNTIF(metadata!B:B, metadata!B339) = 1,NOT(ISERROR(SUMPRODUCT(SEARCH(MID(metadata!B339,ROW(INDIRECT("1:"&amp;LEN(metadata!B339))), 1),"0123456789abcdefghijklmnopqrstuvwxyzABCDEFGHIJKLMNOPQRSTUVWXYZ.")))))</f>
        <v>0</v>
      </c>
      <c r="AE339" t="b">
        <f>OR(AND(IF(metadata!C339="",FALSE,TRUE),OR(EXACT(metadata!C339,"not applicable"),EXACT(metadata!C339,"missing: not collected"),EXACT(metadata!C339,"missing: not provided"),EXACT(metadata!C339,"missing: restricted access"))),AND(IF(metadata!C339="",FALSE,ISNUMBER(VALUE(metadata!C339))),metadata!C339&gt;0))</f>
        <v>0</v>
      </c>
      <c r="AF339" t="b">
        <f>AND(IF(metadata!D339="",FALSE,TRUE),EXACT(metadata!D339,"missing: not provided"))</f>
        <v>0</v>
      </c>
      <c r="AG339" t="b">
        <f>AND(IF(metadata!E339="",FALSE,TRUE),EXACT(metadata!E339,"Host-associated"))</f>
        <v>0</v>
      </c>
      <c r="AH339" t="b">
        <f>AND(IF(metadata!F339="",FALSE,TRUE),OR(EXACT(metadata!F339,"Animal"),EXACT(metadata!F339,"Fungus"),EXACT(metadata!F339,"Plant")))</f>
        <v>0</v>
      </c>
      <c r="AI339" t="b">
        <f>AND(IF(metadata!G339="",FALSE,TRUE),OR(EXACT(metadata!G339,"Plant secretion"),EXACT(metadata!G339,"Plant rhizosphere"),EXACT(metadata!G339,"Plant surface"),EXACT(metadata!G339,"Plant corpus"),EXACT(metadata!G339,"Fungus surface"),EXACT(metadata!G339,"Fungus corpus"),EXACT(metadata!G339,"Animal surface"),EXACT(metadata!G339,"Animal proximal gut"),EXACT(metadata!G339,"Animal corpus"),EXACT(metadata!G339,"Animal distal gut"),EXACT(metadata!G339,"Animal secretion")))</f>
        <v>0</v>
      </c>
      <c r="AJ339" t="b">
        <f>OR(AND(IF(metadata!H339="",FALSE,TRUE),OR(EXACT(metadata!H339,"missing: not collected"),EXACT(metadata!H339,"missing: not provided"),EXACT(metadata!H339,"missing: restricted access"))),AND(IF(metadata!H339="",FALSE,TRUE),OR(EXACT(metadata!H339,"organism-associated habitat"),EXACT(metadata!H339,"plant-associated habitat"),EXACT(metadata!H339,"animal-associated habitat"),EXACT(metadata!H339,"insecta-associated habitat"),EXACT(metadata!H339,"mammalia-associated habitat"),EXACT(metadata!H339,"human-associated habitat"),EXACT(metadata!H339,"livestock-associated habitat"))))</f>
        <v>0</v>
      </c>
      <c r="AK339" t="b">
        <f>AND(IF(metadata!I339="",FALSE,TRUE),EXACT(metadata!I339,"host-associated"))</f>
        <v>0</v>
      </c>
      <c r="AL339" t="b">
        <f>OR(AND(IF(metadata!J339="",FALSE,TRUE),OR(EXACT(metadata!J339,"not applicable"),EXACT(metadata!J339,"missing: not collected"),EXACT(metadata!J339,"missing: not provided"),EXACT(metadata!J339,"missing: restricted access"))),AND(IF(metadata!J339="",FALSE,ISNUMBER(VALUE(metadata!J339))),metadata!J339&gt;0))</f>
        <v>0</v>
      </c>
      <c r="AM339" t="b">
        <f>AND(IF(metadata!K339="",FALSE,TRUE),EXACT(metadata!K339,"missing: not provided"))</f>
        <v>0</v>
      </c>
      <c r="AN339" t="b">
        <f>IF(metadata!L339="",FALSE,TRUE)</f>
        <v>0</v>
      </c>
      <c r="AO339" t="b">
        <f>IF(metadata!M339="",FALSE,TRUE)</f>
        <v>0</v>
      </c>
      <c r="AP339" t="b">
        <f>OR(AND(IF(metadata!N339="",FALSE,TRUE),OR(EXACT(metadata!N339,"not applicable"),EXACT(metadata!N339,"missing: not collected"),EXACT(metadata!N339,"missing: not provided"))),AND(IF(metadata!N339="",FALSE,IF(ISERROR(INT(metadata!N339)),FALSE,INT(metadata!N339)=metadata!N339)),metadata!N339&gt;0))</f>
        <v>0</v>
      </c>
      <c r="AQ339" t="b">
        <f>AND(IF(metadata!O339="",FALSE,TRUE),EXACT(metadata!O339,"Not applicable"))</f>
        <v>0</v>
      </c>
      <c r="AR339" t="b">
        <f>OR(AND(IF(metadata!P339="",FALSE,TRUE),OR(EXACT(metadata!P339,"not applicable"),EXACT(metadata!P339,"missing: not collected"),EXACT(metadata!P339,"missing: not provided"),EXACT(metadata!P339,"missing: restricted access"))),IF(metadata!P339="",FALSE,IF(ISERROR(INT(metadata!P339)),FALSE,INT(metadata!P339)=metadata!P339)))</f>
        <v>0</v>
      </c>
      <c r="AS339" t="b">
        <f>AND(IF(metadata!Q339="",FALSE,TRUE),EXACT(metadata!Q339,"Not applicable"))</f>
        <v>0</v>
      </c>
      <c r="AT339" t="b">
        <f>OR(AND(IF(metadata!R339="",FALSE,TRUE),OR(EXACT(metadata!R339,"not applicable"),EXACT(metadata!R339,"missing: not collected"),EXACT(metadata!R339,"missing: not provided"),EXACT(metadata!R339,"missing: restricted access"))),AND(IF(metadata!R339="",FALSE,ISNUMBER(VALUE(metadata!R339))),metadata!R339&gt;0))</f>
        <v>0</v>
      </c>
      <c r="AU339" t="b">
        <f>AND(IF(metadata!S339="",FALSE,TRUE),EXACT(metadata!S339,"missing: not provided"))</f>
        <v>0</v>
      </c>
    </row>
    <row r="340" spans="1:47" x14ac:dyDescent="0.2">
      <c r="A340" s="5" t="str">
        <f ca="1">IF(B340=" "," ",HYPERLINK(CONCATENATE("#metadata!",ADDRESS(INDEX($Y$2:$Y$1001,MATCH(ROWS($W$2:W340),$W$2:$W$1001,0),0),1)),INDEX($AB$2:$AB$1001,MATCH(ROWS($W$2:W340),$W$2:$W$1001,0),0)))</f>
        <v xml:space="preserve"> </v>
      </c>
      <c r="B340" s="4" t="str">
        <f ca="1">IF(OR(INDEX($X$2:$X$1001,MATCH(ROWS($W$2:W340),$W$2:$W$1001,0),1)&gt;=100000,INDEX($AD$1005:$AU$1005,1,MATCH(COLUMNS($AD$1006:AD1006),$AD$1006:$AU$1006,0))&gt;=100000), " ",IF(INDEX($AD$2:$AU$1001,MATCH(ROWS($W$2:W340),$W$2:$W$1001,0),MATCH(COLUMNS($AD$1006:AD1006),$AD$1006:$AU$1006,0)), HYPERLINK("#",""), HYPERLINK(CONCATENATE("#metadata!", ADDRESS(INDEX($Y$2:$Y$1001,MATCH(ROWS($W$2:W340),$W$2:$W$1001,0),0), INDEX($AD$1004:$AU$1004,1,MATCH(COLUMNS($AD$1006:AD1006),$AD$1006:$AU$1006,0)))),"Fix")))</f>
        <v xml:space="preserve"> </v>
      </c>
      <c r="C340" s="4" t="str">
        <f ca="1">IF(OR(INDEX($X$2:$X$1001,MATCH(ROWS($W$2:W340),$W$2:$W$1001,0),1)&gt;=100000,INDEX($AD$1005:$AU$1005,1,MATCH(COLUMNS($AD$1006:AE1006),$AD$1006:$AU$1006,0))&gt;=100000), " ",IF(INDEX($AD$2:$AU$1001,MATCH(ROWS($W$2:W340),$W$2:$W$1001,0),MATCH(COLUMNS($AD$1006:AE1006),$AD$1006:$AU$1006,0)), HYPERLINK("#",""), HYPERLINK(CONCATENATE("#metadata!", ADDRESS(INDEX($Y$2:$Y$1001,MATCH(ROWS($W$2:W340),$W$2:$W$1001,0),0), INDEX($AD$1004:$AU$1004,1,MATCH(COLUMNS($AD$1006:AE1006),$AD$1006:$AU$1006,0)))),"Fix")))</f>
        <v xml:space="preserve"> </v>
      </c>
      <c r="D340" s="4" t="str">
        <f ca="1">IF(OR(INDEX($X$2:$X$1001,MATCH(ROWS($W$2:W340),$W$2:$W$1001,0),1)&gt;=100000,INDEX($AD$1005:$AU$1005,1,MATCH(COLUMNS($AD$1006:AF1006),$AD$1006:$AU$1006,0))&gt;=100000), " ",IF(INDEX($AD$2:$AU$1001,MATCH(ROWS($W$2:W340),$W$2:$W$1001,0),MATCH(COLUMNS($AD$1006:AF1006),$AD$1006:$AU$1006,0)), HYPERLINK("#",""), HYPERLINK(CONCATENATE("#metadata!", ADDRESS(INDEX($Y$2:$Y$1001,MATCH(ROWS($W$2:W340),$W$2:$W$1001,0),0), INDEX($AD$1004:$AU$1004,1,MATCH(COLUMNS($AD$1006:AF1006),$AD$1006:$AU$1006,0)))),"Fix")))</f>
        <v xml:space="preserve"> </v>
      </c>
      <c r="E340" s="4" t="str">
        <f ca="1">IF(OR(INDEX($X$2:$X$1001,MATCH(ROWS($W$2:W340),$W$2:$W$1001,0),1)&gt;=100000,INDEX($AD$1005:$AU$1005,1,MATCH(COLUMNS($AD$1006:AG1006),$AD$1006:$AU$1006,0))&gt;=100000), " ",IF(INDEX($AD$2:$AU$1001,MATCH(ROWS($W$2:W340),$W$2:$W$1001,0),MATCH(COLUMNS($AD$1006:AG1006),$AD$1006:$AU$1006,0)), HYPERLINK("#",""), HYPERLINK(CONCATENATE("#metadata!", ADDRESS(INDEX($Y$2:$Y$1001,MATCH(ROWS($W$2:W340),$W$2:$W$1001,0),0), INDEX($AD$1004:$AU$1004,1,MATCH(COLUMNS($AD$1006:AG1006),$AD$1006:$AU$1006,0)))),"Fix")))</f>
        <v xml:space="preserve"> </v>
      </c>
      <c r="F340" s="4" t="str">
        <f ca="1">IF(OR(INDEX($X$2:$X$1001,MATCH(ROWS($W$2:W340),$W$2:$W$1001,0),1)&gt;=100000,INDEX($AD$1005:$AU$1005,1,MATCH(COLUMNS($AD$1006:AH1006),$AD$1006:$AU$1006,0))&gt;=100000), " ",IF(INDEX($AD$2:$AU$1001,MATCH(ROWS($W$2:W340),$W$2:$W$1001,0),MATCH(COLUMNS($AD$1006:AH1006),$AD$1006:$AU$1006,0)), HYPERLINK("#",""), HYPERLINK(CONCATENATE("#metadata!", ADDRESS(INDEX($Y$2:$Y$1001,MATCH(ROWS($W$2:W340),$W$2:$W$1001,0),0), INDEX($AD$1004:$AU$1004,1,MATCH(COLUMNS($AD$1006:AH1006),$AD$1006:$AU$1006,0)))),"Fix")))</f>
        <v xml:space="preserve"> </v>
      </c>
      <c r="G340" s="4" t="str">
        <f ca="1">IF(OR(INDEX($X$2:$X$1001,MATCH(ROWS($W$2:W340),$W$2:$W$1001,0),1)&gt;=100000,INDEX($AD$1005:$AU$1005,1,MATCH(COLUMNS($AD$1006:AI1006),$AD$1006:$AU$1006,0))&gt;=100000), " ",IF(INDEX($AD$2:$AU$1001,MATCH(ROWS($W$2:W340),$W$2:$W$1001,0),MATCH(COLUMNS($AD$1006:AI1006),$AD$1006:$AU$1006,0)), HYPERLINK("#",""), HYPERLINK(CONCATENATE("#metadata!", ADDRESS(INDEX($Y$2:$Y$1001,MATCH(ROWS($W$2:W340),$W$2:$W$1001,0),0), INDEX($AD$1004:$AU$1004,1,MATCH(COLUMNS($AD$1006:AI1006),$AD$1006:$AU$1006,0)))),"Fix")))</f>
        <v xml:space="preserve"> </v>
      </c>
      <c r="H340" s="4" t="str">
        <f ca="1">IF(OR(INDEX($X$2:$X$1001,MATCH(ROWS($W$2:W340),$W$2:$W$1001,0),1)&gt;=100000,INDEX($AD$1005:$AU$1005,1,MATCH(COLUMNS($AD$1006:AJ1006),$AD$1006:$AU$1006,0))&gt;=100000), " ",IF(INDEX($AD$2:$AU$1001,MATCH(ROWS($W$2:W340),$W$2:$W$1001,0),MATCH(COLUMNS($AD$1006:AJ1006),$AD$1006:$AU$1006,0)), HYPERLINK("#",""), HYPERLINK(CONCATENATE("#metadata!", ADDRESS(INDEX($Y$2:$Y$1001,MATCH(ROWS($W$2:W340),$W$2:$W$1001,0),0), INDEX($AD$1004:$AU$1004,1,MATCH(COLUMNS($AD$1006:AJ1006),$AD$1006:$AU$1006,0)))),"Fix")))</f>
        <v xml:space="preserve"> </v>
      </c>
      <c r="I340" s="4" t="str">
        <f ca="1">IF(OR(INDEX($X$2:$X$1001,MATCH(ROWS($W$2:W340),$W$2:$W$1001,0),1)&gt;=100000,INDEX($AD$1005:$AU$1005,1,MATCH(COLUMNS($AD$1006:AK1006),$AD$1006:$AU$1006,0))&gt;=100000), " ",IF(INDEX($AD$2:$AU$1001,MATCH(ROWS($W$2:W340),$W$2:$W$1001,0),MATCH(COLUMNS($AD$1006:AK1006),$AD$1006:$AU$1006,0)), HYPERLINK("#",""), HYPERLINK(CONCATENATE("#metadata!", ADDRESS(INDEX($Y$2:$Y$1001,MATCH(ROWS($W$2:W340),$W$2:$W$1001,0),0), INDEX($AD$1004:$AU$1004,1,MATCH(COLUMNS($AD$1006:AK1006),$AD$1006:$AU$1006,0)))),"Fix")))</f>
        <v xml:space="preserve"> </v>
      </c>
      <c r="J340" s="4" t="str">
        <f ca="1">IF(OR(INDEX($X$2:$X$1001,MATCH(ROWS($W$2:W340),$W$2:$W$1001,0),1)&gt;=100000,INDEX($AD$1005:$AU$1005,1,MATCH(COLUMNS($AD$1006:AL1006),$AD$1006:$AU$1006,0))&gt;=100000), " ",IF(INDEX($AD$2:$AU$1001,MATCH(ROWS($W$2:W340),$W$2:$W$1001,0),MATCH(COLUMNS($AD$1006:AL1006),$AD$1006:$AU$1006,0)), HYPERLINK("#",""), HYPERLINK(CONCATENATE("#metadata!", ADDRESS(INDEX($Y$2:$Y$1001,MATCH(ROWS($W$2:W340),$W$2:$W$1001,0),0), INDEX($AD$1004:$AU$1004,1,MATCH(COLUMNS($AD$1006:AL1006),$AD$1006:$AU$1006,0)))),"Fix")))</f>
        <v xml:space="preserve"> </v>
      </c>
      <c r="K340" s="4" t="str">
        <f ca="1">IF(OR(INDEX($X$2:$X$1001,MATCH(ROWS($W$2:W340),$W$2:$W$1001,0),1)&gt;=100000,INDEX($AD$1005:$AU$1005,1,MATCH(COLUMNS($AD$1006:AM1006),$AD$1006:$AU$1006,0))&gt;=100000), " ",IF(INDEX($AD$2:$AU$1001,MATCH(ROWS($W$2:W340),$W$2:$W$1001,0),MATCH(COLUMNS($AD$1006:AM1006),$AD$1006:$AU$1006,0)), HYPERLINK("#",""), HYPERLINK(CONCATENATE("#metadata!", ADDRESS(INDEX($Y$2:$Y$1001,MATCH(ROWS($W$2:W340),$W$2:$W$1001,0),0), INDEX($AD$1004:$AU$1004,1,MATCH(COLUMNS($AD$1006:AM1006),$AD$1006:$AU$1006,0)))),"Fix")))</f>
        <v xml:space="preserve"> </v>
      </c>
      <c r="L340" s="4" t="str">
        <f ca="1">IF(OR(INDEX($X$2:$X$1001,MATCH(ROWS($W$2:W340),$W$2:$W$1001,0),1)&gt;=100000,INDEX($AD$1005:$AU$1005,1,MATCH(COLUMNS($AD$1006:AN1006),$AD$1006:$AU$1006,0))&gt;=100000), " ",IF(INDEX($AD$2:$AU$1001,MATCH(ROWS($W$2:W340),$W$2:$W$1001,0),MATCH(COLUMNS($AD$1006:AN1006),$AD$1006:$AU$1006,0)), HYPERLINK("#",""), HYPERLINK(CONCATENATE("#metadata!", ADDRESS(INDEX($Y$2:$Y$1001,MATCH(ROWS($W$2:W340),$W$2:$W$1001,0),0), INDEX($AD$1004:$AU$1004,1,MATCH(COLUMNS($AD$1006:AN1006),$AD$1006:$AU$1006,0)))),"Fix")))</f>
        <v xml:space="preserve"> </v>
      </c>
      <c r="M340" s="4" t="str">
        <f ca="1">IF(OR(INDEX($X$2:$X$1001,MATCH(ROWS($W$2:W340),$W$2:$W$1001,0),1)&gt;=100000,INDEX($AD$1005:$AU$1005,1,MATCH(COLUMNS($AD$1006:AO1006),$AD$1006:$AU$1006,0))&gt;=100000), " ",IF(INDEX($AD$2:$AU$1001,MATCH(ROWS($W$2:W340),$W$2:$W$1001,0),MATCH(COLUMNS($AD$1006:AO1006),$AD$1006:$AU$1006,0)), HYPERLINK("#",""), HYPERLINK(CONCATENATE("#metadata!", ADDRESS(INDEX($Y$2:$Y$1001,MATCH(ROWS($W$2:W340),$W$2:$W$1001,0),0), INDEX($AD$1004:$AU$1004,1,MATCH(COLUMNS($AD$1006:AO1006),$AD$1006:$AU$1006,0)))),"Fix")))</f>
        <v xml:space="preserve"> </v>
      </c>
      <c r="N340" s="4" t="str">
        <f ca="1">IF(OR(INDEX($X$2:$X$1001,MATCH(ROWS($W$2:W340),$W$2:$W$1001,0),1)&gt;=100000,INDEX($AD$1005:$AU$1005,1,MATCH(COLUMNS($AD$1006:AP1006),$AD$1006:$AU$1006,0))&gt;=100000), " ",IF(INDEX($AD$2:$AU$1001,MATCH(ROWS($W$2:W340),$W$2:$W$1001,0),MATCH(COLUMNS($AD$1006:AP1006),$AD$1006:$AU$1006,0)), HYPERLINK("#",""), HYPERLINK(CONCATENATE("#metadata!", ADDRESS(INDEX($Y$2:$Y$1001,MATCH(ROWS($W$2:W340),$W$2:$W$1001,0),0), INDEX($AD$1004:$AU$1004,1,MATCH(COLUMNS($AD$1006:AP1006),$AD$1006:$AU$1006,0)))),"Fix")))</f>
        <v xml:space="preserve"> </v>
      </c>
      <c r="O340" s="4" t="str">
        <f ca="1">IF(OR(INDEX($X$2:$X$1001,MATCH(ROWS($W$2:W340),$W$2:$W$1001,0),1)&gt;=100000,INDEX($AD$1005:$AU$1005,1,MATCH(COLUMNS($AD$1006:AQ1006),$AD$1006:$AU$1006,0))&gt;=100000), " ",IF(INDEX($AD$2:$AU$1001,MATCH(ROWS($W$2:W340),$W$2:$W$1001,0),MATCH(COLUMNS($AD$1006:AQ1006),$AD$1006:$AU$1006,0)), HYPERLINK("#",""), HYPERLINK(CONCATENATE("#metadata!", ADDRESS(INDEX($Y$2:$Y$1001,MATCH(ROWS($W$2:W340),$W$2:$W$1001,0),0), INDEX($AD$1004:$AU$1004,1,MATCH(COLUMNS($AD$1006:AQ1006),$AD$1006:$AU$1006,0)))),"Fix")))</f>
        <v xml:space="preserve"> </v>
      </c>
      <c r="P340" s="4" t="str">
        <f ca="1">IF(OR(INDEX($X$2:$X$1001,MATCH(ROWS($W$2:W340),$W$2:$W$1001,0),1)&gt;=100000,INDEX($AD$1005:$AU$1005,1,MATCH(COLUMNS($AD$1006:AR1006),$AD$1006:$AU$1006,0))&gt;=100000), " ",IF(INDEX($AD$2:$AU$1001,MATCH(ROWS($W$2:W340),$W$2:$W$1001,0),MATCH(COLUMNS($AD$1006:AR1006),$AD$1006:$AU$1006,0)), HYPERLINK("#",""), HYPERLINK(CONCATENATE("#metadata!", ADDRESS(INDEX($Y$2:$Y$1001,MATCH(ROWS($W$2:W340),$W$2:$W$1001,0),0), INDEX($AD$1004:$AU$1004,1,MATCH(COLUMNS($AD$1006:AR1006),$AD$1006:$AU$1006,0)))),"Fix")))</f>
        <v xml:space="preserve"> </v>
      </c>
      <c r="Q340" s="4" t="str">
        <f ca="1">IF(OR(INDEX($X$2:$X$1001,MATCH(ROWS($W$2:W340),$W$2:$W$1001,0),1)&gt;=100000,INDEX($AD$1005:$AU$1005,1,MATCH(COLUMNS($AD$1006:AS1006),$AD$1006:$AU$1006,0))&gt;=100000), " ",IF(INDEX($AD$2:$AU$1001,MATCH(ROWS($W$2:W340),$W$2:$W$1001,0),MATCH(COLUMNS($AD$1006:AS1006),$AD$1006:$AU$1006,0)), HYPERLINK("#",""), HYPERLINK(CONCATENATE("#metadata!", ADDRESS(INDEX($Y$2:$Y$1001,MATCH(ROWS($W$2:W340),$W$2:$W$1001,0),0), INDEX($AD$1004:$AU$1004,1,MATCH(COLUMNS($AD$1006:AS1006),$AD$1006:$AU$1006,0)))),"Fix")))</f>
        <v xml:space="preserve"> </v>
      </c>
      <c r="R340" s="4" t="str">
        <f ca="1">IF(OR(INDEX($X$2:$X$1001,MATCH(ROWS($W$2:W340),$W$2:$W$1001,0),1)&gt;=100000,INDEX($AD$1005:$AU$1005,1,MATCH(COLUMNS($AD$1006:AT1006),$AD$1006:$AU$1006,0))&gt;=100000), " ",IF(INDEX($AD$2:$AU$1001,MATCH(ROWS($W$2:W340),$W$2:$W$1001,0),MATCH(COLUMNS($AD$1006:AT1006),$AD$1006:$AU$1006,0)), HYPERLINK("#",""), HYPERLINK(CONCATENATE("#metadata!", ADDRESS(INDEX($Y$2:$Y$1001,MATCH(ROWS($W$2:W340),$W$2:$W$1001,0),0), INDEX($AD$1004:$AU$1004,1,MATCH(COLUMNS($AD$1006:AT1006),$AD$1006:$AU$1006,0)))),"Fix")))</f>
        <v xml:space="preserve"> </v>
      </c>
      <c r="S340" s="4" t="str">
        <f ca="1">IF(OR(INDEX($X$2:$X$1001,MATCH(ROWS($W$2:W340),$W$2:$W$1001,0),1)&gt;=100000,INDEX($AD$1005:$AU$1005,1,MATCH(COLUMNS($AD$1006:AU1006),$AD$1006:$AU$1006,0))&gt;=100000), " ",IF(INDEX($AD$2:$AU$1001,MATCH(ROWS($W$2:W340),$W$2:$W$1001,0),MATCH(COLUMNS($AD$1006:AU1006),$AD$1006:$AU$1006,0)), HYPERLINK("#",""), HYPERLINK(CONCATENATE("#metadata!", ADDRESS(INDEX($Y$2:$Y$1001,MATCH(ROWS($W$2:W340),$W$2:$W$1001,0),0), INDEX($AD$1004:$AU$1004,1,MATCH(COLUMNS($AD$1006:AU1006),$AD$1006:$AU$1006,0)))),"Fix")))</f>
        <v xml:space="preserve"> </v>
      </c>
      <c r="W340">
        <v>339</v>
      </c>
      <c r="X340">
        <v>100340</v>
      </c>
      <c r="Y340">
        <v>340</v>
      </c>
      <c r="Z340" t="b">
        <f t="shared" si="5"/>
        <v>1</v>
      </c>
      <c r="AA340" t="b">
        <f>COUNTBLANK(metadata!B340:S340)=COLUMNS(metadata!B340:S340)</f>
        <v>1</v>
      </c>
      <c r="AB340" t="str">
        <v/>
      </c>
      <c r="AD340" t="b">
        <f ca="1">AND(IF(metadata!B340="",FALSE,TRUE),COUNTIF(metadata!B:B, metadata!B340) = 1,NOT(ISERROR(SUMPRODUCT(SEARCH(MID(metadata!B340,ROW(INDIRECT("1:"&amp;LEN(metadata!B340))), 1),"0123456789abcdefghijklmnopqrstuvwxyzABCDEFGHIJKLMNOPQRSTUVWXYZ.")))))</f>
        <v>0</v>
      </c>
      <c r="AE340" t="b">
        <f>OR(AND(IF(metadata!C340="",FALSE,TRUE),OR(EXACT(metadata!C340,"not applicable"),EXACT(metadata!C340,"missing: not collected"),EXACT(metadata!C340,"missing: not provided"),EXACT(metadata!C340,"missing: restricted access"))),AND(IF(metadata!C340="",FALSE,ISNUMBER(VALUE(metadata!C340))),metadata!C340&gt;0))</f>
        <v>0</v>
      </c>
      <c r="AF340" t="b">
        <f>AND(IF(metadata!D340="",FALSE,TRUE),EXACT(metadata!D340,"missing: not provided"))</f>
        <v>0</v>
      </c>
      <c r="AG340" t="b">
        <f>AND(IF(metadata!E340="",FALSE,TRUE),EXACT(metadata!E340,"Host-associated"))</f>
        <v>0</v>
      </c>
      <c r="AH340" t="b">
        <f>AND(IF(metadata!F340="",FALSE,TRUE),OR(EXACT(metadata!F340,"Animal"),EXACT(metadata!F340,"Fungus"),EXACT(metadata!F340,"Plant")))</f>
        <v>0</v>
      </c>
      <c r="AI340" t="b">
        <f>AND(IF(metadata!G340="",FALSE,TRUE),OR(EXACT(metadata!G340,"Plant secretion"),EXACT(metadata!G340,"Plant rhizosphere"),EXACT(metadata!G340,"Plant surface"),EXACT(metadata!G340,"Plant corpus"),EXACT(metadata!G340,"Fungus surface"),EXACT(metadata!G340,"Fungus corpus"),EXACT(metadata!G340,"Animal surface"),EXACT(metadata!G340,"Animal proximal gut"),EXACT(metadata!G340,"Animal corpus"),EXACT(metadata!G340,"Animal distal gut"),EXACT(metadata!G340,"Animal secretion")))</f>
        <v>0</v>
      </c>
      <c r="AJ340" t="b">
        <f>OR(AND(IF(metadata!H340="",FALSE,TRUE),OR(EXACT(metadata!H340,"missing: not collected"),EXACT(metadata!H340,"missing: not provided"),EXACT(metadata!H340,"missing: restricted access"))),AND(IF(metadata!H340="",FALSE,TRUE),OR(EXACT(metadata!H340,"organism-associated habitat"),EXACT(metadata!H340,"plant-associated habitat"),EXACT(metadata!H340,"animal-associated habitat"),EXACT(metadata!H340,"insecta-associated habitat"),EXACT(metadata!H340,"mammalia-associated habitat"),EXACT(metadata!H340,"human-associated habitat"),EXACT(metadata!H340,"livestock-associated habitat"))))</f>
        <v>0</v>
      </c>
      <c r="AK340" t="b">
        <f>AND(IF(metadata!I340="",FALSE,TRUE),EXACT(metadata!I340,"host-associated"))</f>
        <v>0</v>
      </c>
      <c r="AL340" t="b">
        <f>OR(AND(IF(metadata!J340="",FALSE,TRUE),OR(EXACT(metadata!J340,"not applicable"),EXACT(metadata!J340,"missing: not collected"),EXACT(metadata!J340,"missing: not provided"),EXACT(metadata!J340,"missing: restricted access"))),AND(IF(metadata!J340="",FALSE,ISNUMBER(VALUE(metadata!J340))),metadata!J340&gt;0))</f>
        <v>0</v>
      </c>
      <c r="AM340" t="b">
        <f>AND(IF(metadata!K340="",FALSE,TRUE),EXACT(metadata!K340,"missing: not provided"))</f>
        <v>0</v>
      </c>
      <c r="AN340" t="b">
        <f>IF(metadata!L340="",FALSE,TRUE)</f>
        <v>0</v>
      </c>
      <c r="AO340" t="b">
        <f>IF(metadata!M340="",FALSE,TRUE)</f>
        <v>0</v>
      </c>
      <c r="AP340" t="b">
        <f>OR(AND(IF(metadata!N340="",FALSE,TRUE),OR(EXACT(metadata!N340,"not applicable"),EXACT(metadata!N340,"missing: not collected"),EXACT(metadata!N340,"missing: not provided"))),AND(IF(metadata!N340="",FALSE,IF(ISERROR(INT(metadata!N340)),FALSE,INT(metadata!N340)=metadata!N340)),metadata!N340&gt;0))</f>
        <v>0</v>
      </c>
      <c r="AQ340" t="b">
        <f>AND(IF(metadata!O340="",FALSE,TRUE),EXACT(metadata!O340,"Not applicable"))</f>
        <v>0</v>
      </c>
      <c r="AR340" t="b">
        <f>OR(AND(IF(metadata!P340="",FALSE,TRUE),OR(EXACT(metadata!P340,"not applicable"),EXACT(metadata!P340,"missing: not collected"),EXACT(metadata!P340,"missing: not provided"),EXACT(metadata!P340,"missing: restricted access"))),IF(metadata!P340="",FALSE,IF(ISERROR(INT(metadata!P340)),FALSE,INT(metadata!P340)=metadata!P340)))</f>
        <v>0</v>
      </c>
      <c r="AS340" t="b">
        <f>AND(IF(metadata!Q340="",FALSE,TRUE),EXACT(metadata!Q340,"Not applicable"))</f>
        <v>0</v>
      </c>
      <c r="AT340" t="b">
        <f>OR(AND(IF(metadata!R340="",FALSE,TRUE),OR(EXACT(metadata!R340,"not applicable"),EXACT(metadata!R340,"missing: not collected"),EXACT(metadata!R340,"missing: not provided"),EXACT(metadata!R340,"missing: restricted access"))),AND(IF(metadata!R340="",FALSE,ISNUMBER(VALUE(metadata!R340))),metadata!R340&gt;0))</f>
        <v>0</v>
      </c>
      <c r="AU340" t="b">
        <f>AND(IF(metadata!S340="",FALSE,TRUE),EXACT(metadata!S340,"missing: not provided"))</f>
        <v>0</v>
      </c>
    </row>
    <row r="341" spans="1:47" x14ac:dyDescent="0.2">
      <c r="A341" s="5" t="str">
        <f ca="1">IF(B341=" "," ",HYPERLINK(CONCATENATE("#metadata!",ADDRESS(INDEX($Y$2:$Y$1001,MATCH(ROWS($W$2:W341),$W$2:$W$1001,0),0),1)),INDEX($AB$2:$AB$1001,MATCH(ROWS($W$2:W341),$W$2:$W$1001,0),0)))</f>
        <v xml:space="preserve"> </v>
      </c>
      <c r="B341" s="4" t="str">
        <f ca="1">IF(OR(INDEX($X$2:$X$1001,MATCH(ROWS($W$2:W341),$W$2:$W$1001,0),1)&gt;=100000,INDEX($AD$1005:$AU$1005,1,MATCH(COLUMNS($AD$1006:AD1006),$AD$1006:$AU$1006,0))&gt;=100000), " ",IF(INDEX($AD$2:$AU$1001,MATCH(ROWS($W$2:W341),$W$2:$W$1001,0),MATCH(COLUMNS($AD$1006:AD1006),$AD$1006:$AU$1006,0)), HYPERLINK("#",""), HYPERLINK(CONCATENATE("#metadata!", ADDRESS(INDEX($Y$2:$Y$1001,MATCH(ROWS($W$2:W341),$W$2:$W$1001,0),0), INDEX($AD$1004:$AU$1004,1,MATCH(COLUMNS($AD$1006:AD1006),$AD$1006:$AU$1006,0)))),"Fix")))</f>
        <v xml:space="preserve"> </v>
      </c>
      <c r="C341" s="4" t="str">
        <f ca="1">IF(OR(INDEX($X$2:$X$1001,MATCH(ROWS($W$2:W341),$W$2:$W$1001,0),1)&gt;=100000,INDEX($AD$1005:$AU$1005,1,MATCH(COLUMNS($AD$1006:AE1006),$AD$1006:$AU$1006,0))&gt;=100000), " ",IF(INDEX($AD$2:$AU$1001,MATCH(ROWS($W$2:W341),$W$2:$W$1001,0),MATCH(COLUMNS($AD$1006:AE1006),$AD$1006:$AU$1006,0)), HYPERLINK("#",""), HYPERLINK(CONCATENATE("#metadata!", ADDRESS(INDEX($Y$2:$Y$1001,MATCH(ROWS($W$2:W341),$W$2:$W$1001,0),0), INDEX($AD$1004:$AU$1004,1,MATCH(COLUMNS($AD$1006:AE1006),$AD$1006:$AU$1006,0)))),"Fix")))</f>
        <v xml:space="preserve"> </v>
      </c>
      <c r="D341" s="4" t="str">
        <f ca="1">IF(OR(INDEX($X$2:$X$1001,MATCH(ROWS($W$2:W341),$W$2:$W$1001,0),1)&gt;=100000,INDEX($AD$1005:$AU$1005,1,MATCH(COLUMNS($AD$1006:AF1006),$AD$1006:$AU$1006,0))&gt;=100000), " ",IF(INDEX($AD$2:$AU$1001,MATCH(ROWS($W$2:W341),$W$2:$W$1001,0),MATCH(COLUMNS($AD$1006:AF1006),$AD$1006:$AU$1006,0)), HYPERLINK("#",""), HYPERLINK(CONCATENATE("#metadata!", ADDRESS(INDEX($Y$2:$Y$1001,MATCH(ROWS($W$2:W341),$W$2:$W$1001,0),0), INDEX($AD$1004:$AU$1004,1,MATCH(COLUMNS($AD$1006:AF1006),$AD$1006:$AU$1006,0)))),"Fix")))</f>
        <v xml:space="preserve"> </v>
      </c>
      <c r="E341" s="4" t="str">
        <f ca="1">IF(OR(INDEX($X$2:$X$1001,MATCH(ROWS($W$2:W341),$W$2:$W$1001,0),1)&gt;=100000,INDEX($AD$1005:$AU$1005,1,MATCH(COLUMNS($AD$1006:AG1006),$AD$1006:$AU$1006,0))&gt;=100000), " ",IF(INDEX($AD$2:$AU$1001,MATCH(ROWS($W$2:W341),$W$2:$W$1001,0),MATCH(COLUMNS($AD$1006:AG1006),$AD$1006:$AU$1006,0)), HYPERLINK("#",""), HYPERLINK(CONCATENATE("#metadata!", ADDRESS(INDEX($Y$2:$Y$1001,MATCH(ROWS($W$2:W341),$W$2:$W$1001,0),0), INDEX($AD$1004:$AU$1004,1,MATCH(COLUMNS($AD$1006:AG1006),$AD$1006:$AU$1006,0)))),"Fix")))</f>
        <v xml:space="preserve"> </v>
      </c>
      <c r="F341" s="4" t="str">
        <f ca="1">IF(OR(INDEX($X$2:$X$1001,MATCH(ROWS($W$2:W341),$W$2:$W$1001,0),1)&gt;=100000,INDEX($AD$1005:$AU$1005,1,MATCH(COLUMNS($AD$1006:AH1006),$AD$1006:$AU$1006,0))&gt;=100000), " ",IF(INDEX($AD$2:$AU$1001,MATCH(ROWS($W$2:W341),$W$2:$W$1001,0),MATCH(COLUMNS($AD$1006:AH1006),$AD$1006:$AU$1006,0)), HYPERLINK("#",""), HYPERLINK(CONCATENATE("#metadata!", ADDRESS(INDEX($Y$2:$Y$1001,MATCH(ROWS($W$2:W341),$W$2:$W$1001,0),0), INDEX($AD$1004:$AU$1004,1,MATCH(COLUMNS($AD$1006:AH1006),$AD$1006:$AU$1006,0)))),"Fix")))</f>
        <v xml:space="preserve"> </v>
      </c>
      <c r="G341" s="4" t="str">
        <f ca="1">IF(OR(INDEX($X$2:$X$1001,MATCH(ROWS($W$2:W341),$W$2:$W$1001,0),1)&gt;=100000,INDEX($AD$1005:$AU$1005,1,MATCH(COLUMNS($AD$1006:AI1006),$AD$1006:$AU$1006,0))&gt;=100000), " ",IF(INDEX($AD$2:$AU$1001,MATCH(ROWS($W$2:W341),$W$2:$W$1001,0),MATCH(COLUMNS($AD$1006:AI1006),$AD$1006:$AU$1006,0)), HYPERLINK("#",""), HYPERLINK(CONCATENATE("#metadata!", ADDRESS(INDEX($Y$2:$Y$1001,MATCH(ROWS($W$2:W341),$W$2:$W$1001,0),0), INDEX($AD$1004:$AU$1004,1,MATCH(COLUMNS($AD$1006:AI1006),$AD$1006:$AU$1006,0)))),"Fix")))</f>
        <v xml:space="preserve"> </v>
      </c>
      <c r="H341" s="4" t="str">
        <f ca="1">IF(OR(INDEX($X$2:$X$1001,MATCH(ROWS($W$2:W341),$W$2:$W$1001,0),1)&gt;=100000,INDEX($AD$1005:$AU$1005,1,MATCH(COLUMNS($AD$1006:AJ1006),$AD$1006:$AU$1006,0))&gt;=100000), " ",IF(INDEX($AD$2:$AU$1001,MATCH(ROWS($W$2:W341),$W$2:$W$1001,0),MATCH(COLUMNS($AD$1006:AJ1006),$AD$1006:$AU$1006,0)), HYPERLINK("#",""), HYPERLINK(CONCATENATE("#metadata!", ADDRESS(INDEX($Y$2:$Y$1001,MATCH(ROWS($W$2:W341),$W$2:$W$1001,0),0), INDEX($AD$1004:$AU$1004,1,MATCH(COLUMNS($AD$1006:AJ1006),$AD$1006:$AU$1006,0)))),"Fix")))</f>
        <v xml:space="preserve"> </v>
      </c>
      <c r="I341" s="4" t="str">
        <f ca="1">IF(OR(INDEX($X$2:$X$1001,MATCH(ROWS($W$2:W341),$W$2:$W$1001,0),1)&gt;=100000,INDEX($AD$1005:$AU$1005,1,MATCH(COLUMNS($AD$1006:AK1006),$AD$1006:$AU$1006,0))&gt;=100000), " ",IF(INDEX($AD$2:$AU$1001,MATCH(ROWS($W$2:W341),$W$2:$W$1001,0),MATCH(COLUMNS($AD$1006:AK1006),$AD$1006:$AU$1006,0)), HYPERLINK("#",""), HYPERLINK(CONCATENATE("#metadata!", ADDRESS(INDEX($Y$2:$Y$1001,MATCH(ROWS($W$2:W341),$W$2:$W$1001,0),0), INDEX($AD$1004:$AU$1004,1,MATCH(COLUMNS($AD$1006:AK1006),$AD$1006:$AU$1006,0)))),"Fix")))</f>
        <v xml:space="preserve"> </v>
      </c>
      <c r="J341" s="4" t="str">
        <f ca="1">IF(OR(INDEX($X$2:$X$1001,MATCH(ROWS($W$2:W341),$W$2:$W$1001,0),1)&gt;=100000,INDEX($AD$1005:$AU$1005,1,MATCH(COLUMNS($AD$1006:AL1006),$AD$1006:$AU$1006,0))&gt;=100000), " ",IF(INDEX($AD$2:$AU$1001,MATCH(ROWS($W$2:W341),$W$2:$W$1001,0),MATCH(COLUMNS($AD$1006:AL1006),$AD$1006:$AU$1006,0)), HYPERLINK("#",""), HYPERLINK(CONCATENATE("#metadata!", ADDRESS(INDEX($Y$2:$Y$1001,MATCH(ROWS($W$2:W341),$W$2:$W$1001,0),0), INDEX($AD$1004:$AU$1004,1,MATCH(COLUMNS($AD$1006:AL1006),$AD$1006:$AU$1006,0)))),"Fix")))</f>
        <v xml:space="preserve"> </v>
      </c>
      <c r="K341" s="4" t="str">
        <f ca="1">IF(OR(INDEX($X$2:$X$1001,MATCH(ROWS($W$2:W341),$W$2:$W$1001,0),1)&gt;=100000,INDEX($AD$1005:$AU$1005,1,MATCH(COLUMNS($AD$1006:AM1006),$AD$1006:$AU$1006,0))&gt;=100000), " ",IF(INDEX($AD$2:$AU$1001,MATCH(ROWS($W$2:W341),$W$2:$W$1001,0),MATCH(COLUMNS($AD$1006:AM1006),$AD$1006:$AU$1006,0)), HYPERLINK("#",""), HYPERLINK(CONCATENATE("#metadata!", ADDRESS(INDEX($Y$2:$Y$1001,MATCH(ROWS($W$2:W341),$W$2:$W$1001,0),0), INDEX($AD$1004:$AU$1004,1,MATCH(COLUMNS($AD$1006:AM1006),$AD$1006:$AU$1006,0)))),"Fix")))</f>
        <v xml:space="preserve"> </v>
      </c>
      <c r="L341" s="4" t="str">
        <f ca="1">IF(OR(INDEX($X$2:$X$1001,MATCH(ROWS($W$2:W341),$W$2:$W$1001,0),1)&gt;=100000,INDEX($AD$1005:$AU$1005,1,MATCH(COLUMNS($AD$1006:AN1006),$AD$1006:$AU$1006,0))&gt;=100000), " ",IF(INDEX($AD$2:$AU$1001,MATCH(ROWS($W$2:W341),$W$2:$W$1001,0),MATCH(COLUMNS($AD$1006:AN1006),$AD$1006:$AU$1006,0)), HYPERLINK("#",""), HYPERLINK(CONCATENATE("#metadata!", ADDRESS(INDEX($Y$2:$Y$1001,MATCH(ROWS($W$2:W341),$W$2:$W$1001,0),0), INDEX($AD$1004:$AU$1004,1,MATCH(COLUMNS($AD$1006:AN1006),$AD$1006:$AU$1006,0)))),"Fix")))</f>
        <v xml:space="preserve"> </v>
      </c>
      <c r="M341" s="4" t="str">
        <f ca="1">IF(OR(INDEX($X$2:$X$1001,MATCH(ROWS($W$2:W341),$W$2:$W$1001,0),1)&gt;=100000,INDEX($AD$1005:$AU$1005,1,MATCH(COLUMNS($AD$1006:AO1006),$AD$1006:$AU$1006,0))&gt;=100000), " ",IF(INDEX($AD$2:$AU$1001,MATCH(ROWS($W$2:W341),$W$2:$W$1001,0),MATCH(COLUMNS($AD$1006:AO1006),$AD$1006:$AU$1006,0)), HYPERLINK("#",""), HYPERLINK(CONCATENATE("#metadata!", ADDRESS(INDEX($Y$2:$Y$1001,MATCH(ROWS($W$2:W341),$W$2:$W$1001,0),0), INDEX($AD$1004:$AU$1004,1,MATCH(COLUMNS($AD$1006:AO1006),$AD$1006:$AU$1006,0)))),"Fix")))</f>
        <v xml:space="preserve"> </v>
      </c>
      <c r="N341" s="4" t="str">
        <f ca="1">IF(OR(INDEX($X$2:$X$1001,MATCH(ROWS($W$2:W341),$W$2:$W$1001,0),1)&gt;=100000,INDEX($AD$1005:$AU$1005,1,MATCH(COLUMNS($AD$1006:AP1006),$AD$1006:$AU$1006,0))&gt;=100000), " ",IF(INDEX($AD$2:$AU$1001,MATCH(ROWS($W$2:W341),$W$2:$W$1001,0),MATCH(COLUMNS($AD$1006:AP1006),$AD$1006:$AU$1006,0)), HYPERLINK("#",""), HYPERLINK(CONCATENATE("#metadata!", ADDRESS(INDEX($Y$2:$Y$1001,MATCH(ROWS($W$2:W341),$W$2:$W$1001,0),0), INDEX($AD$1004:$AU$1004,1,MATCH(COLUMNS($AD$1006:AP1006),$AD$1006:$AU$1006,0)))),"Fix")))</f>
        <v xml:space="preserve"> </v>
      </c>
      <c r="O341" s="4" t="str">
        <f ca="1">IF(OR(INDEX($X$2:$X$1001,MATCH(ROWS($W$2:W341),$W$2:$W$1001,0),1)&gt;=100000,INDEX($AD$1005:$AU$1005,1,MATCH(COLUMNS($AD$1006:AQ1006),$AD$1006:$AU$1006,0))&gt;=100000), " ",IF(INDEX($AD$2:$AU$1001,MATCH(ROWS($W$2:W341),$W$2:$W$1001,0),MATCH(COLUMNS($AD$1006:AQ1006),$AD$1006:$AU$1006,0)), HYPERLINK("#",""), HYPERLINK(CONCATENATE("#metadata!", ADDRESS(INDEX($Y$2:$Y$1001,MATCH(ROWS($W$2:W341),$W$2:$W$1001,0),0), INDEX($AD$1004:$AU$1004,1,MATCH(COLUMNS($AD$1006:AQ1006),$AD$1006:$AU$1006,0)))),"Fix")))</f>
        <v xml:space="preserve"> </v>
      </c>
      <c r="P341" s="4" t="str">
        <f ca="1">IF(OR(INDEX($X$2:$X$1001,MATCH(ROWS($W$2:W341),$W$2:$W$1001,0),1)&gt;=100000,INDEX($AD$1005:$AU$1005,1,MATCH(COLUMNS($AD$1006:AR1006),$AD$1006:$AU$1006,0))&gt;=100000), " ",IF(INDEX($AD$2:$AU$1001,MATCH(ROWS($W$2:W341),$W$2:$W$1001,0),MATCH(COLUMNS($AD$1006:AR1006),$AD$1006:$AU$1006,0)), HYPERLINK("#",""), HYPERLINK(CONCATENATE("#metadata!", ADDRESS(INDEX($Y$2:$Y$1001,MATCH(ROWS($W$2:W341),$W$2:$W$1001,0),0), INDEX($AD$1004:$AU$1004,1,MATCH(COLUMNS($AD$1006:AR1006),$AD$1006:$AU$1006,0)))),"Fix")))</f>
        <v xml:space="preserve"> </v>
      </c>
      <c r="Q341" s="4" t="str">
        <f ca="1">IF(OR(INDEX($X$2:$X$1001,MATCH(ROWS($W$2:W341),$W$2:$W$1001,0),1)&gt;=100000,INDEX($AD$1005:$AU$1005,1,MATCH(COLUMNS($AD$1006:AS1006),$AD$1006:$AU$1006,0))&gt;=100000), " ",IF(INDEX($AD$2:$AU$1001,MATCH(ROWS($W$2:W341),$W$2:$W$1001,0),MATCH(COLUMNS($AD$1006:AS1006),$AD$1006:$AU$1006,0)), HYPERLINK("#",""), HYPERLINK(CONCATENATE("#metadata!", ADDRESS(INDEX($Y$2:$Y$1001,MATCH(ROWS($W$2:W341),$W$2:$W$1001,0),0), INDEX($AD$1004:$AU$1004,1,MATCH(COLUMNS($AD$1006:AS1006),$AD$1006:$AU$1006,0)))),"Fix")))</f>
        <v xml:space="preserve"> </v>
      </c>
      <c r="R341" s="4" t="str">
        <f ca="1">IF(OR(INDEX($X$2:$X$1001,MATCH(ROWS($W$2:W341),$W$2:$W$1001,0),1)&gt;=100000,INDEX($AD$1005:$AU$1005,1,MATCH(COLUMNS($AD$1006:AT1006),$AD$1006:$AU$1006,0))&gt;=100000), " ",IF(INDEX($AD$2:$AU$1001,MATCH(ROWS($W$2:W341),$W$2:$W$1001,0),MATCH(COLUMNS($AD$1006:AT1006),$AD$1006:$AU$1006,0)), HYPERLINK("#",""), HYPERLINK(CONCATENATE("#metadata!", ADDRESS(INDEX($Y$2:$Y$1001,MATCH(ROWS($W$2:W341),$W$2:$W$1001,0),0), INDEX($AD$1004:$AU$1004,1,MATCH(COLUMNS($AD$1006:AT1006),$AD$1006:$AU$1006,0)))),"Fix")))</f>
        <v xml:space="preserve"> </v>
      </c>
      <c r="S341" s="4" t="str">
        <f ca="1">IF(OR(INDEX($X$2:$X$1001,MATCH(ROWS($W$2:W341),$W$2:$W$1001,0),1)&gt;=100000,INDEX($AD$1005:$AU$1005,1,MATCH(COLUMNS($AD$1006:AU1006),$AD$1006:$AU$1006,0))&gt;=100000), " ",IF(INDEX($AD$2:$AU$1001,MATCH(ROWS($W$2:W341),$W$2:$W$1001,0),MATCH(COLUMNS($AD$1006:AU1006),$AD$1006:$AU$1006,0)), HYPERLINK("#",""), HYPERLINK(CONCATENATE("#metadata!", ADDRESS(INDEX($Y$2:$Y$1001,MATCH(ROWS($W$2:W341),$W$2:$W$1001,0),0), INDEX($AD$1004:$AU$1004,1,MATCH(COLUMNS($AD$1006:AU1006),$AD$1006:$AU$1006,0)))),"Fix")))</f>
        <v xml:space="preserve"> </v>
      </c>
      <c r="W341">
        <v>340</v>
      </c>
      <c r="X341">
        <v>100341</v>
      </c>
      <c r="Y341">
        <v>341</v>
      </c>
      <c r="Z341" t="b">
        <f t="shared" si="5"/>
        <v>1</v>
      </c>
      <c r="AA341" t="b">
        <f>COUNTBLANK(metadata!B341:S341)=COLUMNS(metadata!B341:S341)</f>
        <v>1</v>
      </c>
      <c r="AB341" t="str">
        <v/>
      </c>
      <c r="AD341" t="b">
        <f ca="1">AND(IF(metadata!B341="",FALSE,TRUE),COUNTIF(metadata!B:B, metadata!B341) = 1,NOT(ISERROR(SUMPRODUCT(SEARCH(MID(metadata!B341,ROW(INDIRECT("1:"&amp;LEN(metadata!B341))), 1),"0123456789abcdefghijklmnopqrstuvwxyzABCDEFGHIJKLMNOPQRSTUVWXYZ.")))))</f>
        <v>0</v>
      </c>
      <c r="AE341" t="b">
        <f>OR(AND(IF(metadata!C341="",FALSE,TRUE),OR(EXACT(metadata!C341,"not applicable"),EXACT(metadata!C341,"missing: not collected"),EXACT(metadata!C341,"missing: not provided"),EXACT(metadata!C341,"missing: restricted access"))),AND(IF(metadata!C341="",FALSE,ISNUMBER(VALUE(metadata!C341))),metadata!C341&gt;0))</f>
        <v>0</v>
      </c>
      <c r="AF341" t="b">
        <f>AND(IF(metadata!D341="",FALSE,TRUE),EXACT(metadata!D341,"missing: not provided"))</f>
        <v>0</v>
      </c>
      <c r="AG341" t="b">
        <f>AND(IF(metadata!E341="",FALSE,TRUE),EXACT(metadata!E341,"Host-associated"))</f>
        <v>0</v>
      </c>
      <c r="AH341" t="b">
        <f>AND(IF(metadata!F341="",FALSE,TRUE),OR(EXACT(metadata!F341,"Animal"),EXACT(metadata!F341,"Fungus"),EXACT(metadata!F341,"Plant")))</f>
        <v>0</v>
      </c>
      <c r="AI341" t="b">
        <f>AND(IF(metadata!G341="",FALSE,TRUE),OR(EXACT(metadata!G341,"Plant secretion"),EXACT(metadata!G341,"Plant rhizosphere"),EXACT(metadata!G341,"Plant surface"),EXACT(metadata!G341,"Plant corpus"),EXACT(metadata!G341,"Fungus surface"),EXACT(metadata!G341,"Fungus corpus"),EXACT(metadata!G341,"Animal surface"),EXACT(metadata!G341,"Animal proximal gut"),EXACT(metadata!G341,"Animal corpus"),EXACT(metadata!G341,"Animal distal gut"),EXACT(metadata!G341,"Animal secretion")))</f>
        <v>0</v>
      </c>
      <c r="AJ341" t="b">
        <f>OR(AND(IF(metadata!H341="",FALSE,TRUE),OR(EXACT(metadata!H341,"missing: not collected"),EXACT(metadata!H341,"missing: not provided"),EXACT(metadata!H341,"missing: restricted access"))),AND(IF(metadata!H341="",FALSE,TRUE),OR(EXACT(metadata!H341,"organism-associated habitat"),EXACT(metadata!H341,"plant-associated habitat"),EXACT(metadata!H341,"animal-associated habitat"),EXACT(metadata!H341,"insecta-associated habitat"),EXACT(metadata!H341,"mammalia-associated habitat"),EXACT(metadata!H341,"human-associated habitat"),EXACT(metadata!H341,"livestock-associated habitat"))))</f>
        <v>0</v>
      </c>
      <c r="AK341" t="b">
        <f>AND(IF(metadata!I341="",FALSE,TRUE),EXACT(metadata!I341,"host-associated"))</f>
        <v>0</v>
      </c>
      <c r="AL341" t="b">
        <f>OR(AND(IF(metadata!J341="",FALSE,TRUE),OR(EXACT(metadata!J341,"not applicable"),EXACT(metadata!J341,"missing: not collected"),EXACT(metadata!J341,"missing: not provided"),EXACT(metadata!J341,"missing: restricted access"))),AND(IF(metadata!J341="",FALSE,ISNUMBER(VALUE(metadata!J341))),metadata!J341&gt;0))</f>
        <v>0</v>
      </c>
      <c r="AM341" t="b">
        <f>AND(IF(metadata!K341="",FALSE,TRUE),EXACT(metadata!K341,"missing: not provided"))</f>
        <v>0</v>
      </c>
      <c r="AN341" t="b">
        <f>IF(metadata!L341="",FALSE,TRUE)</f>
        <v>0</v>
      </c>
      <c r="AO341" t="b">
        <f>IF(metadata!M341="",FALSE,TRUE)</f>
        <v>0</v>
      </c>
      <c r="AP341" t="b">
        <f>OR(AND(IF(metadata!N341="",FALSE,TRUE),OR(EXACT(metadata!N341,"not applicable"),EXACT(metadata!N341,"missing: not collected"),EXACT(metadata!N341,"missing: not provided"))),AND(IF(metadata!N341="",FALSE,IF(ISERROR(INT(metadata!N341)),FALSE,INT(metadata!N341)=metadata!N341)),metadata!N341&gt;0))</f>
        <v>0</v>
      </c>
      <c r="AQ341" t="b">
        <f>AND(IF(metadata!O341="",FALSE,TRUE),EXACT(metadata!O341,"Not applicable"))</f>
        <v>0</v>
      </c>
      <c r="AR341" t="b">
        <f>OR(AND(IF(metadata!P341="",FALSE,TRUE),OR(EXACT(metadata!P341,"not applicable"),EXACT(metadata!P341,"missing: not collected"),EXACT(metadata!P341,"missing: not provided"),EXACT(metadata!P341,"missing: restricted access"))),IF(metadata!P341="",FALSE,IF(ISERROR(INT(metadata!P341)),FALSE,INT(metadata!P341)=metadata!P341)))</f>
        <v>0</v>
      </c>
      <c r="AS341" t="b">
        <f>AND(IF(metadata!Q341="",FALSE,TRUE),EXACT(metadata!Q341,"Not applicable"))</f>
        <v>0</v>
      </c>
      <c r="AT341" t="b">
        <f>OR(AND(IF(metadata!R341="",FALSE,TRUE),OR(EXACT(metadata!R341,"not applicable"),EXACT(metadata!R341,"missing: not collected"),EXACT(metadata!R341,"missing: not provided"),EXACT(metadata!R341,"missing: restricted access"))),AND(IF(metadata!R341="",FALSE,ISNUMBER(VALUE(metadata!R341))),metadata!R341&gt;0))</f>
        <v>0</v>
      </c>
      <c r="AU341" t="b">
        <f>AND(IF(metadata!S341="",FALSE,TRUE),EXACT(metadata!S341,"missing: not provided"))</f>
        <v>0</v>
      </c>
    </row>
    <row r="342" spans="1:47" x14ac:dyDescent="0.2">
      <c r="A342" s="5" t="str">
        <f ca="1">IF(B342=" "," ",HYPERLINK(CONCATENATE("#metadata!",ADDRESS(INDEX($Y$2:$Y$1001,MATCH(ROWS($W$2:W342),$W$2:$W$1001,0),0),1)),INDEX($AB$2:$AB$1001,MATCH(ROWS($W$2:W342),$W$2:$W$1001,0),0)))</f>
        <v xml:space="preserve"> </v>
      </c>
      <c r="B342" s="4" t="str">
        <f ca="1">IF(OR(INDEX($X$2:$X$1001,MATCH(ROWS($W$2:W342),$W$2:$W$1001,0),1)&gt;=100000,INDEX($AD$1005:$AU$1005,1,MATCH(COLUMNS($AD$1006:AD1006),$AD$1006:$AU$1006,0))&gt;=100000), " ",IF(INDEX($AD$2:$AU$1001,MATCH(ROWS($W$2:W342),$W$2:$W$1001,0),MATCH(COLUMNS($AD$1006:AD1006),$AD$1006:$AU$1006,0)), HYPERLINK("#",""), HYPERLINK(CONCATENATE("#metadata!", ADDRESS(INDEX($Y$2:$Y$1001,MATCH(ROWS($W$2:W342),$W$2:$W$1001,0),0), INDEX($AD$1004:$AU$1004,1,MATCH(COLUMNS($AD$1006:AD1006),$AD$1006:$AU$1006,0)))),"Fix")))</f>
        <v xml:space="preserve"> </v>
      </c>
      <c r="C342" s="4" t="str">
        <f ca="1">IF(OR(INDEX($X$2:$X$1001,MATCH(ROWS($W$2:W342),$W$2:$W$1001,0),1)&gt;=100000,INDEX($AD$1005:$AU$1005,1,MATCH(COLUMNS($AD$1006:AE1006),$AD$1006:$AU$1006,0))&gt;=100000), " ",IF(INDEX($AD$2:$AU$1001,MATCH(ROWS($W$2:W342),$W$2:$W$1001,0),MATCH(COLUMNS($AD$1006:AE1006),$AD$1006:$AU$1006,0)), HYPERLINK("#",""), HYPERLINK(CONCATENATE("#metadata!", ADDRESS(INDEX($Y$2:$Y$1001,MATCH(ROWS($W$2:W342),$W$2:$W$1001,0),0), INDEX($AD$1004:$AU$1004,1,MATCH(COLUMNS($AD$1006:AE1006),$AD$1006:$AU$1006,0)))),"Fix")))</f>
        <v xml:space="preserve"> </v>
      </c>
      <c r="D342" s="4" t="str">
        <f ca="1">IF(OR(INDEX($X$2:$X$1001,MATCH(ROWS($W$2:W342),$W$2:$W$1001,0),1)&gt;=100000,INDEX($AD$1005:$AU$1005,1,MATCH(COLUMNS($AD$1006:AF1006),$AD$1006:$AU$1006,0))&gt;=100000), " ",IF(INDEX($AD$2:$AU$1001,MATCH(ROWS($W$2:W342),$W$2:$W$1001,0),MATCH(COLUMNS($AD$1006:AF1006),$AD$1006:$AU$1006,0)), HYPERLINK("#",""), HYPERLINK(CONCATENATE("#metadata!", ADDRESS(INDEX($Y$2:$Y$1001,MATCH(ROWS($W$2:W342),$W$2:$W$1001,0),0), INDEX($AD$1004:$AU$1004,1,MATCH(COLUMNS($AD$1006:AF1006),$AD$1006:$AU$1006,0)))),"Fix")))</f>
        <v xml:space="preserve"> </v>
      </c>
      <c r="E342" s="4" t="str">
        <f ca="1">IF(OR(INDEX($X$2:$X$1001,MATCH(ROWS($W$2:W342),$W$2:$W$1001,0),1)&gt;=100000,INDEX($AD$1005:$AU$1005,1,MATCH(COLUMNS($AD$1006:AG1006),$AD$1006:$AU$1006,0))&gt;=100000), " ",IF(INDEX($AD$2:$AU$1001,MATCH(ROWS($W$2:W342),$W$2:$W$1001,0),MATCH(COLUMNS($AD$1006:AG1006),$AD$1006:$AU$1006,0)), HYPERLINK("#",""), HYPERLINK(CONCATENATE("#metadata!", ADDRESS(INDEX($Y$2:$Y$1001,MATCH(ROWS($W$2:W342),$W$2:$W$1001,0),0), INDEX($AD$1004:$AU$1004,1,MATCH(COLUMNS($AD$1006:AG1006),$AD$1006:$AU$1006,0)))),"Fix")))</f>
        <v xml:space="preserve"> </v>
      </c>
      <c r="F342" s="4" t="str">
        <f ca="1">IF(OR(INDEX($X$2:$X$1001,MATCH(ROWS($W$2:W342),$W$2:$W$1001,0),1)&gt;=100000,INDEX($AD$1005:$AU$1005,1,MATCH(COLUMNS($AD$1006:AH1006),$AD$1006:$AU$1006,0))&gt;=100000), " ",IF(INDEX($AD$2:$AU$1001,MATCH(ROWS($W$2:W342),$W$2:$W$1001,0),MATCH(COLUMNS($AD$1006:AH1006),$AD$1006:$AU$1006,0)), HYPERLINK("#",""), HYPERLINK(CONCATENATE("#metadata!", ADDRESS(INDEX($Y$2:$Y$1001,MATCH(ROWS($W$2:W342),$W$2:$W$1001,0),0), INDEX($AD$1004:$AU$1004,1,MATCH(COLUMNS($AD$1006:AH1006),$AD$1006:$AU$1006,0)))),"Fix")))</f>
        <v xml:space="preserve"> </v>
      </c>
      <c r="G342" s="4" t="str">
        <f ca="1">IF(OR(INDEX($X$2:$X$1001,MATCH(ROWS($W$2:W342),$W$2:$W$1001,0),1)&gt;=100000,INDEX($AD$1005:$AU$1005,1,MATCH(COLUMNS($AD$1006:AI1006),$AD$1006:$AU$1006,0))&gt;=100000), " ",IF(INDEX($AD$2:$AU$1001,MATCH(ROWS($W$2:W342),$W$2:$W$1001,0),MATCH(COLUMNS($AD$1006:AI1006),$AD$1006:$AU$1006,0)), HYPERLINK("#",""), HYPERLINK(CONCATENATE("#metadata!", ADDRESS(INDEX($Y$2:$Y$1001,MATCH(ROWS($W$2:W342),$W$2:$W$1001,0),0), INDEX($AD$1004:$AU$1004,1,MATCH(COLUMNS($AD$1006:AI1006),$AD$1006:$AU$1006,0)))),"Fix")))</f>
        <v xml:space="preserve"> </v>
      </c>
      <c r="H342" s="4" t="str">
        <f ca="1">IF(OR(INDEX($X$2:$X$1001,MATCH(ROWS($W$2:W342),$W$2:$W$1001,0),1)&gt;=100000,INDEX($AD$1005:$AU$1005,1,MATCH(COLUMNS($AD$1006:AJ1006),$AD$1006:$AU$1006,0))&gt;=100000), " ",IF(INDEX($AD$2:$AU$1001,MATCH(ROWS($W$2:W342),$W$2:$W$1001,0),MATCH(COLUMNS($AD$1006:AJ1006),$AD$1006:$AU$1006,0)), HYPERLINK("#",""), HYPERLINK(CONCATENATE("#metadata!", ADDRESS(INDEX($Y$2:$Y$1001,MATCH(ROWS($W$2:W342),$W$2:$W$1001,0),0), INDEX($AD$1004:$AU$1004,1,MATCH(COLUMNS($AD$1006:AJ1006),$AD$1006:$AU$1006,0)))),"Fix")))</f>
        <v xml:space="preserve"> </v>
      </c>
      <c r="I342" s="4" t="str">
        <f ca="1">IF(OR(INDEX($X$2:$X$1001,MATCH(ROWS($W$2:W342),$W$2:$W$1001,0),1)&gt;=100000,INDEX($AD$1005:$AU$1005,1,MATCH(COLUMNS($AD$1006:AK1006),$AD$1006:$AU$1006,0))&gt;=100000), " ",IF(INDEX($AD$2:$AU$1001,MATCH(ROWS($W$2:W342),$W$2:$W$1001,0),MATCH(COLUMNS($AD$1006:AK1006),$AD$1006:$AU$1006,0)), HYPERLINK("#",""), HYPERLINK(CONCATENATE("#metadata!", ADDRESS(INDEX($Y$2:$Y$1001,MATCH(ROWS($W$2:W342),$W$2:$W$1001,0),0), INDEX($AD$1004:$AU$1004,1,MATCH(COLUMNS($AD$1006:AK1006),$AD$1006:$AU$1006,0)))),"Fix")))</f>
        <v xml:space="preserve"> </v>
      </c>
      <c r="J342" s="4" t="str">
        <f ca="1">IF(OR(INDEX($X$2:$X$1001,MATCH(ROWS($W$2:W342),$W$2:$W$1001,0),1)&gt;=100000,INDEX($AD$1005:$AU$1005,1,MATCH(COLUMNS($AD$1006:AL1006),$AD$1006:$AU$1006,0))&gt;=100000), " ",IF(INDEX($AD$2:$AU$1001,MATCH(ROWS($W$2:W342),$W$2:$W$1001,0),MATCH(COLUMNS($AD$1006:AL1006),$AD$1006:$AU$1006,0)), HYPERLINK("#",""), HYPERLINK(CONCATENATE("#metadata!", ADDRESS(INDEX($Y$2:$Y$1001,MATCH(ROWS($W$2:W342),$W$2:$W$1001,0),0), INDEX($AD$1004:$AU$1004,1,MATCH(COLUMNS($AD$1006:AL1006),$AD$1006:$AU$1006,0)))),"Fix")))</f>
        <v xml:space="preserve"> </v>
      </c>
      <c r="K342" s="4" t="str">
        <f ca="1">IF(OR(INDEX($X$2:$X$1001,MATCH(ROWS($W$2:W342),$W$2:$W$1001,0),1)&gt;=100000,INDEX($AD$1005:$AU$1005,1,MATCH(COLUMNS($AD$1006:AM1006),$AD$1006:$AU$1006,0))&gt;=100000), " ",IF(INDEX($AD$2:$AU$1001,MATCH(ROWS($W$2:W342),$W$2:$W$1001,0),MATCH(COLUMNS($AD$1006:AM1006),$AD$1006:$AU$1006,0)), HYPERLINK("#",""), HYPERLINK(CONCATENATE("#metadata!", ADDRESS(INDEX($Y$2:$Y$1001,MATCH(ROWS($W$2:W342),$W$2:$W$1001,0),0), INDEX($AD$1004:$AU$1004,1,MATCH(COLUMNS($AD$1006:AM1006),$AD$1006:$AU$1006,0)))),"Fix")))</f>
        <v xml:space="preserve"> </v>
      </c>
      <c r="L342" s="4" t="str">
        <f ca="1">IF(OR(INDEX($X$2:$X$1001,MATCH(ROWS($W$2:W342),$W$2:$W$1001,0),1)&gt;=100000,INDEX($AD$1005:$AU$1005,1,MATCH(COLUMNS($AD$1006:AN1006),$AD$1006:$AU$1006,0))&gt;=100000), " ",IF(INDEX($AD$2:$AU$1001,MATCH(ROWS($W$2:W342),$W$2:$W$1001,0),MATCH(COLUMNS($AD$1006:AN1006),$AD$1006:$AU$1006,0)), HYPERLINK("#",""), HYPERLINK(CONCATENATE("#metadata!", ADDRESS(INDEX($Y$2:$Y$1001,MATCH(ROWS($W$2:W342),$W$2:$W$1001,0),0), INDEX($AD$1004:$AU$1004,1,MATCH(COLUMNS($AD$1006:AN1006),$AD$1006:$AU$1006,0)))),"Fix")))</f>
        <v xml:space="preserve"> </v>
      </c>
      <c r="M342" s="4" t="str">
        <f ca="1">IF(OR(INDEX($X$2:$X$1001,MATCH(ROWS($W$2:W342),$W$2:$W$1001,0),1)&gt;=100000,INDEX($AD$1005:$AU$1005,1,MATCH(COLUMNS($AD$1006:AO1006),$AD$1006:$AU$1006,0))&gt;=100000), " ",IF(INDEX($AD$2:$AU$1001,MATCH(ROWS($W$2:W342),$W$2:$W$1001,0),MATCH(COLUMNS($AD$1006:AO1006),$AD$1006:$AU$1006,0)), HYPERLINK("#",""), HYPERLINK(CONCATENATE("#metadata!", ADDRESS(INDEX($Y$2:$Y$1001,MATCH(ROWS($W$2:W342),$W$2:$W$1001,0),0), INDEX($AD$1004:$AU$1004,1,MATCH(COLUMNS($AD$1006:AO1006),$AD$1006:$AU$1006,0)))),"Fix")))</f>
        <v xml:space="preserve"> </v>
      </c>
      <c r="N342" s="4" t="str">
        <f ca="1">IF(OR(INDEX($X$2:$X$1001,MATCH(ROWS($W$2:W342),$W$2:$W$1001,0),1)&gt;=100000,INDEX($AD$1005:$AU$1005,1,MATCH(COLUMNS($AD$1006:AP1006),$AD$1006:$AU$1006,0))&gt;=100000), " ",IF(INDEX($AD$2:$AU$1001,MATCH(ROWS($W$2:W342),$W$2:$W$1001,0),MATCH(COLUMNS($AD$1006:AP1006),$AD$1006:$AU$1006,0)), HYPERLINK("#",""), HYPERLINK(CONCATENATE("#metadata!", ADDRESS(INDEX($Y$2:$Y$1001,MATCH(ROWS($W$2:W342),$W$2:$W$1001,0),0), INDEX($AD$1004:$AU$1004,1,MATCH(COLUMNS($AD$1006:AP1006),$AD$1006:$AU$1006,0)))),"Fix")))</f>
        <v xml:space="preserve"> </v>
      </c>
      <c r="O342" s="4" t="str">
        <f ca="1">IF(OR(INDEX($X$2:$X$1001,MATCH(ROWS($W$2:W342),$W$2:$W$1001,0),1)&gt;=100000,INDEX($AD$1005:$AU$1005,1,MATCH(COLUMNS($AD$1006:AQ1006),$AD$1006:$AU$1006,0))&gt;=100000), " ",IF(INDEX($AD$2:$AU$1001,MATCH(ROWS($W$2:W342),$W$2:$W$1001,0),MATCH(COLUMNS($AD$1006:AQ1006),$AD$1006:$AU$1006,0)), HYPERLINK("#",""), HYPERLINK(CONCATENATE("#metadata!", ADDRESS(INDEX($Y$2:$Y$1001,MATCH(ROWS($W$2:W342),$W$2:$W$1001,0),0), INDEX($AD$1004:$AU$1004,1,MATCH(COLUMNS($AD$1006:AQ1006),$AD$1006:$AU$1006,0)))),"Fix")))</f>
        <v xml:space="preserve"> </v>
      </c>
      <c r="P342" s="4" t="str">
        <f ca="1">IF(OR(INDEX($X$2:$X$1001,MATCH(ROWS($W$2:W342),$W$2:$W$1001,0),1)&gt;=100000,INDEX($AD$1005:$AU$1005,1,MATCH(COLUMNS($AD$1006:AR1006),$AD$1006:$AU$1006,0))&gt;=100000), " ",IF(INDEX($AD$2:$AU$1001,MATCH(ROWS($W$2:W342),$W$2:$W$1001,0),MATCH(COLUMNS($AD$1006:AR1006),$AD$1006:$AU$1006,0)), HYPERLINK("#",""), HYPERLINK(CONCATENATE("#metadata!", ADDRESS(INDEX($Y$2:$Y$1001,MATCH(ROWS($W$2:W342),$W$2:$W$1001,0),0), INDEX($AD$1004:$AU$1004,1,MATCH(COLUMNS($AD$1006:AR1006),$AD$1006:$AU$1006,0)))),"Fix")))</f>
        <v xml:space="preserve"> </v>
      </c>
      <c r="Q342" s="4" t="str">
        <f ca="1">IF(OR(INDEX($X$2:$X$1001,MATCH(ROWS($W$2:W342),$W$2:$W$1001,0),1)&gt;=100000,INDEX($AD$1005:$AU$1005,1,MATCH(COLUMNS($AD$1006:AS1006),$AD$1006:$AU$1006,0))&gt;=100000), " ",IF(INDEX($AD$2:$AU$1001,MATCH(ROWS($W$2:W342),$W$2:$W$1001,0),MATCH(COLUMNS($AD$1006:AS1006),$AD$1006:$AU$1006,0)), HYPERLINK("#",""), HYPERLINK(CONCATENATE("#metadata!", ADDRESS(INDEX($Y$2:$Y$1001,MATCH(ROWS($W$2:W342),$W$2:$W$1001,0),0), INDEX($AD$1004:$AU$1004,1,MATCH(COLUMNS($AD$1006:AS1006),$AD$1006:$AU$1006,0)))),"Fix")))</f>
        <v xml:space="preserve"> </v>
      </c>
      <c r="R342" s="4" t="str">
        <f ca="1">IF(OR(INDEX($X$2:$X$1001,MATCH(ROWS($W$2:W342),$W$2:$W$1001,0),1)&gt;=100000,INDEX($AD$1005:$AU$1005,1,MATCH(COLUMNS($AD$1006:AT1006),$AD$1006:$AU$1006,0))&gt;=100000), " ",IF(INDEX($AD$2:$AU$1001,MATCH(ROWS($W$2:W342),$W$2:$W$1001,0),MATCH(COLUMNS($AD$1006:AT1006),$AD$1006:$AU$1006,0)), HYPERLINK("#",""), HYPERLINK(CONCATENATE("#metadata!", ADDRESS(INDEX($Y$2:$Y$1001,MATCH(ROWS($W$2:W342),$W$2:$W$1001,0),0), INDEX($AD$1004:$AU$1004,1,MATCH(COLUMNS($AD$1006:AT1006),$AD$1006:$AU$1006,0)))),"Fix")))</f>
        <v xml:space="preserve"> </v>
      </c>
      <c r="S342" s="4" t="str">
        <f ca="1">IF(OR(INDEX($X$2:$X$1001,MATCH(ROWS($W$2:W342),$W$2:$W$1001,0),1)&gt;=100000,INDEX($AD$1005:$AU$1005,1,MATCH(COLUMNS($AD$1006:AU1006),$AD$1006:$AU$1006,0))&gt;=100000), " ",IF(INDEX($AD$2:$AU$1001,MATCH(ROWS($W$2:W342),$W$2:$W$1001,0),MATCH(COLUMNS($AD$1006:AU1006),$AD$1006:$AU$1006,0)), HYPERLINK("#",""), HYPERLINK(CONCATENATE("#metadata!", ADDRESS(INDEX($Y$2:$Y$1001,MATCH(ROWS($W$2:W342),$W$2:$W$1001,0),0), INDEX($AD$1004:$AU$1004,1,MATCH(COLUMNS($AD$1006:AU1006),$AD$1006:$AU$1006,0)))),"Fix")))</f>
        <v xml:space="preserve"> </v>
      </c>
      <c r="W342">
        <v>341</v>
      </c>
      <c r="X342">
        <v>100342</v>
      </c>
      <c r="Y342">
        <v>342</v>
      </c>
      <c r="Z342" t="b">
        <f t="shared" si="5"/>
        <v>1</v>
      </c>
      <c r="AA342" t="b">
        <f>COUNTBLANK(metadata!B342:S342)=COLUMNS(metadata!B342:S342)</f>
        <v>1</v>
      </c>
      <c r="AB342" t="str">
        <v/>
      </c>
      <c r="AD342" t="b">
        <f ca="1">AND(IF(metadata!B342="",FALSE,TRUE),COUNTIF(metadata!B:B, metadata!B342) = 1,NOT(ISERROR(SUMPRODUCT(SEARCH(MID(metadata!B342,ROW(INDIRECT("1:"&amp;LEN(metadata!B342))), 1),"0123456789abcdefghijklmnopqrstuvwxyzABCDEFGHIJKLMNOPQRSTUVWXYZ.")))))</f>
        <v>0</v>
      </c>
      <c r="AE342" t="b">
        <f>OR(AND(IF(metadata!C342="",FALSE,TRUE),OR(EXACT(metadata!C342,"not applicable"),EXACT(metadata!C342,"missing: not collected"),EXACT(metadata!C342,"missing: not provided"),EXACT(metadata!C342,"missing: restricted access"))),AND(IF(metadata!C342="",FALSE,ISNUMBER(VALUE(metadata!C342))),metadata!C342&gt;0))</f>
        <v>0</v>
      </c>
      <c r="AF342" t="b">
        <f>AND(IF(metadata!D342="",FALSE,TRUE),EXACT(metadata!D342,"missing: not provided"))</f>
        <v>0</v>
      </c>
      <c r="AG342" t="b">
        <f>AND(IF(metadata!E342="",FALSE,TRUE),EXACT(metadata!E342,"Host-associated"))</f>
        <v>0</v>
      </c>
      <c r="AH342" t="b">
        <f>AND(IF(metadata!F342="",FALSE,TRUE),OR(EXACT(metadata!F342,"Animal"),EXACT(metadata!F342,"Fungus"),EXACT(metadata!F342,"Plant")))</f>
        <v>0</v>
      </c>
      <c r="AI342" t="b">
        <f>AND(IF(metadata!G342="",FALSE,TRUE),OR(EXACT(metadata!G342,"Plant secretion"),EXACT(metadata!G342,"Plant rhizosphere"),EXACT(metadata!G342,"Plant surface"),EXACT(metadata!G342,"Plant corpus"),EXACT(metadata!G342,"Fungus surface"),EXACT(metadata!G342,"Fungus corpus"),EXACT(metadata!G342,"Animal surface"),EXACT(metadata!G342,"Animal proximal gut"),EXACT(metadata!G342,"Animal corpus"),EXACT(metadata!G342,"Animal distal gut"),EXACT(metadata!G342,"Animal secretion")))</f>
        <v>0</v>
      </c>
      <c r="AJ342" t="b">
        <f>OR(AND(IF(metadata!H342="",FALSE,TRUE),OR(EXACT(metadata!H342,"missing: not collected"),EXACT(metadata!H342,"missing: not provided"),EXACT(metadata!H342,"missing: restricted access"))),AND(IF(metadata!H342="",FALSE,TRUE),OR(EXACT(metadata!H342,"organism-associated habitat"),EXACT(metadata!H342,"plant-associated habitat"),EXACT(metadata!H342,"animal-associated habitat"),EXACT(metadata!H342,"insecta-associated habitat"),EXACT(metadata!H342,"mammalia-associated habitat"),EXACT(metadata!H342,"human-associated habitat"),EXACT(metadata!H342,"livestock-associated habitat"))))</f>
        <v>0</v>
      </c>
      <c r="AK342" t="b">
        <f>AND(IF(metadata!I342="",FALSE,TRUE),EXACT(metadata!I342,"host-associated"))</f>
        <v>0</v>
      </c>
      <c r="AL342" t="b">
        <f>OR(AND(IF(metadata!J342="",FALSE,TRUE),OR(EXACT(metadata!J342,"not applicable"),EXACT(metadata!J342,"missing: not collected"),EXACT(metadata!J342,"missing: not provided"),EXACT(metadata!J342,"missing: restricted access"))),AND(IF(metadata!J342="",FALSE,ISNUMBER(VALUE(metadata!J342))),metadata!J342&gt;0))</f>
        <v>0</v>
      </c>
      <c r="AM342" t="b">
        <f>AND(IF(metadata!K342="",FALSE,TRUE),EXACT(metadata!K342,"missing: not provided"))</f>
        <v>0</v>
      </c>
      <c r="AN342" t="b">
        <f>IF(metadata!L342="",FALSE,TRUE)</f>
        <v>0</v>
      </c>
      <c r="AO342" t="b">
        <f>IF(metadata!M342="",FALSE,TRUE)</f>
        <v>0</v>
      </c>
      <c r="AP342" t="b">
        <f>OR(AND(IF(metadata!N342="",FALSE,TRUE),OR(EXACT(metadata!N342,"not applicable"),EXACT(metadata!N342,"missing: not collected"),EXACT(metadata!N342,"missing: not provided"))),AND(IF(metadata!N342="",FALSE,IF(ISERROR(INT(metadata!N342)),FALSE,INT(metadata!N342)=metadata!N342)),metadata!N342&gt;0))</f>
        <v>0</v>
      </c>
      <c r="AQ342" t="b">
        <f>AND(IF(metadata!O342="",FALSE,TRUE),EXACT(metadata!O342,"Not applicable"))</f>
        <v>0</v>
      </c>
      <c r="AR342" t="b">
        <f>OR(AND(IF(metadata!P342="",FALSE,TRUE),OR(EXACT(metadata!P342,"not applicable"),EXACT(metadata!P342,"missing: not collected"),EXACT(metadata!P342,"missing: not provided"),EXACT(metadata!P342,"missing: restricted access"))),IF(metadata!P342="",FALSE,IF(ISERROR(INT(metadata!P342)),FALSE,INT(metadata!P342)=metadata!P342)))</f>
        <v>0</v>
      </c>
      <c r="AS342" t="b">
        <f>AND(IF(metadata!Q342="",FALSE,TRUE),EXACT(metadata!Q342,"Not applicable"))</f>
        <v>0</v>
      </c>
      <c r="AT342" t="b">
        <f>OR(AND(IF(metadata!R342="",FALSE,TRUE),OR(EXACT(metadata!R342,"not applicable"),EXACT(metadata!R342,"missing: not collected"),EXACT(metadata!R342,"missing: not provided"),EXACT(metadata!R342,"missing: restricted access"))),AND(IF(metadata!R342="",FALSE,ISNUMBER(VALUE(metadata!R342))),metadata!R342&gt;0))</f>
        <v>0</v>
      </c>
      <c r="AU342" t="b">
        <f>AND(IF(metadata!S342="",FALSE,TRUE),EXACT(metadata!S342,"missing: not provided"))</f>
        <v>0</v>
      </c>
    </row>
    <row r="343" spans="1:47" x14ac:dyDescent="0.2">
      <c r="A343" s="5" t="str">
        <f ca="1">IF(B343=" "," ",HYPERLINK(CONCATENATE("#metadata!",ADDRESS(INDEX($Y$2:$Y$1001,MATCH(ROWS($W$2:W343),$W$2:$W$1001,0),0),1)),INDEX($AB$2:$AB$1001,MATCH(ROWS($W$2:W343),$W$2:$W$1001,0),0)))</f>
        <v xml:space="preserve"> </v>
      </c>
      <c r="B343" s="4" t="str">
        <f ca="1">IF(OR(INDEX($X$2:$X$1001,MATCH(ROWS($W$2:W343),$W$2:$W$1001,0),1)&gt;=100000,INDEX($AD$1005:$AU$1005,1,MATCH(COLUMNS($AD$1006:AD1006),$AD$1006:$AU$1006,0))&gt;=100000), " ",IF(INDEX($AD$2:$AU$1001,MATCH(ROWS($W$2:W343),$W$2:$W$1001,0),MATCH(COLUMNS($AD$1006:AD1006),$AD$1006:$AU$1006,0)), HYPERLINK("#",""), HYPERLINK(CONCATENATE("#metadata!", ADDRESS(INDEX($Y$2:$Y$1001,MATCH(ROWS($W$2:W343),$W$2:$W$1001,0),0), INDEX($AD$1004:$AU$1004,1,MATCH(COLUMNS($AD$1006:AD1006),$AD$1006:$AU$1006,0)))),"Fix")))</f>
        <v xml:space="preserve"> </v>
      </c>
      <c r="C343" s="4" t="str">
        <f ca="1">IF(OR(INDEX($X$2:$X$1001,MATCH(ROWS($W$2:W343),$W$2:$W$1001,0),1)&gt;=100000,INDEX($AD$1005:$AU$1005,1,MATCH(COLUMNS($AD$1006:AE1006),$AD$1006:$AU$1006,0))&gt;=100000), " ",IF(INDEX($AD$2:$AU$1001,MATCH(ROWS($W$2:W343),$W$2:$W$1001,0),MATCH(COLUMNS($AD$1006:AE1006),$AD$1006:$AU$1006,0)), HYPERLINK("#",""), HYPERLINK(CONCATENATE("#metadata!", ADDRESS(INDEX($Y$2:$Y$1001,MATCH(ROWS($W$2:W343),$W$2:$W$1001,0),0), INDEX($AD$1004:$AU$1004,1,MATCH(COLUMNS($AD$1006:AE1006),$AD$1006:$AU$1006,0)))),"Fix")))</f>
        <v xml:space="preserve"> </v>
      </c>
      <c r="D343" s="4" t="str">
        <f ca="1">IF(OR(INDEX($X$2:$X$1001,MATCH(ROWS($W$2:W343),$W$2:$W$1001,0),1)&gt;=100000,INDEX($AD$1005:$AU$1005,1,MATCH(COLUMNS($AD$1006:AF1006),$AD$1006:$AU$1006,0))&gt;=100000), " ",IF(INDEX($AD$2:$AU$1001,MATCH(ROWS($W$2:W343),$W$2:$W$1001,0),MATCH(COLUMNS($AD$1006:AF1006),$AD$1006:$AU$1006,0)), HYPERLINK("#",""), HYPERLINK(CONCATENATE("#metadata!", ADDRESS(INDEX($Y$2:$Y$1001,MATCH(ROWS($W$2:W343),$W$2:$W$1001,0),0), INDEX($AD$1004:$AU$1004,1,MATCH(COLUMNS($AD$1006:AF1006),$AD$1006:$AU$1006,0)))),"Fix")))</f>
        <v xml:space="preserve"> </v>
      </c>
      <c r="E343" s="4" t="str">
        <f ca="1">IF(OR(INDEX($X$2:$X$1001,MATCH(ROWS($W$2:W343),$W$2:$W$1001,0),1)&gt;=100000,INDEX($AD$1005:$AU$1005,1,MATCH(COLUMNS($AD$1006:AG1006),$AD$1006:$AU$1006,0))&gt;=100000), " ",IF(INDEX($AD$2:$AU$1001,MATCH(ROWS($W$2:W343),$W$2:$W$1001,0),MATCH(COLUMNS($AD$1006:AG1006),$AD$1006:$AU$1006,0)), HYPERLINK("#",""), HYPERLINK(CONCATENATE("#metadata!", ADDRESS(INDEX($Y$2:$Y$1001,MATCH(ROWS($W$2:W343),$W$2:$W$1001,0),0), INDEX($AD$1004:$AU$1004,1,MATCH(COLUMNS($AD$1006:AG1006),$AD$1006:$AU$1006,0)))),"Fix")))</f>
        <v xml:space="preserve"> </v>
      </c>
      <c r="F343" s="4" t="str">
        <f ca="1">IF(OR(INDEX($X$2:$X$1001,MATCH(ROWS($W$2:W343),$W$2:$W$1001,0),1)&gt;=100000,INDEX($AD$1005:$AU$1005,1,MATCH(COLUMNS($AD$1006:AH1006),$AD$1006:$AU$1006,0))&gt;=100000), " ",IF(INDEX($AD$2:$AU$1001,MATCH(ROWS($W$2:W343),$W$2:$W$1001,0),MATCH(COLUMNS($AD$1006:AH1006),$AD$1006:$AU$1006,0)), HYPERLINK("#",""), HYPERLINK(CONCATENATE("#metadata!", ADDRESS(INDEX($Y$2:$Y$1001,MATCH(ROWS($W$2:W343),$W$2:$W$1001,0),0), INDEX($AD$1004:$AU$1004,1,MATCH(COLUMNS($AD$1006:AH1006),$AD$1006:$AU$1006,0)))),"Fix")))</f>
        <v xml:space="preserve"> </v>
      </c>
      <c r="G343" s="4" t="str">
        <f ca="1">IF(OR(INDEX($X$2:$X$1001,MATCH(ROWS($W$2:W343),$W$2:$W$1001,0),1)&gt;=100000,INDEX($AD$1005:$AU$1005,1,MATCH(COLUMNS($AD$1006:AI1006),$AD$1006:$AU$1006,0))&gt;=100000), " ",IF(INDEX($AD$2:$AU$1001,MATCH(ROWS($W$2:W343),$W$2:$W$1001,0),MATCH(COLUMNS($AD$1006:AI1006),$AD$1006:$AU$1006,0)), HYPERLINK("#",""), HYPERLINK(CONCATENATE("#metadata!", ADDRESS(INDEX($Y$2:$Y$1001,MATCH(ROWS($W$2:W343),$W$2:$W$1001,0),0), INDEX($AD$1004:$AU$1004,1,MATCH(COLUMNS($AD$1006:AI1006),$AD$1006:$AU$1006,0)))),"Fix")))</f>
        <v xml:space="preserve"> </v>
      </c>
      <c r="H343" s="4" t="str">
        <f ca="1">IF(OR(INDEX($X$2:$X$1001,MATCH(ROWS($W$2:W343),$W$2:$W$1001,0),1)&gt;=100000,INDEX($AD$1005:$AU$1005,1,MATCH(COLUMNS($AD$1006:AJ1006),$AD$1006:$AU$1006,0))&gt;=100000), " ",IF(INDEX($AD$2:$AU$1001,MATCH(ROWS($W$2:W343),$W$2:$W$1001,0),MATCH(COLUMNS($AD$1006:AJ1006),$AD$1006:$AU$1006,0)), HYPERLINK("#",""), HYPERLINK(CONCATENATE("#metadata!", ADDRESS(INDEX($Y$2:$Y$1001,MATCH(ROWS($W$2:W343),$W$2:$W$1001,0),0), INDEX($AD$1004:$AU$1004,1,MATCH(COLUMNS($AD$1006:AJ1006),$AD$1006:$AU$1006,0)))),"Fix")))</f>
        <v xml:space="preserve"> </v>
      </c>
      <c r="I343" s="4" t="str">
        <f ca="1">IF(OR(INDEX($X$2:$X$1001,MATCH(ROWS($W$2:W343),$W$2:$W$1001,0),1)&gt;=100000,INDEX($AD$1005:$AU$1005,1,MATCH(COLUMNS($AD$1006:AK1006),$AD$1006:$AU$1006,0))&gt;=100000), " ",IF(INDEX($AD$2:$AU$1001,MATCH(ROWS($W$2:W343),$W$2:$W$1001,0),MATCH(COLUMNS($AD$1006:AK1006),$AD$1006:$AU$1006,0)), HYPERLINK("#",""), HYPERLINK(CONCATENATE("#metadata!", ADDRESS(INDEX($Y$2:$Y$1001,MATCH(ROWS($W$2:W343),$W$2:$W$1001,0),0), INDEX($AD$1004:$AU$1004,1,MATCH(COLUMNS($AD$1006:AK1006),$AD$1006:$AU$1006,0)))),"Fix")))</f>
        <v xml:space="preserve"> </v>
      </c>
      <c r="J343" s="4" t="str">
        <f ca="1">IF(OR(INDEX($X$2:$X$1001,MATCH(ROWS($W$2:W343),$W$2:$W$1001,0),1)&gt;=100000,INDEX($AD$1005:$AU$1005,1,MATCH(COLUMNS($AD$1006:AL1006),$AD$1006:$AU$1006,0))&gt;=100000), " ",IF(INDEX($AD$2:$AU$1001,MATCH(ROWS($W$2:W343),$W$2:$W$1001,0),MATCH(COLUMNS($AD$1006:AL1006),$AD$1006:$AU$1006,0)), HYPERLINK("#",""), HYPERLINK(CONCATENATE("#metadata!", ADDRESS(INDEX($Y$2:$Y$1001,MATCH(ROWS($W$2:W343),$W$2:$W$1001,0),0), INDEX($AD$1004:$AU$1004,1,MATCH(COLUMNS($AD$1006:AL1006),$AD$1006:$AU$1006,0)))),"Fix")))</f>
        <v xml:space="preserve"> </v>
      </c>
      <c r="K343" s="4" t="str">
        <f ca="1">IF(OR(INDEX($X$2:$X$1001,MATCH(ROWS($W$2:W343),$W$2:$W$1001,0),1)&gt;=100000,INDEX($AD$1005:$AU$1005,1,MATCH(COLUMNS($AD$1006:AM1006),$AD$1006:$AU$1006,0))&gt;=100000), " ",IF(INDEX($AD$2:$AU$1001,MATCH(ROWS($W$2:W343),$W$2:$W$1001,0),MATCH(COLUMNS($AD$1006:AM1006),$AD$1006:$AU$1006,0)), HYPERLINK("#",""), HYPERLINK(CONCATENATE("#metadata!", ADDRESS(INDEX($Y$2:$Y$1001,MATCH(ROWS($W$2:W343),$W$2:$W$1001,0),0), INDEX($AD$1004:$AU$1004,1,MATCH(COLUMNS($AD$1006:AM1006),$AD$1006:$AU$1006,0)))),"Fix")))</f>
        <v xml:space="preserve"> </v>
      </c>
      <c r="L343" s="4" t="str">
        <f ca="1">IF(OR(INDEX($X$2:$X$1001,MATCH(ROWS($W$2:W343),$W$2:$W$1001,0),1)&gt;=100000,INDEX($AD$1005:$AU$1005,1,MATCH(COLUMNS($AD$1006:AN1006),$AD$1006:$AU$1006,0))&gt;=100000), " ",IF(INDEX($AD$2:$AU$1001,MATCH(ROWS($W$2:W343),$W$2:$W$1001,0),MATCH(COLUMNS($AD$1006:AN1006),$AD$1006:$AU$1006,0)), HYPERLINK("#",""), HYPERLINK(CONCATENATE("#metadata!", ADDRESS(INDEX($Y$2:$Y$1001,MATCH(ROWS($W$2:W343),$W$2:$W$1001,0),0), INDEX($AD$1004:$AU$1004,1,MATCH(COLUMNS($AD$1006:AN1006),$AD$1006:$AU$1006,0)))),"Fix")))</f>
        <v xml:space="preserve"> </v>
      </c>
      <c r="M343" s="4" t="str">
        <f ca="1">IF(OR(INDEX($X$2:$X$1001,MATCH(ROWS($W$2:W343),$W$2:$W$1001,0),1)&gt;=100000,INDEX($AD$1005:$AU$1005,1,MATCH(COLUMNS($AD$1006:AO1006),$AD$1006:$AU$1006,0))&gt;=100000), " ",IF(INDEX($AD$2:$AU$1001,MATCH(ROWS($W$2:W343),$W$2:$W$1001,0),MATCH(COLUMNS($AD$1006:AO1006),$AD$1006:$AU$1006,0)), HYPERLINK("#",""), HYPERLINK(CONCATENATE("#metadata!", ADDRESS(INDEX($Y$2:$Y$1001,MATCH(ROWS($W$2:W343),$W$2:$W$1001,0),0), INDEX($AD$1004:$AU$1004,1,MATCH(COLUMNS($AD$1006:AO1006),$AD$1006:$AU$1006,0)))),"Fix")))</f>
        <v xml:space="preserve"> </v>
      </c>
      <c r="N343" s="4" t="str">
        <f ca="1">IF(OR(INDEX($X$2:$X$1001,MATCH(ROWS($W$2:W343),$W$2:$W$1001,0),1)&gt;=100000,INDEX($AD$1005:$AU$1005,1,MATCH(COLUMNS($AD$1006:AP1006),$AD$1006:$AU$1006,0))&gt;=100000), " ",IF(INDEX($AD$2:$AU$1001,MATCH(ROWS($W$2:W343),$W$2:$W$1001,0),MATCH(COLUMNS($AD$1006:AP1006),$AD$1006:$AU$1006,0)), HYPERLINK("#",""), HYPERLINK(CONCATENATE("#metadata!", ADDRESS(INDEX($Y$2:$Y$1001,MATCH(ROWS($W$2:W343),$W$2:$W$1001,0),0), INDEX($AD$1004:$AU$1004,1,MATCH(COLUMNS($AD$1006:AP1006),$AD$1006:$AU$1006,0)))),"Fix")))</f>
        <v xml:space="preserve"> </v>
      </c>
      <c r="O343" s="4" t="str">
        <f ca="1">IF(OR(INDEX($X$2:$X$1001,MATCH(ROWS($W$2:W343),$W$2:$W$1001,0),1)&gt;=100000,INDEX($AD$1005:$AU$1005,1,MATCH(COLUMNS($AD$1006:AQ1006),$AD$1006:$AU$1006,0))&gt;=100000), " ",IF(INDEX($AD$2:$AU$1001,MATCH(ROWS($W$2:W343),$W$2:$W$1001,0),MATCH(COLUMNS($AD$1006:AQ1006),$AD$1006:$AU$1006,0)), HYPERLINK("#",""), HYPERLINK(CONCATENATE("#metadata!", ADDRESS(INDEX($Y$2:$Y$1001,MATCH(ROWS($W$2:W343),$W$2:$W$1001,0),0), INDEX($AD$1004:$AU$1004,1,MATCH(COLUMNS($AD$1006:AQ1006),$AD$1006:$AU$1006,0)))),"Fix")))</f>
        <v xml:space="preserve"> </v>
      </c>
      <c r="P343" s="4" t="str">
        <f ca="1">IF(OR(INDEX($X$2:$X$1001,MATCH(ROWS($W$2:W343),$W$2:$W$1001,0),1)&gt;=100000,INDEX($AD$1005:$AU$1005,1,MATCH(COLUMNS($AD$1006:AR1006),$AD$1006:$AU$1006,0))&gt;=100000), " ",IF(INDEX($AD$2:$AU$1001,MATCH(ROWS($W$2:W343),$W$2:$W$1001,0),MATCH(COLUMNS($AD$1006:AR1006),$AD$1006:$AU$1006,0)), HYPERLINK("#",""), HYPERLINK(CONCATENATE("#metadata!", ADDRESS(INDEX($Y$2:$Y$1001,MATCH(ROWS($W$2:W343),$W$2:$W$1001,0),0), INDEX($AD$1004:$AU$1004,1,MATCH(COLUMNS($AD$1006:AR1006),$AD$1006:$AU$1006,0)))),"Fix")))</f>
        <v xml:space="preserve"> </v>
      </c>
      <c r="Q343" s="4" t="str">
        <f ca="1">IF(OR(INDEX($X$2:$X$1001,MATCH(ROWS($W$2:W343),$W$2:$W$1001,0),1)&gt;=100000,INDEX($AD$1005:$AU$1005,1,MATCH(COLUMNS($AD$1006:AS1006),$AD$1006:$AU$1006,0))&gt;=100000), " ",IF(INDEX($AD$2:$AU$1001,MATCH(ROWS($W$2:W343),$W$2:$W$1001,0),MATCH(COLUMNS($AD$1006:AS1006),$AD$1006:$AU$1006,0)), HYPERLINK("#",""), HYPERLINK(CONCATENATE("#metadata!", ADDRESS(INDEX($Y$2:$Y$1001,MATCH(ROWS($W$2:W343),$W$2:$W$1001,0),0), INDEX($AD$1004:$AU$1004,1,MATCH(COLUMNS($AD$1006:AS1006),$AD$1006:$AU$1006,0)))),"Fix")))</f>
        <v xml:space="preserve"> </v>
      </c>
      <c r="R343" s="4" t="str">
        <f ca="1">IF(OR(INDEX($X$2:$X$1001,MATCH(ROWS($W$2:W343),$W$2:$W$1001,0),1)&gt;=100000,INDEX($AD$1005:$AU$1005,1,MATCH(COLUMNS($AD$1006:AT1006),$AD$1006:$AU$1006,0))&gt;=100000), " ",IF(INDEX($AD$2:$AU$1001,MATCH(ROWS($W$2:W343),$W$2:$W$1001,0),MATCH(COLUMNS($AD$1006:AT1006),$AD$1006:$AU$1006,0)), HYPERLINK("#",""), HYPERLINK(CONCATENATE("#metadata!", ADDRESS(INDEX($Y$2:$Y$1001,MATCH(ROWS($W$2:W343),$W$2:$W$1001,0),0), INDEX($AD$1004:$AU$1004,1,MATCH(COLUMNS($AD$1006:AT1006),$AD$1006:$AU$1006,0)))),"Fix")))</f>
        <v xml:space="preserve"> </v>
      </c>
      <c r="S343" s="4" t="str">
        <f ca="1">IF(OR(INDEX($X$2:$X$1001,MATCH(ROWS($W$2:W343),$W$2:$W$1001,0),1)&gt;=100000,INDEX($AD$1005:$AU$1005,1,MATCH(COLUMNS($AD$1006:AU1006),$AD$1006:$AU$1006,0))&gt;=100000), " ",IF(INDEX($AD$2:$AU$1001,MATCH(ROWS($W$2:W343),$W$2:$W$1001,0),MATCH(COLUMNS($AD$1006:AU1006),$AD$1006:$AU$1006,0)), HYPERLINK("#",""), HYPERLINK(CONCATENATE("#metadata!", ADDRESS(INDEX($Y$2:$Y$1001,MATCH(ROWS($W$2:W343),$W$2:$W$1001,0),0), INDEX($AD$1004:$AU$1004,1,MATCH(COLUMNS($AD$1006:AU1006),$AD$1006:$AU$1006,0)))),"Fix")))</f>
        <v xml:space="preserve"> </v>
      </c>
      <c r="W343">
        <v>342</v>
      </c>
      <c r="X343">
        <v>100343</v>
      </c>
      <c r="Y343">
        <v>343</v>
      </c>
      <c r="Z343" t="b">
        <f t="shared" si="5"/>
        <v>1</v>
      </c>
      <c r="AA343" t="b">
        <f>COUNTBLANK(metadata!B343:S343)=COLUMNS(metadata!B343:S343)</f>
        <v>1</v>
      </c>
      <c r="AB343" t="str">
        <v/>
      </c>
      <c r="AD343" t="b">
        <f ca="1">AND(IF(metadata!B343="",FALSE,TRUE),COUNTIF(metadata!B:B, metadata!B343) = 1,NOT(ISERROR(SUMPRODUCT(SEARCH(MID(metadata!B343,ROW(INDIRECT("1:"&amp;LEN(metadata!B343))), 1),"0123456789abcdefghijklmnopqrstuvwxyzABCDEFGHIJKLMNOPQRSTUVWXYZ.")))))</f>
        <v>0</v>
      </c>
      <c r="AE343" t="b">
        <f>OR(AND(IF(metadata!C343="",FALSE,TRUE),OR(EXACT(metadata!C343,"not applicable"),EXACT(metadata!C343,"missing: not collected"),EXACT(metadata!C343,"missing: not provided"),EXACT(metadata!C343,"missing: restricted access"))),AND(IF(metadata!C343="",FALSE,ISNUMBER(VALUE(metadata!C343))),metadata!C343&gt;0))</f>
        <v>0</v>
      </c>
      <c r="AF343" t="b">
        <f>AND(IF(metadata!D343="",FALSE,TRUE),EXACT(metadata!D343,"missing: not provided"))</f>
        <v>0</v>
      </c>
      <c r="AG343" t="b">
        <f>AND(IF(metadata!E343="",FALSE,TRUE),EXACT(metadata!E343,"Host-associated"))</f>
        <v>0</v>
      </c>
      <c r="AH343" t="b">
        <f>AND(IF(metadata!F343="",FALSE,TRUE),OR(EXACT(metadata!F343,"Animal"),EXACT(metadata!F343,"Fungus"),EXACT(metadata!F343,"Plant")))</f>
        <v>0</v>
      </c>
      <c r="AI343" t="b">
        <f>AND(IF(metadata!G343="",FALSE,TRUE),OR(EXACT(metadata!G343,"Plant secretion"),EXACT(metadata!G343,"Plant rhizosphere"),EXACT(metadata!G343,"Plant surface"),EXACT(metadata!G343,"Plant corpus"),EXACT(metadata!G343,"Fungus surface"),EXACT(metadata!G343,"Fungus corpus"),EXACT(metadata!G343,"Animal surface"),EXACT(metadata!G343,"Animal proximal gut"),EXACT(metadata!G343,"Animal corpus"),EXACT(metadata!G343,"Animal distal gut"),EXACT(metadata!G343,"Animal secretion")))</f>
        <v>0</v>
      </c>
      <c r="AJ343" t="b">
        <f>OR(AND(IF(metadata!H343="",FALSE,TRUE),OR(EXACT(metadata!H343,"missing: not collected"),EXACT(metadata!H343,"missing: not provided"),EXACT(metadata!H343,"missing: restricted access"))),AND(IF(metadata!H343="",FALSE,TRUE),OR(EXACT(metadata!H343,"organism-associated habitat"),EXACT(metadata!H343,"plant-associated habitat"),EXACT(metadata!H343,"animal-associated habitat"),EXACT(metadata!H343,"insecta-associated habitat"),EXACT(metadata!H343,"mammalia-associated habitat"),EXACT(metadata!H343,"human-associated habitat"),EXACT(metadata!H343,"livestock-associated habitat"))))</f>
        <v>0</v>
      </c>
      <c r="AK343" t="b">
        <f>AND(IF(metadata!I343="",FALSE,TRUE),EXACT(metadata!I343,"host-associated"))</f>
        <v>0</v>
      </c>
      <c r="AL343" t="b">
        <f>OR(AND(IF(metadata!J343="",FALSE,TRUE),OR(EXACT(metadata!J343,"not applicable"),EXACT(metadata!J343,"missing: not collected"),EXACT(metadata!J343,"missing: not provided"),EXACT(metadata!J343,"missing: restricted access"))),AND(IF(metadata!J343="",FALSE,ISNUMBER(VALUE(metadata!J343))),metadata!J343&gt;0))</f>
        <v>0</v>
      </c>
      <c r="AM343" t="b">
        <f>AND(IF(metadata!K343="",FALSE,TRUE),EXACT(metadata!K343,"missing: not provided"))</f>
        <v>0</v>
      </c>
      <c r="AN343" t="b">
        <f>IF(metadata!L343="",FALSE,TRUE)</f>
        <v>0</v>
      </c>
      <c r="AO343" t="b">
        <f>IF(metadata!M343="",FALSE,TRUE)</f>
        <v>0</v>
      </c>
      <c r="AP343" t="b">
        <f>OR(AND(IF(metadata!N343="",FALSE,TRUE),OR(EXACT(metadata!N343,"not applicable"),EXACT(metadata!N343,"missing: not collected"),EXACT(metadata!N343,"missing: not provided"))),AND(IF(metadata!N343="",FALSE,IF(ISERROR(INT(metadata!N343)),FALSE,INT(metadata!N343)=metadata!N343)),metadata!N343&gt;0))</f>
        <v>0</v>
      </c>
      <c r="AQ343" t="b">
        <f>AND(IF(metadata!O343="",FALSE,TRUE),EXACT(metadata!O343,"Not applicable"))</f>
        <v>0</v>
      </c>
      <c r="AR343" t="b">
        <f>OR(AND(IF(metadata!P343="",FALSE,TRUE),OR(EXACT(metadata!P343,"not applicable"),EXACT(metadata!P343,"missing: not collected"),EXACT(metadata!P343,"missing: not provided"),EXACT(metadata!P343,"missing: restricted access"))),IF(metadata!P343="",FALSE,IF(ISERROR(INT(metadata!P343)),FALSE,INT(metadata!P343)=metadata!P343)))</f>
        <v>0</v>
      </c>
      <c r="AS343" t="b">
        <f>AND(IF(metadata!Q343="",FALSE,TRUE),EXACT(metadata!Q343,"Not applicable"))</f>
        <v>0</v>
      </c>
      <c r="AT343" t="b">
        <f>OR(AND(IF(metadata!R343="",FALSE,TRUE),OR(EXACT(metadata!R343,"not applicable"),EXACT(metadata!R343,"missing: not collected"),EXACT(metadata!R343,"missing: not provided"),EXACT(metadata!R343,"missing: restricted access"))),AND(IF(metadata!R343="",FALSE,ISNUMBER(VALUE(metadata!R343))),metadata!R343&gt;0))</f>
        <v>0</v>
      </c>
      <c r="AU343" t="b">
        <f>AND(IF(metadata!S343="",FALSE,TRUE),EXACT(metadata!S343,"missing: not provided"))</f>
        <v>0</v>
      </c>
    </row>
    <row r="344" spans="1:47" x14ac:dyDescent="0.2">
      <c r="A344" s="5" t="str">
        <f ca="1">IF(B344=" "," ",HYPERLINK(CONCATENATE("#metadata!",ADDRESS(INDEX($Y$2:$Y$1001,MATCH(ROWS($W$2:W344),$W$2:$W$1001,0),0),1)),INDEX($AB$2:$AB$1001,MATCH(ROWS($W$2:W344),$W$2:$W$1001,0),0)))</f>
        <v xml:space="preserve"> </v>
      </c>
      <c r="B344" s="4" t="str">
        <f ca="1">IF(OR(INDEX($X$2:$X$1001,MATCH(ROWS($W$2:W344),$W$2:$W$1001,0),1)&gt;=100000,INDEX($AD$1005:$AU$1005,1,MATCH(COLUMNS($AD$1006:AD1006),$AD$1006:$AU$1006,0))&gt;=100000), " ",IF(INDEX($AD$2:$AU$1001,MATCH(ROWS($W$2:W344),$W$2:$W$1001,0),MATCH(COLUMNS($AD$1006:AD1006),$AD$1006:$AU$1006,0)), HYPERLINK("#",""), HYPERLINK(CONCATENATE("#metadata!", ADDRESS(INDEX($Y$2:$Y$1001,MATCH(ROWS($W$2:W344),$W$2:$W$1001,0),0), INDEX($AD$1004:$AU$1004,1,MATCH(COLUMNS($AD$1006:AD1006),$AD$1006:$AU$1006,0)))),"Fix")))</f>
        <v xml:space="preserve"> </v>
      </c>
      <c r="C344" s="4" t="str">
        <f ca="1">IF(OR(INDEX($X$2:$X$1001,MATCH(ROWS($W$2:W344),$W$2:$W$1001,0),1)&gt;=100000,INDEX($AD$1005:$AU$1005,1,MATCH(COLUMNS($AD$1006:AE1006),$AD$1006:$AU$1006,0))&gt;=100000), " ",IF(INDEX($AD$2:$AU$1001,MATCH(ROWS($W$2:W344),$W$2:$W$1001,0),MATCH(COLUMNS($AD$1006:AE1006),$AD$1006:$AU$1006,0)), HYPERLINK("#",""), HYPERLINK(CONCATENATE("#metadata!", ADDRESS(INDEX($Y$2:$Y$1001,MATCH(ROWS($W$2:W344),$W$2:$W$1001,0),0), INDEX($AD$1004:$AU$1004,1,MATCH(COLUMNS($AD$1006:AE1006),$AD$1006:$AU$1006,0)))),"Fix")))</f>
        <v xml:space="preserve"> </v>
      </c>
      <c r="D344" s="4" t="str">
        <f ca="1">IF(OR(INDEX($X$2:$X$1001,MATCH(ROWS($W$2:W344),$W$2:$W$1001,0),1)&gt;=100000,INDEX($AD$1005:$AU$1005,1,MATCH(COLUMNS($AD$1006:AF1006),$AD$1006:$AU$1006,0))&gt;=100000), " ",IF(INDEX($AD$2:$AU$1001,MATCH(ROWS($W$2:W344),$W$2:$W$1001,0),MATCH(COLUMNS($AD$1006:AF1006),$AD$1006:$AU$1006,0)), HYPERLINK("#",""), HYPERLINK(CONCATENATE("#metadata!", ADDRESS(INDEX($Y$2:$Y$1001,MATCH(ROWS($W$2:W344),$W$2:$W$1001,0),0), INDEX($AD$1004:$AU$1004,1,MATCH(COLUMNS($AD$1006:AF1006),$AD$1006:$AU$1006,0)))),"Fix")))</f>
        <v xml:space="preserve"> </v>
      </c>
      <c r="E344" s="4" t="str">
        <f ca="1">IF(OR(INDEX($X$2:$X$1001,MATCH(ROWS($W$2:W344),$W$2:$W$1001,0),1)&gt;=100000,INDEX($AD$1005:$AU$1005,1,MATCH(COLUMNS($AD$1006:AG1006),$AD$1006:$AU$1006,0))&gt;=100000), " ",IF(INDEX($AD$2:$AU$1001,MATCH(ROWS($W$2:W344),$W$2:$W$1001,0),MATCH(COLUMNS($AD$1006:AG1006),$AD$1006:$AU$1006,0)), HYPERLINK("#",""), HYPERLINK(CONCATENATE("#metadata!", ADDRESS(INDEX($Y$2:$Y$1001,MATCH(ROWS($W$2:W344),$W$2:$W$1001,0),0), INDEX($AD$1004:$AU$1004,1,MATCH(COLUMNS($AD$1006:AG1006),$AD$1006:$AU$1006,0)))),"Fix")))</f>
        <v xml:space="preserve"> </v>
      </c>
      <c r="F344" s="4" t="str">
        <f ca="1">IF(OR(INDEX($X$2:$X$1001,MATCH(ROWS($W$2:W344),$W$2:$W$1001,0),1)&gt;=100000,INDEX($AD$1005:$AU$1005,1,MATCH(COLUMNS($AD$1006:AH1006),$AD$1006:$AU$1006,0))&gt;=100000), " ",IF(INDEX($AD$2:$AU$1001,MATCH(ROWS($W$2:W344),$W$2:$W$1001,0),MATCH(COLUMNS($AD$1006:AH1006),$AD$1006:$AU$1006,0)), HYPERLINK("#",""), HYPERLINK(CONCATENATE("#metadata!", ADDRESS(INDEX($Y$2:$Y$1001,MATCH(ROWS($W$2:W344),$W$2:$W$1001,0),0), INDEX($AD$1004:$AU$1004,1,MATCH(COLUMNS($AD$1006:AH1006),$AD$1006:$AU$1006,0)))),"Fix")))</f>
        <v xml:space="preserve"> </v>
      </c>
      <c r="G344" s="4" t="str">
        <f ca="1">IF(OR(INDEX($X$2:$X$1001,MATCH(ROWS($W$2:W344),$W$2:$W$1001,0),1)&gt;=100000,INDEX($AD$1005:$AU$1005,1,MATCH(COLUMNS($AD$1006:AI1006),$AD$1006:$AU$1006,0))&gt;=100000), " ",IF(INDEX($AD$2:$AU$1001,MATCH(ROWS($W$2:W344),$W$2:$W$1001,0),MATCH(COLUMNS($AD$1006:AI1006),$AD$1006:$AU$1006,0)), HYPERLINK("#",""), HYPERLINK(CONCATENATE("#metadata!", ADDRESS(INDEX($Y$2:$Y$1001,MATCH(ROWS($W$2:W344),$W$2:$W$1001,0),0), INDEX($AD$1004:$AU$1004,1,MATCH(COLUMNS($AD$1006:AI1006),$AD$1006:$AU$1006,0)))),"Fix")))</f>
        <v xml:space="preserve"> </v>
      </c>
      <c r="H344" s="4" t="str">
        <f ca="1">IF(OR(INDEX($X$2:$X$1001,MATCH(ROWS($W$2:W344),$W$2:$W$1001,0),1)&gt;=100000,INDEX($AD$1005:$AU$1005,1,MATCH(COLUMNS($AD$1006:AJ1006),$AD$1006:$AU$1006,0))&gt;=100000), " ",IF(INDEX($AD$2:$AU$1001,MATCH(ROWS($W$2:W344),$W$2:$W$1001,0),MATCH(COLUMNS($AD$1006:AJ1006),$AD$1006:$AU$1006,0)), HYPERLINK("#",""), HYPERLINK(CONCATENATE("#metadata!", ADDRESS(INDEX($Y$2:$Y$1001,MATCH(ROWS($W$2:W344),$W$2:$W$1001,0),0), INDEX($AD$1004:$AU$1004,1,MATCH(COLUMNS($AD$1006:AJ1006),$AD$1006:$AU$1006,0)))),"Fix")))</f>
        <v xml:space="preserve"> </v>
      </c>
      <c r="I344" s="4" t="str">
        <f ca="1">IF(OR(INDEX($X$2:$X$1001,MATCH(ROWS($W$2:W344),$W$2:$W$1001,0),1)&gt;=100000,INDEX($AD$1005:$AU$1005,1,MATCH(COLUMNS($AD$1006:AK1006),$AD$1006:$AU$1006,0))&gt;=100000), " ",IF(INDEX($AD$2:$AU$1001,MATCH(ROWS($W$2:W344),$W$2:$W$1001,0),MATCH(COLUMNS($AD$1006:AK1006),$AD$1006:$AU$1006,0)), HYPERLINK("#",""), HYPERLINK(CONCATENATE("#metadata!", ADDRESS(INDEX($Y$2:$Y$1001,MATCH(ROWS($W$2:W344),$W$2:$W$1001,0),0), INDEX($AD$1004:$AU$1004,1,MATCH(COLUMNS($AD$1006:AK1006),$AD$1006:$AU$1006,0)))),"Fix")))</f>
        <v xml:space="preserve"> </v>
      </c>
      <c r="J344" s="4" t="str">
        <f ca="1">IF(OR(INDEX($X$2:$X$1001,MATCH(ROWS($W$2:W344),$W$2:$W$1001,0),1)&gt;=100000,INDEX($AD$1005:$AU$1005,1,MATCH(COLUMNS($AD$1006:AL1006),$AD$1006:$AU$1006,0))&gt;=100000), " ",IF(INDEX($AD$2:$AU$1001,MATCH(ROWS($W$2:W344),$W$2:$W$1001,0),MATCH(COLUMNS($AD$1006:AL1006),$AD$1006:$AU$1006,0)), HYPERLINK("#",""), HYPERLINK(CONCATENATE("#metadata!", ADDRESS(INDEX($Y$2:$Y$1001,MATCH(ROWS($W$2:W344),$W$2:$W$1001,0),0), INDEX($AD$1004:$AU$1004,1,MATCH(COLUMNS($AD$1006:AL1006),$AD$1006:$AU$1006,0)))),"Fix")))</f>
        <v xml:space="preserve"> </v>
      </c>
      <c r="K344" s="4" t="str">
        <f ca="1">IF(OR(INDEX($X$2:$X$1001,MATCH(ROWS($W$2:W344),$W$2:$W$1001,0),1)&gt;=100000,INDEX($AD$1005:$AU$1005,1,MATCH(COLUMNS($AD$1006:AM1006),$AD$1006:$AU$1006,0))&gt;=100000), " ",IF(INDEX($AD$2:$AU$1001,MATCH(ROWS($W$2:W344),$W$2:$W$1001,0),MATCH(COLUMNS($AD$1006:AM1006),$AD$1006:$AU$1006,0)), HYPERLINK("#",""), HYPERLINK(CONCATENATE("#metadata!", ADDRESS(INDEX($Y$2:$Y$1001,MATCH(ROWS($W$2:W344),$W$2:$W$1001,0),0), INDEX($AD$1004:$AU$1004,1,MATCH(COLUMNS($AD$1006:AM1006),$AD$1006:$AU$1006,0)))),"Fix")))</f>
        <v xml:space="preserve"> </v>
      </c>
      <c r="L344" s="4" t="str">
        <f ca="1">IF(OR(INDEX($X$2:$X$1001,MATCH(ROWS($W$2:W344),$W$2:$W$1001,0),1)&gt;=100000,INDEX($AD$1005:$AU$1005,1,MATCH(COLUMNS($AD$1006:AN1006),$AD$1006:$AU$1006,0))&gt;=100000), " ",IF(INDEX($AD$2:$AU$1001,MATCH(ROWS($W$2:W344),$W$2:$W$1001,0),MATCH(COLUMNS($AD$1006:AN1006),$AD$1006:$AU$1006,0)), HYPERLINK("#",""), HYPERLINK(CONCATENATE("#metadata!", ADDRESS(INDEX($Y$2:$Y$1001,MATCH(ROWS($W$2:W344),$W$2:$W$1001,0),0), INDEX($AD$1004:$AU$1004,1,MATCH(COLUMNS($AD$1006:AN1006),$AD$1006:$AU$1006,0)))),"Fix")))</f>
        <v xml:space="preserve"> </v>
      </c>
      <c r="M344" s="4" t="str">
        <f ca="1">IF(OR(INDEX($X$2:$X$1001,MATCH(ROWS($W$2:W344),$W$2:$W$1001,0),1)&gt;=100000,INDEX($AD$1005:$AU$1005,1,MATCH(COLUMNS($AD$1006:AO1006),$AD$1006:$AU$1006,0))&gt;=100000), " ",IF(INDEX($AD$2:$AU$1001,MATCH(ROWS($W$2:W344),$W$2:$W$1001,0),MATCH(COLUMNS($AD$1006:AO1006),$AD$1006:$AU$1006,0)), HYPERLINK("#",""), HYPERLINK(CONCATENATE("#metadata!", ADDRESS(INDEX($Y$2:$Y$1001,MATCH(ROWS($W$2:W344),$W$2:$W$1001,0),0), INDEX($AD$1004:$AU$1004,1,MATCH(COLUMNS($AD$1006:AO1006),$AD$1006:$AU$1006,0)))),"Fix")))</f>
        <v xml:space="preserve"> </v>
      </c>
      <c r="N344" s="4" t="str">
        <f ca="1">IF(OR(INDEX($X$2:$X$1001,MATCH(ROWS($W$2:W344),$W$2:$W$1001,0),1)&gt;=100000,INDEX($AD$1005:$AU$1005,1,MATCH(COLUMNS($AD$1006:AP1006),$AD$1006:$AU$1006,0))&gt;=100000), " ",IF(INDEX($AD$2:$AU$1001,MATCH(ROWS($W$2:W344),$W$2:$W$1001,0),MATCH(COLUMNS($AD$1006:AP1006),$AD$1006:$AU$1006,0)), HYPERLINK("#",""), HYPERLINK(CONCATENATE("#metadata!", ADDRESS(INDEX($Y$2:$Y$1001,MATCH(ROWS($W$2:W344),$W$2:$W$1001,0),0), INDEX($AD$1004:$AU$1004,1,MATCH(COLUMNS($AD$1006:AP1006),$AD$1006:$AU$1006,0)))),"Fix")))</f>
        <v xml:space="preserve"> </v>
      </c>
      <c r="O344" s="4" t="str">
        <f ca="1">IF(OR(INDEX($X$2:$X$1001,MATCH(ROWS($W$2:W344),$W$2:$W$1001,0),1)&gt;=100000,INDEX($AD$1005:$AU$1005,1,MATCH(COLUMNS($AD$1006:AQ1006),$AD$1006:$AU$1006,0))&gt;=100000), " ",IF(INDEX($AD$2:$AU$1001,MATCH(ROWS($W$2:W344),$W$2:$W$1001,0),MATCH(COLUMNS($AD$1006:AQ1006),$AD$1006:$AU$1006,0)), HYPERLINK("#",""), HYPERLINK(CONCATENATE("#metadata!", ADDRESS(INDEX($Y$2:$Y$1001,MATCH(ROWS($W$2:W344),$W$2:$W$1001,0),0), INDEX($AD$1004:$AU$1004,1,MATCH(COLUMNS($AD$1006:AQ1006),$AD$1006:$AU$1006,0)))),"Fix")))</f>
        <v xml:space="preserve"> </v>
      </c>
      <c r="P344" s="4" t="str">
        <f ca="1">IF(OR(INDEX($X$2:$X$1001,MATCH(ROWS($W$2:W344),$W$2:$W$1001,0),1)&gt;=100000,INDEX($AD$1005:$AU$1005,1,MATCH(COLUMNS($AD$1006:AR1006),$AD$1006:$AU$1006,0))&gt;=100000), " ",IF(INDEX($AD$2:$AU$1001,MATCH(ROWS($W$2:W344),$W$2:$W$1001,0),MATCH(COLUMNS($AD$1006:AR1006),$AD$1006:$AU$1006,0)), HYPERLINK("#",""), HYPERLINK(CONCATENATE("#metadata!", ADDRESS(INDEX($Y$2:$Y$1001,MATCH(ROWS($W$2:W344),$W$2:$W$1001,0),0), INDEX($AD$1004:$AU$1004,1,MATCH(COLUMNS($AD$1006:AR1006),$AD$1006:$AU$1006,0)))),"Fix")))</f>
        <v xml:space="preserve"> </v>
      </c>
      <c r="Q344" s="4" t="str">
        <f ca="1">IF(OR(INDEX($X$2:$X$1001,MATCH(ROWS($W$2:W344),$W$2:$W$1001,0),1)&gt;=100000,INDEX($AD$1005:$AU$1005,1,MATCH(COLUMNS($AD$1006:AS1006),$AD$1006:$AU$1006,0))&gt;=100000), " ",IF(INDEX($AD$2:$AU$1001,MATCH(ROWS($W$2:W344),$W$2:$W$1001,0),MATCH(COLUMNS($AD$1006:AS1006),$AD$1006:$AU$1006,0)), HYPERLINK("#",""), HYPERLINK(CONCATENATE("#metadata!", ADDRESS(INDEX($Y$2:$Y$1001,MATCH(ROWS($W$2:W344),$W$2:$W$1001,0),0), INDEX($AD$1004:$AU$1004,1,MATCH(COLUMNS($AD$1006:AS1006),$AD$1006:$AU$1006,0)))),"Fix")))</f>
        <v xml:space="preserve"> </v>
      </c>
      <c r="R344" s="4" t="str">
        <f ca="1">IF(OR(INDEX($X$2:$X$1001,MATCH(ROWS($W$2:W344),$W$2:$W$1001,0),1)&gt;=100000,INDEX($AD$1005:$AU$1005,1,MATCH(COLUMNS($AD$1006:AT1006),$AD$1006:$AU$1006,0))&gt;=100000), " ",IF(INDEX($AD$2:$AU$1001,MATCH(ROWS($W$2:W344),$W$2:$W$1001,0),MATCH(COLUMNS($AD$1006:AT1006),$AD$1006:$AU$1006,0)), HYPERLINK("#",""), HYPERLINK(CONCATENATE("#metadata!", ADDRESS(INDEX($Y$2:$Y$1001,MATCH(ROWS($W$2:W344),$W$2:$W$1001,0),0), INDEX($AD$1004:$AU$1004,1,MATCH(COLUMNS($AD$1006:AT1006),$AD$1006:$AU$1006,0)))),"Fix")))</f>
        <v xml:space="preserve"> </v>
      </c>
      <c r="S344" s="4" t="str">
        <f ca="1">IF(OR(INDEX($X$2:$X$1001,MATCH(ROWS($W$2:W344),$W$2:$W$1001,0),1)&gt;=100000,INDEX($AD$1005:$AU$1005,1,MATCH(COLUMNS($AD$1006:AU1006),$AD$1006:$AU$1006,0))&gt;=100000), " ",IF(INDEX($AD$2:$AU$1001,MATCH(ROWS($W$2:W344),$W$2:$W$1001,0),MATCH(COLUMNS($AD$1006:AU1006),$AD$1006:$AU$1006,0)), HYPERLINK("#",""), HYPERLINK(CONCATENATE("#metadata!", ADDRESS(INDEX($Y$2:$Y$1001,MATCH(ROWS($W$2:W344),$W$2:$W$1001,0),0), INDEX($AD$1004:$AU$1004,1,MATCH(COLUMNS($AD$1006:AU1006),$AD$1006:$AU$1006,0)))),"Fix")))</f>
        <v xml:space="preserve"> </v>
      </c>
      <c r="W344">
        <v>343</v>
      </c>
      <c r="X344">
        <v>100344</v>
      </c>
      <c r="Y344">
        <v>344</v>
      </c>
      <c r="Z344" t="b">
        <f t="shared" si="5"/>
        <v>1</v>
      </c>
      <c r="AA344" t="b">
        <f>COUNTBLANK(metadata!B344:S344)=COLUMNS(metadata!B344:S344)</f>
        <v>1</v>
      </c>
      <c r="AB344" t="str">
        <v/>
      </c>
      <c r="AD344" t="b">
        <f ca="1">AND(IF(metadata!B344="",FALSE,TRUE),COUNTIF(metadata!B:B, metadata!B344) = 1,NOT(ISERROR(SUMPRODUCT(SEARCH(MID(metadata!B344,ROW(INDIRECT("1:"&amp;LEN(metadata!B344))), 1),"0123456789abcdefghijklmnopqrstuvwxyzABCDEFGHIJKLMNOPQRSTUVWXYZ.")))))</f>
        <v>0</v>
      </c>
      <c r="AE344" t="b">
        <f>OR(AND(IF(metadata!C344="",FALSE,TRUE),OR(EXACT(metadata!C344,"not applicable"),EXACT(metadata!C344,"missing: not collected"),EXACT(metadata!C344,"missing: not provided"),EXACT(metadata!C344,"missing: restricted access"))),AND(IF(metadata!C344="",FALSE,ISNUMBER(VALUE(metadata!C344))),metadata!C344&gt;0))</f>
        <v>0</v>
      </c>
      <c r="AF344" t="b">
        <f>AND(IF(metadata!D344="",FALSE,TRUE),EXACT(metadata!D344,"missing: not provided"))</f>
        <v>0</v>
      </c>
      <c r="AG344" t="b">
        <f>AND(IF(metadata!E344="",FALSE,TRUE),EXACT(metadata!E344,"Host-associated"))</f>
        <v>0</v>
      </c>
      <c r="AH344" t="b">
        <f>AND(IF(metadata!F344="",FALSE,TRUE),OR(EXACT(metadata!F344,"Animal"),EXACT(metadata!F344,"Fungus"),EXACT(metadata!F344,"Plant")))</f>
        <v>0</v>
      </c>
      <c r="AI344" t="b">
        <f>AND(IF(metadata!G344="",FALSE,TRUE),OR(EXACT(metadata!G344,"Plant secretion"),EXACT(metadata!G344,"Plant rhizosphere"),EXACT(metadata!G344,"Plant surface"),EXACT(metadata!G344,"Plant corpus"),EXACT(metadata!G344,"Fungus surface"),EXACT(metadata!G344,"Fungus corpus"),EXACT(metadata!G344,"Animal surface"),EXACT(metadata!G344,"Animal proximal gut"),EXACT(metadata!G344,"Animal corpus"),EXACT(metadata!G344,"Animal distal gut"),EXACT(metadata!G344,"Animal secretion")))</f>
        <v>0</v>
      </c>
      <c r="AJ344" t="b">
        <f>OR(AND(IF(metadata!H344="",FALSE,TRUE),OR(EXACT(metadata!H344,"missing: not collected"),EXACT(metadata!H344,"missing: not provided"),EXACT(metadata!H344,"missing: restricted access"))),AND(IF(metadata!H344="",FALSE,TRUE),OR(EXACT(metadata!H344,"organism-associated habitat"),EXACT(metadata!H344,"plant-associated habitat"),EXACT(metadata!H344,"animal-associated habitat"),EXACT(metadata!H344,"insecta-associated habitat"),EXACT(metadata!H344,"mammalia-associated habitat"),EXACT(metadata!H344,"human-associated habitat"),EXACT(metadata!H344,"livestock-associated habitat"))))</f>
        <v>0</v>
      </c>
      <c r="AK344" t="b">
        <f>AND(IF(metadata!I344="",FALSE,TRUE),EXACT(metadata!I344,"host-associated"))</f>
        <v>0</v>
      </c>
      <c r="AL344" t="b">
        <f>OR(AND(IF(metadata!J344="",FALSE,TRUE),OR(EXACT(metadata!J344,"not applicable"),EXACT(metadata!J344,"missing: not collected"),EXACT(metadata!J344,"missing: not provided"),EXACT(metadata!J344,"missing: restricted access"))),AND(IF(metadata!J344="",FALSE,ISNUMBER(VALUE(metadata!J344))),metadata!J344&gt;0))</f>
        <v>0</v>
      </c>
      <c r="AM344" t="b">
        <f>AND(IF(metadata!K344="",FALSE,TRUE),EXACT(metadata!K344,"missing: not provided"))</f>
        <v>0</v>
      </c>
      <c r="AN344" t="b">
        <f>IF(metadata!L344="",FALSE,TRUE)</f>
        <v>0</v>
      </c>
      <c r="AO344" t="b">
        <f>IF(metadata!M344="",FALSE,TRUE)</f>
        <v>0</v>
      </c>
      <c r="AP344" t="b">
        <f>OR(AND(IF(metadata!N344="",FALSE,TRUE),OR(EXACT(metadata!N344,"not applicable"),EXACT(metadata!N344,"missing: not collected"),EXACT(metadata!N344,"missing: not provided"))),AND(IF(metadata!N344="",FALSE,IF(ISERROR(INT(metadata!N344)),FALSE,INT(metadata!N344)=metadata!N344)),metadata!N344&gt;0))</f>
        <v>0</v>
      </c>
      <c r="AQ344" t="b">
        <f>AND(IF(metadata!O344="",FALSE,TRUE),EXACT(metadata!O344,"Not applicable"))</f>
        <v>0</v>
      </c>
      <c r="AR344" t="b">
        <f>OR(AND(IF(metadata!P344="",FALSE,TRUE),OR(EXACT(metadata!P344,"not applicable"),EXACT(metadata!P344,"missing: not collected"),EXACT(metadata!P344,"missing: not provided"),EXACT(metadata!P344,"missing: restricted access"))),IF(metadata!P344="",FALSE,IF(ISERROR(INT(metadata!P344)),FALSE,INT(metadata!P344)=metadata!P344)))</f>
        <v>0</v>
      </c>
      <c r="AS344" t="b">
        <f>AND(IF(metadata!Q344="",FALSE,TRUE),EXACT(metadata!Q344,"Not applicable"))</f>
        <v>0</v>
      </c>
      <c r="AT344" t="b">
        <f>OR(AND(IF(metadata!R344="",FALSE,TRUE),OR(EXACT(metadata!R344,"not applicable"),EXACT(metadata!R344,"missing: not collected"),EXACT(metadata!R344,"missing: not provided"),EXACT(metadata!R344,"missing: restricted access"))),AND(IF(metadata!R344="",FALSE,ISNUMBER(VALUE(metadata!R344))),metadata!R344&gt;0))</f>
        <v>0</v>
      </c>
      <c r="AU344" t="b">
        <f>AND(IF(metadata!S344="",FALSE,TRUE),EXACT(metadata!S344,"missing: not provided"))</f>
        <v>0</v>
      </c>
    </row>
    <row r="345" spans="1:47" x14ac:dyDescent="0.2">
      <c r="A345" s="5" t="str">
        <f ca="1">IF(B345=" "," ",HYPERLINK(CONCATENATE("#metadata!",ADDRESS(INDEX($Y$2:$Y$1001,MATCH(ROWS($W$2:W345),$W$2:$W$1001,0),0),1)),INDEX($AB$2:$AB$1001,MATCH(ROWS($W$2:W345),$W$2:$W$1001,0),0)))</f>
        <v xml:space="preserve"> </v>
      </c>
      <c r="B345" s="4" t="str">
        <f ca="1">IF(OR(INDEX($X$2:$X$1001,MATCH(ROWS($W$2:W345),$W$2:$W$1001,0),1)&gt;=100000,INDEX($AD$1005:$AU$1005,1,MATCH(COLUMNS($AD$1006:AD1006),$AD$1006:$AU$1006,0))&gt;=100000), " ",IF(INDEX($AD$2:$AU$1001,MATCH(ROWS($W$2:W345),$W$2:$W$1001,0),MATCH(COLUMNS($AD$1006:AD1006),$AD$1006:$AU$1006,0)), HYPERLINK("#",""), HYPERLINK(CONCATENATE("#metadata!", ADDRESS(INDEX($Y$2:$Y$1001,MATCH(ROWS($W$2:W345),$W$2:$W$1001,0),0), INDEX($AD$1004:$AU$1004,1,MATCH(COLUMNS($AD$1006:AD1006),$AD$1006:$AU$1006,0)))),"Fix")))</f>
        <v xml:space="preserve"> </v>
      </c>
      <c r="C345" s="4" t="str">
        <f ca="1">IF(OR(INDEX($X$2:$X$1001,MATCH(ROWS($W$2:W345),$W$2:$W$1001,0),1)&gt;=100000,INDEX($AD$1005:$AU$1005,1,MATCH(COLUMNS($AD$1006:AE1006),$AD$1006:$AU$1006,0))&gt;=100000), " ",IF(INDEX($AD$2:$AU$1001,MATCH(ROWS($W$2:W345),$W$2:$W$1001,0),MATCH(COLUMNS($AD$1006:AE1006),$AD$1006:$AU$1006,0)), HYPERLINK("#",""), HYPERLINK(CONCATENATE("#metadata!", ADDRESS(INDEX($Y$2:$Y$1001,MATCH(ROWS($W$2:W345),$W$2:$W$1001,0),0), INDEX($AD$1004:$AU$1004,1,MATCH(COLUMNS($AD$1006:AE1006),$AD$1006:$AU$1006,0)))),"Fix")))</f>
        <v xml:space="preserve"> </v>
      </c>
      <c r="D345" s="4" t="str">
        <f ca="1">IF(OR(INDEX($X$2:$X$1001,MATCH(ROWS($W$2:W345),$W$2:$W$1001,0),1)&gt;=100000,INDEX($AD$1005:$AU$1005,1,MATCH(COLUMNS($AD$1006:AF1006),$AD$1006:$AU$1006,0))&gt;=100000), " ",IF(INDEX($AD$2:$AU$1001,MATCH(ROWS($W$2:W345),$W$2:$W$1001,0),MATCH(COLUMNS($AD$1006:AF1006),$AD$1006:$AU$1006,0)), HYPERLINK("#",""), HYPERLINK(CONCATENATE("#metadata!", ADDRESS(INDEX($Y$2:$Y$1001,MATCH(ROWS($W$2:W345),$W$2:$W$1001,0),0), INDEX($AD$1004:$AU$1004,1,MATCH(COLUMNS($AD$1006:AF1006),$AD$1006:$AU$1006,0)))),"Fix")))</f>
        <v xml:space="preserve"> </v>
      </c>
      <c r="E345" s="4" t="str">
        <f ca="1">IF(OR(INDEX($X$2:$X$1001,MATCH(ROWS($W$2:W345),$W$2:$W$1001,0),1)&gt;=100000,INDEX($AD$1005:$AU$1005,1,MATCH(COLUMNS($AD$1006:AG1006),$AD$1006:$AU$1006,0))&gt;=100000), " ",IF(INDEX($AD$2:$AU$1001,MATCH(ROWS($W$2:W345),$W$2:$W$1001,0),MATCH(COLUMNS($AD$1006:AG1006),$AD$1006:$AU$1006,0)), HYPERLINK("#",""), HYPERLINK(CONCATENATE("#metadata!", ADDRESS(INDEX($Y$2:$Y$1001,MATCH(ROWS($W$2:W345),$W$2:$W$1001,0),0), INDEX($AD$1004:$AU$1004,1,MATCH(COLUMNS($AD$1006:AG1006),$AD$1006:$AU$1006,0)))),"Fix")))</f>
        <v xml:space="preserve"> </v>
      </c>
      <c r="F345" s="4" t="str">
        <f ca="1">IF(OR(INDEX($X$2:$X$1001,MATCH(ROWS($W$2:W345),$W$2:$W$1001,0),1)&gt;=100000,INDEX($AD$1005:$AU$1005,1,MATCH(COLUMNS($AD$1006:AH1006),$AD$1006:$AU$1006,0))&gt;=100000), " ",IF(INDEX($AD$2:$AU$1001,MATCH(ROWS($W$2:W345),$W$2:$W$1001,0),MATCH(COLUMNS($AD$1006:AH1006),$AD$1006:$AU$1006,0)), HYPERLINK("#",""), HYPERLINK(CONCATENATE("#metadata!", ADDRESS(INDEX($Y$2:$Y$1001,MATCH(ROWS($W$2:W345),$W$2:$W$1001,0),0), INDEX($AD$1004:$AU$1004,1,MATCH(COLUMNS($AD$1006:AH1006),$AD$1006:$AU$1006,0)))),"Fix")))</f>
        <v xml:space="preserve"> </v>
      </c>
      <c r="G345" s="4" t="str">
        <f ca="1">IF(OR(INDEX($X$2:$X$1001,MATCH(ROWS($W$2:W345),$W$2:$W$1001,0),1)&gt;=100000,INDEX($AD$1005:$AU$1005,1,MATCH(COLUMNS($AD$1006:AI1006),$AD$1006:$AU$1006,0))&gt;=100000), " ",IF(INDEX($AD$2:$AU$1001,MATCH(ROWS($W$2:W345),$W$2:$W$1001,0),MATCH(COLUMNS($AD$1006:AI1006),$AD$1006:$AU$1006,0)), HYPERLINK("#",""), HYPERLINK(CONCATENATE("#metadata!", ADDRESS(INDEX($Y$2:$Y$1001,MATCH(ROWS($W$2:W345),$W$2:$W$1001,0),0), INDEX($AD$1004:$AU$1004,1,MATCH(COLUMNS($AD$1006:AI1006),$AD$1006:$AU$1006,0)))),"Fix")))</f>
        <v xml:space="preserve"> </v>
      </c>
      <c r="H345" s="4" t="str">
        <f ca="1">IF(OR(INDEX($X$2:$X$1001,MATCH(ROWS($W$2:W345),$W$2:$W$1001,0),1)&gt;=100000,INDEX($AD$1005:$AU$1005,1,MATCH(COLUMNS($AD$1006:AJ1006),$AD$1006:$AU$1006,0))&gt;=100000), " ",IF(INDEX($AD$2:$AU$1001,MATCH(ROWS($W$2:W345),$W$2:$W$1001,0),MATCH(COLUMNS($AD$1006:AJ1006),$AD$1006:$AU$1006,0)), HYPERLINK("#",""), HYPERLINK(CONCATENATE("#metadata!", ADDRESS(INDEX($Y$2:$Y$1001,MATCH(ROWS($W$2:W345),$W$2:$W$1001,0),0), INDEX($AD$1004:$AU$1004,1,MATCH(COLUMNS($AD$1006:AJ1006),$AD$1006:$AU$1006,0)))),"Fix")))</f>
        <v xml:space="preserve"> </v>
      </c>
      <c r="I345" s="4" t="str">
        <f ca="1">IF(OR(INDEX($X$2:$X$1001,MATCH(ROWS($W$2:W345),$W$2:$W$1001,0),1)&gt;=100000,INDEX($AD$1005:$AU$1005,1,MATCH(COLUMNS($AD$1006:AK1006),$AD$1006:$AU$1006,0))&gt;=100000), " ",IF(INDEX($AD$2:$AU$1001,MATCH(ROWS($W$2:W345),$W$2:$W$1001,0),MATCH(COLUMNS($AD$1006:AK1006),$AD$1006:$AU$1006,0)), HYPERLINK("#",""), HYPERLINK(CONCATENATE("#metadata!", ADDRESS(INDEX($Y$2:$Y$1001,MATCH(ROWS($W$2:W345),$W$2:$W$1001,0),0), INDEX($AD$1004:$AU$1004,1,MATCH(COLUMNS($AD$1006:AK1006),$AD$1006:$AU$1006,0)))),"Fix")))</f>
        <v xml:space="preserve"> </v>
      </c>
      <c r="J345" s="4" t="str">
        <f ca="1">IF(OR(INDEX($X$2:$X$1001,MATCH(ROWS($W$2:W345),$W$2:$W$1001,0),1)&gt;=100000,INDEX($AD$1005:$AU$1005,1,MATCH(COLUMNS($AD$1006:AL1006),$AD$1006:$AU$1006,0))&gt;=100000), " ",IF(INDEX($AD$2:$AU$1001,MATCH(ROWS($W$2:W345),$W$2:$W$1001,0),MATCH(COLUMNS($AD$1006:AL1006),$AD$1006:$AU$1006,0)), HYPERLINK("#",""), HYPERLINK(CONCATENATE("#metadata!", ADDRESS(INDEX($Y$2:$Y$1001,MATCH(ROWS($W$2:W345),$W$2:$W$1001,0),0), INDEX($AD$1004:$AU$1004,1,MATCH(COLUMNS($AD$1006:AL1006),$AD$1006:$AU$1006,0)))),"Fix")))</f>
        <v xml:space="preserve"> </v>
      </c>
      <c r="K345" s="4" t="str">
        <f ca="1">IF(OR(INDEX($X$2:$X$1001,MATCH(ROWS($W$2:W345),$W$2:$W$1001,0),1)&gt;=100000,INDEX($AD$1005:$AU$1005,1,MATCH(COLUMNS($AD$1006:AM1006),$AD$1006:$AU$1006,0))&gt;=100000), " ",IF(INDEX($AD$2:$AU$1001,MATCH(ROWS($W$2:W345),$W$2:$W$1001,0),MATCH(COLUMNS($AD$1006:AM1006),$AD$1006:$AU$1006,0)), HYPERLINK("#",""), HYPERLINK(CONCATENATE("#metadata!", ADDRESS(INDEX($Y$2:$Y$1001,MATCH(ROWS($W$2:W345),$W$2:$W$1001,0),0), INDEX($AD$1004:$AU$1004,1,MATCH(COLUMNS($AD$1006:AM1006),$AD$1006:$AU$1006,0)))),"Fix")))</f>
        <v xml:space="preserve"> </v>
      </c>
      <c r="L345" s="4" t="str">
        <f ca="1">IF(OR(INDEX($X$2:$X$1001,MATCH(ROWS($W$2:W345),$W$2:$W$1001,0),1)&gt;=100000,INDEX($AD$1005:$AU$1005,1,MATCH(COLUMNS($AD$1006:AN1006),$AD$1006:$AU$1006,0))&gt;=100000), " ",IF(INDEX($AD$2:$AU$1001,MATCH(ROWS($W$2:W345),$W$2:$W$1001,0),MATCH(COLUMNS($AD$1006:AN1006),$AD$1006:$AU$1006,0)), HYPERLINK("#",""), HYPERLINK(CONCATENATE("#metadata!", ADDRESS(INDEX($Y$2:$Y$1001,MATCH(ROWS($W$2:W345),$W$2:$W$1001,0),0), INDEX($AD$1004:$AU$1004,1,MATCH(COLUMNS($AD$1006:AN1006),$AD$1006:$AU$1006,0)))),"Fix")))</f>
        <v xml:space="preserve"> </v>
      </c>
      <c r="M345" s="4" t="str">
        <f ca="1">IF(OR(INDEX($X$2:$X$1001,MATCH(ROWS($W$2:W345),$W$2:$W$1001,0),1)&gt;=100000,INDEX($AD$1005:$AU$1005,1,MATCH(COLUMNS($AD$1006:AO1006),$AD$1006:$AU$1006,0))&gt;=100000), " ",IF(INDEX($AD$2:$AU$1001,MATCH(ROWS($W$2:W345),$W$2:$W$1001,0),MATCH(COLUMNS($AD$1006:AO1006),$AD$1006:$AU$1006,0)), HYPERLINK("#",""), HYPERLINK(CONCATENATE("#metadata!", ADDRESS(INDEX($Y$2:$Y$1001,MATCH(ROWS($W$2:W345),$W$2:$W$1001,0),0), INDEX($AD$1004:$AU$1004,1,MATCH(COLUMNS($AD$1006:AO1006),$AD$1006:$AU$1006,0)))),"Fix")))</f>
        <v xml:space="preserve"> </v>
      </c>
      <c r="N345" s="4" t="str">
        <f ca="1">IF(OR(INDEX($X$2:$X$1001,MATCH(ROWS($W$2:W345),$W$2:$W$1001,0),1)&gt;=100000,INDEX($AD$1005:$AU$1005,1,MATCH(COLUMNS($AD$1006:AP1006),$AD$1006:$AU$1006,0))&gt;=100000), " ",IF(INDEX($AD$2:$AU$1001,MATCH(ROWS($W$2:W345),$W$2:$W$1001,0),MATCH(COLUMNS($AD$1006:AP1006),$AD$1006:$AU$1006,0)), HYPERLINK("#",""), HYPERLINK(CONCATENATE("#metadata!", ADDRESS(INDEX($Y$2:$Y$1001,MATCH(ROWS($W$2:W345),$W$2:$W$1001,0),0), INDEX($AD$1004:$AU$1004,1,MATCH(COLUMNS($AD$1006:AP1006),$AD$1006:$AU$1006,0)))),"Fix")))</f>
        <v xml:space="preserve"> </v>
      </c>
      <c r="O345" s="4" t="str">
        <f ca="1">IF(OR(INDEX($X$2:$X$1001,MATCH(ROWS($W$2:W345),$W$2:$W$1001,0),1)&gt;=100000,INDEX($AD$1005:$AU$1005,1,MATCH(COLUMNS($AD$1006:AQ1006),$AD$1006:$AU$1006,0))&gt;=100000), " ",IF(INDEX($AD$2:$AU$1001,MATCH(ROWS($W$2:W345),$W$2:$W$1001,0),MATCH(COLUMNS($AD$1006:AQ1006),$AD$1006:$AU$1006,0)), HYPERLINK("#",""), HYPERLINK(CONCATENATE("#metadata!", ADDRESS(INDEX($Y$2:$Y$1001,MATCH(ROWS($W$2:W345),$W$2:$W$1001,0),0), INDEX($AD$1004:$AU$1004,1,MATCH(COLUMNS($AD$1006:AQ1006),$AD$1006:$AU$1006,0)))),"Fix")))</f>
        <v xml:space="preserve"> </v>
      </c>
      <c r="P345" s="4" t="str">
        <f ca="1">IF(OR(INDEX($X$2:$X$1001,MATCH(ROWS($W$2:W345),$W$2:$W$1001,0),1)&gt;=100000,INDEX($AD$1005:$AU$1005,1,MATCH(COLUMNS($AD$1006:AR1006),$AD$1006:$AU$1006,0))&gt;=100000), " ",IF(INDEX($AD$2:$AU$1001,MATCH(ROWS($W$2:W345),$W$2:$W$1001,0),MATCH(COLUMNS($AD$1006:AR1006),$AD$1006:$AU$1006,0)), HYPERLINK("#",""), HYPERLINK(CONCATENATE("#metadata!", ADDRESS(INDEX($Y$2:$Y$1001,MATCH(ROWS($W$2:W345),$W$2:$W$1001,0),0), INDEX($AD$1004:$AU$1004,1,MATCH(COLUMNS($AD$1006:AR1006),$AD$1006:$AU$1006,0)))),"Fix")))</f>
        <v xml:space="preserve"> </v>
      </c>
      <c r="Q345" s="4" t="str">
        <f ca="1">IF(OR(INDEX($X$2:$X$1001,MATCH(ROWS($W$2:W345),$W$2:$W$1001,0),1)&gt;=100000,INDEX($AD$1005:$AU$1005,1,MATCH(COLUMNS($AD$1006:AS1006),$AD$1006:$AU$1006,0))&gt;=100000), " ",IF(INDEX($AD$2:$AU$1001,MATCH(ROWS($W$2:W345),$W$2:$W$1001,0),MATCH(COLUMNS($AD$1006:AS1006),$AD$1006:$AU$1006,0)), HYPERLINK("#",""), HYPERLINK(CONCATENATE("#metadata!", ADDRESS(INDEX($Y$2:$Y$1001,MATCH(ROWS($W$2:W345),$W$2:$W$1001,0),0), INDEX($AD$1004:$AU$1004,1,MATCH(COLUMNS($AD$1006:AS1006),$AD$1006:$AU$1006,0)))),"Fix")))</f>
        <v xml:space="preserve"> </v>
      </c>
      <c r="R345" s="4" t="str">
        <f ca="1">IF(OR(INDEX($X$2:$X$1001,MATCH(ROWS($W$2:W345),$W$2:$W$1001,0),1)&gt;=100000,INDEX($AD$1005:$AU$1005,1,MATCH(COLUMNS($AD$1006:AT1006),$AD$1006:$AU$1006,0))&gt;=100000), " ",IF(INDEX($AD$2:$AU$1001,MATCH(ROWS($W$2:W345),$W$2:$W$1001,0),MATCH(COLUMNS($AD$1006:AT1006),$AD$1006:$AU$1006,0)), HYPERLINK("#",""), HYPERLINK(CONCATENATE("#metadata!", ADDRESS(INDEX($Y$2:$Y$1001,MATCH(ROWS($W$2:W345),$W$2:$W$1001,0),0), INDEX($AD$1004:$AU$1004,1,MATCH(COLUMNS($AD$1006:AT1006),$AD$1006:$AU$1006,0)))),"Fix")))</f>
        <v xml:space="preserve"> </v>
      </c>
      <c r="S345" s="4" t="str">
        <f ca="1">IF(OR(INDEX($X$2:$X$1001,MATCH(ROWS($W$2:W345),$W$2:$W$1001,0),1)&gt;=100000,INDEX($AD$1005:$AU$1005,1,MATCH(COLUMNS($AD$1006:AU1006),$AD$1006:$AU$1006,0))&gt;=100000), " ",IF(INDEX($AD$2:$AU$1001,MATCH(ROWS($W$2:W345),$W$2:$W$1001,0),MATCH(COLUMNS($AD$1006:AU1006),$AD$1006:$AU$1006,0)), HYPERLINK("#",""), HYPERLINK(CONCATENATE("#metadata!", ADDRESS(INDEX($Y$2:$Y$1001,MATCH(ROWS($W$2:W345),$W$2:$W$1001,0),0), INDEX($AD$1004:$AU$1004,1,MATCH(COLUMNS($AD$1006:AU1006),$AD$1006:$AU$1006,0)))),"Fix")))</f>
        <v xml:space="preserve"> </v>
      </c>
      <c r="W345">
        <v>344</v>
      </c>
      <c r="X345">
        <v>100345</v>
      </c>
      <c r="Y345">
        <v>345</v>
      </c>
      <c r="Z345" t="b">
        <f t="shared" si="5"/>
        <v>1</v>
      </c>
      <c r="AA345" t="b">
        <f>COUNTBLANK(metadata!B345:S345)=COLUMNS(metadata!B345:S345)</f>
        <v>1</v>
      </c>
      <c r="AB345" t="str">
        <v/>
      </c>
      <c r="AD345" t="b">
        <f ca="1">AND(IF(metadata!B345="",FALSE,TRUE),COUNTIF(metadata!B:B, metadata!B345) = 1,NOT(ISERROR(SUMPRODUCT(SEARCH(MID(metadata!B345,ROW(INDIRECT("1:"&amp;LEN(metadata!B345))), 1),"0123456789abcdefghijklmnopqrstuvwxyzABCDEFGHIJKLMNOPQRSTUVWXYZ.")))))</f>
        <v>0</v>
      </c>
      <c r="AE345" t="b">
        <f>OR(AND(IF(metadata!C345="",FALSE,TRUE),OR(EXACT(metadata!C345,"not applicable"),EXACT(metadata!C345,"missing: not collected"),EXACT(metadata!C345,"missing: not provided"),EXACT(metadata!C345,"missing: restricted access"))),AND(IF(metadata!C345="",FALSE,ISNUMBER(VALUE(metadata!C345))),metadata!C345&gt;0))</f>
        <v>0</v>
      </c>
      <c r="AF345" t="b">
        <f>AND(IF(metadata!D345="",FALSE,TRUE),EXACT(metadata!D345,"missing: not provided"))</f>
        <v>0</v>
      </c>
      <c r="AG345" t="b">
        <f>AND(IF(metadata!E345="",FALSE,TRUE),EXACT(metadata!E345,"Host-associated"))</f>
        <v>0</v>
      </c>
      <c r="AH345" t="b">
        <f>AND(IF(metadata!F345="",FALSE,TRUE),OR(EXACT(metadata!F345,"Animal"),EXACT(metadata!F345,"Fungus"),EXACT(metadata!F345,"Plant")))</f>
        <v>0</v>
      </c>
      <c r="AI345" t="b">
        <f>AND(IF(metadata!G345="",FALSE,TRUE),OR(EXACT(metadata!G345,"Plant secretion"),EXACT(metadata!G345,"Plant rhizosphere"),EXACT(metadata!G345,"Plant surface"),EXACT(metadata!G345,"Plant corpus"),EXACT(metadata!G345,"Fungus surface"),EXACT(metadata!G345,"Fungus corpus"),EXACT(metadata!G345,"Animal surface"),EXACT(metadata!G345,"Animal proximal gut"),EXACT(metadata!G345,"Animal corpus"),EXACT(metadata!G345,"Animal distal gut"),EXACT(metadata!G345,"Animal secretion")))</f>
        <v>0</v>
      </c>
      <c r="AJ345" t="b">
        <f>OR(AND(IF(metadata!H345="",FALSE,TRUE),OR(EXACT(metadata!H345,"missing: not collected"),EXACT(metadata!H345,"missing: not provided"),EXACT(metadata!H345,"missing: restricted access"))),AND(IF(metadata!H345="",FALSE,TRUE),OR(EXACT(metadata!H345,"organism-associated habitat"),EXACT(metadata!H345,"plant-associated habitat"),EXACT(metadata!H345,"animal-associated habitat"),EXACT(metadata!H345,"insecta-associated habitat"),EXACT(metadata!H345,"mammalia-associated habitat"),EXACT(metadata!H345,"human-associated habitat"),EXACT(metadata!H345,"livestock-associated habitat"))))</f>
        <v>0</v>
      </c>
      <c r="AK345" t="b">
        <f>AND(IF(metadata!I345="",FALSE,TRUE),EXACT(metadata!I345,"host-associated"))</f>
        <v>0</v>
      </c>
      <c r="AL345" t="b">
        <f>OR(AND(IF(metadata!J345="",FALSE,TRUE),OR(EXACT(metadata!J345,"not applicable"),EXACT(metadata!J345,"missing: not collected"),EXACT(metadata!J345,"missing: not provided"),EXACT(metadata!J345,"missing: restricted access"))),AND(IF(metadata!J345="",FALSE,ISNUMBER(VALUE(metadata!J345))),metadata!J345&gt;0))</f>
        <v>0</v>
      </c>
      <c r="AM345" t="b">
        <f>AND(IF(metadata!K345="",FALSE,TRUE),EXACT(metadata!K345,"missing: not provided"))</f>
        <v>0</v>
      </c>
      <c r="AN345" t="b">
        <f>IF(metadata!L345="",FALSE,TRUE)</f>
        <v>0</v>
      </c>
      <c r="AO345" t="b">
        <f>IF(metadata!M345="",FALSE,TRUE)</f>
        <v>0</v>
      </c>
      <c r="AP345" t="b">
        <f>OR(AND(IF(metadata!N345="",FALSE,TRUE),OR(EXACT(metadata!N345,"not applicable"),EXACT(metadata!N345,"missing: not collected"),EXACT(metadata!N345,"missing: not provided"))),AND(IF(metadata!N345="",FALSE,IF(ISERROR(INT(metadata!N345)),FALSE,INT(metadata!N345)=metadata!N345)),metadata!N345&gt;0))</f>
        <v>0</v>
      </c>
      <c r="AQ345" t="b">
        <f>AND(IF(metadata!O345="",FALSE,TRUE),EXACT(metadata!O345,"Not applicable"))</f>
        <v>0</v>
      </c>
      <c r="AR345" t="b">
        <f>OR(AND(IF(metadata!P345="",FALSE,TRUE),OR(EXACT(metadata!P345,"not applicable"),EXACT(metadata!P345,"missing: not collected"),EXACT(metadata!P345,"missing: not provided"),EXACT(metadata!P345,"missing: restricted access"))),IF(metadata!P345="",FALSE,IF(ISERROR(INT(metadata!P345)),FALSE,INT(metadata!P345)=metadata!P345)))</f>
        <v>0</v>
      </c>
      <c r="AS345" t="b">
        <f>AND(IF(metadata!Q345="",FALSE,TRUE),EXACT(metadata!Q345,"Not applicable"))</f>
        <v>0</v>
      </c>
      <c r="AT345" t="b">
        <f>OR(AND(IF(metadata!R345="",FALSE,TRUE),OR(EXACT(metadata!R345,"not applicable"),EXACT(metadata!R345,"missing: not collected"),EXACT(metadata!R345,"missing: not provided"),EXACT(metadata!R345,"missing: restricted access"))),AND(IF(metadata!R345="",FALSE,ISNUMBER(VALUE(metadata!R345))),metadata!R345&gt;0))</f>
        <v>0</v>
      </c>
      <c r="AU345" t="b">
        <f>AND(IF(metadata!S345="",FALSE,TRUE),EXACT(metadata!S345,"missing: not provided"))</f>
        <v>0</v>
      </c>
    </row>
    <row r="346" spans="1:47" x14ac:dyDescent="0.2">
      <c r="A346" s="5" t="str">
        <f ca="1">IF(B346=" "," ",HYPERLINK(CONCATENATE("#metadata!",ADDRESS(INDEX($Y$2:$Y$1001,MATCH(ROWS($W$2:W346),$W$2:$W$1001,0),0),1)),INDEX($AB$2:$AB$1001,MATCH(ROWS($W$2:W346),$W$2:$W$1001,0),0)))</f>
        <v xml:space="preserve"> </v>
      </c>
      <c r="B346" s="4" t="str">
        <f ca="1">IF(OR(INDEX($X$2:$X$1001,MATCH(ROWS($W$2:W346),$W$2:$W$1001,0),1)&gt;=100000,INDEX($AD$1005:$AU$1005,1,MATCH(COLUMNS($AD$1006:AD1006),$AD$1006:$AU$1006,0))&gt;=100000), " ",IF(INDEX($AD$2:$AU$1001,MATCH(ROWS($W$2:W346),$W$2:$W$1001,0),MATCH(COLUMNS($AD$1006:AD1006),$AD$1006:$AU$1006,0)), HYPERLINK("#",""), HYPERLINK(CONCATENATE("#metadata!", ADDRESS(INDEX($Y$2:$Y$1001,MATCH(ROWS($W$2:W346),$W$2:$W$1001,0),0), INDEX($AD$1004:$AU$1004,1,MATCH(COLUMNS($AD$1006:AD1006),$AD$1006:$AU$1006,0)))),"Fix")))</f>
        <v xml:space="preserve"> </v>
      </c>
      <c r="C346" s="4" t="str">
        <f ca="1">IF(OR(INDEX($X$2:$X$1001,MATCH(ROWS($W$2:W346),$W$2:$W$1001,0),1)&gt;=100000,INDEX($AD$1005:$AU$1005,1,MATCH(COLUMNS($AD$1006:AE1006),$AD$1006:$AU$1006,0))&gt;=100000), " ",IF(INDEX($AD$2:$AU$1001,MATCH(ROWS($W$2:W346),$W$2:$W$1001,0),MATCH(COLUMNS($AD$1006:AE1006),$AD$1006:$AU$1006,0)), HYPERLINK("#",""), HYPERLINK(CONCATENATE("#metadata!", ADDRESS(INDEX($Y$2:$Y$1001,MATCH(ROWS($W$2:W346),$W$2:$W$1001,0),0), INDEX($AD$1004:$AU$1004,1,MATCH(COLUMNS($AD$1006:AE1006),$AD$1006:$AU$1006,0)))),"Fix")))</f>
        <v xml:space="preserve"> </v>
      </c>
      <c r="D346" s="4" t="str">
        <f ca="1">IF(OR(INDEX($X$2:$X$1001,MATCH(ROWS($W$2:W346),$W$2:$W$1001,0),1)&gt;=100000,INDEX($AD$1005:$AU$1005,1,MATCH(COLUMNS($AD$1006:AF1006),$AD$1006:$AU$1006,0))&gt;=100000), " ",IF(INDEX($AD$2:$AU$1001,MATCH(ROWS($W$2:W346),$W$2:$W$1001,0),MATCH(COLUMNS($AD$1006:AF1006),$AD$1006:$AU$1006,0)), HYPERLINK("#",""), HYPERLINK(CONCATENATE("#metadata!", ADDRESS(INDEX($Y$2:$Y$1001,MATCH(ROWS($W$2:W346),$W$2:$W$1001,0),0), INDEX($AD$1004:$AU$1004,1,MATCH(COLUMNS($AD$1006:AF1006),$AD$1006:$AU$1006,0)))),"Fix")))</f>
        <v xml:space="preserve"> </v>
      </c>
      <c r="E346" s="4" t="str">
        <f ca="1">IF(OR(INDEX($X$2:$X$1001,MATCH(ROWS($W$2:W346),$W$2:$W$1001,0),1)&gt;=100000,INDEX($AD$1005:$AU$1005,1,MATCH(COLUMNS($AD$1006:AG1006),$AD$1006:$AU$1006,0))&gt;=100000), " ",IF(INDEX($AD$2:$AU$1001,MATCH(ROWS($W$2:W346),$W$2:$W$1001,0),MATCH(COLUMNS($AD$1006:AG1006),$AD$1006:$AU$1006,0)), HYPERLINK("#",""), HYPERLINK(CONCATENATE("#metadata!", ADDRESS(INDEX($Y$2:$Y$1001,MATCH(ROWS($W$2:W346),$W$2:$W$1001,0),0), INDEX($AD$1004:$AU$1004,1,MATCH(COLUMNS($AD$1006:AG1006),$AD$1006:$AU$1006,0)))),"Fix")))</f>
        <v xml:space="preserve"> </v>
      </c>
      <c r="F346" s="4" t="str">
        <f ca="1">IF(OR(INDEX($X$2:$X$1001,MATCH(ROWS($W$2:W346),$W$2:$W$1001,0),1)&gt;=100000,INDEX($AD$1005:$AU$1005,1,MATCH(COLUMNS($AD$1006:AH1006),$AD$1006:$AU$1006,0))&gt;=100000), " ",IF(INDEX($AD$2:$AU$1001,MATCH(ROWS($W$2:W346),$W$2:$W$1001,0),MATCH(COLUMNS($AD$1006:AH1006),$AD$1006:$AU$1006,0)), HYPERLINK("#",""), HYPERLINK(CONCATENATE("#metadata!", ADDRESS(INDEX($Y$2:$Y$1001,MATCH(ROWS($W$2:W346),$W$2:$W$1001,0),0), INDEX($AD$1004:$AU$1004,1,MATCH(COLUMNS($AD$1006:AH1006),$AD$1006:$AU$1006,0)))),"Fix")))</f>
        <v xml:space="preserve"> </v>
      </c>
      <c r="G346" s="4" t="str">
        <f ca="1">IF(OR(INDEX($X$2:$X$1001,MATCH(ROWS($W$2:W346),$W$2:$W$1001,0),1)&gt;=100000,INDEX($AD$1005:$AU$1005,1,MATCH(COLUMNS($AD$1006:AI1006),$AD$1006:$AU$1006,0))&gt;=100000), " ",IF(INDEX($AD$2:$AU$1001,MATCH(ROWS($W$2:W346),$W$2:$W$1001,0),MATCH(COLUMNS($AD$1006:AI1006),$AD$1006:$AU$1006,0)), HYPERLINK("#",""), HYPERLINK(CONCATENATE("#metadata!", ADDRESS(INDEX($Y$2:$Y$1001,MATCH(ROWS($W$2:W346),$W$2:$W$1001,0),0), INDEX($AD$1004:$AU$1004,1,MATCH(COLUMNS($AD$1006:AI1006),$AD$1006:$AU$1006,0)))),"Fix")))</f>
        <v xml:space="preserve"> </v>
      </c>
      <c r="H346" s="4" t="str">
        <f ca="1">IF(OR(INDEX($X$2:$X$1001,MATCH(ROWS($W$2:W346),$W$2:$W$1001,0),1)&gt;=100000,INDEX($AD$1005:$AU$1005,1,MATCH(COLUMNS($AD$1006:AJ1006),$AD$1006:$AU$1006,0))&gt;=100000), " ",IF(INDEX($AD$2:$AU$1001,MATCH(ROWS($W$2:W346),$W$2:$W$1001,0),MATCH(COLUMNS($AD$1006:AJ1006),$AD$1006:$AU$1006,0)), HYPERLINK("#",""), HYPERLINK(CONCATENATE("#metadata!", ADDRESS(INDEX($Y$2:$Y$1001,MATCH(ROWS($W$2:W346),$W$2:$W$1001,0),0), INDEX($AD$1004:$AU$1004,1,MATCH(COLUMNS($AD$1006:AJ1006),$AD$1006:$AU$1006,0)))),"Fix")))</f>
        <v xml:space="preserve"> </v>
      </c>
      <c r="I346" s="4" t="str">
        <f ca="1">IF(OR(INDEX($X$2:$X$1001,MATCH(ROWS($W$2:W346),$W$2:$W$1001,0),1)&gt;=100000,INDEX($AD$1005:$AU$1005,1,MATCH(COLUMNS($AD$1006:AK1006),$AD$1006:$AU$1006,0))&gt;=100000), " ",IF(INDEX($AD$2:$AU$1001,MATCH(ROWS($W$2:W346),$W$2:$W$1001,0),MATCH(COLUMNS($AD$1006:AK1006),$AD$1006:$AU$1006,0)), HYPERLINK("#",""), HYPERLINK(CONCATENATE("#metadata!", ADDRESS(INDEX($Y$2:$Y$1001,MATCH(ROWS($W$2:W346),$W$2:$W$1001,0),0), INDEX($AD$1004:$AU$1004,1,MATCH(COLUMNS($AD$1006:AK1006),$AD$1006:$AU$1006,0)))),"Fix")))</f>
        <v xml:space="preserve"> </v>
      </c>
      <c r="J346" s="4" t="str">
        <f ca="1">IF(OR(INDEX($X$2:$X$1001,MATCH(ROWS($W$2:W346),$W$2:$W$1001,0),1)&gt;=100000,INDEX($AD$1005:$AU$1005,1,MATCH(COLUMNS($AD$1006:AL1006),$AD$1006:$AU$1006,0))&gt;=100000), " ",IF(INDEX($AD$2:$AU$1001,MATCH(ROWS($W$2:W346),$W$2:$W$1001,0),MATCH(COLUMNS($AD$1006:AL1006),$AD$1006:$AU$1006,0)), HYPERLINK("#",""), HYPERLINK(CONCATENATE("#metadata!", ADDRESS(INDEX($Y$2:$Y$1001,MATCH(ROWS($W$2:W346),$W$2:$W$1001,0),0), INDEX($AD$1004:$AU$1004,1,MATCH(COLUMNS($AD$1006:AL1006),$AD$1006:$AU$1006,0)))),"Fix")))</f>
        <v xml:space="preserve"> </v>
      </c>
      <c r="K346" s="4" t="str">
        <f ca="1">IF(OR(INDEX($X$2:$X$1001,MATCH(ROWS($W$2:W346),$W$2:$W$1001,0),1)&gt;=100000,INDEX($AD$1005:$AU$1005,1,MATCH(COLUMNS($AD$1006:AM1006),$AD$1006:$AU$1006,0))&gt;=100000), " ",IF(INDEX($AD$2:$AU$1001,MATCH(ROWS($W$2:W346),$W$2:$W$1001,0),MATCH(COLUMNS($AD$1006:AM1006),$AD$1006:$AU$1006,0)), HYPERLINK("#",""), HYPERLINK(CONCATENATE("#metadata!", ADDRESS(INDEX($Y$2:$Y$1001,MATCH(ROWS($W$2:W346),$W$2:$W$1001,0),0), INDEX($AD$1004:$AU$1004,1,MATCH(COLUMNS($AD$1006:AM1006),$AD$1006:$AU$1006,0)))),"Fix")))</f>
        <v xml:space="preserve"> </v>
      </c>
      <c r="L346" s="4" t="str">
        <f ca="1">IF(OR(INDEX($X$2:$X$1001,MATCH(ROWS($W$2:W346),$W$2:$W$1001,0),1)&gt;=100000,INDEX($AD$1005:$AU$1005,1,MATCH(COLUMNS($AD$1006:AN1006),$AD$1006:$AU$1006,0))&gt;=100000), " ",IF(INDEX($AD$2:$AU$1001,MATCH(ROWS($W$2:W346),$W$2:$W$1001,0),MATCH(COLUMNS($AD$1006:AN1006),$AD$1006:$AU$1006,0)), HYPERLINK("#",""), HYPERLINK(CONCATENATE("#metadata!", ADDRESS(INDEX($Y$2:$Y$1001,MATCH(ROWS($W$2:W346),$W$2:$W$1001,0),0), INDEX($AD$1004:$AU$1004,1,MATCH(COLUMNS($AD$1006:AN1006),$AD$1006:$AU$1006,0)))),"Fix")))</f>
        <v xml:space="preserve"> </v>
      </c>
      <c r="M346" s="4" t="str">
        <f ca="1">IF(OR(INDEX($X$2:$X$1001,MATCH(ROWS($W$2:W346),$W$2:$W$1001,0),1)&gt;=100000,INDEX($AD$1005:$AU$1005,1,MATCH(COLUMNS($AD$1006:AO1006),$AD$1006:$AU$1006,0))&gt;=100000), " ",IF(INDEX($AD$2:$AU$1001,MATCH(ROWS($W$2:W346),$W$2:$W$1001,0),MATCH(COLUMNS($AD$1006:AO1006),$AD$1006:$AU$1006,0)), HYPERLINK("#",""), HYPERLINK(CONCATENATE("#metadata!", ADDRESS(INDEX($Y$2:$Y$1001,MATCH(ROWS($W$2:W346),$W$2:$W$1001,0),0), INDEX($AD$1004:$AU$1004,1,MATCH(COLUMNS($AD$1006:AO1006),$AD$1006:$AU$1006,0)))),"Fix")))</f>
        <v xml:space="preserve"> </v>
      </c>
      <c r="N346" s="4" t="str">
        <f ca="1">IF(OR(INDEX($X$2:$X$1001,MATCH(ROWS($W$2:W346),$W$2:$W$1001,0),1)&gt;=100000,INDEX($AD$1005:$AU$1005,1,MATCH(COLUMNS($AD$1006:AP1006),$AD$1006:$AU$1006,0))&gt;=100000), " ",IF(INDEX($AD$2:$AU$1001,MATCH(ROWS($W$2:W346),$W$2:$W$1001,0),MATCH(COLUMNS($AD$1006:AP1006),$AD$1006:$AU$1006,0)), HYPERLINK("#",""), HYPERLINK(CONCATENATE("#metadata!", ADDRESS(INDEX($Y$2:$Y$1001,MATCH(ROWS($W$2:W346),$W$2:$W$1001,0),0), INDEX($AD$1004:$AU$1004,1,MATCH(COLUMNS($AD$1006:AP1006),$AD$1006:$AU$1006,0)))),"Fix")))</f>
        <v xml:space="preserve"> </v>
      </c>
      <c r="O346" s="4" t="str">
        <f ca="1">IF(OR(INDEX($X$2:$X$1001,MATCH(ROWS($W$2:W346),$W$2:$W$1001,0),1)&gt;=100000,INDEX($AD$1005:$AU$1005,1,MATCH(COLUMNS($AD$1006:AQ1006),$AD$1006:$AU$1006,0))&gt;=100000), " ",IF(INDEX($AD$2:$AU$1001,MATCH(ROWS($W$2:W346),$W$2:$W$1001,0),MATCH(COLUMNS($AD$1006:AQ1006),$AD$1006:$AU$1006,0)), HYPERLINK("#",""), HYPERLINK(CONCATENATE("#metadata!", ADDRESS(INDEX($Y$2:$Y$1001,MATCH(ROWS($W$2:W346),$W$2:$W$1001,0),0), INDEX($AD$1004:$AU$1004,1,MATCH(COLUMNS($AD$1006:AQ1006),$AD$1006:$AU$1006,0)))),"Fix")))</f>
        <v xml:space="preserve"> </v>
      </c>
      <c r="P346" s="4" t="str">
        <f ca="1">IF(OR(INDEX($X$2:$X$1001,MATCH(ROWS($W$2:W346),$W$2:$W$1001,0),1)&gt;=100000,INDEX($AD$1005:$AU$1005,1,MATCH(COLUMNS($AD$1006:AR1006),$AD$1006:$AU$1006,0))&gt;=100000), " ",IF(INDEX($AD$2:$AU$1001,MATCH(ROWS($W$2:W346),$W$2:$W$1001,0),MATCH(COLUMNS($AD$1006:AR1006),$AD$1006:$AU$1006,0)), HYPERLINK("#",""), HYPERLINK(CONCATENATE("#metadata!", ADDRESS(INDEX($Y$2:$Y$1001,MATCH(ROWS($W$2:W346),$W$2:$W$1001,0),0), INDEX($AD$1004:$AU$1004,1,MATCH(COLUMNS($AD$1006:AR1006),$AD$1006:$AU$1006,0)))),"Fix")))</f>
        <v xml:space="preserve"> </v>
      </c>
      <c r="Q346" s="4" t="str">
        <f ca="1">IF(OR(INDEX($X$2:$X$1001,MATCH(ROWS($W$2:W346),$W$2:$W$1001,0),1)&gt;=100000,INDEX($AD$1005:$AU$1005,1,MATCH(COLUMNS($AD$1006:AS1006),$AD$1006:$AU$1006,0))&gt;=100000), " ",IF(INDEX($AD$2:$AU$1001,MATCH(ROWS($W$2:W346),$W$2:$W$1001,0),MATCH(COLUMNS($AD$1006:AS1006),$AD$1006:$AU$1006,0)), HYPERLINK("#",""), HYPERLINK(CONCATENATE("#metadata!", ADDRESS(INDEX($Y$2:$Y$1001,MATCH(ROWS($W$2:W346),$W$2:$W$1001,0),0), INDEX($AD$1004:$AU$1004,1,MATCH(COLUMNS($AD$1006:AS1006),$AD$1006:$AU$1006,0)))),"Fix")))</f>
        <v xml:space="preserve"> </v>
      </c>
      <c r="R346" s="4" t="str">
        <f ca="1">IF(OR(INDEX($X$2:$X$1001,MATCH(ROWS($W$2:W346),$W$2:$W$1001,0),1)&gt;=100000,INDEX($AD$1005:$AU$1005,1,MATCH(COLUMNS($AD$1006:AT1006),$AD$1006:$AU$1006,0))&gt;=100000), " ",IF(INDEX($AD$2:$AU$1001,MATCH(ROWS($W$2:W346),$W$2:$W$1001,0),MATCH(COLUMNS($AD$1006:AT1006),$AD$1006:$AU$1006,0)), HYPERLINK("#",""), HYPERLINK(CONCATENATE("#metadata!", ADDRESS(INDEX($Y$2:$Y$1001,MATCH(ROWS($W$2:W346),$W$2:$W$1001,0),0), INDEX($AD$1004:$AU$1004,1,MATCH(COLUMNS($AD$1006:AT1006),$AD$1006:$AU$1006,0)))),"Fix")))</f>
        <v xml:space="preserve"> </v>
      </c>
      <c r="S346" s="4" t="str">
        <f ca="1">IF(OR(INDEX($X$2:$X$1001,MATCH(ROWS($W$2:W346),$W$2:$W$1001,0),1)&gt;=100000,INDEX($AD$1005:$AU$1005,1,MATCH(COLUMNS($AD$1006:AU1006),$AD$1006:$AU$1006,0))&gt;=100000), " ",IF(INDEX($AD$2:$AU$1001,MATCH(ROWS($W$2:W346),$W$2:$W$1001,0),MATCH(COLUMNS($AD$1006:AU1006),$AD$1006:$AU$1006,0)), HYPERLINK("#",""), HYPERLINK(CONCATENATE("#metadata!", ADDRESS(INDEX($Y$2:$Y$1001,MATCH(ROWS($W$2:W346),$W$2:$W$1001,0),0), INDEX($AD$1004:$AU$1004,1,MATCH(COLUMNS($AD$1006:AU1006),$AD$1006:$AU$1006,0)))),"Fix")))</f>
        <v xml:space="preserve"> </v>
      </c>
      <c r="W346">
        <v>345</v>
      </c>
      <c r="X346">
        <v>100346</v>
      </c>
      <c r="Y346">
        <v>346</v>
      </c>
      <c r="Z346" t="b">
        <f t="shared" si="5"/>
        <v>1</v>
      </c>
      <c r="AA346" t="b">
        <f>COUNTBLANK(metadata!B346:S346)=COLUMNS(metadata!B346:S346)</f>
        <v>1</v>
      </c>
      <c r="AB346" t="str">
        <v/>
      </c>
      <c r="AD346" t="b">
        <f ca="1">AND(IF(metadata!B346="",FALSE,TRUE),COUNTIF(metadata!B:B, metadata!B346) = 1,NOT(ISERROR(SUMPRODUCT(SEARCH(MID(metadata!B346,ROW(INDIRECT("1:"&amp;LEN(metadata!B346))), 1),"0123456789abcdefghijklmnopqrstuvwxyzABCDEFGHIJKLMNOPQRSTUVWXYZ.")))))</f>
        <v>0</v>
      </c>
      <c r="AE346" t="b">
        <f>OR(AND(IF(metadata!C346="",FALSE,TRUE),OR(EXACT(metadata!C346,"not applicable"),EXACT(metadata!C346,"missing: not collected"),EXACT(metadata!C346,"missing: not provided"),EXACT(metadata!C346,"missing: restricted access"))),AND(IF(metadata!C346="",FALSE,ISNUMBER(VALUE(metadata!C346))),metadata!C346&gt;0))</f>
        <v>0</v>
      </c>
      <c r="AF346" t="b">
        <f>AND(IF(metadata!D346="",FALSE,TRUE),EXACT(metadata!D346,"missing: not provided"))</f>
        <v>0</v>
      </c>
      <c r="AG346" t="b">
        <f>AND(IF(metadata!E346="",FALSE,TRUE),EXACT(metadata!E346,"Host-associated"))</f>
        <v>0</v>
      </c>
      <c r="AH346" t="b">
        <f>AND(IF(metadata!F346="",FALSE,TRUE),OR(EXACT(metadata!F346,"Animal"),EXACT(metadata!F346,"Fungus"),EXACT(metadata!F346,"Plant")))</f>
        <v>0</v>
      </c>
      <c r="AI346" t="b">
        <f>AND(IF(metadata!G346="",FALSE,TRUE),OR(EXACT(metadata!G346,"Plant secretion"),EXACT(metadata!G346,"Plant rhizosphere"),EXACT(metadata!G346,"Plant surface"),EXACT(metadata!G346,"Plant corpus"),EXACT(metadata!G346,"Fungus surface"),EXACT(metadata!G346,"Fungus corpus"),EXACT(metadata!G346,"Animal surface"),EXACT(metadata!G346,"Animal proximal gut"),EXACT(metadata!G346,"Animal corpus"),EXACT(metadata!G346,"Animal distal gut"),EXACT(metadata!G346,"Animal secretion")))</f>
        <v>0</v>
      </c>
      <c r="AJ346" t="b">
        <f>OR(AND(IF(metadata!H346="",FALSE,TRUE),OR(EXACT(metadata!H346,"missing: not collected"),EXACT(metadata!H346,"missing: not provided"),EXACT(metadata!H346,"missing: restricted access"))),AND(IF(metadata!H346="",FALSE,TRUE),OR(EXACT(metadata!H346,"organism-associated habitat"),EXACT(metadata!H346,"plant-associated habitat"),EXACT(metadata!H346,"animal-associated habitat"),EXACT(metadata!H346,"insecta-associated habitat"),EXACT(metadata!H346,"mammalia-associated habitat"),EXACT(metadata!H346,"human-associated habitat"),EXACT(metadata!H346,"livestock-associated habitat"))))</f>
        <v>0</v>
      </c>
      <c r="AK346" t="b">
        <f>AND(IF(metadata!I346="",FALSE,TRUE),EXACT(metadata!I346,"host-associated"))</f>
        <v>0</v>
      </c>
      <c r="AL346" t="b">
        <f>OR(AND(IF(metadata!J346="",FALSE,TRUE),OR(EXACT(metadata!J346,"not applicable"),EXACT(metadata!J346,"missing: not collected"),EXACT(metadata!J346,"missing: not provided"),EXACT(metadata!J346,"missing: restricted access"))),AND(IF(metadata!J346="",FALSE,ISNUMBER(VALUE(metadata!J346))),metadata!J346&gt;0))</f>
        <v>0</v>
      </c>
      <c r="AM346" t="b">
        <f>AND(IF(metadata!K346="",FALSE,TRUE),EXACT(metadata!K346,"missing: not provided"))</f>
        <v>0</v>
      </c>
      <c r="AN346" t="b">
        <f>IF(metadata!L346="",FALSE,TRUE)</f>
        <v>0</v>
      </c>
      <c r="AO346" t="b">
        <f>IF(metadata!M346="",FALSE,TRUE)</f>
        <v>0</v>
      </c>
      <c r="AP346" t="b">
        <f>OR(AND(IF(metadata!N346="",FALSE,TRUE),OR(EXACT(metadata!N346,"not applicable"),EXACT(metadata!N346,"missing: not collected"),EXACT(metadata!N346,"missing: not provided"))),AND(IF(metadata!N346="",FALSE,IF(ISERROR(INT(metadata!N346)),FALSE,INT(metadata!N346)=metadata!N346)),metadata!N346&gt;0))</f>
        <v>0</v>
      </c>
      <c r="AQ346" t="b">
        <f>AND(IF(metadata!O346="",FALSE,TRUE),EXACT(metadata!O346,"Not applicable"))</f>
        <v>0</v>
      </c>
      <c r="AR346" t="b">
        <f>OR(AND(IF(metadata!P346="",FALSE,TRUE),OR(EXACT(metadata!P346,"not applicable"),EXACT(metadata!P346,"missing: not collected"),EXACT(metadata!P346,"missing: not provided"),EXACT(metadata!P346,"missing: restricted access"))),IF(metadata!P346="",FALSE,IF(ISERROR(INT(metadata!P346)),FALSE,INT(metadata!P346)=metadata!P346)))</f>
        <v>0</v>
      </c>
      <c r="AS346" t="b">
        <f>AND(IF(metadata!Q346="",FALSE,TRUE),EXACT(metadata!Q346,"Not applicable"))</f>
        <v>0</v>
      </c>
      <c r="AT346" t="b">
        <f>OR(AND(IF(metadata!R346="",FALSE,TRUE),OR(EXACT(metadata!R346,"not applicable"),EXACT(metadata!R346,"missing: not collected"),EXACT(metadata!R346,"missing: not provided"),EXACT(metadata!R346,"missing: restricted access"))),AND(IF(metadata!R346="",FALSE,ISNUMBER(VALUE(metadata!R346))),metadata!R346&gt;0))</f>
        <v>0</v>
      </c>
      <c r="AU346" t="b">
        <f>AND(IF(metadata!S346="",FALSE,TRUE),EXACT(metadata!S346,"missing: not provided"))</f>
        <v>0</v>
      </c>
    </row>
    <row r="347" spans="1:47" x14ac:dyDescent="0.2">
      <c r="A347" s="5" t="str">
        <f ca="1">IF(B347=" "," ",HYPERLINK(CONCATENATE("#metadata!",ADDRESS(INDEX($Y$2:$Y$1001,MATCH(ROWS($W$2:W347),$W$2:$W$1001,0),0),1)),INDEX($AB$2:$AB$1001,MATCH(ROWS($W$2:W347),$W$2:$W$1001,0),0)))</f>
        <v xml:space="preserve"> </v>
      </c>
      <c r="B347" s="4" t="str">
        <f ca="1">IF(OR(INDEX($X$2:$X$1001,MATCH(ROWS($W$2:W347),$W$2:$W$1001,0),1)&gt;=100000,INDEX($AD$1005:$AU$1005,1,MATCH(COLUMNS($AD$1006:AD1006),$AD$1006:$AU$1006,0))&gt;=100000), " ",IF(INDEX($AD$2:$AU$1001,MATCH(ROWS($W$2:W347),$W$2:$W$1001,0),MATCH(COLUMNS($AD$1006:AD1006),$AD$1006:$AU$1006,0)), HYPERLINK("#",""), HYPERLINK(CONCATENATE("#metadata!", ADDRESS(INDEX($Y$2:$Y$1001,MATCH(ROWS($W$2:W347),$W$2:$W$1001,0),0), INDEX($AD$1004:$AU$1004,1,MATCH(COLUMNS($AD$1006:AD1006),$AD$1006:$AU$1006,0)))),"Fix")))</f>
        <v xml:space="preserve"> </v>
      </c>
      <c r="C347" s="4" t="str">
        <f ca="1">IF(OR(INDEX($X$2:$X$1001,MATCH(ROWS($W$2:W347),$W$2:$W$1001,0),1)&gt;=100000,INDEX($AD$1005:$AU$1005,1,MATCH(COLUMNS($AD$1006:AE1006),$AD$1006:$AU$1006,0))&gt;=100000), " ",IF(INDEX($AD$2:$AU$1001,MATCH(ROWS($W$2:W347),$W$2:$W$1001,0),MATCH(COLUMNS($AD$1006:AE1006),$AD$1006:$AU$1006,0)), HYPERLINK("#",""), HYPERLINK(CONCATENATE("#metadata!", ADDRESS(INDEX($Y$2:$Y$1001,MATCH(ROWS($W$2:W347),$W$2:$W$1001,0),0), INDEX($AD$1004:$AU$1004,1,MATCH(COLUMNS($AD$1006:AE1006),$AD$1006:$AU$1006,0)))),"Fix")))</f>
        <v xml:space="preserve"> </v>
      </c>
      <c r="D347" s="4" t="str">
        <f ca="1">IF(OR(INDEX($X$2:$X$1001,MATCH(ROWS($W$2:W347),$W$2:$W$1001,0),1)&gt;=100000,INDEX($AD$1005:$AU$1005,1,MATCH(COLUMNS($AD$1006:AF1006),$AD$1006:$AU$1006,0))&gt;=100000), " ",IF(INDEX($AD$2:$AU$1001,MATCH(ROWS($W$2:W347),$W$2:$W$1001,0),MATCH(COLUMNS($AD$1006:AF1006),$AD$1006:$AU$1006,0)), HYPERLINK("#",""), HYPERLINK(CONCATENATE("#metadata!", ADDRESS(INDEX($Y$2:$Y$1001,MATCH(ROWS($W$2:W347),$W$2:$W$1001,0),0), INDEX($AD$1004:$AU$1004,1,MATCH(COLUMNS($AD$1006:AF1006),$AD$1006:$AU$1006,0)))),"Fix")))</f>
        <v xml:space="preserve"> </v>
      </c>
      <c r="E347" s="4" t="str">
        <f ca="1">IF(OR(INDEX($X$2:$X$1001,MATCH(ROWS($W$2:W347),$W$2:$W$1001,0),1)&gt;=100000,INDEX($AD$1005:$AU$1005,1,MATCH(COLUMNS($AD$1006:AG1006),$AD$1006:$AU$1006,0))&gt;=100000), " ",IF(INDEX($AD$2:$AU$1001,MATCH(ROWS($W$2:W347),$W$2:$W$1001,0),MATCH(COLUMNS($AD$1006:AG1006),$AD$1006:$AU$1006,0)), HYPERLINK("#",""), HYPERLINK(CONCATENATE("#metadata!", ADDRESS(INDEX($Y$2:$Y$1001,MATCH(ROWS($W$2:W347),$W$2:$W$1001,0),0), INDEX($AD$1004:$AU$1004,1,MATCH(COLUMNS($AD$1006:AG1006),$AD$1006:$AU$1006,0)))),"Fix")))</f>
        <v xml:space="preserve"> </v>
      </c>
      <c r="F347" s="4" t="str">
        <f ca="1">IF(OR(INDEX($X$2:$X$1001,MATCH(ROWS($W$2:W347),$W$2:$W$1001,0),1)&gt;=100000,INDEX($AD$1005:$AU$1005,1,MATCH(COLUMNS($AD$1006:AH1006),$AD$1006:$AU$1006,0))&gt;=100000), " ",IF(INDEX($AD$2:$AU$1001,MATCH(ROWS($W$2:W347),$W$2:$W$1001,0),MATCH(COLUMNS($AD$1006:AH1006),$AD$1006:$AU$1006,0)), HYPERLINK("#",""), HYPERLINK(CONCATENATE("#metadata!", ADDRESS(INDEX($Y$2:$Y$1001,MATCH(ROWS($W$2:W347),$W$2:$W$1001,0),0), INDEX($AD$1004:$AU$1004,1,MATCH(COLUMNS($AD$1006:AH1006),$AD$1006:$AU$1006,0)))),"Fix")))</f>
        <v xml:space="preserve"> </v>
      </c>
      <c r="G347" s="4" t="str">
        <f ca="1">IF(OR(INDEX($X$2:$X$1001,MATCH(ROWS($W$2:W347),$W$2:$W$1001,0),1)&gt;=100000,INDEX($AD$1005:$AU$1005,1,MATCH(COLUMNS($AD$1006:AI1006),$AD$1006:$AU$1006,0))&gt;=100000), " ",IF(INDEX($AD$2:$AU$1001,MATCH(ROWS($W$2:W347),$W$2:$W$1001,0),MATCH(COLUMNS($AD$1006:AI1006),$AD$1006:$AU$1006,0)), HYPERLINK("#",""), HYPERLINK(CONCATENATE("#metadata!", ADDRESS(INDEX($Y$2:$Y$1001,MATCH(ROWS($W$2:W347),$W$2:$W$1001,0),0), INDEX($AD$1004:$AU$1004,1,MATCH(COLUMNS($AD$1006:AI1006),$AD$1006:$AU$1006,0)))),"Fix")))</f>
        <v xml:space="preserve"> </v>
      </c>
      <c r="H347" s="4" t="str">
        <f ca="1">IF(OR(INDEX($X$2:$X$1001,MATCH(ROWS($W$2:W347),$W$2:$W$1001,0),1)&gt;=100000,INDEX($AD$1005:$AU$1005,1,MATCH(COLUMNS($AD$1006:AJ1006),$AD$1006:$AU$1006,0))&gt;=100000), " ",IF(INDEX($AD$2:$AU$1001,MATCH(ROWS($W$2:W347),$W$2:$W$1001,0),MATCH(COLUMNS($AD$1006:AJ1006),$AD$1006:$AU$1006,0)), HYPERLINK("#",""), HYPERLINK(CONCATENATE("#metadata!", ADDRESS(INDEX($Y$2:$Y$1001,MATCH(ROWS($W$2:W347),$W$2:$W$1001,0),0), INDEX($AD$1004:$AU$1004,1,MATCH(COLUMNS($AD$1006:AJ1006),$AD$1006:$AU$1006,0)))),"Fix")))</f>
        <v xml:space="preserve"> </v>
      </c>
      <c r="I347" s="4" t="str">
        <f ca="1">IF(OR(INDEX($X$2:$X$1001,MATCH(ROWS($W$2:W347),$W$2:$W$1001,0),1)&gt;=100000,INDEX($AD$1005:$AU$1005,1,MATCH(COLUMNS($AD$1006:AK1006),$AD$1006:$AU$1006,0))&gt;=100000), " ",IF(INDEX($AD$2:$AU$1001,MATCH(ROWS($W$2:W347),$W$2:$W$1001,0),MATCH(COLUMNS($AD$1006:AK1006),$AD$1006:$AU$1006,0)), HYPERLINK("#",""), HYPERLINK(CONCATENATE("#metadata!", ADDRESS(INDEX($Y$2:$Y$1001,MATCH(ROWS($W$2:W347),$W$2:$W$1001,0),0), INDEX($AD$1004:$AU$1004,1,MATCH(COLUMNS($AD$1006:AK1006),$AD$1006:$AU$1006,0)))),"Fix")))</f>
        <v xml:space="preserve"> </v>
      </c>
      <c r="J347" s="4" t="str">
        <f ca="1">IF(OR(INDEX($X$2:$X$1001,MATCH(ROWS($W$2:W347),$W$2:$W$1001,0),1)&gt;=100000,INDEX($AD$1005:$AU$1005,1,MATCH(COLUMNS($AD$1006:AL1006),$AD$1006:$AU$1006,0))&gt;=100000), " ",IF(INDEX($AD$2:$AU$1001,MATCH(ROWS($W$2:W347),$W$2:$W$1001,0),MATCH(COLUMNS($AD$1006:AL1006),$AD$1006:$AU$1006,0)), HYPERLINK("#",""), HYPERLINK(CONCATENATE("#metadata!", ADDRESS(INDEX($Y$2:$Y$1001,MATCH(ROWS($W$2:W347),$W$2:$W$1001,0),0), INDEX($AD$1004:$AU$1004,1,MATCH(COLUMNS($AD$1006:AL1006),$AD$1006:$AU$1006,0)))),"Fix")))</f>
        <v xml:space="preserve"> </v>
      </c>
      <c r="K347" s="4" t="str">
        <f ca="1">IF(OR(INDEX($X$2:$X$1001,MATCH(ROWS($W$2:W347),$W$2:$W$1001,0),1)&gt;=100000,INDEX($AD$1005:$AU$1005,1,MATCH(COLUMNS($AD$1006:AM1006),$AD$1006:$AU$1006,0))&gt;=100000), " ",IF(INDEX($AD$2:$AU$1001,MATCH(ROWS($W$2:W347),$W$2:$W$1001,0),MATCH(COLUMNS($AD$1006:AM1006),$AD$1006:$AU$1006,0)), HYPERLINK("#",""), HYPERLINK(CONCATENATE("#metadata!", ADDRESS(INDEX($Y$2:$Y$1001,MATCH(ROWS($W$2:W347),$W$2:$W$1001,0),0), INDEX($AD$1004:$AU$1004,1,MATCH(COLUMNS($AD$1006:AM1006),$AD$1006:$AU$1006,0)))),"Fix")))</f>
        <v xml:space="preserve"> </v>
      </c>
      <c r="L347" s="4" t="str">
        <f ca="1">IF(OR(INDEX($X$2:$X$1001,MATCH(ROWS($W$2:W347),$W$2:$W$1001,0),1)&gt;=100000,INDEX($AD$1005:$AU$1005,1,MATCH(COLUMNS($AD$1006:AN1006),$AD$1006:$AU$1006,0))&gt;=100000), " ",IF(INDEX($AD$2:$AU$1001,MATCH(ROWS($W$2:W347),$W$2:$W$1001,0),MATCH(COLUMNS($AD$1006:AN1006),$AD$1006:$AU$1006,0)), HYPERLINK("#",""), HYPERLINK(CONCATENATE("#metadata!", ADDRESS(INDEX($Y$2:$Y$1001,MATCH(ROWS($W$2:W347),$W$2:$W$1001,0),0), INDEX($AD$1004:$AU$1004,1,MATCH(COLUMNS($AD$1006:AN1006),$AD$1006:$AU$1006,0)))),"Fix")))</f>
        <v xml:space="preserve"> </v>
      </c>
      <c r="M347" s="4" t="str">
        <f ca="1">IF(OR(INDEX($X$2:$X$1001,MATCH(ROWS($W$2:W347),$W$2:$W$1001,0),1)&gt;=100000,INDEX($AD$1005:$AU$1005,1,MATCH(COLUMNS($AD$1006:AO1006),$AD$1006:$AU$1006,0))&gt;=100000), " ",IF(INDEX($AD$2:$AU$1001,MATCH(ROWS($W$2:W347),$W$2:$W$1001,0),MATCH(COLUMNS($AD$1006:AO1006),$AD$1006:$AU$1006,0)), HYPERLINK("#",""), HYPERLINK(CONCATENATE("#metadata!", ADDRESS(INDEX($Y$2:$Y$1001,MATCH(ROWS($W$2:W347),$W$2:$W$1001,0),0), INDEX($AD$1004:$AU$1004,1,MATCH(COLUMNS($AD$1006:AO1006),$AD$1006:$AU$1006,0)))),"Fix")))</f>
        <v xml:space="preserve"> </v>
      </c>
      <c r="N347" s="4" t="str">
        <f ca="1">IF(OR(INDEX($X$2:$X$1001,MATCH(ROWS($W$2:W347),$W$2:$W$1001,0),1)&gt;=100000,INDEX($AD$1005:$AU$1005,1,MATCH(COLUMNS($AD$1006:AP1006),$AD$1006:$AU$1006,0))&gt;=100000), " ",IF(INDEX($AD$2:$AU$1001,MATCH(ROWS($W$2:W347),$W$2:$W$1001,0),MATCH(COLUMNS($AD$1006:AP1006),$AD$1006:$AU$1006,0)), HYPERLINK("#",""), HYPERLINK(CONCATENATE("#metadata!", ADDRESS(INDEX($Y$2:$Y$1001,MATCH(ROWS($W$2:W347),$W$2:$W$1001,0),0), INDEX($AD$1004:$AU$1004,1,MATCH(COLUMNS($AD$1006:AP1006),$AD$1006:$AU$1006,0)))),"Fix")))</f>
        <v xml:space="preserve"> </v>
      </c>
      <c r="O347" s="4" t="str">
        <f ca="1">IF(OR(INDEX($X$2:$X$1001,MATCH(ROWS($W$2:W347),$W$2:$W$1001,0),1)&gt;=100000,INDEX($AD$1005:$AU$1005,1,MATCH(COLUMNS($AD$1006:AQ1006),$AD$1006:$AU$1006,0))&gt;=100000), " ",IF(INDEX($AD$2:$AU$1001,MATCH(ROWS($W$2:W347),$W$2:$W$1001,0),MATCH(COLUMNS($AD$1006:AQ1006),$AD$1006:$AU$1006,0)), HYPERLINK("#",""), HYPERLINK(CONCATENATE("#metadata!", ADDRESS(INDEX($Y$2:$Y$1001,MATCH(ROWS($W$2:W347),$W$2:$W$1001,0),0), INDEX($AD$1004:$AU$1004,1,MATCH(COLUMNS($AD$1006:AQ1006),$AD$1006:$AU$1006,0)))),"Fix")))</f>
        <v xml:space="preserve"> </v>
      </c>
      <c r="P347" s="4" t="str">
        <f ca="1">IF(OR(INDEX($X$2:$X$1001,MATCH(ROWS($W$2:W347),$W$2:$W$1001,0),1)&gt;=100000,INDEX($AD$1005:$AU$1005,1,MATCH(COLUMNS($AD$1006:AR1006),$AD$1006:$AU$1006,0))&gt;=100000), " ",IF(INDEX($AD$2:$AU$1001,MATCH(ROWS($W$2:W347),$W$2:$W$1001,0),MATCH(COLUMNS($AD$1006:AR1006),$AD$1006:$AU$1006,0)), HYPERLINK("#",""), HYPERLINK(CONCATENATE("#metadata!", ADDRESS(INDEX($Y$2:$Y$1001,MATCH(ROWS($W$2:W347),$W$2:$W$1001,0),0), INDEX($AD$1004:$AU$1004,1,MATCH(COLUMNS($AD$1006:AR1006),$AD$1006:$AU$1006,0)))),"Fix")))</f>
        <v xml:space="preserve"> </v>
      </c>
      <c r="Q347" s="4" t="str">
        <f ca="1">IF(OR(INDEX($X$2:$X$1001,MATCH(ROWS($W$2:W347),$W$2:$W$1001,0),1)&gt;=100000,INDEX($AD$1005:$AU$1005,1,MATCH(COLUMNS($AD$1006:AS1006),$AD$1006:$AU$1006,0))&gt;=100000), " ",IF(INDEX($AD$2:$AU$1001,MATCH(ROWS($W$2:W347),$W$2:$W$1001,0),MATCH(COLUMNS($AD$1006:AS1006),$AD$1006:$AU$1006,0)), HYPERLINK("#",""), HYPERLINK(CONCATENATE("#metadata!", ADDRESS(INDEX($Y$2:$Y$1001,MATCH(ROWS($W$2:W347),$W$2:$W$1001,0),0), INDEX($AD$1004:$AU$1004,1,MATCH(COLUMNS($AD$1006:AS1006),$AD$1006:$AU$1006,0)))),"Fix")))</f>
        <v xml:space="preserve"> </v>
      </c>
      <c r="R347" s="4" t="str">
        <f ca="1">IF(OR(INDEX($X$2:$X$1001,MATCH(ROWS($W$2:W347),$W$2:$W$1001,0),1)&gt;=100000,INDEX($AD$1005:$AU$1005,1,MATCH(COLUMNS($AD$1006:AT1006),$AD$1006:$AU$1006,0))&gt;=100000), " ",IF(INDEX($AD$2:$AU$1001,MATCH(ROWS($W$2:W347),$W$2:$W$1001,0),MATCH(COLUMNS($AD$1006:AT1006),$AD$1006:$AU$1006,0)), HYPERLINK("#",""), HYPERLINK(CONCATENATE("#metadata!", ADDRESS(INDEX($Y$2:$Y$1001,MATCH(ROWS($W$2:W347),$W$2:$W$1001,0),0), INDEX($AD$1004:$AU$1004,1,MATCH(COLUMNS($AD$1006:AT1006),$AD$1006:$AU$1006,0)))),"Fix")))</f>
        <v xml:space="preserve"> </v>
      </c>
      <c r="S347" s="4" t="str">
        <f ca="1">IF(OR(INDEX($X$2:$X$1001,MATCH(ROWS($W$2:W347),$W$2:$W$1001,0),1)&gt;=100000,INDEX($AD$1005:$AU$1005,1,MATCH(COLUMNS($AD$1006:AU1006),$AD$1006:$AU$1006,0))&gt;=100000), " ",IF(INDEX($AD$2:$AU$1001,MATCH(ROWS($W$2:W347),$W$2:$W$1001,0),MATCH(COLUMNS($AD$1006:AU1006),$AD$1006:$AU$1006,0)), HYPERLINK("#",""), HYPERLINK(CONCATENATE("#metadata!", ADDRESS(INDEX($Y$2:$Y$1001,MATCH(ROWS($W$2:W347),$W$2:$W$1001,0),0), INDEX($AD$1004:$AU$1004,1,MATCH(COLUMNS($AD$1006:AU1006),$AD$1006:$AU$1006,0)))),"Fix")))</f>
        <v xml:space="preserve"> </v>
      </c>
      <c r="W347">
        <v>346</v>
      </c>
      <c r="X347">
        <v>100347</v>
      </c>
      <c r="Y347">
        <v>347</v>
      </c>
      <c r="Z347" t="b">
        <f t="shared" si="5"/>
        <v>1</v>
      </c>
      <c r="AA347" t="b">
        <f>COUNTBLANK(metadata!B347:S347)=COLUMNS(metadata!B347:S347)</f>
        <v>1</v>
      </c>
      <c r="AB347" t="str">
        <v/>
      </c>
      <c r="AD347" t="b">
        <f ca="1">AND(IF(metadata!B347="",FALSE,TRUE),COUNTIF(metadata!B:B, metadata!B347) = 1,NOT(ISERROR(SUMPRODUCT(SEARCH(MID(metadata!B347,ROW(INDIRECT("1:"&amp;LEN(metadata!B347))), 1),"0123456789abcdefghijklmnopqrstuvwxyzABCDEFGHIJKLMNOPQRSTUVWXYZ.")))))</f>
        <v>0</v>
      </c>
      <c r="AE347" t="b">
        <f>OR(AND(IF(metadata!C347="",FALSE,TRUE),OR(EXACT(metadata!C347,"not applicable"),EXACT(metadata!C347,"missing: not collected"),EXACT(metadata!C347,"missing: not provided"),EXACT(metadata!C347,"missing: restricted access"))),AND(IF(metadata!C347="",FALSE,ISNUMBER(VALUE(metadata!C347))),metadata!C347&gt;0))</f>
        <v>0</v>
      </c>
      <c r="AF347" t="b">
        <f>AND(IF(metadata!D347="",FALSE,TRUE),EXACT(metadata!D347,"missing: not provided"))</f>
        <v>0</v>
      </c>
      <c r="AG347" t="b">
        <f>AND(IF(metadata!E347="",FALSE,TRUE),EXACT(metadata!E347,"Host-associated"))</f>
        <v>0</v>
      </c>
      <c r="AH347" t="b">
        <f>AND(IF(metadata!F347="",FALSE,TRUE),OR(EXACT(metadata!F347,"Animal"),EXACT(metadata!F347,"Fungus"),EXACT(metadata!F347,"Plant")))</f>
        <v>0</v>
      </c>
      <c r="AI347" t="b">
        <f>AND(IF(metadata!G347="",FALSE,TRUE),OR(EXACT(metadata!G347,"Plant secretion"),EXACT(metadata!G347,"Plant rhizosphere"),EXACT(metadata!G347,"Plant surface"),EXACT(metadata!G347,"Plant corpus"),EXACT(metadata!G347,"Fungus surface"),EXACT(metadata!G347,"Fungus corpus"),EXACT(metadata!G347,"Animal surface"),EXACT(metadata!G347,"Animal proximal gut"),EXACT(metadata!G347,"Animal corpus"),EXACT(metadata!G347,"Animal distal gut"),EXACT(metadata!G347,"Animal secretion")))</f>
        <v>0</v>
      </c>
      <c r="AJ347" t="b">
        <f>OR(AND(IF(metadata!H347="",FALSE,TRUE),OR(EXACT(metadata!H347,"missing: not collected"),EXACT(metadata!H347,"missing: not provided"),EXACT(metadata!H347,"missing: restricted access"))),AND(IF(metadata!H347="",FALSE,TRUE),OR(EXACT(metadata!H347,"organism-associated habitat"),EXACT(metadata!H347,"plant-associated habitat"),EXACT(metadata!H347,"animal-associated habitat"),EXACT(metadata!H347,"insecta-associated habitat"),EXACT(metadata!H347,"mammalia-associated habitat"),EXACT(metadata!H347,"human-associated habitat"),EXACT(metadata!H347,"livestock-associated habitat"))))</f>
        <v>0</v>
      </c>
      <c r="AK347" t="b">
        <f>AND(IF(metadata!I347="",FALSE,TRUE),EXACT(metadata!I347,"host-associated"))</f>
        <v>0</v>
      </c>
      <c r="AL347" t="b">
        <f>OR(AND(IF(metadata!J347="",FALSE,TRUE),OR(EXACT(metadata!J347,"not applicable"),EXACT(metadata!J347,"missing: not collected"),EXACT(metadata!J347,"missing: not provided"),EXACT(metadata!J347,"missing: restricted access"))),AND(IF(metadata!J347="",FALSE,ISNUMBER(VALUE(metadata!J347))),metadata!J347&gt;0))</f>
        <v>0</v>
      </c>
      <c r="AM347" t="b">
        <f>AND(IF(metadata!K347="",FALSE,TRUE),EXACT(metadata!K347,"missing: not provided"))</f>
        <v>0</v>
      </c>
      <c r="AN347" t="b">
        <f>IF(metadata!L347="",FALSE,TRUE)</f>
        <v>0</v>
      </c>
      <c r="AO347" t="b">
        <f>IF(metadata!M347="",FALSE,TRUE)</f>
        <v>0</v>
      </c>
      <c r="AP347" t="b">
        <f>OR(AND(IF(metadata!N347="",FALSE,TRUE),OR(EXACT(metadata!N347,"not applicable"),EXACT(metadata!N347,"missing: not collected"),EXACT(metadata!N347,"missing: not provided"))),AND(IF(metadata!N347="",FALSE,IF(ISERROR(INT(metadata!N347)),FALSE,INT(metadata!N347)=metadata!N347)),metadata!N347&gt;0))</f>
        <v>0</v>
      </c>
      <c r="AQ347" t="b">
        <f>AND(IF(metadata!O347="",FALSE,TRUE),EXACT(metadata!O347,"Not applicable"))</f>
        <v>0</v>
      </c>
      <c r="AR347" t="b">
        <f>OR(AND(IF(metadata!P347="",FALSE,TRUE),OR(EXACT(metadata!P347,"not applicable"),EXACT(metadata!P347,"missing: not collected"),EXACT(metadata!P347,"missing: not provided"),EXACT(metadata!P347,"missing: restricted access"))),IF(metadata!P347="",FALSE,IF(ISERROR(INT(metadata!P347)),FALSE,INT(metadata!P347)=metadata!P347)))</f>
        <v>0</v>
      </c>
      <c r="AS347" t="b">
        <f>AND(IF(metadata!Q347="",FALSE,TRUE),EXACT(metadata!Q347,"Not applicable"))</f>
        <v>0</v>
      </c>
      <c r="AT347" t="b">
        <f>OR(AND(IF(metadata!R347="",FALSE,TRUE),OR(EXACT(metadata!R347,"not applicable"),EXACT(metadata!R347,"missing: not collected"),EXACT(metadata!R347,"missing: not provided"),EXACT(metadata!R347,"missing: restricted access"))),AND(IF(metadata!R347="",FALSE,ISNUMBER(VALUE(metadata!R347))),metadata!R347&gt;0))</f>
        <v>0</v>
      </c>
      <c r="AU347" t="b">
        <f>AND(IF(metadata!S347="",FALSE,TRUE),EXACT(metadata!S347,"missing: not provided"))</f>
        <v>0</v>
      </c>
    </row>
    <row r="348" spans="1:47" x14ac:dyDescent="0.2">
      <c r="A348" s="5" t="str">
        <f ca="1">IF(B348=" "," ",HYPERLINK(CONCATENATE("#metadata!",ADDRESS(INDEX($Y$2:$Y$1001,MATCH(ROWS($W$2:W348),$W$2:$W$1001,0),0),1)),INDEX($AB$2:$AB$1001,MATCH(ROWS($W$2:W348),$W$2:$W$1001,0),0)))</f>
        <v xml:space="preserve"> </v>
      </c>
      <c r="B348" s="4" t="str">
        <f ca="1">IF(OR(INDEX($X$2:$X$1001,MATCH(ROWS($W$2:W348),$W$2:$W$1001,0),1)&gt;=100000,INDEX($AD$1005:$AU$1005,1,MATCH(COLUMNS($AD$1006:AD1006),$AD$1006:$AU$1006,0))&gt;=100000), " ",IF(INDEX($AD$2:$AU$1001,MATCH(ROWS($W$2:W348),$W$2:$W$1001,0),MATCH(COLUMNS($AD$1006:AD1006),$AD$1006:$AU$1006,0)), HYPERLINK("#",""), HYPERLINK(CONCATENATE("#metadata!", ADDRESS(INDEX($Y$2:$Y$1001,MATCH(ROWS($W$2:W348),$W$2:$W$1001,0),0), INDEX($AD$1004:$AU$1004,1,MATCH(COLUMNS($AD$1006:AD1006),$AD$1006:$AU$1006,0)))),"Fix")))</f>
        <v xml:space="preserve"> </v>
      </c>
      <c r="C348" s="4" t="str">
        <f ca="1">IF(OR(INDEX($X$2:$X$1001,MATCH(ROWS($W$2:W348),$W$2:$W$1001,0),1)&gt;=100000,INDEX($AD$1005:$AU$1005,1,MATCH(COLUMNS($AD$1006:AE1006),$AD$1006:$AU$1006,0))&gt;=100000), " ",IF(INDEX($AD$2:$AU$1001,MATCH(ROWS($W$2:W348),$W$2:$W$1001,0),MATCH(COLUMNS($AD$1006:AE1006),$AD$1006:$AU$1006,0)), HYPERLINK("#",""), HYPERLINK(CONCATENATE("#metadata!", ADDRESS(INDEX($Y$2:$Y$1001,MATCH(ROWS($W$2:W348),$W$2:$W$1001,0),0), INDEX($AD$1004:$AU$1004,1,MATCH(COLUMNS($AD$1006:AE1006),$AD$1006:$AU$1006,0)))),"Fix")))</f>
        <v xml:space="preserve"> </v>
      </c>
      <c r="D348" s="4" t="str">
        <f ca="1">IF(OR(INDEX($X$2:$X$1001,MATCH(ROWS($W$2:W348),$W$2:$W$1001,0),1)&gt;=100000,INDEX($AD$1005:$AU$1005,1,MATCH(COLUMNS($AD$1006:AF1006),$AD$1006:$AU$1006,0))&gt;=100000), " ",IF(INDEX($AD$2:$AU$1001,MATCH(ROWS($W$2:W348),$W$2:$W$1001,0),MATCH(COLUMNS($AD$1006:AF1006),$AD$1006:$AU$1006,0)), HYPERLINK("#",""), HYPERLINK(CONCATENATE("#metadata!", ADDRESS(INDEX($Y$2:$Y$1001,MATCH(ROWS($W$2:W348),$W$2:$W$1001,0),0), INDEX($AD$1004:$AU$1004,1,MATCH(COLUMNS($AD$1006:AF1006),$AD$1006:$AU$1006,0)))),"Fix")))</f>
        <v xml:space="preserve"> </v>
      </c>
      <c r="E348" s="4" t="str">
        <f ca="1">IF(OR(INDEX($X$2:$X$1001,MATCH(ROWS($W$2:W348),$W$2:$W$1001,0),1)&gt;=100000,INDEX($AD$1005:$AU$1005,1,MATCH(COLUMNS($AD$1006:AG1006),$AD$1006:$AU$1006,0))&gt;=100000), " ",IF(INDEX($AD$2:$AU$1001,MATCH(ROWS($W$2:W348),$W$2:$W$1001,0),MATCH(COLUMNS($AD$1006:AG1006),$AD$1006:$AU$1006,0)), HYPERLINK("#",""), HYPERLINK(CONCATENATE("#metadata!", ADDRESS(INDEX($Y$2:$Y$1001,MATCH(ROWS($W$2:W348),$W$2:$W$1001,0),0), INDEX($AD$1004:$AU$1004,1,MATCH(COLUMNS($AD$1006:AG1006),$AD$1006:$AU$1006,0)))),"Fix")))</f>
        <v xml:space="preserve"> </v>
      </c>
      <c r="F348" s="4" t="str">
        <f ca="1">IF(OR(INDEX($X$2:$X$1001,MATCH(ROWS($W$2:W348),$W$2:$W$1001,0),1)&gt;=100000,INDEX($AD$1005:$AU$1005,1,MATCH(COLUMNS($AD$1006:AH1006),$AD$1006:$AU$1006,0))&gt;=100000), " ",IF(INDEX($AD$2:$AU$1001,MATCH(ROWS($W$2:W348),$W$2:$W$1001,0),MATCH(COLUMNS($AD$1006:AH1006),$AD$1006:$AU$1006,0)), HYPERLINK("#",""), HYPERLINK(CONCATENATE("#metadata!", ADDRESS(INDEX($Y$2:$Y$1001,MATCH(ROWS($W$2:W348),$W$2:$W$1001,0),0), INDEX($AD$1004:$AU$1004,1,MATCH(COLUMNS($AD$1006:AH1006),$AD$1006:$AU$1006,0)))),"Fix")))</f>
        <v xml:space="preserve"> </v>
      </c>
      <c r="G348" s="4" t="str">
        <f ca="1">IF(OR(INDEX($X$2:$X$1001,MATCH(ROWS($W$2:W348),$W$2:$W$1001,0),1)&gt;=100000,INDEX($AD$1005:$AU$1005,1,MATCH(COLUMNS($AD$1006:AI1006),$AD$1006:$AU$1006,0))&gt;=100000), " ",IF(INDEX($AD$2:$AU$1001,MATCH(ROWS($W$2:W348),$W$2:$W$1001,0),MATCH(COLUMNS($AD$1006:AI1006),$AD$1006:$AU$1006,0)), HYPERLINK("#",""), HYPERLINK(CONCATENATE("#metadata!", ADDRESS(INDEX($Y$2:$Y$1001,MATCH(ROWS($W$2:W348),$W$2:$W$1001,0),0), INDEX($AD$1004:$AU$1004,1,MATCH(COLUMNS($AD$1006:AI1006),$AD$1006:$AU$1006,0)))),"Fix")))</f>
        <v xml:space="preserve"> </v>
      </c>
      <c r="H348" s="4" t="str">
        <f ca="1">IF(OR(INDEX($X$2:$X$1001,MATCH(ROWS($W$2:W348),$W$2:$W$1001,0),1)&gt;=100000,INDEX($AD$1005:$AU$1005,1,MATCH(COLUMNS($AD$1006:AJ1006),$AD$1006:$AU$1006,0))&gt;=100000), " ",IF(INDEX($AD$2:$AU$1001,MATCH(ROWS($W$2:W348),$W$2:$W$1001,0),MATCH(COLUMNS($AD$1006:AJ1006),$AD$1006:$AU$1006,0)), HYPERLINK("#",""), HYPERLINK(CONCATENATE("#metadata!", ADDRESS(INDEX($Y$2:$Y$1001,MATCH(ROWS($W$2:W348),$W$2:$W$1001,0),0), INDEX($AD$1004:$AU$1004,1,MATCH(COLUMNS($AD$1006:AJ1006),$AD$1006:$AU$1006,0)))),"Fix")))</f>
        <v xml:space="preserve"> </v>
      </c>
      <c r="I348" s="4" t="str">
        <f ca="1">IF(OR(INDEX($X$2:$X$1001,MATCH(ROWS($W$2:W348),$W$2:$W$1001,0),1)&gt;=100000,INDEX($AD$1005:$AU$1005,1,MATCH(COLUMNS($AD$1006:AK1006),$AD$1006:$AU$1006,0))&gt;=100000), " ",IF(INDEX($AD$2:$AU$1001,MATCH(ROWS($W$2:W348),$W$2:$W$1001,0),MATCH(COLUMNS($AD$1006:AK1006),$AD$1006:$AU$1006,0)), HYPERLINK("#",""), HYPERLINK(CONCATENATE("#metadata!", ADDRESS(INDEX($Y$2:$Y$1001,MATCH(ROWS($W$2:W348),$W$2:$W$1001,0),0), INDEX($AD$1004:$AU$1004,1,MATCH(COLUMNS($AD$1006:AK1006),$AD$1006:$AU$1006,0)))),"Fix")))</f>
        <v xml:space="preserve"> </v>
      </c>
      <c r="J348" s="4" t="str">
        <f ca="1">IF(OR(INDEX($X$2:$X$1001,MATCH(ROWS($W$2:W348),$W$2:$W$1001,0),1)&gt;=100000,INDEX($AD$1005:$AU$1005,1,MATCH(COLUMNS($AD$1006:AL1006),$AD$1006:$AU$1006,0))&gt;=100000), " ",IF(INDEX($AD$2:$AU$1001,MATCH(ROWS($W$2:W348),$W$2:$W$1001,0),MATCH(COLUMNS($AD$1006:AL1006),$AD$1006:$AU$1006,0)), HYPERLINK("#",""), HYPERLINK(CONCATENATE("#metadata!", ADDRESS(INDEX($Y$2:$Y$1001,MATCH(ROWS($W$2:W348),$W$2:$W$1001,0),0), INDEX($AD$1004:$AU$1004,1,MATCH(COLUMNS($AD$1006:AL1006),$AD$1006:$AU$1006,0)))),"Fix")))</f>
        <v xml:space="preserve"> </v>
      </c>
      <c r="K348" s="4" t="str">
        <f ca="1">IF(OR(INDEX($X$2:$X$1001,MATCH(ROWS($W$2:W348),$W$2:$W$1001,0),1)&gt;=100000,INDEX($AD$1005:$AU$1005,1,MATCH(COLUMNS($AD$1006:AM1006),$AD$1006:$AU$1006,0))&gt;=100000), " ",IF(INDEX($AD$2:$AU$1001,MATCH(ROWS($W$2:W348),$W$2:$W$1001,0),MATCH(COLUMNS($AD$1006:AM1006),$AD$1006:$AU$1006,0)), HYPERLINK("#",""), HYPERLINK(CONCATENATE("#metadata!", ADDRESS(INDEX($Y$2:$Y$1001,MATCH(ROWS($W$2:W348),$W$2:$W$1001,0),0), INDEX($AD$1004:$AU$1004,1,MATCH(COLUMNS($AD$1006:AM1006),$AD$1006:$AU$1006,0)))),"Fix")))</f>
        <v xml:space="preserve"> </v>
      </c>
      <c r="L348" s="4" t="str">
        <f ca="1">IF(OR(INDEX($X$2:$X$1001,MATCH(ROWS($W$2:W348),$W$2:$W$1001,0),1)&gt;=100000,INDEX($AD$1005:$AU$1005,1,MATCH(COLUMNS($AD$1006:AN1006),$AD$1006:$AU$1006,0))&gt;=100000), " ",IF(INDEX($AD$2:$AU$1001,MATCH(ROWS($W$2:W348),$W$2:$W$1001,0),MATCH(COLUMNS($AD$1006:AN1006),$AD$1006:$AU$1006,0)), HYPERLINK("#",""), HYPERLINK(CONCATENATE("#metadata!", ADDRESS(INDEX($Y$2:$Y$1001,MATCH(ROWS($W$2:W348),$W$2:$W$1001,0),0), INDEX($AD$1004:$AU$1004,1,MATCH(COLUMNS($AD$1006:AN1006),$AD$1006:$AU$1006,0)))),"Fix")))</f>
        <v xml:space="preserve"> </v>
      </c>
      <c r="M348" s="4" t="str">
        <f ca="1">IF(OR(INDEX($X$2:$X$1001,MATCH(ROWS($W$2:W348),$W$2:$W$1001,0),1)&gt;=100000,INDEX($AD$1005:$AU$1005,1,MATCH(COLUMNS($AD$1006:AO1006),$AD$1006:$AU$1006,0))&gt;=100000), " ",IF(INDEX($AD$2:$AU$1001,MATCH(ROWS($W$2:W348),$W$2:$W$1001,0),MATCH(COLUMNS($AD$1006:AO1006),$AD$1006:$AU$1006,0)), HYPERLINK("#",""), HYPERLINK(CONCATENATE("#metadata!", ADDRESS(INDEX($Y$2:$Y$1001,MATCH(ROWS($W$2:W348),$W$2:$W$1001,0),0), INDEX($AD$1004:$AU$1004,1,MATCH(COLUMNS($AD$1006:AO1006),$AD$1006:$AU$1006,0)))),"Fix")))</f>
        <v xml:space="preserve"> </v>
      </c>
      <c r="N348" s="4" t="str">
        <f ca="1">IF(OR(INDEX($X$2:$X$1001,MATCH(ROWS($W$2:W348),$W$2:$W$1001,0),1)&gt;=100000,INDEX($AD$1005:$AU$1005,1,MATCH(COLUMNS($AD$1006:AP1006),$AD$1006:$AU$1006,0))&gt;=100000), " ",IF(INDEX($AD$2:$AU$1001,MATCH(ROWS($W$2:W348),$W$2:$W$1001,0),MATCH(COLUMNS($AD$1006:AP1006),$AD$1006:$AU$1006,0)), HYPERLINK("#",""), HYPERLINK(CONCATENATE("#metadata!", ADDRESS(INDEX($Y$2:$Y$1001,MATCH(ROWS($W$2:W348),$W$2:$W$1001,0),0), INDEX($AD$1004:$AU$1004,1,MATCH(COLUMNS($AD$1006:AP1006),$AD$1006:$AU$1006,0)))),"Fix")))</f>
        <v xml:space="preserve"> </v>
      </c>
      <c r="O348" s="4" t="str">
        <f ca="1">IF(OR(INDEX($X$2:$X$1001,MATCH(ROWS($W$2:W348),$W$2:$W$1001,0),1)&gt;=100000,INDEX($AD$1005:$AU$1005,1,MATCH(COLUMNS($AD$1006:AQ1006),$AD$1006:$AU$1006,0))&gt;=100000), " ",IF(INDEX($AD$2:$AU$1001,MATCH(ROWS($W$2:W348),$W$2:$W$1001,0),MATCH(COLUMNS($AD$1006:AQ1006),$AD$1006:$AU$1006,0)), HYPERLINK("#",""), HYPERLINK(CONCATENATE("#metadata!", ADDRESS(INDEX($Y$2:$Y$1001,MATCH(ROWS($W$2:W348),$W$2:$W$1001,0),0), INDEX($AD$1004:$AU$1004,1,MATCH(COLUMNS($AD$1006:AQ1006),$AD$1006:$AU$1006,0)))),"Fix")))</f>
        <v xml:space="preserve"> </v>
      </c>
      <c r="P348" s="4" t="str">
        <f ca="1">IF(OR(INDEX($X$2:$X$1001,MATCH(ROWS($W$2:W348),$W$2:$W$1001,0),1)&gt;=100000,INDEX($AD$1005:$AU$1005,1,MATCH(COLUMNS($AD$1006:AR1006),$AD$1006:$AU$1006,0))&gt;=100000), " ",IF(INDEX($AD$2:$AU$1001,MATCH(ROWS($W$2:W348),$W$2:$W$1001,0),MATCH(COLUMNS($AD$1006:AR1006),$AD$1006:$AU$1006,0)), HYPERLINK("#",""), HYPERLINK(CONCATENATE("#metadata!", ADDRESS(INDEX($Y$2:$Y$1001,MATCH(ROWS($W$2:W348),$W$2:$W$1001,0),0), INDEX($AD$1004:$AU$1004,1,MATCH(COLUMNS($AD$1006:AR1006),$AD$1006:$AU$1006,0)))),"Fix")))</f>
        <v xml:space="preserve"> </v>
      </c>
      <c r="Q348" s="4" t="str">
        <f ca="1">IF(OR(INDEX($X$2:$X$1001,MATCH(ROWS($W$2:W348),$W$2:$W$1001,0),1)&gt;=100000,INDEX($AD$1005:$AU$1005,1,MATCH(COLUMNS($AD$1006:AS1006),$AD$1006:$AU$1006,0))&gt;=100000), " ",IF(INDEX($AD$2:$AU$1001,MATCH(ROWS($W$2:W348),$W$2:$W$1001,0),MATCH(COLUMNS($AD$1006:AS1006),$AD$1006:$AU$1006,0)), HYPERLINK("#",""), HYPERLINK(CONCATENATE("#metadata!", ADDRESS(INDEX($Y$2:$Y$1001,MATCH(ROWS($W$2:W348),$W$2:$W$1001,0),0), INDEX($AD$1004:$AU$1004,1,MATCH(COLUMNS($AD$1006:AS1006),$AD$1006:$AU$1006,0)))),"Fix")))</f>
        <v xml:space="preserve"> </v>
      </c>
      <c r="R348" s="4" t="str">
        <f ca="1">IF(OR(INDEX($X$2:$X$1001,MATCH(ROWS($W$2:W348),$W$2:$W$1001,0),1)&gt;=100000,INDEX($AD$1005:$AU$1005,1,MATCH(COLUMNS($AD$1006:AT1006),$AD$1006:$AU$1006,0))&gt;=100000), " ",IF(INDEX($AD$2:$AU$1001,MATCH(ROWS($W$2:W348),$W$2:$W$1001,0),MATCH(COLUMNS($AD$1006:AT1006),$AD$1006:$AU$1006,0)), HYPERLINK("#",""), HYPERLINK(CONCATENATE("#metadata!", ADDRESS(INDEX($Y$2:$Y$1001,MATCH(ROWS($W$2:W348),$W$2:$W$1001,0),0), INDEX($AD$1004:$AU$1004,1,MATCH(COLUMNS($AD$1006:AT1006),$AD$1006:$AU$1006,0)))),"Fix")))</f>
        <v xml:space="preserve"> </v>
      </c>
      <c r="S348" s="4" t="str">
        <f ca="1">IF(OR(INDEX($X$2:$X$1001,MATCH(ROWS($W$2:W348),$W$2:$W$1001,0),1)&gt;=100000,INDEX($AD$1005:$AU$1005,1,MATCH(COLUMNS($AD$1006:AU1006),$AD$1006:$AU$1006,0))&gt;=100000), " ",IF(INDEX($AD$2:$AU$1001,MATCH(ROWS($W$2:W348),$W$2:$W$1001,0),MATCH(COLUMNS($AD$1006:AU1006),$AD$1006:$AU$1006,0)), HYPERLINK("#",""), HYPERLINK(CONCATENATE("#metadata!", ADDRESS(INDEX($Y$2:$Y$1001,MATCH(ROWS($W$2:W348),$W$2:$W$1001,0),0), INDEX($AD$1004:$AU$1004,1,MATCH(COLUMNS($AD$1006:AU1006),$AD$1006:$AU$1006,0)))),"Fix")))</f>
        <v xml:space="preserve"> </v>
      </c>
      <c r="W348">
        <v>347</v>
      </c>
      <c r="X348">
        <v>100348</v>
      </c>
      <c r="Y348">
        <v>348</v>
      </c>
      <c r="Z348" t="b">
        <f t="shared" si="5"/>
        <v>1</v>
      </c>
      <c r="AA348" t="b">
        <f>COUNTBLANK(metadata!B348:S348)=COLUMNS(metadata!B348:S348)</f>
        <v>1</v>
      </c>
      <c r="AB348" t="str">
        <v/>
      </c>
      <c r="AD348" t="b">
        <f ca="1">AND(IF(metadata!B348="",FALSE,TRUE),COUNTIF(metadata!B:B, metadata!B348) = 1,NOT(ISERROR(SUMPRODUCT(SEARCH(MID(metadata!B348,ROW(INDIRECT("1:"&amp;LEN(metadata!B348))), 1),"0123456789abcdefghijklmnopqrstuvwxyzABCDEFGHIJKLMNOPQRSTUVWXYZ.")))))</f>
        <v>0</v>
      </c>
      <c r="AE348" t="b">
        <f>OR(AND(IF(metadata!C348="",FALSE,TRUE),OR(EXACT(metadata!C348,"not applicable"),EXACT(metadata!C348,"missing: not collected"),EXACT(metadata!C348,"missing: not provided"),EXACT(metadata!C348,"missing: restricted access"))),AND(IF(metadata!C348="",FALSE,ISNUMBER(VALUE(metadata!C348))),metadata!C348&gt;0))</f>
        <v>0</v>
      </c>
      <c r="AF348" t="b">
        <f>AND(IF(metadata!D348="",FALSE,TRUE),EXACT(metadata!D348,"missing: not provided"))</f>
        <v>0</v>
      </c>
      <c r="AG348" t="b">
        <f>AND(IF(metadata!E348="",FALSE,TRUE),EXACT(metadata!E348,"Host-associated"))</f>
        <v>0</v>
      </c>
      <c r="AH348" t="b">
        <f>AND(IF(metadata!F348="",FALSE,TRUE),OR(EXACT(metadata!F348,"Animal"),EXACT(metadata!F348,"Fungus"),EXACT(metadata!F348,"Plant")))</f>
        <v>0</v>
      </c>
      <c r="AI348" t="b">
        <f>AND(IF(metadata!G348="",FALSE,TRUE),OR(EXACT(metadata!G348,"Plant secretion"),EXACT(metadata!G348,"Plant rhizosphere"),EXACT(metadata!G348,"Plant surface"),EXACT(metadata!G348,"Plant corpus"),EXACT(metadata!G348,"Fungus surface"),EXACT(metadata!G348,"Fungus corpus"),EXACT(metadata!G348,"Animal surface"),EXACT(metadata!G348,"Animal proximal gut"),EXACT(metadata!G348,"Animal corpus"),EXACT(metadata!G348,"Animal distal gut"),EXACT(metadata!G348,"Animal secretion")))</f>
        <v>0</v>
      </c>
      <c r="AJ348" t="b">
        <f>OR(AND(IF(metadata!H348="",FALSE,TRUE),OR(EXACT(metadata!H348,"missing: not collected"),EXACT(metadata!H348,"missing: not provided"),EXACT(metadata!H348,"missing: restricted access"))),AND(IF(metadata!H348="",FALSE,TRUE),OR(EXACT(metadata!H348,"organism-associated habitat"),EXACT(metadata!H348,"plant-associated habitat"),EXACT(metadata!H348,"animal-associated habitat"),EXACT(metadata!H348,"insecta-associated habitat"),EXACT(metadata!H348,"mammalia-associated habitat"),EXACT(metadata!H348,"human-associated habitat"),EXACT(metadata!H348,"livestock-associated habitat"))))</f>
        <v>0</v>
      </c>
      <c r="AK348" t="b">
        <f>AND(IF(metadata!I348="",FALSE,TRUE),EXACT(metadata!I348,"host-associated"))</f>
        <v>0</v>
      </c>
      <c r="AL348" t="b">
        <f>OR(AND(IF(metadata!J348="",FALSE,TRUE),OR(EXACT(metadata!J348,"not applicable"),EXACT(metadata!J348,"missing: not collected"),EXACT(metadata!J348,"missing: not provided"),EXACT(metadata!J348,"missing: restricted access"))),AND(IF(metadata!J348="",FALSE,ISNUMBER(VALUE(metadata!J348))),metadata!J348&gt;0))</f>
        <v>0</v>
      </c>
      <c r="AM348" t="b">
        <f>AND(IF(metadata!K348="",FALSE,TRUE),EXACT(metadata!K348,"missing: not provided"))</f>
        <v>0</v>
      </c>
      <c r="AN348" t="b">
        <f>IF(metadata!L348="",FALSE,TRUE)</f>
        <v>0</v>
      </c>
      <c r="AO348" t="b">
        <f>IF(metadata!M348="",FALSE,TRUE)</f>
        <v>0</v>
      </c>
      <c r="AP348" t="b">
        <f>OR(AND(IF(metadata!N348="",FALSE,TRUE),OR(EXACT(metadata!N348,"not applicable"),EXACT(metadata!N348,"missing: not collected"),EXACT(metadata!N348,"missing: not provided"))),AND(IF(metadata!N348="",FALSE,IF(ISERROR(INT(metadata!N348)),FALSE,INT(metadata!N348)=metadata!N348)),metadata!N348&gt;0))</f>
        <v>0</v>
      </c>
      <c r="AQ348" t="b">
        <f>AND(IF(metadata!O348="",FALSE,TRUE),EXACT(metadata!O348,"Not applicable"))</f>
        <v>0</v>
      </c>
      <c r="AR348" t="b">
        <f>OR(AND(IF(metadata!P348="",FALSE,TRUE),OR(EXACT(metadata!P348,"not applicable"),EXACT(metadata!P348,"missing: not collected"),EXACT(metadata!P348,"missing: not provided"),EXACT(metadata!P348,"missing: restricted access"))),IF(metadata!P348="",FALSE,IF(ISERROR(INT(metadata!P348)),FALSE,INT(metadata!P348)=metadata!P348)))</f>
        <v>0</v>
      </c>
      <c r="AS348" t="b">
        <f>AND(IF(metadata!Q348="",FALSE,TRUE),EXACT(metadata!Q348,"Not applicable"))</f>
        <v>0</v>
      </c>
      <c r="AT348" t="b">
        <f>OR(AND(IF(metadata!R348="",FALSE,TRUE),OR(EXACT(metadata!R348,"not applicable"),EXACT(metadata!R348,"missing: not collected"),EXACT(metadata!R348,"missing: not provided"),EXACT(metadata!R348,"missing: restricted access"))),AND(IF(metadata!R348="",FALSE,ISNUMBER(VALUE(metadata!R348))),metadata!R348&gt;0))</f>
        <v>0</v>
      </c>
      <c r="AU348" t="b">
        <f>AND(IF(metadata!S348="",FALSE,TRUE),EXACT(metadata!S348,"missing: not provided"))</f>
        <v>0</v>
      </c>
    </row>
    <row r="349" spans="1:47" x14ac:dyDescent="0.2">
      <c r="A349" s="5" t="str">
        <f ca="1">IF(B349=" "," ",HYPERLINK(CONCATENATE("#metadata!",ADDRESS(INDEX($Y$2:$Y$1001,MATCH(ROWS($W$2:W349),$W$2:$W$1001,0),0),1)),INDEX($AB$2:$AB$1001,MATCH(ROWS($W$2:W349),$W$2:$W$1001,0),0)))</f>
        <v xml:space="preserve"> </v>
      </c>
      <c r="B349" s="4" t="str">
        <f ca="1">IF(OR(INDEX($X$2:$X$1001,MATCH(ROWS($W$2:W349),$W$2:$W$1001,0),1)&gt;=100000,INDEX($AD$1005:$AU$1005,1,MATCH(COLUMNS($AD$1006:AD1006),$AD$1006:$AU$1006,0))&gt;=100000), " ",IF(INDEX($AD$2:$AU$1001,MATCH(ROWS($W$2:W349),$W$2:$W$1001,0),MATCH(COLUMNS($AD$1006:AD1006),$AD$1006:$AU$1006,0)), HYPERLINK("#",""), HYPERLINK(CONCATENATE("#metadata!", ADDRESS(INDEX($Y$2:$Y$1001,MATCH(ROWS($W$2:W349),$W$2:$W$1001,0),0), INDEX($AD$1004:$AU$1004,1,MATCH(COLUMNS($AD$1006:AD1006),$AD$1006:$AU$1006,0)))),"Fix")))</f>
        <v xml:space="preserve"> </v>
      </c>
      <c r="C349" s="4" t="str">
        <f ca="1">IF(OR(INDEX($X$2:$X$1001,MATCH(ROWS($W$2:W349),$W$2:$W$1001,0),1)&gt;=100000,INDEX($AD$1005:$AU$1005,1,MATCH(COLUMNS($AD$1006:AE1006),$AD$1006:$AU$1006,0))&gt;=100000), " ",IF(INDEX($AD$2:$AU$1001,MATCH(ROWS($W$2:W349),$W$2:$W$1001,0),MATCH(COLUMNS($AD$1006:AE1006),$AD$1006:$AU$1006,0)), HYPERLINK("#",""), HYPERLINK(CONCATENATE("#metadata!", ADDRESS(INDEX($Y$2:$Y$1001,MATCH(ROWS($W$2:W349),$W$2:$W$1001,0),0), INDEX($AD$1004:$AU$1004,1,MATCH(COLUMNS($AD$1006:AE1006),$AD$1006:$AU$1006,0)))),"Fix")))</f>
        <v xml:space="preserve"> </v>
      </c>
      <c r="D349" s="4" t="str">
        <f ca="1">IF(OR(INDEX($X$2:$X$1001,MATCH(ROWS($W$2:W349),$W$2:$W$1001,0),1)&gt;=100000,INDEX($AD$1005:$AU$1005,1,MATCH(COLUMNS($AD$1006:AF1006),$AD$1006:$AU$1006,0))&gt;=100000), " ",IF(INDEX($AD$2:$AU$1001,MATCH(ROWS($W$2:W349),$W$2:$W$1001,0),MATCH(COLUMNS($AD$1006:AF1006),$AD$1006:$AU$1006,0)), HYPERLINK("#",""), HYPERLINK(CONCATENATE("#metadata!", ADDRESS(INDEX($Y$2:$Y$1001,MATCH(ROWS($W$2:W349),$W$2:$W$1001,0),0), INDEX($AD$1004:$AU$1004,1,MATCH(COLUMNS($AD$1006:AF1006),$AD$1006:$AU$1006,0)))),"Fix")))</f>
        <v xml:space="preserve"> </v>
      </c>
      <c r="E349" s="4" t="str">
        <f ca="1">IF(OR(INDEX($X$2:$X$1001,MATCH(ROWS($W$2:W349),$W$2:$W$1001,0),1)&gt;=100000,INDEX($AD$1005:$AU$1005,1,MATCH(COLUMNS($AD$1006:AG1006),$AD$1006:$AU$1006,0))&gt;=100000), " ",IF(INDEX($AD$2:$AU$1001,MATCH(ROWS($W$2:W349),$W$2:$W$1001,0),MATCH(COLUMNS($AD$1006:AG1006),$AD$1006:$AU$1006,0)), HYPERLINK("#",""), HYPERLINK(CONCATENATE("#metadata!", ADDRESS(INDEX($Y$2:$Y$1001,MATCH(ROWS($W$2:W349),$W$2:$W$1001,0),0), INDEX($AD$1004:$AU$1004,1,MATCH(COLUMNS($AD$1006:AG1006),$AD$1006:$AU$1006,0)))),"Fix")))</f>
        <v xml:space="preserve"> </v>
      </c>
      <c r="F349" s="4" t="str">
        <f ca="1">IF(OR(INDEX($X$2:$X$1001,MATCH(ROWS($W$2:W349),$W$2:$W$1001,0),1)&gt;=100000,INDEX($AD$1005:$AU$1005,1,MATCH(COLUMNS($AD$1006:AH1006),$AD$1006:$AU$1006,0))&gt;=100000), " ",IF(INDEX($AD$2:$AU$1001,MATCH(ROWS($W$2:W349),$W$2:$W$1001,0),MATCH(COLUMNS($AD$1006:AH1006),$AD$1006:$AU$1006,0)), HYPERLINK("#",""), HYPERLINK(CONCATENATE("#metadata!", ADDRESS(INDEX($Y$2:$Y$1001,MATCH(ROWS($W$2:W349),$W$2:$W$1001,0),0), INDEX($AD$1004:$AU$1004,1,MATCH(COLUMNS($AD$1006:AH1006),$AD$1006:$AU$1006,0)))),"Fix")))</f>
        <v xml:space="preserve"> </v>
      </c>
      <c r="G349" s="4" t="str">
        <f ca="1">IF(OR(INDEX($X$2:$X$1001,MATCH(ROWS($W$2:W349),$W$2:$W$1001,0),1)&gt;=100000,INDEX($AD$1005:$AU$1005,1,MATCH(COLUMNS($AD$1006:AI1006),$AD$1006:$AU$1006,0))&gt;=100000), " ",IF(INDEX($AD$2:$AU$1001,MATCH(ROWS($W$2:W349),$W$2:$W$1001,0),MATCH(COLUMNS($AD$1006:AI1006),$AD$1006:$AU$1006,0)), HYPERLINK("#",""), HYPERLINK(CONCATENATE("#metadata!", ADDRESS(INDEX($Y$2:$Y$1001,MATCH(ROWS($W$2:W349),$W$2:$W$1001,0),0), INDEX($AD$1004:$AU$1004,1,MATCH(COLUMNS($AD$1006:AI1006),$AD$1006:$AU$1006,0)))),"Fix")))</f>
        <v xml:space="preserve"> </v>
      </c>
      <c r="H349" s="4" t="str">
        <f ca="1">IF(OR(INDEX($X$2:$X$1001,MATCH(ROWS($W$2:W349),$W$2:$W$1001,0),1)&gt;=100000,INDEX($AD$1005:$AU$1005,1,MATCH(COLUMNS($AD$1006:AJ1006),$AD$1006:$AU$1006,0))&gt;=100000), " ",IF(INDEX($AD$2:$AU$1001,MATCH(ROWS($W$2:W349),$W$2:$W$1001,0),MATCH(COLUMNS($AD$1006:AJ1006),$AD$1006:$AU$1006,0)), HYPERLINK("#",""), HYPERLINK(CONCATENATE("#metadata!", ADDRESS(INDEX($Y$2:$Y$1001,MATCH(ROWS($W$2:W349),$W$2:$W$1001,0),0), INDEX($AD$1004:$AU$1004,1,MATCH(COLUMNS($AD$1006:AJ1006),$AD$1006:$AU$1006,0)))),"Fix")))</f>
        <v xml:space="preserve"> </v>
      </c>
      <c r="I349" s="4" t="str">
        <f ca="1">IF(OR(INDEX($X$2:$X$1001,MATCH(ROWS($W$2:W349),$W$2:$W$1001,0),1)&gt;=100000,INDEX($AD$1005:$AU$1005,1,MATCH(COLUMNS($AD$1006:AK1006),$AD$1006:$AU$1006,0))&gt;=100000), " ",IF(INDEX($AD$2:$AU$1001,MATCH(ROWS($W$2:W349),$W$2:$W$1001,0),MATCH(COLUMNS($AD$1006:AK1006),$AD$1006:$AU$1006,0)), HYPERLINK("#",""), HYPERLINK(CONCATENATE("#metadata!", ADDRESS(INDEX($Y$2:$Y$1001,MATCH(ROWS($W$2:W349),$W$2:$W$1001,0),0), INDEX($AD$1004:$AU$1004,1,MATCH(COLUMNS($AD$1006:AK1006),$AD$1006:$AU$1006,0)))),"Fix")))</f>
        <v xml:space="preserve"> </v>
      </c>
      <c r="J349" s="4" t="str">
        <f ca="1">IF(OR(INDEX($X$2:$X$1001,MATCH(ROWS($W$2:W349),$W$2:$W$1001,0),1)&gt;=100000,INDEX($AD$1005:$AU$1005,1,MATCH(COLUMNS($AD$1006:AL1006),$AD$1006:$AU$1006,0))&gt;=100000), " ",IF(INDEX($AD$2:$AU$1001,MATCH(ROWS($W$2:W349),$W$2:$W$1001,0),MATCH(COLUMNS($AD$1006:AL1006),$AD$1006:$AU$1006,0)), HYPERLINK("#",""), HYPERLINK(CONCATENATE("#metadata!", ADDRESS(INDEX($Y$2:$Y$1001,MATCH(ROWS($W$2:W349),$W$2:$W$1001,0),0), INDEX($AD$1004:$AU$1004,1,MATCH(COLUMNS($AD$1006:AL1006),$AD$1006:$AU$1006,0)))),"Fix")))</f>
        <v xml:space="preserve"> </v>
      </c>
      <c r="K349" s="4" t="str">
        <f ca="1">IF(OR(INDEX($X$2:$X$1001,MATCH(ROWS($W$2:W349),$W$2:$W$1001,0),1)&gt;=100000,INDEX($AD$1005:$AU$1005,1,MATCH(COLUMNS($AD$1006:AM1006),$AD$1006:$AU$1006,0))&gt;=100000), " ",IF(INDEX($AD$2:$AU$1001,MATCH(ROWS($W$2:W349),$W$2:$W$1001,0),MATCH(COLUMNS($AD$1006:AM1006),$AD$1006:$AU$1006,0)), HYPERLINK("#",""), HYPERLINK(CONCATENATE("#metadata!", ADDRESS(INDEX($Y$2:$Y$1001,MATCH(ROWS($W$2:W349),$W$2:$W$1001,0),0), INDEX($AD$1004:$AU$1004,1,MATCH(COLUMNS($AD$1006:AM1006),$AD$1006:$AU$1006,0)))),"Fix")))</f>
        <v xml:space="preserve"> </v>
      </c>
      <c r="L349" s="4" t="str">
        <f ca="1">IF(OR(INDEX($X$2:$X$1001,MATCH(ROWS($W$2:W349),$W$2:$W$1001,0),1)&gt;=100000,INDEX($AD$1005:$AU$1005,1,MATCH(COLUMNS($AD$1006:AN1006),$AD$1006:$AU$1006,0))&gt;=100000), " ",IF(INDEX($AD$2:$AU$1001,MATCH(ROWS($W$2:W349),$W$2:$W$1001,0),MATCH(COLUMNS($AD$1006:AN1006),$AD$1006:$AU$1006,0)), HYPERLINK("#",""), HYPERLINK(CONCATENATE("#metadata!", ADDRESS(INDEX($Y$2:$Y$1001,MATCH(ROWS($W$2:W349),$W$2:$W$1001,0),0), INDEX($AD$1004:$AU$1004,1,MATCH(COLUMNS($AD$1006:AN1006),$AD$1006:$AU$1006,0)))),"Fix")))</f>
        <v xml:space="preserve"> </v>
      </c>
      <c r="M349" s="4" t="str">
        <f ca="1">IF(OR(INDEX($X$2:$X$1001,MATCH(ROWS($W$2:W349),$W$2:$W$1001,0),1)&gt;=100000,INDEX($AD$1005:$AU$1005,1,MATCH(COLUMNS($AD$1006:AO1006),$AD$1006:$AU$1006,0))&gt;=100000), " ",IF(INDEX($AD$2:$AU$1001,MATCH(ROWS($W$2:W349),$W$2:$W$1001,0),MATCH(COLUMNS($AD$1006:AO1006),$AD$1006:$AU$1006,0)), HYPERLINK("#",""), HYPERLINK(CONCATENATE("#metadata!", ADDRESS(INDEX($Y$2:$Y$1001,MATCH(ROWS($W$2:W349),$W$2:$W$1001,0),0), INDEX($AD$1004:$AU$1004,1,MATCH(COLUMNS($AD$1006:AO1006),$AD$1006:$AU$1006,0)))),"Fix")))</f>
        <v xml:space="preserve"> </v>
      </c>
      <c r="N349" s="4" t="str">
        <f ca="1">IF(OR(INDEX($X$2:$X$1001,MATCH(ROWS($W$2:W349),$W$2:$W$1001,0),1)&gt;=100000,INDEX($AD$1005:$AU$1005,1,MATCH(COLUMNS($AD$1006:AP1006),$AD$1006:$AU$1006,0))&gt;=100000), " ",IF(INDEX($AD$2:$AU$1001,MATCH(ROWS($W$2:W349),$W$2:$W$1001,0),MATCH(COLUMNS($AD$1006:AP1006),$AD$1006:$AU$1006,0)), HYPERLINK("#",""), HYPERLINK(CONCATENATE("#metadata!", ADDRESS(INDEX($Y$2:$Y$1001,MATCH(ROWS($W$2:W349),$W$2:$W$1001,0),0), INDEX($AD$1004:$AU$1004,1,MATCH(COLUMNS($AD$1006:AP1006),$AD$1006:$AU$1006,0)))),"Fix")))</f>
        <v xml:space="preserve"> </v>
      </c>
      <c r="O349" s="4" t="str">
        <f ca="1">IF(OR(INDEX($X$2:$X$1001,MATCH(ROWS($W$2:W349),$W$2:$W$1001,0),1)&gt;=100000,INDEX($AD$1005:$AU$1005,1,MATCH(COLUMNS($AD$1006:AQ1006),$AD$1006:$AU$1006,0))&gt;=100000), " ",IF(INDEX($AD$2:$AU$1001,MATCH(ROWS($W$2:W349),$W$2:$W$1001,0),MATCH(COLUMNS($AD$1006:AQ1006),$AD$1006:$AU$1006,0)), HYPERLINK("#",""), HYPERLINK(CONCATENATE("#metadata!", ADDRESS(INDEX($Y$2:$Y$1001,MATCH(ROWS($W$2:W349),$W$2:$W$1001,0),0), INDEX($AD$1004:$AU$1004,1,MATCH(COLUMNS($AD$1006:AQ1006),$AD$1006:$AU$1006,0)))),"Fix")))</f>
        <v xml:space="preserve"> </v>
      </c>
      <c r="P349" s="4" t="str">
        <f ca="1">IF(OR(INDEX($X$2:$X$1001,MATCH(ROWS($W$2:W349),$W$2:$W$1001,0),1)&gt;=100000,INDEX($AD$1005:$AU$1005,1,MATCH(COLUMNS($AD$1006:AR1006),$AD$1006:$AU$1006,0))&gt;=100000), " ",IF(INDEX($AD$2:$AU$1001,MATCH(ROWS($W$2:W349),$W$2:$W$1001,0),MATCH(COLUMNS($AD$1006:AR1006),$AD$1006:$AU$1006,0)), HYPERLINK("#",""), HYPERLINK(CONCATENATE("#metadata!", ADDRESS(INDEX($Y$2:$Y$1001,MATCH(ROWS($W$2:W349),$W$2:$W$1001,0),0), INDEX($AD$1004:$AU$1004,1,MATCH(COLUMNS($AD$1006:AR1006),$AD$1006:$AU$1006,0)))),"Fix")))</f>
        <v xml:space="preserve"> </v>
      </c>
      <c r="Q349" s="4" t="str">
        <f ca="1">IF(OR(INDEX($X$2:$X$1001,MATCH(ROWS($W$2:W349),$W$2:$W$1001,0),1)&gt;=100000,INDEX($AD$1005:$AU$1005,1,MATCH(COLUMNS($AD$1006:AS1006),$AD$1006:$AU$1006,0))&gt;=100000), " ",IF(INDEX($AD$2:$AU$1001,MATCH(ROWS($W$2:W349),$W$2:$W$1001,0),MATCH(COLUMNS($AD$1006:AS1006),$AD$1006:$AU$1006,0)), HYPERLINK("#",""), HYPERLINK(CONCATENATE("#metadata!", ADDRESS(INDEX($Y$2:$Y$1001,MATCH(ROWS($W$2:W349),$W$2:$W$1001,0),0), INDEX($AD$1004:$AU$1004,1,MATCH(COLUMNS($AD$1006:AS1006),$AD$1006:$AU$1006,0)))),"Fix")))</f>
        <v xml:space="preserve"> </v>
      </c>
      <c r="R349" s="4" t="str">
        <f ca="1">IF(OR(INDEX($X$2:$X$1001,MATCH(ROWS($W$2:W349),$W$2:$W$1001,0),1)&gt;=100000,INDEX($AD$1005:$AU$1005,1,MATCH(COLUMNS($AD$1006:AT1006),$AD$1006:$AU$1006,0))&gt;=100000), " ",IF(INDEX($AD$2:$AU$1001,MATCH(ROWS($W$2:W349),$W$2:$W$1001,0),MATCH(COLUMNS($AD$1006:AT1006),$AD$1006:$AU$1006,0)), HYPERLINK("#",""), HYPERLINK(CONCATENATE("#metadata!", ADDRESS(INDEX($Y$2:$Y$1001,MATCH(ROWS($W$2:W349),$W$2:$W$1001,0),0), INDEX($AD$1004:$AU$1004,1,MATCH(COLUMNS($AD$1006:AT1006),$AD$1006:$AU$1006,0)))),"Fix")))</f>
        <v xml:space="preserve"> </v>
      </c>
      <c r="S349" s="4" t="str">
        <f ca="1">IF(OR(INDEX($X$2:$X$1001,MATCH(ROWS($W$2:W349),$W$2:$W$1001,0),1)&gt;=100000,INDEX($AD$1005:$AU$1005,1,MATCH(COLUMNS($AD$1006:AU1006),$AD$1006:$AU$1006,0))&gt;=100000), " ",IF(INDEX($AD$2:$AU$1001,MATCH(ROWS($W$2:W349),$W$2:$W$1001,0),MATCH(COLUMNS($AD$1006:AU1006),$AD$1006:$AU$1006,0)), HYPERLINK("#",""), HYPERLINK(CONCATENATE("#metadata!", ADDRESS(INDEX($Y$2:$Y$1001,MATCH(ROWS($W$2:W349),$W$2:$W$1001,0),0), INDEX($AD$1004:$AU$1004,1,MATCH(COLUMNS($AD$1006:AU1006),$AD$1006:$AU$1006,0)))),"Fix")))</f>
        <v xml:space="preserve"> </v>
      </c>
      <c r="W349">
        <v>348</v>
      </c>
      <c r="X349">
        <v>100349</v>
      </c>
      <c r="Y349">
        <v>349</v>
      </c>
      <c r="Z349" t="b">
        <f t="shared" si="5"/>
        <v>1</v>
      </c>
      <c r="AA349" t="b">
        <f>COUNTBLANK(metadata!B349:S349)=COLUMNS(metadata!B349:S349)</f>
        <v>1</v>
      </c>
      <c r="AB349" t="str">
        <v/>
      </c>
      <c r="AD349" t="b">
        <f ca="1">AND(IF(metadata!B349="",FALSE,TRUE),COUNTIF(metadata!B:B, metadata!B349) = 1,NOT(ISERROR(SUMPRODUCT(SEARCH(MID(metadata!B349,ROW(INDIRECT("1:"&amp;LEN(metadata!B349))), 1),"0123456789abcdefghijklmnopqrstuvwxyzABCDEFGHIJKLMNOPQRSTUVWXYZ.")))))</f>
        <v>0</v>
      </c>
      <c r="AE349" t="b">
        <f>OR(AND(IF(metadata!C349="",FALSE,TRUE),OR(EXACT(metadata!C349,"not applicable"),EXACT(metadata!C349,"missing: not collected"),EXACT(metadata!C349,"missing: not provided"),EXACT(metadata!C349,"missing: restricted access"))),AND(IF(metadata!C349="",FALSE,ISNUMBER(VALUE(metadata!C349))),metadata!C349&gt;0))</f>
        <v>0</v>
      </c>
      <c r="AF349" t="b">
        <f>AND(IF(metadata!D349="",FALSE,TRUE),EXACT(metadata!D349,"missing: not provided"))</f>
        <v>0</v>
      </c>
      <c r="AG349" t="b">
        <f>AND(IF(metadata!E349="",FALSE,TRUE),EXACT(metadata!E349,"Host-associated"))</f>
        <v>0</v>
      </c>
      <c r="AH349" t="b">
        <f>AND(IF(metadata!F349="",FALSE,TRUE),OR(EXACT(metadata!F349,"Animal"),EXACT(metadata!F349,"Fungus"),EXACT(metadata!F349,"Plant")))</f>
        <v>0</v>
      </c>
      <c r="AI349" t="b">
        <f>AND(IF(metadata!G349="",FALSE,TRUE),OR(EXACT(metadata!G349,"Plant secretion"),EXACT(metadata!G349,"Plant rhizosphere"),EXACT(metadata!G349,"Plant surface"),EXACT(metadata!G349,"Plant corpus"),EXACT(metadata!G349,"Fungus surface"),EXACT(metadata!G349,"Fungus corpus"),EXACT(metadata!G349,"Animal surface"),EXACT(metadata!G349,"Animal proximal gut"),EXACT(metadata!G349,"Animal corpus"),EXACT(metadata!G349,"Animal distal gut"),EXACT(metadata!G349,"Animal secretion")))</f>
        <v>0</v>
      </c>
      <c r="AJ349" t="b">
        <f>OR(AND(IF(metadata!H349="",FALSE,TRUE),OR(EXACT(metadata!H349,"missing: not collected"),EXACT(metadata!H349,"missing: not provided"),EXACT(metadata!H349,"missing: restricted access"))),AND(IF(metadata!H349="",FALSE,TRUE),OR(EXACT(metadata!H349,"organism-associated habitat"),EXACT(metadata!H349,"plant-associated habitat"),EXACT(metadata!H349,"animal-associated habitat"),EXACT(metadata!H349,"insecta-associated habitat"),EXACT(metadata!H349,"mammalia-associated habitat"),EXACT(metadata!H349,"human-associated habitat"),EXACT(metadata!H349,"livestock-associated habitat"))))</f>
        <v>0</v>
      </c>
      <c r="AK349" t="b">
        <f>AND(IF(metadata!I349="",FALSE,TRUE),EXACT(metadata!I349,"host-associated"))</f>
        <v>0</v>
      </c>
      <c r="AL349" t="b">
        <f>OR(AND(IF(metadata!J349="",FALSE,TRUE),OR(EXACT(metadata!J349,"not applicable"),EXACT(metadata!J349,"missing: not collected"),EXACT(metadata!J349,"missing: not provided"),EXACT(metadata!J349,"missing: restricted access"))),AND(IF(metadata!J349="",FALSE,ISNUMBER(VALUE(metadata!J349))),metadata!J349&gt;0))</f>
        <v>0</v>
      </c>
      <c r="AM349" t="b">
        <f>AND(IF(metadata!K349="",FALSE,TRUE),EXACT(metadata!K349,"missing: not provided"))</f>
        <v>0</v>
      </c>
      <c r="AN349" t="b">
        <f>IF(metadata!L349="",FALSE,TRUE)</f>
        <v>0</v>
      </c>
      <c r="AO349" t="b">
        <f>IF(metadata!M349="",FALSE,TRUE)</f>
        <v>0</v>
      </c>
      <c r="AP349" t="b">
        <f>OR(AND(IF(metadata!N349="",FALSE,TRUE),OR(EXACT(metadata!N349,"not applicable"),EXACT(metadata!N349,"missing: not collected"),EXACT(metadata!N349,"missing: not provided"))),AND(IF(metadata!N349="",FALSE,IF(ISERROR(INT(metadata!N349)),FALSE,INT(metadata!N349)=metadata!N349)),metadata!N349&gt;0))</f>
        <v>0</v>
      </c>
      <c r="AQ349" t="b">
        <f>AND(IF(metadata!O349="",FALSE,TRUE),EXACT(metadata!O349,"Not applicable"))</f>
        <v>0</v>
      </c>
      <c r="AR349" t="b">
        <f>OR(AND(IF(metadata!P349="",FALSE,TRUE),OR(EXACT(metadata!P349,"not applicable"),EXACT(metadata!P349,"missing: not collected"),EXACT(metadata!P349,"missing: not provided"),EXACT(metadata!P349,"missing: restricted access"))),IF(metadata!P349="",FALSE,IF(ISERROR(INT(metadata!P349)),FALSE,INT(metadata!P349)=metadata!P349)))</f>
        <v>0</v>
      </c>
      <c r="AS349" t="b">
        <f>AND(IF(metadata!Q349="",FALSE,TRUE),EXACT(metadata!Q349,"Not applicable"))</f>
        <v>0</v>
      </c>
      <c r="AT349" t="b">
        <f>OR(AND(IF(metadata!R349="",FALSE,TRUE),OR(EXACT(metadata!R349,"not applicable"),EXACT(metadata!R349,"missing: not collected"),EXACT(metadata!R349,"missing: not provided"),EXACT(metadata!R349,"missing: restricted access"))),AND(IF(metadata!R349="",FALSE,ISNUMBER(VALUE(metadata!R349))),metadata!R349&gt;0))</f>
        <v>0</v>
      </c>
      <c r="AU349" t="b">
        <f>AND(IF(metadata!S349="",FALSE,TRUE),EXACT(metadata!S349,"missing: not provided"))</f>
        <v>0</v>
      </c>
    </row>
    <row r="350" spans="1:47" x14ac:dyDescent="0.2">
      <c r="A350" s="5" t="str">
        <f ca="1">IF(B350=" "," ",HYPERLINK(CONCATENATE("#metadata!",ADDRESS(INDEX($Y$2:$Y$1001,MATCH(ROWS($W$2:W350),$W$2:$W$1001,0),0),1)),INDEX($AB$2:$AB$1001,MATCH(ROWS($W$2:W350),$W$2:$W$1001,0),0)))</f>
        <v xml:space="preserve"> </v>
      </c>
      <c r="B350" s="4" t="str">
        <f ca="1">IF(OR(INDEX($X$2:$X$1001,MATCH(ROWS($W$2:W350),$W$2:$W$1001,0),1)&gt;=100000,INDEX($AD$1005:$AU$1005,1,MATCH(COLUMNS($AD$1006:AD1006),$AD$1006:$AU$1006,0))&gt;=100000), " ",IF(INDEX($AD$2:$AU$1001,MATCH(ROWS($W$2:W350),$W$2:$W$1001,0),MATCH(COLUMNS($AD$1006:AD1006),$AD$1006:$AU$1006,0)), HYPERLINK("#",""), HYPERLINK(CONCATENATE("#metadata!", ADDRESS(INDEX($Y$2:$Y$1001,MATCH(ROWS($W$2:W350),$W$2:$W$1001,0),0), INDEX($AD$1004:$AU$1004,1,MATCH(COLUMNS($AD$1006:AD1006),$AD$1006:$AU$1006,0)))),"Fix")))</f>
        <v xml:space="preserve"> </v>
      </c>
      <c r="C350" s="4" t="str">
        <f ca="1">IF(OR(INDEX($X$2:$X$1001,MATCH(ROWS($W$2:W350),$W$2:$W$1001,0),1)&gt;=100000,INDEX($AD$1005:$AU$1005,1,MATCH(COLUMNS($AD$1006:AE1006),$AD$1006:$AU$1006,0))&gt;=100000), " ",IF(INDEX($AD$2:$AU$1001,MATCH(ROWS($W$2:W350),$W$2:$W$1001,0),MATCH(COLUMNS($AD$1006:AE1006),$AD$1006:$AU$1006,0)), HYPERLINK("#",""), HYPERLINK(CONCATENATE("#metadata!", ADDRESS(INDEX($Y$2:$Y$1001,MATCH(ROWS($W$2:W350),$W$2:$W$1001,0),0), INDEX($AD$1004:$AU$1004,1,MATCH(COLUMNS($AD$1006:AE1006),$AD$1006:$AU$1006,0)))),"Fix")))</f>
        <v xml:space="preserve"> </v>
      </c>
      <c r="D350" s="4" t="str">
        <f ca="1">IF(OR(INDEX($X$2:$X$1001,MATCH(ROWS($W$2:W350),$W$2:$W$1001,0),1)&gt;=100000,INDEX($AD$1005:$AU$1005,1,MATCH(COLUMNS($AD$1006:AF1006),$AD$1006:$AU$1006,0))&gt;=100000), " ",IF(INDEX($AD$2:$AU$1001,MATCH(ROWS($W$2:W350),$W$2:$W$1001,0),MATCH(COLUMNS($AD$1006:AF1006),$AD$1006:$AU$1006,0)), HYPERLINK("#",""), HYPERLINK(CONCATENATE("#metadata!", ADDRESS(INDEX($Y$2:$Y$1001,MATCH(ROWS($W$2:W350),$W$2:$W$1001,0),0), INDEX($AD$1004:$AU$1004,1,MATCH(COLUMNS($AD$1006:AF1006),$AD$1006:$AU$1006,0)))),"Fix")))</f>
        <v xml:space="preserve"> </v>
      </c>
      <c r="E350" s="4" t="str">
        <f ca="1">IF(OR(INDEX($X$2:$X$1001,MATCH(ROWS($W$2:W350),$W$2:$W$1001,0),1)&gt;=100000,INDEX($AD$1005:$AU$1005,1,MATCH(COLUMNS($AD$1006:AG1006),$AD$1006:$AU$1006,0))&gt;=100000), " ",IF(INDEX($AD$2:$AU$1001,MATCH(ROWS($W$2:W350),$W$2:$W$1001,0),MATCH(COLUMNS($AD$1006:AG1006),$AD$1006:$AU$1006,0)), HYPERLINK("#",""), HYPERLINK(CONCATENATE("#metadata!", ADDRESS(INDEX($Y$2:$Y$1001,MATCH(ROWS($W$2:W350),$W$2:$W$1001,0),0), INDEX($AD$1004:$AU$1004,1,MATCH(COLUMNS($AD$1006:AG1006),$AD$1006:$AU$1006,0)))),"Fix")))</f>
        <v xml:space="preserve"> </v>
      </c>
      <c r="F350" s="4" t="str">
        <f ca="1">IF(OR(INDEX($X$2:$X$1001,MATCH(ROWS($W$2:W350),$W$2:$W$1001,0),1)&gt;=100000,INDEX($AD$1005:$AU$1005,1,MATCH(COLUMNS($AD$1006:AH1006),$AD$1006:$AU$1006,0))&gt;=100000), " ",IF(INDEX($AD$2:$AU$1001,MATCH(ROWS($W$2:W350),$W$2:$W$1001,0),MATCH(COLUMNS($AD$1006:AH1006),$AD$1006:$AU$1006,0)), HYPERLINK("#",""), HYPERLINK(CONCATENATE("#metadata!", ADDRESS(INDEX($Y$2:$Y$1001,MATCH(ROWS($W$2:W350),$W$2:$W$1001,0),0), INDEX($AD$1004:$AU$1004,1,MATCH(COLUMNS($AD$1006:AH1006),$AD$1006:$AU$1006,0)))),"Fix")))</f>
        <v xml:space="preserve"> </v>
      </c>
      <c r="G350" s="4" t="str">
        <f ca="1">IF(OR(INDEX($X$2:$X$1001,MATCH(ROWS($W$2:W350),$W$2:$W$1001,0),1)&gt;=100000,INDEX($AD$1005:$AU$1005,1,MATCH(COLUMNS($AD$1006:AI1006),$AD$1006:$AU$1006,0))&gt;=100000), " ",IF(INDEX($AD$2:$AU$1001,MATCH(ROWS($W$2:W350),$W$2:$W$1001,0),MATCH(COLUMNS($AD$1006:AI1006),$AD$1006:$AU$1006,0)), HYPERLINK("#",""), HYPERLINK(CONCATENATE("#metadata!", ADDRESS(INDEX($Y$2:$Y$1001,MATCH(ROWS($W$2:W350),$W$2:$W$1001,0),0), INDEX($AD$1004:$AU$1004,1,MATCH(COLUMNS($AD$1006:AI1006),$AD$1006:$AU$1006,0)))),"Fix")))</f>
        <v xml:space="preserve"> </v>
      </c>
      <c r="H350" s="4" t="str">
        <f ca="1">IF(OR(INDEX($X$2:$X$1001,MATCH(ROWS($W$2:W350),$W$2:$W$1001,0),1)&gt;=100000,INDEX($AD$1005:$AU$1005,1,MATCH(COLUMNS($AD$1006:AJ1006),$AD$1006:$AU$1006,0))&gt;=100000), " ",IF(INDEX($AD$2:$AU$1001,MATCH(ROWS($W$2:W350),$W$2:$W$1001,0),MATCH(COLUMNS($AD$1006:AJ1006),$AD$1006:$AU$1006,0)), HYPERLINK("#",""), HYPERLINK(CONCATENATE("#metadata!", ADDRESS(INDEX($Y$2:$Y$1001,MATCH(ROWS($W$2:W350),$W$2:$W$1001,0),0), INDEX($AD$1004:$AU$1004,1,MATCH(COLUMNS($AD$1006:AJ1006),$AD$1006:$AU$1006,0)))),"Fix")))</f>
        <v xml:space="preserve"> </v>
      </c>
      <c r="I350" s="4" t="str">
        <f ca="1">IF(OR(INDEX($X$2:$X$1001,MATCH(ROWS($W$2:W350),$W$2:$W$1001,0),1)&gt;=100000,INDEX($AD$1005:$AU$1005,1,MATCH(COLUMNS($AD$1006:AK1006),$AD$1006:$AU$1006,0))&gt;=100000), " ",IF(INDEX($AD$2:$AU$1001,MATCH(ROWS($W$2:W350),$W$2:$W$1001,0),MATCH(COLUMNS($AD$1006:AK1006),$AD$1006:$AU$1006,0)), HYPERLINK("#",""), HYPERLINK(CONCATENATE("#metadata!", ADDRESS(INDEX($Y$2:$Y$1001,MATCH(ROWS($W$2:W350),$W$2:$W$1001,0),0), INDEX($AD$1004:$AU$1004,1,MATCH(COLUMNS($AD$1006:AK1006),$AD$1006:$AU$1006,0)))),"Fix")))</f>
        <v xml:space="preserve"> </v>
      </c>
      <c r="J350" s="4" t="str">
        <f ca="1">IF(OR(INDEX($X$2:$X$1001,MATCH(ROWS($W$2:W350),$W$2:$W$1001,0),1)&gt;=100000,INDEX($AD$1005:$AU$1005,1,MATCH(COLUMNS($AD$1006:AL1006),$AD$1006:$AU$1006,0))&gt;=100000), " ",IF(INDEX($AD$2:$AU$1001,MATCH(ROWS($W$2:W350),$W$2:$W$1001,0),MATCH(COLUMNS($AD$1006:AL1006),$AD$1006:$AU$1006,0)), HYPERLINK("#",""), HYPERLINK(CONCATENATE("#metadata!", ADDRESS(INDEX($Y$2:$Y$1001,MATCH(ROWS($W$2:W350),$W$2:$W$1001,0),0), INDEX($AD$1004:$AU$1004,1,MATCH(COLUMNS($AD$1006:AL1006),$AD$1006:$AU$1006,0)))),"Fix")))</f>
        <v xml:space="preserve"> </v>
      </c>
      <c r="K350" s="4" t="str">
        <f ca="1">IF(OR(INDEX($X$2:$X$1001,MATCH(ROWS($W$2:W350),$W$2:$W$1001,0),1)&gt;=100000,INDEX($AD$1005:$AU$1005,1,MATCH(COLUMNS($AD$1006:AM1006),$AD$1006:$AU$1006,0))&gt;=100000), " ",IF(INDEX($AD$2:$AU$1001,MATCH(ROWS($W$2:W350),$W$2:$W$1001,0),MATCH(COLUMNS($AD$1006:AM1006),$AD$1006:$AU$1006,0)), HYPERLINK("#",""), HYPERLINK(CONCATENATE("#metadata!", ADDRESS(INDEX($Y$2:$Y$1001,MATCH(ROWS($W$2:W350),$W$2:$W$1001,0),0), INDEX($AD$1004:$AU$1004,1,MATCH(COLUMNS($AD$1006:AM1006),$AD$1006:$AU$1006,0)))),"Fix")))</f>
        <v xml:space="preserve"> </v>
      </c>
      <c r="L350" s="4" t="str">
        <f ca="1">IF(OR(INDEX($X$2:$X$1001,MATCH(ROWS($W$2:W350),$W$2:$W$1001,0),1)&gt;=100000,INDEX($AD$1005:$AU$1005,1,MATCH(COLUMNS($AD$1006:AN1006),$AD$1006:$AU$1006,0))&gt;=100000), " ",IF(INDEX($AD$2:$AU$1001,MATCH(ROWS($W$2:W350),$W$2:$W$1001,0),MATCH(COLUMNS($AD$1006:AN1006),$AD$1006:$AU$1006,0)), HYPERLINK("#",""), HYPERLINK(CONCATENATE("#metadata!", ADDRESS(INDEX($Y$2:$Y$1001,MATCH(ROWS($W$2:W350),$W$2:$W$1001,0),0), INDEX($AD$1004:$AU$1004,1,MATCH(COLUMNS($AD$1006:AN1006),$AD$1006:$AU$1006,0)))),"Fix")))</f>
        <v xml:space="preserve"> </v>
      </c>
      <c r="M350" s="4" t="str">
        <f ca="1">IF(OR(INDEX($X$2:$X$1001,MATCH(ROWS($W$2:W350),$W$2:$W$1001,0),1)&gt;=100000,INDEX($AD$1005:$AU$1005,1,MATCH(COLUMNS($AD$1006:AO1006),$AD$1006:$AU$1006,0))&gt;=100000), " ",IF(INDEX($AD$2:$AU$1001,MATCH(ROWS($W$2:W350),$W$2:$W$1001,0),MATCH(COLUMNS($AD$1006:AO1006),$AD$1006:$AU$1006,0)), HYPERLINK("#",""), HYPERLINK(CONCATENATE("#metadata!", ADDRESS(INDEX($Y$2:$Y$1001,MATCH(ROWS($W$2:W350),$W$2:$W$1001,0),0), INDEX($AD$1004:$AU$1004,1,MATCH(COLUMNS($AD$1006:AO1006),$AD$1006:$AU$1006,0)))),"Fix")))</f>
        <v xml:space="preserve"> </v>
      </c>
      <c r="N350" s="4" t="str">
        <f ca="1">IF(OR(INDEX($X$2:$X$1001,MATCH(ROWS($W$2:W350),$W$2:$W$1001,0),1)&gt;=100000,INDEX($AD$1005:$AU$1005,1,MATCH(COLUMNS($AD$1006:AP1006),$AD$1006:$AU$1006,0))&gt;=100000), " ",IF(INDEX($AD$2:$AU$1001,MATCH(ROWS($W$2:W350),$W$2:$W$1001,0),MATCH(COLUMNS($AD$1006:AP1006),$AD$1006:$AU$1006,0)), HYPERLINK("#",""), HYPERLINK(CONCATENATE("#metadata!", ADDRESS(INDEX($Y$2:$Y$1001,MATCH(ROWS($W$2:W350),$W$2:$W$1001,0),0), INDEX($AD$1004:$AU$1004,1,MATCH(COLUMNS($AD$1006:AP1006),$AD$1006:$AU$1006,0)))),"Fix")))</f>
        <v xml:space="preserve"> </v>
      </c>
      <c r="O350" s="4" t="str">
        <f ca="1">IF(OR(INDEX($X$2:$X$1001,MATCH(ROWS($W$2:W350),$W$2:$W$1001,0),1)&gt;=100000,INDEX($AD$1005:$AU$1005,1,MATCH(COLUMNS($AD$1006:AQ1006),$AD$1006:$AU$1006,0))&gt;=100000), " ",IF(INDEX($AD$2:$AU$1001,MATCH(ROWS($W$2:W350),$W$2:$W$1001,0),MATCH(COLUMNS($AD$1006:AQ1006),$AD$1006:$AU$1006,0)), HYPERLINK("#",""), HYPERLINK(CONCATENATE("#metadata!", ADDRESS(INDEX($Y$2:$Y$1001,MATCH(ROWS($W$2:W350),$W$2:$W$1001,0),0), INDEX($AD$1004:$AU$1004,1,MATCH(COLUMNS($AD$1006:AQ1006),$AD$1006:$AU$1006,0)))),"Fix")))</f>
        <v xml:space="preserve"> </v>
      </c>
      <c r="P350" s="4" t="str">
        <f ca="1">IF(OR(INDEX($X$2:$X$1001,MATCH(ROWS($W$2:W350),$W$2:$W$1001,0),1)&gt;=100000,INDEX($AD$1005:$AU$1005,1,MATCH(COLUMNS($AD$1006:AR1006),$AD$1006:$AU$1006,0))&gt;=100000), " ",IF(INDEX($AD$2:$AU$1001,MATCH(ROWS($W$2:W350),$W$2:$W$1001,0),MATCH(COLUMNS($AD$1006:AR1006),$AD$1006:$AU$1006,0)), HYPERLINK("#",""), HYPERLINK(CONCATENATE("#metadata!", ADDRESS(INDEX($Y$2:$Y$1001,MATCH(ROWS($W$2:W350),$W$2:$W$1001,0),0), INDEX($AD$1004:$AU$1004,1,MATCH(COLUMNS($AD$1006:AR1006),$AD$1006:$AU$1006,0)))),"Fix")))</f>
        <v xml:space="preserve"> </v>
      </c>
      <c r="Q350" s="4" t="str">
        <f ca="1">IF(OR(INDEX($X$2:$X$1001,MATCH(ROWS($W$2:W350),$W$2:$W$1001,0),1)&gt;=100000,INDEX($AD$1005:$AU$1005,1,MATCH(COLUMNS($AD$1006:AS1006),$AD$1006:$AU$1006,0))&gt;=100000), " ",IF(INDEX($AD$2:$AU$1001,MATCH(ROWS($W$2:W350),$W$2:$W$1001,0),MATCH(COLUMNS($AD$1006:AS1006),$AD$1006:$AU$1006,0)), HYPERLINK("#",""), HYPERLINK(CONCATENATE("#metadata!", ADDRESS(INDEX($Y$2:$Y$1001,MATCH(ROWS($W$2:W350),$W$2:$W$1001,0),0), INDEX($AD$1004:$AU$1004,1,MATCH(COLUMNS($AD$1006:AS1006),$AD$1006:$AU$1006,0)))),"Fix")))</f>
        <v xml:space="preserve"> </v>
      </c>
      <c r="R350" s="4" t="str">
        <f ca="1">IF(OR(INDEX($X$2:$X$1001,MATCH(ROWS($W$2:W350),$W$2:$W$1001,0),1)&gt;=100000,INDEX($AD$1005:$AU$1005,1,MATCH(COLUMNS($AD$1006:AT1006),$AD$1006:$AU$1006,0))&gt;=100000), " ",IF(INDEX($AD$2:$AU$1001,MATCH(ROWS($W$2:W350),$W$2:$W$1001,0),MATCH(COLUMNS($AD$1006:AT1006),$AD$1006:$AU$1006,0)), HYPERLINK("#",""), HYPERLINK(CONCATENATE("#metadata!", ADDRESS(INDEX($Y$2:$Y$1001,MATCH(ROWS($W$2:W350),$W$2:$W$1001,0),0), INDEX($AD$1004:$AU$1004,1,MATCH(COLUMNS($AD$1006:AT1006),$AD$1006:$AU$1006,0)))),"Fix")))</f>
        <v xml:space="preserve"> </v>
      </c>
      <c r="S350" s="4" t="str">
        <f ca="1">IF(OR(INDEX($X$2:$X$1001,MATCH(ROWS($W$2:W350),$W$2:$W$1001,0),1)&gt;=100000,INDEX($AD$1005:$AU$1005,1,MATCH(COLUMNS($AD$1006:AU1006),$AD$1006:$AU$1006,0))&gt;=100000), " ",IF(INDEX($AD$2:$AU$1001,MATCH(ROWS($W$2:W350),$W$2:$W$1001,0),MATCH(COLUMNS($AD$1006:AU1006),$AD$1006:$AU$1006,0)), HYPERLINK("#",""), HYPERLINK(CONCATENATE("#metadata!", ADDRESS(INDEX($Y$2:$Y$1001,MATCH(ROWS($W$2:W350),$W$2:$W$1001,0),0), INDEX($AD$1004:$AU$1004,1,MATCH(COLUMNS($AD$1006:AU1006),$AD$1006:$AU$1006,0)))),"Fix")))</f>
        <v xml:space="preserve"> </v>
      </c>
      <c r="W350">
        <v>349</v>
      </c>
      <c r="X350">
        <v>100350</v>
      </c>
      <c r="Y350">
        <v>350</v>
      </c>
      <c r="Z350" t="b">
        <f t="shared" si="5"/>
        <v>1</v>
      </c>
      <c r="AA350" t="b">
        <f>COUNTBLANK(metadata!B350:S350)=COLUMNS(metadata!B350:S350)</f>
        <v>1</v>
      </c>
      <c r="AB350" t="str">
        <v/>
      </c>
      <c r="AD350" t="b">
        <f ca="1">AND(IF(metadata!B350="",FALSE,TRUE),COUNTIF(metadata!B:B, metadata!B350) = 1,NOT(ISERROR(SUMPRODUCT(SEARCH(MID(metadata!B350,ROW(INDIRECT("1:"&amp;LEN(metadata!B350))), 1),"0123456789abcdefghijklmnopqrstuvwxyzABCDEFGHIJKLMNOPQRSTUVWXYZ.")))))</f>
        <v>0</v>
      </c>
      <c r="AE350" t="b">
        <f>OR(AND(IF(metadata!C350="",FALSE,TRUE),OR(EXACT(metadata!C350,"not applicable"),EXACT(metadata!C350,"missing: not collected"),EXACT(metadata!C350,"missing: not provided"),EXACT(metadata!C350,"missing: restricted access"))),AND(IF(metadata!C350="",FALSE,ISNUMBER(VALUE(metadata!C350))),metadata!C350&gt;0))</f>
        <v>0</v>
      </c>
      <c r="AF350" t="b">
        <f>AND(IF(metadata!D350="",FALSE,TRUE),EXACT(metadata!D350,"missing: not provided"))</f>
        <v>0</v>
      </c>
      <c r="AG350" t="b">
        <f>AND(IF(metadata!E350="",FALSE,TRUE),EXACT(metadata!E350,"Host-associated"))</f>
        <v>0</v>
      </c>
      <c r="AH350" t="b">
        <f>AND(IF(metadata!F350="",FALSE,TRUE),OR(EXACT(metadata!F350,"Animal"),EXACT(metadata!F350,"Fungus"),EXACT(metadata!F350,"Plant")))</f>
        <v>0</v>
      </c>
      <c r="AI350" t="b">
        <f>AND(IF(metadata!G350="",FALSE,TRUE),OR(EXACT(metadata!G350,"Plant secretion"),EXACT(metadata!G350,"Plant rhizosphere"),EXACT(metadata!G350,"Plant surface"),EXACT(metadata!G350,"Plant corpus"),EXACT(metadata!G350,"Fungus surface"),EXACT(metadata!G350,"Fungus corpus"),EXACT(metadata!G350,"Animal surface"),EXACT(metadata!G350,"Animal proximal gut"),EXACT(metadata!G350,"Animal corpus"),EXACT(metadata!G350,"Animal distal gut"),EXACT(metadata!G350,"Animal secretion")))</f>
        <v>0</v>
      </c>
      <c r="AJ350" t="b">
        <f>OR(AND(IF(metadata!H350="",FALSE,TRUE),OR(EXACT(metadata!H350,"missing: not collected"),EXACT(metadata!H350,"missing: not provided"),EXACT(metadata!H350,"missing: restricted access"))),AND(IF(metadata!H350="",FALSE,TRUE),OR(EXACT(metadata!H350,"organism-associated habitat"),EXACT(metadata!H350,"plant-associated habitat"),EXACT(metadata!H350,"animal-associated habitat"),EXACT(metadata!H350,"insecta-associated habitat"),EXACT(metadata!H350,"mammalia-associated habitat"),EXACT(metadata!H350,"human-associated habitat"),EXACT(metadata!H350,"livestock-associated habitat"))))</f>
        <v>0</v>
      </c>
      <c r="AK350" t="b">
        <f>AND(IF(metadata!I350="",FALSE,TRUE),EXACT(metadata!I350,"host-associated"))</f>
        <v>0</v>
      </c>
      <c r="AL350" t="b">
        <f>OR(AND(IF(metadata!J350="",FALSE,TRUE),OR(EXACT(metadata!J350,"not applicable"),EXACT(metadata!J350,"missing: not collected"),EXACT(metadata!J350,"missing: not provided"),EXACT(metadata!J350,"missing: restricted access"))),AND(IF(metadata!J350="",FALSE,ISNUMBER(VALUE(metadata!J350))),metadata!J350&gt;0))</f>
        <v>0</v>
      </c>
      <c r="AM350" t="b">
        <f>AND(IF(metadata!K350="",FALSE,TRUE),EXACT(metadata!K350,"missing: not provided"))</f>
        <v>0</v>
      </c>
      <c r="AN350" t="b">
        <f>IF(metadata!L350="",FALSE,TRUE)</f>
        <v>0</v>
      </c>
      <c r="AO350" t="b">
        <f>IF(metadata!M350="",FALSE,TRUE)</f>
        <v>0</v>
      </c>
      <c r="AP350" t="b">
        <f>OR(AND(IF(metadata!N350="",FALSE,TRUE),OR(EXACT(metadata!N350,"not applicable"),EXACT(metadata!N350,"missing: not collected"),EXACT(metadata!N350,"missing: not provided"))),AND(IF(metadata!N350="",FALSE,IF(ISERROR(INT(metadata!N350)),FALSE,INT(metadata!N350)=metadata!N350)),metadata!N350&gt;0))</f>
        <v>0</v>
      </c>
      <c r="AQ350" t="b">
        <f>AND(IF(metadata!O350="",FALSE,TRUE),EXACT(metadata!O350,"Not applicable"))</f>
        <v>0</v>
      </c>
      <c r="AR350" t="b">
        <f>OR(AND(IF(metadata!P350="",FALSE,TRUE),OR(EXACT(metadata!P350,"not applicable"),EXACT(metadata!P350,"missing: not collected"),EXACT(metadata!P350,"missing: not provided"),EXACT(metadata!P350,"missing: restricted access"))),IF(metadata!P350="",FALSE,IF(ISERROR(INT(metadata!P350)),FALSE,INT(metadata!P350)=metadata!P350)))</f>
        <v>0</v>
      </c>
      <c r="AS350" t="b">
        <f>AND(IF(metadata!Q350="",FALSE,TRUE),EXACT(metadata!Q350,"Not applicable"))</f>
        <v>0</v>
      </c>
      <c r="AT350" t="b">
        <f>OR(AND(IF(metadata!R350="",FALSE,TRUE),OR(EXACT(metadata!R350,"not applicable"),EXACT(metadata!R350,"missing: not collected"),EXACT(metadata!R350,"missing: not provided"),EXACT(metadata!R350,"missing: restricted access"))),AND(IF(metadata!R350="",FALSE,ISNUMBER(VALUE(metadata!R350))),metadata!R350&gt;0))</f>
        <v>0</v>
      </c>
      <c r="AU350" t="b">
        <f>AND(IF(metadata!S350="",FALSE,TRUE),EXACT(metadata!S350,"missing: not provided"))</f>
        <v>0</v>
      </c>
    </row>
    <row r="351" spans="1:47" x14ac:dyDescent="0.2">
      <c r="A351" s="5" t="str">
        <f ca="1">IF(B351=" "," ",HYPERLINK(CONCATENATE("#metadata!",ADDRESS(INDEX($Y$2:$Y$1001,MATCH(ROWS($W$2:W351),$W$2:$W$1001,0),0),1)),INDEX($AB$2:$AB$1001,MATCH(ROWS($W$2:W351),$W$2:$W$1001,0),0)))</f>
        <v xml:space="preserve"> </v>
      </c>
      <c r="B351" s="4" t="str">
        <f ca="1">IF(OR(INDEX($X$2:$X$1001,MATCH(ROWS($W$2:W351),$W$2:$W$1001,0),1)&gt;=100000,INDEX($AD$1005:$AU$1005,1,MATCH(COLUMNS($AD$1006:AD1006),$AD$1006:$AU$1006,0))&gt;=100000), " ",IF(INDEX($AD$2:$AU$1001,MATCH(ROWS($W$2:W351),$W$2:$W$1001,0),MATCH(COLUMNS($AD$1006:AD1006),$AD$1006:$AU$1006,0)), HYPERLINK("#",""), HYPERLINK(CONCATENATE("#metadata!", ADDRESS(INDEX($Y$2:$Y$1001,MATCH(ROWS($W$2:W351),$W$2:$W$1001,0),0), INDEX($AD$1004:$AU$1004,1,MATCH(COLUMNS($AD$1006:AD1006),$AD$1006:$AU$1006,0)))),"Fix")))</f>
        <v xml:space="preserve"> </v>
      </c>
      <c r="C351" s="4" t="str">
        <f ca="1">IF(OR(INDEX($X$2:$X$1001,MATCH(ROWS($W$2:W351),$W$2:$W$1001,0),1)&gt;=100000,INDEX($AD$1005:$AU$1005,1,MATCH(COLUMNS($AD$1006:AE1006),$AD$1006:$AU$1006,0))&gt;=100000), " ",IF(INDEX($AD$2:$AU$1001,MATCH(ROWS($W$2:W351),$W$2:$W$1001,0),MATCH(COLUMNS($AD$1006:AE1006),$AD$1006:$AU$1006,0)), HYPERLINK("#",""), HYPERLINK(CONCATENATE("#metadata!", ADDRESS(INDEX($Y$2:$Y$1001,MATCH(ROWS($W$2:W351),$W$2:$W$1001,0),0), INDEX($AD$1004:$AU$1004,1,MATCH(COLUMNS($AD$1006:AE1006),$AD$1006:$AU$1006,0)))),"Fix")))</f>
        <v xml:space="preserve"> </v>
      </c>
      <c r="D351" s="4" t="str">
        <f ca="1">IF(OR(INDEX($X$2:$X$1001,MATCH(ROWS($W$2:W351),$W$2:$W$1001,0),1)&gt;=100000,INDEX($AD$1005:$AU$1005,1,MATCH(COLUMNS($AD$1006:AF1006),$AD$1006:$AU$1006,0))&gt;=100000), " ",IF(INDEX($AD$2:$AU$1001,MATCH(ROWS($W$2:W351),$W$2:$W$1001,0),MATCH(COLUMNS($AD$1006:AF1006),$AD$1006:$AU$1006,0)), HYPERLINK("#",""), HYPERLINK(CONCATENATE("#metadata!", ADDRESS(INDEX($Y$2:$Y$1001,MATCH(ROWS($W$2:W351),$W$2:$W$1001,0),0), INDEX($AD$1004:$AU$1004,1,MATCH(COLUMNS($AD$1006:AF1006),$AD$1006:$AU$1006,0)))),"Fix")))</f>
        <v xml:space="preserve"> </v>
      </c>
      <c r="E351" s="4" t="str">
        <f ca="1">IF(OR(INDEX($X$2:$X$1001,MATCH(ROWS($W$2:W351),$W$2:$W$1001,0),1)&gt;=100000,INDEX($AD$1005:$AU$1005,1,MATCH(COLUMNS($AD$1006:AG1006),$AD$1006:$AU$1006,0))&gt;=100000), " ",IF(INDEX($AD$2:$AU$1001,MATCH(ROWS($W$2:W351),$W$2:$W$1001,0),MATCH(COLUMNS($AD$1006:AG1006),$AD$1006:$AU$1006,0)), HYPERLINK("#",""), HYPERLINK(CONCATENATE("#metadata!", ADDRESS(INDEX($Y$2:$Y$1001,MATCH(ROWS($W$2:W351),$W$2:$W$1001,0),0), INDEX($AD$1004:$AU$1004,1,MATCH(COLUMNS($AD$1006:AG1006),$AD$1006:$AU$1006,0)))),"Fix")))</f>
        <v xml:space="preserve"> </v>
      </c>
      <c r="F351" s="4" t="str">
        <f ca="1">IF(OR(INDEX($X$2:$X$1001,MATCH(ROWS($W$2:W351),$W$2:$W$1001,0),1)&gt;=100000,INDEX($AD$1005:$AU$1005,1,MATCH(COLUMNS($AD$1006:AH1006),$AD$1006:$AU$1006,0))&gt;=100000), " ",IF(INDEX($AD$2:$AU$1001,MATCH(ROWS($W$2:W351),$W$2:$W$1001,0),MATCH(COLUMNS($AD$1006:AH1006),$AD$1006:$AU$1006,0)), HYPERLINK("#",""), HYPERLINK(CONCATENATE("#metadata!", ADDRESS(INDEX($Y$2:$Y$1001,MATCH(ROWS($W$2:W351),$W$2:$W$1001,0),0), INDEX($AD$1004:$AU$1004,1,MATCH(COLUMNS($AD$1006:AH1006),$AD$1006:$AU$1006,0)))),"Fix")))</f>
        <v xml:space="preserve"> </v>
      </c>
      <c r="G351" s="4" t="str">
        <f ca="1">IF(OR(INDEX($X$2:$X$1001,MATCH(ROWS($W$2:W351),$W$2:$W$1001,0),1)&gt;=100000,INDEX($AD$1005:$AU$1005,1,MATCH(COLUMNS($AD$1006:AI1006),$AD$1006:$AU$1006,0))&gt;=100000), " ",IF(INDEX($AD$2:$AU$1001,MATCH(ROWS($W$2:W351),$W$2:$W$1001,0),MATCH(COLUMNS($AD$1006:AI1006),$AD$1006:$AU$1006,0)), HYPERLINK("#",""), HYPERLINK(CONCATENATE("#metadata!", ADDRESS(INDEX($Y$2:$Y$1001,MATCH(ROWS($W$2:W351),$W$2:$W$1001,0),0), INDEX($AD$1004:$AU$1004,1,MATCH(COLUMNS($AD$1006:AI1006),$AD$1006:$AU$1006,0)))),"Fix")))</f>
        <v xml:space="preserve"> </v>
      </c>
      <c r="H351" s="4" t="str">
        <f ca="1">IF(OR(INDEX($X$2:$X$1001,MATCH(ROWS($W$2:W351),$W$2:$W$1001,0),1)&gt;=100000,INDEX($AD$1005:$AU$1005,1,MATCH(COLUMNS($AD$1006:AJ1006),$AD$1006:$AU$1006,0))&gt;=100000), " ",IF(INDEX($AD$2:$AU$1001,MATCH(ROWS($W$2:W351),$W$2:$W$1001,0),MATCH(COLUMNS($AD$1006:AJ1006),$AD$1006:$AU$1006,0)), HYPERLINK("#",""), HYPERLINK(CONCATENATE("#metadata!", ADDRESS(INDEX($Y$2:$Y$1001,MATCH(ROWS($W$2:W351),$W$2:$W$1001,0),0), INDEX($AD$1004:$AU$1004,1,MATCH(COLUMNS($AD$1006:AJ1006),$AD$1006:$AU$1006,0)))),"Fix")))</f>
        <v xml:space="preserve"> </v>
      </c>
      <c r="I351" s="4" t="str">
        <f ca="1">IF(OR(INDEX($X$2:$X$1001,MATCH(ROWS($W$2:W351),$W$2:$W$1001,0),1)&gt;=100000,INDEX($AD$1005:$AU$1005,1,MATCH(COLUMNS($AD$1006:AK1006),$AD$1006:$AU$1006,0))&gt;=100000), " ",IF(INDEX($AD$2:$AU$1001,MATCH(ROWS($W$2:W351),$W$2:$W$1001,0),MATCH(COLUMNS($AD$1006:AK1006),$AD$1006:$AU$1006,0)), HYPERLINK("#",""), HYPERLINK(CONCATENATE("#metadata!", ADDRESS(INDEX($Y$2:$Y$1001,MATCH(ROWS($W$2:W351),$W$2:$W$1001,0),0), INDEX($AD$1004:$AU$1004,1,MATCH(COLUMNS($AD$1006:AK1006),$AD$1006:$AU$1006,0)))),"Fix")))</f>
        <v xml:space="preserve"> </v>
      </c>
      <c r="J351" s="4" t="str">
        <f ca="1">IF(OR(INDEX($X$2:$X$1001,MATCH(ROWS($W$2:W351),$W$2:$W$1001,0),1)&gt;=100000,INDEX($AD$1005:$AU$1005,1,MATCH(COLUMNS($AD$1006:AL1006),$AD$1006:$AU$1006,0))&gt;=100000), " ",IF(INDEX($AD$2:$AU$1001,MATCH(ROWS($W$2:W351),$W$2:$W$1001,0),MATCH(COLUMNS($AD$1006:AL1006),$AD$1006:$AU$1006,0)), HYPERLINK("#",""), HYPERLINK(CONCATENATE("#metadata!", ADDRESS(INDEX($Y$2:$Y$1001,MATCH(ROWS($W$2:W351),$W$2:$W$1001,0),0), INDEX($AD$1004:$AU$1004,1,MATCH(COLUMNS($AD$1006:AL1006),$AD$1006:$AU$1006,0)))),"Fix")))</f>
        <v xml:space="preserve"> </v>
      </c>
      <c r="K351" s="4" t="str">
        <f ca="1">IF(OR(INDEX($X$2:$X$1001,MATCH(ROWS($W$2:W351),$W$2:$W$1001,0),1)&gt;=100000,INDEX($AD$1005:$AU$1005,1,MATCH(COLUMNS($AD$1006:AM1006),$AD$1006:$AU$1006,0))&gt;=100000), " ",IF(INDEX($AD$2:$AU$1001,MATCH(ROWS($W$2:W351),$W$2:$W$1001,0),MATCH(COLUMNS($AD$1006:AM1006),$AD$1006:$AU$1006,0)), HYPERLINK("#",""), HYPERLINK(CONCATENATE("#metadata!", ADDRESS(INDEX($Y$2:$Y$1001,MATCH(ROWS($W$2:W351),$W$2:$W$1001,0),0), INDEX($AD$1004:$AU$1004,1,MATCH(COLUMNS($AD$1006:AM1006),$AD$1006:$AU$1006,0)))),"Fix")))</f>
        <v xml:space="preserve"> </v>
      </c>
      <c r="L351" s="4" t="str">
        <f ca="1">IF(OR(INDEX($X$2:$X$1001,MATCH(ROWS($W$2:W351),$W$2:$W$1001,0),1)&gt;=100000,INDEX($AD$1005:$AU$1005,1,MATCH(COLUMNS($AD$1006:AN1006),$AD$1006:$AU$1006,0))&gt;=100000), " ",IF(INDEX($AD$2:$AU$1001,MATCH(ROWS($W$2:W351),$W$2:$W$1001,0),MATCH(COLUMNS($AD$1006:AN1006),$AD$1006:$AU$1006,0)), HYPERLINK("#",""), HYPERLINK(CONCATENATE("#metadata!", ADDRESS(INDEX($Y$2:$Y$1001,MATCH(ROWS($W$2:W351),$W$2:$W$1001,0),0), INDEX($AD$1004:$AU$1004,1,MATCH(COLUMNS($AD$1006:AN1006),$AD$1006:$AU$1006,0)))),"Fix")))</f>
        <v xml:space="preserve"> </v>
      </c>
      <c r="M351" s="4" t="str">
        <f ca="1">IF(OR(INDEX($X$2:$X$1001,MATCH(ROWS($W$2:W351),$W$2:$W$1001,0),1)&gt;=100000,INDEX($AD$1005:$AU$1005,1,MATCH(COLUMNS($AD$1006:AO1006),$AD$1006:$AU$1006,0))&gt;=100000), " ",IF(INDEX($AD$2:$AU$1001,MATCH(ROWS($W$2:W351),$W$2:$W$1001,0),MATCH(COLUMNS($AD$1006:AO1006),$AD$1006:$AU$1006,0)), HYPERLINK("#",""), HYPERLINK(CONCATENATE("#metadata!", ADDRESS(INDEX($Y$2:$Y$1001,MATCH(ROWS($W$2:W351),$W$2:$W$1001,0),0), INDEX($AD$1004:$AU$1004,1,MATCH(COLUMNS($AD$1006:AO1006),$AD$1006:$AU$1006,0)))),"Fix")))</f>
        <v xml:space="preserve"> </v>
      </c>
      <c r="N351" s="4" t="str">
        <f ca="1">IF(OR(INDEX($X$2:$X$1001,MATCH(ROWS($W$2:W351),$W$2:$W$1001,0),1)&gt;=100000,INDEX($AD$1005:$AU$1005,1,MATCH(COLUMNS($AD$1006:AP1006),$AD$1006:$AU$1006,0))&gt;=100000), " ",IF(INDEX($AD$2:$AU$1001,MATCH(ROWS($W$2:W351),$W$2:$W$1001,0),MATCH(COLUMNS($AD$1006:AP1006),$AD$1006:$AU$1006,0)), HYPERLINK("#",""), HYPERLINK(CONCATENATE("#metadata!", ADDRESS(INDEX($Y$2:$Y$1001,MATCH(ROWS($W$2:W351),$W$2:$W$1001,0),0), INDEX($AD$1004:$AU$1004,1,MATCH(COLUMNS($AD$1006:AP1006),$AD$1006:$AU$1006,0)))),"Fix")))</f>
        <v xml:space="preserve"> </v>
      </c>
      <c r="O351" s="4" t="str">
        <f ca="1">IF(OR(INDEX($X$2:$X$1001,MATCH(ROWS($W$2:W351),$W$2:$W$1001,0),1)&gt;=100000,INDEX($AD$1005:$AU$1005,1,MATCH(COLUMNS($AD$1006:AQ1006),$AD$1006:$AU$1006,0))&gt;=100000), " ",IF(INDEX($AD$2:$AU$1001,MATCH(ROWS($W$2:W351),$W$2:$W$1001,0),MATCH(COLUMNS($AD$1006:AQ1006),$AD$1006:$AU$1006,0)), HYPERLINK("#",""), HYPERLINK(CONCATENATE("#metadata!", ADDRESS(INDEX($Y$2:$Y$1001,MATCH(ROWS($W$2:W351),$W$2:$W$1001,0),0), INDEX($AD$1004:$AU$1004,1,MATCH(COLUMNS($AD$1006:AQ1006),$AD$1006:$AU$1006,0)))),"Fix")))</f>
        <v xml:space="preserve"> </v>
      </c>
      <c r="P351" s="4" t="str">
        <f ca="1">IF(OR(INDEX($X$2:$X$1001,MATCH(ROWS($W$2:W351),$W$2:$W$1001,0),1)&gt;=100000,INDEX($AD$1005:$AU$1005,1,MATCH(COLUMNS($AD$1006:AR1006),$AD$1006:$AU$1006,0))&gt;=100000), " ",IF(INDEX($AD$2:$AU$1001,MATCH(ROWS($W$2:W351),$W$2:$W$1001,0),MATCH(COLUMNS($AD$1006:AR1006),$AD$1006:$AU$1006,0)), HYPERLINK("#",""), HYPERLINK(CONCATENATE("#metadata!", ADDRESS(INDEX($Y$2:$Y$1001,MATCH(ROWS($W$2:W351),$W$2:$W$1001,0),0), INDEX($AD$1004:$AU$1004,1,MATCH(COLUMNS($AD$1006:AR1006),$AD$1006:$AU$1006,0)))),"Fix")))</f>
        <v xml:space="preserve"> </v>
      </c>
      <c r="Q351" s="4" t="str">
        <f ca="1">IF(OR(INDEX($X$2:$X$1001,MATCH(ROWS($W$2:W351),$W$2:$W$1001,0),1)&gt;=100000,INDEX($AD$1005:$AU$1005,1,MATCH(COLUMNS($AD$1006:AS1006),$AD$1006:$AU$1006,0))&gt;=100000), " ",IF(INDEX($AD$2:$AU$1001,MATCH(ROWS($W$2:W351),$W$2:$W$1001,0),MATCH(COLUMNS($AD$1006:AS1006),$AD$1006:$AU$1006,0)), HYPERLINK("#",""), HYPERLINK(CONCATENATE("#metadata!", ADDRESS(INDEX($Y$2:$Y$1001,MATCH(ROWS($W$2:W351),$W$2:$W$1001,0),0), INDEX($AD$1004:$AU$1004,1,MATCH(COLUMNS($AD$1006:AS1006),$AD$1006:$AU$1006,0)))),"Fix")))</f>
        <v xml:space="preserve"> </v>
      </c>
      <c r="R351" s="4" t="str">
        <f ca="1">IF(OR(INDEX($X$2:$X$1001,MATCH(ROWS($W$2:W351),$W$2:$W$1001,0),1)&gt;=100000,INDEX($AD$1005:$AU$1005,1,MATCH(COLUMNS($AD$1006:AT1006),$AD$1006:$AU$1006,0))&gt;=100000), " ",IF(INDEX($AD$2:$AU$1001,MATCH(ROWS($W$2:W351),$W$2:$W$1001,0),MATCH(COLUMNS($AD$1006:AT1006),$AD$1006:$AU$1006,0)), HYPERLINK("#",""), HYPERLINK(CONCATENATE("#metadata!", ADDRESS(INDEX($Y$2:$Y$1001,MATCH(ROWS($W$2:W351),$W$2:$W$1001,0),0), INDEX($AD$1004:$AU$1004,1,MATCH(COLUMNS($AD$1006:AT1006),$AD$1006:$AU$1006,0)))),"Fix")))</f>
        <v xml:space="preserve"> </v>
      </c>
      <c r="S351" s="4" t="str">
        <f ca="1">IF(OR(INDEX($X$2:$X$1001,MATCH(ROWS($W$2:W351),$W$2:$W$1001,0),1)&gt;=100000,INDEX($AD$1005:$AU$1005,1,MATCH(COLUMNS($AD$1006:AU1006),$AD$1006:$AU$1006,0))&gt;=100000), " ",IF(INDEX($AD$2:$AU$1001,MATCH(ROWS($W$2:W351),$W$2:$W$1001,0),MATCH(COLUMNS($AD$1006:AU1006),$AD$1006:$AU$1006,0)), HYPERLINK("#",""), HYPERLINK(CONCATENATE("#metadata!", ADDRESS(INDEX($Y$2:$Y$1001,MATCH(ROWS($W$2:W351),$W$2:$W$1001,0),0), INDEX($AD$1004:$AU$1004,1,MATCH(COLUMNS($AD$1006:AU1006),$AD$1006:$AU$1006,0)))),"Fix")))</f>
        <v xml:space="preserve"> </v>
      </c>
      <c r="W351">
        <v>350</v>
      </c>
      <c r="X351">
        <v>100351</v>
      </c>
      <c r="Y351">
        <v>351</v>
      </c>
      <c r="Z351" t="b">
        <f t="shared" si="5"/>
        <v>1</v>
      </c>
      <c r="AA351" t="b">
        <f>COUNTBLANK(metadata!B351:S351)=COLUMNS(metadata!B351:S351)</f>
        <v>1</v>
      </c>
      <c r="AB351" t="str">
        <v/>
      </c>
      <c r="AD351" t="b">
        <f ca="1">AND(IF(metadata!B351="",FALSE,TRUE),COUNTIF(metadata!B:B, metadata!B351) = 1,NOT(ISERROR(SUMPRODUCT(SEARCH(MID(metadata!B351,ROW(INDIRECT("1:"&amp;LEN(metadata!B351))), 1),"0123456789abcdefghijklmnopqrstuvwxyzABCDEFGHIJKLMNOPQRSTUVWXYZ.")))))</f>
        <v>0</v>
      </c>
      <c r="AE351" t="b">
        <f>OR(AND(IF(metadata!C351="",FALSE,TRUE),OR(EXACT(metadata!C351,"not applicable"),EXACT(metadata!C351,"missing: not collected"),EXACT(metadata!C351,"missing: not provided"),EXACT(metadata!C351,"missing: restricted access"))),AND(IF(metadata!C351="",FALSE,ISNUMBER(VALUE(metadata!C351))),metadata!C351&gt;0))</f>
        <v>0</v>
      </c>
      <c r="AF351" t="b">
        <f>AND(IF(metadata!D351="",FALSE,TRUE),EXACT(metadata!D351,"missing: not provided"))</f>
        <v>0</v>
      </c>
      <c r="AG351" t="b">
        <f>AND(IF(metadata!E351="",FALSE,TRUE),EXACT(metadata!E351,"Host-associated"))</f>
        <v>0</v>
      </c>
      <c r="AH351" t="b">
        <f>AND(IF(metadata!F351="",FALSE,TRUE),OR(EXACT(metadata!F351,"Animal"),EXACT(metadata!F351,"Fungus"),EXACT(metadata!F351,"Plant")))</f>
        <v>0</v>
      </c>
      <c r="AI351" t="b">
        <f>AND(IF(metadata!G351="",FALSE,TRUE),OR(EXACT(metadata!G351,"Plant secretion"),EXACT(metadata!G351,"Plant rhizosphere"),EXACT(metadata!G351,"Plant surface"),EXACT(metadata!G351,"Plant corpus"),EXACT(metadata!G351,"Fungus surface"),EXACT(metadata!G351,"Fungus corpus"),EXACT(metadata!G351,"Animal surface"),EXACT(metadata!G351,"Animal proximal gut"),EXACT(metadata!G351,"Animal corpus"),EXACT(metadata!G351,"Animal distal gut"),EXACT(metadata!G351,"Animal secretion")))</f>
        <v>0</v>
      </c>
      <c r="AJ351" t="b">
        <f>OR(AND(IF(metadata!H351="",FALSE,TRUE),OR(EXACT(metadata!H351,"missing: not collected"),EXACT(metadata!H351,"missing: not provided"),EXACT(metadata!H351,"missing: restricted access"))),AND(IF(metadata!H351="",FALSE,TRUE),OR(EXACT(metadata!H351,"organism-associated habitat"),EXACT(metadata!H351,"plant-associated habitat"),EXACT(metadata!H351,"animal-associated habitat"),EXACT(metadata!H351,"insecta-associated habitat"),EXACT(metadata!H351,"mammalia-associated habitat"),EXACT(metadata!H351,"human-associated habitat"),EXACT(metadata!H351,"livestock-associated habitat"))))</f>
        <v>0</v>
      </c>
      <c r="AK351" t="b">
        <f>AND(IF(metadata!I351="",FALSE,TRUE),EXACT(metadata!I351,"host-associated"))</f>
        <v>0</v>
      </c>
      <c r="AL351" t="b">
        <f>OR(AND(IF(metadata!J351="",FALSE,TRUE),OR(EXACT(metadata!J351,"not applicable"),EXACT(metadata!J351,"missing: not collected"),EXACT(metadata!J351,"missing: not provided"),EXACT(metadata!J351,"missing: restricted access"))),AND(IF(metadata!J351="",FALSE,ISNUMBER(VALUE(metadata!J351))),metadata!J351&gt;0))</f>
        <v>0</v>
      </c>
      <c r="AM351" t="b">
        <f>AND(IF(metadata!K351="",FALSE,TRUE),EXACT(metadata!K351,"missing: not provided"))</f>
        <v>0</v>
      </c>
      <c r="AN351" t="b">
        <f>IF(metadata!L351="",FALSE,TRUE)</f>
        <v>0</v>
      </c>
      <c r="AO351" t="b">
        <f>IF(metadata!M351="",FALSE,TRUE)</f>
        <v>0</v>
      </c>
      <c r="AP351" t="b">
        <f>OR(AND(IF(metadata!N351="",FALSE,TRUE),OR(EXACT(metadata!N351,"not applicable"),EXACT(metadata!N351,"missing: not collected"),EXACT(metadata!N351,"missing: not provided"))),AND(IF(metadata!N351="",FALSE,IF(ISERROR(INT(metadata!N351)),FALSE,INT(metadata!N351)=metadata!N351)),metadata!N351&gt;0))</f>
        <v>0</v>
      </c>
      <c r="AQ351" t="b">
        <f>AND(IF(metadata!O351="",FALSE,TRUE),EXACT(metadata!O351,"Not applicable"))</f>
        <v>0</v>
      </c>
      <c r="AR351" t="b">
        <f>OR(AND(IF(metadata!P351="",FALSE,TRUE),OR(EXACT(metadata!P351,"not applicable"),EXACT(metadata!P351,"missing: not collected"),EXACT(metadata!P351,"missing: not provided"),EXACT(metadata!P351,"missing: restricted access"))),IF(metadata!P351="",FALSE,IF(ISERROR(INT(metadata!P351)),FALSE,INT(metadata!P351)=metadata!P351)))</f>
        <v>0</v>
      </c>
      <c r="AS351" t="b">
        <f>AND(IF(metadata!Q351="",FALSE,TRUE),EXACT(metadata!Q351,"Not applicable"))</f>
        <v>0</v>
      </c>
      <c r="AT351" t="b">
        <f>OR(AND(IF(metadata!R351="",FALSE,TRUE),OR(EXACT(metadata!R351,"not applicable"),EXACT(metadata!R351,"missing: not collected"),EXACT(metadata!R351,"missing: not provided"),EXACT(metadata!R351,"missing: restricted access"))),AND(IF(metadata!R351="",FALSE,ISNUMBER(VALUE(metadata!R351))),metadata!R351&gt;0))</f>
        <v>0</v>
      </c>
      <c r="AU351" t="b">
        <f>AND(IF(metadata!S351="",FALSE,TRUE),EXACT(metadata!S351,"missing: not provided"))</f>
        <v>0</v>
      </c>
    </row>
    <row r="352" spans="1:47" x14ac:dyDescent="0.2">
      <c r="A352" s="5" t="str">
        <f ca="1">IF(B352=" "," ",HYPERLINK(CONCATENATE("#metadata!",ADDRESS(INDEX($Y$2:$Y$1001,MATCH(ROWS($W$2:W352),$W$2:$W$1001,0),0),1)),INDEX($AB$2:$AB$1001,MATCH(ROWS($W$2:W352),$W$2:$W$1001,0),0)))</f>
        <v xml:space="preserve"> </v>
      </c>
      <c r="B352" s="4" t="str">
        <f ca="1">IF(OR(INDEX($X$2:$X$1001,MATCH(ROWS($W$2:W352),$W$2:$W$1001,0),1)&gt;=100000,INDEX($AD$1005:$AU$1005,1,MATCH(COLUMNS($AD$1006:AD1006),$AD$1006:$AU$1006,0))&gt;=100000), " ",IF(INDEX($AD$2:$AU$1001,MATCH(ROWS($W$2:W352),$W$2:$W$1001,0),MATCH(COLUMNS($AD$1006:AD1006),$AD$1006:$AU$1006,0)), HYPERLINK("#",""), HYPERLINK(CONCATENATE("#metadata!", ADDRESS(INDEX($Y$2:$Y$1001,MATCH(ROWS($W$2:W352),$W$2:$W$1001,0),0), INDEX($AD$1004:$AU$1004,1,MATCH(COLUMNS($AD$1006:AD1006),$AD$1006:$AU$1006,0)))),"Fix")))</f>
        <v xml:space="preserve"> </v>
      </c>
      <c r="C352" s="4" t="str">
        <f ca="1">IF(OR(INDEX($X$2:$X$1001,MATCH(ROWS($W$2:W352),$W$2:$W$1001,0),1)&gt;=100000,INDEX($AD$1005:$AU$1005,1,MATCH(COLUMNS($AD$1006:AE1006),$AD$1006:$AU$1006,0))&gt;=100000), " ",IF(INDEX($AD$2:$AU$1001,MATCH(ROWS($W$2:W352),$W$2:$W$1001,0),MATCH(COLUMNS($AD$1006:AE1006),$AD$1006:$AU$1006,0)), HYPERLINK("#",""), HYPERLINK(CONCATENATE("#metadata!", ADDRESS(INDEX($Y$2:$Y$1001,MATCH(ROWS($W$2:W352),$W$2:$W$1001,0),0), INDEX($AD$1004:$AU$1004,1,MATCH(COLUMNS($AD$1006:AE1006),$AD$1006:$AU$1006,0)))),"Fix")))</f>
        <v xml:space="preserve"> </v>
      </c>
      <c r="D352" s="4" t="str">
        <f ca="1">IF(OR(INDEX($X$2:$X$1001,MATCH(ROWS($W$2:W352),$W$2:$W$1001,0),1)&gt;=100000,INDEX($AD$1005:$AU$1005,1,MATCH(COLUMNS($AD$1006:AF1006),$AD$1006:$AU$1006,0))&gt;=100000), " ",IF(INDEX($AD$2:$AU$1001,MATCH(ROWS($W$2:W352),$W$2:$W$1001,0),MATCH(COLUMNS($AD$1006:AF1006),$AD$1006:$AU$1006,0)), HYPERLINK("#",""), HYPERLINK(CONCATENATE("#metadata!", ADDRESS(INDEX($Y$2:$Y$1001,MATCH(ROWS($W$2:W352),$W$2:$W$1001,0),0), INDEX($AD$1004:$AU$1004,1,MATCH(COLUMNS($AD$1006:AF1006),$AD$1006:$AU$1006,0)))),"Fix")))</f>
        <v xml:space="preserve"> </v>
      </c>
      <c r="E352" s="4" t="str">
        <f ca="1">IF(OR(INDEX($X$2:$X$1001,MATCH(ROWS($W$2:W352),$W$2:$W$1001,0),1)&gt;=100000,INDEX($AD$1005:$AU$1005,1,MATCH(COLUMNS($AD$1006:AG1006),$AD$1006:$AU$1006,0))&gt;=100000), " ",IF(INDEX($AD$2:$AU$1001,MATCH(ROWS($W$2:W352),$W$2:$W$1001,0),MATCH(COLUMNS($AD$1006:AG1006),$AD$1006:$AU$1006,0)), HYPERLINK("#",""), HYPERLINK(CONCATENATE("#metadata!", ADDRESS(INDEX($Y$2:$Y$1001,MATCH(ROWS($W$2:W352),$W$2:$W$1001,0),0), INDEX($AD$1004:$AU$1004,1,MATCH(COLUMNS($AD$1006:AG1006),$AD$1006:$AU$1006,0)))),"Fix")))</f>
        <v xml:space="preserve"> </v>
      </c>
      <c r="F352" s="4" t="str">
        <f ca="1">IF(OR(INDEX($X$2:$X$1001,MATCH(ROWS($W$2:W352),$W$2:$W$1001,0),1)&gt;=100000,INDEX($AD$1005:$AU$1005,1,MATCH(COLUMNS($AD$1006:AH1006),$AD$1006:$AU$1006,0))&gt;=100000), " ",IF(INDEX($AD$2:$AU$1001,MATCH(ROWS($W$2:W352),$W$2:$W$1001,0),MATCH(COLUMNS($AD$1006:AH1006),$AD$1006:$AU$1006,0)), HYPERLINK("#",""), HYPERLINK(CONCATENATE("#metadata!", ADDRESS(INDEX($Y$2:$Y$1001,MATCH(ROWS($W$2:W352),$W$2:$W$1001,0),0), INDEX($AD$1004:$AU$1004,1,MATCH(COLUMNS($AD$1006:AH1006),$AD$1006:$AU$1006,0)))),"Fix")))</f>
        <v xml:space="preserve"> </v>
      </c>
      <c r="G352" s="4" t="str">
        <f ca="1">IF(OR(INDEX($X$2:$X$1001,MATCH(ROWS($W$2:W352),$W$2:$W$1001,0),1)&gt;=100000,INDEX($AD$1005:$AU$1005,1,MATCH(COLUMNS($AD$1006:AI1006),$AD$1006:$AU$1006,0))&gt;=100000), " ",IF(INDEX($AD$2:$AU$1001,MATCH(ROWS($W$2:W352),$W$2:$W$1001,0),MATCH(COLUMNS($AD$1006:AI1006),$AD$1006:$AU$1006,0)), HYPERLINK("#",""), HYPERLINK(CONCATENATE("#metadata!", ADDRESS(INDEX($Y$2:$Y$1001,MATCH(ROWS($W$2:W352),$W$2:$W$1001,0),0), INDEX($AD$1004:$AU$1004,1,MATCH(COLUMNS($AD$1006:AI1006),$AD$1006:$AU$1006,0)))),"Fix")))</f>
        <v xml:space="preserve"> </v>
      </c>
      <c r="H352" s="4" t="str">
        <f ca="1">IF(OR(INDEX($X$2:$X$1001,MATCH(ROWS($W$2:W352),$W$2:$W$1001,0),1)&gt;=100000,INDEX($AD$1005:$AU$1005,1,MATCH(COLUMNS($AD$1006:AJ1006),$AD$1006:$AU$1006,0))&gt;=100000), " ",IF(INDEX($AD$2:$AU$1001,MATCH(ROWS($W$2:W352),$W$2:$W$1001,0),MATCH(COLUMNS($AD$1006:AJ1006),$AD$1006:$AU$1006,0)), HYPERLINK("#",""), HYPERLINK(CONCATENATE("#metadata!", ADDRESS(INDEX($Y$2:$Y$1001,MATCH(ROWS($W$2:W352),$W$2:$W$1001,0),0), INDEX($AD$1004:$AU$1004,1,MATCH(COLUMNS($AD$1006:AJ1006),$AD$1006:$AU$1006,0)))),"Fix")))</f>
        <v xml:space="preserve"> </v>
      </c>
      <c r="I352" s="4" t="str">
        <f ca="1">IF(OR(INDEX($X$2:$X$1001,MATCH(ROWS($W$2:W352),$W$2:$W$1001,0),1)&gt;=100000,INDEX($AD$1005:$AU$1005,1,MATCH(COLUMNS($AD$1006:AK1006),$AD$1006:$AU$1006,0))&gt;=100000), " ",IF(INDEX($AD$2:$AU$1001,MATCH(ROWS($W$2:W352),$W$2:$W$1001,0),MATCH(COLUMNS($AD$1006:AK1006),$AD$1006:$AU$1006,0)), HYPERLINK("#",""), HYPERLINK(CONCATENATE("#metadata!", ADDRESS(INDEX($Y$2:$Y$1001,MATCH(ROWS($W$2:W352),$W$2:$W$1001,0),0), INDEX($AD$1004:$AU$1004,1,MATCH(COLUMNS($AD$1006:AK1006),$AD$1006:$AU$1006,0)))),"Fix")))</f>
        <v xml:space="preserve"> </v>
      </c>
      <c r="J352" s="4" t="str">
        <f ca="1">IF(OR(INDEX($X$2:$X$1001,MATCH(ROWS($W$2:W352),$W$2:$W$1001,0),1)&gt;=100000,INDEX($AD$1005:$AU$1005,1,MATCH(COLUMNS($AD$1006:AL1006),$AD$1006:$AU$1006,0))&gt;=100000), " ",IF(INDEX($AD$2:$AU$1001,MATCH(ROWS($W$2:W352),$W$2:$W$1001,0),MATCH(COLUMNS($AD$1006:AL1006),$AD$1006:$AU$1006,0)), HYPERLINK("#",""), HYPERLINK(CONCATENATE("#metadata!", ADDRESS(INDEX($Y$2:$Y$1001,MATCH(ROWS($W$2:W352),$W$2:$W$1001,0),0), INDEX($AD$1004:$AU$1004,1,MATCH(COLUMNS($AD$1006:AL1006),$AD$1006:$AU$1006,0)))),"Fix")))</f>
        <v xml:space="preserve"> </v>
      </c>
      <c r="K352" s="4" t="str">
        <f ca="1">IF(OR(INDEX($X$2:$X$1001,MATCH(ROWS($W$2:W352),$W$2:$W$1001,0),1)&gt;=100000,INDEX($AD$1005:$AU$1005,1,MATCH(COLUMNS($AD$1006:AM1006),$AD$1006:$AU$1006,0))&gt;=100000), " ",IF(INDEX($AD$2:$AU$1001,MATCH(ROWS($W$2:W352),$W$2:$W$1001,0),MATCH(COLUMNS($AD$1006:AM1006),$AD$1006:$AU$1006,0)), HYPERLINK("#",""), HYPERLINK(CONCATENATE("#metadata!", ADDRESS(INDEX($Y$2:$Y$1001,MATCH(ROWS($W$2:W352),$W$2:$W$1001,0),0), INDEX($AD$1004:$AU$1004,1,MATCH(COLUMNS($AD$1006:AM1006),$AD$1006:$AU$1006,0)))),"Fix")))</f>
        <v xml:space="preserve"> </v>
      </c>
      <c r="L352" s="4" t="str">
        <f ca="1">IF(OR(INDEX($X$2:$X$1001,MATCH(ROWS($W$2:W352),$W$2:$W$1001,0),1)&gt;=100000,INDEX($AD$1005:$AU$1005,1,MATCH(COLUMNS($AD$1006:AN1006),$AD$1006:$AU$1006,0))&gt;=100000), " ",IF(INDEX($AD$2:$AU$1001,MATCH(ROWS($W$2:W352),$W$2:$W$1001,0),MATCH(COLUMNS($AD$1006:AN1006),$AD$1006:$AU$1006,0)), HYPERLINK("#",""), HYPERLINK(CONCATENATE("#metadata!", ADDRESS(INDEX($Y$2:$Y$1001,MATCH(ROWS($W$2:W352),$W$2:$W$1001,0),0), INDEX($AD$1004:$AU$1004,1,MATCH(COLUMNS($AD$1006:AN1006),$AD$1006:$AU$1006,0)))),"Fix")))</f>
        <v xml:space="preserve"> </v>
      </c>
      <c r="M352" s="4" t="str">
        <f ca="1">IF(OR(INDEX($X$2:$X$1001,MATCH(ROWS($W$2:W352),$W$2:$W$1001,0),1)&gt;=100000,INDEX($AD$1005:$AU$1005,1,MATCH(COLUMNS($AD$1006:AO1006),$AD$1006:$AU$1006,0))&gt;=100000), " ",IF(INDEX($AD$2:$AU$1001,MATCH(ROWS($W$2:W352),$W$2:$W$1001,0),MATCH(COLUMNS($AD$1006:AO1006),$AD$1006:$AU$1006,0)), HYPERLINK("#",""), HYPERLINK(CONCATENATE("#metadata!", ADDRESS(INDEX($Y$2:$Y$1001,MATCH(ROWS($W$2:W352),$W$2:$W$1001,0),0), INDEX($AD$1004:$AU$1004,1,MATCH(COLUMNS($AD$1006:AO1006),$AD$1006:$AU$1006,0)))),"Fix")))</f>
        <v xml:space="preserve"> </v>
      </c>
      <c r="N352" s="4" t="str">
        <f ca="1">IF(OR(INDEX($X$2:$X$1001,MATCH(ROWS($W$2:W352),$W$2:$W$1001,0),1)&gt;=100000,INDEX($AD$1005:$AU$1005,1,MATCH(COLUMNS($AD$1006:AP1006),$AD$1006:$AU$1006,0))&gt;=100000), " ",IF(INDEX($AD$2:$AU$1001,MATCH(ROWS($W$2:W352),$W$2:$W$1001,0),MATCH(COLUMNS($AD$1006:AP1006),$AD$1006:$AU$1006,0)), HYPERLINK("#",""), HYPERLINK(CONCATENATE("#metadata!", ADDRESS(INDEX($Y$2:$Y$1001,MATCH(ROWS($W$2:W352),$W$2:$W$1001,0),0), INDEX($AD$1004:$AU$1004,1,MATCH(COLUMNS($AD$1006:AP1006),$AD$1006:$AU$1006,0)))),"Fix")))</f>
        <v xml:space="preserve"> </v>
      </c>
      <c r="O352" s="4" t="str">
        <f ca="1">IF(OR(INDEX($X$2:$X$1001,MATCH(ROWS($W$2:W352),$W$2:$W$1001,0),1)&gt;=100000,INDEX($AD$1005:$AU$1005,1,MATCH(COLUMNS($AD$1006:AQ1006),$AD$1006:$AU$1006,0))&gt;=100000), " ",IF(INDEX($AD$2:$AU$1001,MATCH(ROWS($W$2:W352),$W$2:$W$1001,0),MATCH(COLUMNS($AD$1006:AQ1006),$AD$1006:$AU$1006,0)), HYPERLINK("#",""), HYPERLINK(CONCATENATE("#metadata!", ADDRESS(INDEX($Y$2:$Y$1001,MATCH(ROWS($W$2:W352),$W$2:$W$1001,0),0), INDEX($AD$1004:$AU$1004,1,MATCH(COLUMNS($AD$1006:AQ1006),$AD$1006:$AU$1006,0)))),"Fix")))</f>
        <v xml:space="preserve"> </v>
      </c>
      <c r="P352" s="4" t="str">
        <f ca="1">IF(OR(INDEX($X$2:$X$1001,MATCH(ROWS($W$2:W352),$W$2:$W$1001,0),1)&gt;=100000,INDEX($AD$1005:$AU$1005,1,MATCH(COLUMNS($AD$1006:AR1006),$AD$1006:$AU$1006,0))&gt;=100000), " ",IF(INDEX($AD$2:$AU$1001,MATCH(ROWS($W$2:W352),$W$2:$W$1001,0),MATCH(COLUMNS($AD$1006:AR1006),$AD$1006:$AU$1006,0)), HYPERLINK("#",""), HYPERLINK(CONCATENATE("#metadata!", ADDRESS(INDEX($Y$2:$Y$1001,MATCH(ROWS($W$2:W352),$W$2:$W$1001,0),0), INDEX($AD$1004:$AU$1004,1,MATCH(COLUMNS($AD$1006:AR1006),$AD$1006:$AU$1006,0)))),"Fix")))</f>
        <v xml:space="preserve"> </v>
      </c>
      <c r="Q352" s="4" t="str">
        <f ca="1">IF(OR(INDEX($X$2:$X$1001,MATCH(ROWS($W$2:W352),$W$2:$W$1001,0),1)&gt;=100000,INDEX($AD$1005:$AU$1005,1,MATCH(COLUMNS($AD$1006:AS1006),$AD$1006:$AU$1006,0))&gt;=100000), " ",IF(INDEX($AD$2:$AU$1001,MATCH(ROWS($W$2:W352),$W$2:$W$1001,0),MATCH(COLUMNS($AD$1006:AS1006),$AD$1006:$AU$1006,0)), HYPERLINK("#",""), HYPERLINK(CONCATENATE("#metadata!", ADDRESS(INDEX($Y$2:$Y$1001,MATCH(ROWS($W$2:W352),$W$2:$W$1001,0),0), INDEX($AD$1004:$AU$1004,1,MATCH(COLUMNS($AD$1006:AS1006),$AD$1006:$AU$1006,0)))),"Fix")))</f>
        <v xml:space="preserve"> </v>
      </c>
      <c r="R352" s="4" t="str">
        <f ca="1">IF(OR(INDEX($X$2:$X$1001,MATCH(ROWS($W$2:W352),$W$2:$W$1001,0),1)&gt;=100000,INDEX($AD$1005:$AU$1005,1,MATCH(COLUMNS($AD$1006:AT1006),$AD$1006:$AU$1006,0))&gt;=100000), " ",IF(INDEX($AD$2:$AU$1001,MATCH(ROWS($W$2:W352),$W$2:$W$1001,0),MATCH(COLUMNS($AD$1006:AT1006),$AD$1006:$AU$1006,0)), HYPERLINK("#",""), HYPERLINK(CONCATENATE("#metadata!", ADDRESS(INDEX($Y$2:$Y$1001,MATCH(ROWS($W$2:W352),$W$2:$W$1001,0),0), INDEX($AD$1004:$AU$1004,1,MATCH(COLUMNS($AD$1006:AT1006),$AD$1006:$AU$1006,0)))),"Fix")))</f>
        <v xml:space="preserve"> </v>
      </c>
      <c r="S352" s="4" t="str">
        <f ca="1">IF(OR(INDEX($X$2:$X$1001,MATCH(ROWS($W$2:W352),$W$2:$W$1001,0),1)&gt;=100000,INDEX($AD$1005:$AU$1005,1,MATCH(COLUMNS($AD$1006:AU1006),$AD$1006:$AU$1006,0))&gt;=100000), " ",IF(INDEX($AD$2:$AU$1001,MATCH(ROWS($W$2:W352),$W$2:$W$1001,0),MATCH(COLUMNS($AD$1006:AU1006),$AD$1006:$AU$1006,0)), HYPERLINK("#",""), HYPERLINK(CONCATENATE("#metadata!", ADDRESS(INDEX($Y$2:$Y$1001,MATCH(ROWS($W$2:W352),$W$2:$W$1001,0),0), INDEX($AD$1004:$AU$1004,1,MATCH(COLUMNS($AD$1006:AU1006),$AD$1006:$AU$1006,0)))),"Fix")))</f>
        <v xml:space="preserve"> </v>
      </c>
      <c r="W352">
        <v>351</v>
      </c>
      <c r="X352">
        <v>100352</v>
      </c>
      <c r="Y352">
        <v>352</v>
      </c>
      <c r="Z352" t="b">
        <f t="shared" si="5"/>
        <v>1</v>
      </c>
      <c r="AA352" t="b">
        <f>COUNTBLANK(metadata!B352:S352)=COLUMNS(metadata!B352:S352)</f>
        <v>1</v>
      </c>
      <c r="AB352" t="str">
        <v/>
      </c>
      <c r="AD352" t="b">
        <f ca="1">AND(IF(metadata!B352="",FALSE,TRUE),COUNTIF(metadata!B:B, metadata!B352) = 1,NOT(ISERROR(SUMPRODUCT(SEARCH(MID(metadata!B352,ROW(INDIRECT("1:"&amp;LEN(metadata!B352))), 1),"0123456789abcdefghijklmnopqrstuvwxyzABCDEFGHIJKLMNOPQRSTUVWXYZ.")))))</f>
        <v>0</v>
      </c>
      <c r="AE352" t="b">
        <f>OR(AND(IF(metadata!C352="",FALSE,TRUE),OR(EXACT(metadata!C352,"not applicable"),EXACT(metadata!C352,"missing: not collected"),EXACT(metadata!C352,"missing: not provided"),EXACT(metadata!C352,"missing: restricted access"))),AND(IF(metadata!C352="",FALSE,ISNUMBER(VALUE(metadata!C352))),metadata!C352&gt;0))</f>
        <v>0</v>
      </c>
      <c r="AF352" t="b">
        <f>AND(IF(metadata!D352="",FALSE,TRUE),EXACT(metadata!D352,"missing: not provided"))</f>
        <v>0</v>
      </c>
      <c r="AG352" t="b">
        <f>AND(IF(metadata!E352="",FALSE,TRUE),EXACT(metadata!E352,"Host-associated"))</f>
        <v>0</v>
      </c>
      <c r="AH352" t="b">
        <f>AND(IF(metadata!F352="",FALSE,TRUE),OR(EXACT(metadata!F352,"Animal"),EXACT(metadata!F352,"Fungus"),EXACT(metadata!F352,"Plant")))</f>
        <v>0</v>
      </c>
      <c r="AI352" t="b">
        <f>AND(IF(metadata!G352="",FALSE,TRUE),OR(EXACT(metadata!G352,"Plant secretion"),EXACT(metadata!G352,"Plant rhizosphere"),EXACT(metadata!G352,"Plant surface"),EXACT(metadata!G352,"Plant corpus"),EXACT(metadata!G352,"Fungus surface"),EXACT(metadata!G352,"Fungus corpus"),EXACT(metadata!G352,"Animal surface"),EXACT(metadata!G352,"Animal proximal gut"),EXACT(metadata!G352,"Animal corpus"),EXACT(metadata!G352,"Animal distal gut"),EXACT(metadata!G352,"Animal secretion")))</f>
        <v>0</v>
      </c>
      <c r="AJ352" t="b">
        <f>OR(AND(IF(metadata!H352="",FALSE,TRUE),OR(EXACT(metadata!H352,"missing: not collected"),EXACT(metadata!H352,"missing: not provided"),EXACT(metadata!H352,"missing: restricted access"))),AND(IF(metadata!H352="",FALSE,TRUE),OR(EXACT(metadata!H352,"organism-associated habitat"),EXACT(metadata!H352,"plant-associated habitat"),EXACT(metadata!H352,"animal-associated habitat"),EXACT(metadata!H352,"insecta-associated habitat"),EXACT(metadata!H352,"mammalia-associated habitat"),EXACT(metadata!H352,"human-associated habitat"),EXACT(metadata!H352,"livestock-associated habitat"))))</f>
        <v>0</v>
      </c>
      <c r="AK352" t="b">
        <f>AND(IF(metadata!I352="",FALSE,TRUE),EXACT(metadata!I352,"host-associated"))</f>
        <v>0</v>
      </c>
      <c r="AL352" t="b">
        <f>OR(AND(IF(metadata!J352="",FALSE,TRUE),OR(EXACT(metadata!J352,"not applicable"),EXACT(metadata!J352,"missing: not collected"),EXACT(metadata!J352,"missing: not provided"),EXACT(metadata!J352,"missing: restricted access"))),AND(IF(metadata!J352="",FALSE,ISNUMBER(VALUE(metadata!J352))),metadata!J352&gt;0))</f>
        <v>0</v>
      </c>
      <c r="AM352" t="b">
        <f>AND(IF(metadata!K352="",FALSE,TRUE),EXACT(metadata!K352,"missing: not provided"))</f>
        <v>0</v>
      </c>
      <c r="AN352" t="b">
        <f>IF(metadata!L352="",FALSE,TRUE)</f>
        <v>0</v>
      </c>
      <c r="AO352" t="b">
        <f>IF(metadata!M352="",FALSE,TRUE)</f>
        <v>0</v>
      </c>
      <c r="AP352" t="b">
        <f>OR(AND(IF(metadata!N352="",FALSE,TRUE),OR(EXACT(metadata!N352,"not applicable"),EXACT(metadata!N352,"missing: not collected"),EXACT(metadata!N352,"missing: not provided"))),AND(IF(metadata!N352="",FALSE,IF(ISERROR(INT(metadata!N352)),FALSE,INT(metadata!N352)=metadata!N352)),metadata!N352&gt;0))</f>
        <v>0</v>
      </c>
      <c r="AQ352" t="b">
        <f>AND(IF(metadata!O352="",FALSE,TRUE),EXACT(metadata!O352,"Not applicable"))</f>
        <v>0</v>
      </c>
      <c r="AR352" t="b">
        <f>OR(AND(IF(metadata!P352="",FALSE,TRUE),OR(EXACT(metadata!P352,"not applicable"),EXACT(metadata!P352,"missing: not collected"),EXACT(metadata!P352,"missing: not provided"),EXACT(metadata!P352,"missing: restricted access"))),IF(metadata!P352="",FALSE,IF(ISERROR(INT(metadata!P352)),FALSE,INT(metadata!P352)=metadata!P352)))</f>
        <v>0</v>
      </c>
      <c r="AS352" t="b">
        <f>AND(IF(metadata!Q352="",FALSE,TRUE),EXACT(metadata!Q352,"Not applicable"))</f>
        <v>0</v>
      </c>
      <c r="AT352" t="b">
        <f>OR(AND(IF(metadata!R352="",FALSE,TRUE),OR(EXACT(metadata!R352,"not applicable"),EXACT(metadata!R352,"missing: not collected"),EXACT(metadata!R352,"missing: not provided"),EXACT(metadata!R352,"missing: restricted access"))),AND(IF(metadata!R352="",FALSE,ISNUMBER(VALUE(metadata!R352))),metadata!R352&gt;0))</f>
        <v>0</v>
      </c>
      <c r="AU352" t="b">
        <f>AND(IF(metadata!S352="",FALSE,TRUE),EXACT(metadata!S352,"missing: not provided"))</f>
        <v>0</v>
      </c>
    </row>
    <row r="353" spans="1:47" x14ac:dyDescent="0.2">
      <c r="A353" s="5" t="str">
        <f ca="1">IF(B353=" "," ",HYPERLINK(CONCATENATE("#metadata!",ADDRESS(INDEX($Y$2:$Y$1001,MATCH(ROWS($W$2:W353),$W$2:$W$1001,0),0),1)),INDEX($AB$2:$AB$1001,MATCH(ROWS($W$2:W353),$W$2:$W$1001,0),0)))</f>
        <v xml:space="preserve"> </v>
      </c>
      <c r="B353" s="4" t="str">
        <f ca="1">IF(OR(INDEX($X$2:$X$1001,MATCH(ROWS($W$2:W353),$W$2:$W$1001,0),1)&gt;=100000,INDEX($AD$1005:$AU$1005,1,MATCH(COLUMNS($AD$1006:AD1006),$AD$1006:$AU$1006,0))&gt;=100000), " ",IF(INDEX($AD$2:$AU$1001,MATCH(ROWS($W$2:W353),$W$2:$W$1001,0),MATCH(COLUMNS($AD$1006:AD1006),$AD$1006:$AU$1006,0)), HYPERLINK("#",""), HYPERLINK(CONCATENATE("#metadata!", ADDRESS(INDEX($Y$2:$Y$1001,MATCH(ROWS($W$2:W353),$W$2:$W$1001,0),0), INDEX($AD$1004:$AU$1004,1,MATCH(COLUMNS($AD$1006:AD1006),$AD$1006:$AU$1006,0)))),"Fix")))</f>
        <v xml:space="preserve"> </v>
      </c>
      <c r="C353" s="4" t="str">
        <f ca="1">IF(OR(INDEX($X$2:$X$1001,MATCH(ROWS($W$2:W353),$W$2:$W$1001,0),1)&gt;=100000,INDEX($AD$1005:$AU$1005,1,MATCH(COLUMNS($AD$1006:AE1006),$AD$1006:$AU$1006,0))&gt;=100000), " ",IF(INDEX($AD$2:$AU$1001,MATCH(ROWS($W$2:W353),$W$2:$W$1001,0),MATCH(COLUMNS($AD$1006:AE1006),$AD$1006:$AU$1006,0)), HYPERLINK("#",""), HYPERLINK(CONCATENATE("#metadata!", ADDRESS(INDEX($Y$2:$Y$1001,MATCH(ROWS($W$2:W353),$W$2:$W$1001,0),0), INDEX($AD$1004:$AU$1004,1,MATCH(COLUMNS($AD$1006:AE1006),$AD$1006:$AU$1006,0)))),"Fix")))</f>
        <v xml:space="preserve"> </v>
      </c>
      <c r="D353" s="4" t="str">
        <f ca="1">IF(OR(INDEX($X$2:$X$1001,MATCH(ROWS($W$2:W353),$W$2:$W$1001,0),1)&gt;=100000,INDEX($AD$1005:$AU$1005,1,MATCH(COLUMNS($AD$1006:AF1006),$AD$1006:$AU$1006,0))&gt;=100000), " ",IF(INDEX($AD$2:$AU$1001,MATCH(ROWS($W$2:W353),$W$2:$W$1001,0),MATCH(COLUMNS($AD$1006:AF1006),$AD$1006:$AU$1006,0)), HYPERLINK("#",""), HYPERLINK(CONCATENATE("#metadata!", ADDRESS(INDEX($Y$2:$Y$1001,MATCH(ROWS($W$2:W353),$W$2:$W$1001,0),0), INDEX($AD$1004:$AU$1004,1,MATCH(COLUMNS($AD$1006:AF1006),$AD$1006:$AU$1006,0)))),"Fix")))</f>
        <v xml:space="preserve"> </v>
      </c>
      <c r="E353" s="4" t="str">
        <f ca="1">IF(OR(INDEX($X$2:$X$1001,MATCH(ROWS($W$2:W353),$W$2:$W$1001,0),1)&gt;=100000,INDEX($AD$1005:$AU$1005,1,MATCH(COLUMNS($AD$1006:AG1006),$AD$1006:$AU$1006,0))&gt;=100000), " ",IF(INDEX($AD$2:$AU$1001,MATCH(ROWS($W$2:W353),$W$2:$W$1001,0),MATCH(COLUMNS($AD$1006:AG1006),$AD$1006:$AU$1006,0)), HYPERLINK("#",""), HYPERLINK(CONCATENATE("#metadata!", ADDRESS(INDEX($Y$2:$Y$1001,MATCH(ROWS($W$2:W353),$W$2:$W$1001,0),0), INDEX($AD$1004:$AU$1004,1,MATCH(COLUMNS($AD$1006:AG1006),$AD$1006:$AU$1006,0)))),"Fix")))</f>
        <v xml:space="preserve"> </v>
      </c>
      <c r="F353" s="4" t="str">
        <f ca="1">IF(OR(INDEX($X$2:$X$1001,MATCH(ROWS($W$2:W353),$W$2:$W$1001,0),1)&gt;=100000,INDEX($AD$1005:$AU$1005,1,MATCH(COLUMNS($AD$1006:AH1006),$AD$1006:$AU$1006,0))&gt;=100000), " ",IF(INDEX($AD$2:$AU$1001,MATCH(ROWS($W$2:W353),$W$2:$W$1001,0),MATCH(COLUMNS($AD$1006:AH1006),$AD$1006:$AU$1006,0)), HYPERLINK("#",""), HYPERLINK(CONCATENATE("#metadata!", ADDRESS(INDEX($Y$2:$Y$1001,MATCH(ROWS($W$2:W353),$W$2:$W$1001,0),0), INDEX($AD$1004:$AU$1004,1,MATCH(COLUMNS($AD$1006:AH1006),$AD$1006:$AU$1006,0)))),"Fix")))</f>
        <v xml:space="preserve"> </v>
      </c>
      <c r="G353" s="4" t="str">
        <f ca="1">IF(OR(INDEX($X$2:$X$1001,MATCH(ROWS($W$2:W353),$W$2:$W$1001,0),1)&gt;=100000,INDEX($AD$1005:$AU$1005,1,MATCH(COLUMNS($AD$1006:AI1006),$AD$1006:$AU$1006,0))&gt;=100000), " ",IF(INDEX($AD$2:$AU$1001,MATCH(ROWS($W$2:W353),$W$2:$W$1001,0),MATCH(COLUMNS($AD$1006:AI1006),$AD$1006:$AU$1006,0)), HYPERLINK("#",""), HYPERLINK(CONCATENATE("#metadata!", ADDRESS(INDEX($Y$2:$Y$1001,MATCH(ROWS($W$2:W353),$W$2:$W$1001,0),0), INDEX($AD$1004:$AU$1004,1,MATCH(COLUMNS($AD$1006:AI1006),$AD$1006:$AU$1006,0)))),"Fix")))</f>
        <v xml:space="preserve"> </v>
      </c>
      <c r="H353" s="4" t="str">
        <f ca="1">IF(OR(INDEX($X$2:$X$1001,MATCH(ROWS($W$2:W353),$W$2:$W$1001,0),1)&gt;=100000,INDEX($AD$1005:$AU$1005,1,MATCH(COLUMNS($AD$1006:AJ1006),$AD$1006:$AU$1006,0))&gt;=100000), " ",IF(INDEX($AD$2:$AU$1001,MATCH(ROWS($W$2:W353),$W$2:$W$1001,0),MATCH(COLUMNS($AD$1006:AJ1006),$AD$1006:$AU$1006,0)), HYPERLINK("#",""), HYPERLINK(CONCATENATE("#metadata!", ADDRESS(INDEX($Y$2:$Y$1001,MATCH(ROWS($W$2:W353),$W$2:$W$1001,0),0), INDEX($AD$1004:$AU$1004,1,MATCH(COLUMNS($AD$1006:AJ1006),$AD$1006:$AU$1006,0)))),"Fix")))</f>
        <v xml:space="preserve"> </v>
      </c>
      <c r="I353" s="4" t="str">
        <f ca="1">IF(OR(INDEX($X$2:$X$1001,MATCH(ROWS($W$2:W353),$W$2:$W$1001,0),1)&gt;=100000,INDEX($AD$1005:$AU$1005,1,MATCH(COLUMNS($AD$1006:AK1006),$AD$1006:$AU$1006,0))&gt;=100000), " ",IF(INDEX($AD$2:$AU$1001,MATCH(ROWS($W$2:W353),$W$2:$W$1001,0),MATCH(COLUMNS($AD$1006:AK1006),$AD$1006:$AU$1006,0)), HYPERLINK("#",""), HYPERLINK(CONCATENATE("#metadata!", ADDRESS(INDEX($Y$2:$Y$1001,MATCH(ROWS($W$2:W353),$W$2:$W$1001,0),0), INDEX($AD$1004:$AU$1004,1,MATCH(COLUMNS($AD$1006:AK1006),$AD$1006:$AU$1006,0)))),"Fix")))</f>
        <v xml:space="preserve"> </v>
      </c>
      <c r="J353" s="4" t="str">
        <f ca="1">IF(OR(INDEX($X$2:$X$1001,MATCH(ROWS($W$2:W353),$W$2:$W$1001,0),1)&gt;=100000,INDEX($AD$1005:$AU$1005,1,MATCH(COLUMNS($AD$1006:AL1006),$AD$1006:$AU$1006,0))&gt;=100000), " ",IF(INDEX($AD$2:$AU$1001,MATCH(ROWS($W$2:W353),$W$2:$W$1001,0),MATCH(COLUMNS($AD$1006:AL1006),$AD$1006:$AU$1006,0)), HYPERLINK("#",""), HYPERLINK(CONCATENATE("#metadata!", ADDRESS(INDEX($Y$2:$Y$1001,MATCH(ROWS($W$2:W353),$W$2:$W$1001,0),0), INDEX($AD$1004:$AU$1004,1,MATCH(COLUMNS($AD$1006:AL1006),$AD$1006:$AU$1006,0)))),"Fix")))</f>
        <v xml:space="preserve"> </v>
      </c>
      <c r="K353" s="4" t="str">
        <f ca="1">IF(OR(INDEX($X$2:$X$1001,MATCH(ROWS($W$2:W353),$W$2:$W$1001,0),1)&gt;=100000,INDEX($AD$1005:$AU$1005,1,MATCH(COLUMNS($AD$1006:AM1006),$AD$1006:$AU$1006,0))&gt;=100000), " ",IF(INDEX($AD$2:$AU$1001,MATCH(ROWS($W$2:W353),$W$2:$W$1001,0),MATCH(COLUMNS($AD$1006:AM1006),$AD$1006:$AU$1006,0)), HYPERLINK("#",""), HYPERLINK(CONCATENATE("#metadata!", ADDRESS(INDEX($Y$2:$Y$1001,MATCH(ROWS($W$2:W353),$W$2:$W$1001,0),0), INDEX($AD$1004:$AU$1004,1,MATCH(COLUMNS($AD$1006:AM1006),$AD$1006:$AU$1006,0)))),"Fix")))</f>
        <v xml:space="preserve"> </v>
      </c>
      <c r="L353" s="4" t="str">
        <f ca="1">IF(OR(INDEX($X$2:$X$1001,MATCH(ROWS($W$2:W353),$W$2:$W$1001,0),1)&gt;=100000,INDEX($AD$1005:$AU$1005,1,MATCH(COLUMNS($AD$1006:AN1006),$AD$1006:$AU$1006,0))&gt;=100000), " ",IF(INDEX($AD$2:$AU$1001,MATCH(ROWS($W$2:W353),$W$2:$W$1001,0),MATCH(COLUMNS($AD$1006:AN1006),$AD$1006:$AU$1006,0)), HYPERLINK("#",""), HYPERLINK(CONCATENATE("#metadata!", ADDRESS(INDEX($Y$2:$Y$1001,MATCH(ROWS($W$2:W353),$W$2:$W$1001,0),0), INDEX($AD$1004:$AU$1004,1,MATCH(COLUMNS($AD$1006:AN1006),$AD$1006:$AU$1006,0)))),"Fix")))</f>
        <v xml:space="preserve"> </v>
      </c>
      <c r="M353" s="4" t="str">
        <f ca="1">IF(OR(INDEX($X$2:$X$1001,MATCH(ROWS($W$2:W353),$W$2:$W$1001,0),1)&gt;=100000,INDEX($AD$1005:$AU$1005,1,MATCH(COLUMNS($AD$1006:AO1006),$AD$1006:$AU$1006,0))&gt;=100000), " ",IF(INDEX($AD$2:$AU$1001,MATCH(ROWS($W$2:W353),$W$2:$W$1001,0),MATCH(COLUMNS($AD$1006:AO1006),$AD$1006:$AU$1006,0)), HYPERLINK("#",""), HYPERLINK(CONCATENATE("#metadata!", ADDRESS(INDEX($Y$2:$Y$1001,MATCH(ROWS($W$2:W353),$W$2:$W$1001,0),0), INDEX($AD$1004:$AU$1004,1,MATCH(COLUMNS($AD$1006:AO1006),$AD$1006:$AU$1006,0)))),"Fix")))</f>
        <v xml:space="preserve"> </v>
      </c>
      <c r="N353" s="4" t="str">
        <f ca="1">IF(OR(INDEX($X$2:$X$1001,MATCH(ROWS($W$2:W353),$W$2:$W$1001,0),1)&gt;=100000,INDEX($AD$1005:$AU$1005,1,MATCH(COLUMNS($AD$1006:AP1006),$AD$1006:$AU$1006,0))&gt;=100000), " ",IF(INDEX($AD$2:$AU$1001,MATCH(ROWS($W$2:W353),$W$2:$W$1001,0),MATCH(COLUMNS($AD$1006:AP1006),$AD$1006:$AU$1006,0)), HYPERLINK("#",""), HYPERLINK(CONCATENATE("#metadata!", ADDRESS(INDEX($Y$2:$Y$1001,MATCH(ROWS($W$2:W353),$W$2:$W$1001,0),0), INDEX($AD$1004:$AU$1004,1,MATCH(COLUMNS($AD$1006:AP1006),$AD$1006:$AU$1006,0)))),"Fix")))</f>
        <v xml:space="preserve"> </v>
      </c>
      <c r="O353" s="4" t="str">
        <f ca="1">IF(OR(INDEX($X$2:$X$1001,MATCH(ROWS($W$2:W353),$W$2:$W$1001,0),1)&gt;=100000,INDEX($AD$1005:$AU$1005,1,MATCH(COLUMNS($AD$1006:AQ1006),$AD$1006:$AU$1006,0))&gt;=100000), " ",IF(INDEX($AD$2:$AU$1001,MATCH(ROWS($W$2:W353),$W$2:$W$1001,0),MATCH(COLUMNS($AD$1006:AQ1006),$AD$1006:$AU$1006,0)), HYPERLINK("#",""), HYPERLINK(CONCATENATE("#metadata!", ADDRESS(INDEX($Y$2:$Y$1001,MATCH(ROWS($W$2:W353),$W$2:$W$1001,0),0), INDEX($AD$1004:$AU$1004,1,MATCH(COLUMNS($AD$1006:AQ1006),$AD$1006:$AU$1006,0)))),"Fix")))</f>
        <v xml:space="preserve"> </v>
      </c>
      <c r="P353" s="4" t="str">
        <f ca="1">IF(OR(INDEX($X$2:$X$1001,MATCH(ROWS($W$2:W353),$W$2:$W$1001,0),1)&gt;=100000,INDEX($AD$1005:$AU$1005,1,MATCH(COLUMNS($AD$1006:AR1006),$AD$1006:$AU$1006,0))&gt;=100000), " ",IF(INDEX($AD$2:$AU$1001,MATCH(ROWS($W$2:W353),$W$2:$W$1001,0),MATCH(COLUMNS($AD$1006:AR1006),$AD$1006:$AU$1006,0)), HYPERLINK("#",""), HYPERLINK(CONCATENATE("#metadata!", ADDRESS(INDEX($Y$2:$Y$1001,MATCH(ROWS($W$2:W353),$W$2:$W$1001,0),0), INDEX($AD$1004:$AU$1004,1,MATCH(COLUMNS($AD$1006:AR1006),$AD$1006:$AU$1006,0)))),"Fix")))</f>
        <v xml:space="preserve"> </v>
      </c>
      <c r="Q353" s="4" t="str">
        <f ca="1">IF(OR(INDEX($X$2:$X$1001,MATCH(ROWS($W$2:W353),$W$2:$W$1001,0),1)&gt;=100000,INDEX($AD$1005:$AU$1005,1,MATCH(COLUMNS($AD$1006:AS1006),$AD$1006:$AU$1006,0))&gt;=100000), " ",IF(INDEX($AD$2:$AU$1001,MATCH(ROWS($W$2:W353),$W$2:$W$1001,0),MATCH(COLUMNS($AD$1006:AS1006),$AD$1006:$AU$1006,0)), HYPERLINK("#",""), HYPERLINK(CONCATENATE("#metadata!", ADDRESS(INDEX($Y$2:$Y$1001,MATCH(ROWS($W$2:W353),$W$2:$W$1001,0),0), INDEX($AD$1004:$AU$1004,1,MATCH(COLUMNS($AD$1006:AS1006),$AD$1006:$AU$1006,0)))),"Fix")))</f>
        <v xml:space="preserve"> </v>
      </c>
      <c r="R353" s="4" t="str">
        <f ca="1">IF(OR(INDEX($X$2:$X$1001,MATCH(ROWS($W$2:W353),$W$2:$W$1001,0),1)&gt;=100000,INDEX($AD$1005:$AU$1005,1,MATCH(COLUMNS($AD$1006:AT1006),$AD$1006:$AU$1006,0))&gt;=100000), " ",IF(INDEX($AD$2:$AU$1001,MATCH(ROWS($W$2:W353),$W$2:$W$1001,0),MATCH(COLUMNS($AD$1006:AT1006),$AD$1006:$AU$1006,0)), HYPERLINK("#",""), HYPERLINK(CONCATENATE("#metadata!", ADDRESS(INDEX($Y$2:$Y$1001,MATCH(ROWS($W$2:W353),$W$2:$W$1001,0),0), INDEX($AD$1004:$AU$1004,1,MATCH(COLUMNS($AD$1006:AT1006),$AD$1006:$AU$1006,0)))),"Fix")))</f>
        <v xml:space="preserve"> </v>
      </c>
      <c r="S353" s="4" t="str">
        <f ca="1">IF(OR(INDEX($X$2:$X$1001,MATCH(ROWS($W$2:W353),$W$2:$W$1001,0),1)&gt;=100000,INDEX($AD$1005:$AU$1005,1,MATCH(COLUMNS($AD$1006:AU1006),$AD$1006:$AU$1006,0))&gt;=100000), " ",IF(INDEX($AD$2:$AU$1001,MATCH(ROWS($W$2:W353),$W$2:$W$1001,0),MATCH(COLUMNS($AD$1006:AU1006),$AD$1006:$AU$1006,0)), HYPERLINK("#",""), HYPERLINK(CONCATENATE("#metadata!", ADDRESS(INDEX($Y$2:$Y$1001,MATCH(ROWS($W$2:W353),$W$2:$W$1001,0),0), INDEX($AD$1004:$AU$1004,1,MATCH(COLUMNS($AD$1006:AU1006),$AD$1006:$AU$1006,0)))),"Fix")))</f>
        <v xml:space="preserve"> </v>
      </c>
      <c r="W353">
        <v>352</v>
      </c>
      <c r="X353">
        <v>100353</v>
      </c>
      <c r="Y353">
        <v>353</v>
      </c>
      <c r="Z353" t="b">
        <f t="shared" si="5"/>
        <v>1</v>
      </c>
      <c r="AA353" t="b">
        <f>COUNTBLANK(metadata!B353:S353)=COLUMNS(metadata!B353:S353)</f>
        <v>1</v>
      </c>
      <c r="AB353" t="str">
        <v/>
      </c>
      <c r="AD353" t="b">
        <f ca="1">AND(IF(metadata!B353="",FALSE,TRUE),COUNTIF(metadata!B:B, metadata!B353) = 1,NOT(ISERROR(SUMPRODUCT(SEARCH(MID(metadata!B353,ROW(INDIRECT("1:"&amp;LEN(metadata!B353))), 1),"0123456789abcdefghijklmnopqrstuvwxyzABCDEFGHIJKLMNOPQRSTUVWXYZ.")))))</f>
        <v>0</v>
      </c>
      <c r="AE353" t="b">
        <f>OR(AND(IF(metadata!C353="",FALSE,TRUE),OR(EXACT(metadata!C353,"not applicable"),EXACT(metadata!C353,"missing: not collected"),EXACT(metadata!C353,"missing: not provided"),EXACT(metadata!C353,"missing: restricted access"))),AND(IF(metadata!C353="",FALSE,ISNUMBER(VALUE(metadata!C353))),metadata!C353&gt;0))</f>
        <v>0</v>
      </c>
      <c r="AF353" t="b">
        <f>AND(IF(metadata!D353="",FALSE,TRUE),EXACT(metadata!D353,"missing: not provided"))</f>
        <v>0</v>
      </c>
      <c r="AG353" t="b">
        <f>AND(IF(metadata!E353="",FALSE,TRUE),EXACT(metadata!E353,"Host-associated"))</f>
        <v>0</v>
      </c>
      <c r="AH353" t="b">
        <f>AND(IF(metadata!F353="",FALSE,TRUE),OR(EXACT(metadata!F353,"Animal"),EXACT(metadata!F353,"Fungus"),EXACT(metadata!F353,"Plant")))</f>
        <v>0</v>
      </c>
      <c r="AI353" t="b">
        <f>AND(IF(metadata!G353="",FALSE,TRUE),OR(EXACT(metadata!G353,"Plant secretion"),EXACT(metadata!G353,"Plant rhizosphere"),EXACT(metadata!G353,"Plant surface"),EXACT(metadata!G353,"Plant corpus"),EXACT(metadata!G353,"Fungus surface"),EXACT(metadata!G353,"Fungus corpus"),EXACT(metadata!G353,"Animal surface"),EXACT(metadata!G353,"Animal proximal gut"),EXACT(metadata!G353,"Animal corpus"),EXACT(metadata!G353,"Animal distal gut"),EXACT(metadata!G353,"Animal secretion")))</f>
        <v>0</v>
      </c>
      <c r="AJ353" t="b">
        <f>OR(AND(IF(metadata!H353="",FALSE,TRUE),OR(EXACT(metadata!H353,"missing: not collected"),EXACT(metadata!H353,"missing: not provided"),EXACT(metadata!H353,"missing: restricted access"))),AND(IF(metadata!H353="",FALSE,TRUE),OR(EXACT(metadata!H353,"organism-associated habitat"),EXACT(metadata!H353,"plant-associated habitat"),EXACT(metadata!H353,"animal-associated habitat"),EXACT(metadata!H353,"insecta-associated habitat"),EXACT(metadata!H353,"mammalia-associated habitat"),EXACT(metadata!H353,"human-associated habitat"),EXACT(metadata!H353,"livestock-associated habitat"))))</f>
        <v>0</v>
      </c>
      <c r="AK353" t="b">
        <f>AND(IF(metadata!I353="",FALSE,TRUE),EXACT(metadata!I353,"host-associated"))</f>
        <v>0</v>
      </c>
      <c r="AL353" t="b">
        <f>OR(AND(IF(metadata!J353="",FALSE,TRUE),OR(EXACT(metadata!J353,"not applicable"),EXACT(metadata!J353,"missing: not collected"),EXACT(metadata!J353,"missing: not provided"),EXACT(metadata!J353,"missing: restricted access"))),AND(IF(metadata!J353="",FALSE,ISNUMBER(VALUE(metadata!J353))),metadata!J353&gt;0))</f>
        <v>0</v>
      </c>
      <c r="AM353" t="b">
        <f>AND(IF(metadata!K353="",FALSE,TRUE),EXACT(metadata!K353,"missing: not provided"))</f>
        <v>0</v>
      </c>
      <c r="AN353" t="b">
        <f>IF(metadata!L353="",FALSE,TRUE)</f>
        <v>0</v>
      </c>
      <c r="AO353" t="b">
        <f>IF(metadata!M353="",FALSE,TRUE)</f>
        <v>0</v>
      </c>
      <c r="AP353" t="b">
        <f>OR(AND(IF(metadata!N353="",FALSE,TRUE),OR(EXACT(metadata!N353,"not applicable"),EXACT(metadata!N353,"missing: not collected"),EXACT(metadata!N353,"missing: not provided"))),AND(IF(metadata!N353="",FALSE,IF(ISERROR(INT(metadata!N353)),FALSE,INT(metadata!N353)=metadata!N353)),metadata!N353&gt;0))</f>
        <v>0</v>
      </c>
      <c r="AQ353" t="b">
        <f>AND(IF(metadata!O353="",FALSE,TRUE),EXACT(metadata!O353,"Not applicable"))</f>
        <v>0</v>
      </c>
      <c r="AR353" t="b">
        <f>OR(AND(IF(metadata!P353="",FALSE,TRUE),OR(EXACT(metadata!P353,"not applicable"),EXACT(metadata!P353,"missing: not collected"),EXACT(metadata!P353,"missing: not provided"),EXACT(metadata!P353,"missing: restricted access"))),IF(metadata!P353="",FALSE,IF(ISERROR(INT(metadata!P353)),FALSE,INT(metadata!P353)=metadata!P353)))</f>
        <v>0</v>
      </c>
      <c r="AS353" t="b">
        <f>AND(IF(metadata!Q353="",FALSE,TRUE),EXACT(metadata!Q353,"Not applicable"))</f>
        <v>0</v>
      </c>
      <c r="AT353" t="b">
        <f>OR(AND(IF(metadata!R353="",FALSE,TRUE),OR(EXACT(metadata!R353,"not applicable"),EXACT(metadata!R353,"missing: not collected"),EXACT(metadata!R353,"missing: not provided"),EXACT(metadata!R353,"missing: restricted access"))),AND(IF(metadata!R353="",FALSE,ISNUMBER(VALUE(metadata!R353))),metadata!R353&gt;0))</f>
        <v>0</v>
      </c>
      <c r="AU353" t="b">
        <f>AND(IF(metadata!S353="",FALSE,TRUE),EXACT(metadata!S353,"missing: not provided"))</f>
        <v>0</v>
      </c>
    </row>
    <row r="354" spans="1:47" x14ac:dyDescent="0.2">
      <c r="A354" s="5" t="str">
        <f ca="1">IF(B354=" "," ",HYPERLINK(CONCATENATE("#metadata!",ADDRESS(INDEX($Y$2:$Y$1001,MATCH(ROWS($W$2:W354),$W$2:$W$1001,0),0),1)),INDEX($AB$2:$AB$1001,MATCH(ROWS($W$2:W354),$W$2:$W$1001,0),0)))</f>
        <v xml:space="preserve"> </v>
      </c>
      <c r="B354" s="4" t="str">
        <f ca="1">IF(OR(INDEX($X$2:$X$1001,MATCH(ROWS($W$2:W354),$W$2:$W$1001,0),1)&gt;=100000,INDEX($AD$1005:$AU$1005,1,MATCH(COLUMNS($AD$1006:AD1006),$AD$1006:$AU$1006,0))&gt;=100000), " ",IF(INDEX($AD$2:$AU$1001,MATCH(ROWS($W$2:W354),$W$2:$W$1001,0),MATCH(COLUMNS($AD$1006:AD1006),$AD$1006:$AU$1006,0)), HYPERLINK("#",""), HYPERLINK(CONCATENATE("#metadata!", ADDRESS(INDEX($Y$2:$Y$1001,MATCH(ROWS($W$2:W354),$W$2:$W$1001,0),0), INDEX($AD$1004:$AU$1004,1,MATCH(COLUMNS($AD$1006:AD1006),$AD$1006:$AU$1006,0)))),"Fix")))</f>
        <v xml:space="preserve"> </v>
      </c>
      <c r="C354" s="4" t="str">
        <f ca="1">IF(OR(INDEX($X$2:$X$1001,MATCH(ROWS($W$2:W354),$W$2:$W$1001,0),1)&gt;=100000,INDEX($AD$1005:$AU$1005,1,MATCH(COLUMNS($AD$1006:AE1006),$AD$1006:$AU$1006,0))&gt;=100000), " ",IF(INDEX($AD$2:$AU$1001,MATCH(ROWS($W$2:W354),$W$2:$W$1001,0),MATCH(COLUMNS($AD$1006:AE1006),$AD$1006:$AU$1006,0)), HYPERLINK("#",""), HYPERLINK(CONCATENATE("#metadata!", ADDRESS(INDEX($Y$2:$Y$1001,MATCH(ROWS($W$2:W354),$W$2:$W$1001,0),0), INDEX($AD$1004:$AU$1004,1,MATCH(COLUMNS($AD$1006:AE1006),$AD$1006:$AU$1006,0)))),"Fix")))</f>
        <v xml:space="preserve"> </v>
      </c>
      <c r="D354" s="4" t="str">
        <f ca="1">IF(OR(INDEX($X$2:$X$1001,MATCH(ROWS($W$2:W354),$W$2:$W$1001,0),1)&gt;=100000,INDEX($AD$1005:$AU$1005,1,MATCH(COLUMNS($AD$1006:AF1006),$AD$1006:$AU$1006,0))&gt;=100000), " ",IF(INDEX($AD$2:$AU$1001,MATCH(ROWS($W$2:W354),$W$2:$W$1001,0),MATCH(COLUMNS($AD$1006:AF1006),$AD$1006:$AU$1006,0)), HYPERLINK("#",""), HYPERLINK(CONCATENATE("#metadata!", ADDRESS(INDEX($Y$2:$Y$1001,MATCH(ROWS($W$2:W354),$W$2:$W$1001,0),0), INDEX($AD$1004:$AU$1004,1,MATCH(COLUMNS($AD$1006:AF1006),$AD$1006:$AU$1006,0)))),"Fix")))</f>
        <v xml:space="preserve"> </v>
      </c>
      <c r="E354" s="4" t="str">
        <f ca="1">IF(OR(INDEX($X$2:$X$1001,MATCH(ROWS($W$2:W354),$W$2:$W$1001,0),1)&gt;=100000,INDEX($AD$1005:$AU$1005,1,MATCH(COLUMNS($AD$1006:AG1006),$AD$1006:$AU$1006,0))&gt;=100000), " ",IF(INDEX($AD$2:$AU$1001,MATCH(ROWS($W$2:W354),$W$2:$W$1001,0),MATCH(COLUMNS($AD$1006:AG1006),$AD$1006:$AU$1006,0)), HYPERLINK("#",""), HYPERLINK(CONCATENATE("#metadata!", ADDRESS(INDEX($Y$2:$Y$1001,MATCH(ROWS($W$2:W354),$W$2:$W$1001,0),0), INDEX($AD$1004:$AU$1004,1,MATCH(COLUMNS($AD$1006:AG1006),$AD$1006:$AU$1006,0)))),"Fix")))</f>
        <v xml:space="preserve"> </v>
      </c>
      <c r="F354" s="4" t="str">
        <f ca="1">IF(OR(INDEX($X$2:$X$1001,MATCH(ROWS($W$2:W354),$W$2:$W$1001,0),1)&gt;=100000,INDEX($AD$1005:$AU$1005,1,MATCH(COLUMNS($AD$1006:AH1006),$AD$1006:$AU$1006,0))&gt;=100000), " ",IF(INDEX($AD$2:$AU$1001,MATCH(ROWS($W$2:W354),$W$2:$W$1001,0),MATCH(COLUMNS($AD$1006:AH1006),$AD$1006:$AU$1006,0)), HYPERLINK("#",""), HYPERLINK(CONCATENATE("#metadata!", ADDRESS(INDEX($Y$2:$Y$1001,MATCH(ROWS($W$2:W354),$W$2:$W$1001,0),0), INDEX($AD$1004:$AU$1004,1,MATCH(COLUMNS($AD$1006:AH1006),$AD$1006:$AU$1006,0)))),"Fix")))</f>
        <v xml:space="preserve"> </v>
      </c>
      <c r="G354" s="4" t="str">
        <f ca="1">IF(OR(INDEX($X$2:$X$1001,MATCH(ROWS($W$2:W354),$W$2:$W$1001,0),1)&gt;=100000,INDEX($AD$1005:$AU$1005,1,MATCH(COLUMNS($AD$1006:AI1006),$AD$1006:$AU$1006,0))&gt;=100000), " ",IF(INDEX($AD$2:$AU$1001,MATCH(ROWS($W$2:W354),$W$2:$W$1001,0),MATCH(COLUMNS($AD$1006:AI1006),$AD$1006:$AU$1006,0)), HYPERLINK("#",""), HYPERLINK(CONCATENATE("#metadata!", ADDRESS(INDEX($Y$2:$Y$1001,MATCH(ROWS($W$2:W354),$W$2:$W$1001,0),0), INDEX($AD$1004:$AU$1004,1,MATCH(COLUMNS($AD$1006:AI1006),$AD$1006:$AU$1006,0)))),"Fix")))</f>
        <v xml:space="preserve"> </v>
      </c>
      <c r="H354" s="4" t="str">
        <f ca="1">IF(OR(INDEX($X$2:$X$1001,MATCH(ROWS($W$2:W354),$W$2:$W$1001,0),1)&gt;=100000,INDEX($AD$1005:$AU$1005,1,MATCH(COLUMNS($AD$1006:AJ1006),$AD$1006:$AU$1006,0))&gt;=100000), " ",IF(INDEX($AD$2:$AU$1001,MATCH(ROWS($W$2:W354),$W$2:$W$1001,0),MATCH(COLUMNS($AD$1006:AJ1006),$AD$1006:$AU$1006,0)), HYPERLINK("#",""), HYPERLINK(CONCATENATE("#metadata!", ADDRESS(INDEX($Y$2:$Y$1001,MATCH(ROWS($W$2:W354),$W$2:$W$1001,0),0), INDEX($AD$1004:$AU$1004,1,MATCH(COLUMNS($AD$1006:AJ1006),$AD$1006:$AU$1006,0)))),"Fix")))</f>
        <v xml:space="preserve"> </v>
      </c>
      <c r="I354" s="4" t="str">
        <f ca="1">IF(OR(INDEX($X$2:$X$1001,MATCH(ROWS($W$2:W354),$W$2:$W$1001,0),1)&gt;=100000,INDEX($AD$1005:$AU$1005,1,MATCH(COLUMNS($AD$1006:AK1006),$AD$1006:$AU$1006,0))&gt;=100000), " ",IF(INDEX($AD$2:$AU$1001,MATCH(ROWS($W$2:W354),$W$2:$W$1001,0),MATCH(COLUMNS($AD$1006:AK1006),$AD$1006:$AU$1006,0)), HYPERLINK("#",""), HYPERLINK(CONCATENATE("#metadata!", ADDRESS(INDEX($Y$2:$Y$1001,MATCH(ROWS($W$2:W354),$W$2:$W$1001,0),0), INDEX($AD$1004:$AU$1004,1,MATCH(COLUMNS($AD$1006:AK1006),$AD$1006:$AU$1006,0)))),"Fix")))</f>
        <v xml:space="preserve"> </v>
      </c>
      <c r="J354" s="4" t="str">
        <f ca="1">IF(OR(INDEX($X$2:$X$1001,MATCH(ROWS($W$2:W354),$W$2:$W$1001,0),1)&gt;=100000,INDEX($AD$1005:$AU$1005,1,MATCH(COLUMNS($AD$1006:AL1006),$AD$1006:$AU$1006,0))&gt;=100000), " ",IF(INDEX($AD$2:$AU$1001,MATCH(ROWS($W$2:W354),$W$2:$W$1001,0),MATCH(COLUMNS($AD$1006:AL1006),$AD$1006:$AU$1006,0)), HYPERLINK("#",""), HYPERLINK(CONCATENATE("#metadata!", ADDRESS(INDEX($Y$2:$Y$1001,MATCH(ROWS($W$2:W354),$W$2:$W$1001,0),0), INDEX($AD$1004:$AU$1004,1,MATCH(COLUMNS($AD$1006:AL1006),$AD$1006:$AU$1006,0)))),"Fix")))</f>
        <v xml:space="preserve"> </v>
      </c>
      <c r="K354" s="4" t="str">
        <f ca="1">IF(OR(INDEX($X$2:$X$1001,MATCH(ROWS($W$2:W354),$W$2:$W$1001,0),1)&gt;=100000,INDEX($AD$1005:$AU$1005,1,MATCH(COLUMNS($AD$1006:AM1006),$AD$1006:$AU$1006,0))&gt;=100000), " ",IF(INDEX($AD$2:$AU$1001,MATCH(ROWS($W$2:W354),$W$2:$W$1001,0),MATCH(COLUMNS($AD$1006:AM1006),$AD$1006:$AU$1006,0)), HYPERLINK("#",""), HYPERLINK(CONCATENATE("#metadata!", ADDRESS(INDEX($Y$2:$Y$1001,MATCH(ROWS($W$2:W354),$W$2:$W$1001,0),0), INDEX($AD$1004:$AU$1004,1,MATCH(COLUMNS($AD$1006:AM1006),$AD$1006:$AU$1006,0)))),"Fix")))</f>
        <v xml:space="preserve"> </v>
      </c>
      <c r="L354" s="4" t="str">
        <f ca="1">IF(OR(INDEX($X$2:$X$1001,MATCH(ROWS($W$2:W354),$W$2:$W$1001,0),1)&gt;=100000,INDEX($AD$1005:$AU$1005,1,MATCH(COLUMNS($AD$1006:AN1006),$AD$1006:$AU$1006,0))&gt;=100000), " ",IF(INDEX($AD$2:$AU$1001,MATCH(ROWS($W$2:W354),$W$2:$W$1001,0),MATCH(COLUMNS($AD$1006:AN1006),$AD$1006:$AU$1006,0)), HYPERLINK("#",""), HYPERLINK(CONCATENATE("#metadata!", ADDRESS(INDEX($Y$2:$Y$1001,MATCH(ROWS($W$2:W354),$W$2:$W$1001,0),0), INDEX($AD$1004:$AU$1004,1,MATCH(COLUMNS($AD$1006:AN1006),$AD$1006:$AU$1006,0)))),"Fix")))</f>
        <v xml:space="preserve"> </v>
      </c>
      <c r="M354" s="4" t="str">
        <f ca="1">IF(OR(INDEX($X$2:$X$1001,MATCH(ROWS($W$2:W354),$W$2:$W$1001,0),1)&gt;=100000,INDEX($AD$1005:$AU$1005,1,MATCH(COLUMNS($AD$1006:AO1006),$AD$1006:$AU$1006,0))&gt;=100000), " ",IF(INDEX($AD$2:$AU$1001,MATCH(ROWS($W$2:W354),$W$2:$W$1001,0),MATCH(COLUMNS($AD$1006:AO1006),$AD$1006:$AU$1006,0)), HYPERLINK("#",""), HYPERLINK(CONCATENATE("#metadata!", ADDRESS(INDEX($Y$2:$Y$1001,MATCH(ROWS($W$2:W354),$W$2:$W$1001,0),0), INDEX($AD$1004:$AU$1004,1,MATCH(COLUMNS($AD$1006:AO1006),$AD$1006:$AU$1006,0)))),"Fix")))</f>
        <v xml:space="preserve"> </v>
      </c>
      <c r="N354" s="4" t="str">
        <f ca="1">IF(OR(INDEX($X$2:$X$1001,MATCH(ROWS($W$2:W354),$W$2:$W$1001,0),1)&gt;=100000,INDEX($AD$1005:$AU$1005,1,MATCH(COLUMNS($AD$1006:AP1006),$AD$1006:$AU$1006,0))&gt;=100000), " ",IF(INDEX($AD$2:$AU$1001,MATCH(ROWS($W$2:W354),$W$2:$W$1001,0),MATCH(COLUMNS($AD$1006:AP1006),$AD$1006:$AU$1006,0)), HYPERLINK("#",""), HYPERLINK(CONCATENATE("#metadata!", ADDRESS(INDEX($Y$2:$Y$1001,MATCH(ROWS($W$2:W354),$W$2:$W$1001,0),0), INDEX($AD$1004:$AU$1004,1,MATCH(COLUMNS($AD$1006:AP1006),$AD$1006:$AU$1006,0)))),"Fix")))</f>
        <v xml:space="preserve"> </v>
      </c>
      <c r="O354" s="4" t="str">
        <f ca="1">IF(OR(INDEX($X$2:$X$1001,MATCH(ROWS($W$2:W354),$W$2:$W$1001,0),1)&gt;=100000,INDEX($AD$1005:$AU$1005,1,MATCH(COLUMNS($AD$1006:AQ1006),$AD$1006:$AU$1006,0))&gt;=100000), " ",IF(INDEX($AD$2:$AU$1001,MATCH(ROWS($W$2:W354),$W$2:$W$1001,0),MATCH(COLUMNS($AD$1006:AQ1006),$AD$1006:$AU$1006,0)), HYPERLINK("#",""), HYPERLINK(CONCATENATE("#metadata!", ADDRESS(INDEX($Y$2:$Y$1001,MATCH(ROWS($W$2:W354),$W$2:$W$1001,0),0), INDEX($AD$1004:$AU$1004,1,MATCH(COLUMNS($AD$1006:AQ1006),$AD$1006:$AU$1006,0)))),"Fix")))</f>
        <v xml:space="preserve"> </v>
      </c>
      <c r="P354" s="4" t="str">
        <f ca="1">IF(OR(INDEX($X$2:$X$1001,MATCH(ROWS($W$2:W354),$W$2:$W$1001,0),1)&gt;=100000,INDEX($AD$1005:$AU$1005,1,MATCH(COLUMNS($AD$1006:AR1006),$AD$1006:$AU$1006,0))&gt;=100000), " ",IF(INDEX($AD$2:$AU$1001,MATCH(ROWS($W$2:W354),$W$2:$W$1001,0),MATCH(COLUMNS($AD$1006:AR1006),$AD$1006:$AU$1006,0)), HYPERLINK("#",""), HYPERLINK(CONCATENATE("#metadata!", ADDRESS(INDEX($Y$2:$Y$1001,MATCH(ROWS($W$2:W354),$W$2:$W$1001,0),0), INDEX($AD$1004:$AU$1004,1,MATCH(COLUMNS($AD$1006:AR1006),$AD$1006:$AU$1006,0)))),"Fix")))</f>
        <v xml:space="preserve"> </v>
      </c>
      <c r="Q354" s="4" t="str">
        <f ca="1">IF(OR(INDEX($X$2:$X$1001,MATCH(ROWS($W$2:W354),$W$2:$W$1001,0),1)&gt;=100000,INDEX($AD$1005:$AU$1005,1,MATCH(COLUMNS($AD$1006:AS1006),$AD$1006:$AU$1006,0))&gt;=100000), " ",IF(INDEX($AD$2:$AU$1001,MATCH(ROWS($W$2:W354),$W$2:$W$1001,0),MATCH(COLUMNS($AD$1006:AS1006),$AD$1006:$AU$1006,0)), HYPERLINK("#",""), HYPERLINK(CONCATENATE("#metadata!", ADDRESS(INDEX($Y$2:$Y$1001,MATCH(ROWS($W$2:W354),$W$2:$W$1001,0),0), INDEX($AD$1004:$AU$1004,1,MATCH(COLUMNS($AD$1006:AS1006),$AD$1006:$AU$1006,0)))),"Fix")))</f>
        <v xml:space="preserve"> </v>
      </c>
      <c r="R354" s="4" t="str">
        <f ca="1">IF(OR(INDEX($X$2:$X$1001,MATCH(ROWS($W$2:W354),$W$2:$W$1001,0),1)&gt;=100000,INDEX($AD$1005:$AU$1005,1,MATCH(COLUMNS($AD$1006:AT1006),$AD$1006:$AU$1006,0))&gt;=100000), " ",IF(INDEX($AD$2:$AU$1001,MATCH(ROWS($W$2:W354),$W$2:$W$1001,0),MATCH(COLUMNS($AD$1006:AT1006),$AD$1006:$AU$1006,0)), HYPERLINK("#",""), HYPERLINK(CONCATENATE("#metadata!", ADDRESS(INDEX($Y$2:$Y$1001,MATCH(ROWS($W$2:W354),$W$2:$W$1001,0),0), INDEX($AD$1004:$AU$1004,1,MATCH(COLUMNS($AD$1006:AT1006),$AD$1006:$AU$1006,0)))),"Fix")))</f>
        <v xml:space="preserve"> </v>
      </c>
      <c r="S354" s="4" t="str">
        <f ca="1">IF(OR(INDEX($X$2:$X$1001,MATCH(ROWS($W$2:W354),$W$2:$W$1001,0),1)&gt;=100000,INDEX($AD$1005:$AU$1005,1,MATCH(COLUMNS($AD$1006:AU1006),$AD$1006:$AU$1006,0))&gt;=100000), " ",IF(INDEX($AD$2:$AU$1001,MATCH(ROWS($W$2:W354),$W$2:$W$1001,0),MATCH(COLUMNS($AD$1006:AU1006),$AD$1006:$AU$1006,0)), HYPERLINK("#",""), HYPERLINK(CONCATENATE("#metadata!", ADDRESS(INDEX($Y$2:$Y$1001,MATCH(ROWS($W$2:W354),$W$2:$W$1001,0),0), INDEX($AD$1004:$AU$1004,1,MATCH(COLUMNS($AD$1006:AU1006),$AD$1006:$AU$1006,0)))),"Fix")))</f>
        <v xml:space="preserve"> </v>
      </c>
      <c r="W354">
        <v>353</v>
      </c>
      <c r="X354">
        <v>100354</v>
      </c>
      <c r="Y354">
        <v>354</v>
      </c>
      <c r="Z354" t="b">
        <f t="shared" si="5"/>
        <v>1</v>
      </c>
      <c r="AA354" t="b">
        <f>COUNTBLANK(metadata!B354:S354)=COLUMNS(metadata!B354:S354)</f>
        <v>1</v>
      </c>
      <c r="AB354" t="str">
        <v/>
      </c>
      <c r="AD354" t="b">
        <f ca="1">AND(IF(metadata!B354="",FALSE,TRUE),COUNTIF(metadata!B:B, metadata!B354) = 1,NOT(ISERROR(SUMPRODUCT(SEARCH(MID(metadata!B354,ROW(INDIRECT("1:"&amp;LEN(metadata!B354))), 1),"0123456789abcdefghijklmnopqrstuvwxyzABCDEFGHIJKLMNOPQRSTUVWXYZ.")))))</f>
        <v>0</v>
      </c>
      <c r="AE354" t="b">
        <f>OR(AND(IF(metadata!C354="",FALSE,TRUE),OR(EXACT(metadata!C354,"not applicable"),EXACT(metadata!C354,"missing: not collected"),EXACT(metadata!C354,"missing: not provided"),EXACT(metadata!C354,"missing: restricted access"))),AND(IF(metadata!C354="",FALSE,ISNUMBER(VALUE(metadata!C354))),metadata!C354&gt;0))</f>
        <v>0</v>
      </c>
      <c r="AF354" t="b">
        <f>AND(IF(metadata!D354="",FALSE,TRUE),EXACT(metadata!D354,"missing: not provided"))</f>
        <v>0</v>
      </c>
      <c r="AG354" t="b">
        <f>AND(IF(metadata!E354="",FALSE,TRUE),EXACT(metadata!E354,"Host-associated"))</f>
        <v>0</v>
      </c>
      <c r="AH354" t="b">
        <f>AND(IF(metadata!F354="",FALSE,TRUE),OR(EXACT(metadata!F354,"Animal"),EXACT(metadata!F354,"Fungus"),EXACT(metadata!F354,"Plant")))</f>
        <v>0</v>
      </c>
      <c r="AI354" t="b">
        <f>AND(IF(metadata!G354="",FALSE,TRUE),OR(EXACT(metadata!G354,"Plant secretion"),EXACT(metadata!G354,"Plant rhizosphere"),EXACT(metadata!G354,"Plant surface"),EXACT(metadata!G354,"Plant corpus"),EXACT(metadata!G354,"Fungus surface"),EXACT(metadata!G354,"Fungus corpus"),EXACT(metadata!G354,"Animal surface"),EXACT(metadata!G354,"Animal proximal gut"),EXACT(metadata!G354,"Animal corpus"),EXACT(metadata!G354,"Animal distal gut"),EXACT(metadata!G354,"Animal secretion")))</f>
        <v>0</v>
      </c>
      <c r="AJ354" t="b">
        <f>OR(AND(IF(metadata!H354="",FALSE,TRUE),OR(EXACT(metadata!H354,"missing: not collected"),EXACT(metadata!H354,"missing: not provided"),EXACT(metadata!H354,"missing: restricted access"))),AND(IF(metadata!H354="",FALSE,TRUE),OR(EXACT(metadata!H354,"organism-associated habitat"),EXACT(metadata!H354,"plant-associated habitat"),EXACT(metadata!H354,"animal-associated habitat"),EXACT(metadata!H354,"insecta-associated habitat"),EXACT(metadata!H354,"mammalia-associated habitat"),EXACT(metadata!H354,"human-associated habitat"),EXACT(metadata!H354,"livestock-associated habitat"))))</f>
        <v>0</v>
      </c>
      <c r="AK354" t="b">
        <f>AND(IF(metadata!I354="",FALSE,TRUE),EXACT(metadata!I354,"host-associated"))</f>
        <v>0</v>
      </c>
      <c r="AL354" t="b">
        <f>OR(AND(IF(metadata!J354="",FALSE,TRUE),OR(EXACT(metadata!J354,"not applicable"),EXACT(metadata!J354,"missing: not collected"),EXACT(metadata!J354,"missing: not provided"),EXACT(metadata!J354,"missing: restricted access"))),AND(IF(metadata!J354="",FALSE,ISNUMBER(VALUE(metadata!J354))),metadata!J354&gt;0))</f>
        <v>0</v>
      </c>
      <c r="AM354" t="b">
        <f>AND(IF(metadata!K354="",FALSE,TRUE),EXACT(metadata!K354,"missing: not provided"))</f>
        <v>0</v>
      </c>
      <c r="AN354" t="b">
        <f>IF(metadata!L354="",FALSE,TRUE)</f>
        <v>0</v>
      </c>
      <c r="AO354" t="b">
        <f>IF(metadata!M354="",FALSE,TRUE)</f>
        <v>0</v>
      </c>
      <c r="AP354" t="b">
        <f>OR(AND(IF(metadata!N354="",FALSE,TRUE),OR(EXACT(metadata!N354,"not applicable"),EXACT(metadata!N354,"missing: not collected"),EXACT(metadata!N354,"missing: not provided"))),AND(IF(metadata!N354="",FALSE,IF(ISERROR(INT(metadata!N354)),FALSE,INT(metadata!N354)=metadata!N354)),metadata!N354&gt;0))</f>
        <v>0</v>
      </c>
      <c r="AQ354" t="b">
        <f>AND(IF(metadata!O354="",FALSE,TRUE),EXACT(metadata!O354,"Not applicable"))</f>
        <v>0</v>
      </c>
      <c r="AR354" t="b">
        <f>OR(AND(IF(metadata!P354="",FALSE,TRUE),OR(EXACT(metadata!P354,"not applicable"),EXACT(metadata!P354,"missing: not collected"),EXACT(metadata!P354,"missing: not provided"),EXACT(metadata!P354,"missing: restricted access"))),IF(metadata!P354="",FALSE,IF(ISERROR(INT(metadata!P354)),FALSE,INT(metadata!P354)=metadata!P354)))</f>
        <v>0</v>
      </c>
      <c r="AS354" t="b">
        <f>AND(IF(metadata!Q354="",FALSE,TRUE),EXACT(metadata!Q354,"Not applicable"))</f>
        <v>0</v>
      </c>
      <c r="AT354" t="b">
        <f>OR(AND(IF(metadata!R354="",FALSE,TRUE),OR(EXACT(metadata!R354,"not applicable"),EXACT(metadata!R354,"missing: not collected"),EXACT(metadata!R354,"missing: not provided"),EXACT(metadata!R354,"missing: restricted access"))),AND(IF(metadata!R354="",FALSE,ISNUMBER(VALUE(metadata!R354))),metadata!R354&gt;0))</f>
        <v>0</v>
      </c>
      <c r="AU354" t="b">
        <f>AND(IF(metadata!S354="",FALSE,TRUE),EXACT(metadata!S354,"missing: not provided"))</f>
        <v>0</v>
      </c>
    </row>
    <row r="355" spans="1:47" x14ac:dyDescent="0.2">
      <c r="A355" s="5" t="str">
        <f ca="1">IF(B355=" "," ",HYPERLINK(CONCATENATE("#metadata!",ADDRESS(INDEX($Y$2:$Y$1001,MATCH(ROWS($W$2:W355),$W$2:$W$1001,0),0),1)),INDEX($AB$2:$AB$1001,MATCH(ROWS($W$2:W355),$W$2:$W$1001,0),0)))</f>
        <v xml:space="preserve"> </v>
      </c>
      <c r="B355" s="4" t="str">
        <f ca="1">IF(OR(INDEX($X$2:$X$1001,MATCH(ROWS($W$2:W355),$W$2:$W$1001,0),1)&gt;=100000,INDEX($AD$1005:$AU$1005,1,MATCH(COLUMNS($AD$1006:AD1006),$AD$1006:$AU$1006,0))&gt;=100000), " ",IF(INDEX($AD$2:$AU$1001,MATCH(ROWS($W$2:W355),$W$2:$W$1001,0),MATCH(COLUMNS($AD$1006:AD1006),$AD$1006:$AU$1006,0)), HYPERLINK("#",""), HYPERLINK(CONCATENATE("#metadata!", ADDRESS(INDEX($Y$2:$Y$1001,MATCH(ROWS($W$2:W355),$W$2:$W$1001,0),0), INDEX($AD$1004:$AU$1004,1,MATCH(COLUMNS($AD$1006:AD1006),$AD$1006:$AU$1006,0)))),"Fix")))</f>
        <v xml:space="preserve"> </v>
      </c>
      <c r="C355" s="4" t="str">
        <f ca="1">IF(OR(INDEX($X$2:$X$1001,MATCH(ROWS($W$2:W355),$W$2:$W$1001,0),1)&gt;=100000,INDEX($AD$1005:$AU$1005,1,MATCH(COLUMNS($AD$1006:AE1006),$AD$1006:$AU$1006,0))&gt;=100000), " ",IF(INDEX($AD$2:$AU$1001,MATCH(ROWS($W$2:W355),$W$2:$W$1001,0),MATCH(COLUMNS($AD$1006:AE1006),$AD$1006:$AU$1006,0)), HYPERLINK("#",""), HYPERLINK(CONCATENATE("#metadata!", ADDRESS(INDEX($Y$2:$Y$1001,MATCH(ROWS($W$2:W355),$W$2:$W$1001,0),0), INDEX($AD$1004:$AU$1004,1,MATCH(COLUMNS($AD$1006:AE1006),$AD$1006:$AU$1006,0)))),"Fix")))</f>
        <v xml:space="preserve"> </v>
      </c>
      <c r="D355" s="4" t="str">
        <f ca="1">IF(OR(INDEX($X$2:$X$1001,MATCH(ROWS($W$2:W355),$W$2:$W$1001,0),1)&gt;=100000,INDEX($AD$1005:$AU$1005,1,MATCH(COLUMNS($AD$1006:AF1006),$AD$1006:$AU$1006,0))&gt;=100000), " ",IF(INDEX($AD$2:$AU$1001,MATCH(ROWS($W$2:W355),$W$2:$W$1001,0),MATCH(COLUMNS($AD$1006:AF1006),$AD$1006:$AU$1006,0)), HYPERLINK("#",""), HYPERLINK(CONCATENATE("#metadata!", ADDRESS(INDEX($Y$2:$Y$1001,MATCH(ROWS($W$2:W355),$W$2:$W$1001,0),0), INDEX($AD$1004:$AU$1004,1,MATCH(COLUMNS($AD$1006:AF1006),$AD$1006:$AU$1006,0)))),"Fix")))</f>
        <v xml:space="preserve"> </v>
      </c>
      <c r="E355" s="4" t="str">
        <f ca="1">IF(OR(INDEX($X$2:$X$1001,MATCH(ROWS($W$2:W355),$W$2:$W$1001,0),1)&gt;=100000,INDEX($AD$1005:$AU$1005,1,MATCH(COLUMNS($AD$1006:AG1006),$AD$1006:$AU$1006,0))&gt;=100000), " ",IF(INDEX($AD$2:$AU$1001,MATCH(ROWS($W$2:W355),$W$2:$W$1001,0),MATCH(COLUMNS($AD$1006:AG1006),$AD$1006:$AU$1006,0)), HYPERLINK("#",""), HYPERLINK(CONCATENATE("#metadata!", ADDRESS(INDEX($Y$2:$Y$1001,MATCH(ROWS($W$2:W355),$W$2:$W$1001,0),0), INDEX($AD$1004:$AU$1004,1,MATCH(COLUMNS($AD$1006:AG1006),$AD$1006:$AU$1006,0)))),"Fix")))</f>
        <v xml:space="preserve"> </v>
      </c>
      <c r="F355" s="4" t="str">
        <f ca="1">IF(OR(INDEX($X$2:$X$1001,MATCH(ROWS($W$2:W355),$W$2:$W$1001,0),1)&gt;=100000,INDEX($AD$1005:$AU$1005,1,MATCH(COLUMNS($AD$1006:AH1006),$AD$1006:$AU$1006,0))&gt;=100000), " ",IF(INDEX($AD$2:$AU$1001,MATCH(ROWS($W$2:W355),$W$2:$W$1001,0),MATCH(COLUMNS($AD$1006:AH1006),$AD$1006:$AU$1006,0)), HYPERLINK("#",""), HYPERLINK(CONCATENATE("#metadata!", ADDRESS(INDEX($Y$2:$Y$1001,MATCH(ROWS($W$2:W355),$W$2:$W$1001,0),0), INDEX($AD$1004:$AU$1004,1,MATCH(COLUMNS($AD$1006:AH1006),$AD$1006:$AU$1006,0)))),"Fix")))</f>
        <v xml:space="preserve"> </v>
      </c>
      <c r="G355" s="4" t="str">
        <f ca="1">IF(OR(INDEX($X$2:$X$1001,MATCH(ROWS($W$2:W355),$W$2:$W$1001,0),1)&gt;=100000,INDEX($AD$1005:$AU$1005,1,MATCH(COLUMNS($AD$1006:AI1006),$AD$1006:$AU$1006,0))&gt;=100000), " ",IF(INDEX($AD$2:$AU$1001,MATCH(ROWS($W$2:W355),$W$2:$W$1001,0),MATCH(COLUMNS($AD$1006:AI1006),$AD$1006:$AU$1006,0)), HYPERLINK("#",""), HYPERLINK(CONCATENATE("#metadata!", ADDRESS(INDEX($Y$2:$Y$1001,MATCH(ROWS($W$2:W355),$W$2:$W$1001,0),0), INDEX($AD$1004:$AU$1004,1,MATCH(COLUMNS($AD$1006:AI1006),$AD$1006:$AU$1006,0)))),"Fix")))</f>
        <v xml:space="preserve"> </v>
      </c>
      <c r="H355" s="4" t="str">
        <f ca="1">IF(OR(INDEX($X$2:$X$1001,MATCH(ROWS($W$2:W355),$W$2:$W$1001,0),1)&gt;=100000,INDEX($AD$1005:$AU$1005,1,MATCH(COLUMNS($AD$1006:AJ1006),$AD$1006:$AU$1006,0))&gt;=100000), " ",IF(INDEX($AD$2:$AU$1001,MATCH(ROWS($W$2:W355),$W$2:$W$1001,0),MATCH(COLUMNS($AD$1006:AJ1006),$AD$1006:$AU$1006,0)), HYPERLINK("#",""), HYPERLINK(CONCATENATE("#metadata!", ADDRESS(INDEX($Y$2:$Y$1001,MATCH(ROWS($W$2:W355),$W$2:$W$1001,0),0), INDEX($AD$1004:$AU$1004,1,MATCH(COLUMNS($AD$1006:AJ1006),$AD$1006:$AU$1006,0)))),"Fix")))</f>
        <v xml:space="preserve"> </v>
      </c>
      <c r="I355" s="4" t="str">
        <f ca="1">IF(OR(INDEX($X$2:$X$1001,MATCH(ROWS($W$2:W355),$W$2:$W$1001,0),1)&gt;=100000,INDEX($AD$1005:$AU$1005,1,MATCH(COLUMNS($AD$1006:AK1006),$AD$1006:$AU$1006,0))&gt;=100000), " ",IF(INDEX($AD$2:$AU$1001,MATCH(ROWS($W$2:W355),$W$2:$W$1001,0),MATCH(COLUMNS($AD$1006:AK1006),$AD$1006:$AU$1006,0)), HYPERLINK("#",""), HYPERLINK(CONCATENATE("#metadata!", ADDRESS(INDEX($Y$2:$Y$1001,MATCH(ROWS($W$2:W355),$W$2:$W$1001,0),0), INDEX($AD$1004:$AU$1004,1,MATCH(COLUMNS($AD$1006:AK1006),$AD$1006:$AU$1006,0)))),"Fix")))</f>
        <v xml:space="preserve"> </v>
      </c>
      <c r="J355" s="4" t="str">
        <f ca="1">IF(OR(INDEX($X$2:$X$1001,MATCH(ROWS($W$2:W355),$W$2:$W$1001,0),1)&gt;=100000,INDEX($AD$1005:$AU$1005,1,MATCH(COLUMNS($AD$1006:AL1006),$AD$1006:$AU$1006,0))&gt;=100000), " ",IF(INDEX($AD$2:$AU$1001,MATCH(ROWS($W$2:W355),$W$2:$W$1001,0),MATCH(COLUMNS($AD$1006:AL1006),$AD$1006:$AU$1006,0)), HYPERLINK("#",""), HYPERLINK(CONCATENATE("#metadata!", ADDRESS(INDEX($Y$2:$Y$1001,MATCH(ROWS($W$2:W355),$W$2:$W$1001,0),0), INDEX($AD$1004:$AU$1004,1,MATCH(COLUMNS($AD$1006:AL1006),$AD$1006:$AU$1006,0)))),"Fix")))</f>
        <v xml:space="preserve"> </v>
      </c>
      <c r="K355" s="4" t="str">
        <f ca="1">IF(OR(INDEX($X$2:$X$1001,MATCH(ROWS($W$2:W355),$W$2:$W$1001,0),1)&gt;=100000,INDEX($AD$1005:$AU$1005,1,MATCH(COLUMNS($AD$1006:AM1006),$AD$1006:$AU$1006,0))&gt;=100000), " ",IF(INDEX($AD$2:$AU$1001,MATCH(ROWS($W$2:W355),$W$2:$W$1001,0),MATCH(COLUMNS($AD$1006:AM1006),$AD$1006:$AU$1006,0)), HYPERLINK("#",""), HYPERLINK(CONCATENATE("#metadata!", ADDRESS(INDEX($Y$2:$Y$1001,MATCH(ROWS($W$2:W355),$W$2:$W$1001,0),0), INDEX($AD$1004:$AU$1004,1,MATCH(COLUMNS($AD$1006:AM1006),$AD$1006:$AU$1006,0)))),"Fix")))</f>
        <v xml:space="preserve"> </v>
      </c>
      <c r="L355" s="4" t="str">
        <f ca="1">IF(OR(INDEX($X$2:$X$1001,MATCH(ROWS($W$2:W355),$W$2:$W$1001,0),1)&gt;=100000,INDEX($AD$1005:$AU$1005,1,MATCH(COLUMNS($AD$1006:AN1006),$AD$1006:$AU$1006,0))&gt;=100000), " ",IF(INDEX($AD$2:$AU$1001,MATCH(ROWS($W$2:W355),$W$2:$W$1001,0),MATCH(COLUMNS($AD$1006:AN1006),$AD$1006:$AU$1006,0)), HYPERLINK("#",""), HYPERLINK(CONCATENATE("#metadata!", ADDRESS(INDEX($Y$2:$Y$1001,MATCH(ROWS($W$2:W355),$W$2:$W$1001,0),0), INDEX($AD$1004:$AU$1004,1,MATCH(COLUMNS($AD$1006:AN1006),$AD$1006:$AU$1006,0)))),"Fix")))</f>
        <v xml:space="preserve"> </v>
      </c>
      <c r="M355" s="4" t="str">
        <f ca="1">IF(OR(INDEX($X$2:$X$1001,MATCH(ROWS($W$2:W355),$W$2:$W$1001,0),1)&gt;=100000,INDEX($AD$1005:$AU$1005,1,MATCH(COLUMNS($AD$1006:AO1006),$AD$1006:$AU$1006,0))&gt;=100000), " ",IF(INDEX($AD$2:$AU$1001,MATCH(ROWS($W$2:W355),$W$2:$W$1001,0),MATCH(COLUMNS($AD$1006:AO1006),$AD$1006:$AU$1006,0)), HYPERLINK("#",""), HYPERLINK(CONCATENATE("#metadata!", ADDRESS(INDEX($Y$2:$Y$1001,MATCH(ROWS($W$2:W355),$W$2:$W$1001,0),0), INDEX($AD$1004:$AU$1004,1,MATCH(COLUMNS($AD$1006:AO1006),$AD$1006:$AU$1006,0)))),"Fix")))</f>
        <v xml:space="preserve"> </v>
      </c>
      <c r="N355" s="4" t="str">
        <f ca="1">IF(OR(INDEX($X$2:$X$1001,MATCH(ROWS($W$2:W355),$W$2:$W$1001,0),1)&gt;=100000,INDEX($AD$1005:$AU$1005,1,MATCH(COLUMNS($AD$1006:AP1006),$AD$1006:$AU$1006,0))&gt;=100000), " ",IF(INDEX($AD$2:$AU$1001,MATCH(ROWS($W$2:W355),$W$2:$W$1001,0),MATCH(COLUMNS($AD$1006:AP1006),$AD$1006:$AU$1006,0)), HYPERLINK("#",""), HYPERLINK(CONCATENATE("#metadata!", ADDRESS(INDEX($Y$2:$Y$1001,MATCH(ROWS($W$2:W355),$W$2:$W$1001,0),0), INDEX($AD$1004:$AU$1004,1,MATCH(COLUMNS($AD$1006:AP1006),$AD$1006:$AU$1006,0)))),"Fix")))</f>
        <v xml:space="preserve"> </v>
      </c>
      <c r="O355" s="4" t="str">
        <f ca="1">IF(OR(INDEX($X$2:$X$1001,MATCH(ROWS($W$2:W355),$W$2:$W$1001,0),1)&gt;=100000,INDEX($AD$1005:$AU$1005,1,MATCH(COLUMNS($AD$1006:AQ1006),$AD$1006:$AU$1006,0))&gt;=100000), " ",IF(INDEX($AD$2:$AU$1001,MATCH(ROWS($W$2:W355),$W$2:$W$1001,0),MATCH(COLUMNS($AD$1006:AQ1006),$AD$1006:$AU$1006,0)), HYPERLINK("#",""), HYPERLINK(CONCATENATE("#metadata!", ADDRESS(INDEX($Y$2:$Y$1001,MATCH(ROWS($W$2:W355),$W$2:$W$1001,0),0), INDEX($AD$1004:$AU$1004,1,MATCH(COLUMNS($AD$1006:AQ1006),$AD$1006:$AU$1006,0)))),"Fix")))</f>
        <v xml:space="preserve"> </v>
      </c>
      <c r="P355" s="4" t="str">
        <f ca="1">IF(OR(INDEX($X$2:$X$1001,MATCH(ROWS($W$2:W355),$W$2:$W$1001,0),1)&gt;=100000,INDEX($AD$1005:$AU$1005,1,MATCH(COLUMNS($AD$1006:AR1006),$AD$1006:$AU$1006,0))&gt;=100000), " ",IF(INDEX($AD$2:$AU$1001,MATCH(ROWS($W$2:W355),$W$2:$W$1001,0),MATCH(COLUMNS($AD$1006:AR1006),$AD$1006:$AU$1006,0)), HYPERLINK("#",""), HYPERLINK(CONCATENATE("#metadata!", ADDRESS(INDEX($Y$2:$Y$1001,MATCH(ROWS($W$2:W355),$W$2:$W$1001,0),0), INDEX($AD$1004:$AU$1004,1,MATCH(COLUMNS($AD$1006:AR1006),$AD$1006:$AU$1006,0)))),"Fix")))</f>
        <v xml:space="preserve"> </v>
      </c>
      <c r="Q355" s="4" t="str">
        <f ca="1">IF(OR(INDEX($X$2:$X$1001,MATCH(ROWS($W$2:W355),$W$2:$W$1001,0),1)&gt;=100000,INDEX($AD$1005:$AU$1005,1,MATCH(COLUMNS($AD$1006:AS1006),$AD$1006:$AU$1006,0))&gt;=100000), " ",IF(INDEX($AD$2:$AU$1001,MATCH(ROWS($W$2:W355),$W$2:$W$1001,0),MATCH(COLUMNS($AD$1006:AS1006),$AD$1006:$AU$1006,0)), HYPERLINK("#",""), HYPERLINK(CONCATENATE("#metadata!", ADDRESS(INDEX($Y$2:$Y$1001,MATCH(ROWS($W$2:W355),$W$2:$W$1001,0),0), INDEX($AD$1004:$AU$1004,1,MATCH(COLUMNS($AD$1006:AS1006),$AD$1006:$AU$1006,0)))),"Fix")))</f>
        <v xml:space="preserve"> </v>
      </c>
      <c r="R355" s="4" t="str">
        <f ca="1">IF(OR(INDEX($X$2:$X$1001,MATCH(ROWS($W$2:W355),$W$2:$W$1001,0),1)&gt;=100000,INDEX($AD$1005:$AU$1005,1,MATCH(COLUMNS($AD$1006:AT1006),$AD$1006:$AU$1006,0))&gt;=100000), " ",IF(INDEX($AD$2:$AU$1001,MATCH(ROWS($W$2:W355),$W$2:$W$1001,0),MATCH(COLUMNS($AD$1006:AT1006),$AD$1006:$AU$1006,0)), HYPERLINK("#",""), HYPERLINK(CONCATENATE("#metadata!", ADDRESS(INDEX($Y$2:$Y$1001,MATCH(ROWS($W$2:W355),$W$2:$W$1001,0),0), INDEX($AD$1004:$AU$1004,1,MATCH(COLUMNS($AD$1006:AT1006),$AD$1006:$AU$1006,0)))),"Fix")))</f>
        <v xml:space="preserve"> </v>
      </c>
      <c r="S355" s="4" t="str">
        <f ca="1">IF(OR(INDEX($X$2:$X$1001,MATCH(ROWS($W$2:W355),$W$2:$W$1001,0),1)&gt;=100000,INDEX($AD$1005:$AU$1005,1,MATCH(COLUMNS($AD$1006:AU1006),$AD$1006:$AU$1006,0))&gt;=100000), " ",IF(INDEX($AD$2:$AU$1001,MATCH(ROWS($W$2:W355),$W$2:$W$1001,0),MATCH(COLUMNS($AD$1006:AU1006),$AD$1006:$AU$1006,0)), HYPERLINK("#",""), HYPERLINK(CONCATENATE("#metadata!", ADDRESS(INDEX($Y$2:$Y$1001,MATCH(ROWS($W$2:W355),$W$2:$W$1001,0),0), INDEX($AD$1004:$AU$1004,1,MATCH(COLUMNS($AD$1006:AU1006),$AD$1006:$AU$1006,0)))),"Fix")))</f>
        <v xml:space="preserve"> </v>
      </c>
      <c r="W355">
        <v>354</v>
      </c>
      <c r="X355">
        <v>100355</v>
      </c>
      <c r="Y355">
        <v>355</v>
      </c>
      <c r="Z355" t="b">
        <f t="shared" si="5"/>
        <v>1</v>
      </c>
      <c r="AA355" t="b">
        <f>COUNTBLANK(metadata!B355:S355)=COLUMNS(metadata!B355:S355)</f>
        <v>1</v>
      </c>
      <c r="AB355" t="str">
        <v/>
      </c>
      <c r="AD355" t="b">
        <f ca="1">AND(IF(metadata!B355="",FALSE,TRUE),COUNTIF(metadata!B:B, metadata!B355) = 1,NOT(ISERROR(SUMPRODUCT(SEARCH(MID(metadata!B355,ROW(INDIRECT("1:"&amp;LEN(metadata!B355))), 1),"0123456789abcdefghijklmnopqrstuvwxyzABCDEFGHIJKLMNOPQRSTUVWXYZ.")))))</f>
        <v>0</v>
      </c>
      <c r="AE355" t="b">
        <f>OR(AND(IF(metadata!C355="",FALSE,TRUE),OR(EXACT(metadata!C355,"not applicable"),EXACT(metadata!C355,"missing: not collected"),EXACT(metadata!C355,"missing: not provided"),EXACT(metadata!C355,"missing: restricted access"))),AND(IF(metadata!C355="",FALSE,ISNUMBER(VALUE(metadata!C355))),metadata!C355&gt;0))</f>
        <v>0</v>
      </c>
      <c r="AF355" t="b">
        <f>AND(IF(metadata!D355="",FALSE,TRUE),EXACT(metadata!D355,"missing: not provided"))</f>
        <v>0</v>
      </c>
      <c r="AG355" t="b">
        <f>AND(IF(metadata!E355="",FALSE,TRUE),EXACT(metadata!E355,"Host-associated"))</f>
        <v>0</v>
      </c>
      <c r="AH355" t="b">
        <f>AND(IF(metadata!F355="",FALSE,TRUE),OR(EXACT(metadata!F355,"Animal"),EXACT(metadata!F355,"Fungus"),EXACT(metadata!F355,"Plant")))</f>
        <v>0</v>
      </c>
      <c r="AI355" t="b">
        <f>AND(IF(metadata!G355="",FALSE,TRUE),OR(EXACT(metadata!G355,"Plant secretion"),EXACT(metadata!G355,"Plant rhizosphere"),EXACT(metadata!G355,"Plant surface"),EXACT(metadata!G355,"Plant corpus"),EXACT(metadata!G355,"Fungus surface"),EXACT(metadata!G355,"Fungus corpus"),EXACT(metadata!G355,"Animal surface"),EXACT(metadata!G355,"Animal proximal gut"),EXACT(metadata!G355,"Animal corpus"),EXACT(metadata!G355,"Animal distal gut"),EXACT(metadata!G355,"Animal secretion")))</f>
        <v>0</v>
      </c>
      <c r="AJ355" t="b">
        <f>OR(AND(IF(metadata!H355="",FALSE,TRUE),OR(EXACT(metadata!H355,"missing: not collected"),EXACT(metadata!H355,"missing: not provided"),EXACT(metadata!H355,"missing: restricted access"))),AND(IF(metadata!H355="",FALSE,TRUE),OR(EXACT(metadata!H355,"organism-associated habitat"),EXACT(metadata!H355,"plant-associated habitat"),EXACT(metadata!H355,"animal-associated habitat"),EXACT(metadata!H355,"insecta-associated habitat"),EXACT(metadata!H355,"mammalia-associated habitat"),EXACT(metadata!H355,"human-associated habitat"),EXACT(metadata!H355,"livestock-associated habitat"))))</f>
        <v>0</v>
      </c>
      <c r="AK355" t="b">
        <f>AND(IF(metadata!I355="",FALSE,TRUE),EXACT(metadata!I355,"host-associated"))</f>
        <v>0</v>
      </c>
      <c r="AL355" t="b">
        <f>OR(AND(IF(metadata!J355="",FALSE,TRUE),OR(EXACT(metadata!J355,"not applicable"),EXACT(metadata!J355,"missing: not collected"),EXACT(metadata!J355,"missing: not provided"),EXACT(metadata!J355,"missing: restricted access"))),AND(IF(metadata!J355="",FALSE,ISNUMBER(VALUE(metadata!J355))),metadata!J355&gt;0))</f>
        <v>0</v>
      </c>
      <c r="AM355" t="b">
        <f>AND(IF(metadata!K355="",FALSE,TRUE),EXACT(metadata!K355,"missing: not provided"))</f>
        <v>0</v>
      </c>
      <c r="AN355" t="b">
        <f>IF(metadata!L355="",FALSE,TRUE)</f>
        <v>0</v>
      </c>
      <c r="AO355" t="b">
        <f>IF(metadata!M355="",FALSE,TRUE)</f>
        <v>0</v>
      </c>
      <c r="AP355" t="b">
        <f>OR(AND(IF(metadata!N355="",FALSE,TRUE),OR(EXACT(metadata!N355,"not applicable"),EXACT(metadata!N355,"missing: not collected"),EXACT(metadata!N355,"missing: not provided"))),AND(IF(metadata!N355="",FALSE,IF(ISERROR(INT(metadata!N355)),FALSE,INT(metadata!N355)=metadata!N355)),metadata!N355&gt;0))</f>
        <v>0</v>
      </c>
      <c r="AQ355" t="b">
        <f>AND(IF(metadata!O355="",FALSE,TRUE),EXACT(metadata!O355,"Not applicable"))</f>
        <v>0</v>
      </c>
      <c r="AR355" t="b">
        <f>OR(AND(IF(metadata!P355="",FALSE,TRUE),OR(EXACT(metadata!P355,"not applicable"),EXACT(metadata!P355,"missing: not collected"),EXACT(metadata!P355,"missing: not provided"),EXACT(metadata!P355,"missing: restricted access"))),IF(metadata!P355="",FALSE,IF(ISERROR(INT(metadata!P355)),FALSE,INT(metadata!P355)=metadata!P355)))</f>
        <v>0</v>
      </c>
      <c r="AS355" t="b">
        <f>AND(IF(metadata!Q355="",FALSE,TRUE),EXACT(metadata!Q355,"Not applicable"))</f>
        <v>0</v>
      </c>
      <c r="AT355" t="b">
        <f>OR(AND(IF(metadata!R355="",FALSE,TRUE),OR(EXACT(metadata!R355,"not applicable"),EXACT(metadata!R355,"missing: not collected"),EXACT(metadata!R355,"missing: not provided"),EXACT(metadata!R355,"missing: restricted access"))),AND(IF(metadata!R355="",FALSE,ISNUMBER(VALUE(metadata!R355))),metadata!R355&gt;0))</f>
        <v>0</v>
      </c>
      <c r="AU355" t="b">
        <f>AND(IF(metadata!S355="",FALSE,TRUE),EXACT(metadata!S355,"missing: not provided"))</f>
        <v>0</v>
      </c>
    </row>
    <row r="356" spans="1:47" x14ac:dyDescent="0.2">
      <c r="A356" s="5" t="str">
        <f ca="1">IF(B356=" "," ",HYPERLINK(CONCATENATE("#metadata!",ADDRESS(INDEX($Y$2:$Y$1001,MATCH(ROWS($W$2:W356),$W$2:$W$1001,0),0),1)),INDEX($AB$2:$AB$1001,MATCH(ROWS($W$2:W356),$W$2:$W$1001,0),0)))</f>
        <v xml:space="preserve"> </v>
      </c>
      <c r="B356" s="4" t="str">
        <f ca="1">IF(OR(INDEX($X$2:$X$1001,MATCH(ROWS($W$2:W356),$W$2:$W$1001,0),1)&gt;=100000,INDEX($AD$1005:$AU$1005,1,MATCH(COLUMNS($AD$1006:AD1006),$AD$1006:$AU$1006,0))&gt;=100000), " ",IF(INDEX($AD$2:$AU$1001,MATCH(ROWS($W$2:W356),$W$2:$W$1001,0),MATCH(COLUMNS($AD$1006:AD1006),$AD$1006:$AU$1006,0)), HYPERLINK("#",""), HYPERLINK(CONCATENATE("#metadata!", ADDRESS(INDEX($Y$2:$Y$1001,MATCH(ROWS($W$2:W356),$W$2:$W$1001,0),0), INDEX($AD$1004:$AU$1004,1,MATCH(COLUMNS($AD$1006:AD1006),$AD$1006:$AU$1006,0)))),"Fix")))</f>
        <v xml:space="preserve"> </v>
      </c>
      <c r="C356" s="4" t="str">
        <f ca="1">IF(OR(INDEX($X$2:$X$1001,MATCH(ROWS($W$2:W356),$W$2:$W$1001,0),1)&gt;=100000,INDEX($AD$1005:$AU$1005,1,MATCH(COLUMNS($AD$1006:AE1006),$AD$1006:$AU$1006,0))&gt;=100000), " ",IF(INDEX($AD$2:$AU$1001,MATCH(ROWS($W$2:W356),$W$2:$W$1001,0),MATCH(COLUMNS($AD$1006:AE1006),$AD$1006:$AU$1006,0)), HYPERLINK("#",""), HYPERLINK(CONCATENATE("#metadata!", ADDRESS(INDEX($Y$2:$Y$1001,MATCH(ROWS($W$2:W356),$W$2:$W$1001,0),0), INDEX($AD$1004:$AU$1004,1,MATCH(COLUMNS($AD$1006:AE1006),$AD$1006:$AU$1006,0)))),"Fix")))</f>
        <v xml:space="preserve"> </v>
      </c>
      <c r="D356" s="4" t="str">
        <f ca="1">IF(OR(INDEX($X$2:$X$1001,MATCH(ROWS($W$2:W356),$W$2:$W$1001,0),1)&gt;=100000,INDEX($AD$1005:$AU$1005,1,MATCH(COLUMNS($AD$1006:AF1006),$AD$1006:$AU$1006,0))&gt;=100000), " ",IF(INDEX($AD$2:$AU$1001,MATCH(ROWS($W$2:W356),$W$2:$W$1001,0),MATCH(COLUMNS($AD$1006:AF1006),$AD$1006:$AU$1006,0)), HYPERLINK("#",""), HYPERLINK(CONCATENATE("#metadata!", ADDRESS(INDEX($Y$2:$Y$1001,MATCH(ROWS($W$2:W356),$W$2:$W$1001,0),0), INDEX($AD$1004:$AU$1004,1,MATCH(COLUMNS($AD$1006:AF1006),$AD$1006:$AU$1006,0)))),"Fix")))</f>
        <v xml:space="preserve"> </v>
      </c>
      <c r="E356" s="4" t="str">
        <f ca="1">IF(OR(INDEX($X$2:$X$1001,MATCH(ROWS($W$2:W356),$W$2:$W$1001,0),1)&gt;=100000,INDEX($AD$1005:$AU$1005,1,MATCH(COLUMNS($AD$1006:AG1006),$AD$1006:$AU$1006,0))&gt;=100000), " ",IF(INDEX($AD$2:$AU$1001,MATCH(ROWS($W$2:W356),$W$2:$W$1001,0),MATCH(COLUMNS($AD$1006:AG1006),$AD$1006:$AU$1006,0)), HYPERLINK("#",""), HYPERLINK(CONCATENATE("#metadata!", ADDRESS(INDEX($Y$2:$Y$1001,MATCH(ROWS($W$2:W356),$W$2:$W$1001,0),0), INDEX($AD$1004:$AU$1004,1,MATCH(COLUMNS($AD$1006:AG1006),$AD$1006:$AU$1006,0)))),"Fix")))</f>
        <v xml:space="preserve"> </v>
      </c>
      <c r="F356" s="4" t="str">
        <f ca="1">IF(OR(INDEX($X$2:$X$1001,MATCH(ROWS($W$2:W356),$W$2:$W$1001,0),1)&gt;=100000,INDEX($AD$1005:$AU$1005,1,MATCH(COLUMNS($AD$1006:AH1006),$AD$1006:$AU$1006,0))&gt;=100000), " ",IF(INDEX($AD$2:$AU$1001,MATCH(ROWS($W$2:W356),$W$2:$W$1001,0),MATCH(COLUMNS($AD$1006:AH1006),$AD$1006:$AU$1006,0)), HYPERLINK("#",""), HYPERLINK(CONCATENATE("#metadata!", ADDRESS(INDEX($Y$2:$Y$1001,MATCH(ROWS($W$2:W356),$W$2:$W$1001,0),0), INDEX($AD$1004:$AU$1004,1,MATCH(COLUMNS($AD$1006:AH1006),$AD$1006:$AU$1006,0)))),"Fix")))</f>
        <v xml:space="preserve"> </v>
      </c>
      <c r="G356" s="4" t="str">
        <f ca="1">IF(OR(INDEX($X$2:$X$1001,MATCH(ROWS($W$2:W356),$W$2:$W$1001,0),1)&gt;=100000,INDEX($AD$1005:$AU$1005,1,MATCH(COLUMNS($AD$1006:AI1006),$AD$1006:$AU$1006,0))&gt;=100000), " ",IF(INDEX($AD$2:$AU$1001,MATCH(ROWS($W$2:W356),$W$2:$W$1001,0),MATCH(COLUMNS($AD$1006:AI1006),$AD$1006:$AU$1006,0)), HYPERLINK("#",""), HYPERLINK(CONCATENATE("#metadata!", ADDRESS(INDEX($Y$2:$Y$1001,MATCH(ROWS($W$2:W356),$W$2:$W$1001,0),0), INDEX($AD$1004:$AU$1004,1,MATCH(COLUMNS($AD$1006:AI1006),$AD$1006:$AU$1006,0)))),"Fix")))</f>
        <v xml:space="preserve"> </v>
      </c>
      <c r="H356" s="4" t="str">
        <f ca="1">IF(OR(INDEX($X$2:$X$1001,MATCH(ROWS($W$2:W356),$W$2:$W$1001,0),1)&gt;=100000,INDEX($AD$1005:$AU$1005,1,MATCH(COLUMNS($AD$1006:AJ1006),$AD$1006:$AU$1006,0))&gt;=100000), " ",IF(INDEX($AD$2:$AU$1001,MATCH(ROWS($W$2:W356),$W$2:$W$1001,0),MATCH(COLUMNS($AD$1006:AJ1006),$AD$1006:$AU$1006,0)), HYPERLINK("#",""), HYPERLINK(CONCATENATE("#metadata!", ADDRESS(INDEX($Y$2:$Y$1001,MATCH(ROWS($W$2:W356),$W$2:$W$1001,0),0), INDEX($AD$1004:$AU$1004,1,MATCH(COLUMNS($AD$1006:AJ1006),$AD$1006:$AU$1006,0)))),"Fix")))</f>
        <v xml:space="preserve"> </v>
      </c>
      <c r="I356" s="4" t="str">
        <f ca="1">IF(OR(INDEX($X$2:$X$1001,MATCH(ROWS($W$2:W356),$W$2:$W$1001,0),1)&gt;=100000,INDEX($AD$1005:$AU$1005,1,MATCH(COLUMNS($AD$1006:AK1006),$AD$1006:$AU$1006,0))&gt;=100000), " ",IF(INDEX($AD$2:$AU$1001,MATCH(ROWS($W$2:W356),$W$2:$W$1001,0),MATCH(COLUMNS($AD$1006:AK1006),$AD$1006:$AU$1006,0)), HYPERLINK("#",""), HYPERLINK(CONCATENATE("#metadata!", ADDRESS(INDEX($Y$2:$Y$1001,MATCH(ROWS($W$2:W356),$W$2:$W$1001,0),0), INDEX($AD$1004:$AU$1004,1,MATCH(COLUMNS($AD$1006:AK1006),$AD$1006:$AU$1006,0)))),"Fix")))</f>
        <v xml:space="preserve"> </v>
      </c>
      <c r="J356" s="4" t="str">
        <f ca="1">IF(OR(INDEX($X$2:$X$1001,MATCH(ROWS($W$2:W356),$W$2:$W$1001,0),1)&gt;=100000,INDEX($AD$1005:$AU$1005,1,MATCH(COLUMNS($AD$1006:AL1006),$AD$1006:$AU$1006,0))&gt;=100000), " ",IF(INDEX($AD$2:$AU$1001,MATCH(ROWS($W$2:W356),$W$2:$W$1001,0),MATCH(COLUMNS($AD$1006:AL1006),$AD$1006:$AU$1006,0)), HYPERLINK("#",""), HYPERLINK(CONCATENATE("#metadata!", ADDRESS(INDEX($Y$2:$Y$1001,MATCH(ROWS($W$2:W356),$W$2:$W$1001,0),0), INDEX($AD$1004:$AU$1004,1,MATCH(COLUMNS($AD$1006:AL1006),$AD$1006:$AU$1006,0)))),"Fix")))</f>
        <v xml:space="preserve"> </v>
      </c>
      <c r="K356" s="4" t="str">
        <f ca="1">IF(OR(INDEX($X$2:$X$1001,MATCH(ROWS($W$2:W356),$W$2:$W$1001,0),1)&gt;=100000,INDEX($AD$1005:$AU$1005,1,MATCH(COLUMNS($AD$1006:AM1006),$AD$1006:$AU$1006,0))&gt;=100000), " ",IF(INDEX($AD$2:$AU$1001,MATCH(ROWS($W$2:W356),$W$2:$W$1001,0),MATCH(COLUMNS($AD$1006:AM1006),$AD$1006:$AU$1006,0)), HYPERLINK("#",""), HYPERLINK(CONCATENATE("#metadata!", ADDRESS(INDEX($Y$2:$Y$1001,MATCH(ROWS($W$2:W356),$W$2:$W$1001,0),0), INDEX($AD$1004:$AU$1004,1,MATCH(COLUMNS($AD$1006:AM1006),$AD$1006:$AU$1006,0)))),"Fix")))</f>
        <v xml:space="preserve"> </v>
      </c>
      <c r="L356" s="4" t="str">
        <f ca="1">IF(OR(INDEX($X$2:$X$1001,MATCH(ROWS($W$2:W356),$W$2:$W$1001,0),1)&gt;=100000,INDEX($AD$1005:$AU$1005,1,MATCH(COLUMNS($AD$1006:AN1006),$AD$1006:$AU$1006,0))&gt;=100000), " ",IF(INDEX($AD$2:$AU$1001,MATCH(ROWS($W$2:W356),$W$2:$W$1001,0),MATCH(COLUMNS($AD$1006:AN1006),$AD$1006:$AU$1006,0)), HYPERLINK("#",""), HYPERLINK(CONCATENATE("#metadata!", ADDRESS(INDEX($Y$2:$Y$1001,MATCH(ROWS($W$2:W356),$W$2:$W$1001,0),0), INDEX($AD$1004:$AU$1004,1,MATCH(COLUMNS($AD$1006:AN1006),$AD$1006:$AU$1006,0)))),"Fix")))</f>
        <v xml:space="preserve"> </v>
      </c>
      <c r="M356" s="4" t="str">
        <f ca="1">IF(OR(INDEX($X$2:$X$1001,MATCH(ROWS($W$2:W356),$W$2:$W$1001,0),1)&gt;=100000,INDEX($AD$1005:$AU$1005,1,MATCH(COLUMNS($AD$1006:AO1006),$AD$1006:$AU$1006,0))&gt;=100000), " ",IF(INDEX($AD$2:$AU$1001,MATCH(ROWS($W$2:W356),$W$2:$W$1001,0),MATCH(COLUMNS($AD$1006:AO1006),$AD$1006:$AU$1006,0)), HYPERLINK("#",""), HYPERLINK(CONCATENATE("#metadata!", ADDRESS(INDEX($Y$2:$Y$1001,MATCH(ROWS($W$2:W356),$W$2:$W$1001,0),0), INDEX($AD$1004:$AU$1004,1,MATCH(COLUMNS($AD$1006:AO1006),$AD$1006:$AU$1006,0)))),"Fix")))</f>
        <v xml:space="preserve"> </v>
      </c>
      <c r="N356" s="4" t="str">
        <f ca="1">IF(OR(INDEX($X$2:$X$1001,MATCH(ROWS($W$2:W356),$W$2:$W$1001,0),1)&gt;=100000,INDEX($AD$1005:$AU$1005,1,MATCH(COLUMNS($AD$1006:AP1006),$AD$1006:$AU$1006,0))&gt;=100000), " ",IF(INDEX($AD$2:$AU$1001,MATCH(ROWS($W$2:W356),$W$2:$W$1001,0),MATCH(COLUMNS($AD$1006:AP1006),$AD$1006:$AU$1006,0)), HYPERLINK("#",""), HYPERLINK(CONCATENATE("#metadata!", ADDRESS(INDEX($Y$2:$Y$1001,MATCH(ROWS($W$2:W356),$W$2:$W$1001,0),0), INDEX($AD$1004:$AU$1004,1,MATCH(COLUMNS($AD$1006:AP1006),$AD$1006:$AU$1006,0)))),"Fix")))</f>
        <v xml:space="preserve"> </v>
      </c>
      <c r="O356" s="4" t="str">
        <f ca="1">IF(OR(INDEX($X$2:$X$1001,MATCH(ROWS($W$2:W356),$W$2:$W$1001,0),1)&gt;=100000,INDEX($AD$1005:$AU$1005,1,MATCH(COLUMNS($AD$1006:AQ1006),$AD$1006:$AU$1006,0))&gt;=100000), " ",IF(INDEX($AD$2:$AU$1001,MATCH(ROWS($W$2:W356),$W$2:$W$1001,0),MATCH(COLUMNS($AD$1006:AQ1006),$AD$1006:$AU$1006,0)), HYPERLINK("#",""), HYPERLINK(CONCATENATE("#metadata!", ADDRESS(INDEX($Y$2:$Y$1001,MATCH(ROWS($W$2:W356),$W$2:$W$1001,0),0), INDEX($AD$1004:$AU$1004,1,MATCH(COLUMNS($AD$1006:AQ1006),$AD$1006:$AU$1006,0)))),"Fix")))</f>
        <v xml:space="preserve"> </v>
      </c>
      <c r="P356" s="4" t="str">
        <f ca="1">IF(OR(INDEX($X$2:$X$1001,MATCH(ROWS($W$2:W356),$W$2:$W$1001,0),1)&gt;=100000,INDEX($AD$1005:$AU$1005,1,MATCH(COLUMNS($AD$1006:AR1006),$AD$1006:$AU$1006,0))&gt;=100000), " ",IF(INDEX($AD$2:$AU$1001,MATCH(ROWS($W$2:W356),$W$2:$W$1001,0),MATCH(COLUMNS($AD$1006:AR1006),$AD$1006:$AU$1006,0)), HYPERLINK("#",""), HYPERLINK(CONCATENATE("#metadata!", ADDRESS(INDEX($Y$2:$Y$1001,MATCH(ROWS($W$2:W356),$W$2:$W$1001,0),0), INDEX($AD$1004:$AU$1004,1,MATCH(COLUMNS($AD$1006:AR1006),$AD$1006:$AU$1006,0)))),"Fix")))</f>
        <v xml:space="preserve"> </v>
      </c>
      <c r="Q356" s="4" t="str">
        <f ca="1">IF(OR(INDEX($X$2:$X$1001,MATCH(ROWS($W$2:W356),$W$2:$W$1001,0),1)&gt;=100000,INDEX($AD$1005:$AU$1005,1,MATCH(COLUMNS($AD$1006:AS1006),$AD$1006:$AU$1006,0))&gt;=100000), " ",IF(INDEX($AD$2:$AU$1001,MATCH(ROWS($W$2:W356),$W$2:$W$1001,0),MATCH(COLUMNS($AD$1006:AS1006),$AD$1006:$AU$1006,0)), HYPERLINK("#",""), HYPERLINK(CONCATENATE("#metadata!", ADDRESS(INDEX($Y$2:$Y$1001,MATCH(ROWS($W$2:W356),$W$2:$W$1001,0),0), INDEX($AD$1004:$AU$1004,1,MATCH(COLUMNS($AD$1006:AS1006),$AD$1006:$AU$1006,0)))),"Fix")))</f>
        <v xml:space="preserve"> </v>
      </c>
      <c r="R356" s="4" t="str">
        <f ca="1">IF(OR(INDEX($X$2:$X$1001,MATCH(ROWS($W$2:W356),$W$2:$W$1001,0),1)&gt;=100000,INDEX($AD$1005:$AU$1005,1,MATCH(COLUMNS($AD$1006:AT1006),$AD$1006:$AU$1006,0))&gt;=100000), " ",IF(INDEX($AD$2:$AU$1001,MATCH(ROWS($W$2:W356),$W$2:$W$1001,0),MATCH(COLUMNS($AD$1006:AT1006),$AD$1006:$AU$1006,0)), HYPERLINK("#",""), HYPERLINK(CONCATENATE("#metadata!", ADDRESS(INDEX($Y$2:$Y$1001,MATCH(ROWS($W$2:W356),$W$2:$W$1001,0),0), INDEX($AD$1004:$AU$1004,1,MATCH(COLUMNS($AD$1006:AT1006),$AD$1006:$AU$1006,0)))),"Fix")))</f>
        <v xml:space="preserve"> </v>
      </c>
      <c r="S356" s="4" t="str">
        <f ca="1">IF(OR(INDEX($X$2:$X$1001,MATCH(ROWS($W$2:W356),$W$2:$W$1001,0),1)&gt;=100000,INDEX($AD$1005:$AU$1005,1,MATCH(COLUMNS($AD$1006:AU1006),$AD$1006:$AU$1006,0))&gt;=100000), " ",IF(INDEX($AD$2:$AU$1001,MATCH(ROWS($W$2:W356),$W$2:$W$1001,0),MATCH(COLUMNS($AD$1006:AU1006),$AD$1006:$AU$1006,0)), HYPERLINK("#",""), HYPERLINK(CONCATENATE("#metadata!", ADDRESS(INDEX($Y$2:$Y$1001,MATCH(ROWS($W$2:W356),$W$2:$W$1001,0),0), INDEX($AD$1004:$AU$1004,1,MATCH(COLUMNS($AD$1006:AU1006),$AD$1006:$AU$1006,0)))),"Fix")))</f>
        <v xml:space="preserve"> </v>
      </c>
      <c r="W356">
        <v>355</v>
      </c>
      <c r="X356">
        <v>100356</v>
      </c>
      <c r="Y356">
        <v>356</v>
      </c>
      <c r="Z356" t="b">
        <f t="shared" si="5"/>
        <v>1</v>
      </c>
      <c r="AA356" t="b">
        <f>COUNTBLANK(metadata!B356:S356)=COLUMNS(metadata!B356:S356)</f>
        <v>1</v>
      </c>
      <c r="AB356" t="str">
        <v/>
      </c>
      <c r="AD356" t="b">
        <f ca="1">AND(IF(metadata!B356="",FALSE,TRUE),COUNTIF(metadata!B:B, metadata!B356) = 1,NOT(ISERROR(SUMPRODUCT(SEARCH(MID(metadata!B356,ROW(INDIRECT("1:"&amp;LEN(metadata!B356))), 1),"0123456789abcdefghijklmnopqrstuvwxyzABCDEFGHIJKLMNOPQRSTUVWXYZ.")))))</f>
        <v>0</v>
      </c>
      <c r="AE356" t="b">
        <f>OR(AND(IF(metadata!C356="",FALSE,TRUE),OR(EXACT(metadata!C356,"not applicable"),EXACT(metadata!C356,"missing: not collected"),EXACT(metadata!C356,"missing: not provided"),EXACT(metadata!C356,"missing: restricted access"))),AND(IF(metadata!C356="",FALSE,ISNUMBER(VALUE(metadata!C356))),metadata!C356&gt;0))</f>
        <v>0</v>
      </c>
      <c r="AF356" t="b">
        <f>AND(IF(metadata!D356="",FALSE,TRUE),EXACT(metadata!D356,"missing: not provided"))</f>
        <v>0</v>
      </c>
      <c r="AG356" t="b">
        <f>AND(IF(metadata!E356="",FALSE,TRUE),EXACT(metadata!E356,"Host-associated"))</f>
        <v>0</v>
      </c>
      <c r="AH356" t="b">
        <f>AND(IF(metadata!F356="",FALSE,TRUE),OR(EXACT(metadata!F356,"Animal"),EXACT(metadata!F356,"Fungus"),EXACT(metadata!F356,"Plant")))</f>
        <v>0</v>
      </c>
      <c r="AI356" t="b">
        <f>AND(IF(metadata!G356="",FALSE,TRUE),OR(EXACT(metadata!G356,"Plant secretion"),EXACT(metadata!G356,"Plant rhizosphere"),EXACT(metadata!G356,"Plant surface"),EXACT(metadata!G356,"Plant corpus"),EXACT(metadata!G356,"Fungus surface"),EXACT(metadata!G356,"Fungus corpus"),EXACT(metadata!G356,"Animal surface"),EXACT(metadata!G356,"Animal proximal gut"),EXACT(metadata!G356,"Animal corpus"),EXACT(metadata!G356,"Animal distal gut"),EXACT(metadata!G356,"Animal secretion")))</f>
        <v>0</v>
      </c>
      <c r="AJ356" t="b">
        <f>OR(AND(IF(metadata!H356="",FALSE,TRUE),OR(EXACT(metadata!H356,"missing: not collected"),EXACT(metadata!H356,"missing: not provided"),EXACT(metadata!H356,"missing: restricted access"))),AND(IF(metadata!H356="",FALSE,TRUE),OR(EXACT(metadata!H356,"organism-associated habitat"),EXACT(metadata!H356,"plant-associated habitat"),EXACT(metadata!H356,"animal-associated habitat"),EXACT(metadata!H356,"insecta-associated habitat"),EXACT(metadata!H356,"mammalia-associated habitat"),EXACT(metadata!H356,"human-associated habitat"),EXACT(metadata!H356,"livestock-associated habitat"))))</f>
        <v>0</v>
      </c>
      <c r="AK356" t="b">
        <f>AND(IF(metadata!I356="",FALSE,TRUE),EXACT(metadata!I356,"host-associated"))</f>
        <v>0</v>
      </c>
      <c r="AL356" t="b">
        <f>OR(AND(IF(metadata!J356="",FALSE,TRUE),OR(EXACT(metadata!J356,"not applicable"),EXACT(metadata!J356,"missing: not collected"),EXACT(metadata!J356,"missing: not provided"),EXACT(metadata!J356,"missing: restricted access"))),AND(IF(metadata!J356="",FALSE,ISNUMBER(VALUE(metadata!J356))),metadata!J356&gt;0))</f>
        <v>0</v>
      </c>
      <c r="AM356" t="b">
        <f>AND(IF(metadata!K356="",FALSE,TRUE),EXACT(metadata!K356,"missing: not provided"))</f>
        <v>0</v>
      </c>
      <c r="AN356" t="b">
        <f>IF(metadata!L356="",FALSE,TRUE)</f>
        <v>0</v>
      </c>
      <c r="AO356" t="b">
        <f>IF(metadata!M356="",FALSE,TRUE)</f>
        <v>0</v>
      </c>
      <c r="AP356" t="b">
        <f>OR(AND(IF(metadata!N356="",FALSE,TRUE),OR(EXACT(metadata!N356,"not applicable"),EXACT(metadata!N356,"missing: not collected"),EXACT(metadata!N356,"missing: not provided"))),AND(IF(metadata!N356="",FALSE,IF(ISERROR(INT(metadata!N356)),FALSE,INT(metadata!N356)=metadata!N356)),metadata!N356&gt;0))</f>
        <v>0</v>
      </c>
      <c r="AQ356" t="b">
        <f>AND(IF(metadata!O356="",FALSE,TRUE),EXACT(metadata!O356,"Not applicable"))</f>
        <v>0</v>
      </c>
      <c r="AR356" t="b">
        <f>OR(AND(IF(metadata!P356="",FALSE,TRUE),OR(EXACT(metadata!P356,"not applicable"),EXACT(metadata!P356,"missing: not collected"),EXACT(metadata!P356,"missing: not provided"),EXACT(metadata!P356,"missing: restricted access"))),IF(metadata!P356="",FALSE,IF(ISERROR(INT(metadata!P356)),FALSE,INT(metadata!P356)=metadata!P356)))</f>
        <v>0</v>
      </c>
      <c r="AS356" t="b">
        <f>AND(IF(metadata!Q356="",FALSE,TRUE),EXACT(metadata!Q356,"Not applicable"))</f>
        <v>0</v>
      </c>
      <c r="AT356" t="b">
        <f>OR(AND(IF(metadata!R356="",FALSE,TRUE),OR(EXACT(metadata!R356,"not applicable"),EXACT(metadata!R356,"missing: not collected"),EXACT(metadata!R356,"missing: not provided"),EXACT(metadata!R356,"missing: restricted access"))),AND(IF(metadata!R356="",FALSE,ISNUMBER(VALUE(metadata!R356))),metadata!R356&gt;0))</f>
        <v>0</v>
      </c>
      <c r="AU356" t="b">
        <f>AND(IF(metadata!S356="",FALSE,TRUE),EXACT(metadata!S356,"missing: not provided"))</f>
        <v>0</v>
      </c>
    </row>
    <row r="357" spans="1:47" x14ac:dyDescent="0.2">
      <c r="A357" s="5" t="str">
        <f ca="1">IF(B357=" "," ",HYPERLINK(CONCATENATE("#metadata!",ADDRESS(INDEX($Y$2:$Y$1001,MATCH(ROWS($W$2:W357),$W$2:$W$1001,0),0),1)),INDEX($AB$2:$AB$1001,MATCH(ROWS($W$2:W357),$W$2:$W$1001,0),0)))</f>
        <v xml:space="preserve"> </v>
      </c>
      <c r="B357" s="4" t="str">
        <f ca="1">IF(OR(INDEX($X$2:$X$1001,MATCH(ROWS($W$2:W357),$W$2:$W$1001,0),1)&gt;=100000,INDEX($AD$1005:$AU$1005,1,MATCH(COLUMNS($AD$1006:AD1006),$AD$1006:$AU$1006,0))&gt;=100000), " ",IF(INDEX($AD$2:$AU$1001,MATCH(ROWS($W$2:W357),$W$2:$W$1001,0),MATCH(COLUMNS($AD$1006:AD1006),$AD$1006:$AU$1006,0)), HYPERLINK("#",""), HYPERLINK(CONCATENATE("#metadata!", ADDRESS(INDEX($Y$2:$Y$1001,MATCH(ROWS($W$2:W357),$W$2:$W$1001,0),0), INDEX($AD$1004:$AU$1004,1,MATCH(COLUMNS($AD$1006:AD1006),$AD$1006:$AU$1006,0)))),"Fix")))</f>
        <v xml:space="preserve"> </v>
      </c>
      <c r="C357" s="4" t="str">
        <f ca="1">IF(OR(INDEX($X$2:$X$1001,MATCH(ROWS($W$2:W357),$W$2:$W$1001,0),1)&gt;=100000,INDEX($AD$1005:$AU$1005,1,MATCH(COLUMNS($AD$1006:AE1006),$AD$1006:$AU$1006,0))&gt;=100000), " ",IF(INDEX($AD$2:$AU$1001,MATCH(ROWS($W$2:W357),$W$2:$W$1001,0),MATCH(COLUMNS($AD$1006:AE1006),$AD$1006:$AU$1006,0)), HYPERLINK("#",""), HYPERLINK(CONCATENATE("#metadata!", ADDRESS(INDEX($Y$2:$Y$1001,MATCH(ROWS($W$2:W357),$W$2:$W$1001,0),0), INDEX($AD$1004:$AU$1004,1,MATCH(COLUMNS($AD$1006:AE1006),$AD$1006:$AU$1006,0)))),"Fix")))</f>
        <v xml:space="preserve"> </v>
      </c>
      <c r="D357" s="4" t="str">
        <f ca="1">IF(OR(INDEX($X$2:$X$1001,MATCH(ROWS($W$2:W357),$W$2:$W$1001,0),1)&gt;=100000,INDEX($AD$1005:$AU$1005,1,MATCH(COLUMNS($AD$1006:AF1006),$AD$1006:$AU$1006,0))&gt;=100000), " ",IF(INDEX($AD$2:$AU$1001,MATCH(ROWS($W$2:W357),$W$2:$W$1001,0),MATCH(COLUMNS($AD$1006:AF1006),$AD$1006:$AU$1006,0)), HYPERLINK("#",""), HYPERLINK(CONCATENATE("#metadata!", ADDRESS(INDEX($Y$2:$Y$1001,MATCH(ROWS($W$2:W357),$W$2:$W$1001,0),0), INDEX($AD$1004:$AU$1004,1,MATCH(COLUMNS($AD$1006:AF1006),$AD$1006:$AU$1006,0)))),"Fix")))</f>
        <v xml:space="preserve"> </v>
      </c>
      <c r="E357" s="4" t="str">
        <f ca="1">IF(OR(INDEX($X$2:$X$1001,MATCH(ROWS($W$2:W357),$W$2:$W$1001,0),1)&gt;=100000,INDEX($AD$1005:$AU$1005,1,MATCH(COLUMNS($AD$1006:AG1006),$AD$1006:$AU$1006,0))&gt;=100000), " ",IF(INDEX($AD$2:$AU$1001,MATCH(ROWS($W$2:W357),$W$2:$W$1001,0),MATCH(COLUMNS($AD$1006:AG1006),$AD$1006:$AU$1006,0)), HYPERLINK("#",""), HYPERLINK(CONCATENATE("#metadata!", ADDRESS(INDEX($Y$2:$Y$1001,MATCH(ROWS($W$2:W357),$W$2:$W$1001,0),0), INDEX($AD$1004:$AU$1004,1,MATCH(COLUMNS($AD$1006:AG1006),$AD$1006:$AU$1006,0)))),"Fix")))</f>
        <v xml:space="preserve"> </v>
      </c>
      <c r="F357" s="4" t="str">
        <f ca="1">IF(OR(INDEX($X$2:$X$1001,MATCH(ROWS($W$2:W357),$W$2:$W$1001,0),1)&gt;=100000,INDEX($AD$1005:$AU$1005,1,MATCH(COLUMNS($AD$1006:AH1006),$AD$1006:$AU$1006,0))&gt;=100000), " ",IF(INDEX($AD$2:$AU$1001,MATCH(ROWS($W$2:W357),$W$2:$W$1001,0),MATCH(COLUMNS($AD$1006:AH1006),$AD$1006:$AU$1006,0)), HYPERLINK("#",""), HYPERLINK(CONCATENATE("#metadata!", ADDRESS(INDEX($Y$2:$Y$1001,MATCH(ROWS($W$2:W357),$W$2:$W$1001,0),0), INDEX($AD$1004:$AU$1004,1,MATCH(COLUMNS($AD$1006:AH1006),$AD$1006:$AU$1006,0)))),"Fix")))</f>
        <v xml:space="preserve"> </v>
      </c>
      <c r="G357" s="4" t="str">
        <f ca="1">IF(OR(INDEX($X$2:$X$1001,MATCH(ROWS($W$2:W357),$W$2:$W$1001,0),1)&gt;=100000,INDEX($AD$1005:$AU$1005,1,MATCH(COLUMNS($AD$1006:AI1006),$AD$1006:$AU$1006,0))&gt;=100000), " ",IF(INDEX($AD$2:$AU$1001,MATCH(ROWS($W$2:W357),$W$2:$W$1001,0),MATCH(COLUMNS($AD$1006:AI1006),$AD$1006:$AU$1006,0)), HYPERLINK("#",""), HYPERLINK(CONCATENATE("#metadata!", ADDRESS(INDEX($Y$2:$Y$1001,MATCH(ROWS($W$2:W357),$W$2:$W$1001,0),0), INDEX($AD$1004:$AU$1004,1,MATCH(COLUMNS($AD$1006:AI1006),$AD$1006:$AU$1006,0)))),"Fix")))</f>
        <v xml:space="preserve"> </v>
      </c>
      <c r="H357" s="4" t="str">
        <f ca="1">IF(OR(INDEX($X$2:$X$1001,MATCH(ROWS($W$2:W357),$W$2:$W$1001,0),1)&gt;=100000,INDEX($AD$1005:$AU$1005,1,MATCH(COLUMNS($AD$1006:AJ1006),$AD$1006:$AU$1006,0))&gt;=100000), " ",IF(INDEX($AD$2:$AU$1001,MATCH(ROWS($W$2:W357),$W$2:$W$1001,0),MATCH(COLUMNS($AD$1006:AJ1006),$AD$1006:$AU$1006,0)), HYPERLINK("#",""), HYPERLINK(CONCATENATE("#metadata!", ADDRESS(INDEX($Y$2:$Y$1001,MATCH(ROWS($W$2:W357),$W$2:$W$1001,0),0), INDEX($AD$1004:$AU$1004,1,MATCH(COLUMNS($AD$1006:AJ1006),$AD$1006:$AU$1006,0)))),"Fix")))</f>
        <v xml:space="preserve"> </v>
      </c>
      <c r="I357" s="4" t="str">
        <f ca="1">IF(OR(INDEX($X$2:$X$1001,MATCH(ROWS($W$2:W357),$W$2:$W$1001,0),1)&gt;=100000,INDEX($AD$1005:$AU$1005,1,MATCH(COLUMNS($AD$1006:AK1006),$AD$1006:$AU$1006,0))&gt;=100000), " ",IF(INDEX($AD$2:$AU$1001,MATCH(ROWS($W$2:W357),$W$2:$W$1001,0),MATCH(COLUMNS($AD$1006:AK1006),$AD$1006:$AU$1006,0)), HYPERLINK("#",""), HYPERLINK(CONCATENATE("#metadata!", ADDRESS(INDEX($Y$2:$Y$1001,MATCH(ROWS($W$2:W357),$W$2:$W$1001,0),0), INDEX($AD$1004:$AU$1004,1,MATCH(COLUMNS($AD$1006:AK1006),$AD$1006:$AU$1006,0)))),"Fix")))</f>
        <v xml:space="preserve"> </v>
      </c>
      <c r="J357" s="4" t="str">
        <f ca="1">IF(OR(INDEX($X$2:$X$1001,MATCH(ROWS($W$2:W357),$W$2:$W$1001,0),1)&gt;=100000,INDEX($AD$1005:$AU$1005,1,MATCH(COLUMNS($AD$1006:AL1006),$AD$1006:$AU$1006,0))&gt;=100000), " ",IF(INDEX($AD$2:$AU$1001,MATCH(ROWS($W$2:W357),$W$2:$W$1001,0),MATCH(COLUMNS($AD$1006:AL1006),$AD$1006:$AU$1006,0)), HYPERLINK("#",""), HYPERLINK(CONCATENATE("#metadata!", ADDRESS(INDEX($Y$2:$Y$1001,MATCH(ROWS($W$2:W357),$W$2:$W$1001,0),0), INDEX($AD$1004:$AU$1004,1,MATCH(COLUMNS($AD$1006:AL1006),$AD$1006:$AU$1006,0)))),"Fix")))</f>
        <v xml:space="preserve"> </v>
      </c>
      <c r="K357" s="4" t="str">
        <f ca="1">IF(OR(INDEX($X$2:$X$1001,MATCH(ROWS($W$2:W357),$W$2:$W$1001,0),1)&gt;=100000,INDEX($AD$1005:$AU$1005,1,MATCH(COLUMNS($AD$1006:AM1006),$AD$1006:$AU$1006,0))&gt;=100000), " ",IF(INDEX($AD$2:$AU$1001,MATCH(ROWS($W$2:W357),$W$2:$W$1001,0),MATCH(COLUMNS($AD$1006:AM1006),$AD$1006:$AU$1006,0)), HYPERLINK("#",""), HYPERLINK(CONCATENATE("#metadata!", ADDRESS(INDEX($Y$2:$Y$1001,MATCH(ROWS($W$2:W357),$W$2:$W$1001,0),0), INDEX($AD$1004:$AU$1004,1,MATCH(COLUMNS($AD$1006:AM1006),$AD$1006:$AU$1006,0)))),"Fix")))</f>
        <v xml:space="preserve"> </v>
      </c>
      <c r="L357" s="4" t="str">
        <f ca="1">IF(OR(INDEX($X$2:$X$1001,MATCH(ROWS($W$2:W357),$W$2:$W$1001,0),1)&gt;=100000,INDEX($AD$1005:$AU$1005,1,MATCH(COLUMNS($AD$1006:AN1006),$AD$1006:$AU$1006,0))&gt;=100000), " ",IF(INDEX($AD$2:$AU$1001,MATCH(ROWS($W$2:W357),$W$2:$W$1001,0),MATCH(COLUMNS($AD$1006:AN1006),$AD$1006:$AU$1006,0)), HYPERLINK("#",""), HYPERLINK(CONCATENATE("#metadata!", ADDRESS(INDEX($Y$2:$Y$1001,MATCH(ROWS($W$2:W357),$W$2:$W$1001,0),0), INDEX($AD$1004:$AU$1004,1,MATCH(COLUMNS($AD$1006:AN1006),$AD$1006:$AU$1006,0)))),"Fix")))</f>
        <v xml:space="preserve"> </v>
      </c>
      <c r="M357" s="4" t="str">
        <f ca="1">IF(OR(INDEX($X$2:$X$1001,MATCH(ROWS($W$2:W357),$W$2:$W$1001,0),1)&gt;=100000,INDEX($AD$1005:$AU$1005,1,MATCH(COLUMNS($AD$1006:AO1006),$AD$1006:$AU$1006,0))&gt;=100000), " ",IF(INDEX($AD$2:$AU$1001,MATCH(ROWS($W$2:W357),$W$2:$W$1001,0),MATCH(COLUMNS($AD$1006:AO1006),$AD$1006:$AU$1006,0)), HYPERLINK("#",""), HYPERLINK(CONCATENATE("#metadata!", ADDRESS(INDEX($Y$2:$Y$1001,MATCH(ROWS($W$2:W357),$W$2:$W$1001,0),0), INDEX($AD$1004:$AU$1004,1,MATCH(COLUMNS($AD$1006:AO1006),$AD$1006:$AU$1006,0)))),"Fix")))</f>
        <v xml:space="preserve"> </v>
      </c>
      <c r="N357" s="4" t="str">
        <f ca="1">IF(OR(INDEX($X$2:$X$1001,MATCH(ROWS($W$2:W357),$W$2:$W$1001,0),1)&gt;=100000,INDEX($AD$1005:$AU$1005,1,MATCH(COLUMNS($AD$1006:AP1006),$AD$1006:$AU$1006,0))&gt;=100000), " ",IF(INDEX($AD$2:$AU$1001,MATCH(ROWS($W$2:W357),$W$2:$W$1001,0),MATCH(COLUMNS($AD$1006:AP1006),$AD$1006:$AU$1006,0)), HYPERLINK("#",""), HYPERLINK(CONCATENATE("#metadata!", ADDRESS(INDEX($Y$2:$Y$1001,MATCH(ROWS($W$2:W357),$W$2:$W$1001,0),0), INDEX($AD$1004:$AU$1004,1,MATCH(COLUMNS($AD$1006:AP1006),$AD$1006:$AU$1006,0)))),"Fix")))</f>
        <v xml:space="preserve"> </v>
      </c>
      <c r="O357" s="4" t="str">
        <f ca="1">IF(OR(INDEX($X$2:$X$1001,MATCH(ROWS($W$2:W357),$W$2:$W$1001,0),1)&gt;=100000,INDEX($AD$1005:$AU$1005,1,MATCH(COLUMNS($AD$1006:AQ1006),$AD$1006:$AU$1006,0))&gt;=100000), " ",IF(INDEX($AD$2:$AU$1001,MATCH(ROWS($W$2:W357),$W$2:$W$1001,0),MATCH(COLUMNS($AD$1006:AQ1006),$AD$1006:$AU$1006,0)), HYPERLINK("#",""), HYPERLINK(CONCATENATE("#metadata!", ADDRESS(INDEX($Y$2:$Y$1001,MATCH(ROWS($W$2:W357),$W$2:$W$1001,0),0), INDEX($AD$1004:$AU$1004,1,MATCH(COLUMNS($AD$1006:AQ1006),$AD$1006:$AU$1006,0)))),"Fix")))</f>
        <v xml:space="preserve"> </v>
      </c>
      <c r="P357" s="4" t="str">
        <f ca="1">IF(OR(INDEX($X$2:$X$1001,MATCH(ROWS($W$2:W357),$W$2:$W$1001,0),1)&gt;=100000,INDEX($AD$1005:$AU$1005,1,MATCH(COLUMNS($AD$1006:AR1006),$AD$1006:$AU$1006,0))&gt;=100000), " ",IF(INDEX($AD$2:$AU$1001,MATCH(ROWS($W$2:W357),$W$2:$W$1001,0),MATCH(COLUMNS($AD$1006:AR1006),$AD$1006:$AU$1006,0)), HYPERLINK("#",""), HYPERLINK(CONCATENATE("#metadata!", ADDRESS(INDEX($Y$2:$Y$1001,MATCH(ROWS($W$2:W357),$W$2:$W$1001,0),0), INDEX($AD$1004:$AU$1004,1,MATCH(COLUMNS($AD$1006:AR1006),$AD$1006:$AU$1006,0)))),"Fix")))</f>
        <v xml:space="preserve"> </v>
      </c>
      <c r="Q357" s="4" t="str">
        <f ca="1">IF(OR(INDEX($X$2:$X$1001,MATCH(ROWS($W$2:W357),$W$2:$W$1001,0),1)&gt;=100000,INDEX($AD$1005:$AU$1005,1,MATCH(COLUMNS($AD$1006:AS1006),$AD$1006:$AU$1006,0))&gt;=100000), " ",IF(INDEX($AD$2:$AU$1001,MATCH(ROWS($W$2:W357),$W$2:$W$1001,0),MATCH(COLUMNS($AD$1006:AS1006),$AD$1006:$AU$1006,0)), HYPERLINK("#",""), HYPERLINK(CONCATENATE("#metadata!", ADDRESS(INDEX($Y$2:$Y$1001,MATCH(ROWS($W$2:W357),$W$2:$W$1001,0),0), INDEX($AD$1004:$AU$1004,1,MATCH(COLUMNS($AD$1006:AS1006),$AD$1006:$AU$1006,0)))),"Fix")))</f>
        <v xml:space="preserve"> </v>
      </c>
      <c r="R357" s="4" t="str">
        <f ca="1">IF(OR(INDEX($X$2:$X$1001,MATCH(ROWS($W$2:W357),$W$2:$W$1001,0),1)&gt;=100000,INDEX($AD$1005:$AU$1005,1,MATCH(COLUMNS($AD$1006:AT1006),$AD$1006:$AU$1006,0))&gt;=100000), " ",IF(INDEX($AD$2:$AU$1001,MATCH(ROWS($W$2:W357),$W$2:$W$1001,0),MATCH(COLUMNS($AD$1006:AT1006),$AD$1006:$AU$1006,0)), HYPERLINK("#",""), HYPERLINK(CONCATENATE("#metadata!", ADDRESS(INDEX($Y$2:$Y$1001,MATCH(ROWS($W$2:W357),$W$2:$W$1001,0),0), INDEX($AD$1004:$AU$1004,1,MATCH(COLUMNS($AD$1006:AT1006),$AD$1006:$AU$1006,0)))),"Fix")))</f>
        <v xml:space="preserve"> </v>
      </c>
      <c r="S357" s="4" t="str">
        <f ca="1">IF(OR(INDEX($X$2:$X$1001,MATCH(ROWS($W$2:W357),$W$2:$W$1001,0),1)&gt;=100000,INDEX($AD$1005:$AU$1005,1,MATCH(COLUMNS($AD$1006:AU1006),$AD$1006:$AU$1006,0))&gt;=100000), " ",IF(INDEX($AD$2:$AU$1001,MATCH(ROWS($W$2:W357),$W$2:$W$1001,0),MATCH(COLUMNS($AD$1006:AU1006),$AD$1006:$AU$1006,0)), HYPERLINK("#",""), HYPERLINK(CONCATENATE("#metadata!", ADDRESS(INDEX($Y$2:$Y$1001,MATCH(ROWS($W$2:W357),$W$2:$W$1001,0),0), INDEX($AD$1004:$AU$1004,1,MATCH(COLUMNS($AD$1006:AU1006),$AD$1006:$AU$1006,0)))),"Fix")))</f>
        <v xml:space="preserve"> </v>
      </c>
      <c r="W357">
        <v>356</v>
      </c>
      <c r="X357">
        <v>100357</v>
      </c>
      <c r="Y357">
        <v>357</v>
      </c>
      <c r="Z357" t="b">
        <f t="shared" si="5"/>
        <v>1</v>
      </c>
      <c r="AA357" t="b">
        <f>COUNTBLANK(metadata!B357:S357)=COLUMNS(metadata!B357:S357)</f>
        <v>1</v>
      </c>
      <c r="AB357" t="str">
        <v/>
      </c>
      <c r="AD357" t="b">
        <f ca="1">AND(IF(metadata!B357="",FALSE,TRUE),COUNTIF(metadata!B:B, metadata!B357) = 1,NOT(ISERROR(SUMPRODUCT(SEARCH(MID(metadata!B357,ROW(INDIRECT("1:"&amp;LEN(metadata!B357))), 1),"0123456789abcdefghijklmnopqrstuvwxyzABCDEFGHIJKLMNOPQRSTUVWXYZ.")))))</f>
        <v>0</v>
      </c>
      <c r="AE357" t="b">
        <f>OR(AND(IF(metadata!C357="",FALSE,TRUE),OR(EXACT(metadata!C357,"not applicable"),EXACT(metadata!C357,"missing: not collected"),EXACT(metadata!C357,"missing: not provided"),EXACT(metadata!C357,"missing: restricted access"))),AND(IF(metadata!C357="",FALSE,ISNUMBER(VALUE(metadata!C357))),metadata!C357&gt;0))</f>
        <v>0</v>
      </c>
      <c r="AF357" t="b">
        <f>AND(IF(metadata!D357="",FALSE,TRUE),EXACT(metadata!D357,"missing: not provided"))</f>
        <v>0</v>
      </c>
      <c r="AG357" t="b">
        <f>AND(IF(metadata!E357="",FALSE,TRUE),EXACT(metadata!E357,"Host-associated"))</f>
        <v>0</v>
      </c>
      <c r="AH357" t="b">
        <f>AND(IF(metadata!F357="",FALSE,TRUE),OR(EXACT(metadata!F357,"Animal"),EXACT(metadata!F357,"Fungus"),EXACT(metadata!F357,"Plant")))</f>
        <v>0</v>
      </c>
      <c r="AI357" t="b">
        <f>AND(IF(metadata!G357="",FALSE,TRUE),OR(EXACT(metadata!G357,"Plant secretion"),EXACT(metadata!G357,"Plant rhizosphere"),EXACT(metadata!G357,"Plant surface"),EXACT(metadata!G357,"Plant corpus"),EXACT(metadata!G357,"Fungus surface"),EXACT(metadata!G357,"Fungus corpus"),EXACT(metadata!G357,"Animal surface"),EXACT(metadata!G357,"Animal proximal gut"),EXACT(metadata!G357,"Animal corpus"),EXACT(metadata!G357,"Animal distal gut"),EXACT(metadata!G357,"Animal secretion")))</f>
        <v>0</v>
      </c>
      <c r="AJ357" t="b">
        <f>OR(AND(IF(metadata!H357="",FALSE,TRUE),OR(EXACT(metadata!H357,"missing: not collected"),EXACT(metadata!H357,"missing: not provided"),EXACT(metadata!H357,"missing: restricted access"))),AND(IF(metadata!H357="",FALSE,TRUE),OR(EXACT(metadata!H357,"organism-associated habitat"),EXACT(metadata!H357,"plant-associated habitat"),EXACT(metadata!H357,"animal-associated habitat"),EXACT(metadata!H357,"insecta-associated habitat"),EXACT(metadata!H357,"mammalia-associated habitat"),EXACT(metadata!H357,"human-associated habitat"),EXACT(metadata!H357,"livestock-associated habitat"))))</f>
        <v>0</v>
      </c>
      <c r="AK357" t="b">
        <f>AND(IF(metadata!I357="",FALSE,TRUE),EXACT(metadata!I357,"host-associated"))</f>
        <v>0</v>
      </c>
      <c r="AL357" t="b">
        <f>OR(AND(IF(metadata!J357="",FALSE,TRUE),OR(EXACT(metadata!J357,"not applicable"),EXACT(metadata!J357,"missing: not collected"),EXACT(metadata!J357,"missing: not provided"),EXACT(metadata!J357,"missing: restricted access"))),AND(IF(metadata!J357="",FALSE,ISNUMBER(VALUE(metadata!J357))),metadata!J357&gt;0))</f>
        <v>0</v>
      </c>
      <c r="AM357" t="b">
        <f>AND(IF(metadata!K357="",FALSE,TRUE),EXACT(metadata!K357,"missing: not provided"))</f>
        <v>0</v>
      </c>
      <c r="AN357" t="b">
        <f>IF(metadata!L357="",FALSE,TRUE)</f>
        <v>0</v>
      </c>
      <c r="AO357" t="b">
        <f>IF(metadata!M357="",FALSE,TRUE)</f>
        <v>0</v>
      </c>
      <c r="AP357" t="b">
        <f>OR(AND(IF(metadata!N357="",FALSE,TRUE),OR(EXACT(metadata!N357,"not applicable"),EXACT(metadata!N357,"missing: not collected"),EXACT(metadata!N357,"missing: not provided"))),AND(IF(metadata!N357="",FALSE,IF(ISERROR(INT(metadata!N357)),FALSE,INT(metadata!N357)=metadata!N357)),metadata!N357&gt;0))</f>
        <v>0</v>
      </c>
      <c r="AQ357" t="b">
        <f>AND(IF(metadata!O357="",FALSE,TRUE),EXACT(metadata!O357,"Not applicable"))</f>
        <v>0</v>
      </c>
      <c r="AR357" t="b">
        <f>OR(AND(IF(metadata!P357="",FALSE,TRUE),OR(EXACT(metadata!P357,"not applicable"),EXACT(metadata!P357,"missing: not collected"),EXACT(metadata!P357,"missing: not provided"),EXACT(metadata!P357,"missing: restricted access"))),IF(metadata!P357="",FALSE,IF(ISERROR(INT(metadata!P357)),FALSE,INT(metadata!P357)=metadata!P357)))</f>
        <v>0</v>
      </c>
      <c r="AS357" t="b">
        <f>AND(IF(metadata!Q357="",FALSE,TRUE),EXACT(metadata!Q357,"Not applicable"))</f>
        <v>0</v>
      </c>
      <c r="AT357" t="b">
        <f>OR(AND(IF(metadata!R357="",FALSE,TRUE),OR(EXACT(metadata!R357,"not applicable"),EXACT(metadata!R357,"missing: not collected"),EXACT(metadata!R357,"missing: not provided"),EXACT(metadata!R357,"missing: restricted access"))),AND(IF(metadata!R357="",FALSE,ISNUMBER(VALUE(metadata!R357))),metadata!R357&gt;0))</f>
        <v>0</v>
      </c>
      <c r="AU357" t="b">
        <f>AND(IF(metadata!S357="",FALSE,TRUE),EXACT(metadata!S357,"missing: not provided"))</f>
        <v>0</v>
      </c>
    </row>
    <row r="358" spans="1:47" x14ac:dyDescent="0.2">
      <c r="A358" s="5" t="str">
        <f ca="1">IF(B358=" "," ",HYPERLINK(CONCATENATE("#metadata!",ADDRESS(INDEX($Y$2:$Y$1001,MATCH(ROWS($W$2:W358),$W$2:$W$1001,0),0),1)),INDEX($AB$2:$AB$1001,MATCH(ROWS($W$2:W358),$W$2:$W$1001,0),0)))</f>
        <v xml:space="preserve"> </v>
      </c>
      <c r="B358" s="4" t="str">
        <f ca="1">IF(OR(INDEX($X$2:$X$1001,MATCH(ROWS($W$2:W358),$W$2:$W$1001,0),1)&gt;=100000,INDEX($AD$1005:$AU$1005,1,MATCH(COLUMNS($AD$1006:AD1006),$AD$1006:$AU$1006,0))&gt;=100000), " ",IF(INDEX($AD$2:$AU$1001,MATCH(ROWS($W$2:W358),$W$2:$W$1001,0),MATCH(COLUMNS($AD$1006:AD1006),$AD$1006:$AU$1006,0)), HYPERLINK("#",""), HYPERLINK(CONCATENATE("#metadata!", ADDRESS(INDEX($Y$2:$Y$1001,MATCH(ROWS($W$2:W358),$W$2:$W$1001,0),0), INDEX($AD$1004:$AU$1004,1,MATCH(COLUMNS($AD$1006:AD1006),$AD$1006:$AU$1006,0)))),"Fix")))</f>
        <v xml:space="preserve"> </v>
      </c>
      <c r="C358" s="4" t="str">
        <f ca="1">IF(OR(INDEX($X$2:$X$1001,MATCH(ROWS($W$2:W358),$W$2:$W$1001,0),1)&gt;=100000,INDEX($AD$1005:$AU$1005,1,MATCH(COLUMNS($AD$1006:AE1006),$AD$1006:$AU$1006,0))&gt;=100000), " ",IF(INDEX($AD$2:$AU$1001,MATCH(ROWS($W$2:W358),$W$2:$W$1001,0),MATCH(COLUMNS($AD$1006:AE1006),$AD$1006:$AU$1006,0)), HYPERLINK("#",""), HYPERLINK(CONCATENATE("#metadata!", ADDRESS(INDEX($Y$2:$Y$1001,MATCH(ROWS($W$2:W358),$W$2:$W$1001,0),0), INDEX($AD$1004:$AU$1004,1,MATCH(COLUMNS($AD$1006:AE1006),$AD$1006:$AU$1006,0)))),"Fix")))</f>
        <v xml:space="preserve"> </v>
      </c>
      <c r="D358" s="4" t="str">
        <f ca="1">IF(OR(INDEX($X$2:$X$1001,MATCH(ROWS($W$2:W358),$W$2:$W$1001,0),1)&gt;=100000,INDEX($AD$1005:$AU$1005,1,MATCH(COLUMNS($AD$1006:AF1006),$AD$1006:$AU$1006,0))&gt;=100000), " ",IF(INDEX($AD$2:$AU$1001,MATCH(ROWS($W$2:W358),$W$2:$W$1001,0),MATCH(COLUMNS($AD$1006:AF1006),$AD$1006:$AU$1006,0)), HYPERLINK("#",""), HYPERLINK(CONCATENATE("#metadata!", ADDRESS(INDEX($Y$2:$Y$1001,MATCH(ROWS($W$2:W358),$W$2:$W$1001,0),0), INDEX($AD$1004:$AU$1004,1,MATCH(COLUMNS($AD$1006:AF1006),$AD$1006:$AU$1006,0)))),"Fix")))</f>
        <v xml:space="preserve"> </v>
      </c>
      <c r="E358" s="4" t="str">
        <f ca="1">IF(OR(INDEX($X$2:$X$1001,MATCH(ROWS($W$2:W358),$W$2:$W$1001,0),1)&gt;=100000,INDEX($AD$1005:$AU$1005,1,MATCH(COLUMNS($AD$1006:AG1006),$AD$1006:$AU$1006,0))&gt;=100000), " ",IF(INDEX($AD$2:$AU$1001,MATCH(ROWS($W$2:W358),$W$2:$W$1001,0),MATCH(COLUMNS($AD$1006:AG1006),$AD$1006:$AU$1006,0)), HYPERLINK("#",""), HYPERLINK(CONCATENATE("#metadata!", ADDRESS(INDEX($Y$2:$Y$1001,MATCH(ROWS($W$2:W358),$W$2:$W$1001,0),0), INDEX($AD$1004:$AU$1004,1,MATCH(COLUMNS($AD$1006:AG1006),$AD$1006:$AU$1006,0)))),"Fix")))</f>
        <v xml:space="preserve"> </v>
      </c>
      <c r="F358" s="4" t="str">
        <f ca="1">IF(OR(INDEX($X$2:$X$1001,MATCH(ROWS($W$2:W358),$W$2:$W$1001,0),1)&gt;=100000,INDEX($AD$1005:$AU$1005,1,MATCH(COLUMNS($AD$1006:AH1006),$AD$1006:$AU$1006,0))&gt;=100000), " ",IF(INDEX($AD$2:$AU$1001,MATCH(ROWS($W$2:W358),$W$2:$W$1001,0),MATCH(COLUMNS($AD$1006:AH1006),$AD$1006:$AU$1006,0)), HYPERLINK("#",""), HYPERLINK(CONCATENATE("#metadata!", ADDRESS(INDEX($Y$2:$Y$1001,MATCH(ROWS($W$2:W358),$W$2:$W$1001,0),0), INDEX($AD$1004:$AU$1004,1,MATCH(COLUMNS($AD$1006:AH1006),$AD$1006:$AU$1006,0)))),"Fix")))</f>
        <v xml:space="preserve"> </v>
      </c>
      <c r="G358" s="4" t="str">
        <f ca="1">IF(OR(INDEX($X$2:$X$1001,MATCH(ROWS($W$2:W358),$W$2:$W$1001,0),1)&gt;=100000,INDEX($AD$1005:$AU$1005,1,MATCH(COLUMNS($AD$1006:AI1006),$AD$1006:$AU$1006,0))&gt;=100000), " ",IF(INDEX($AD$2:$AU$1001,MATCH(ROWS($W$2:W358),$W$2:$W$1001,0),MATCH(COLUMNS($AD$1006:AI1006),$AD$1006:$AU$1006,0)), HYPERLINK("#",""), HYPERLINK(CONCATENATE("#metadata!", ADDRESS(INDEX($Y$2:$Y$1001,MATCH(ROWS($W$2:W358),$W$2:$W$1001,0),0), INDEX($AD$1004:$AU$1004,1,MATCH(COLUMNS($AD$1006:AI1006),$AD$1006:$AU$1006,0)))),"Fix")))</f>
        <v xml:space="preserve"> </v>
      </c>
      <c r="H358" s="4" t="str">
        <f ca="1">IF(OR(INDEX($X$2:$X$1001,MATCH(ROWS($W$2:W358),$W$2:$W$1001,0),1)&gt;=100000,INDEX($AD$1005:$AU$1005,1,MATCH(COLUMNS($AD$1006:AJ1006),$AD$1006:$AU$1006,0))&gt;=100000), " ",IF(INDEX($AD$2:$AU$1001,MATCH(ROWS($W$2:W358),$W$2:$W$1001,0),MATCH(COLUMNS($AD$1006:AJ1006),$AD$1006:$AU$1006,0)), HYPERLINK("#",""), HYPERLINK(CONCATENATE("#metadata!", ADDRESS(INDEX($Y$2:$Y$1001,MATCH(ROWS($W$2:W358),$W$2:$W$1001,0),0), INDEX($AD$1004:$AU$1004,1,MATCH(COLUMNS($AD$1006:AJ1006),$AD$1006:$AU$1006,0)))),"Fix")))</f>
        <v xml:space="preserve"> </v>
      </c>
      <c r="I358" s="4" t="str">
        <f ca="1">IF(OR(INDEX($X$2:$X$1001,MATCH(ROWS($W$2:W358),$W$2:$W$1001,0),1)&gt;=100000,INDEX($AD$1005:$AU$1005,1,MATCH(COLUMNS($AD$1006:AK1006),$AD$1006:$AU$1006,0))&gt;=100000), " ",IF(INDEX($AD$2:$AU$1001,MATCH(ROWS($W$2:W358),$W$2:$W$1001,0),MATCH(COLUMNS($AD$1006:AK1006),$AD$1006:$AU$1006,0)), HYPERLINK("#",""), HYPERLINK(CONCATENATE("#metadata!", ADDRESS(INDEX($Y$2:$Y$1001,MATCH(ROWS($W$2:W358),$W$2:$W$1001,0),0), INDEX($AD$1004:$AU$1004,1,MATCH(COLUMNS($AD$1006:AK1006),$AD$1006:$AU$1006,0)))),"Fix")))</f>
        <v xml:space="preserve"> </v>
      </c>
      <c r="J358" s="4" t="str">
        <f ca="1">IF(OR(INDEX($X$2:$X$1001,MATCH(ROWS($W$2:W358),$W$2:$W$1001,0),1)&gt;=100000,INDEX($AD$1005:$AU$1005,1,MATCH(COLUMNS($AD$1006:AL1006),$AD$1006:$AU$1006,0))&gt;=100000), " ",IF(INDEX($AD$2:$AU$1001,MATCH(ROWS($W$2:W358),$W$2:$W$1001,0),MATCH(COLUMNS($AD$1006:AL1006),$AD$1006:$AU$1006,0)), HYPERLINK("#",""), HYPERLINK(CONCATENATE("#metadata!", ADDRESS(INDEX($Y$2:$Y$1001,MATCH(ROWS($W$2:W358),$W$2:$W$1001,0),0), INDEX($AD$1004:$AU$1004,1,MATCH(COLUMNS($AD$1006:AL1006),$AD$1006:$AU$1006,0)))),"Fix")))</f>
        <v xml:space="preserve"> </v>
      </c>
      <c r="K358" s="4" t="str">
        <f ca="1">IF(OR(INDEX($X$2:$X$1001,MATCH(ROWS($W$2:W358),$W$2:$W$1001,0),1)&gt;=100000,INDEX($AD$1005:$AU$1005,1,MATCH(COLUMNS($AD$1006:AM1006),$AD$1006:$AU$1006,0))&gt;=100000), " ",IF(INDEX($AD$2:$AU$1001,MATCH(ROWS($W$2:W358),$W$2:$W$1001,0),MATCH(COLUMNS($AD$1006:AM1006),$AD$1006:$AU$1006,0)), HYPERLINK("#",""), HYPERLINK(CONCATENATE("#metadata!", ADDRESS(INDEX($Y$2:$Y$1001,MATCH(ROWS($W$2:W358),$W$2:$W$1001,0),0), INDEX($AD$1004:$AU$1004,1,MATCH(COLUMNS($AD$1006:AM1006),$AD$1006:$AU$1006,0)))),"Fix")))</f>
        <v xml:space="preserve"> </v>
      </c>
      <c r="L358" s="4" t="str">
        <f ca="1">IF(OR(INDEX($X$2:$X$1001,MATCH(ROWS($W$2:W358),$W$2:$W$1001,0),1)&gt;=100000,INDEX($AD$1005:$AU$1005,1,MATCH(COLUMNS($AD$1006:AN1006),$AD$1006:$AU$1006,0))&gt;=100000), " ",IF(INDEX($AD$2:$AU$1001,MATCH(ROWS($W$2:W358),$W$2:$W$1001,0),MATCH(COLUMNS($AD$1006:AN1006),$AD$1006:$AU$1006,0)), HYPERLINK("#",""), HYPERLINK(CONCATENATE("#metadata!", ADDRESS(INDEX($Y$2:$Y$1001,MATCH(ROWS($W$2:W358),$W$2:$W$1001,0),0), INDEX($AD$1004:$AU$1004,1,MATCH(COLUMNS($AD$1006:AN1006),$AD$1006:$AU$1006,0)))),"Fix")))</f>
        <v xml:space="preserve"> </v>
      </c>
      <c r="M358" s="4" t="str">
        <f ca="1">IF(OR(INDEX($X$2:$X$1001,MATCH(ROWS($W$2:W358),$W$2:$W$1001,0),1)&gt;=100000,INDEX($AD$1005:$AU$1005,1,MATCH(COLUMNS($AD$1006:AO1006),$AD$1006:$AU$1006,0))&gt;=100000), " ",IF(INDEX($AD$2:$AU$1001,MATCH(ROWS($W$2:W358),$W$2:$W$1001,0),MATCH(COLUMNS($AD$1006:AO1006),$AD$1006:$AU$1006,0)), HYPERLINK("#",""), HYPERLINK(CONCATENATE("#metadata!", ADDRESS(INDEX($Y$2:$Y$1001,MATCH(ROWS($W$2:W358),$W$2:$W$1001,0),0), INDEX($AD$1004:$AU$1004,1,MATCH(COLUMNS($AD$1006:AO1006),$AD$1006:$AU$1006,0)))),"Fix")))</f>
        <v xml:space="preserve"> </v>
      </c>
      <c r="N358" s="4" t="str">
        <f ca="1">IF(OR(INDEX($X$2:$X$1001,MATCH(ROWS($W$2:W358),$W$2:$W$1001,0),1)&gt;=100000,INDEX($AD$1005:$AU$1005,1,MATCH(COLUMNS($AD$1006:AP1006),$AD$1006:$AU$1006,0))&gt;=100000), " ",IF(INDEX($AD$2:$AU$1001,MATCH(ROWS($W$2:W358),$W$2:$W$1001,0),MATCH(COLUMNS($AD$1006:AP1006),$AD$1006:$AU$1006,0)), HYPERLINK("#",""), HYPERLINK(CONCATENATE("#metadata!", ADDRESS(INDEX($Y$2:$Y$1001,MATCH(ROWS($W$2:W358),$W$2:$W$1001,0),0), INDEX($AD$1004:$AU$1004,1,MATCH(COLUMNS($AD$1006:AP1006),$AD$1006:$AU$1006,0)))),"Fix")))</f>
        <v xml:space="preserve"> </v>
      </c>
      <c r="O358" s="4" t="str">
        <f ca="1">IF(OR(INDEX($X$2:$X$1001,MATCH(ROWS($W$2:W358),$W$2:$W$1001,0),1)&gt;=100000,INDEX($AD$1005:$AU$1005,1,MATCH(COLUMNS($AD$1006:AQ1006),$AD$1006:$AU$1006,0))&gt;=100000), " ",IF(INDEX($AD$2:$AU$1001,MATCH(ROWS($W$2:W358),$W$2:$W$1001,0),MATCH(COLUMNS($AD$1006:AQ1006),$AD$1006:$AU$1006,0)), HYPERLINK("#",""), HYPERLINK(CONCATENATE("#metadata!", ADDRESS(INDEX($Y$2:$Y$1001,MATCH(ROWS($W$2:W358),$W$2:$W$1001,0),0), INDEX($AD$1004:$AU$1004,1,MATCH(COLUMNS($AD$1006:AQ1006),$AD$1006:$AU$1006,0)))),"Fix")))</f>
        <v xml:space="preserve"> </v>
      </c>
      <c r="P358" s="4" t="str">
        <f ca="1">IF(OR(INDEX($X$2:$X$1001,MATCH(ROWS($W$2:W358),$W$2:$W$1001,0),1)&gt;=100000,INDEX($AD$1005:$AU$1005,1,MATCH(COLUMNS($AD$1006:AR1006),$AD$1006:$AU$1006,0))&gt;=100000), " ",IF(INDEX($AD$2:$AU$1001,MATCH(ROWS($W$2:W358),$W$2:$W$1001,0),MATCH(COLUMNS($AD$1006:AR1006),$AD$1006:$AU$1006,0)), HYPERLINK("#",""), HYPERLINK(CONCATENATE("#metadata!", ADDRESS(INDEX($Y$2:$Y$1001,MATCH(ROWS($W$2:W358),$W$2:$W$1001,0),0), INDEX($AD$1004:$AU$1004,1,MATCH(COLUMNS($AD$1006:AR1006),$AD$1006:$AU$1006,0)))),"Fix")))</f>
        <v xml:space="preserve"> </v>
      </c>
      <c r="Q358" s="4" t="str">
        <f ca="1">IF(OR(INDEX($X$2:$X$1001,MATCH(ROWS($W$2:W358),$W$2:$W$1001,0),1)&gt;=100000,INDEX($AD$1005:$AU$1005,1,MATCH(COLUMNS($AD$1006:AS1006),$AD$1006:$AU$1006,0))&gt;=100000), " ",IF(INDEX($AD$2:$AU$1001,MATCH(ROWS($W$2:W358),$W$2:$W$1001,0),MATCH(COLUMNS($AD$1006:AS1006),$AD$1006:$AU$1006,0)), HYPERLINK("#",""), HYPERLINK(CONCATENATE("#metadata!", ADDRESS(INDEX($Y$2:$Y$1001,MATCH(ROWS($W$2:W358),$W$2:$W$1001,0),0), INDEX($AD$1004:$AU$1004,1,MATCH(COLUMNS($AD$1006:AS1006),$AD$1006:$AU$1006,0)))),"Fix")))</f>
        <v xml:space="preserve"> </v>
      </c>
      <c r="R358" s="4" t="str">
        <f ca="1">IF(OR(INDEX($X$2:$X$1001,MATCH(ROWS($W$2:W358),$W$2:$W$1001,0),1)&gt;=100000,INDEX($AD$1005:$AU$1005,1,MATCH(COLUMNS($AD$1006:AT1006),$AD$1006:$AU$1006,0))&gt;=100000), " ",IF(INDEX($AD$2:$AU$1001,MATCH(ROWS($W$2:W358),$W$2:$W$1001,0),MATCH(COLUMNS($AD$1006:AT1006),$AD$1006:$AU$1006,0)), HYPERLINK("#",""), HYPERLINK(CONCATENATE("#metadata!", ADDRESS(INDEX($Y$2:$Y$1001,MATCH(ROWS($W$2:W358),$W$2:$W$1001,0),0), INDEX($AD$1004:$AU$1004,1,MATCH(COLUMNS($AD$1006:AT1006),$AD$1006:$AU$1006,0)))),"Fix")))</f>
        <v xml:space="preserve"> </v>
      </c>
      <c r="S358" s="4" t="str">
        <f ca="1">IF(OR(INDEX($X$2:$X$1001,MATCH(ROWS($W$2:W358),$W$2:$W$1001,0),1)&gt;=100000,INDEX($AD$1005:$AU$1005,1,MATCH(COLUMNS($AD$1006:AU1006),$AD$1006:$AU$1006,0))&gt;=100000), " ",IF(INDEX($AD$2:$AU$1001,MATCH(ROWS($W$2:W358),$W$2:$W$1001,0),MATCH(COLUMNS($AD$1006:AU1006),$AD$1006:$AU$1006,0)), HYPERLINK("#",""), HYPERLINK(CONCATENATE("#metadata!", ADDRESS(INDEX($Y$2:$Y$1001,MATCH(ROWS($W$2:W358),$W$2:$W$1001,0),0), INDEX($AD$1004:$AU$1004,1,MATCH(COLUMNS($AD$1006:AU1006),$AD$1006:$AU$1006,0)))),"Fix")))</f>
        <v xml:space="preserve"> </v>
      </c>
      <c r="W358">
        <v>357</v>
      </c>
      <c r="X358">
        <v>100358</v>
      </c>
      <c r="Y358">
        <v>358</v>
      </c>
      <c r="Z358" t="b">
        <f t="shared" si="5"/>
        <v>1</v>
      </c>
      <c r="AA358" t="b">
        <f>COUNTBLANK(metadata!B358:S358)=COLUMNS(metadata!B358:S358)</f>
        <v>1</v>
      </c>
      <c r="AB358" t="str">
        <v/>
      </c>
      <c r="AD358" t="b">
        <f ca="1">AND(IF(metadata!B358="",FALSE,TRUE),COUNTIF(metadata!B:B, metadata!B358) = 1,NOT(ISERROR(SUMPRODUCT(SEARCH(MID(metadata!B358,ROW(INDIRECT("1:"&amp;LEN(metadata!B358))), 1),"0123456789abcdefghijklmnopqrstuvwxyzABCDEFGHIJKLMNOPQRSTUVWXYZ.")))))</f>
        <v>0</v>
      </c>
      <c r="AE358" t="b">
        <f>OR(AND(IF(metadata!C358="",FALSE,TRUE),OR(EXACT(metadata!C358,"not applicable"),EXACT(metadata!C358,"missing: not collected"),EXACT(metadata!C358,"missing: not provided"),EXACT(metadata!C358,"missing: restricted access"))),AND(IF(metadata!C358="",FALSE,ISNUMBER(VALUE(metadata!C358))),metadata!C358&gt;0))</f>
        <v>0</v>
      </c>
      <c r="AF358" t="b">
        <f>AND(IF(metadata!D358="",FALSE,TRUE),EXACT(metadata!D358,"missing: not provided"))</f>
        <v>0</v>
      </c>
      <c r="AG358" t="b">
        <f>AND(IF(metadata!E358="",FALSE,TRUE),EXACT(metadata!E358,"Host-associated"))</f>
        <v>0</v>
      </c>
      <c r="AH358" t="b">
        <f>AND(IF(metadata!F358="",FALSE,TRUE),OR(EXACT(metadata!F358,"Animal"),EXACT(metadata!F358,"Fungus"),EXACT(metadata!F358,"Plant")))</f>
        <v>0</v>
      </c>
      <c r="AI358" t="b">
        <f>AND(IF(metadata!G358="",FALSE,TRUE),OR(EXACT(metadata!G358,"Plant secretion"),EXACT(metadata!G358,"Plant rhizosphere"),EXACT(metadata!G358,"Plant surface"),EXACT(metadata!G358,"Plant corpus"),EXACT(metadata!G358,"Fungus surface"),EXACT(metadata!G358,"Fungus corpus"),EXACT(metadata!G358,"Animal surface"),EXACT(metadata!G358,"Animal proximal gut"),EXACT(metadata!G358,"Animal corpus"),EXACT(metadata!G358,"Animal distal gut"),EXACT(metadata!G358,"Animal secretion")))</f>
        <v>0</v>
      </c>
      <c r="AJ358" t="b">
        <f>OR(AND(IF(metadata!H358="",FALSE,TRUE),OR(EXACT(metadata!H358,"missing: not collected"),EXACT(metadata!H358,"missing: not provided"),EXACT(metadata!H358,"missing: restricted access"))),AND(IF(metadata!H358="",FALSE,TRUE),OR(EXACT(metadata!H358,"organism-associated habitat"),EXACT(metadata!H358,"plant-associated habitat"),EXACT(metadata!H358,"animal-associated habitat"),EXACT(metadata!H358,"insecta-associated habitat"),EXACT(metadata!H358,"mammalia-associated habitat"),EXACT(metadata!H358,"human-associated habitat"),EXACT(metadata!H358,"livestock-associated habitat"))))</f>
        <v>0</v>
      </c>
      <c r="AK358" t="b">
        <f>AND(IF(metadata!I358="",FALSE,TRUE),EXACT(metadata!I358,"host-associated"))</f>
        <v>0</v>
      </c>
      <c r="AL358" t="b">
        <f>OR(AND(IF(metadata!J358="",FALSE,TRUE),OR(EXACT(metadata!J358,"not applicable"),EXACT(metadata!J358,"missing: not collected"),EXACT(metadata!J358,"missing: not provided"),EXACT(metadata!J358,"missing: restricted access"))),AND(IF(metadata!J358="",FALSE,ISNUMBER(VALUE(metadata!J358))),metadata!J358&gt;0))</f>
        <v>0</v>
      </c>
      <c r="AM358" t="b">
        <f>AND(IF(metadata!K358="",FALSE,TRUE),EXACT(metadata!K358,"missing: not provided"))</f>
        <v>0</v>
      </c>
      <c r="AN358" t="b">
        <f>IF(metadata!L358="",FALSE,TRUE)</f>
        <v>0</v>
      </c>
      <c r="AO358" t="b">
        <f>IF(metadata!M358="",FALSE,TRUE)</f>
        <v>0</v>
      </c>
      <c r="AP358" t="b">
        <f>OR(AND(IF(metadata!N358="",FALSE,TRUE),OR(EXACT(metadata!N358,"not applicable"),EXACT(metadata!N358,"missing: not collected"),EXACT(metadata!N358,"missing: not provided"))),AND(IF(metadata!N358="",FALSE,IF(ISERROR(INT(metadata!N358)),FALSE,INT(metadata!N358)=metadata!N358)),metadata!N358&gt;0))</f>
        <v>0</v>
      </c>
      <c r="AQ358" t="b">
        <f>AND(IF(metadata!O358="",FALSE,TRUE),EXACT(metadata!O358,"Not applicable"))</f>
        <v>0</v>
      </c>
      <c r="AR358" t="b">
        <f>OR(AND(IF(metadata!P358="",FALSE,TRUE),OR(EXACT(metadata!P358,"not applicable"),EXACT(metadata!P358,"missing: not collected"),EXACT(metadata!P358,"missing: not provided"),EXACT(metadata!P358,"missing: restricted access"))),IF(metadata!P358="",FALSE,IF(ISERROR(INT(metadata!P358)),FALSE,INT(metadata!P358)=metadata!P358)))</f>
        <v>0</v>
      </c>
      <c r="AS358" t="b">
        <f>AND(IF(metadata!Q358="",FALSE,TRUE),EXACT(metadata!Q358,"Not applicable"))</f>
        <v>0</v>
      </c>
      <c r="AT358" t="b">
        <f>OR(AND(IF(metadata!R358="",FALSE,TRUE),OR(EXACT(metadata!R358,"not applicable"),EXACT(metadata!R358,"missing: not collected"),EXACT(metadata!R358,"missing: not provided"),EXACT(metadata!R358,"missing: restricted access"))),AND(IF(metadata!R358="",FALSE,ISNUMBER(VALUE(metadata!R358))),metadata!R358&gt;0))</f>
        <v>0</v>
      </c>
      <c r="AU358" t="b">
        <f>AND(IF(metadata!S358="",FALSE,TRUE),EXACT(metadata!S358,"missing: not provided"))</f>
        <v>0</v>
      </c>
    </row>
    <row r="359" spans="1:47" x14ac:dyDescent="0.2">
      <c r="A359" s="5" t="str">
        <f ca="1">IF(B359=" "," ",HYPERLINK(CONCATENATE("#metadata!",ADDRESS(INDEX($Y$2:$Y$1001,MATCH(ROWS($W$2:W359),$W$2:$W$1001,0),0),1)),INDEX($AB$2:$AB$1001,MATCH(ROWS($W$2:W359),$W$2:$W$1001,0),0)))</f>
        <v xml:space="preserve"> </v>
      </c>
      <c r="B359" s="4" t="str">
        <f ca="1">IF(OR(INDEX($X$2:$X$1001,MATCH(ROWS($W$2:W359),$W$2:$W$1001,0),1)&gt;=100000,INDEX($AD$1005:$AU$1005,1,MATCH(COLUMNS($AD$1006:AD1006),$AD$1006:$AU$1006,0))&gt;=100000), " ",IF(INDEX($AD$2:$AU$1001,MATCH(ROWS($W$2:W359),$W$2:$W$1001,0),MATCH(COLUMNS($AD$1006:AD1006),$AD$1006:$AU$1006,0)), HYPERLINK("#",""), HYPERLINK(CONCATENATE("#metadata!", ADDRESS(INDEX($Y$2:$Y$1001,MATCH(ROWS($W$2:W359),$W$2:$W$1001,0),0), INDEX($AD$1004:$AU$1004,1,MATCH(COLUMNS($AD$1006:AD1006),$AD$1006:$AU$1006,0)))),"Fix")))</f>
        <v xml:space="preserve"> </v>
      </c>
      <c r="C359" s="4" t="str">
        <f ca="1">IF(OR(INDEX($X$2:$X$1001,MATCH(ROWS($W$2:W359),$W$2:$W$1001,0),1)&gt;=100000,INDEX($AD$1005:$AU$1005,1,MATCH(COLUMNS($AD$1006:AE1006),$AD$1006:$AU$1006,0))&gt;=100000), " ",IF(INDEX($AD$2:$AU$1001,MATCH(ROWS($W$2:W359),$W$2:$W$1001,0),MATCH(COLUMNS($AD$1006:AE1006),$AD$1006:$AU$1006,0)), HYPERLINK("#",""), HYPERLINK(CONCATENATE("#metadata!", ADDRESS(INDEX($Y$2:$Y$1001,MATCH(ROWS($W$2:W359),$W$2:$W$1001,0),0), INDEX($AD$1004:$AU$1004,1,MATCH(COLUMNS($AD$1006:AE1006),$AD$1006:$AU$1006,0)))),"Fix")))</f>
        <v xml:space="preserve"> </v>
      </c>
      <c r="D359" s="4" t="str">
        <f ca="1">IF(OR(INDEX($X$2:$X$1001,MATCH(ROWS($W$2:W359),$W$2:$W$1001,0),1)&gt;=100000,INDEX($AD$1005:$AU$1005,1,MATCH(COLUMNS($AD$1006:AF1006),$AD$1006:$AU$1006,0))&gt;=100000), " ",IF(INDEX($AD$2:$AU$1001,MATCH(ROWS($W$2:W359),$W$2:$W$1001,0),MATCH(COLUMNS($AD$1006:AF1006),$AD$1006:$AU$1006,0)), HYPERLINK("#",""), HYPERLINK(CONCATENATE("#metadata!", ADDRESS(INDEX($Y$2:$Y$1001,MATCH(ROWS($W$2:W359),$W$2:$W$1001,0),0), INDEX($AD$1004:$AU$1004,1,MATCH(COLUMNS($AD$1006:AF1006),$AD$1006:$AU$1006,0)))),"Fix")))</f>
        <v xml:space="preserve"> </v>
      </c>
      <c r="E359" s="4" t="str">
        <f ca="1">IF(OR(INDEX($X$2:$X$1001,MATCH(ROWS($W$2:W359),$W$2:$W$1001,0),1)&gt;=100000,INDEX($AD$1005:$AU$1005,1,MATCH(COLUMNS($AD$1006:AG1006),$AD$1006:$AU$1006,0))&gt;=100000), " ",IF(INDEX($AD$2:$AU$1001,MATCH(ROWS($W$2:W359),$W$2:$W$1001,0),MATCH(COLUMNS($AD$1006:AG1006),$AD$1006:$AU$1006,0)), HYPERLINK("#",""), HYPERLINK(CONCATENATE("#metadata!", ADDRESS(INDEX($Y$2:$Y$1001,MATCH(ROWS($W$2:W359),$W$2:$W$1001,0),0), INDEX($AD$1004:$AU$1004,1,MATCH(COLUMNS($AD$1006:AG1006),$AD$1006:$AU$1006,0)))),"Fix")))</f>
        <v xml:space="preserve"> </v>
      </c>
      <c r="F359" s="4" t="str">
        <f ca="1">IF(OR(INDEX($X$2:$X$1001,MATCH(ROWS($W$2:W359),$W$2:$W$1001,0),1)&gt;=100000,INDEX($AD$1005:$AU$1005,1,MATCH(COLUMNS($AD$1006:AH1006),$AD$1006:$AU$1006,0))&gt;=100000), " ",IF(INDEX($AD$2:$AU$1001,MATCH(ROWS($W$2:W359),$W$2:$W$1001,0),MATCH(COLUMNS($AD$1006:AH1006),$AD$1006:$AU$1006,0)), HYPERLINK("#",""), HYPERLINK(CONCATENATE("#metadata!", ADDRESS(INDEX($Y$2:$Y$1001,MATCH(ROWS($W$2:W359),$W$2:$W$1001,0),0), INDEX($AD$1004:$AU$1004,1,MATCH(COLUMNS($AD$1006:AH1006),$AD$1006:$AU$1006,0)))),"Fix")))</f>
        <v xml:space="preserve"> </v>
      </c>
      <c r="G359" s="4" t="str">
        <f ca="1">IF(OR(INDEX($X$2:$X$1001,MATCH(ROWS($W$2:W359),$W$2:$W$1001,0),1)&gt;=100000,INDEX($AD$1005:$AU$1005,1,MATCH(COLUMNS($AD$1006:AI1006),$AD$1006:$AU$1006,0))&gt;=100000), " ",IF(INDEX($AD$2:$AU$1001,MATCH(ROWS($W$2:W359),$W$2:$W$1001,0),MATCH(COLUMNS($AD$1006:AI1006),$AD$1006:$AU$1006,0)), HYPERLINK("#",""), HYPERLINK(CONCATENATE("#metadata!", ADDRESS(INDEX($Y$2:$Y$1001,MATCH(ROWS($W$2:W359),$W$2:$W$1001,0),0), INDEX($AD$1004:$AU$1004,1,MATCH(COLUMNS($AD$1006:AI1006),$AD$1006:$AU$1006,0)))),"Fix")))</f>
        <v xml:space="preserve"> </v>
      </c>
      <c r="H359" s="4" t="str">
        <f ca="1">IF(OR(INDEX($X$2:$X$1001,MATCH(ROWS($W$2:W359),$W$2:$W$1001,0),1)&gt;=100000,INDEX($AD$1005:$AU$1005,1,MATCH(COLUMNS($AD$1006:AJ1006),$AD$1006:$AU$1006,0))&gt;=100000), " ",IF(INDEX($AD$2:$AU$1001,MATCH(ROWS($W$2:W359),$W$2:$W$1001,0),MATCH(COLUMNS($AD$1006:AJ1006),$AD$1006:$AU$1006,0)), HYPERLINK("#",""), HYPERLINK(CONCATENATE("#metadata!", ADDRESS(INDEX($Y$2:$Y$1001,MATCH(ROWS($W$2:W359),$W$2:$W$1001,0),0), INDEX($AD$1004:$AU$1004,1,MATCH(COLUMNS($AD$1006:AJ1006),$AD$1006:$AU$1006,0)))),"Fix")))</f>
        <v xml:space="preserve"> </v>
      </c>
      <c r="I359" s="4" t="str">
        <f ca="1">IF(OR(INDEX($X$2:$X$1001,MATCH(ROWS($W$2:W359),$W$2:$W$1001,0),1)&gt;=100000,INDEX($AD$1005:$AU$1005,1,MATCH(COLUMNS($AD$1006:AK1006),$AD$1006:$AU$1006,0))&gt;=100000), " ",IF(INDEX($AD$2:$AU$1001,MATCH(ROWS($W$2:W359),$W$2:$W$1001,0),MATCH(COLUMNS($AD$1006:AK1006),$AD$1006:$AU$1006,0)), HYPERLINK("#",""), HYPERLINK(CONCATENATE("#metadata!", ADDRESS(INDEX($Y$2:$Y$1001,MATCH(ROWS($W$2:W359),$W$2:$W$1001,0),0), INDEX($AD$1004:$AU$1004,1,MATCH(COLUMNS($AD$1006:AK1006),$AD$1006:$AU$1006,0)))),"Fix")))</f>
        <v xml:space="preserve"> </v>
      </c>
      <c r="J359" s="4" t="str">
        <f ca="1">IF(OR(INDEX($X$2:$X$1001,MATCH(ROWS($W$2:W359),$W$2:$W$1001,0),1)&gt;=100000,INDEX($AD$1005:$AU$1005,1,MATCH(COLUMNS($AD$1006:AL1006),$AD$1006:$AU$1006,0))&gt;=100000), " ",IF(INDEX($AD$2:$AU$1001,MATCH(ROWS($W$2:W359),$W$2:$W$1001,0),MATCH(COLUMNS($AD$1006:AL1006),$AD$1006:$AU$1006,0)), HYPERLINK("#",""), HYPERLINK(CONCATENATE("#metadata!", ADDRESS(INDEX($Y$2:$Y$1001,MATCH(ROWS($W$2:W359),$W$2:$W$1001,0),0), INDEX($AD$1004:$AU$1004,1,MATCH(COLUMNS($AD$1006:AL1006),$AD$1006:$AU$1006,0)))),"Fix")))</f>
        <v xml:space="preserve"> </v>
      </c>
      <c r="K359" s="4" t="str">
        <f ca="1">IF(OR(INDEX($X$2:$X$1001,MATCH(ROWS($W$2:W359),$W$2:$W$1001,0),1)&gt;=100000,INDEX($AD$1005:$AU$1005,1,MATCH(COLUMNS($AD$1006:AM1006),$AD$1006:$AU$1006,0))&gt;=100000), " ",IF(INDEX($AD$2:$AU$1001,MATCH(ROWS($W$2:W359),$W$2:$W$1001,0),MATCH(COLUMNS($AD$1006:AM1006),$AD$1006:$AU$1006,0)), HYPERLINK("#",""), HYPERLINK(CONCATENATE("#metadata!", ADDRESS(INDEX($Y$2:$Y$1001,MATCH(ROWS($W$2:W359),$W$2:$W$1001,0),0), INDEX($AD$1004:$AU$1004,1,MATCH(COLUMNS($AD$1006:AM1006),$AD$1006:$AU$1006,0)))),"Fix")))</f>
        <v xml:space="preserve"> </v>
      </c>
      <c r="L359" s="4" t="str">
        <f ca="1">IF(OR(INDEX($X$2:$X$1001,MATCH(ROWS($W$2:W359),$W$2:$W$1001,0),1)&gt;=100000,INDEX($AD$1005:$AU$1005,1,MATCH(COLUMNS($AD$1006:AN1006),$AD$1006:$AU$1006,0))&gt;=100000), " ",IF(INDEX($AD$2:$AU$1001,MATCH(ROWS($W$2:W359),$W$2:$W$1001,0),MATCH(COLUMNS($AD$1006:AN1006),$AD$1006:$AU$1006,0)), HYPERLINK("#",""), HYPERLINK(CONCATENATE("#metadata!", ADDRESS(INDEX($Y$2:$Y$1001,MATCH(ROWS($W$2:W359),$W$2:$W$1001,0),0), INDEX($AD$1004:$AU$1004,1,MATCH(COLUMNS($AD$1006:AN1006),$AD$1006:$AU$1006,0)))),"Fix")))</f>
        <v xml:space="preserve"> </v>
      </c>
      <c r="M359" s="4" t="str">
        <f ca="1">IF(OR(INDEX($X$2:$X$1001,MATCH(ROWS($W$2:W359),$W$2:$W$1001,0),1)&gt;=100000,INDEX($AD$1005:$AU$1005,1,MATCH(COLUMNS($AD$1006:AO1006),$AD$1006:$AU$1006,0))&gt;=100000), " ",IF(INDEX($AD$2:$AU$1001,MATCH(ROWS($W$2:W359),$W$2:$W$1001,0),MATCH(COLUMNS($AD$1006:AO1006),$AD$1006:$AU$1006,0)), HYPERLINK("#",""), HYPERLINK(CONCATENATE("#metadata!", ADDRESS(INDEX($Y$2:$Y$1001,MATCH(ROWS($W$2:W359),$W$2:$W$1001,0),0), INDEX($AD$1004:$AU$1004,1,MATCH(COLUMNS($AD$1006:AO1006),$AD$1006:$AU$1006,0)))),"Fix")))</f>
        <v xml:space="preserve"> </v>
      </c>
      <c r="N359" s="4" t="str">
        <f ca="1">IF(OR(INDEX($X$2:$X$1001,MATCH(ROWS($W$2:W359),$W$2:$W$1001,0),1)&gt;=100000,INDEX($AD$1005:$AU$1005,1,MATCH(COLUMNS($AD$1006:AP1006),$AD$1006:$AU$1006,0))&gt;=100000), " ",IF(INDEX($AD$2:$AU$1001,MATCH(ROWS($W$2:W359),$W$2:$W$1001,0),MATCH(COLUMNS($AD$1006:AP1006),$AD$1006:$AU$1006,0)), HYPERLINK("#",""), HYPERLINK(CONCATENATE("#metadata!", ADDRESS(INDEX($Y$2:$Y$1001,MATCH(ROWS($W$2:W359),$W$2:$W$1001,0),0), INDEX($AD$1004:$AU$1004,1,MATCH(COLUMNS($AD$1006:AP1006),$AD$1006:$AU$1006,0)))),"Fix")))</f>
        <v xml:space="preserve"> </v>
      </c>
      <c r="O359" s="4" t="str">
        <f ca="1">IF(OR(INDEX($X$2:$X$1001,MATCH(ROWS($W$2:W359),$W$2:$W$1001,0),1)&gt;=100000,INDEX($AD$1005:$AU$1005,1,MATCH(COLUMNS($AD$1006:AQ1006),$AD$1006:$AU$1006,0))&gt;=100000), " ",IF(INDEX($AD$2:$AU$1001,MATCH(ROWS($W$2:W359),$W$2:$W$1001,0),MATCH(COLUMNS($AD$1006:AQ1006),$AD$1006:$AU$1006,0)), HYPERLINK("#",""), HYPERLINK(CONCATENATE("#metadata!", ADDRESS(INDEX($Y$2:$Y$1001,MATCH(ROWS($W$2:W359),$W$2:$W$1001,0),0), INDEX($AD$1004:$AU$1004,1,MATCH(COLUMNS($AD$1006:AQ1006),$AD$1006:$AU$1006,0)))),"Fix")))</f>
        <v xml:space="preserve"> </v>
      </c>
      <c r="P359" s="4" t="str">
        <f ca="1">IF(OR(INDEX($X$2:$X$1001,MATCH(ROWS($W$2:W359),$W$2:$W$1001,0),1)&gt;=100000,INDEX($AD$1005:$AU$1005,1,MATCH(COLUMNS($AD$1006:AR1006),$AD$1006:$AU$1006,0))&gt;=100000), " ",IF(INDEX($AD$2:$AU$1001,MATCH(ROWS($W$2:W359),$W$2:$W$1001,0),MATCH(COLUMNS($AD$1006:AR1006),$AD$1006:$AU$1006,0)), HYPERLINK("#",""), HYPERLINK(CONCATENATE("#metadata!", ADDRESS(INDEX($Y$2:$Y$1001,MATCH(ROWS($W$2:W359),$W$2:$W$1001,0),0), INDEX($AD$1004:$AU$1004,1,MATCH(COLUMNS($AD$1006:AR1006),$AD$1006:$AU$1006,0)))),"Fix")))</f>
        <v xml:space="preserve"> </v>
      </c>
      <c r="Q359" s="4" t="str">
        <f ca="1">IF(OR(INDEX($X$2:$X$1001,MATCH(ROWS($W$2:W359),$W$2:$W$1001,0),1)&gt;=100000,INDEX($AD$1005:$AU$1005,1,MATCH(COLUMNS($AD$1006:AS1006),$AD$1006:$AU$1006,0))&gt;=100000), " ",IF(INDEX($AD$2:$AU$1001,MATCH(ROWS($W$2:W359),$W$2:$W$1001,0),MATCH(COLUMNS($AD$1006:AS1006),$AD$1006:$AU$1006,0)), HYPERLINK("#",""), HYPERLINK(CONCATENATE("#metadata!", ADDRESS(INDEX($Y$2:$Y$1001,MATCH(ROWS($W$2:W359),$W$2:$W$1001,0),0), INDEX($AD$1004:$AU$1004,1,MATCH(COLUMNS($AD$1006:AS1006),$AD$1006:$AU$1006,0)))),"Fix")))</f>
        <v xml:space="preserve"> </v>
      </c>
      <c r="R359" s="4" t="str">
        <f ca="1">IF(OR(INDEX($X$2:$X$1001,MATCH(ROWS($W$2:W359),$W$2:$W$1001,0),1)&gt;=100000,INDEX($AD$1005:$AU$1005,1,MATCH(COLUMNS($AD$1006:AT1006),$AD$1006:$AU$1006,0))&gt;=100000), " ",IF(INDEX($AD$2:$AU$1001,MATCH(ROWS($W$2:W359),$W$2:$W$1001,0),MATCH(COLUMNS($AD$1006:AT1006),$AD$1006:$AU$1006,0)), HYPERLINK("#",""), HYPERLINK(CONCATENATE("#metadata!", ADDRESS(INDEX($Y$2:$Y$1001,MATCH(ROWS($W$2:W359),$W$2:$W$1001,0),0), INDEX($AD$1004:$AU$1004,1,MATCH(COLUMNS($AD$1006:AT1006),$AD$1006:$AU$1006,0)))),"Fix")))</f>
        <v xml:space="preserve"> </v>
      </c>
      <c r="S359" s="4" t="str">
        <f ca="1">IF(OR(INDEX($X$2:$X$1001,MATCH(ROWS($W$2:W359),$W$2:$W$1001,0),1)&gt;=100000,INDEX($AD$1005:$AU$1005,1,MATCH(COLUMNS($AD$1006:AU1006),$AD$1006:$AU$1006,0))&gt;=100000), " ",IF(INDEX($AD$2:$AU$1001,MATCH(ROWS($W$2:W359),$W$2:$W$1001,0),MATCH(COLUMNS($AD$1006:AU1006),$AD$1006:$AU$1006,0)), HYPERLINK("#",""), HYPERLINK(CONCATENATE("#metadata!", ADDRESS(INDEX($Y$2:$Y$1001,MATCH(ROWS($W$2:W359),$W$2:$W$1001,0),0), INDEX($AD$1004:$AU$1004,1,MATCH(COLUMNS($AD$1006:AU1006),$AD$1006:$AU$1006,0)))),"Fix")))</f>
        <v xml:space="preserve"> </v>
      </c>
      <c r="W359">
        <v>358</v>
      </c>
      <c r="X359">
        <v>100359</v>
      </c>
      <c r="Y359">
        <v>359</v>
      </c>
      <c r="Z359" t="b">
        <f t="shared" si="5"/>
        <v>1</v>
      </c>
      <c r="AA359" t="b">
        <f>COUNTBLANK(metadata!B359:S359)=COLUMNS(metadata!B359:S359)</f>
        <v>1</v>
      </c>
      <c r="AB359" t="str">
        <v/>
      </c>
      <c r="AD359" t="b">
        <f ca="1">AND(IF(metadata!B359="",FALSE,TRUE),COUNTIF(metadata!B:B, metadata!B359) = 1,NOT(ISERROR(SUMPRODUCT(SEARCH(MID(metadata!B359,ROW(INDIRECT("1:"&amp;LEN(metadata!B359))), 1),"0123456789abcdefghijklmnopqrstuvwxyzABCDEFGHIJKLMNOPQRSTUVWXYZ.")))))</f>
        <v>0</v>
      </c>
      <c r="AE359" t="b">
        <f>OR(AND(IF(metadata!C359="",FALSE,TRUE),OR(EXACT(metadata!C359,"not applicable"),EXACT(metadata!C359,"missing: not collected"),EXACT(metadata!C359,"missing: not provided"),EXACT(metadata!C359,"missing: restricted access"))),AND(IF(metadata!C359="",FALSE,ISNUMBER(VALUE(metadata!C359))),metadata!C359&gt;0))</f>
        <v>0</v>
      </c>
      <c r="AF359" t="b">
        <f>AND(IF(metadata!D359="",FALSE,TRUE),EXACT(metadata!D359,"missing: not provided"))</f>
        <v>0</v>
      </c>
      <c r="AG359" t="b">
        <f>AND(IF(metadata!E359="",FALSE,TRUE),EXACT(metadata!E359,"Host-associated"))</f>
        <v>0</v>
      </c>
      <c r="AH359" t="b">
        <f>AND(IF(metadata!F359="",FALSE,TRUE),OR(EXACT(metadata!F359,"Animal"),EXACT(metadata!F359,"Fungus"),EXACT(metadata!F359,"Plant")))</f>
        <v>0</v>
      </c>
      <c r="AI359" t="b">
        <f>AND(IF(metadata!G359="",FALSE,TRUE),OR(EXACT(metadata!G359,"Plant secretion"),EXACT(metadata!G359,"Plant rhizosphere"),EXACT(metadata!G359,"Plant surface"),EXACT(metadata!G359,"Plant corpus"),EXACT(metadata!G359,"Fungus surface"),EXACT(metadata!G359,"Fungus corpus"),EXACT(metadata!G359,"Animal surface"),EXACT(metadata!G359,"Animal proximal gut"),EXACT(metadata!G359,"Animal corpus"),EXACT(metadata!G359,"Animal distal gut"),EXACT(metadata!G359,"Animal secretion")))</f>
        <v>0</v>
      </c>
      <c r="AJ359" t="b">
        <f>OR(AND(IF(metadata!H359="",FALSE,TRUE),OR(EXACT(metadata!H359,"missing: not collected"),EXACT(metadata!H359,"missing: not provided"),EXACT(metadata!H359,"missing: restricted access"))),AND(IF(metadata!H359="",FALSE,TRUE),OR(EXACT(metadata!H359,"organism-associated habitat"),EXACT(metadata!H359,"plant-associated habitat"),EXACT(metadata!H359,"animal-associated habitat"),EXACT(metadata!H359,"insecta-associated habitat"),EXACT(metadata!H359,"mammalia-associated habitat"),EXACT(metadata!H359,"human-associated habitat"),EXACT(metadata!H359,"livestock-associated habitat"))))</f>
        <v>0</v>
      </c>
      <c r="AK359" t="b">
        <f>AND(IF(metadata!I359="",FALSE,TRUE),EXACT(metadata!I359,"host-associated"))</f>
        <v>0</v>
      </c>
      <c r="AL359" t="b">
        <f>OR(AND(IF(metadata!J359="",FALSE,TRUE),OR(EXACT(metadata!J359,"not applicable"),EXACT(metadata!J359,"missing: not collected"),EXACT(metadata!J359,"missing: not provided"),EXACT(metadata!J359,"missing: restricted access"))),AND(IF(metadata!J359="",FALSE,ISNUMBER(VALUE(metadata!J359))),metadata!J359&gt;0))</f>
        <v>0</v>
      </c>
      <c r="AM359" t="b">
        <f>AND(IF(metadata!K359="",FALSE,TRUE),EXACT(metadata!K359,"missing: not provided"))</f>
        <v>0</v>
      </c>
      <c r="AN359" t="b">
        <f>IF(metadata!L359="",FALSE,TRUE)</f>
        <v>0</v>
      </c>
      <c r="AO359" t="b">
        <f>IF(metadata!M359="",FALSE,TRUE)</f>
        <v>0</v>
      </c>
      <c r="AP359" t="b">
        <f>OR(AND(IF(metadata!N359="",FALSE,TRUE),OR(EXACT(metadata!N359,"not applicable"),EXACT(metadata!N359,"missing: not collected"),EXACT(metadata!N359,"missing: not provided"))),AND(IF(metadata!N359="",FALSE,IF(ISERROR(INT(metadata!N359)),FALSE,INT(metadata!N359)=metadata!N359)),metadata!N359&gt;0))</f>
        <v>0</v>
      </c>
      <c r="AQ359" t="b">
        <f>AND(IF(metadata!O359="",FALSE,TRUE),EXACT(metadata!O359,"Not applicable"))</f>
        <v>0</v>
      </c>
      <c r="AR359" t="b">
        <f>OR(AND(IF(metadata!P359="",FALSE,TRUE),OR(EXACT(metadata!P359,"not applicable"),EXACT(metadata!P359,"missing: not collected"),EXACT(metadata!P359,"missing: not provided"),EXACT(metadata!P359,"missing: restricted access"))),IF(metadata!P359="",FALSE,IF(ISERROR(INT(metadata!P359)),FALSE,INT(metadata!P359)=metadata!P359)))</f>
        <v>0</v>
      </c>
      <c r="AS359" t="b">
        <f>AND(IF(metadata!Q359="",FALSE,TRUE),EXACT(metadata!Q359,"Not applicable"))</f>
        <v>0</v>
      </c>
      <c r="AT359" t="b">
        <f>OR(AND(IF(metadata!R359="",FALSE,TRUE),OR(EXACT(metadata!R359,"not applicable"),EXACT(metadata!R359,"missing: not collected"),EXACT(metadata!R359,"missing: not provided"),EXACT(metadata!R359,"missing: restricted access"))),AND(IF(metadata!R359="",FALSE,ISNUMBER(VALUE(metadata!R359))),metadata!R359&gt;0))</f>
        <v>0</v>
      </c>
      <c r="AU359" t="b">
        <f>AND(IF(metadata!S359="",FALSE,TRUE),EXACT(metadata!S359,"missing: not provided"))</f>
        <v>0</v>
      </c>
    </row>
    <row r="360" spans="1:47" x14ac:dyDescent="0.2">
      <c r="A360" s="5" t="str">
        <f ca="1">IF(B360=" "," ",HYPERLINK(CONCATENATE("#metadata!",ADDRESS(INDEX($Y$2:$Y$1001,MATCH(ROWS($W$2:W360),$W$2:$W$1001,0),0),1)),INDEX($AB$2:$AB$1001,MATCH(ROWS($W$2:W360),$W$2:$W$1001,0),0)))</f>
        <v xml:space="preserve"> </v>
      </c>
      <c r="B360" s="4" t="str">
        <f ca="1">IF(OR(INDEX($X$2:$X$1001,MATCH(ROWS($W$2:W360),$W$2:$W$1001,0),1)&gt;=100000,INDEX($AD$1005:$AU$1005,1,MATCH(COLUMNS($AD$1006:AD1006),$AD$1006:$AU$1006,0))&gt;=100000), " ",IF(INDEX($AD$2:$AU$1001,MATCH(ROWS($W$2:W360),$W$2:$W$1001,0),MATCH(COLUMNS($AD$1006:AD1006),$AD$1006:$AU$1006,0)), HYPERLINK("#",""), HYPERLINK(CONCATENATE("#metadata!", ADDRESS(INDEX($Y$2:$Y$1001,MATCH(ROWS($W$2:W360),$W$2:$W$1001,0),0), INDEX($AD$1004:$AU$1004,1,MATCH(COLUMNS($AD$1006:AD1006),$AD$1006:$AU$1006,0)))),"Fix")))</f>
        <v xml:space="preserve"> </v>
      </c>
      <c r="C360" s="4" t="str">
        <f ca="1">IF(OR(INDEX($X$2:$X$1001,MATCH(ROWS($W$2:W360),$W$2:$W$1001,0),1)&gt;=100000,INDEX($AD$1005:$AU$1005,1,MATCH(COLUMNS($AD$1006:AE1006),$AD$1006:$AU$1006,0))&gt;=100000), " ",IF(INDEX($AD$2:$AU$1001,MATCH(ROWS($W$2:W360),$W$2:$W$1001,0),MATCH(COLUMNS($AD$1006:AE1006),$AD$1006:$AU$1006,0)), HYPERLINK("#",""), HYPERLINK(CONCATENATE("#metadata!", ADDRESS(INDEX($Y$2:$Y$1001,MATCH(ROWS($W$2:W360),$W$2:$W$1001,0),0), INDEX($AD$1004:$AU$1004,1,MATCH(COLUMNS($AD$1006:AE1006),$AD$1006:$AU$1006,0)))),"Fix")))</f>
        <v xml:space="preserve"> </v>
      </c>
      <c r="D360" s="4" t="str">
        <f ca="1">IF(OR(INDEX($X$2:$X$1001,MATCH(ROWS($W$2:W360),$W$2:$W$1001,0),1)&gt;=100000,INDEX($AD$1005:$AU$1005,1,MATCH(COLUMNS($AD$1006:AF1006),$AD$1006:$AU$1006,0))&gt;=100000), " ",IF(INDEX($AD$2:$AU$1001,MATCH(ROWS($W$2:W360),$W$2:$W$1001,0),MATCH(COLUMNS($AD$1006:AF1006),$AD$1006:$AU$1006,0)), HYPERLINK("#",""), HYPERLINK(CONCATENATE("#metadata!", ADDRESS(INDEX($Y$2:$Y$1001,MATCH(ROWS($W$2:W360),$W$2:$W$1001,0),0), INDEX($AD$1004:$AU$1004,1,MATCH(COLUMNS($AD$1006:AF1006),$AD$1006:$AU$1006,0)))),"Fix")))</f>
        <v xml:space="preserve"> </v>
      </c>
      <c r="E360" s="4" t="str">
        <f ca="1">IF(OR(INDEX($X$2:$X$1001,MATCH(ROWS($W$2:W360),$W$2:$W$1001,0),1)&gt;=100000,INDEX($AD$1005:$AU$1005,1,MATCH(COLUMNS($AD$1006:AG1006),$AD$1006:$AU$1006,0))&gt;=100000), " ",IF(INDEX($AD$2:$AU$1001,MATCH(ROWS($W$2:W360),$W$2:$W$1001,0),MATCH(COLUMNS($AD$1006:AG1006),$AD$1006:$AU$1006,0)), HYPERLINK("#",""), HYPERLINK(CONCATENATE("#metadata!", ADDRESS(INDEX($Y$2:$Y$1001,MATCH(ROWS($W$2:W360),$W$2:$W$1001,0),0), INDEX($AD$1004:$AU$1004,1,MATCH(COLUMNS($AD$1006:AG1006),$AD$1006:$AU$1006,0)))),"Fix")))</f>
        <v xml:space="preserve"> </v>
      </c>
      <c r="F360" s="4" t="str">
        <f ca="1">IF(OR(INDEX($X$2:$X$1001,MATCH(ROWS($W$2:W360),$W$2:$W$1001,0),1)&gt;=100000,INDEX($AD$1005:$AU$1005,1,MATCH(COLUMNS($AD$1006:AH1006),$AD$1006:$AU$1006,0))&gt;=100000), " ",IF(INDEX($AD$2:$AU$1001,MATCH(ROWS($W$2:W360),$W$2:$W$1001,0),MATCH(COLUMNS($AD$1006:AH1006),$AD$1006:$AU$1006,0)), HYPERLINK("#",""), HYPERLINK(CONCATENATE("#metadata!", ADDRESS(INDEX($Y$2:$Y$1001,MATCH(ROWS($W$2:W360),$W$2:$W$1001,0),0), INDEX($AD$1004:$AU$1004,1,MATCH(COLUMNS($AD$1006:AH1006),$AD$1006:$AU$1006,0)))),"Fix")))</f>
        <v xml:space="preserve"> </v>
      </c>
      <c r="G360" s="4" t="str">
        <f ca="1">IF(OR(INDEX($X$2:$X$1001,MATCH(ROWS($W$2:W360),$W$2:$W$1001,0),1)&gt;=100000,INDEX($AD$1005:$AU$1005,1,MATCH(COLUMNS($AD$1006:AI1006),$AD$1006:$AU$1006,0))&gt;=100000), " ",IF(INDEX($AD$2:$AU$1001,MATCH(ROWS($W$2:W360),$W$2:$W$1001,0),MATCH(COLUMNS($AD$1006:AI1006),$AD$1006:$AU$1006,0)), HYPERLINK("#",""), HYPERLINK(CONCATENATE("#metadata!", ADDRESS(INDEX($Y$2:$Y$1001,MATCH(ROWS($W$2:W360),$W$2:$W$1001,0),0), INDEX($AD$1004:$AU$1004,1,MATCH(COLUMNS($AD$1006:AI1006),$AD$1006:$AU$1006,0)))),"Fix")))</f>
        <v xml:space="preserve"> </v>
      </c>
      <c r="H360" s="4" t="str">
        <f ca="1">IF(OR(INDEX($X$2:$X$1001,MATCH(ROWS($W$2:W360),$W$2:$W$1001,0),1)&gt;=100000,INDEX($AD$1005:$AU$1005,1,MATCH(COLUMNS($AD$1006:AJ1006),$AD$1006:$AU$1006,0))&gt;=100000), " ",IF(INDEX($AD$2:$AU$1001,MATCH(ROWS($W$2:W360),$W$2:$W$1001,0),MATCH(COLUMNS($AD$1006:AJ1006),$AD$1006:$AU$1006,0)), HYPERLINK("#",""), HYPERLINK(CONCATENATE("#metadata!", ADDRESS(INDEX($Y$2:$Y$1001,MATCH(ROWS($W$2:W360),$W$2:$W$1001,0),0), INDEX($AD$1004:$AU$1004,1,MATCH(COLUMNS($AD$1006:AJ1006),$AD$1006:$AU$1006,0)))),"Fix")))</f>
        <v xml:space="preserve"> </v>
      </c>
      <c r="I360" s="4" t="str">
        <f ca="1">IF(OR(INDEX($X$2:$X$1001,MATCH(ROWS($W$2:W360),$W$2:$W$1001,0),1)&gt;=100000,INDEX($AD$1005:$AU$1005,1,MATCH(COLUMNS($AD$1006:AK1006),$AD$1006:$AU$1006,0))&gt;=100000), " ",IF(INDEX($AD$2:$AU$1001,MATCH(ROWS($W$2:W360),$W$2:$W$1001,0),MATCH(COLUMNS($AD$1006:AK1006),$AD$1006:$AU$1006,0)), HYPERLINK("#",""), HYPERLINK(CONCATENATE("#metadata!", ADDRESS(INDEX($Y$2:$Y$1001,MATCH(ROWS($W$2:W360),$W$2:$W$1001,0),0), INDEX($AD$1004:$AU$1004,1,MATCH(COLUMNS($AD$1006:AK1006),$AD$1006:$AU$1006,0)))),"Fix")))</f>
        <v xml:space="preserve"> </v>
      </c>
      <c r="J360" s="4" t="str">
        <f ca="1">IF(OR(INDEX($X$2:$X$1001,MATCH(ROWS($W$2:W360),$W$2:$W$1001,0),1)&gt;=100000,INDEX($AD$1005:$AU$1005,1,MATCH(COLUMNS($AD$1006:AL1006),$AD$1006:$AU$1006,0))&gt;=100000), " ",IF(INDEX($AD$2:$AU$1001,MATCH(ROWS($W$2:W360),$W$2:$W$1001,0),MATCH(COLUMNS($AD$1006:AL1006),$AD$1006:$AU$1006,0)), HYPERLINK("#",""), HYPERLINK(CONCATENATE("#metadata!", ADDRESS(INDEX($Y$2:$Y$1001,MATCH(ROWS($W$2:W360),$W$2:$W$1001,0),0), INDEX($AD$1004:$AU$1004,1,MATCH(COLUMNS($AD$1006:AL1006),$AD$1006:$AU$1006,0)))),"Fix")))</f>
        <v xml:space="preserve"> </v>
      </c>
      <c r="K360" s="4" t="str">
        <f ca="1">IF(OR(INDEX($X$2:$X$1001,MATCH(ROWS($W$2:W360),$W$2:$W$1001,0),1)&gt;=100000,INDEX($AD$1005:$AU$1005,1,MATCH(COLUMNS($AD$1006:AM1006),$AD$1006:$AU$1006,0))&gt;=100000), " ",IF(INDEX($AD$2:$AU$1001,MATCH(ROWS($W$2:W360),$W$2:$W$1001,0),MATCH(COLUMNS($AD$1006:AM1006),$AD$1006:$AU$1006,0)), HYPERLINK("#",""), HYPERLINK(CONCATENATE("#metadata!", ADDRESS(INDEX($Y$2:$Y$1001,MATCH(ROWS($W$2:W360),$W$2:$W$1001,0),0), INDEX($AD$1004:$AU$1004,1,MATCH(COLUMNS($AD$1006:AM1006),$AD$1006:$AU$1006,0)))),"Fix")))</f>
        <v xml:space="preserve"> </v>
      </c>
      <c r="L360" s="4" t="str">
        <f ca="1">IF(OR(INDEX($X$2:$X$1001,MATCH(ROWS($W$2:W360),$W$2:$W$1001,0),1)&gt;=100000,INDEX($AD$1005:$AU$1005,1,MATCH(COLUMNS($AD$1006:AN1006),$AD$1006:$AU$1006,0))&gt;=100000), " ",IF(INDEX($AD$2:$AU$1001,MATCH(ROWS($W$2:W360),$W$2:$W$1001,0),MATCH(COLUMNS($AD$1006:AN1006),$AD$1006:$AU$1006,0)), HYPERLINK("#",""), HYPERLINK(CONCATENATE("#metadata!", ADDRESS(INDEX($Y$2:$Y$1001,MATCH(ROWS($W$2:W360),$W$2:$W$1001,0),0), INDEX($AD$1004:$AU$1004,1,MATCH(COLUMNS($AD$1006:AN1006),$AD$1006:$AU$1006,0)))),"Fix")))</f>
        <v xml:space="preserve"> </v>
      </c>
      <c r="M360" s="4" t="str">
        <f ca="1">IF(OR(INDEX($X$2:$X$1001,MATCH(ROWS($W$2:W360),$W$2:$W$1001,0),1)&gt;=100000,INDEX($AD$1005:$AU$1005,1,MATCH(COLUMNS($AD$1006:AO1006),$AD$1006:$AU$1006,0))&gt;=100000), " ",IF(INDEX($AD$2:$AU$1001,MATCH(ROWS($W$2:W360),$W$2:$W$1001,0),MATCH(COLUMNS($AD$1006:AO1006),$AD$1006:$AU$1006,0)), HYPERLINK("#",""), HYPERLINK(CONCATENATE("#metadata!", ADDRESS(INDEX($Y$2:$Y$1001,MATCH(ROWS($W$2:W360),$W$2:$W$1001,0),0), INDEX($AD$1004:$AU$1004,1,MATCH(COLUMNS($AD$1006:AO1006),$AD$1006:$AU$1006,0)))),"Fix")))</f>
        <v xml:space="preserve"> </v>
      </c>
      <c r="N360" s="4" t="str">
        <f ca="1">IF(OR(INDEX($X$2:$X$1001,MATCH(ROWS($W$2:W360),$W$2:$W$1001,0),1)&gt;=100000,INDEX($AD$1005:$AU$1005,1,MATCH(COLUMNS($AD$1006:AP1006),$AD$1006:$AU$1006,0))&gt;=100000), " ",IF(INDEX($AD$2:$AU$1001,MATCH(ROWS($W$2:W360),$W$2:$W$1001,0),MATCH(COLUMNS($AD$1006:AP1006),$AD$1006:$AU$1006,0)), HYPERLINK("#",""), HYPERLINK(CONCATENATE("#metadata!", ADDRESS(INDEX($Y$2:$Y$1001,MATCH(ROWS($W$2:W360),$W$2:$W$1001,0),0), INDEX($AD$1004:$AU$1004,1,MATCH(COLUMNS($AD$1006:AP1006),$AD$1006:$AU$1006,0)))),"Fix")))</f>
        <v xml:space="preserve"> </v>
      </c>
      <c r="O360" s="4" t="str">
        <f ca="1">IF(OR(INDEX($X$2:$X$1001,MATCH(ROWS($W$2:W360),$W$2:$W$1001,0),1)&gt;=100000,INDEX($AD$1005:$AU$1005,1,MATCH(COLUMNS($AD$1006:AQ1006),$AD$1006:$AU$1006,0))&gt;=100000), " ",IF(INDEX($AD$2:$AU$1001,MATCH(ROWS($W$2:W360),$W$2:$W$1001,0),MATCH(COLUMNS($AD$1006:AQ1006),$AD$1006:$AU$1006,0)), HYPERLINK("#",""), HYPERLINK(CONCATENATE("#metadata!", ADDRESS(INDEX($Y$2:$Y$1001,MATCH(ROWS($W$2:W360),$W$2:$W$1001,0),0), INDEX($AD$1004:$AU$1004,1,MATCH(COLUMNS($AD$1006:AQ1006),$AD$1006:$AU$1006,0)))),"Fix")))</f>
        <v xml:space="preserve"> </v>
      </c>
      <c r="P360" s="4" t="str">
        <f ca="1">IF(OR(INDEX($X$2:$X$1001,MATCH(ROWS($W$2:W360),$W$2:$W$1001,0),1)&gt;=100000,INDEX($AD$1005:$AU$1005,1,MATCH(COLUMNS($AD$1006:AR1006),$AD$1006:$AU$1006,0))&gt;=100000), " ",IF(INDEX($AD$2:$AU$1001,MATCH(ROWS($W$2:W360),$W$2:$W$1001,0),MATCH(COLUMNS($AD$1006:AR1006),$AD$1006:$AU$1006,0)), HYPERLINK("#",""), HYPERLINK(CONCATENATE("#metadata!", ADDRESS(INDEX($Y$2:$Y$1001,MATCH(ROWS($W$2:W360),$W$2:$W$1001,0),0), INDEX($AD$1004:$AU$1004,1,MATCH(COLUMNS($AD$1006:AR1006),$AD$1006:$AU$1006,0)))),"Fix")))</f>
        <v xml:space="preserve"> </v>
      </c>
      <c r="Q360" s="4" t="str">
        <f ca="1">IF(OR(INDEX($X$2:$X$1001,MATCH(ROWS($W$2:W360),$W$2:$W$1001,0),1)&gt;=100000,INDEX($AD$1005:$AU$1005,1,MATCH(COLUMNS($AD$1006:AS1006),$AD$1006:$AU$1006,0))&gt;=100000), " ",IF(INDEX($AD$2:$AU$1001,MATCH(ROWS($W$2:W360),$W$2:$W$1001,0),MATCH(COLUMNS($AD$1006:AS1006),$AD$1006:$AU$1006,0)), HYPERLINK("#",""), HYPERLINK(CONCATENATE("#metadata!", ADDRESS(INDEX($Y$2:$Y$1001,MATCH(ROWS($W$2:W360),$W$2:$W$1001,0),0), INDEX($AD$1004:$AU$1004,1,MATCH(COLUMNS($AD$1006:AS1006),$AD$1006:$AU$1006,0)))),"Fix")))</f>
        <v xml:space="preserve"> </v>
      </c>
      <c r="R360" s="4" t="str">
        <f ca="1">IF(OR(INDEX($X$2:$X$1001,MATCH(ROWS($W$2:W360),$W$2:$W$1001,0),1)&gt;=100000,INDEX($AD$1005:$AU$1005,1,MATCH(COLUMNS($AD$1006:AT1006),$AD$1006:$AU$1006,0))&gt;=100000), " ",IF(INDEX($AD$2:$AU$1001,MATCH(ROWS($W$2:W360),$W$2:$W$1001,0),MATCH(COLUMNS($AD$1006:AT1006),$AD$1006:$AU$1006,0)), HYPERLINK("#",""), HYPERLINK(CONCATENATE("#metadata!", ADDRESS(INDEX($Y$2:$Y$1001,MATCH(ROWS($W$2:W360),$W$2:$W$1001,0),0), INDEX($AD$1004:$AU$1004,1,MATCH(COLUMNS($AD$1006:AT1006),$AD$1006:$AU$1006,0)))),"Fix")))</f>
        <v xml:space="preserve"> </v>
      </c>
      <c r="S360" s="4" t="str">
        <f ca="1">IF(OR(INDEX($X$2:$X$1001,MATCH(ROWS($W$2:W360),$W$2:$W$1001,0),1)&gt;=100000,INDEX($AD$1005:$AU$1005,1,MATCH(COLUMNS($AD$1006:AU1006),$AD$1006:$AU$1006,0))&gt;=100000), " ",IF(INDEX($AD$2:$AU$1001,MATCH(ROWS($W$2:W360),$W$2:$W$1001,0),MATCH(COLUMNS($AD$1006:AU1006),$AD$1006:$AU$1006,0)), HYPERLINK("#",""), HYPERLINK(CONCATENATE("#metadata!", ADDRESS(INDEX($Y$2:$Y$1001,MATCH(ROWS($W$2:W360),$W$2:$W$1001,0),0), INDEX($AD$1004:$AU$1004,1,MATCH(COLUMNS($AD$1006:AU1006),$AD$1006:$AU$1006,0)))),"Fix")))</f>
        <v xml:space="preserve"> </v>
      </c>
      <c r="W360">
        <v>359</v>
      </c>
      <c r="X360">
        <v>100360</v>
      </c>
      <c r="Y360">
        <v>360</v>
      </c>
      <c r="Z360" t="b">
        <f t="shared" si="5"/>
        <v>1</v>
      </c>
      <c r="AA360" t="b">
        <f>COUNTBLANK(metadata!B360:S360)=COLUMNS(metadata!B360:S360)</f>
        <v>1</v>
      </c>
      <c r="AB360" t="str">
        <v/>
      </c>
      <c r="AD360" t="b">
        <f ca="1">AND(IF(metadata!B360="",FALSE,TRUE),COUNTIF(metadata!B:B, metadata!B360) = 1,NOT(ISERROR(SUMPRODUCT(SEARCH(MID(metadata!B360,ROW(INDIRECT("1:"&amp;LEN(metadata!B360))), 1),"0123456789abcdefghijklmnopqrstuvwxyzABCDEFGHIJKLMNOPQRSTUVWXYZ.")))))</f>
        <v>0</v>
      </c>
      <c r="AE360" t="b">
        <f>OR(AND(IF(metadata!C360="",FALSE,TRUE),OR(EXACT(metadata!C360,"not applicable"),EXACT(metadata!C360,"missing: not collected"),EXACT(metadata!C360,"missing: not provided"),EXACT(metadata!C360,"missing: restricted access"))),AND(IF(metadata!C360="",FALSE,ISNUMBER(VALUE(metadata!C360))),metadata!C360&gt;0))</f>
        <v>0</v>
      </c>
      <c r="AF360" t="b">
        <f>AND(IF(metadata!D360="",FALSE,TRUE),EXACT(metadata!D360,"missing: not provided"))</f>
        <v>0</v>
      </c>
      <c r="AG360" t="b">
        <f>AND(IF(metadata!E360="",FALSE,TRUE),EXACT(metadata!E360,"Host-associated"))</f>
        <v>0</v>
      </c>
      <c r="AH360" t="b">
        <f>AND(IF(metadata!F360="",FALSE,TRUE),OR(EXACT(metadata!F360,"Animal"),EXACT(metadata!F360,"Fungus"),EXACT(metadata!F360,"Plant")))</f>
        <v>0</v>
      </c>
      <c r="AI360" t="b">
        <f>AND(IF(metadata!G360="",FALSE,TRUE),OR(EXACT(metadata!G360,"Plant secretion"),EXACT(metadata!G360,"Plant rhizosphere"),EXACT(metadata!G360,"Plant surface"),EXACT(metadata!G360,"Plant corpus"),EXACT(metadata!G360,"Fungus surface"),EXACT(metadata!G360,"Fungus corpus"),EXACT(metadata!G360,"Animal surface"),EXACT(metadata!G360,"Animal proximal gut"),EXACT(metadata!G360,"Animal corpus"),EXACT(metadata!G360,"Animal distal gut"),EXACT(metadata!G360,"Animal secretion")))</f>
        <v>0</v>
      </c>
      <c r="AJ360" t="b">
        <f>OR(AND(IF(metadata!H360="",FALSE,TRUE),OR(EXACT(metadata!H360,"missing: not collected"),EXACT(metadata!H360,"missing: not provided"),EXACT(metadata!H360,"missing: restricted access"))),AND(IF(metadata!H360="",FALSE,TRUE),OR(EXACT(metadata!H360,"organism-associated habitat"),EXACT(metadata!H360,"plant-associated habitat"),EXACT(metadata!H360,"animal-associated habitat"),EXACT(metadata!H360,"insecta-associated habitat"),EXACT(metadata!H360,"mammalia-associated habitat"),EXACT(metadata!H360,"human-associated habitat"),EXACT(metadata!H360,"livestock-associated habitat"))))</f>
        <v>0</v>
      </c>
      <c r="AK360" t="b">
        <f>AND(IF(metadata!I360="",FALSE,TRUE),EXACT(metadata!I360,"host-associated"))</f>
        <v>0</v>
      </c>
      <c r="AL360" t="b">
        <f>OR(AND(IF(metadata!J360="",FALSE,TRUE),OR(EXACT(metadata!J360,"not applicable"),EXACT(metadata!J360,"missing: not collected"),EXACT(metadata!J360,"missing: not provided"),EXACT(metadata!J360,"missing: restricted access"))),AND(IF(metadata!J360="",FALSE,ISNUMBER(VALUE(metadata!J360))),metadata!J360&gt;0))</f>
        <v>0</v>
      </c>
      <c r="AM360" t="b">
        <f>AND(IF(metadata!K360="",FALSE,TRUE),EXACT(metadata!K360,"missing: not provided"))</f>
        <v>0</v>
      </c>
      <c r="AN360" t="b">
        <f>IF(metadata!L360="",FALSE,TRUE)</f>
        <v>0</v>
      </c>
      <c r="AO360" t="b">
        <f>IF(metadata!M360="",FALSE,TRUE)</f>
        <v>0</v>
      </c>
      <c r="AP360" t="b">
        <f>OR(AND(IF(metadata!N360="",FALSE,TRUE),OR(EXACT(metadata!N360,"not applicable"),EXACT(metadata!N360,"missing: not collected"),EXACT(metadata!N360,"missing: not provided"))),AND(IF(metadata!N360="",FALSE,IF(ISERROR(INT(metadata!N360)),FALSE,INT(metadata!N360)=metadata!N360)),metadata!N360&gt;0))</f>
        <v>0</v>
      </c>
      <c r="AQ360" t="b">
        <f>AND(IF(metadata!O360="",FALSE,TRUE),EXACT(metadata!O360,"Not applicable"))</f>
        <v>0</v>
      </c>
      <c r="AR360" t="b">
        <f>OR(AND(IF(metadata!P360="",FALSE,TRUE),OR(EXACT(metadata!P360,"not applicable"),EXACT(metadata!P360,"missing: not collected"),EXACT(metadata!P360,"missing: not provided"),EXACT(metadata!P360,"missing: restricted access"))),IF(metadata!P360="",FALSE,IF(ISERROR(INT(metadata!P360)),FALSE,INT(metadata!P360)=metadata!P360)))</f>
        <v>0</v>
      </c>
      <c r="AS360" t="b">
        <f>AND(IF(metadata!Q360="",FALSE,TRUE),EXACT(metadata!Q360,"Not applicable"))</f>
        <v>0</v>
      </c>
      <c r="AT360" t="b">
        <f>OR(AND(IF(metadata!R360="",FALSE,TRUE),OR(EXACT(metadata!R360,"not applicable"),EXACT(metadata!R360,"missing: not collected"),EXACT(metadata!R360,"missing: not provided"),EXACT(metadata!R360,"missing: restricted access"))),AND(IF(metadata!R360="",FALSE,ISNUMBER(VALUE(metadata!R360))),metadata!R360&gt;0))</f>
        <v>0</v>
      </c>
      <c r="AU360" t="b">
        <f>AND(IF(metadata!S360="",FALSE,TRUE),EXACT(metadata!S360,"missing: not provided"))</f>
        <v>0</v>
      </c>
    </row>
    <row r="361" spans="1:47" x14ac:dyDescent="0.2">
      <c r="A361" s="5" t="str">
        <f ca="1">IF(B361=" "," ",HYPERLINK(CONCATENATE("#metadata!",ADDRESS(INDEX($Y$2:$Y$1001,MATCH(ROWS($W$2:W361),$W$2:$W$1001,0),0),1)),INDEX($AB$2:$AB$1001,MATCH(ROWS($W$2:W361),$W$2:$W$1001,0),0)))</f>
        <v xml:space="preserve"> </v>
      </c>
      <c r="B361" s="4" t="str">
        <f ca="1">IF(OR(INDEX($X$2:$X$1001,MATCH(ROWS($W$2:W361),$W$2:$W$1001,0),1)&gt;=100000,INDEX($AD$1005:$AU$1005,1,MATCH(COLUMNS($AD$1006:AD1006),$AD$1006:$AU$1006,0))&gt;=100000), " ",IF(INDEX($AD$2:$AU$1001,MATCH(ROWS($W$2:W361),$W$2:$W$1001,0),MATCH(COLUMNS($AD$1006:AD1006),$AD$1006:$AU$1006,0)), HYPERLINK("#",""), HYPERLINK(CONCATENATE("#metadata!", ADDRESS(INDEX($Y$2:$Y$1001,MATCH(ROWS($W$2:W361),$W$2:$W$1001,0),0), INDEX($AD$1004:$AU$1004,1,MATCH(COLUMNS($AD$1006:AD1006),$AD$1006:$AU$1006,0)))),"Fix")))</f>
        <v xml:space="preserve"> </v>
      </c>
      <c r="C361" s="4" t="str">
        <f ca="1">IF(OR(INDEX($X$2:$X$1001,MATCH(ROWS($W$2:W361),$W$2:$W$1001,0),1)&gt;=100000,INDEX($AD$1005:$AU$1005,1,MATCH(COLUMNS($AD$1006:AE1006),$AD$1006:$AU$1006,0))&gt;=100000), " ",IF(INDEX($AD$2:$AU$1001,MATCH(ROWS($W$2:W361),$W$2:$W$1001,0),MATCH(COLUMNS($AD$1006:AE1006),$AD$1006:$AU$1006,0)), HYPERLINK("#",""), HYPERLINK(CONCATENATE("#metadata!", ADDRESS(INDEX($Y$2:$Y$1001,MATCH(ROWS($W$2:W361),$W$2:$W$1001,0),0), INDEX($AD$1004:$AU$1004,1,MATCH(COLUMNS($AD$1006:AE1006),$AD$1006:$AU$1006,0)))),"Fix")))</f>
        <v xml:space="preserve"> </v>
      </c>
      <c r="D361" s="4" t="str">
        <f ca="1">IF(OR(INDEX($X$2:$X$1001,MATCH(ROWS($W$2:W361),$W$2:$W$1001,0),1)&gt;=100000,INDEX($AD$1005:$AU$1005,1,MATCH(COLUMNS($AD$1006:AF1006),$AD$1006:$AU$1006,0))&gt;=100000), " ",IF(INDEX($AD$2:$AU$1001,MATCH(ROWS($W$2:W361),$W$2:$W$1001,0),MATCH(COLUMNS($AD$1006:AF1006),$AD$1006:$AU$1006,0)), HYPERLINK("#",""), HYPERLINK(CONCATENATE("#metadata!", ADDRESS(INDEX($Y$2:$Y$1001,MATCH(ROWS($W$2:W361),$W$2:$W$1001,0),0), INDEX($AD$1004:$AU$1004,1,MATCH(COLUMNS($AD$1006:AF1006),$AD$1006:$AU$1006,0)))),"Fix")))</f>
        <v xml:space="preserve"> </v>
      </c>
      <c r="E361" s="4" t="str">
        <f ca="1">IF(OR(INDEX($X$2:$X$1001,MATCH(ROWS($W$2:W361),$W$2:$W$1001,0),1)&gt;=100000,INDEX($AD$1005:$AU$1005,1,MATCH(COLUMNS($AD$1006:AG1006),$AD$1006:$AU$1006,0))&gt;=100000), " ",IF(INDEX($AD$2:$AU$1001,MATCH(ROWS($W$2:W361),$W$2:$W$1001,0),MATCH(COLUMNS($AD$1006:AG1006),$AD$1006:$AU$1006,0)), HYPERLINK("#",""), HYPERLINK(CONCATENATE("#metadata!", ADDRESS(INDEX($Y$2:$Y$1001,MATCH(ROWS($W$2:W361),$W$2:$W$1001,0),0), INDEX($AD$1004:$AU$1004,1,MATCH(COLUMNS($AD$1006:AG1006),$AD$1006:$AU$1006,0)))),"Fix")))</f>
        <v xml:space="preserve"> </v>
      </c>
      <c r="F361" s="4" t="str">
        <f ca="1">IF(OR(INDEX($X$2:$X$1001,MATCH(ROWS($W$2:W361),$W$2:$W$1001,0),1)&gt;=100000,INDEX($AD$1005:$AU$1005,1,MATCH(COLUMNS($AD$1006:AH1006),$AD$1006:$AU$1006,0))&gt;=100000), " ",IF(INDEX($AD$2:$AU$1001,MATCH(ROWS($W$2:W361),$W$2:$W$1001,0),MATCH(COLUMNS($AD$1006:AH1006),$AD$1006:$AU$1006,0)), HYPERLINK("#",""), HYPERLINK(CONCATENATE("#metadata!", ADDRESS(INDEX($Y$2:$Y$1001,MATCH(ROWS($W$2:W361),$W$2:$W$1001,0),0), INDEX($AD$1004:$AU$1004,1,MATCH(COLUMNS($AD$1006:AH1006),$AD$1006:$AU$1006,0)))),"Fix")))</f>
        <v xml:space="preserve"> </v>
      </c>
      <c r="G361" s="4" t="str">
        <f ca="1">IF(OR(INDEX($X$2:$X$1001,MATCH(ROWS($W$2:W361),$W$2:$W$1001,0),1)&gt;=100000,INDEX($AD$1005:$AU$1005,1,MATCH(COLUMNS($AD$1006:AI1006),$AD$1006:$AU$1006,0))&gt;=100000), " ",IF(INDEX($AD$2:$AU$1001,MATCH(ROWS($W$2:W361),$W$2:$W$1001,0),MATCH(COLUMNS($AD$1006:AI1006),$AD$1006:$AU$1006,0)), HYPERLINK("#",""), HYPERLINK(CONCATENATE("#metadata!", ADDRESS(INDEX($Y$2:$Y$1001,MATCH(ROWS($W$2:W361),$W$2:$W$1001,0),0), INDEX($AD$1004:$AU$1004,1,MATCH(COLUMNS($AD$1006:AI1006),$AD$1006:$AU$1006,0)))),"Fix")))</f>
        <v xml:space="preserve"> </v>
      </c>
      <c r="H361" s="4" t="str">
        <f ca="1">IF(OR(INDEX($X$2:$X$1001,MATCH(ROWS($W$2:W361),$W$2:$W$1001,0),1)&gt;=100000,INDEX($AD$1005:$AU$1005,1,MATCH(COLUMNS($AD$1006:AJ1006),$AD$1006:$AU$1006,0))&gt;=100000), " ",IF(INDEX($AD$2:$AU$1001,MATCH(ROWS($W$2:W361),$W$2:$W$1001,0),MATCH(COLUMNS($AD$1006:AJ1006),$AD$1006:$AU$1006,0)), HYPERLINK("#",""), HYPERLINK(CONCATENATE("#metadata!", ADDRESS(INDEX($Y$2:$Y$1001,MATCH(ROWS($W$2:W361),$W$2:$W$1001,0),0), INDEX($AD$1004:$AU$1004,1,MATCH(COLUMNS($AD$1006:AJ1006),$AD$1006:$AU$1006,0)))),"Fix")))</f>
        <v xml:space="preserve"> </v>
      </c>
      <c r="I361" s="4" t="str">
        <f ca="1">IF(OR(INDEX($X$2:$X$1001,MATCH(ROWS($W$2:W361),$W$2:$W$1001,0),1)&gt;=100000,INDEX($AD$1005:$AU$1005,1,MATCH(COLUMNS($AD$1006:AK1006),$AD$1006:$AU$1006,0))&gt;=100000), " ",IF(INDEX($AD$2:$AU$1001,MATCH(ROWS($W$2:W361),$W$2:$W$1001,0),MATCH(COLUMNS($AD$1006:AK1006),$AD$1006:$AU$1006,0)), HYPERLINK("#",""), HYPERLINK(CONCATENATE("#metadata!", ADDRESS(INDEX($Y$2:$Y$1001,MATCH(ROWS($W$2:W361),$W$2:$W$1001,0),0), INDEX($AD$1004:$AU$1004,1,MATCH(COLUMNS($AD$1006:AK1006),$AD$1006:$AU$1006,0)))),"Fix")))</f>
        <v xml:space="preserve"> </v>
      </c>
      <c r="J361" s="4" t="str">
        <f ca="1">IF(OR(INDEX($X$2:$X$1001,MATCH(ROWS($W$2:W361),$W$2:$W$1001,0),1)&gt;=100000,INDEX($AD$1005:$AU$1005,1,MATCH(COLUMNS($AD$1006:AL1006),$AD$1006:$AU$1006,0))&gt;=100000), " ",IF(INDEX($AD$2:$AU$1001,MATCH(ROWS($W$2:W361),$W$2:$W$1001,0),MATCH(COLUMNS($AD$1006:AL1006),$AD$1006:$AU$1006,0)), HYPERLINK("#",""), HYPERLINK(CONCATENATE("#metadata!", ADDRESS(INDEX($Y$2:$Y$1001,MATCH(ROWS($W$2:W361),$W$2:$W$1001,0),0), INDEX($AD$1004:$AU$1004,1,MATCH(COLUMNS($AD$1006:AL1006),$AD$1006:$AU$1006,0)))),"Fix")))</f>
        <v xml:space="preserve"> </v>
      </c>
      <c r="K361" s="4" t="str">
        <f ca="1">IF(OR(INDEX($X$2:$X$1001,MATCH(ROWS($W$2:W361),$W$2:$W$1001,0),1)&gt;=100000,INDEX($AD$1005:$AU$1005,1,MATCH(COLUMNS($AD$1006:AM1006),$AD$1006:$AU$1006,0))&gt;=100000), " ",IF(INDEX($AD$2:$AU$1001,MATCH(ROWS($W$2:W361),$W$2:$W$1001,0),MATCH(COLUMNS($AD$1006:AM1006),$AD$1006:$AU$1006,0)), HYPERLINK("#",""), HYPERLINK(CONCATENATE("#metadata!", ADDRESS(INDEX($Y$2:$Y$1001,MATCH(ROWS($W$2:W361),$W$2:$W$1001,0),0), INDEX($AD$1004:$AU$1004,1,MATCH(COLUMNS($AD$1006:AM1006),$AD$1006:$AU$1006,0)))),"Fix")))</f>
        <v xml:space="preserve"> </v>
      </c>
      <c r="L361" s="4" t="str">
        <f ca="1">IF(OR(INDEX($X$2:$X$1001,MATCH(ROWS($W$2:W361),$W$2:$W$1001,0),1)&gt;=100000,INDEX($AD$1005:$AU$1005,1,MATCH(COLUMNS($AD$1006:AN1006),$AD$1006:$AU$1006,0))&gt;=100000), " ",IF(INDEX($AD$2:$AU$1001,MATCH(ROWS($W$2:W361),$W$2:$W$1001,0),MATCH(COLUMNS($AD$1006:AN1006),$AD$1006:$AU$1006,0)), HYPERLINK("#",""), HYPERLINK(CONCATENATE("#metadata!", ADDRESS(INDEX($Y$2:$Y$1001,MATCH(ROWS($W$2:W361),$W$2:$W$1001,0),0), INDEX($AD$1004:$AU$1004,1,MATCH(COLUMNS($AD$1006:AN1006),$AD$1006:$AU$1006,0)))),"Fix")))</f>
        <v xml:space="preserve"> </v>
      </c>
      <c r="M361" s="4" t="str">
        <f ca="1">IF(OR(INDEX($X$2:$X$1001,MATCH(ROWS($W$2:W361),$W$2:$W$1001,0),1)&gt;=100000,INDEX($AD$1005:$AU$1005,1,MATCH(COLUMNS($AD$1006:AO1006),$AD$1006:$AU$1006,0))&gt;=100000), " ",IF(INDEX($AD$2:$AU$1001,MATCH(ROWS($W$2:W361),$W$2:$W$1001,0),MATCH(COLUMNS($AD$1006:AO1006),$AD$1006:$AU$1006,0)), HYPERLINK("#",""), HYPERLINK(CONCATENATE("#metadata!", ADDRESS(INDEX($Y$2:$Y$1001,MATCH(ROWS($W$2:W361),$W$2:$W$1001,0),0), INDEX($AD$1004:$AU$1004,1,MATCH(COLUMNS($AD$1006:AO1006),$AD$1006:$AU$1006,0)))),"Fix")))</f>
        <v xml:space="preserve"> </v>
      </c>
      <c r="N361" s="4" t="str">
        <f ca="1">IF(OR(INDEX($X$2:$X$1001,MATCH(ROWS($W$2:W361),$W$2:$W$1001,0),1)&gt;=100000,INDEX($AD$1005:$AU$1005,1,MATCH(COLUMNS($AD$1006:AP1006),$AD$1006:$AU$1006,0))&gt;=100000), " ",IF(INDEX($AD$2:$AU$1001,MATCH(ROWS($W$2:W361),$W$2:$W$1001,0),MATCH(COLUMNS($AD$1006:AP1006),$AD$1006:$AU$1006,0)), HYPERLINK("#",""), HYPERLINK(CONCATENATE("#metadata!", ADDRESS(INDEX($Y$2:$Y$1001,MATCH(ROWS($W$2:W361),$W$2:$W$1001,0),0), INDEX($AD$1004:$AU$1004,1,MATCH(COLUMNS($AD$1006:AP1006),$AD$1006:$AU$1006,0)))),"Fix")))</f>
        <v xml:space="preserve"> </v>
      </c>
      <c r="O361" s="4" t="str">
        <f ca="1">IF(OR(INDEX($X$2:$X$1001,MATCH(ROWS($W$2:W361),$W$2:$W$1001,0),1)&gt;=100000,INDEX($AD$1005:$AU$1005,1,MATCH(COLUMNS($AD$1006:AQ1006),$AD$1006:$AU$1006,0))&gt;=100000), " ",IF(INDEX($AD$2:$AU$1001,MATCH(ROWS($W$2:W361),$W$2:$W$1001,0),MATCH(COLUMNS($AD$1006:AQ1006),$AD$1006:$AU$1006,0)), HYPERLINK("#",""), HYPERLINK(CONCATENATE("#metadata!", ADDRESS(INDEX($Y$2:$Y$1001,MATCH(ROWS($W$2:W361),$W$2:$W$1001,0),0), INDEX($AD$1004:$AU$1004,1,MATCH(COLUMNS($AD$1006:AQ1006),$AD$1006:$AU$1006,0)))),"Fix")))</f>
        <v xml:space="preserve"> </v>
      </c>
      <c r="P361" s="4" t="str">
        <f ca="1">IF(OR(INDEX($X$2:$X$1001,MATCH(ROWS($W$2:W361),$W$2:$W$1001,0),1)&gt;=100000,INDEX($AD$1005:$AU$1005,1,MATCH(COLUMNS($AD$1006:AR1006),$AD$1006:$AU$1006,0))&gt;=100000), " ",IF(INDEX($AD$2:$AU$1001,MATCH(ROWS($W$2:W361),$W$2:$W$1001,0),MATCH(COLUMNS($AD$1006:AR1006),$AD$1006:$AU$1006,0)), HYPERLINK("#",""), HYPERLINK(CONCATENATE("#metadata!", ADDRESS(INDEX($Y$2:$Y$1001,MATCH(ROWS($W$2:W361),$W$2:$W$1001,0),0), INDEX($AD$1004:$AU$1004,1,MATCH(COLUMNS($AD$1006:AR1006),$AD$1006:$AU$1006,0)))),"Fix")))</f>
        <v xml:space="preserve"> </v>
      </c>
      <c r="Q361" s="4" t="str">
        <f ca="1">IF(OR(INDEX($X$2:$X$1001,MATCH(ROWS($W$2:W361),$W$2:$W$1001,0),1)&gt;=100000,INDEX($AD$1005:$AU$1005,1,MATCH(COLUMNS($AD$1006:AS1006),$AD$1006:$AU$1006,0))&gt;=100000), " ",IF(INDEX($AD$2:$AU$1001,MATCH(ROWS($W$2:W361),$W$2:$W$1001,0),MATCH(COLUMNS($AD$1006:AS1006),$AD$1006:$AU$1006,0)), HYPERLINK("#",""), HYPERLINK(CONCATENATE("#metadata!", ADDRESS(INDEX($Y$2:$Y$1001,MATCH(ROWS($W$2:W361),$W$2:$W$1001,0),0), INDEX($AD$1004:$AU$1004,1,MATCH(COLUMNS($AD$1006:AS1006),$AD$1006:$AU$1006,0)))),"Fix")))</f>
        <v xml:space="preserve"> </v>
      </c>
      <c r="R361" s="4" t="str">
        <f ca="1">IF(OR(INDEX($X$2:$X$1001,MATCH(ROWS($W$2:W361),$W$2:$W$1001,0),1)&gt;=100000,INDEX($AD$1005:$AU$1005,1,MATCH(COLUMNS($AD$1006:AT1006),$AD$1006:$AU$1006,0))&gt;=100000), " ",IF(INDEX($AD$2:$AU$1001,MATCH(ROWS($W$2:W361),$W$2:$W$1001,0),MATCH(COLUMNS($AD$1006:AT1006),$AD$1006:$AU$1006,0)), HYPERLINK("#",""), HYPERLINK(CONCATENATE("#metadata!", ADDRESS(INDEX($Y$2:$Y$1001,MATCH(ROWS($W$2:W361),$W$2:$W$1001,0),0), INDEX($AD$1004:$AU$1004,1,MATCH(COLUMNS($AD$1006:AT1006),$AD$1006:$AU$1006,0)))),"Fix")))</f>
        <v xml:space="preserve"> </v>
      </c>
      <c r="S361" s="4" t="str">
        <f ca="1">IF(OR(INDEX($X$2:$X$1001,MATCH(ROWS($W$2:W361),$W$2:$W$1001,0),1)&gt;=100000,INDEX($AD$1005:$AU$1005,1,MATCH(COLUMNS($AD$1006:AU1006),$AD$1006:$AU$1006,0))&gt;=100000), " ",IF(INDEX($AD$2:$AU$1001,MATCH(ROWS($W$2:W361),$W$2:$W$1001,0),MATCH(COLUMNS($AD$1006:AU1006),$AD$1006:$AU$1006,0)), HYPERLINK("#",""), HYPERLINK(CONCATENATE("#metadata!", ADDRESS(INDEX($Y$2:$Y$1001,MATCH(ROWS($W$2:W361),$W$2:$W$1001,0),0), INDEX($AD$1004:$AU$1004,1,MATCH(COLUMNS($AD$1006:AU1006),$AD$1006:$AU$1006,0)))),"Fix")))</f>
        <v xml:space="preserve"> </v>
      </c>
      <c r="W361">
        <v>360</v>
      </c>
      <c r="X361">
        <v>100361</v>
      </c>
      <c r="Y361">
        <v>361</v>
      </c>
      <c r="Z361" t="b">
        <f t="shared" si="5"/>
        <v>1</v>
      </c>
      <c r="AA361" t="b">
        <f>COUNTBLANK(metadata!B361:S361)=COLUMNS(metadata!B361:S361)</f>
        <v>1</v>
      </c>
      <c r="AB361" t="str">
        <v/>
      </c>
      <c r="AD361" t="b">
        <f ca="1">AND(IF(metadata!B361="",FALSE,TRUE),COUNTIF(metadata!B:B, metadata!B361) = 1,NOT(ISERROR(SUMPRODUCT(SEARCH(MID(metadata!B361,ROW(INDIRECT("1:"&amp;LEN(metadata!B361))), 1),"0123456789abcdefghijklmnopqrstuvwxyzABCDEFGHIJKLMNOPQRSTUVWXYZ.")))))</f>
        <v>0</v>
      </c>
      <c r="AE361" t="b">
        <f>OR(AND(IF(metadata!C361="",FALSE,TRUE),OR(EXACT(metadata!C361,"not applicable"),EXACT(metadata!C361,"missing: not collected"),EXACT(metadata!C361,"missing: not provided"),EXACT(metadata!C361,"missing: restricted access"))),AND(IF(metadata!C361="",FALSE,ISNUMBER(VALUE(metadata!C361))),metadata!C361&gt;0))</f>
        <v>0</v>
      </c>
      <c r="AF361" t="b">
        <f>AND(IF(metadata!D361="",FALSE,TRUE),EXACT(metadata!D361,"missing: not provided"))</f>
        <v>0</v>
      </c>
      <c r="AG361" t="b">
        <f>AND(IF(metadata!E361="",FALSE,TRUE),EXACT(metadata!E361,"Host-associated"))</f>
        <v>0</v>
      </c>
      <c r="AH361" t="b">
        <f>AND(IF(metadata!F361="",FALSE,TRUE),OR(EXACT(metadata!F361,"Animal"),EXACT(metadata!F361,"Fungus"),EXACT(metadata!F361,"Plant")))</f>
        <v>0</v>
      </c>
      <c r="AI361" t="b">
        <f>AND(IF(metadata!G361="",FALSE,TRUE),OR(EXACT(metadata!G361,"Plant secretion"),EXACT(metadata!G361,"Plant rhizosphere"),EXACT(metadata!G361,"Plant surface"),EXACT(metadata!G361,"Plant corpus"),EXACT(metadata!G361,"Fungus surface"),EXACT(metadata!G361,"Fungus corpus"),EXACT(metadata!G361,"Animal surface"),EXACT(metadata!G361,"Animal proximal gut"),EXACT(metadata!G361,"Animal corpus"),EXACT(metadata!G361,"Animal distal gut"),EXACT(metadata!G361,"Animal secretion")))</f>
        <v>0</v>
      </c>
      <c r="AJ361" t="b">
        <f>OR(AND(IF(metadata!H361="",FALSE,TRUE),OR(EXACT(metadata!H361,"missing: not collected"),EXACT(metadata!H361,"missing: not provided"),EXACT(metadata!H361,"missing: restricted access"))),AND(IF(metadata!H361="",FALSE,TRUE),OR(EXACT(metadata!H361,"organism-associated habitat"),EXACT(metadata!H361,"plant-associated habitat"),EXACT(metadata!H361,"animal-associated habitat"),EXACT(metadata!H361,"insecta-associated habitat"),EXACT(metadata!H361,"mammalia-associated habitat"),EXACT(metadata!H361,"human-associated habitat"),EXACT(metadata!H361,"livestock-associated habitat"))))</f>
        <v>0</v>
      </c>
      <c r="AK361" t="b">
        <f>AND(IF(metadata!I361="",FALSE,TRUE),EXACT(metadata!I361,"host-associated"))</f>
        <v>0</v>
      </c>
      <c r="AL361" t="b">
        <f>OR(AND(IF(metadata!J361="",FALSE,TRUE),OR(EXACT(metadata!J361,"not applicable"),EXACT(metadata!J361,"missing: not collected"),EXACT(metadata!J361,"missing: not provided"),EXACT(metadata!J361,"missing: restricted access"))),AND(IF(metadata!J361="",FALSE,ISNUMBER(VALUE(metadata!J361))),metadata!J361&gt;0))</f>
        <v>0</v>
      </c>
      <c r="AM361" t="b">
        <f>AND(IF(metadata!K361="",FALSE,TRUE),EXACT(metadata!K361,"missing: not provided"))</f>
        <v>0</v>
      </c>
      <c r="AN361" t="b">
        <f>IF(metadata!L361="",FALSE,TRUE)</f>
        <v>0</v>
      </c>
      <c r="AO361" t="b">
        <f>IF(metadata!M361="",FALSE,TRUE)</f>
        <v>0</v>
      </c>
      <c r="AP361" t="b">
        <f>OR(AND(IF(metadata!N361="",FALSE,TRUE),OR(EXACT(metadata!N361,"not applicable"),EXACT(metadata!N361,"missing: not collected"),EXACT(metadata!N361,"missing: not provided"))),AND(IF(metadata!N361="",FALSE,IF(ISERROR(INT(metadata!N361)),FALSE,INT(metadata!N361)=metadata!N361)),metadata!N361&gt;0))</f>
        <v>0</v>
      </c>
      <c r="AQ361" t="b">
        <f>AND(IF(metadata!O361="",FALSE,TRUE),EXACT(metadata!O361,"Not applicable"))</f>
        <v>0</v>
      </c>
      <c r="AR361" t="b">
        <f>OR(AND(IF(metadata!P361="",FALSE,TRUE),OR(EXACT(metadata!P361,"not applicable"),EXACT(metadata!P361,"missing: not collected"),EXACT(metadata!P361,"missing: not provided"),EXACT(metadata!P361,"missing: restricted access"))),IF(metadata!P361="",FALSE,IF(ISERROR(INT(metadata!P361)),FALSE,INT(metadata!P361)=metadata!P361)))</f>
        <v>0</v>
      </c>
      <c r="AS361" t="b">
        <f>AND(IF(metadata!Q361="",FALSE,TRUE),EXACT(metadata!Q361,"Not applicable"))</f>
        <v>0</v>
      </c>
      <c r="AT361" t="b">
        <f>OR(AND(IF(metadata!R361="",FALSE,TRUE),OR(EXACT(metadata!R361,"not applicable"),EXACT(metadata!R361,"missing: not collected"),EXACT(metadata!R361,"missing: not provided"),EXACT(metadata!R361,"missing: restricted access"))),AND(IF(metadata!R361="",FALSE,ISNUMBER(VALUE(metadata!R361))),metadata!R361&gt;0))</f>
        <v>0</v>
      </c>
      <c r="AU361" t="b">
        <f>AND(IF(metadata!S361="",FALSE,TRUE),EXACT(metadata!S361,"missing: not provided"))</f>
        <v>0</v>
      </c>
    </row>
    <row r="362" spans="1:47" x14ac:dyDescent="0.2">
      <c r="A362" s="5" t="str">
        <f ca="1">IF(B362=" "," ",HYPERLINK(CONCATENATE("#metadata!",ADDRESS(INDEX($Y$2:$Y$1001,MATCH(ROWS($W$2:W362),$W$2:$W$1001,0),0),1)),INDEX($AB$2:$AB$1001,MATCH(ROWS($W$2:W362),$W$2:$W$1001,0),0)))</f>
        <v xml:space="preserve"> </v>
      </c>
      <c r="B362" s="4" t="str">
        <f ca="1">IF(OR(INDEX($X$2:$X$1001,MATCH(ROWS($W$2:W362),$W$2:$W$1001,0),1)&gt;=100000,INDEX($AD$1005:$AU$1005,1,MATCH(COLUMNS($AD$1006:AD1006),$AD$1006:$AU$1006,0))&gt;=100000), " ",IF(INDEX($AD$2:$AU$1001,MATCH(ROWS($W$2:W362),$W$2:$W$1001,0),MATCH(COLUMNS($AD$1006:AD1006),$AD$1006:$AU$1006,0)), HYPERLINK("#",""), HYPERLINK(CONCATENATE("#metadata!", ADDRESS(INDEX($Y$2:$Y$1001,MATCH(ROWS($W$2:W362),$W$2:$W$1001,0),0), INDEX($AD$1004:$AU$1004,1,MATCH(COLUMNS($AD$1006:AD1006),$AD$1006:$AU$1006,0)))),"Fix")))</f>
        <v xml:space="preserve"> </v>
      </c>
      <c r="C362" s="4" t="str">
        <f ca="1">IF(OR(INDEX($X$2:$X$1001,MATCH(ROWS($W$2:W362),$W$2:$W$1001,0),1)&gt;=100000,INDEX($AD$1005:$AU$1005,1,MATCH(COLUMNS($AD$1006:AE1006),$AD$1006:$AU$1006,0))&gt;=100000), " ",IF(INDEX($AD$2:$AU$1001,MATCH(ROWS($W$2:W362),$W$2:$W$1001,0),MATCH(COLUMNS($AD$1006:AE1006),$AD$1006:$AU$1006,0)), HYPERLINK("#",""), HYPERLINK(CONCATENATE("#metadata!", ADDRESS(INDEX($Y$2:$Y$1001,MATCH(ROWS($W$2:W362),$W$2:$W$1001,0),0), INDEX($AD$1004:$AU$1004,1,MATCH(COLUMNS($AD$1006:AE1006),$AD$1006:$AU$1006,0)))),"Fix")))</f>
        <v xml:space="preserve"> </v>
      </c>
      <c r="D362" s="4" t="str">
        <f ca="1">IF(OR(INDEX($X$2:$X$1001,MATCH(ROWS($W$2:W362),$W$2:$W$1001,0),1)&gt;=100000,INDEX($AD$1005:$AU$1005,1,MATCH(COLUMNS($AD$1006:AF1006),$AD$1006:$AU$1006,0))&gt;=100000), " ",IF(INDEX($AD$2:$AU$1001,MATCH(ROWS($W$2:W362),$W$2:$W$1001,0),MATCH(COLUMNS($AD$1006:AF1006),$AD$1006:$AU$1006,0)), HYPERLINK("#",""), HYPERLINK(CONCATENATE("#metadata!", ADDRESS(INDEX($Y$2:$Y$1001,MATCH(ROWS($W$2:W362),$W$2:$W$1001,0),0), INDEX($AD$1004:$AU$1004,1,MATCH(COLUMNS($AD$1006:AF1006),$AD$1006:$AU$1006,0)))),"Fix")))</f>
        <v xml:space="preserve"> </v>
      </c>
      <c r="E362" s="4" t="str">
        <f ca="1">IF(OR(INDEX($X$2:$X$1001,MATCH(ROWS($W$2:W362),$W$2:$W$1001,0),1)&gt;=100000,INDEX($AD$1005:$AU$1005,1,MATCH(COLUMNS($AD$1006:AG1006),$AD$1006:$AU$1006,0))&gt;=100000), " ",IF(INDEX($AD$2:$AU$1001,MATCH(ROWS($W$2:W362),$W$2:$W$1001,0),MATCH(COLUMNS($AD$1006:AG1006),$AD$1006:$AU$1006,0)), HYPERLINK("#",""), HYPERLINK(CONCATENATE("#metadata!", ADDRESS(INDEX($Y$2:$Y$1001,MATCH(ROWS($W$2:W362),$W$2:$W$1001,0),0), INDEX($AD$1004:$AU$1004,1,MATCH(COLUMNS($AD$1006:AG1006),$AD$1006:$AU$1006,0)))),"Fix")))</f>
        <v xml:space="preserve"> </v>
      </c>
      <c r="F362" s="4" t="str">
        <f ca="1">IF(OR(INDEX($X$2:$X$1001,MATCH(ROWS($W$2:W362),$W$2:$W$1001,0),1)&gt;=100000,INDEX($AD$1005:$AU$1005,1,MATCH(COLUMNS($AD$1006:AH1006),$AD$1006:$AU$1006,0))&gt;=100000), " ",IF(INDEX($AD$2:$AU$1001,MATCH(ROWS($W$2:W362),$W$2:$W$1001,0),MATCH(COLUMNS($AD$1006:AH1006),$AD$1006:$AU$1006,0)), HYPERLINK("#",""), HYPERLINK(CONCATENATE("#metadata!", ADDRESS(INDEX($Y$2:$Y$1001,MATCH(ROWS($W$2:W362),$W$2:$W$1001,0),0), INDEX($AD$1004:$AU$1004,1,MATCH(COLUMNS($AD$1006:AH1006),$AD$1006:$AU$1006,0)))),"Fix")))</f>
        <v xml:space="preserve"> </v>
      </c>
      <c r="G362" s="4" t="str">
        <f ca="1">IF(OR(INDEX($X$2:$X$1001,MATCH(ROWS($W$2:W362),$W$2:$W$1001,0),1)&gt;=100000,INDEX($AD$1005:$AU$1005,1,MATCH(COLUMNS($AD$1006:AI1006),$AD$1006:$AU$1006,0))&gt;=100000), " ",IF(INDEX($AD$2:$AU$1001,MATCH(ROWS($W$2:W362),$W$2:$W$1001,0),MATCH(COLUMNS($AD$1006:AI1006),$AD$1006:$AU$1006,0)), HYPERLINK("#",""), HYPERLINK(CONCATENATE("#metadata!", ADDRESS(INDEX($Y$2:$Y$1001,MATCH(ROWS($W$2:W362),$W$2:$W$1001,0),0), INDEX($AD$1004:$AU$1004,1,MATCH(COLUMNS($AD$1006:AI1006),$AD$1006:$AU$1006,0)))),"Fix")))</f>
        <v xml:space="preserve"> </v>
      </c>
      <c r="H362" s="4" t="str">
        <f ca="1">IF(OR(INDEX($X$2:$X$1001,MATCH(ROWS($W$2:W362),$W$2:$W$1001,0),1)&gt;=100000,INDEX($AD$1005:$AU$1005,1,MATCH(COLUMNS($AD$1006:AJ1006),$AD$1006:$AU$1006,0))&gt;=100000), " ",IF(INDEX($AD$2:$AU$1001,MATCH(ROWS($W$2:W362),$W$2:$W$1001,0),MATCH(COLUMNS($AD$1006:AJ1006),$AD$1006:$AU$1006,0)), HYPERLINK("#",""), HYPERLINK(CONCATENATE("#metadata!", ADDRESS(INDEX($Y$2:$Y$1001,MATCH(ROWS($W$2:W362),$W$2:$W$1001,0),0), INDEX($AD$1004:$AU$1004,1,MATCH(COLUMNS($AD$1006:AJ1006),$AD$1006:$AU$1006,0)))),"Fix")))</f>
        <v xml:space="preserve"> </v>
      </c>
      <c r="I362" s="4" t="str">
        <f ca="1">IF(OR(INDEX($X$2:$X$1001,MATCH(ROWS($W$2:W362),$W$2:$W$1001,0),1)&gt;=100000,INDEX($AD$1005:$AU$1005,1,MATCH(COLUMNS($AD$1006:AK1006),$AD$1006:$AU$1006,0))&gt;=100000), " ",IF(INDEX($AD$2:$AU$1001,MATCH(ROWS($W$2:W362),$W$2:$W$1001,0),MATCH(COLUMNS($AD$1006:AK1006),$AD$1006:$AU$1006,0)), HYPERLINK("#",""), HYPERLINK(CONCATENATE("#metadata!", ADDRESS(INDEX($Y$2:$Y$1001,MATCH(ROWS($W$2:W362),$W$2:$W$1001,0),0), INDEX($AD$1004:$AU$1004,1,MATCH(COLUMNS($AD$1006:AK1006),$AD$1006:$AU$1006,0)))),"Fix")))</f>
        <v xml:space="preserve"> </v>
      </c>
      <c r="J362" s="4" t="str">
        <f ca="1">IF(OR(INDEX($X$2:$X$1001,MATCH(ROWS($W$2:W362),$W$2:$W$1001,0),1)&gt;=100000,INDEX($AD$1005:$AU$1005,1,MATCH(COLUMNS($AD$1006:AL1006),$AD$1006:$AU$1006,0))&gt;=100000), " ",IF(INDEX($AD$2:$AU$1001,MATCH(ROWS($W$2:W362),$W$2:$W$1001,0),MATCH(COLUMNS($AD$1006:AL1006),$AD$1006:$AU$1006,0)), HYPERLINK("#",""), HYPERLINK(CONCATENATE("#metadata!", ADDRESS(INDEX($Y$2:$Y$1001,MATCH(ROWS($W$2:W362),$W$2:$W$1001,0),0), INDEX($AD$1004:$AU$1004,1,MATCH(COLUMNS($AD$1006:AL1006),$AD$1006:$AU$1006,0)))),"Fix")))</f>
        <v xml:space="preserve"> </v>
      </c>
      <c r="K362" s="4" t="str">
        <f ca="1">IF(OR(INDEX($X$2:$X$1001,MATCH(ROWS($W$2:W362),$W$2:$W$1001,0),1)&gt;=100000,INDEX($AD$1005:$AU$1005,1,MATCH(COLUMNS($AD$1006:AM1006),$AD$1006:$AU$1006,0))&gt;=100000), " ",IF(INDEX($AD$2:$AU$1001,MATCH(ROWS($W$2:W362),$W$2:$W$1001,0),MATCH(COLUMNS($AD$1006:AM1006),$AD$1006:$AU$1006,0)), HYPERLINK("#",""), HYPERLINK(CONCATENATE("#metadata!", ADDRESS(INDEX($Y$2:$Y$1001,MATCH(ROWS($W$2:W362),$W$2:$W$1001,0),0), INDEX($AD$1004:$AU$1004,1,MATCH(COLUMNS($AD$1006:AM1006),$AD$1006:$AU$1006,0)))),"Fix")))</f>
        <v xml:space="preserve"> </v>
      </c>
      <c r="L362" s="4" t="str">
        <f ca="1">IF(OR(INDEX($X$2:$X$1001,MATCH(ROWS($W$2:W362),$W$2:$W$1001,0),1)&gt;=100000,INDEX($AD$1005:$AU$1005,1,MATCH(COLUMNS($AD$1006:AN1006),$AD$1006:$AU$1006,0))&gt;=100000), " ",IF(INDEX($AD$2:$AU$1001,MATCH(ROWS($W$2:W362),$W$2:$W$1001,0),MATCH(COLUMNS($AD$1006:AN1006),$AD$1006:$AU$1006,0)), HYPERLINK("#",""), HYPERLINK(CONCATENATE("#metadata!", ADDRESS(INDEX($Y$2:$Y$1001,MATCH(ROWS($W$2:W362),$W$2:$W$1001,0),0), INDEX($AD$1004:$AU$1004,1,MATCH(COLUMNS($AD$1006:AN1006),$AD$1006:$AU$1006,0)))),"Fix")))</f>
        <v xml:space="preserve"> </v>
      </c>
      <c r="M362" s="4" t="str">
        <f ca="1">IF(OR(INDEX($X$2:$X$1001,MATCH(ROWS($W$2:W362),$W$2:$W$1001,0),1)&gt;=100000,INDEX($AD$1005:$AU$1005,1,MATCH(COLUMNS($AD$1006:AO1006),$AD$1006:$AU$1006,0))&gt;=100000), " ",IF(INDEX($AD$2:$AU$1001,MATCH(ROWS($W$2:W362),$W$2:$W$1001,0),MATCH(COLUMNS($AD$1006:AO1006),$AD$1006:$AU$1006,0)), HYPERLINK("#",""), HYPERLINK(CONCATENATE("#metadata!", ADDRESS(INDEX($Y$2:$Y$1001,MATCH(ROWS($W$2:W362),$W$2:$W$1001,0),0), INDEX($AD$1004:$AU$1004,1,MATCH(COLUMNS($AD$1006:AO1006),$AD$1006:$AU$1006,0)))),"Fix")))</f>
        <v xml:space="preserve"> </v>
      </c>
      <c r="N362" s="4" t="str">
        <f ca="1">IF(OR(INDEX($X$2:$X$1001,MATCH(ROWS($W$2:W362),$W$2:$W$1001,0),1)&gt;=100000,INDEX($AD$1005:$AU$1005,1,MATCH(COLUMNS($AD$1006:AP1006),$AD$1006:$AU$1006,0))&gt;=100000), " ",IF(INDEX($AD$2:$AU$1001,MATCH(ROWS($W$2:W362),$W$2:$W$1001,0),MATCH(COLUMNS($AD$1006:AP1006),$AD$1006:$AU$1006,0)), HYPERLINK("#",""), HYPERLINK(CONCATENATE("#metadata!", ADDRESS(INDEX($Y$2:$Y$1001,MATCH(ROWS($W$2:W362),$W$2:$W$1001,0),0), INDEX($AD$1004:$AU$1004,1,MATCH(COLUMNS($AD$1006:AP1006),$AD$1006:$AU$1006,0)))),"Fix")))</f>
        <v xml:space="preserve"> </v>
      </c>
      <c r="O362" s="4" t="str">
        <f ca="1">IF(OR(INDEX($X$2:$X$1001,MATCH(ROWS($W$2:W362),$W$2:$W$1001,0),1)&gt;=100000,INDEX($AD$1005:$AU$1005,1,MATCH(COLUMNS($AD$1006:AQ1006),$AD$1006:$AU$1006,0))&gt;=100000), " ",IF(INDEX($AD$2:$AU$1001,MATCH(ROWS($W$2:W362),$W$2:$W$1001,0),MATCH(COLUMNS($AD$1006:AQ1006),$AD$1006:$AU$1006,0)), HYPERLINK("#",""), HYPERLINK(CONCATENATE("#metadata!", ADDRESS(INDEX($Y$2:$Y$1001,MATCH(ROWS($W$2:W362),$W$2:$W$1001,0),0), INDEX($AD$1004:$AU$1004,1,MATCH(COLUMNS($AD$1006:AQ1006),$AD$1006:$AU$1006,0)))),"Fix")))</f>
        <v xml:space="preserve"> </v>
      </c>
      <c r="P362" s="4" t="str">
        <f ca="1">IF(OR(INDEX($X$2:$X$1001,MATCH(ROWS($W$2:W362),$W$2:$W$1001,0),1)&gt;=100000,INDEX($AD$1005:$AU$1005,1,MATCH(COLUMNS($AD$1006:AR1006),$AD$1006:$AU$1006,0))&gt;=100000), " ",IF(INDEX($AD$2:$AU$1001,MATCH(ROWS($W$2:W362),$W$2:$W$1001,0),MATCH(COLUMNS($AD$1006:AR1006),$AD$1006:$AU$1006,0)), HYPERLINK("#",""), HYPERLINK(CONCATENATE("#metadata!", ADDRESS(INDEX($Y$2:$Y$1001,MATCH(ROWS($W$2:W362),$W$2:$W$1001,0),0), INDEX($AD$1004:$AU$1004,1,MATCH(COLUMNS($AD$1006:AR1006),$AD$1006:$AU$1006,0)))),"Fix")))</f>
        <v xml:space="preserve"> </v>
      </c>
      <c r="Q362" s="4" t="str">
        <f ca="1">IF(OR(INDEX($X$2:$X$1001,MATCH(ROWS($W$2:W362),$W$2:$W$1001,0),1)&gt;=100000,INDEX($AD$1005:$AU$1005,1,MATCH(COLUMNS($AD$1006:AS1006),$AD$1006:$AU$1006,0))&gt;=100000), " ",IF(INDEX($AD$2:$AU$1001,MATCH(ROWS($W$2:W362),$W$2:$W$1001,0),MATCH(COLUMNS($AD$1006:AS1006),$AD$1006:$AU$1006,0)), HYPERLINK("#",""), HYPERLINK(CONCATENATE("#metadata!", ADDRESS(INDEX($Y$2:$Y$1001,MATCH(ROWS($W$2:W362),$W$2:$W$1001,0),0), INDEX($AD$1004:$AU$1004,1,MATCH(COLUMNS($AD$1006:AS1006),$AD$1006:$AU$1006,0)))),"Fix")))</f>
        <v xml:space="preserve"> </v>
      </c>
      <c r="R362" s="4" t="str">
        <f ca="1">IF(OR(INDEX($X$2:$X$1001,MATCH(ROWS($W$2:W362),$W$2:$W$1001,0),1)&gt;=100000,INDEX($AD$1005:$AU$1005,1,MATCH(COLUMNS($AD$1006:AT1006),$AD$1006:$AU$1006,0))&gt;=100000), " ",IF(INDEX($AD$2:$AU$1001,MATCH(ROWS($W$2:W362),$W$2:$W$1001,0),MATCH(COLUMNS($AD$1006:AT1006),$AD$1006:$AU$1006,0)), HYPERLINK("#",""), HYPERLINK(CONCATENATE("#metadata!", ADDRESS(INDEX($Y$2:$Y$1001,MATCH(ROWS($W$2:W362),$W$2:$W$1001,0),0), INDEX($AD$1004:$AU$1004,1,MATCH(COLUMNS($AD$1006:AT1006),$AD$1006:$AU$1006,0)))),"Fix")))</f>
        <v xml:space="preserve"> </v>
      </c>
      <c r="S362" s="4" t="str">
        <f ca="1">IF(OR(INDEX($X$2:$X$1001,MATCH(ROWS($W$2:W362),$W$2:$W$1001,0),1)&gt;=100000,INDEX($AD$1005:$AU$1005,1,MATCH(COLUMNS($AD$1006:AU1006),$AD$1006:$AU$1006,0))&gt;=100000), " ",IF(INDEX($AD$2:$AU$1001,MATCH(ROWS($W$2:W362),$W$2:$W$1001,0),MATCH(COLUMNS($AD$1006:AU1006),$AD$1006:$AU$1006,0)), HYPERLINK("#",""), HYPERLINK(CONCATENATE("#metadata!", ADDRESS(INDEX($Y$2:$Y$1001,MATCH(ROWS($W$2:W362),$W$2:$W$1001,0),0), INDEX($AD$1004:$AU$1004,1,MATCH(COLUMNS($AD$1006:AU1006),$AD$1006:$AU$1006,0)))),"Fix")))</f>
        <v xml:space="preserve"> </v>
      </c>
      <c r="W362">
        <v>361</v>
      </c>
      <c r="X362">
        <v>100362</v>
      </c>
      <c r="Y362">
        <v>362</v>
      </c>
      <c r="Z362" t="b">
        <f t="shared" si="5"/>
        <v>1</v>
      </c>
      <c r="AA362" t="b">
        <f>COUNTBLANK(metadata!B362:S362)=COLUMNS(metadata!B362:S362)</f>
        <v>1</v>
      </c>
      <c r="AB362" t="str">
        <v/>
      </c>
      <c r="AD362" t="b">
        <f ca="1">AND(IF(metadata!B362="",FALSE,TRUE),COUNTIF(metadata!B:B, metadata!B362) = 1,NOT(ISERROR(SUMPRODUCT(SEARCH(MID(metadata!B362,ROW(INDIRECT("1:"&amp;LEN(metadata!B362))), 1),"0123456789abcdefghijklmnopqrstuvwxyzABCDEFGHIJKLMNOPQRSTUVWXYZ.")))))</f>
        <v>0</v>
      </c>
      <c r="AE362" t="b">
        <f>OR(AND(IF(metadata!C362="",FALSE,TRUE),OR(EXACT(metadata!C362,"not applicable"),EXACT(metadata!C362,"missing: not collected"),EXACT(metadata!C362,"missing: not provided"),EXACT(metadata!C362,"missing: restricted access"))),AND(IF(metadata!C362="",FALSE,ISNUMBER(VALUE(metadata!C362))),metadata!C362&gt;0))</f>
        <v>0</v>
      </c>
      <c r="AF362" t="b">
        <f>AND(IF(metadata!D362="",FALSE,TRUE),EXACT(metadata!D362,"missing: not provided"))</f>
        <v>0</v>
      </c>
      <c r="AG362" t="b">
        <f>AND(IF(metadata!E362="",FALSE,TRUE),EXACT(metadata!E362,"Host-associated"))</f>
        <v>0</v>
      </c>
      <c r="AH362" t="b">
        <f>AND(IF(metadata!F362="",FALSE,TRUE),OR(EXACT(metadata!F362,"Animal"),EXACT(metadata!F362,"Fungus"),EXACT(metadata!F362,"Plant")))</f>
        <v>0</v>
      </c>
      <c r="AI362" t="b">
        <f>AND(IF(metadata!G362="",FALSE,TRUE),OR(EXACT(metadata!G362,"Plant secretion"),EXACT(metadata!G362,"Plant rhizosphere"),EXACT(metadata!G362,"Plant surface"),EXACT(metadata!G362,"Plant corpus"),EXACT(metadata!G362,"Fungus surface"),EXACT(metadata!G362,"Fungus corpus"),EXACT(metadata!G362,"Animal surface"),EXACT(metadata!G362,"Animal proximal gut"),EXACT(metadata!G362,"Animal corpus"),EXACT(metadata!G362,"Animal distal gut"),EXACT(metadata!G362,"Animal secretion")))</f>
        <v>0</v>
      </c>
      <c r="AJ362" t="b">
        <f>OR(AND(IF(metadata!H362="",FALSE,TRUE),OR(EXACT(metadata!H362,"missing: not collected"),EXACT(metadata!H362,"missing: not provided"),EXACT(metadata!H362,"missing: restricted access"))),AND(IF(metadata!H362="",FALSE,TRUE),OR(EXACT(metadata!H362,"organism-associated habitat"),EXACT(metadata!H362,"plant-associated habitat"),EXACT(metadata!H362,"animal-associated habitat"),EXACT(metadata!H362,"insecta-associated habitat"),EXACT(metadata!H362,"mammalia-associated habitat"),EXACT(metadata!H362,"human-associated habitat"),EXACT(metadata!H362,"livestock-associated habitat"))))</f>
        <v>0</v>
      </c>
      <c r="AK362" t="b">
        <f>AND(IF(metadata!I362="",FALSE,TRUE),EXACT(metadata!I362,"host-associated"))</f>
        <v>0</v>
      </c>
      <c r="AL362" t="b">
        <f>OR(AND(IF(metadata!J362="",FALSE,TRUE),OR(EXACT(metadata!J362,"not applicable"),EXACT(metadata!J362,"missing: not collected"),EXACT(metadata!J362,"missing: not provided"),EXACT(metadata!J362,"missing: restricted access"))),AND(IF(metadata!J362="",FALSE,ISNUMBER(VALUE(metadata!J362))),metadata!J362&gt;0))</f>
        <v>0</v>
      </c>
      <c r="AM362" t="b">
        <f>AND(IF(metadata!K362="",FALSE,TRUE),EXACT(metadata!K362,"missing: not provided"))</f>
        <v>0</v>
      </c>
      <c r="AN362" t="b">
        <f>IF(metadata!L362="",FALSE,TRUE)</f>
        <v>0</v>
      </c>
      <c r="AO362" t="b">
        <f>IF(metadata!M362="",FALSE,TRUE)</f>
        <v>0</v>
      </c>
      <c r="AP362" t="b">
        <f>OR(AND(IF(metadata!N362="",FALSE,TRUE),OR(EXACT(metadata!N362,"not applicable"),EXACT(metadata!N362,"missing: not collected"),EXACT(metadata!N362,"missing: not provided"))),AND(IF(metadata!N362="",FALSE,IF(ISERROR(INT(metadata!N362)),FALSE,INT(metadata!N362)=metadata!N362)),metadata!N362&gt;0))</f>
        <v>0</v>
      </c>
      <c r="AQ362" t="b">
        <f>AND(IF(metadata!O362="",FALSE,TRUE),EXACT(metadata!O362,"Not applicable"))</f>
        <v>0</v>
      </c>
      <c r="AR362" t="b">
        <f>OR(AND(IF(metadata!P362="",FALSE,TRUE),OR(EXACT(metadata!P362,"not applicable"),EXACT(metadata!P362,"missing: not collected"),EXACT(metadata!P362,"missing: not provided"),EXACT(metadata!P362,"missing: restricted access"))),IF(metadata!P362="",FALSE,IF(ISERROR(INT(metadata!P362)),FALSE,INT(metadata!P362)=metadata!P362)))</f>
        <v>0</v>
      </c>
      <c r="AS362" t="b">
        <f>AND(IF(metadata!Q362="",FALSE,TRUE),EXACT(metadata!Q362,"Not applicable"))</f>
        <v>0</v>
      </c>
      <c r="AT362" t="b">
        <f>OR(AND(IF(metadata!R362="",FALSE,TRUE),OR(EXACT(metadata!R362,"not applicable"),EXACT(metadata!R362,"missing: not collected"),EXACT(metadata!R362,"missing: not provided"),EXACT(metadata!R362,"missing: restricted access"))),AND(IF(metadata!R362="",FALSE,ISNUMBER(VALUE(metadata!R362))),metadata!R362&gt;0))</f>
        <v>0</v>
      </c>
      <c r="AU362" t="b">
        <f>AND(IF(metadata!S362="",FALSE,TRUE),EXACT(metadata!S362,"missing: not provided"))</f>
        <v>0</v>
      </c>
    </row>
    <row r="363" spans="1:47" x14ac:dyDescent="0.2">
      <c r="A363" s="5" t="str">
        <f ca="1">IF(B363=" "," ",HYPERLINK(CONCATENATE("#metadata!",ADDRESS(INDEX($Y$2:$Y$1001,MATCH(ROWS($W$2:W363),$W$2:$W$1001,0),0),1)),INDEX($AB$2:$AB$1001,MATCH(ROWS($W$2:W363),$W$2:$W$1001,0),0)))</f>
        <v xml:space="preserve"> </v>
      </c>
      <c r="B363" s="4" t="str">
        <f ca="1">IF(OR(INDEX($X$2:$X$1001,MATCH(ROWS($W$2:W363),$W$2:$W$1001,0),1)&gt;=100000,INDEX($AD$1005:$AU$1005,1,MATCH(COLUMNS($AD$1006:AD1006),$AD$1006:$AU$1006,0))&gt;=100000), " ",IF(INDEX($AD$2:$AU$1001,MATCH(ROWS($W$2:W363),$W$2:$W$1001,0),MATCH(COLUMNS($AD$1006:AD1006),$AD$1006:$AU$1006,0)), HYPERLINK("#",""), HYPERLINK(CONCATENATE("#metadata!", ADDRESS(INDEX($Y$2:$Y$1001,MATCH(ROWS($W$2:W363),$W$2:$W$1001,0),0), INDEX($AD$1004:$AU$1004,1,MATCH(COLUMNS($AD$1006:AD1006),$AD$1006:$AU$1006,0)))),"Fix")))</f>
        <v xml:space="preserve"> </v>
      </c>
      <c r="C363" s="4" t="str">
        <f ca="1">IF(OR(INDEX($X$2:$X$1001,MATCH(ROWS($W$2:W363),$W$2:$W$1001,0),1)&gt;=100000,INDEX($AD$1005:$AU$1005,1,MATCH(COLUMNS($AD$1006:AE1006),$AD$1006:$AU$1006,0))&gt;=100000), " ",IF(INDEX($AD$2:$AU$1001,MATCH(ROWS($W$2:W363),$W$2:$W$1001,0),MATCH(COLUMNS($AD$1006:AE1006),$AD$1006:$AU$1006,0)), HYPERLINK("#",""), HYPERLINK(CONCATENATE("#metadata!", ADDRESS(INDEX($Y$2:$Y$1001,MATCH(ROWS($W$2:W363),$W$2:$W$1001,0),0), INDEX($AD$1004:$AU$1004,1,MATCH(COLUMNS($AD$1006:AE1006),$AD$1006:$AU$1006,0)))),"Fix")))</f>
        <v xml:space="preserve"> </v>
      </c>
      <c r="D363" s="4" t="str">
        <f ca="1">IF(OR(INDEX($X$2:$X$1001,MATCH(ROWS($W$2:W363),$W$2:$W$1001,0),1)&gt;=100000,INDEX($AD$1005:$AU$1005,1,MATCH(COLUMNS($AD$1006:AF1006),$AD$1006:$AU$1006,0))&gt;=100000), " ",IF(INDEX($AD$2:$AU$1001,MATCH(ROWS($W$2:W363),$W$2:$W$1001,0),MATCH(COLUMNS($AD$1006:AF1006),$AD$1006:$AU$1006,0)), HYPERLINK("#",""), HYPERLINK(CONCATENATE("#metadata!", ADDRESS(INDEX($Y$2:$Y$1001,MATCH(ROWS($W$2:W363),$W$2:$W$1001,0),0), INDEX($AD$1004:$AU$1004,1,MATCH(COLUMNS($AD$1006:AF1006),$AD$1006:$AU$1006,0)))),"Fix")))</f>
        <v xml:space="preserve"> </v>
      </c>
      <c r="E363" s="4" t="str">
        <f ca="1">IF(OR(INDEX($X$2:$X$1001,MATCH(ROWS($W$2:W363),$W$2:$W$1001,0),1)&gt;=100000,INDEX($AD$1005:$AU$1005,1,MATCH(COLUMNS($AD$1006:AG1006),$AD$1006:$AU$1006,0))&gt;=100000), " ",IF(INDEX($AD$2:$AU$1001,MATCH(ROWS($W$2:W363),$W$2:$W$1001,0),MATCH(COLUMNS($AD$1006:AG1006),$AD$1006:$AU$1006,0)), HYPERLINK("#",""), HYPERLINK(CONCATENATE("#metadata!", ADDRESS(INDEX($Y$2:$Y$1001,MATCH(ROWS($W$2:W363),$W$2:$W$1001,0),0), INDEX($AD$1004:$AU$1004,1,MATCH(COLUMNS($AD$1006:AG1006),$AD$1006:$AU$1006,0)))),"Fix")))</f>
        <v xml:space="preserve"> </v>
      </c>
      <c r="F363" s="4" t="str">
        <f ca="1">IF(OR(INDEX($X$2:$X$1001,MATCH(ROWS($W$2:W363),$W$2:$W$1001,0),1)&gt;=100000,INDEX($AD$1005:$AU$1005,1,MATCH(COLUMNS($AD$1006:AH1006),$AD$1006:$AU$1006,0))&gt;=100000), " ",IF(INDEX($AD$2:$AU$1001,MATCH(ROWS($W$2:W363),$W$2:$W$1001,0),MATCH(COLUMNS($AD$1006:AH1006),$AD$1006:$AU$1006,0)), HYPERLINK("#",""), HYPERLINK(CONCATENATE("#metadata!", ADDRESS(INDEX($Y$2:$Y$1001,MATCH(ROWS($W$2:W363),$W$2:$W$1001,0),0), INDEX($AD$1004:$AU$1004,1,MATCH(COLUMNS($AD$1006:AH1006),$AD$1006:$AU$1006,0)))),"Fix")))</f>
        <v xml:space="preserve"> </v>
      </c>
      <c r="G363" s="4" t="str">
        <f ca="1">IF(OR(INDEX($X$2:$X$1001,MATCH(ROWS($W$2:W363),$W$2:$W$1001,0),1)&gt;=100000,INDEX($AD$1005:$AU$1005,1,MATCH(COLUMNS($AD$1006:AI1006),$AD$1006:$AU$1006,0))&gt;=100000), " ",IF(INDEX($AD$2:$AU$1001,MATCH(ROWS($W$2:W363),$W$2:$W$1001,0),MATCH(COLUMNS($AD$1006:AI1006),$AD$1006:$AU$1006,0)), HYPERLINK("#",""), HYPERLINK(CONCATENATE("#metadata!", ADDRESS(INDEX($Y$2:$Y$1001,MATCH(ROWS($W$2:W363),$W$2:$W$1001,0),0), INDEX($AD$1004:$AU$1004,1,MATCH(COLUMNS($AD$1006:AI1006),$AD$1006:$AU$1006,0)))),"Fix")))</f>
        <v xml:space="preserve"> </v>
      </c>
      <c r="H363" s="4" t="str">
        <f ca="1">IF(OR(INDEX($X$2:$X$1001,MATCH(ROWS($W$2:W363),$W$2:$W$1001,0),1)&gt;=100000,INDEX($AD$1005:$AU$1005,1,MATCH(COLUMNS($AD$1006:AJ1006),$AD$1006:$AU$1006,0))&gt;=100000), " ",IF(INDEX($AD$2:$AU$1001,MATCH(ROWS($W$2:W363),$W$2:$W$1001,0),MATCH(COLUMNS($AD$1006:AJ1006),$AD$1006:$AU$1006,0)), HYPERLINK("#",""), HYPERLINK(CONCATENATE("#metadata!", ADDRESS(INDEX($Y$2:$Y$1001,MATCH(ROWS($W$2:W363),$W$2:$W$1001,0),0), INDEX($AD$1004:$AU$1004,1,MATCH(COLUMNS($AD$1006:AJ1006),$AD$1006:$AU$1006,0)))),"Fix")))</f>
        <v xml:space="preserve"> </v>
      </c>
      <c r="I363" s="4" t="str">
        <f ca="1">IF(OR(INDEX($X$2:$X$1001,MATCH(ROWS($W$2:W363),$W$2:$W$1001,0),1)&gt;=100000,INDEX($AD$1005:$AU$1005,1,MATCH(COLUMNS($AD$1006:AK1006),$AD$1006:$AU$1006,0))&gt;=100000), " ",IF(INDEX($AD$2:$AU$1001,MATCH(ROWS($W$2:W363),$W$2:$W$1001,0),MATCH(COLUMNS($AD$1006:AK1006),$AD$1006:$AU$1006,0)), HYPERLINK("#",""), HYPERLINK(CONCATENATE("#metadata!", ADDRESS(INDEX($Y$2:$Y$1001,MATCH(ROWS($W$2:W363),$W$2:$W$1001,0),0), INDEX($AD$1004:$AU$1004,1,MATCH(COLUMNS($AD$1006:AK1006),$AD$1006:$AU$1006,0)))),"Fix")))</f>
        <v xml:space="preserve"> </v>
      </c>
      <c r="J363" s="4" t="str">
        <f ca="1">IF(OR(INDEX($X$2:$X$1001,MATCH(ROWS($W$2:W363),$W$2:$W$1001,0),1)&gt;=100000,INDEX($AD$1005:$AU$1005,1,MATCH(COLUMNS($AD$1006:AL1006),$AD$1006:$AU$1006,0))&gt;=100000), " ",IF(INDEX($AD$2:$AU$1001,MATCH(ROWS($W$2:W363),$W$2:$W$1001,0),MATCH(COLUMNS($AD$1006:AL1006),$AD$1006:$AU$1006,0)), HYPERLINK("#",""), HYPERLINK(CONCATENATE("#metadata!", ADDRESS(INDEX($Y$2:$Y$1001,MATCH(ROWS($W$2:W363),$W$2:$W$1001,0),0), INDEX($AD$1004:$AU$1004,1,MATCH(COLUMNS($AD$1006:AL1006),$AD$1006:$AU$1006,0)))),"Fix")))</f>
        <v xml:space="preserve"> </v>
      </c>
      <c r="K363" s="4" t="str">
        <f ca="1">IF(OR(INDEX($X$2:$X$1001,MATCH(ROWS($W$2:W363),$W$2:$W$1001,0),1)&gt;=100000,INDEX($AD$1005:$AU$1005,1,MATCH(COLUMNS($AD$1006:AM1006),$AD$1006:$AU$1006,0))&gt;=100000), " ",IF(INDEX($AD$2:$AU$1001,MATCH(ROWS($W$2:W363),$W$2:$W$1001,0),MATCH(COLUMNS($AD$1006:AM1006),$AD$1006:$AU$1006,0)), HYPERLINK("#",""), HYPERLINK(CONCATENATE("#metadata!", ADDRESS(INDEX($Y$2:$Y$1001,MATCH(ROWS($W$2:W363),$W$2:$W$1001,0),0), INDEX($AD$1004:$AU$1004,1,MATCH(COLUMNS($AD$1006:AM1006),$AD$1006:$AU$1006,0)))),"Fix")))</f>
        <v xml:space="preserve"> </v>
      </c>
      <c r="L363" s="4" t="str">
        <f ca="1">IF(OR(INDEX($X$2:$X$1001,MATCH(ROWS($W$2:W363),$W$2:$W$1001,0),1)&gt;=100000,INDEX($AD$1005:$AU$1005,1,MATCH(COLUMNS($AD$1006:AN1006),$AD$1006:$AU$1006,0))&gt;=100000), " ",IF(INDEX($AD$2:$AU$1001,MATCH(ROWS($W$2:W363),$W$2:$W$1001,0),MATCH(COLUMNS($AD$1006:AN1006),$AD$1006:$AU$1006,0)), HYPERLINK("#",""), HYPERLINK(CONCATENATE("#metadata!", ADDRESS(INDEX($Y$2:$Y$1001,MATCH(ROWS($W$2:W363),$W$2:$W$1001,0),0), INDEX($AD$1004:$AU$1004,1,MATCH(COLUMNS($AD$1006:AN1006),$AD$1006:$AU$1006,0)))),"Fix")))</f>
        <v xml:space="preserve"> </v>
      </c>
      <c r="M363" s="4" t="str">
        <f ca="1">IF(OR(INDEX($X$2:$X$1001,MATCH(ROWS($W$2:W363),$W$2:$W$1001,0),1)&gt;=100000,INDEX($AD$1005:$AU$1005,1,MATCH(COLUMNS($AD$1006:AO1006),$AD$1006:$AU$1006,0))&gt;=100000), " ",IF(INDEX($AD$2:$AU$1001,MATCH(ROWS($W$2:W363),$W$2:$W$1001,0),MATCH(COLUMNS($AD$1006:AO1006),$AD$1006:$AU$1006,0)), HYPERLINK("#",""), HYPERLINK(CONCATENATE("#metadata!", ADDRESS(INDEX($Y$2:$Y$1001,MATCH(ROWS($W$2:W363),$W$2:$W$1001,0),0), INDEX($AD$1004:$AU$1004,1,MATCH(COLUMNS($AD$1006:AO1006),$AD$1006:$AU$1006,0)))),"Fix")))</f>
        <v xml:space="preserve"> </v>
      </c>
      <c r="N363" s="4" t="str">
        <f ca="1">IF(OR(INDEX($X$2:$X$1001,MATCH(ROWS($W$2:W363),$W$2:$W$1001,0),1)&gt;=100000,INDEX($AD$1005:$AU$1005,1,MATCH(COLUMNS($AD$1006:AP1006),$AD$1006:$AU$1006,0))&gt;=100000), " ",IF(INDEX($AD$2:$AU$1001,MATCH(ROWS($W$2:W363),$W$2:$W$1001,0),MATCH(COLUMNS($AD$1006:AP1006),$AD$1006:$AU$1006,0)), HYPERLINK("#",""), HYPERLINK(CONCATENATE("#metadata!", ADDRESS(INDEX($Y$2:$Y$1001,MATCH(ROWS($W$2:W363),$W$2:$W$1001,0),0), INDEX($AD$1004:$AU$1004,1,MATCH(COLUMNS($AD$1006:AP1006),$AD$1006:$AU$1006,0)))),"Fix")))</f>
        <v xml:space="preserve"> </v>
      </c>
      <c r="O363" s="4" t="str">
        <f ca="1">IF(OR(INDEX($X$2:$X$1001,MATCH(ROWS($W$2:W363),$W$2:$W$1001,0),1)&gt;=100000,INDEX($AD$1005:$AU$1005,1,MATCH(COLUMNS($AD$1006:AQ1006),$AD$1006:$AU$1006,0))&gt;=100000), " ",IF(INDEX($AD$2:$AU$1001,MATCH(ROWS($W$2:W363),$W$2:$W$1001,0),MATCH(COLUMNS($AD$1006:AQ1006),$AD$1006:$AU$1006,0)), HYPERLINK("#",""), HYPERLINK(CONCATENATE("#metadata!", ADDRESS(INDEX($Y$2:$Y$1001,MATCH(ROWS($W$2:W363),$W$2:$W$1001,0),0), INDEX($AD$1004:$AU$1004,1,MATCH(COLUMNS($AD$1006:AQ1006),$AD$1006:$AU$1006,0)))),"Fix")))</f>
        <v xml:space="preserve"> </v>
      </c>
      <c r="P363" s="4" t="str">
        <f ca="1">IF(OR(INDEX($X$2:$X$1001,MATCH(ROWS($W$2:W363),$W$2:$W$1001,0),1)&gt;=100000,INDEX($AD$1005:$AU$1005,1,MATCH(COLUMNS($AD$1006:AR1006),$AD$1006:$AU$1006,0))&gt;=100000), " ",IF(INDEX($AD$2:$AU$1001,MATCH(ROWS($W$2:W363),$W$2:$W$1001,0),MATCH(COLUMNS($AD$1006:AR1006),$AD$1006:$AU$1006,0)), HYPERLINK("#",""), HYPERLINK(CONCATENATE("#metadata!", ADDRESS(INDEX($Y$2:$Y$1001,MATCH(ROWS($W$2:W363),$W$2:$W$1001,0),0), INDEX($AD$1004:$AU$1004,1,MATCH(COLUMNS($AD$1006:AR1006),$AD$1006:$AU$1006,0)))),"Fix")))</f>
        <v xml:space="preserve"> </v>
      </c>
      <c r="Q363" s="4" t="str">
        <f ca="1">IF(OR(INDEX($X$2:$X$1001,MATCH(ROWS($W$2:W363),$W$2:$W$1001,0),1)&gt;=100000,INDEX($AD$1005:$AU$1005,1,MATCH(COLUMNS($AD$1006:AS1006),$AD$1006:$AU$1006,0))&gt;=100000), " ",IF(INDEX($AD$2:$AU$1001,MATCH(ROWS($W$2:W363),$W$2:$W$1001,0),MATCH(COLUMNS($AD$1006:AS1006),$AD$1006:$AU$1006,0)), HYPERLINK("#",""), HYPERLINK(CONCATENATE("#metadata!", ADDRESS(INDEX($Y$2:$Y$1001,MATCH(ROWS($W$2:W363),$W$2:$W$1001,0),0), INDEX($AD$1004:$AU$1004,1,MATCH(COLUMNS($AD$1006:AS1006),$AD$1006:$AU$1006,0)))),"Fix")))</f>
        <v xml:space="preserve"> </v>
      </c>
      <c r="R363" s="4" t="str">
        <f ca="1">IF(OR(INDEX($X$2:$X$1001,MATCH(ROWS($W$2:W363),$W$2:$W$1001,0),1)&gt;=100000,INDEX($AD$1005:$AU$1005,1,MATCH(COLUMNS($AD$1006:AT1006),$AD$1006:$AU$1006,0))&gt;=100000), " ",IF(INDEX($AD$2:$AU$1001,MATCH(ROWS($W$2:W363),$W$2:$W$1001,0),MATCH(COLUMNS($AD$1006:AT1006),$AD$1006:$AU$1006,0)), HYPERLINK("#",""), HYPERLINK(CONCATENATE("#metadata!", ADDRESS(INDEX($Y$2:$Y$1001,MATCH(ROWS($W$2:W363),$W$2:$W$1001,0),0), INDEX($AD$1004:$AU$1004,1,MATCH(COLUMNS($AD$1006:AT1006),$AD$1006:$AU$1006,0)))),"Fix")))</f>
        <v xml:space="preserve"> </v>
      </c>
      <c r="S363" s="4" t="str">
        <f ca="1">IF(OR(INDEX($X$2:$X$1001,MATCH(ROWS($W$2:W363),$W$2:$W$1001,0),1)&gt;=100000,INDEX($AD$1005:$AU$1005,1,MATCH(COLUMNS($AD$1006:AU1006),$AD$1006:$AU$1006,0))&gt;=100000), " ",IF(INDEX($AD$2:$AU$1001,MATCH(ROWS($W$2:W363),$W$2:$W$1001,0),MATCH(COLUMNS($AD$1006:AU1006),$AD$1006:$AU$1006,0)), HYPERLINK("#",""), HYPERLINK(CONCATENATE("#metadata!", ADDRESS(INDEX($Y$2:$Y$1001,MATCH(ROWS($W$2:W363),$W$2:$W$1001,0),0), INDEX($AD$1004:$AU$1004,1,MATCH(COLUMNS($AD$1006:AU1006),$AD$1006:$AU$1006,0)))),"Fix")))</f>
        <v xml:space="preserve"> </v>
      </c>
      <c r="W363">
        <v>362</v>
      </c>
      <c r="X363">
        <v>100363</v>
      </c>
      <c r="Y363">
        <v>363</v>
      </c>
      <c r="Z363" t="b">
        <f t="shared" si="5"/>
        <v>1</v>
      </c>
      <c r="AA363" t="b">
        <f>COUNTBLANK(metadata!B363:S363)=COLUMNS(metadata!B363:S363)</f>
        <v>1</v>
      </c>
      <c r="AB363" t="str">
        <v/>
      </c>
      <c r="AD363" t="b">
        <f ca="1">AND(IF(metadata!B363="",FALSE,TRUE),COUNTIF(metadata!B:B, metadata!B363) = 1,NOT(ISERROR(SUMPRODUCT(SEARCH(MID(metadata!B363,ROW(INDIRECT("1:"&amp;LEN(metadata!B363))), 1),"0123456789abcdefghijklmnopqrstuvwxyzABCDEFGHIJKLMNOPQRSTUVWXYZ.")))))</f>
        <v>0</v>
      </c>
      <c r="AE363" t="b">
        <f>OR(AND(IF(metadata!C363="",FALSE,TRUE),OR(EXACT(metadata!C363,"not applicable"),EXACT(metadata!C363,"missing: not collected"),EXACT(metadata!C363,"missing: not provided"),EXACT(metadata!C363,"missing: restricted access"))),AND(IF(metadata!C363="",FALSE,ISNUMBER(VALUE(metadata!C363))),metadata!C363&gt;0))</f>
        <v>0</v>
      </c>
      <c r="AF363" t="b">
        <f>AND(IF(metadata!D363="",FALSE,TRUE),EXACT(metadata!D363,"missing: not provided"))</f>
        <v>0</v>
      </c>
      <c r="AG363" t="b">
        <f>AND(IF(metadata!E363="",FALSE,TRUE),EXACT(metadata!E363,"Host-associated"))</f>
        <v>0</v>
      </c>
      <c r="AH363" t="b">
        <f>AND(IF(metadata!F363="",FALSE,TRUE),OR(EXACT(metadata!F363,"Animal"),EXACT(metadata!F363,"Fungus"),EXACT(metadata!F363,"Plant")))</f>
        <v>0</v>
      </c>
      <c r="AI363" t="b">
        <f>AND(IF(metadata!G363="",FALSE,TRUE),OR(EXACT(metadata!G363,"Plant secretion"),EXACT(metadata!G363,"Plant rhizosphere"),EXACT(metadata!G363,"Plant surface"),EXACT(metadata!G363,"Plant corpus"),EXACT(metadata!G363,"Fungus surface"),EXACT(metadata!G363,"Fungus corpus"),EXACT(metadata!G363,"Animal surface"),EXACT(metadata!G363,"Animal proximal gut"),EXACT(metadata!G363,"Animal corpus"),EXACT(metadata!G363,"Animal distal gut"),EXACT(metadata!G363,"Animal secretion")))</f>
        <v>0</v>
      </c>
      <c r="AJ363" t="b">
        <f>OR(AND(IF(metadata!H363="",FALSE,TRUE),OR(EXACT(metadata!H363,"missing: not collected"),EXACT(metadata!H363,"missing: not provided"),EXACT(metadata!H363,"missing: restricted access"))),AND(IF(metadata!H363="",FALSE,TRUE),OR(EXACT(metadata!H363,"organism-associated habitat"),EXACT(metadata!H363,"plant-associated habitat"),EXACT(metadata!H363,"animal-associated habitat"),EXACT(metadata!H363,"insecta-associated habitat"),EXACT(metadata!H363,"mammalia-associated habitat"),EXACT(metadata!H363,"human-associated habitat"),EXACT(metadata!H363,"livestock-associated habitat"))))</f>
        <v>0</v>
      </c>
      <c r="AK363" t="b">
        <f>AND(IF(metadata!I363="",FALSE,TRUE),EXACT(metadata!I363,"host-associated"))</f>
        <v>0</v>
      </c>
      <c r="AL363" t="b">
        <f>OR(AND(IF(metadata!J363="",FALSE,TRUE),OR(EXACT(metadata!J363,"not applicable"),EXACT(metadata!J363,"missing: not collected"),EXACT(metadata!J363,"missing: not provided"),EXACT(metadata!J363,"missing: restricted access"))),AND(IF(metadata!J363="",FALSE,ISNUMBER(VALUE(metadata!J363))),metadata!J363&gt;0))</f>
        <v>0</v>
      </c>
      <c r="AM363" t="b">
        <f>AND(IF(metadata!K363="",FALSE,TRUE),EXACT(metadata!K363,"missing: not provided"))</f>
        <v>0</v>
      </c>
      <c r="AN363" t="b">
        <f>IF(metadata!L363="",FALSE,TRUE)</f>
        <v>0</v>
      </c>
      <c r="AO363" t="b">
        <f>IF(metadata!M363="",FALSE,TRUE)</f>
        <v>0</v>
      </c>
      <c r="AP363" t="b">
        <f>OR(AND(IF(metadata!N363="",FALSE,TRUE),OR(EXACT(metadata!N363,"not applicable"),EXACT(metadata!N363,"missing: not collected"),EXACT(metadata!N363,"missing: not provided"))),AND(IF(metadata!N363="",FALSE,IF(ISERROR(INT(metadata!N363)),FALSE,INT(metadata!N363)=metadata!N363)),metadata!N363&gt;0))</f>
        <v>0</v>
      </c>
      <c r="AQ363" t="b">
        <f>AND(IF(metadata!O363="",FALSE,TRUE),EXACT(metadata!O363,"Not applicable"))</f>
        <v>0</v>
      </c>
      <c r="AR363" t="b">
        <f>OR(AND(IF(metadata!P363="",FALSE,TRUE),OR(EXACT(metadata!P363,"not applicable"),EXACT(metadata!P363,"missing: not collected"),EXACT(metadata!P363,"missing: not provided"),EXACT(metadata!P363,"missing: restricted access"))),IF(metadata!P363="",FALSE,IF(ISERROR(INT(metadata!P363)),FALSE,INT(metadata!P363)=metadata!P363)))</f>
        <v>0</v>
      </c>
      <c r="AS363" t="b">
        <f>AND(IF(metadata!Q363="",FALSE,TRUE),EXACT(metadata!Q363,"Not applicable"))</f>
        <v>0</v>
      </c>
      <c r="AT363" t="b">
        <f>OR(AND(IF(metadata!R363="",FALSE,TRUE),OR(EXACT(metadata!R363,"not applicable"),EXACT(metadata!R363,"missing: not collected"),EXACT(metadata!R363,"missing: not provided"),EXACT(metadata!R363,"missing: restricted access"))),AND(IF(metadata!R363="",FALSE,ISNUMBER(VALUE(metadata!R363))),metadata!R363&gt;0))</f>
        <v>0</v>
      </c>
      <c r="AU363" t="b">
        <f>AND(IF(metadata!S363="",FALSE,TRUE),EXACT(metadata!S363,"missing: not provided"))</f>
        <v>0</v>
      </c>
    </row>
    <row r="364" spans="1:47" x14ac:dyDescent="0.2">
      <c r="A364" s="5" t="str">
        <f ca="1">IF(B364=" "," ",HYPERLINK(CONCATENATE("#metadata!",ADDRESS(INDEX($Y$2:$Y$1001,MATCH(ROWS($W$2:W364),$W$2:$W$1001,0),0),1)),INDEX($AB$2:$AB$1001,MATCH(ROWS($W$2:W364),$W$2:$W$1001,0),0)))</f>
        <v xml:space="preserve"> </v>
      </c>
      <c r="B364" s="4" t="str">
        <f ca="1">IF(OR(INDEX($X$2:$X$1001,MATCH(ROWS($W$2:W364),$W$2:$W$1001,0),1)&gt;=100000,INDEX($AD$1005:$AU$1005,1,MATCH(COLUMNS($AD$1006:AD1006),$AD$1006:$AU$1006,0))&gt;=100000), " ",IF(INDEX($AD$2:$AU$1001,MATCH(ROWS($W$2:W364),$W$2:$W$1001,0),MATCH(COLUMNS($AD$1006:AD1006),$AD$1006:$AU$1006,0)), HYPERLINK("#",""), HYPERLINK(CONCATENATE("#metadata!", ADDRESS(INDEX($Y$2:$Y$1001,MATCH(ROWS($W$2:W364),$W$2:$W$1001,0),0), INDEX($AD$1004:$AU$1004,1,MATCH(COLUMNS($AD$1006:AD1006),$AD$1006:$AU$1006,0)))),"Fix")))</f>
        <v xml:space="preserve"> </v>
      </c>
      <c r="C364" s="4" t="str">
        <f ca="1">IF(OR(INDEX($X$2:$X$1001,MATCH(ROWS($W$2:W364),$W$2:$W$1001,0),1)&gt;=100000,INDEX($AD$1005:$AU$1005,1,MATCH(COLUMNS($AD$1006:AE1006),$AD$1006:$AU$1006,0))&gt;=100000), " ",IF(INDEX($AD$2:$AU$1001,MATCH(ROWS($W$2:W364),$W$2:$W$1001,0),MATCH(COLUMNS($AD$1006:AE1006),$AD$1006:$AU$1006,0)), HYPERLINK("#",""), HYPERLINK(CONCATENATE("#metadata!", ADDRESS(INDEX($Y$2:$Y$1001,MATCH(ROWS($W$2:W364),$W$2:$W$1001,0),0), INDEX($AD$1004:$AU$1004,1,MATCH(COLUMNS($AD$1006:AE1006),$AD$1006:$AU$1006,0)))),"Fix")))</f>
        <v xml:space="preserve"> </v>
      </c>
      <c r="D364" s="4" t="str">
        <f ca="1">IF(OR(INDEX($X$2:$X$1001,MATCH(ROWS($W$2:W364),$W$2:$W$1001,0),1)&gt;=100000,INDEX($AD$1005:$AU$1005,1,MATCH(COLUMNS($AD$1006:AF1006),$AD$1006:$AU$1006,0))&gt;=100000), " ",IF(INDEX($AD$2:$AU$1001,MATCH(ROWS($W$2:W364),$W$2:$W$1001,0),MATCH(COLUMNS($AD$1006:AF1006),$AD$1006:$AU$1006,0)), HYPERLINK("#",""), HYPERLINK(CONCATENATE("#metadata!", ADDRESS(INDEX($Y$2:$Y$1001,MATCH(ROWS($W$2:W364),$W$2:$W$1001,0),0), INDEX($AD$1004:$AU$1004,1,MATCH(COLUMNS($AD$1006:AF1006),$AD$1006:$AU$1006,0)))),"Fix")))</f>
        <v xml:space="preserve"> </v>
      </c>
      <c r="E364" s="4" t="str">
        <f ca="1">IF(OR(INDEX($X$2:$X$1001,MATCH(ROWS($W$2:W364),$W$2:$W$1001,0),1)&gt;=100000,INDEX($AD$1005:$AU$1005,1,MATCH(COLUMNS($AD$1006:AG1006),$AD$1006:$AU$1006,0))&gt;=100000), " ",IF(INDEX($AD$2:$AU$1001,MATCH(ROWS($W$2:W364),$W$2:$W$1001,0),MATCH(COLUMNS($AD$1006:AG1006),$AD$1006:$AU$1006,0)), HYPERLINK("#",""), HYPERLINK(CONCATENATE("#metadata!", ADDRESS(INDEX($Y$2:$Y$1001,MATCH(ROWS($W$2:W364),$W$2:$W$1001,0),0), INDEX($AD$1004:$AU$1004,1,MATCH(COLUMNS($AD$1006:AG1006),$AD$1006:$AU$1006,0)))),"Fix")))</f>
        <v xml:space="preserve"> </v>
      </c>
      <c r="F364" s="4" t="str">
        <f ca="1">IF(OR(INDEX($X$2:$X$1001,MATCH(ROWS($W$2:W364),$W$2:$W$1001,0),1)&gt;=100000,INDEX($AD$1005:$AU$1005,1,MATCH(COLUMNS($AD$1006:AH1006),$AD$1006:$AU$1006,0))&gt;=100000), " ",IF(INDEX($AD$2:$AU$1001,MATCH(ROWS($W$2:W364),$W$2:$W$1001,0),MATCH(COLUMNS($AD$1006:AH1006),$AD$1006:$AU$1006,0)), HYPERLINK("#",""), HYPERLINK(CONCATENATE("#metadata!", ADDRESS(INDEX($Y$2:$Y$1001,MATCH(ROWS($W$2:W364),$W$2:$W$1001,0),0), INDEX($AD$1004:$AU$1004,1,MATCH(COLUMNS($AD$1006:AH1006),$AD$1006:$AU$1006,0)))),"Fix")))</f>
        <v xml:space="preserve"> </v>
      </c>
      <c r="G364" s="4" t="str">
        <f ca="1">IF(OR(INDEX($X$2:$X$1001,MATCH(ROWS($W$2:W364),$W$2:$W$1001,0),1)&gt;=100000,INDEX($AD$1005:$AU$1005,1,MATCH(COLUMNS($AD$1006:AI1006),$AD$1006:$AU$1006,0))&gt;=100000), " ",IF(INDEX($AD$2:$AU$1001,MATCH(ROWS($W$2:W364),$W$2:$W$1001,0),MATCH(COLUMNS($AD$1006:AI1006),$AD$1006:$AU$1006,0)), HYPERLINK("#",""), HYPERLINK(CONCATENATE("#metadata!", ADDRESS(INDEX($Y$2:$Y$1001,MATCH(ROWS($W$2:W364),$W$2:$W$1001,0),0), INDEX($AD$1004:$AU$1004,1,MATCH(COLUMNS($AD$1006:AI1006),$AD$1006:$AU$1006,0)))),"Fix")))</f>
        <v xml:space="preserve"> </v>
      </c>
      <c r="H364" s="4" t="str">
        <f ca="1">IF(OR(INDEX($X$2:$X$1001,MATCH(ROWS($W$2:W364),$W$2:$W$1001,0),1)&gt;=100000,INDEX($AD$1005:$AU$1005,1,MATCH(COLUMNS($AD$1006:AJ1006),$AD$1006:$AU$1006,0))&gt;=100000), " ",IF(INDEX($AD$2:$AU$1001,MATCH(ROWS($W$2:W364),$W$2:$W$1001,0),MATCH(COLUMNS($AD$1006:AJ1006),$AD$1006:$AU$1006,0)), HYPERLINK("#",""), HYPERLINK(CONCATENATE("#metadata!", ADDRESS(INDEX($Y$2:$Y$1001,MATCH(ROWS($W$2:W364),$W$2:$W$1001,0),0), INDEX($AD$1004:$AU$1004,1,MATCH(COLUMNS($AD$1006:AJ1006),$AD$1006:$AU$1006,0)))),"Fix")))</f>
        <v xml:space="preserve"> </v>
      </c>
      <c r="I364" s="4" t="str">
        <f ca="1">IF(OR(INDEX($X$2:$X$1001,MATCH(ROWS($W$2:W364),$W$2:$W$1001,0),1)&gt;=100000,INDEX($AD$1005:$AU$1005,1,MATCH(COLUMNS($AD$1006:AK1006),$AD$1006:$AU$1006,0))&gt;=100000), " ",IF(INDEX($AD$2:$AU$1001,MATCH(ROWS($W$2:W364),$W$2:$W$1001,0),MATCH(COLUMNS($AD$1006:AK1006),$AD$1006:$AU$1006,0)), HYPERLINK("#",""), HYPERLINK(CONCATENATE("#metadata!", ADDRESS(INDEX($Y$2:$Y$1001,MATCH(ROWS($W$2:W364),$W$2:$W$1001,0),0), INDEX($AD$1004:$AU$1004,1,MATCH(COLUMNS($AD$1006:AK1006),$AD$1006:$AU$1006,0)))),"Fix")))</f>
        <v xml:space="preserve"> </v>
      </c>
      <c r="J364" s="4" t="str">
        <f ca="1">IF(OR(INDEX($X$2:$X$1001,MATCH(ROWS($W$2:W364),$W$2:$W$1001,0),1)&gt;=100000,INDEX($AD$1005:$AU$1005,1,MATCH(COLUMNS($AD$1006:AL1006),$AD$1006:$AU$1006,0))&gt;=100000), " ",IF(INDEX($AD$2:$AU$1001,MATCH(ROWS($W$2:W364),$W$2:$W$1001,0),MATCH(COLUMNS($AD$1006:AL1006),$AD$1006:$AU$1006,0)), HYPERLINK("#",""), HYPERLINK(CONCATENATE("#metadata!", ADDRESS(INDEX($Y$2:$Y$1001,MATCH(ROWS($W$2:W364),$W$2:$W$1001,0),0), INDEX($AD$1004:$AU$1004,1,MATCH(COLUMNS($AD$1006:AL1006),$AD$1006:$AU$1006,0)))),"Fix")))</f>
        <v xml:space="preserve"> </v>
      </c>
      <c r="K364" s="4" t="str">
        <f ca="1">IF(OR(INDEX($X$2:$X$1001,MATCH(ROWS($W$2:W364),$W$2:$W$1001,0),1)&gt;=100000,INDEX($AD$1005:$AU$1005,1,MATCH(COLUMNS($AD$1006:AM1006),$AD$1006:$AU$1006,0))&gt;=100000), " ",IF(INDEX($AD$2:$AU$1001,MATCH(ROWS($W$2:W364),$W$2:$W$1001,0),MATCH(COLUMNS($AD$1006:AM1006),$AD$1006:$AU$1006,0)), HYPERLINK("#",""), HYPERLINK(CONCATENATE("#metadata!", ADDRESS(INDEX($Y$2:$Y$1001,MATCH(ROWS($W$2:W364),$W$2:$W$1001,0),0), INDEX($AD$1004:$AU$1004,1,MATCH(COLUMNS($AD$1006:AM1006),$AD$1006:$AU$1006,0)))),"Fix")))</f>
        <v xml:space="preserve"> </v>
      </c>
      <c r="L364" s="4" t="str">
        <f ca="1">IF(OR(INDEX($X$2:$X$1001,MATCH(ROWS($W$2:W364),$W$2:$W$1001,0),1)&gt;=100000,INDEX($AD$1005:$AU$1005,1,MATCH(COLUMNS($AD$1006:AN1006),$AD$1006:$AU$1006,0))&gt;=100000), " ",IF(INDEX($AD$2:$AU$1001,MATCH(ROWS($W$2:W364),$W$2:$W$1001,0),MATCH(COLUMNS($AD$1006:AN1006),$AD$1006:$AU$1006,0)), HYPERLINK("#",""), HYPERLINK(CONCATENATE("#metadata!", ADDRESS(INDEX($Y$2:$Y$1001,MATCH(ROWS($W$2:W364),$W$2:$W$1001,0),0), INDEX($AD$1004:$AU$1004,1,MATCH(COLUMNS($AD$1006:AN1006),$AD$1006:$AU$1006,0)))),"Fix")))</f>
        <v xml:space="preserve"> </v>
      </c>
      <c r="M364" s="4" t="str">
        <f ca="1">IF(OR(INDEX($X$2:$X$1001,MATCH(ROWS($W$2:W364),$W$2:$W$1001,0),1)&gt;=100000,INDEX($AD$1005:$AU$1005,1,MATCH(COLUMNS($AD$1006:AO1006),$AD$1006:$AU$1006,0))&gt;=100000), " ",IF(INDEX($AD$2:$AU$1001,MATCH(ROWS($W$2:W364),$W$2:$W$1001,0),MATCH(COLUMNS($AD$1006:AO1006),$AD$1006:$AU$1006,0)), HYPERLINK("#",""), HYPERLINK(CONCATENATE("#metadata!", ADDRESS(INDEX($Y$2:$Y$1001,MATCH(ROWS($W$2:W364),$W$2:$W$1001,0),0), INDEX($AD$1004:$AU$1004,1,MATCH(COLUMNS($AD$1006:AO1006),$AD$1006:$AU$1006,0)))),"Fix")))</f>
        <v xml:space="preserve"> </v>
      </c>
      <c r="N364" s="4" t="str">
        <f ca="1">IF(OR(INDEX($X$2:$X$1001,MATCH(ROWS($W$2:W364),$W$2:$W$1001,0),1)&gt;=100000,INDEX($AD$1005:$AU$1005,1,MATCH(COLUMNS($AD$1006:AP1006),$AD$1006:$AU$1006,0))&gt;=100000), " ",IF(INDEX($AD$2:$AU$1001,MATCH(ROWS($W$2:W364),$W$2:$W$1001,0),MATCH(COLUMNS($AD$1006:AP1006),$AD$1006:$AU$1006,0)), HYPERLINK("#",""), HYPERLINK(CONCATENATE("#metadata!", ADDRESS(INDEX($Y$2:$Y$1001,MATCH(ROWS($W$2:W364),$W$2:$W$1001,0),0), INDEX($AD$1004:$AU$1004,1,MATCH(COLUMNS($AD$1006:AP1006),$AD$1006:$AU$1006,0)))),"Fix")))</f>
        <v xml:space="preserve"> </v>
      </c>
      <c r="O364" s="4" t="str">
        <f ca="1">IF(OR(INDEX($X$2:$X$1001,MATCH(ROWS($W$2:W364),$W$2:$W$1001,0),1)&gt;=100000,INDEX($AD$1005:$AU$1005,1,MATCH(COLUMNS($AD$1006:AQ1006),$AD$1006:$AU$1006,0))&gt;=100000), " ",IF(INDEX($AD$2:$AU$1001,MATCH(ROWS($W$2:W364),$W$2:$W$1001,0),MATCH(COLUMNS($AD$1006:AQ1006),$AD$1006:$AU$1006,0)), HYPERLINK("#",""), HYPERLINK(CONCATENATE("#metadata!", ADDRESS(INDEX($Y$2:$Y$1001,MATCH(ROWS($W$2:W364),$W$2:$W$1001,0),0), INDEX($AD$1004:$AU$1004,1,MATCH(COLUMNS($AD$1006:AQ1006),$AD$1006:$AU$1006,0)))),"Fix")))</f>
        <v xml:space="preserve"> </v>
      </c>
      <c r="P364" s="4" t="str">
        <f ca="1">IF(OR(INDEX($X$2:$X$1001,MATCH(ROWS($W$2:W364),$W$2:$W$1001,0),1)&gt;=100000,INDEX($AD$1005:$AU$1005,1,MATCH(COLUMNS($AD$1006:AR1006),$AD$1006:$AU$1006,0))&gt;=100000), " ",IF(INDEX($AD$2:$AU$1001,MATCH(ROWS($W$2:W364),$W$2:$W$1001,0),MATCH(COLUMNS($AD$1006:AR1006),$AD$1006:$AU$1006,0)), HYPERLINK("#",""), HYPERLINK(CONCATENATE("#metadata!", ADDRESS(INDEX($Y$2:$Y$1001,MATCH(ROWS($W$2:W364),$W$2:$W$1001,0),0), INDEX($AD$1004:$AU$1004,1,MATCH(COLUMNS($AD$1006:AR1006),$AD$1006:$AU$1006,0)))),"Fix")))</f>
        <v xml:space="preserve"> </v>
      </c>
      <c r="Q364" s="4" t="str">
        <f ca="1">IF(OR(INDEX($X$2:$X$1001,MATCH(ROWS($W$2:W364),$W$2:$W$1001,0),1)&gt;=100000,INDEX($AD$1005:$AU$1005,1,MATCH(COLUMNS($AD$1006:AS1006),$AD$1006:$AU$1006,0))&gt;=100000), " ",IF(INDEX($AD$2:$AU$1001,MATCH(ROWS($W$2:W364),$W$2:$W$1001,0),MATCH(COLUMNS($AD$1006:AS1006),$AD$1006:$AU$1006,0)), HYPERLINK("#",""), HYPERLINK(CONCATENATE("#metadata!", ADDRESS(INDEX($Y$2:$Y$1001,MATCH(ROWS($W$2:W364),$W$2:$W$1001,0),0), INDEX($AD$1004:$AU$1004,1,MATCH(COLUMNS($AD$1006:AS1006),$AD$1006:$AU$1006,0)))),"Fix")))</f>
        <v xml:space="preserve"> </v>
      </c>
      <c r="R364" s="4" t="str">
        <f ca="1">IF(OR(INDEX($X$2:$X$1001,MATCH(ROWS($W$2:W364),$W$2:$W$1001,0),1)&gt;=100000,INDEX($AD$1005:$AU$1005,1,MATCH(COLUMNS($AD$1006:AT1006),$AD$1006:$AU$1006,0))&gt;=100000), " ",IF(INDEX($AD$2:$AU$1001,MATCH(ROWS($W$2:W364),$W$2:$W$1001,0),MATCH(COLUMNS($AD$1006:AT1006),$AD$1006:$AU$1006,0)), HYPERLINK("#",""), HYPERLINK(CONCATENATE("#metadata!", ADDRESS(INDEX($Y$2:$Y$1001,MATCH(ROWS($W$2:W364),$W$2:$W$1001,0),0), INDEX($AD$1004:$AU$1004,1,MATCH(COLUMNS($AD$1006:AT1006),$AD$1006:$AU$1006,0)))),"Fix")))</f>
        <v xml:space="preserve"> </v>
      </c>
      <c r="S364" s="4" t="str">
        <f ca="1">IF(OR(INDEX($X$2:$X$1001,MATCH(ROWS($W$2:W364),$W$2:$W$1001,0),1)&gt;=100000,INDEX($AD$1005:$AU$1005,1,MATCH(COLUMNS($AD$1006:AU1006),$AD$1006:$AU$1006,0))&gt;=100000), " ",IF(INDEX($AD$2:$AU$1001,MATCH(ROWS($W$2:W364),$W$2:$W$1001,0),MATCH(COLUMNS($AD$1006:AU1006),$AD$1006:$AU$1006,0)), HYPERLINK("#",""), HYPERLINK(CONCATENATE("#metadata!", ADDRESS(INDEX($Y$2:$Y$1001,MATCH(ROWS($W$2:W364),$W$2:$W$1001,0),0), INDEX($AD$1004:$AU$1004,1,MATCH(COLUMNS($AD$1006:AU1006),$AD$1006:$AU$1006,0)))),"Fix")))</f>
        <v xml:space="preserve"> </v>
      </c>
      <c r="W364">
        <v>363</v>
      </c>
      <c r="X364">
        <v>100364</v>
      </c>
      <c r="Y364">
        <v>364</v>
      </c>
      <c r="Z364" t="b">
        <f t="shared" si="5"/>
        <v>1</v>
      </c>
      <c r="AA364" t="b">
        <f>COUNTBLANK(metadata!B364:S364)=COLUMNS(metadata!B364:S364)</f>
        <v>1</v>
      </c>
      <c r="AB364" t="str">
        <v/>
      </c>
      <c r="AD364" t="b">
        <f ca="1">AND(IF(metadata!B364="",FALSE,TRUE),COUNTIF(metadata!B:B, metadata!B364) = 1,NOT(ISERROR(SUMPRODUCT(SEARCH(MID(metadata!B364,ROW(INDIRECT("1:"&amp;LEN(metadata!B364))), 1),"0123456789abcdefghijklmnopqrstuvwxyzABCDEFGHIJKLMNOPQRSTUVWXYZ.")))))</f>
        <v>0</v>
      </c>
      <c r="AE364" t="b">
        <f>OR(AND(IF(metadata!C364="",FALSE,TRUE),OR(EXACT(metadata!C364,"not applicable"),EXACT(metadata!C364,"missing: not collected"),EXACT(metadata!C364,"missing: not provided"),EXACT(metadata!C364,"missing: restricted access"))),AND(IF(metadata!C364="",FALSE,ISNUMBER(VALUE(metadata!C364))),metadata!C364&gt;0))</f>
        <v>0</v>
      </c>
      <c r="AF364" t="b">
        <f>AND(IF(metadata!D364="",FALSE,TRUE),EXACT(metadata!D364,"missing: not provided"))</f>
        <v>0</v>
      </c>
      <c r="AG364" t="b">
        <f>AND(IF(metadata!E364="",FALSE,TRUE),EXACT(metadata!E364,"Host-associated"))</f>
        <v>0</v>
      </c>
      <c r="AH364" t="b">
        <f>AND(IF(metadata!F364="",FALSE,TRUE),OR(EXACT(metadata!F364,"Animal"),EXACT(metadata!F364,"Fungus"),EXACT(metadata!F364,"Plant")))</f>
        <v>0</v>
      </c>
      <c r="AI364" t="b">
        <f>AND(IF(metadata!G364="",FALSE,TRUE),OR(EXACT(metadata!G364,"Plant secretion"),EXACT(metadata!G364,"Plant rhizosphere"),EXACT(metadata!G364,"Plant surface"),EXACT(metadata!G364,"Plant corpus"),EXACT(metadata!G364,"Fungus surface"),EXACT(metadata!G364,"Fungus corpus"),EXACT(metadata!G364,"Animal surface"),EXACT(metadata!G364,"Animal proximal gut"),EXACT(metadata!G364,"Animal corpus"),EXACT(metadata!G364,"Animal distal gut"),EXACT(metadata!G364,"Animal secretion")))</f>
        <v>0</v>
      </c>
      <c r="AJ364" t="b">
        <f>OR(AND(IF(metadata!H364="",FALSE,TRUE),OR(EXACT(metadata!H364,"missing: not collected"),EXACT(metadata!H364,"missing: not provided"),EXACT(metadata!H364,"missing: restricted access"))),AND(IF(metadata!H364="",FALSE,TRUE),OR(EXACT(metadata!H364,"organism-associated habitat"),EXACT(metadata!H364,"plant-associated habitat"),EXACT(metadata!H364,"animal-associated habitat"),EXACT(metadata!H364,"insecta-associated habitat"),EXACT(metadata!H364,"mammalia-associated habitat"),EXACT(metadata!H364,"human-associated habitat"),EXACT(metadata!H364,"livestock-associated habitat"))))</f>
        <v>0</v>
      </c>
      <c r="AK364" t="b">
        <f>AND(IF(metadata!I364="",FALSE,TRUE),EXACT(metadata!I364,"host-associated"))</f>
        <v>0</v>
      </c>
      <c r="AL364" t="b">
        <f>OR(AND(IF(metadata!J364="",FALSE,TRUE),OR(EXACT(metadata!J364,"not applicable"),EXACT(metadata!J364,"missing: not collected"),EXACT(metadata!J364,"missing: not provided"),EXACT(metadata!J364,"missing: restricted access"))),AND(IF(metadata!J364="",FALSE,ISNUMBER(VALUE(metadata!J364))),metadata!J364&gt;0))</f>
        <v>0</v>
      </c>
      <c r="AM364" t="b">
        <f>AND(IF(metadata!K364="",FALSE,TRUE),EXACT(metadata!K364,"missing: not provided"))</f>
        <v>0</v>
      </c>
      <c r="AN364" t="b">
        <f>IF(metadata!L364="",FALSE,TRUE)</f>
        <v>0</v>
      </c>
      <c r="AO364" t="b">
        <f>IF(metadata!M364="",FALSE,TRUE)</f>
        <v>0</v>
      </c>
      <c r="AP364" t="b">
        <f>OR(AND(IF(metadata!N364="",FALSE,TRUE),OR(EXACT(metadata!N364,"not applicable"),EXACT(metadata!N364,"missing: not collected"),EXACT(metadata!N364,"missing: not provided"))),AND(IF(metadata!N364="",FALSE,IF(ISERROR(INT(metadata!N364)),FALSE,INT(metadata!N364)=metadata!N364)),metadata!N364&gt;0))</f>
        <v>0</v>
      </c>
      <c r="AQ364" t="b">
        <f>AND(IF(metadata!O364="",FALSE,TRUE),EXACT(metadata!O364,"Not applicable"))</f>
        <v>0</v>
      </c>
      <c r="AR364" t="b">
        <f>OR(AND(IF(metadata!P364="",FALSE,TRUE),OR(EXACT(metadata!P364,"not applicable"),EXACT(metadata!P364,"missing: not collected"),EXACT(metadata!P364,"missing: not provided"),EXACT(metadata!P364,"missing: restricted access"))),IF(metadata!P364="",FALSE,IF(ISERROR(INT(metadata!P364)),FALSE,INT(metadata!P364)=metadata!P364)))</f>
        <v>0</v>
      </c>
      <c r="AS364" t="b">
        <f>AND(IF(metadata!Q364="",FALSE,TRUE),EXACT(metadata!Q364,"Not applicable"))</f>
        <v>0</v>
      </c>
      <c r="AT364" t="b">
        <f>OR(AND(IF(metadata!R364="",FALSE,TRUE),OR(EXACT(metadata!R364,"not applicable"),EXACT(metadata!R364,"missing: not collected"),EXACT(metadata!R364,"missing: not provided"),EXACT(metadata!R364,"missing: restricted access"))),AND(IF(metadata!R364="",FALSE,ISNUMBER(VALUE(metadata!R364))),metadata!R364&gt;0))</f>
        <v>0</v>
      </c>
      <c r="AU364" t="b">
        <f>AND(IF(metadata!S364="",FALSE,TRUE),EXACT(metadata!S364,"missing: not provided"))</f>
        <v>0</v>
      </c>
    </row>
    <row r="365" spans="1:47" x14ac:dyDescent="0.2">
      <c r="A365" s="5" t="str">
        <f ca="1">IF(B365=" "," ",HYPERLINK(CONCATENATE("#metadata!",ADDRESS(INDEX($Y$2:$Y$1001,MATCH(ROWS($W$2:W365),$W$2:$W$1001,0),0),1)),INDEX($AB$2:$AB$1001,MATCH(ROWS($W$2:W365),$W$2:$W$1001,0),0)))</f>
        <v xml:space="preserve"> </v>
      </c>
      <c r="B365" s="4" t="str">
        <f ca="1">IF(OR(INDEX($X$2:$X$1001,MATCH(ROWS($W$2:W365),$W$2:$W$1001,0),1)&gt;=100000,INDEX($AD$1005:$AU$1005,1,MATCH(COLUMNS($AD$1006:AD1006),$AD$1006:$AU$1006,0))&gt;=100000), " ",IF(INDEX($AD$2:$AU$1001,MATCH(ROWS($W$2:W365),$W$2:$W$1001,0),MATCH(COLUMNS($AD$1006:AD1006),$AD$1006:$AU$1006,0)), HYPERLINK("#",""), HYPERLINK(CONCATENATE("#metadata!", ADDRESS(INDEX($Y$2:$Y$1001,MATCH(ROWS($W$2:W365),$W$2:$W$1001,0),0), INDEX($AD$1004:$AU$1004,1,MATCH(COLUMNS($AD$1006:AD1006),$AD$1006:$AU$1006,0)))),"Fix")))</f>
        <v xml:space="preserve"> </v>
      </c>
      <c r="C365" s="4" t="str">
        <f ca="1">IF(OR(INDEX($X$2:$X$1001,MATCH(ROWS($W$2:W365),$W$2:$W$1001,0),1)&gt;=100000,INDEX($AD$1005:$AU$1005,1,MATCH(COLUMNS($AD$1006:AE1006),$AD$1006:$AU$1006,0))&gt;=100000), " ",IF(INDEX($AD$2:$AU$1001,MATCH(ROWS($W$2:W365),$W$2:$W$1001,0),MATCH(COLUMNS($AD$1006:AE1006),$AD$1006:$AU$1006,0)), HYPERLINK("#",""), HYPERLINK(CONCATENATE("#metadata!", ADDRESS(INDEX($Y$2:$Y$1001,MATCH(ROWS($W$2:W365),$W$2:$W$1001,0),0), INDEX($AD$1004:$AU$1004,1,MATCH(COLUMNS($AD$1006:AE1006),$AD$1006:$AU$1006,0)))),"Fix")))</f>
        <v xml:space="preserve"> </v>
      </c>
      <c r="D365" s="4" t="str">
        <f ca="1">IF(OR(INDEX($X$2:$X$1001,MATCH(ROWS($W$2:W365),$W$2:$W$1001,0),1)&gt;=100000,INDEX($AD$1005:$AU$1005,1,MATCH(COLUMNS($AD$1006:AF1006),$AD$1006:$AU$1006,0))&gt;=100000), " ",IF(INDEX($AD$2:$AU$1001,MATCH(ROWS($W$2:W365),$W$2:$W$1001,0),MATCH(COLUMNS($AD$1006:AF1006),$AD$1006:$AU$1006,0)), HYPERLINK("#",""), HYPERLINK(CONCATENATE("#metadata!", ADDRESS(INDEX($Y$2:$Y$1001,MATCH(ROWS($W$2:W365),$W$2:$W$1001,0),0), INDEX($AD$1004:$AU$1004,1,MATCH(COLUMNS($AD$1006:AF1006),$AD$1006:$AU$1006,0)))),"Fix")))</f>
        <v xml:space="preserve"> </v>
      </c>
      <c r="E365" s="4" t="str">
        <f ca="1">IF(OR(INDEX($X$2:$X$1001,MATCH(ROWS($W$2:W365),$W$2:$W$1001,0),1)&gt;=100000,INDEX($AD$1005:$AU$1005,1,MATCH(COLUMNS($AD$1006:AG1006),$AD$1006:$AU$1006,0))&gt;=100000), " ",IF(INDEX($AD$2:$AU$1001,MATCH(ROWS($W$2:W365),$W$2:$W$1001,0),MATCH(COLUMNS($AD$1006:AG1006),$AD$1006:$AU$1006,0)), HYPERLINK("#",""), HYPERLINK(CONCATENATE("#metadata!", ADDRESS(INDEX($Y$2:$Y$1001,MATCH(ROWS($W$2:W365),$W$2:$W$1001,0),0), INDEX($AD$1004:$AU$1004,1,MATCH(COLUMNS($AD$1006:AG1006),$AD$1006:$AU$1006,0)))),"Fix")))</f>
        <v xml:space="preserve"> </v>
      </c>
      <c r="F365" s="4" t="str">
        <f ca="1">IF(OR(INDEX($X$2:$X$1001,MATCH(ROWS($W$2:W365),$W$2:$W$1001,0),1)&gt;=100000,INDEX($AD$1005:$AU$1005,1,MATCH(COLUMNS($AD$1006:AH1006),$AD$1006:$AU$1006,0))&gt;=100000), " ",IF(INDEX($AD$2:$AU$1001,MATCH(ROWS($W$2:W365),$W$2:$W$1001,0),MATCH(COLUMNS($AD$1006:AH1006),$AD$1006:$AU$1006,0)), HYPERLINK("#",""), HYPERLINK(CONCATENATE("#metadata!", ADDRESS(INDEX($Y$2:$Y$1001,MATCH(ROWS($W$2:W365),$W$2:$W$1001,0),0), INDEX($AD$1004:$AU$1004,1,MATCH(COLUMNS($AD$1006:AH1006),$AD$1006:$AU$1006,0)))),"Fix")))</f>
        <v xml:space="preserve"> </v>
      </c>
      <c r="G365" s="4" t="str">
        <f ca="1">IF(OR(INDEX($X$2:$X$1001,MATCH(ROWS($W$2:W365),$W$2:$W$1001,0),1)&gt;=100000,INDEX($AD$1005:$AU$1005,1,MATCH(COLUMNS($AD$1006:AI1006),$AD$1006:$AU$1006,0))&gt;=100000), " ",IF(INDEX($AD$2:$AU$1001,MATCH(ROWS($W$2:W365),$W$2:$W$1001,0),MATCH(COLUMNS($AD$1006:AI1006),$AD$1006:$AU$1006,0)), HYPERLINK("#",""), HYPERLINK(CONCATENATE("#metadata!", ADDRESS(INDEX($Y$2:$Y$1001,MATCH(ROWS($W$2:W365),$W$2:$W$1001,0),0), INDEX($AD$1004:$AU$1004,1,MATCH(COLUMNS($AD$1006:AI1006),$AD$1006:$AU$1006,0)))),"Fix")))</f>
        <v xml:space="preserve"> </v>
      </c>
      <c r="H365" s="4" t="str">
        <f ca="1">IF(OR(INDEX($X$2:$X$1001,MATCH(ROWS($W$2:W365),$W$2:$W$1001,0),1)&gt;=100000,INDEX($AD$1005:$AU$1005,1,MATCH(COLUMNS($AD$1006:AJ1006),$AD$1006:$AU$1006,0))&gt;=100000), " ",IF(INDEX($AD$2:$AU$1001,MATCH(ROWS($W$2:W365),$W$2:$W$1001,0),MATCH(COLUMNS($AD$1006:AJ1006),$AD$1006:$AU$1006,0)), HYPERLINK("#",""), HYPERLINK(CONCATENATE("#metadata!", ADDRESS(INDEX($Y$2:$Y$1001,MATCH(ROWS($W$2:W365),$W$2:$W$1001,0),0), INDEX($AD$1004:$AU$1004,1,MATCH(COLUMNS($AD$1006:AJ1006),$AD$1006:$AU$1006,0)))),"Fix")))</f>
        <v xml:space="preserve"> </v>
      </c>
      <c r="I365" s="4" t="str">
        <f ca="1">IF(OR(INDEX($X$2:$X$1001,MATCH(ROWS($W$2:W365),$W$2:$W$1001,0),1)&gt;=100000,INDEX($AD$1005:$AU$1005,1,MATCH(COLUMNS($AD$1006:AK1006),$AD$1006:$AU$1006,0))&gt;=100000), " ",IF(INDEX($AD$2:$AU$1001,MATCH(ROWS($W$2:W365),$W$2:$W$1001,0),MATCH(COLUMNS($AD$1006:AK1006),$AD$1006:$AU$1006,0)), HYPERLINK("#",""), HYPERLINK(CONCATENATE("#metadata!", ADDRESS(INDEX($Y$2:$Y$1001,MATCH(ROWS($W$2:W365),$W$2:$W$1001,0),0), INDEX($AD$1004:$AU$1004,1,MATCH(COLUMNS($AD$1006:AK1006),$AD$1006:$AU$1006,0)))),"Fix")))</f>
        <v xml:space="preserve"> </v>
      </c>
      <c r="J365" s="4" t="str">
        <f ca="1">IF(OR(INDEX($X$2:$X$1001,MATCH(ROWS($W$2:W365),$W$2:$W$1001,0),1)&gt;=100000,INDEX($AD$1005:$AU$1005,1,MATCH(COLUMNS($AD$1006:AL1006),$AD$1006:$AU$1006,0))&gt;=100000), " ",IF(INDEX($AD$2:$AU$1001,MATCH(ROWS($W$2:W365),$W$2:$W$1001,0),MATCH(COLUMNS($AD$1006:AL1006),$AD$1006:$AU$1006,0)), HYPERLINK("#",""), HYPERLINK(CONCATENATE("#metadata!", ADDRESS(INDEX($Y$2:$Y$1001,MATCH(ROWS($W$2:W365),$W$2:$W$1001,0),0), INDEX($AD$1004:$AU$1004,1,MATCH(COLUMNS($AD$1006:AL1006),$AD$1006:$AU$1006,0)))),"Fix")))</f>
        <v xml:space="preserve"> </v>
      </c>
      <c r="K365" s="4" t="str">
        <f ca="1">IF(OR(INDEX($X$2:$X$1001,MATCH(ROWS($W$2:W365),$W$2:$W$1001,0),1)&gt;=100000,INDEX($AD$1005:$AU$1005,1,MATCH(COLUMNS($AD$1006:AM1006),$AD$1006:$AU$1006,0))&gt;=100000), " ",IF(INDEX($AD$2:$AU$1001,MATCH(ROWS($W$2:W365),$W$2:$W$1001,0),MATCH(COLUMNS($AD$1006:AM1006),$AD$1006:$AU$1006,0)), HYPERLINK("#",""), HYPERLINK(CONCATENATE("#metadata!", ADDRESS(INDEX($Y$2:$Y$1001,MATCH(ROWS($W$2:W365),$W$2:$W$1001,0),0), INDEX($AD$1004:$AU$1004,1,MATCH(COLUMNS($AD$1006:AM1006),$AD$1006:$AU$1006,0)))),"Fix")))</f>
        <v xml:space="preserve"> </v>
      </c>
      <c r="L365" s="4" t="str">
        <f ca="1">IF(OR(INDEX($X$2:$X$1001,MATCH(ROWS($W$2:W365),$W$2:$W$1001,0),1)&gt;=100000,INDEX($AD$1005:$AU$1005,1,MATCH(COLUMNS($AD$1006:AN1006),$AD$1006:$AU$1006,0))&gt;=100000), " ",IF(INDEX($AD$2:$AU$1001,MATCH(ROWS($W$2:W365),$W$2:$W$1001,0),MATCH(COLUMNS($AD$1006:AN1006),$AD$1006:$AU$1006,0)), HYPERLINK("#",""), HYPERLINK(CONCATENATE("#metadata!", ADDRESS(INDEX($Y$2:$Y$1001,MATCH(ROWS($W$2:W365),$W$2:$W$1001,0),0), INDEX($AD$1004:$AU$1004,1,MATCH(COLUMNS($AD$1006:AN1006),$AD$1006:$AU$1006,0)))),"Fix")))</f>
        <v xml:space="preserve"> </v>
      </c>
      <c r="M365" s="4" t="str">
        <f ca="1">IF(OR(INDEX($X$2:$X$1001,MATCH(ROWS($W$2:W365),$W$2:$W$1001,0),1)&gt;=100000,INDEX($AD$1005:$AU$1005,1,MATCH(COLUMNS($AD$1006:AO1006),$AD$1006:$AU$1006,0))&gt;=100000), " ",IF(INDEX($AD$2:$AU$1001,MATCH(ROWS($W$2:W365),$W$2:$W$1001,0),MATCH(COLUMNS($AD$1006:AO1006),$AD$1006:$AU$1006,0)), HYPERLINK("#",""), HYPERLINK(CONCATENATE("#metadata!", ADDRESS(INDEX($Y$2:$Y$1001,MATCH(ROWS($W$2:W365),$W$2:$W$1001,0),0), INDEX($AD$1004:$AU$1004,1,MATCH(COLUMNS($AD$1006:AO1006),$AD$1006:$AU$1006,0)))),"Fix")))</f>
        <v xml:space="preserve"> </v>
      </c>
      <c r="N365" s="4" t="str">
        <f ca="1">IF(OR(INDEX($X$2:$X$1001,MATCH(ROWS($W$2:W365),$W$2:$W$1001,0),1)&gt;=100000,INDEX($AD$1005:$AU$1005,1,MATCH(COLUMNS($AD$1006:AP1006),$AD$1006:$AU$1006,0))&gt;=100000), " ",IF(INDEX($AD$2:$AU$1001,MATCH(ROWS($W$2:W365),$W$2:$W$1001,0),MATCH(COLUMNS($AD$1006:AP1006),$AD$1006:$AU$1006,0)), HYPERLINK("#",""), HYPERLINK(CONCATENATE("#metadata!", ADDRESS(INDEX($Y$2:$Y$1001,MATCH(ROWS($W$2:W365),$W$2:$W$1001,0),0), INDEX($AD$1004:$AU$1004,1,MATCH(COLUMNS($AD$1006:AP1006),$AD$1006:$AU$1006,0)))),"Fix")))</f>
        <v xml:space="preserve"> </v>
      </c>
      <c r="O365" s="4" t="str">
        <f ca="1">IF(OR(INDEX($X$2:$X$1001,MATCH(ROWS($W$2:W365),$W$2:$W$1001,0),1)&gt;=100000,INDEX($AD$1005:$AU$1005,1,MATCH(COLUMNS($AD$1006:AQ1006),$AD$1006:$AU$1006,0))&gt;=100000), " ",IF(INDEX($AD$2:$AU$1001,MATCH(ROWS($W$2:W365),$W$2:$W$1001,0),MATCH(COLUMNS($AD$1006:AQ1006),$AD$1006:$AU$1006,0)), HYPERLINK("#",""), HYPERLINK(CONCATENATE("#metadata!", ADDRESS(INDEX($Y$2:$Y$1001,MATCH(ROWS($W$2:W365),$W$2:$W$1001,0),0), INDEX($AD$1004:$AU$1004,1,MATCH(COLUMNS($AD$1006:AQ1006),$AD$1006:$AU$1006,0)))),"Fix")))</f>
        <v xml:space="preserve"> </v>
      </c>
      <c r="P365" s="4" t="str">
        <f ca="1">IF(OR(INDEX($X$2:$X$1001,MATCH(ROWS($W$2:W365),$W$2:$W$1001,0),1)&gt;=100000,INDEX($AD$1005:$AU$1005,1,MATCH(COLUMNS($AD$1006:AR1006),$AD$1006:$AU$1006,0))&gt;=100000), " ",IF(INDEX($AD$2:$AU$1001,MATCH(ROWS($W$2:W365),$W$2:$W$1001,0),MATCH(COLUMNS($AD$1006:AR1006),$AD$1006:$AU$1006,0)), HYPERLINK("#",""), HYPERLINK(CONCATENATE("#metadata!", ADDRESS(INDEX($Y$2:$Y$1001,MATCH(ROWS($W$2:W365),$W$2:$W$1001,0),0), INDEX($AD$1004:$AU$1004,1,MATCH(COLUMNS($AD$1006:AR1006),$AD$1006:$AU$1006,0)))),"Fix")))</f>
        <v xml:space="preserve"> </v>
      </c>
      <c r="Q365" s="4" t="str">
        <f ca="1">IF(OR(INDEX($X$2:$X$1001,MATCH(ROWS($W$2:W365),$W$2:$W$1001,0),1)&gt;=100000,INDEX($AD$1005:$AU$1005,1,MATCH(COLUMNS($AD$1006:AS1006),$AD$1006:$AU$1006,0))&gt;=100000), " ",IF(INDEX($AD$2:$AU$1001,MATCH(ROWS($W$2:W365),$W$2:$W$1001,0),MATCH(COLUMNS($AD$1006:AS1006),$AD$1006:$AU$1006,0)), HYPERLINK("#",""), HYPERLINK(CONCATENATE("#metadata!", ADDRESS(INDEX($Y$2:$Y$1001,MATCH(ROWS($W$2:W365),$W$2:$W$1001,0),0), INDEX($AD$1004:$AU$1004,1,MATCH(COLUMNS($AD$1006:AS1006),$AD$1006:$AU$1006,0)))),"Fix")))</f>
        <v xml:space="preserve"> </v>
      </c>
      <c r="R365" s="4" t="str">
        <f ca="1">IF(OR(INDEX($X$2:$X$1001,MATCH(ROWS($W$2:W365),$W$2:$W$1001,0),1)&gt;=100000,INDEX($AD$1005:$AU$1005,1,MATCH(COLUMNS($AD$1006:AT1006),$AD$1006:$AU$1006,0))&gt;=100000), " ",IF(INDEX($AD$2:$AU$1001,MATCH(ROWS($W$2:W365),$W$2:$W$1001,0),MATCH(COLUMNS($AD$1006:AT1006),$AD$1006:$AU$1006,0)), HYPERLINK("#",""), HYPERLINK(CONCATENATE("#metadata!", ADDRESS(INDEX($Y$2:$Y$1001,MATCH(ROWS($W$2:W365),$W$2:$W$1001,0),0), INDEX($AD$1004:$AU$1004,1,MATCH(COLUMNS($AD$1006:AT1006),$AD$1006:$AU$1006,0)))),"Fix")))</f>
        <v xml:space="preserve"> </v>
      </c>
      <c r="S365" s="4" t="str">
        <f ca="1">IF(OR(INDEX($X$2:$X$1001,MATCH(ROWS($W$2:W365),$W$2:$W$1001,0),1)&gt;=100000,INDEX($AD$1005:$AU$1005,1,MATCH(COLUMNS($AD$1006:AU1006),$AD$1006:$AU$1006,0))&gt;=100000), " ",IF(INDEX($AD$2:$AU$1001,MATCH(ROWS($W$2:W365),$W$2:$W$1001,0),MATCH(COLUMNS($AD$1006:AU1006),$AD$1006:$AU$1006,0)), HYPERLINK("#",""), HYPERLINK(CONCATENATE("#metadata!", ADDRESS(INDEX($Y$2:$Y$1001,MATCH(ROWS($W$2:W365),$W$2:$W$1001,0),0), INDEX($AD$1004:$AU$1004,1,MATCH(COLUMNS($AD$1006:AU1006),$AD$1006:$AU$1006,0)))),"Fix")))</f>
        <v xml:space="preserve"> </v>
      </c>
      <c r="W365">
        <v>364</v>
      </c>
      <c r="X365">
        <v>100365</v>
      </c>
      <c r="Y365">
        <v>365</v>
      </c>
      <c r="Z365" t="b">
        <f t="shared" si="5"/>
        <v>1</v>
      </c>
      <c r="AA365" t="b">
        <f>COUNTBLANK(metadata!B365:S365)=COLUMNS(metadata!B365:S365)</f>
        <v>1</v>
      </c>
      <c r="AB365" t="str">
        <v/>
      </c>
      <c r="AD365" t="b">
        <f ca="1">AND(IF(metadata!B365="",FALSE,TRUE),COUNTIF(metadata!B:B, metadata!B365) = 1,NOT(ISERROR(SUMPRODUCT(SEARCH(MID(metadata!B365,ROW(INDIRECT("1:"&amp;LEN(metadata!B365))), 1),"0123456789abcdefghijklmnopqrstuvwxyzABCDEFGHIJKLMNOPQRSTUVWXYZ.")))))</f>
        <v>0</v>
      </c>
      <c r="AE365" t="b">
        <f>OR(AND(IF(metadata!C365="",FALSE,TRUE),OR(EXACT(metadata!C365,"not applicable"),EXACT(metadata!C365,"missing: not collected"),EXACT(metadata!C365,"missing: not provided"),EXACT(metadata!C365,"missing: restricted access"))),AND(IF(metadata!C365="",FALSE,ISNUMBER(VALUE(metadata!C365))),metadata!C365&gt;0))</f>
        <v>0</v>
      </c>
      <c r="AF365" t="b">
        <f>AND(IF(metadata!D365="",FALSE,TRUE),EXACT(metadata!D365,"missing: not provided"))</f>
        <v>0</v>
      </c>
      <c r="AG365" t="b">
        <f>AND(IF(metadata!E365="",FALSE,TRUE),EXACT(metadata!E365,"Host-associated"))</f>
        <v>0</v>
      </c>
      <c r="AH365" t="b">
        <f>AND(IF(metadata!F365="",FALSE,TRUE),OR(EXACT(metadata!F365,"Animal"),EXACT(metadata!F365,"Fungus"),EXACT(metadata!F365,"Plant")))</f>
        <v>0</v>
      </c>
      <c r="AI365" t="b">
        <f>AND(IF(metadata!G365="",FALSE,TRUE),OR(EXACT(metadata!G365,"Plant secretion"),EXACT(metadata!G365,"Plant rhizosphere"),EXACT(metadata!G365,"Plant surface"),EXACT(metadata!G365,"Plant corpus"),EXACT(metadata!G365,"Fungus surface"),EXACT(metadata!G365,"Fungus corpus"),EXACT(metadata!G365,"Animal surface"),EXACT(metadata!G365,"Animal proximal gut"),EXACT(metadata!G365,"Animal corpus"),EXACT(metadata!G365,"Animal distal gut"),EXACT(metadata!G365,"Animal secretion")))</f>
        <v>0</v>
      </c>
      <c r="AJ365" t="b">
        <f>OR(AND(IF(metadata!H365="",FALSE,TRUE),OR(EXACT(metadata!H365,"missing: not collected"),EXACT(metadata!H365,"missing: not provided"),EXACT(metadata!H365,"missing: restricted access"))),AND(IF(metadata!H365="",FALSE,TRUE),OR(EXACT(metadata!H365,"organism-associated habitat"),EXACT(metadata!H365,"plant-associated habitat"),EXACT(metadata!H365,"animal-associated habitat"),EXACT(metadata!H365,"insecta-associated habitat"),EXACT(metadata!H365,"mammalia-associated habitat"),EXACT(metadata!H365,"human-associated habitat"),EXACT(metadata!H365,"livestock-associated habitat"))))</f>
        <v>0</v>
      </c>
      <c r="AK365" t="b">
        <f>AND(IF(metadata!I365="",FALSE,TRUE),EXACT(metadata!I365,"host-associated"))</f>
        <v>0</v>
      </c>
      <c r="AL365" t="b">
        <f>OR(AND(IF(metadata!J365="",FALSE,TRUE),OR(EXACT(metadata!J365,"not applicable"),EXACT(metadata!J365,"missing: not collected"),EXACT(metadata!J365,"missing: not provided"),EXACT(metadata!J365,"missing: restricted access"))),AND(IF(metadata!J365="",FALSE,ISNUMBER(VALUE(metadata!J365))),metadata!J365&gt;0))</f>
        <v>0</v>
      </c>
      <c r="AM365" t="b">
        <f>AND(IF(metadata!K365="",FALSE,TRUE),EXACT(metadata!K365,"missing: not provided"))</f>
        <v>0</v>
      </c>
      <c r="AN365" t="b">
        <f>IF(metadata!L365="",FALSE,TRUE)</f>
        <v>0</v>
      </c>
      <c r="AO365" t="b">
        <f>IF(metadata!M365="",FALSE,TRUE)</f>
        <v>0</v>
      </c>
      <c r="AP365" t="b">
        <f>OR(AND(IF(metadata!N365="",FALSE,TRUE),OR(EXACT(metadata!N365,"not applicable"),EXACT(metadata!N365,"missing: not collected"),EXACT(metadata!N365,"missing: not provided"))),AND(IF(metadata!N365="",FALSE,IF(ISERROR(INT(metadata!N365)),FALSE,INT(metadata!N365)=metadata!N365)),metadata!N365&gt;0))</f>
        <v>0</v>
      </c>
      <c r="AQ365" t="b">
        <f>AND(IF(metadata!O365="",FALSE,TRUE),EXACT(metadata!O365,"Not applicable"))</f>
        <v>0</v>
      </c>
      <c r="AR365" t="b">
        <f>OR(AND(IF(metadata!P365="",FALSE,TRUE),OR(EXACT(metadata!P365,"not applicable"),EXACT(metadata!P365,"missing: not collected"),EXACT(metadata!P365,"missing: not provided"),EXACT(metadata!P365,"missing: restricted access"))),IF(metadata!P365="",FALSE,IF(ISERROR(INT(metadata!P365)),FALSE,INT(metadata!P365)=metadata!P365)))</f>
        <v>0</v>
      </c>
      <c r="AS365" t="b">
        <f>AND(IF(metadata!Q365="",FALSE,TRUE),EXACT(metadata!Q365,"Not applicable"))</f>
        <v>0</v>
      </c>
      <c r="AT365" t="b">
        <f>OR(AND(IF(metadata!R365="",FALSE,TRUE),OR(EXACT(metadata!R365,"not applicable"),EXACT(metadata!R365,"missing: not collected"),EXACT(metadata!R365,"missing: not provided"),EXACT(metadata!R365,"missing: restricted access"))),AND(IF(metadata!R365="",FALSE,ISNUMBER(VALUE(metadata!R365))),metadata!R365&gt;0))</f>
        <v>0</v>
      </c>
      <c r="AU365" t="b">
        <f>AND(IF(metadata!S365="",FALSE,TRUE),EXACT(metadata!S365,"missing: not provided"))</f>
        <v>0</v>
      </c>
    </row>
    <row r="366" spans="1:47" x14ac:dyDescent="0.2">
      <c r="A366" s="5" t="str">
        <f ca="1">IF(B366=" "," ",HYPERLINK(CONCATENATE("#metadata!",ADDRESS(INDEX($Y$2:$Y$1001,MATCH(ROWS($W$2:W366),$W$2:$W$1001,0),0),1)),INDEX($AB$2:$AB$1001,MATCH(ROWS($W$2:W366),$W$2:$W$1001,0),0)))</f>
        <v xml:space="preserve"> </v>
      </c>
      <c r="B366" s="4" t="str">
        <f ca="1">IF(OR(INDEX($X$2:$X$1001,MATCH(ROWS($W$2:W366),$W$2:$W$1001,0),1)&gt;=100000,INDEX($AD$1005:$AU$1005,1,MATCH(COLUMNS($AD$1006:AD1006),$AD$1006:$AU$1006,0))&gt;=100000), " ",IF(INDEX($AD$2:$AU$1001,MATCH(ROWS($W$2:W366),$W$2:$W$1001,0),MATCH(COLUMNS($AD$1006:AD1006),$AD$1006:$AU$1006,0)), HYPERLINK("#",""), HYPERLINK(CONCATENATE("#metadata!", ADDRESS(INDEX($Y$2:$Y$1001,MATCH(ROWS($W$2:W366),$W$2:$W$1001,0),0), INDEX($AD$1004:$AU$1004,1,MATCH(COLUMNS($AD$1006:AD1006),$AD$1006:$AU$1006,0)))),"Fix")))</f>
        <v xml:space="preserve"> </v>
      </c>
      <c r="C366" s="4" t="str">
        <f ca="1">IF(OR(INDEX($X$2:$X$1001,MATCH(ROWS($W$2:W366),$W$2:$W$1001,0),1)&gt;=100000,INDEX($AD$1005:$AU$1005,1,MATCH(COLUMNS($AD$1006:AE1006),$AD$1006:$AU$1006,0))&gt;=100000), " ",IF(INDEX($AD$2:$AU$1001,MATCH(ROWS($W$2:W366),$W$2:$W$1001,0),MATCH(COLUMNS($AD$1006:AE1006),$AD$1006:$AU$1006,0)), HYPERLINK("#",""), HYPERLINK(CONCATENATE("#metadata!", ADDRESS(INDEX($Y$2:$Y$1001,MATCH(ROWS($W$2:W366),$W$2:$W$1001,0),0), INDEX($AD$1004:$AU$1004,1,MATCH(COLUMNS($AD$1006:AE1006),$AD$1006:$AU$1006,0)))),"Fix")))</f>
        <v xml:space="preserve"> </v>
      </c>
      <c r="D366" s="4" t="str">
        <f ca="1">IF(OR(INDEX($X$2:$X$1001,MATCH(ROWS($W$2:W366),$W$2:$W$1001,0),1)&gt;=100000,INDEX($AD$1005:$AU$1005,1,MATCH(COLUMNS($AD$1006:AF1006),$AD$1006:$AU$1006,0))&gt;=100000), " ",IF(INDEX($AD$2:$AU$1001,MATCH(ROWS($W$2:W366),$W$2:$W$1001,0),MATCH(COLUMNS($AD$1006:AF1006),$AD$1006:$AU$1006,0)), HYPERLINK("#",""), HYPERLINK(CONCATENATE("#metadata!", ADDRESS(INDEX($Y$2:$Y$1001,MATCH(ROWS($W$2:W366),$W$2:$W$1001,0),0), INDEX($AD$1004:$AU$1004,1,MATCH(COLUMNS($AD$1006:AF1006),$AD$1006:$AU$1006,0)))),"Fix")))</f>
        <v xml:space="preserve"> </v>
      </c>
      <c r="E366" s="4" t="str">
        <f ca="1">IF(OR(INDEX($X$2:$X$1001,MATCH(ROWS($W$2:W366),$W$2:$W$1001,0),1)&gt;=100000,INDEX($AD$1005:$AU$1005,1,MATCH(COLUMNS($AD$1006:AG1006),$AD$1006:$AU$1006,0))&gt;=100000), " ",IF(INDEX($AD$2:$AU$1001,MATCH(ROWS($W$2:W366),$W$2:$W$1001,0),MATCH(COLUMNS($AD$1006:AG1006),$AD$1006:$AU$1006,0)), HYPERLINK("#",""), HYPERLINK(CONCATENATE("#metadata!", ADDRESS(INDEX($Y$2:$Y$1001,MATCH(ROWS($W$2:W366),$W$2:$W$1001,0),0), INDEX($AD$1004:$AU$1004,1,MATCH(COLUMNS($AD$1006:AG1006),$AD$1006:$AU$1006,0)))),"Fix")))</f>
        <v xml:space="preserve"> </v>
      </c>
      <c r="F366" s="4" t="str">
        <f ca="1">IF(OR(INDEX($X$2:$X$1001,MATCH(ROWS($W$2:W366),$W$2:$W$1001,0),1)&gt;=100000,INDEX($AD$1005:$AU$1005,1,MATCH(COLUMNS($AD$1006:AH1006),$AD$1006:$AU$1006,0))&gt;=100000), " ",IF(INDEX($AD$2:$AU$1001,MATCH(ROWS($W$2:W366),$W$2:$W$1001,0),MATCH(COLUMNS($AD$1006:AH1006),$AD$1006:$AU$1006,0)), HYPERLINK("#",""), HYPERLINK(CONCATENATE("#metadata!", ADDRESS(INDEX($Y$2:$Y$1001,MATCH(ROWS($W$2:W366),$W$2:$W$1001,0),0), INDEX($AD$1004:$AU$1004,1,MATCH(COLUMNS($AD$1006:AH1006),$AD$1006:$AU$1006,0)))),"Fix")))</f>
        <v xml:space="preserve"> </v>
      </c>
      <c r="G366" s="4" t="str">
        <f ca="1">IF(OR(INDEX($X$2:$X$1001,MATCH(ROWS($W$2:W366),$W$2:$W$1001,0),1)&gt;=100000,INDEX($AD$1005:$AU$1005,1,MATCH(COLUMNS($AD$1006:AI1006),$AD$1006:$AU$1006,0))&gt;=100000), " ",IF(INDEX($AD$2:$AU$1001,MATCH(ROWS($W$2:W366),$W$2:$W$1001,0),MATCH(COLUMNS($AD$1006:AI1006),$AD$1006:$AU$1006,0)), HYPERLINK("#",""), HYPERLINK(CONCATENATE("#metadata!", ADDRESS(INDEX($Y$2:$Y$1001,MATCH(ROWS($W$2:W366),$W$2:$W$1001,0),0), INDEX($AD$1004:$AU$1004,1,MATCH(COLUMNS($AD$1006:AI1006),$AD$1006:$AU$1006,0)))),"Fix")))</f>
        <v xml:space="preserve"> </v>
      </c>
      <c r="H366" s="4" t="str">
        <f ca="1">IF(OR(INDEX($X$2:$X$1001,MATCH(ROWS($W$2:W366),$W$2:$W$1001,0),1)&gt;=100000,INDEX($AD$1005:$AU$1005,1,MATCH(COLUMNS($AD$1006:AJ1006),$AD$1006:$AU$1006,0))&gt;=100000), " ",IF(INDEX($AD$2:$AU$1001,MATCH(ROWS($W$2:W366),$W$2:$W$1001,0),MATCH(COLUMNS($AD$1006:AJ1006),$AD$1006:$AU$1006,0)), HYPERLINK("#",""), HYPERLINK(CONCATENATE("#metadata!", ADDRESS(INDEX($Y$2:$Y$1001,MATCH(ROWS($W$2:W366),$W$2:$W$1001,0),0), INDEX($AD$1004:$AU$1004,1,MATCH(COLUMNS($AD$1006:AJ1006),$AD$1006:$AU$1006,0)))),"Fix")))</f>
        <v xml:space="preserve"> </v>
      </c>
      <c r="I366" s="4" t="str">
        <f ca="1">IF(OR(INDEX($X$2:$X$1001,MATCH(ROWS($W$2:W366),$W$2:$W$1001,0),1)&gt;=100000,INDEX($AD$1005:$AU$1005,1,MATCH(COLUMNS($AD$1006:AK1006),$AD$1006:$AU$1006,0))&gt;=100000), " ",IF(INDEX($AD$2:$AU$1001,MATCH(ROWS($W$2:W366),$W$2:$W$1001,0),MATCH(COLUMNS($AD$1006:AK1006),$AD$1006:$AU$1006,0)), HYPERLINK("#",""), HYPERLINK(CONCATENATE("#metadata!", ADDRESS(INDEX($Y$2:$Y$1001,MATCH(ROWS($W$2:W366),$W$2:$W$1001,0),0), INDEX($AD$1004:$AU$1004,1,MATCH(COLUMNS($AD$1006:AK1006),$AD$1006:$AU$1006,0)))),"Fix")))</f>
        <v xml:space="preserve"> </v>
      </c>
      <c r="J366" s="4" t="str">
        <f ca="1">IF(OR(INDEX($X$2:$X$1001,MATCH(ROWS($W$2:W366),$W$2:$W$1001,0),1)&gt;=100000,INDEX($AD$1005:$AU$1005,1,MATCH(COLUMNS($AD$1006:AL1006),$AD$1006:$AU$1006,0))&gt;=100000), " ",IF(INDEX($AD$2:$AU$1001,MATCH(ROWS($W$2:W366),$W$2:$W$1001,0),MATCH(COLUMNS($AD$1006:AL1006),$AD$1006:$AU$1006,0)), HYPERLINK("#",""), HYPERLINK(CONCATENATE("#metadata!", ADDRESS(INDEX($Y$2:$Y$1001,MATCH(ROWS($W$2:W366),$W$2:$W$1001,0),0), INDEX($AD$1004:$AU$1004,1,MATCH(COLUMNS($AD$1006:AL1006),$AD$1006:$AU$1006,0)))),"Fix")))</f>
        <v xml:space="preserve"> </v>
      </c>
      <c r="K366" s="4" t="str">
        <f ca="1">IF(OR(INDEX($X$2:$X$1001,MATCH(ROWS($W$2:W366),$W$2:$W$1001,0),1)&gt;=100000,INDEX($AD$1005:$AU$1005,1,MATCH(COLUMNS($AD$1006:AM1006),$AD$1006:$AU$1006,0))&gt;=100000), " ",IF(INDEX($AD$2:$AU$1001,MATCH(ROWS($W$2:W366),$W$2:$W$1001,0),MATCH(COLUMNS($AD$1006:AM1006),$AD$1006:$AU$1006,0)), HYPERLINK("#",""), HYPERLINK(CONCATENATE("#metadata!", ADDRESS(INDEX($Y$2:$Y$1001,MATCH(ROWS($W$2:W366),$W$2:$W$1001,0),0), INDEX($AD$1004:$AU$1004,1,MATCH(COLUMNS($AD$1006:AM1006),$AD$1006:$AU$1006,0)))),"Fix")))</f>
        <v xml:space="preserve"> </v>
      </c>
      <c r="L366" s="4" t="str">
        <f ca="1">IF(OR(INDEX($X$2:$X$1001,MATCH(ROWS($W$2:W366),$W$2:$W$1001,0),1)&gt;=100000,INDEX($AD$1005:$AU$1005,1,MATCH(COLUMNS($AD$1006:AN1006),$AD$1006:$AU$1006,0))&gt;=100000), " ",IF(INDEX($AD$2:$AU$1001,MATCH(ROWS($W$2:W366),$W$2:$W$1001,0),MATCH(COLUMNS($AD$1006:AN1006),$AD$1006:$AU$1006,0)), HYPERLINK("#",""), HYPERLINK(CONCATENATE("#metadata!", ADDRESS(INDEX($Y$2:$Y$1001,MATCH(ROWS($W$2:W366),$W$2:$W$1001,0),0), INDEX($AD$1004:$AU$1004,1,MATCH(COLUMNS($AD$1006:AN1006),$AD$1006:$AU$1006,0)))),"Fix")))</f>
        <v xml:space="preserve"> </v>
      </c>
      <c r="M366" s="4" t="str">
        <f ca="1">IF(OR(INDEX($X$2:$X$1001,MATCH(ROWS($W$2:W366),$W$2:$W$1001,0),1)&gt;=100000,INDEX($AD$1005:$AU$1005,1,MATCH(COLUMNS($AD$1006:AO1006),$AD$1006:$AU$1006,0))&gt;=100000), " ",IF(INDEX($AD$2:$AU$1001,MATCH(ROWS($W$2:W366),$W$2:$W$1001,0),MATCH(COLUMNS($AD$1006:AO1006),$AD$1006:$AU$1006,0)), HYPERLINK("#",""), HYPERLINK(CONCATENATE("#metadata!", ADDRESS(INDEX($Y$2:$Y$1001,MATCH(ROWS($W$2:W366),$W$2:$W$1001,0),0), INDEX($AD$1004:$AU$1004,1,MATCH(COLUMNS($AD$1006:AO1006),$AD$1006:$AU$1006,0)))),"Fix")))</f>
        <v xml:space="preserve"> </v>
      </c>
      <c r="N366" s="4" t="str">
        <f ca="1">IF(OR(INDEX($X$2:$X$1001,MATCH(ROWS($W$2:W366),$W$2:$W$1001,0),1)&gt;=100000,INDEX($AD$1005:$AU$1005,1,MATCH(COLUMNS($AD$1006:AP1006),$AD$1006:$AU$1006,0))&gt;=100000), " ",IF(INDEX($AD$2:$AU$1001,MATCH(ROWS($W$2:W366),$W$2:$W$1001,0),MATCH(COLUMNS($AD$1006:AP1006),$AD$1006:$AU$1006,0)), HYPERLINK("#",""), HYPERLINK(CONCATENATE("#metadata!", ADDRESS(INDEX($Y$2:$Y$1001,MATCH(ROWS($W$2:W366),$W$2:$W$1001,0),0), INDEX($AD$1004:$AU$1004,1,MATCH(COLUMNS($AD$1006:AP1006),$AD$1006:$AU$1006,0)))),"Fix")))</f>
        <v xml:space="preserve"> </v>
      </c>
      <c r="O366" s="4" t="str">
        <f ca="1">IF(OR(INDEX($X$2:$X$1001,MATCH(ROWS($W$2:W366),$W$2:$W$1001,0),1)&gt;=100000,INDEX($AD$1005:$AU$1005,1,MATCH(COLUMNS($AD$1006:AQ1006),$AD$1006:$AU$1006,0))&gt;=100000), " ",IF(INDEX($AD$2:$AU$1001,MATCH(ROWS($W$2:W366),$W$2:$W$1001,0),MATCH(COLUMNS($AD$1006:AQ1006),$AD$1006:$AU$1006,0)), HYPERLINK("#",""), HYPERLINK(CONCATENATE("#metadata!", ADDRESS(INDEX($Y$2:$Y$1001,MATCH(ROWS($W$2:W366),$W$2:$W$1001,0),0), INDEX($AD$1004:$AU$1004,1,MATCH(COLUMNS($AD$1006:AQ1006),$AD$1006:$AU$1006,0)))),"Fix")))</f>
        <v xml:space="preserve"> </v>
      </c>
      <c r="P366" s="4" t="str">
        <f ca="1">IF(OR(INDEX($X$2:$X$1001,MATCH(ROWS($W$2:W366),$W$2:$W$1001,0),1)&gt;=100000,INDEX($AD$1005:$AU$1005,1,MATCH(COLUMNS($AD$1006:AR1006),$AD$1006:$AU$1006,0))&gt;=100000), " ",IF(INDEX($AD$2:$AU$1001,MATCH(ROWS($W$2:W366),$W$2:$W$1001,0),MATCH(COLUMNS($AD$1006:AR1006),$AD$1006:$AU$1006,0)), HYPERLINK("#",""), HYPERLINK(CONCATENATE("#metadata!", ADDRESS(INDEX($Y$2:$Y$1001,MATCH(ROWS($W$2:W366),$W$2:$W$1001,0),0), INDEX($AD$1004:$AU$1004,1,MATCH(COLUMNS($AD$1006:AR1006),$AD$1006:$AU$1006,0)))),"Fix")))</f>
        <v xml:space="preserve"> </v>
      </c>
      <c r="Q366" s="4" t="str">
        <f ca="1">IF(OR(INDEX($X$2:$X$1001,MATCH(ROWS($W$2:W366),$W$2:$W$1001,0),1)&gt;=100000,INDEX($AD$1005:$AU$1005,1,MATCH(COLUMNS($AD$1006:AS1006),$AD$1006:$AU$1006,0))&gt;=100000), " ",IF(INDEX($AD$2:$AU$1001,MATCH(ROWS($W$2:W366),$W$2:$W$1001,0),MATCH(COLUMNS($AD$1006:AS1006),$AD$1006:$AU$1006,0)), HYPERLINK("#",""), HYPERLINK(CONCATENATE("#metadata!", ADDRESS(INDEX($Y$2:$Y$1001,MATCH(ROWS($W$2:W366),$W$2:$W$1001,0),0), INDEX($AD$1004:$AU$1004,1,MATCH(COLUMNS($AD$1006:AS1006),$AD$1006:$AU$1006,0)))),"Fix")))</f>
        <v xml:space="preserve"> </v>
      </c>
      <c r="R366" s="4" t="str">
        <f ca="1">IF(OR(INDEX($X$2:$X$1001,MATCH(ROWS($W$2:W366),$W$2:$W$1001,0),1)&gt;=100000,INDEX($AD$1005:$AU$1005,1,MATCH(COLUMNS($AD$1006:AT1006),$AD$1006:$AU$1006,0))&gt;=100000), " ",IF(INDEX($AD$2:$AU$1001,MATCH(ROWS($W$2:W366),$W$2:$W$1001,0),MATCH(COLUMNS($AD$1006:AT1006),$AD$1006:$AU$1006,0)), HYPERLINK("#",""), HYPERLINK(CONCATENATE("#metadata!", ADDRESS(INDEX($Y$2:$Y$1001,MATCH(ROWS($W$2:W366),$W$2:$W$1001,0),0), INDEX($AD$1004:$AU$1004,1,MATCH(COLUMNS($AD$1006:AT1006),$AD$1006:$AU$1006,0)))),"Fix")))</f>
        <v xml:space="preserve"> </v>
      </c>
      <c r="S366" s="4" t="str">
        <f ca="1">IF(OR(INDEX($X$2:$X$1001,MATCH(ROWS($W$2:W366),$W$2:$W$1001,0),1)&gt;=100000,INDEX($AD$1005:$AU$1005,1,MATCH(COLUMNS($AD$1006:AU1006),$AD$1006:$AU$1006,0))&gt;=100000), " ",IF(INDEX($AD$2:$AU$1001,MATCH(ROWS($W$2:W366),$W$2:$W$1001,0),MATCH(COLUMNS($AD$1006:AU1006),$AD$1006:$AU$1006,0)), HYPERLINK("#",""), HYPERLINK(CONCATENATE("#metadata!", ADDRESS(INDEX($Y$2:$Y$1001,MATCH(ROWS($W$2:W366),$W$2:$W$1001,0),0), INDEX($AD$1004:$AU$1004,1,MATCH(COLUMNS($AD$1006:AU1006),$AD$1006:$AU$1006,0)))),"Fix")))</f>
        <v xml:space="preserve"> </v>
      </c>
      <c r="W366">
        <v>365</v>
      </c>
      <c r="X366">
        <v>100366</v>
      </c>
      <c r="Y366">
        <v>366</v>
      </c>
      <c r="Z366" t="b">
        <f t="shared" si="5"/>
        <v>1</v>
      </c>
      <c r="AA366" t="b">
        <f>COUNTBLANK(metadata!B366:S366)=COLUMNS(metadata!B366:S366)</f>
        <v>1</v>
      </c>
      <c r="AB366" t="str">
        <v/>
      </c>
      <c r="AD366" t="b">
        <f ca="1">AND(IF(metadata!B366="",FALSE,TRUE),COUNTIF(metadata!B:B, metadata!B366) = 1,NOT(ISERROR(SUMPRODUCT(SEARCH(MID(metadata!B366,ROW(INDIRECT("1:"&amp;LEN(metadata!B366))), 1),"0123456789abcdefghijklmnopqrstuvwxyzABCDEFGHIJKLMNOPQRSTUVWXYZ.")))))</f>
        <v>0</v>
      </c>
      <c r="AE366" t="b">
        <f>OR(AND(IF(metadata!C366="",FALSE,TRUE),OR(EXACT(metadata!C366,"not applicable"),EXACT(metadata!C366,"missing: not collected"),EXACT(metadata!C366,"missing: not provided"),EXACT(metadata!C366,"missing: restricted access"))),AND(IF(metadata!C366="",FALSE,ISNUMBER(VALUE(metadata!C366))),metadata!C366&gt;0))</f>
        <v>0</v>
      </c>
      <c r="AF366" t="b">
        <f>AND(IF(metadata!D366="",FALSE,TRUE),EXACT(metadata!D366,"missing: not provided"))</f>
        <v>0</v>
      </c>
      <c r="AG366" t="b">
        <f>AND(IF(metadata!E366="",FALSE,TRUE),EXACT(metadata!E366,"Host-associated"))</f>
        <v>0</v>
      </c>
      <c r="AH366" t="b">
        <f>AND(IF(metadata!F366="",FALSE,TRUE),OR(EXACT(metadata!F366,"Animal"),EXACT(metadata!F366,"Fungus"),EXACT(metadata!F366,"Plant")))</f>
        <v>0</v>
      </c>
      <c r="AI366" t="b">
        <f>AND(IF(metadata!G366="",FALSE,TRUE),OR(EXACT(metadata!G366,"Plant secretion"),EXACT(metadata!G366,"Plant rhizosphere"),EXACT(metadata!G366,"Plant surface"),EXACT(metadata!G366,"Plant corpus"),EXACT(metadata!G366,"Fungus surface"),EXACT(metadata!G366,"Fungus corpus"),EXACT(metadata!G366,"Animal surface"),EXACT(metadata!G366,"Animal proximal gut"),EXACT(metadata!G366,"Animal corpus"),EXACT(metadata!G366,"Animal distal gut"),EXACT(metadata!G366,"Animal secretion")))</f>
        <v>0</v>
      </c>
      <c r="AJ366" t="b">
        <f>OR(AND(IF(metadata!H366="",FALSE,TRUE),OR(EXACT(metadata!H366,"missing: not collected"),EXACT(metadata!H366,"missing: not provided"),EXACT(metadata!H366,"missing: restricted access"))),AND(IF(metadata!H366="",FALSE,TRUE),OR(EXACT(metadata!H366,"organism-associated habitat"),EXACT(metadata!H366,"plant-associated habitat"),EXACT(metadata!H366,"animal-associated habitat"),EXACT(metadata!H366,"insecta-associated habitat"),EXACT(metadata!H366,"mammalia-associated habitat"),EXACT(metadata!H366,"human-associated habitat"),EXACT(metadata!H366,"livestock-associated habitat"))))</f>
        <v>0</v>
      </c>
      <c r="AK366" t="b">
        <f>AND(IF(metadata!I366="",FALSE,TRUE),EXACT(metadata!I366,"host-associated"))</f>
        <v>0</v>
      </c>
      <c r="AL366" t="b">
        <f>OR(AND(IF(metadata!J366="",FALSE,TRUE),OR(EXACT(metadata!J366,"not applicable"),EXACT(metadata!J366,"missing: not collected"),EXACT(metadata!J366,"missing: not provided"),EXACT(metadata!J366,"missing: restricted access"))),AND(IF(metadata!J366="",FALSE,ISNUMBER(VALUE(metadata!J366))),metadata!J366&gt;0))</f>
        <v>0</v>
      </c>
      <c r="AM366" t="b">
        <f>AND(IF(metadata!K366="",FALSE,TRUE),EXACT(metadata!K366,"missing: not provided"))</f>
        <v>0</v>
      </c>
      <c r="AN366" t="b">
        <f>IF(metadata!L366="",FALSE,TRUE)</f>
        <v>0</v>
      </c>
      <c r="AO366" t="b">
        <f>IF(metadata!M366="",FALSE,TRUE)</f>
        <v>0</v>
      </c>
      <c r="AP366" t="b">
        <f>OR(AND(IF(metadata!N366="",FALSE,TRUE),OR(EXACT(metadata!N366,"not applicable"),EXACT(metadata!N366,"missing: not collected"),EXACT(metadata!N366,"missing: not provided"))),AND(IF(metadata!N366="",FALSE,IF(ISERROR(INT(metadata!N366)),FALSE,INT(metadata!N366)=metadata!N366)),metadata!N366&gt;0))</f>
        <v>0</v>
      </c>
      <c r="AQ366" t="b">
        <f>AND(IF(metadata!O366="",FALSE,TRUE),EXACT(metadata!O366,"Not applicable"))</f>
        <v>0</v>
      </c>
      <c r="AR366" t="b">
        <f>OR(AND(IF(metadata!P366="",FALSE,TRUE),OR(EXACT(metadata!P366,"not applicable"),EXACT(metadata!P366,"missing: not collected"),EXACT(metadata!P366,"missing: not provided"),EXACT(metadata!P366,"missing: restricted access"))),IF(metadata!P366="",FALSE,IF(ISERROR(INT(metadata!P366)),FALSE,INT(metadata!P366)=metadata!P366)))</f>
        <v>0</v>
      </c>
      <c r="AS366" t="b">
        <f>AND(IF(metadata!Q366="",FALSE,TRUE),EXACT(metadata!Q366,"Not applicable"))</f>
        <v>0</v>
      </c>
      <c r="AT366" t="b">
        <f>OR(AND(IF(metadata!R366="",FALSE,TRUE),OR(EXACT(metadata!R366,"not applicable"),EXACT(metadata!R366,"missing: not collected"),EXACT(metadata!R366,"missing: not provided"),EXACT(metadata!R366,"missing: restricted access"))),AND(IF(metadata!R366="",FALSE,ISNUMBER(VALUE(metadata!R366))),metadata!R366&gt;0))</f>
        <v>0</v>
      </c>
      <c r="AU366" t="b">
        <f>AND(IF(metadata!S366="",FALSE,TRUE),EXACT(metadata!S366,"missing: not provided"))</f>
        <v>0</v>
      </c>
    </row>
    <row r="367" spans="1:47" x14ac:dyDescent="0.2">
      <c r="A367" s="5" t="str">
        <f ca="1">IF(B367=" "," ",HYPERLINK(CONCATENATE("#metadata!",ADDRESS(INDEX($Y$2:$Y$1001,MATCH(ROWS($W$2:W367),$W$2:$W$1001,0),0),1)),INDEX($AB$2:$AB$1001,MATCH(ROWS($W$2:W367),$W$2:$W$1001,0),0)))</f>
        <v xml:space="preserve"> </v>
      </c>
      <c r="B367" s="4" t="str">
        <f ca="1">IF(OR(INDEX($X$2:$X$1001,MATCH(ROWS($W$2:W367),$W$2:$W$1001,0),1)&gt;=100000,INDEX($AD$1005:$AU$1005,1,MATCH(COLUMNS($AD$1006:AD1006),$AD$1006:$AU$1006,0))&gt;=100000), " ",IF(INDEX($AD$2:$AU$1001,MATCH(ROWS($W$2:W367),$W$2:$W$1001,0),MATCH(COLUMNS($AD$1006:AD1006),$AD$1006:$AU$1006,0)), HYPERLINK("#",""), HYPERLINK(CONCATENATE("#metadata!", ADDRESS(INDEX($Y$2:$Y$1001,MATCH(ROWS($W$2:W367),$W$2:$W$1001,0),0), INDEX($AD$1004:$AU$1004,1,MATCH(COLUMNS($AD$1006:AD1006),$AD$1006:$AU$1006,0)))),"Fix")))</f>
        <v xml:space="preserve"> </v>
      </c>
      <c r="C367" s="4" t="str">
        <f ca="1">IF(OR(INDEX($X$2:$X$1001,MATCH(ROWS($W$2:W367),$W$2:$W$1001,0),1)&gt;=100000,INDEX($AD$1005:$AU$1005,1,MATCH(COLUMNS($AD$1006:AE1006),$AD$1006:$AU$1006,0))&gt;=100000), " ",IF(INDEX($AD$2:$AU$1001,MATCH(ROWS($W$2:W367),$W$2:$W$1001,0),MATCH(COLUMNS($AD$1006:AE1006),$AD$1006:$AU$1006,0)), HYPERLINK("#",""), HYPERLINK(CONCATENATE("#metadata!", ADDRESS(INDEX($Y$2:$Y$1001,MATCH(ROWS($W$2:W367),$W$2:$W$1001,0),0), INDEX($AD$1004:$AU$1004,1,MATCH(COLUMNS($AD$1006:AE1006),$AD$1006:$AU$1006,0)))),"Fix")))</f>
        <v xml:space="preserve"> </v>
      </c>
      <c r="D367" s="4" t="str">
        <f ca="1">IF(OR(INDEX($X$2:$X$1001,MATCH(ROWS($W$2:W367),$W$2:$W$1001,0),1)&gt;=100000,INDEX($AD$1005:$AU$1005,1,MATCH(COLUMNS($AD$1006:AF1006),$AD$1006:$AU$1006,0))&gt;=100000), " ",IF(INDEX($AD$2:$AU$1001,MATCH(ROWS($W$2:W367),$W$2:$W$1001,0),MATCH(COLUMNS($AD$1006:AF1006),$AD$1006:$AU$1006,0)), HYPERLINK("#",""), HYPERLINK(CONCATENATE("#metadata!", ADDRESS(INDEX($Y$2:$Y$1001,MATCH(ROWS($W$2:W367),$W$2:$W$1001,0),0), INDEX($AD$1004:$AU$1004,1,MATCH(COLUMNS($AD$1006:AF1006),$AD$1006:$AU$1006,0)))),"Fix")))</f>
        <v xml:space="preserve"> </v>
      </c>
      <c r="E367" s="4" t="str">
        <f ca="1">IF(OR(INDEX($X$2:$X$1001,MATCH(ROWS($W$2:W367),$W$2:$W$1001,0),1)&gt;=100000,INDEX($AD$1005:$AU$1005,1,MATCH(COLUMNS($AD$1006:AG1006),$AD$1006:$AU$1006,0))&gt;=100000), " ",IF(INDEX($AD$2:$AU$1001,MATCH(ROWS($W$2:W367),$W$2:$W$1001,0),MATCH(COLUMNS($AD$1006:AG1006),$AD$1006:$AU$1006,0)), HYPERLINK("#",""), HYPERLINK(CONCATENATE("#metadata!", ADDRESS(INDEX($Y$2:$Y$1001,MATCH(ROWS($W$2:W367),$W$2:$W$1001,0),0), INDEX($AD$1004:$AU$1004,1,MATCH(COLUMNS($AD$1006:AG1006),$AD$1006:$AU$1006,0)))),"Fix")))</f>
        <v xml:space="preserve"> </v>
      </c>
      <c r="F367" s="4" t="str">
        <f ca="1">IF(OR(INDEX($X$2:$X$1001,MATCH(ROWS($W$2:W367),$W$2:$W$1001,0),1)&gt;=100000,INDEX($AD$1005:$AU$1005,1,MATCH(COLUMNS($AD$1006:AH1006),$AD$1006:$AU$1006,0))&gt;=100000), " ",IF(INDEX($AD$2:$AU$1001,MATCH(ROWS($W$2:W367),$W$2:$W$1001,0),MATCH(COLUMNS($AD$1006:AH1006),$AD$1006:$AU$1006,0)), HYPERLINK("#",""), HYPERLINK(CONCATENATE("#metadata!", ADDRESS(INDEX($Y$2:$Y$1001,MATCH(ROWS($W$2:W367),$W$2:$W$1001,0),0), INDEX($AD$1004:$AU$1004,1,MATCH(COLUMNS($AD$1006:AH1006),$AD$1006:$AU$1006,0)))),"Fix")))</f>
        <v xml:space="preserve"> </v>
      </c>
      <c r="G367" s="4" t="str">
        <f ca="1">IF(OR(INDEX($X$2:$X$1001,MATCH(ROWS($W$2:W367),$W$2:$W$1001,0),1)&gt;=100000,INDEX($AD$1005:$AU$1005,1,MATCH(COLUMNS($AD$1006:AI1006),$AD$1006:$AU$1006,0))&gt;=100000), " ",IF(INDEX($AD$2:$AU$1001,MATCH(ROWS($W$2:W367),$W$2:$W$1001,0),MATCH(COLUMNS($AD$1006:AI1006),$AD$1006:$AU$1006,0)), HYPERLINK("#",""), HYPERLINK(CONCATENATE("#metadata!", ADDRESS(INDEX($Y$2:$Y$1001,MATCH(ROWS($W$2:W367),$W$2:$W$1001,0),0), INDEX($AD$1004:$AU$1004,1,MATCH(COLUMNS($AD$1006:AI1006),$AD$1006:$AU$1006,0)))),"Fix")))</f>
        <v xml:space="preserve"> </v>
      </c>
      <c r="H367" s="4" t="str">
        <f ca="1">IF(OR(INDEX($X$2:$X$1001,MATCH(ROWS($W$2:W367),$W$2:$W$1001,0),1)&gt;=100000,INDEX($AD$1005:$AU$1005,1,MATCH(COLUMNS($AD$1006:AJ1006),$AD$1006:$AU$1006,0))&gt;=100000), " ",IF(INDEX($AD$2:$AU$1001,MATCH(ROWS($W$2:W367),$W$2:$W$1001,0),MATCH(COLUMNS($AD$1006:AJ1006),$AD$1006:$AU$1006,0)), HYPERLINK("#",""), HYPERLINK(CONCATENATE("#metadata!", ADDRESS(INDEX($Y$2:$Y$1001,MATCH(ROWS($W$2:W367),$W$2:$W$1001,0),0), INDEX($AD$1004:$AU$1004,1,MATCH(COLUMNS($AD$1006:AJ1006),$AD$1006:$AU$1006,0)))),"Fix")))</f>
        <v xml:space="preserve"> </v>
      </c>
      <c r="I367" s="4" t="str">
        <f ca="1">IF(OR(INDEX($X$2:$X$1001,MATCH(ROWS($W$2:W367),$W$2:$W$1001,0),1)&gt;=100000,INDEX($AD$1005:$AU$1005,1,MATCH(COLUMNS($AD$1006:AK1006),$AD$1006:$AU$1006,0))&gt;=100000), " ",IF(INDEX($AD$2:$AU$1001,MATCH(ROWS($W$2:W367),$W$2:$W$1001,0),MATCH(COLUMNS($AD$1006:AK1006),$AD$1006:$AU$1006,0)), HYPERLINK("#",""), HYPERLINK(CONCATENATE("#metadata!", ADDRESS(INDEX($Y$2:$Y$1001,MATCH(ROWS($W$2:W367),$W$2:$W$1001,0),0), INDEX($AD$1004:$AU$1004,1,MATCH(COLUMNS($AD$1006:AK1006),$AD$1006:$AU$1006,0)))),"Fix")))</f>
        <v xml:space="preserve"> </v>
      </c>
      <c r="J367" s="4" t="str">
        <f ca="1">IF(OR(INDEX($X$2:$X$1001,MATCH(ROWS($W$2:W367),$W$2:$W$1001,0),1)&gt;=100000,INDEX($AD$1005:$AU$1005,1,MATCH(COLUMNS($AD$1006:AL1006),$AD$1006:$AU$1006,0))&gt;=100000), " ",IF(INDEX($AD$2:$AU$1001,MATCH(ROWS($W$2:W367),$W$2:$W$1001,0),MATCH(COLUMNS($AD$1006:AL1006),$AD$1006:$AU$1006,0)), HYPERLINK("#",""), HYPERLINK(CONCATENATE("#metadata!", ADDRESS(INDEX($Y$2:$Y$1001,MATCH(ROWS($W$2:W367),$W$2:$W$1001,0),0), INDEX($AD$1004:$AU$1004,1,MATCH(COLUMNS($AD$1006:AL1006),$AD$1006:$AU$1006,0)))),"Fix")))</f>
        <v xml:space="preserve"> </v>
      </c>
      <c r="K367" s="4" t="str">
        <f ca="1">IF(OR(INDEX($X$2:$X$1001,MATCH(ROWS($W$2:W367),$W$2:$W$1001,0),1)&gt;=100000,INDEX($AD$1005:$AU$1005,1,MATCH(COLUMNS($AD$1006:AM1006),$AD$1006:$AU$1006,0))&gt;=100000), " ",IF(INDEX($AD$2:$AU$1001,MATCH(ROWS($W$2:W367),$W$2:$W$1001,0),MATCH(COLUMNS($AD$1006:AM1006),$AD$1006:$AU$1006,0)), HYPERLINK("#",""), HYPERLINK(CONCATENATE("#metadata!", ADDRESS(INDEX($Y$2:$Y$1001,MATCH(ROWS($W$2:W367),$W$2:$W$1001,0),0), INDEX($AD$1004:$AU$1004,1,MATCH(COLUMNS($AD$1006:AM1006),$AD$1006:$AU$1006,0)))),"Fix")))</f>
        <v xml:space="preserve"> </v>
      </c>
      <c r="L367" s="4" t="str">
        <f ca="1">IF(OR(INDEX($X$2:$X$1001,MATCH(ROWS($W$2:W367),$W$2:$W$1001,0),1)&gt;=100000,INDEX($AD$1005:$AU$1005,1,MATCH(COLUMNS($AD$1006:AN1006),$AD$1006:$AU$1006,0))&gt;=100000), " ",IF(INDEX($AD$2:$AU$1001,MATCH(ROWS($W$2:W367),$W$2:$W$1001,0),MATCH(COLUMNS($AD$1006:AN1006),$AD$1006:$AU$1006,0)), HYPERLINK("#",""), HYPERLINK(CONCATENATE("#metadata!", ADDRESS(INDEX($Y$2:$Y$1001,MATCH(ROWS($W$2:W367),$W$2:$W$1001,0),0), INDEX($AD$1004:$AU$1004,1,MATCH(COLUMNS($AD$1006:AN1006),$AD$1006:$AU$1006,0)))),"Fix")))</f>
        <v xml:space="preserve"> </v>
      </c>
      <c r="M367" s="4" t="str">
        <f ca="1">IF(OR(INDEX($X$2:$X$1001,MATCH(ROWS($W$2:W367),$W$2:$W$1001,0),1)&gt;=100000,INDEX($AD$1005:$AU$1005,1,MATCH(COLUMNS($AD$1006:AO1006),$AD$1006:$AU$1006,0))&gt;=100000), " ",IF(INDEX($AD$2:$AU$1001,MATCH(ROWS($W$2:W367),$W$2:$W$1001,0),MATCH(COLUMNS($AD$1006:AO1006),$AD$1006:$AU$1006,0)), HYPERLINK("#",""), HYPERLINK(CONCATENATE("#metadata!", ADDRESS(INDEX($Y$2:$Y$1001,MATCH(ROWS($W$2:W367),$W$2:$W$1001,0),0), INDEX($AD$1004:$AU$1004,1,MATCH(COLUMNS($AD$1006:AO1006),$AD$1006:$AU$1006,0)))),"Fix")))</f>
        <v xml:space="preserve"> </v>
      </c>
      <c r="N367" s="4" t="str">
        <f ca="1">IF(OR(INDEX($X$2:$X$1001,MATCH(ROWS($W$2:W367),$W$2:$W$1001,0),1)&gt;=100000,INDEX($AD$1005:$AU$1005,1,MATCH(COLUMNS($AD$1006:AP1006),$AD$1006:$AU$1006,0))&gt;=100000), " ",IF(INDEX($AD$2:$AU$1001,MATCH(ROWS($W$2:W367),$W$2:$W$1001,0),MATCH(COLUMNS($AD$1006:AP1006),$AD$1006:$AU$1006,0)), HYPERLINK("#",""), HYPERLINK(CONCATENATE("#metadata!", ADDRESS(INDEX($Y$2:$Y$1001,MATCH(ROWS($W$2:W367),$W$2:$W$1001,0),0), INDEX($AD$1004:$AU$1004,1,MATCH(COLUMNS($AD$1006:AP1006),$AD$1006:$AU$1006,0)))),"Fix")))</f>
        <v xml:space="preserve"> </v>
      </c>
      <c r="O367" s="4" t="str">
        <f ca="1">IF(OR(INDEX($X$2:$X$1001,MATCH(ROWS($W$2:W367),$W$2:$W$1001,0),1)&gt;=100000,INDEX($AD$1005:$AU$1005,1,MATCH(COLUMNS($AD$1006:AQ1006),$AD$1006:$AU$1006,0))&gt;=100000), " ",IF(INDEX($AD$2:$AU$1001,MATCH(ROWS($W$2:W367),$W$2:$W$1001,0),MATCH(COLUMNS($AD$1006:AQ1006),$AD$1006:$AU$1006,0)), HYPERLINK("#",""), HYPERLINK(CONCATENATE("#metadata!", ADDRESS(INDEX($Y$2:$Y$1001,MATCH(ROWS($W$2:W367),$W$2:$W$1001,0),0), INDEX($AD$1004:$AU$1004,1,MATCH(COLUMNS($AD$1006:AQ1006),$AD$1006:$AU$1006,0)))),"Fix")))</f>
        <v xml:space="preserve"> </v>
      </c>
      <c r="P367" s="4" t="str">
        <f ca="1">IF(OR(INDEX($X$2:$X$1001,MATCH(ROWS($W$2:W367),$W$2:$W$1001,0),1)&gt;=100000,INDEX($AD$1005:$AU$1005,1,MATCH(COLUMNS($AD$1006:AR1006),$AD$1006:$AU$1006,0))&gt;=100000), " ",IF(INDEX($AD$2:$AU$1001,MATCH(ROWS($W$2:W367),$W$2:$W$1001,0),MATCH(COLUMNS($AD$1006:AR1006),$AD$1006:$AU$1006,0)), HYPERLINK("#",""), HYPERLINK(CONCATENATE("#metadata!", ADDRESS(INDEX($Y$2:$Y$1001,MATCH(ROWS($W$2:W367),$W$2:$W$1001,0),0), INDEX($AD$1004:$AU$1004,1,MATCH(COLUMNS($AD$1006:AR1006),$AD$1006:$AU$1006,0)))),"Fix")))</f>
        <v xml:space="preserve"> </v>
      </c>
      <c r="Q367" s="4" t="str">
        <f ca="1">IF(OR(INDEX($X$2:$X$1001,MATCH(ROWS($W$2:W367),$W$2:$W$1001,0),1)&gt;=100000,INDEX($AD$1005:$AU$1005,1,MATCH(COLUMNS($AD$1006:AS1006),$AD$1006:$AU$1006,0))&gt;=100000), " ",IF(INDEX($AD$2:$AU$1001,MATCH(ROWS($W$2:W367),$W$2:$W$1001,0),MATCH(COLUMNS($AD$1006:AS1006),$AD$1006:$AU$1006,0)), HYPERLINK("#",""), HYPERLINK(CONCATENATE("#metadata!", ADDRESS(INDEX($Y$2:$Y$1001,MATCH(ROWS($W$2:W367),$W$2:$W$1001,0),0), INDEX($AD$1004:$AU$1004,1,MATCH(COLUMNS($AD$1006:AS1006),$AD$1006:$AU$1006,0)))),"Fix")))</f>
        <v xml:space="preserve"> </v>
      </c>
      <c r="R367" s="4" t="str">
        <f ca="1">IF(OR(INDEX($X$2:$X$1001,MATCH(ROWS($W$2:W367),$W$2:$W$1001,0),1)&gt;=100000,INDEX($AD$1005:$AU$1005,1,MATCH(COLUMNS($AD$1006:AT1006),$AD$1006:$AU$1006,0))&gt;=100000), " ",IF(INDEX($AD$2:$AU$1001,MATCH(ROWS($W$2:W367),$W$2:$W$1001,0),MATCH(COLUMNS($AD$1006:AT1006),$AD$1006:$AU$1006,0)), HYPERLINK("#",""), HYPERLINK(CONCATENATE("#metadata!", ADDRESS(INDEX($Y$2:$Y$1001,MATCH(ROWS($W$2:W367),$W$2:$W$1001,0),0), INDEX($AD$1004:$AU$1004,1,MATCH(COLUMNS($AD$1006:AT1006),$AD$1006:$AU$1006,0)))),"Fix")))</f>
        <v xml:space="preserve"> </v>
      </c>
      <c r="S367" s="4" t="str">
        <f ca="1">IF(OR(INDEX($X$2:$X$1001,MATCH(ROWS($W$2:W367),$W$2:$W$1001,0),1)&gt;=100000,INDEX($AD$1005:$AU$1005,1,MATCH(COLUMNS($AD$1006:AU1006),$AD$1006:$AU$1006,0))&gt;=100000), " ",IF(INDEX($AD$2:$AU$1001,MATCH(ROWS($W$2:W367),$W$2:$W$1001,0),MATCH(COLUMNS($AD$1006:AU1006),$AD$1006:$AU$1006,0)), HYPERLINK("#",""), HYPERLINK(CONCATENATE("#metadata!", ADDRESS(INDEX($Y$2:$Y$1001,MATCH(ROWS($W$2:W367),$W$2:$W$1001,0),0), INDEX($AD$1004:$AU$1004,1,MATCH(COLUMNS($AD$1006:AU1006),$AD$1006:$AU$1006,0)))),"Fix")))</f>
        <v xml:space="preserve"> </v>
      </c>
      <c r="W367">
        <v>366</v>
      </c>
      <c r="X367">
        <v>100367</v>
      </c>
      <c r="Y367">
        <v>367</v>
      </c>
      <c r="Z367" t="b">
        <f t="shared" si="5"/>
        <v>1</v>
      </c>
      <c r="AA367" t="b">
        <f>COUNTBLANK(metadata!B367:S367)=COLUMNS(metadata!B367:S367)</f>
        <v>1</v>
      </c>
      <c r="AB367" t="str">
        <v/>
      </c>
      <c r="AD367" t="b">
        <f ca="1">AND(IF(metadata!B367="",FALSE,TRUE),COUNTIF(metadata!B:B, metadata!B367) = 1,NOT(ISERROR(SUMPRODUCT(SEARCH(MID(metadata!B367,ROW(INDIRECT("1:"&amp;LEN(metadata!B367))), 1),"0123456789abcdefghijklmnopqrstuvwxyzABCDEFGHIJKLMNOPQRSTUVWXYZ.")))))</f>
        <v>0</v>
      </c>
      <c r="AE367" t="b">
        <f>OR(AND(IF(metadata!C367="",FALSE,TRUE),OR(EXACT(metadata!C367,"not applicable"),EXACT(metadata!C367,"missing: not collected"),EXACT(metadata!C367,"missing: not provided"),EXACT(metadata!C367,"missing: restricted access"))),AND(IF(metadata!C367="",FALSE,ISNUMBER(VALUE(metadata!C367))),metadata!C367&gt;0))</f>
        <v>0</v>
      </c>
      <c r="AF367" t="b">
        <f>AND(IF(metadata!D367="",FALSE,TRUE),EXACT(metadata!D367,"missing: not provided"))</f>
        <v>0</v>
      </c>
      <c r="AG367" t="b">
        <f>AND(IF(metadata!E367="",FALSE,TRUE),EXACT(metadata!E367,"Host-associated"))</f>
        <v>0</v>
      </c>
      <c r="AH367" t="b">
        <f>AND(IF(metadata!F367="",FALSE,TRUE),OR(EXACT(metadata!F367,"Animal"),EXACT(metadata!F367,"Fungus"),EXACT(metadata!F367,"Plant")))</f>
        <v>0</v>
      </c>
      <c r="AI367" t="b">
        <f>AND(IF(metadata!G367="",FALSE,TRUE),OR(EXACT(metadata!G367,"Plant secretion"),EXACT(metadata!G367,"Plant rhizosphere"),EXACT(metadata!G367,"Plant surface"),EXACT(metadata!G367,"Plant corpus"),EXACT(metadata!G367,"Fungus surface"),EXACT(metadata!G367,"Fungus corpus"),EXACT(metadata!G367,"Animal surface"),EXACT(metadata!G367,"Animal proximal gut"),EXACT(metadata!G367,"Animal corpus"),EXACT(metadata!G367,"Animal distal gut"),EXACT(metadata!G367,"Animal secretion")))</f>
        <v>0</v>
      </c>
      <c r="AJ367" t="b">
        <f>OR(AND(IF(metadata!H367="",FALSE,TRUE),OR(EXACT(metadata!H367,"missing: not collected"),EXACT(metadata!H367,"missing: not provided"),EXACT(metadata!H367,"missing: restricted access"))),AND(IF(metadata!H367="",FALSE,TRUE),OR(EXACT(metadata!H367,"organism-associated habitat"),EXACT(metadata!H367,"plant-associated habitat"),EXACT(metadata!H367,"animal-associated habitat"),EXACT(metadata!H367,"insecta-associated habitat"),EXACT(metadata!H367,"mammalia-associated habitat"),EXACT(metadata!H367,"human-associated habitat"),EXACT(metadata!H367,"livestock-associated habitat"))))</f>
        <v>0</v>
      </c>
      <c r="AK367" t="b">
        <f>AND(IF(metadata!I367="",FALSE,TRUE),EXACT(metadata!I367,"host-associated"))</f>
        <v>0</v>
      </c>
      <c r="AL367" t="b">
        <f>OR(AND(IF(metadata!J367="",FALSE,TRUE),OR(EXACT(metadata!J367,"not applicable"),EXACT(metadata!J367,"missing: not collected"),EXACT(metadata!J367,"missing: not provided"),EXACT(metadata!J367,"missing: restricted access"))),AND(IF(metadata!J367="",FALSE,ISNUMBER(VALUE(metadata!J367))),metadata!J367&gt;0))</f>
        <v>0</v>
      </c>
      <c r="AM367" t="b">
        <f>AND(IF(metadata!K367="",FALSE,TRUE),EXACT(metadata!K367,"missing: not provided"))</f>
        <v>0</v>
      </c>
      <c r="AN367" t="b">
        <f>IF(metadata!L367="",FALSE,TRUE)</f>
        <v>0</v>
      </c>
      <c r="AO367" t="b">
        <f>IF(metadata!M367="",FALSE,TRUE)</f>
        <v>0</v>
      </c>
      <c r="AP367" t="b">
        <f>OR(AND(IF(metadata!N367="",FALSE,TRUE),OR(EXACT(metadata!N367,"not applicable"),EXACT(metadata!N367,"missing: not collected"),EXACT(metadata!N367,"missing: not provided"))),AND(IF(metadata!N367="",FALSE,IF(ISERROR(INT(metadata!N367)),FALSE,INT(metadata!N367)=metadata!N367)),metadata!N367&gt;0))</f>
        <v>0</v>
      </c>
      <c r="AQ367" t="b">
        <f>AND(IF(metadata!O367="",FALSE,TRUE),EXACT(metadata!O367,"Not applicable"))</f>
        <v>0</v>
      </c>
      <c r="AR367" t="b">
        <f>OR(AND(IF(metadata!P367="",FALSE,TRUE),OR(EXACT(metadata!P367,"not applicable"),EXACT(metadata!P367,"missing: not collected"),EXACT(metadata!P367,"missing: not provided"),EXACT(metadata!P367,"missing: restricted access"))),IF(metadata!P367="",FALSE,IF(ISERROR(INT(metadata!P367)),FALSE,INT(metadata!P367)=metadata!P367)))</f>
        <v>0</v>
      </c>
      <c r="AS367" t="b">
        <f>AND(IF(metadata!Q367="",FALSE,TRUE),EXACT(metadata!Q367,"Not applicable"))</f>
        <v>0</v>
      </c>
      <c r="AT367" t="b">
        <f>OR(AND(IF(metadata!R367="",FALSE,TRUE),OR(EXACT(metadata!R367,"not applicable"),EXACT(metadata!R367,"missing: not collected"),EXACT(metadata!R367,"missing: not provided"),EXACT(metadata!R367,"missing: restricted access"))),AND(IF(metadata!R367="",FALSE,ISNUMBER(VALUE(metadata!R367))),metadata!R367&gt;0))</f>
        <v>0</v>
      </c>
      <c r="AU367" t="b">
        <f>AND(IF(metadata!S367="",FALSE,TRUE),EXACT(metadata!S367,"missing: not provided"))</f>
        <v>0</v>
      </c>
    </row>
    <row r="368" spans="1:47" x14ac:dyDescent="0.2">
      <c r="A368" s="5" t="str">
        <f ca="1">IF(B368=" "," ",HYPERLINK(CONCATENATE("#metadata!",ADDRESS(INDEX($Y$2:$Y$1001,MATCH(ROWS($W$2:W368),$W$2:$W$1001,0),0),1)),INDEX($AB$2:$AB$1001,MATCH(ROWS($W$2:W368),$W$2:$W$1001,0),0)))</f>
        <v xml:space="preserve"> </v>
      </c>
      <c r="B368" s="4" t="str">
        <f ca="1">IF(OR(INDEX($X$2:$X$1001,MATCH(ROWS($W$2:W368),$W$2:$W$1001,0),1)&gt;=100000,INDEX($AD$1005:$AU$1005,1,MATCH(COLUMNS($AD$1006:AD1006),$AD$1006:$AU$1006,0))&gt;=100000), " ",IF(INDEX($AD$2:$AU$1001,MATCH(ROWS($W$2:W368),$W$2:$W$1001,0),MATCH(COLUMNS($AD$1006:AD1006),$AD$1006:$AU$1006,0)), HYPERLINK("#",""), HYPERLINK(CONCATENATE("#metadata!", ADDRESS(INDEX($Y$2:$Y$1001,MATCH(ROWS($W$2:W368),$W$2:$W$1001,0),0), INDEX($AD$1004:$AU$1004,1,MATCH(COLUMNS($AD$1006:AD1006),$AD$1006:$AU$1006,0)))),"Fix")))</f>
        <v xml:space="preserve"> </v>
      </c>
      <c r="C368" s="4" t="str">
        <f ca="1">IF(OR(INDEX($X$2:$X$1001,MATCH(ROWS($W$2:W368),$W$2:$W$1001,0),1)&gt;=100000,INDEX($AD$1005:$AU$1005,1,MATCH(COLUMNS($AD$1006:AE1006),$AD$1006:$AU$1006,0))&gt;=100000), " ",IF(INDEX($AD$2:$AU$1001,MATCH(ROWS($W$2:W368),$W$2:$W$1001,0),MATCH(COLUMNS($AD$1006:AE1006),$AD$1006:$AU$1006,0)), HYPERLINK("#",""), HYPERLINK(CONCATENATE("#metadata!", ADDRESS(INDEX($Y$2:$Y$1001,MATCH(ROWS($W$2:W368),$W$2:$W$1001,0),0), INDEX($AD$1004:$AU$1004,1,MATCH(COLUMNS($AD$1006:AE1006),$AD$1006:$AU$1006,0)))),"Fix")))</f>
        <v xml:space="preserve"> </v>
      </c>
      <c r="D368" s="4" t="str">
        <f ca="1">IF(OR(INDEX($X$2:$X$1001,MATCH(ROWS($W$2:W368),$W$2:$W$1001,0),1)&gt;=100000,INDEX($AD$1005:$AU$1005,1,MATCH(COLUMNS($AD$1006:AF1006),$AD$1006:$AU$1006,0))&gt;=100000), " ",IF(INDEX($AD$2:$AU$1001,MATCH(ROWS($W$2:W368),$W$2:$W$1001,0),MATCH(COLUMNS($AD$1006:AF1006),$AD$1006:$AU$1006,0)), HYPERLINK("#",""), HYPERLINK(CONCATENATE("#metadata!", ADDRESS(INDEX($Y$2:$Y$1001,MATCH(ROWS($W$2:W368),$W$2:$W$1001,0),0), INDEX($AD$1004:$AU$1004,1,MATCH(COLUMNS($AD$1006:AF1006),$AD$1006:$AU$1006,0)))),"Fix")))</f>
        <v xml:space="preserve"> </v>
      </c>
      <c r="E368" s="4" t="str">
        <f ca="1">IF(OR(INDEX($X$2:$X$1001,MATCH(ROWS($W$2:W368),$W$2:$W$1001,0),1)&gt;=100000,INDEX($AD$1005:$AU$1005,1,MATCH(COLUMNS($AD$1006:AG1006),$AD$1006:$AU$1006,0))&gt;=100000), " ",IF(INDEX($AD$2:$AU$1001,MATCH(ROWS($W$2:W368),$W$2:$W$1001,0),MATCH(COLUMNS($AD$1006:AG1006),$AD$1006:$AU$1006,0)), HYPERLINK("#",""), HYPERLINK(CONCATENATE("#metadata!", ADDRESS(INDEX($Y$2:$Y$1001,MATCH(ROWS($W$2:W368),$W$2:$W$1001,0),0), INDEX($AD$1004:$AU$1004,1,MATCH(COLUMNS($AD$1006:AG1006),$AD$1006:$AU$1006,0)))),"Fix")))</f>
        <v xml:space="preserve"> </v>
      </c>
      <c r="F368" s="4" t="str">
        <f ca="1">IF(OR(INDEX($X$2:$X$1001,MATCH(ROWS($W$2:W368),$W$2:$W$1001,0),1)&gt;=100000,INDEX($AD$1005:$AU$1005,1,MATCH(COLUMNS($AD$1006:AH1006),$AD$1006:$AU$1006,0))&gt;=100000), " ",IF(INDEX($AD$2:$AU$1001,MATCH(ROWS($W$2:W368),$W$2:$W$1001,0),MATCH(COLUMNS($AD$1006:AH1006),$AD$1006:$AU$1006,0)), HYPERLINK("#",""), HYPERLINK(CONCATENATE("#metadata!", ADDRESS(INDEX($Y$2:$Y$1001,MATCH(ROWS($W$2:W368),$W$2:$W$1001,0),0), INDEX($AD$1004:$AU$1004,1,MATCH(COLUMNS($AD$1006:AH1006),$AD$1006:$AU$1006,0)))),"Fix")))</f>
        <v xml:space="preserve"> </v>
      </c>
      <c r="G368" s="4" t="str">
        <f ca="1">IF(OR(INDEX($X$2:$X$1001,MATCH(ROWS($W$2:W368),$W$2:$W$1001,0),1)&gt;=100000,INDEX($AD$1005:$AU$1005,1,MATCH(COLUMNS($AD$1006:AI1006),$AD$1006:$AU$1006,0))&gt;=100000), " ",IF(INDEX($AD$2:$AU$1001,MATCH(ROWS($W$2:W368),$W$2:$W$1001,0),MATCH(COLUMNS($AD$1006:AI1006),$AD$1006:$AU$1006,0)), HYPERLINK("#",""), HYPERLINK(CONCATENATE("#metadata!", ADDRESS(INDEX($Y$2:$Y$1001,MATCH(ROWS($W$2:W368),$W$2:$W$1001,0),0), INDEX($AD$1004:$AU$1004,1,MATCH(COLUMNS($AD$1006:AI1006),$AD$1006:$AU$1006,0)))),"Fix")))</f>
        <v xml:space="preserve"> </v>
      </c>
      <c r="H368" s="4" t="str">
        <f ca="1">IF(OR(INDEX($X$2:$X$1001,MATCH(ROWS($W$2:W368),$W$2:$W$1001,0),1)&gt;=100000,INDEX($AD$1005:$AU$1005,1,MATCH(COLUMNS($AD$1006:AJ1006),$AD$1006:$AU$1006,0))&gt;=100000), " ",IF(INDEX($AD$2:$AU$1001,MATCH(ROWS($W$2:W368),$W$2:$W$1001,0),MATCH(COLUMNS($AD$1006:AJ1006),$AD$1006:$AU$1006,0)), HYPERLINK("#",""), HYPERLINK(CONCATENATE("#metadata!", ADDRESS(INDEX($Y$2:$Y$1001,MATCH(ROWS($W$2:W368),$W$2:$W$1001,0),0), INDEX($AD$1004:$AU$1004,1,MATCH(COLUMNS($AD$1006:AJ1006),$AD$1006:$AU$1006,0)))),"Fix")))</f>
        <v xml:space="preserve"> </v>
      </c>
      <c r="I368" s="4" t="str">
        <f ca="1">IF(OR(INDEX($X$2:$X$1001,MATCH(ROWS($W$2:W368),$W$2:$W$1001,0),1)&gt;=100000,INDEX($AD$1005:$AU$1005,1,MATCH(COLUMNS($AD$1006:AK1006),$AD$1006:$AU$1006,0))&gt;=100000), " ",IF(INDEX($AD$2:$AU$1001,MATCH(ROWS($W$2:W368),$W$2:$W$1001,0),MATCH(COLUMNS($AD$1006:AK1006),$AD$1006:$AU$1006,0)), HYPERLINK("#",""), HYPERLINK(CONCATENATE("#metadata!", ADDRESS(INDEX($Y$2:$Y$1001,MATCH(ROWS($W$2:W368),$W$2:$W$1001,0),0), INDEX($AD$1004:$AU$1004,1,MATCH(COLUMNS($AD$1006:AK1006),$AD$1006:$AU$1006,0)))),"Fix")))</f>
        <v xml:space="preserve"> </v>
      </c>
      <c r="J368" s="4" t="str">
        <f ca="1">IF(OR(INDEX($X$2:$X$1001,MATCH(ROWS($W$2:W368),$W$2:$W$1001,0),1)&gt;=100000,INDEX($AD$1005:$AU$1005,1,MATCH(COLUMNS($AD$1006:AL1006),$AD$1006:$AU$1006,0))&gt;=100000), " ",IF(INDEX($AD$2:$AU$1001,MATCH(ROWS($W$2:W368),$W$2:$W$1001,0),MATCH(COLUMNS($AD$1006:AL1006),$AD$1006:$AU$1006,0)), HYPERLINK("#",""), HYPERLINK(CONCATENATE("#metadata!", ADDRESS(INDEX($Y$2:$Y$1001,MATCH(ROWS($W$2:W368),$W$2:$W$1001,0),0), INDEX($AD$1004:$AU$1004,1,MATCH(COLUMNS($AD$1006:AL1006),$AD$1006:$AU$1006,0)))),"Fix")))</f>
        <v xml:space="preserve"> </v>
      </c>
      <c r="K368" s="4" t="str">
        <f ca="1">IF(OR(INDEX($X$2:$X$1001,MATCH(ROWS($W$2:W368),$W$2:$W$1001,0),1)&gt;=100000,INDEX($AD$1005:$AU$1005,1,MATCH(COLUMNS($AD$1006:AM1006),$AD$1006:$AU$1006,0))&gt;=100000), " ",IF(INDEX($AD$2:$AU$1001,MATCH(ROWS($W$2:W368),$W$2:$W$1001,0),MATCH(COLUMNS($AD$1006:AM1006),$AD$1006:$AU$1006,0)), HYPERLINK("#",""), HYPERLINK(CONCATENATE("#metadata!", ADDRESS(INDEX($Y$2:$Y$1001,MATCH(ROWS($W$2:W368),$W$2:$W$1001,0),0), INDEX($AD$1004:$AU$1004,1,MATCH(COLUMNS($AD$1006:AM1006),$AD$1006:$AU$1006,0)))),"Fix")))</f>
        <v xml:space="preserve"> </v>
      </c>
      <c r="L368" s="4" t="str">
        <f ca="1">IF(OR(INDEX($X$2:$X$1001,MATCH(ROWS($W$2:W368),$W$2:$W$1001,0),1)&gt;=100000,INDEX($AD$1005:$AU$1005,1,MATCH(COLUMNS($AD$1006:AN1006),$AD$1006:$AU$1006,0))&gt;=100000), " ",IF(INDEX($AD$2:$AU$1001,MATCH(ROWS($W$2:W368),$W$2:$W$1001,0),MATCH(COLUMNS($AD$1006:AN1006),$AD$1006:$AU$1006,0)), HYPERLINK("#",""), HYPERLINK(CONCATENATE("#metadata!", ADDRESS(INDEX($Y$2:$Y$1001,MATCH(ROWS($W$2:W368),$W$2:$W$1001,0),0), INDEX($AD$1004:$AU$1004,1,MATCH(COLUMNS($AD$1006:AN1006),$AD$1006:$AU$1006,0)))),"Fix")))</f>
        <v xml:space="preserve"> </v>
      </c>
      <c r="M368" s="4" t="str">
        <f ca="1">IF(OR(INDEX($X$2:$X$1001,MATCH(ROWS($W$2:W368),$W$2:$W$1001,0),1)&gt;=100000,INDEX($AD$1005:$AU$1005,1,MATCH(COLUMNS($AD$1006:AO1006),$AD$1006:$AU$1006,0))&gt;=100000), " ",IF(INDEX($AD$2:$AU$1001,MATCH(ROWS($W$2:W368),$W$2:$W$1001,0),MATCH(COLUMNS($AD$1006:AO1006),$AD$1006:$AU$1006,0)), HYPERLINK("#",""), HYPERLINK(CONCATENATE("#metadata!", ADDRESS(INDEX($Y$2:$Y$1001,MATCH(ROWS($W$2:W368),$W$2:$W$1001,0),0), INDEX($AD$1004:$AU$1004,1,MATCH(COLUMNS($AD$1006:AO1006),$AD$1006:$AU$1006,0)))),"Fix")))</f>
        <v xml:space="preserve"> </v>
      </c>
      <c r="N368" s="4" t="str">
        <f ca="1">IF(OR(INDEX($X$2:$X$1001,MATCH(ROWS($W$2:W368),$W$2:$W$1001,0),1)&gt;=100000,INDEX($AD$1005:$AU$1005,1,MATCH(COLUMNS($AD$1006:AP1006),$AD$1006:$AU$1006,0))&gt;=100000), " ",IF(INDEX($AD$2:$AU$1001,MATCH(ROWS($W$2:W368),$W$2:$W$1001,0),MATCH(COLUMNS($AD$1006:AP1006),$AD$1006:$AU$1006,0)), HYPERLINK("#",""), HYPERLINK(CONCATENATE("#metadata!", ADDRESS(INDEX($Y$2:$Y$1001,MATCH(ROWS($W$2:W368),$W$2:$W$1001,0),0), INDEX($AD$1004:$AU$1004,1,MATCH(COLUMNS($AD$1006:AP1006),$AD$1006:$AU$1006,0)))),"Fix")))</f>
        <v xml:space="preserve"> </v>
      </c>
      <c r="O368" s="4" t="str">
        <f ca="1">IF(OR(INDEX($X$2:$X$1001,MATCH(ROWS($W$2:W368),$W$2:$W$1001,0),1)&gt;=100000,INDEX($AD$1005:$AU$1005,1,MATCH(COLUMNS($AD$1006:AQ1006),$AD$1006:$AU$1006,0))&gt;=100000), " ",IF(INDEX($AD$2:$AU$1001,MATCH(ROWS($W$2:W368),$W$2:$W$1001,0),MATCH(COLUMNS($AD$1006:AQ1006),$AD$1006:$AU$1006,0)), HYPERLINK("#",""), HYPERLINK(CONCATENATE("#metadata!", ADDRESS(INDEX($Y$2:$Y$1001,MATCH(ROWS($W$2:W368),$W$2:$W$1001,0),0), INDEX($AD$1004:$AU$1004,1,MATCH(COLUMNS($AD$1006:AQ1006),$AD$1006:$AU$1006,0)))),"Fix")))</f>
        <v xml:space="preserve"> </v>
      </c>
      <c r="P368" s="4" t="str">
        <f ca="1">IF(OR(INDEX($X$2:$X$1001,MATCH(ROWS($W$2:W368),$W$2:$W$1001,0),1)&gt;=100000,INDEX($AD$1005:$AU$1005,1,MATCH(COLUMNS($AD$1006:AR1006),$AD$1006:$AU$1006,0))&gt;=100000), " ",IF(INDEX($AD$2:$AU$1001,MATCH(ROWS($W$2:W368),$W$2:$W$1001,0),MATCH(COLUMNS($AD$1006:AR1006),$AD$1006:$AU$1006,0)), HYPERLINK("#",""), HYPERLINK(CONCATENATE("#metadata!", ADDRESS(INDEX($Y$2:$Y$1001,MATCH(ROWS($W$2:W368),$W$2:$W$1001,0),0), INDEX($AD$1004:$AU$1004,1,MATCH(COLUMNS($AD$1006:AR1006),$AD$1006:$AU$1006,0)))),"Fix")))</f>
        <v xml:space="preserve"> </v>
      </c>
      <c r="Q368" s="4" t="str">
        <f ca="1">IF(OR(INDEX($X$2:$X$1001,MATCH(ROWS($W$2:W368),$W$2:$W$1001,0),1)&gt;=100000,INDEX($AD$1005:$AU$1005,1,MATCH(COLUMNS($AD$1006:AS1006),$AD$1006:$AU$1006,0))&gt;=100000), " ",IF(INDEX($AD$2:$AU$1001,MATCH(ROWS($W$2:W368),$W$2:$W$1001,0),MATCH(COLUMNS($AD$1006:AS1006),$AD$1006:$AU$1006,0)), HYPERLINK("#",""), HYPERLINK(CONCATENATE("#metadata!", ADDRESS(INDEX($Y$2:$Y$1001,MATCH(ROWS($W$2:W368),$W$2:$W$1001,0),0), INDEX($AD$1004:$AU$1004,1,MATCH(COLUMNS($AD$1006:AS1006),$AD$1006:$AU$1006,0)))),"Fix")))</f>
        <v xml:space="preserve"> </v>
      </c>
      <c r="R368" s="4" t="str">
        <f ca="1">IF(OR(INDEX($X$2:$X$1001,MATCH(ROWS($W$2:W368),$W$2:$W$1001,0),1)&gt;=100000,INDEX($AD$1005:$AU$1005,1,MATCH(COLUMNS($AD$1006:AT1006),$AD$1006:$AU$1006,0))&gt;=100000), " ",IF(INDEX($AD$2:$AU$1001,MATCH(ROWS($W$2:W368),$W$2:$W$1001,0),MATCH(COLUMNS($AD$1006:AT1006),$AD$1006:$AU$1006,0)), HYPERLINK("#",""), HYPERLINK(CONCATENATE("#metadata!", ADDRESS(INDEX($Y$2:$Y$1001,MATCH(ROWS($W$2:W368),$W$2:$W$1001,0),0), INDEX($AD$1004:$AU$1004,1,MATCH(COLUMNS($AD$1006:AT1006),$AD$1006:$AU$1006,0)))),"Fix")))</f>
        <v xml:space="preserve"> </v>
      </c>
      <c r="S368" s="4" t="str">
        <f ca="1">IF(OR(INDEX($X$2:$X$1001,MATCH(ROWS($W$2:W368),$W$2:$W$1001,0),1)&gt;=100000,INDEX($AD$1005:$AU$1005,1,MATCH(COLUMNS($AD$1006:AU1006),$AD$1006:$AU$1006,0))&gt;=100000), " ",IF(INDEX($AD$2:$AU$1001,MATCH(ROWS($W$2:W368),$W$2:$W$1001,0),MATCH(COLUMNS($AD$1006:AU1006),$AD$1006:$AU$1006,0)), HYPERLINK("#",""), HYPERLINK(CONCATENATE("#metadata!", ADDRESS(INDEX($Y$2:$Y$1001,MATCH(ROWS($W$2:W368),$W$2:$W$1001,0),0), INDEX($AD$1004:$AU$1004,1,MATCH(COLUMNS($AD$1006:AU1006),$AD$1006:$AU$1006,0)))),"Fix")))</f>
        <v xml:space="preserve"> </v>
      </c>
      <c r="W368">
        <v>367</v>
      </c>
      <c r="X368">
        <v>100368</v>
      </c>
      <c r="Y368">
        <v>368</v>
      </c>
      <c r="Z368" t="b">
        <f t="shared" si="5"/>
        <v>1</v>
      </c>
      <c r="AA368" t="b">
        <f>COUNTBLANK(metadata!B368:S368)=COLUMNS(metadata!B368:S368)</f>
        <v>1</v>
      </c>
      <c r="AB368" t="str">
        <v/>
      </c>
      <c r="AD368" t="b">
        <f ca="1">AND(IF(metadata!B368="",FALSE,TRUE),COUNTIF(metadata!B:B, metadata!B368) = 1,NOT(ISERROR(SUMPRODUCT(SEARCH(MID(metadata!B368,ROW(INDIRECT("1:"&amp;LEN(metadata!B368))), 1),"0123456789abcdefghijklmnopqrstuvwxyzABCDEFGHIJKLMNOPQRSTUVWXYZ.")))))</f>
        <v>0</v>
      </c>
      <c r="AE368" t="b">
        <f>OR(AND(IF(metadata!C368="",FALSE,TRUE),OR(EXACT(metadata!C368,"not applicable"),EXACT(metadata!C368,"missing: not collected"),EXACT(metadata!C368,"missing: not provided"),EXACT(metadata!C368,"missing: restricted access"))),AND(IF(metadata!C368="",FALSE,ISNUMBER(VALUE(metadata!C368))),metadata!C368&gt;0))</f>
        <v>0</v>
      </c>
      <c r="AF368" t="b">
        <f>AND(IF(metadata!D368="",FALSE,TRUE),EXACT(metadata!D368,"missing: not provided"))</f>
        <v>0</v>
      </c>
      <c r="AG368" t="b">
        <f>AND(IF(metadata!E368="",FALSE,TRUE),EXACT(metadata!E368,"Host-associated"))</f>
        <v>0</v>
      </c>
      <c r="AH368" t="b">
        <f>AND(IF(metadata!F368="",FALSE,TRUE),OR(EXACT(metadata!F368,"Animal"),EXACT(metadata!F368,"Fungus"),EXACT(metadata!F368,"Plant")))</f>
        <v>0</v>
      </c>
      <c r="AI368" t="b">
        <f>AND(IF(metadata!G368="",FALSE,TRUE),OR(EXACT(metadata!G368,"Plant secretion"),EXACT(metadata!G368,"Plant rhizosphere"),EXACT(metadata!G368,"Plant surface"),EXACT(metadata!G368,"Plant corpus"),EXACT(metadata!G368,"Fungus surface"),EXACT(metadata!G368,"Fungus corpus"),EXACT(metadata!G368,"Animal surface"),EXACT(metadata!G368,"Animal proximal gut"),EXACT(metadata!G368,"Animal corpus"),EXACT(metadata!G368,"Animal distal gut"),EXACT(metadata!G368,"Animal secretion")))</f>
        <v>0</v>
      </c>
      <c r="AJ368" t="b">
        <f>OR(AND(IF(metadata!H368="",FALSE,TRUE),OR(EXACT(metadata!H368,"missing: not collected"),EXACT(metadata!H368,"missing: not provided"),EXACT(metadata!H368,"missing: restricted access"))),AND(IF(metadata!H368="",FALSE,TRUE),OR(EXACT(metadata!H368,"organism-associated habitat"),EXACT(metadata!H368,"plant-associated habitat"),EXACT(metadata!H368,"animal-associated habitat"),EXACT(metadata!H368,"insecta-associated habitat"),EXACT(metadata!H368,"mammalia-associated habitat"),EXACT(metadata!H368,"human-associated habitat"),EXACT(metadata!H368,"livestock-associated habitat"))))</f>
        <v>0</v>
      </c>
      <c r="AK368" t="b">
        <f>AND(IF(metadata!I368="",FALSE,TRUE),EXACT(metadata!I368,"host-associated"))</f>
        <v>0</v>
      </c>
      <c r="AL368" t="b">
        <f>OR(AND(IF(metadata!J368="",FALSE,TRUE),OR(EXACT(metadata!J368,"not applicable"),EXACT(metadata!J368,"missing: not collected"),EXACT(metadata!J368,"missing: not provided"),EXACT(metadata!J368,"missing: restricted access"))),AND(IF(metadata!J368="",FALSE,ISNUMBER(VALUE(metadata!J368))),metadata!J368&gt;0))</f>
        <v>0</v>
      </c>
      <c r="AM368" t="b">
        <f>AND(IF(metadata!K368="",FALSE,TRUE),EXACT(metadata!K368,"missing: not provided"))</f>
        <v>0</v>
      </c>
      <c r="AN368" t="b">
        <f>IF(metadata!L368="",FALSE,TRUE)</f>
        <v>0</v>
      </c>
      <c r="AO368" t="b">
        <f>IF(metadata!M368="",FALSE,TRUE)</f>
        <v>0</v>
      </c>
      <c r="AP368" t="b">
        <f>OR(AND(IF(metadata!N368="",FALSE,TRUE),OR(EXACT(metadata!N368,"not applicable"),EXACT(metadata!N368,"missing: not collected"),EXACT(metadata!N368,"missing: not provided"))),AND(IF(metadata!N368="",FALSE,IF(ISERROR(INT(metadata!N368)),FALSE,INT(metadata!N368)=metadata!N368)),metadata!N368&gt;0))</f>
        <v>0</v>
      </c>
      <c r="AQ368" t="b">
        <f>AND(IF(metadata!O368="",FALSE,TRUE),EXACT(metadata!O368,"Not applicable"))</f>
        <v>0</v>
      </c>
      <c r="AR368" t="b">
        <f>OR(AND(IF(metadata!P368="",FALSE,TRUE),OR(EXACT(metadata!P368,"not applicable"),EXACT(metadata!P368,"missing: not collected"),EXACT(metadata!P368,"missing: not provided"),EXACT(metadata!P368,"missing: restricted access"))),IF(metadata!P368="",FALSE,IF(ISERROR(INT(metadata!P368)),FALSE,INT(metadata!P368)=metadata!P368)))</f>
        <v>0</v>
      </c>
      <c r="AS368" t="b">
        <f>AND(IF(metadata!Q368="",FALSE,TRUE),EXACT(metadata!Q368,"Not applicable"))</f>
        <v>0</v>
      </c>
      <c r="AT368" t="b">
        <f>OR(AND(IF(metadata!R368="",FALSE,TRUE),OR(EXACT(metadata!R368,"not applicable"),EXACT(metadata!R368,"missing: not collected"),EXACT(metadata!R368,"missing: not provided"),EXACT(metadata!R368,"missing: restricted access"))),AND(IF(metadata!R368="",FALSE,ISNUMBER(VALUE(metadata!R368))),metadata!R368&gt;0))</f>
        <v>0</v>
      </c>
      <c r="AU368" t="b">
        <f>AND(IF(metadata!S368="",FALSE,TRUE),EXACT(metadata!S368,"missing: not provided"))</f>
        <v>0</v>
      </c>
    </row>
    <row r="369" spans="1:47" x14ac:dyDescent="0.2">
      <c r="A369" s="5" t="str">
        <f ca="1">IF(B369=" "," ",HYPERLINK(CONCATENATE("#metadata!",ADDRESS(INDEX($Y$2:$Y$1001,MATCH(ROWS($W$2:W369),$W$2:$W$1001,0),0),1)),INDEX($AB$2:$AB$1001,MATCH(ROWS($W$2:W369),$W$2:$W$1001,0),0)))</f>
        <v xml:space="preserve"> </v>
      </c>
      <c r="B369" s="4" t="str">
        <f ca="1">IF(OR(INDEX($X$2:$X$1001,MATCH(ROWS($W$2:W369),$W$2:$W$1001,0),1)&gt;=100000,INDEX($AD$1005:$AU$1005,1,MATCH(COLUMNS($AD$1006:AD1006),$AD$1006:$AU$1006,0))&gt;=100000), " ",IF(INDEX($AD$2:$AU$1001,MATCH(ROWS($W$2:W369),$W$2:$W$1001,0),MATCH(COLUMNS($AD$1006:AD1006),$AD$1006:$AU$1006,0)), HYPERLINK("#",""), HYPERLINK(CONCATENATE("#metadata!", ADDRESS(INDEX($Y$2:$Y$1001,MATCH(ROWS($W$2:W369),$W$2:$W$1001,0),0), INDEX($AD$1004:$AU$1004,1,MATCH(COLUMNS($AD$1006:AD1006),$AD$1006:$AU$1006,0)))),"Fix")))</f>
        <v xml:space="preserve"> </v>
      </c>
      <c r="C369" s="4" t="str">
        <f ca="1">IF(OR(INDEX($X$2:$X$1001,MATCH(ROWS($W$2:W369),$W$2:$W$1001,0),1)&gt;=100000,INDEX($AD$1005:$AU$1005,1,MATCH(COLUMNS($AD$1006:AE1006),$AD$1006:$AU$1006,0))&gt;=100000), " ",IF(INDEX($AD$2:$AU$1001,MATCH(ROWS($W$2:W369),$W$2:$W$1001,0),MATCH(COLUMNS($AD$1006:AE1006),$AD$1006:$AU$1006,0)), HYPERLINK("#",""), HYPERLINK(CONCATENATE("#metadata!", ADDRESS(INDEX($Y$2:$Y$1001,MATCH(ROWS($W$2:W369),$W$2:$W$1001,0),0), INDEX($AD$1004:$AU$1004,1,MATCH(COLUMNS($AD$1006:AE1006),$AD$1006:$AU$1006,0)))),"Fix")))</f>
        <v xml:space="preserve"> </v>
      </c>
      <c r="D369" s="4" t="str">
        <f ca="1">IF(OR(INDEX($X$2:$X$1001,MATCH(ROWS($W$2:W369),$W$2:$W$1001,0),1)&gt;=100000,INDEX($AD$1005:$AU$1005,1,MATCH(COLUMNS($AD$1006:AF1006),$AD$1006:$AU$1006,0))&gt;=100000), " ",IF(INDEX($AD$2:$AU$1001,MATCH(ROWS($W$2:W369),$W$2:$W$1001,0),MATCH(COLUMNS($AD$1006:AF1006),$AD$1006:$AU$1006,0)), HYPERLINK("#",""), HYPERLINK(CONCATENATE("#metadata!", ADDRESS(INDEX($Y$2:$Y$1001,MATCH(ROWS($W$2:W369),$W$2:$W$1001,0),0), INDEX($AD$1004:$AU$1004,1,MATCH(COLUMNS($AD$1006:AF1006),$AD$1006:$AU$1006,0)))),"Fix")))</f>
        <v xml:space="preserve"> </v>
      </c>
      <c r="E369" s="4" t="str">
        <f ca="1">IF(OR(INDEX($X$2:$X$1001,MATCH(ROWS($W$2:W369),$W$2:$W$1001,0),1)&gt;=100000,INDEX($AD$1005:$AU$1005,1,MATCH(COLUMNS($AD$1006:AG1006),$AD$1006:$AU$1006,0))&gt;=100000), " ",IF(INDEX($AD$2:$AU$1001,MATCH(ROWS($W$2:W369),$W$2:$W$1001,0),MATCH(COLUMNS($AD$1006:AG1006),$AD$1006:$AU$1006,0)), HYPERLINK("#",""), HYPERLINK(CONCATENATE("#metadata!", ADDRESS(INDEX($Y$2:$Y$1001,MATCH(ROWS($W$2:W369),$W$2:$W$1001,0),0), INDEX($AD$1004:$AU$1004,1,MATCH(COLUMNS($AD$1006:AG1006),$AD$1006:$AU$1006,0)))),"Fix")))</f>
        <v xml:space="preserve"> </v>
      </c>
      <c r="F369" s="4" t="str">
        <f ca="1">IF(OR(INDEX($X$2:$X$1001,MATCH(ROWS($W$2:W369),$W$2:$W$1001,0),1)&gt;=100000,INDEX($AD$1005:$AU$1005,1,MATCH(COLUMNS($AD$1006:AH1006),$AD$1006:$AU$1006,0))&gt;=100000), " ",IF(INDEX($AD$2:$AU$1001,MATCH(ROWS($W$2:W369),$W$2:$W$1001,0),MATCH(COLUMNS($AD$1006:AH1006),$AD$1006:$AU$1006,0)), HYPERLINK("#",""), HYPERLINK(CONCATENATE("#metadata!", ADDRESS(INDEX($Y$2:$Y$1001,MATCH(ROWS($W$2:W369),$W$2:$W$1001,0),0), INDEX($AD$1004:$AU$1004,1,MATCH(COLUMNS($AD$1006:AH1006),$AD$1006:$AU$1006,0)))),"Fix")))</f>
        <v xml:space="preserve"> </v>
      </c>
      <c r="G369" s="4" t="str">
        <f ca="1">IF(OR(INDEX($X$2:$X$1001,MATCH(ROWS($W$2:W369),$W$2:$W$1001,0),1)&gt;=100000,INDEX($AD$1005:$AU$1005,1,MATCH(COLUMNS($AD$1006:AI1006),$AD$1006:$AU$1006,0))&gt;=100000), " ",IF(INDEX($AD$2:$AU$1001,MATCH(ROWS($W$2:W369),$W$2:$W$1001,0),MATCH(COLUMNS($AD$1006:AI1006),$AD$1006:$AU$1006,0)), HYPERLINK("#",""), HYPERLINK(CONCATENATE("#metadata!", ADDRESS(INDEX($Y$2:$Y$1001,MATCH(ROWS($W$2:W369),$W$2:$W$1001,0),0), INDEX($AD$1004:$AU$1004,1,MATCH(COLUMNS($AD$1006:AI1006),$AD$1006:$AU$1006,0)))),"Fix")))</f>
        <v xml:space="preserve"> </v>
      </c>
      <c r="H369" s="4" t="str">
        <f ca="1">IF(OR(INDEX($X$2:$X$1001,MATCH(ROWS($W$2:W369),$W$2:$W$1001,0),1)&gt;=100000,INDEX($AD$1005:$AU$1005,1,MATCH(COLUMNS($AD$1006:AJ1006),$AD$1006:$AU$1006,0))&gt;=100000), " ",IF(INDEX($AD$2:$AU$1001,MATCH(ROWS($W$2:W369),$W$2:$W$1001,0),MATCH(COLUMNS($AD$1006:AJ1006),$AD$1006:$AU$1006,0)), HYPERLINK("#",""), HYPERLINK(CONCATENATE("#metadata!", ADDRESS(INDEX($Y$2:$Y$1001,MATCH(ROWS($W$2:W369),$W$2:$W$1001,0),0), INDEX($AD$1004:$AU$1004,1,MATCH(COLUMNS($AD$1006:AJ1006),$AD$1006:$AU$1006,0)))),"Fix")))</f>
        <v xml:space="preserve"> </v>
      </c>
      <c r="I369" s="4" t="str">
        <f ca="1">IF(OR(INDEX($X$2:$X$1001,MATCH(ROWS($W$2:W369),$W$2:$W$1001,0),1)&gt;=100000,INDEX($AD$1005:$AU$1005,1,MATCH(COLUMNS($AD$1006:AK1006),$AD$1006:$AU$1006,0))&gt;=100000), " ",IF(INDEX($AD$2:$AU$1001,MATCH(ROWS($W$2:W369),$W$2:$W$1001,0),MATCH(COLUMNS($AD$1006:AK1006),$AD$1006:$AU$1006,0)), HYPERLINK("#",""), HYPERLINK(CONCATENATE("#metadata!", ADDRESS(INDEX($Y$2:$Y$1001,MATCH(ROWS($W$2:W369),$W$2:$W$1001,0),0), INDEX($AD$1004:$AU$1004,1,MATCH(COLUMNS($AD$1006:AK1006),$AD$1006:$AU$1006,0)))),"Fix")))</f>
        <v xml:space="preserve"> </v>
      </c>
      <c r="J369" s="4" t="str">
        <f ca="1">IF(OR(INDEX($X$2:$X$1001,MATCH(ROWS($W$2:W369),$W$2:$W$1001,0),1)&gt;=100000,INDEX($AD$1005:$AU$1005,1,MATCH(COLUMNS($AD$1006:AL1006),$AD$1006:$AU$1006,0))&gt;=100000), " ",IF(INDEX($AD$2:$AU$1001,MATCH(ROWS($W$2:W369),$W$2:$W$1001,0),MATCH(COLUMNS($AD$1006:AL1006),$AD$1006:$AU$1006,0)), HYPERLINK("#",""), HYPERLINK(CONCATENATE("#metadata!", ADDRESS(INDEX($Y$2:$Y$1001,MATCH(ROWS($W$2:W369),$W$2:$W$1001,0),0), INDEX($AD$1004:$AU$1004,1,MATCH(COLUMNS($AD$1006:AL1006),$AD$1006:$AU$1006,0)))),"Fix")))</f>
        <v xml:space="preserve"> </v>
      </c>
      <c r="K369" s="4" t="str">
        <f ca="1">IF(OR(INDEX($X$2:$X$1001,MATCH(ROWS($W$2:W369),$W$2:$W$1001,0),1)&gt;=100000,INDEX($AD$1005:$AU$1005,1,MATCH(COLUMNS($AD$1006:AM1006),$AD$1006:$AU$1006,0))&gt;=100000), " ",IF(INDEX($AD$2:$AU$1001,MATCH(ROWS($W$2:W369),$W$2:$W$1001,0),MATCH(COLUMNS($AD$1006:AM1006),$AD$1006:$AU$1006,0)), HYPERLINK("#",""), HYPERLINK(CONCATENATE("#metadata!", ADDRESS(INDEX($Y$2:$Y$1001,MATCH(ROWS($W$2:W369),$W$2:$W$1001,0),0), INDEX($AD$1004:$AU$1004,1,MATCH(COLUMNS($AD$1006:AM1006),$AD$1006:$AU$1006,0)))),"Fix")))</f>
        <v xml:space="preserve"> </v>
      </c>
      <c r="L369" s="4" t="str">
        <f ca="1">IF(OR(INDEX($X$2:$X$1001,MATCH(ROWS($W$2:W369),$W$2:$W$1001,0),1)&gt;=100000,INDEX($AD$1005:$AU$1005,1,MATCH(COLUMNS($AD$1006:AN1006),$AD$1006:$AU$1006,0))&gt;=100000), " ",IF(INDEX($AD$2:$AU$1001,MATCH(ROWS($W$2:W369),$W$2:$W$1001,0),MATCH(COLUMNS($AD$1006:AN1006),$AD$1006:$AU$1006,0)), HYPERLINK("#",""), HYPERLINK(CONCATENATE("#metadata!", ADDRESS(INDEX($Y$2:$Y$1001,MATCH(ROWS($W$2:W369),$W$2:$W$1001,0),0), INDEX($AD$1004:$AU$1004,1,MATCH(COLUMNS($AD$1006:AN1006),$AD$1006:$AU$1006,0)))),"Fix")))</f>
        <v xml:space="preserve"> </v>
      </c>
      <c r="M369" s="4" t="str">
        <f ca="1">IF(OR(INDEX($X$2:$X$1001,MATCH(ROWS($W$2:W369),$W$2:$W$1001,0),1)&gt;=100000,INDEX($AD$1005:$AU$1005,1,MATCH(COLUMNS($AD$1006:AO1006),$AD$1006:$AU$1006,0))&gt;=100000), " ",IF(INDEX($AD$2:$AU$1001,MATCH(ROWS($W$2:W369),$W$2:$W$1001,0),MATCH(COLUMNS($AD$1006:AO1006),$AD$1006:$AU$1006,0)), HYPERLINK("#",""), HYPERLINK(CONCATENATE("#metadata!", ADDRESS(INDEX($Y$2:$Y$1001,MATCH(ROWS($W$2:W369),$W$2:$W$1001,0),0), INDEX($AD$1004:$AU$1004,1,MATCH(COLUMNS($AD$1006:AO1006),$AD$1006:$AU$1006,0)))),"Fix")))</f>
        <v xml:space="preserve"> </v>
      </c>
      <c r="N369" s="4" t="str">
        <f ca="1">IF(OR(INDEX($X$2:$X$1001,MATCH(ROWS($W$2:W369),$W$2:$W$1001,0),1)&gt;=100000,INDEX($AD$1005:$AU$1005,1,MATCH(COLUMNS($AD$1006:AP1006),$AD$1006:$AU$1006,0))&gt;=100000), " ",IF(INDEX($AD$2:$AU$1001,MATCH(ROWS($W$2:W369),$W$2:$W$1001,0),MATCH(COLUMNS($AD$1006:AP1006),$AD$1006:$AU$1006,0)), HYPERLINK("#",""), HYPERLINK(CONCATENATE("#metadata!", ADDRESS(INDEX($Y$2:$Y$1001,MATCH(ROWS($W$2:W369),$W$2:$W$1001,0),0), INDEX($AD$1004:$AU$1004,1,MATCH(COLUMNS($AD$1006:AP1006),$AD$1006:$AU$1006,0)))),"Fix")))</f>
        <v xml:space="preserve"> </v>
      </c>
      <c r="O369" s="4" t="str">
        <f ca="1">IF(OR(INDEX($X$2:$X$1001,MATCH(ROWS($W$2:W369),$W$2:$W$1001,0),1)&gt;=100000,INDEX($AD$1005:$AU$1005,1,MATCH(COLUMNS($AD$1006:AQ1006),$AD$1006:$AU$1006,0))&gt;=100000), " ",IF(INDEX($AD$2:$AU$1001,MATCH(ROWS($W$2:W369),$W$2:$W$1001,0),MATCH(COLUMNS($AD$1006:AQ1006),$AD$1006:$AU$1006,0)), HYPERLINK("#",""), HYPERLINK(CONCATENATE("#metadata!", ADDRESS(INDEX($Y$2:$Y$1001,MATCH(ROWS($W$2:W369),$W$2:$W$1001,0),0), INDEX($AD$1004:$AU$1004,1,MATCH(COLUMNS($AD$1006:AQ1006),$AD$1006:$AU$1006,0)))),"Fix")))</f>
        <v xml:space="preserve"> </v>
      </c>
      <c r="P369" s="4" t="str">
        <f ca="1">IF(OR(INDEX($X$2:$X$1001,MATCH(ROWS($W$2:W369),$W$2:$W$1001,0),1)&gt;=100000,INDEX($AD$1005:$AU$1005,1,MATCH(COLUMNS($AD$1006:AR1006),$AD$1006:$AU$1006,0))&gt;=100000), " ",IF(INDEX($AD$2:$AU$1001,MATCH(ROWS($W$2:W369),$W$2:$W$1001,0),MATCH(COLUMNS($AD$1006:AR1006),$AD$1006:$AU$1006,0)), HYPERLINK("#",""), HYPERLINK(CONCATENATE("#metadata!", ADDRESS(INDEX($Y$2:$Y$1001,MATCH(ROWS($W$2:W369),$W$2:$W$1001,0),0), INDEX($AD$1004:$AU$1004,1,MATCH(COLUMNS($AD$1006:AR1006),$AD$1006:$AU$1006,0)))),"Fix")))</f>
        <v xml:space="preserve"> </v>
      </c>
      <c r="Q369" s="4" t="str">
        <f ca="1">IF(OR(INDEX($X$2:$X$1001,MATCH(ROWS($W$2:W369),$W$2:$W$1001,0),1)&gt;=100000,INDEX($AD$1005:$AU$1005,1,MATCH(COLUMNS($AD$1006:AS1006),$AD$1006:$AU$1006,0))&gt;=100000), " ",IF(INDEX($AD$2:$AU$1001,MATCH(ROWS($W$2:W369),$W$2:$W$1001,0),MATCH(COLUMNS($AD$1006:AS1006),$AD$1006:$AU$1006,0)), HYPERLINK("#",""), HYPERLINK(CONCATENATE("#metadata!", ADDRESS(INDEX($Y$2:$Y$1001,MATCH(ROWS($W$2:W369),$W$2:$W$1001,0),0), INDEX($AD$1004:$AU$1004,1,MATCH(COLUMNS($AD$1006:AS1006),$AD$1006:$AU$1006,0)))),"Fix")))</f>
        <v xml:space="preserve"> </v>
      </c>
      <c r="R369" s="4" t="str">
        <f ca="1">IF(OR(INDEX($X$2:$X$1001,MATCH(ROWS($W$2:W369),$W$2:$W$1001,0),1)&gt;=100000,INDEX($AD$1005:$AU$1005,1,MATCH(COLUMNS($AD$1006:AT1006),$AD$1006:$AU$1006,0))&gt;=100000), " ",IF(INDEX($AD$2:$AU$1001,MATCH(ROWS($W$2:W369),$W$2:$W$1001,0),MATCH(COLUMNS($AD$1006:AT1006),$AD$1006:$AU$1006,0)), HYPERLINK("#",""), HYPERLINK(CONCATENATE("#metadata!", ADDRESS(INDEX($Y$2:$Y$1001,MATCH(ROWS($W$2:W369),$W$2:$W$1001,0),0), INDEX($AD$1004:$AU$1004,1,MATCH(COLUMNS($AD$1006:AT1006),$AD$1006:$AU$1006,0)))),"Fix")))</f>
        <v xml:space="preserve"> </v>
      </c>
      <c r="S369" s="4" t="str">
        <f ca="1">IF(OR(INDEX($X$2:$X$1001,MATCH(ROWS($W$2:W369),$W$2:$W$1001,0),1)&gt;=100000,INDEX($AD$1005:$AU$1005,1,MATCH(COLUMNS($AD$1006:AU1006),$AD$1006:$AU$1006,0))&gt;=100000), " ",IF(INDEX($AD$2:$AU$1001,MATCH(ROWS($W$2:W369),$W$2:$W$1001,0),MATCH(COLUMNS($AD$1006:AU1006),$AD$1006:$AU$1006,0)), HYPERLINK("#",""), HYPERLINK(CONCATENATE("#metadata!", ADDRESS(INDEX($Y$2:$Y$1001,MATCH(ROWS($W$2:W369),$W$2:$W$1001,0),0), INDEX($AD$1004:$AU$1004,1,MATCH(COLUMNS($AD$1006:AU1006),$AD$1006:$AU$1006,0)))),"Fix")))</f>
        <v xml:space="preserve"> </v>
      </c>
      <c r="W369">
        <v>368</v>
      </c>
      <c r="X369">
        <v>100369</v>
      </c>
      <c r="Y369">
        <v>369</v>
      </c>
      <c r="Z369" t="b">
        <f t="shared" si="5"/>
        <v>1</v>
      </c>
      <c r="AA369" t="b">
        <f>COUNTBLANK(metadata!B369:S369)=COLUMNS(metadata!B369:S369)</f>
        <v>1</v>
      </c>
      <c r="AB369" t="str">
        <v/>
      </c>
      <c r="AD369" t="b">
        <f ca="1">AND(IF(metadata!B369="",FALSE,TRUE),COUNTIF(metadata!B:B, metadata!B369) = 1,NOT(ISERROR(SUMPRODUCT(SEARCH(MID(metadata!B369,ROW(INDIRECT("1:"&amp;LEN(metadata!B369))), 1),"0123456789abcdefghijklmnopqrstuvwxyzABCDEFGHIJKLMNOPQRSTUVWXYZ.")))))</f>
        <v>0</v>
      </c>
      <c r="AE369" t="b">
        <f>OR(AND(IF(metadata!C369="",FALSE,TRUE),OR(EXACT(metadata!C369,"not applicable"),EXACT(metadata!C369,"missing: not collected"),EXACT(metadata!C369,"missing: not provided"),EXACT(metadata!C369,"missing: restricted access"))),AND(IF(metadata!C369="",FALSE,ISNUMBER(VALUE(metadata!C369))),metadata!C369&gt;0))</f>
        <v>0</v>
      </c>
      <c r="AF369" t="b">
        <f>AND(IF(metadata!D369="",FALSE,TRUE),EXACT(metadata!D369,"missing: not provided"))</f>
        <v>0</v>
      </c>
      <c r="AG369" t="b">
        <f>AND(IF(metadata!E369="",FALSE,TRUE),EXACT(metadata!E369,"Host-associated"))</f>
        <v>0</v>
      </c>
      <c r="AH369" t="b">
        <f>AND(IF(metadata!F369="",FALSE,TRUE),OR(EXACT(metadata!F369,"Animal"),EXACT(metadata!F369,"Fungus"),EXACT(metadata!F369,"Plant")))</f>
        <v>0</v>
      </c>
      <c r="AI369" t="b">
        <f>AND(IF(metadata!G369="",FALSE,TRUE),OR(EXACT(metadata!G369,"Plant secretion"),EXACT(metadata!G369,"Plant rhizosphere"),EXACT(metadata!G369,"Plant surface"),EXACT(metadata!G369,"Plant corpus"),EXACT(metadata!G369,"Fungus surface"),EXACT(metadata!G369,"Fungus corpus"),EXACT(metadata!G369,"Animal surface"),EXACT(metadata!G369,"Animal proximal gut"),EXACT(metadata!G369,"Animal corpus"),EXACT(metadata!G369,"Animal distal gut"),EXACT(metadata!G369,"Animal secretion")))</f>
        <v>0</v>
      </c>
      <c r="AJ369" t="b">
        <f>OR(AND(IF(metadata!H369="",FALSE,TRUE),OR(EXACT(metadata!H369,"missing: not collected"),EXACT(metadata!H369,"missing: not provided"),EXACT(metadata!H369,"missing: restricted access"))),AND(IF(metadata!H369="",FALSE,TRUE),OR(EXACT(metadata!H369,"organism-associated habitat"),EXACT(metadata!H369,"plant-associated habitat"),EXACT(metadata!H369,"animal-associated habitat"),EXACT(metadata!H369,"insecta-associated habitat"),EXACT(metadata!H369,"mammalia-associated habitat"),EXACT(metadata!H369,"human-associated habitat"),EXACT(metadata!H369,"livestock-associated habitat"))))</f>
        <v>0</v>
      </c>
      <c r="AK369" t="b">
        <f>AND(IF(metadata!I369="",FALSE,TRUE),EXACT(metadata!I369,"host-associated"))</f>
        <v>0</v>
      </c>
      <c r="AL369" t="b">
        <f>OR(AND(IF(metadata!J369="",FALSE,TRUE),OR(EXACT(metadata!J369,"not applicable"),EXACT(metadata!J369,"missing: not collected"),EXACT(metadata!J369,"missing: not provided"),EXACT(metadata!J369,"missing: restricted access"))),AND(IF(metadata!J369="",FALSE,ISNUMBER(VALUE(metadata!J369))),metadata!J369&gt;0))</f>
        <v>0</v>
      </c>
      <c r="AM369" t="b">
        <f>AND(IF(metadata!K369="",FALSE,TRUE),EXACT(metadata!K369,"missing: not provided"))</f>
        <v>0</v>
      </c>
      <c r="AN369" t="b">
        <f>IF(metadata!L369="",FALSE,TRUE)</f>
        <v>0</v>
      </c>
      <c r="AO369" t="b">
        <f>IF(metadata!M369="",FALSE,TRUE)</f>
        <v>0</v>
      </c>
      <c r="AP369" t="b">
        <f>OR(AND(IF(metadata!N369="",FALSE,TRUE),OR(EXACT(metadata!N369,"not applicable"),EXACT(metadata!N369,"missing: not collected"),EXACT(metadata!N369,"missing: not provided"))),AND(IF(metadata!N369="",FALSE,IF(ISERROR(INT(metadata!N369)),FALSE,INT(metadata!N369)=metadata!N369)),metadata!N369&gt;0))</f>
        <v>0</v>
      </c>
      <c r="AQ369" t="b">
        <f>AND(IF(metadata!O369="",FALSE,TRUE),EXACT(metadata!O369,"Not applicable"))</f>
        <v>0</v>
      </c>
      <c r="AR369" t="b">
        <f>OR(AND(IF(metadata!P369="",FALSE,TRUE),OR(EXACT(metadata!P369,"not applicable"),EXACT(metadata!P369,"missing: not collected"),EXACT(metadata!P369,"missing: not provided"),EXACT(metadata!P369,"missing: restricted access"))),IF(metadata!P369="",FALSE,IF(ISERROR(INT(metadata!P369)),FALSE,INT(metadata!P369)=metadata!P369)))</f>
        <v>0</v>
      </c>
      <c r="AS369" t="b">
        <f>AND(IF(metadata!Q369="",FALSE,TRUE),EXACT(metadata!Q369,"Not applicable"))</f>
        <v>0</v>
      </c>
      <c r="AT369" t="b">
        <f>OR(AND(IF(metadata!R369="",FALSE,TRUE),OR(EXACT(metadata!R369,"not applicable"),EXACT(metadata!R369,"missing: not collected"),EXACT(metadata!R369,"missing: not provided"),EXACT(metadata!R369,"missing: restricted access"))),AND(IF(metadata!R369="",FALSE,ISNUMBER(VALUE(metadata!R369))),metadata!R369&gt;0))</f>
        <v>0</v>
      </c>
      <c r="AU369" t="b">
        <f>AND(IF(metadata!S369="",FALSE,TRUE),EXACT(metadata!S369,"missing: not provided"))</f>
        <v>0</v>
      </c>
    </row>
    <row r="370" spans="1:47" x14ac:dyDescent="0.2">
      <c r="A370" s="5" t="str">
        <f ca="1">IF(B370=" "," ",HYPERLINK(CONCATENATE("#metadata!",ADDRESS(INDEX($Y$2:$Y$1001,MATCH(ROWS($W$2:W370),$W$2:$W$1001,0),0),1)),INDEX($AB$2:$AB$1001,MATCH(ROWS($W$2:W370),$W$2:$W$1001,0),0)))</f>
        <v xml:space="preserve"> </v>
      </c>
      <c r="B370" s="4" t="str">
        <f ca="1">IF(OR(INDEX($X$2:$X$1001,MATCH(ROWS($W$2:W370),$W$2:$W$1001,0),1)&gt;=100000,INDEX($AD$1005:$AU$1005,1,MATCH(COLUMNS($AD$1006:AD1006),$AD$1006:$AU$1006,0))&gt;=100000), " ",IF(INDEX($AD$2:$AU$1001,MATCH(ROWS($W$2:W370),$W$2:$W$1001,0),MATCH(COLUMNS($AD$1006:AD1006),$AD$1006:$AU$1006,0)), HYPERLINK("#",""), HYPERLINK(CONCATENATE("#metadata!", ADDRESS(INDEX($Y$2:$Y$1001,MATCH(ROWS($W$2:W370),$W$2:$W$1001,0),0), INDEX($AD$1004:$AU$1004,1,MATCH(COLUMNS($AD$1006:AD1006),$AD$1006:$AU$1006,0)))),"Fix")))</f>
        <v xml:space="preserve"> </v>
      </c>
      <c r="C370" s="4" t="str">
        <f ca="1">IF(OR(INDEX($X$2:$X$1001,MATCH(ROWS($W$2:W370),$W$2:$W$1001,0),1)&gt;=100000,INDEX($AD$1005:$AU$1005,1,MATCH(COLUMNS($AD$1006:AE1006),$AD$1006:$AU$1006,0))&gt;=100000), " ",IF(INDEX($AD$2:$AU$1001,MATCH(ROWS($W$2:W370),$W$2:$W$1001,0),MATCH(COLUMNS($AD$1006:AE1006),$AD$1006:$AU$1006,0)), HYPERLINK("#",""), HYPERLINK(CONCATENATE("#metadata!", ADDRESS(INDEX($Y$2:$Y$1001,MATCH(ROWS($W$2:W370),$W$2:$W$1001,0),0), INDEX($AD$1004:$AU$1004,1,MATCH(COLUMNS($AD$1006:AE1006),$AD$1006:$AU$1006,0)))),"Fix")))</f>
        <v xml:space="preserve"> </v>
      </c>
      <c r="D370" s="4" t="str">
        <f ca="1">IF(OR(INDEX($X$2:$X$1001,MATCH(ROWS($W$2:W370),$W$2:$W$1001,0),1)&gt;=100000,INDEX($AD$1005:$AU$1005,1,MATCH(COLUMNS($AD$1006:AF1006),$AD$1006:$AU$1006,0))&gt;=100000), " ",IF(INDEX($AD$2:$AU$1001,MATCH(ROWS($W$2:W370),$W$2:$W$1001,0),MATCH(COLUMNS($AD$1006:AF1006),$AD$1006:$AU$1006,0)), HYPERLINK("#",""), HYPERLINK(CONCATENATE("#metadata!", ADDRESS(INDEX($Y$2:$Y$1001,MATCH(ROWS($W$2:W370),$W$2:$W$1001,0),0), INDEX($AD$1004:$AU$1004,1,MATCH(COLUMNS($AD$1006:AF1006),$AD$1006:$AU$1006,0)))),"Fix")))</f>
        <v xml:space="preserve"> </v>
      </c>
      <c r="E370" s="4" t="str">
        <f ca="1">IF(OR(INDEX($X$2:$X$1001,MATCH(ROWS($W$2:W370),$W$2:$W$1001,0),1)&gt;=100000,INDEX($AD$1005:$AU$1005,1,MATCH(COLUMNS($AD$1006:AG1006),$AD$1006:$AU$1006,0))&gt;=100000), " ",IF(INDEX($AD$2:$AU$1001,MATCH(ROWS($W$2:W370),$W$2:$W$1001,0),MATCH(COLUMNS($AD$1006:AG1006),$AD$1006:$AU$1006,0)), HYPERLINK("#",""), HYPERLINK(CONCATENATE("#metadata!", ADDRESS(INDEX($Y$2:$Y$1001,MATCH(ROWS($W$2:W370),$W$2:$W$1001,0),0), INDEX($AD$1004:$AU$1004,1,MATCH(COLUMNS($AD$1006:AG1006),$AD$1006:$AU$1006,0)))),"Fix")))</f>
        <v xml:space="preserve"> </v>
      </c>
      <c r="F370" s="4" t="str">
        <f ca="1">IF(OR(INDEX($X$2:$X$1001,MATCH(ROWS($W$2:W370),$W$2:$W$1001,0),1)&gt;=100000,INDEX($AD$1005:$AU$1005,1,MATCH(COLUMNS($AD$1006:AH1006),$AD$1006:$AU$1006,0))&gt;=100000), " ",IF(INDEX($AD$2:$AU$1001,MATCH(ROWS($W$2:W370),$W$2:$W$1001,0),MATCH(COLUMNS($AD$1006:AH1006),$AD$1006:$AU$1006,0)), HYPERLINK("#",""), HYPERLINK(CONCATENATE("#metadata!", ADDRESS(INDEX($Y$2:$Y$1001,MATCH(ROWS($W$2:W370),$W$2:$W$1001,0),0), INDEX($AD$1004:$AU$1004,1,MATCH(COLUMNS($AD$1006:AH1006),$AD$1006:$AU$1006,0)))),"Fix")))</f>
        <v xml:space="preserve"> </v>
      </c>
      <c r="G370" s="4" t="str">
        <f ca="1">IF(OR(INDEX($X$2:$X$1001,MATCH(ROWS($W$2:W370),$W$2:$W$1001,0),1)&gt;=100000,INDEX($AD$1005:$AU$1005,1,MATCH(COLUMNS($AD$1006:AI1006),$AD$1006:$AU$1006,0))&gt;=100000), " ",IF(INDEX($AD$2:$AU$1001,MATCH(ROWS($W$2:W370),$W$2:$W$1001,0),MATCH(COLUMNS($AD$1006:AI1006),$AD$1006:$AU$1006,0)), HYPERLINK("#",""), HYPERLINK(CONCATENATE("#metadata!", ADDRESS(INDEX($Y$2:$Y$1001,MATCH(ROWS($W$2:W370),$W$2:$W$1001,0),0), INDEX($AD$1004:$AU$1004,1,MATCH(COLUMNS($AD$1006:AI1006),$AD$1006:$AU$1006,0)))),"Fix")))</f>
        <v xml:space="preserve"> </v>
      </c>
      <c r="H370" s="4" t="str">
        <f ca="1">IF(OR(INDEX($X$2:$X$1001,MATCH(ROWS($W$2:W370),$W$2:$W$1001,0),1)&gt;=100000,INDEX($AD$1005:$AU$1005,1,MATCH(COLUMNS($AD$1006:AJ1006),$AD$1006:$AU$1006,0))&gt;=100000), " ",IF(INDEX($AD$2:$AU$1001,MATCH(ROWS($W$2:W370),$W$2:$W$1001,0),MATCH(COLUMNS($AD$1006:AJ1006),$AD$1006:$AU$1006,0)), HYPERLINK("#",""), HYPERLINK(CONCATENATE("#metadata!", ADDRESS(INDEX($Y$2:$Y$1001,MATCH(ROWS($W$2:W370),$W$2:$W$1001,0),0), INDEX($AD$1004:$AU$1004,1,MATCH(COLUMNS($AD$1006:AJ1006),$AD$1006:$AU$1006,0)))),"Fix")))</f>
        <v xml:space="preserve"> </v>
      </c>
      <c r="I370" s="4" t="str">
        <f ca="1">IF(OR(INDEX($X$2:$X$1001,MATCH(ROWS($W$2:W370),$W$2:$W$1001,0),1)&gt;=100000,INDEX($AD$1005:$AU$1005,1,MATCH(COLUMNS($AD$1006:AK1006),$AD$1006:$AU$1006,0))&gt;=100000), " ",IF(INDEX($AD$2:$AU$1001,MATCH(ROWS($W$2:W370),$W$2:$W$1001,0),MATCH(COLUMNS($AD$1006:AK1006),$AD$1006:$AU$1006,0)), HYPERLINK("#",""), HYPERLINK(CONCATENATE("#metadata!", ADDRESS(INDEX($Y$2:$Y$1001,MATCH(ROWS($W$2:W370),$W$2:$W$1001,0),0), INDEX($AD$1004:$AU$1004,1,MATCH(COLUMNS($AD$1006:AK1006),$AD$1006:$AU$1006,0)))),"Fix")))</f>
        <v xml:space="preserve"> </v>
      </c>
      <c r="J370" s="4" t="str">
        <f ca="1">IF(OR(INDEX($X$2:$X$1001,MATCH(ROWS($W$2:W370),$W$2:$W$1001,0),1)&gt;=100000,INDEX($AD$1005:$AU$1005,1,MATCH(COLUMNS($AD$1006:AL1006),$AD$1006:$AU$1006,0))&gt;=100000), " ",IF(INDEX($AD$2:$AU$1001,MATCH(ROWS($W$2:W370),$W$2:$W$1001,0),MATCH(COLUMNS($AD$1006:AL1006),$AD$1006:$AU$1006,0)), HYPERLINK("#",""), HYPERLINK(CONCATENATE("#metadata!", ADDRESS(INDEX($Y$2:$Y$1001,MATCH(ROWS($W$2:W370),$W$2:$W$1001,0),0), INDEX($AD$1004:$AU$1004,1,MATCH(COLUMNS($AD$1006:AL1006),$AD$1006:$AU$1006,0)))),"Fix")))</f>
        <v xml:space="preserve"> </v>
      </c>
      <c r="K370" s="4" t="str">
        <f ca="1">IF(OR(INDEX($X$2:$X$1001,MATCH(ROWS($W$2:W370),$W$2:$W$1001,0),1)&gt;=100000,INDEX($AD$1005:$AU$1005,1,MATCH(COLUMNS($AD$1006:AM1006),$AD$1006:$AU$1006,0))&gt;=100000), " ",IF(INDEX($AD$2:$AU$1001,MATCH(ROWS($W$2:W370),$W$2:$W$1001,0),MATCH(COLUMNS($AD$1006:AM1006),$AD$1006:$AU$1006,0)), HYPERLINK("#",""), HYPERLINK(CONCATENATE("#metadata!", ADDRESS(INDEX($Y$2:$Y$1001,MATCH(ROWS($W$2:W370),$W$2:$W$1001,0),0), INDEX($AD$1004:$AU$1004,1,MATCH(COLUMNS($AD$1006:AM1006),$AD$1006:$AU$1006,0)))),"Fix")))</f>
        <v xml:space="preserve"> </v>
      </c>
      <c r="L370" s="4" t="str">
        <f ca="1">IF(OR(INDEX($X$2:$X$1001,MATCH(ROWS($W$2:W370),$W$2:$W$1001,0),1)&gt;=100000,INDEX($AD$1005:$AU$1005,1,MATCH(COLUMNS($AD$1006:AN1006),$AD$1006:$AU$1006,0))&gt;=100000), " ",IF(INDEX($AD$2:$AU$1001,MATCH(ROWS($W$2:W370),$W$2:$W$1001,0),MATCH(COLUMNS($AD$1006:AN1006),$AD$1006:$AU$1006,0)), HYPERLINK("#",""), HYPERLINK(CONCATENATE("#metadata!", ADDRESS(INDEX($Y$2:$Y$1001,MATCH(ROWS($W$2:W370),$W$2:$W$1001,0),0), INDEX($AD$1004:$AU$1004,1,MATCH(COLUMNS($AD$1006:AN1006),$AD$1006:$AU$1006,0)))),"Fix")))</f>
        <v xml:space="preserve"> </v>
      </c>
      <c r="M370" s="4" t="str">
        <f ca="1">IF(OR(INDEX($X$2:$X$1001,MATCH(ROWS($W$2:W370),$W$2:$W$1001,0),1)&gt;=100000,INDEX($AD$1005:$AU$1005,1,MATCH(COLUMNS($AD$1006:AO1006),$AD$1006:$AU$1006,0))&gt;=100000), " ",IF(INDEX($AD$2:$AU$1001,MATCH(ROWS($W$2:W370),$W$2:$W$1001,0),MATCH(COLUMNS($AD$1006:AO1006),$AD$1006:$AU$1006,0)), HYPERLINK("#",""), HYPERLINK(CONCATENATE("#metadata!", ADDRESS(INDEX($Y$2:$Y$1001,MATCH(ROWS($W$2:W370),$W$2:$W$1001,0),0), INDEX($AD$1004:$AU$1004,1,MATCH(COLUMNS($AD$1006:AO1006),$AD$1006:$AU$1006,0)))),"Fix")))</f>
        <v xml:space="preserve"> </v>
      </c>
      <c r="N370" s="4" t="str">
        <f ca="1">IF(OR(INDEX($X$2:$X$1001,MATCH(ROWS($W$2:W370),$W$2:$W$1001,0),1)&gt;=100000,INDEX($AD$1005:$AU$1005,1,MATCH(COLUMNS($AD$1006:AP1006),$AD$1006:$AU$1006,0))&gt;=100000), " ",IF(INDEX($AD$2:$AU$1001,MATCH(ROWS($W$2:W370),$W$2:$W$1001,0),MATCH(COLUMNS($AD$1006:AP1006),$AD$1006:$AU$1006,0)), HYPERLINK("#",""), HYPERLINK(CONCATENATE("#metadata!", ADDRESS(INDEX($Y$2:$Y$1001,MATCH(ROWS($W$2:W370),$W$2:$W$1001,0),0), INDEX($AD$1004:$AU$1004,1,MATCH(COLUMNS($AD$1006:AP1006),$AD$1006:$AU$1006,0)))),"Fix")))</f>
        <v xml:space="preserve"> </v>
      </c>
      <c r="O370" s="4" t="str">
        <f ca="1">IF(OR(INDEX($X$2:$X$1001,MATCH(ROWS($W$2:W370),$W$2:$W$1001,0),1)&gt;=100000,INDEX($AD$1005:$AU$1005,1,MATCH(COLUMNS($AD$1006:AQ1006),$AD$1006:$AU$1006,0))&gt;=100000), " ",IF(INDEX($AD$2:$AU$1001,MATCH(ROWS($W$2:W370),$W$2:$W$1001,0),MATCH(COLUMNS($AD$1006:AQ1006),$AD$1006:$AU$1006,0)), HYPERLINK("#",""), HYPERLINK(CONCATENATE("#metadata!", ADDRESS(INDEX($Y$2:$Y$1001,MATCH(ROWS($W$2:W370),$W$2:$W$1001,0),0), INDEX($AD$1004:$AU$1004,1,MATCH(COLUMNS($AD$1006:AQ1006),$AD$1006:$AU$1006,0)))),"Fix")))</f>
        <v xml:space="preserve"> </v>
      </c>
      <c r="P370" s="4" t="str">
        <f ca="1">IF(OR(INDEX($X$2:$X$1001,MATCH(ROWS($W$2:W370),$W$2:$W$1001,0),1)&gt;=100000,INDEX($AD$1005:$AU$1005,1,MATCH(COLUMNS($AD$1006:AR1006),$AD$1006:$AU$1006,0))&gt;=100000), " ",IF(INDEX($AD$2:$AU$1001,MATCH(ROWS($W$2:W370),$W$2:$W$1001,0),MATCH(COLUMNS($AD$1006:AR1006),$AD$1006:$AU$1006,0)), HYPERLINK("#",""), HYPERLINK(CONCATENATE("#metadata!", ADDRESS(INDEX($Y$2:$Y$1001,MATCH(ROWS($W$2:W370),$W$2:$W$1001,0),0), INDEX($AD$1004:$AU$1004,1,MATCH(COLUMNS($AD$1006:AR1006),$AD$1006:$AU$1006,0)))),"Fix")))</f>
        <v xml:space="preserve"> </v>
      </c>
      <c r="Q370" s="4" t="str">
        <f ca="1">IF(OR(INDEX($X$2:$X$1001,MATCH(ROWS($W$2:W370),$W$2:$W$1001,0),1)&gt;=100000,INDEX($AD$1005:$AU$1005,1,MATCH(COLUMNS($AD$1006:AS1006),$AD$1006:$AU$1006,0))&gt;=100000), " ",IF(INDEX($AD$2:$AU$1001,MATCH(ROWS($W$2:W370),$W$2:$W$1001,0),MATCH(COLUMNS($AD$1006:AS1006),$AD$1006:$AU$1006,0)), HYPERLINK("#",""), HYPERLINK(CONCATENATE("#metadata!", ADDRESS(INDEX($Y$2:$Y$1001,MATCH(ROWS($W$2:W370),$W$2:$W$1001,0),0), INDEX($AD$1004:$AU$1004,1,MATCH(COLUMNS($AD$1006:AS1006),$AD$1006:$AU$1006,0)))),"Fix")))</f>
        <v xml:space="preserve"> </v>
      </c>
      <c r="R370" s="4" t="str">
        <f ca="1">IF(OR(INDEX($X$2:$X$1001,MATCH(ROWS($W$2:W370),$W$2:$W$1001,0),1)&gt;=100000,INDEX($AD$1005:$AU$1005,1,MATCH(COLUMNS($AD$1006:AT1006),$AD$1006:$AU$1006,0))&gt;=100000), " ",IF(INDEX($AD$2:$AU$1001,MATCH(ROWS($W$2:W370),$W$2:$W$1001,0),MATCH(COLUMNS($AD$1006:AT1006),$AD$1006:$AU$1006,0)), HYPERLINK("#",""), HYPERLINK(CONCATENATE("#metadata!", ADDRESS(INDEX($Y$2:$Y$1001,MATCH(ROWS($W$2:W370),$W$2:$W$1001,0),0), INDEX($AD$1004:$AU$1004,1,MATCH(COLUMNS($AD$1006:AT1006),$AD$1006:$AU$1006,0)))),"Fix")))</f>
        <v xml:space="preserve"> </v>
      </c>
      <c r="S370" s="4" t="str">
        <f ca="1">IF(OR(INDEX($X$2:$X$1001,MATCH(ROWS($W$2:W370),$W$2:$W$1001,0),1)&gt;=100000,INDEX($AD$1005:$AU$1005,1,MATCH(COLUMNS($AD$1006:AU1006),$AD$1006:$AU$1006,0))&gt;=100000), " ",IF(INDEX($AD$2:$AU$1001,MATCH(ROWS($W$2:W370),$W$2:$W$1001,0),MATCH(COLUMNS($AD$1006:AU1006),$AD$1006:$AU$1006,0)), HYPERLINK("#",""), HYPERLINK(CONCATENATE("#metadata!", ADDRESS(INDEX($Y$2:$Y$1001,MATCH(ROWS($W$2:W370),$W$2:$W$1001,0),0), INDEX($AD$1004:$AU$1004,1,MATCH(COLUMNS($AD$1006:AU1006),$AD$1006:$AU$1006,0)))),"Fix")))</f>
        <v xml:space="preserve"> </v>
      </c>
      <c r="W370">
        <v>369</v>
      </c>
      <c r="X370">
        <v>100370</v>
      </c>
      <c r="Y370">
        <v>370</v>
      </c>
      <c r="Z370" t="b">
        <f t="shared" si="5"/>
        <v>1</v>
      </c>
      <c r="AA370" t="b">
        <f>COUNTBLANK(metadata!B370:S370)=COLUMNS(metadata!B370:S370)</f>
        <v>1</v>
      </c>
      <c r="AB370" t="str">
        <v/>
      </c>
      <c r="AD370" t="b">
        <f ca="1">AND(IF(metadata!B370="",FALSE,TRUE),COUNTIF(metadata!B:B, metadata!B370) = 1,NOT(ISERROR(SUMPRODUCT(SEARCH(MID(metadata!B370,ROW(INDIRECT("1:"&amp;LEN(metadata!B370))), 1),"0123456789abcdefghijklmnopqrstuvwxyzABCDEFGHIJKLMNOPQRSTUVWXYZ.")))))</f>
        <v>0</v>
      </c>
      <c r="AE370" t="b">
        <f>OR(AND(IF(metadata!C370="",FALSE,TRUE),OR(EXACT(metadata!C370,"not applicable"),EXACT(metadata!C370,"missing: not collected"),EXACT(metadata!C370,"missing: not provided"),EXACT(metadata!C370,"missing: restricted access"))),AND(IF(metadata!C370="",FALSE,ISNUMBER(VALUE(metadata!C370))),metadata!C370&gt;0))</f>
        <v>0</v>
      </c>
      <c r="AF370" t="b">
        <f>AND(IF(metadata!D370="",FALSE,TRUE),EXACT(metadata!D370,"missing: not provided"))</f>
        <v>0</v>
      </c>
      <c r="AG370" t="b">
        <f>AND(IF(metadata!E370="",FALSE,TRUE),EXACT(metadata!E370,"Host-associated"))</f>
        <v>0</v>
      </c>
      <c r="AH370" t="b">
        <f>AND(IF(metadata!F370="",FALSE,TRUE),OR(EXACT(metadata!F370,"Animal"),EXACT(metadata!F370,"Fungus"),EXACT(metadata!F370,"Plant")))</f>
        <v>0</v>
      </c>
      <c r="AI370" t="b">
        <f>AND(IF(metadata!G370="",FALSE,TRUE),OR(EXACT(metadata!G370,"Plant secretion"),EXACT(metadata!G370,"Plant rhizosphere"),EXACT(metadata!G370,"Plant surface"),EXACT(metadata!G370,"Plant corpus"),EXACT(metadata!G370,"Fungus surface"),EXACT(metadata!G370,"Fungus corpus"),EXACT(metadata!G370,"Animal surface"),EXACT(metadata!G370,"Animal proximal gut"),EXACT(metadata!G370,"Animal corpus"),EXACT(metadata!G370,"Animal distal gut"),EXACT(metadata!G370,"Animal secretion")))</f>
        <v>0</v>
      </c>
      <c r="AJ370" t="b">
        <f>OR(AND(IF(metadata!H370="",FALSE,TRUE),OR(EXACT(metadata!H370,"missing: not collected"),EXACT(metadata!H370,"missing: not provided"),EXACT(metadata!H370,"missing: restricted access"))),AND(IF(metadata!H370="",FALSE,TRUE),OR(EXACT(metadata!H370,"organism-associated habitat"),EXACT(metadata!H370,"plant-associated habitat"),EXACT(metadata!H370,"animal-associated habitat"),EXACT(metadata!H370,"insecta-associated habitat"),EXACT(metadata!H370,"mammalia-associated habitat"),EXACT(metadata!H370,"human-associated habitat"),EXACT(metadata!H370,"livestock-associated habitat"))))</f>
        <v>0</v>
      </c>
      <c r="AK370" t="b">
        <f>AND(IF(metadata!I370="",FALSE,TRUE),EXACT(metadata!I370,"host-associated"))</f>
        <v>0</v>
      </c>
      <c r="AL370" t="b">
        <f>OR(AND(IF(metadata!J370="",FALSE,TRUE),OR(EXACT(metadata!J370,"not applicable"),EXACT(metadata!J370,"missing: not collected"),EXACT(metadata!J370,"missing: not provided"),EXACT(metadata!J370,"missing: restricted access"))),AND(IF(metadata!J370="",FALSE,ISNUMBER(VALUE(metadata!J370))),metadata!J370&gt;0))</f>
        <v>0</v>
      </c>
      <c r="AM370" t="b">
        <f>AND(IF(metadata!K370="",FALSE,TRUE),EXACT(metadata!K370,"missing: not provided"))</f>
        <v>0</v>
      </c>
      <c r="AN370" t="b">
        <f>IF(metadata!L370="",FALSE,TRUE)</f>
        <v>0</v>
      </c>
      <c r="AO370" t="b">
        <f>IF(metadata!M370="",FALSE,TRUE)</f>
        <v>0</v>
      </c>
      <c r="AP370" t="b">
        <f>OR(AND(IF(metadata!N370="",FALSE,TRUE),OR(EXACT(metadata!N370,"not applicable"),EXACT(metadata!N370,"missing: not collected"),EXACT(metadata!N370,"missing: not provided"))),AND(IF(metadata!N370="",FALSE,IF(ISERROR(INT(metadata!N370)),FALSE,INT(metadata!N370)=metadata!N370)),metadata!N370&gt;0))</f>
        <v>0</v>
      </c>
      <c r="AQ370" t="b">
        <f>AND(IF(metadata!O370="",FALSE,TRUE),EXACT(metadata!O370,"Not applicable"))</f>
        <v>0</v>
      </c>
      <c r="AR370" t="b">
        <f>OR(AND(IF(metadata!P370="",FALSE,TRUE),OR(EXACT(metadata!P370,"not applicable"),EXACT(metadata!P370,"missing: not collected"),EXACT(metadata!P370,"missing: not provided"),EXACT(metadata!P370,"missing: restricted access"))),IF(metadata!P370="",FALSE,IF(ISERROR(INT(metadata!P370)),FALSE,INT(metadata!P370)=metadata!P370)))</f>
        <v>0</v>
      </c>
      <c r="AS370" t="b">
        <f>AND(IF(metadata!Q370="",FALSE,TRUE),EXACT(metadata!Q370,"Not applicable"))</f>
        <v>0</v>
      </c>
      <c r="AT370" t="b">
        <f>OR(AND(IF(metadata!R370="",FALSE,TRUE),OR(EXACT(metadata!R370,"not applicable"),EXACT(metadata!R370,"missing: not collected"),EXACT(metadata!R370,"missing: not provided"),EXACT(metadata!R370,"missing: restricted access"))),AND(IF(metadata!R370="",FALSE,ISNUMBER(VALUE(metadata!R370))),metadata!R370&gt;0))</f>
        <v>0</v>
      </c>
      <c r="AU370" t="b">
        <f>AND(IF(metadata!S370="",FALSE,TRUE),EXACT(metadata!S370,"missing: not provided"))</f>
        <v>0</v>
      </c>
    </row>
    <row r="371" spans="1:47" x14ac:dyDescent="0.2">
      <c r="A371" s="5" t="str">
        <f ca="1">IF(B371=" "," ",HYPERLINK(CONCATENATE("#metadata!",ADDRESS(INDEX($Y$2:$Y$1001,MATCH(ROWS($W$2:W371),$W$2:$W$1001,0),0),1)),INDEX($AB$2:$AB$1001,MATCH(ROWS($W$2:W371),$W$2:$W$1001,0),0)))</f>
        <v xml:space="preserve"> </v>
      </c>
      <c r="B371" s="4" t="str">
        <f ca="1">IF(OR(INDEX($X$2:$X$1001,MATCH(ROWS($W$2:W371),$W$2:$W$1001,0),1)&gt;=100000,INDEX($AD$1005:$AU$1005,1,MATCH(COLUMNS($AD$1006:AD1006),$AD$1006:$AU$1006,0))&gt;=100000), " ",IF(INDEX($AD$2:$AU$1001,MATCH(ROWS($W$2:W371),$W$2:$W$1001,0),MATCH(COLUMNS($AD$1006:AD1006),$AD$1006:$AU$1006,0)), HYPERLINK("#",""), HYPERLINK(CONCATENATE("#metadata!", ADDRESS(INDEX($Y$2:$Y$1001,MATCH(ROWS($W$2:W371),$W$2:$W$1001,0),0), INDEX($AD$1004:$AU$1004,1,MATCH(COLUMNS($AD$1006:AD1006),$AD$1006:$AU$1006,0)))),"Fix")))</f>
        <v xml:space="preserve"> </v>
      </c>
      <c r="C371" s="4" t="str">
        <f ca="1">IF(OR(INDEX($X$2:$X$1001,MATCH(ROWS($W$2:W371),$W$2:$W$1001,0),1)&gt;=100000,INDEX($AD$1005:$AU$1005,1,MATCH(COLUMNS($AD$1006:AE1006),$AD$1006:$AU$1006,0))&gt;=100000), " ",IF(INDEX($AD$2:$AU$1001,MATCH(ROWS($W$2:W371),$W$2:$W$1001,0),MATCH(COLUMNS($AD$1006:AE1006),$AD$1006:$AU$1006,0)), HYPERLINK("#",""), HYPERLINK(CONCATENATE("#metadata!", ADDRESS(INDEX($Y$2:$Y$1001,MATCH(ROWS($W$2:W371),$W$2:$W$1001,0),0), INDEX($AD$1004:$AU$1004,1,MATCH(COLUMNS($AD$1006:AE1006),$AD$1006:$AU$1006,0)))),"Fix")))</f>
        <v xml:space="preserve"> </v>
      </c>
      <c r="D371" s="4" t="str">
        <f ca="1">IF(OR(INDEX($X$2:$X$1001,MATCH(ROWS($W$2:W371),$W$2:$W$1001,0),1)&gt;=100000,INDEX($AD$1005:$AU$1005,1,MATCH(COLUMNS($AD$1006:AF1006),$AD$1006:$AU$1006,0))&gt;=100000), " ",IF(INDEX($AD$2:$AU$1001,MATCH(ROWS($W$2:W371),$W$2:$W$1001,0),MATCH(COLUMNS($AD$1006:AF1006),$AD$1006:$AU$1006,0)), HYPERLINK("#",""), HYPERLINK(CONCATENATE("#metadata!", ADDRESS(INDEX($Y$2:$Y$1001,MATCH(ROWS($W$2:W371),$W$2:$W$1001,0),0), INDEX($AD$1004:$AU$1004,1,MATCH(COLUMNS($AD$1006:AF1006),$AD$1006:$AU$1006,0)))),"Fix")))</f>
        <v xml:space="preserve"> </v>
      </c>
      <c r="E371" s="4" t="str">
        <f ca="1">IF(OR(INDEX($X$2:$X$1001,MATCH(ROWS($W$2:W371),$W$2:$W$1001,0),1)&gt;=100000,INDEX($AD$1005:$AU$1005,1,MATCH(COLUMNS($AD$1006:AG1006),$AD$1006:$AU$1006,0))&gt;=100000), " ",IF(INDEX($AD$2:$AU$1001,MATCH(ROWS($W$2:W371),$W$2:$W$1001,0),MATCH(COLUMNS($AD$1006:AG1006),$AD$1006:$AU$1006,0)), HYPERLINK("#",""), HYPERLINK(CONCATENATE("#metadata!", ADDRESS(INDEX($Y$2:$Y$1001,MATCH(ROWS($W$2:W371),$W$2:$W$1001,0),0), INDEX($AD$1004:$AU$1004,1,MATCH(COLUMNS($AD$1006:AG1006),$AD$1006:$AU$1006,0)))),"Fix")))</f>
        <v xml:space="preserve"> </v>
      </c>
      <c r="F371" s="4" t="str">
        <f ca="1">IF(OR(INDEX($X$2:$X$1001,MATCH(ROWS($W$2:W371),$W$2:$W$1001,0),1)&gt;=100000,INDEX($AD$1005:$AU$1005,1,MATCH(COLUMNS($AD$1006:AH1006),$AD$1006:$AU$1006,0))&gt;=100000), " ",IF(INDEX($AD$2:$AU$1001,MATCH(ROWS($W$2:W371),$W$2:$W$1001,0),MATCH(COLUMNS($AD$1006:AH1006),$AD$1006:$AU$1006,0)), HYPERLINK("#",""), HYPERLINK(CONCATENATE("#metadata!", ADDRESS(INDEX($Y$2:$Y$1001,MATCH(ROWS($W$2:W371),$W$2:$W$1001,0),0), INDEX($AD$1004:$AU$1004,1,MATCH(COLUMNS($AD$1006:AH1006),$AD$1006:$AU$1006,0)))),"Fix")))</f>
        <v xml:space="preserve"> </v>
      </c>
      <c r="G371" s="4" t="str">
        <f ca="1">IF(OR(INDEX($X$2:$X$1001,MATCH(ROWS($W$2:W371),$W$2:$W$1001,0),1)&gt;=100000,INDEX($AD$1005:$AU$1005,1,MATCH(COLUMNS($AD$1006:AI1006),$AD$1006:$AU$1006,0))&gt;=100000), " ",IF(INDEX($AD$2:$AU$1001,MATCH(ROWS($W$2:W371),$W$2:$W$1001,0),MATCH(COLUMNS($AD$1006:AI1006),$AD$1006:$AU$1006,0)), HYPERLINK("#",""), HYPERLINK(CONCATENATE("#metadata!", ADDRESS(INDEX($Y$2:$Y$1001,MATCH(ROWS($W$2:W371),$W$2:$W$1001,0),0), INDEX($AD$1004:$AU$1004,1,MATCH(COLUMNS($AD$1006:AI1006),$AD$1006:$AU$1006,0)))),"Fix")))</f>
        <v xml:space="preserve"> </v>
      </c>
      <c r="H371" s="4" t="str">
        <f ca="1">IF(OR(INDEX($X$2:$X$1001,MATCH(ROWS($W$2:W371),$W$2:$W$1001,0),1)&gt;=100000,INDEX($AD$1005:$AU$1005,1,MATCH(COLUMNS($AD$1006:AJ1006),$AD$1006:$AU$1006,0))&gt;=100000), " ",IF(INDEX($AD$2:$AU$1001,MATCH(ROWS($W$2:W371),$W$2:$W$1001,0),MATCH(COLUMNS($AD$1006:AJ1006),$AD$1006:$AU$1006,0)), HYPERLINK("#",""), HYPERLINK(CONCATENATE("#metadata!", ADDRESS(INDEX($Y$2:$Y$1001,MATCH(ROWS($W$2:W371),$W$2:$W$1001,0),0), INDEX($AD$1004:$AU$1004,1,MATCH(COLUMNS($AD$1006:AJ1006),$AD$1006:$AU$1006,0)))),"Fix")))</f>
        <v xml:space="preserve"> </v>
      </c>
      <c r="I371" s="4" t="str">
        <f ca="1">IF(OR(INDEX($X$2:$X$1001,MATCH(ROWS($W$2:W371),$W$2:$W$1001,0),1)&gt;=100000,INDEX($AD$1005:$AU$1005,1,MATCH(COLUMNS($AD$1006:AK1006),$AD$1006:$AU$1006,0))&gt;=100000), " ",IF(INDEX($AD$2:$AU$1001,MATCH(ROWS($W$2:W371),$W$2:$W$1001,0),MATCH(COLUMNS($AD$1006:AK1006),$AD$1006:$AU$1006,0)), HYPERLINK("#",""), HYPERLINK(CONCATENATE("#metadata!", ADDRESS(INDEX($Y$2:$Y$1001,MATCH(ROWS($W$2:W371),$W$2:$W$1001,0),0), INDEX($AD$1004:$AU$1004,1,MATCH(COLUMNS($AD$1006:AK1006),$AD$1006:$AU$1006,0)))),"Fix")))</f>
        <v xml:space="preserve"> </v>
      </c>
      <c r="J371" s="4" t="str">
        <f ca="1">IF(OR(INDEX($X$2:$X$1001,MATCH(ROWS($W$2:W371),$W$2:$W$1001,0),1)&gt;=100000,INDEX($AD$1005:$AU$1005,1,MATCH(COLUMNS($AD$1006:AL1006),$AD$1006:$AU$1006,0))&gt;=100000), " ",IF(INDEX($AD$2:$AU$1001,MATCH(ROWS($W$2:W371),$W$2:$W$1001,0),MATCH(COLUMNS($AD$1006:AL1006),$AD$1006:$AU$1006,0)), HYPERLINK("#",""), HYPERLINK(CONCATENATE("#metadata!", ADDRESS(INDEX($Y$2:$Y$1001,MATCH(ROWS($W$2:W371),$W$2:$W$1001,0),0), INDEX($AD$1004:$AU$1004,1,MATCH(COLUMNS($AD$1006:AL1006),$AD$1006:$AU$1006,0)))),"Fix")))</f>
        <v xml:space="preserve"> </v>
      </c>
      <c r="K371" s="4" t="str">
        <f ca="1">IF(OR(INDEX($X$2:$X$1001,MATCH(ROWS($W$2:W371),$W$2:$W$1001,0),1)&gt;=100000,INDEX($AD$1005:$AU$1005,1,MATCH(COLUMNS($AD$1006:AM1006),$AD$1006:$AU$1006,0))&gt;=100000), " ",IF(INDEX($AD$2:$AU$1001,MATCH(ROWS($W$2:W371),$W$2:$W$1001,0),MATCH(COLUMNS($AD$1006:AM1006),$AD$1006:$AU$1006,0)), HYPERLINK("#",""), HYPERLINK(CONCATENATE("#metadata!", ADDRESS(INDEX($Y$2:$Y$1001,MATCH(ROWS($W$2:W371),$W$2:$W$1001,0),0), INDEX($AD$1004:$AU$1004,1,MATCH(COLUMNS($AD$1006:AM1006),$AD$1006:$AU$1006,0)))),"Fix")))</f>
        <v xml:space="preserve"> </v>
      </c>
      <c r="L371" s="4" t="str">
        <f ca="1">IF(OR(INDEX($X$2:$X$1001,MATCH(ROWS($W$2:W371),$W$2:$W$1001,0),1)&gt;=100000,INDEX($AD$1005:$AU$1005,1,MATCH(COLUMNS($AD$1006:AN1006),$AD$1006:$AU$1006,0))&gt;=100000), " ",IF(INDEX($AD$2:$AU$1001,MATCH(ROWS($W$2:W371),$W$2:$W$1001,0),MATCH(COLUMNS($AD$1006:AN1006),$AD$1006:$AU$1006,0)), HYPERLINK("#",""), HYPERLINK(CONCATENATE("#metadata!", ADDRESS(INDEX($Y$2:$Y$1001,MATCH(ROWS($W$2:W371),$W$2:$W$1001,0),0), INDEX($AD$1004:$AU$1004,1,MATCH(COLUMNS($AD$1006:AN1006),$AD$1006:$AU$1006,0)))),"Fix")))</f>
        <v xml:space="preserve"> </v>
      </c>
      <c r="M371" s="4" t="str">
        <f ca="1">IF(OR(INDEX($X$2:$X$1001,MATCH(ROWS($W$2:W371),$W$2:$W$1001,0),1)&gt;=100000,INDEX($AD$1005:$AU$1005,1,MATCH(COLUMNS($AD$1006:AO1006),$AD$1006:$AU$1006,0))&gt;=100000), " ",IF(INDEX($AD$2:$AU$1001,MATCH(ROWS($W$2:W371),$W$2:$W$1001,0),MATCH(COLUMNS($AD$1006:AO1006),$AD$1006:$AU$1006,0)), HYPERLINK("#",""), HYPERLINK(CONCATENATE("#metadata!", ADDRESS(INDEX($Y$2:$Y$1001,MATCH(ROWS($W$2:W371),$W$2:$W$1001,0),0), INDEX($AD$1004:$AU$1004,1,MATCH(COLUMNS($AD$1006:AO1006),$AD$1006:$AU$1006,0)))),"Fix")))</f>
        <v xml:space="preserve"> </v>
      </c>
      <c r="N371" s="4" t="str">
        <f ca="1">IF(OR(INDEX($X$2:$X$1001,MATCH(ROWS($W$2:W371),$W$2:$W$1001,0),1)&gt;=100000,INDEX($AD$1005:$AU$1005,1,MATCH(COLUMNS($AD$1006:AP1006),$AD$1006:$AU$1006,0))&gt;=100000), " ",IF(INDEX($AD$2:$AU$1001,MATCH(ROWS($W$2:W371),$W$2:$W$1001,0),MATCH(COLUMNS($AD$1006:AP1006),$AD$1006:$AU$1006,0)), HYPERLINK("#",""), HYPERLINK(CONCATENATE("#metadata!", ADDRESS(INDEX($Y$2:$Y$1001,MATCH(ROWS($W$2:W371),$W$2:$W$1001,0),0), INDEX($AD$1004:$AU$1004,1,MATCH(COLUMNS($AD$1006:AP1006),$AD$1006:$AU$1006,0)))),"Fix")))</f>
        <v xml:space="preserve"> </v>
      </c>
      <c r="O371" s="4" t="str">
        <f ca="1">IF(OR(INDEX($X$2:$X$1001,MATCH(ROWS($W$2:W371),$W$2:$W$1001,0),1)&gt;=100000,INDEX($AD$1005:$AU$1005,1,MATCH(COLUMNS($AD$1006:AQ1006),$AD$1006:$AU$1006,0))&gt;=100000), " ",IF(INDEX($AD$2:$AU$1001,MATCH(ROWS($W$2:W371),$W$2:$W$1001,0),MATCH(COLUMNS($AD$1006:AQ1006),$AD$1006:$AU$1006,0)), HYPERLINK("#",""), HYPERLINK(CONCATENATE("#metadata!", ADDRESS(INDEX($Y$2:$Y$1001,MATCH(ROWS($W$2:W371),$W$2:$W$1001,0),0), INDEX($AD$1004:$AU$1004,1,MATCH(COLUMNS($AD$1006:AQ1006),$AD$1006:$AU$1006,0)))),"Fix")))</f>
        <v xml:space="preserve"> </v>
      </c>
      <c r="P371" s="4" t="str">
        <f ca="1">IF(OR(INDEX($X$2:$X$1001,MATCH(ROWS($W$2:W371),$W$2:$W$1001,0),1)&gt;=100000,INDEX($AD$1005:$AU$1005,1,MATCH(COLUMNS($AD$1006:AR1006),$AD$1006:$AU$1006,0))&gt;=100000), " ",IF(INDEX($AD$2:$AU$1001,MATCH(ROWS($W$2:W371),$W$2:$W$1001,0),MATCH(COLUMNS($AD$1006:AR1006),$AD$1006:$AU$1006,0)), HYPERLINK("#",""), HYPERLINK(CONCATENATE("#metadata!", ADDRESS(INDEX($Y$2:$Y$1001,MATCH(ROWS($W$2:W371),$W$2:$W$1001,0),0), INDEX($AD$1004:$AU$1004,1,MATCH(COLUMNS($AD$1006:AR1006),$AD$1006:$AU$1006,0)))),"Fix")))</f>
        <v xml:space="preserve"> </v>
      </c>
      <c r="Q371" s="4" t="str">
        <f ca="1">IF(OR(INDEX($X$2:$X$1001,MATCH(ROWS($W$2:W371),$W$2:$W$1001,0),1)&gt;=100000,INDEX($AD$1005:$AU$1005,1,MATCH(COLUMNS($AD$1006:AS1006),$AD$1006:$AU$1006,0))&gt;=100000), " ",IF(INDEX($AD$2:$AU$1001,MATCH(ROWS($W$2:W371),$W$2:$W$1001,0),MATCH(COLUMNS($AD$1006:AS1006),$AD$1006:$AU$1006,0)), HYPERLINK("#",""), HYPERLINK(CONCATENATE("#metadata!", ADDRESS(INDEX($Y$2:$Y$1001,MATCH(ROWS($W$2:W371),$W$2:$W$1001,0),0), INDEX($AD$1004:$AU$1004,1,MATCH(COLUMNS($AD$1006:AS1006),$AD$1006:$AU$1006,0)))),"Fix")))</f>
        <v xml:space="preserve"> </v>
      </c>
      <c r="R371" s="4" t="str">
        <f ca="1">IF(OR(INDEX($X$2:$X$1001,MATCH(ROWS($W$2:W371),$W$2:$W$1001,0),1)&gt;=100000,INDEX($AD$1005:$AU$1005,1,MATCH(COLUMNS($AD$1006:AT1006),$AD$1006:$AU$1006,0))&gt;=100000), " ",IF(INDEX($AD$2:$AU$1001,MATCH(ROWS($W$2:W371),$W$2:$W$1001,0),MATCH(COLUMNS($AD$1006:AT1006),$AD$1006:$AU$1006,0)), HYPERLINK("#",""), HYPERLINK(CONCATENATE("#metadata!", ADDRESS(INDEX($Y$2:$Y$1001,MATCH(ROWS($W$2:W371),$W$2:$W$1001,0),0), INDEX($AD$1004:$AU$1004,1,MATCH(COLUMNS($AD$1006:AT1006),$AD$1006:$AU$1006,0)))),"Fix")))</f>
        <v xml:space="preserve"> </v>
      </c>
      <c r="S371" s="4" t="str">
        <f ca="1">IF(OR(INDEX($X$2:$X$1001,MATCH(ROWS($W$2:W371),$W$2:$W$1001,0),1)&gt;=100000,INDEX($AD$1005:$AU$1005,1,MATCH(COLUMNS($AD$1006:AU1006),$AD$1006:$AU$1006,0))&gt;=100000), " ",IF(INDEX($AD$2:$AU$1001,MATCH(ROWS($W$2:W371),$W$2:$W$1001,0),MATCH(COLUMNS($AD$1006:AU1006),$AD$1006:$AU$1006,0)), HYPERLINK("#",""), HYPERLINK(CONCATENATE("#metadata!", ADDRESS(INDEX($Y$2:$Y$1001,MATCH(ROWS($W$2:W371),$W$2:$W$1001,0),0), INDEX($AD$1004:$AU$1004,1,MATCH(COLUMNS($AD$1006:AU1006),$AD$1006:$AU$1006,0)))),"Fix")))</f>
        <v xml:space="preserve"> </v>
      </c>
      <c r="W371">
        <v>370</v>
      </c>
      <c r="X371">
        <v>100371</v>
      </c>
      <c r="Y371">
        <v>371</v>
      </c>
      <c r="Z371" t="b">
        <f t="shared" si="5"/>
        <v>1</v>
      </c>
      <c r="AA371" t="b">
        <f>COUNTBLANK(metadata!B371:S371)=COLUMNS(metadata!B371:S371)</f>
        <v>1</v>
      </c>
      <c r="AB371" t="str">
        <v/>
      </c>
      <c r="AD371" t="b">
        <f ca="1">AND(IF(metadata!B371="",FALSE,TRUE),COUNTIF(metadata!B:B, metadata!B371) = 1,NOT(ISERROR(SUMPRODUCT(SEARCH(MID(metadata!B371,ROW(INDIRECT("1:"&amp;LEN(metadata!B371))), 1),"0123456789abcdefghijklmnopqrstuvwxyzABCDEFGHIJKLMNOPQRSTUVWXYZ.")))))</f>
        <v>0</v>
      </c>
      <c r="AE371" t="b">
        <f>OR(AND(IF(metadata!C371="",FALSE,TRUE),OR(EXACT(metadata!C371,"not applicable"),EXACT(metadata!C371,"missing: not collected"),EXACT(metadata!C371,"missing: not provided"),EXACT(metadata!C371,"missing: restricted access"))),AND(IF(metadata!C371="",FALSE,ISNUMBER(VALUE(metadata!C371))),metadata!C371&gt;0))</f>
        <v>0</v>
      </c>
      <c r="AF371" t="b">
        <f>AND(IF(metadata!D371="",FALSE,TRUE),EXACT(metadata!D371,"missing: not provided"))</f>
        <v>0</v>
      </c>
      <c r="AG371" t="b">
        <f>AND(IF(metadata!E371="",FALSE,TRUE),EXACT(metadata!E371,"Host-associated"))</f>
        <v>0</v>
      </c>
      <c r="AH371" t="b">
        <f>AND(IF(metadata!F371="",FALSE,TRUE),OR(EXACT(metadata!F371,"Animal"),EXACT(metadata!F371,"Fungus"),EXACT(metadata!F371,"Plant")))</f>
        <v>0</v>
      </c>
      <c r="AI371" t="b">
        <f>AND(IF(metadata!G371="",FALSE,TRUE),OR(EXACT(metadata!G371,"Plant secretion"),EXACT(metadata!G371,"Plant rhizosphere"),EXACT(metadata!G371,"Plant surface"),EXACT(metadata!G371,"Plant corpus"),EXACT(metadata!G371,"Fungus surface"),EXACT(metadata!G371,"Fungus corpus"),EXACT(metadata!G371,"Animal surface"),EXACT(metadata!G371,"Animal proximal gut"),EXACT(metadata!G371,"Animal corpus"),EXACT(metadata!G371,"Animal distal gut"),EXACT(metadata!G371,"Animal secretion")))</f>
        <v>0</v>
      </c>
      <c r="AJ371" t="b">
        <f>OR(AND(IF(metadata!H371="",FALSE,TRUE),OR(EXACT(metadata!H371,"missing: not collected"),EXACT(metadata!H371,"missing: not provided"),EXACT(metadata!H371,"missing: restricted access"))),AND(IF(metadata!H371="",FALSE,TRUE),OR(EXACT(metadata!H371,"organism-associated habitat"),EXACT(metadata!H371,"plant-associated habitat"),EXACT(metadata!H371,"animal-associated habitat"),EXACT(metadata!H371,"insecta-associated habitat"),EXACT(metadata!H371,"mammalia-associated habitat"),EXACT(metadata!H371,"human-associated habitat"),EXACT(metadata!H371,"livestock-associated habitat"))))</f>
        <v>0</v>
      </c>
      <c r="AK371" t="b">
        <f>AND(IF(metadata!I371="",FALSE,TRUE),EXACT(metadata!I371,"host-associated"))</f>
        <v>0</v>
      </c>
      <c r="AL371" t="b">
        <f>OR(AND(IF(metadata!J371="",FALSE,TRUE),OR(EXACT(metadata!J371,"not applicable"),EXACT(metadata!J371,"missing: not collected"),EXACT(metadata!J371,"missing: not provided"),EXACT(metadata!J371,"missing: restricted access"))),AND(IF(metadata!J371="",FALSE,ISNUMBER(VALUE(metadata!J371))),metadata!J371&gt;0))</f>
        <v>0</v>
      </c>
      <c r="AM371" t="b">
        <f>AND(IF(metadata!K371="",FALSE,TRUE),EXACT(metadata!K371,"missing: not provided"))</f>
        <v>0</v>
      </c>
      <c r="AN371" t="b">
        <f>IF(metadata!L371="",FALSE,TRUE)</f>
        <v>0</v>
      </c>
      <c r="AO371" t="b">
        <f>IF(metadata!M371="",FALSE,TRUE)</f>
        <v>0</v>
      </c>
      <c r="AP371" t="b">
        <f>OR(AND(IF(metadata!N371="",FALSE,TRUE),OR(EXACT(metadata!N371,"not applicable"),EXACT(metadata!N371,"missing: not collected"),EXACT(metadata!N371,"missing: not provided"))),AND(IF(metadata!N371="",FALSE,IF(ISERROR(INT(metadata!N371)),FALSE,INT(metadata!N371)=metadata!N371)),metadata!N371&gt;0))</f>
        <v>0</v>
      </c>
      <c r="AQ371" t="b">
        <f>AND(IF(metadata!O371="",FALSE,TRUE),EXACT(metadata!O371,"Not applicable"))</f>
        <v>0</v>
      </c>
      <c r="AR371" t="b">
        <f>OR(AND(IF(metadata!P371="",FALSE,TRUE),OR(EXACT(metadata!P371,"not applicable"),EXACT(metadata!P371,"missing: not collected"),EXACT(metadata!P371,"missing: not provided"),EXACT(metadata!P371,"missing: restricted access"))),IF(metadata!P371="",FALSE,IF(ISERROR(INT(metadata!P371)),FALSE,INT(metadata!P371)=metadata!P371)))</f>
        <v>0</v>
      </c>
      <c r="AS371" t="b">
        <f>AND(IF(metadata!Q371="",FALSE,TRUE),EXACT(metadata!Q371,"Not applicable"))</f>
        <v>0</v>
      </c>
      <c r="AT371" t="b">
        <f>OR(AND(IF(metadata!R371="",FALSE,TRUE),OR(EXACT(metadata!R371,"not applicable"),EXACT(metadata!R371,"missing: not collected"),EXACT(metadata!R371,"missing: not provided"),EXACT(metadata!R371,"missing: restricted access"))),AND(IF(metadata!R371="",FALSE,ISNUMBER(VALUE(metadata!R371))),metadata!R371&gt;0))</f>
        <v>0</v>
      </c>
      <c r="AU371" t="b">
        <f>AND(IF(metadata!S371="",FALSE,TRUE),EXACT(metadata!S371,"missing: not provided"))</f>
        <v>0</v>
      </c>
    </row>
    <row r="372" spans="1:47" x14ac:dyDescent="0.2">
      <c r="A372" s="5" t="str">
        <f ca="1">IF(B372=" "," ",HYPERLINK(CONCATENATE("#metadata!",ADDRESS(INDEX($Y$2:$Y$1001,MATCH(ROWS($W$2:W372),$W$2:$W$1001,0),0),1)),INDEX($AB$2:$AB$1001,MATCH(ROWS($W$2:W372),$W$2:$W$1001,0),0)))</f>
        <v xml:space="preserve"> </v>
      </c>
      <c r="B372" s="4" t="str">
        <f ca="1">IF(OR(INDEX($X$2:$X$1001,MATCH(ROWS($W$2:W372),$W$2:$W$1001,0),1)&gt;=100000,INDEX($AD$1005:$AU$1005,1,MATCH(COLUMNS($AD$1006:AD1006),$AD$1006:$AU$1006,0))&gt;=100000), " ",IF(INDEX($AD$2:$AU$1001,MATCH(ROWS($W$2:W372),$W$2:$W$1001,0),MATCH(COLUMNS($AD$1006:AD1006),$AD$1006:$AU$1006,0)), HYPERLINK("#",""), HYPERLINK(CONCATENATE("#metadata!", ADDRESS(INDEX($Y$2:$Y$1001,MATCH(ROWS($W$2:W372),$W$2:$W$1001,0),0), INDEX($AD$1004:$AU$1004,1,MATCH(COLUMNS($AD$1006:AD1006),$AD$1006:$AU$1006,0)))),"Fix")))</f>
        <v xml:space="preserve"> </v>
      </c>
      <c r="C372" s="4" t="str">
        <f ca="1">IF(OR(INDEX($X$2:$X$1001,MATCH(ROWS($W$2:W372),$W$2:$W$1001,0),1)&gt;=100000,INDEX($AD$1005:$AU$1005,1,MATCH(COLUMNS($AD$1006:AE1006),$AD$1006:$AU$1006,0))&gt;=100000), " ",IF(INDEX($AD$2:$AU$1001,MATCH(ROWS($W$2:W372),$W$2:$W$1001,0),MATCH(COLUMNS($AD$1006:AE1006),$AD$1006:$AU$1006,0)), HYPERLINK("#",""), HYPERLINK(CONCATENATE("#metadata!", ADDRESS(INDEX($Y$2:$Y$1001,MATCH(ROWS($W$2:W372),$W$2:$W$1001,0),0), INDEX($AD$1004:$AU$1004,1,MATCH(COLUMNS($AD$1006:AE1006),$AD$1006:$AU$1006,0)))),"Fix")))</f>
        <v xml:space="preserve"> </v>
      </c>
      <c r="D372" s="4" t="str">
        <f ca="1">IF(OR(INDEX($X$2:$X$1001,MATCH(ROWS($W$2:W372),$W$2:$W$1001,0),1)&gt;=100000,INDEX($AD$1005:$AU$1005,1,MATCH(COLUMNS($AD$1006:AF1006),$AD$1006:$AU$1006,0))&gt;=100000), " ",IF(INDEX($AD$2:$AU$1001,MATCH(ROWS($W$2:W372),$W$2:$W$1001,0),MATCH(COLUMNS($AD$1006:AF1006),$AD$1006:$AU$1006,0)), HYPERLINK("#",""), HYPERLINK(CONCATENATE("#metadata!", ADDRESS(INDEX($Y$2:$Y$1001,MATCH(ROWS($W$2:W372),$W$2:$W$1001,0),0), INDEX($AD$1004:$AU$1004,1,MATCH(COLUMNS($AD$1006:AF1006),$AD$1006:$AU$1006,0)))),"Fix")))</f>
        <v xml:space="preserve"> </v>
      </c>
      <c r="E372" s="4" t="str">
        <f ca="1">IF(OR(INDEX($X$2:$X$1001,MATCH(ROWS($W$2:W372),$W$2:$W$1001,0),1)&gt;=100000,INDEX($AD$1005:$AU$1005,1,MATCH(COLUMNS($AD$1006:AG1006),$AD$1006:$AU$1006,0))&gt;=100000), " ",IF(INDEX($AD$2:$AU$1001,MATCH(ROWS($W$2:W372),$W$2:$W$1001,0),MATCH(COLUMNS($AD$1006:AG1006),$AD$1006:$AU$1006,0)), HYPERLINK("#",""), HYPERLINK(CONCATENATE("#metadata!", ADDRESS(INDEX($Y$2:$Y$1001,MATCH(ROWS($W$2:W372),$W$2:$W$1001,0),0), INDEX($AD$1004:$AU$1004,1,MATCH(COLUMNS($AD$1006:AG1006),$AD$1006:$AU$1006,0)))),"Fix")))</f>
        <v xml:space="preserve"> </v>
      </c>
      <c r="F372" s="4" t="str">
        <f ca="1">IF(OR(INDEX($X$2:$X$1001,MATCH(ROWS($W$2:W372),$W$2:$W$1001,0),1)&gt;=100000,INDEX($AD$1005:$AU$1005,1,MATCH(COLUMNS($AD$1006:AH1006),$AD$1006:$AU$1006,0))&gt;=100000), " ",IF(INDEX($AD$2:$AU$1001,MATCH(ROWS($W$2:W372),$W$2:$W$1001,0),MATCH(COLUMNS($AD$1006:AH1006),$AD$1006:$AU$1006,0)), HYPERLINK("#",""), HYPERLINK(CONCATENATE("#metadata!", ADDRESS(INDEX($Y$2:$Y$1001,MATCH(ROWS($W$2:W372),$W$2:$W$1001,0),0), INDEX($AD$1004:$AU$1004,1,MATCH(COLUMNS($AD$1006:AH1006),$AD$1006:$AU$1006,0)))),"Fix")))</f>
        <v xml:space="preserve"> </v>
      </c>
      <c r="G372" s="4" t="str">
        <f ca="1">IF(OR(INDEX($X$2:$X$1001,MATCH(ROWS($W$2:W372),$W$2:$W$1001,0),1)&gt;=100000,INDEX($AD$1005:$AU$1005,1,MATCH(COLUMNS($AD$1006:AI1006),$AD$1006:$AU$1006,0))&gt;=100000), " ",IF(INDEX($AD$2:$AU$1001,MATCH(ROWS($W$2:W372),$W$2:$W$1001,0),MATCH(COLUMNS($AD$1006:AI1006),$AD$1006:$AU$1006,0)), HYPERLINK("#",""), HYPERLINK(CONCATENATE("#metadata!", ADDRESS(INDEX($Y$2:$Y$1001,MATCH(ROWS($W$2:W372),$W$2:$W$1001,0),0), INDEX($AD$1004:$AU$1004,1,MATCH(COLUMNS($AD$1006:AI1006),$AD$1006:$AU$1006,0)))),"Fix")))</f>
        <v xml:space="preserve"> </v>
      </c>
      <c r="H372" s="4" t="str">
        <f ca="1">IF(OR(INDEX($X$2:$X$1001,MATCH(ROWS($W$2:W372),$W$2:$W$1001,0),1)&gt;=100000,INDEX($AD$1005:$AU$1005,1,MATCH(COLUMNS($AD$1006:AJ1006),$AD$1006:$AU$1006,0))&gt;=100000), " ",IF(INDEX($AD$2:$AU$1001,MATCH(ROWS($W$2:W372),$W$2:$W$1001,0),MATCH(COLUMNS($AD$1006:AJ1006),$AD$1006:$AU$1006,0)), HYPERLINK("#",""), HYPERLINK(CONCATENATE("#metadata!", ADDRESS(INDEX($Y$2:$Y$1001,MATCH(ROWS($W$2:W372),$W$2:$W$1001,0),0), INDEX($AD$1004:$AU$1004,1,MATCH(COLUMNS($AD$1006:AJ1006),$AD$1006:$AU$1006,0)))),"Fix")))</f>
        <v xml:space="preserve"> </v>
      </c>
      <c r="I372" s="4" t="str">
        <f ca="1">IF(OR(INDEX($X$2:$X$1001,MATCH(ROWS($W$2:W372),$W$2:$W$1001,0),1)&gt;=100000,INDEX($AD$1005:$AU$1005,1,MATCH(COLUMNS($AD$1006:AK1006),$AD$1006:$AU$1006,0))&gt;=100000), " ",IF(INDEX($AD$2:$AU$1001,MATCH(ROWS($W$2:W372),$W$2:$W$1001,0),MATCH(COLUMNS($AD$1006:AK1006),$AD$1006:$AU$1006,0)), HYPERLINK("#",""), HYPERLINK(CONCATENATE("#metadata!", ADDRESS(INDEX($Y$2:$Y$1001,MATCH(ROWS($W$2:W372),$W$2:$W$1001,0),0), INDEX($AD$1004:$AU$1004,1,MATCH(COLUMNS($AD$1006:AK1006),$AD$1006:$AU$1006,0)))),"Fix")))</f>
        <v xml:space="preserve"> </v>
      </c>
      <c r="J372" s="4" t="str">
        <f ca="1">IF(OR(INDEX($X$2:$X$1001,MATCH(ROWS($W$2:W372),$W$2:$W$1001,0),1)&gt;=100000,INDEX($AD$1005:$AU$1005,1,MATCH(COLUMNS($AD$1006:AL1006),$AD$1006:$AU$1006,0))&gt;=100000), " ",IF(INDEX($AD$2:$AU$1001,MATCH(ROWS($W$2:W372),$W$2:$W$1001,0),MATCH(COLUMNS($AD$1006:AL1006),$AD$1006:$AU$1006,0)), HYPERLINK("#",""), HYPERLINK(CONCATENATE("#metadata!", ADDRESS(INDEX($Y$2:$Y$1001,MATCH(ROWS($W$2:W372),$W$2:$W$1001,0),0), INDEX($AD$1004:$AU$1004,1,MATCH(COLUMNS($AD$1006:AL1006),$AD$1006:$AU$1006,0)))),"Fix")))</f>
        <v xml:space="preserve"> </v>
      </c>
      <c r="K372" s="4" t="str">
        <f ca="1">IF(OR(INDEX($X$2:$X$1001,MATCH(ROWS($W$2:W372),$W$2:$W$1001,0),1)&gt;=100000,INDEX($AD$1005:$AU$1005,1,MATCH(COLUMNS($AD$1006:AM1006),$AD$1006:$AU$1006,0))&gt;=100000), " ",IF(INDEX($AD$2:$AU$1001,MATCH(ROWS($W$2:W372),$W$2:$W$1001,0),MATCH(COLUMNS($AD$1006:AM1006),$AD$1006:$AU$1006,0)), HYPERLINK("#",""), HYPERLINK(CONCATENATE("#metadata!", ADDRESS(INDEX($Y$2:$Y$1001,MATCH(ROWS($W$2:W372),$W$2:$W$1001,0),0), INDEX($AD$1004:$AU$1004,1,MATCH(COLUMNS($AD$1006:AM1006),$AD$1006:$AU$1006,0)))),"Fix")))</f>
        <v xml:space="preserve"> </v>
      </c>
      <c r="L372" s="4" t="str">
        <f ca="1">IF(OR(INDEX($X$2:$X$1001,MATCH(ROWS($W$2:W372),$W$2:$W$1001,0),1)&gt;=100000,INDEX($AD$1005:$AU$1005,1,MATCH(COLUMNS($AD$1006:AN1006),$AD$1006:$AU$1006,0))&gt;=100000), " ",IF(INDEX($AD$2:$AU$1001,MATCH(ROWS($W$2:W372),$W$2:$W$1001,0),MATCH(COLUMNS($AD$1006:AN1006),$AD$1006:$AU$1006,0)), HYPERLINK("#",""), HYPERLINK(CONCATENATE("#metadata!", ADDRESS(INDEX($Y$2:$Y$1001,MATCH(ROWS($W$2:W372),$W$2:$W$1001,0),0), INDEX($AD$1004:$AU$1004,1,MATCH(COLUMNS($AD$1006:AN1006),$AD$1006:$AU$1006,0)))),"Fix")))</f>
        <v xml:space="preserve"> </v>
      </c>
      <c r="M372" s="4" t="str">
        <f ca="1">IF(OR(INDEX($X$2:$X$1001,MATCH(ROWS($W$2:W372),$W$2:$W$1001,0),1)&gt;=100000,INDEX($AD$1005:$AU$1005,1,MATCH(COLUMNS($AD$1006:AO1006),$AD$1006:$AU$1006,0))&gt;=100000), " ",IF(INDEX($AD$2:$AU$1001,MATCH(ROWS($W$2:W372),$W$2:$W$1001,0),MATCH(COLUMNS($AD$1006:AO1006),$AD$1006:$AU$1006,0)), HYPERLINK("#",""), HYPERLINK(CONCATENATE("#metadata!", ADDRESS(INDEX($Y$2:$Y$1001,MATCH(ROWS($W$2:W372),$W$2:$W$1001,0),0), INDEX($AD$1004:$AU$1004,1,MATCH(COLUMNS($AD$1006:AO1006),$AD$1006:$AU$1006,0)))),"Fix")))</f>
        <v xml:space="preserve"> </v>
      </c>
      <c r="N372" s="4" t="str">
        <f ca="1">IF(OR(INDEX($X$2:$X$1001,MATCH(ROWS($W$2:W372),$W$2:$W$1001,0),1)&gt;=100000,INDEX($AD$1005:$AU$1005,1,MATCH(COLUMNS($AD$1006:AP1006),$AD$1006:$AU$1006,0))&gt;=100000), " ",IF(INDEX($AD$2:$AU$1001,MATCH(ROWS($W$2:W372),$W$2:$W$1001,0),MATCH(COLUMNS($AD$1006:AP1006),$AD$1006:$AU$1006,0)), HYPERLINK("#",""), HYPERLINK(CONCATENATE("#metadata!", ADDRESS(INDEX($Y$2:$Y$1001,MATCH(ROWS($W$2:W372),$W$2:$W$1001,0),0), INDEX($AD$1004:$AU$1004,1,MATCH(COLUMNS($AD$1006:AP1006),$AD$1006:$AU$1006,0)))),"Fix")))</f>
        <v xml:space="preserve"> </v>
      </c>
      <c r="O372" s="4" t="str">
        <f ca="1">IF(OR(INDEX($X$2:$X$1001,MATCH(ROWS($W$2:W372),$W$2:$W$1001,0),1)&gt;=100000,INDEX($AD$1005:$AU$1005,1,MATCH(COLUMNS($AD$1006:AQ1006),$AD$1006:$AU$1006,0))&gt;=100000), " ",IF(INDEX($AD$2:$AU$1001,MATCH(ROWS($W$2:W372),$W$2:$W$1001,0),MATCH(COLUMNS($AD$1006:AQ1006),$AD$1006:$AU$1006,0)), HYPERLINK("#",""), HYPERLINK(CONCATENATE("#metadata!", ADDRESS(INDEX($Y$2:$Y$1001,MATCH(ROWS($W$2:W372),$W$2:$W$1001,0),0), INDEX($AD$1004:$AU$1004,1,MATCH(COLUMNS($AD$1006:AQ1006),$AD$1006:$AU$1006,0)))),"Fix")))</f>
        <v xml:space="preserve"> </v>
      </c>
      <c r="P372" s="4" t="str">
        <f ca="1">IF(OR(INDEX($X$2:$X$1001,MATCH(ROWS($W$2:W372),$W$2:$W$1001,0),1)&gt;=100000,INDEX($AD$1005:$AU$1005,1,MATCH(COLUMNS($AD$1006:AR1006),$AD$1006:$AU$1006,0))&gt;=100000), " ",IF(INDEX($AD$2:$AU$1001,MATCH(ROWS($W$2:W372),$W$2:$W$1001,0),MATCH(COLUMNS($AD$1006:AR1006),$AD$1006:$AU$1006,0)), HYPERLINK("#",""), HYPERLINK(CONCATENATE("#metadata!", ADDRESS(INDEX($Y$2:$Y$1001,MATCH(ROWS($W$2:W372),$W$2:$W$1001,0),0), INDEX($AD$1004:$AU$1004,1,MATCH(COLUMNS($AD$1006:AR1006),$AD$1006:$AU$1006,0)))),"Fix")))</f>
        <v xml:space="preserve"> </v>
      </c>
      <c r="Q372" s="4" t="str">
        <f ca="1">IF(OR(INDEX($X$2:$X$1001,MATCH(ROWS($W$2:W372),$W$2:$W$1001,0),1)&gt;=100000,INDEX($AD$1005:$AU$1005,1,MATCH(COLUMNS($AD$1006:AS1006),$AD$1006:$AU$1006,0))&gt;=100000), " ",IF(INDEX($AD$2:$AU$1001,MATCH(ROWS($W$2:W372),$W$2:$W$1001,0),MATCH(COLUMNS($AD$1006:AS1006),$AD$1006:$AU$1006,0)), HYPERLINK("#",""), HYPERLINK(CONCATENATE("#metadata!", ADDRESS(INDEX($Y$2:$Y$1001,MATCH(ROWS($W$2:W372),$W$2:$W$1001,0),0), INDEX($AD$1004:$AU$1004,1,MATCH(COLUMNS($AD$1006:AS1006),$AD$1006:$AU$1006,0)))),"Fix")))</f>
        <v xml:space="preserve"> </v>
      </c>
      <c r="R372" s="4" t="str">
        <f ca="1">IF(OR(INDEX($X$2:$X$1001,MATCH(ROWS($W$2:W372),$W$2:$W$1001,0),1)&gt;=100000,INDEX($AD$1005:$AU$1005,1,MATCH(COLUMNS($AD$1006:AT1006),$AD$1006:$AU$1006,0))&gt;=100000), " ",IF(INDEX($AD$2:$AU$1001,MATCH(ROWS($W$2:W372),$W$2:$W$1001,0),MATCH(COLUMNS($AD$1006:AT1006),$AD$1006:$AU$1006,0)), HYPERLINK("#",""), HYPERLINK(CONCATENATE("#metadata!", ADDRESS(INDEX($Y$2:$Y$1001,MATCH(ROWS($W$2:W372),$W$2:$W$1001,0),0), INDEX($AD$1004:$AU$1004,1,MATCH(COLUMNS($AD$1006:AT1006),$AD$1006:$AU$1006,0)))),"Fix")))</f>
        <v xml:space="preserve"> </v>
      </c>
      <c r="S372" s="4" t="str">
        <f ca="1">IF(OR(INDEX($X$2:$X$1001,MATCH(ROWS($W$2:W372),$W$2:$W$1001,0),1)&gt;=100000,INDEX($AD$1005:$AU$1005,1,MATCH(COLUMNS($AD$1006:AU1006),$AD$1006:$AU$1006,0))&gt;=100000), " ",IF(INDEX($AD$2:$AU$1001,MATCH(ROWS($W$2:W372),$W$2:$W$1001,0),MATCH(COLUMNS($AD$1006:AU1006),$AD$1006:$AU$1006,0)), HYPERLINK("#",""), HYPERLINK(CONCATENATE("#metadata!", ADDRESS(INDEX($Y$2:$Y$1001,MATCH(ROWS($W$2:W372),$W$2:$W$1001,0),0), INDEX($AD$1004:$AU$1004,1,MATCH(COLUMNS($AD$1006:AU1006),$AD$1006:$AU$1006,0)))),"Fix")))</f>
        <v xml:space="preserve"> </v>
      </c>
      <c r="W372">
        <v>371</v>
      </c>
      <c r="X372">
        <v>100372</v>
      </c>
      <c r="Y372">
        <v>372</v>
      </c>
      <c r="Z372" t="b">
        <f t="shared" si="5"/>
        <v>1</v>
      </c>
      <c r="AA372" t="b">
        <f>COUNTBLANK(metadata!B372:S372)=COLUMNS(metadata!B372:S372)</f>
        <v>1</v>
      </c>
      <c r="AB372" t="str">
        <v/>
      </c>
      <c r="AD372" t="b">
        <f ca="1">AND(IF(metadata!B372="",FALSE,TRUE),COUNTIF(metadata!B:B, metadata!B372) = 1,NOT(ISERROR(SUMPRODUCT(SEARCH(MID(metadata!B372,ROW(INDIRECT("1:"&amp;LEN(metadata!B372))), 1),"0123456789abcdefghijklmnopqrstuvwxyzABCDEFGHIJKLMNOPQRSTUVWXYZ.")))))</f>
        <v>0</v>
      </c>
      <c r="AE372" t="b">
        <f>OR(AND(IF(metadata!C372="",FALSE,TRUE),OR(EXACT(metadata!C372,"not applicable"),EXACT(metadata!C372,"missing: not collected"),EXACT(metadata!C372,"missing: not provided"),EXACT(metadata!C372,"missing: restricted access"))),AND(IF(metadata!C372="",FALSE,ISNUMBER(VALUE(metadata!C372))),metadata!C372&gt;0))</f>
        <v>0</v>
      </c>
      <c r="AF372" t="b">
        <f>AND(IF(metadata!D372="",FALSE,TRUE),EXACT(metadata!D372,"missing: not provided"))</f>
        <v>0</v>
      </c>
      <c r="AG372" t="b">
        <f>AND(IF(metadata!E372="",FALSE,TRUE),EXACT(metadata!E372,"Host-associated"))</f>
        <v>0</v>
      </c>
      <c r="AH372" t="b">
        <f>AND(IF(metadata!F372="",FALSE,TRUE),OR(EXACT(metadata!F372,"Animal"),EXACT(metadata!F372,"Fungus"),EXACT(metadata!F372,"Plant")))</f>
        <v>0</v>
      </c>
      <c r="AI372" t="b">
        <f>AND(IF(metadata!G372="",FALSE,TRUE),OR(EXACT(metadata!G372,"Plant secretion"),EXACT(metadata!G372,"Plant rhizosphere"),EXACT(metadata!G372,"Plant surface"),EXACT(metadata!G372,"Plant corpus"),EXACT(metadata!G372,"Fungus surface"),EXACT(metadata!G372,"Fungus corpus"),EXACT(metadata!G372,"Animal surface"),EXACT(metadata!G372,"Animal proximal gut"),EXACT(metadata!G372,"Animal corpus"),EXACT(metadata!G372,"Animal distal gut"),EXACT(metadata!G372,"Animal secretion")))</f>
        <v>0</v>
      </c>
      <c r="AJ372" t="b">
        <f>OR(AND(IF(metadata!H372="",FALSE,TRUE),OR(EXACT(metadata!H372,"missing: not collected"),EXACT(metadata!H372,"missing: not provided"),EXACT(metadata!H372,"missing: restricted access"))),AND(IF(metadata!H372="",FALSE,TRUE),OR(EXACT(metadata!H372,"organism-associated habitat"),EXACT(metadata!H372,"plant-associated habitat"),EXACT(metadata!H372,"animal-associated habitat"),EXACT(metadata!H372,"insecta-associated habitat"),EXACT(metadata!H372,"mammalia-associated habitat"),EXACT(metadata!H372,"human-associated habitat"),EXACT(metadata!H372,"livestock-associated habitat"))))</f>
        <v>0</v>
      </c>
      <c r="AK372" t="b">
        <f>AND(IF(metadata!I372="",FALSE,TRUE),EXACT(metadata!I372,"host-associated"))</f>
        <v>0</v>
      </c>
      <c r="AL372" t="b">
        <f>OR(AND(IF(metadata!J372="",FALSE,TRUE),OR(EXACT(metadata!J372,"not applicable"),EXACT(metadata!J372,"missing: not collected"),EXACT(metadata!J372,"missing: not provided"),EXACT(metadata!J372,"missing: restricted access"))),AND(IF(metadata!J372="",FALSE,ISNUMBER(VALUE(metadata!J372))),metadata!J372&gt;0))</f>
        <v>0</v>
      </c>
      <c r="AM372" t="b">
        <f>AND(IF(metadata!K372="",FALSE,TRUE),EXACT(metadata!K372,"missing: not provided"))</f>
        <v>0</v>
      </c>
      <c r="AN372" t="b">
        <f>IF(metadata!L372="",FALSE,TRUE)</f>
        <v>0</v>
      </c>
      <c r="AO372" t="b">
        <f>IF(metadata!M372="",FALSE,TRUE)</f>
        <v>0</v>
      </c>
      <c r="AP372" t="b">
        <f>OR(AND(IF(metadata!N372="",FALSE,TRUE),OR(EXACT(metadata!N372,"not applicable"),EXACT(metadata!N372,"missing: not collected"),EXACT(metadata!N372,"missing: not provided"))),AND(IF(metadata!N372="",FALSE,IF(ISERROR(INT(metadata!N372)),FALSE,INT(metadata!N372)=metadata!N372)),metadata!N372&gt;0))</f>
        <v>0</v>
      </c>
      <c r="AQ372" t="b">
        <f>AND(IF(metadata!O372="",FALSE,TRUE),EXACT(metadata!O372,"Not applicable"))</f>
        <v>0</v>
      </c>
      <c r="AR372" t="b">
        <f>OR(AND(IF(metadata!P372="",FALSE,TRUE),OR(EXACT(metadata!P372,"not applicable"),EXACT(metadata!P372,"missing: not collected"),EXACT(metadata!P372,"missing: not provided"),EXACT(metadata!P372,"missing: restricted access"))),IF(metadata!P372="",FALSE,IF(ISERROR(INT(metadata!P372)),FALSE,INT(metadata!P372)=metadata!P372)))</f>
        <v>0</v>
      </c>
      <c r="AS372" t="b">
        <f>AND(IF(metadata!Q372="",FALSE,TRUE),EXACT(metadata!Q372,"Not applicable"))</f>
        <v>0</v>
      </c>
      <c r="AT372" t="b">
        <f>OR(AND(IF(metadata!R372="",FALSE,TRUE),OR(EXACT(metadata!R372,"not applicable"),EXACT(metadata!R372,"missing: not collected"),EXACT(metadata!R372,"missing: not provided"),EXACT(metadata!R372,"missing: restricted access"))),AND(IF(metadata!R372="",FALSE,ISNUMBER(VALUE(metadata!R372))),metadata!R372&gt;0))</f>
        <v>0</v>
      </c>
      <c r="AU372" t="b">
        <f>AND(IF(metadata!S372="",FALSE,TRUE),EXACT(metadata!S372,"missing: not provided"))</f>
        <v>0</v>
      </c>
    </row>
    <row r="373" spans="1:47" x14ac:dyDescent="0.2">
      <c r="A373" s="5" t="str">
        <f ca="1">IF(B373=" "," ",HYPERLINK(CONCATENATE("#metadata!",ADDRESS(INDEX($Y$2:$Y$1001,MATCH(ROWS($W$2:W373),$W$2:$W$1001,0),0),1)),INDEX($AB$2:$AB$1001,MATCH(ROWS($W$2:W373),$W$2:$W$1001,0),0)))</f>
        <v xml:space="preserve"> </v>
      </c>
      <c r="B373" s="4" t="str">
        <f ca="1">IF(OR(INDEX($X$2:$X$1001,MATCH(ROWS($W$2:W373),$W$2:$W$1001,0),1)&gt;=100000,INDEX($AD$1005:$AU$1005,1,MATCH(COLUMNS($AD$1006:AD1006),$AD$1006:$AU$1006,0))&gt;=100000), " ",IF(INDEX($AD$2:$AU$1001,MATCH(ROWS($W$2:W373),$W$2:$W$1001,0),MATCH(COLUMNS($AD$1006:AD1006),$AD$1006:$AU$1006,0)), HYPERLINK("#",""), HYPERLINK(CONCATENATE("#metadata!", ADDRESS(INDEX($Y$2:$Y$1001,MATCH(ROWS($W$2:W373),$W$2:$W$1001,0),0), INDEX($AD$1004:$AU$1004,1,MATCH(COLUMNS($AD$1006:AD1006),$AD$1006:$AU$1006,0)))),"Fix")))</f>
        <v xml:space="preserve"> </v>
      </c>
      <c r="C373" s="4" t="str">
        <f ca="1">IF(OR(INDEX($X$2:$X$1001,MATCH(ROWS($W$2:W373),$W$2:$W$1001,0),1)&gt;=100000,INDEX($AD$1005:$AU$1005,1,MATCH(COLUMNS($AD$1006:AE1006),$AD$1006:$AU$1006,0))&gt;=100000), " ",IF(INDEX($AD$2:$AU$1001,MATCH(ROWS($W$2:W373),$W$2:$W$1001,0),MATCH(COLUMNS($AD$1006:AE1006),$AD$1006:$AU$1006,0)), HYPERLINK("#",""), HYPERLINK(CONCATENATE("#metadata!", ADDRESS(INDEX($Y$2:$Y$1001,MATCH(ROWS($W$2:W373),$W$2:$W$1001,0),0), INDEX($AD$1004:$AU$1004,1,MATCH(COLUMNS($AD$1006:AE1006),$AD$1006:$AU$1006,0)))),"Fix")))</f>
        <v xml:space="preserve"> </v>
      </c>
      <c r="D373" s="4" t="str">
        <f ca="1">IF(OR(INDEX($X$2:$X$1001,MATCH(ROWS($W$2:W373),$W$2:$W$1001,0),1)&gt;=100000,INDEX($AD$1005:$AU$1005,1,MATCH(COLUMNS($AD$1006:AF1006),$AD$1006:$AU$1006,0))&gt;=100000), " ",IF(INDEX($AD$2:$AU$1001,MATCH(ROWS($W$2:W373),$W$2:$W$1001,0),MATCH(COLUMNS($AD$1006:AF1006),$AD$1006:$AU$1006,0)), HYPERLINK("#",""), HYPERLINK(CONCATENATE("#metadata!", ADDRESS(INDEX($Y$2:$Y$1001,MATCH(ROWS($W$2:W373),$W$2:$W$1001,0),0), INDEX($AD$1004:$AU$1004,1,MATCH(COLUMNS($AD$1006:AF1006),$AD$1006:$AU$1006,0)))),"Fix")))</f>
        <v xml:space="preserve"> </v>
      </c>
      <c r="E373" s="4" t="str">
        <f ca="1">IF(OR(INDEX($X$2:$X$1001,MATCH(ROWS($W$2:W373),$W$2:$W$1001,0),1)&gt;=100000,INDEX($AD$1005:$AU$1005,1,MATCH(COLUMNS($AD$1006:AG1006),$AD$1006:$AU$1006,0))&gt;=100000), " ",IF(INDEX($AD$2:$AU$1001,MATCH(ROWS($W$2:W373),$W$2:$W$1001,0),MATCH(COLUMNS($AD$1006:AG1006),$AD$1006:$AU$1006,0)), HYPERLINK("#",""), HYPERLINK(CONCATENATE("#metadata!", ADDRESS(INDEX($Y$2:$Y$1001,MATCH(ROWS($W$2:W373),$W$2:$W$1001,0),0), INDEX($AD$1004:$AU$1004,1,MATCH(COLUMNS($AD$1006:AG1006),$AD$1006:$AU$1006,0)))),"Fix")))</f>
        <v xml:space="preserve"> </v>
      </c>
      <c r="F373" s="4" t="str">
        <f ca="1">IF(OR(INDEX($X$2:$X$1001,MATCH(ROWS($W$2:W373),$W$2:$W$1001,0),1)&gt;=100000,INDEX($AD$1005:$AU$1005,1,MATCH(COLUMNS($AD$1006:AH1006),$AD$1006:$AU$1006,0))&gt;=100000), " ",IF(INDEX($AD$2:$AU$1001,MATCH(ROWS($W$2:W373),$W$2:$W$1001,0),MATCH(COLUMNS($AD$1006:AH1006),$AD$1006:$AU$1006,0)), HYPERLINK("#",""), HYPERLINK(CONCATENATE("#metadata!", ADDRESS(INDEX($Y$2:$Y$1001,MATCH(ROWS($W$2:W373),$W$2:$W$1001,0),0), INDEX($AD$1004:$AU$1004,1,MATCH(COLUMNS($AD$1006:AH1006),$AD$1006:$AU$1006,0)))),"Fix")))</f>
        <v xml:space="preserve"> </v>
      </c>
      <c r="G373" s="4" t="str">
        <f ca="1">IF(OR(INDEX($X$2:$X$1001,MATCH(ROWS($W$2:W373),$W$2:$W$1001,0),1)&gt;=100000,INDEX($AD$1005:$AU$1005,1,MATCH(COLUMNS($AD$1006:AI1006),$AD$1006:$AU$1006,0))&gt;=100000), " ",IF(INDEX($AD$2:$AU$1001,MATCH(ROWS($W$2:W373),$W$2:$W$1001,0),MATCH(COLUMNS($AD$1006:AI1006),$AD$1006:$AU$1006,0)), HYPERLINK("#",""), HYPERLINK(CONCATENATE("#metadata!", ADDRESS(INDEX($Y$2:$Y$1001,MATCH(ROWS($W$2:W373),$W$2:$W$1001,0),0), INDEX($AD$1004:$AU$1004,1,MATCH(COLUMNS($AD$1006:AI1006),$AD$1006:$AU$1006,0)))),"Fix")))</f>
        <v xml:space="preserve"> </v>
      </c>
      <c r="H373" s="4" t="str">
        <f ca="1">IF(OR(INDEX($X$2:$X$1001,MATCH(ROWS($W$2:W373),$W$2:$W$1001,0),1)&gt;=100000,INDEX($AD$1005:$AU$1005,1,MATCH(COLUMNS($AD$1006:AJ1006),$AD$1006:$AU$1006,0))&gt;=100000), " ",IF(INDEX($AD$2:$AU$1001,MATCH(ROWS($W$2:W373),$W$2:$W$1001,0),MATCH(COLUMNS($AD$1006:AJ1006),$AD$1006:$AU$1006,0)), HYPERLINK("#",""), HYPERLINK(CONCATENATE("#metadata!", ADDRESS(INDEX($Y$2:$Y$1001,MATCH(ROWS($W$2:W373),$W$2:$W$1001,0),0), INDEX($AD$1004:$AU$1004,1,MATCH(COLUMNS($AD$1006:AJ1006),$AD$1006:$AU$1006,0)))),"Fix")))</f>
        <v xml:space="preserve"> </v>
      </c>
      <c r="I373" s="4" t="str">
        <f ca="1">IF(OR(INDEX($X$2:$X$1001,MATCH(ROWS($W$2:W373),$W$2:$W$1001,0),1)&gt;=100000,INDEX($AD$1005:$AU$1005,1,MATCH(COLUMNS($AD$1006:AK1006),$AD$1006:$AU$1006,0))&gt;=100000), " ",IF(INDEX($AD$2:$AU$1001,MATCH(ROWS($W$2:W373),$W$2:$W$1001,0),MATCH(COLUMNS($AD$1006:AK1006),$AD$1006:$AU$1006,0)), HYPERLINK("#",""), HYPERLINK(CONCATENATE("#metadata!", ADDRESS(INDEX($Y$2:$Y$1001,MATCH(ROWS($W$2:W373),$W$2:$W$1001,0),0), INDEX($AD$1004:$AU$1004,1,MATCH(COLUMNS($AD$1006:AK1006),$AD$1006:$AU$1006,0)))),"Fix")))</f>
        <v xml:space="preserve"> </v>
      </c>
      <c r="J373" s="4" t="str">
        <f ca="1">IF(OR(INDEX($X$2:$X$1001,MATCH(ROWS($W$2:W373),$W$2:$W$1001,0),1)&gt;=100000,INDEX($AD$1005:$AU$1005,1,MATCH(COLUMNS($AD$1006:AL1006),$AD$1006:$AU$1006,0))&gt;=100000), " ",IF(INDEX($AD$2:$AU$1001,MATCH(ROWS($W$2:W373),$W$2:$W$1001,0),MATCH(COLUMNS($AD$1006:AL1006),$AD$1006:$AU$1006,0)), HYPERLINK("#",""), HYPERLINK(CONCATENATE("#metadata!", ADDRESS(INDEX($Y$2:$Y$1001,MATCH(ROWS($W$2:W373),$W$2:$W$1001,0),0), INDEX($AD$1004:$AU$1004,1,MATCH(COLUMNS($AD$1006:AL1006),$AD$1006:$AU$1006,0)))),"Fix")))</f>
        <v xml:space="preserve"> </v>
      </c>
      <c r="K373" s="4" t="str">
        <f ca="1">IF(OR(INDEX($X$2:$X$1001,MATCH(ROWS($W$2:W373),$W$2:$W$1001,0),1)&gt;=100000,INDEX($AD$1005:$AU$1005,1,MATCH(COLUMNS($AD$1006:AM1006),$AD$1006:$AU$1006,0))&gt;=100000), " ",IF(INDEX($AD$2:$AU$1001,MATCH(ROWS($W$2:W373),$W$2:$W$1001,0),MATCH(COLUMNS($AD$1006:AM1006),$AD$1006:$AU$1006,0)), HYPERLINK("#",""), HYPERLINK(CONCATENATE("#metadata!", ADDRESS(INDEX($Y$2:$Y$1001,MATCH(ROWS($W$2:W373),$W$2:$W$1001,0),0), INDEX($AD$1004:$AU$1004,1,MATCH(COLUMNS($AD$1006:AM1006),$AD$1006:$AU$1006,0)))),"Fix")))</f>
        <v xml:space="preserve"> </v>
      </c>
      <c r="L373" s="4" t="str">
        <f ca="1">IF(OR(INDEX($X$2:$X$1001,MATCH(ROWS($W$2:W373),$W$2:$W$1001,0),1)&gt;=100000,INDEX($AD$1005:$AU$1005,1,MATCH(COLUMNS($AD$1006:AN1006),$AD$1006:$AU$1006,0))&gt;=100000), " ",IF(INDEX($AD$2:$AU$1001,MATCH(ROWS($W$2:W373),$W$2:$W$1001,0),MATCH(COLUMNS($AD$1006:AN1006),$AD$1006:$AU$1006,0)), HYPERLINK("#",""), HYPERLINK(CONCATENATE("#metadata!", ADDRESS(INDEX($Y$2:$Y$1001,MATCH(ROWS($W$2:W373),$W$2:$W$1001,0),0), INDEX($AD$1004:$AU$1004,1,MATCH(COLUMNS($AD$1006:AN1006),$AD$1006:$AU$1006,0)))),"Fix")))</f>
        <v xml:space="preserve"> </v>
      </c>
      <c r="M373" s="4" t="str">
        <f ca="1">IF(OR(INDEX($X$2:$X$1001,MATCH(ROWS($W$2:W373),$W$2:$W$1001,0),1)&gt;=100000,INDEX($AD$1005:$AU$1005,1,MATCH(COLUMNS($AD$1006:AO1006),$AD$1006:$AU$1006,0))&gt;=100000), " ",IF(INDEX($AD$2:$AU$1001,MATCH(ROWS($W$2:W373),$W$2:$W$1001,0),MATCH(COLUMNS($AD$1006:AO1006),$AD$1006:$AU$1006,0)), HYPERLINK("#",""), HYPERLINK(CONCATENATE("#metadata!", ADDRESS(INDEX($Y$2:$Y$1001,MATCH(ROWS($W$2:W373),$W$2:$W$1001,0),0), INDEX($AD$1004:$AU$1004,1,MATCH(COLUMNS($AD$1006:AO1006),$AD$1006:$AU$1006,0)))),"Fix")))</f>
        <v xml:space="preserve"> </v>
      </c>
      <c r="N373" s="4" t="str">
        <f ca="1">IF(OR(INDEX($X$2:$X$1001,MATCH(ROWS($W$2:W373),$W$2:$W$1001,0),1)&gt;=100000,INDEX($AD$1005:$AU$1005,1,MATCH(COLUMNS($AD$1006:AP1006),$AD$1006:$AU$1006,0))&gt;=100000), " ",IF(INDEX($AD$2:$AU$1001,MATCH(ROWS($W$2:W373),$W$2:$W$1001,0),MATCH(COLUMNS($AD$1006:AP1006),$AD$1006:$AU$1006,0)), HYPERLINK("#",""), HYPERLINK(CONCATENATE("#metadata!", ADDRESS(INDEX($Y$2:$Y$1001,MATCH(ROWS($W$2:W373),$W$2:$W$1001,0),0), INDEX($AD$1004:$AU$1004,1,MATCH(COLUMNS($AD$1006:AP1006),$AD$1006:$AU$1006,0)))),"Fix")))</f>
        <v xml:space="preserve"> </v>
      </c>
      <c r="O373" s="4" t="str">
        <f ca="1">IF(OR(INDEX($X$2:$X$1001,MATCH(ROWS($W$2:W373),$W$2:$W$1001,0),1)&gt;=100000,INDEX($AD$1005:$AU$1005,1,MATCH(COLUMNS($AD$1006:AQ1006),$AD$1006:$AU$1006,0))&gt;=100000), " ",IF(INDEX($AD$2:$AU$1001,MATCH(ROWS($W$2:W373),$W$2:$W$1001,0),MATCH(COLUMNS($AD$1006:AQ1006),$AD$1006:$AU$1006,0)), HYPERLINK("#",""), HYPERLINK(CONCATENATE("#metadata!", ADDRESS(INDEX($Y$2:$Y$1001,MATCH(ROWS($W$2:W373),$W$2:$W$1001,0),0), INDEX($AD$1004:$AU$1004,1,MATCH(COLUMNS($AD$1006:AQ1006),$AD$1006:$AU$1006,0)))),"Fix")))</f>
        <v xml:space="preserve"> </v>
      </c>
      <c r="P373" s="4" t="str">
        <f ca="1">IF(OR(INDEX($X$2:$X$1001,MATCH(ROWS($W$2:W373),$W$2:$W$1001,0),1)&gt;=100000,INDEX($AD$1005:$AU$1005,1,MATCH(COLUMNS($AD$1006:AR1006),$AD$1006:$AU$1006,0))&gt;=100000), " ",IF(INDEX($AD$2:$AU$1001,MATCH(ROWS($W$2:W373),$W$2:$W$1001,0),MATCH(COLUMNS($AD$1006:AR1006),$AD$1006:$AU$1006,0)), HYPERLINK("#",""), HYPERLINK(CONCATENATE("#metadata!", ADDRESS(INDEX($Y$2:$Y$1001,MATCH(ROWS($W$2:W373),$W$2:$W$1001,0),0), INDEX($AD$1004:$AU$1004,1,MATCH(COLUMNS($AD$1006:AR1006),$AD$1006:$AU$1006,0)))),"Fix")))</f>
        <v xml:space="preserve"> </v>
      </c>
      <c r="Q373" s="4" t="str">
        <f ca="1">IF(OR(INDEX($X$2:$X$1001,MATCH(ROWS($W$2:W373),$W$2:$W$1001,0),1)&gt;=100000,INDEX($AD$1005:$AU$1005,1,MATCH(COLUMNS($AD$1006:AS1006),$AD$1006:$AU$1006,0))&gt;=100000), " ",IF(INDEX($AD$2:$AU$1001,MATCH(ROWS($W$2:W373),$W$2:$W$1001,0),MATCH(COLUMNS($AD$1006:AS1006),$AD$1006:$AU$1006,0)), HYPERLINK("#",""), HYPERLINK(CONCATENATE("#metadata!", ADDRESS(INDEX($Y$2:$Y$1001,MATCH(ROWS($W$2:W373),$W$2:$W$1001,0),0), INDEX($AD$1004:$AU$1004,1,MATCH(COLUMNS($AD$1006:AS1006),$AD$1006:$AU$1006,0)))),"Fix")))</f>
        <v xml:space="preserve"> </v>
      </c>
      <c r="R373" s="4" t="str">
        <f ca="1">IF(OR(INDEX($X$2:$X$1001,MATCH(ROWS($W$2:W373),$W$2:$W$1001,0),1)&gt;=100000,INDEX($AD$1005:$AU$1005,1,MATCH(COLUMNS($AD$1006:AT1006),$AD$1006:$AU$1006,0))&gt;=100000), " ",IF(INDEX($AD$2:$AU$1001,MATCH(ROWS($W$2:W373),$W$2:$W$1001,0),MATCH(COLUMNS($AD$1006:AT1006),$AD$1006:$AU$1006,0)), HYPERLINK("#",""), HYPERLINK(CONCATENATE("#metadata!", ADDRESS(INDEX($Y$2:$Y$1001,MATCH(ROWS($W$2:W373),$W$2:$W$1001,0),0), INDEX($AD$1004:$AU$1004,1,MATCH(COLUMNS($AD$1006:AT1006),$AD$1006:$AU$1006,0)))),"Fix")))</f>
        <v xml:space="preserve"> </v>
      </c>
      <c r="S373" s="4" t="str">
        <f ca="1">IF(OR(INDEX($X$2:$X$1001,MATCH(ROWS($W$2:W373),$W$2:$W$1001,0),1)&gt;=100000,INDEX($AD$1005:$AU$1005,1,MATCH(COLUMNS($AD$1006:AU1006),$AD$1006:$AU$1006,0))&gt;=100000), " ",IF(INDEX($AD$2:$AU$1001,MATCH(ROWS($W$2:W373),$W$2:$W$1001,0),MATCH(COLUMNS($AD$1006:AU1006),$AD$1006:$AU$1006,0)), HYPERLINK("#",""), HYPERLINK(CONCATENATE("#metadata!", ADDRESS(INDEX($Y$2:$Y$1001,MATCH(ROWS($W$2:W373),$W$2:$W$1001,0),0), INDEX($AD$1004:$AU$1004,1,MATCH(COLUMNS($AD$1006:AU1006),$AD$1006:$AU$1006,0)))),"Fix")))</f>
        <v xml:space="preserve"> </v>
      </c>
      <c r="W373">
        <v>372</v>
      </c>
      <c r="X373">
        <v>100373</v>
      </c>
      <c r="Y373">
        <v>373</v>
      </c>
      <c r="Z373" t="b">
        <f t="shared" si="5"/>
        <v>1</v>
      </c>
      <c r="AA373" t="b">
        <f>COUNTBLANK(metadata!B373:S373)=COLUMNS(metadata!B373:S373)</f>
        <v>1</v>
      </c>
      <c r="AB373" t="str">
        <v/>
      </c>
      <c r="AD373" t="b">
        <f ca="1">AND(IF(metadata!B373="",FALSE,TRUE),COUNTIF(metadata!B:B, metadata!B373) = 1,NOT(ISERROR(SUMPRODUCT(SEARCH(MID(metadata!B373,ROW(INDIRECT("1:"&amp;LEN(metadata!B373))), 1),"0123456789abcdefghijklmnopqrstuvwxyzABCDEFGHIJKLMNOPQRSTUVWXYZ.")))))</f>
        <v>0</v>
      </c>
      <c r="AE373" t="b">
        <f>OR(AND(IF(metadata!C373="",FALSE,TRUE),OR(EXACT(metadata!C373,"not applicable"),EXACT(metadata!C373,"missing: not collected"),EXACT(metadata!C373,"missing: not provided"),EXACT(metadata!C373,"missing: restricted access"))),AND(IF(metadata!C373="",FALSE,ISNUMBER(VALUE(metadata!C373))),metadata!C373&gt;0))</f>
        <v>0</v>
      </c>
      <c r="AF373" t="b">
        <f>AND(IF(metadata!D373="",FALSE,TRUE),EXACT(metadata!D373,"missing: not provided"))</f>
        <v>0</v>
      </c>
      <c r="AG373" t="b">
        <f>AND(IF(metadata!E373="",FALSE,TRUE),EXACT(metadata!E373,"Host-associated"))</f>
        <v>0</v>
      </c>
      <c r="AH373" t="b">
        <f>AND(IF(metadata!F373="",FALSE,TRUE),OR(EXACT(metadata!F373,"Animal"),EXACT(metadata!F373,"Fungus"),EXACT(metadata!F373,"Plant")))</f>
        <v>0</v>
      </c>
      <c r="AI373" t="b">
        <f>AND(IF(metadata!G373="",FALSE,TRUE),OR(EXACT(metadata!G373,"Plant secretion"),EXACT(metadata!G373,"Plant rhizosphere"),EXACT(metadata!G373,"Plant surface"),EXACT(metadata!G373,"Plant corpus"),EXACT(metadata!G373,"Fungus surface"),EXACT(metadata!G373,"Fungus corpus"),EXACT(metadata!G373,"Animal surface"),EXACT(metadata!G373,"Animal proximal gut"),EXACT(metadata!G373,"Animal corpus"),EXACT(metadata!G373,"Animal distal gut"),EXACT(metadata!G373,"Animal secretion")))</f>
        <v>0</v>
      </c>
      <c r="AJ373" t="b">
        <f>OR(AND(IF(metadata!H373="",FALSE,TRUE),OR(EXACT(metadata!H373,"missing: not collected"),EXACT(metadata!H373,"missing: not provided"),EXACT(metadata!H373,"missing: restricted access"))),AND(IF(metadata!H373="",FALSE,TRUE),OR(EXACT(metadata!H373,"organism-associated habitat"),EXACT(metadata!H373,"plant-associated habitat"),EXACT(metadata!H373,"animal-associated habitat"),EXACT(metadata!H373,"insecta-associated habitat"),EXACT(metadata!H373,"mammalia-associated habitat"),EXACT(metadata!H373,"human-associated habitat"),EXACT(metadata!H373,"livestock-associated habitat"))))</f>
        <v>0</v>
      </c>
      <c r="AK373" t="b">
        <f>AND(IF(metadata!I373="",FALSE,TRUE),EXACT(metadata!I373,"host-associated"))</f>
        <v>0</v>
      </c>
      <c r="AL373" t="b">
        <f>OR(AND(IF(metadata!J373="",FALSE,TRUE),OR(EXACT(metadata!J373,"not applicable"),EXACT(metadata!J373,"missing: not collected"),EXACT(metadata!J373,"missing: not provided"),EXACT(metadata!J373,"missing: restricted access"))),AND(IF(metadata!J373="",FALSE,ISNUMBER(VALUE(metadata!J373))),metadata!J373&gt;0))</f>
        <v>0</v>
      </c>
      <c r="AM373" t="b">
        <f>AND(IF(metadata!K373="",FALSE,TRUE),EXACT(metadata!K373,"missing: not provided"))</f>
        <v>0</v>
      </c>
      <c r="AN373" t="b">
        <f>IF(metadata!L373="",FALSE,TRUE)</f>
        <v>0</v>
      </c>
      <c r="AO373" t="b">
        <f>IF(metadata!M373="",FALSE,TRUE)</f>
        <v>0</v>
      </c>
      <c r="AP373" t="b">
        <f>OR(AND(IF(metadata!N373="",FALSE,TRUE),OR(EXACT(metadata!N373,"not applicable"),EXACT(metadata!N373,"missing: not collected"),EXACT(metadata!N373,"missing: not provided"))),AND(IF(metadata!N373="",FALSE,IF(ISERROR(INT(metadata!N373)),FALSE,INT(metadata!N373)=metadata!N373)),metadata!N373&gt;0))</f>
        <v>0</v>
      </c>
      <c r="AQ373" t="b">
        <f>AND(IF(metadata!O373="",FALSE,TRUE),EXACT(metadata!O373,"Not applicable"))</f>
        <v>0</v>
      </c>
      <c r="AR373" t="b">
        <f>OR(AND(IF(metadata!P373="",FALSE,TRUE),OR(EXACT(metadata!P373,"not applicable"),EXACT(metadata!P373,"missing: not collected"),EXACT(metadata!P373,"missing: not provided"),EXACT(metadata!P373,"missing: restricted access"))),IF(metadata!P373="",FALSE,IF(ISERROR(INT(metadata!P373)),FALSE,INT(metadata!P373)=metadata!P373)))</f>
        <v>0</v>
      </c>
      <c r="AS373" t="b">
        <f>AND(IF(metadata!Q373="",FALSE,TRUE),EXACT(metadata!Q373,"Not applicable"))</f>
        <v>0</v>
      </c>
      <c r="AT373" t="b">
        <f>OR(AND(IF(metadata!R373="",FALSE,TRUE),OR(EXACT(metadata!R373,"not applicable"),EXACT(metadata!R373,"missing: not collected"),EXACT(metadata!R373,"missing: not provided"),EXACT(metadata!R373,"missing: restricted access"))),AND(IF(metadata!R373="",FALSE,ISNUMBER(VALUE(metadata!R373))),metadata!R373&gt;0))</f>
        <v>0</v>
      </c>
      <c r="AU373" t="b">
        <f>AND(IF(metadata!S373="",FALSE,TRUE),EXACT(metadata!S373,"missing: not provided"))</f>
        <v>0</v>
      </c>
    </row>
    <row r="374" spans="1:47" x14ac:dyDescent="0.2">
      <c r="A374" s="5" t="str">
        <f ca="1">IF(B374=" "," ",HYPERLINK(CONCATENATE("#metadata!",ADDRESS(INDEX($Y$2:$Y$1001,MATCH(ROWS($W$2:W374),$W$2:$W$1001,0),0),1)),INDEX($AB$2:$AB$1001,MATCH(ROWS($W$2:W374),$W$2:$W$1001,0),0)))</f>
        <v xml:space="preserve"> </v>
      </c>
      <c r="B374" s="4" t="str">
        <f ca="1">IF(OR(INDEX($X$2:$X$1001,MATCH(ROWS($W$2:W374),$W$2:$W$1001,0),1)&gt;=100000,INDEX($AD$1005:$AU$1005,1,MATCH(COLUMNS($AD$1006:AD1006),$AD$1006:$AU$1006,0))&gt;=100000), " ",IF(INDEX($AD$2:$AU$1001,MATCH(ROWS($W$2:W374),$W$2:$W$1001,0),MATCH(COLUMNS($AD$1006:AD1006),$AD$1006:$AU$1006,0)), HYPERLINK("#",""), HYPERLINK(CONCATENATE("#metadata!", ADDRESS(INDEX($Y$2:$Y$1001,MATCH(ROWS($W$2:W374),$W$2:$W$1001,0),0), INDEX($AD$1004:$AU$1004,1,MATCH(COLUMNS($AD$1006:AD1006),$AD$1006:$AU$1006,0)))),"Fix")))</f>
        <v xml:space="preserve"> </v>
      </c>
      <c r="C374" s="4" t="str">
        <f ca="1">IF(OR(INDEX($X$2:$X$1001,MATCH(ROWS($W$2:W374),$W$2:$W$1001,0),1)&gt;=100000,INDEX($AD$1005:$AU$1005,1,MATCH(COLUMNS($AD$1006:AE1006),$AD$1006:$AU$1006,0))&gt;=100000), " ",IF(INDEX($AD$2:$AU$1001,MATCH(ROWS($W$2:W374),$W$2:$W$1001,0),MATCH(COLUMNS($AD$1006:AE1006),$AD$1006:$AU$1006,0)), HYPERLINK("#",""), HYPERLINK(CONCATENATE("#metadata!", ADDRESS(INDEX($Y$2:$Y$1001,MATCH(ROWS($W$2:W374),$W$2:$W$1001,0),0), INDEX($AD$1004:$AU$1004,1,MATCH(COLUMNS($AD$1006:AE1006),$AD$1006:$AU$1006,0)))),"Fix")))</f>
        <v xml:space="preserve"> </v>
      </c>
      <c r="D374" s="4" t="str">
        <f ca="1">IF(OR(INDEX($X$2:$X$1001,MATCH(ROWS($W$2:W374),$W$2:$W$1001,0),1)&gt;=100000,INDEX($AD$1005:$AU$1005,1,MATCH(COLUMNS($AD$1006:AF1006),$AD$1006:$AU$1006,0))&gt;=100000), " ",IF(INDEX($AD$2:$AU$1001,MATCH(ROWS($W$2:W374),$W$2:$W$1001,0),MATCH(COLUMNS($AD$1006:AF1006),$AD$1006:$AU$1006,0)), HYPERLINK("#",""), HYPERLINK(CONCATENATE("#metadata!", ADDRESS(INDEX($Y$2:$Y$1001,MATCH(ROWS($W$2:W374),$W$2:$W$1001,0),0), INDEX($AD$1004:$AU$1004,1,MATCH(COLUMNS($AD$1006:AF1006),$AD$1006:$AU$1006,0)))),"Fix")))</f>
        <v xml:space="preserve"> </v>
      </c>
      <c r="E374" s="4" t="str">
        <f ca="1">IF(OR(INDEX($X$2:$X$1001,MATCH(ROWS($W$2:W374),$W$2:$W$1001,0),1)&gt;=100000,INDEX($AD$1005:$AU$1005,1,MATCH(COLUMNS($AD$1006:AG1006),$AD$1006:$AU$1006,0))&gt;=100000), " ",IF(INDEX($AD$2:$AU$1001,MATCH(ROWS($W$2:W374),$W$2:$W$1001,0),MATCH(COLUMNS($AD$1006:AG1006),$AD$1006:$AU$1006,0)), HYPERLINK("#",""), HYPERLINK(CONCATENATE("#metadata!", ADDRESS(INDEX($Y$2:$Y$1001,MATCH(ROWS($W$2:W374),$W$2:$W$1001,0),0), INDEX($AD$1004:$AU$1004,1,MATCH(COLUMNS($AD$1006:AG1006),$AD$1006:$AU$1006,0)))),"Fix")))</f>
        <v xml:space="preserve"> </v>
      </c>
      <c r="F374" s="4" t="str">
        <f ca="1">IF(OR(INDEX($X$2:$X$1001,MATCH(ROWS($W$2:W374),$W$2:$W$1001,0),1)&gt;=100000,INDEX($AD$1005:$AU$1005,1,MATCH(COLUMNS($AD$1006:AH1006),$AD$1006:$AU$1006,0))&gt;=100000), " ",IF(INDEX($AD$2:$AU$1001,MATCH(ROWS($W$2:W374),$W$2:$W$1001,0),MATCH(COLUMNS($AD$1006:AH1006),$AD$1006:$AU$1006,0)), HYPERLINK("#",""), HYPERLINK(CONCATENATE("#metadata!", ADDRESS(INDEX($Y$2:$Y$1001,MATCH(ROWS($W$2:W374),$W$2:$W$1001,0),0), INDEX($AD$1004:$AU$1004,1,MATCH(COLUMNS($AD$1006:AH1006),$AD$1006:$AU$1006,0)))),"Fix")))</f>
        <v xml:space="preserve"> </v>
      </c>
      <c r="G374" s="4" t="str">
        <f ca="1">IF(OR(INDEX($X$2:$X$1001,MATCH(ROWS($W$2:W374),$W$2:$W$1001,0),1)&gt;=100000,INDEX($AD$1005:$AU$1005,1,MATCH(COLUMNS($AD$1006:AI1006),$AD$1006:$AU$1006,0))&gt;=100000), " ",IF(INDEX($AD$2:$AU$1001,MATCH(ROWS($W$2:W374),$W$2:$W$1001,0),MATCH(COLUMNS($AD$1006:AI1006),$AD$1006:$AU$1006,0)), HYPERLINK("#",""), HYPERLINK(CONCATENATE("#metadata!", ADDRESS(INDEX($Y$2:$Y$1001,MATCH(ROWS($W$2:W374),$W$2:$W$1001,0),0), INDEX($AD$1004:$AU$1004,1,MATCH(COLUMNS($AD$1006:AI1006),$AD$1006:$AU$1006,0)))),"Fix")))</f>
        <v xml:space="preserve"> </v>
      </c>
      <c r="H374" s="4" t="str">
        <f ca="1">IF(OR(INDEX($X$2:$X$1001,MATCH(ROWS($W$2:W374),$W$2:$W$1001,0),1)&gt;=100000,INDEX($AD$1005:$AU$1005,1,MATCH(COLUMNS($AD$1006:AJ1006),$AD$1006:$AU$1006,0))&gt;=100000), " ",IF(INDEX($AD$2:$AU$1001,MATCH(ROWS($W$2:W374),$W$2:$W$1001,0),MATCH(COLUMNS($AD$1006:AJ1006),$AD$1006:$AU$1006,0)), HYPERLINK("#",""), HYPERLINK(CONCATENATE("#metadata!", ADDRESS(INDEX($Y$2:$Y$1001,MATCH(ROWS($W$2:W374),$W$2:$W$1001,0),0), INDEX($AD$1004:$AU$1004,1,MATCH(COLUMNS($AD$1006:AJ1006),$AD$1006:$AU$1006,0)))),"Fix")))</f>
        <v xml:space="preserve"> </v>
      </c>
      <c r="I374" s="4" t="str">
        <f ca="1">IF(OR(INDEX($X$2:$X$1001,MATCH(ROWS($W$2:W374),$W$2:$W$1001,0),1)&gt;=100000,INDEX($AD$1005:$AU$1005,1,MATCH(COLUMNS($AD$1006:AK1006),$AD$1006:$AU$1006,0))&gt;=100000), " ",IF(INDEX($AD$2:$AU$1001,MATCH(ROWS($W$2:W374),$W$2:$W$1001,0),MATCH(COLUMNS($AD$1006:AK1006),$AD$1006:$AU$1006,0)), HYPERLINK("#",""), HYPERLINK(CONCATENATE("#metadata!", ADDRESS(INDEX($Y$2:$Y$1001,MATCH(ROWS($W$2:W374),$W$2:$W$1001,0),0), INDEX($AD$1004:$AU$1004,1,MATCH(COLUMNS($AD$1006:AK1006),$AD$1006:$AU$1006,0)))),"Fix")))</f>
        <v xml:space="preserve"> </v>
      </c>
      <c r="J374" s="4" t="str">
        <f ca="1">IF(OR(INDEX($X$2:$X$1001,MATCH(ROWS($W$2:W374),$W$2:$W$1001,0),1)&gt;=100000,INDEX($AD$1005:$AU$1005,1,MATCH(COLUMNS($AD$1006:AL1006),$AD$1006:$AU$1006,0))&gt;=100000), " ",IF(INDEX($AD$2:$AU$1001,MATCH(ROWS($W$2:W374),$W$2:$W$1001,0),MATCH(COLUMNS($AD$1006:AL1006),$AD$1006:$AU$1006,0)), HYPERLINK("#",""), HYPERLINK(CONCATENATE("#metadata!", ADDRESS(INDEX($Y$2:$Y$1001,MATCH(ROWS($W$2:W374),$W$2:$W$1001,0),0), INDEX($AD$1004:$AU$1004,1,MATCH(COLUMNS($AD$1006:AL1006),$AD$1006:$AU$1006,0)))),"Fix")))</f>
        <v xml:space="preserve"> </v>
      </c>
      <c r="K374" s="4" t="str">
        <f ca="1">IF(OR(INDEX($X$2:$X$1001,MATCH(ROWS($W$2:W374),$W$2:$W$1001,0),1)&gt;=100000,INDEX($AD$1005:$AU$1005,1,MATCH(COLUMNS($AD$1006:AM1006),$AD$1006:$AU$1006,0))&gt;=100000), " ",IF(INDEX($AD$2:$AU$1001,MATCH(ROWS($W$2:W374),$W$2:$W$1001,0),MATCH(COLUMNS($AD$1006:AM1006),$AD$1006:$AU$1006,0)), HYPERLINK("#",""), HYPERLINK(CONCATENATE("#metadata!", ADDRESS(INDEX($Y$2:$Y$1001,MATCH(ROWS($W$2:W374),$W$2:$W$1001,0),0), INDEX($AD$1004:$AU$1004,1,MATCH(COLUMNS($AD$1006:AM1006),$AD$1006:$AU$1006,0)))),"Fix")))</f>
        <v xml:space="preserve"> </v>
      </c>
      <c r="L374" s="4" t="str">
        <f ca="1">IF(OR(INDEX($X$2:$X$1001,MATCH(ROWS($W$2:W374),$W$2:$W$1001,0),1)&gt;=100000,INDEX($AD$1005:$AU$1005,1,MATCH(COLUMNS($AD$1006:AN1006),$AD$1006:$AU$1006,0))&gt;=100000), " ",IF(INDEX($AD$2:$AU$1001,MATCH(ROWS($W$2:W374),$W$2:$W$1001,0),MATCH(COLUMNS($AD$1006:AN1006),$AD$1006:$AU$1006,0)), HYPERLINK("#",""), HYPERLINK(CONCATENATE("#metadata!", ADDRESS(INDEX($Y$2:$Y$1001,MATCH(ROWS($W$2:W374),$W$2:$W$1001,0),0), INDEX($AD$1004:$AU$1004,1,MATCH(COLUMNS($AD$1006:AN1006),$AD$1006:$AU$1006,0)))),"Fix")))</f>
        <v xml:space="preserve"> </v>
      </c>
      <c r="M374" s="4" t="str">
        <f ca="1">IF(OR(INDEX($X$2:$X$1001,MATCH(ROWS($W$2:W374),$W$2:$W$1001,0),1)&gt;=100000,INDEX($AD$1005:$AU$1005,1,MATCH(COLUMNS($AD$1006:AO1006),$AD$1006:$AU$1006,0))&gt;=100000), " ",IF(INDEX($AD$2:$AU$1001,MATCH(ROWS($W$2:W374),$W$2:$W$1001,0),MATCH(COLUMNS($AD$1006:AO1006),$AD$1006:$AU$1006,0)), HYPERLINK("#",""), HYPERLINK(CONCATENATE("#metadata!", ADDRESS(INDEX($Y$2:$Y$1001,MATCH(ROWS($W$2:W374),$W$2:$W$1001,0),0), INDEX($AD$1004:$AU$1004,1,MATCH(COLUMNS($AD$1006:AO1006),$AD$1006:$AU$1006,0)))),"Fix")))</f>
        <v xml:space="preserve"> </v>
      </c>
      <c r="N374" s="4" t="str">
        <f ca="1">IF(OR(INDEX($X$2:$X$1001,MATCH(ROWS($W$2:W374),$W$2:$W$1001,0),1)&gt;=100000,INDEX($AD$1005:$AU$1005,1,MATCH(COLUMNS($AD$1006:AP1006),$AD$1006:$AU$1006,0))&gt;=100000), " ",IF(INDEX($AD$2:$AU$1001,MATCH(ROWS($W$2:W374),$W$2:$W$1001,0),MATCH(COLUMNS($AD$1006:AP1006),$AD$1006:$AU$1006,0)), HYPERLINK("#",""), HYPERLINK(CONCATENATE("#metadata!", ADDRESS(INDEX($Y$2:$Y$1001,MATCH(ROWS($W$2:W374),$W$2:$W$1001,0),0), INDEX($AD$1004:$AU$1004,1,MATCH(COLUMNS($AD$1006:AP1006),$AD$1006:$AU$1006,0)))),"Fix")))</f>
        <v xml:space="preserve"> </v>
      </c>
      <c r="O374" s="4" t="str">
        <f ca="1">IF(OR(INDEX($X$2:$X$1001,MATCH(ROWS($W$2:W374),$W$2:$W$1001,0),1)&gt;=100000,INDEX($AD$1005:$AU$1005,1,MATCH(COLUMNS($AD$1006:AQ1006),$AD$1006:$AU$1006,0))&gt;=100000), " ",IF(INDEX($AD$2:$AU$1001,MATCH(ROWS($W$2:W374),$W$2:$W$1001,0),MATCH(COLUMNS($AD$1006:AQ1006),$AD$1006:$AU$1006,0)), HYPERLINK("#",""), HYPERLINK(CONCATENATE("#metadata!", ADDRESS(INDEX($Y$2:$Y$1001,MATCH(ROWS($W$2:W374),$W$2:$W$1001,0),0), INDEX($AD$1004:$AU$1004,1,MATCH(COLUMNS($AD$1006:AQ1006),$AD$1006:$AU$1006,0)))),"Fix")))</f>
        <v xml:space="preserve"> </v>
      </c>
      <c r="P374" s="4" t="str">
        <f ca="1">IF(OR(INDEX($X$2:$X$1001,MATCH(ROWS($W$2:W374),$W$2:$W$1001,0),1)&gt;=100000,INDEX($AD$1005:$AU$1005,1,MATCH(COLUMNS($AD$1006:AR1006),$AD$1006:$AU$1006,0))&gt;=100000), " ",IF(INDEX($AD$2:$AU$1001,MATCH(ROWS($W$2:W374),$W$2:$W$1001,0),MATCH(COLUMNS($AD$1006:AR1006),$AD$1006:$AU$1006,0)), HYPERLINK("#",""), HYPERLINK(CONCATENATE("#metadata!", ADDRESS(INDEX($Y$2:$Y$1001,MATCH(ROWS($W$2:W374),$W$2:$W$1001,0),0), INDEX($AD$1004:$AU$1004,1,MATCH(COLUMNS($AD$1006:AR1006),$AD$1006:$AU$1006,0)))),"Fix")))</f>
        <v xml:space="preserve"> </v>
      </c>
      <c r="Q374" s="4" t="str">
        <f ca="1">IF(OR(INDEX($X$2:$X$1001,MATCH(ROWS($W$2:W374),$W$2:$W$1001,0),1)&gt;=100000,INDEX($AD$1005:$AU$1005,1,MATCH(COLUMNS($AD$1006:AS1006),$AD$1006:$AU$1006,0))&gt;=100000), " ",IF(INDEX($AD$2:$AU$1001,MATCH(ROWS($W$2:W374),$W$2:$W$1001,0),MATCH(COLUMNS($AD$1006:AS1006),$AD$1006:$AU$1006,0)), HYPERLINK("#",""), HYPERLINK(CONCATENATE("#metadata!", ADDRESS(INDEX($Y$2:$Y$1001,MATCH(ROWS($W$2:W374),$W$2:$W$1001,0),0), INDEX($AD$1004:$AU$1004,1,MATCH(COLUMNS($AD$1006:AS1006),$AD$1006:$AU$1006,0)))),"Fix")))</f>
        <v xml:space="preserve"> </v>
      </c>
      <c r="R374" s="4" t="str">
        <f ca="1">IF(OR(INDEX($X$2:$X$1001,MATCH(ROWS($W$2:W374),$W$2:$W$1001,0),1)&gt;=100000,INDEX($AD$1005:$AU$1005,1,MATCH(COLUMNS($AD$1006:AT1006),$AD$1006:$AU$1006,0))&gt;=100000), " ",IF(INDEX($AD$2:$AU$1001,MATCH(ROWS($W$2:W374),$W$2:$W$1001,0),MATCH(COLUMNS($AD$1006:AT1006),$AD$1006:$AU$1006,0)), HYPERLINK("#",""), HYPERLINK(CONCATENATE("#metadata!", ADDRESS(INDEX($Y$2:$Y$1001,MATCH(ROWS($W$2:W374),$W$2:$W$1001,0),0), INDEX($AD$1004:$AU$1004,1,MATCH(COLUMNS($AD$1006:AT1006),$AD$1006:$AU$1006,0)))),"Fix")))</f>
        <v xml:space="preserve"> </v>
      </c>
      <c r="S374" s="4" t="str">
        <f ca="1">IF(OR(INDEX($X$2:$X$1001,MATCH(ROWS($W$2:W374),$W$2:$W$1001,0),1)&gt;=100000,INDEX($AD$1005:$AU$1005,1,MATCH(COLUMNS($AD$1006:AU1006),$AD$1006:$AU$1006,0))&gt;=100000), " ",IF(INDEX($AD$2:$AU$1001,MATCH(ROWS($W$2:W374),$W$2:$W$1001,0),MATCH(COLUMNS($AD$1006:AU1006),$AD$1006:$AU$1006,0)), HYPERLINK("#",""), HYPERLINK(CONCATENATE("#metadata!", ADDRESS(INDEX($Y$2:$Y$1001,MATCH(ROWS($W$2:W374),$W$2:$W$1001,0),0), INDEX($AD$1004:$AU$1004,1,MATCH(COLUMNS($AD$1006:AU1006),$AD$1006:$AU$1006,0)))),"Fix")))</f>
        <v xml:space="preserve"> </v>
      </c>
      <c r="W374">
        <v>373</v>
      </c>
      <c r="X374">
        <v>100374</v>
      </c>
      <c r="Y374">
        <v>374</v>
      </c>
      <c r="Z374" t="b">
        <f t="shared" si="5"/>
        <v>1</v>
      </c>
      <c r="AA374" t="b">
        <f>COUNTBLANK(metadata!B374:S374)=COLUMNS(metadata!B374:S374)</f>
        <v>1</v>
      </c>
      <c r="AB374" t="str">
        <v/>
      </c>
      <c r="AD374" t="b">
        <f ca="1">AND(IF(metadata!B374="",FALSE,TRUE),COUNTIF(metadata!B:B, metadata!B374) = 1,NOT(ISERROR(SUMPRODUCT(SEARCH(MID(metadata!B374,ROW(INDIRECT("1:"&amp;LEN(metadata!B374))), 1),"0123456789abcdefghijklmnopqrstuvwxyzABCDEFGHIJKLMNOPQRSTUVWXYZ.")))))</f>
        <v>0</v>
      </c>
      <c r="AE374" t="b">
        <f>OR(AND(IF(metadata!C374="",FALSE,TRUE),OR(EXACT(metadata!C374,"not applicable"),EXACT(metadata!C374,"missing: not collected"),EXACT(metadata!C374,"missing: not provided"),EXACT(metadata!C374,"missing: restricted access"))),AND(IF(metadata!C374="",FALSE,ISNUMBER(VALUE(metadata!C374))),metadata!C374&gt;0))</f>
        <v>0</v>
      </c>
      <c r="AF374" t="b">
        <f>AND(IF(metadata!D374="",FALSE,TRUE),EXACT(metadata!D374,"missing: not provided"))</f>
        <v>0</v>
      </c>
      <c r="AG374" t="b">
        <f>AND(IF(metadata!E374="",FALSE,TRUE),EXACT(metadata!E374,"Host-associated"))</f>
        <v>0</v>
      </c>
      <c r="AH374" t="b">
        <f>AND(IF(metadata!F374="",FALSE,TRUE),OR(EXACT(metadata!F374,"Animal"),EXACT(metadata!F374,"Fungus"),EXACT(metadata!F374,"Plant")))</f>
        <v>0</v>
      </c>
      <c r="AI374" t="b">
        <f>AND(IF(metadata!G374="",FALSE,TRUE),OR(EXACT(metadata!G374,"Plant secretion"),EXACT(metadata!G374,"Plant rhizosphere"),EXACT(metadata!G374,"Plant surface"),EXACT(metadata!G374,"Plant corpus"),EXACT(metadata!G374,"Fungus surface"),EXACT(metadata!G374,"Fungus corpus"),EXACT(metadata!G374,"Animal surface"),EXACT(metadata!G374,"Animal proximal gut"),EXACT(metadata!G374,"Animal corpus"),EXACT(metadata!G374,"Animal distal gut"),EXACT(metadata!G374,"Animal secretion")))</f>
        <v>0</v>
      </c>
      <c r="AJ374" t="b">
        <f>OR(AND(IF(metadata!H374="",FALSE,TRUE),OR(EXACT(metadata!H374,"missing: not collected"),EXACT(metadata!H374,"missing: not provided"),EXACT(metadata!H374,"missing: restricted access"))),AND(IF(metadata!H374="",FALSE,TRUE),OR(EXACT(metadata!H374,"organism-associated habitat"),EXACT(metadata!H374,"plant-associated habitat"),EXACT(metadata!H374,"animal-associated habitat"),EXACT(metadata!H374,"insecta-associated habitat"),EXACT(metadata!H374,"mammalia-associated habitat"),EXACT(metadata!H374,"human-associated habitat"),EXACT(metadata!H374,"livestock-associated habitat"))))</f>
        <v>0</v>
      </c>
      <c r="AK374" t="b">
        <f>AND(IF(metadata!I374="",FALSE,TRUE),EXACT(metadata!I374,"host-associated"))</f>
        <v>0</v>
      </c>
      <c r="AL374" t="b">
        <f>OR(AND(IF(metadata!J374="",FALSE,TRUE),OR(EXACT(metadata!J374,"not applicable"),EXACT(metadata!J374,"missing: not collected"),EXACT(metadata!J374,"missing: not provided"),EXACT(metadata!J374,"missing: restricted access"))),AND(IF(metadata!J374="",FALSE,ISNUMBER(VALUE(metadata!J374))),metadata!J374&gt;0))</f>
        <v>0</v>
      </c>
      <c r="AM374" t="b">
        <f>AND(IF(metadata!K374="",FALSE,TRUE),EXACT(metadata!K374,"missing: not provided"))</f>
        <v>0</v>
      </c>
      <c r="AN374" t="b">
        <f>IF(metadata!L374="",FALSE,TRUE)</f>
        <v>0</v>
      </c>
      <c r="AO374" t="b">
        <f>IF(metadata!M374="",FALSE,TRUE)</f>
        <v>0</v>
      </c>
      <c r="AP374" t="b">
        <f>OR(AND(IF(metadata!N374="",FALSE,TRUE),OR(EXACT(metadata!N374,"not applicable"),EXACT(metadata!N374,"missing: not collected"),EXACT(metadata!N374,"missing: not provided"))),AND(IF(metadata!N374="",FALSE,IF(ISERROR(INT(metadata!N374)),FALSE,INT(metadata!N374)=metadata!N374)),metadata!N374&gt;0))</f>
        <v>0</v>
      </c>
      <c r="AQ374" t="b">
        <f>AND(IF(metadata!O374="",FALSE,TRUE),EXACT(metadata!O374,"Not applicable"))</f>
        <v>0</v>
      </c>
      <c r="AR374" t="b">
        <f>OR(AND(IF(metadata!P374="",FALSE,TRUE),OR(EXACT(metadata!P374,"not applicable"),EXACT(metadata!P374,"missing: not collected"),EXACT(metadata!P374,"missing: not provided"),EXACT(metadata!P374,"missing: restricted access"))),IF(metadata!P374="",FALSE,IF(ISERROR(INT(metadata!P374)),FALSE,INT(metadata!P374)=metadata!P374)))</f>
        <v>0</v>
      </c>
      <c r="AS374" t="b">
        <f>AND(IF(metadata!Q374="",FALSE,TRUE),EXACT(metadata!Q374,"Not applicable"))</f>
        <v>0</v>
      </c>
      <c r="AT374" t="b">
        <f>OR(AND(IF(metadata!R374="",FALSE,TRUE),OR(EXACT(metadata!R374,"not applicable"),EXACT(metadata!R374,"missing: not collected"),EXACT(metadata!R374,"missing: not provided"),EXACT(metadata!R374,"missing: restricted access"))),AND(IF(metadata!R374="",FALSE,ISNUMBER(VALUE(metadata!R374))),metadata!R374&gt;0))</f>
        <v>0</v>
      </c>
      <c r="AU374" t="b">
        <f>AND(IF(metadata!S374="",FALSE,TRUE),EXACT(metadata!S374,"missing: not provided"))</f>
        <v>0</v>
      </c>
    </row>
    <row r="375" spans="1:47" x14ac:dyDescent="0.2">
      <c r="A375" s="5" t="str">
        <f ca="1">IF(B375=" "," ",HYPERLINK(CONCATENATE("#metadata!",ADDRESS(INDEX($Y$2:$Y$1001,MATCH(ROWS($W$2:W375),$W$2:$W$1001,0),0),1)),INDEX($AB$2:$AB$1001,MATCH(ROWS($W$2:W375),$W$2:$W$1001,0),0)))</f>
        <v xml:space="preserve"> </v>
      </c>
      <c r="B375" s="4" t="str">
        <f ca="1">IF(OR(INDEX($X$2:$X$1001,MATCH(ROWS($W$2:W375),$W$2:$W$1001,0),1)&gt;=100000,INDEX($AD$1005:$AU$1005,1,MATCH(COLUMNS($AD$1006:AD1006),$AD$1006:$AU$1006,0))&gt;=100000), " ",IF(INDEX($AD$2:$AU$1001,MATCH(ROWS($W$2:W375),$W$2:$W$1001,0),MATCH(COLUMNS($AD$1006:AD1006),$AD$1006:$AU$1006,0)), HYPERLINK("#",""), HYPERLINK(CONCATENATE("#metadata!", ADDRESS(INDEX($Y$2:$Y$1001,MATCH(ROWS($W$2:W375),$W$2:$W$1001,0),0), INDEX($AD$1004:$AU$1004,1,MATCH(COLUMNS($AD$1006:AD1006),$AD$1006:$AU$1006,0)))),"Fix")))</f>
        <v xml:space="preserve"> </v>
      </c>
      <c r="C375" s="4" t="str">
        <f ca="1">IF(OR(INDEX($X$2:$X$1001,MATCH(ROWS($W$2:W375),$W$2:$W$1001,0),1)&gt;=100000,INDEX($AD$1005:$AU$1005,1,MATCH(COLUMNS($AD$1006:AE1006),$AD$1006:$AU$1006,0))&gt;=100000), " ",IF(INDEX($AD$2:$AU$1001,MATCH(ROWS($W$2:W375),$W$2:$W$1001,0),MATCH(COLUMNS($AD$1006:AE1006),$AD$1006:$AU$1006,0)), HYPERLINK("#",""), HYPERLINK(CONCATENATE("#metadata!", ADDRESS(INDEX($Y$2:$Y$1001,MATCH(ROWS($W$2:W375),$W$2:$W$1001,0),0), INDEX($AD$1004:$AU$1004,1,MATCH(COLUMNS($AD$1006:AE1006),$AD$1006:$AU$1006,0)))),"Fix")))</f>
        <v xml:space="preserve"> </v>
      </c>
      <c r="D375" s="4" t="str">
        <f ca="1">IF(OR(INDEX($X$2:$X$1001,MATCH(ROWS($W$2:W375),$W$2:$W$1001,0),1)&gt;=100000,INDEX($AD$1005:$AU$1005,1,MATCH(COLUMNS($AD$1006:AF1006),$AD$1006:$AU$1006,0))&gt;=100000), " ",IF(INDEX($AD$2:$AU$1001,MATCH(ROWS($W$2:W375),$W$2:$W$1001,0),MATCH(COLUMNS($AD$1006:AF1006),$AD$1006:$AU$1006,0)), HYPERLINK("#",""), HYPERLINK(CONCATENATE("#metadata!", ADDRESS(INDEX($Y$2:$Y$1001,MATCH(ROWS($W$2:W375),$W$2:$W$1001,0),0), INDEX($AD$1004:$AU$1004,1,MATCH(COLUMNS($AD$1006:AF1006),$AD$1006:$AU$1006,0)))),"Fix")))</f>
        <v xml:space="preserve"> </v>
      </c>
      <c r="E375" s="4" t="str">
        <f ca="1">IF(OR(INDEX($X$2:$X$1001,MATCH(ROWS($W$2:W375),$W$2:$W$1001,0),1)&gt;=100000,INDEX($AD$1005:$AU$1005,1,MATCH(COLUMNS($AD$1006:AG1006),$AD$1006:$AU$1006,0))&gt;=100000), " ",IF(INDEX($AD$2:$AU$1001,MATCH(ROWS($W$2:W375),$W$2:$W$1001,0),MATCH(COLUMNS($AD$1006:AG1006),$AD$1006:$AU$1006,0)), HYPERLINK("#",""), HYPERLINK(CONCATENATE("#metadata!", ADDRESS(INDEX($Y$2:$Y$1001,MATCH(ROWS($W$2:W375),$W$2:$W$1001,0),0), INDEX($AD$1004:$AU$1004,1,MATCH(COLUMNS($AD$1006:AG1006),$AD$1006:$AU$1006,0)))),"Fix")))</f>
        <v xml:space="preserve"> </v>
      </c>
      <c r="F375" s="4" t="str">
        <f ca="1">IF(OR(INDEX($X$2:$X$1001,MATCH(ROWS($W$2:W375),$W$2:$W$1001,0),1)&gt;=100000,INDEX($AD$1005:$AU$1005,1,MATCH(COLUMNS($AD$1006:AH1006),$AD$1006:$AU$1006,0))&gt;=100000), " ",IF(INDEX($AD$2:$AU$1001,MATCH(ROWS($W$2:W375),$W$2:$W$1001,0),MATCH(COLUMNS($AD$1006:AH1006),$AD$1006:$AU$1006,0)), HYPERLINK("#",""), HYPERLINK(CONCATENATE("#metadata!", ADDRESS(INDEX($Y$2:$Y$1001,MATCH(ROWS($W$2:W375),$W$2:$W$1001,0),0), INDEX($AD$1004:$AU$1004,1,MATCH(COLUMNS($AD$1006:AH1006),$AD$1006:$AU$1006,0)))),"Fix")))</f>
        <v xml:space="preserve"> </v>
      </c>
      <c r="G375" s="4" t="str">
        <f ca="1">IF(OR(INDEX($X$2:$X$1001,MATCH(ROWS($W$2:W375),$W$2:$W$1001,0),1)&gt;=100000,INDEX($AD$1005:$AU$1005,1,MATCH(COLUMNS($AD$1006:AI1006),$AD$1006:$AU$1006,0))&gt;=100000), " ",IF(INDEX($AD$2:$AU$1001,MATCH(ROWS($W$2:W375),$W$2:$W$1001,0),MATCH(COLUMNS($AD$1006:AI1006),$AD$1006:$AU$1006,0)), HYPERLINK("#",""), HYPERLINK(CONCATENATE("#metadata!", ADDRESS(INDEX($Y$2:$Y$1001,MATCH(ROWS($W$2:W375),$W$2:$W$1001,0),0), INDEX($AD$1004:$AU$1004,1,MATCH(COLUMNS($AD$1006:AI1006),$AD$1006:$AU$1006,0)))),"Fix")))</f>
        <v xml:space="preserve"> </v>
      </c>
      <c r="H375" s="4" t="str">
        <f ca="1">IF(OR(INDEX($X$2:$X$1001,MATCH(ROWS($W$2:W375),$W$2:$W$1001,0),1)&gt;=100000,INDEX($AD$1005:$AU$1005,1,MATCH(COLUMNS($AD$1006:AJ1006),$AD$1006:$AU$1006,0))&gt;=100000), " ",IF(INDEX($AD$2:$AU$1001,MATCH(ROWS($W$2:W375),$W$2:$W$1001,0),MATCH(COLUMNS($AD$1006:AJ1006),$AD$1006:$AU$1006,0)), HYPERLINK("#",""), HYPERLINK(CONCATENATE("#metadata!", ADDRESS(INDEX($Y$2:$Y$1001,MATCH(ROWS($W$2:W375),$W$2:$W$1001,0),0), INDEX($AD$1004:$AU$1004,1,MATCH(COLUMNS($AD$1006:AJ1006),$AD$1006:$AU$1006,0)))),"Fix")))</f>
        <v xml:space="preserve"> </v>
      </c>
      <c r="I375" s="4" t="str">
        <f ca="1">IF(OR(INDEX($X$2:$X$1001,MATCH(ROWS($W$2:W375),$W$2:$W$1001,0),1)&gt;=100000,INDEX($AD$1005:$AU$1005,1,MATCH(COLUMNS($AD$1006:AK1006),$AD$1006:$AU$1006,0))&gt;=100000), " ",IF(INDEX($AD$2:$AU$1001,MATCH(ROWS($W$2:W375),$W$2:$W$1001,0),MATCH(COLUMNS($AD$1006:AK1006),$AD$1006:$AU$1006,0)), HYPERLINK("#",""), HYPERLINK(CONCATENATE("#metadata!", ADDRESS(INDEX($Y$2:$Y$1001,MATCH(ROWS($W$2:W375),$W$2:$W$1001,0),0), INDEX($AD$1004:$AU$1004,1,MATCH(COLUMNS($AD$1006:AK1006),$AD$1006:$AU$1006,0)))),"Fix")))</f>
        <v xml:space="preserve"> </v>
      </c>
      <c r="J375" s="4" t="str">
        <f ca="1">IF(OR(INDEX($X$2:$X$1001,MATCH(ROWS($W$2:W375),$W$2:$W$1001,0),1)&gt;=100000,INDEX($AD$1005:$AU$1005,1,MATCH(COLUMNS($AD$1006:AL1006),$AD$1006:$AU$1006,0))&gt;=100000), " ",IF(INDEX($AD$2:$AU$1001,MATCH(ROWS($W$2:W375),$W$2:$W$1001,0),MATCH(COLUMNS($AD$1006:AL1006),$AD$1006:$AU$1006,0)), HYPERLINK("#",""), HYPERLINK(CONCATENATE("#metadata!", ADDRESS(INDEX($Y$2:$Y$1001,MATCH(ROWS($W$2:W375),$W$2:$W$1001,0),0), INDEX($AD$1004:$AU$1004,1,MATCH(COLUMNS($AD$1006:AL1006),$AD$1006:$AU$1006,0)))),"Fix")))</f>
        <v xml:space="preserve"> </v>
      </c>
      <c r="K375" s="4" t="str">
        <f ca="1">IF(OR(INDEX($X$2:$X$1001,MATCH(ROWS($W$2:W375),$W$2:$W$1001,0),1)&gt;=100000,INDEX($AD$1005:$AU$1005,1,MATCH(COLUMNS($AD$1006:AM1006),$AD$1006:$AU$1006,0))&gt;=100000), " ",IF(INDEX($AD$2:$AU$1001,MATCH(ROWS($W$2:W375),$W$2:$W$1001,0),MATCH(COLUMNS($AD$1006:AM1006),$AD$1006:$AU$1006,0)), HYPERLINK("#",""), HYPERLINK(CONCATENATE("#metadata!", ADDRESS(INDEX($Y$2:$Y$1001,MATCH(ROWS($W$2:W375),$W$2:$W$1001,0),0), INDEX($AD$1004:$AU$1004,1,MATCH(COLUMNS($AD$1006:AM1006),$AD$1006:$AU$1006,0)))),"Fix")))</f>
        <v xml:space="preserve"> </v>
      </c>
      <c r="L375" s="4" t="str">
        <f ca="1">IF(OR(INDEX($X$2:$X$1001,MATCH(ROWS($W$2:W375),$W$2:$W$1001,0),1)&gt;=100000,INDEX($AD$1005:$AU$1005,1,MATCH(COLUMNS($AD$1006:AN1006),$AD$1006:$AU$1006,0))&gt;=100000), " ",IF(INDEX($AD$2:$AU$1001,MATCH(ROWS($W$2:W375),$W$2:$W$1001,0),MATCH(COLUMNS($AD$1006:AN1006),$AD$1006:$AU$1006,0)), HYPERLINK("#",""), HYPERLINK(CONCATENATE("#metadata!", ADDRESS(INDEX($Y$2:$Y$1001,MATCH(ROWS($W$2:W375),$W$2:$W$1001,0),0), INDEX($AD$1004:$AU$1004,1,MATCH(COLUMNS($AD$1006:AN1006),$AD$1006:$AU$1006,0)))),"Fix")))</f>
        <v xml:space="preserve"> </v>
      </c>
      <c r="M375" s="4" t="str">
        <f ca="1">IF(OR(INDEX($X$2:$X$1001,MATCH(ROWS($W$2:W375),$W$2:$W$1001,0),1)&gt;=100000,INDEX($AD$1005:$AU$1005,1,MATCH(COLUMNS($AD$1006:AO1006),$AD$1006:$AU$1006,0))&gt;=100000), " ",IF(INDEX($AD$2:$AU$1001,MATCH(ROWS($W$2:W375),$W$2:$W$1001,0),MATCH(COLUMNS($AD$1006:AO1006),$AD$1006:$AU$1006,0)), HYPERLINK("#",""), HYPERLINK(CONCATENATE("#metadata!", ADDRESS(INDEX($Y$2:$Y$1001,MATCH(ROWS($W$2:W375),$W$2:$W$1001,0),0), INDEX($AD$1004:$AU$1004,1,MATCH(COLUMNS($AD$1006:AO1006),$AD$1006:$AU$1006,0)))),"Fix")))</f>
        <v xml:space="preserve"> </v>
      </c>
      <c r="N375" s="4" t="str">
        <f ca="1">IF(OR(INDEX($X$2:$X$1001,MATCH(ROWS($W$2:W375),$W$2:$W$1001,0),1)&gt;=100000,INDEX($AD$1005:$AU$1005,1,MATCH(COLUMNS($AD$1006:AP1006),$AD$1006:$AU$1006,0))&gt;=100000), " ",IF(INDEX($AD$2:$AU$1001,MATCH(ROWS($W$2:W375),$W$2:$W$1001,0),MATCH(COLUMNS($AD$1006:AP1006),$AD$1006:$AU$1006,0)), HYPERLINK("#",""), HYPERLINK(CONCATENATE("#metadata!", ADDRESS(INDEX($Y$2:$Y$1001,MATCH(ROWS($W$2:W375),$W$2:$W$1001,0),0), INDEX($AD$1004:$AU$1004,1,MATCH(COLUMNS($AD$1006:AP1006),$AD$1006:$AU$1006,0)))),"Fix")))</f>
        <v xml:space="preserve"> </v>
      </c>
      <c r="O375" s="4" t="str">
        <f ca="1">IF(OR(INDEX($X$2:$X$1001,MATCH(ROWS($W$2:W375),$W$2:$W$1001,0),1)&gt;=100000,INDEX($AD$1005:$AU$1005,1,MATCH(COLUMNS($AD$1006:AQ1006),$AD$1006:$AU$1006,0))&gt;=100000), " ",IF(INDEX($AD$2:$AU$1001,MATCH(ROWS($W$2:W375),$W$2:$W$1001,0),MATCH(COLUMNS($AD$1006:AQ1006),$AD$1006:$AU$1006,0)), HYPERLINK("#",""), HYPERLINK(CONCATENATE("#metadata!", ADDRESS(INDEX($Y$2:$Y$1001,MATCH(ROWS($W$2:W375),$W$2:$W$1001,0),0), INDEX($AD$1004:$AU$1004,1,MATCH(COLUMNS($AD$1006:AQ1006),$AD$1006:$AU$1006,0)))),"Fix")))</f>
        <v xml:space="preserve"> </v>
      </c>
      <c r="P375" s="4" t="str">
        <f ca="1">IF(OR(INDEX($X$2:$X$1001,MATCH(ROWS($W$2:W375),$W$2:$W$1001,0),1)&gt;=100000,INDEX($AD$1005:$AU$1005,1,MATCH(COLUMNS($AD$1006:AR1006),$AD$1006:$AU$1006,0))&gt;=100000), " ",IF(INDEX($AD$2:$AU$1001,MATCH(ROWS($W$2:W375),$W$2:$W$1001,0),MATCH(COLUMNS($AD$1006:AR1006),$AD$1006:$AU$1006,0)), HYPERLINK("#",""), HYPERLINK(CONCATENATE("#metadata!", ADDRESS(INDEX($Y$2:$Y$1001,MATCH(ROWS($W$2:W375),$W$2:$W$1001,0),0), INDEX($AD$1004:$AU$1004,1,MATCH(COLUMNS($AD$1006:AR1006),$AD$1006:$AU$1006,0)))),"Fix")))</f>
        <v xml:space="preserve"> </v>
      </c>
      <c r="Q375" s="4" t="str">
        <f ca="1">IF(OR(INDEX($X$2:$X$1001,MATCH(ROWS($W$2:W375),$W$2:$W$1001,0),1)&gt;=100000,INDEX($AD$1005:$AU$1005,1,MATCH(COLUMNS($AD$1006:AS1006),$AD$1006:$AU$1006,0))&gt;=100000), " ",IF(INDEX($AD$2:$AU$1001,MATCH(ROWS($W$2:W375),$W$2:$W$1001,0),MATCH(COLUMNS($AD$1006:AS1006),$AD$1006:$AU$1006,0)), HYPERLINK("#",""), HYPERLINK(CONCATENATE("#metadata!", ADDRESS(INDEX($Y$2:$Y$1001,MATCH(ROWS($W$2:W375),$W$2:$W$1001,0),0), INDEX($AD$1004:$AU$1004,1,MATCH(COLUMNS($AD$1006:AS1006),$AD$1006:$AU$1006,0)))),"Fix")))</f>
        <v xml:space="preserve"> </v>
      </c>
      <c r="R375" s="4" t="str">
        <f ca="1">IF(OR(INDEX($X$2:$X$1001,MATCH(ROWS($W$2:W375),$W$2:$W$1001,0),1)&gt;=100000,INDEX($AD$1005:$AU$1005,1,MATCH(COLUMNS($AD$1006:AT1006),$AD$1006:$AU$1006,0))&gt;=100000), " ",IF(INDEX($AD$2:$AU$1001,MATCH(ROWS($W$2:W375),$W$2:$W$1001,0),MATCH(COLUMNS($AD$1006:AT1006),$AD$1006:$AU$1006,0)), HYPERLINK("#",""), HYPERLINK(CONCATENATE("#metadata!", ADDRESS(INDEX($Y$2:$Y$1001,MATCH(ROWS($W$2:W375),$W$2:$W$1001,0),0), INDEX($AD$1004:$AU$1004,1,MATCH(COLUMNS($AD$1006:AT1006),$AD$1006:$AU$1006,0)))),"Fix")))</f>
        <v xml:space="preserve"> </v>
      </c>
      <c r="S375" s="4" t="str">
        <f ca="1">IF(OR(INDEX($X$2:$X$1001,MATCH(ROWS($W$2:W375),$W$2:$W$1001,0),1)&gt;=100000,INDEX($AD$1005:$AU$1005,1,MATCH(COLUMNS($AD$1006:AU1006),$AD$1006:$AU$1006,0))&gt;=100000), " ",IF(INDEX($AD$2:$AU$1001,MATCH(ROWS($W$2:W375),$W$2:$W$1001,0),MATCH(COLUMNS($AD$1006:AU1006),$AD$1006:$AU$1006,0)), HYPERLINK("#",""), HYPERLINK(CONCATENATE("#metadata!", ADDRESS(INDEX($Y$2:$Y$1001,MATCH(ROWS($W$2:W375),$W$2:$W$1001,0),0), INDEX($AD$1004:$AU$1004,1,MATCH(COLUMNS($AD$1006:AU1006),$AD$1006:$AU$1006,0)))),"Fix")))</f>
        <v xml:space="preserve"> </v>
      </c>
      <c r="W375">
        <v>374</v>
      </c>
      <c r="X375">
        <v>100375</v>
      </c>
      <c r="Y375">
        <v>375</v>
      </c>
      <c r="Z375" t="b">
        <f t="shared" si="5"/>
        <v>1</v>
      </c>
      <c r="AA375" t="b">
        <f>COUNTBLANK(metadata!B375:S375)=COLUMNS(metadata!B375:S375)</f>
        <v>1</v>
      </c>
      <c r="AB375" t="str">
        <v/>
      </c>
      <c r="AD375" t="b">
        <f ca="1">AND(IF(metadata!B375="",FALSE,TRUE),COUNTIF(metadata!B:B, metadata!B375) = 1,NOT(ISERROR(SUMPRODUCT(SEARCH(MID(metadata!B375,ROW(INDIRECT("1:"&amp;LEN(metadata!B375))), 1),"0123456789abcdefghijklmnopqrstuvwxyzABCDEFGHIJKLMNOPQRSTUVWXYZ.")))))</f>
        <v>0</v>
      </c>
      <c r="AE375" t="b">
        <f>OR(AND(IF(metadata!C375="",FALSE,TRUE),OR(EXACT(metadata!C375,"not applicable"),EXACT(metadata!C375,"missing: not collected"),EXACT(metadata!C375,"missing: not provided"),EXACT(metadata!C375,"missing: restricted access"))),AND(IF(metadata!C375="",FALSE,ISNUMBER(VALUE(metadata!C375))),metadata!C375&gt;0))</f>
        <v>0</v>
      </c>
      <c r="AF375" t="b">
        <f>AND(IF(metadata!D375="",FALSE,TRUE),EXACT(metadata!D375,"missing: not provided"))</f>
        <v>0</v>
      </c>
      <c r="AG375" t="b">
        <f>AND(IF(metadata!E375="",FALSE,TRUE),EXACT(metadata!E375,"Host-associated"))</f>
        <v>0</v>
      </c>
      <c r="AH375" t="b">
        <f>AND(IF(metadata!F375="",FALSE,TRUE),OR(EXACT(metadata!F375,"Animal"),EXACT(metadata!F375,"Fungus"),EXACT(metadata!F375,"Plant")))</f>
        <v>0</v>
      </c>
      <c r="AI375" t="b">
        <f>AND(IF(metadata!G375="",FALSE,TRUE),OR(EXACT(metadata!G375,"Plant secretion"),EXACT(metadata!G375,"Plant rhizosphere"),EXACT(metadata!G375,"Plant surface"),EXACT(metadata!G375,"Plant corpus"),EXACT(metadata!G375,"Fungus surface"),EXACT(metadata!G375,"Fungus corpus"),EXACT(metadata!G375,"Animal surface"),EXACT(metadata!G375,"Animal proximal gut"),EXACT(metadata!G375,"Animal corpus"),EXACT(metadata!G375,"Animal distal gut"),EXACT(metadata!G375,"Animal secretion")))</f>
        <v>0</v>
      </c>
      <c r="AJ375" t="b">
        <f>OR(AND(IF(metadata!H375="",FALSE,TRUE),OR(EXACT(metadata!H375,"missing: not collected"),EXACT(metadata!H375,"missing: not provided"),EXACT(metadata!H375,"missing: restricted access"))),AND(IF(metadata!H375="",FALSE,TRUE),OR(EXACT(metadata!H375,"organism-associated habitat"),EXACT(metadata!H375,"plant-associated habitat"),EXACT(metadata!H375,"animal-associated habitat"),EXACT(metadata!H375,"insecta-associated habitat"),EXACT(metadata!H375,"mammalia-associated habitat"),EXACT(metadata!H375,"human-associated habitat"),EXACT(metadata!H375,"livestock-associated habitat"))))</f>
        <v>0</v>
      </c>
      <c r="AK375" t="b">
        <f>AND(IF(metadata!I375="",FALSE,TRUE),EXACT(metadata!I375,"host-associated"))</f>
        <v>0</v>
      </c>
      <c r="AL375" t="b">
        <f>OR(AND(IF(metadata!J375="",FALSE,TRUE),OR(EXACT(metadata!J375,"not applicable"),EXACT(metadata!J375,"missing: not collected"),EXACT(metadata!J375,"missing: not provided"),EXACT(metadata!J375,"missing: restricted access"))),AND(IF(metadata!J375="",FALSE,ISNUMBER(VALUE(metadata!J375))),metadata!J375&gt;0))</f>
        <v>0</v>
      </c>
      <c r="AM375" t="b">
        <f>AND(IF(metadata!K375="",FALSE,TRUE),EXACT(metadata!K375,"missing: not provided"))</f>
        <v>0</v>
      </c>
      <c r="AN375" t="b">
        <f>IF(metadata!L375="",FALSE,TRUE)</f>
        <v>0</v>
      </c>
      <c r="AO375" t="b">
        <f>IF(metadata!M375="",FALSE,TRUE)</f>
        <v>0</v>
      </c>
      <c r="AP375" t="b">
        <f>OR(AND(IF(metadata!N375="",FALSE,TRUE),OR(EXACT(metadata!N375,"not applicable"),EXACT(metadata!N375,"missing: not collected"),EXACT(metadata!N375,"missing: not provided"))),AND(IF(metadata!N375="",FALSE,IF(ISERROR(INT(metadata!N375)),FALSE,INT(metadata!N375)=metadata!N375)),metadata!N375&gt;0))</f>
        <v>0</v>
      </c>
      <c r="AQ375" t="b">
        <f>AND(IF(metadata!O375="",FALSE,TRUE),EXACT(metadata!O375,"Not applicable"))</f>
        <v>0</v>
      </c>
      <c r="AR375" t="b">
        <f>OR(AND(IF(metadata!P375="",FALSE,TRUE),OR(EXACT(metadata!P375,"not applicable"),EXACT(metadata!P375,"missing: not collected"),EXACT(metadata!P375,"missing: not provided"),EXACT(metadata!P375,"missing: restricted access"))),IF(metadata!P375="",FALSE,IF(ISERROR(INT(metadata!P375)),FALSE,INT(metadata!P375)=metadata!P375)))</f>
        <v>0</v>
      </c>
      <c r="AS375" t="b">
        <f>AND(IF(metadata!Q375="",FALSE,TRUE),EXACT(metadata!Q375,"Not applicable"))</f>
        <v>0</v>
      </c>
      <c r="AT375" t="b">
        <f>OR(AND(IF(metadata!R375="",FALSE,TRUE),OR(EXACT(metadata!R375,"not applicable"),EXACT(metadata!R375,"missing: not collected"),EXACT(metadata!R375,"missing: not provided"),EXACT(metadata!R375,"missing: restricted access"))),AND(IF(metadata!R375="",FALSE,ISNUMBER(VALUE(metadata!R375))),metadata!R375&gt;0))</f>
        <v>0</v>
      </c>
      <c r="AU375" t="b">
        <f>AND(IF(metadata!S375="",FALSE,TRUE),EXACT(metadata!S375,"missing: not provided"))</f>
        <v>0</v>
      </c>
    </row>
    <row r="376" spans="1:47" x14ac:dyDescent="0.2">
      <c r="A376" s="5" t="str">
        <f ca="1">IF(B376=" "," ",HYPERLINK(CONCATENATE("#metadata!",ADDRESS(INDEX($Y$2:$Y$1001,MATCH(ROWS($W$2:W376),$W$2:$W$1001,0),0),1)),INDEX($AB$2:$AB$1001,MATCH(ROWS($W$2:W376),$W$2:$W$1001,0),0)))</f>
        <v xml:space="preserve"> </v>
      </c>
      <c r="B376" s="4" t="str">
        <f ca="1">IF(OR(INDEX($X$2:$X$1001,MATCH(ROWS($W$2:W376),$W$2:$W$1001,0),1)&gt;=100000,INDEX($AD$1005:$AU$1005,1,MATCH(COLUMNS($AD$1006:AD1006),$AD$1006:$AU$1006,0))&gt;=100000), " ",IF(INDEX($AD$2:$AU$1001,MATCH(ROWS($W$2:W376),$W$2:$W$1001,0),MATCH(COLUMNS($AD$1006:AD1006),$AD$1006:$AU$1006,0)), HYPERLINK("#",""), HYPERLINK(CONCATENATE("#metadata!", ADDRESS(INDEX($Y$2:$Y$1001,MATCH(ROWS($W$2:W376),$W$2:$W$1001,0),0), INDEX($AD$1004:$AU$1004,1,MATCH(COLUMNS($AD$1006:AD1006),$AD$1006:$AU$1006,0)))),"Fix")))</f>
        <v xml:space="preserve"> </v>
      </c>
      <c r="C376" s="4" t="str">
        <f ca="1">IF(OR(INDEX($X$2:$X$1001,MATCH(ROWS($W$2:W376),$W$2:$W$1001,0),1)&gt;=100000,INDEX($AD$1005:$AU$1005,1,MATCH(COLUMNS($AD$1006:AE1006),$AD$1006:$AU$1006,0))&gt;=100000), " ",IF(INDEX($AD$2:$AU$1001,MATCH(ROWS($W$2:W376),$W$2:$W$1001,0),MATCH(COLUMNS($AD$1006:AE1006),$AD$1006:$AU$1006,0)), HYPERLINK("#",""), HYPERLINK(CONCATENATE("#metadata!", ADDRESS(INDEX($Y$2:$Y$1001,MATCH(ROWS($W$2:W376),$W$2:$W$1001,0),0), INDEX($AD$1004:$AU$1004,1,MATCH(COLUMNS($AD$1006:AE1006),$AD$1006:$AU$1006,0)))),"Fix")))</f>
        <v xml:space="preserve"> </v>
      </c>
      <c r="D376" s="4" t="str">
        <f ca="1">IF(OR(INDEX($X$2:$X$1001,MATCH(ROWS($W$2:W376),$W$2:$W$1001,0),1)&gt;=100000,INDEX($AD$1005:$AU$1005,1,MATCH(COLUMNS($AD$1006:AF1006),$AD$1006:$AU$1006,0))&gt;=100000), " ",IF(INDEX($AD$2:$AU$1001,MATCH(ROWS($W$2:W376),$W$2:$W$1001,0),MATCH(COLUMNS($AD$1006:AF1006),$AD$1006:$AU$1006,0)), HYPERLINK("#",""), HYPERLINK(CONCATENATE("#metadata!", ADDRESS(INDEX($Y$2:$Y$1001,MATCH(ROWS($W$2:W376),$W$2:$W$1001,0),0), INDEX($AD$1004:$AU$1004,1,MATCH(COLUMNS($AD$1006:AF1006),$AD$1006:$AU$1006,0)))),"Fix")))</f>
        <v xml:space="preserve"> </v>
      </c>
      <c r="E376" s="4" t="str">
        <f ca="1">IF(OR(INDEX($X$2:$X$1001,MATCH(ROWS($W$2:W376),$W$2:$W$1001,0),1)&gt;=100000,INDEX($AD$1005:$AU$1005,1,MATCH(COLUMNS($AD$1006:AG1006),$AD$1006:$AU$1006,0))&gt;=100000), " ",IF(INDEX($AD$2:$AU$1001,MATCH(ROWS($W$2:W376),$W$2:$W$1001,0),MATCH(COLUMNS($AD$1006:AG1006),$AD$1006:$AU$1006,0)), HYPERLINK("#",""), HYPERLINK(CONCATENATE("#metadata!", ADDRESS(INDEX($Y$2:$Y$1001,MATCH(ROWS($W$2:W376),$W$2:$W$1001,0),0), INDEX($AD$1004:$AU$1004,1,MATCH(COLUMNS($AD$1006:AG1006),$AD$1006:$AU$1006,0)))),"Fix")))</f>
        <v xml:space="preserve"> </v>
      </c>
      <c r="F376" s="4" t="str">
        <f ca="1">IF(OR(INDEX($X$2:$X$1001,MATCH(ROWS($W$2:W376),$W$2:$W$1001,0),1)&gt;=100000,INDEX($AD$1005:$AU$1005,1,MATCH(COLUMNS($AD$1006:AH1006),$AD$1006:$AU$1006,0))&gt;=100000), " ",IF(INDEX($AD$2:$AU$1001,MATCH(ROWS($W$2:W376),$W$2:$W$1001,0),MATCH(COLUMNS($AD$1006:AH1006),$AD$1006:$AU$1006,0)), HYPERLINK("#",""), HYPERLINK(CONCATENATE("#metadata!", ADDRESS(INDEX($Y$2:$Y$1001,MATCH(ROWS($W$2:W376),$W$2:$W$1001,0),0), INDEX($AD$1004:$AU$1004,1,MATCH(COLUMNS($AD$1006:AH1006),$AD$1006:$AU$1006,0)))),"Fix")))</f>
        <v xml:space="preserve"> </v>
      </c>
      <c r="G376" s="4" t="str">
        <f ca="1">IF(OR(INDEX($X$2:$X$1001,MATCH(ROWS($W$2:W376),$W$2:$W$1001,0),1)&gt;=100000,INDEX($AD$1005:$AU$1005,1,MATCH(COLUMNS($AD$1006:AI1006),$AD$1006:$AU$1006,0))&gt;=100000), " ",IF(INDEX($AD$2:$AU$1001,MATCH(ROWS($W$2:W376),$W$2:$W$1001,0),MATCH(COLUMNS($AD$1006:AI1006),$AD$1006:$AU$1006,0)), HYPERLINK("#",""), HYPERLINK(CONCATENATE("#metadata!", ADDRESS(INDEX($Y$2:$Y$1001,MATCH(ROWS($W$2:W376),$W$2:$W$1001,0),0), INDEX($AD$1004:$AU$1004,1,MATCH(COLUMNS($AD$1006:AI1006),$AD$1006:$AU$1006,0)))),"Fix")))</f>
        <v xml:space="preserve"> </v>
      </c>
      <c r="H376" s="4" t="str">
        <f ca="1">IF(OR(INDEX($X$2:$X$1001,MATCH(ROWS($W$2:W376),$W$2:$W$1001,0),1)&gt;=100000,INDEX($AD$1005:$AU$1005,1,MATCH(COLUMNS($AD$1006:AJ1006),$AD$1006:$AU$1006,0))&gt;=100000), " ",IF(INDEX($AD$2:$AU$1001,MATCH(ROWS($W$2:W376),$W$2:$W$1001,0),MATCH(COLUMNS($AD$1006:AJ1006),$AD$1006:$AU$1006,0)), HYPERLINK("#",""), HYPERLINK(CONCATENATE("#metadata!", ADDRESS(INDEX($Y$2:$Y$1001,MATCH(ROWS($W$2:W376),$W$2:$W$1001,0),0), INDEX($AD$1004:$AU$1004,1,MATCH(COLUMNS($AD$1006:AJ1006),$AD$1006:$AU$1006,0)))),"Fix")))</f>
        <v xml:space="preserve"> </v>
      </c>
      <c r="I376" s="4" t="str">
        <f ca="1">IF(OR(INDEX($X$2:$X$1001,MATCH(ROWS($W$2:W376),$W$2:$W$1001,0),1)&gt;=100000,INDEX($AD$1005:$AU$1005,1,MATCH(COLUMNS($AD$1006:AK1006),$AD$1006:$AU$1006,0))&gt;=100000), " ",IF(INDEX($AD$2:$AU$1001,MATCH(ROWS($W$2:W376),$W$2:$W$1001,0),MATCH(COLUMNS($AD$1006:AK1006),$AD$1006:$AU$1006,0)), HYPERLINK("#",""), HYPERLINK(CONCATENATE("#metadata!", ADDRESS(INDEX($Y$2:$Y$1001,MATCH(ROWS($W$2:W376),$W$2:$W$1001,0),0), INDEX($AD$1004:$AU$1004,1,MATCH(COLUMNS($AD$1006:AK1006),$AD$1006:$AU$1006,0)))),"Fix")))</f>
        <v xml:space="preserve"> </v>
      </c>
      <c r="J376" s="4" t="str">
        <f ca="1">IF(OR(INDEX($X$2:$X$1001,MATCH(ROWS($W$2:W376),$W$2:$W$1001,0),1)&gt;=100000,INDEX($AD$1005:$AU$1005,1,MATCH(COLUMNS($AD$1006:AL1006),$AD$1006:$AU$1006,0))&gt;=100000), " ",IF(INDEX($AD$2:$AU$1001,MATCH(ROWS($W$2:W376),$W$2:$W$1001,0),MATCH(COLUMNS($AD$1006:AL1006),$AD$1006:$AU$1006,0)), HYPERLINK("#",""), HYPERLINK(CONCATENATE("#metadata!", ADDRESS(INDEX($Y$2:$Y$1001,MATCH(ROWS($W$2:W376),$W$2:$W$1001,0),0), INDEX($AD$1004:$AU$1004,1,MATCH(COLUMNS($AD$1006:AL1006),$AD$1006:$AU$1006,0)))),"Fix")))</f>
        <v xml:space="preserve"> </v>
      </c>
      <c r="K376" s="4" t="str">
        <f ca="1">IF(OR(INDEX($X$2:$X$1001,MATCH(ROWS($W$2:W376),$W$2:$W$1001,0),1)&gt;=100000,INDEX($AD$1005:$AU$1005,1,MATCH(COLUMNS($AD$1006:AM1006),$AD$1006:$AU$1006,0))&gt;=100000), " ",IF(INDEX($AD$2:$AU$1001,MATCH(ROWS($W$2:W376),$W$2:$W$1001,0),MATCH(COLUMNS($AD$1006:AM1006),$AD$1006:$AU$1006,0)), HYPERLINK("#",""), HYPERLINK(CONCATENATE("#metadata!", ADDRESS(INDEX($Y$2:$Y$1001,MATCH(ROWS($W$2:W376),$W$2:$W$1001,0),0), INDEX($AD$1004:$AU$1004,1,MATCH(COLUMNS($AD$1006:AM1006),$AD$1006:$AU$1006,0)))),"Fix")))</f>
        <v xml:space="preserve"> </v>
      </c>
      <c r="L376" s="4" t="str">
        <f ca="1">IF(OR(INDEX($X$2:$X$1001,MATCH(ROWS($W$2:W376),$W$2:$W$1001,0),1)&gt;=100000,INDEX($AD$1005:$AU$1005,1,MATCH(COLUMNS($AD$1006:AN1006),$AD$1006:$AU$1006,0))&gt;=100000), " ",IF(INDEX($AD$2:$AU$1001,MATCH(ROWS($W$2:W376),$W$2:$W$1001,0),MATCH(COLUMNS($AD$1006:AN1006),$AD$1006:$AU$1006,0)), HYPERLINK("#",""), HYPERLINK(CONCATENATE("#metadata!", ADDRESS(INDEX($Y$2:$Y$1001,MATCH(ROWS($W$2:W376),$W$2:$W$1001,0),0), INDEX($AD$1004:$AU$1004,1,MATCH(COLUMNS($AD$1006:AN1006),$AD$1006:$AU$1006,0)))),"Fix")))</f>
        <v xml:space="preserve"> </v>
      </c>
      <c r="M376" s="4" t="str">
        <f ca="1">IF(OR(INDEX($X$2:$X$1001,MATCH(ROWS($W$2:W376),$W$2:$W$1001,0),1)&gt;=100000,INDEX($AD$1005:$AU$1005,1,MATCH(COLUMNS($AD$1006:AO1006),$AD$1006:$AU$1006,0))&gt;=100000), " ",IF(INDEX($AD$2:$AU$1001,MATCH(ROWS($W$2:W376),$W$2:$W$1001,0),MATCH(COLUMNS($AD$1006:AO1006),$AD$1006:$AU$1006,0)), HYPERLINK("#",""), HYPERLINK(CONCATENATE("#metadata!", ADDRESS(INDEX($Y$2:$Y$1001,MATCH(ROWS($W$2:W376),$W$2:$W$1001,0),0), INDEX($AD$1004:$AU$1004,1,MATCH(COLUMNS($AD$1006:AO1006),$AD$1006:$AU$1006,0)))),"Fix")))</f>
        <v xml:space="preserve"> </v>
      </c>
      <c r="N376" s="4" t="str">
        <f ca="1">IF(OR(INDEX($X$2:$X$1001,MATCH(ROWS($W$2:W376),$W$2:$W$1001,0),1)&gt;=100000,INDEX($AD$1005:$AU$1005,1,MATCH(COLUMNS($AD$1006:AP1006),$AD$1006:$AU$1006,0))&gt;=100000), " ",IF(INDEX($AD$2:$AU$1001,MATCH(ROWS($W$2:W376),$W$2:$W$1001,0),MATCH(COLUMNS($AD$1006:AP1006),$AD$1006:$AU$1006,0)), HYPERLINK("#",""), HYPERLINK(CONCATENATE("#metadata!", ADDRESS(INDEX($Y$2:$Y$1001,MATCH(ROWS($W$2:W376),$W$2:$W$1001,0),0), INDEX($AD$1004:$AU$1004,1,MATCH(COLUMNS($AD$1006:AP1006),$AD$1006:$AU$1006,0)))),"Fix")))</f>
        <v xml:space="preserve"> </v>
      </c>
      <c r="O376" s="4" t="str">
        <f ca="1">IF(OR(INDEX($X$2:$X$1001,MATCH(ROWS($W$2:W376),$W$2:$W$1001,0),1)&gt;=100000,INDEX($AD$1005:$AU$1005,1,MATCH(COLUMNS($AD$1006:AQ1006),$AD$1006:$AU$1006,0))&gt;=100000), " ",IF(INDEX($AD$2:$AU$1001,MATCH(ROWS($W$2:W376),$W$2:$W$1001,0),MATCH(COLUMNS($AD$1006:AQ1006),$AD$1006:$AU$1006,0)), HYPERLINK("#",""), HYPERLINK(CONCATENATE("#metadata!", ADDRESS(INDEX($Y$2:$Y$1001,MATCH(ROWS($W$2:W376),$W$2:$W$1001,0),0), INDEX($AD$1004:$AU$1004,1,MATCH(COLUMNS($AD$1006:AQ1006),$AD$1006:$AU$1006,0)))),"Fix")))</f>
        <v xml:space="preserve"> </v>
      </c>
      <c r="P376" s="4" t="str">
        <f ca="1">IF(OR(INDEX($X$2:$X$1001,MATCH(ROWS($W$2:W376),$W$2:$W$1001,0),1)&gt;=100000,INDEX($AD$1005:$AU$1005,1,MATCH(COLUMNS($AD$1006:AR1006),$AD$1006:$AU$1006,0))&gt;=100000), " ",IF(INDEX($AD$2:$AU$1001,MATCH(ROWS($W$2:W376),$W$2:$W$1001,0),MATCH(COLUMNS($AD$1006:AR1006),$AD$1006:$AU$1006,0)), HYPERLINK("#",""), HYPERLINK(CONCATENATE("#metadata!", ADDRESS(INDEX($Y$2:$Y$1001,MATCH(ROWS($W$2:W376),$W$2:$W$1001,0),0), INDEX($AD$1004:$AU$1004,1,MATCH(COLUMNS($AD$1006:AR1006),$AD$1006:$AU$1006,0)))),"Fix")))</f>
        <v xml:space="preserve"> </v>
      </c>
      <c r="Q376" s="4" t="str">
        <f ca="1">IF(OR(INDEX($X$2:$X$1001,MATCH(ROWS($W$2:W376),$W$2:$W$1001,0),1)&gt;=100000,INDEX($AD$1005:$AU$1005,1,MATCH(COLUMNS($AD$1006:AS1006),$AD$1006:$AU$1006,0))&gt;=100000), " ",IF(INDEX($AD$2:$AU$1001,MATCH(ROWS($W$2:W376),$W$2:$W$1001,0),MATCH(COLUMNS($AD$1006:AS1006),$AD$1006:$AU$1006,0)), HYPERLINK("#",""), HYPERLINK(CONCATENATE("#metadata!", ADDRESS(INDEX($Y$2:$Y$1001,MATCH(ROWS($W$2:W376),$W$2:$W$1001,0),0), INDEX($AD$1004:$AU$1004,1,MATCH(COLUMNS($AD$1006:AS1006),$AD$1006:$AU$1006,0)))),"Fix")))</f>
        <v xml:space="preserve"> </v>
      </c>
      <c r="R376" s="4" t="str">
        <f ca="1">IF(OR(INDEX($X$2:$X$1001,MATCH(ROWS($W$2:W376),$W$2:$W$1001,0),1)&gt;=100000,INDEX($AD$1005:$AU$1005,1,MATCH(COLUMNS($AD$1006:AT1006),$AD$1006:$AU$1006,0))&gt;=100000), " ",IF(INDEX($AD$2:$AU$1001,MATCH(ROWS($W$2:W376),$W$2:$W$1001,0),MATCH(COLUMNS($AD$1006:AT1006),$AD$1006:$AU$1006,0)), HYPERLINK("#",""), HYPERLINK(CONCATENATE("#metadata!", ADDRESS(INDEX($Y$2:$Y$1001,MATCH(ROWS($W$2:W376),$W$2:$W$1001,0),0), INDEX($AD$1004:$AU$1004,1,MATCH(COLUMNS($AD$1006:AT1006),$AD$1006:$AU$1006,0)))),"Fix")))</f>
        <v xml:space="preserve"> </v>
      </c>
      <c r="S376" s="4" t="str">
        <f ca="1">IF(OR(INDEX($X$2:$X$1001,MATCH(ROWS($W$2:W376),$W$2:$W$1001,0),1)&gt;=100000,INDEX($AD$1005:$AU$1005,1,MATCH(COLUMNS($AD$1006:AU1006),$AD$1006:$AU$1006,0))&gt;=100000), " ",IF(INDEX($AD$2:$AU$1001,MATCH(ROWS($W$2:W376),$W$2:$W$1001,0),MATCH(COLUMNS($AD$1006:AU1006),$AD$1006:$AU$1006,0)), HYPERLINK("#",""), HYPERLINK(CONCATENATE("#metadata!", ADDRESS(INDEX($Y$2:$Y$1001,MATCH(ROWS($W$2:W376),$W$2:$W$1001,0),0), INDEX($AD$1004:$AU$1004,1,MATCH(COLUMNS($AD$1006:AU1006),$AD$1006:$AU$1006,0)))),"Fix")))</f>
        <v xml:space="preserve"> </v>
      </c>
      <c r="W376">
        <v>375</v>
      </c>
      <c r="X376">
        <v>100376</v>
      </c>
      <c r="Y376">
        <v>376</v>
      </c>
      <c r="Z376" t="b">
        <f t="shared" si="5"/>
        <v>1</v>
      </c>
      <c r="AA376" t="b">
        <f>COUNTBLANK(metadata!B376:S376)=COLUMNS(metadata!B376:S376)</f>
        <v>1</v>
      </c>
      <c r="AB376" t="str">
        <v/>
      </c>
      <c r="AD376" t="b">
        <f ca="1">AND(IF(metadata!B376="",FALSE,TRUE),COUNTIF(metadata!B:B, metadata!B376) = 1,NOT(ISERROR(SUMPRODUCT(SEARCH(MID(metadata!B376,ROW(INDIRECT("1:"&amp;LEN(metadata!B376))), 1),"0123456789abcdefghijklmnopqrstuvwxyzABCDEFGHIJKLMNOPQRSTUVWXYZ.")))))</f>
        <v>0</v>
      </c>
      <c r="AE376" t="b">
        <f>OR(AND(IF(metadata!C376="",FALSE,TRUE),OR(EXACT(metadata!C376,"not applicable"),EXACT(metadata!C376,"missing: not collected"),EXACT(metadata!C376,"missing: not provided"),EXACT(metadata!C376,"missing: restricted access"))),AND(IF(metadata!C376="",FALSE,ISNUMBER(VALUE(metadata!C376))),metadata!C376&gt;0))</f>
        <v>0</v>
      </c>
      <c r="AF376" t="b">
        <f>AND(IF(metadata!D376="",FALSE,TRUE),EXACT(metadata!D376,"missing: not provided"))</f>
        <v>0</v>
      </c>
      <c r="AG376" t="b">
        <f>AND(IF(metadata!E376="",FALSE,TRUE),EXACT(metadata!E376,"Host-associated"))</f>
        <v>0</v>
      </c>
      <c r="AH376" t="b">
        <f>AND(IF(metadata!F376="",FALSE,TRUE),OR(EXACT(metadata!F376,"Animal"),EXACT(metadata!F376,"Fungus"),EXACT(metadata!F376,"Plant")))</f>
        <v>0</v>
      </c>
      <c r="AI376" t="b">
        <f>AND(IF(metadata!G376="",FALSE,TRUE),OR(EXACT(metadata!G376,"Plant secretion"),EXACT(metadata!G376,"Plant rhizosphere"),EXACT(metadata!G376,"Plant surface"),EXACT(metadata!G376,"Plant corpus"),EXACT(metadata!G376,"Fungus surface"),EXACT(metadata!G376,"Fungus corpus"),EXACT(metadata!G376,"Animal surface"),EXACT(metadata!G376,"Animal proximal gut"),EXACT(metadata!G376,"Animal corpus"),EXACT(metadata!G376,"Animal distal gut"),EXACT(metadata!G376,"Animal secretion")))</f>
        <v>0</v>
      </c>
      <c r="AJ376" t="b">
        <f>OR(AND(IF(metadata!H376="",FALSE,TRUE),OR(EXACT(metadata!H376,"missing: not collected"),EXACT(metadata!H376,"missing: not provided"),EXACT(metadata!H376,"missing: restricted access"))),AND(IF(metadata!H376="",FALSE,TRUE),OR(EXACT(metadata!H376,"organism-associated habitat"),EXACT(metadata!H376,"plant-associated habitat"),EXACT(metadata!H376,"animal-associated habitat"),EXACT(metadata!H376,"insecta-associated habitat"),EXACT(metadata!H376,"mammalia-associated habitat"),EXACT(metadata!H376,"human-associated habitat"),EXACT(metadata!H376,"livestock-associated habitat"))))</f>
        <v>0</v>
      </c>
      <c r="AK376" t="b">
        <f>AND(IF(metadata!I376="",FALSE,TRUE),EXACT(metadata!I376,"host-associated"))</f>
        <v>0</v>
      </c>
      <c r="AL376" t="b">
        <f>OR(AND(IF(metadata!J376="",FALSE,TRUE),OR(EXACT(metadata!J376,"not applicable"),EXACT(metadata!J376,"missing: not collected"),EXACT(metadata!J376,"missing: not provided"),EXACT(metadata!J376,"missing: restricted access"))),AND(IF(metadata!J376="",FALSE,ISNUMBER(VALUE(metadata!J376))),metadata!J376&gt;0))</f>
        <v>0</v>
      </c>
      <c r="AM376" t="b">
        <f>AND(IF(metadata!K376="",FALSE,TRUE),EXACT(metadata!K376,"missing: not provided"))</f>
        <v>0</v>
      </c>
      <c r="AN376" t="b">
        <f>IF(metadata!L376="",FALSE,TRUE)</f>
        <v>0</v>
      </c>
      <c r="AO376" t="b">
        <f>IF(metadata!M376="",FALSE,TRUE)</f>
        <v>0</v>
      </c>
      <c r="AP376" t="b">
        <f>OR(AND(IF(metadata!N376="",FALSE,TRUE),OR(EXACT(metadata!N376,"not applicable"),EXACT(metadata!N376,"missing: not collected"),EXACT(metadata!N376,"missing: not provided"))),AND(IF(metadata!N376="",FALSE,IF(ISERROR(INT(metadata!N376)),FALSE,INT(metadata!N376)=metadata!N376)),metadata!N376&gt;0))</f>
        <v>0</v>
      </c>
      <c r="AQ376" t="b">
        <f>AND(IF(metadata!O376="",FALSE,TRUE),EXACT(metadata!O376,"Not applicable"))</f>
        <v>0</v>
      </c>
      <c r="AR376" t="b">
        <f>OR(AND(IF(metadata!P376="",FALSE,TRUE),OR(EXACT(metadata!P376,"not applicable"),EXACT(metadata!P376,"missing: not collected"),EXACT(metadata!P376,"missing: not provided"),EXACT(metadata!P376,"missing: restricted access"))),IF(metadata!P376="",FALSE,IF(ISERROR(INT(metadata!P376)),FALSE,INT(metadata!P376)=metadata!P376)))</f>
        <v>0</v>
      </c>
      <c r="AS376" t="b">
        <f>AND(IF(metadata!Q376="",FALSE,TRUE),EXACT(metadata!Q376,"Not applicable"))</f>
        <v>0</v>
      </c>
      <c r="AT376" t="b">
        <f>OR(AND(IF(metadata!R376="",FALSE,TRUE),OR(EXACT(metadata!R376,"not applicable"),EXACT(metadata!R376,"missing: not collected"),EXACT(metadata!R376,"missing: not provided"),EXACT(metadata!R376,"missing: restricted access"))),AND(IF(metadata!R376="",FALSE,ISNUMBER(VALUE(metadata!R376))),metadata!R376&gt;0))</f>
        <v>0</v>
      </c>
      <c r="AU376" t="b">
        <f>AND(IF(metadata!S376="",FALSE,TRUE),EXACT(metadata!S376,"missing: not provided"))</f>
        <v>0</v>
      </c>
    </row>
    <row r="377" spans="1:47" x14ac:dyDescent="0.2">
      <c r="A377" s="5" t="str">
        <f ca="1">IF(B377=" "," ",HYPERLINK(CONCATENATE("#metadata!",ADDRESS(INDEX($Y$2:$Y$1001,MATCH(ROWS($W$2:W377),$W$2:$W$1001,0),0),1)),INDEX($AB$2:$AB$1001,MATCH(ROWS($W$2:W377),$W$2:$W$1001,0),0)))</f>
        <v xml:space="preserve"> </v>
      </c>
      <c r="B377" s="4" t="str">
        <f ca="1">IF(OR(INDEX($X$2:$X$1001,MATCH(ROWS($W$2:W377),$W$2:$W$1001,0),1)&gt;=100000,INDEX($AD$1005:$AU$1005,1,MATCH(COLUMNS($AD$1006:AD1006),$AD$1006:$AU$1006,0))&gt;=100000), " ",IF(INDEX($AD$2:$AU$1001,MATCH(ROWS($W$2:W377),$W$2:$W$1001,0),MATCH(COLUMNS($AD$1006:AD1006),$AD$1006:$AU$1006,0)), HYPERLINK("#",""), HYPERLINK(CONCATENATE("#metadata!", ADDRESS(INDEX($Y$2:$Y$1001,MATCH(ROWS($W$2:W377),$W$2:$W$1001,0),0), INDEX($AD$1004:$AU$1004,1,MATCH(COLUMNS($AD$1006:AD1006),$AD$1006:$AU$1006,0)))),"Fix")))</f>
        <v xml:space="preserve"> </v>
      </c>
      <c r="C377" s="4" t="str">
        <f ca="1">IF(OR(INDEX($X$2:$X$1001,MATCH(ROWS($W$2:W377),$W$2:$W$1001,0),1)&gt;=100000,INDEX($AD$1005:$AU$1005,1,MATCH(COLUMNS($AD$1006:AE1006),$AD$1006:$AU$1006,0))&gt;=100000), " ",IF(INDEX($AD$2:$AU$1001,MATCH(ROWS($W$2:W377),$W$2:$W$1001,0),MATCH(COLUMNS($AD$1006:AE1006),$AD$1006:$AU$1006,0)), HYPERLINK("#",""), HYPERLINK(CONCATENATE("#metadata!", ADDRESS(INDEX($Y$2:$Y$1001,MATCH(ROWS($W$2:W377),$W$2:$W$1001,0),0), INDEX($AD$1004:$AU$1004,1,MATCH(COLUMNS($AD$1006:AE1006),$AD$1006:$AU$1006,0)))),"Fix")))</f>
        <v xml:space="preserve"> </v>
      </c>
      <c r="D377" s="4" t="str">
        <f ca="1">IF(OR(INDEX($X$2:$X$1001,MATCH(ROWS($W$2:W377),$W$2:$W$1001,0),1)&gt;=100000,INDEX($AD$1005:$AU$1005,1,MATCH(COLUMNS($AD$1006:AF1006),$AD$1006:$AU$1006,0))&gt;=100000), " ",IF(INDEX($AD$2:$AU$1001,MATCH(ROWS($W$2:W377),$W$2:$W$1001,0),MATCH(COLUMNS($AD$1006:AF1006),$AD$1006:$AU$1006,0)), HYPERLINK("#",""), HYPERLINK(CONCATENATE("#metadata!", ADDRESS(INDEX($Y$2:$Y$1001,MATCH(ROWS($W$2:W377),$W$2:$W$1001,0),0), INDEX($AD$1004:$AU$1004,1,MATCH(COLUMNS($AD$1006:AF1006),$AD$1006:$AU$1006,0)))),"Fix")))</f>
        <v xml:space="preserve"> </v>
      </c>
      <c r="E377" s="4" t="str">
        <f ca="1">IF(OR(INDEX($X$2:$X$1001,MATCH(ROWS($W$2:W377),$W$2:$W$1001,0),1)&gt;=100000,INDEX($AD$1005:$AU$1005,1,MATCH(COLUMNS($AD$1006:AG1006),$AD$1006:$AU$1006,0))&gt;=100000), " ",IF(INDEX($AD$2:$AU$1001,MATCH(ROWS($W$2:W377),$W$2:$W$1001,0),MATCH(COLUMNS($AD$1006:AG1006),$AD$1006:$AU$1006,0)), HYPERLINK("#",""), HYPERLINK(CONCATENATE("#metadata!", ADDRESS(INDEX($Y$2:$Y$1001,MATCH(ROWS($W$2:W377),$W$2:$W$1001,0),0), INDEX($AD$1004:$AU$1004,1,MATCH(COLUMNS($AD$1006:AG1006),$AD$1006:$AU$1006,0)))),"Fix")))</f>
        <v xml:space="preserve"> </v>
      </c>
      <c r="F377" s="4" t="str">
        <f ca="1">IF(OR(INDEX($X$2:$X$1001,MATCH(ROWS($W$2:W377),$W$2:$W$1001,0),1)&gt;=100000,INDEX($AD$1005:$AU$1005,1,MATCH(COLUMNS($AD$1006:AH1006),$AD$1006:$AU$1006,0))&gt;=100000), " ",IF(INDEX($AD$2:$AU$1001,MATCH(ROWS($W$2:W377),$W$2:$W$1001,0),MATCH(COLUMNS($AD$1006:AH1006),$AD$1006:$AU$1006,0)), HYPERLINK("#",""), HYPERLINK(CONCATENATE("#metadata!", ADDRESS(INDEX($Y$2:$Y$1001,MATCH(ROWS($W$2:W377),$W$2:$W$1001,0),0), INDEX($AD$1004:$AU$1004,1,MATCH(COLUMNS($AD$1006:AH1006),$AD$1006:$AU$1006,0)))),"Fix")))</f>
        <v xml:space="preserve"> </v>
      </c>
      <c r="G377" s="4" t="str">
        <f ca="1">IF(OR(INDEX($X$2:$X$1001,MATCH(ROWS($W$2:W377),$W$2:$W$1001,0),1)&gt;=100000,INDEX($AD$1005:$AU$1005,1,MATCH(COLUMNS($AD$1006:AI1006),$AD$1006:$AU$1006,0))&gt;=100000), " ",IF(INDEX($AD$2:$AU$1001,MATCH(ROWS($W$2:W377),$W$2:$W$1001,0),MATCH(COLUMNS($AD$1006:AI1006),$AD$1006:$AU$1006,0)), HYPERLINK("#",""), HYPERLINK(CONCATENATE("#metadata!", ADDRESS(INDEX($Y$2:$Y$1001,MATCH(ROWS($W$2:W377),$W$2:$W$1001,0),0), INDEX($AD$1004:$AU$1004,1,MATCH(COLUMNS($AD$1006:AI1006),$AD$1006:$AU$1006,0)))),"Fix")))</f>
        <v xml:space="preserve"> </v>
      </c>
      <c r="H377" s="4" t="str">
        <f ca="1">IF(OR(INDEX($X$2:$X$1001,MATCH(ROWS($W$2:W377),$W$2:$W$1001,0),1)&gt;=100000,INDEX($AD$1005:$AU$1005,1,MATCH(COLUMNS($AD$1006:AJ1006),$AD$1006:$AU$1006,0))&gt;=100000), " ",IF(INDEX($AD$2:$AU$1001,MATCH(ROWS($W$2:W377),$W$2:$W$1001,0),MATCH(COLUMNS($AD$1006:AJ1006),$AD$1006:$AU$1006,0)), HYPERLINK("#",""), HYPERLINK(CONCATENATE("#metadata!", ADDRESS(INDEX($Y$2:$Y$1001,MATCH(ROWS($W$2:W377),$W$2:$W$1001,0),0), INDEX($AD$1004:$AU$1004,1,MATCH(COLUMNS($AD$1006:AJ1006),$AD$1006:$AU$1006,0)))),"Fix")))</f>
        <v xml:space="preserve"> </v>
      </c>
      <c r="I377" s="4" t="str">
        <f ca="1">IF(OR(INDEX($X$2:$X$1001,MATCH(ROWS($W$2:W377),$W$2:$W$1001,0),1)&gt;=100000,INDEX($AD$1005:$AU$1005,1,MATCH(COLUMNS($AD$1006:AK1006),$AD$1006:$AU$1006,0))&gt;=100000), " ",IF(INDEX($AD$2:$AU$1001,MATCH(ROWS($W$2:W377),$W$2:$W$1001,0),MATCH(COLUMNS($AD$1006:AK1006),$AD$1006:$AU$1006,0)), HYPERLINK("#",""), HYPERLINK(CONCATENATE("#metadata!", ADDRESS(INDEX($Y$2:$Y$1001,MATCH(ROWS($W$2:W377),$W$2:$W$1001,0),0), INDEX($AD$1004:$AU$1004,1,MATCH(COLUMNS($AD$1006:AK1006),$AD$1006:$AU$1006,0)))),"Fix")))</f>
        <v xml:space="preserve"> </v>
      </c>
      <c r="J377" s="4" t="str">
        <f ca="1">IF(OR(INDEX($X$2:$X$1001,MATCH(ROWS($W$2:W377),$W$2:$W$1001,0),1)&gt;=100000,INDEX($AD$1005:$AU$1005,1,MATCH(COLUMNS($AD$1006:AL1006),$AD$1006:$AU$1006,0))&gt;=100000), " ",IF(INDEX($AD$2:$AU$1001,MATCH(ROWS($W$2:W377),$W$2:$W$1001,0),MATCH(COLUMNS($AD$1006:AL1006),$AD$1006:$AU$1006,0)), HYPERLINK("#",""), HYPERLINK(CONCATENATE("#metadata!", ADDRESS(INDEX($Y$2:$Y$1001,MATCH(ROWS($W$2:W377),$W$2:$W$1001,0),0), INDEX($AD$1004:$AU$1004,1,MATCH(COLUMNS($AD$1006:AL1006),$AD$1006:$AU$1006,0)))),"Fix")))</f>
        <v xml:space="preserve"> </v>
      </c>
      <c r="K377" s="4" t="str">
        <f ca="1">IF(OR(INDEX($X$2:$X$1001,MATCH(ROWS($W$2:W377),$W$2:$W$1001,0),1)&gt;=100000,INDEX($AD$1005:$AU$1005,1,MATCH(COLUMNS($AD$1006:AM1006),$AD$1006:$AU$1006,0))&gt;=100000), " ",IF(INDEX($AD$2:$AU$1001,MATCH(ROWS($W$2:W377),$W$2:$W$1001,0),MATCH(COLUMNS($AD$1006:AM1006),$AD$1006:$AU$1006,0)), HYPERLINK("#",""), HYPERLINK(CONCATENATE("#metadata!", ADDRESS(INDEX($Y$2:$Y$1001,MATCH(ROWS($W$2:W377),$W$2:$W$1001,0),0), INDEX($AD$1004:$AU$1004,1,MATCH(COLUMNS($AD$1006:AM1006),$AD$1006:$AU$1006,0)))),"Fix")))</f>
        <v xml:space="preserve"> </v>
      </c>
      <c r="L377" s="4" t="str">
        <f ca="1">IF(OR(INDEX($X$2:$X$1001,MATCH(ROWS($W$2:W377),$W$2:$W$1001,0),1)&gt;=100000,INDEX($AD$1005:$AU$1005,1,MATCH(COLUMNS($AD$1006:AN1006),$AD$1006:$AU$1006,0))&gt;=100000), " ",IF(INDEX($AD$2:$AU$1001,MATCH(ROWS($W$2:W377),$W$2:$W$1001,0),MATCH(COLUMNS($AD$1006:AN1006),$AD$1006:$AU$1006,0)), HYPERLINK("#",""), HYPERLINK(CONCATENATE("#metadata!", ADDRESS(INDEX($Y$2:$Y$1001,MATCH(ROWS($W$2:W377),$W$2:$W$1001,0),0), INDEX($AD$1004:$AU$1004,1,MATCH(COLUMNS($AD$1006:AN1006),$AD$1006:$AU$1006,0)))),"Fix")))</f>
        <v xml:space="preserve"> </v>
      </c>
      <c r="M377" s="4" t="str">
        <f ca="1">IF(OR(INDEX($X$2:$X$1001,MATCH(ROWS($W$2:W377),$W$2:$W$1001,0),1)&gt;=100000,INDEX($AD$1005:$AU$1005,1,MATCH(COLUMNS($AD$1006:AO1006),$AD$1006:$AU$1006,0))&gt;=100000), " ",IF(INDEX($AD$2:$AU$1001,MATCH(ROWS($W$2:W377),$W$2:$W$1001,0),MATCH(COLUMNS($AD$1006:AO1006),$AD$1006:$AU$1006,0)), HYPERLINK("#",""), HYPERLINK(CONCATENATE("#metadata!", ADDRESS(INDEX($Y$2:$Y$1001,MATCH(ROWS($W$2:W377),$W$2:$W$1001,0),0), INDEX($AD$1004:$AU$1004,1,MATCH(COLUMNS($AD$1006:AO1006),$AD$1006:$AU$1006,0)))),"Fix")))</f>
        <v xml:space="preserve"> </v>
      </c>
      <c r="N377" s="4" t="str">
        <f ca="1">IF(OR(INDEX($X$2:$X$1001,MATCH(ROWS($W$2:W377),$W$2:$W$1001,0),1)&gt;=100000,INDEX($AD$1005:$AU$1005,1,MATCH(COLUMNS($AD$1006:AP1006),$AD$1006:$AU$1006,0))&gt;=100000), " ",IF(INDEX($AD$2:$AU$1001,MATCH(ROWS($W$2:W377),$W$2:$W$1001,0),MATCH(COLUMNS($AD$1006:AP1006),$AD$1006:$AU$1006,0)), HYPERLINK("#",""), HYPERLINK(CONCATENATE("#metadata!", ADDRESS(INDEX($Y$2:$Y$1001,MATCH(ROWS($W$2:W377),$W$2:$W$1001,0),0), INDEX($AD$1004:$AU$1004,1,MATCH(COLUMNS($AD$1006:AP1006),$AD$1006:$AU$1006,0)))),"Fix")))</f>
        <v xml:space="preserve"> </v>
      </c>
      <c r="O377" s="4" t="str">
        <f ca="1">IF(OR(INDEX($X$2:$X$1001,MATCH(ROWS($W$2:W377),$W$2:$W$1001,0),1)&gt;=100000,INDEX($AD$1005:$AU$1005,1,MATCH(COLUMNS($AD$1006:AQ1006),$AD$1006:$AU$1006,0))&gt;=100000), " ",IF(INDEX($AD$2:$AU$1001,MATCH(ROWS($W$2:W377),$W$2:$W$1001,0),MATCH(COLUMNS($AD$1006:AQ1006),$AD$1006:$AU$1006,0)), HYPERLINK("#",""), HYPERLINK(CONCATENATE("#metadata!", ADDRESS(INDEX($Y$2:$Y$1001,MATCH(ROWS($W$2:W377),$W$2:$W$1001,0),0), INDEX($AD$1004:$AU$1004,1,MATCH(COLUMNS($AD$1006:AQ1006),$AD$1006:$AU$1006,0)))),"Fix")))</f>
        <v xml:space="preserve"> </v>
      </c>
      <c r="P377" s="4" t="str">
        <f ca="1">IF(OR(INDEX($X$2:$X$1001,MATCH(ROWS($W$2:W377),$W$2:$W$1001,0),1)&gt;=100000,INDEX($AD$1005:$AU$1005,1,MATCH(COLUMNS($AD$1006:AR1006),$AD$1006:$AU$1006,0))&gt;=100000), " ",IF(INDEX($AD$2:$AU$1001,MATCH(ROWS($W$2:W377),$W$2:$W$1001,0),MATCH(COLUMNS($AD$1006:AR1006),$AD$1006:$AU$1006,0)), HYPERLINK("#",""), HYPERLINK(CONCATENATE("#metadata!", ADDRESS(INDEX($Y$2:$Y$1001,MATCH(ROWS($W$2:W377),$W$2:$W$1001,0),0), INDEX($AD$1004:$AU$1004,1,MATCH(COLUMNS($AD$1006:AR1006),$AD$1006:$AU$1006,0)))),"Fix")))</f>
        <v xml:space="preserve"> </v>
      </c>
      <c r="Q377" s="4" t="str">
        <f ca="1">IF(OR(INDEX($X$2:$X$1001,MATCH(ROWS($W$2:W377),$W$2:$W$1001,0),1)&gt;=100000,INDEX($AD$1005:$AU$1005,1,MATCH(COLUMNS($AD$1006:AS1006),$AD$1006:$AU$1006,0))&gt;=100000), " ",IF(INDEX($AD$2:$AU$1001,MATCH(ROWS($W$2:W377),$W$2:$W$1001,0),MATCH(COLUMNS($AD$1006:AS1006),$AD$1006:$AU$1006,0)), HYPERLINK("#",""), HYPERLINK(CONCATENATE("#metadata!", ADDRESS(INDEX($Y$2:$Y$1001,MATCH(ROWS($W$2:W377),$W$2:$W$1001,0),0), INDEX($AD$1004:$AU$1004,1,MATCH(COLUMNS($AD$1006:AS1006),$AD$1006:$AU$1006,0)))),"Fix")))</f>
        <v xml:space="preserve"> </v>
      </c>
      <c r="R377" s="4" t="str">
        <f ca="1">IF(OR(INDEX($X$2:$X$1001,MATCH(ROWS($W$2:W377),$W$2:$W$1001,0),1)&gt;=100000,INDEX($AD$1005:$AU$1005,1,MATCH(COLUMNS($AD$1006:AT1006),$AD$1006:$AU$1006,0))&gt;=100000), " ",IF(INDEX($AD$2:$AU$1001,MATCH(ROWS($W$2:W377),$W$2:$W$1001,0),MATCH(COLUMNS($AD$1006:AT1006),$AD$1006:$AU$1006,0)), HYPERLINK("#",""), HYPERLINK(CONCATENATE("#metadata!", ADDRESS(INDEX($Y$2:$Y$1001,MATCH(ROWS($W$2:W377),$W$2:$W$1001,0),0), INDEX($AD$1004:$AU$1004,1,MATCH(COLUMNS($AD$1006:AT1006),$AD$1006:$AU$1006,0)))),"Fix")))</f>
        <v xml:space="preserve"> </v>
      </c>
      <c r="S377" s="4" t="str">
        <f ca="1">IF(OR(INDEX($X$2:$X$1001,MATCH(ROWS($W$2:W377),$W$2:$W$1001,0),1)&gt;=100000,INDEX($AD$1005:$AU$1005,1,MATCH(COLUMNS($AD$1006:AU1006),$AD$1006:$AU$1006,0))&gt;=100000), " ",IF(INDEX($AD$2:$AU$1001,MATCH(ROWS($W$2:W377),$W$2:$W$1001,0),MATCH(COLUMNS($AD$1006:AU1006),$AD$1006:$AU$1006,0)), HYPERLINK("#",""), HYPERLINK(CONCATENATE("#metadata!", ADDRESS(INDEX($Y$2:$Y$1001,MATCH(ROWS($W$2:W377),$W$2:$W$1001,0),0), INDEX($AD$1004:$AU$1004,1,MATCH(COLUMNS($AD$1006:AU1006),$AD$1006:$AU$1006,0)))),"Fix")))</f>
        <v xml:space="preserve"> </v>
      </c>
      <c r="W377">
        <v>376</v>
      </c>
      <c r="X377">
        <v>100377</v>
      </c>
      <c r="Y377">
        <v>377</v>
      </c>
      <c r="Z377" t="b">
        <f t="shared" si="5"/>
        <v>1</v>
      </c>
      <c r="AA377" t="b">
        <f>COUNTBLANK(metadata!B377:S377)=COLUMNS(metadata!B377:S377)</f>
        <v>1</v>
      </c>
      <c r="AB377" t="str">
        <v/>
      </c>
      <c r="AD377" t="b">
        <f ca="1">AND(IF(metadata!B377="",FALSE,TRUE),COUNTIF(metadata!B:B, metadata!B377) = 1,NOT(ISERROR(SUMPRODUCT(SEARCH(MID(metadata!B377,ROW(INDIRECT("1:"&amp;LEN(metadata!B377))), 1),"0123456789abcdefghijklmnopqrstuvwxyzABCDEFGHIJKLMNOPQRSTUVWXYZ.")))))</f>
        <v>0</v>
      </c>
      <c r="AE377" t="b">
        <f>OR(AND(IF(metadata!C377="",FALSE,TRUE),OR(EXACT(metadata!C377,"not applicable"),EXACT(metadata!C377,"missing: not collected"),EXACT(metadata!C377,"missing: not provided"),EXACT(metadata!C377,"missing: restricted access"))),AND(IF(metadata!C377="",FALSE,ISNUMBER(VALUE(metadata!C377))),metadata!C377&gt;0))</f>
        <v>0</v>
      </c>
      <c r="AF377" t="b">
        <f>AND(IF(metadata!D377="",FALSE,TRUE),EXACT(metadata!D377,"missing: not provided"))</f>
        <v>0</v>
      </c>
      <c r="AG377" t="b">
        <f>AND(IF(metadata!E377="",FALSE,TRUE),EXACT(metadata!E377,"Host-associated"))</f>
        <v>0</v>
      </c>
      <c r="AH377" t="b">
        <f>AND(IF(metadata!F377="",FALSE,TRUE),OR(EXACT(metadata!F377,"Animal"),EXACT(metadata!F377,"Fungus"),EXACT(metadata!F377,"Plant")))</f>
        <v>0</v>
      </c>
      <c r="AI377" t="b">
        <f>AND(IF(metadata!G377="",FALSE,TRUE),OR(EXACT(metadata!G377,"Plant secretion"),EXACT(metadata!G377,"Plant rhizosphere"),EXACT(metadata!G377,"Plant surface"),EXACT(metadata!G377,"Plant corpus"),EXACT(metadata!G377,"Fungus surface"),EXACT(metadata!G377,"Fungus corpus"),EXACT(metadata!G377,"Animal surface"),EXACT(metadata!G377,"Animal proximal gut"),EXACT(metadata!G377,"Animal corpus"),EXACT(metadata!G377,"Animal distal gut"),EXACT(metadata!G377,"Animal secretion")))</f>
        <v>0</v>
      </c>
      <c r="AJ377" t="b">
        <f>OR(AND(IF(metadata!H377="",FALSE,TRUE),OR(EXACT(metadata!H377,"missing: not collected"),EXACT(metadata!H377,"missing: not provided"),EXACT(metadata!H377,"missing: restricted access"))),AND(IF(metadata!H377="",FALSE,TRUE),OR(EXACT(metadata!H377,"organism-associated habitat"),EXACT(metadata!H377,"plant-associated habitat"),EXACT(metadata!H377,"animal-associated habitat"),EXACT(metadata!H377,"insecta-associated habitat"),EXACT(metadata!H377,"mammalia-associated habitat"),EXACT(metadata!H377,"human-associated habitat"),EXACT(metadata!H377,"livestock-associated habitat"))))</f>
        <v>0</v>
      </c>
      <c r="AK377" t="b">
        <f>AND(IF(metadata!I377="",FALSE,TRUE),EXACT(metadata!I377,"host-associated"))</f>
        <v>0</v>
      </c>
      <c r="AL377" t="b">
        <f>OR(AND(IF(metadata!J377="",FALSE,TRUE),OR(EXACT(metadata!J377,"not applicable"),EXACT(metadata!J377,"missing: not collected"),EXACT(metadata!J377,"missing: not provided"),EXACT(metadata!J377,"missing: restricted access"))),AND(IF(metadata!J377="",FALSE,ISNUMBER(VALUE(metadata!J377))),metadata!J377&gt;0))</f>
        <v>0</v>
      </c>
      <c r="AM377" t="b">
        <f>AND(IF(metadata!K377="",FALSE,TRUE),EXACT(metadata!K377,"missing: not provided"))</f>
        <v>0</v>
      </c>
      <c r="AN377" t="b">
        <f>IF(metadata!L377="",FALSE,TRUE)</f>
        <v>0</v>
      </c>
      <c r="AO377" t="b">
        <f>IF(metadata!M377="",FALSE,TRUE)</f>
        <v>0</v>
      </c>
      <c r="AP377" t="b">
        <f>OR(AND(IF(metadata!N377="",FALSE,TRUE),OR(EXACT(metadata!N377,"not applicable"),EXACT(metadata!N377,"missing: not collected"),EXACT(metadata!N377,"missing: not provided"))),AND(IF(metadata!N377="",FALSE,IF(ISERROR(INT(metadata!N377)),FALSE,INT(metadata!N377)=metadata!N377)),metadata!N377&gt;0))</f>
        <v>0</v>
      </c>
      <c r="AQ377" t="b">
        <f>AND(IF(metadata!O377="",FALSE,TRUE),EXACT(metadata!O377,"Not applicable"))</f>
        <v>0</v>
      </c>
      <c r="AR377" t="b">
        <f>OR(AND(IF(metadata!P377="",FALSE,TRUE),OR(EXACT(metadata!P377,"not applicable"),EXACT(metadata!P377,"missing: not collected"),EXACT(metadata!P377,"missing: not provided"),EXACT(metadata!P377,"missing: restricted access"))),IF(metadata!P377="",FALSE,IF(ISERROR(INT(metadata!P377)),FALSE,INT(metadata!P377)=metadata!P377)))</f>
        <v>0</v>
      </c>
      <c r="AS377" t="b">
        <f>AND(IF(metadata!Q377="",FALSE,TRUE),EXACT(metadata!Q377,"Not applicable"))</f>
        <v>0</v>
      </c>
      <c r="AT377" t="b">
        <f>OR(AND(IF(metadata!R377="",FALSE,TRUE),OR(EXACT(metadata!R377,"not applicable"),EXACT(metadata!R377,"missing: not collected"),EXACT(metadata!R377,"missing: not provided"),EXACT(metadata!R377,"missing: restricted access"))),AND(IF(metadata!R377="",FALSE,ISNUMBER(VALUE(metadata!R377))),metadata!R377&gt;0))</f>
        <v>0</v>
      </c>
      <c r="AU377" t="b">
        <f>AND(IF(metadata!S377="",FALSE,TRUE),EXACT(metadata!S377,"missing: not provided"))</f>
        <v>0</v>
      </c>
    </row>
    <row r="378" spans="1:47" x14ac:dyDescent="0.2">
      <c r="A378" s="5" t="str">
        <f ca="1">IF(B378=" "," ",HYPERLINK(CONCATENATE("#metadata!",ADDRESS(INDEX($Y$2:$Y$1001,MATCH(ROWS($W$2:W378),$W$2:$W$1001,0),0),1)),INDEX($AB$2:$AB$1001,MATCH(ROWS($W$2:W378),$W$2:$W$1001,0),0)))</f>
        <v xml:space="preserve"> </v>
      </c>
      <c r="B378" s="4" t="str">
        <f ca="1">IF(OR(INDEX($X$2:$X$1001,MATCH(ROWS($W$2:W378),$W$2:$W$1001,0),1)&gt;=100000,INDEX($AD$1005:$AU$1005,1,MATCH(COLUMNS($AD$1006:AD1006),$AD$1006:$AU$1006,0))&gt;=100000), " ",IF(INDEX($AD$2:$AU$1001,MATCH(ROWS($W$2:W378),$W$2:$W$1001,0),MATCH(COLUMNS($AD$1006:AD1006),$AD$1006:$AU$1006,0)), HYPERLINK("#",""), HYPERLINK(CONCATENATE("#metadata!", ADDRESS(INDEX($Y$2:$Y$1001,MATCH(ROWS($W$2:W378),$W$2:$W$1001,0),0), INDEX($AD$1004:$AU$1004,1,MATCH(COLUMNS($AD$1006:AD1006),$AD$1006:$AU$1006,0)))),"Fix")))</f>
        <v xml:space="preserve"> </v>
      </c>
      <c r="C378" s="4" t="str">
        <f ca="1">IF(OR(INDEX($X$2:$X$1001,MATCH(ROWS($W$2:W378),$W$2:$W$1001,0),1)&gt;=100000,INDEX($AD$1005:$AU$1005,1,MATCH(COLUMNS($AD$1006:AE1006),$AD$1006:$AU$1006,0))&gt;=100000), " ",IF(INDEX($AD$2:$AU$1001,MATCH(ROWS($W$2:W378),$W$2:$W$1001,0),MATCH(COLUMNS($AD$1006:AE1006),$AD$1006:$AU$1006,0)), HYPERLINK("#",""), HYPERLINK(CONCATENATE("#metadata!", ADDRESS(INDEX($Y$2:$Y$1001,MATCH(ROWS($W$2:W378),$W$2:$W$1001,0),0), INDEX($AD$1004:$AU$1004,1,MATCH(COLUMNS($AD$1006:AE1006),$AD$1006:$AU$1006,0)))),"Fix")))</f>
        <v xml:space="preserve"> </v>
      </c>
      <c r="D378" s="4" t="str">
        <f ca="1">IF(OR(INDEX($X$2:$X$1001,MATCH(ROWS($W$2:W378),$W$2:$W$1001,0),1)&gt;=100000,INDEX($AD$1005:$AU$1005,1,MATCH(COLUMNS($AD$1006:AF1006),$AD$1006:$AU$1006,0))&gt;=100000), " ",IF(INDEX($AD$2:$AU$1001,MATCH(ROWS($W$2:W378),$W$2:$W$1001,0),MATCH(COLUMNS($AD$1006:AF1006),$AD$1006:$AU$1006,0)), HYPERLINK("#",""), HYPERLINK(CONCATENATE("#metadata!", ADDRESS(INDEX($Y$2:$Y$1001,MATCH(ROWS($W$2:W378),$W$2:$W$1001,0),0), INDEX($AD$1004:$AU$1004,1,MATCH(COLUMNS($AD$1006:AF1006),$AD$1006:$AU$1006,0)))),"Fix")))</f>
        <v xml:space="preserve"> </v>
      </c>
      <c r="E378" s="4" t="str">
        <f ca="1">IF(OR(INDEX($X$2:$X$1001,MATCH(ROWS($W$2:W378),$W$2:$W$1001,0),1)&gt;=100000,INDEX($AD$1005:$AU$1005,1,MATCH(COLUMNS($AD$1006:AG1006),$AD$1006:$AU$1006,0))&gt;=100000), " ",IF(INDEX($AD$2:$AU$1001,MATCH(ROWS($W$2:W378),$W$2:$W$1001,0),MATCH(COLUMNS($AD$1006:AG1006),$AD$1006:$AU$1006,0)), HYPERLINK("#",""), HYPERLINK(CONCATENATE("#metadata!", ADDRESS(INDEX($Y$2:$Y$1001,MATCH(ROWS($W$2:W378),$W$2:$W$1001,0),0), INDEX($AD$1004:$AU$1004,1,MATCH(COLUMNS($AD$1006:AG1006),$AD$1006:$AU$1006,0)))),"Fix")))</f>
        <v xml:space="preserve"> </v>
      </c>
      <c r="F378" s="4" t="str">
        <f ca="1">IF(OR(INDEX($X$2:$X$1001,MATCH(ROWS($W$2:W378),$W$2:$W$1001,0),1)&gt;=100000,INDEX($AD$1005:$AU$1005,1,MATCH(COLUMNS($AD$1006:AH1006),$AD$1006:$AU$1006,0))&gt;=100000), " ",IF(INDEX($AD$2:$AU$1001,MATCH(ROWS($W$2:W378),$W$2:$W$1001,0),MATCH(COLUMNS($AD$1006:AH1006),$AD$1006:$AU$1006,0)), HYPERLINK("#",""), HYPERLINK(CONCATENATE("#metadata!", ADDRESS(INDEX($Y$2:$Y$1001,MATCH(ROWS($W$2:W378),$W$2:$W$1001,0),0), INDEX($AD$1004:$AU$1004,1,MATCH(COLUMNS($AD$1006:AH1006),$AD$1006:$AU$1006,0)))),"Fix")))</f>
        <v xml:space="preserve"> </v>
      </c>
      <c r="G378" s="4" t="str">
        <f ca="1">IF(OR(INDEX($X$2:$X$1001,MATCH(ROWS($W$2:W378),$W$2:$W$1001,0),1)&gt;=100000,INDEX($AD$1005:$AU$1005,1,MATCH(COLUMNS($AD$1006:AI1006),$AD$1006:$AU$1006,0))&gt;=100000), " ",IF(INDEX($AD$2:$AU$1001,MATCH(ROWS($W$2:W378),$W$2:$W$1001,0),MATCH(COLUMNS($AD$1006:AI1006),$AD$1006:$AU$1006,0)), HYPERLINK("#",""), HYPERLINK(CONCATENATE("#metadata!", ADDRESS(INDEX($Y$2:$Y$1001,MATCH(ROWS($W$2:W378),$W$2:$W$1001,0),0), INDEX($AD$1004:$AU$1004,1,MATCH(COLUMNS($AD$1006:AI1006),$AD$1006:$AU$1006,0)))),"Fix")))</f>
        <v xml:space="preserve"> </v>
      </c>
      <c r="H378" s="4" t="str">
        <f ca="1">IF(OR(INDEX($X$2:$X$1001,MATCH(ROWS($W$2:W378),$W$2:$W$1001,0),1)&gt;=100000,INDEX($AD$1005:$AU$1005,1,MATCH(COLUMNS($AD$1006:AJ1006),$AD$1006:$AU$1006,0))&gt;=100000), " ",IF(INDEX($AD$2:$AU$1001,MATCH(ROWS($W$2:W378),$W$2:$W$1001,0),MATCH(COLUMNS($AD$1006:AJ1006),$AD$1006:$AU$1006,0)), HYPERLINK("#",""), HYPERLINK(CONCATENATE("#metadata!", ADDRESS(INDEX($Y$2:$Y$1001,MATCH(ROWS($W$2:W378),$W$2:$W$1001,0),0), INDEX($AD$1004:$AU$1004,1,MATCH(COLUMNS($AD$1006:AJ1006),$AD$1006:$AU$1006,0)))),"Fix")))</f>
        <v xml:space="preserve"> </v>
      </c>
      <c r="I378" s="4" t="str">
        <f ca="1">IF(OR(INDEX($X$2:$X$1001,MATCH(ROWS($W$2:W378),$W$2:$W$1001,0),1)&gt;=100000,INDEX($AD$1005:$AU$1005,1,MATCH(COLUMNS($AD$1006:AK1006),$AD$1006:$AU$1006,0))&gt;=100000), " ",IF(INDEX($AD$2:$AU$1001,MATCH(ROWS($W$2:W378),$W$2:$W$1001,0),MATCH(COLUMNS($AD$1006:AK1006),$AD$1006:$AU$1006,0)), HYPERLINK("#",""), HYPERLINK(CONCATENATE("#metadata!", ADDRESS(INDEX($Y$2:$Y$1001,MATCH(ROWS($W$2:W378),$W$2:$W$1001,0),0), INDEX($AD$1004:$AU$1004,1,MATCH(COLUMNS($AD$1006:AK1006),$AD$1006:$AU$1006,0)))),"Fix")))</f>
        <v xml:space="preserve"> </v>
      </c>
      <c r="J378" s="4" t="str">
        <f ca="1">IF(OR(INDEX($X$2:$X$1001,MATCH(ROWS($W$2:W378),$W$2:$W$1001,0),1)&gt;=100000,INDEX($AD$1005:$AU$1005,1,MATCH(COLUMNS($AD$1006:AL1006),$AD$1006:$AU$1006,0))&gt;=100000), " ",IF(INDEX($AD$2:$AU$1001,MATCH(ROWS($W$2:W378),$W$2:$W$1001,0),MATCH(COLUMNS($AD$1006:AL1006),$AD$1006:$AU$1006,0)), HYPERLINK("#",""), HYPERLINK(CONCATENATE("#metadata!", ADDRESS(INDEX($Y$2:$Y$1001,MATCH(ROWS($W$2:W378),$W$2:$W$1001,0),0), INDEX($AD$1004:$AU$1004,1,MATCH(COLUMNS($AD$1006:AL1006),$AD$1006:$AU$1006,0)))),"Fix")))</f>
        <v xml:space="preserve"> </v>
      </c>
      <c r="K378" s="4" t="str">
        <f ca="1">IF(OR(INDEX($X$2:$X$1001,MATCH(ROWS($W$2:W378),$W$2:$W$1001,0),1)&gt;=100000,INDEX($AD$1005:$AU$1005,1,MATCH(COLUMNS($AD$1006:AM1006),$AD$1006:$AU$1006,0))&gt;=100000), " ",IF(INDEX($AD$2:$AU$1001,MATCH(ROWS($W$2:W378),$W$2:$W$1001,0),MATCH(COLUMNS($AD$1006:AM1006),$AD$1006:$AU$1006,0)), HYPERLINK("#",""), HYPERLINK(CONCATENATE("#metadata!", ADDRESS(INDEX($Y$2:$Y$1001,MATCH(ROWS($W$2:W378),$W$2:$W$1001,0),0), INDEX($AD$1004:$AU$1004,1,MATCH(COLUMNS($AD$1006:AM1006),$AD$1006:$AU$1006,0)))),"Fix")))</f>
        <v xml:space="preserve"> </v>
      </c>
      <c r="L378" s="4" t="str">
        <f ca="1">IF(OR(INDEX($X$2:$X$1001,MATCH(ROWS($W$2:W378),$W$2:$W$1001,0),1)&gt;=100000,INDEX($AD$1005:$AU$1005,1,MATCH(COLUMNS($AD$1006:AN1006),$AD$1006:$AU$1006,0))&gt;=100000), " ",IF(INDEX($AD$2:$AU$1001,MATCH(ROWS($W$2:W378),$W$2:$W$1001,0),MATCH(COLUMNS($AD$1006:AN1006),$AD$1006:$AU$1006,0)), HYPERLINK("#",""), HYPERLINK(CONCATENATE("#metadata!", ADDRESS(INDEX($Y$2:$Y$1001,MATCH(ROWS($W$2:W378),$W$2:$W$1001,0),0), INDEX($AD$1004:$AU$1004,1,MATCH(COLUMNS($AD$1006:AN1006),$AD$1006:$AU$1006,0)))),"Fix")))</f>
        <v xml:space="preserve"> </v>
      </c>
      <c r="M378" s="4" t="str">
        <f ca="1">IF(OR(INDEX($X$2:$X$1001,MATCH(ROWS($W$2:W378),$W$2:$W$1001,0),1)&gt;=100000,INDEX($AD$1005:$AU$1005,1,MATCH(COLUMNS($AD$1006:AO1006),$AD$1006:$AU$1006,0))&gt;=100000), " ",IF(INDEX($AD$2:$AU$1001,MATCH(ROWS($W$2:W378),$W$2:$W$1001,0),MATCH(COLUMNS($AD$1006:AO1006),$AD$1006:$AU$1006,0)), HYPERLINK("#",""), HYPERLINK(CONCATENATE("#metadata!", ADDRESS(INDEX($Y$2:$Y$1001,MATCH(ROWS($W$2:W378),$W$2:$W$1001,0),0), INDEX($AD$1004:$AU$1004,1,MATCH(COLUMNS($AD$1006:AO1006),$AD$1006:$AU$1006,0)))),"Fix")))</f>
        <v xml:space="preserve"> </v>
      </c>
      <c r="N378" s="4" t="str">
        <f ca="1">IF(OR(INDEX($X$2:$X$1001,MATCH(ROWS($W$2:W378),$W$2:$W$1001,0),1)&gt;=100000,INDEX($AD$1005:$AU$1005,1,MATCH(COLUMNS($AD$1006:AP1006),$AD$1006:$AU$1006,0))&gt;=100000), " ",IF(INDEX($AD$2:$AU$1001,MATCH(ROWS($W$2:W378),$W$2:$W$1001,0),MATCH(COLUMNS($AD$1006:AP1006),$AD$1006:$AU$1006,0)), HYPERLINK("#",""), HYPERLINK(CONCATENATE("#metadata!", ADDRESS(INDEX($Y$2:$Y$1001,MATCH(ROWS($W$2:W378),$W$2:$W$1001,0),0), INDEX($AD$1004:$AU$1004,1,MATCH(COLUMNS($AD$1006:AP1006),$AD$1006:$AU$1006,0)))),"Fix")))</f>
        <v xml:space="preserve"> </v>
      </c>
      <c r="O378" s="4" t="str">
        <f ca="1">IF(OR(INDEX($X$2:$X$1001,MATCH(ROWS($W$2:W378),$W$2:$W$1001,0),1)&gt;=100000,INDEX($AD$1005:$AU$1005,1,MATCH(COLUMNS($AD$1006:AQ1006),$AD$1006:$AU$1006,0))&gt;=100000), " ",IF(INDEX($AD$2:$AU$1001,MATCH(ROWS($W$2:W378),$W$2:$W$1001,0),MATCH(COLUMNS($AD$1006:AQ1006),$AD$1006:$AU$1006,0)), HYPERLINK("#",""), HYPERLINK(CONCATENATE("#metadata!", ADDRESS(INDEX($Y$2:$Y$1001,MATCH(ROWS($W$2:W378),$W$2:$W$1001,0),0), INDEX($AD$1004:$AU$1004,1,MATCH(COLUMNS($AD$1006:AQ1006),$AD$1006:$AU$1006,0)))),"Fix")))</f>
        <v xml:space="preserve"> </v>
      </c>
      <c r="P378" s="4" t="str">
        <f ca="1">IF(OR(INDEX($X$2:$X$1001,MATCH(ROWS($W$2:W378),$W$2:$W$1001,0),1)&gt;=100000,INDEX($AD$1005:$AU$1005,1,MATCH(COLUMNS($AD$1006:AR1006),$AD$1006:$AU$1006,0))&gt;=100000), " ",IF(INDEX($AD$2:$AU$1001,MATCH(ROWS($W$2:W378),$W$2:$W$1001,0),MATCH(COLUMNS($AD$1006:AR1006),$AD$1006:$AU$1006,0)), HYPERLINK("#",""), HYPERLINK(CONCATENATE("#metadata!", ADDRESS(INDEX($Y$2:$Y$1001,MATCH(ROWS($W$2:W378),$W$2:$W$1001,0),0), INDEX($AD$1004:$AU$1004,1,MATCH(COLUMNS($AD$1006:AR1006),$AD$1006:$AU$1006,0)))),"Fix")))</f>
        <v xml:space="preserve"> </v>
      </c>
      <c r="Q378" s="4" t="str">
        <f ca="1">IF(OR(INDEX($X$2:$X$1001,MATCH(ROWS($W$2:W378),$W$2:$W$1001,0),1)&gt;=100000,INDEX($AD$1005:$AU$1005,1,MATCH(COLUMNS($AD$1006:AS1006),$AD$1006:$AU$1006,0))&gt;=100000), " ",IF(INDEX($AD$2:$AU$1001,MATCH(ROWS($W$2:W378),$W$2:$W$1001,0),MATCH(COLUMNS($AD$1006:AS1006),$AD$1006:$AU$1006,0)), HYPERLINK("#",""), HYPERLINK(CONCATENATE("#metadata!", ADDRESS(INDEX($Y$2:$Y$1001,MATCH(ROWS($W$2:W378),$W$2:$W$1001,0),0), INDEX($AD$1004:$AU$1004,1,MATCH(COLUMNS($AD$1006:AS1006),$AD$1006:$AU$1006,0)))),"Fix")))</f>
        <v xml:space="preserve"> </v>
      </c>
      <c r="R378" s="4" t="str">
        <f ca="1">IF(OR(INDEX($X$2:$X$1001,MATCH(ROWS($W$2:W378),$W$2:$W$1001,0),1)&gt;=100000,INDEX($AD$1005:$AU$1005,1,MATCH(COLUMNS($AD$1006:AT1006),$AD$1006:$AU$1006,0))&gt;=100000), " ",IF(INDEX($AD$2:$AU$1001,MATCH(ROWS($W$2:W378),$W$2:$W$1001,0),MATCH(COLUMNS($AD$1006:AT1006),$AD$1006:$AU$1006,0)), HYPERLINK("#",""), HYPERLINK(CONCATENATE("#metadata!", ADDRESS(INDEX($Y$2:$Y$1001,MATCH(ROWS($W$2:W378),$W$2:$W$1001,0),0), INDEX($AD$1004:$AU$1004,1,MATCH(COLUMNS($AD$1006:AT1006),$AD$1006:$AU$1006,0)))),"Fix")))</f>
        <v xml:space="preserve"> </v>
      </c>
      <c r="S378" s="4" t="str">
        <f ca="1">IF(OR(INDEX($X$2:$X$1001,MATCH(ROWS($W$2:W378),$W$2:$W$1001,0),1)&gt;=100000,INDEX($AD$1005:$AU$1005,1,MATCH(COLUMNS($AD$1006:AU1006),$AD$1006:$AU$1006,0))&gt;=100000), " ",IF(INDEX($AD$2:$AU$1001,MATCH(ROWS($W$2:W378),$W$2:$W$1001,0),MATCH(COLUMNS($AD$1006:AU1006),$AD$1006:$AU$1006,0)), HYPERLINK("#",""), HYPERLINK(CONCATENATE("#metadata!", ADDRESS(INDEX($Y$2:$Y$1001,MATCH(ROWS($W$2:W378),$W$2:$W$1001,0),0), INDEX($AD$1004:$AU$1004,1,MATCH(COLUMNS($AD$1006:AU1006),$AD$1006:$AU$1006,0)))),"Fix")))</f>
        <v xml:space="preserve"> </v>
      </c>
      <c r="W378">
        <v>377</v>
      </c>
      <c r="X378">
        <v>100378</v>
      </c>
      <c r="Y378">
        <v>378</v>
      </c>
      <c r="Z378" t="b">
        <f t="shared" si="5"/>
        <v>1</v>
      </c>
      <c r="AA378" t="b">
        <f>COUNTBLANK(metadata!B378:S378)=COLUMNS(metadata!B378:S378)</f>
        <v>1</v>
      </c>
      <c r="AB378" t="str">
        <v/>
      </c>
      <c r="AD378" t="b">
        <f ca="1">AND(IF(metadata!B378="",FALSE,TRUE),COUNTIF(metadata!B:B, metadata!B378) = 1,NOT(ISERROR(SUMPRODUCT(SEARCH(MID(metadata!B378,ROW(INDIRECT("1:"&amp;LEN(metadata!B378))), 1),"0123456789abcdefghijklmnopqrstuvwxyzABCDEFGHIJKLMNOPQRSTUVWXYZ.")))))</f>
        <v>0</v>
      </c>
      <c r="AE378" t="b">
        <f>OR(AND(IF(metadata!C378="",FALSE,TRUE),OR(EXACT(metadata!C378,"not applicable"),EXACT(metadata!C378,"missing: not collected"),EXACT(metadata!C378,"missing: not provided"),EXACT(metadata!C378,"missing: restricted access"))),AND(IF(metadata!C378="",FALSE,ISNUMBER(VALUE(metadata!C378))),metadata!C378&gt;0))</f>
        <v>0</v>
      </c>
      <c r="AF378" t="b">
        <f>AND(IF(metadata!D378="",FALSE,TRUE),EXACT(metadata!D378,"missing: not provided"))</f>
        <v>0</v>
      </c>
      <c r="AG378" t="b">
        <f>AND(IF(metadata!E378="",FALSE,TRUE),EXACT(metadata!E378,"Host-associated"))</f>
        <v>0</v>
      </c>
      <c r="AH378" t="b">
        <f>AND(IF(metadata!F378="",FALSE,TRUE),OR(EXACT(metadata!F378,"Animal"),EXACT(metadata!F378,"Fungus"),EXACT(metadata!F378,"Plant")))</f>
        <v>0</v>
      </c>
      <c r="AI378" t="b">
        <f>AND(IF(metadata!G378="",FALSE,TRUE),OR(EXACT(metadata!G378,"Plant secretion"),EXACT(metadata!G378,"Plant rhizosphere"),EXACT(metadata!G378,"Plant surface"),EXACT(metadata!G378,"Plant corpus"),EXACT(metadata!G378,"Fungus surface"),EXACT(metadata!G378,"Fungus corpus"),EXACT(metadata!G378,"Animal surface"),EXACT(metadata!G378,"Animal proximal gut"),EXACT(metadata!G378,"Animal corpus"),EXACT(metadata!G378,"Animal distal gut"),EXACT(metadata!G378,"Animal secretion")))</f>
        <v>0</v>
      </c>
      <c r="AJ378" t="b">
        <f>OR(AND(IF(metadata!H378="",FALSE,TRUE),OR(EXACT(metadata!H378,"missing: not collected"),EXACT(metadata!H378,"missing: not provided"),EXACT(metadata!H378,"missing: restricted access"))),AND(IF(metadata!H378="",FALSE,TRUE),OR(EXACT(metadata!H378,"organism-associated habitat"),EXACT(metadata!H378,"plant-associated habitat"),EXACT(metadata!H378,"animal-associated habitat"),EXACT(metadata!H378,"insecta-associated habitat"),EXACT(metadata!H378,"mammalia-associated habitat"),EXACT(metadata!H378,"human-associated habitat"),EXACT(metadata!H378,"livestock-associated habitat"))))</f>
        <v>0</v>
      </c>
      <c r="AK378" t="b">
        <f>AND(IF(metadata!I378="",FALSE,TRUE),EXACT(metadata!I378,"host-associated"))</f>
        <v>0</v>
      </c>
      <c r="AL378" t="b">
        <f>OR(AND(IF(metadata!J378="",FALSE,TRUE),OR(EXACT(metadata!J378,"not applicable"),EXACT(metadata!J378,"missing: not collected"),EXACT(metadata!J378,"missing: not provided"),EXACT(metadata!J378,"missing: restricted access"))),AND(IF(metadata!J378="",FALSE,ISNUMBER(VALUE(metadata!J378))),metadata!J378&gt;0))</f>
        <v>0</v>
      </c>
      <c r="AM378" t="b">
        <f>AND(IF(metadata!K378="",FALSE,TRUE),EXACT(metadata!K378,"missing: not provided"))</f>
        <v>0</v>
      </c>
      <c r="AN378" t="b">
        <f>IF(metadata!L378="",FALSE,TRUE)</f>
        <v>0</v>
      </c>
      <c r="AO378" t="b">
        <f>IF(metadata!M378="",FALSE,TRUE)</f>
        <v>0</v>
      </c>
      <c r="AP378" t="b">
        <f>OR(AND(IF(metadata!N378="",FALSE,TRUE),OR(EXACT(metadata!N378,"not applicable"),EXACT(metadata!N378,"missing: not collected"),EXACT(metadata!N378,"missing: not provided"))),AND(IF(metadata!N378="",FALSE,IF(ISERROR(INT(metadata!N378)),FALSE,INT(metadata!N378)=metadata!N378)),metadata!N378&gt;0))</f>
        <v>0</v>
      </c>
      <c r="AQ378" t="b">
        <f>AND(IF(metadata!O378="",FALSE,TRUE),EXACT(metadata!O378,"Not applicable"))</f>
        <v>0</v>
      </c>
      <c r="AR378" t="b">
        <f>OR(AND(IF(metadata!P378="",FALSE,TRUE),OR(EXACT(metadata!P378,"not applicable"),EXACT(metadata!P378,"missing: not collected"),EXACT(metadata!P378,"missing: not provided"),EXACT(metadata!P378,"missing: restricted access"))),IF(metadata!P378="",FALSE,IF(ISERROR(INT(metadata!P378)),FALSE,INT(metadata!P378)=metadata!P378)))</f>
        <v>0</v>
      </c>
      <c r="AS378" t="b">
        <f>AND(IF(metadata!Q378="",FALSE,TRUE),EXACT(metadata!Q378,"Not applicable"))</f>
        <v>0</v>
      </c>
      <c r="AT378" t="b">
        <f>OR(AND(IF(metadata!R378="",FALSE,TRUE),OR(EXACT(metadata!R378,"not applicable"),EXACT(metadata!R378,"missing: not collected"),EXACT(metadata!R378,"missing: not provided"),EXACT(metadata!R378,"missing: restricted access"))),AND(IF(metadata!R378="",FALSE,ISNUMBER(VALUE(metadata!R378))),metadata!R378&gt;0))</f>
        <v>0</v>
      </c>
      <c r="AU378" t="b">
        <f>AND(IF(metadata!S378="",FALSE,TRUE),EXACT(metadata!S378,"missing: not provided"))</f>
        <v>0</v>
      </c>
    </row>
    <row r="379" spans="1:47" x14ac:dyDescent="0.2">
      <c r="A379" s="5" t="str">
        <f ca="1">IF(B379=" "," ",HYPERLINK(CONCATENATE("#metadata!",ADDRESS(INDEX($Y$2:$Y$1001,MATCH(ROWS($W$2:W379),$W$2:$W$1001,0),0),1)),INDEX($AB$2:$AB$1001,MATCH(ROWS($W$2:W379),$W$2:$W$1001,0),0)))</f>
        <v xml:space="preserve"> </v>
      </c>
      <c r="B379" s="4" t="str">
        <f ca="1">IF(OR(INDEX($X$2:$X$1001,MATCH(ROWS($W$2:W379),$W$2:$W$1001,0),1)&gt;=100000,INDEX($AD$1005:$AU$1005,1,MATCH(COLUMNS($AD$1006:AD1006),$AD$1006:$AU$1006,0))&gt;=100000), " ",IF(INDEX($AD$2:$AU$1001,MATCH(ROWS($W$2:W379),$W$2:$W$1001,0),MATCH(COLUMNS($AD$1006:AD1006),$AD$1006:$AU$1006,0)), HYPERLINK("#",""), HYPERLINK(CONCATENATE("#metadata!", ADDRESS(INDEX($Y$2:$Y$1001,MATCH(ROWS($W$2:W379),$W$2:$W$1001,0),0), INDEX($AD$1004:$AU$1004,1,MATCH(COLUMNS($AD$1006:AD1006),$AD$1006:$AU$1006,0)))),"Fix")))</f>
        <v xml:space="preserve"> </v>
      </c>
      <c r="C379" s="4" t="str">
        <f ca="1">IF(OR(INDEX($X$2:$X$1001,MATCH(ROWS($W$2:W379),$W$2:$W$1001,0),1)&gt;=100000,INDEX($AD$1005:$AU$1005,1,MATCH(COLUMNS($AD$1006:AE1006),$AD$1006:$AU$1006,0))&gt;=100000), " ",IF(INDEX($AD$2:$AU$1001,MATCH(ROWS($W$2:W379),$W$2:$W$1001,0),MATCH(COLUMNS($AD$1006:AE1006),$AD$1006:$AU$1006,0)), HYPERLINK("#",""), HYPERLINK(CONCATENATE("#metadata!", ADDRESS(INDEX($Y$2:$Y$1001,MATCH(ROWS($W$2:W379),$W$2:$W$1001,0),0), INDEX($AD$1004:$AU$1004,1,MATCH(COLUMNS($AD$1006:AE1006),$AD$1006:$AU$1006,0)))),"Fix")))</f>
        <v xml:space="preserve"> </v>
      </c>
      <c r="D379" s="4" t="str">
        <f ca="1">IF(OR(INDEX($X$2:$X$1001,MATCH(ROWS($W$2:W379),$W$2:$W$1001,0),1)&gt;=100000,INDEX($AD$1005:$AU$1005,1,MATCH(COLUMNS($AD$1006:AF1006),$AD$1006:$AU$1006,0))&gt;=100000), " ",IF(INDEX($AD$2:$AU$1001,MATCH(ROWS($W$2:W379),$W$2:$W$1001,0),MATCH(COLUMNS($AD$1006:AF1006),$AD$1006:$AU$1006,0)), HYPERLINK("#",""), HYPERLINK(CONCATENATE("#metadata!", ADDRESS(INDEX($Y$2:$Y$1001,MATCH(ROWS($W$2:W379),$W$2:$W$1001,0),0), INDEX($AD$1004:$AU$1004,1,MATCH(COLUMNS($AD$1006:AF1006),$AD$1006:$AU$1006,0)))),"Fix")))</f>
        <v xml:space="preserve"> </v>
      </c>
      <c r="E379" s="4" t="str">
        <f ca="1">IF(OR(INDEX($X$2:$X$1001,MATCH(ROWS($W$2:W379),$W$2:$W$1001,0),1)&gt;=100000,INDEX($AD$1005:$AU$1005,1,MATCH(COLUMNS($AD$1006:AG1006),$AD$1006:$AU$1006,0))&gt;=100000), " ",IF(INDEX($AD$2:$AU$1001,MATCH(ROWS($W$2:W379),$W$2:$W$1001,0),MATCH(COLUMNS($AD$1006:AG1006),$AD$1006:$AU$1006,0)), HYPERLINK("#",""), HYPERLINK(CONCATENATE("#metadata!", ADDRESS(INDEX($Y$2:$Y$1001,MATCH(ROWS($W$2:W379),$W$2:$W$1001,0),0), INDEX($AD$1004:$AU$1004,1,MATCH(COLUMNS($AD$1006:AG1006),$AD$1006:$AU$1006,0)))),"Fix")))</f>
        <v xml:space="preserve"> </v>
      </c>
      <c r="F379" s="4" t="str">
        <f ca="1">IF(OR(INDEX($X$2:$X$1001,MATCH(ROWS($W$2:W379),$W$2:$W$1001,0),1)&gt;=100000,INDEX($AD$1005:$AU$1005,1,MATCH(COLUMNS($AD$1006:AH1006),$AD$1006:$AU$1006,0))&gt;=100000), " ",IF(INDEX($AD$2:$AU$1001,MATCH(ROWS($W$2:W379),$W$2:$W$1001,0),MATCH(COLUMNS($AD$1006:AH1006),$AD$1006:$AU$1006,0)), HYPERLINK("#",""), HYPERLINK(CONCATENATE("#metadata!", ADDRESS(INDEX($Y$2:$Y$1001,MATCH(ROWS($W$2:W379),$W$2:$W$1001,0),0), INDEX($AD$1004:$AU$1004,1,MATCH(COLUMNS($AD$1006:AH1006),$AD$1006:$AU$1006,0)))),"Fix")))</f>
        <v xml:space="preserve"> </v>
      </c>
      <c r="G379" s="4" t="str">
        <f ca="1">IF(OR(INDEX($X$2:$X$1001,MATCH(ROWS($W$2:W379),$W$2:$W$1001,0),1)&gt;=100000,INDEX($AD$1005:$AU$1005,1,MATCH(COLUMNS($AD$1006:AI1006),$AD$1006:$AU$1006,0))&gt;=100000), " ",IF(INDEX($AD$2:$AU$1001,MATCH(ROWS($W$2:W379),$W$2:$W$1001,0),MATCH(COLUMNS($AD$1006:AI1006),$AD$1006:$AU$1006,0)), HYPERLINK("#",""), HYPERLINK(CONCATENATE("#metadata!", ADDRESS(INDEX($Y$2:$Y$1001,MATCH(ROWS($W$2:W379),$W$2:$W$1001,0),0), INDEX($AD$1004:$AU$1004,1,MATCH(COLUMNS($AD$1006:AI1006),$AD$1006:$AU$1006,0)))),"Fix")))</f>
        <v xml:space="preserve"> </v>
      </c>
      <c r="H379" s="4" t="str">
        <f ca="1">IF(OR(INDEX($X$2:$X$1001,MATCH(ROWS($W$2:W379),$W$2:$W$1001,0),1)&gt;=100000,INDEX($AD$1005:$AU$1005,1,MATCH(COLUMNS($AD$1006:AJ1006),$AD$1006:$AU$1006,0))&gt;=100000), " ",IF(INDEX($AD$2:$AU$1001,MATCH(ROWS($W$2:W379),$W$2:$W$1001,0),MATCH(COLUMNS($AD$1006:AJ1006),$AD$1006:$AU$1006,0)), HYPERLINK("#",""), HYPERLINK(CONCATENATE("#metadata!", ADDRESS(INDEX($Y$2:$Y$1001,MATCH(ROWS($W$2:W379),$W$2:$W$1001,0),0), INDEX($AD$1004:$AU$1004,1,MATCH(COLUMNS($AD$1006:AJ1006),$AD$1006:$AU$1006,0)))),"Fix")))</f>
        <v xml:space="preserve"> </v>
      </c>
      <c r="I379" s="4" t="str">
        <f ca="1">IF(OR(INDEX($X$2:$X$1001,MATCH(ROWS($W$2:W379),$W$2:$W$1001,0),1)&gt;=100000,INDEX($AD$1005:$AU$1005,1,MATCH(COLUMNS($AD$1006:AK1006),$AD$1006:$AU$1006,0))&gt;=100000), " ",IF(INDEX($AD$2:$AU$1001,MATCH(ROWS($W$2:W379),$W$2:$W$1001,0),MATCH(COLUMNS($AD$1006:AK1006),$AD$1006:$AU$1006,0)), HYPERLINK("#",""), HYPERLINK(CONCATENATE("#metadata!", ADDRESS(INDEX($Y$2:$Y$1001,MATCH(ROWS($W$2:W379),$W$2:$W$1001,0),0), INDEX($AD$1004:$AU$1004,1,MATCH(COLUMNS($AD$1006:AK1006),$AD$1006:$AU$1006,0)))),"Fix")))</f>
        <v xml:space="preserve"> </v>
      </c>
      <c r="J379" s="4" t="str">
        <f ca="1">IF(OR(INDEX($X$2:$X$1001,MATCH(ROWS($W$2:W379),$W$2:$W$1001,0),1)&gt;=100000,INDEX($AD$1005:$AU$1005,1,MATCH(COLUMNS($AD$1006:AL1006),$AD$1006:$AU$1006,0))&gt;=100000), " ",IF(INDEX($AD$2:$AU$1001,MATCH(ROWS($W$2:W379),$W$2:$W$1001,0),MATCH(COLUMNS($AD$1006:AL1006),$AD$1006:$AU$1006,0)), HYPERLINK("#",""), HYPERLINK(CONCATENATE("#metadata!", ADDRESS(INDEX($Y$2:$Y$1001,MATCH(ROWS($W$2:W379),$W$2:$W$1001,0),0), INDEX($AD$1004:$AU$1004,1,MATCH(COLUMNS($AD$1006:AL1006),$AD$1006:$AU$1006,0)))),"Fix")))</f>
        <v xml:space="preserve"> </v>
      </c>
      <c r="K379" s="4" t="str">
        <f ca="1">IF(OR(INDEX($X$2:$X$1001,MATCH(ROWS($W$2:W379),$W$2:$W$1001,0),1)&gt;=100000,INDEX($AD$1005:$AU$1005,1,MATCH(COLUMNS($AD$1006:AM1006),$AD$1006:$AU$1006,0))&gt;=100000), " ",IF(INDEX($AD$2:$AU$1001,MATCH(ROWS($W$2:W379),$W$2:$W$1001,0),MATCH(COLUMNS($AD$1006:AM1006),$AD$1006:$AU$1006,0)), HYPERLINK("#",""), HYPERLINK(CONCATENATE("#metadata!", ADDRESS(INDEX($Y$2:$Y$1001,MATCH(ROWS($W$2:W379),$W$2:$W$1001,0),0), INDEX($AD$1004:$AU$1004,1,MATCH(COLUMNS($AD$1006:AM1006),$AD$1006:$AU$1006,0)))),"Fix")))</f>
        <v xml:space="preserve"> </v>
      </c>
      <c r="L379" s="4" t="str">
        <f ca="1">IF(OR(INDEX($X$2:$X$1001,MATCH(ROWS($W$2:W379),$W$2:$W$1001,0),1)&gt;=100000,INDEX($AD$1005:$AU$1005,1,MATCH(COLUMNS($AD$1006:AN1006),$AD$1006:$AU$1006,0))&gt;=100000), " ",IF(INDEX($AD$2:$AU$1001,MATCH(ROWS($W$2:W379),$W$2:$W$1001,0),MATCH(COLUMNS($AD$1006:AN1006),$AD$1006:$AU$1006,0)), HYPERLINK("#",""), HYPERLINK(CONCATENATE("#metadata!", ADDRESS(INDEX($Y$2:$Y$1001,MATCH(ROWS($W$2:W379),$W$2:$W$1001,0),0), INDEX($AD$1004:$AU$1004,1,MATCH(COLUMNS($AD$1006:AN1006),$AD$1006:$AU$1006,0)))),"Fix")))</f>
        <v xml:space="preserve"> </v>
      </c>
      <c r="M379" s="4" t="str">
        <f ca="1">IF(OR(INDEX($X$2:$X$1001,MATCH(ROWS($W$2:W379),$W$2:$W$1001,0),1)&gt;=100000,INDEX($AD$1005:$AU$1005,1,MATCH(COLUMNS($AD$1006:AO1006),$AD$1006:$AU$1006,0))&gt;=100000), " ",IF(INDEX($AD$2:$AU$1001,MATCH(ROWS($W$2:W379),$W$2:$W$1001,0),MATCH(COLUMNS($AD$1006:AO1006),$AD$1006:$AU$1006,0)), HYPERLINK("#",""), HYPERLINK(CONCATENATE("#metadata!", ADDRESS(INDEX($Y$2:$Y$1001,MATCH(ROWS($W$2:W379),$W$2:$W$1001,0),0), INDEX($AD$1004:$AU$1004,1,MATCH(COLUMNS($AD$1006:AO1006),$AD$1006:$AU$1006,0)))),"Fix")))</f>
        <v xml:space="preserve"> </v>
      </c>
      <c r="N379" s="4" t="str">
        <f ca="1">IF(OR(INDEX($X$2:$X$1001,MATCH(ROWS($W$2:W379),$W$2:$W$1001,0),1)&gt;=100000,INDEX($AD$1005:$AU$1005,1,MATCH(COLUMNS($AD$1006:AP1006),$AD$1006:$AU$1006,0))&gt;=100000), " ",IF(INDEX($AD$2:$AU$1001,MATCH(ROWS($W$2:W379),$W$2:$W$1001,0),MATCH(COLUMNS($AD$1006:AP1006),$AD$1006:$AU$1006,0)), HYPERLINK("#",""), HYPERLINK(CONCATENATE("#metadata!", ADDRESS(INDEX($Y$2:$Y$1001,MATCH(ROWS($W$2:W379),$W$2:$W$1001,0),0), INDEX($AD$1004:$AU$1004,1,MATCH(COLUMNS($AD$1006:AP1006),$AD$1006:$AU$1006,0)))),"Fix")))</f>
        <v xml:space="preserve"> </v>
      </c>
      <c r="O379" s="4" t="str">
        <f ca="1">IF(OR(INDEX($X$2:$X$1001,MATCH(ROWS($W$2:W379),$W$2:$W$1001,0),1)&gt;=100000,INDEX($AD$1005:$AU$1005,1,MATCH(COLUMNS($AD$1006:AQ1006),$AD$1006:$AU$1006,0))&gt;=100000), " ",IF(INDEX($AD$2:$AU$1001,MATCH(ROWS($W$2:W379),$W$2:$W$1001,0),MATCH(COLUMNS($AD$1006:AQ1006),$AD$1006:$AU$1006,0)), HYPERLINK("#",""), HYPERLINK(CONCATENATE("#metadata!", ADDRESS(INDEX($Y$2:$Y$1001,MATCH(ROWS($W$2:W379),$W$2:$W$1001,0),0), INDEX($AD$1004:$AU$1004,1,MATCH(COLUMNS($AD$1006:AQ1006),$AD$1006:$AU$1006,0)))),"Fix")))</f>
        <v xml:space="preserve"> </v>
      </c>
      <c r="P379" s="4" t="str">
        <f ca="1">IF(OR(INDEX($X$2:$X$1001,MATCH(ROWS($W$2:W379),$W$2:$W$1001,0),1)&gt;=100000,INDEX($AD$1005:$AU$1005,1,MATCH(COLUMNS($AD$1006:AR1006),$AD$1006:$AU$1006,0))&gt;=100000), " ",IF(INDEX($AD$2:$AU$1001,MATCH(ROWS($W$2:W379),$W$2:$W$1001,0),MATCH(COLUMNS($AD$1006:AR1006),$AD$1006:$AU$1006,0)), HYPERLINK("#",""), HYPERLINK(CONCATENATE("#metadata!", ADDRESS(INDEX($Y$2:$Y$1001,MATCH(ROWS($W$2:W379),$W$2:$W$1001,0),0), INDEX($AD$1004:$AU$1004,1,MATCH(COLUMNS($AD$1006:AR1006),$AD$1006:$AU$1006,0)))),"Fix")))</f>
        <v xml:space="preserve"> </v>
      </c>
      <c r="Q379" s="4" t="str">
        <f ca="1">IF(OR(INDEX($X$2:$X$1001,MATCH(ROWS($W$2:W379),$W$2:$W$1001,0),1)&gt;=100000,INDEX($AD$1005:$AU$1005,1,MATCH(COLUMNS($AD$1006:AS1006),$AD$1006:$AU$1006,0))&gt;=100000), " ",IF(INDEX($AD$2:$AU$1001,MATCH(ROWS($W$2:W379),$W$2:$W$1001,0),MATCH(COLUMNS($AD$1006:AS1006),$AD$1006:$AU$1006,0)), HYPERLINK("#",""), HYPERLINK(CONCATENATE("#metadata!", ADDRESS(INDEX($Y$2:$Y$1001,MATCH(ROWS($W$2:W379),$W$2:$W$1001,0),0), INDEX($AD$1004:$AU$1004,1,MATCH(COLUMNS($AD$1006:AS1006),$AD$1006:$AU$1006,0)))),"Fix")))</f>
        <v xml:space="preserve"> </v>
      </c>
      <c r="R379" s="4" t="str">
        <f ca="1">IF(OR(INDEX($X$2:$X$1001,MATCH(ROWS($W$2:W379),$W$2:$W$1001,0),1)&gt;=100000,INDEX($AD$1005:$AU$1005,1,MATCH(COLUMNS($AD$1006:AT1006),$AD$1006:$AU$1006,0))&gt;=100000), " ",IF(INDEX($AD$2:$AU$1001,MATCH(ROWS($W$2:W379),$W$2:$W$1001,0),MATCH(COLUMNS($AD$1006:AT1006),$AD$1006:$AU$1006,0)), HYPERLINK("#",""), HYPERLINK(CONCATENATE("#metadata!", ADDRESS(INDEX($Y$2:$Y$1001,MATCH(ROWS($W$2:W379),$W$2:$W$1001,0),0), INDEX($AD$1004:$AU$1004,1,MATCH(COLUMNS($AD$1006:AT1006),$AD$1006:$AU$1006,0)))),"Fix")))</f>
        <v xml:space="preserve"> </v>
      </c>
      <c r="S379" s="4" t="str">
        <f ca="1">IF(OR(INDEX($X$2:$X$1001,MATCH(ROWS($W$2:W379),$W$2:$W$1001,0),1)&gt;=100000,INDEX($AD$1005:$AU$1005,1,MATCH(COLUMNS($AD$1006:AU1006),$AD$1006:$AU$1006,0))&gt;=100000), " ",IF(INDEX($AD$2:$AU$1001,MATCH(ROWS($W$2:W379),$W$2:$W$1001,0),MATCH(COLUMNS($AD$1006:AU1006),$AD$1006:$AU$1006,0)), HYPERLINK("#",""), HYPERLINK(CONCATENATE("#metadata!", ADDRESS(INDEX($Y$2:$Y$1001,MATCH(ROWS($W$2:W379),$W$2:$W$1001,0),0), INDEX($AD$1004:$AU$1004,1,MATCH(COLUMNS($AD$1006:AU1006),$AD$1006:$AU$1006,0)))),"Fix")))</f>
        <v xml:space="preserve"> </v>
      </c>
      <c r="W379">
        <v>378</v>
      </c>
      <c r="X379">
        <v>100379</v>
      </c>
      <c r="Y379">
        <v>379</v>
      </c>
      <c r="Z379" t="b">
        <f t="shared" si="5"/>
        <v>1</v>
      </c>
      <c r="AA379" t="b">
        <f>COUNTBLANK(metadata!B379:S379)=COLUMNS(metadata!B379:S379)</f>
        <v>1</v>
      </c>
      <c r="AB379" t="str">
        <v/>
      </c>
      <c r="AD379" t="b">
        <f ca="1">AND(IF(metadata!B379="",FALSE,TRUE),COUNTIF(metadata!B:B, metadata!B379) = 1,NOT(ISERROR(SUMPRODUCT(SEARCH(MID(metadata!B379,ROW(INDIRECT("1:"&amp;LEN(metadata!B379))), 1),"0123456789abcdefghijklmnopqrstuvwxyzABCDEFGHIJKLMNOPQRSTUVWXYZ.")))))</f>
        <v>0</v>
      </c>
      <c r="AE379" t="b">
        <f>OR(AND(IF(metadata!C379="",FALSE,TRUE),OR(EXACT(metadata!C379,"not applicable"),EXACT(metadata!C379,"missing: not collected"),EXACT(metadata!C379,"missing: not provided"),EXACT(metadata!C379,"missing: restricted access"))),AND(IF(metadata!C379="",FALSE,ISNUMBER(VALUE(metadata!C379))),metadata!C379&gt;0))</f>
        <v>0</v>
      </c>
      <c r="AF379" t="b">
        <f>AND(IF(metadata!D379="",FALSE,TRUE),EXACT(metadata!D379,"missing: not provided"))</f>
        <v>0</v>
      </c>
      <c r="AG379" t="b">
        <f>AND(IF(metadata!E379="",FALSE,TRUE),EXACT(metadata!E379,"Host-associated"))</f>
        <v>0</v>
      </c>
      <c r="AH379" t="b">
        <f>AND(IF(metadata!F379="",FALSE,TRUE),OR(EXACT(metadata!F379,"Animal"),EXACT(metadata!F379,"Fungus"),EXACT(metadata!F379,"Plant")))</f>
        <v>0</v>
      </c>
      <c r="AI379" t="b">
        <f>AND(IF(metadata!G379="",FALSE,TRUE),OR(EXACT(metadata!G379,"Plant secretion"),EXACT(metadata!G379,"Plant rhizosphere"),EXACT(metadata!G379,"Plant surface"),EXACT(metadata!G379,"Plant corpus"),EXACT(metadata!G379,"Fungus surface"),EXACT(metadata!G379,"Fungus corpus"),EXACT(metadata!G379,"Animal surface"),EXACT(metadata!G379,"Animal proximal gut"),EXACT(metadata!G379,"Animal corpus"),EXACT(metadata!G379,"Animal distal gut"),EXACT(metadata!G379,"Animal secretion")))</f>
        <v>0</v>
      </c>
      <c r="AJ379" t="b">
        <f>OR(AND(IF(metadata!H379="",FALSE,TRUE),OR(EXACT(metadata!H379,"missing: not collected"),EXACT(metadata!H379,"missing: not provided"),EXACT(metadata!H379,"missing: restricted access"))),AND(IF(metadata!H379="",FALSE,TRUE),OR(EXACT(metadata!H379,"organism-associated habitat"),EXACT(metadata!H379,"plant-associated habitat"),EXACT(metadata!H379,"animal-associated habitat"),EXACT(metadata!H379,"insecta-associated habitat"),EXACT(metadata!H379,"mammalia-associated habitat"),EXACT(metadata!H379,"human-associated habitat"),EXACT(metadata!H379,"livestock-associated habitat"))))</f>
        <v>0</v>
      </c>
      <c r="AK379" t="b">
        <f>AND(IF(metadata!I379="",FALSE,TRUE),EXACT(metadata!I379,"host-associated"))</f>
        <v>0</v>
      </c>
      <c r="AL379" t="b">
        <f>OR(AND(IF(metadata!J379="",FALSE,TRUE),OR(EXACT(metadata!J379,"not applicable"),EXACT(metadata!J379,"missing: not collected"),EXACT(metadata!J379,"missing: not provided"),EXACT(metadata!J379,"missing: restricted access"))),AND(IF(metadata!J379="",FALSE,ISNUMBER(VALUE(metadata!J379))),metadata!J379&gt;0))</f>
        <v>0</v>
      </c>
      <c r="AM379" t="b">
        <f>AND(IF(metadata!K379="",FALSE,TRUE),EXACT(metadata!K379,"missing: not provided"))</f>
        <v>0</v>
      </c>
      <c r="AN379" t="b">
        <f>IF(metadata!L379="",FALSE,TRUE)</f>
        <v>0</v>
      </c>
      <c r="AO379" t="b">
        <f>IF(metadata!M379="",FALSE,TRUE)</f>
        <v>0</v>
      </c>
      <c r="AP379" t="b">
        <f>OR(AND(IF(metadata!N379="",FALSE,TRUE),OR(EXACT(metadata!N379,"not applicable"),EXACT(metadata!N379,"missing: not collected"),EXACT(metadata!N379,"missing: not provided"))),AND(IF(metadata!N379="",FALSE,IF(ISERROR(INT(metadata!N379)),FALSE,INT(metadata!N379)=metadata!N379)),metadata!N379&gt;0))</f>
        <v>0</v>
      </c>
      <c r="AQ379" t="b">
        <f>AND(IF(metadata!O379="",FALSE,TRUE),EXACT(metadata!O379,"Not applicable"))</f>
        <v>0</v>
      </c>
      <c r="AR379" t="b">
        <f>OR(AND(IF(metadata!P379="",FALSE,TRUE),OR(EXACT(metadata!P379,"not applicable"),EXACT(metadata!P379,"missing: not collected"),EXACT(metadata!P379,"missing: not provided"),EXACT(metadata!P379,"missing: restricted access"))),IF(metadata!P379="",FALSE,IF(ISERROR(INT(metadata!P379)),FALSE,INT(metadata!P379)=metadata!P379)))</f>
        <v>0</v>
      </c>
      <c r="AS379" t="b">
        <f>AND(IF(metadata!Q379="",FALSE,TRUE),EXACT(metadata!Q379,"Not applicable"))</f>
        <v>0</v>
      </c>
      <c r="AT379" t="b">
        <f>OR(AND(IF(metadata!R379="",FALSE,TRUE),OR(EXACT(metadata!R379,"not applicable"),EXACT(metadata!R379,"missing: not collected"),EXACT(metadata!R379,"missing: not provided"),EXACT(metadata!R379,"missing: restricted access"))),AND(IF(metadata!R379="",FALSE,ISNUMBER(VALUE(metadata!R379))),metadata!R379&gt;0))</f>
        <v>0</v>
      </c>
      <c r="AU379" t="b">
        <f>AND(IF(metadata!S379="",FALSE,TRUE),EXACT(metadata!S379,"missing: not provided"))</f>
        <v>0</v>
      </c>
    </row>
    <row r="380" spans="1:47" x14ac:dyDescent="0.2">
      <c r="A380" s="5" t="str">
        <f ca="1">IF(B380=" "," ",HYPERLINK(CONCATENATE("#metadata!",ADDRESS(INDEX($Y$2:$Y$1001,MATCH(ROWS($W$2:W380),$W$2:$W$1001,0),0),1)),INDEX($AB$2:$AB$1001,MATCH(ROWS($W$2:W380),$W$2:$W$1001,0),0)))</f>
        <v xml:space="preserve"> </v>
      </c>
      <c r="B380" s="4" t="str">
        <f ca="1">IF(OR(INDEX($X$2:$X$1001,MATCH(ROWS($W$2:W380),$W$2:$W$1001,0),1)&gt;=100000,INDEX($AD$1005:$AU$1005,1,MATCH(COLUMNS($AD$1006:AD1006),$AD$1006:$AU$1006,0))&gt;=100000), " ",IF(INDEX($AD$2:$AU$1001,MATCH(ROWS($W$2:W380),$W$2:$W$1001,0),MATCH(COLUMNS($AD$1006:AD1006),$AD$1006:$AU$1006,0)), HYPERLINK("#",""), HYPERLINK(CONCATENATE("#metadata!", ADDRESS(INDEX($Y$2:$Y$1001,MATCH(ROWS($W$2:W380),$W$2:$W$1001,0),0), INDEX($AD$1004:$AU$1004,1,MATCH(COLUMNS($AD$1006:AD1006),$AD$1006:$AU$1006,0)))),"Fix")))</f>
        <v xml:space="preserve"> </v>
      </c>
      <c r="C380" s="4" t="str">
        <f ca="1">IF(OR(INDEX($X$2:$X$1001,MATCH(ROWS($W$2:W380),$W$2:$W$1001,0),1)&gt;=100000,INDEX($AD$1005:$AU$1005,1,MATCH(COLUMNS($AD$1006:AE1006),$AD$1006:$AU$1006,0))&gt;=100000), " ",IF(INDEX($AD$2:$AU$1001,MATCH(ROWS($W$2:W380),$W$2:$W$1001,0),MATCH(COLUMNS($AD$1006:AE1006),$AD$1006:$AU$1006,0)), HYPERLINK("#",""), HYPERLINK(CONCATENATE("#metadata!", ADDRESS(INDEX($Y$2:$Y$1001,MATCH(ROWS($W$2:W380),$W$2:$W$1001,0),0), INDEX($AD$1004:$AU$1004,1,MATCH(COLUMNS($AD$1006:AE1006),$AD$1006:$AU$1006,0)))),"Fix")))</f>
        <v xml:space="preserve"> </v>
      </c>
      <c r="D380" s="4" t="str">
        <f ca="1">IF(OR(INDEX($X$2:$X$1001,MATCH(ROWS($W$2:W380),$W$2:$W$1001,0),1)&gt;=100000,INDEX($AD$1005:$AU$1005,1,MATCH(COLUMNS($AD$1006:AF1006),$AD$1006:$AU$1006,0))&gt;=100000), " ",IF(INDEX($AD$2:$AU$1001,MATCH(ROWS($W$2:W380),$W$2:$W$1001,0),MATCH(COLUMNS($AD$1006:AF1006),$AD$1006:$AU$1006,0)), HYPERLINK("#",""), HYPERLINK(CONCATENATE("#metadata!", ADDRESS(INDEX($Y$2:$Y$1001,MATCH(ROWS($W$2:W380),$W$2:$W$1001,0),0), INDEX($AD$1004:$AU$1004,1,MATCH(COLUMNS($AD$1006:AF1006),$AD$1006:$AU$1006,0)))),"Fix")))</f>
        <v xml:space="preserve"> </v>
      </c>
      <c r="E380" s="4" t="str">
        <f ca="1">IF(OR(INDEX($X$2:$X$1001,MATCH(ROWS($W$2:W380),$W$2:$W$1001,0),1)&gt;=100000,INDEX($AD$1005:$AU$1005,1,MATCH(COLUMNS($AD$1006:AG1006),$AD$1006:$AU$1006,0))&gt;=100000), " ",IF(INDEX($AD$2:$AU$1001,MATCH(ROWS($W$2:W380),$W$2:$W$1001,0),MATCH(COLUMNS($AD$1006:AG1006),$AD$1006:$AU$1006,0)), HYPERLINK("#",""), HYPERLINK(CONCATENATE("#metadata!", ADDRESS(INDEX($Y$2:$Y$1001,MATCH(ROWS($W$2:W380),$W$2:$W$1001,0),0), INDEX($AD$1004:$AU$1004,1,MATCH(COLUMNS($AD$1006:AG1006),$AD$1006:$AU$1006,0)))),"Fix")))</f>
        <v xml:space="preserve"> </v>
      </c>
      <c r="F380" s="4" t="str">
        <f ca="1">IF(OR(INDEX($X$2:$X$1001,MATCH(ROWS($W$2:W380),$W$2:$W$1001,0),1)&gt;=100000,INDEX($AD$1005:$AU$1005,1,MATCH(COLUMNS($AD$1006:AH1006),$AD$1006:$AU$1006,0))&gt;=100000), " ",IF(INDEX($AD$2:$AU$1001,MATCH(ROWS($W$2:W380),$W$2:$W$1001,0),MATCH(COLUMNS($AD$1006:AH1006),$AD$1006:$AU$1006,0)), HYPERLINK("#",""), HYPERLINK(CONCATENATE("#metadata!", ADDRESS(INDEX($Y$2:$Y$1001,MATCH(ROWS($W$2:W380),$W$2:$W$1001,0),0), INDEX($AD$1004:$AU$1004,1,MATCH(COLUMNS($AD$1006:AH1006),$AD$1006:$AU$1006,0)))),"Fix")))</f>
        <v xml:space="preserve"> </v>
      </c>
      <c r="G380" s="4" t="str">
        <f ca="1">IF(OR(INDEX($X$2:$X$1001,MATCH(ROWS($W$2:W380),$W$2:$W$1001,0),1)&gt;=100000,INDEX($AD$1005:$AU$1005,1,MATCH(COLUMNS($AD$1006:AI1006),$AD$1006:$AU$1006,0))&gt;=100000), " ",IF(INDEX($AD$2:$AU$1001,MATCH(ROWS($W$2:W380),$W$2:$W$1001,0),MATCH(COLUMNS($AD$1006:AI1006),$AD$1006:$AU$1006,0)), HYPERLINK("#",""), HYPERLINK(CONCATENATE("#metadata!", ADDRESS(INDEX($Y$2:$Y$1001,MATCH(ROWS($W$2:W380),$W$2:$W$1001,0),0), INDEX($AD$1004:$AU$1004,1,MATCH(COLUMNS($AD$1006:AI1006),$AD$1006:$AU$1006,0)))),"Fix")))</f>
        <v xml:space="preserve"> </v>
      </c>
      <c r="H380" s="4" t="str">
        <f ca="1">IF(OR(INDEX($X$2:$X$1001,MATCH(ROWS($W$2:W380),$W$2:$W$1001,0),1)&gt;=100000,INDEX($AD$1005:$AU$1005,1,MATCH(COLUMNS($AD$1006:AJ1006),$AD$1006:$AU$1006,0))&gt;=100000), " ",IF(INDEX($AD$2:$AU$1001,MATCH(ROWS($W$2:W380),$W$2:$W$1001,0),MATCH(COLUMNS($AD$1006:AJ1006),$AD$1006:$AU$1006,0)), HYPERLINK("#",""), HYPERLINK(CONCATENATE("#metadata!", ADDRESS(INDEX($Y$2:$Y$1001,MATCH(ROWS($W$2:W380),$W$2:$W$1001,0),0), INDEX($AD$1004:$AU$1004,1,MATCH(COLUMNS($AD$1006:AJ1006),$AD$1006:$AU$1006,0)))),"Fix")))</f>
        <v xml:space="preserve"> </v>
      </c>
      <c r="I380" s="4" t="str">
        <f ca="1">IF(OR(INDEX($X$2:$X$1001,MATCH(ROWS($W$2:W380),$W$2:$W$1001,0),1)&gt;=100000,INDEX($AD$1005:$AU$1005,1,MATCH(COLUMNS($AD$1006:AK1006),$AD$1006:$AU$1006,0))&gt;=100000), " ",IF(INDEX($AD$2:$AU$1001,MATCH(ROWS($W$2:W380),$W$2:$W$1001,0),MATCH(COLUMNS($AD$1006:AK1006),$AD$1006:$AU$1006,0)), HYPERLINK("#",""), HYPERLINK(CONCATENATE("#metadata!", ADDRESS(INDEX($Y$2:$Y$1001,MATCH(ROWS($W$2:W380),$W$2:$W$1001,0),0), INDEX($AD$1004:$AU$1004,1,MATCH(COLUMNS($AD$1006:AK1006),$AD$1006:$AU$1006,0)))),"Fix")))</f>
        <v xml:space="preserve"> </v>
      </c>
      <c r="J380" s="4" t="str">
        <f ca="1">IF(OR(INDEX($X$2:$X$1001,MATCH(ROWS($W$2:W380),$W$2:$W$1001,0),1)&gt;=100000,INDEX($AD$1005:$AU$1005,1,MATCH(COLUMNS($AD$1006:AL1006),$AD$1006:$AU$1006,0))&gt;=100000), " ",IF(INDEX($AD$2:$AU$1001,MATCH(ROWS($W$2:W380),$W$2:$W$1001,0),MATCH(COLUMNS($AD$1006:AL1006),$AD$1006:$AU$1006,0)), HYPERLINK("#",""), HYPERLINK(CONCATENATE("#metadata!", ADDRESS(INDEX($Y$2:$Y$1001,MATCH(ROWS($W$2:W380),$W$2:$W$1001,0),0), INDEX($AD$1004:$AU$1004,1,MATCH(COLUMNS($AD$1006:AL1006),$AD$1006:$AU$1006,0)))),"Fix")))</f>
        <v xml:space="preserve"> </v>
      </c>
      <c r="K380" s="4" t="str">
        <f ca="1">IF(OR(INDEX($X$2:$X$1001,MATCH(ROWS($W$2:W380),$W$2:$W$1001,0),1)&gt;=100000,INDEX($AD$1005:$AU$1005,1,MATCH(COLUMNS($AD$1006:AM1006),$AD$1006:$AU$1006,0))&gt;=100000), " ",IF(INDEX($AD$2:$AU$1001,MATCH(ROWS($W$2:W380),$W$2:$W$1001,0),MATCH(COLUMNS($AD$1006:AM1006),$AD$1006:$AU$1006,0)), HYPERLINK("#",""), HYPERLINK(CONCATENATE("#metadata!", ADDRESS(INDEX($Y$2:$Y$1001,MATCH(ROWS($W$2:W380),$W$2:$W$1001,0),0), INDEX($AD$1004:$AU$1004,1,MATCH(COLUMNS($AD$1006:AM1006),$AD$1006:$AU$1006,0)))),"Fix")))</f>
        <v xml:space="preserve"> </v>
      </c>
      <c r="L380" s="4" t="str">
        <f ca="1">IF(OR(INDEX($X$2:$X$1001,MATCH(ROWS($W$2:W380),$W$2:$W$1001,0),1)&gt;=100000,INDEX($AD$1005:$AU$1005,1,MATCH(COLUMNS($AD$1006:AN1006),$AD$1006:$AU$1006,0))&gt;=100000), " ",IF(INDEX($AD$2:$AU$1001,MATCH(ROWS($W$2:W380),$W$2:$W$1001,0),MATCH(COLUMNS($AD$1006:AN1006),$AD$1006:$AU$1006,0)), HYPERLINK("#",""), HYPERLINK(CONCATENATE("#metadata!", ADDRESS(INDEX($Y$2:$Y$1001,MATCH(ROWS($W$2:W380),$W$2:$W$1001,0),0), INDEX($AD$1004:$AU$1004,1,MATCH(COLUMNS($AD$1006:AN1006),$AD$1006:$AU$1006,0)))),"Fix")))</f>
        <v xml:space="preserve"> </v>
      </c>
      <c r="M380" s="4" t="str">
        <f ca="1">IF(OR(INDEX($X$2:$X$1001,MATCH(ROWS($W$2:W380),$W$2:$W$1001,0),1)&gt;=100000,INDEX($AD$1005:$AU$1005,1,MATCH(COLUMNS($AD$1006:AO1006),$AD$1006:$AU$1006,0))&gt;=100000), " ",IF(INDEX($AD$2:$AU$1001,MATCH(ROWS($W$2:W380),$W$2:$W$1001,0),MATCH(COLUMNS($AD$1006:AO1006),$AD$1006:$AU$1006,0)), HYPERLINK("#",""), HYPERLINK(CONCATENATE("#metadata!", ADDRESS(INDEX($Y$2:$Y$1001,MATCH(ROWS($W$2:W380),$W$2:$W$1001,0),0), INDEX($AD$1004:$AU$1004,1,MATCH(COLUMNS($AD$1006:AO1006),$AD$1006:$AU$1006,0)))),"Fix")))</f>
        <v xml:space="preserve"> </v>
      </c>
      <c r="N380" s="4" t="str">
        <f ca="1">IF(OR(INDEX($X$2:$X$1001,MATCH(ROWS($W$2:W380),$W$2:$W$1001,0),1)&gt;=100000,INDEX($AD$1005:$AU$1005,1,MATCH(COLUMNS($AD$1006:AP1006),$AD$1006:$AU$1006,0))&gt;=100000), " ",IF(INDEX($AD$2:$AU$1001,MATCH(ROWS($W$2:W380),$W$2:$W$1001,0),MATCH(COLUMNS($AD$1006:AP1006),$AD$1006:$AU$1006,0)), HYPERLINK("#",""), HYPERLINK(CONCATENATE("#metadata!", ADDRESS(INDEX($Y$2:$Y$1001,MATCH(ROWS($W$2:W380),$W$2:$W$1001,0),0), INDEX($AD$1004:$AU$1004,1,MATCH(COLUMNS($AD$1006:AP1006),$AD$1006:$AU$1006,0)))),"Fix")))</f>
        <v xml:space="preserve"> </v>
      </c>
      <c r="O380" s="4" t="str">
        <f ca="1">IF(OR(INDEX($X$2:$X$1001,MATCH(ROWS($W$2:W380),$W$2:$W$1001,0),1)&gt;=100000,INDEX($AD$1005:$AU$1005,1,MATCH(COLUMNS($AD$1006:AQ1006),$AD$1006:$AU$1006,0))&gt;=100000), " ",IF(INDEX($AD$2:$AU$1001,MATCH(ROWS($W$2:W380),$W$2:$W$1001,0),MATCH(COLUMNS($AD$1006:AQ1006),$AD$1006:$AU$1006,0)), HYPERLINK("#",""), HYPERLINK(CONCATENATE("#metadata!", ADDRESS(INDEX($Y$2:$Y$1001,MATCH(ROWS($W$2:W380),$W$2:$W$1001,0),0), INDEX($AD$1004:$AU$1004,1,MATCH(COLUMNS($AD$1006:AQ1006),$AD$1006:$AU$1006,0)))),"Fix")))</f>
        <v xml:space="preserve"> </v>
      </c>
      <c r="P380" s="4" t="str">
        <f ca="1">IF(OR(INDEX($X$2:$X$1001,MATCH(ROWS($W$2:W380),$W$2:$W$1001,0),1)&gt;=100000,INDEX($AD$1005:$AU$1005,1,MATCH(COLUMNS($AD$1006:AR1006),$AD$1006:$AU$1006,0))&gt;=100000), " ",IF(INDEX($AD$2:$AU$1001,MATCH(ROWS($W$2:W380),$W$2:$W$1001,0),MATCH(COLUMNS($AD$1006:AR1006),$AD$1006:$AU$1006,0)), HYPERLINK("#",""), HYPERLINK(CONCATENATE("#metadata!", ADDRESS(INDEX($Y$2:$Y$1001,MATCH(ROWS($W$2:W380),$W$2:$W$1001,0),0), INDEX($AD$1004:$AU$1004,1,MATCH(COLUMNS($AD$1006:AR1006),$AD$1006:$AU$1006,0)))),"Fix")))</f>
        <v xml:space="preserve"> </v>
      </c>
      <c r="Q380" s="4" t="str">
        <f ca="1">IF(OR(INDEX($X$2:$X$1001,MATCH(ROWS($W$2:W380),$W$2:$W$1001,0),1)&gt;=100000,INDEX($AD$1005:$AU$1005,1,MATCH(COLUMNS($AD$1006:AS1006),$AD$1006:$AU$1006,0))&gt;=100000), " ",IF(INDEX($AD$2:$AU$1001,MATCH(ROWS($W$2:W380),$W$2:$W$1001,0),MATCH(COLUMNS($AD$1006:AS1006),$AD$1006:$AU$1006,0)), HYPERLINK("#",""), HYPERLINK(CONCATENATE("#metadata!", ADDRESS(INDEX($Y$2:$Y$1001,MATCH(ROWS($W$2:W380),$W$2:$W$1001,0),0), INDEX($AD$1004:$AU$1004,1,MATCH(COLUMNS($AD$1006:AS1006),$AD$1006:$AU$1006,0)))),"Fix")))</f>
        <v xml:space="preserve"> </v>
      </c>
      <c r="R380" s="4" t="str">
        <f ca="1">IF(OR(INDEX($X$2:$X$1001,MATCH(ROWS($W$2:W380),$W$2:$W$1001,0),1)&gt;=100000,INDEX($AD$1005:$AU$1005,1,MATCH(COLUMNS($AD$1006:AT1006),$AD$1006:$AU$1006,0))&gt;=100000), " ",IF(INDEX($AD$2:$AU$1001,MATCH(ROWS($W$2:W380),$W$2:$W$1001,0),MATCH(COLUMNS($AD$1006:AT1006),$AD$1006:$AU$1006,0)), HYPERLINK("#",""), HYPERLINK(CONCATENATE("#metadata!", ADDRESS(INDEX($Y$2:$Y$1001,MATCH(ROWS($W$2:W380),$W$2:$W$1001,0),0), INDEX($AD$1004:$AU$1004,1,MATCH(COLUMNS($AD$1006:AT1006),$AD$1006:$AU$1006,0)))),"Fix")))</f>
        <v xml:space="preserve"> </v>
      </c>
      <c r="S380" s="4" t="str">
        <f ca="1">IF(OR(INDEX($X$2:$X$1001,MATCH(ROWS($W$2:W380),$W$2:$W$1001,0),1)&gt;=100000,INDEX($AD$1005:$AU$1005,1,MATCH(COLUMNS($AD$1006:AU1006),$AD$1006:$AU$1006,0))&gt;=100000), " ",IF(INDEX($AD$2:$AU$1001,MATCH(ROWS($W$2:W380),$W$2:$W$1001,0),MATCH(COLUMNS($AD$1006:AU1006),$AD$1006:$AU$1006,0)), HYPERLINK("#",""), HYPERLINK(CONCATENATE("#metadata!", ADDRESS(INDEX($Y$2:$Y$1001,MATCH(ROWS($W$2:W380),$W$2:$W$1001,0),0), INDEX($AD$1004:$AU$1004,1,MATCH(COLUMNS($AD$1006:AU1006),$AD$1006:$AU$1006,0)))),"Fix")))</f>
        <v xml:space="preserve"> </v>
      </c>
      <c r="W380">
        <v>379</v>
      </c>
      <c r="X380">
        <v>100380</v>
      </c>
      <c r="Y380">
        <v>380</v>
      </c>
      <c r="Z380" t="b">
        <f t="shared" si="5"/>
        <v>1</v>
      </c>
      <c r="AA380" t="b">
        <f>COUNTBLANK(metadata!B380:S380)=COLUMNS(metadata!B380:S380)</f>
        <v>1</v>
      </c>
      <c r="AB380" t="str">
        <v/>
      </c>
      <c r="AD380" t="b">
        <f ca="1">AND(IF(metadata!B380="",FALSE,TRUE),COUNTIF(metadata!B:B, metadata!B380) = 1,NOT(ISERROR(SUMPRODUCT(SEARCH(MID(metadata!B380,ROW(INDIRECT("1:"&amp;LEN(metadata!B380))), 1),"0123456789abcdefghijklmnopqrstuvwxyzABCDEFGHIJKLMNOPQRSTUVWXYZ.")))))</f>
        <v>0</v>
      </c>
      <c r="AE380" t="b">
        <f>OR(AND(IF(metadata!C380="",FALSE,TRUE),OR(EXACT(metadata!C380,"not applicable"),EXACT(metadata!C380,"missing: not collected"),EXACT(metadata!C380,"missing: not provided"),EXACT(metadata!C380,"missing: restricted access"))),AND(IF(metadata!C380="",FALSE,ISNUMBER(VALUE(metadata!C380))),metadata!C380&gt;0))</f>
        <v>0</v>
      </c>
      <c r="AF380" t="b">
        <f>AND(IF(metadata!D380="",FALSE,TRUE),EXACT(metadata!D380,"missing: not provided"))</f>
        <v>0</v>
      </c>
      <c r="AG380" t="b">
        <f>AND(IF(metadata!E380="",FALSE,TRUE),EXACT(metadata!E380,"Host-associated"))</f>
        <v>0</v>
      </c>
      <c r="AH380" t="b">
        <f>AND(IF(metadata!F380="",FALSE,TRUE),OR(EXACT(metadata!F380,"Animal"),EXACT(metadata!F380,"Fungus"),EXACT(metadata!F380,"Plant")))</f>
        <v>0</v>
      </c>
      <c r="AI380" t="b">
        <f>AND(IF(metadata!G380="",FALSE,TRUE),OR(EXACT(metadata!G380,"Plant secretion"),EXACT(metadata!G380,"Plant rhizosphere"),EXACT(metadata!G380,"Plant surface"),EXACT(metadata!G380,"Plant corpus"),EXACT(metadata!G380,"Fungus surface"),EXACT(metadata!G380,"Fungus corpus"),EXACT(metadata!G380,"Animal surface"),EXACT(metadata!G380,"Animal proximal gut"),EXACT(metadata!G380,"Animal corpus"),EXACT(metadata!G380,"Animal distal gut"),EXACT(metadata!G380,"Animal secretion")))</f>
        <v>0</v>
      </c>
      <c r="AJ380" t="b">
        <f>OR(AND(IF(metadata!H380="",FALSE,TRUE),OR(EXACT(metadata!H380,"missing: not collected"),EXACT(metadata!H380,"missing: not provided"),EXACT(metadata!H380,"missing: restricted access"))),AND(IF(metadata!H380="",FALSE,TRUE),OR(EXACT(metadata!H380,"organism-associated habitat"),EXACT(metadata!H380,"plant-associated habitat"),EXACT(metadata!H380,"animal-associated habitat"),EXACT(metadata!H380,"insecta-associated habitat"),EXACT(metadata!H380,"mammalia-associated habitat"),EXACT(metadata!H380,"human-associated habitat"),EXACT(metadata!H380,"livestock-associated habitat"))))</f>
        <v>0</v>
      </c>
      <c r="AK380" t="b">
        <f>AND(IF(metadata!I380="",FALSE,TRUE),EXACT(metadata!I380,"host-associated"))</f>
        <v>0</v>
      </c>
      <c r="AL380" t="b">
        <f>OR(AND(IF(metadata!J380="",FALSE,TRUE),OR(EXACT(metadata!J380,"not applicable"),EXACT(metadata!J380,"missing: not collected"),EXACT(metadata!J380,"missing: not provided"),EXACT(metadata!J380,"missing: restricted access"))),AND(IF(metadata!J380="",FALSE,ISNUMBER(VALUE(metadata!J380))),metadata!J380&gt;0))</f>
        <v>0</v>
      </c>
      <c r="AM380" t="b">
        <f>AND(IF(metadata!K380="",FALSE,TRUE),EXACT(metadata!K380,"missing: not provided"))</f>
        <v>0</v>
      </c>
      <c r="AN380" t="b">
        <f>IF(metadata!L380="",FALSE,TRUE)</f>
        <v>0</v>
      </c>
      <c r="AO380" t="b">
        <f>IF(metadata!M380="",FALSE,TRUE)</f>
        <v>0</v>
      </c>
      <c r="AP380" t="b">
        <f>OR(AND(IF(metadata!N380="",FALSE,TRUE),OR(EXACT(metadata!N380,"not applicable"),EXACT(metadata!N380,"missing: not collected"),EXACT(metadata!N380,"missing: not provided"))),AND(IF(metadata!N380="",FALSE,IF(ISERROR(INT(metadata!N380)),FALSE,INT(metadata!N380)=metadata!N380)),metadata!N380&gt;0))</f>
        <v>0</v>
      </c>
      <c r="AQ380" t="b">
        <f>AND(IF(metadata!O380="",FALSE,TRUE),EXACT(metadata!O380,"Not applicable"))</f>
        <v>0</v>
      </c>
      <c r="AR380" t="b">
        <f>OR(AND(IF(metadata!P380="",FALSE,TRUE),OR(EXACT(metadata!P380,"not applicable"),EXACT(metadata!P380,"missing: not collected"),EXACT(metadata!P380,"missing: not provided"),EXACT(metadata!P380,"missing: restricted access"))),IF(metadata!P380="",FALSE,IF(ISERROR(INT(metadata!P380)),FALSE,INT(metadata!P380)=metadata!P380)))</f>
        <v>0</v>
      </c>
      <c r="AS380" t="b">
        <f>AND(IF(metadata!Q380="",FALSE,TRUE),EXACT(metadata!Q380,"Not applicable"))</f>
        <v>0</v>
      </c>
      <c r="AT380" t="b">
        <f>OR(AND(IF(metadata!R380="",FALSE,TRUE),OR(EXACT(metadata!R380,"not applicable"),EXACT(metadata!R380,"missing: not collected"),EXACT(metadata!R380,"missing: not provided"),EXACT(metadata!R380,"missing: restricted access"))),AND(IF(metadata!R380="",FALSE,ISNUMBER(VALUE(metadata!R380))),metadata!R380&gt;0))</f>
        <v>0</v>
      </c>
      <c r="AU380" t="b">
        <f>AND(IF(metadata!S380="",FALSE,TRUE),EXACT(metadata!S380,"missing: not provided"))</f>
        <v>0</v>
      </c>
    </row>
    <row r="381" spans="1:47" x14ac:dyDescent="0.2">
      <c r="A381" s="5" t="str">
        <f ca="1">IF(B381=" "," ",HYPERLINK(CONCATENATE("#metadata!",ADDRESS(INDEX($Y$2:$Y$1001,MATCH(ROWS($W$2:W381),$W$2:$W$1001,0),0),1)),INDEX($AB$2:$AB$1001,MATCH(ROWS($W$2:W381),$W$2:$W$1001,0),0)))</f>
        <v xml:space="preserve"> </v>
      </c>
      <c r="B381" s="4" t="str">
        <f ca="1">IF(OR(INDEX($X$2:$X$1001,MATCH(ROWS($W$2:W381),$W$2:$W$1001,0),1)&gt;=100000,INDEX($AD$1005:$AU$1005,1,MATCH(COLUMNS($AD$1006:AD1006),$AD$1006:$AU$1006,0))&gt;=100000), " ",IF(INDEX($AD$2:$AU$1001,MATCH(ROWS($W$2:W381),$W$2:$W$1001,0),MATCH(COLUMNS($AD$1006:AD1006),$AD$1006:$AU$1006,0)), HYPERLINK("#",""), HYPERLINK(CONCATENATE("#metadata!", ADDRESS(INDEX($Y$2:$Y$1001,MATCH(ROWS($W$2:W381),$W$2:$W$1001,0),0), INDEX($AD$1004:$AU$1004,1,MATCH(COLUMNS($AD$1006:AD1006),$AD$1006:$AU$1006,0)))),"Fix")))</f>
        <v xml:space="preserve"> </v>
      </c>
      <c r="C381" s="4" t="str">
        <f ca="1">IF(OR(INDEX($X$2:$X$1001,MATCH(ROWS($W$2:W381),$W$2:$W$1001,0),1)&gt;=100000,INDEX($AD$1005:$AU$1005,1,MATCH(COLUMNS($AD$1006:AE1006),$AD$1006:$AU$1006,0))&gt;=100000), " ",IF(INDEX($AD$2:$AU$1001,MATCH(ROWS($W$2:W381),$W$2:$W$1001,0),MATCH(COLUMNS($AD$1006:AE1006),$AD$1006:$AU$1006,0)), HYPERLINK("#",""), HYPERLINK(CONCATENATE("#metadata!", ADDRESS(INDEX($Y$2:$Y$1001,MATCH(ROWS($W$2:W381),$W$2:$W$1001,0),0), INDEX($AD$1004:$AU$1004,1,MATCH(COLUMNS($AD$1006:AE1006),$AD$1006:$AU$1006,0)))),"Fix")))</f>
        <v xml:space="preserve"> </v>
      </c>
      <c r="D381" s="4" t="str">
        <f ca="1">IF(OR(INDEX($X$2:$X$1001,MATCH(ROWS($W$2:W381),$W$2:$W$1001,0),1)&gt;=100000,INDEX($AD$1005:$AU$1005,1,MATCH(COLUMNS($AD$1006:AF1006),$AD$1006:$AU$1006,0))&gt;=100000), " ",IF(INDEX($AD$2:$AU$1001,MATCH(ROWS($W$2:W381),$W$2:$W$1001,0),MATCH(COLUMNS($AD$1006:AF1006),$AD$1006:$AU$1006,0)), HYPERLINK("#",""), HYPERLINK(CONCATENATE("#metadata!", ADDRESS(INDEX($Y$2:$Y$1001,MATCH(ROWS($W$2:W381),$W$2:$W$1001,0),0), INDEX($AD$1004:$AU$1004,1,MATCH(COLUMNS($AD$1006:AF1006),$AD$1006:$AU$1006,0)))),"Fix")))</f>
        <v xml:space="preserve"> </v>
      </c>
      <c r="E381" s="4" t="str">
        <f ca="1">IF(OR(INDEX($X$2:$X$1001,MATCH(ROWS($W$2:W381),$W$2:$W$1001,0),1)&gt;=100000,INDEX($AD$1005:$AU$1005,1,MATCH(COLUMNS($AD$1006:AG1006),$AD$1006:$AU$1006,0))&gt;=100000), " ",IF(INDEX($AD$2:$AU$1001,MATCH(ROWS($W$2:W381),$W$2:$W$1001,0),MATCH(COLUMNS($AD$1006:AG1006),$AD$1006:$AU$1006,0)), HYPERLINK("#",""), HYPERLINK(CONCATENATE("#metadata!", ADDRESS(INDEX($Y$2:$Y$1001,MATCH(ROWS($W$2:W381),$W$2:$W$1001,0),0), INDEX($AD$1004:$AU$1004,1,MATCH(COLUMNS($AD$1006:AG1006),$AD$1006:$AU$1006,0)))),"Fix")))</f>
        <v xml:space="preserve"> </v>
      </c>
      <c r="F381" s="4" t="str">
        <f ca="1">IF(OR(INDEX($X$2:$X$1001,MATCH(ROWS($W$2:W381),$W$2:$W$1001,0),1)&gt;=100000,INDEX($AD$1005:$AU$1005,1,MATCH(COLUMNS($AD$1006:AH1006),$AD$1006:$AU$1006,0))&gt;=100000), " ",IF(INDEX($AD$2:$AU$1001,MATCH(ROWS($W$2:W381),$W$2:$W$1001,0),MATCH(COLUMNS($AD$1006:AH1006),$AD$1006:$AU$1006,0)), HYPERLINK("#",""), HYPERLINK(CONCATENATE("#metadata!", ADDRESS(INDEX($Y$2:$Y$1001,MATCH(ROWS($W$2:W381),$W$2:$W$1001,0),0), INDEX($AD$1004:$AU$1004,1,MATCH(COLUMNS($AD$1006:AH1006),$AD$1006:$AU$1006,0)))),"Fix")))</f>
        <v xml:space="preserve"> </v>
      </c>
      <c r="G381" s="4" t="str">
        <f ca="1">IF(OR(INDEX($X$2:$X$1001,MATCH(ROWS($W$2:W381),$W$2:$W$1001,0),1)&gt;=100000,INDEX($AD$1005:$AU$1005,1,MATCH(COLUMNS($AD$1006:AI1006),$AD$1006:$AU$1006,0))&gt;=100000), " ",IF(INDEX($AD$2:$AU$1001,MATCH(ROWS($W$2:W381),$W$2:$W$1001,0),MATCH(COLUMNS($AD$1006:AI1006),$AD$1006:$AU$1006,0)), HYPERLINK("#",""), HYPERLINK(CONCATENATE("#metadata!", ADDRESS(INDEX($Y$2:$Y$1001,MATCH(ROWS($W$2:W381),$W$2:$W$1001,0),0), INDEX($AD$1004:$AU$1004,1,MATCH(COLUMNS($AD$1006:AI1006),$AD$1006:$AU$1006,0)))),"Fix")))</f>
        <v xml:space="preserve"> </v>
      </c>
      <c r="H381" s="4" t="str">
        <f ca="1">IF(OR(INDEX($X$2:$X$1001,MATCH(ROWS($W$2:W381),$W$2:$W$1001,0),1)&gt;=100000,INDEX($AD$1005:$AU$1005,1,MATCH(COLUMNS($AD$1006:AJ1006),$AD$1006:$AU$1006,0))&gt;=100000), " ",IF(INDEX($AD$2:$AU$1001,MATCH(ROWS($W$2:W381),$W$2:$W$1001,0),MATCH(COLUMNS($AD$1006:AJ1006),$AD$1006:$AU$1006,0)), HYPERLINK("#",""), HYPERLINK(CONCATENATE("#metadata!", ADDRESS(INDEX($Y$2:$Y$1001,MATCH(ROWS($W$2:W381),$W$2:$W$1001,0),0), INDEX($AD$1004:$AU$1004,1,MATCH(COLUMNS($AD$1006:AJ1006),$AD$1006:$AU$1006,0)))),"Fix")))</f>
        <v xml:space="preserve"> </v>
      </c>
      <c r="I381" s="4" t="str">
        <f ca="1">IF(OR(INDEX($X$2:$X$1001,MATCH(ROWS($W$2:W381),$W$2:$W$1001,0),1)&gt;=100000,INDEX($AD$1005:$AU$1005,1,MATCH(COLUMNS($AD$1006:AK1006),$AD$1006:$AU$1006,0))&gt;=100000), " ",IF(INDEX($AD$2:$AU$1001,MATCH(ROWS($W$2:W381),$W$2:$W$1001,0),MATCH(COLUMNS($AD$1006:AK1006),$AD$1006:$AU$1006,0)), HYPERLINK("#",""), HYPERLINK(CONCATENATE("#metadata!", ADDRESS(INDEX($Y$2:$Y$1001,MATCH(ROWS($W$2:W381),$W$2:$W$1001,0),0), INDEX($AD$1004:$AU$1004,1,MATCH(COLUMNS($AD$1006:AK1006),$AD$1006:$AU$1006,0)))),"Fix")))</f>
        <v xml:space="preserve"> </v>
      </c>
      <c r="J381" s="4" t="str">
        <f ca="1">IF(OR(INDEX($X$2:$X$1001,MATCH(ROWS($W$2:W381),$W$2:$W$1001,0),1)&gt;=100000,INDEX($AD$1005:$AU$1005,1,MATCH(COLUMNS($AD$1006:AL1006),$AD$1006:$AU$1006,0))&gt;=100000), " ",IF(INDEX($AD$2:$AU$1001,MATCH(ROWS($W$2:W381),$W$2:$W$1001,0),MATCH(COLUMNS($AD$1006:AL1006),$AD$1006:$AU$1006,0)), HYPERLINK("#",""), HYPERLINK(CONCATENATE("#metadata!", ADDRESS(INDEX($Y$2:$Y$1001,MATCH(ROWS($W$2:W381),$W$2:$W$1001,0),0), INDEX($AD$1004:$AU$1004,1,MATCH(COLUMNS($AD$1006:AL1006),$AD$1006:$AU$1006,0)))),"Fix")))</f>
        <v xml:space="preserve"> </v>
      </c>
      <c r="K381" s="4" t="str">
        <f ca="1">IF(OR(INDEX($X$2:$X$1001,MATCH(ROWS($W$2:W381),$W$2:$W$1001,0),1)&gt;=100000,INDEX($AD$1005:$AU$1005,1,MATCH(COLUMNS($AD$1006:AM1006),$AD$1006:$AU$1006,0))&gt;=100000), " ",IF(INDEX($AD$2:$AU$1001,MATCH(ROWS($W$2:W381),$W$2:$W$1001,0),MATCH(COLUMNS($AD$1006:AM1006),$AD$1006:$AU$1006,0)), HYPERLINK("#",""), HYPERLINK(CONCATENATE("#metadata!", ADDRESS(INDEX($Y$2:$Y$1001,MATCH(ROWS($W$2:W381),$W$2:$W$1001,0),0), INDEX($AD$1004:$AU$1004,1,MATCH(COLUMNS($AD$1006:AM1006),$AD$1006:$AU$1006,0)))),"Fix")))</f>
        <v xml:space="preserve"> </v>
      </c>
      <c r="L381" s="4" t="str">
        <f ca="1">IF(OR(INDEX($X$2:$X$1001,MATCH(ROWS($W$2:W381),$W$2:$W$1001,0),1)&gt;=100000,INDEX($AD$1005:$AU$1005,1,MATCH(COLUMNS($AD$1006:AN1006),$AD$1006:$AU$1006,0))&gt;=100000), " ",IF(INDEX($AD$2:$AU$1001,MATCH(ROWS($W$2:W381),$W$2:$W$1001,0),MATCH(COLUMNS($AD$1006:AN1006),$AD$1006:$AU$1006,0)), HYPERLINK("#",""), HYPERLINK(CONCATENATE("#metadata!", ADDRESS(INDEX($Y$2:$Y$1001,MATCH(ROWS($W$2:W381),$W$2:$W$1001,0),0), INDEX($AD$1004:$AU$1004,1,MATCH(COLUMNS($AD$1006:AN1006),$AD$1006:$AU$1006,0)))),"Fix")))</f>
        <v xml:space="preserve"> </v>
      </c>
      <c r="M381" s="4" t="str">
        <f ca="1">IF(OR(INDEX($X$2:$X$1001,MATCH(ROWS($W$2:W381),$W$2:$W$1001,0),1)&gt;=100000,INDEX($AD$1005:$AU$1005,1,MATCH(COLUMNS($AD$1006:AO1006),$AD$1006:$AU$1006,0))&gt;=100000), " ",IF(INDEX($AD$2:$AU$1001,MATCH(ROWS($W$2:W381),$W$2:$W$1001,0),MATCH(COLUMNS($AD$1006:AO1006),$AD$1006:$AU$1006,0)), HYPERLINK("#",""), HYPERLINK(CONCATENATE("#metadata!", ADDRESS(INDEX($Y$2:$Y$1001,MATCH(ROWS($W$2:W381),$W$2:$W$1001,0),0), INDEX($AD$1004:$AU$1004,1,MATCH(COLUMNS($AD$1006:AO1006),$AD$1006:$AU$1006,0)))),"Fix")))</f>
        <v xml:space="preserve"> </v>
      </c>
      <c r="N381" s="4" t="str">
        <f ca="1">IF(OR(INDEX($X$2:$X$1001,MATCH(ROWS($W$2:W381),$W$2:$W$1001,0),1)&gt;=100000,INDEX($AD$1005:$AU$1005,1,MATCH(COLUMNS($AD$1006:AP1006),$AD$1006:$AU$1006,0))&gt;=100000), " ",IF(INDEX($AD$2:$AU$1001,MATCH(ROWS($W$2:W381),$W$2:$W$1001,0),MATCH(COLUMNS($AD$1006:AP1006),$AD$1006:$AU$1006,0)), HYPERLINK("#",""), HYPERLINK(CONCATENATE("#metadata!", ADDRESS(INDEX($Y$2:$Y$1001,MATCH(ROWS($W$2:W381),$W$2:$W$1001,0),0), INDEX($AD$1004:$AU$1004,1,MATCH(COLUMNS($AD$1006:AP1006),$AD$1006:$AU$1006,0)))),"Fix")))</f>
        <v xml:space="preserve"> </v>
      </c>
      <c r="O381" s="4" t="str">
        <f ca="1">IF(OR(INDEX($X$2:$X$1001,MATCH(ROWS($W$2:W381),$W$2:$W$1001,0),1)&gt;=100000,INDEX($AD$1005:$AU$1005,1,MATCH(COLUMNS($AD$1006:AQ1006),$AD$1006:$AU$1006,0))&gt;=100000), " ",IF(INDEX($AD$2:$AU$1001,MATCH(ROWS($W$2:W381),$W$2:$W$1001,0),MATCH(COLUMNS($AD$1006:AQ1006),$AD$1006:$AU$1006,0)), HYPERLINK("#",""), HYPERLINK(CONCATENATE("#metadata!", ADDRESS(INDEX($Y$2:$Y$1001,MATCH(ROWS($W$2:W381),$W$2:$W$1001,0),0), INDEX($AD$1004:$AU$1004,1,MATCH(COLUMNS($AD$1006:AQ1006),$AD$1006:$AU$1006,0)))),"Fix")))</f>
        <v xml:space="preserve"> </v>
      </c>
      <c r="P381" s="4" t="str">
        <f ca="1">IF(OR(INDEX($X$2:$X$1001,MATCH(ROWS($W$2:W381),$W$2:$W$1001,0),1)&gt;=100000,INDEX($AD$1005:$AU$1005,1,MATCH(COLUMNS($AD$1006:AR1006),$AD$1006:$AU$1006,0))&gt;=100000), " ",IF(INDEX($AD$2:$AU$1001,MATCH(ROWS($W$2:W381),$W$2:$W$1001,0),MATCH(COLUMNS($AD$1006:AR1006),$AD$1006:$AU$1006,0)), HYPERLINK("#",""), HYPERLINK(CONCATENATE("#metadata!", ADDRESS(INDEX($Y$2:$Y$1001,MATCH(ROWS($W$2:W381),$W$2:$W$1001,0),0), INDEX($AD$1004:$AU$1004,1,MATCH(COLUMNS($AD$1006:AR1006),$AD$1006:$AU$1006,0)))),"Fix")))</f>
        <v xml:space="preserve"> </v>
      </c>
      <c r="Q381" s="4" t="str">
        <f ca="1">IF(OR(INDEX($X$2:$X$1001,MATCH(ROWS($W$2:W381),$W$2:$W$1001,0),1)&gt;=100000,INDEX($AD$1005:$AU$1005,1,MATCH(COLUMNS($AD$1006:AS1006),$AD$1006:$AU$1006,0))&gt;=100000), " ",IF(INDEX($AD$2:$AU$1001,MATCH(ROWS($W$2:W381),$W$2:$W$1001,0),MATCH(COLUMNS($AD$1006:AS1006),$AD$1006:$AU$1006,0)), HYPERLINK("#",""), HYPERLINK(CONCATENATE("#metadata!", ADDRESS(INDEX($Y$2:$Y$1001,MATCH(ROWS($W$2:W381),$W$2:$W$1001,0),0), INDEX($AD$1004:$AU$1004,1,MATCH(COLUMNS($AD$1006:AS1006),$AD$1006:$AU$1006,0)))),"Fix")))</f>
        <v xml:space="preserve"> </v>
      </c>
      <c r="R381" s="4" t="str">
        <f ca="1">IF(OR(INDEX($X$2:$X$1001,MATCH(ROWS($W$2:W381),$W$2:$W$1001,0),1)&gt;=100000,INDEX($AD$1005:$AU$1005,1,MATCH(COLUMNS($AD$1006:AT1006),$AD$1006:$AU$1006,0))&gt;=100000), " ",IF(INDEX($AD$2:$AU$1001,MATCH(ROWS($W$2:W381),$W$2:$W$1001,0),MATCH(COLUMNS($AD$1006:AT1006),$AD$1006:$AU$1006,0)), HYPERLINK("#",""), HYPERLINK(CONCATENATE("#metadata!", ADDRESS(INDEX($Y$2:$Y$1001,MATCH(ROWS($W$2:W381),$W$2:$W$1001,0),0), INDEX($AD$1004:$AU$1004,1,MATCH(COLUMNS($AD$1006:AT1006),$AD$1006:$AU$1006,0)))),"Fix")))</f>
        <v xml:space="preserve"> </v>
      </c>
      <c r="S381" s="4" t="str">
        <f ca="1">IF(OR(INDEX($X$2:$X$1001,MATCH(ROWS($W$2:W381),$W$2:$W$1001,0),1)&gt;=100000,INDEX($AD$1005:$AU$1005,1,MATCH(COLUMNS($AD$1006:AU1006),$AD$1006:$AU$1006,0))&gt;=100000), " ",IF(INDEX($AD$2:$AU$1001,MATCH(ROWS($W$2:W381),$W$2:$W$1001,0),MATCH(COLUMNS($AD$1006:AU1006),$AD$1006:$AU$1006,0)), HYPERLINK("#",""), HYPERLINK(CONCATENATE("#metadata!", ADDRESS(INDEX($Y$2:$Y$1001,MATCH(ROWS($W$2:W381),$W$2:$W$1001,0),0), INDEX($AD$1004:$AU$1004,1,MATCH(COLUMNS($AD$1006:AU1006),$AD$1006:$AU$1006,0)))),"Fix")))</f>
        <v xml:space="preserve"> </v>
      </c>
      <c r="W381">
        <v>380</v>
      </c>
      <c r="X381">
        <v>100381</v>
      </c>
      <c r="Y381">
        <v>381</v>
      </c>
      <c r="Z381" t="b">
        <f t="shared" si="5"/>
        <v>1</v>
      </c>
      <c r="AA381" t="b">
        <f>COUNTBLANK(metadata!B381:S381)=COLUMNS(metadata!B381:S381)</f>
        <v>1</v>
      </c>
      <c r="AB381" t="str">
        <v/>
      </c>
      <c r="AD381" t="b">
        <f ca="1">AND(IF(metadata!B381="",FALSE,TRUE),COUNTIF(metadata!B:B, metadata!B381) = 1,NOT(ISERROR(SUMPRODUCT(SEARCH(MID(metadata!B381,ROW(INDIRECT("1:"&amp;LEN(metadata!B381))), 1),"0123456789abcdefghijklmnopqrstuvwxyzABCDEFGHIJKLMNOPQRSTUVWXYZ.")))))</f>
        <v>0</v>
      </c>
      <c r="AE381" t="b">
        <f>OR(AND(IF(metadata!C381="",FALSE,TRUE),OR(EXACT(metadata!C381,"not applicable"),EXACT(metadata!C381,"missing: not collected"),EXACT(metadata!C381,"missing: not provided"),EXACT(metadata!C381,"missing: restricted access"))),AND(IF(metadata!C381="",FALSE,ISNUMBER(VALUE(metadata!C381))),metadata!C381&gt;0))</f>
        <v>0</v>
      </c>
      <c r="AF381" t="b">
        <f>AND(IF(metadata!D381="",FALSE,TRUE),EXACT(metadata!D381,"missing: not provided"))</f>
        <v>0</v>
      </c>
      <c r="AG381" t="b">
        <f>AND(IF(metadata!E381="",FALSE,TRUE),EXACT(metadata!E381,"Host-associated"))</f>
        <v>0</v>
      </c>
      <c r="AH381" t="b">
        <f>AND(IF(metadata!F381="",FALSE,TRUE),OR(EXACT(metadata!F381,"Animal"),EXACT(metadata!F381,"Fungus"),EXACT(metadata!F381,"Plant")))</f>
        <v>0</v>
      </c>
      <c r="AI381" t="b">
        <f>AND(IF(metadata!G381="",FALSE,TRUE),OR(EXACT(metadata!G381,"Plant secretion"),EXACT(metadata!G381,"Plant rhizosphere"),EXACT(metadata!G381,"Plant surface"),EXACT(metadata!G381,"Plant corpus"),EXACT(metadata!G381,"Fungus surface"),EXACT(metadata!G381,"Fungus corpus"),EXACT(metadata!G381,"Animal surface"),EXACT(metadata!G381,"Animal proximal gut"),EXACT(metadata!G381,"Animal corpus"),EXACT(metadata!G381,"Animal distal gut"),EXACT(metadata!G381,"Animal secretion")))</f>
        <v>0</v>
      </c>
      <c r="AJ381" t="b">
        <f>OR(AND(IF(metadata!H381="",FALSE,TRUE),OR(EXACT(metadata!H381,"missing: not collected"),EXACT(metadata!H381,"missing: not provided"),EXACT(metadata!H381,"missing: restricted access"))),AND(IF(metadata!H381="",FALSE,TRUE),OR(EXACT(metadata!H381,"organism-associated habitat"),EXACT(metadata!H381,"plant-associated habitat"),EXACT(metadata!H381,"animal-associated habitat"),EXACT(metadata!H381,"insecta-associated habitat"),EXACT(metadata!H381,"mammalia-associated habitat"),EXACT(metadata!H381,"human-associated habitat"),EXACT(metadata!H381,"livestock-associated habitat"))))</f>
        <v>0</v>
      </c>
      <c r="AK381" t="b">
        <f>AND(IF(metadata!I381="",FALSE,TRUE),EXACT(metadata!I381,"host-associated"))</f>
        <v>0</v>
      </c>
      <c r="AL381" t="b">
        <f>OR(AND(IF(metadata!J381="",FALSE,TRUE),OR(EXACT(metadata!J381,"not applicable"),EXACT(metadata!J381,"missing: not collected"),EXACT(metadata!J381,"missing: not provided"),EXACT(metadata!J381,"missing: restricted access"))),AND(IF(metadata!J381="",FALSE,ISNUMBER(VALUE(metadata!J381))),metadata!J381&gt;0))</f>
        <v>0</v>
      </c>
      <c r="AM381" t="b">
        <f>AND(IF(metadata!K381="",FALSE,TRUE),EXACT(metadata!K381,"missing: not provided"))</f>
        <v>0</v>
      </c>
      <c r="AN381" t="b">
        <f>IF(metadata!L381="",FALSE,TRUE)</f>
        <v>0</v>
      </c>
      <c r="AO381" t="b">
        <f>IF(metadata!M381="",FALSE,TRUE)</f>
        <v>0</v>
      </c>
      <c r="AP381" t="b">
        <f>OR(AND(IF(metadata!N381="",FALSE,TRUE),OR(EXACT(metadata!N381,"not applicable"),EXACT(metadata!N381,"missing: not collected"),EXACT(metadata!N381,"missing: not provided"))),AND(IF(metadata!N381="",FALSE,IF(ISERROR(INT(metadata!N381)),FALSE,INT(metadata!N381)=metadata!N381)),metadata!N381&gt;0))</f>
        <v>0</v>
      </c>
      <c r="AQ381" t="b">
        <f>AND(IF(metadata!O381="",FALSE,TRUE),EXACT(metadata!O381,"Not applicable"))</f>
        <v>0</v>
      </c>
      <c r="AR381" t="b">
        <f>OR(AND(IF(metadata!P381="",FALSE,TRUE),OR(EXACT(metadata!P381,"not applicable"),EXACT(metadata!P381,"missing: not collected"),EXACT(metadata!P381,"missing: not provided"),EXACT(metadata!P381,"missing: restricted access"))),IF(metadata!P381="",FALSE,IF(ISERROR(INT(metadata!P381)),FALSE,INT(metadata!P381)=metadata!P381)))</f>
        <v>0</v>
      </c>
      <c r="AS381" t="b">
        <f>AND(IF(metadata!Q381="",FALSE,TRUE),EXACT(metadata!Q381,"Not applicable"))</f>
        <v>0</v>
      </c>
      <c r="AT381" t="b">
        <f>OR(AND(IF(metadata!R381="",FALSE,TRUE),OR(EXACT(metadata!R381,"not applicable"),EXACT(metadata!R381,"missing: not collected"),EXACT(metadata!R381,"missing: not provided"),EXACT(metadata!R381,"missing: restricted access"))),AND(IF(metadata!R381="",FALSE,ISNUMBER(VALUE(metadata!R381))),metadata!R381&gt;0))</f>
        <v>0</v>
      </c>
      <c r="AU381" t="b">
        <f>AND(IF(metadata!S381="",FALSE,TRUE),EXACT(metadata!S381,"missing: not provided"))</f>
        <v>0</v>
      </c>
    </row>
    <row r="382" spans="1:47" x14ac:dyDescent="0.2">
      <c r="A382" s="5" t="str">
        <f ca="1">IF(B382=" "," ",HYPERLINK(CONCATENATE("#metadata!",ADDRESS(INDEX($Y$2:$Y$1001,MATCH(ROWS($W$2:W382),$W$2:$W$1001,0),0),1)),INDEX($AB$2:$AB$1001,MATCH(ROWS($W$2:W382),$W$2:$W$1001,0),0)))</f>
        <v xml:space="preserve"> </v>
      </c>
      <c r="B382" s="4" t="str">
        <f ca="1">IF(OR(INDEX($X$2:$X$1001,MATCH(ROWS($W$2:W382),$W$2:$W$1001,0),1)&gt;=100000,INDEX($AD$1005:$AU$1005,1,MATCH(COLUMNS($AD$1006:AD1006),$AD$1006:$AU$1006,0))&gt;=100000), " ",IF(INDEX($AD$2:$AU$1001,MATCH(ROWS($W$2:W382),$W$2:$W$1001,0),MATCH(COLUMNS($AD$1006:AD1006),$AD$1006:$AU$1006,0)), HYPERLINK("#",""), HYPERLINK(CONCATENATE("#metadata!", ADDRESS(INDEX($Y$2:$Y$1001,MATCH(ROWS($W$2:W382),$W$2:$W$1001,0),0), INDEX($AD$1004:$AU$1004,1,MATCH(COLUMNS($AD$1006:AD1006),$AD$1006:$AU$1006,0)))),"Fix")))</f>
        <v xml:space="preserve"> </v>
      </c>
      <c r="C382" s="4" t="str">
        <f ca="1">IF(OR(INDEX($X$2:$X$1001,MATCH(ROWS($W$2:W382),$W$2:$W$1001,0),1)&gt;=100000,INDEX($AD$1005:$AU$1005,1,MATCH(COLUMNS($AD$1006:AE1006),$AD$1006:$AU$1006,0))&gt;=100000), " ",IF(INDEX($AD$2:$AU$1001,MATCH(ROWS($W$2:W382),$W$2:$W$1001,0),MATCH(COLUMNS($AD$1006:AE1006),$AD$1006:$AU$1006,0)), HYPERLINK("#",""), HYPERLINK(CONCATENATE("#metadata!", ADDRESS(INDEX($Y$2:$Y$1001,MATCH(ROWS($W$2:W382),$W$2:$W$1001,0),0), INDEX($AD$1004:$AU$1004,1,MATCH(COLUMNS($AD$1006:AE1006),$AD$1006:$AU$1006,0)))),"Fix")))</f>
        <v xml:space="preserve"> </v>
      </c>
      <c r="D382" s="4" t="str">
        <f ca="1">IF(OR(INDEX($X$2:$X$1001,MATCH(ROWS($W$2:W382),$W$2:$W$1001,0),1)&gt;=100000,INDEX($AD$1005:$AU$1005,1,MATCH(COLUMNS($AD$1006:AF1006),$AD$1006:$AU$1006,0))&gt;=100000), " ",IF(INDEX($AD$2:$AU$1001,MATCH(ROWS($W$2:W382),$W$2:$W$1001,0),MATCH(COLUMNS($AD$1006:AF1006),$AD$1006:$AU$1006,0)), HYPERLINK("#",""), HYPERLINK(CONCATENATE("#metadata!", ADDRESS(INDEX($Y$2:$Y$1001,MATCH(ROWS($W$2:W382),$W$2:$W$1001,0),0), INDEX($AD$1004:$AU$1004,1,MATCH(COLUMNS($AD$1006:AF1006),$AD$1006:$AU$1006,0)))),"Fix")))</f>
        <v xml:space="preserve"> </v>
      </c>
      <c r="E382" s="4" t="str">
        <f ca="1">IF(OR(INDEX($X$2:$X$1001,MATCH(ROWS($W$2:W382),$W$2:$W$1001,0),1)&gt;=100000,INDEX($AD$1005:$AU$1005,1,MATCH(COLUMNS($AD$1006:AG1006),$AD$1006:$AU$1006,0))&gt;=100000), " ",IF(INDEX($AD$2:$AU$1001,MATCH(ROWS($W$2:W382),$W$2:$W$1001,0),MATCH(COLUMNS($AD$1006:AG1006),$AD$1006:$AU$1006,0)), HYPERLINK("#",""), HYPERLINK(CONCATENATE("#metadata!", ADDRESS(INDEX($Y$2:$Y$1001,MATCH(ROWS($W$2:W382),$W$2:$W$1001,0),0), INDEX($AD$1004:$AU$1004,1,MATCH(COLUMNS($AD$1006:AG1006),$AD$1006:$AU$1006,0)))),"Fix")))</f>
        <v xml:space="preserve"> </v>
      </c>
      <c r="F382" s="4" t="str">
        <f ca="1">IF(OR(INDEX($X$2:$X$1001,MATCH(ROWS($W$2:W382),$W$2:$W$1001,0),1)&gt;=100000,INDEX($AD$1005:$AU$1005,1,MATCH(COLUMNS($AD$1006:AH1006),$AD$1006:$AU$1006,0))&gt;=100000), " ",IF(INDEX($AD$2:$AU$1001,MATCH(ROWS($W$2:W382),$W$2:$W$1001,0),MATCH(COLUMNS($AD$1006:AH1006),$AD$1006:$AU$1006,0)), HYPERLINK("#",""), HYPERLINK(CONCATENATE("#metadata!", ADDRESS(INDEX($Y$2:$Y$1001,MATCH(ROWS($W$2:W382),$W$2:$W$1001,0),0), INDEX($AD$1004:$AU$1004,1,MATCH(COLUMNS($AD$1006:AH1006),$AD$1006:$AU$1006,0)))),"Fix")))</f>
        <v xml:space="preserve"> </v>
      </c>
      <c r="G382" s="4" t="str">
        <f ca="1">IF(OR(INDEX($X$2:$X$1001,MATCH(ROWS($W$2:W382),$W$2:$W$1001,0),1)&gt;=100000,INDEX($AD$1005:$AU$1005,1,MATCH(COLUMNS($AD$1006:AI1006),$AD$1006:$AU$1006,0))&gt;=100000), " ",IF(INDEX($AD$2:$AU$1001,MATCH(ROWS($W$2:W382),$W$2:$W$1001,0),MATCH(COLUMNS($AD$1006:AI1006),$AD$1006:$AU$1006,0)), HYPERLINK("#",""), HYPERLINK(CONCATENATE("#metadata!", ADDRESS(INDEX($Y$2:$Y$1001,MATCH(ROWS($W$2:W382),$W$2:$W$1001,0),0), INDEX($AD$1004:$AU$1004,1,MATCH(COLUMNS($AD$1006:AI1006),$AD$1006:$AU$1006,0)))),"Fix")))</f>
        <v xml:space="preserve"> </v>
      </c>
      <c r="H382" s="4" t="str">
        <f ca="1">IF(OR(INDEX($X$2:$X$1001,MATCH(ROWS($W$2:W382),$W$2:$W$1001,0),1)&gt;=100000,INDEX($AD$1005:$AU$1005,1,MATCH(COLUMNS($AD$1006:AJ1006),$AD$1006:$AU$1006,0))&gt;=100000), " ",IF(INDEX($AD$2:$AU$1001,MATCH(ROWS($W$2:W382),$W$2:$W$1001,0),MATCH(COLUMNS($AD$1006:AJ1006),$AD$1006:$AU$1006,0)), HYPERLINK("#",""), HYPERLINK(CONCATENATE("#metadata!", ADDRESS(INDEX($Y$2:$Y$1001,MATCH(ROWS($W$2:W382),$W$2:$W$1001,0),0), INDEX($AD$1004:$AU$1004,1,MATCH(COLUMNS($AD$1006:AJ1006),$AD$1006:$AU$1006,0)))),"Fix")))</f>
        <v xml:space="preserve"> </v>
      </c>
      <c r="I382" s="4" t="str">
        <f ca="1">IF(OR(INDEX($X$2:$X$1001,MATCH(ROWS($W$2:W382),$W$2:$W$1001,0),1)&gt;=100000,INDEX($AD$1005:$AU$1005,1,MATCH(COLUMNS($AD$1006:AK1006),$AD$1006:$AU$1006,0))&gt;=100000), " ",IF(INDEX($AD$2:$AU$1001,MATCH(ROWS($W$2:W382),$W$2:$W$1001,0),MATCH(COLUMNS($AD$1006:AK1006),$AD$1006:$AU$1006,0)), HYPERLINK("#",""), HYPERLINK(CONCATENATE("#metadata!", ADDRESS(INDEX($Y$2:$Y$1001,MATCH(ROWS($W$2:W382),$W$2:$W$1001,0),0), INDEX($AD$1004:$AU$1004,1,MATCH(COLUMNS($AD$1006:AK1006),$AD$1006:$AU$1006,0)))),"Fix")))</f>
        <v xml:space="preserve"> </v>
      </c>
      <c r="J382" s="4" t="str">
        <f ca="1">IF(OR(INDEX($X$2:$X$1001,MATCH(ROWS($W$2:W382),$W$2:$W$1001,0),1)&gt;=100000,INDEX($AD$1005:$AU$1005,1,MATCH(COLUMNS($AD$1006:AL1006),$AD$1006:$AU$1006,0))&gt;=100000), " ",IF(INDEX($AD$2:$AU$1001,MATCH(ROWS($W$2:W382),$W$2:$W$1001,0),MATCH(COLUMNS($AD$1006:AL1006),$AD$1006:$AU$1006,0)), HYPERLINK("#",""), HYPERLINK(CONCATENATE("#metadata!", ADDRESS(INDEX($Y$2:$Y$1001,MATCH(ROWS($W$2:W382),$W$2:$W$1001,0),0), INDEX($AD$1004:$AU$1004,1,MATCH(COLUMNS($AD$1006:AL1006),$AD$1006:$AU$1006,0)))),"Fix")))</f>
        <v xml:space="preserve"> </v>
      </c>
      <c r="K382" s="4" t="str">
        <f ca="1">IF(OR(INDEX($X$2:$X$1001,MATCH(ROWS($W$2:W382),$W$2:$W$1001,0),1)&gt;=100000,INDEX($AD$1005:$AU$1005,1,MATCH(COLUMNS($AD$1006:AM1006),$AD$1006:$AU$1006,0))&gt;=100000), " ",IF(INDEX($AD$2:$AU$1001,MATCH(ROWS($W$2:W382),$W$2:$W$1001,0),MATCH(COLUMNS($AD$1006:AM1006),$AD$1006:$AU$1006,0)), HYPERLINK("#",""), HYPERLINK(CONCATENATE("#metadata!", ADDRESS(INDEX($Y$2:$Y$1001,MATCH(ROWS($W$2:W382),$W$2:$W$1001,0),0), INDEX($AD$1004:$AU$1004,1,MATCH(COLUMNS($AD$1006:AM1006),$AD$1006:$AU$1006,0)))),"Fix")))</f>
        <v xml:space="preserve"> </v>
      </c>
      <c r="L382" s="4" t="str">
        <f ca="1">IF(OR(INDEX($X$2:$X$1001,MATCH(ROWS($W$2:W382),$W$2:$W$1001,0),1)&gt;=100000,INDEX($AD$1005:$AU$1005,1,MATCH(COLUMNS($AD$1006:AN1006),$AD$1006:$AU$1006,0))&gt;=100000), " ",IF(INDEX($AD$2:$AU$1001,MATCH(ROWS($W$2:W382),$W$2:$W$1001,0),MATCH(COLUMNS($AD$1006:AN1006),$AD$1006:$AU$1006,0)), HYPERLINK("#",""), HYPERLINK(CONCATENATE("#metadata!", ADDRESS(INDEX($Y$2:$Y$1001,MATCH(ROWS($W$2:W382),$W$2:$W$1001,0),0), INDEX($AD$1004:$AU$1004,1,MATCH(COLUMNS($AD$1006:AN1006),$AD$1006:$AU$1006,0)))),"Fix")))</f>
        <v xml:space="preserve"> </v>
      </c>
      <c r="M382" s="4" t="str">
        <f ca="1">IF(OR(INDEX($X$2:$X$1001,MATCH(ROWS($W$2:W382),$W$2:$W$1001,0),1)&gt;=100000,INDEX($AD$1005:$AU$1005,1,MATCH(COLUMNS($AD$1006:AO1006),$AD$1006:$AU$1006,0))&gt;=100000), " ",IF(INDEX($AD$2:$AU$1001,MATCH(ROWS($W$2:W382),$W$2:$W$1001,0),MATCH(COLUMNS($AD$1006:AO1006),$AD$1006:$AU$1006,0)), HYPERLINK("#",""), HYPERLINK(CONCATENATE("#metadata!", ADDRESS(INDEX($Y$2:$Y$1001,MATCH(ROWS($W$2:W382),$W$2:$W$1001,0),0), INDEX($AD$1004:$AU$1004,1,MATCH(COLUMNS($AD$1006:AO1006),$AD$1006:$AU$1006,0)))),"Fix")))</f>
        <v xml:space="preserve"> </v>
      </c>
      <c r="N382" s="4" t="str">
        <f ca="1">IF(OR(INDEX($X$2:$X$1001,MATCH(ROWS($W$2:W382),$W$2:$W$1001,0),1)&gt;=100000,INDEX($AD$1005:$AU$1005,1,MATCH(COLUMNS($AD$1006:AP1006),$AD$1006:$AU$1006,0))&gt;=100000), " ",IF(INDEX($AD$2:$AU$1001,MATCH(ROWS($W$2:W382),$W$2:$W$1001,0),MATCH(COLUMNS($AD$1006:AP1006),$AD$1006:$AU$1006,0)), HYPERLINK("#",""), HYPERLINK(CONCATENATE("#metadata!", ADDRESS(INDEX($Y$2:$Y$1001,MATCH(ROWS($W$2:W382),$W$2:$W$1001,0),0), INDEX($AD$1004:$AU$1004,1,MATCH(COLUMNS($AD$1006:AP1006),$AD$1006:$AU$1006,0)))),"Fix")))</f>
        <v xml:space="preserve"> </v>
      </c>
      <c r="O382" s="4" t="str">
        <f ca="1">IF(OR(INDEX($X$2:$X$1001,MATCH(ROWS($W$2:W382),$W$2:$W$1001,0),1)&gt;=100000,INDEX($AD$1005:$AU$1005,1,MATCH(COLUMNS($AD$1006:AQ1006),$AD$1006:$AU$1006,0))&gt;=100000), " ",IF(INDEX($AD$2:$AU$1001,MATCH(ROWS($W$2:W382),$W$2:$W$1001,0),MATCH(COLUMNS($AD$1006:AQ1006),$AD$1006:$AU$1006,0)), HYPERLINK("#",""), HYPERLINK(CONCATENATE("#metadata!", ADDRESS(INDEX($Y$2:$Y$1001,MATCH(ROWS($W$2:W382),$W$2:$W$1001,0),0), INDEX($AD$1004:$AU$1004,1,MATCH(COLUMNS($AD$1006:AQ1006),$AD$1006:$AU$1006,0)))),"Fix")))</f>
        <v xml:space="preserve"> </v>
      </c>
      <c r="P382" s="4" t="str">
        <f ca="1">IF(OR(INDEX($X$2:$X$1001,MATCH(ROWS($W$2:W382),$W$2:$W$1001,0),1)&gt;=100000,INDEX($AD$1005:$AU$1005,1,MATCH(COLUMNS($AD$1006:AR1006),$AD$1006:$AU$1006,0))&gt;=100000), " ",IF(INDEX($AD$2:$AU$1001,MATCH(ROWS($W$2:W382),$W$2:$W$1001,0),MATCH(COLUMNS($AD$1006:AR1006),$AD$1006:$AU$1006,0)), HYPERLINK("#",""), HYPERLINK(CONCATENATE("#metadata!", ADDRESS(INDEX($Y$2:$Y$1001,MATCH(ROWS($W$2:W382),$W$2:$W$1001,0),0), INDEX($AD$1004:$AU$1004,1,MATCH(COLUMNS($AD$1006:AR1006),$AD$1006:$AU$1006,0)))),"Fix")))</f>
        <v xml:space="preserve"> </v>
      </c>
      <c r="Q382" s="4" t="str">
        <f ca="1">IF(OR(INDEX($X$2:$X$1001,MATCH(ROWS($W$2:W382),$W$2:$W$1001,0),1)&gt;=100000,INDEX($AD$1005:$AU$1005,1,MATCH(COLUMNS($AD$1006:AS1006),$AD$1006:$AU$1006,0))&gt;=100000), " ",IF(INDEX($AD$2:$AU$1001,MATCH(ROWS($W$2:W382),$W$2:$W$1001,0),MATCH(COLUMNS($AD$1006:AS1006),$AD$1006:$AU$1006,0)), HYPERLINK("#",""), HYPERLINK(CONCATENATE("#metadata!", ADDRESS(INDEX($Y$2:$Y$1001,MATCH(ROWS($W$2:W382),$W$2:$W$1001,0),0), INDEX($AD$1004:$AU$1004,1,MATCH(COLUMNS($AD$1006:AS1006),$AD$1006:$AU$1006,0)))),"Fix")))</f>
        <v xml:space="preserve"> </v>
      </c>
      <c r="R382" s="4" t="str">
        <f ca="1">IF(OR(INDEX($X$2:$X$1001,MATCH(ROWS($W$2:W382),$W$2:$W$1001,0),1)&gt;=100000,INDEX($AD$1005:$AU$1005,1,MATCH(COLUMNS($AD$1006:AT1006),$AD$1006:$AU$1006,0))&gt;=100000), " ",IF(INDEX($AD$2:$AU$1001,MATCH(ROWS($W$2:W382),$W$2:$W$1001,0),MATCH(COLUMNS($AD$1006:AT1006),$AD$1006:$AU$1006,0)), HYPERLINK("#",""), HYPERLINK(CONCATENATE("#metadata!", ADDRESS(INDEX($Y$2:$Y$1001,MATCH(ROWS($W$2:W382),$W$2:$W$1001,0),0), INDEX($AD$1004:$AU$1004,1,MATCH(COLUMNS($AD$1006:AT1006),$AD$1006:$AU$1006,0)))),"Fix")))</f>
        <v xml:space="preserve"> </v>
      </c>
      <c r="S382" s="4" t="str">
        <f ca="1">IF(OR(INDEX($X$2:$X$1001,MATCH(ROWS($W$2:W382),$W$2:$W$1001,0),1)&gt;=100000,INDEX($AD$1005:$AU$1005,1,MATCH(COLUMNS($AD$1006:AU1006),$AD$1006:$AU$1006,0))&gt;=100000), " ",IF(INDEX($AD$2:$AU$1001,MATCH(ROWS($W$2:W382),$W$2:$W$1001,0),MATCH(COLUMNS($AD$1006:AU1006),$AD$1006:$AU$1006,0)), HYPERLINK("#",""), HYPERLINK(CONCATENATE("#metadata!", ADDRESS(INDEX($Y$2:$Y$1001,MATCH(ROWS($W$2:W382),$W$2:$W$1001,0),0), INDEX($AD$1004:$AU$1004,1,MATCH(COLUMNS($AD$1006:AU1006),$AD$1006:$AU$1006,0)))),"Fix")))</f>
        <v xml:space="preserve"> </v>
      </c>
      <c r="W382">
        <v>381</v>
      </c>
      <c r="X382">
        <v>100382</v>
      </c>
      <c r="Y382">
        <v>382</v>
      </c>
      <c r="Z382" t="b">
        <f t="shared" si="5"/>
        <v>1</v>
      </c>
      <c r="AA382" t="b">
        <f>COUNTBLANK(metadata!B382:S382)=COLUMNS(metadata!B382:S382)</f>
        <v>1</v>
      </c>
      <c r="AB382" t="str">
        <v/>
      </c>
      <c r="AD382" t="b">
        <f ca="1">AND(IF(metadata!B382="",FALSE,TRUE),COUNTIF(metadata!B:B, metadata!B382) = 1,NOT(ISERROR(SUMPRODUCT(SEARCH(MID(metadata!B382,ROW(INDIRECT("1:"&amp;LEN(metadata!B382))), 1),"0123456789abcdefghijklmnopqrstuvwxyzABCDEFGHIJKLMNOPQRSTUVWXYZ.")))))</f>
        <v>0</v>
      </c>
      <c r="AE382" t="b">
        <f>OR(AND(IF(metadata!C382="",FALSE,TRUE),OR(EXACT(metadata!C382,"not applicable"),EXACT(metadata!C382,"missing: not collected"),EXACT(metadata!C382,"missing: not provided"),EXACT(metadata!C382,"missing: restricted access"))),AND(IF(metadata!C382="",FALSE,ISNUMBER(VALUE(metadata!C382))),metadata!C382&gt;0))</f>
        <v>0</v>
      </c>
      <c r="AF382" t="b">
        <f>AND(IF(metadata!D382="",FALSE,TRUE),EXACT(metadata!D382,"missing: not provided"))</f>
        <v>0</v>
      </c>
      <c r="AG382" t="b">
        <f>AND(IF(metadata!E382="",FALSE,TRUE),EXACT(metadata!E382,"Host-associated"))</f>
        <v>0</v>
      </c>
      <c r="AH382" t="b">
        <f>AND(IF(metadata!F382="",FALSE,TRUE),OR(EXACT(metadata!F382,"Animal"),EXACT(metadata!F382,"Fungus"),EXACT(metadata!F382,"Plant")))</f>
        <v>0</v>
      </c>
      <c r="AI382" t="b">
        <f>AND(IF(metadata!G382="",FALSE,TRUE),OR(EXACT(metadata!G382,"Plant secretion"),EXACT(metadata!G382,"Plant rhizosphere"),EXACT(metadata!G382,"Plant surface"),EXACT(metadata!G382,"Plant corpus"),EXACT(metadata!G382,"Fungus surface"),EXACT(metadata!G382,"Fungus corpus"),EXACT(metadata!G382,"Animal surface"),EXACT(metadata!G382,"Animal proximal gut"),EXACT(metadata!G382,"Animal corpus"),EXACT(metadata!G382,"Animal distal gut"),EXACT(metadata!G382,"Animal secretion")))</f>
        <v>0</v>
      </c>
      <c r="AJ382" t="b">
        <f>OR(AND(IF(metadata!H382="",FALSE,TRUE),OR(EXACT(metadata!H382,"missing: not collected"),EXACT(metadata!H382,"missing: not provided"),EXACT(metadata!H382,"missing: restricted access"))),AND(IF(metadata!H382="",FALSE,TRUE),OR(EXACT(metadata!H382,"organism-associated habitat"),EXACT(metadata!H382,"plant-associated habitat"),EXACT(metadata!H382,"animal-associated habitat"),EXACT(metadata!H382,"insecta-associated habitat"),EXACT(metadata!H382,"mammalia-associated habitat"),EXACT(metadata!H382,"human-associated habitat"),EXACT(metadata!H382,"livestock-associated habitat"))))</f>
        <v>0</v>
      </c>
      <c r="AK382" t="b">
        <f>AND(IF(metadata!I382="",FALSE,TRUE),EXACT(metadata!I382,"host-associated"))</f>
        <v>0</v>
      </c>
      <c r="AL382" t="b">
        <f>OR(AND(IF(metadata!J382="",FALSE,TRUE),OR(EXACT(metadata!J382,"not applicable"),EXACT(metadata!J382,"missing: not collected"),EXACT(metadata!J382,"missing: not provided"),EXACT(metadata!J382,"missing: restricted access"))),AND(IF(metadata!J382="",FALSE,ISNUMBER(VALUE(metadata!J382))),metadata!J382&gt;0))</f>
        <v>0</v>
      </c>
      <c r="AM382" t="b">
        <f>AND(IF(metadata!K382="",FALSE,TRUE),EXACT(metadata!K382,"missing: not provided"))</f>
        <v>0</v>
      </c>
      <c r="AN382" t="b">
        <f>IF(metadata!L382="",FALSE,TRUE)</f>
        <v>0</v>
      </c>
      <c r="AO382" t="b">
        <f>IF(metadata!M382="",FALSE,TRUE)</f>
        <v>0</v>
      </c>
      <c r="AP382" t="b">
        <f>OR(AND(IF(metadata!N382="",FALSE,TRUE),OR(EXACT(metadata!N382,"not applicable"),EXACT(metadata!N382,"missing: not collected"),EXACT(metadata!N382,"missing: not provided"))),AND(IF(metadata!N382="",FALSE,IF(ISERROR(INT(metadata!N382)),FALSE,INT(metadata!N382)=metadata!N382)),metadata!N382&gt;0))</f>
        <v>0</v>
      </c>
      <c r="AQ382" t="b">
        <f>AND(IF(metadata!O382="",FALSE,TRUE),EXACT(metadata!O382,"Not applicable"))</f>
        <v>0</v>
      </c>
      <c r="AR382" t="b">
        <f>OR(AND(IF(metadata!P382="",FALSE,TRUE),OR(EXACT(metadata!P382,"not applicable"),EXACT(metadata!P382,"missing: not collected"),EXACT(metadata!P382,"missing: not provided"),EXACT(metadata!P382,"missing: restricted access"))),IF(metadata!P382="",FALSE,IF(ISERROR(INT(metadata!P382)),FALSE,INT(metadata!P382)=metadata!P382)))</f>
        <v>0</v>
      </c>
      <c r="AS382" t="b">
        <f>AND(IF(metadata!Q382="",FALSE,TRUE),EXACT(metadata!Q382,"Not applicable"))</f>
        <v>0</v>
      </c>
      <c r="AT382" t="b">
        <f>OR(AND(IF(metadata!R382="",FALSE,TRUE),OR(EXACT(metadata!R382,"not applicable"),EXACT(metadata!R382,"missing: not collected"),EXACT(metadata!R382,"missing: not provided"),EXACT(metadata!R382,"missing: restricted access"))),AND(IF(metadata!R382="",FALSE,ISNUMBER(VALUE(metadata!R382))),metadata!R382&gt;0))</f>
        <v>0</v>
      </c>
      <c r="AU382" t="b">
        <f>AND(IF(metadata!S382="",FALSE,TRUE),EXACT(metadata!S382,"missing: not provided"))</f>
        <v>0</v>
      </c>
    </row>
    <row r="383" spans="1:47" x14ac:dyDescent="0.2">
      <c r="A383" s="5" t="str">
        <f ca="1">IF(B383=" "," ",HYPERLINK(CONCATENATE("#metadata!",ADDRESS(INDEX($Y$2:$Y$1001,MATCH(ROWS($W$2:W383),$W$2:$W$1001,0),0),1)),INDEX($AB$2:$AB$1001,MATCH(ROWS($W$2:W383),$W$2:$W$1001,0),0)))</f>
        <v xml:space="preserve"> </v>
      </c>
      <c r="B383" s="4" t="str">
        <f ca="1">IF(OR(INDEX($X$2:$X$1001,MATCH(ROWS($W$2:W383),$W$2:$W$1001,0),1)&gt;=100000,INDEX($AD$1005:$AU$1005,1,MATCH(COLUMNS($AD$1006:AD1006),$AD$1006:$AU$1006,0))&gt;=100000), " ",IF(INDEX($AD$2:$AU$1001,MATCH(ROWS($W$2:W383),$W$2:$W$1001,0),MATCH(COLUMNS($AD$1006:AD1006),$AD$1006:$AU$1006,0)), HYPERLINK("#",""), HYPERLINK(CONCATENATE("#metadata!", ADDRESS(INDEX($Y$2:$Y$1001,MATCH(ROWS($W$2:W383),$W$2:$W$1001,0),0), INDEX($AD$1004:$AU$1004,1,MATCH(COLUMNS($AD$1006:AD1006),$AD$1006:$AU$1006,0)))),"Fix")))</f>
        <v xml:space="preserve"> </v>
      </c>
      <c r="C383" s="4" t="str">
        <f ca="1">IF(OR(INDEX($X$2:$X$1001,MATCH(ROWS($W$2:W383),$W$2:$W$1001,0),1)&gt;=100000,INDEX($AD$1005:$AU$1005,1,MATCH(COLUMNS($AD$1006:AE1006),$AD$1006:$AU$1006,0))&gt;=100000), " ",IF(INDEX($AD$2:$AU$1001,MATCH(ROWS($W$2:W383),$W$2:$W$1001,0),MATCH(COLUMNS($AD$1006:AE1006),$AD$1006:$AU$1006,0)), HYPERLINK("#",""), HYPERLINK(CONCATENATE("#metadata!", ADDRESS(INDEX($Y$2:$Y$1001,MATCH(ROWS($W$2:W383),$W$2:$W$1001,0),0), INDEX($AD$1004:$AU$1004,1,MATCH(COLUMNS($AD$1006:AE1006),$AD$1006:$AU$1006,0)))),"Fix")))</f>
        <v xml:space="preserve"> </v>
      </c>
      <c r="D383" s="4" t="str">
        <f ca="1">IF(OR(INDEX($X$2:$X$1001,MATCH(ROWS($W$2:W383),$W$2:$W$1001,0),1)&gt;=100000,INDEX($AD$1005:$AU$1005,1,MATCH(COLUMNS($AD$1006:AF1006),$AD$1006:$AU$1006,0))&gt;=100000), " ",IF(INDEX($AD$2:$AU$1001,MATCH(ROWS($W$2:W383),$W$2:$W$1001,0),MATCH(COLUMNS($AD$1006:AF1006),$AD$1006:$AU$1006,0)), HYPERLINK("#",""), HYPERLINK(CONCATENATE("#metadata!", ADDRESS(INDEX($Y$2:$Y$1001,MATCH(ROWS($W$2:W383),$W$2:$W$1001,0),0), INDEX($AD$1004:$AU$1004,1,MATCH(COLUMNS($AD$1006:AF1006),$AD$1006:$AU$1006,0)))),"Fix")))</f>
        <v xml:space="preserve"> </v>
      </c>
      <c r="E383" s="4" t="str">
        <f ca="1">IF(OR(INDEX($X$2:$X$1001,MATCH(ROWS($W$2:W383),$W$2:$W$1001,0),1)&gt;=100000,INDEX($AD$1005:$AU$1005,1,MATCH(COLUMNS($AD$1006:AG1006),$AD$1006:$AU$1006,0))&gt;=100000), " ",IF(INDEX($AD$2:$AU$1001,MATCH(ROWS($W$2:W383),$W$2:$W$1001,0),MATCH(COLUMNS($AD$1006:AG1006),$AD$1006:$AU$1006,0)), HYPERLINK("#",""), HYPERLINK(CONCATENATE("#metadata!", ADDRESS(INDEX($Y$2:$Y$1001,MATCH(ROWS($W$2:W383),$W$2:$W$1001,0),0), INDEX($AD$1004:$AU$1004,1,MATCH(COLUMNS($AD$1006:AG1006),$AD$1006:$AU$1006,0)))),"Fix")))</f>
        <v xml:space="preserve"> </v>
      </c>
      <c r="F383" s="4" t="str">
        <f ca="1">IF(OR(INDEX($X$2:$X$1001,MATCH(ROWS($W$2:W383),$W$2:$W$1001,0),1)&gt;=100000,INDEX($AD$1005:$AU$1005,1,MATCH(COLUMNS($AD$1006:AH1006),$AD$1006:$AU$1006,0))&gt;=100000), " ",IF(INDEX($AD$2:$AU$1001,MATCH(ROWS($W$2:W383),$W$2:$W$1001,0),MATCH(COLUMNS($AD$1006:AH1006),$AD$1006:$AU$1006,0)), HYPERLINK("#",""), HYPERLINK(CONCATENATE("#metadata!", ADDRESS(INDEX($Y$2:$Y$1001,MATCH(ROWS($W$2:W383),$W$2:$W$1001,0),0), INDEX($AD$1004:$AU$1004,1,MATCH(COLUMNS($AD$1006:AH1006),$AD$1006:$AU$1006,0)))),"Fix")))</f>
        <v xml:space="preserve"> </v>
      </c>
      <c r="G383" s="4" t="str">
        <f ca="1">IF(OR(INDEX($X$2:$X$1001,MATCH(ROWS($W$2:W383),$W$2:$W$1001,0),1)&gt;=100000,INDEX($AD$1005:$AU$1005,1,MATCH(COLUMNS($AD$1006:AI1006),$AD$1006:$AU$1006,0))&gt;=100000), " ",IF(INDEX($AD$2:$AU$1001,MATCH(ROWS($W$2:W383),$W$2:$W$1001,0),MATCH(COLUMNS($AD$1006:AI1006),$AD$1006:$AU$1006,0)), HYPERLINK("#",""), HYPERLINK(CONCATENATE("#metadata!", ADDRESS(INDEX($Y$2:$Y$1001,MATCH(ROWS($W$2:W383),$W$2:$W$1001,0),0), INDEX($AD$1004:$AU$1004,1,MATCH(COLUMNS($AD$1006:AI1006),$AD$1006:$AU$1006,0)))),"Fix")))</f>
        <v xml:space="preserve"> </v>
      </c>
      <c r="H383" s="4" t="str">
        <f ca="1">IF(OR(INDEX($X$2:$X$1001,MATCH(ROWS($W$2:W383),$W$2:$W$1001,0),1)&gt;=100000,INDEX($AD$1005:$AU$1005,1,MATCH(COLUMNS($AD$1006:AJ1006),$AD$1006:$AU$1006,0))&gt;=100000), " ",IF(INDEX($AD$2:$AU$1001,MATCH(ROWS($W$2:W383),$W$2:$W$1001,0),MATCH(COLUMNS($AD$1006:AJ1006),$AD$1006:$AU$1006,0)), HYPERLINK("#",""), HYPERLINK(CONCATENATE("#metadata!", ADDRESS(INDEX($Y$2:$Y$1001,MATCH(ROWS($W$2:W383),$W$2:$W$1001,0),0), INDEX($AD$1004:$AU$1004,1,MATCH(COLUMNS($AD$1006:AJ1006),$AD$1006:$AU$1006,0)))),"Fix")))</f>
        <v xml:space="preserve"> </v>
      </c>
      <c r="I383" s="4" t="str">
        <f ca="1">IF(OR(INDEX($X$2:$X$1001,MATCH(ROWS($W$2:W383),$W$2:$W$1001,0),1)&gt;=100000,INDEX($AD$1005:$AU$1005,1,MATCH(COLUMNS($AD$1006:AK1006),$AD$1006:$AU$1006,0))&gt;=100000), " ",IF(INDEX($AD$2:$AU$1001,MATCH(ROWS($W$2:W383),$W$2:$W$1001,0),MATCH(COLUMNS($AD$1006:AK1006),$AD$1006:$AU$1006,0)), HYPERLINK("#",""), HYPERLINK(CONCATENATE("#metadata!", ADDRESS(INDEX($Y$2:$Y$1001,MATCH(ROWS($W$2:W383),$W$2:$W$1001,0),0), INDEX($AD$1004:$AU$1004,1,MATCH(COLUMNS($AD$1006:AK1006),$AD$1006:$AU$1006,0)))),"Fix")))</f>
        <v xml:space="preserve"> </v>
      </c>
      <c r="J383" s="4" t="str">
        <f ca="1">IF(OR(INDEX($X$2:$X$1001,MATCH(ROWS($W$2:W383),$W$2:$W$1001,0),1)&gt;=100000,INDEX($AD$1005:$AU$1005,1,MATCH(COLUMNS($AD$1006:AL1006),$AD$1006:$AU$1006,0))&gt;=100000), " ",IF(INDEX($AD$2:$AU$1001,MATCH(ROWS($W$2:W383),$W$2:$W$1001,0),MATCH(COLUMNS($AD$1006:AL1006),$AD$1006:$AU$1006,0)), HYPERLINK("#",""), HYPERLINK(CONCATENATE("#metadata!", ADDRESS(INDEX($Y$2:$Y$1001,MATCH(ROWS($W$2:W383),$W$2:$W$1001,0),0), INDEX($AD$1004:$AU$1004,1,MATCH(COLUMNS($AD$1006:AL1006),$AD$1006:$AU$1006,0)))),"Fix")))</f>
        <v xml:space="preserve"> </v>
      </c>
      <c r="K383" s="4" t="str">
        <f ca="1">IF(OR(INDEX($X$2:$X$1001,MATCH(ROWS($W$2:W383),$W$2:$W$1001,0),1)&gt;=100000,INDEX($AD$1005:$AU$1005,1,MATCH(COLUMNS($AD$1006:AM1006),$AD$1006:$AU$1006,0))&gt;=100000), " ",IF(INDEX($AD$2:$AU$1001,MATCH(ROWS($W$2:W383),$W$2:$W$1001,0),MATCH(COLUMNS($AD$1006:AM1006),$AD$1006:$AU$1006,0)), HYPERLINK("#",""), HYPERLINK(CONCATENATE("#metadata!", ADDRESS(INDEX($Y$2:$Y$1001,MATCH(ROWS($W$2:W383),$W$2:$W$1001,0),0), INDEX($AD$1004:$AU$1004,1,MATCH(COLUMNS($AD$1006:AM1006),$AD$1006:$AU$1006,0)))),"Fix")))</f>
        <v xml:space="preserve"> </v>
      </c>
      <c r="L383" s="4" t="str">
        <f ca="1">IF(OR(INDEX($X$2:$X$1001,MATCH(ROWS($W$2:W383),$W$2:$W$1001,0),1)&gt;=100000,INDEX($AD$1005:$AU$1005,1,MATCH(COLUMNS($AD$1006:AN1006),$AD$1006:$AU$1006,0))&gt;=100000), " ",IF(INDEX($AD$2:$AU$1001,MATCH(ROWS($W$2:W383),$W$2:$W$1001,0),MATCH(COLUMNS($AD$1006:AN1006),$AD$1006:$AU$1006,0)), HYPERLINK("#",""), HYPERLINK(CONCATENATE("#metadata!", ADDRESS(INDEX($Y$2:$Y$1001,MATCH(ROWS($W$2:W383),$W$2:$W$1001,0),0), INDEX($AD$1004:$AU$1004,1,MATCH(COLUMNS($AD$1006:AN1006),$AD$1006:$AU$1006,0)))),"Fix")))</f>
        <v xml:space="preserve"> </v>
      </c>
      <c r="M383" s="4" t="str">
        <f ca="1">IF(OR(INDEX($X$2:$X$1001,MATCH(ROWS($W$2:W383),$W$2:$W$1001,0),1)&gt;=100000,INDEX($AD$1005:$AU$1005,1,MATCH(COLUMNS($AD$1006:AO1006),$AD$1006:$AU$1006,0))&gt;=100000), " ",IF(INDEX($AD$2:$AU$1001,MATCH(ROWS($W$2:W383),$W$2:$W$1001,0),MATCH(COLUMNS($AD$1006:AO1006),$AD$1006:$AU$1006,0)), HYPERLINK("#",""), HYPERLINK(CONCATENATE("#metadata!", ADDRESS(INDEX($Y$2:$Y$1001,MATCH(ROWS($W$2:W383),$W$2:$W$1001,0),0), INDEX($AD$1004:$AU$1004,1,MATCH(COLUMNS($AD$1006:AO1006),$AD$1006:$AU$1006,0)))),"Fix")))</f>
        <v xml:space="preserve"> </v>
      </c>
      <c r="N383" s="4" t="str">
        <f ca="1">IF(OR(INDEX($X$2:$X$1001,MATCH(ROWS($W$2:W383),$W$2:$W$1001,0),1)&gt;=100000,INDEX($AD$1005:$AU$1005,1,MATCH(COLUMNS($AD$1006:AP1006),$AD$1006:$AU$1006,0))&gt;=100000), " ",IF(INDEX($AD$2:$AU$1001,MATCH(ROWS($W$2:W383),$W$2:$W$1001,0),MATCH(COLUMNS($AD$1006:AP1006),$AD$1006:$AU$1006,0)), HYPERLINK("#",""), HYPERLINK(CONCATENATE("#metadata!", ADDRESS(INDEX($Y$2:$Y$1001,MATCH(ROWS($W$2:W383),$W$2:$W$1001,0),0), INDEX($AD$1004:$AU$1004,1,MATCH(COLUMNS($AD$1006:AP1006),$AD$1006:$AU$1006,0)))),"Fix")))</f>
        <v xml:space="preserve"> </v>
      </c>
      <c r="O383" s="4" t="str">
        <f ca="1">IF(OR(INDEX($X$2:$X$1001,MATCH(ROWS($W$2:W383),$W$2:$W$1001,0),1)&gt;=100000,INDEX($AD$1005:$AU$1005,1,MATCH(COLUMNS($AD$1006:AQ1006),$AD$1006:$AU$1006,0))&gt;=100000), " ",IF(INDEX($AD$2:$AU$1001,MATCH(ROWS($W$2:W383),$W$2:$W$1001,0),MATCH(COLUMNS($AD$1006:AQ1006),$AD$1006:$AU$1006,0)), HYPERLINK("#",""), HYPERLINK(CONCATENATE("#metadata!", ADDRESS(INDEX($Y$2:$Y$1001,MATCH(ROWS($W$2:W383),$W$2:$W$1001,0),0), INDEX($AD$1004:$AU$1004,1,MATCH(COLUMNS($AD$1006:AQ1006),$AD$1006:$AU$1006,0)))),"Fix")))</f>
        <v xml:space="preserve"> </v>
      </c>
      <c r="P383" s="4" t="str">
        <f ca="1">IF(OR(INDEX($X$2:$X$1001,MATCH(ROWS($W$2:W383),$W$2:$W$1001,0),1)&gt;=100000,INDEX($AD$1005:$AU$1005,1,MATCH(COLUMNS($AD$1006:AR1006),$AD$1006:$AU$1006,0))&gt;=100000), " ",IF(INDEX($AD$2:$AU$1001,MATCH(ROWS($W$2:W383),$W$2:$W$1001,0),MATCH(COLUMNS($AD$1006:AR1006),$AD$1006:$AU$1006,0)), HYPERLINK("#",""), HYPERLINK(CONCATENATE("#metadata!", ADDRESS(INDEX($Y$2:$Y$1001,MATCH(ROWS($W$2:W383),$W$2:$W$1001,0),0), INDEX($AD$1004:$AU$1004,1,MATCH(COLUMNS($AD$1006:AR1006),$AD$1006:$AU$1006,0)))),"Fix")))</f>
        <v xml:space="preserve"> </v>
      </c>
      <c r="Q383" s="4" t="str">
        <f ca="1">IF(OR(INDEX($X$2:$X$1001,MATCH(ROWS($W$2:W383),$W$2:$W$1001,0),1)&gt;=100000,INDEX($AD$1005:$AU$1005,1,MATCH(COLUMNS($AD$1006:AS1006),$AD$1006:$AU$1006,0))&gt;=100000), " ",IF(INDEX($AD$2:$AU$1001,MATCH(ROWS($W$2:W383),$W$2:$W$1001,0),MATCH(COLUMNS($AD$1006:AS1006),$AD$1006:$AU$1006,0)), HYPERLINK("#",""), HYPERLINK(CONCATENATE("#metadata!", ADDRESS(INDEX($Y$2:$Y$1001,MATCH(ROWS($W$2:W383),$W$2:$W$1001,0),0), INDEX($AD$1004:$AU$1004,1,MATCH(COLUMNS($AD$1006:AS1006),$AD$1006:$AU$1006,0)))),"Fix")))</f>
        <v xml:space="preserve"> </v>
      </c>
      <c r="R383" s="4" t="str">
        <f ca="1">IF(OR(INDEX($X$2:$X$1001,MATCH(ROWS($W$2:W383),$W$2:$W$1001,0),1)&gt;=100000,INDEX($AD$1005:$AU$1005,1,MATCH(COLUMNS($AD$1006:AT1006),$AD$1006:$AU$1006,0))&gt;=100000), " ",IF(INDEX($AD$2:$AU$1001,MATCH(ROWS($W$2:W383),$W$2:$W$1001,0),MATCH(COLUMNS($AD$1006:AT1006),$AD$1006:$AU$1006,0)), HYPERLINK("#",""), HYPERLINK(CONCATENATE("#metadata!", ADDRESS(INDEX($Y$2:$Y$1001,MATCH(ROWS($W$2:W383),$W$2:$W$1001,0),0), INDEX($AD$1004:$AU$1004,1,MATCH(COLUMNS($AD$1006:AT1006),$AD$1006:$AU$1006,0)))),"Fix")))</f>
        <v xml:space="preserve"> </v>
      </c>
      <c r="S383" s="4" t="str">
        <f ca="1">IF(OR(INDEX($X$2:$X$1001,MATCH(ROWS($W$2:W383),$W$2:$W$1001,0),1)&gt;=100000,INDEX($AD$1005:$AU$1005,1,MATCH(COLUMNS($AD$1006:AU1006),$AD$1006:$AU$1006,0))&gt;=100000), " ",IF(INDEX($AD$2:$AU$1001,MATCH(ROWS($W$2:W383),$W$2:$W$1001,0),MATCH(COLUMNS($AD$1006:AU1006),$AD$1006:$AU$1006,0)), HYPERLINK("#",""), HYPERLINK(CONCATENATE("#metadata!", ADDRESS(INDEX($Y$2:$Y$1001,MATCH(ROWS($W$2:W383),$W$2:$W$1001,0),0), INDEX($AD$1004:$AU$1004,1,MATCH(COLUMNS($AD$1006:AU1006),$AD$1006:$AU$1006,0)))),"Fix")))</f>
        <v xml:space="preserve"> </v>
      </c>
      <c r="W383">
        <v>382</v>
      </c>
      <c r="X383">
        <v>100383</v>
      </c>
      <c r="Y383">
        <v>383</v>
      </c>
      <c r="Z383" t="b">
        <f t="shared" si="5"/>
        <v>1</v>
      </c>
      <c r="AA383" t="b">
        <f>COUNTBLANK(metadata!B383:S383)=COLUMNS(metadata!B383:S383)</f>
        <v>1</v>
      </c>
      <c r="AB383" t="str">
        <v/>
      </c>
      <c r="AD383" t="b">
        <f ca="1">AND(IF(metadata!B383="",FALSE,TRUE),COUNTIF(metadata!B:B, metadata!B383) = 1,NOT(ISERROR(SUMPRODUCT(SEARCH(MID(metadata!B383,ROW(INDIRECT("1:"&amp;LEN(metadata!B383))), 1),"0123456789abcdefghijklmnopqrstuvwxyzABCDEFGHIJKLMNOPQRSTUVWXYZ.")))))</f>
        <v>0</v>
      </c>
      <c r="AE383" t="b">
        <f>OR(AND(IF(metadata!C383="",FALSE,TRUE),OR(EXACT(metadata!C383,"not applicable"),EXACT(metadata!C383,"missing: not collected"),EXACT(metadata!C383,"missing: not provided"),EXACT(metadata!C383,"missing: restricted access"))),AND(IF(metadata!C383="",FALSE,ISNUMBER(VALUE(metadata!C383))),metadata!C383&gt;0))</f>
        <v>0</v>
      </c>
      <c r="AF383" t="b">
        <f>AND(IF(metadata!D383="",FALSE,TRUE),EXACT(metadata!D383,"missing: not provided"))</f>
        <v>0</v>
      </c>
      <c r="AG383" t="b">
        <f>AND(IF(metadata!E383="",FALSE,TRUE),EXACT(metadata!E383,"Host-associated"))</f>
        <v>0</v>
      </c>
      <c r="AH383" t="b">
        <f>AND(IF(metadata!F383="",FALSE,TRUE),OR(EXACT(metadata!F383,"Animal"),EXACT(metadata!F383,"Fungus"),EXACT(metadata!F383,"Plant")))</f>
        <v>0</v>
      </c>
      <c r="AI383" t="b">
        <f>AND(IF(metadata!G383="",FALSE,TRUE),OR(EXACT(metadata!G383,"Plant secretion"),EXACT(metadata!G383,"Plant rhizosphere"),EXACT(metadata!G383,"Plant surface"),EXACT(metadata!G383,"Plant corpus"),EXACT(metadata!G383,"Fungus surface"),EXACT(metadata!G383,"Fungus corpus"),EXACT(metadata!G383,"Animal surface"),EXACT(metadata!G383,"Animal proximal gut"),EXACT(metadata!G383,"Animal corpus"),EXACT(metadata!G383,"Animal distal gut"),EXACT(metadata!G383,"Animal secretion")))</f>
        <v>0</v>
      </c>
      <c r="AJ383" t="b">
        <f>OR(AND(IF(metadata!H383="",FALSE,TRUE),OR(EXACT(metadata!H383,"missing: not collected"),EXACT(metadata!H383,"missing: not provided"),EXACT(metadata!H383,"missing: restricted access"))),AND(IF(metadata!H383="",FALSE,TRUE),OR(EXACT(metadata!H383,"organism-associated habitat"),EXACT(metadata!H383,"plant-associated habitat"),EXACT(metadata!H383,"animal-associated habitat"),EXACT(metadata!H383,"insecta-associated habitat"),EXACT(metadata!H383,"mammalia-associated habitat"),EXACT(metadata!H383,"human-associated habitat"),EXACT(metadata!H383,"livestock-associated habitat"))))</f>
        <v>0</v>
      </c>
      <c r="AK383" t="b">
        <f>AND(IF(metadata!I383="",FALSE,TRUE),EXACT(metadata!I383,"host-associated"))</f>
        <v>0</v>
      </c>
      <c r="AL383" t="b">
        <f>OR(AND(IF(metadata!J383="",FALSE,TRUE),OR(EXACT(metadata!J383,"not applicable"),EXACT(metadata!J383,"missing: not collected"),EXACT(metadata!J383,"missing: not provided"),EXACT(metadata!J383,"missing: restricted access"))),AND(IF(metadata!J383="",FALSE,ISNUMBER(VALUE(metadata!J383))),metadata!J383&gt;0))</f>
        <v>0</v>
      </c>
      <c r="AM383" t="b">
        <f>AND(IF(metadata!K383="",FALSE,TRUE),EXACT(metadata!K383,"missing: not provided"))</f>
        <v>0</v>
      </c>
      <c r="AN383" t="b">
        <f>IF(metadata!L383="",FALSE,TRUE)</f>
        <v>0</v>
      </c>
      <c r="AO383" t="b">
        <f>IF(metadata!M383="",FALSE,TRUE)</f>
        <v>0</v>
      </c>
      <c r="AP383" t="b">
        <f>OR(AND(IF(metadata!N383="",FALSE,TRUE),OR(EXACT(metadata!N383,"not applicable"),EXACT(metadata!N383,"missing: not collected"),EXACT(metadata!N383,"missing: not provided"))),AND(IF(metadata!N383="",FALSE,IF(ISERROR(INT(metadata!N383)),FALSE,INT(metadata!N383)=metadata!N383)),metadata!N383&gt;0))</f>
        <v>0</v>
      </c>
      <c r="AQ383" t="b">
        <f>AND(IF(metadata!O383="",FALSE,TRUE),EXACT(metadata!O383,"Not applicable"))</f>
        <v>0</v>
      </c>
      <c r="AR383" t="b">
        <f>OR(AND(IF(metadata!P383="",FALSE,TRUE),OR(EXACT(metadata!P383,"not applicable"),EXACT(metadata!P383,"missing: not collected"),EXACT(metadata!P383,"missing: not provided"),EXACT(metadata!P383,"missing: restricted access"))),IF(metadata!P383="",FALSE,IF(ISERROR(INT(metadata!P383)),FALSE,INT(metadata!P383)=metadata!P383)))</f>
        <v>0</v>
      </c>
      <c r="AS383" t="b">
        <f>AND(IF(metadata!Q383="",FALSE,TRUE),EXACT(metadata!Q383,"Not applicable"))</f>
        <v>0</v>
      </c>
      <c r="AT383" t="b">
        <f>OR(AND(IF(metadata!R383="",FALSE,TRUE),OR(EXACT(metadata!R383,"not applicable"),EXACT(metadata!R383,"missing: not collected"),EXACT(metadata!R383,"missing: not provided"),EXACT(metadata!R383,"missing: restricted access"))),AND(IF(metadata!R383="",FALSE,ISNUMBER(VALUE(metadata!R383))),metadata!R383&gt;0))</f>
        <v>0</v>
      </c>
      <c r="AU383" t="b">
        <f>AND(IF(metadata!S383="",FALSE,TRUE),EXACT(metadata!S383,"missing: not provided"))</f>
        <v>0</v>
      </c>
    </row>
    <row r="384" spans="1:47" x14ac:dyDescent="0.2">
      <c r="A384" s="5" t="str">
        <f ca="1">IF(B384=" "," ",HYPERLINK(CONCATENATE("#metadata!",ADDRESS(INDEX($Y$2:$Y$1001,MATCH(ROWS($W$2:W384),$W$2:$W$1001,0),0),1)),INDEX($AB$2:$AB$1001,MATCH(ROWS($W$2:W384),$W$2:$W$1001,0),0)))</f>
        <v xml:space="preserve"> </v>
      </c>
      <c r="B384" s="4" t="str">
        <f ca="1">IF(OR(INDEX($X$2:$X$1001,MATCH(ROWS($W$2:W384),$W$2:$W$1001,0),1)&gt;=100000,INDEX($AD$1005:$AU$1005,1,MATCH(COLUMNS($AD$1006:AD1006),$AD$1006:$AU$1006,0))&gt;=100000), " ",IF(INDEX($AD$2:$AU$1001,MATCH(ROWS($W$2:W384),$W$2:$W$1001,0),MATCH(COLUMNS($AD$1006:AD1006),$AD$1006:$AU$1006,0)), HYPERLINK("#",""), HYPERLINK(CONCATENATE("#metadata!", ADDRESS(INDEX($Y$2:$Y$1001,MATCH(ROWS($W$2:W384),$W$2:$W$1001,0),0), INDEX($AD$1004:$AU$1004,1,MATCH(COLUMNS($AD$1006:AD1006),$AD$1006:$AU$1006,0)))),"Fix")))</f>
        <v xml:space="preserve"> </v>
      </c>
      <c r="C384" s="4" t="str">
        <f ca="1">IF(OR(INDEX($X$2:$X$1001,MATCH(ROWS($W$2:W384),$W$2:$W$1001,0),1)&gt;=100000,INDEX($AD$1005:$AU$1005,1,MATCH(COLUMNS($AD$1006:AE1006),$AD$1006:$AU$1006,0))&gt;=100000), " ",IF(INDEX($AD$2:$AU$1001,MATCH(ROWS($W$2:W384),$W$2:$W$1001,0),MATCH(COLUMNS($AD$1006:AE1006),$AD$1006:$AU$1006,0)), HYPERLINK("#",""), HYPERLINK(CONCATENATE("#metadata!", ADDRESS(INDEX($Y$2:$Y$1001,MATCH(ROWS($W$2:W384),$W$2:$W$1001,0),0), INDEX($AD$1004:$AU$1004,1,MATCH(COLUMNS($AD$1006:AE1006),$AD$1006:$AU$1006,0)))),"Fix")))</f>
        <v xml:space="preserve"> </v>
      </c>
      <c r="D384" s="4" t="str">
        <f ca="1">IF(OR(INDEX($X$2:$X$1001,MATCH(ROWS($W$2:W384),$W$2:$W$1001,0),1)&gt;=100000,INDEX($AD$1005:$AU$1005,1,MATCH(COLUMNS($AD$1006:AF1006),$AD$1006:$AU$1006,0))&gt;=100000), " ",IF(INDEX($AD$2:$AU$1001,MATCH(ROWS($W$2:W384),$W$2:$W$1001,0),MATCH(COLUMNS($AD$1006:AF1006),$AD$1006:$AU$1006,0)), HYPERLINK("#",""), HYPERLINK(CONCATENATE("#metadata!", ADDRESS(INDEX($Y$2:$Y$1001,MATCH(ROWS($W$2:W384),$W$2:$W$1001,0),0), INDEX($AD$1004:$AU$1004,1,MATCH(COLUMNS($AD$1006:AF1006),$AD$1006:$AU$1006,0)))),"Fix")))</f>
        <v xml:space="preserve"> </v>
      </c>
      <c r="E384" s="4" t="str">
        <f ca="1">IF(OR(INDEX($X$2:$X$1001,MATCH(ROWS($W$2:W384),$W$2:$W$1001,0),1)&gt;=100000,INDEX($AD$1005:$AU$1005,1,MATCH(COLUMNS($AD$1006:AG1006),$AD$1006:$AU$1006,0))&gt;=100000), " ",IF(INDEX($AD$2:$AU$1001,MATCH(ROWS($W$2:W384),$W$2:$W$1001,0),MATCH(COLUMNS($AD$1006:AG1006),$AD$1006:$AU$1006,0)), HYPERLINK("#",""), HYPERLINK(CONCATENATE("#metadata!", ADDRESS(INDEX($Y$2:$Y$1001,MATCH(ROWS($W$2:W384),$W$2:$W$1001,0),0), INDEX($AD$1004:$AU$1004,1,MATCH(COLUMNS($AD$1006:AG1006),$AD$1006:$AU$1006,0)))),"Fix")))</f>
        <v xml:space="preserve"> </v>
      </c>
      <c r="F384" s="4" t="str">
        <f ca="1">IF(OR(INDEX($X$2:$X$1001,MATCH(ROWS($W$2:W384),$W$2:$W$1001,0),1)&gt;=100000,INDEX($AD$1005:$AU$1005,1,MATCH(COLUMNS($AD$1006:AH1006),$AD$1006:$AU$1006,0))&gt;=100000), " ",IF(INDEX($AD$2:$AU$1001,MATCH(ROWS($W$2:W384),$W$2:$W$1001,0),MATCH(COLUMNS($AD$1006:AH1006),$AD$1006:$AU$1006,0)), HYPERLINK("#",""), HYPERLINK(CONCATENATE("#metadata!", ADDRESS(INDEX($Y$2:$Y$1001,MATCH(ROWS($W$2:W384),$W$2:$W$1001,0),0), INDEX($AD$1004:$AU$1004,1,MATCH(COLUMNS($AD$1006:AH1006),$AD$1006:$AU$1006,0)))),"Fix")))</f>
        <v xml:space="preserve"> </v>
      </c>
      <c r="G384" s="4" t="str">
        <f ca="1">IF(OR(INDEX($X$2:$X$1001,MATCH(ROWS($W$2:W384),$W$2:$W$1001,0),1)&gt;=100000,INDEX($AD$1005:$AU$1005,1,MATCH(COLUMNS($AD$1006:AI1006),$AD$1006:$AU$1006,0))&gt;=100000), " ",IF(INDEX($AD$2:$AU$1001,MATCH(ROWS($W$2:W384),$W$2:$W$1001,0),MATCH(COLUMNS($AD$1006:AI1006),$AD$1006:$AU$1006,0)), HYPERLINK("#",""), HYPERLINK(CONCATENATE("#metadata!", ADDRESS(INDEX($Y$2:$Y$1001,MATCH(ROWS($W$2:W384),$W$2:$W$1001,0),0), INDEX($AD$1004:$AU$1004,1,MATCH(COLUMNS($AD$1006:AI1006),$AD$1006:$AU$1006,0)))),"Fix")))</f>
        <v xml:space="preserve"> </v>
      </c>
      <c r="H384" s="4" t="str">
        <f ca="1">IF(OR(INDEX($X$2:$X$1001,MATCH(ROWS($W$2:W384),$W$2:$W$1001,0),1)&gt;=100000,INDEX($AD$1005:$AU$1005,1,MATCH(COLUMNS($AD$1006:AJ1006),$AD$1006:$AU$1006,0))&gt;=100000), " ",IF(INDEX($AD$2:$AU$1001,MATCH(ROWS($W$2:W384),$W$2:$W$1001,0),MATCH(COLUMNS($AD$1006:AJ1006),$AD$1006:$AU$1006,0)), HYPERLINK("#",""), HYPERLINK(CONCATENATE("#metadata!", ADDRESS(INDEX($Y$2:$Y$1001,MATCH(ROWS($W$2:W384),$W$2:$W$1001,0),0), INDEX($AD$1004:$AU$1004,1,MATCH(COLUMNS($AD$1006:AJ1006),$AD$1006:$AU$1006,0)))),"Fix")))</f>
        <v xml:space="preserve"> </v>
      </c>
      <c r="I384" s="4" t="str">
        <f ca="1">IF(OR(INDEX($X$2:$X$1001,MATCH(ROWS($W$2:W384),$W$2:$W$1001,0),1)&gt;=100000,INDEX($AD$1005:$AU$1005,1,MATCH(COLUMNS($AD$1006:AK1006),$AD$1006:$AU$1006,0))&gt;=100000), " ",IF(INDEX($AD$2:$AU$1001,MATCH(ROWS($W$2:W384),$W$2:$W$1001,0),MATCH(COLUMNS($AD$1006:AK1006),$AD$1006:$AU$1006,0)), HYPERLINK("#",""), HYPERLINK(CONCATENATE("#metadata!", ADDRESS(INDEX($Y$2:$Y$1001,MATCH(ROWS($W$2:W384),$W$2:$W$1001,0),0), INDEX($AD$1004:$AU$1004,1,MATCH(COLUMNS($AD$1006:AK1006),$AD$1006:$AU$1006,0)))),"Fix")))</f>
        <v xml:space="preserve"> </v>
      </c>
      <c r="J384" s="4" t="str">
        <f ca="1">IF(OR(INDEX($X$2:$X$1001,MATCH(ROWS($W$2:W384),$W$2:$W$1001,0),1)&gt;=100000,INDEX($AD$1005:$AU$1005,1,MATCH(COLUMNS($AD$1006:AL1006),$AD$1006:$AU$1006,0))&gt;=100000), " ",IF(INDEX($AD$2:$AU$1001,MATCH(ROWS($W$2:W384),$W$2:$W$1001,0),MATCH(COLUMNS($AD$1006:AL1006),$AD$1006:$AU$1006,0)), HYPERLINK("#",""), HYPERLINK(CONCATENATE("#metadata!", ADDRESS(INDEX($Y$2:$Y$1001,MATCH(ROWS($W$2:W384),$W$2:$W$1001,0),0), INDEX($AD$1004:$AU$1004,1,MATCH(COLUMNS($AD$1006:AL1006),$AD$1006:$AU$1006,0)))),"Fix")))</f>
        <v xml:space="preserve"> </v>
      </c>
      <c r="K384" s="4" t="str">
        <f ca="1">IF(OR(INDEX($X$2:$X$1001,MATCH(ROWS($W$2:W384),$W$2:$W$1001,0),1)&gt;=100000,INDEX($AD$1005:$AU$1005,1,MATCH(COLUMNS($AD$1006:AM1006),$AD$1006:$AU$1006,0))&gt;=100000), " ",IF(INDEX($AD$2:$AU$1001,MATCH(ROWS($W$2:W384),$W$2:$W$1001,0),MATCH(COLUMNS($AD$1006:AM1006),$AD$1006:$AU$1006,0)), HYPERLINK("#",""), HYPERLINK(CONCATENATE("#metadata!", ADDRESS(INDEX($Y$2:$Y$1001,MATCH(ROWS($W$2:W384),$W$2:$W$1001,0),0), INDEX($AD$1004:$AU$1004,1,MATCH(COLUMNS($AD$1006:AM1006),$AD$1006:$AU$1006,0)))),"Fix")))</f>
        <v xml:space="preserve"> </v>
      </c>
      <c r="L384" s="4" t="str">
        <f ca="1">IF(OR(INDEX($X$2:$X$1001,MATCH(ROWS($W$2:W384),$W$2:$W$1001,0),1)&gt;=100000,INDEX($AD$1005:$AU$1005,1,MATCH(COLUMNS($AD$1006:AN1006),$AD$1006:$AU$1006,0))&gt;=100000), " ",IF(INDEX($AD$2:$AU$1001,MATCH(ROWS($W$2:W384),$W$2:$W$1001,0),MATCH(COLUMNS($AD$1006:AN1006),$AD$1006:$AU$1006,0)), HYPERLINK("#",""), HYPERLINK(CONCATENATE("#metadata!", ADDRESS(INDEX($Y$2:$Y$1001,MATCH(ROWS($W$2:W384),$W$2:$W$1001,0),0), INDEX($AD$1004:$AU$1004,1,MATCH(COLUMNS($AD$1006:AN1006),$AD$1006:$AU$1006,0)))),"Fix")))</f>
        <v xml:space="preserve"> </v>
      </c>
      <c r="M384" s="4" t="str">
        <f ca="1">IF(OR(INDEX($X$2:$X$1001,MATCH(ROWS($W$2:W384),$W$2:$W$1001,0),1)&gt;=100000,INDEX($AD$1005:$AU$1005,1,MATCH(COLUMNS($AD$1006:AO1006),$AD$1006:$AU$1006,0))&gt;=100000), " ",IF(INDEX($AD$2:$AU$1001,MATCH(ROWS($W$2:W384),$W$2:$W$1001,0),MATCH(COLUMNS($AD$1006:AO1006),$AD$1006:$AU$1006,0)), HYPERLINK("#",""), HYPERLINK(CONCATENATE("#metadata!", ADDRESS(INDEX($Y$2:$Y$1001,MATCH(ROWS($W$2:W384),$W$2:$W$1001,0),0), INDEX($AD$1004:$AU$1004,1,MATCH(COLUMNS($AD$1006:AO1006),$AD$1006:$AU$1006,0)))),"Fix")))</f>
        <v xml:space="preserve"> </v>
      </c>
      <c r="N384" s="4" t="str">
        <f ca="1">IF(OR(INDEX($X$2:$X$1001,MATCH(ROWS($W$2:W384),$W$2:$W$1001,0),1)&gt;=100000,INDEX($AD$1005:$AU$1005,1,MATCH(COLUMNS($AD$1006:AP1006),$AD$1006:$AU$1006,0))&gt;=100000), " ",IF(INDEX($AD$2:$AU$1001,MATCH(ROWS($W$2:W384),$W$2:$W$1001,0),MATCH(COLUMNS($AD$1006:AP1006),$AD$1006:$AU$1006,0)), HYPERLINK("#",""), HYPERLINK(CONCATENATE("#metadata!", ADDRESS(INDEX($Y$2:$Y$1001,MATCH(ROWS($W$2:W384),$W$2:$W$1001,0),0), INDEX($AD$1004:$AU$1004,1,MATCH(COLUMNS($AD$1006:AP1006),$AD$1006:$AU$1006,0)))),"Fix")))</f>
        <v xml:space="preserve"> </v>
      </c>
      <c r="O384" s="4" t="str">
        <f ca="1">IF(OR(INDEX($X$2:$X$1001,MATCH(ROWS($W$2:W384),$W$2:$W$1001,0),1)&gt;=100000,INDEX($AD$1005:$AU$1005,1,MATCH(COLUMNS($AD$1006:AQ1006),$AD$1006:$AU$1006,0))&gt;=100000), " ",IF(INDEX($AD$2:$AU$1001,MATCH(ROWS($W$2:W384),$W$2:$W$1001,0),MATCH(COLUMNS($AD$1006:AQ1006),$AD$1006:$AU$1006,0)), HYPERLINK("#",""), HYPERLINK(CONCATENATE("#metadata!", ADDRESS(INDEX($Y$2:$Y$1001,MATCH(ROWS($W$2:W384),$W$2:$W$1001,0),0), INDEX($AD$1004:$AU$1004,1,MATCH(COLUMNS($AD$1006:AQ1006),$AD$1006:$AU$1006,0)))),"Fix")))</f>
        <v xml:space="preserve"> </v>
      </c>
      <c r="P384" s="4" t="str">
        <f ca="1">IF(OR(INDEX($X$2:$X$1001,MATCH(ROWS($W$2:W384),$W$2:$W$1001,0),1)&gt;=100000,INDEX($AD$1005:$AU$1005,1,MATCH(COLUMNS($AD$1006:AR1006),$AD$1006:$AU$1006,0))&gt;=100000), " ",IF(INDEX($AD$2:$AU$1001,MATCH(ROWS($W$2:W384),$W$2:$W$1001,0),MATCH(COLUMNS($AD$1006:AR1006),$AD$1006:$AU$1006,0)), HYPERLINK("#",""), HYPERLINK(CONCATENATE("#metadata!", ADDRESS(INDEX($Y$2:$Y$1001,MATCH(ROWS($W$2:W384),$W$2:$W$1001,0),0), INDEX($AD$1004:$AU$1004,1,MATCH(COLUMNS($AD$1006:AR1006),$AD$1006:$AU$1006,0)))),"Fix")))</f>
        <v xml:space="preserve"> </v>
      </c>
      <c r="Q384" s="4" t="str">
        <f ca="1">IF(OR(INDEX($X$2:$X$1001,MATCH(ROWS($W$2:W384),$W$2:$W$1001,0),1)&gt;=100000,INDEX($AD$1005:$AU$1005,1,MATCH(COLUMNS($AD$1006:AS1006),$AD$1006:$AU$1006,0))&gt;=100000), " ",IF(INDEX($AD$2:$AU$1001,MATCH(ROWS($W$2:W384),$W$2:$W$1001,0),MATCH(COLUMNS($AD$1006:AS1006),$AD$1006:$AU$1006,0)), HYPERLINK("#",""), HYPERLINK(CONCATENATE("#metadata!", ADDRESS(INDEX($Y$2:$Y$1001,MATCH(ROWS($W$2:W384),$W$2:$W$1001,0),0), INDEX($AD$1004:$AU$1004,1,MATCH(COLUMNS($AD$1006:AS1006),$AD$1006:$AU$1006,0)))),"Fix")))</f>
        <v xml:space="preserve"> </v>
      </c>
      <c r="R384" s="4" t="str">
        <f ca="1">IF(OR(INDEX($X$2:$X$1001,MATCH(ROWS($W$2:W384),$W$2:$W$1001,0),1)&gt;=100000,INDEX($AD$1005:$AU$1005,1,MATCH(COLUMNS($AD$1006:AT1006),$AD$1006:$AU$1006,0))&gt;=100000), " ",IF(INDEX($AD$2:$AU$1001,MATCH(ROWS($W$2:W384),$W$2:$W$1001,0),MATCH(COLUMNS($AD$1006:AT1006),$AD$1006:$AU$1006,0)), HYPERLINK("#",""), HYPERLINK(CONCATENATE("#metadata!", ADDRESS(INDEX($Y$2:$Y$1001,MATCH(ROWS($W$2:W384),$W$2:$W$1001,0),0), INDEX($AD$1004:$AU$1004,1,MATCH(COLUMNS($AD$1006:AT1006),$AD$1006:$AU$1006,0)))),"Fix")))</f>
        <v xml:space="preserve"> </v>
      </c>
      <c r="S384" s="4" t="str">
        <f ca="1">IF(OR(INDEX($X$2:$X$1001,MATCH(ROWS($W$2:W384),$W$2:$W$1001,0),1)&gt;=100000,INDEX($AD$1005:$AU$1005,1,MATCH(COLUMNS($AD$1006:AU1006),$AD$1006:$AU$1006,0))&gt;=100000), " ",IF(INDEX($AD$2:$AU$1001,MATCH(ROWS($W$2:W384),$W$2:$W$1001,0),MATCH(COLUMNS($AD$1006:AU1006),$AD$1006:$AU$1006,0)), HYPERLINK("#",""), HYPERLINK(CONCATENATE("#metadata!", ADDRESS(INDEX($Y$2:$Y$1001,MATCH(ROWS($W$2:W384),$W$2:$W$1001,0),0), INDEX($AD$1004:$AU$1004,1,MATCH(COLUMNS($AD$1006:AU1006),$AD$1006:$AU$1006,0)))),"Fix")))</f>
        <v xml:space="preserve"> </v>
      </c>
      <c r="W384">
        <v>383</v>
      </c>
      <c r="X384">
        <v>100384</v>
      </c>
      <c r="Y384">
        <v>384</v>
      </c>
      <c r="Z384" t="b">
        <f t="shared" si="5"/>
        <v>1</v>
      </c>
      <c r="AA384" t="b">
        <f>COUNTBLANK(metadata!B384:S384)=COLUMNS(metadata!B384:S384)</f>
        <v>1</v>
      </c>
      <c r="AB384" t="str">
        <v/>
      </c>
      <c r="AD384" t="b">
        <f ca="1">AND(IF(metadata!B384="",FALSE,TRUE),COUNTIF(metadata!B:B, metadata!B384) = 1,NOT(ISERROR(SUMPRODUCT(SEARCH(MID(metadata!B384,ROW(INDIRECT("1:"&amp;LEN(metadata!B384))), 1),"0123456789abcdefghijklmnopqrstuvwxyzABCDEFGHIJKLMNOPQRSTUVWXYZ.")))))</f>
        <v>0</v>
      </c>
      <c r="AE384" t="b">
        <f>OR(AND(IF(metadata!C384="",FALSE,TRUE),OR(EXACT(metadata!C384,"not applicable"),EXACT(metadata!C384,"missing: not collected"),EXACT(metadata!C384,"missing: not provided"),EXACT(metadata!C384,"missing: restricted access"))),AND(IF(metadata!C384="",FALSE,ISNUMBER(VALUE(metadata!C384))),metadata!C384&gt;0))</f>
        <v>0</v>
      </c>
      <c r="AF384" t="b">
        <f>AND(IF(metadata!D384="",FALSE,TRUE),EXACT(metadata!D384,"missing: not provided"))</f>
        <v>0</v>
      </c>
      <c r="AG384" t="b">
        <f>AND(IF(metadata!E384="",FALSE,TRUE),EXACT(metadata!E384,"Host-associated"))</f>
        <v>0</v>
      </c>
      <c r="AH384" t="b">
        <f>AND(IF(metadata!F384="",FALSE,TRUE),OR(EXACT(metadata!F384,"Animal"),EXACT(metadata!F384,"Fungus"),EXACT(metadata!F384,"Plant")))</f>
        <v>0</v>
      </c>
      <c r="AI384" t="b">
        <f>AND(IF(metadata!G384="",FALSE,TRUE),OR(EXACT(metadata!G384,"Plant secretion"),EXACT(metadata!G384,"Plant rhizosphere"),EXACT(metadata!G384,"Plant surface"),EXACT(metadata!G384,"Plant corpus"),EXACT(metadata!G384,"Fungus surface"),EXACT(metadata!G384,"Fungus corpus"),EXACT(metadata!G384,"Animal surface"),EXACT(metadata!G384,"Animal proximal gut"),EXACT(metadata!G384,"Animal corpus"),EXACT(metadata!G384,"Animal distal gut"),EXACT(metadata!G384,"Animal secretion")))</f>
        <v>0</v>
      </c>
      <c r="AJ384" t="b">
        <f>OR(AND(IF(metadata!H384="",FALSE,TRUE),OR(EXACT(metadata!H384,"missing: not collected"),EXACT(metadata!H384,"missing: not provided"),EXACT(metadata!H384,"missing: restricted access"))),AND(IF(metadata!H384="",FALSE,TRUE),OR(EXACT(metadata!H384,"organism-associated habitat"),EXACT(metadata!H384,"plant-associated habitat"),EXACT(metadata!H384,"animal-associated habitat"),EXACT(metadata!H384,"insecta-associated habitat"),EXACT(metadata!H384,"mammalia-associated habitat"),EXACT(metadata!H384,"human-associated habitat"),EXACT(metadata!H384,"livestock-associated habitat"))))</f>
        <v>0</v>
      </c>
      <c r="AK384" t="b">
        <f>AND(IF(metadata!I384="",FALSE,TRUE),EXACT(metadata!I384,"host-associated"))</f>
        <v>0</v>
      </c>
      <c r="AL384" t="b">
        <f>OR(AND(IF(metadata!J384="",FALSE,TRUE),OR(EXACT(metadata!J384,"not applicable"),EXACT(metadata!J384,"missing: not collected"),EXACT(metadata!J384,"missing: not provided"),EXACT(metadata!J384,"missing: restricted access"))),AND(IF(metadata!J384="",FALSE,ISNUMBER(VALUE(metadata!J384))),metadata!J384&gt;0))</f>
        <v>0</v>
      </c>
      <c r="AM384" t="b">
        <f>AND(IF(metadata!K384="",FALSE,TRUE),EXACT(metadata!K384,"missing: not provided"))</f>
        <v>0</v>
      </c>
      <c r="AN384" t="b">
        <f>IF(metadata!L384="",FALSE,TRUE)</f>
        <v>0</v>
      </c>
      <c r="AO384" t="b">
        <f>IF(metadata!M384="",FALSE,TRUE)</f>
        <v>0</v>
      </c>
      <c r="AP384" t="b">
        <f>OR(AND(IF(metadata!N384="",FALSE,TRUE),OR(EXACT(metadata!N384,"not applicable"),EXACT(metadata!N384,"missing: not collected"),EXACT(metadata!N384,"missing: not provided"))),AND(IF(metadata!N384="",FALSE,IF(ISERROR(INT(metadata!N384)),FALSE,INT(metadata!N384)=metadata!N384)),metadata!N384&gt;0))</f>
        <v>0</v>
      </c>
      <c r="AQ384" t="b">
        <f>AND(IF(metadata!O384="",FALSE,TRUE),EXACT(metadata!O384,"Not applicable"))</f>
        <v>0</v>
      </c>
      <c r="AR384" t="b">
        <f>OR(AND(IF(metadata!P384="",FALSE,TRUE),OR(EXACT(metadata!P384,"not applicable"),EXACT(metadata!P384,"missing: not collected"),EXACT(metadata!P384,"missing: not provided"),EXACT(metadata!P384,"missing: restricted access"))),IF(metadata!P384="",FALSE,IF(ISERROR(INT(metadata!P384)),FALSE,INT(metadata!P384)=metadata!P384)))</f>
        <v>0</v>
      </c>
      <c r="AS384" t="b">
        <f>AND(IF(metadata!Q384="",FALSE,TRUE),EXACT(metadata!Q384,"Not applicable"))</f>
        <v>0</v>
      </c>
      <c r="AT384" t="b">
        <f>OR(AND(IF(metadata!R384="",FALSE,TRUE),OR(EXACT(metadata!R384,"not applicable"),EXACT(metadata!R384,"missing: not collected"),EXACT(metadata!R384,"missing: not provided"),EXACT(metadata!R384,"missing: restricted access"))),AND(IF(metadata!R384="",FALSE,ISNUMBER(VALUE(metadata!R384))),metadata!R384&gt;0))</f>
        <v>0</v>
      </c>
      <c r="AU384" t="b">
        <f>AND(IF(metadata!S384="",FALSE,TRUE),EXACT(metadata!S384,"missing: not provided"))</f>
        <v>0</v>
      </c>
    </row>
    <row r="385" spans="1:47" x14ac:dyDescent="0.2">
      <c r="A385" s="5" t="str">
        <f ca="1">IF(B385=" "," ",HYPERLINK(CONCATENATE("#metadata!",ADDRESS(INDEX($Y$2:$Y$1001,MATCH(ROWS($W$2:W385),$W$2:$W$1001,0),0),1)),INDEX($AB$2:$AB$1001,MATCH(ROWS($W$2:W385),$W$2:$W$1001,0),0)))</f>
        <v xml:space="preserve"> </v>
      </c>
      <c r="B385" s="4" t="str">
        <f ca="1">IF(OR(INDEX($X$2:$X$1001,MATCH(ROWS($W$2:W385),$W$2:$W$1001,0),1)&gt;=100000,INDEX($AD$1005:$AU$1005,1,MATCH(COLUMNS($AD$1006:AD1006),$AD$1006:$AU$1006,0))&gt;=100000), " ",IF(INDEX($AD$2:$AU$1001,MATCH(ROWS($W$2:W385),$W$2:$W$1001,0),MATCH(COLUMNS($AD$1006:AD1006),$AD$1006:$AU$1006,0)), HYPERLINK("#",""), HYPERLINK(CONCATENATE("#metadata!", ADDRESS(INDEX($Y$2:$Y$1001,MATCH(ROWS($W$2:W385),$W$2:$W$1001,0),0), INDEX($AD$1004:$AU$1004,1,MATCH(COLUMNS($AD$1006:AD1006),$AD$1006:$AU$1006,0)))),"Fix")))</f>
        <v xml:space="preserve"> </v>
      </c>
      <c r="C385" s="4" t="str">
        <f ca="1">IF(OR(INDEX($X$2:$X$1001,MATCH(ROWS($W$2:W385),$W$2:$W$1001,0),1)&gt;=100000,INDEX($AD$1005:$AU$1005,1,MATCH(COLUMNS($AD$1006:AE1006),$AD$1006:$AU$1006,0))&gt;=100000), " ",IF(INDEX($AD$2:$AU$1001,MATCH(ROWS($W$2:W385),$W$2:$W$1001,0),MATCH(COLUMNS($AD$1006:AE1006),$AD$1006:$AU$1006,0)), HYPERLINK("#",""), HYPERLINK(CONCATENATE("#metadata!", ADDRESS(INDEX($Y$2:$Y$1001,MATCH(ROWS($W$2:W385),$W$2:$W$1001,0),0), INDEX($AD$1004:$AU$1004,1,MATCH(COLUMNS($AD$1006:AE1006),$AD$1006:$AU$1006,0)))),"Fix")))</f>
        <v xml:space="preserve"> </v>
      </c>
      <c r="D385" s="4" t="str">
        <f ca="1">IF(OR(INDEX($X$2:$X$1001,MATCH(ROWS($W$2:W385),$W$2:$W$1001,0),1)&gt;=100000,INDEX($AD$1005:$AU$1005,1,MATCH(COLUMNS($AD$1006:AF1006),$AD$1006:$AU$1006,0))&gt;=100000), " ",IF(INDEX($AD$2:$AU$1001,MATCH(ROWS($W$2:W385),$W$2:$W$1001,0),MATCH(COLUMNS($AD$1006:AF1006),$AD$1006:$AU$1006,0)), HYPERLINK("#",""), HYPERLINK(CONCATENATE("#metadata!", ADDRESS(INDEX($Y$2:$Y$1001,MATCH(ROWS($W$2:W385),$W$2:$W$1001,0),0), INDEX($AD$1004:$AU$1004,1,MATCH(COLUMNS($AD$1006:AF1006),$AD$1006:$AU$1006,0)))),"Fix")))</f>
        <v xml:space="preserve"> </v>
      </c>
      <c r="E385" s="4" t="str">
        <f ca="1">IF(OR(INDEX($X$2:$X$1001,MATCH(ROWS($W$2:W385),$W$2:$W$1001,0),1)&gt;=100000,INDEX($AD$1005:$AU$1005,1,MATCH(COLUMNS($AD$1006:AG1006),$AD$1006:$AU$1006,0))&gt;=100000), " ",IF(INDEX($AD$2:$AU$1001,MATCH(ROWS($W$2:W385),$W$2:$W$1001,0),MATCH(COLUMNS($AD$1006:AG1006),$AD$1006:$AU$1006,0)), HYPERLINK("#",""), HYPERLINK(CONCATENATE("#metadata!", ADDRESS(INDEX($Y$2:$Y$1001,MATCH(ROWS($W$2:W385),$W$2:$W$1001,0),0), INDEX($AD$1004:$AU$1004,1,MATCH(COLUMNS($AD$1006:AG1006),$AD$1006:$AU$1006,0)))),"Fix")))</f>
        <v xml:space="preserve"> </v>
      </c>
      <c r="F385" s="4" t="str">
        <f ca="1">IF(OR(INDEX($X$2:$X$1001,MATCH(ROWS($W$2:W385),$W$2:$W$1001,0),1)&gt;=100000,INDEX($AD$1005:$AU$1005,1,MATCH(COLUMNS($AD$1006:AH1006),$AD$1006:$AU$1006,0))&gt;=100000), " ",IF(INDEX($AD$2:$AU$1001,MATCH(ROWS($W$2:W385),$W$2:$W$1001,0),MATCH(COLUMNS($AD$1006:AH1006),$AD$1006:$AU$1006,0)), HYPERLINK("#",""), HYPERLINK(CONCATENATE("#metadata!", ADDRESS(INDEX($Y$2:$Y$1001,MATCH(ROWS($W$2:W385),$W$2:$W$1001,0),0), INDEX($AD$1004:$AU$1004,1,MATCH(COLUMNS($AD$1006:AH1006),$AD$1006:$AU$1006,0)))),"Fix")))</f>
        <v xml:space="preserve"> </v>
      </c>
      <c r="G385" s="4" t="str">
        <f ca="1">IF(OR(INDEX($X$2:$X$1001,MATCH(ROWS($W$2:W385),$W$2:$W$1001,0),1)&gt;=100000,INDEX($AD$1005:$AU$1005,1,MATCH(COLUMNS($AD$1006:AI1006),$AD$1006:$AU$1006,0))&gt;=100000), " ",IF(INDEX($AD$2:$AU$1001,MATCH(ROWS($W$2:W385),$W$2:$W$1001,0),MATCH(COLUMNS($AD$1006:AI1006),$AD$1006:$AU$1006,0)), HYPERLINK("#",""), HYPERLINK(CONCATENATE("#metadata!", ADDRESS(INDEX($Y$2:$Y$1001,MATCH(ROWS($W$2:W385),$W$2:$W$1001,0),0), INDEX($AD$1004:$AU$1004,1,MATCH(COLUMNS($AD$1006:AI1006),$AD$1006:$AU$1006,0)))),"Fix")))</f>
        <v xml:space="preserve"> </v>
      </c>
      <c r="H385" s="4" t="str">
        <f ca="1">IF(OR(INDEX($X$2:$X$1001,MATCH(ROWS($W$2:W385),$W$2:$W$1001,0),1)&gt;=100000,INDEX($AD$1005:$AU$1005,1,MATCH(COLUMNS($AD$1006:AJ1006),$AD$1006:$AU$1006,0))&gt;=100000), " ",IF(INDEX($AD$2:$AU$1001,MATCH(ROWS($W$2:W385),$W$2:$W$1001,0),MATCH(COLUMNS($AD$1006:AJ1006),$AD$1006:$AU$1006,0)), HYPERLINK("#",""), HYPERLINK(CONCATENATE("#metadata!", ADDRESS(INDEX($Y$2:$Y$1001,MATCH(ROWS($W$2:W385),$W$2:$W$1001,0),0), INDEX($AD$1004:$AU$1004,1,MATCH(COLUMNS($AD$1006:AJ1006),$AD$1006:$AU$1006,0)))),"Fix")))</f>
        <v xml:space="preserve"> </v>
      </c>
      <c r="I385" s="4" t="str">
        <f ca="1">IF(OR(INDEX($X$2:$X$1001,MATCH(ROWS($W$2:W385),$W$2:$W$1001,0),1)&gt;=100000,INDEX($AD$1005:$AU$1005,1,MATCH(COLUMNS($AD$1006:AK1006),$AD$1006:$AU$1006,0))&gt;=100000), " ",IF(INDEX($AD$2:$AU$1001,MATCH(ROWS($W$2:W385),$W$2:$W$1001,0),MATCH(COLUMNS($AD$1006:AK1006),$AD$1006:$AU$1006,0)), HYPERLINK("#",""), HYPERLINK(CONCATENATE("#metadata!", ADDRESS(INDEX($Y$2:$Y$1001,MATCH(ROWS($W$2:W385),$W$2:$W$1001,0),0), INDEX($AD$1004:$AU$1004,1,MATCH(COLUMNS($AD$1006:AK1006),$AD$1006:$AU$1006,0)))),"Fix")))</f>
        <v xml:space="preserve"> </v>
      </c>
      <c r="J385" s="4" t="str">
        <f ca="1">IF(OR(INDEX($X$2:$X$1001,MATCH(ROWS($W$2:W385),$W$2:$W$1001,0),1)&gt;=100000,INDEX($AD$1005:$AU$1005,1,MATCH(COLUMNS($AD$1006:AL1006),$AD$1006:$AU$1006,0))&gt;=100000), " ",IF(INDEX($AD$2:$AU$1001,MATCH(ROWS($W$2:W385),$W$2:$W$1001,0),MATCH(COLUMNS($AD$1006:AL1006),$AD$1006:$AU$1006,0)), HYPERLINK("#",""), HYPERLINK(CONCATENATE("#metadata!", ADDRESS(INDEX($Y$2:$Y$1001,MATCH(ROWS($W$2:W385),$W$2:$W$1001,0),0), INDEX($AD$1004:$AU$1004,1,MATCH(COLUMNS($AD$1006:AL1006),$AD$1006:$AU$1006,0)))),"Fix")))</f>
        <v xml:space="preserve"> </v>
      </c>
      <c r="K385" s="4" t="str">
        <f ca="1">IF(OR(INDEX($X$2:$X$1001,MATCH(ROWS($W$2:W385),$W$2:$W$1001,0),1)&gt;=100000,INDEX($AD$1005:$AU$1005,1,MATCH(COLUMNS($AD$1006:AM1006),$AD$1006:$AU$1006,0))&gt;=100000), " ",IF(INDEX($AD$2:$AU$1001,MATCH(ROWS($W$2:W385),$W$2:$W$1001,0),MATCH(COLUMNS($AD$1006:AM1006),$AD$1006:$AU$1006,0)), HYPERLINK("#",""), HYPERLINK(CONCATENATE("#metadata!", ADDRESS(INDEX($Y$2:$Y$1001,MATCH(ROWS($W$2:W385),$W$2:$W$1001,0),0), INDEX($AD$1004:$AU$1004,1,MATCH(COLUMNS($AD$1006:AM1006),$AD$1006:$AU$1006,0)))),"Fix")))</f>
        <v xml:space="preserve"> </v>
      </c>
      <c r="L385" s="4" t="str">
        <f ca="1">IF(OR(INDEX($X$2:$X$1001,MATCH(ROWS($W$2:W385),$W$2:$W$1001,0),1)&gt;=100000,INDEX($AD$1005:$AU$1005,1,MATCH(COLUMNS($AD$1006:AN1006),$AD$1006:$AU$1006,0))&gt;=100000), " ",IF(INDEX($AD$2:$AU$1001,MATCH(ROWS($W$2:W385),$W$2:$W$1001,0),MATCH(COLUMNS($AD$1006:AN1006),$AD$1006:$AU$1006,0)), HYPERLINK("#",""), HYPERLINK(CONCATENATE("#metadata!", ADDRESS(INDEX($Y$2:$Y$1001,MATCH(ROWS($W$2:W385),$W$2:$W$1001,0),0), INDEX($AD$1004:$AU$1004,1,MATCH(COLUMNS($AD$1006:AN1006),$AD$1006:$AU$1006,0)))),"Fix")))</f>
        <v xml:space="preserve"> </v>
      </c>
      <c r="M385" s="4" t="str">
        <f ca="1">IF(OR(INDEX($X$2:$X$1001,MATCH(ROWS($W$2:W385),$W$2:$W$1001,0),1)&gt;=100000,INDEX($AD$1005:$AU$1005,1,MATCH(COLUMNS($AD$1006:AO1006),$AD$1006:$AU$1006,0))&gt;=100000), " ",IF(INDEX($AD$2:$AU$1001,MATCH(ROWS($W$2:W385),$W$2:$W$1001,0),MATCH(COLUMNS($AD$1006:AO1006),$AD$1006:$AU$1006,0)), HYPERLINK("#",""), HYPERLINK(CONCATENATE("#metadata!", ADDRESS(INDEX($Y$2:$Y$1001,MATCH(ROWS($W$2:W385),$W$2:$W$1001,0),0), INDEX($AD$1004:$AU$1004,1,MATCH(COLUMNS($AD$1006:AO1006),$AD$1006:$AU$1006,0)))),"Fix")))</f>
        <v xml:space="preserve"> </v>
      </c>
      <c r="N385" s="4" t="str">
        <f ca="1">IF(OR(INDEX($X$2:$X$1001,MATCH(ROWS($W$2:W385),$W$2:$W$1001,0),1)&gt;=100000,INDEX($AD$1005:$AU$1005,1,MATCH(COLUMNS($AD$1006:AP1006),$AD$1006:$AU$1006,0))&gt;=100000), " ",IF(INDEX($AD$2:$AU$1001,MATCH(ROWS($W$2:W385),$W$2:$W$1001,0),MATCH(COLUMNS($AD$1006:AP1006),$AD$1006:$AU$1006,0)), HYPERLINK("#",""), HYPERLINK(CONCATENATE("#metadata!", ADDRESS(INDEX($Y$2:$Y$1001,MATCH(ROWS($W$2:W385),$W$2:$W$1001,0),0), INDEX($AD$1004:$AU$1004,1,MATCH(COLUMNS($AD$1006:AP1006),$AD$1006:$AU$1006,0)))),"Fix")))</f>
        <v xml:space="preserve"> </v>
      </c>
      <c r="O385" s="4" t="str">
        <f ca="1">IF(OR(INDEX($X$2:$X$1001,MATCH(ROWS($W$2:W385),$W$2:$W$1001,0),1)&gt;=100000,INDEX($AD$1005:$AU$1005,1,MATCH(COLUMNS($AD$1006:AQ1006),$AD$1006:$AU$1006,0))&gt;=100000), " ",IF(INDEX($AD$2:$AU$1001,MATCH(ROWS($W$2:W385),$W$2:$W$1001,0),MATCH(COLUMNS($AD$1006:AQ1006),$AD$1006:$AU$1006,0)), HYPERLINK("#",""), HYPERLINK(CONCATENATE("#metadata!", ADDRESS(INDEX($Y$2:$Y$1001,MATCH(ROWS($W$2:W385),$W$2:$W$1001,0),0), INDEX($AD$1004:$AU$1004,1,MATCH(COLUMNS($AD$1006:AQ1006),$AD$1006:$AU$1006,0)))),"Fix")))</f>
        <v xml:space="preserve"> </v>
      </c>
      <c r="P385" s="4" t="str">
        <f ca="1">IF(OR(INDEX($X$2:$X$1001,MATCH(ROWS($W$2:W385),$W$2:$W$1001,0),1)&gt;=100000,INDEX($AD$1005:$AU$1005,1,MATCH(COLUMNS($AD$1006:AR1006),$AD$1006:$AU$1006,0))&gt;=100000), " ",IF(INDEX($AD$2:$AU$1001,MATCH(ROWS($W$2:W385),$W$2:$W$1001,0),MATCH(COLUMNS($AD$1006:AR1006),$AD$1006:$AU$1006,0)), HYPERLINK("#",""), HYPERLINK(CONCATENATE("#metadata!", ADDRESS(INDEX($Y$2:$Y$1001,MATCH(ROWS($W$2:W385),$W$2:$W$1001,0),0), INDEX($AD$1004:$AU$1004,1,MATCH(COLUMNS($AD$1006:AR1006),$AD$1006:$AU$1006,0)))),"Fix")))</f>
        <v xml:space="preserve"> </v>
      </c>
      <c r="Q385" s="4" t="str">
        <f ca="1">IF(OR(INDEX($X$2:$X$1001,MATCH(ROWS($W$2:W385),$W$2:$W$1001,0),1)&gt;=100000,INDEX($AD$1005:$AU$1005,1,MATCH(COLUMNS($AD$1006:AS1006),$AD$1006:$AU$1006,0))&gt;=100000), " ",IF(INDEX($AD$2:$AU$1001,MATCH(ROWS($W$2:W385),$W$2:$W$1001,0),MATCH(COLUMNS($AD$1006:AS1006),$AD$1006:$AU$1006,0)), HYPERLINK("#",""), HYPERLINK(CONCATENATE("#metadata!", ADDRESS(INDEX($Y$2:$Y$1001,MATCH(ROWS($W$2:W385),$W$2:$W$1001,0),0), INDEX($AD$1004:$AU$1004,1,MATCH(COLUMNS($AD$1006:AS1006),$AD$1006:$AU$1006,0)))),"Fix")))</f>
        <v xml:space="preserve"> </v>
      </c>
      <c r="R385" s="4" t="str">
        <f ca="1">IF(OR(INDEX($X$2:$X$1001,MATCH(ROWS($W$2:W385),$W$2:$W$1001,0),1)&gt;=100000,INDEX($AD$1005:$AU$1005,1,MATCH(COLUMNS($AD$1006:AT1006),$AD$1006:$AU$1006,0))&gt;=100000), " ",IF(INDEX($AD$2:$AU$1001,MATCH(ROWS($W$2:W385),$W$2:$W$1001,0),MATCH(COLUMNS($AD$1006:AT1006),$AD$1006:$AU$1006,0)), HYPERLINK("#",""), HYPERLINK(CONCATENATE("#metadata!", ADDRESS(INDEX($Y$2:$Y$1001,MATCH(ROWS($W$2:W385),$W$2:$W$1001,0),0), INDEX($AD$1004:$AU$1004,1,MATCH(COLUMNS($AD$1006:AT1006),$AD$1006:$AU$1006,0)))),"Fix")))</f>
        <v xml:space="preserve"> </v>
      </c>
      <c r="S385" s="4" t="str">
        <f ca="1">IF(OR(INDEX($X$2:$X$1001,MATCH(ROWS($W$2:W385),$W$2:$W$1001,0),1)&gt;=100000,INDEX($AD$1005:$AU$1005,1,MATCH(COLUMNS($AD$1006:AU1006),$AD$1006:$AU$1006,0))&gt;=100000), " ",IF(INDEX($AD$2:$AU$1001,MATCH(ROWS($W$2:W385),$W$2:$W$1001,0),MATCH(COLUMNS($AD$1006:AU1006),$AD$1006:$AU$1006,0)), HYPERLINK("#",""), HYPERLINK(CONCATENATE("#metadata!", ADDRESS(INDEX($Y$2:$Y$1001,MATCH(ROWS($W$2:W385),$W$2:$W$1001,0),0), INDEX($AD$1004:$AU$1004,1,MATCH(COLUMNS($AD$1006:AU1006),$AD$1006:$AU$1006,0)))),"Fix")))</f>
        <v xml:space="preserve"> </v>
      </c>
      <c r="W385">
        <v>384</v>
      </c>
      <c r="X385">
        <v>100385</v>
      </c>
      <c r="Y385">
        <v>385</v>
      </c>
      <c r="Z385" t="b">
        <f t="shared" si="5"/>
        <v>1</v>
      </c>
      <c r="AA385" t="b">
        <f>COUNTBLANK(metadata!B385:S385)=COLUMNS(metadata!B385:S385)</f>
        <v>1</v>
      </c>
      <c r="AB385" t="str">
        <v/>
      </c>
      <c r="AD385" t="b">
        <f ca="1">AND(IF(metadata!B385="",FALSE,TRUE),COUNTIF(metadata!B:B, metadata!B385) = 1,NOT(ISERROR(SUMPRODUCT(SEARCH(MID(metadata!B385,ROW(INDIRECT("1:"&amp;LEN(metadata!B385))), 1),"0123456789abcdefghijklmnopqrstuvwxyzABCDEFGHIJKLMNOPQRSTUVWXYZ.")))))</f>
        <v>0</v>
      </c>
      <c r="AE385" t="b">
        <f>OR(AND(IF(metadata!C385="",FALSE,TRUE),OR(EXACT(metadata!C385,"not applicable"),EXACT(metadata!C385,"missing: not collected"),EXACT(metadata!C385,"missing: not provided"),EXACT(metadata!C385,"missing: restricted access"))),AND(IF(metadata!C385="",FALSE,ISNUMBER(VALUE(metadata!C385))),metadata!C385&gt;0))</f>
        <v>0</v>
      </c>
      <c r="AF385" t="b">
        <f>AND(IF(metadata!D385="",FALSE,TRUE),EXACT(metadata!D385,"missing: not provided"))</f>
        <v>0</v>
      </c>
      <c r="AG385" t="b">
        <f>AND(IF(metadata!E385="",FALSE,TRUE),EXACT(metadata!E385,"Host-associated"))</f>
        <v>0</v>
      </c>
      <c r="AH385" t="b">
        <f>AND(IF(metadata!F385="",FALSE,TRUE),OR(EXACT(metadata!F385,"Animal"),EXACT(metadata!F385,"Fungus"),EXACT(metadata!F385,"Plant")))</f>
        <v>0</v>
      </c>
      <c r="AI385" t="b">
        <f>AND(IF(metadata!G385="",FALSE,TRUE),OR(EXACT(metadata!G385,"Plant secretion"),EXACT(metadata!G385,"Plant rhizosphere"),EXACT(metadata!G385,"Plant surface"),EXACT(metadata!G385,"Plant corpus"),EXACT(metadata!G385,"Fungus surface"),EXACT(metadata!G385,"Fungus corpus"),EXACT(metadata!G385,"Animal surface"),EXACT(metadata!G385,"Animal proximal gut"),EXACT(metadata!G385,"Animal corpus"),EXACT(metadata!G385,"Animal distal gut"),EXACT(metadata!G385,"Animal secretion")))</f>
        <v>0</v>
      </c>
      <c r="AJ385" t="b">
        <f>OR(AND(IF(metadata!H385="",FALSE,TRUE),OR(EXACT(metadata!H385,"missing: not collected"),EXACT(metadata!H385,"missing: not provided"),EXACT(metadata!H385,"missing: restricted access"))),AND(IF(metadata!H385="",FALSE,TRUE),OR(EXACT(metadata!H385,"organism-associated habitat"),EXACT(metadata!H385,"plant-associated habitat"),EXACT(metadata!H385,"animal-associated habitat"),EXACT(metadata!H385,"insecta-associated habitat"),EXACT(metadata!H385,"mammalia-associated habitat"),EXACT(metadata!H385,"human-associated habitat"),EXACT(metadata!H385,"livestock-associated habitat"))))</f>
        <v>0</v>
      </c>
      <c r="AK385" t="b">
        <f>AND(IF(metadata!I385="",FALSE,TRUE),EXACT(metadata!I385,"host-associated"))</f>
        <v>0</v>
      </c>
      <c r="AL385" t="b">
        <f>OR(AND(IF(metadata!J385="",FALSE,TRUE),OR(EXACT(metadata!J385,"not applicable"),EXACT(metadata!J385,"missing: not collected"),EXACT(metadata!J385,"missing: not provided"),EXACT(metadata!J385,"missing: restricted access"))),AND(IF(metadata!J385="",FALSE,ISNUMBER(VALUE(metadata!J385))),metadata!J385&gt;0))</f>
        <v>0</v>
      </c>
      <c r="AM385" t="b">
        <f>AND(IF(metadata!K385="",FALSE,TRUE),EXACT(metadata!K385,"missing: not provided"))</f>
        <v>0</v>
      </c>
      <c r="AN385" t="b">
        <f>IF(metadata!L385="",FALSE,TRUE)</f>
        <v>0</v>
      </c>
      <c r="AO385" t="b">
        <f>IF(metadata!M385="",FALSE,TRUE)</f>
        <v>0</v>
      </c>
      <c r="AP385" t="b">
        <f>OR(AND(IF(metadata!N385="",FALSE,TRUE),OR(EXACT(metadata!N385,"not applicable"),EXACT(metadata!N385,"missing: not collected"),EXACT(metadata!N385,"missing: not provided"))),AND(IF(metadata!N385="",FALSE,IF(ISERROR(INT(metadata!N385)),FALSE,INT(metadata!N385)=metadata!N385)),metadata!N385&gt;0))</f>
        <v>0</v>
      </c>
      <c r="AQ385" t="b">
        <f>AND(IF(metadata!O385="",FALSE,TRUE),EXACT(metadata!O385,"Not applicable"))</f>
        <v>0</v>
      </c>
      <c r="AR385" t="b">
        <f>OR(AND(IF(metadata!P385="",FALSE,TRUE),OR(EXACT(metadata!P385,"not applicable"),EXACT(metadata!P385,"missing: not collected"),EXACT(metadata!P385,"missing: not provided"),EXACT(metadata!P385,"missing: restricted access"))),IF(metadata!P385="",FALSE,IF(ISERROR(INT(metadata!P385)),FALSE,INT(metadata!P385)=metadata!P385)))</f>
        <v>0</v>
      </c>
      <c r="AS385" t="b">
        <f>AND(IF(metadata!Q385="",FALSE,TRUE),EXACT(metadata!Q385,"Not applicable"))</f>
        <v>0</v>
      </c>
      <c r="AT385" t="b">
        <f>OR(AND(IF(metadata!R385="",FALSE,TRUE),OR(EXACT(metadata!R385,"not applicable"),EXACT(metadata!R385,"missing: not collected"),EXACT(metadata!R385,"missing: not provided"),EXACT(metadata!R385,"missing: restricted access"))),AND(IF(metadata!R385="",FALSE,ISNUMBER(VALUE(metadata!R385))),metadata!R385&gt;0))</f>
        <v>0</v>
      </c>
      <c r="AU385" t="b">
        <f>AND(IF(metadata!S385="",FALSE,TRUE),EXACT(metadata!S385,"missing: not provided"))</f>
        <v>0</v>
      </c>
    </row>
    <row r="386" spans="1:47" x14ac:dyDescent="0.2">
      <c r="A386" s="5" t="str">
        <f ca="1">IF(B386=" "," ",HYPERLINK(CONCATENATE("#metadata!",ADDRESS(INDEX($Y$2:$Y$1001,MATCH(ROWS($W$2:W386),$W$2:$W$1001,0),0),1)),INDEX($AB$2:$AB$1001,MATCH(ROWS($W$2:W386),$W$2:$W$1001,0),0)))</f>
        <v xml:space="preserve"> </v>
      </c>
      <c r="B386" s="4" t="str">
        <f ca="1">IF(OR(INDEX($X$2:$X$1001,MATCH(ROWS($W$2:W386),$W$2:$W$1001,0),1)&gt;=100000,INDEX($AD$1005:$AU$1005,1,MATCH(COLUMNS($AD$1006:AD1006),$AD$1006:$AU$1006,0))&gt;=100000), " ",IF(INDEX($AD$2:$AU$1001,MATCH(ROWS($W$2:W386),$W$2:$W$1001,0),MATCH(COLUMNS($AD$1006:AD1006),$AD$1006:$AU$1006,0)), HYPERLINK("#",""), HYPERLINK(CONCATENATE("#metadata!", ADDRESS(INDEX($Y$2:$Y$1001,MATCH(ROWS($W$2:W386),$W$2:$W$1001,0),0), INDEX($AD$1004:$AU$1004,1,MATCH(COLUMNS($AD$1006:AD1006),$AD$1006:$AU$1006,0)))),"Fix")))</f>
        <v xml:space="preserve"> </v>
      </c>
      <c r="C386" s="4" t="str">
        <f ca="1">IF(OR(INDEX($X$2:$X$1001,MATCH(ROWS($W$2:W386),$W$2:$W$1001,0),1)&gt;=100000,INDEX($AD$1005:$AU$1005,1,MATCH(COLUMNS($AD$1006:AE1006),$AD$1006:$AU$1006,0))&gt;=100000), " ",IF(INDEX($AD$2:$AU$1001,MATCH(ROWS($W$2:W386),$W$2:$W$1001,0),MATCH(COLUMNS($AD$1006:AE1006),$AD$1006:$AU$1006,0)), HYPERLINK("#",""), HYPERLINK(CONCATENATE("#metadata!", ADDRESS(INDEX($Y$2:$Y$1001,MATCH(ROWS($W$2:W386),$W$2:$W$1001,0),0), INDEX($AD$1004:$AU$1004,1,MATCH(COLUMNS($AD$1006:AE1006),$AD$1006:$AU$1006,0)))),"Fix")))</f>
        <v xml:space="preserve"> </v>
      </c>
      <c r="D386" s="4" t="str">
        <f ca="1">IF(OR(INDEX($X$2:$X$1001,MATCH(ROWS($W$2:W386),$W$2:$W$1001,0),1)&gt;=100000,INDEX($AD$1005:$AU$1005,1,MATCH(COLUMNS($AD$1006:AF1006),$AD$1006:$AU$1006,0))&gt;=100000), " ",IF(INDEX($AD$2:$AU$1001,MATCH(ROWS($W$2:W386),$W$2:$W$1001,0),MATCH(COLUMNS($AD$1006:AF1006),$AD$1006:$AU$1006,0)), HYPERLINK("#",""), HYPERLINK(CONCATENATE("#metadata!", ADDRESS(INDEX($Y$2:$Y$1001,MATCH(ROWS($W$2:W386),$W$2:$W$1001,0),0), INDEX($AD$1004:$AU$1004,1,MATCH(COLUMNS($AD$1006:AF1006),$AD$1006:$AU$1006,0)))),"Fix")))</f>
        <v xml:space="preserve"> </v>
      </c>
      <c r="E386" s="4" t="str">
        <f ca="1">IF(OR(INDEX($X$2:$X$1001,MATCH(ROWS($W$2:W386),$W$2:$W$1001,0),1)&gt;=100000,INDEX($AD$1005:$AU$1005,1,MATCH(COLUMNS($AD$1006:AG1006),$AD$1006:$AU$1006,0))&gt;=100000), " ",IF(INDEX($AD$2:$AU$1001,MATCH(ROWS($W$2:W386),$W$2:$W$1001,0),MATCH(COLUMNS($AD$1006:AG1006),$AD$1006:$AU$1006,0)), HYPERLINK("#",""), HYPERLINK(CONCATENATE("#metadata!", ADDRESS(INDEX($Y$2:$Y$1001,MATCH(ROWS($W$2:W386),$W$2:$W$1001,0),0), INDEX($AD$1004:$AU$1004,1,MATCH(COLUMNS($AD$1006:AG1006),$AD$1006:$AU$1006,0)))),"Fix")))</f>
        <v xml:space="preserve"> </v>
      </c>
      <c r="F386" s="4" t="str">
        <f ca="1">IF(OR(INDEX($X$2:$X$1001,MATCH(ROWS($W$2:W386),$W$2:$W$1001,0),1)&gt;=100000,INDEX($AD$1005:$AU$1005,1,MATCH(COLUMNS($AD$1006:AH1006),$AD$1006:$AU$1006,0))&gt;=100000), " ",IF(INDEX($AD$2:$AU$1001,MATCH(ROWS($W$2:W386),$W$2:$W$1001,0),MATCH(COLUMNS($AD$1006:AH1006),$AD$1006:$AU$1006,0)), HYPERLINK("#",""), HYPERLINK(CONCATENATE("#metadata!", ADDRESS(INDEX($Y$2:$Y$1001,MATCH(ROWS($W$2:W386),$W$2:$W$1001,0),0), INDEX($AD$1004:$AU$1004,1,MATCH(COLUMNS($AD$1006:AH1006),$AD$1006:$AU$1006,0)))),"Fix")))</f>
        <v xml:space="preserve"> </v>
      </c>
      <c r="G386" s="4" t="str">
        <f ca="1">IF(OR(INDEX($X$2:$X$1001,MATCH(ROWS($W$2:W386),$W$2:$W$1001,0),1)&gt;=100000,INDEX($AD$1005:$AU$1005,1,MATCH(COLUMNS($AD$1006:AI1006),$AD$1006:$AU$1006,0))&gt;=100000), " ",IF(INDEX($AD$2:$AU$1001,MATCH(ROWS($W$2:W386),$W$2:$W$1001,0),MATCH(COLUMNS($AD$1006:AI1006),$AD$1006:$AU$1006,0)), HYPERLINK("#",""), HYPERLINK(CONCATENATE("#metadata!", ADDRESS(INDEX($Y$2:$Y$1001,MATCH(ROWS($W$2:W386),$W$2:$W$1001,0),0), INDEX($AD$1004:$AU$1004,1,MATCH(COLUMNS($AD$1006:AI1006),$AD$1006:$AU$1006,0)))),"Fix")))</f>
        <v xml:space="preserve"> </v>
      </c>
      <c r="H386" s="4" t="str">
        <f ca="1">IF(OR(INDEX($X$2:$X$1001,MATCH(ROWS($W$2:W386),$W$2:$W$1001,0),1)&gt;=100000,INDEX($AD$1005:$AU$1005,1,MATCH(COLUMNS($AD$1006:AJ1006),$AD$1006:$AU$1006,0))&gt;=100000), " ",IF(INDEX($AD$2:$AU$1001,MATCH(ROWS($W$2:W386),$W$2:$W$1001,0),MATCH(COLUMNS($AD$1006:AJ1006),$AD$1006:$AU$1006,0)), HYPERLINK("#",""), HYPERLINK(CONCATENATE("#metadata!", ADDRESS(INDEX($Y$2:$Y$1001,MATCH(ROWS($W$2:W386),$W$2:$W$1001,0),0), INDEX($AD$1004:$AU$1004,1,MATCH(COLUMNS($AD$1006:AJ1006),$AD$1006:$AU$1006,0)))),"Fix")))</f>
        <v xml:space="preserve"> </v>
      </c>
      <c r="I386" s="4" t="str">
        <f ca="1">IF(OR(INDEX($X$2:$X$1001,MATCH(ROWS($W$2:W386),$W$2:$W$1001,0),1)&gt;=100000,INDEX($AD$1005:$AU$1005,1,MATCH(COLUMNS($AD$1006:AK1006),$AD$1006:$AU$1006,0))&gt;=100000), " ",IF(INDEX($AD$2:$AU$1001,MATCH(ROWS($W$2:W386),$W$2:$W$1001,0),MATCH(COLUMNS($AD$1006:AK1006),$AD$1006:$AU$1006,0)), HYPERLINK("#",""), HYPERLINK(CONCATENATE("#metadata!", ADDRESS(INDEX($Y$2:$Y$1001,MATCH(ROWS($W$2:W386),$W$2:$W$1001,0),0), INDEX($AD$1004:$AU$1004,1,MATCH(COLUMNS($AD$1006:AK1006),$AD$1006:$AU$1006,0)))),"Fix")))</f>
        <v xml:space="preserve"> </v>
      </c>
      <c r="J386" s="4" t="str">
        <f ca="1">IF(OR(INDEX($X$2:$X$1001,MATCH(ROWS($W$2:W386),$W$2:$W$1001,0),1)&gt;=100000,INDEX($AD$1005:$AU$1005,1,MATCH(COLUMNS($AD$1006:AL1006),$AD$1006:$AU$1006,0))&gt;=100000), " ",IF(INDEX($AD$2:$AU$1001,MATCH(ROWS($W$2:W386),$W$2:$W$1001,0),MATCH(COLUMNS($AD$1006:AL1006),$AD$1006:$AU$1006,0)), HYPERLINK("#",""), HYPERLINK(CONCATENATE("#metadata!", ADDRESS(INDEX($Y$2:$Y$1001,MATCH(ROWS($W$2:W386),$W$2:$W$1001,0),0), INDEX($AD$1004:$AU$1004,1,MATCH(COLUMNS($AD$1006:AL1006),$AD$1006:$AU$1006,0)))),"Fix")))</f>
        <v xml:space="preserve"> </v>
      </c>
      <c r="K386" s="4" t="str">
        <f ca="1">IF(OR(INDEX($X$2:$X$1001,MATCH(ROWS($W$2:W386),$W$2:$W$1001,0),1)&gt;=100000,INDEX($AD$1005:$AU$1005,1,MATCH(COLUMNS($AD$1006:AM1006),$AD$1006:$AU$1006,0))&gt;=100000), " ",IF(INDEX($AD$2:$AU$1001,MATCH(ROWS($W$2:W386),$W$2:$W$1001,0),MATCH(COLUMNS($AD$1006:AM1006),$AD$1006:$AU$1006,0)), HYPERLINK("#",""), HYPERLINK(CONCATENATE("#metadata!", ADDRESS(INDEX($Y$2:$Y$1001,MATCH(ROWS($W$2:W386),$W$2:$W$1001,0),0), INDEX($AD$1004:$AU$1004,1,MATCH(COLUMNS($AD$1006:AM1006),$AD$1006:$AU$1006,0)))),"Fix")))</f>
        <v xml:space="preserve"> </v>
      </c>
      <c r="L386" s="4" t="str">
        <f ca="1">IF(OR(INDEX($X$2:$X$1001,MATCH(ROWS($W$2:W386),$W$2:$W$1001,0),1)&gt;=100000,INDEX($AD$1005:$AU$1005,1,MATCH(COLUMNS($AD$1006:AN1006),$AD$1006:$AU$1006,0))&gt;=100000), " ",IF(INDEX($AD$2:$AU$1001,MATCH(ROWS($W$2:W386),$W$2:$W$1001,0),MATCH(COLUMNS($AD$1006:AN1006),$AD$1006:$AU$1006,0)), HYPERLINK("#",""), HYPERLINK(CONCATENATE("#metadata!", ADDRESS(INDEX($Y$2:$Y$1001,MATCH(ROWS($W$2:W386),$W$2:$W$1001,0),0), INDEX($AD$1004:$AU$1004,1,MATCH(COLUMNS($AD$1006:AN1006),$AD$1006:$AU$1006,0)))),"Fix")))</f>
        <v xml:space="preserve"> </v>
      </c>
      <c r="M386" s="4" t="str">
        <f ca="1">IF(OR(INDEX($X$2:$X$1001,MATCH(ROWS($W$2:W386),$W$2:$W$1001,0),1)&gt;=100000,INDEX($AD$1005:$AU$1005,1,MATCH(COLUMNS($AD$1006:AO1006),$AD$1006:$AU$1006,0))&gt;=100000), " ",IF(INDEX($AD$2:$AU$1001,MATCH(ROWS($W$2:W386),$W$2:$W$1001,0),MATCH(COLUMNS($AD$1006:AO1006),$AD$1006:$AU$1006,0)), HYPERLINK("#",""), HYPERLINK(CONCATENATE("#metadata!", ADDRESS(INDEX($Y$2:$Y$1001,MATCH(ROWS($W$2:W386),$W$2:$W$1001,0),0), INDEX($AD$1004:$AU$1004,1,MATCH(COLUMNS($AD$1006:AO1006),$AD$1006:$AU$1006,0)))),"Fix")))</f>
        <v xml:space="preserve"> </v>
      </c>
      <c r="N386" s="4" t="str">
        <f ca="1">IF(OR(INDEX($X$2:$X$1001,MATCH(ROWS($W$2:W386),$W$2:$W$1001,0),1)&gt;=100000,INDEX($AD$1005:$AU$1005,1,MATCH(COLUMNS($AD$1006:AP1006),$AD$1006:$AU$1006,0))&gt;=100000), " ",IF(INDEX($AD$2:$AU$1001,MATCH(ROWS($W$2:W386),$W$2:$W$1001,0),MATCH(COLUMNS($AD$1006:AP1006),$AD$1006:$AU$1006,0)), HYPERLINK("#",""), HYPERLINK(CONCATENATE("#metadata!", ADDRESS(INDEX($Y$2:$Y$1001,MATCH(ROWS($W$2:W386),$W$2:$W$1001,0),0), INDEX($AD$1004:$AU$1004,1,MATCH(COLUMNS($AD$1006:AP1006),$AD$1006:$AU$1006,0)))),"Fix")))</f>
        <v xml:space="preserve"> </v>
      </c>
      <c r="O386" s="4" t="str">
        <f ca="1">IF(OR(INDEX($X$2:$X$1001,MATCH(ROWS($W$2:W386),$W$2:$W$1001,0),1)&gt;=100000,INDEX($AD$1005:$AU$1005,1,MATCH(COLUMNS($AD$1006:AQ1006),$AD$1006:$AU$1006,0))&gt;=100000), " ",IF(INDEX($AD$2:$AU$1001,MATCH(ROWS($W$2:W386),$W$2:$W$1001,0),MATCH(COLUMNS($AD$1006:AQ1006),$AD$1006:$AU$1006,0)), HYPERLINK("#",""), HYPERLINK(CONCATENATE("#metadata!", ADDRESS(INDEX($Y$2:$Y$1001,MATCH(ROWS($W$2:W386),$W$2:$W$1001,0),0), INDEX($AD$1004:$AU$1004,1,MATCH(COLUMNS($AD$1006:AQ1006),$AD$1006:$AU$1006,0)))),"Fix")))</f>
        <v xml:space="preserve"> </v>
      </c>
      <c r="P386" s="4" t="str">
        <f ca="1">IF(OR(INDEX($X$2:$X$1001,MATCH(ROWS($W$2:W386),$W$2:$W$1001,0),1)&gt;=100000,INDEX($AD$1005:$AU$1005,1,MATCH(COLUMNS($AD$1006:AR1006),$AD$1006:$AU$1006,0))&gt;=100000), " ",IF(INDEX($AD$2:$AU$1001,MATCH(ROWS($W$2:W386),$W$2:$W$1001,0),MATCH(COLUMNS($AD$1006:AR1006),$AD$1006:$AU$1006,0)), HYPERLINK("#",""), HYPERLINK(CONCATENATE("#metadata!", ADDRESS(INDEX($Y$2:$Y$1001,MATCH(ROWS($W$2:W386),$W$2:$W$1001,0),0), INDEX($AD$1004:$AU$1004,1,MATCH(COLUMNS($AD$1006:AR1006),$AD$1006:$AU$1006,0)))),"Fix")))</f>
        <v xml:space="preserve"> </v>
      </c>
      <c r="Q386" s="4" t="str">
        <f ca="1">IF(OR(INDEX($X$2:$X$1001,MATCH(ROWS($W$2:W386),$W$2:$W$1001,0),1)&gt;=100000,INDEX($AD$1005:$AU$1005,1,MATCH(COLUMNS($AD$1006:AS1006),$AD$1006:$AU$1006,0))&gt;=100000), " ",IF(INDEX($AD$2:$AU$1001,MATCH(ROWS($W$2:W386),$W$2:$W$1001,0),MATCH(COLUMNS($AD$1006:AS1006),$AD$1006:$AU$1006,0)), HYPERLINK("#",""), HYPERLINK(CONCATENATE("#metadata!", ADDRESS(INDEX($Y$2:$Y$1001,MATCH(ROWS($W$2:W386),$W$2:$W$1001,0),0), INDEX($AD$1004:$AU$1004,1,MATCH(COLUMNS($AD$1006:AS1006),$AD$1006:$AU$1006,0)))),"Fix")))</f>
        <v xml:space="preserve"> </v>
      </c>
      <c r="R386" s="4" t="str">
        <f ca="1">IF(OR(INDEX($X$2:$X$1001,MATCH(ROWS($W$2:W386),$W$2:$W$1001,0),1)&gt;=100000,INDEX($AD$1005:$AU$1005,1,MATCH(COLUMNS($AD$1006:AT1006),$AD$1006:$AU$1006,0))&gt;=100000), " ",IF(INDEX($AD$2:$AU$1001,MATCH(ROWS($W$2:W386),$W$2:$W$1001,0),MATCH(COLUMNS($AD$1006:AT1006),$AD$1006:$AU$1006,0)), HYPERLINK("#",""), HYPERLINK(CONCATENATE("#metadata!", ADDRESS(INDEX($Y$2:$Y$1001,MATCH(ROWS($W$2:W386),$W$2:$W$1001,0),0), INDEX($AD$1004:$AU$1004,1,MATCH(COLUMNS($AD$1006:AT1006),$AD$1006:$AU$1006,0)))),"Fix")))</f>
        <v xml:space="preserve"> </v>
      </c>
      <c r="S386" s="4" t="str">
        <f ca="1">IF(OR(INDEX($X$2:$X$1001,MATCH(ROWS($W$2:W386),$W$2:$W$1001,0),1)&gt;=100000,INDEX($AD$1005:$AU$1005,1,MATCH(COLUMNS($AD$1006:AU1006),$AD$1006:$AU$1006,0))&gt;=100000), " ",IF(INDEX($AD$2:$AU$1001,MATCH(ROWS($W$2:W386),$W$2:$W$1001,0),MATCH(COLUMNS($AD$1006:AU1006),$AD$1006:$AU$1006,0)), HYPERLINK("#",""), HYPERLINK(CONCATENATE("#metadata!", ADDRESS(INDEX($Y$2:$Y$1001,MATCH(ROWS($W$2:W386),$W$2:$W$1001,0),0), INDEX($AD$1004:$AU$1004,1,MATCH(COLUMNS($AD$1006:AU1006),$AD$1006:$AU$1006,0)))),"Fix")))</f>
        <v xml:space="preserve"> </v>
      </c>
      <c r="W386">
        <v>385</v>
      </c>
      <c r="X386">
        <v>100386</v>
      </c>
      <c r="Y386">
        <v>386</v>
      </c>
      <c r="Z386" t="b">
        <f t="shared" ref="Z386:Z449" si="6">IF(AA386,TRUE,AND(AD386:AU386))</f>
        <v>1</v>
      </c>
      <c r="AA386" t="b">
        <f>COUNTBLANK(metadata!B386:S386)=COLUMNS(metadata!B386:S386)</f>
        <v>1</v>
      </c>
      <c r="AB386" t="str">
        <v/>
      </c>
      <c r="AD386" t="b">
        <f ca="1">AND(IF(metadata!B386="",FALSE,TRUE),COUNTIF(metadata!B:B, metadata!B386) = 1,NOT(ISERROR(SUMPRODUCT(SEARCH(MID(metadata!B386,ROW(INDIRECT("1:"&amp;LEN(metadata!B386))), 1),"0123456789abcdefghijklmnopqrstuvwxyzABCDEFGHIJKLMNOPQRSTUVWXYZ.")))))</f>
        <v>0</v>
      </c>
      <c r="AE386" t="b">
        <f>OR(AND(IF(metadata!C386="",FALSE,TRUE),OR(EXACT(metadata!C386,"not applicable"),EXACT(metadata!C386,"missing: not collected"),EXACT(metadata!C386,"missing: not provided"),EXACT(metadata!C386,"missing: restricted access"))),AND(IF(metadata!C386="",FALSE,ISNUMBER(VALUE(metadata!C386))),metadata!C386&gt;0))</f>
        <v>0</v>
      </c>
      <c r="AF386" t="b">
        <f>AND(IF(metadata!D386="",FALSE,TRUE),EXACT(metadata!D386,"missing: not provided"))</f>
        <v>0</v>
      </c>
      <c r="AG386" t="b">
        <f>AND(IF(metadata!E386="",FALSE,TRUE),EXACT(metadata!E386,"Host-associated"))</f>
        <v>0</v>
      </c>
      <c r="AH386" t="b">
        <f>AND(IF(metadata!F386="",FALSE,TRUE),OR(EXACT(metadata!F386,"Animal"),EXACT(metadata!F386,"Fungus"),EXACT(metadata!F386,"Plant")))</f>
        <v>0</v>
      </c>
      <c r="AI386" t="b">
        <f>AND(IF(metadata!G386="",FALSE,TRUE),OR(EXACT(metadata!G386,"Plant secretion"),EXACT(metadata!G386,"Plant rhizosphere"),EXACT(metadata!G386,"Plant surface"),EXACT(metadata!G386,"Plant corpus"),EXACT(metadata!G386,"Fungus surface"),EXACT(metadata!G386,"Fungus corpus"),EXACT(metadata!G386,"Animal surface"),EXACT(metadata!G386,"Animal proximal gut"),EXACT(metadata!G386,"Animal corpus"),EXACT(metadata!G386,"Animal distal gut"),EXACT(metadata!G386,"Animal secretion")))</f>
        <v>0</v>
      </c>
      <c r="AJ386" t="b">
        <f>OR(AND(IF(metadata!H386="",FALSE,TRUE),OR(EXACT(metadata!H386,"missing: not collected"),EXACT(metadata!H386,"missing: not provided"),EXACT(metadata!H386,"missing: restricted access"))),AND(IF(metadata!H386="",FALSE,TRUE),OR(EXACT(metadata!H386,"organism-associated habitat"),EXACT(metadata!H386,"plant-associated habitat"),EXACT(metadata!H386,"animal-associated habitat"),EXACT(metadata!H386,"insecta-associated habitat"),EXACT(metadata!H386,"mammalia-associated habitat"),EXACT(metadata!H386,"human-associated habitat"),EXACT(metadata!H386,"livestock-associated habitat"))))</f>
        <v>0</v>
      </c>
      <c r="AK386" t="b">
        <f>AND(IF(metadata!I386="",FALSE,TRUE),EXACT(metadata!I386,"host-associated"))</f>
        <v>0</v>
      </c>
      <c r="AL386" t="b">
        <f>OR(AND(IF(metadata!J386="",FALSE,TRUE),OR(EXACT(metadata!J386,"not applicable"),EXACT(metadata!J386,"missing: not collected"),EXACT(metadata!J386,"missing: not provided"),EXACT(metadata!J386,"missing: restricted access"))),AND(IF(metadata!J386="",FALSE,ISNUMBER(VALUE(metadata!J386))),metadata!J386&gt;0))</f>
        <v>0</v>
      </c>
      <c r="AM386" t="b">
        <f>AND(IF(metadata!K386="",FALSE,TRUE),EXACT(metadata!K386,"missing: not provided"))</f>
        <v>0</v>
      </c>
      <c r="AN386" t="b">
        <f>IF(metadata!L386="",FALSE,TRUE)</f>
        <v>0</v>
      </c>
      <c r="AO386" t="b">
        <f>IF(metadata!M386="",FALSE,TRUE)</f>
        <v>0</v>
      </c>
      <c r="AP386" t="b">
        <f>OR(AND(IF(metadata!N386="",FALSE,TRUE),OR(EXACT(metadata!N386,"not applicable"),EXACT(metadata!N386,"missing: not collected"),EXACT(metadata!N386,"missing: not provided"))),AND(IF(metadata!N386="",FALSE,IF(ISERROR(INT(metadata!N386)),FALSE,INT(metadata!N386)=metadata!N386)),metadata!N386&gt;0))</f>
        <v>0</v>
      </c>
      <c r="AQ386" t="b">
        <f>AND(IF(metadata!O386="",FALSE,TRUE),EXACT(metadata!O386,"Not applicable"))</f>
        <v>0</v>
      </c>
      <c r="AR386" t="b">
        <f>OR(AND(IF(metadata!P386="",FALSE,TRUE),OR(EXACT(metadata!P386,"not applicable"),EXACT(metadata!P386,"missing: not collected"),EXACT(metadata!P386,"missing: not provided"),EXACT(metadata!P386,"missing: restricted access"))),IF(metadata!P386="",FALSE,IF(ISERROR(INT(metadata!P386)),FALSE,INT(metadata!P386)=metadata!P386)))</f>
        <v>0</v>
      </c>
      <c r="AS386" t="b">
        <f>AND(IF(metadata!Q386="",FALSE,TRUE),EXACT(metadata!Q386,"Not applicable"))</f>
        <v>0</v>
      </c>
      <c r="AT386" t="b">
        <f>OR(AND(IF(metadata!R386="",FALSE,TRUE),OR(EXACT(metadata!R386,"not applicable"),EXACT(metadata!R386,"missing: not collected"),EXACT(metadata!R386,"missing: not provided"),EXACT(metadata!R386,"missing: restricted access"))),AND(IF(metadata!R386="",FALSE,ISNUMBER(VALUE(metadata!R386))),metadata!R386&gt;0))</f>
        <v>0</v>
      </c>
      <c r="AU386" t="b">
        <f>AND(IF(metadata!S386="",FALSE,TRUE),EXACT(metadata!S386,"missing: not provided"))</f>
        <v>0</v>
      </c>
    </row>
    <row r="387" spans="1:47" x14ac:dyDescent="0.2">
      <c r="A387" s="5" t="str">
        <f ca="1">IF(B387=" "," ",HYPERLINK(CONCATENATE("#metadata!",ADDRESS(INDEX($Y$2:$Y$1001,MATCH(ROWS($W$2:W387),$W$2:$W$1001,0),0),1)),INDEX($AB$2:$AB$1001,MATCH(ROWS($W$2:W387),$W$2:$W$1001,0),0)))</f>
        <v xml:space="preserve"> </v>
      </c>
      <c r="B387" s="4" t="str">
        <f ca="1">IF(OR(INDEX($X$2:$X$1001,MATCH(ROWS($W$2:W387),$W$2:$W$1001,0),1)&gt;=100000,INDEX($AD$1005:$AU$1005,1,MATCH(COLUMNS($AD$1006:AD1006),$AD$1006:$AU$1006,0))&gt;=100000), " ",IF(INDEX($AD$2:$AU$1001,MATCH(ROWS($W$2:W387),$W$2:$W$1001,0),MATCH(COLUMNS($AD$1006:AD1006),$AD$1006:$AU$1006,0)), HYPERLINK("#",""), HYPERLINK(CONCATENATE("#metadata!", ADDRESS(INDEX($Y$2:$Y$1001,MATCH(ROWS($W$2:W387),$W$2:$W$1001,0),0), INDEX($AD$1004:$AU$1004,1,MATCH(COLUMNS($AD$1006:AD1006),$AD$1006:$AU$1006,0)))),"Fix")))</f>
        <v xml:space="preserve"> </v>
      </c>
      <c r="C387" s="4" t="str">
        <f ca="1">IF(OR(INDEX($X$2:$X$1001,MATCH(ROWS($W$2:W387),$W$2:$W$1001,0),1)&gt;=100000,INDEX($AD$1005:$AU$1005,1,MATCH(COLUMNS($AD$1006:AE1006),$AD$1006:$AU$1006,0))&gt;=100000), " ",IF(INDEX($AD$2:$AU$1001,MATCH(ROWS($W$2:W387),$W$2:$W$1001,0),MATCH(COLUMNS($AD$1006:AE1006),$AD$1006:$AU$1006,0)), HYPERLINK("#",""), HYPERLINK(CONCATENATE("#metadata!", ADDRESS(INDEX($Y$2:$Y$1001,MATCH(ROWS($W$2:W387),$W$2:$W$1001,0),0), INDEX($AD$1004:$AU$1004,1,MATCH(COLUMNS($AD$1006:AE1006),$AD$1006:$AU$1006,0)))),"Fix")))</f>
        <v xml:space="preserve"> </v>
      </c>
      <c r="D387" s="4" t="str">
        <f ca="1">IF(OR(INDEX($X$2:$X$1001,MATCH(ROWS($W$2:W387),$W$2:$W$1001,0),1)&gt;=100000,INDEX($AD$1005:$AU$1005,1,MATCH(COLUMNS($AD$1006:AF1006),$AD$1006:$AU$1006,0))&gt;=100000), " ",IF(INDEX($AD$2:$AU$1001,MATCH(ROWS($W$2:W387),$W$2:$W$1001,0),MATCH(COLUMNS($AD$1006:AF1006),$AD$1006:$AU$1006,0)), HYPERLINK("#",""), HYPERLINK(CONCATENATE("#metadata!", ADDRESS(INDEX($Y$2:$Y$1001,MATCH(ROWS($W$2:W387),$W$2:$W$1001,0),0), INDEX($AD$1004:$AU$1004,1,MATCH(COLUMNS($AD$1006:AF1006),$AD$1006:$AU$1006,0)))),"Fix")))</f>
        <v xml:space="preserve"> </v>
      </c>
      <c r="E387" s="4" t="str">
        <f ca="1">IF(OR(INDEX($X$2:$X$1001,MATCH(ROWS($W$2:W387),$W$2:$W$1001,0),1)&gt;=100000,INDEX($AD$1005:$AU$1005,1,MATCH(COLUMNS($AD$1006:AG1006),$AD$1006:$AU$1006,0))&gt;=100000), " ",IF(INDEX($AD$2:$AU$1001,MATCH(ROWS($W$2:W387),$W$2:$W$1001,0),MATCH(COLUMNS($AD$1006:AG1006),$AD$1006:$AU$1006,0)), HYPERLINK("#",""), HYPERLINK(CONCATENATE("#metadata!", ADDRESS(INDEX($Y$2:$Y$1001,MATCH(ROWS($W$2:W387),$W$2:$W$1001,0),0), INDEX($AD$1004:$AU$1004,1,MATCH(COLUMNS($AD$1006:AG1006),$AD$1006:$AU$1006,0)))),"Fix")))</f>
        <v xml:space="preserve"> </v>
      </c>
      <c r="F387" s="4" t="str">
        <f ca="1">IF(OR(INDEX($X$2:$X$1001,MATCH(ROWS($W$2:W387),$W$2:$W$1001,0),1)&gt;=100000,INDEX($AD$1005:$AU$1005,1,MATCH(COLUMNS($AD$1006:AH1006),$AD$1006:$AU$1006,0))&gt;=100000), " ",IF(INDEX($AD$2:$AU$1001,MATCH(ROWS($W$2:W387),$W$2:$W$1001,0),MATCH(COLUMNS($AD$1006:AH1006),$AD$1006:$AU$1006,0)), HYPERLINK("#",""), HYPERLINK(CONCATENATE("#metadata!", ADDRESS(INDEX($Y$2:$Y$1001,MATCH(ROWS($W$2:W387),$W$2:$W$1001,0),0), INDEX($AD$1004:$AU$1004,1,MATCH(COLUMNS($AD$1006:AH1006),$AD$1006:$AU$1006,0)))),"Fix")))</f>
        <v xml:space="preserve"> </v>
      </c>
      <c r="G387" s="4" t="str">
        <f ca="1">IF(OR(INDEX($X$2:$X$1001,MATCH(ROWS($W$2:W387),$W$2:$W$1001,0),1)&gt;=100000,INDEX($AD$1005:$AU$1005,1,MATCH(COLUMNS($AD$1006:AI1006),$AD$1006:$AU$1006,0))&gt;=100000), " ",IF(INDEX($AD$2:$AU$1001,MATCH(ROWS($W$2:W387),$W$2:$W$1001,0),MATCH(COLUMNS($AD$1006:AI1006),$AD$1006:$AU$1006,0)), HYPERLINK("#",""), HYPERLINK(CONCATENATE("#metadata!", ADDRESS(INDEX($Y$2:$Y$1001,MATCH(ROWS($W$2:W387),$W$2:$W$1001,0),0), INDEX($AD$1004:$AU$1004,1,MATCH(COLUMNS($AD$1006:AI1006),$AD$1006:$AU$1006,0)))),"Fix")))</f>
        <v xml:space="preserve"> </v>
      </c>
      <c r="H387" s="4" t="str">
        <f ca="1">IF(OR(INDEX($X$2:$X$1001,MATCH(ROWS($W$2:W387),$W$2:$W$1001,0),1)&gt;=100000,INDEX($AD$1005:$AU$1005,1,MATCH(COLUMNS($AD$1006:AJ1006),$AD$1006:$AU$1006,0))&gt;=100000), " ",IF(INDEX($AD$2:$AU$1001,MATCH(ROWS($W$2:W387),$W$2:$W$1001,0),MATCH(COLUMNS($AD$1006:AJ1006),$AD$1006:$AU$1006,0)), HYPERLINK("#",""), HYPERLINK(CONCATENATE("#metadata!", ADDRESS(INDEX($Y$2:$Y$1001,MATCH(ROWS($W$2:W387),$W$2:$W$1001,0),0), INDEX($AD$1004:$AU$1004,1,MATCH(COLUMNS($AD$1006:AJ1006),$AD$1006:$AU$1006,0)))),"Fix")))</f>
        <v xml:space="preserve"> </v>
      </c>
      <c r="I387" s="4" t="str">
        <f ca="1">IF(OR(INDEX($X$2:$X$1001,MATCH(ROWS($W$2:W387),$W$2:$W$1001,0),1)&gt;=100000,INDEX($AD$1005:$AU$1005,1,MATCH(COLUMNS($AD$1006:AK1006),$AD$1006:$AU$1006,0))&gt;=100000), " ",IF(INDEX($AD$2:$AU$1001,MATCH(ROWS($W$2:W387),$W$2:$W$1001,0),MATCH(COLUMNS($AD$1006:AK1006),$AD$1006:$AU$1006,0)), HYPERLINK("#",""), HYPERLINK(CONCATENATE("#metadata!", ADDRESS(INDEX($Y$2:$Y$1001,MATCH(ROWS($W$2:W387),$W$2:$W$1001,0),0), INDEX($AD$1004:$AU$1004,1,MATCH(COLUMNS($AD$1006:AK1006),$AD$1006:$AU$1006,0)))),"Fix")))</f>
        <v xml:space="preserve"> </v>
      </c>
      <c r="J387" s="4" t="str">
        <f ca="1">IF(OR(INDEX($X$2:$X$1001,MATCH(ROWS($W$2:W387),$W$2:$W$1001,0),1)&gt;=100000,INDEX($AD$1005:$AU$1005,1,MATCH(COLUMNS($AD$1006:AL1006),$AD$1006:$AU$1006,0))&gt;=100000), " ",IF(INDEX($AD$2:$AU$1001,MATCH(ROWS($W$2:W387),$W$2:$W$1001,0),MATCH(COLUMNS($AD$1006:AL1006),$AD$1006:$AU$1006,0)), HYPERLINK("#",""), HYPERLINK(CONCATENATE("#metadata!", ADDRESS(INDEX($Y$2:$Y$1001,MATCH(ROWS($W$2:W387),$W$2:$W$1001,0),0), INDEX($AD$1004:$AU$1004,1,MATCH(COLUMNS($AD$1006:AL1006),$AD$1006:$AU$1006,0)))),"Fix")))</f>
        <v xml:space="preserve"> </v>
      </c>
      <c r="K387" s="4" t="str">
        <f ca="1">IF(OR(INDEX($X$2:$X$1001,MATCH(ROWS($W$2:W387),$W$2:$W$1001,0),1)&gt;=100000,INDEX($AD$1005:$AU$1005,1,MATCH(COLUMNS($AD$1006:AM1006),$AD$1006:$AU$1006,0))&gt;=100000), " ",IF(INDEX($AD$2:$AU$1001,MATCH(ROWS($W$2:W387),$W$2:$W$1001,0),MATCH(COLUMNS($AD$1006:AM1006),$AD$1006:$AU$1006,0)), HYPERLINK("#",""), HYPERLINK(CONCATENATE("#metadata!", ADDRESS(INDEX($Y$2:$Y$1001,MATCH(ROWS($W$2:W387),$W$2:$W$1001,0),0), INDEX($AD$1004:$AU$1004,1,MATCH(COLUMNS($AD$1006:AM1006),$AD$1006:$AU$1006,0)))),"Fix")))</f>
        <v xml:space="preserve"> </v>
      </c>
      <c r="L387" s="4" t="str">
        <f ca="1">IF(OR(INDEX($X$2:$X$1001,MATCH(ROWS($W$2:W387),$W$2:$W$1001,0),1)&gt;=100000,INDEX($AD$1005:$AU$1005,1,MATCH(COLUMNS($AD$1006:AN1006),$AD$1006:$AU$1006,0))&gt;=100000), " ",IF(INDEX($AD$2:$AU$1001,MATCH(ROWS($W$2:W387),$W$2:$W$1001,0),MATCH(COLUMNS($AD$1006:AN1006),$AD$1006:$AU$1006,0)), HYPERLINK("#",""), HYPERLINK(CONCATENATE("#metadata!", ADDRESS(INDEX($Y$2:$Y$1001,MATCH(ROWS($W$2:W387),$W$2:$W$1001,0),0), INDEX($AD$1004:$AU$1004,1,MATCH(COLUMNS($AD$1006:AN1006),$AD$1006:$AU$1006,0)))),"Fix")))</f>
        <v xml:space="preserve"> </v>
      </c>
      <c r="M387" s="4" t="str">
        <f ca="1">IF(OR(INDEX($X$2:$X$1001,MATCH(ROWS($W$2:W387),$W$2:$W$1001,0),1)&gt;=100000,INDEX($AD$1005:$AU$1005,1,MATCH(COLUMNS($AD$1006:AO1006),$AD$1006:$AU$1006,0))&gt;=100000), " ",IF(INDEX($AD$2:$AU$1001,MATCH(ROWS($W$2:W387),$W$2:$W$1001,0),MATCH(COLUMNS($AD$1006:AO1006),$AD$1006:$AU$1006,0)), HYPERLINK("#",""), HYPERLINK(CONCATENATE("#metadata!", ADDRESS(INDEX($Y$2:$Y$1001,MATCH(ROWS($W$2:W387),$W$2:$W$1001,0),0), INDEX($AD$1004:$AU$1004,1,MATCH(COLUMNS($AD$1006:AO1006),$AD$1006:$AU$1006,0)))),"Fix")))</f>
        <v xml:space="preserve"> </v>
      </c>
      <c r="N387" s="4" t="str">
        <f ca="1">IF(OR(INDEX($X$2:$X$1001,MATCH(ROWS($W$2:W387),$W$2:$W$1001,0),1)&gt;=100000,INDEX($AD$1005:$AU$1005,1,MATCH(COLUMNS($AD$1006:AP1006),$AD$1006:$AU$1006,0))&gt;=100000), " ",IF(INDEX($AD$2:$AU$1001,MATCH(ROWS($W$2:W387),$W$2:$W$1001,0),MATCH(COLUMNS($AD$1006:AP1006),$AD$1006:$AU$1006,0)), HYPERLINK("#",""), HYPERLINK(CONCATENATE("#metadata!", ADDRESS(INDEX($Y$2:$Y$1001,MATCH(ROWS($W$2:W387),$W$2:$W$1001,0),0), INDEX($AD$1004:$AU$1004,1,MATCH(COLUMNS($AD$1006:AP1006),$AD$1006:$AU$1006,0)))),"Fix")))</f>
        <v xml:space="preserve"> </v>
      </c>
      <c r="O387" s="4" t="str">
        <f ca="1">IF(OR(INDEX($X$2:$X$1001,MATCH(ROWS($W$2:W387),$W$2:$W$1001,0),1)&gt;=100000,INDEX($AD$1005:$AU$1005,1,MATCH(COLUMNS($AD$1006:AQ1006),$AD$1006:$AU$1006,0))&gt;=100000), " ",IF(INDEX($AD$2:$AU$1001,MATCH(ROWS($W$2:W387),$W$2:$W$1001,0),MATCH(COLUMNS($AD$1006:AQ1006),$AD$1006:$AU$1006,0)), HYPERLINK("#",""), HYPERLINK(CONCATENATE("#metadata!", ADDRESS(INDEX($Y$2:$Y$1001,MATCH(ROWS($W$2:W387),$W$2:$W$1001,0),0), INDEX($AD$1004:$AU$1004,1,MATCH(COLUMNS($AD$1006:AQ1006),$AD$1006:$AU$1006,0)))),"Fix")))</f>
        <v xml:space="preserve"> </v>
      </c>
      <c r="P387" s="4" t="str">
        <f ca="1">IF(OR(INDEX($X$2:$X$1001,MATCH(ROWS($W$2:W387),$W$2:$W$1001,0),1)&gt;=100000,INDEX($AD$1005:$AU$1005,1,MATCH(COLUMNS($AD$1006:AR1006),$AD$1006:$AU$1006,0))&gt;=100000), " ",IF(INDEX($AD$2:$AU$1001,MATCH(ROWS($W$2:W387),$W$2:$W$1001,0),MATCH(COLUMNS($AD$1006:AR1006),$AD$1006:$AU$1006,0)), HYPERLINK("#",""), HYPERLINK(CONCATENATE("#metadata!", ADDRESS(INDEX($Y$2:$Y$1001,MATCH(ROWS($W$2:W387),$W$2:$W$1001,0),0), INDEX($AD$1004:$AU$1004,1,MATCH(COLUMNS($AD$1006:AR1006),$AD$1006:$AU$1006,0)))),"Fix")))</f>
        <v xml:space="preserve"> </v>
      </c>
      <c r="Q387" s="4" t="str">
        <f ca="1">IF(OR(INDEX($X$2:$X$1001,MATCH(ROWS($W$2:W387),$W$2:$W$1001,0),1)&gt;=100000,INDEX($AD$1005:$AU$1005,1,MATCH(COLUMNS($AD$1006:AS1006),$AD$1006:$AU$1006,0))&gt;=100000), " ",IF(INDEX($AD$2:$AU$1001,MATCH(ROWS($W$2:W387),$W$2:$W$1001,0),MATCH(COLUMNS($AD$1006:AS1006),$AD$1006:$AU$1006,0)), HYPERLINK("#",""), HYPERLINK(CONCATENATE("#metadata!", ADDRESS(INDEX($Y$2:$Y$1001,MATCH(ROWS($W$2:W387),$W$2:$W$1001,0),0), INDEX($AD$1004:$AU$1004,1,MATCH(COLUMNS($AD$1006:AS1006),$AD$1006:$AU$1006,0)))),"Fix")))</f>
        <v xml:space="preserve"> </v>
      </c>
      <c r="R387" s="4" t="str">
        <f ca="1">IF(OR(INDEX($X$2:$X$1001,MATCH(ROWS($W$2:W387),$W$2:$W$1001,0),1)&gt;=100000,INDEX($AD$1005:$AU$1005,1,MATCH(COLUMNS($AD$1006:AT1006),$AD$1006:$AU$1006,0))&gt;=100000), " ",IF(INDEX($AD$2:$AU$1001,MATCH(ROWS($W$2:W387),$W$2:$W$1001,0),MATCH(COLUMNS($AD$1006:AT1006),$AD$1006:$AU$1006,0)), HYPERLINK("#",""), HYPERLINK(CONCATENATE("#metadata!", ADDRESS(INDEX($Y$2:$Y$1001,MATCH(ROWS($W$2:W387),$W$2:$W$1001,0),0), INDEX($AD$1004:$AU$1004,1,MATCH(COLUMNS($AD$1006:AT1006),$AD$1006:$AU$1006,0)))),"Fix")))</f>
        <v xml:space="preserve"> </v>
      </c>
      <c r="S387" s="4" t="str">
        <f ca="1">IF(OR(INDEX($X$2:$X$1001,MATCH(ROWS($W$2:W387),$W$2:$W$1001,0),1)&gt;=100000,INDEX($AD$1005:$AU$1005,1,MATCH(COLUMNS($AD$1006:AU1006),$AD$1006:$AU$1006,0))&gt;=100000), " ",IF(INDEX($AD$2:$AU$1001,MATCH(ROWS($W$2:W387),$W$2:$W$1001,0),MATCH(COLUMNS($AD$1006:AU1006),$AD$1006:$AU$1006,0)), HYPERLINK("#",""), HYPERLINK(CONCATENATE("#metadata!", ADDRESS(INDEX($Y$2:$Y$1001,MATCH(ROWS($W$2:W387),$W$2:$W$1001,0),0), INDEX($AD$1004:$AU$1004,1,MATCH(COLUMNS($AD$1006:AU1006),$AD$1006:$AU$1006,0)))),"Fix")))</f>
        <v xml:space="preserve"> </v>
      </c>
      <c r="W387">
        <v>386</v>
      </c>
      <c r="X387">
        <v>100387</v>
      </c>
      <c r="Y387">
        <v>387</v>
      </c>
      <c r="Z387" t="b">
        <f t="shared" si="6"/>
        <v>1</v>
      </c>
      <c r="AA387" t="b">
        <f>COUNTBLANK(metadata!B387:S387)=COLUMNS(metadata!B387:S387)</f>
        <v>1</v>
      </c>
      <c r="AB387" t="str">
        <v/>
      </c>
      <c r="AD387" t="b">
        <f ca="1">AND(IF(metadata!B387="",FALSE,TRUE),COUNTIF(metadata!B:B, metadata!B387) = 1,NOT(ISERROR(SUMPRODUCT(SEARCH(MID(metadata!B387,ROW(INDIRECT("1:"&amp;LEN(metadata!B387))), 1),"0123456789abcdefghijklmnopqrstuvwxyzABCDEFGHIJKLMNOPQRSTUVWXYZ.")))))</f>
        <v>0</v>
      </c>
      <c r="AE387" t="b">
        <f>OR(AND(IF(metadata!C387="",FALSE,TRUE),OR(EXACT(metadata!C387,"not applicable"),EXACT(metadata!C387,"missing: not collected"),EXACT(metadata!C387,"missing: not provided"),EXACT(metadata!C387,"missing: restricted access"))),AND(IF(metadata!C387="",FALSE,ISNUMBER(VALUE(metadata!C387))),metadata!C387&gt;0))</f>
        <v>0</v>
      </c>
      <c r="AF387" t="b">
        <f>AND(IF(metadata!D387="",FALSE,TRUE),EXACT(metadata!D387,"missing: not provided"))</f>
        <v>0</v>
      </c>
      <c r="AG387" t="b">
        <f>AND(IF(metadata!E387="",FALSE,TRUE),EXACT(metadata!E387,"Host-associated"))</f>
        <v>0</v>
      </c>
      <c r="AH387" t="b">
        <f>AND(IF(metadata!F387="",FALSE,TRUE),OR(EXACT(metadata!F387,"Animal"),EXACT(metadata!F387,"Fungus"),EXACT(metadata!F387,"Plant")))</f>
        <v>0</v>
      </c>
      <c r="AI387" t="b">
        <f>AND(IF(metadata!G387="",FALSE,TRUE),OR(EXACT(metadata!G387,"Plant secretion"),EXACT(metadata!G387,"Plant rhizosphere"),EXACT(metadata!G387,"Plant surface"),EXACT(metadata!G387,"Plant corpus"),EXACT(metadata!G387,"Fungus surface"),EXACT(metadata!G387,"Fungus corpus"),EXACT(metadata!G387,"Animal surface"),EXACT(metadata!G387,"Animal proximal gut"),EXACT(metadata!G387,"Animal corpus"),EXACT(metadata!G387,"Animal distal gut"),EXACT(metadata!G387,"Animal secretion")))</f>
        <v>0</v>
      </c>
      <c r="AJ387" t="b">
        <f>OR(AND(IF(metadata!H387="",FALSE,TRUE),OR(EXACT(metadata!H387,"missing: not collected"),EXACT(metadata!H387,"missing: not provided"),EXACT(metadata!H387,"missing: restricted access"))),AND(IF(metadata!H387="",FALSE,TRUE),OR(EXACT(metadata!H387,"organism-associated habitat"),EXACT(metadata!H387,"plant-associated habitat"),EXACT(metadata!H387,"animal-associated habitat"),EXACT(metadata!H387,"insecta-associated habitat"),EXACT(metadata!H387,"mammalia-associated habitat"),EXACT(metadata!H387,"human-associated habitat"),EXACT(metadata!H387,"livestock-associated habitat"))))</f>
        <v>0</v>
      </c>
      <c r="AK387" t="b">
        <f>AND(IF(metadata!I387="",FALSE,TRUE),EXACT(metadata!I387,"host-associated"))</f>
        <v>0</v>
      </c>
      <c r="AL387" t="b">
        <f>OR(AND(IF(metadata!J387="",FALSE,TRUE),OR(EXACT(metadata!J387,"not applicable"),EXACT(metadata!J387,"missing: not collected"),EXACT(metadata!J387,"missing: not provided"),EXACT(metadata!J387,"missing: restricted access"))),AND(IF(metadata!J387="",FALSE,ISNUMBER(VALUE(metadata!J387))),metadata!J387&gt;0))</f>
        <v>0</v>
      </c>
      <c r="AM387" t="b">
        <f>AND(IF(metadata!K387="",FALSE,TRUE),EXACT(metadata!K387,"missing: not provided"))</f>
        <v>0</v>
      </c>
      <c r="AN387" t="b">
        <f>IF(metadata!L387="",FALSE,TRUE)</f>
        <v>0</v>
      </c>
      <c r="AO387" t="b">
        <f>IF(metadata!M387="",FALSE,TRUE)</f>
        <v>0</v>
      </c>
      <c r="AP387" t="b">
        <f>OR(AND(IF(metadata!N387="",FALSE,TRUE),OR(EXACT(metadata!N387,"not applicable"),EXACT(metadata!N387,"missing: not collected"),EXACT(metadata!N387,"missing: not provided"))),AND(IF(metadata!N387="",FALSE,IF(ISERROR(INT(metadata!N387)),FALSE,INT(metadata!N387)=metadata!N387)),metadata!N387&gt;0))</f>
        <v>0</v>
      </c>
      <c r="AQ387" t="b">
        <f>AND(IF(metadata!O387="",FALSE,TRUE),EXACT(metadata!O387,"Not applicable"))</f>
        <v>0</v>
      </c>
      <c r="AR387" t="b">
        <f>OR(AND(IF(metadata!P387="",FALSE,TRUE),OR(EXACT(metadata!P387,"not applicable"),EXACT(metadata!P387,"missing: not collected"),EXACT(metadata!P387,"missing: not provided"),EXACT(metadata!P387,"missing: restricted access"))),IF(metadata!P387="",FALSE,IF(ISERROR(INT(metadata!P387)),FALSE,INT(metadata!P387)=metadata!P387)))</f>
        <v>0</v>
      </c>
      <c r="AS387" t="b">
        <f>AND(IF(metadata!Q387="",FALSE,TRUE),EXACT(metadata!Q387,"Not applicable"))</f>
        <v>0</v>
      </c>
      <c r="AT387" t="b">
        <f>OR(AND(IF(metadata!R387="",FALSE,TRUE),OR(EXACT(metadata!R387,"not applicable"),EXACT(metadata!R387,"missing: not collected"),EXACT(metadata!R387,"missing: not provided"),EXACT(metadata!R387,"missing: restricted access"))),AND(IF(metadata!R387="",FALSE,ISNUMBER(VALUE(metadata!R387))),metadata!R387&gt;0))</f>
        <v>0</v>
      </c>
      <c r="AU387" t="b">
        <f>AND(IF(metadata!S387="",FALSE,TRUE),EXACT(metadata!S387,"missing: not provided"))</f>
        <v>0</v>
      </c>
    </row>
    <row r="388" spans="1:47" x14ac:dyDescent="0.2">
      <c r="A388" s="5" t="str">
        <f ca="1">IF(B388=" "," ",HYPERLINK(CONCATENATE("#metadata!",ADDRESS(INDEX($Y$2:$Y$1001,MATCH(ROWS($W$2:W388),$W$2:$W$1001,0),0),1)),INDEX($AB$2:$AB$1001,MATCH(ROWS($W$2:W388),$W$2:$W$1001,0),0)))</f>
        <v xml:space="preserve"> </v>
      </c>
      <c r="B388" s="4" t="str">
        <f ca="1">IF(OR(INDEX($X$2:$X$1001,MATCH(ROWS($W$2:W388),$W$2:$W$1001,0),1)&gt;=100000,INDEX($AD$1005:$AU$1005,1,MATCH(COLUMNS($AD$1006:AD1006),$AD$1006:$AU$1006,0))&gt;=100000), " ",IF(INDEX($AD$2:$AU$1001,MATCH(ROWS($W$2:W388),$W$2:$W$1001,0),MATCH(COLUMNS($AD$1006:AD1006),$AD$1006:$AU$1006,0)), HYPERLINK("#",""), HYPERLINK(CONCATENATE("#metadata!", ADDRESS(INDEX($Y$2:$Y$1001,MATCH(ROWS($W$2:W388),$W$2:$W$1001,0),0), INDEX($AD$1004:$AU$1004,1,MATCH(COLUMNS($AD$1006:AD1006),$AD$1006:$AU$1006,0)))),"Fix")))</f>
        <v xml:space="preserve"> </v>
      </c>
      <c r="C388" s="4" t="str">
        <f ca="1">IF(OR(INDEX($X$2:$X$1001,MATCH(ROWS($W$2:W388),$W$2:$W$1001,0),1)&gt;=100000,INDEX($AD$1005:$AU$1005,1,MATCH(COLUMNS($AD$1006:AE1006),$AD$1006:$AU$1006,0))&gt;=100000), " ",IF(INDEX($AD$2:$AU$1001,MATCH(ROWS($W$2:W388),$W$2:$W$1001,0),MATCH(COLUMNS($AD$1006:AE1006),$AD$1006:$AU$1006,0)), HYPERLINK("#",""), HYPERLINK(CONCATENATE("#metadata!", ADDRESS(INDEX($Y$2:$Y$1001,MATCH(ROWS($W$2:W388),$W$2:$W$1001,0),0), INDEX($AD$1004:$AU$1004,1,MATCH(COLUMNS($AD$1006:AE1006),$AD$1006:$AU$1006,0)))),"Fix")))</f>
        <v xml:space="preserve"> </v>
      </c>
      <c r="D388" s="4" t="str">
        <f ca="1">IF(OR(INDEX($X$2:$X$1001,MATCH(ROWS($W$2:W388),$W$2:$W$1001,0),1)&gt;=100000,INDEX($AD$1005:$AU$1005,1,MATCH(COLUMNS($AD$1006:AF1006),$AD$1006:$AU$1006,0))&gt;=100000), " ",IF(INDEX($AD$2:$AU$1001,MATCH(ROWS($W$2:W388),$W$2:$W$1001,0),MATCH(COLUMNS($AD$1006:AF1006),$AD$1006:$AU$1006,0)), HYPERLINK("#",""), HYPERLINK(CONCATENATE("#metadata!", ADDRESS(INDEX($Y$2:$Y$1001,MATCH(ROWS($W$2:W388),$W$2:$W$1001,0),0), INDEX($AD$1004:$AU$1004,1,MATCH(COLUMNS($AD$1006:AF1006),$AD$1006:$AU$1006,0)))),"Fix")))</f>
        <v xml:space="preserve"> </v>
      </c>
      <c r="E388" s="4" t="str">
        <f ca="1">IF(OR(INDEX($X$2:$X$1001,MATCH(ROWS($W$2:W388),$W$2:$W$1001,0),1)&gt;=100000,INDEX($AD$1005:$AU$1005,1,MATCH(COLUMNS($AD$1006:AG1006),$AD$1006:$AU$1006,0))&gt;=100000), " ",IF(INDEX($AD$2:$AU$1001,MATCH(ROWS($W$2:W388),$W$2:$W$1001,0),MATCH(COLUMNS($AD$1006:AG1006),$AD$1006:$AU$1006,0)), HYPERLINK("#",""), HYPERLINK(CONCATENATE("#metadata!", ADDRESS(INDEX($Y$2:$Y$1001,MATCH(ROWS($W$2:W388),$W$2:$W$1001,0),0), INDEX($AD$1004:$AU$1004,1,MATCH(COLUMNS($AD$1006:AG1006),$AD$1006:$AU$1006,0)))),"Fix")))</f>
        <v xml:space="preserve"> </v>
      </c>
      <c r="F388" s="4" t="str">
        <f ca="1">IF(OR(INDEX($X$2:$X$1001,MATCH(ROWS($W$2:W388),$W$2:$W$1001,0),1)&gt;=100000,INDEX($AD$1005:$AU$1005,1,MATCH(COLUMNS($AD$1006:AH1006),$AD$1006:$AU$1006,0))&gt;=100000), " ",IF(INDEX($AD$2:$AU$1001,MATCH(ROWS($W$2:W388),$W$2:$W$1001,0),MATCH(COLUMNS($AD$1006:AH1006),$AD$1006:$AU$1006,0)), HYPERLINK("#",""), HYPERLINK(CONCATENATE("#metadata!", ADDRESS(INDEX($Y$2:$Y$1001,MATCH(ROWS($W$2:W388),$W$2:$W$1001,0),0), INDEX($AD$1004:$AU$1004,1,MATCH(COLUMNS($AD$1006:AH1006),$AD$1006:$AU$1006,0)))),"Fix")))</f>
        <v xml:space="preserve"> </v>
      </c>
      <c r="G388" s="4" t="str">
        <f ca="1">IF(OR(INDEX($X$2:$X$1001,MATCH(ROWS($W$2:W388),$W$2:$W$1001,0),1)&gt;=100000,INDEX($AD$1005:$AU$1005,1,MATCH(COLUMNS($AD$1006:AI1006),$AD$1006:$AU$1006,0))&gt;=100000), " ",IF(INDEX($AD$2:$AU$1001,MATCH(ROWS($W$2:W388),$W$2:$W$1001,0),MATCH(COLUMNS($AD$1006:AI1006),$AD$1006:$AU$1006,0)), HYPERLINK("#",""), HYPERLINK(CONCATENATE("#metadata!", ADDRESS(INDEX($Y$2:$Y$1001,MATCH(ROWS($W$2:W388),$W$2:$W$1001,0),0), INDEX($AD$1004:$AU$1004,1,MATCH(COLUMNS($AD$1006:AI1006),$AD$1006:$AU$1006,0)))),"Fix")))</f>
        <v xml:space="preserve"> </v>
      </c>
      <c r="H388" s="4" t="str">
        <f ca="1">IF(OR(INDEX($X$2:$X$1001,MATCH(ROWS($W$2:W388),$W$2:$W$1001,0),1)&gt;=100000,INDEX($AD$1005:$AU$1005,1,MATCH(COLUMNS($AD$1006:AJ1006),$AD$1006:$AU$1006,0))&gt;=100000), " ",IF(INDEX($AD$2:$AU$1001,MATCH(ROWS($W$2:W388),$W$2:$W$1001,0),MATCH(COLUMNS($AD$1006:AJ1006),$AD$1006:$AU$1006,0)), HYPERLINK("#",""), HYPERLINK(CONCATENATE("#metadata!", ADDRESS(INDEX($Y$2:$Y$1001,MATCH(ROWS($W$2:W388),$W$2:$W$1001,0),0), INDEX($AD$1004:$AU$1004,1,MATCH(COLUMNS($AD$1006:AJ1006),$AD$1006:$AU$1006,0)))),"Fix")))</f>
        <v xml:space="preserve"> </v>
      </c>
      <c r="I388" s="4" t="str">
        <f ca="1">IF(OR(INDEX($X$2:$X$1001,MATCH(ROWS($W$2:W388),$W$2:$W$1001,0),1)&gt;=100000,INDEX($AD$1005:$AU$1005,1,MATCH(COLUMNS($AD$1006:AK1006),$AD$1006:$AU$1006,0))&gt;=100000), " ",IF(INDEX($AD$2:$AU$1001,MATCH(ROWS($W$2:W388),$W$2:$W$1001,0),MATCH(COLUMNS($AD$1006:AK1006),$AD$1006:$AU$1006,0)), HYPERLINK("#",""), HYPERLINK(CONCATENATE("#metadata!", ADDRESS(INDEX($Y$2:$Y$1001,MATCH(ROWS($W$2:W388),$W$2:$W$1001,0),0), INDEX($AD$1004:$AU$1004,1,MATCH(COLUMNS($AD$1006:AK1006),$AD$1006:$AU$1006,0)))),"Fix")))</f>
        <v xml:space="preserve"> </v>
      </c>
      <c r="J388" s="4" t="str">
        <f ca="1">IF(OR(INDEX($X$2:$X$1001,MATCH(ROWS($W$2:W388),$W$2:$W$1001,0),1)&gt;=100000,INDEX($AD$1005:$AU$1005,1,MATCH(COLUMNS($AD$1006:AL1006),$AD$1006:$AU$1006,0))&gt;=100000), " ",IF(INDEX($AD$2:$AU$1001,MATCH(ROWS($W$2:W388),$W$2:$W$1001,0),MATCH(COLUMNS($AD$1006:AL1006),$AD$1006:$AU$1006,0)), HYPERLINK("#",""), HYPERLINK(CONCATENATE("#metadata!", ADDRESS(INDEX($Y$2:$Y$1001,MATCH(ROWS($W$2:W388),$W$2:$W$1001,0),0), INDEX($AD$1004:$AU$1004,1,MATCH(COLUMNS($AD$1006:AL1006),$AD$1006:$AU$1006,0)))),"Fix")))</f>
        <v xml:space="preserve"> </v>
      </c>
      <c r="K388" s="4" t="str">
        <f ca="1">IF(OR(INDEX($X$2:$X$1001,MATCH(ROWS($W$2:W388),$W$2:$W$1001,0),1)&gt;=100000,INDEX($AD$1005:$AU$1005,1,MATCH(COLUMNS($AD$1006:AM1006),$AD$1006:$AU$1006,0))&gt;=100000), " ",IF(INDEX($AD$2:$AU$1001,MATCH(ROWS($W$2:W388),$W$2:$W$1001,0),MATCH(COLUMNS($AD$1006:AM1006),$AD$1006:$AU$1006,0)), HYPERLINK("#",""), HYPERLINK(CONCATENATE("#metadata!", ADDRESS(INDEX($Y$2:$Y$1001,MATCH(ROWS($W$2:W388),$W$2:$W$1001,0),0), INDEX($AD$1004:$AU$1004,1,MATCH(COLUMNS($AD$1006:AM1006),$AD$1006:$AU$1006,0)))),"Fix")))</f>
        <v xml:space="preserve"> </v>
      </c>
      <c r="L388" s="4" t="str">
        <f ca="1">IF(OR(INDEX($X$2:$X$1001,MATCH(ROWS($W$2:W388),$W$2:$W$1001,0),1)&gt;=100000,INDEX($AD$1005:$AU$1005,1,MATCH(COLUMNS($AD$1006:AN1006),$AD$1006:$AU$1006,0))&gt;=100000), " ",IF(INDEX($AD$2:$AU$1001,MATCH(ROWS($W$2:W388),$W$2:$W$1001,0),MATCH(COLUMNS($AD$1006:AN1006),$AD$1006:$AU$1006,0)), HYPERLINK("#",""), HYPERLINK(CONCATENATE("#metadata!", ADDRESS(INDEX($Y$2:$Y$1001,MATCH(ROWS($W$2:W388),$W$2:$W$1001,0),0), INDEX($AD$1004:$AU$1004,1,MATCH(COLUMNS($AD$1006:AN1006),$AD$1006:$AU$1006,0)))),"Fix")))</f>
        <v xml:space="preserve"> </v>
      </c>
      <c r="M388" s="4" t="str">
        <f ca="1">IF(OR(INDEX($X$2:$X$1001,MATCH(ROWS($W$2:W388),$W$2:$W$1001,0),1)&gt;=100000,INDEX($AD$1005:$AU$1005,1,MATCH(COLUMNS($AD$1006:AO1006),$AD$1006:$AU$1006,0))&gt;=100000), " ",IF(INDEX($AD$2:$AU$1001,MATCH(ROWS($W$2:W388),$W$2:$W$1001,0),MATCH(COLUMNS($AD$1006:AO1006),$AD$1006:$AU$1006,0)), HYPERLINK("#",""), HYPERLINK(CONCATENATE("#metadata!", ADDRESS(INDEX($Y$2:$Y$1001,MATCH(ROWS($W$2:W388),$W$2:$W$1001,0),0), INDEX($AD$1004:$AU$1004,1,MATCH(COLUMNS($AD$1006:AO1006),$AD$1006:$AU$1006,0)))),"Fix")))</f>
        <v xml:space="preserve"> </v>
      </c>
      <c r="N388" s="4" t="str">
        <f ca="1">IF(OR(INDEX($X$2:$X$1001,MATCH(ROWS($W$2:W388),$W$2:$W$1001,0),1)&gt;=100000,INDEX($AD$1005:$AU$1005,1,MATCH(COLUMNS($AD$1006:AP1006),$AD$1006:$AU$1006,0))&gt;=100000), " ",IF(INDEX($AD$2:$AU$1001,MATCH(ROWS($W$2:W388),$W$2:$W$1001,0),MATCH(COLUMNS($AD$1006:AP1006),$AD$1006:$AU$1006,0)), HYPERLINK("#",""), HYPERLINK(CONCATENATE("#metadata!", ADDRESS(INDEX($Y$2:$Y$1001,MATCH(ROWS($W$2:W388),$W$2:$W$1001,0),0), INDEX($AD$1004:$AU$1004,1,MATCH(COLUMNS($AD$1006:AP1006),$AD$1006:$AU$1006,0)))),"Fix")))</f>
        <v xml:space="preserve"> </v>
      </c>
      <c r="O388" s="4" t="str">
        <f ca="1">IF(OR(INDEX($X$2:$X$1001,MATCH(ROWS($W$2:W388),$W$2:$W$1001,0),1)&gt;=100000,INDEX($AD$1005:$AU$1005,1,MATCH(COLUMNS($AD$1006:AQ1006),$AD$1006:$AU$1006,0))&gt;=100000), " ",IF(INDEX($AD$2:$AU$1001,MATCH(ROWS($W$2:W388),$W$2:$W$1001,0),MATCH(COLUMNS($AD$1006:AQ1006),$AD$1006:$AU$1006,0)), HYPERLINK("#",""), HYPERLINK(CONCATENATE("#metadata!", ADDRESS(INDEX($Y$2:$Y$1001,MATCH(ROWS($W$2:W388),$W$2:$W$1001,0),0), INDEX($AD$1004:$AU$1004,1,MATCH(COLUMNS($AD$1006:AQ1006),$AD$1006:$AU$1006,0)))),"Fix")))</f>
        <v xml:space="preserve"> </v>
      </c>
      <c r="P388" s="4" t="str">
        <f ca="1">IF(OR(INDEX($X$2:$X$1001,MATCH(ROWS($W$2:W388),$W$2:$W$1001,0),1)&gt;=100000,INDEX($AD$1005:$AU$1005,1,MATCH(COLUMNS($AD$1006:AR1006),$AD$1006:$AU$1006,0))&gt;=100000), " ",IF(INDEX($AD$2:$AU$1001,MATCH(ROWS($W$2:W388),$W$2:$W$1001,0),MATCH(COLUMNS($AD$1006:AR1006),$AD$1006:$AU$1006,0)), HYPERLINK("#",""), HYPERLINK(CONCATENATE("#metadata!", ADDRESS(INDEX($Y$2:$Y$1001,MATCH(ROWS($W$2:W388),$W$2:$W$1001,0),0), INDEX($AD$1004:$AU$1004,1,MATCH(COLUMNS($AD$1006:AR1006),$AD$1006:$AU$1006,0)))),"Fix")))</f>
        <v xml:space="preserve"> </v>
      </c>
      <c r="Q388" s="4" t="str">
        <f ca="1">IF(OR(INDEX($X$2:$X$1001,MATCH(ROWS($W$2:W388),$W$2:$W$1001,0),1)&gt;=100000,INDEX($AD$1005:$AU$1005,1,MATCH(COLUMNS($AD$1006:AS1006),$AD$1006:$AU$1006,0))&gt;=100000), " ",IF(INDEX($AD$2:$AU$1001,MATCH(ROWS($W$2:W388),$W$2:$W$1001,0),MATCH(COLUMNS($AD$1006:AS1006),$AD$1006:$AU$1006,0)), HYPERLINK("#",""), HYPERLINK(CONCATENATE("#metadata!", ADDRESS(INDEX($Y$2:$Y$1001,MATCH(ROWS($W$2:W388),$W$2:$W$1001,0),0), INDEX($AD$1004:$AU$1004,1,MATCH(COLUMNS($AD$1006:AS1006),$AD$1006:$AU$1006,0)))),"Fix")))</f>
        <v xml:space="preserve"> </v>
      </c>
      <c r="R388" s="4" t="str">
        <f ca="1">IF(OR(INDEX($X$2:$X$1001,MATCH(ROWS($W$2:W388),$W$2:$W$1001,0),1)&gt;=100000,INDEX($AD$1005:$AU$1005,1,MATCH(COLUMNS($AD$1006:AT1006),$AD$1006:$AU$1006,0))&gt;=100000), " ",IF(INDEX($AD$2:$AU$1001,MATCH(ROWS($W$2:W388),$W$2:$W$1001,0),MATCH(COLUMNS($AD$1006:AT1006),$AD$1006:$AU$1006,0)), HYPERLINK("#",""), HYPERLINK(CONCATENATE("#metadata!", ADDRESS(INDEX($Y$2:$Y$1001,MATCH(ROWS($W$2:W388),$W$2:$W$1001,0),0), INDEX($AD$1004:$AU$1004,1,MATCH(COLUMNS($AD$1006:AT1006),$AD$1006:$AU$1006,0)))),"Fix")))</f>
        <v xml:space="preserve"> </v>
      </c>
      <c r="S388" s="4" t="str">
        <f ca="1">IF(OR(INDEX($X$2:$X$1001,MATCH(ROWS($W$2:W388),$W$2:$W$1001,0),1)&gt;=100000,INDEX($AD$1005:$AU$1005,1,MATCH(COLUMNS($AD$1006:AU1006),$AD$1006:$AU$1006,0))&gt;=100000), " ",IF(INDEX($AD$2:$AU$1001,MATCH(ROWS($W$2:W388),$W$2:$W$1001,0),MATCH(COLUMNS($AD$1006:AU1006),$AD$1006:$AU$1006,0)), HYPERLINK("#",""), HYPERLINK(CONCATENATE("#metadata!", ADDRESS(INDEX($Y$2:$Y$1001,MATCH(ROWS($W$2:W388),$W$2:$W$1001,0),0), INDEX($AD$1004:$AU$1004,1,MATCH(COLUMNS($AD$1006:AU1006),$AD$1006:$AU$1006,0)))),"Fix")))</f>
        <v xml:space="preserve"> </v>
      </c>
      <c r="W388">
        <v>387</v>
      </c>
      <c r="X388">
        <v>100388</v>
      </c>
      <c r="Y388">
        <v>388</v>
      </c>
      <c r="Z388" t="b">
        <f t="shared" si="6"/>
        <v>1</v>
      </c>
      <c r="AA388" t="b">
        <f>COUNTBLANK(metadata!B388:S388)=COLUMNS(metadata!B388:S388)</f>
        <v>1</v>
      </c>
      <c r="AB388" t="str">
        <v/>
      </c>
      <c r="AD388" t="b">
        <f ca="1">AND(IF(metadata!B388="",FALSE,TRUE),COUNTIF(metadata!B:B, metadata!B388) = 1,NOT(ISERROR(SUMPRODUCT(SEARCH(MID(metadata!B388,ROW(INDIRECT("1:"&amp;LEN(metadata!B388))), 1),"0123456789abcdefghijklmnopqrstuvwxyzABCDEFGHIJKLMNOPQRSTUVWXYZ.")))))</f>
        <v>0</v>
      </c>
      <c r="AE388" t="b">
        <f>OR(AND(IF(metadata!C388="",FALSE,TRUE),OR(EXACT(metadata!C388,"not applicable"),EXACT(metadata!C388,"missing: not collected"),EXACT(metadata!C388,"missing: not provided"),EXACT(metadata!C388,"missing: restricted access"))),AND(IF(metadata!C388="",FALSE,ISNUMBER(VALUE(metadata!C388))),metadata!C388&gt;0))</f>
        <v>0</v>
      </c>
      <c r="AF388" t="b">
        <f>AND(IF(metadata!D388="",FALSE,TRUE),EXACT(metadata!D388,"missing: not provided"))</f>
        <v>0</v>
      </c>
      <c r="AG388" t="b">
        <f>AND(IF(metadata!E388="",FALSE,TRUE),EXACT(metadata!E388,"Host-associated"))</f>
        <v>0</v>
      </c>
      <c r="AH388" t="b">
        <f>AND(IF(metadata!F388="",FALSE,TRUE),OR(EXACT(metadata!F388,"Animal"),EXACT(metadata!F388,"Fungus"),EXACT(metadata!F388,"Plant")))</f>
        <v>0</v>
      </c>
      <c r="AI388" t="b">
        <f>AND(IF(metadata!G388="",FALSE,TRUE),OR(EXACT(metadata!G388,"Plant secretion"),EXACT(metadata!G388,"Plant rhizosphere"),EXACT(metadata!G388,"Plant surface"),EXACT(metadata!G388,"Plant corpus"),EXACT(metadata!G388,"Fungus surface"),EXACT(metadata!G388,"Fungus corpus"),EXACT(metadata!G388,"Animal surface"),EXACT(metadata!G388,"Animal proximal gut"),EXACT(metadata!G388,"Animal corpus"),EXACT(metadata!G388,"Animal distal gut"),EXACT(metadata!G388,"Animal secretion")))</f>
        <v>0</v>
      </c>
      <c r="AJ388" t="b">
        <f>OR(AND(IF(metadata!H388="",FALSE,TRUE),OR(EXACT(metadata!H388,"missing: not collected"),EXACT(metadata!H388,"missing: not provided"),EXACT(metadata!H388,"missing: restricted access"))),AND(IF(metadata!H388="",FALSE,TRUE),OR(EXACT(metadata!H388,"organism-associated habitat"),EXACT(metadata!H388,"plant-associated habitat"),EXACT(metadata!H388,"animal-associated habitat"),EXACT(metadata!H388,"insecta-associated habitat"),EXACT(metadata!H388,"mammalia-associated habitat"),EXACT(metadata!H388,"human-associated habitat"),EXACT(metadata!H388,"livestock-associated habitat"))))</f>
        <v>0</v>
      </c>
      <c r="AK388" t="b">
        <f>AND(IF(metadata!I388="",FALSE,TRUE),EXACT(metadata!I388,"host-associated"))</f>
        <v>0</v>
      </c>
      <c r="AL388" t="b">
        <f>OR(AND(IF(metadata!J388="",FALSE,TRUE),OR(EXACT(metadata!J388,"not applicable"),EXACT(metadata!J388,"missing: not collected"),EXACT(metadata!J388,"missing: not provided"),EXACT(metadata!J388,"missing: restricted access"))),AND(IF(metadata!J388="",FALSE,ISNUMBER(VALUE(metadata!J388))),metadata!J388&gt;0))</f>
        <v>0</v>
      </c>
      <c r="AM388" t="b">
        <f>AND(IF(metadata!K388="",FALSE,TRUE),EXACT(metadata!K388,"missing: not provided"))</f>
        <v>0</v>
      </c>
      <c r="AN388" t="b">
        <f>IF(metadata!L388="",FALSE,TRUE)</f>
        <v>0</v>
      </c>
      <c r="AO388" t="b">
        <f>IF(metadata!M388="",FALSE,TRUE)</f>
        <v>0</v>
      </c>
      <c r="AP388" t="b">
        <f>OR(AND(IF(metadata!N388="",FALSE,TRUE),OR(EXACT(metadata!N388,"not applicable"),EXACT(metadata!N388,"missing: not collected"),EXACT(metadata!N388,"missing: not provided"))),AND(IF(metadata!N388="",FALSE,IF(ISERROR(INT(metadata!N388)),FALSE,INT(metadata!N388)=metadata!N388)),metadata!N388&gt;0))</f>
        <v>0</v>
      </c>
      <c r="AQ388" t="b">
        <f>AND(IF(metadata!O388="",FALSE,TRUE),EXACT(metadata!O388,"Not applicable"))</f>
        <v>0</v>
      </c>
      <c r="AR388" t="b">
        <f>OR(AND(IF(metadata!P388="",FALSE,TRUE),OR(EXACT(metadata!P388,"not applicable"),EXACT(metadata!P388,"missing: not collected"),EXACT(metadata!P388,"missing: not provided"),EXACT(metadata!P388,"missing: restricted access"))),IF(metadata!P388="",FALSE,IF(ISERROR(INT(metadata!P388)),FALSE,INT(metadata!P388)=metadata!P388)))</f>
        <v>0</v>
      </c>
      <c r="AS388" t="b">
        <f>AND(IF(metadata!Q388="",FALSE,TRUE),EXACT(metadata!Q388,"Not applicable"))</f>
        <v>0</v>
      </c>
      <c r="AT388" t="b">
        <f>OR(AND(IF(metadata!R388="",FALSE,TRUE),OR(EXACT(metadata!R388,"not applicable"),EXACT(metadata!R388,"missing: not collected"),EXACT(metadata!R388,"missing: not provided"),EXACT(metadata!R388,"missing: restricted access"))),AND(IF(metadata!R388="",FALSE,ISNUMBER(VALUE(metadata!R388))),metadata!R388&gt;0))</f>
        <v>0</v>
      </c>
      <c r="AU388" t="b">
        <f>AND(IF(metadata!S388="",FALSE,TRUE),EXACT(metadata!S388,"missing: not provided"))</f>
        <v>0</v>
      </c>
    </row>
    <row r="389" spans="1:47" x14ac:dyDescent="0.2">
      <c r="A389" s="5" t="str">
        <f ca="1">IF(B389=" "," ",HYPERLINK(CONCATENATE("#metadata!",ADDRESS(INDEX($Y$2:$Y$1001,MATCH(ROWS($W$2:W389),$W$2:$W$1001,0),0),1)),INDEX($AB$2:$AB$1001,MATCH(ROWS($W$2:W389),$W$2:$W$1001,0),0)))</f>
        <v xml:space="preserve"> </v>
      </c>
      <c r="B389" s="4" t="str">
        <f ca="1">IF(OR(INDEX($X$2:$X$1001,MATCH(ROWS($W$2:W389),$W$2:$W$1001,0),1)&gt;=100000,INDEX($AD$1005:$AU$1005,1,MATCH(COLUMNS($AD$1006:AD1006),$AD$1006:$AU$1006,0))&gt;=100000), " ",IF(INDEX($AD$2:$AU$1001,MATCH(ROWS($W$2:W389),$W$2:$W$1001,0),MATCH(COLUMNS($AD$1006:AD1006),$AD$1006:$AU$1006,0)), HYPERLINK("#",""), HYPERLINK(CONCATENATE("#metadata!", ADDRESS(INDEX($Y$2:$Y$1001,MATCH(ROWS($W$2:W389),$W$2:$W$1001,0),0), INDEX($AD$1004:$AU$1004,1,MATCH(COLUMNS($AD$1006:AD1006),$AD$1006:$AU$1006,0)))),"Fix")))</f>
        <v xml:space="preserve"> </v>
      </c>
      <c r="C389" s="4" t="str">
        <f ca="1">IF(OR(INDEX($X$2:$X$1001,MATCH(ROWS($W$2:W389),$W$2:$W$1001,0),1)&gt;=100000,INDEX($AD$1005:$AU$1005,1,MATCH(COLUMNS($AD$1006:AE1006),$AD$1006:$AU$1006,0))&gt;=100000), " ",IF(INDEX($AD$2:$AU$1001,MATCH(ROWS($W$2:W389),$W$2:$W$1001,0),MATCH(COLUMNS($AD$1006:AE1006),$AD$1006:$AU$1006,0)), HYPERLINK("#",""), HYPERLINK(CONCATENATE("#metadata!", ADDRESS(INDEX($Y$2:$Y$1001,MATCH(ROWS($W$2:W389),$W$2:$W$1001,0),0), INDEX($AD$1004:$AU$1004,1,MATCH(COLUMNS($AD$1006:AE1006),$AD$1006:$AU$1006,0)))),"Fix")))</f>
        <v xml:space="preserve"> </v>
      </c>
      <c r="D389" s="4" t="str">
        <f ca="1">IF(OR(INDEX($X$2:$X$1001,MATCH(ROWS($W$2:W389),$W$2:$W$1001,0),1)&gt;=100000,INDEX($AD$1005:$AU$1005,1,MATCH(COLUMNS($AD$1006:AF1006),$AD$1006:$AU$1006,0))&gt;=100000), " ",IF(INDEX($AD$2:$AU$1001,MATCH(ROWS($W$2:W389),$W$2:$W$1001,0),MATCH(COLUMNS($AD$1006:AF1006),$AD$1006:$AU$1006,0)), HYPERLINK("#",""), HYPERLINK(CONCATENATE("#metadata!", ADDRESS(INDEX($Y$2:$Y$1001,MATCH(ROWS($W$2:W389),$W$2:$W$1001,0),0), INDEX($AD$1004:$AU$1004,1,MATCH(COLUMNS($AD$1006:AF1006),$AD$1006:$AU$1006,0)))),"Fix")))</f>
        <v xml:space="preserve"> </v>
      </c>
      <c r="E389" s="4" t="str">
        <f ca="1">IF(OR(INDEX($X$2:$X$1001,MATCH(ROWS($W$2:W389),$W$2:$W$1001,0),1)&gt;=100000,INDEX($AD$1005:$AU$1005,1,MATCH(COLUMNS($AD$1006:AG1006),$AD$1006:$AU$1006,0))&gt;=100000), " ",IF(INDEX($AD$2:$AU$1001,MATCH(ROWS($W$2:W389),$W$2:$W$1001,0),MATCH(COLUMNS($AD$1006:AG1006),$AD$1006:$AU$1006,0)), HYPERLINK("#",""), HYPERLINK(CONCATENATE("#metadata!", ADDRESS(INDEX($Y$2:$Y$1001,MATCH(ROWS($W$2:W389),$W$2:$W$1001,0),0), INDEX($AD$1004:$AU$1004,1,MATCH(COLUMNS($AD$1006:AG1006),$AD$1006:$AU$1006,0)))),"Fix")))</f>
        <v xml:space="preserve"> </v>
      </c>
      <c r="F389" s="4" t="str">
        <f ca="1">IF(OR(INDEX($X$2:$X$1001,MATCH(ROWS($W$2:W389),$W$2:$W$1001,0),1)&gt;=100000,INDEX($AD$1005:$AU$1005,1,MATCH(COLUMNS($AD$1006:AH1006),$AD$1006:$AU$1006,0))&gt;=100000), " ",IF(INDEX($AD$2:$AU$1001,MATCH(ROWS($W$2:W389),$W$2:$W$1001,0),MATCH(COLUMNS($AD$1006:AH1006),$AD$1006:$AU$1006,0)), HYPERLINK("#",""), HYPERLINK(CONCATENATE("#metadata!", ADDRESS(INDEX($Y$2:$Y$1001,MATCH(ROWS($W$2:W389),$W$2:$W$1001,0),0), INDEX($AD$1004:$AU$1004,1,MATCH(COLUMNS($AD$1006:AH1006),$AD$1006:$AU$1006,0)))),"Fix")))</f>
        <v xml:space="preserve"> </v>
      </c>
      <c r="G389" s="4" t="str">
        <f ca="1">IF(OR(INDEX($X$2:$X$1001,MATCH(ROWS($W$2:W389),$W$2:$W$1001,0),1)&gt;=100000,INDEX($AD$1005:$AU$1005,1,MATCH(COLUMNS($AD$1006:AI1006),$AD$1006:$AU$1006,0))&gt;=100000), " ",IF(INDEX($AD$2:$AU$1001,MATCH(ROWS($W$2:W389),$W$2:$W$1001,0),MATCH(COLUMNS($AD$1006:AI1006),$AD$1006:$AU$1006,0)), HYPERLINK("#",""), HYPERLINK(CONCATENATE("#metadata!", ADDRESS(INDEX($Y$2:$Y$1001,MATCH(ROWS($W$2:W389),$W$2:$W$1001,0),0), INDEX($AD$1004:$AU$1004,1,MATCH(COLUMNS($AD$1006:AI1006),$AD$1006:$AU$1006,0)))),"Fix")))</f>
        <v xml:space="preserve"> </v>
      </c>
      <c r="H389" s="4" t="str">
        <f ca="1">IF(OR(INDEX($X$2:$X$1001,MATCH(ROWS($W$2:W389),$W$2:$W$1001,0),1)&gt;=100000,INDEX($AD$1005:$AU$1005,1,MATCH(COLUMNS($AD$1006:AJ1006),$AD$1006:$AU$1006,0))&gt;=100000), " ",IF(INDEX($AD$2:$AU$1001,MATCH(ROWS($W$2:W389),$W$2:$W$1001,0),MATCH(COLUMNS($AD$1006:AJ1006),$AD$1006:$AU$1006,0)), HYPERLINK("#",""), HYPERLINK(CONCATENATE("#metadata!", ADDRESS(INDEX($Y$2:$Y$1001,MATCH(ROWS($W$2:W389),$W$2:$W$1001,0),0), INDEX($AD$1004:$AU$1004,1,MATCH(COLUMNS($AD$1006:AJ1006),$AD$1006:$AU$1006,0)))),"Fix")))</f>
        <v xml:space="preserve"> </v>
      </c>
      <c r="I389" s="4" t="str">
        <f ca="1">IF(OR(INDEX($X$2:$X$1001,MATCH(ROWS($W$2:W389),$W$2:$W$1001,0),1)&gt;=100000,INDEX($AD$1005:$AU$1005,1,MATCH(COLUMNS($AD$1006:AK1006),$AD$1006:$AU$1006,0))&gt;=100000), " ",IF(INDEX($AD$2:$AU$1001,MATCH(ROWS($W$2:W389),$W$2:$W$1001,0),MATCH(COLUMNS($AD$1006:AK1006),$AD$1006:$AU$1006,0)), HYPERLINK("#",""), HYPERLINK(CONCATENATE("#metadata!", ADDRESS(INDEX($Y$2:$Y$1001,MATCH(ROWS($W$2:W389),$W$2:$W$1001,0),0), INDEX($AD$1004:$AU$1004,1,MATCH(COLUMNS($AD$1006:AK1006),$AD$1006:$AU$1006,0)))),"Fix")))</f>
        <v xml:space="preserve"> </v>
      </c>
      <c r="J389" s="4" t="str">
        <f ca="1">IF(OR(INDEX($X$2:$X$1001,MATCH(ROWS($W$2:W389),$W$2:$W$1001,0),1)&gt;=100000,INDEX($AD$1005:$AU$1005,1,MATCH(COLUMNS($AD$1006:AL1006),$AD$1006:$AU$1006,0))&gt;=100000), " ",IF(INDEX($AD$2:$AU$1001,MATCH(ROWS($W$2:W389),$W$2:$W$1001,0),MATCH(COLUMNS($AD$1006:AL1006),$AD$1006:$AU$1006,0)), HYPERLINK("#",""), HYPERLINK(CONCATENATE("#metadata!", ADDRESS(INDEX($Y$2:$Y$1001,MATCH(ROWS($W$2:W389),$W$2:$W$1001,0),0), INDEX($AD$1004:$AU$1004,1,MATCH(COLUMNS($AD$1006:AL1006),$AD$1006:$AU$1006,0)))),"Fix")))</f>
        <v xml:space="preserve"> </v>
      </c>
      <c r="K389" s="4" t="str">
        <f ca="1">IF(OR(INDEX($X$2:$X$1001,MATCH(ROWS($W$2:W389),$W$2:$W$1001,0),1)&gt;=100000,INDEX($AD$1005:$AU$1005,1,MATCH(COLUMNS($AD$1006:AM1006),$AD$1006:$AU$1006,0))&gt;=100000), " ",IF(INDEX($AD$2:$AU$1001,MATCH(ROWS($W$2:W389),$W$2:$W$1001,0),MATCH(COLUMNS($AD$1006:AM1006),$AD$1006:$AU$1006,0)), HYPERLINK("#",""), HYPERLINK(CONCATENATE("#metadata!", ADDRESS(INDEX($Y$2:$Y$1001,MATCH(ROWS($W$2:W389),$W$2:$W$1001,0),0), INDEX($AD$1004:$AU$1004,1,MATCH(COLUMNS($AD$1006:AM1006),$AD$1006:$AU$1006,0)))),"Fix")))</f>
        <v xml:space="preserve"> </v>
      </c>
      <c r="L389" s="4" t="str">
        <f ca="1">IF(OR(INDEX($X$2:$X$1001,MATCH(ROWS($W$2:W389),$W$2:$W$1001,0),1)&gt;=100000,INDEX($AD$1005:$AU$1005,1,MATCH(COLUMNS($AD$1006:AN1006),$AD$1006:$AU$1006,0))&gt;=100000), " ",IF(INDEX($AD$2:$AU$1001,MATCH(ROWS($W$2:W389),$W$2:$W$1001,0),MATCH(COLUMNS($AD$1006:AN1006),$AD$1006:$AU$1006,0)), HYPERLINK("#",""), HYPERLINK(CONCATENATE("#metadata!", ADDRESS(INDEX($Y$2:$Y$1001,MATCH(ROWS($W$2:W389),$W$2:$W$1001,0),0), INDEX($AD$1004:$AU$1004,1,MATCH(COLUMNS($AD$1006:AN1006),$AD$1006:$AU$1006,0)))),"Fix")))</f>
        <v xml:space="preserve"> </v>
      </c>
      <c r="M389" s="4" t="str">
        <f ca="1">IF(OR(INDEX($X$2:$X$1001,MATCH(ROWS($W$2:W389),$W$2:$W$1001,0),1)&gt;=100000,INDEX($AD$1005:$AU$1005,1,MATCH(COLUMNS($AD$1006:AO1006),$AD$1006:$AU$1006,0))&gt;=100000), " ",IF(INDEX($AD$2:$AU$1001,MATCH(ROWS($W$2:W389),$W$2:$W$1001,0),MATCH(COLUMNS($AD$1006:AO1006),$AD$1006:$AU$1006,0)), HYPERLINK("#",""), HYPERLINK(CONCATENATE("#metadata!", ADDRESS(INDEX($Y$2:$Y$1001,MATCH(ROWS($W$2:W389),$W$2:$W$1001,0),0), INDEX($AD$1004:$AU$1004,1,MATCH(COLUMNS($AD$1006:AO1006),$AD$1006:$AU$1006,0)))),"Fix")))</f>
        <v xml:space="preserve"> </v>
      </c>
      <c r="N389" s="4" t="str">
        <f ca="1">IF(OR(INDEX($X$2:$X$1001,MATCH(ROWS($W$2:W389),$W$2:$W$1001,0),1)&gt;=100000,INDEX($AD$1005:$AU$1005,1,MATCH(COLUMNS($AD$1006:AP1006),$AD$1006:$AU$1006,0))&gt;=100000), " ",IF(INDEX($AD$2:$AU$1001,MATCH(ROWS($W$2:W389),$W$2:$W$1001,0),MATCH(COLUMNS($AD$1006:AP1006),$AD$1006:$AU$1006,0)), HYPERLINK("#",""), HYPERLINK(CONCATENATE("#metadata!", ADDRESS(INDEX($Y$2:$Y$1001,MATCH(ROWS($W$2:W389),$W$2:$W$1001,0),0), INDEX($AD$1004:$AU$1004,1,MATCH(COLUMNS($AD$1006:AP1006),$AD$1006:$AU$1006,0)))),"Fix")))</f>
        <v xml:space="preserve"> </v>
      </c>
      <c r="O389" s="4" t="str">
        <f ca="1">IF(OR(INDEX($X$2:$X$1001,MATCH(ROWS($W$2:W389),$W$2:$W$1001,0),1)&gt;=100000,INDEX($AD$1005:$AU$1005,1,MATCH(COLUMNS($AD$1006:AQ1006),$AD$1006:$AU$1006,0))&gt;=100000), " ",IF(INDEX($AD$2:$AU$1001,MATCH(ROWS($W$2:W389),$W$2:$W$1001,0),MATCH(COLUMNS($AD$1006:AQ1006),$AD$1006:$AU$1006,0)), HYPERLINK("#",""), HYPERLINK(CONCATENATE("#metadata!", ADDRESS(INDEX($Y$2:$Y$1001,MATCH(ROWS($W$2:W389),$W$2:$W$1001,0),0), INDEX($AD$1004:$AU$1004,1,MATCH(COLUMNS($AD$1006:AQ1006),$AD$1006:$AU$1006,0)))),"Fix")))</f>
        <v xml:space="preserve"> </v>
      </c>
      <c r="P389" s="4" t="str">
        <f ca="1">IF(OR(INDEX($X$2:$X$1001,MATCH(ROWS($W$2:W389),$W$2:$W$1001,0),1)&gt;=100000,INDEX($AD$1005:$AU$1005,1,MATCH(COLUMNS($AD$1006:AR1006),$AD$1006:$AU$1006,0))&gt;=100000), " ",IF(INDEX($AD$2:$AU$1001,MATCH(ROWS($W$2:W389),$W$2:$W$1001,0),MATCH(COLUMNS($AD$1006:AR1006),$AD$1006:$AU$1006,0)), HYPERLINK("#",""), HYPERLINK(CONCATENATE("#metadata!", ADDRESS(INDEX($Y$2:$Y$1001,MATCH(ROWS($W$2:W389),$W$2:$W$1001,0),0), INDEX($AD$1004:$AU$1004,1,MATCH(COLUMNS($AD$1006:AR1006),$AD$1006:$AU$1006,0)))),"Fix")))</f>
        <v xml:space="preserve"> </v>
      </c>
      <c r="Q389" s="4" t="str">
        <f ca="1">IF(OR(INDEX($X$2:$X$1001,MATCH(ROWS($W$2:W389),$W$2:$W$1001,0),1)&gt;=100000,INDEX($AD$1005:$AU$1005,1,MATCH(COLUMNS($AD$1006:AS1006),$AD$1006:$AU$1006,0))&gt;=100000), " ",IF(INDEX($AD$2:$AU$1001,MATCH(ROWS($W$2:W389),$W$2:$W$1001,0),MATCH(COLUMNS($AD$1006:AS1006),$AD$1006:$AU$1006,0)), HYPERLINK("#",""), HYPERLINK(CONCATENATE("#metadata!", ADDRESS(INDEX($Y$2:$Y$1001,MATCH(ROWS($W$2:W389),$W$2:$W$1001,0),0), INDEX($AD$1004:$AU$1004,1,MATCH(COLUMNS($AD$1006:AS1006),$AD$1006:$AU$1006,0)))),"Fix")))</f>
        <v xml:space="preserve"> </v>
      </c>
      <c r="R389" s="4" t="str">
        <f ca="1">IF(OR(INDEX($X$2:$X$1001,MATCH(ROWS($W$2:W389),$W$2:$W$1001,0),1)&gt;=100000,INDEX($AD$1005:$AU$1005,1,MATCH(COLUMNS($AD$1006:AT1006),$AD$1006:$AU$1006,0))&gt;=100000), " ",IF(INDEX($AD$2:$AU$1001,MATCH(ROWS($W$2:W389),$W$2:$W$1001,0),MATCH(COLUMNS($AD$1006:AT1006),$AD$1006:$AU$1006,0)), HYPERLINK("#",""), HYPERLINK(CONCATENATE("#metadata!", ADDRESS(INDEX($Y$2:$Y$1001,MATCH(ROWS($W$2:W389),$W$2:$W$1001,0),0), INDEX($AD$1004:$AU$1004,1,MATCH(COLUMNS($AD$1006:AT1006),$AD$1006:$AU$1006,0)))),"Fix")))</f>
        <v xml:space="preserve"> </v>
      </c>
      <c r="S389" s="4" t="str">
        <f ca="1">IF(OR(INDEX($X$2:$X$1001,MATCH(ROWS($W$2:W389),$W$2:$W$1001,0),1)&gt;=100000,INDEX($AD$1005:$AU$1005,1,MATCH(COLUMNS($AD$1006:AU1006),$AD$1006:$AU$1006,0))&gt;=100000), " ",IF(INDEX($AD$2:$AU$1001,MATCH(ROWS($W$2:W389),$W$2:$W$1001,0),MATCH(COLUMNS($AD$1006:AU1006),$AD$1006:$AU$1006,0)), HYPERLINK("#",""), HYPERLINK(CONCATENATE("#metadata!", ADDRESS(INDEX($Y$2:$Y$1001,MATCH(ROWS($W$2:W389),$W$2:$W$1001,0),0), INDEX($AD$1004:$AU$1004,1,MATCH(COLUMNS($AD$1006:AU1006),$AD$1006:$AU$1006,0)))),"Fix")))</f>
        <v xml:space="preserve"> </v>
      </c>
      <c r="W389">
        <v>388</v>
      </c>
      <c r="X389">
        <v>100389</v>
      </c>
      <c r="Y389">
        <v>389</v>
      </c>
      <c r="Z389" t="b">
        <f t="shared" si="6"/>
        <v>1</v>
      </c>
      <c r="AA389" t="b">
        <f>COUNTBLANK(metadata!B389:S389)=COLUMNS(metadata!B389:S389)</f>
        <v>1</v>
      </c>
      <c r="AB389" t="str">
        <v/>
      </c>
      <c r="AD389" t="b">
        <f ca="1">AND(IF(metadata!B389="",FALSE,TRUE),COUNTIF(metadata!B:B, metadata!B389) = 1,NOT(ISERROR(SUMPRODUCT(SEARCH(MID(metadata!B389,ROW(INDIRECT("1:"&amp;LEN(metadata!B389))), 1),"0123456789abcdefghijklmnopqrstuvwxyzABCDEFGHIJKLMNOPQRSTUVWXYZ.")))))</f>
        <v>0</v>
      </c>
      <c r="AE389" t="b">
        <f>OR(AND(IF(metadata!C389="",FALSE,TRUE),OR(EXACT(metadata!C389,"not applicable"),EXACT(metadata!C389,"missing: not collected"),EXACT(metadata!C389,"missing: not provided"),EXACT(metadata!C389,"missing: restricted access"))),AND(IF(metadata!C389="",FALSE,ISNUMBER(VALUE(metadata!C389))),metadata!C389&gt;0))</f>
        <v>0</v>
      </c>
      <c r="AF389" t="b">
        <f>AND(IF(metadata!D389="",FALSE,TRUE),EXACT(metadata!D389,"missing: not provided"))</f>
        <v>0</v>
      </c>
      <c r="AG389" t="b">
        <f>AND(IF(metadata!E389="",FALSE,TRUE),EXACT(metadata!E389,"Host-associated"))</f>
        <v>0</v>
      </c>
      <c r="AH389" t="b">
        <f>AND(IF(metadata!F389="",FALSE,TRUE),OR(EXACT(metadata!F389,"Animal"),EXACT(metadata!F389,"Fungus"),EXACT(metadata!F389,"Plant")))</f>
        <v>0</v>
      </c>
      <c r="AI389" t="b">
        <f>AND(IF(metadata!G389="",FALSE,TRUE),OR(EXACT(metadata!G389,"Plant secretion"),EXACT(metadata!G389,"Plant rhizosphere"),EXACT(metadata!G389,"Plant surface"),EXACT(metadata!G389,"Plant corpus"),EXACT(metadata!G389,"Fungus surface"),EXACT(metadata!G389,"Fungus corpus"),EXACT(metadata!G389,"Animal surface"),EXACT(metadata!G389,"Animal proximal gut"),EXACT(metadata!G389,"Animal corpus"),EXACT(metadata!G389,"Animal distal gut"),EXACT(metadata!G389,"Animal secretion")))</f>
        <v>0</v>
      </c>
      <c r="AJ389" t="b">
        <f>OR(AND(IF(metadata!H389="",FALSE,TRUE),OR(EXACT(metadata!H389,"missing: not collected"),EXACT(metadata!H389,"missing: not provided"),EXACT(metadata!H389,"missing: restricted access"))),AND(IF(metadata!H389="",FALSE,TRUE),OR(EXACT(metadata!H389,"organism-associated habitat"),EXACT(metadata!H389,"plant-associated habitat"),EXACT(metadata!H389,"animal-associated habitat"),EXACT(metadata!H389,"insecta-associated habitat"),EXACT(metadata!H389,"mammalia-associated habitat"),EXACT(metadata!H389,"human-associated habitat"),EXACT(metadata!H389,"livestock-associated habitat"))))</f>
        <v>0</v>
      </c>
      <c r="AK389" t="b">
        <f>AND(IF(metadata!I389="",FALSE,TRUE),EXACT(metadata!I389,"host-associated"))</f>
        <v>0</v>
      </c>
      <c r="AL389" t="b">
        <f>OR(AND(IF(metadata!J389="",FALSE,TRUE),OR(EXACT(metadata!J389,"not applicable"),EXACT(metadata!J389,"missing: not collected"),EXACT(metadata!J389,"missing: not provided"),EXACT(metadata!J389,"missing: restricted access"))),AND(IF(metadata!J389="",FALSE,ISNUMBER(VALUE(metadata!J389))),metadata!J389&gt;0))</f>
        <v>0</v>
      </c>
      <c r="AM389" t="b">
        <f>AND(IF(metadata!K389="",FALSE,TRUE),EXACT(metadata!K389,"missing: not provided"))</f>
        <v>0</v>
      </c>
      <c r="AN389" t="b">
        <f>IF(metadata!L389="",FALSE,TRUE)</f>
        <v>0</v>
      </c>
      <c r="AO389" t="b">
        <f>IF(metadata!M389="",FALSE,TRUE)</f>
        <v>0</v>
      </c>
      <c r="AP389" t="b">
        <f>OR(AND(IF(metadata!N389="",FALSE,TRUE),OR(EXACT(metadata!N389,"not applicable"),EXACT(metadata!N389,"missing: not collected"),EXACT(metadata!N389,"missing: not provided"))),AND(IF(metadata!N389="",FALSE,IF(ISERROR(INT(metadata!N389)),FALSE,INT(metadata!N389)=metadata!N389)),metadata!N389&gt;0))</f>
        <v>0</v>
      </c>
      <c r="AQ389" t="b">
        <f>AND(IF(metadata!O389="",FALSE,TRUE),EXACT(metadata!O389,"Not applicable"))</f>
        <v>0</v>
      </c>
      <c r="AR389" t="b">
        <f>OR(AND(IF(metadata!P389="",FALSE,TRUE),OR(EXACT(metadata!P389,"not applicable"),EXACT(metadata!P389,"missing: not collected"),EXACT(metadata!P389,"missing: not provided"),EXACT(metadata!P389,"missing: restricted access"))),IF(metadata!P389="",FALSE,IF(ISERROR(INT(metadata!P389)),FALSE,INT(metadata!P389)=metadata!P389)))</f>
        <v>0</v>
      </c>
      <c r="AS389" t="b">
        <f>AND(IF(metadata!Q389="",FALSE,TRUE),EXACT(metadata!Q389,"Not applicable"))</f>
        <v>0</v>
      </c>
      <c r="AT389" t="b">
        <f>OR(AND(IF(metadata!R389="",FALSE,TRUE),OR(EXACT(metadata!R389,"not applicable"),EXACT(metadata!R389,"missing: not collected"),EXACT(metadata!R389,"missing: not provided"),EXACT(metadata!R389,"missing: restricted access"))),AND(IF(metadata!R389="",FALSE,ISNUMBER(VALUE(metadata!R389))),metadata!R389&gt;0))</f>
        <v>0</v>
      </c>
      <c r="AU389" t="b">
        <f>AND(IF(metadata!S389="",FALSE,TRUE),EXACT(metadata!S389,"missing: not provided"))</f>
        <v>0</v>
      </c>
    </row>
    <row r="390" spans="1:47" x14ac:dyDescent="0.2">
      <c r="A390" s="5" t="str">
        <f ca="1">IF(B390=" "," ",HYPERLINK(CONCATENATE("#metadata!",ADDRESS(INDEX($Y$2:$Y$1001,MATCH(ROWS($W$2:W390),$W$2:$W$1001,0),0),1)),INDEX($AB$2:$AB$1001,MATCH(ROWS($W$2:W390),$W$2:$W$1001,0),0)))</f>
        <v xml:space="preserve"> </v>
      </c>
      <c r="B390" s="4" t="str">
        <f ca="1">IF(OR(INDEX($X$2:$X$1001,MATCH(ROWS($W$2:W390),$W$2:$W$1001,0),1)&gt;=100000,INDEX($AD$1005:$AU$1005,1,MATCH(COLUMNS($AD$1006:AD1006),$AD$1006:$AU$1006,0))&gt;=100000), " ",IF(INDEX($AD$2:$AU$1001,MATCH(ROWS($W$2:W390),$W$2:$W$1001,0),MATCH(COLUMNS($AD$1006:AD1006),$AD$1006:$AU$1006,0)), HYPERLINK("#",""), HYPERLINK(CONCATENATE("#metadata!", ADDRESS(INDEX($Y$2:$Y$1001,MATCH(ROWS($W$2:W390),$W$2:$W$1001,0),0), INDEX($AD$1004:$AU$1004,1,MATCH(COLUMNS($AD$1006:AD1006),$AD$1006:$AU$1006,0)))),"Fix")))</f>
        <v xml:space="preserve"> </v>
      </c>
      <c r="C390" s="4" t="str">
        <f ca="1">IF(OR(INDEX($X$2:$X$1001,MATCH(ROWS($W$2:W390),$W$2:$W$1001,0),1)&gt;=100000,INDEX($AD$1005:$AU$1005,1,MATCH(COLUMNS($AD$1006:AE1006),$AD$1006:$AU$1006,0))&gt;=100000), " ",IF(INDEX($AD$2:$AU$1001,MATCH(ROWS($W$2:W390),$W$2:$W$1001,0),MATCH(COLUMNS($AD$1006:AE1006),$AD$1006:$AU$1006,0)), HYPERLINK("#",""), HYPERLINK(CONCATENATE("#metadata!", ADDRESS(INDEX($Y$2:$Y$1001,MATCH(ROWS($W$2:W390),$W$2:$W$1001,0),0), INDEX($AD$1004:$AU$1004,1,MATCH(COLUMNS($AD$1006:AE1006),$AD$1006:$AU$1006,0)))),"Fix")))</f>
        <v xml:space="preserve"> </v>
      </c>
      <c r="D390" s="4" t="str">
        <f ca="1">IF(OR(INDEX($X$2:$X$1001,MATCH(ROWS($W$2:W390),$W$2:$W$1001,0),1)&gt;=100000,INDEX($AD$1005:$AU$1005,1,MATCH(COLUMNS($AD$1006:AF1006),$AD$1006:$AU$1006,0))&gt;=100000), " ",IF(INDEX($AD$2:$AU$1001,MATCH(ROWS($W$2:W390),$W$2:$W$1001,0),MATCH(COLUMNS($AD$1006:AF1006),$AD$1006:$AU$1006,0)), HYPERLINK("#",""), HYPERLINK(CONCATENATE("#metadata!", ADDRESS(INDEX($Y$2:$Y$1001,MATCH(ROWS($W$2:W390),$W$2:$W$1001,0),0), INDEX($AD$1004:$AU$1004,1,MATCH(COLUMNS($AD$1006:AF1006),$AD$1006:$AU$1006,0)))),"Fix")))</f>
        <v xml:space="preserve"> </v>
      </c>
      <c r="E390" s="4" t="str">
        <f ca="1">IF(OR(INDEX($X$2:$X$1001,MATCH(ROWS($W$2:W390),$W$2:$W$1001,0),1)&gt;=100000,INDEX($AD$1005:$AU$1005,1,MATCH(COLUMNS($AD$1006:AG1006),$AD$1006:$AU$1006,0))&gt;=100000), " ",IF(INDEX($AD$2:$AU$1001,MATCH(ROWS($W$2:W390),$W$2:$W$1001,0),MATCH(COLUMNS($AD$1006:AG1006),$AD$1006:$AU$1006,0)), HYPERLINK("#",""), HYPERLINK(CONCATENATE("#metadata!", ADDRESS(INDEX($Y$2:$Y$1001,MATCH(ROWS($W$2:W390),$W$2:$W$1001,0),0), INDEX($AD$1004:$AU$1004,1,MATCH(COLUMNS($AD$1006:AG1006),$AD$1006:$AU$1006,0)))),"Fix")))</f>
        <v xml:space="preserve"> </v>
      </c>
      <c r="F390" s="4" t="str">
        <f ca="1">IF(OR(INDEX($X$2:$X$1001,MATCH(ROWS($W$2:W390),$W$2:$W$1001,0),1)&gt;=100000,INDEX($AD$1005:$AU$1005,1,MATCH(COLUMNS($AD$1006:AH1006),$AD$1006:$AU$1006,0))&gt;=100000), " ",IF(INDEX($AD$2:$AU$1001,MATCH(ROWS($W$2:W390),$W$2:$W$1001,0),MATCH(COLUMNS($AD$1006:AH1006),$AD$1006:$AU$1006,0)), HYPERLINK("#",""), HYPERLINK(CONCATENATE("#metadata!", ADDRESS(INDEX($Y$2:$Y$1001,MATCH(ROWS($W$2:W390),$W$2:$W$1001,0),0), INDEX($AD$1004:$AU$1004,1,MATCH(COLUMNS($AD$1006:AH1006),$AD$1006:$AU$1006,0)))),"Fix")))</f>
        <v xml:space="preserve"> </v>
      </c>
      <c r="G390" s="4" t="str">
        <f ca="1">IF(OR(INDEX($X$2:$X$1001,MATCH(ROWS($W$2:W390),$W$2:$W$1001,0),1)&gt;=100000,INDEX($AD$1005:$AU$1005,1,MATCH(COLUMNS($AD$1006:AI1006),$AD$1006:$AU$1006,0))&gt;=100000), " ",IF(INDEX($AD$2:$AU$1001,MATCH(ROWS($W$2:W390),$W$2:$W$1001,0),MATCH(COLUMNS($AD$1006:AI1006),$AD$1006:$AU$1006,0)), HYPERLINK("#",""), HYPERLINK(CONCATENATE("#metadata!", ADDRESS(INDEX($Y$2:$Y$1001,MATCH(ROWS($W$2:W390),$W$2:$W$1001,0),0), INDEX($AD$1004:$AU$1004,1,MATCH(COLUMNS($AD$1006:AI1006),$AD$1006:$AU$1006,0)))),"Fix")))</f>
        <v xml:space="preserve"> </v>
      </c>
      <c r="H390" s="4" t="str">
        <f ca="1">IF(OR(INDEX($X$2:$X$1001,MATCH(ROWS($W$2:W390),$W$2:$W$1001,0),1)&gt;=100000,INDEX($AD$1005:$AU$1005,1,MATCH(COLUMNS($AD$1006:AJ1006),$AD$1006:$AU$1006,0))&gt;=100000), " ",IF(INDEX($AD$2:$AU$1001,MATCH(ROWS($W$2:W390),$W$2:$W$1001,0),MATCH(COLUMNS($AD$1006:AJ1006),$AD$1006:$AU$1006,0)), HYPERLINK("#",""), HYPERLINK(CONCATENATE("#metadata!", ADDRESS(INDEX($Y$2:$Y$1001,MATCH(ROWS($W$2:W390),$W$2:$W$1001,0),0), INDEX($AD$1004:$AU$1004,1,MATCH(COLUMNS($AD$1006:AJ1006),$AD$1006:$AU$1006,0)))),"Fix")))</f>
        <v xml:space="preserve"> </v>
      </c>
      <c r="I390" s="4" t="str">
        <f ca="1">IF(OR(INDEX($X$2:$X$1001,MATCH(ROWS($W$2:W390),$W$2:$W$1001,0),1)&gt;=100000,INDEX($AD$1005:$AU$1005,1,MATCH(COLUMNS($AD$1006:AK1006),$AD$1006:$AU$1006,0))&gt;=100000), " ",IF(INDEX($AD$2:$AU$1001,MATCH(ROWS($W$2:W390),$W$2:$W$1001,0),MATCH(COLUMNS($AD$1006:AK1006),$AD$1006:$AU$1006,0)), HYPERLINK("#",""), HYPERLINK(CONCATENATE("#metadata!", ADDRESS(INDEX($Y$2:$Y$1001,MATCH(ROWS($W$2:W390),$W$2:$W$1001,0),0), INDEX($AD$1004:$AU$1004,1,MATCH(COLUMNS($AD$1006:AK1006),$AD$1006:$AU$1006,0)))),"Fix")))</f>
        <v xml:space="preserve"> </v>
      </c>
      <c r="J390" s="4" t="str">
        <f ca="1">IF(OR(INDEX($X$2:$X$1001,MATCH(ROWS($W$2:W390),$W$2:$W$1001,0),1)&gt;=100000,INDEX($AD$1005:$AU$1005,1,MATCH(COLUMNS($AD$1006:AL1006),$AD$1006:$AU$1006,0))&gt;=100000), " ",IF(INDEX($AD$2:$AU$1001,MATCH(ROWS($W$2:W390),$W$2:$W$1001,0),MATCH(COLUMNS($AD$1006:AL1006),$AD$1006:$AU$1006,0)), HYPERLINK("#",""), HYPERLINK(CONCATENATE("#metadata!", ADDRESS(INDEX($Y$2:$Y$1001,MATCH(ROWS($W$2:W390),$W$2:$W$1001,0),0), INDEX($AD$1004:$AU$1004,1,MATCH(COLUMNS($AD$1006:AL1006),$AD$1006:$AU$1006,0)))),"Fix")))</f>
        <v xml:space="preserve"> </v>
      </c>
      <c r="K390" s="4" t="str">
        <f ca="1">IF(OR(INDEX($X$2:$X$1001,MATCH(ROWS($W$2:W390),$W$2:$W$1001,0),1)&gt;=100000,INDEX($AD$1005:$AU$1005,1,MATCH(COLUMNS($AD$1006:AM1006),$AD$1006:$AU$1006,0))&gt;=100000), " ",IF(INDEX($AD$2:$AU$1001,MATCH(ROWS($W$2:W390),$W$2:$W$1001,0),MATCH(COLUMNS($AD$1006:AM1006),$AD$1006:$AU$1006,0)), HYPERLINK("#",""), HYPERLINK(CONCATENATE("#metadata!", ADDRESS(INDEX($Y$2:$Y$1001,MATCH(ROWS($W$2:W390),$W$2:$W$1001,0),0), INDEX($AD$1004:$AU$1004,1,MATCH(COLUMNS($AD$1006:AM1006),$AD$1006:$AU$1006,0)))),"Fix")))</f>
        <v xml:space="preserve"> </v>
      </c>
      <c r="L390" s="4" t="str">
        <f ca="1">IF(OR(INDEX($X$2:$X$1001,MATCH(ROWS($W$2:W390),$W$2:$W$1001,0),1)&gt;=100000,INDEX($AD$1005:$AU$1005,1,MATCH(COLUMNS($AD$1006:AN1006),$AD$1006:$AU$1006,0))&gt;=100000), " ",IF(INDEX($AD$2:$AU$1001,MATCH(ROWS($W$2:W390),$W$2:$W$1001,0),MATCH(COLUMNS($AD$1006:AN1006),$AD$1006:$AU$1006,0)), HYPERLINK("#",""), HYPERLINK(CONCATENATE("#metadata!", ADDRESS(INDEX($Y$2:$Y$1001,MATCH(ROWS($W$2:W390),$W$2:$W$1001,0),0), INDEX($AD$1004:$AU$1004,1,MATCH(COLUMNS($AD$1006:AN1006),$AD$1006:$AU$1006,0)))),"Fix")))</f>
        <v xml:space="preserve"> </v>
      </c>
      <c r="M390" s="4" t="str">
        <f ca="1">IF(OR(INDEX($X$2:$X$1001,MATCH(ROWS($W$2:W390),$W$2:$W$1001,0),1)&gt;=100000,INDEX($AD$1005:$AU$1005,1,MATCH(COLUMNS($AD$1006:AO1006),$AD$1006:$AU$1006,0))&gt;=100000), " ",IF(INDEX($AD$2:$AU$1001,MATCH(ROWS($W$2:W390),$W$2:$W$1001,0),MATCH(COLUMNS($AD$1006:AO1006),$AD$1006:$AU$1006,0)), HYPERLINK("#",""), HYPERLINK(CONCATENATE("#metadata!", ADDRESS(INDEX($Y$2:$Y$1001,MATCH(ROWS($W$2:W390),$W$2:$W$1001,0),0), INDEX($AD$1004:$AU$1004,1,MATCH(COLUMNS($AD$1006:AO1006),$AD$1006:$AU$1006,0)))),"Fix")))</f>
        <v xml:space="preserve"> </v>
      </c>
      <c r="N390" s="4" t="str">
        <f ca="1">IF(OR(INDEX($X$2:$X$1001,MATCH(ROWS($W$2:W390),$W$2:$W$1001,0),1)&gt;=100000,INDEX($AD$1005:$AU$1005,1,MATCH(COLUMNS($AD$1006:AP1006),$AD$1006:$AU$1006,0))&gt;=100000), " ",IF(INDEX($AD$2:$AU$1001,MATCH(ROWS($W$2:W390),$W$2:$W$1001,0),MATCH(COLUMNS($AD$1006:AP1006),$AD$1006:$AU$1006,0)), HYPERLINK("#",""), HYPERLINK(CONCATENATE("#metadata!", ADDRESS(INDEX($Y$2:$Y$1001,MATCH(ROWS($W$2:W390),$W$2:$W$1001,0),0), INDEX($AD$1004:$AU$1004,1,MATCH(COLUMNS($AD$1006:AP1006),$AD$1006:$AU$1006,0)))),"Fix")))</f>
        <v xml:space="preserve"> </v>
      </c>
      <c r="O390" s="4" t="str">
        <f ca="1">IF(OR(INDEX($X$2:$X$1001,MATCH(ROWS($W$2:W390),$W$2:$W$1001,0),1)&gt;=100000,INDEX($AD$1005:$AU$1005,1,MATCH(COLUMNS($AD$1006:AQ1006),$AD$1006:$AU$1006,0))&gt;=100000), " ",IF(INDEX($AD$2:$AU$1001,MATCH(ROWS($W$2:W390),$W$2:$W$1001,0),MATCH(COLUMNS($AD$1006:AQ1006),$AD$1006:$AU$1006,0)), HYPERLINK("#",""), HYPERLINK(CONCATENATE("#metadata!", ADDRESS(INDEX($Y$2:$Y$1001,MATCH(ROWS($W$2:W390),$W$2:$W$1001,0),0), INDEX($AD$1004:$AU$1004,1,MATCH(COLUMNS($AD$1006:AQ1006),$AD$1006:$AU$1006,0)))),"Fix")))</f>
        <v xml:space="preserve"> </v>
      </c>
      <c r="P390" s="4" t="str">
        <f ca="1">IF(OR(INDEX($X$2:$X$1001,MATCH(ROWS($W$2:W390),$W$2:$W$1001,0),1)&gt;=100000,INDEX($AD$1005:$AU$1005,1,MATCH(COLUMNS($AD$1006:AR1006),$AD$1006:$AU$1006,0))&gt;=100000), " ",IF(INDEX($AD$2:$AU$1001,MATCH(ROWS($W$2:W390),$W$2:$W$1001,0),MATCH(COLUMNS($AD$1006:AR1006),$AD$1006:$AU$1006,0)), HYPERLINK("#",""), HYPERLINK(CONCATENATE("#metadata!", ADDRESS(INDEX($Y$2:$Y$1001,MATCH(ROWS($W$2:W390),$W$2:$W$1001,0),0), INDEX($AD$1004:$AU$1004,1,MATCH(COLUMNS($AD$1006:AR1006),$AD$1006:$AU$1006,0)))),"Fix")))</f>
        <v xml:space="preserve"> </v>
      </c>
      <c r="Q390" s="4" t="str">
        <f ca="1">IF(OR(INDEX($X$2:$X$1001,MATCH(ROWS($W$2:W390),$W$2:$W$1001,0),1)&gt;=100000,INDEX($AD$1005:$AU$1005,1,MATCH(COLUMNS($AD$1006:AS1006),$AD$1006:$AU$1006,0))&gt;=100000), " ",IF(INDEX($AD$2:$AU$1001,MATCH(ROWS($W$2:W390),$W$2:$W$1001,0),MATCH(COLUMNS($AD$1006:AS1006),$AD$1006:$AU$1006,0)), HYPERLINK("#",""), HYPERLINK(CONCATENATE("#metadata!", ADDRESS(INDEX($Y$2:$Y$1001,MATCH(ROWS($W$2:W390),$W$2:$W$1001,0),0), INDEX($AD$1004:$AU$1004,1,MATCH(COLUMNS($AD$1006:AS1006),$AD$1006:$AU$1006,0)))),"Fix")))</f>
        <v xml:space="preserve"> </v>
      </c>
      <c r="R390" s="4" t="str">
        <f ca="1">IF(OR(INDEX($X$2:$X$1001,MATCH(ROWS($W$2:W390),$W$2:$W$1001,0),1)&gt;=100000,INDEX($AD$1005:$AU$1005,1,MATCH(COLUMNS($AD$1006:AT1006),$AD$1006:$AU$1006,0))&gt;=100000), " ",IF(INDEX($AD$2:$AU$1001,MATCH(ROWS($W$2:W390),$W$2:$W$1001,0),MATCH(COLUMNS($AD$1006:AT1006),$AD$1006:$AU$1006,0)), HYPERLINK("#",""), HYPERLINK(CONCATENATE("#metadata!", ADDRESS(INDEX($Y$2:$Y$1001,MATCH(ROWS($W$2:W390),$W$2:$W$1001,0),0), INDEX($AD$1004:$AU$1004,1,MATCH(COLUMNS($AD$1006:AT1006),$AD$1006:$AU$1006,0)))),"Fix")))</f>
        <v xml:space="preserve"> </v>
      </c>
      <c r="S390" s="4" t="str">
        <f ca="1">IF(OR(INDEX($X$2:$X$1001,MATCH(ROWS($W$2:W390),$W$2:$W$1001,0),1)&gt;=100000,INDEX($AD$1005:$AU$1005,1,MATCH(COLUMNS($AD$1006:AU1006),$AD$1006:$AU$1006,0))&gt;=100000), " ",IF(INDEX($AD$2:$AU$1001,MATCH(ROWS($W$2:W390),$W$2:$W$1001,0),MATCH(COLUMNS($AD$1006:AU1006),$AD$1006:$AU$1006,0)), HYPERLINK("#",""), HYPERLINK(CONCATENATE("#metadata!", ADDRESS(INDEX($Y$2:$Y$1001,MATCH(ROWS($W$2:W390),$W$2:$W$1001,0),0), INDEX($AD$1004:$AU$1004,1,MATCH(COLUMNS($AD$1006:AU1006),$AD$1006:$AU$1006,0)))),"Fix")))</f>
        <v xml:space="preserve"> </v>
      </c>
      <c r="W390">
        <v>389</v>
      </c>
      <c r="X390">
        <v>100390</v>
      </c>
      <c r="Y390">
        <v>390</v>
      </c>
      <c r="Z390" t="b">
        <f t="shared" si="6"/>
        <v>1</v>
      </c>
      <c r="AA390" t="b">
        <f>COUNTBLANK(metadata!B390:S390)=COLUMNS(metadata!B390:S390)</f>
        <v>1</v>
      </c>
      <c r="AB390" t="str">
        <v/>
      </c>
      <c r="AD390" t="b">
        <f ca="1">AND(IF(metadata!B390="",FALSE,TRUE),COUNTIF(metadata!B:B, metadata!B390) = 1,NOT(ISERROR(SUMPRODUCT(SEARCH(MID(metadata!B390,ROW(INDIRECT("1:"&amp;LEN(metadata!B390))), 1),"0123456789abcdefghijklmnopqrstuvwxyzABCDEFGHIJKLMNOPQRSTUVWXYZ.")))))</f>
        <v>0</v>
      </c>
      <c r="AE390" t="b">
        <f>OR(AND(IF(metadata!C390="",FALSE,TRUE),OR(EXACT(metadata!C390,"not applicable"),EXACT(metadata!C390,"missing: not collected"),EXACT(metadata!C390,"missing: not provided"),EXACT(metadata!C390,"missing: restricted access"))),AND(IF(metadata!C390="",FALSE,ISNUMBER(VALUE(metadata!C390))),metadata!C390&gt;0))</f>
        <v>0</v>
      </c>
      <c r="AF390" t="b">
        <f>AND(IF(metadata!D390="",FALSE,TRUE),EXACT(metadata!D390,"missing: not provided"))</f>
        <v>0</v>
      </c>
      <c r="AG390" t="b">
        <f>AND(IF(metadata!E390="",FALSE,TRUE),EXACT(metadata!E390,"Host-associated"))</f>
        <v>0</v>
      </c>
      <c r="AH390" t="b">
        <f>AND(IF(metadata!F390="",FALSE,TRUE),OR(EXACT(metadata!F390,"Animal"),EXACT(metadata!F390,"Fungus"),EXACT(metadata!F390,"Plant")))</f>
        <v>0</v>
      </c>
      <c r="AI390" t="b">
        <f>AND(IF(metadata!G390="",FALSE,TRUE),OR(EXACT(metadata!G390,"Plant secretion"),EXACT(metadata!G390,"Plant rhizosphere"),EXACT(metadata!G390,"Plant surface"),EXACT(metadata!G390,"Plant corpus"),EXACT(metadata!G390,"Fungus surface"),EXACT(metadata!G390,"Fungus corpus"),EXACT(metadata!G390,"Animal surface"),EXACT(metadata!G390,"Animal proximal gut"),EXACT(metadata!G390,"Animal corpus"),EXACT(metadata!G390,"Animal distal gut"),EXACT(metadata!G390,"Animal secretion")))</f>
        <v>0</v>
      </c>
      <c r="AJ390" t="b">
        <f>OR(AND(IF(metadata!H390="",FALSE,TRUE),OR(EXACT(metadata!H390,"missing: not collected"),EXACT(metadata!H390,"missing: not provided"),EXACT(metadata!H390,"missing: restricted access"))),AND(IF(metadata!H390="",FALSE,TRUE),OR(EXACT(metadata!H390,"organism-associated habitat"),EXACT(metadata!H390,"plant-associated habitat"),EXACT(metadata!H390,"animal-associated habitat"),EXACT(metadata!H390,"insecta-associated habitat"),EXACT(metadata!H390,"mammalia-associated habitat"),EXACT(metadata!H390,"human-associated habitat"),EXACT(metadata!H390,"livestock-associated habitat"))))</f>
        <v>0</v>
      </c>
      <c r="AK390" t="b">
        <f>AND(IF(metadata!I390="",FALSE,TRUE),EXACT(metadata!I390,"host-associated"))</f>
        <v>0</v>
      </c>
      <c r="AL390" t="b">
        <f>OR(AND(IF(metadata!J390="",FALSE,TRUE),OR(EXACT(metadata!J390,"not applicable"),EXACT(metadata!J390,"missing: not collected"),EXACT(metadata!J390,"missing: not provided"),EXACT(metadata!J390,"missing: restricted access"))),AND(IF(metadata!J390="",FALSE,ISNUMBER(VALUE(metadata!J390))),metadata!J390&gt;0))</f>
        <v>0</v>
      </c>
      <c r="AM390" t="b">
        <f>AND(IF(metadata!K390="",FALSE,TRUE),EXACT(metadata!K390,"missing: not provided"))</f>
        <v>0</v>
      </c>
      <c r="AN390" t="b">
        <f>IF(metadata!L390="",FALSE,TRUE)</f>
        <v>0</v>
      </c>
      <c r="AO390" t="b">
        <f>IF(metadata!M390="",FALSE,TRUE)</f>
        <v>0</v>
      </c>
      <c r="AP390" t="b">
        <f>OR(AND(IF(metadata!N390="",FALSE,TRUE),OR(EXACT(metadata!N390,"not applicable"),EXACT(metadata!N390,"missing: not collected"),EXACT(metadata!N390,"missing: not provided"))),AND(IF(metadata!N390="",FALSE,IF(ISERROR(INT(metadata!N390)),FALSE,INT(metadata!N390)=metadata!N390)),metadata!N390&gt;0))</f>
        <v>0</v>
      </c>
      <c r="AQ390" t="b">
        <f>AND(IF(metadata!O390="",FALSE,TRUE),EXACT(metadata!O390,"Not applicable"))</f>
        <v>0</v>
      </c>
      <c r="AR390" t="b">
        <f>OR(AND(IF(metadata!P390="",FALSE,TRUE),OR(EXACT(metadata!P390,"not applicable"),EXACT(metadata!P390,"missing: not collected"),EXACT(metadata!P390,"missing: not provided"),EXACT(metadata!P390,"missing: restricted access"))),IF(metadata!P390="",FALSE,IF(ISERROR(INT(metadata!P390)),FALSE,INT(metadata!P390)=metadata!P390)))</f>
        <v>0</v>
      </c>
      <c r="AS390" t="b">
        <f>AND(IF(metadata!Q390="",FALSE,TRUE),EXACT(metadata!Q390,"Not applicable"))</f>
        <v>0</v>
      </c>
      <c r="AT390" t="b">
        <f>OR(AND(IF(metadata!R390="",FALSE,TRUE),OR(EXACT(metadata!R390,"not applicable"),EXACT(metadata!R390,"missing: not collected"),EXACT(metadata!R390,"missing: not provided"),EXACT(metadata!R390,"missing: restricted access"))),AND(IF(metadata!R390="",FALSE,ISNUMBER(VALUE(metadata!R390))),metadata!R390&gt;0))</f>
        <v>0</v>
      </c>
      <c r="AU390" t="b">
        <f>AND(IF(metadata!S390="",FALSE,TRUE),EXACT(metadata!S390,"missing: not provided"))</f>
        <v>0</v>
      </c>
    </row>
    <row r="391" spans="1:47" x14ac:dyDescent="0.2">
      <c r="A391" s="5" t="str">
        <f ca="1">IF(B391=" "," ",HYPERLINK(CONCATENATE("#metadata!",ADDRESS(INDEX($Y$2:$Y$1001,MATCH(ROWS($W$2:W391),$W$2:$W$1001,0),0),1)),INDEX($AB$2:$AB$1001,MATCH(ROWS($W$2:W391),$W$2:$W$1001,0),0)))</f>
        <v xml:space="preserve"> </v>
      </c>
      <c r="B391" s="4" t="str">
        <f ca="1">IF(OR(INDEX($X$2:$X$1001,MATCH(ROWS($W$2:W391),$W$2:$W$1001,0),1)&gt;=100000,INDEX($AD$1005:$AU$1005,1,MATCH(COLUMNS($AD$1006:AD1006),$AD$1006:$AU$1006,0))&gt;=100000), " ",IF(INDEX($AD$2:$AU$1001,MATCH(ROWS($W$2:W391),$W$2:$W$1001,0),MATCH(COLUMNS($AD$1006:AD1006),$AD$1006:$AU$1006,0)), HYPERLINK("#",""), HYPERLINK(CONCATENATE("#metadata!", ADDRESS(INDEX($Y$2:$Y$1001,MATCH(ROWS($W$2:W391),$W$2:$W$1001,0),0), INDEX($AD$1004:$AU$1004,1,MATCH(COLUMNS($AD$1006:AD1006),$AD$1006:$AU$1006,0)))),"Fix")))</f>
        <v xml:space="preserve"> </v>
      </c>
      <c r="C391" s="4" t="str">
        <f ca="1">IF(OR(INDEX($X$2:$X$1001,MATCH(ROWS($W$2:W391),$W$2:$W$1001,0),1)&gt;=100000,INDEX($AD$1005:$AU$1005,1,MATCH(COLUMNS($AD$1006:AE1006),$AD$1006:$AU$1006,0))&gt;=100000), " ",IF(INDEX($AD$2:$AU$1001,MATCH(ROWS($W$2:W391),$W$2:$W$1001,0),MATCH(COLUMNS($AD$1006:AE1006),$AD$1006:$AU$1006,0)), HYPERLINK("#",""), HYPERLINK(CONCATENATE("#metadata!", ADDRESS(INDEX($Y$2:$Y$1001,MATCH(ROWS($W$2:W391),$W$2:$W$1001,0),0), INDEX($AD$1004:$AU$1004,1,MATCH(COLUMNS($AD$1006:AE1006),$AD$1006:$AU$1006,0)))),"Fix")))</f>
        <v xml:space="preserve"> </v>
      </c>
      <c r="D391" s="4" t="str">
        <f ca="1">IF(OR(INDEX($X$2:$X$1001,MATCH(ROWS($W$2:W391),$W$2:$W$1001,0),1)&gt;=100000,INDEX($AD$1005:$AU$1005,1,MATCH(COLUMNS($AD$1006:AF1006),$AD$1006:$AU$1006,0))&gt;=100000), " ",IF(INDEX($AD$2:$AU$1001,MATCH(ROWS($W$2:W391),$W$2:$W$1001,0),MATCH(COLUMNS($AD$1006:AF1006),$AD$1006:$AU$1006,0)), HYPERLINK("#",""), HYPERLINK(CONCATENATE("#metadata!", ADDRESS(INDEX($Y$2:$Y$1001,MATCH(ROWS($W$2:W391),$W$2:$W$1001,0),0), INDEX($AD$1004:$AU$1004,1,MATCH(COLUMNS($AD$1006:AF1006),$AD$1006:$AU$1006,0)))),"Fix")))</f>
        <v xml:space="preserve"> </v>
      </c>
      <c r="E391" s="4" t="str">
        <f ca="1">IF(OR(INDEX($X$2:$X$1001,MATCH(ROWS($W$2:W391),$W$2:$W$1001,0),1)&gt;=100000,INDEX($AD$1005:$AU$1005,1,MATCH(COLUMNS($AD$1006:AG1006),$AD$1006:$AU$1006,0))&gt;=100000), " ",IF(INDEX($AD$2:$AU$1001,MATCH(ROWS($W$2:W391),$W$2:$W$1001,0),MATCH(COLUMNS($AD$1006:AG1006),$AD$1006:$AU$1006,0)), HYPERLINK("#",""), HYPERLINK(CONCATENATE("#metadata!", ADDRESS(INDEX($Y$2:$Y$1001,MATCH(ROWS($W$2:W391),$W$2:$W$1001,0),0), INDEX($AD$1004:$AU$1004,1,MATCH(COLUMNS($AD$1006:AG1006),$AD$1006:$AU$1006,0)))),"Fix")))</f>
        <v xml:space="preserve"> </v>
      </c>
      <c r="F391" s="4" t="str">
        <f ca="1">IF(OR(INDEX($X$2:$X$1001,MATCH(ROWS($W$2:W391),$W$2:$W$1001,0),1)&gt;=100000,INDEX($AD$1005:$AU$1005,1,MATCH(COLUMNS($AD$1006:AH1006),$AD$1006:$AU$1006,0))&gt;=100000), " ",IF(INDEX($AD$2:$AU$1001,MATCH(ROWS($W$2:W391),$W$2:$W$1001,0),MATCH(COLUMNS($AD$1006:AH1006),$AD$1006:$AU$1006,0)), HYPERLINK("#",""), HYPERLINK(CONCATENATE("#metadata!", ADDRESS(INDEX($Y$2:$Y$1001,MATCH(ROWS($W$2:W391),$W$2:$W$1001,0),0), INDEX($AD$1004:$AU$1004,1,MATCH(COLUMNS($AD$1006:AH1006),$AD$1006:$AU$1006,0)))),"Fix")))</f>
        <v xml:space="preserve"> </v>
      </c>
      <c r="G391" s="4" t="str">
        <f ca="1">IF(OR(INDEX($X$2:$X$1001,MATCH(ROWS($W$2:W391),$W$2:$W$1001,0),1)&gt;=100000,INDEX($AD$1005:$AU$1005,1,MATCH(COLUMNS($AD$1006:AI1006),$AD$1006:$AU$1006,0))&gt;=100000), " ",IF(INDEX($AD$2:$AU$1001,MATCH(ROWS($W$2:W391),$W$2:$W$1001,0),MATCH(COLUMNS($AD$1006:AI1006),$AD$1006:$AU$1006,0)), HYPERLINK("#",""), HYPERLINK(CONCATENATE("#metadata!", ADDRESS(INDEX($Y$2:$Y$1001,MATCH(ROWS($W$2:W391),$W$2:$W$1001,0),0), INDEX($AD$1004:$AU$1004,1,MATCH(COLUMNS($AD$1006:AI1006),$AD$1006:$AU$1006,0)))),"Fix")))</f>
        <v xml:space="preserve"> </v>
      </c>
      <c r="H391" s="4" t="str">
        <f ca="1">IF(OR(INDEX($X$2:$X$1001,MATCH(ROWS($W$2:W391),$W$2:$W$1001,0),1)&gt;=100000,INDEX($AD$1005:$AU$1005,1,MATCH(COLUMNS($AD$1006:AJ1006),$AD$1006:$AU$1006,0))&gt;=100000), " ",IF(INDEX($AD$2:$AU$1001,MATCH(ROWS($W$2:W391),$W$2:$W$1001,0),MATCH(COLUMNS($AD$1006:AJ1006),$AD$1006:$AU$1006,0)), HYPERLINK("#",""), HYPERLINK(CONCATENATE("#metadata!", ADDRESS(INDEX($Y$2:$Y$1001,MATCH(ROWS($W$2:W391),$W$2:$W$1001,0),0), INDEX($AD$1004:$AU$1004,1,MATCH(COLUMNS($AD$1006:AJ1006),$AD$1006:$AU$1006,0)))),"Fix")))</f>
        <v xml:space="preserve"> </v>
      </c>
      <c r="I391" s="4" t="str">
        <f ca="1">IF(OR(INDEX($X$2:$X$1001,MATCH(ROWS($W$2:W391),$W$2:$W$1001,0),1)&gt;=100000,INDEX($AD$1005:$AU$1005,1,MATCH(COLUMNS($AD$1006:AK1006),$AD$1006:$AU$1006,0))&gt;=100000), " ",IF(INDEX($AD$2:$AU$1001,MATCH(ROWS($W$2:W391),$W$2:$W$1001,0),MATCH(COLUMNS($AD$1006:AK1006),$AD$1006:$AU$1006,0)), HYPERLINK("#",""), HYPERLINK(CONCATENATE("#metadata!", ADDRESS(INDEX($Y$2:$Y$1001,MATCH(ROWS($W$2:W391),$W$2:$W$1001,0),0), INDEX($AD$1004:$AU$1004,1,MATCH(COLUMNS($AD$1006:AK1006),$AD$1006:$AU$1006,0)))),"Fix")))</f>
        <v xml:space="preserve"> </v>
      </c>
      <c r="J391" s="4" t="str">
        <f ca="1">IF(OR(INDEX($X$2:$X$1001,MATCH(ROWS($W$2:W391),$W$2:$W$1001,0),1)&gt;=100000,INDEX($AD$1005:$AU$1005,1,MATCH(COLUMNS($AD$1006:AL1006),$AD$1006:$AU$1006,0))&gt;=100000), " ",IF(INDEX($AD$2:$AU$1001,MATCH(ROWS($W$2:W391),$W$2:$W$1001,0),MATCH(COLUMNS($AD$1006:AL1006),$AD$1006:$AU$1006,0)), HYPERLINK("#",""), HYPERLINK(CONCATENATE("#metadata!", ADDRESS(INDEX($Y$2:$Y$1001,MATCH(ROWS($W$2:W391),$W$2:$W$1001,0),0), INDEX($AD$1004:$AU$1004,1,MATCH(COLUMNS($AD$1006:AL1006),$AD$1006:$AU$1006,0)))),"Fix")))</f>
        <v xml:space="preserve"> </v>
      </c>
      <c r="K391" s="4" t="str">
        <f ca="1">IF(OR(INDEX($X$2:$X$1001,MATCH(ROWS($W$2:W391),$W$2:$W$1001,0),1)&gt;=100000,INDEX($AD$1005:$AU$1005,1,MATCH(COLUMNS($AD$1006:AM1006),$AD$1006:$AU$1006,0))&gt;=100000), " ",IF(INDEX($AD$2:$AU$1001,MATCH(ROWS($W$2:W391),$W$2:$W$1001,0),MATCH(COLUMNS($AD$1006:AM1006),$AD$1006:$AU$1006,0)), HYPERLINK("#",""), HYPERLINK(CONCATENATE("#metadata!", ADDRESS(INDEX($Y$2:$Y$1001,MATCH(ROWS($W$2:W391),$W$2:$W$1001,0),0), INDEX($AD$1004:$AU$1004,1,MATCH(COLUMNS($AD$1006:AM1006),$AD$1006:$AU$1006,0)))),"Fix")))</f>
        <v xml:space="preserve"> </v>
      </c>
      <c r="L391" s="4" t="str">
        <f ca="1">IF(OR(INDEX($X$2:$X$1001,MATCH(ROWS($W$2:W391),$W$2:$W$1001,0),1)&gt;=100000,INDEX($AD$1005:$AU$1005,1,MATCH(COLUMNS($AD$1006:AN1006),$AD$1006:$AU$1006,0))&gt;=100000), " ",IF(INDEX($AD$2:$AU$1001,MATCH(ROWS($W$2:W391),$W$2:$W$1001,0),MATCH(COLUMNS($AD$1006:AN1006),$AD$1006:$AU$1006,0)), HYPERLINK("#",""), HYPERLINK(CONCATENATE("#metadata!", ADDRESS(INDEX($Y$2:$Y$1001,MATCH(ROWS($W$2:W391),$W$2:$W$1001,0),0), INDEX($AD$1004:$AU$1004,1,MATCH(COLUMNS($AD$1006:AN1006),$AD$1006:$AU$1006,0)))),"Fix")))</f>
        <v xml:space="preserve"> </v>
      </c>
      <c r="M391" s="4" t="str">
        <f ca="1">IF(OR(INDEX($X$2:$X$1001,MATCH(ROWS($W$2:W391),$W$2:$W$1001,0),1)&gt;=100000,INDEX($AD$1005:$AU$1005,1,MATCH(COLUMNS($AD$1006:AO1006),$AD$1006:$AU$1006,0))&gt;=100000), " ",IF(INDEX($AD$2:$AU$1001,MATCH(ROWS($W$2:W391),$W$2:$W$1001,0),MATCH(COLUMNS($AD$1006:AO1006),$AD$1006:$AU$1006,0)), HYPERLINK("#",""), HYPERLINK(CONCATENATE("#metadata!", ADDRESS(INDEX($Y$2:$Y$1001,MATCH(ROWS($W$2:W391),$W$2:$W$1001,0),0), INDEX($AD$1004:$AU$1004,1,MATCH(COLUMNS($AD$1006:AO1006),$AD$1006:$AU$1006,0)))),"Fix")))</f>
        <v xml:space="preserve"> </v>
      </c>
      <c r="N391" s="4" t="str">
        <f ca="1">IF(OR(INDEX($X$2:$X$1001,MATCH(ROWS($W$2:W391),$W$2:$W$1001,0),1)&gt;=100000,INDEX($AD$1005:$AU$1005,1,MATCH(COLUMNS($AD$1006:AP1006),$AD$1006:$AU$1006,0))&gt;=100000), " ",IF(INDEX($AD$2:$AU$1001,MATCH(ROWS($W$2:W391),$W$2:$W$1001,0),MATCH(COLUMNS($AD$1006:AP1006),$AD$1006:$AU$1006,0)), HYPERLINK("#",""), HYPERLINK(CONCATENATE("#metadata!", ADDRESS(INDEX($Y$2:$Y$1001,MATCH(ROWS($W$2:W391),$W$2:$W$1001,0),0), INDEX($AD$1004:$AU$1004,1,MATCH(COLUMNS($AD$1006:AP1006),$AD$1006:$AU$1006,0)))),"Fix")))</f>
        <v xml:space="preserve"> </v>
      </c>
      <c r="O391" s="4" t="str">
        <f ca="1">IF(OR(INDEX($X$2:$X$1001,MATCH(ROWS($W$2:W391),$W$2:$W$1001,0),1)&gt;=100000,INDEX($AD$1005:$AU$1005,1,MATCH(COLUMNS($AD$1006:AQ1006),$AD$1006:$AU$1006,0))&gt;=100000), " ",IF(INDEX($AD$2:$AU$1001,MATCH(ROWS($W$2:W391),$W$2:$W$1001,0),MATCH(COLUMNS($AD$1006:AQ1006),$AD$1006:$AU$1006,0)), HYPERLINK("#",""), HYPERLINK(CONCATENATE("#metadata!", ADDRESS(INDEX($Y$2:$Y$1001,MATCH(ROWS($W$2:W391),$W$2:$W$1001,0),0), INDEX($AD$1004:$AU$1004,1,MATCH(COLUMNS($AD$1006:AQ1006),$AD$1006:$AU$1006,0)))),"Fix")))</f>
        <v xml:space="preserve"> </v>
      </c>
      <c r="P391" s="4" t="str">
        <f ca="1">IF(OR(INDEX($X$2:$X$1001,MATCH(ROWS($W$2:W391),$W$2:$W$1001,0),1)&gt;=100000,INDEX($AD$1005:$AU$1005,1,MATCH(COLUMNS($AD$1006:AR1006),$AD$1006:$AU$1006,0))&gt;=100000), " ",IF(INDEX($AD$2:$AU$1001,MATCH(ROWS($W$2:W391),$W$2:$W$1001,0),MATCH(COLUMNS($AD$1006:AR1006),$AD$1006:$AU$1006,0)), HYPERLINK("#",""), HYPERLINK(CONCATENATE("#metadata!", ADDRESS(INDEX($Y$2:$Y$1001,MATCH(ROWS($W$2:W391),$W$2:$W$1001,0),0), INDEX($AD$1004:$AU$1004,1,MATCH(COLUMNS($AD$1006:AR1006),$AD$1006:$AU$1006,0)))),"Fix")))</f>
        <v xml:space="preserve"> </v>
      </c>
      <c r="Q391" s="4" t="str">
        <f ca="1">IF(OR(INDEX($X$2:$X$1001,MATCH(ROWS($W$2:W391),$W$2:$W$1001,0),1)&gt;=100000,INDEX($AD$1005:$AU$1005,1,MATCH(COLUMNS($AD$1006:AS1006),$AD$1006:$AU$1006,0))&gt;=100000), " ",IF(INDEX($AD$2:$AU$1001,MATCH(ROWS($W$2:W391),$W$2:$W$1001,0),MATCH(COLUMNS($AD$1006:AS1006),$AD$1006:$AU$1006,0)), HYPERLINK("#",""), HYPERLINK(CONCATENATE("#metadata!", ADDRESS(INDEX($Y$2:$Y$1001,MATCH(ROWS($W$2:W391),$W$2:$W$1001,0),0), INDEX($AD$1004:$AU$1004,1,MATCH(COLUMNS($AD$1006:AS1006),$AD$1006:$AU$1006,0)))),"Fix")))</f>
        <v xml:space="preserve"> </v>
      </c>
      <c r="R391" s="4" t="str">
        <f ca="1">IF(OR(INDEX($X$2:$X$1001,MATCH(ROWS($W$2:W391),$W$2:$W$1001,0),1)&gt;=100000,INDEX($AD$1005:$AU$1005,1,MATCH(COLUMNS($AD$1006:AT1006),$AD$1006:$AU$1006,0))&gt;=100000), " ",IF(INDEX($AD$2:$AU$1001,MATCH(ROWS($W$2:W391),$W$2:$W$1001,0),MATCH(COLUMNS($AD$1006:AT1006),$AD$1006:$AU$1006,0)), HYPERLINK("#",""), HYPERLINK(CONCATENATE("#metadata!", ADDRESS(INDEX($Y$2:$Y$1001,MATCH(ROWS($W$2:W391),$W$2:$W$1001,0),0), INDEX($AD$1004:$AU$1004,1,MATCH(COLUMNS($AD$1006:AT1006),$AD$1006:$AU$1006,0)))),"Fix")))</f>
        <v xml:space="preserve"> </v>
      </c>
      <c r="S391" s="4" t="str">
        <f ca="1">IF(OR(INDEX($X$2:$X$1001,MATCH(ROWS($W$2:W391),$W$2:$W$1001,0),1)&gt;=100000,INDEX($AD$1005:$AU$1005,1,MATCH(COLUMNS($AD$1006:AU1006),$AD$1006:$AU$1006,0))&gt;=100000), " ",IF(INDEX($AD$2:$AU$1001,MATCH(ROWS($W$2:W391),$W$2:$W$1001,0),MATCH(COLUMNS($AD$1006:AU1006),$AD$1006:$AU$1006,0)), HYPERLINK("#",""), HYPERLINK(CONCATENATE("#metadata!", ADDRESS(INDEX($Y$2:$Y$1001,MATCH(ROWS($W$2:W391),$W$2:$W$1001,0),0), INDEX($AD$1004:$AU$1004,1,MATCH(COLUMNS($AD$1006:AU1006),$AD$1006:$AU$1006,0)))),"Fix")))</f>
        <v xml:space="preserve"> </v>
      </c>
      <c r="W391">
        <v>390</v>
      </c>
      <c r="X391">
        <v>100391</v>
      </c>
      <c r="Y391">
        <v>391</v>
      </c>
      <c r="Z391" t="b">
        <f t="shared" si="6"/>
        <v>1</v>
      </c>
      <c r="AA391" t="b">
        <f>COUNTBLANK(metadata!B391:S391)=COLUMNS(metadata!B391:S391)</f>
        <v>1</v>
      </c>
      <c r="AB391" t="str">
        <v/>
      </c>
      <c r="AD391" t="b">
        <f ca="1">AND(IF(metadata!B391="",FALSE,TRUE),COUNTIF(metadata!B:B, metadata!B391) = 1,NOT(ISERROR(SUMPRODUCT(SEARCH(MID(metadata!B391,ROW(INDIRECT("1:"&amp;LEN(metadata!B391))), 1),"0123456789abcdefghijklmnopqrstuvwxyzABCDEFGHIJKLMNOPQRSTUVWXYZ.")))))</f>
        <v>0</v>
      </c>
      <c r="AE391" t="b">
        <f>OR(AND(IF(metadata!C391="",FALSE,TRUE),OR(EXACT(metadata!C391,"not applicable"),EXACT(metadata!C391,"missing: not collected"),EXACT(metadata!C391,"missing: not provided"),EXACT(metadata!C391,"missing: restricted access"))),AND(IF(metadata!C391="",FALSE,ISNUMBER(VALUE(metadata!C391))),metadata!C391&gt;0))</f>
        <v>0</v>
      </c>
      <c r="AF391" t="b">
        <f>AND(IF(metadata!D391="",FALSE,TRUE),EXACT(metadata!D391,"missing: not provided"))</f>
        <v>0</v>
      </c>
      <c r="AG391" t="b">
        <f>AND(IF(metadata!E391="",FALSE,TRUE),EXACT(metadata!E391,"Host-associated"))</f>
        <v>0</v>
      </c>
      <c r="AH391" t="b">
        <f>AND(IF(metadata!F391="",FALSE,TRUE),OR(EXACT(metadata!F391,"Animal"),EXACT(metadata!F391,"Fungus"),EXACT(metadata!F391,"Plant")))</f>
        <v>0</v>
      </c>
      <c r="AI391" t="b">
        <f>AND(IF(metadata!G391="",FALSE,TRUE),OR(EXACT(metadata!G391,"Plant secretion"),EXACT(metadata!G391,"Plant rhizosphere"),EXACT(metadata!G391,"Plant surface"),EXACT(metadata!G391,"Plant corpus"),EXACT(metadata!G391,"Fungus surface"),EXACT(metadata!G391,"Fungus corpus"),EXACT(metadata!G391,"Animal surface"),EXACT(metadata!G391,"Animal proximal gut"),EXACT(metadata!G391,"Animal corpus"),EXACT(metadata!G391,"Animal distal gut"),EXACT(metadata!G391,"Animal secretion")))</f>
        <v>0</v>
      </c>
      <c r="AJ391" t="b">
        <f>OR(AND(IF(metadata!H391="",FALSE,TRUE),OR(EXACT(metadata!H391,"missing: not collected"),EXACT(metadata!H391,"missing: not provided"),EXACT(metadata!H391,"missing: restricted access"))),AND(IF(metadata!H391="",FALSE,TRUE),OR(EXACT(metadata!H391,"organism-associated habitat"),EXACT(metadata!H391,"plant-associated habitat"),EXACT(metadata!H391,"animal-associated habitat"),EXACT(metadata!H391,"insecta-associated habitat"),EXACT(metadata!H391,"mammalia-associated habitat"),EXACT(metadata!H391,"human-associated habitat"),EXACT(metadata!H391,"livestock-associated habitat"))))</f>
        <v>0</v>
      </c>
      <c r="AK391" t="b">
        <f>AND(IF(metadata!I391="",FALSE,TRUE),EXACT(metadata!I391,"host-associated"))</f>
        <v>0</v>
      </c>
      <c r="AL391" t="b">
        <f>OR(AND(IF(metadata!J391="",FALSE,TRUE),OR(EXACT(metadata!J391,"not applicable"),EXACT(metadata!J391,"missing: not collected"),EXACT(metadata!J391,"missing: not provided"),EXACT(metadata!J391,"missing: restricted access"))),AND(IF(metadata!J391="",FALSE,ISNUMBER(VALUE(metadata!J391))),metadata!J391&gt;0))</f>
        <v>0</v>
      </c>
      <c r="AM391" t="b">
        <f>AND(IF(metadata!K391="",FALSE,TRUE),EXACT(metadata!K391,"missing: not provided"))</f>
        <v>0</v>
      </c>
      <c r="AN391" t="b">
        <f>IF(metadata!L391="",FALSE,TRUE)</f>
        <v>0</v>
      </c>
      <c r="AO391" t="b">
        <f>IF(metadata!M391="",FALSE,TRUE)</f>
        <v>0</v>
      </c>
      <c r="AP391" t="b">
        <f>OR(AND(IF(metadata!N391="",FALSE,TRUE),OR(EXACT(metadata!N391,"not applicable"),EXACT(metadata!N391,"missing: not collected"),EXACT(metadata!N391,"missing: not provided"))),AND(IF(metadata!N391="",FALSE,IF(ISERROR(INT(metadata!N391)),FALSE,INT(metadata!N391)=metadata!N391)),metadata!N391&gt;0))</f>
        <v>0</v>
      </c>
      <c r="AQ391" t="b">
        <f>AND(IF(metadata!O391="",FALSE,TRUE),EXACT(metadata!O391,"Not applicable"))</f>
        <v>0</v>
      </c>
      <c r="AR391" t="b">
        <f>OR(AND(IF(metadata!P391="",FALSE,TRUE),OR(EXACT(metadata!P391,"not applicable"),EXACT(metadata!P391,"missing: not collected"),EXACT(metadata!P391,"missing: not provided"),EXACT(metadata!P391,"missing: restricted access"))),IF(metadata!P391="",FALSE,IF(ISERROR(INT(metadata!P391)),FALSE,INT(metadata!P391)=metadata!P391)))</f>
        <v>0</v>
      </c>
      <c r="AS391" t="b">
        <f>AND(IF(metadata!Q391="",FALSE,TRUE),EXACT(metadata!Q391,"Not applicable"))</f>
        <v>0</v>
      </c>
      <c r="AT391" t="b">
        <f>OR(AND(IF(metadata!R391="",FALSE,TRUE),OR(EXACT(metadata!R391,"not applicable"),EXACT(metadata!R391,"missing: not collected"),EXACT(metadata!R391,"missing: not provided"),EXACT(metadata!R391,"missing: restricted access"))),AND(IF(metadata!R391="",FALSE,ISNUMBER(VALUE(metadata!R391))),metadata!R391&gt;0))</f>
        <v>0</v>
      </c>
      <c r="AU391" t="b">
        <f>AND(IF(metadata!S391="",FALSE,TRUE),EXACT(metadata!S391,"missing: not provided"))</f>
        <v>0</v>
      </c>
    </row>
    <row r="392" spans="1:47" x14ac:dyDescent="0.2">
      <c r="A392" s="5" t="str">
        <f ca="1">IF(B392=" "," ",HYPERLINK(CONCATENATE("#metadata!",ADDRESS(INDEX($Y$2:$Y$1001,MATCH(ROWS($W$2:W392),$W$2:$W$1001,0),0),1)),INDEX($AB$2:$AB$1001,MATCH(ROWS($W$2:W392),$W$2:$W$1001,0),0)))</f>
        <v xml:space="preserve"> </v>
      </c>
      <c r="B392" s="4" t="str">
        <f ca="1">IF(OR(INDEX($X$2:$X$1001,MATCH(ROWS($W$2:W392),$W$2:$W$1001,0),1)&gt;=100000,INDEX($AD$1005:$AU$1005,1,MATCH(COLUMNS($AD$1006:AD1006),$AD$1006:$AU$1006,0))&gt;=100000), " ",IF(INDEX($AD$2:$AU$1001,MATCH(ROWS($W$2:W392),$W$2:$W$1001,0),MATCH(COLUMNS($AD$1006:AD1006),$AD$1006:$AU$1006,0)), HYPERLINK("#",""), HYPERLINK(CONCATENATE("#metadata!", ADDRESS(INDEX($Y$2:$Y$1001,MATCH(ROWS($W$2:W392),$W$2:$W$1001,0),0), INDEX($AD$1004:$AU$1004,1,MATCH(COLUMNS($AD$1006:AD1006),$AD$1006:$AU$1006,0)))),"Fix")))</f>
        <v xml:space="preserve"> </v>
      </c>
      <c r="C392" s="4" t="str">
        <f ca="1">IF(OR(INDEX($X$2:$X$1001,MATCH(ROWS($W$2:W392),$W$2:$W$1001,0),1)&gt;=100000,INDEX($AD$1005:$AU$1005,1,MATCH(COLUMNS($AD$1006:AE1006),$AD$1006:$AU$1006,0))&gt;=100000), " ",IF(INDEX($AD$2:$AU$1001,MATCH(ROWS($W$2:W392),$W$2:$W$1001,0),MATCH(COLUMNS($AD$1006:AE1006),$AD$1006:$AU$1006,0)), HYPERLINK("#",""), HYPERLINK(CONCATENATE("#metadata!", ADDRESS(INDEX($Y$2:$Y$1001,MATCH(ROWS($W$2:W392),$W$2:$W$1001,0),0), INDEX($AD$1004:$AU$1004,1,MATCH(COLUMNS($AD$1006:AE1006),$AD$1006:$AU$1006,0)))),"Fix")))</f>
        <v xml:space="preserve"> </v>
      </c>
      <c r="D392" s="4" t="str">
        <f ca="1">IF(OR(INDEX($X$2:$X$1001,MATCH(ROWS($W$2:W392),$W$2:$W$1001,0),1)&gt;=100000,INDEX($AD$1005:$AU$1005,1,MATCH(COLUMNS($AD$1006:AF1006),$AD$1006:$AU$1006,0))&gt;=100000), " ",IF(INDEX($AD$2:$AU$1001,MATCH(ROWS($W$2:W392),$W$2:$W$1001,0),MATCH(COLUMNS($AD$1006:AF1006),$AD$1006:$AU$1006,0)), HYPERLINK("#",""), HYPERLINK(CONCATENATE("#metadata!", ADDRESS(INDEX($Y$2:$Y$1001,MATCH(ROWS($W$2:W392),$W$2:$W$1001,0),0), INDEX($AD$1004:$AU$1004,1,MATCH(COLUMNS($AD$1006:AF1006),$AD$1006:$AU$1006,0)))),"Fix")))</f>
        <v xml:space="preserve"> </v>
      </c>
      <c r="E392" s="4" t="str">
        <f ca="1">IF(OR(INDEX($X$2:$X$1001,MATCH(ROWS($W$2:W392),$W$2:$W$1001,0),1)&gt;=100000,INDEX($AD$1005:$AU$1005,1,MATCH(COLUMNS($AD$1006:AG1006),$AD$1006:$AU$1006,0))&gt;=100000), " ",IF(INDEX($AD$2:$AU$1001,MATCH(ROWS($W$2:W392),$W$2:$W$1001,0),MATCH(COLUMNS($AD$1006:AG1006),$AD$1006:$AU$1006,0)), HYPERLINK("#",""), HYPERLINK(CONCATENATE("#metadata!", ADDRESS(INDEX($Y$2:$Y$1001,MATCH(ROWS($W$2:W392),$W$2:$W$1001,0),0), INDEX($AD$1004:$AU$1004,1,MATCH(COLUMNS($AD$1006:AG1006),$AD$1006:$AU$1006,0)))),"Fix")))</f>
        <v xml:space="preserve"> </v>
      </c>
      <c r="F392" s="4" t="str">
        <f ca="1">IF(OR(INDEX($X$2:$X$1001,MATCH(ROWS($W$2:W392),$W$2:$W$1001,0),1)&gt;=100000,INDEX($AD$1005:$AU$1005,1,MATCH(COLUMNS($AD$1006:AH1006),$AD$1006:$AU$1006,0))&gt;=100000), " ",IF(INDEX($AD$2:$AU$1001,MATCH(ROWS($W$2:W392),$W$2:$W$1001,0),MATCH(COLUMNS($AD$1006:AH1006),$AD$1006:$AU$1006,0)), HYPERLINK("#",""), HYPERLINK(CONCATENATE("#metadata!", ADDRESS(INDEX($Y$2:$Y$1001,MATCH(ROWS($W$2:W392),$W$2:$W$1001,0),0), INDEX($AD$1004:$AU$1004,1,MATCH(COLUMNS($AD$1006:AH1006),$AD$1006:$AU$1006,0)))),"Fix")))</f>
        <v xml:space="preserve"> </v>
      </c>
      <c r="G392" s="4" t="str">
        <f ca="1">IF(OR(INDEX($X$2:$X$1001,MATCH(ROWS($W$2:W392),$W$2:$W$1001,0),1)&gt;=100000,INDEX($AD$1005:$AU$1005,1,MATCH(COLUMNS($AD$1006:AI1006),$AD$1006:$AU$1006,0))&gt;=100000), " ",IF(INDEX($AD$2:$AU$1001,MATCH(ROWS($W$2:W392),$W$2:$W$1001,0),MATCH(COLUMNS($AD$1006:AI1006),$AD$1006:$AU$1006,0)), HYPERLINK("#",""), HYPERLINK(CONCATENATE("#metadata!", ADDRESS(INDEX($Y$2:$Y$1001,MATCH(ROWS($W$2:W392),$W$2:$W$1001,0),0), INDEX($AD$1004:$AU$1004,1,MATCH(COLUMNS($AD$1006:AI1006),$AD$1006:$AU$1006,0)))),"Fix")))</f>
        <v xml:space="preserve"> </v>
      </c>
      <c r="H392" s="4" t="str">
        <f ca="1">IF(OR(INDEX($X$2:$X$1001,MATCH(ROWS($W$2:W392),$W$2:$W$1001,0),1)&gt;=100000,INDEX($AD$1005:$AU$1005,1,MATCH(COLUMNS($AD$1006:AJ1006),$AD$1006:$AU$1006,0))&gt;=100000), " ",IF(INDEX($AD$2:$AU$1001,MATCH(ROWS($W$2:W392),$W$2:$W$1001,0),MATCH(COLUMNS($AD$1006:AJ1006),$AD$1006:$AU$1006,0)), HYPERLINK("#",""), HYPERLINK(CONCATENATE("#metadata!", ADDRESS(INDEX($Y$2:$Y$1001,MATCH(ROWS($W$2:W392),$W$2:$W$1001,0),0), INDEX($AD$1004:$AU$1004,1,MATCH(COLUMNS($AD$1006:AJ1006),$AD$1006:$AU$1006,0)))),"Fix")))</f>
        <v xml:space="preserve"> </v>
      </c>
      <c r="I392" s="4" t="str">
        <f ca="1">IF(OR(INDEX($X$2:$X$1001,MATCH(ROWS($W$2:W392),$W$2:$W$1001,0),1)&gt;=100000,INDEX($AD$1005:$AU$1005,1,MATCH(COLUMNS($AD$1006:AK1006),$AD$1006:$AU$1006,0))&gt;=100000), " ",IF(INDEX($AD$2:$AU$1001,MATCH(ROWS($W$2:W392),$W$2:$W$1001,0),MATCH(COLUMNS($AD$1006:AK1006),$AD$1006:$AU$1006,0)), HYPERLINK("#",""), HYPERLINK(CONCATENATE("#metadata!", ADDRESS(INDEX($Y$2:$Y$1001,MATCH(ROWS($W$2:W392),$W$2:$W$1001,0),0), INDEX($AD$1004:$AU$1004,1,MATCH(COLUMNS($AD$1006:AK1006),$AD$1006:$AU$1006,0)))),"Fix")))</f>
        <v xml:space="preserve"> </v>
      </c>
      <c r="J392" s="4" t="str">
        <f ca="1">IF(OR(INDEX($X$2:$X$1001,MATCH(ROWS($W$2:W392),$W$2:$W$1001,0),1)&gt;=100000,INDEX($AD$1005:$AU$1005,1,MATCH(COLUMNS($AD$1006:AL1006),$AD$1006:$AU$1006,0))&gt;=100000), " ",IF(INDEX($AD$2:$AU$1001,MATCH(ROWS($W$2:W392),$W$2:$W$1001,0),MATCH(COLUMNS($AD$1006:AL1006),$AD$1006:$AU$1006,0)), HYPERLINK("#",""), HYPERLINK(CONCATENATE("#metadata!", ADDRESS(INDEX($Y$2:$Y$1001,MATCH(ROWS($W$2:W392),$W$2:$W$1001,0),0), INDEX($AD$1004:$AU$1004,1,MATCH(COLUMNS($AD$1006:AL1006),$AD$1006:$AU$1006,0)))),"Fix")))</f>
        <v xml:space="preserve"> </v>
      </c>
      <c r="K392" s="4" t="str">
        <f ca="1">IF(OR(INDEX($X$2:$X$1001,MATCH(ROWS($W$2:W392),$W$2:$W$1001,0),1)&gt;=100000,INDEX($AD$1005:$AU$1005,1,MATCH(COLUMNS($AD$1006:AM1006),$AD$1006:$AU$1006,0))&gt;=100000), " ",IF(INDEX($AD$2:$AU$1001,MATCH(ROWS($W$2:W392),$W$2:$W$1001,0),MATCH(COLUMNS($AD$1006:AM1006),$AD$1006:$AU$1006,0)), HYPERLINK("#",""), HYPERLINK(CONCATENATE("#metadata!", ADDRESS(INDEX($Y$2:$Y$1001,MATCH(ROWS($W$2:W392),$W$2:$W$1001,0),0), INDEX($AD$1004:$AU$1004,1,MATCH(COLUMNS($AD$1006:AM1006),$AD$1006:$AU$1006,0)))),"Fix")))</f>
        <v xml:space="preserve"> </v>
      </c>
      <c r="L392" s="4" t="str">
        <f ca="1">IF(OR(INDEX($X$2:$X$1001,MATCH(ROWS($W$2:W392),$W$2:$W$1001,0),1)&gt;=100000,INDEX($AD$1005:$AU$1005,1,MATCH(COLUMNS($AD$1006:AN1006),$AD$1006:$AU$1006,0))&gt;=100000), " ",IF(INDEX($AD$2:$AU$1001,MATCH(ROWS($W$2:W392),$W$2:$W$1001,0),MATCH(COLUMNS($AD$1006:AN1006),$AD$1006:$AU$1006,0)), HYPERLINK("#",""), HYPERLINK(CONCATENATE("#metadata!", ADDRESS(INDEX($Y$2:$Y$1001,MATCH(ROWS($W$2:W392),$W$2:$W$1001,0),0), INDEX($AD$1004:$AU$1004,1,MATCH(COLUMNS($AD$1006:AN1006),$AD$1006:$AU$1006,0)))),"Fix")))</f>
        <v xml:space="preserve"> </v>
      </c>
      <c r="M392" s="4" t="str">
        <f ca="1">IF(OR(INDEX($X$2:$X$1001,MATCH(ROWS($W$2:W392),$W$2:$W$1001,0),1)&gt;=100000,INDEX($AD$1005:$AU$1005,1,MATCH(COLUMNS($AD$1006:AO1006),$AD$1006:$AU$1006,0))&gt;=100000), " ",IF(INDEX($AD$2:$AU$1001,MATCH(ROWS($W$2:W392),$W$2:$W$1001,0),MATCH(COLUMNS($AD$1006:AO1006),$AD$1006:$AU$1006,0)), HYPERLINK("#",""), HYPERLINK(CONCATENATE("#metadata!", ADDRESS(INDEX($Y$2:$Y$1001,MATCH(ROWS($W$2:W392),$W$2:$W$1001,0),0), INDEX($AD$1004:$AU$1004,1,MATCH(COLUMNS($AD$1006:AO1006),$AD$1006:$AU$1006,0)))),"Fix")))</f>
        <v xml:space="preserve"> </v>
      </c>
      <c r="N392" s="4" t="str">
        <f ca="1">IF(OR(INDEX($X$2:$X$1001,MATCH(ROWS($W$2:W392),$W$2:$W$1001,0),1)&gt;=100000,INDEX($AD$1005:$AU$1005,1,MATCH(COLUMNS($AD$1006:AP1006),$AD$1006:$AU$1006,0))&gt;=100000), " ",IF(INDEX($AD$2:$AU$1001,MATCH(ROWS($W$2:W392),$W$2:$W$1001,0),MATCH(COLUMNS($AD$1006:AP1006),$AD$1006:$AU$1006,0)), HYPERLINK("#",""), HYPERLINK(CONCATENATE("#metadata!", ADDRESS(INDEX($Y$2:$Y$1001,MATCH(ROWS($W$2:W392),$W$2:$W$1001,0),0), INDEX($AD$1004:$AU$1004,1,MATCH(COLUMNS($AD$1006:AP1006),$AD$1006:$AU$1006,0)))),"Fix")))</f>
        <v xml:space="preserve"> </v>
      </c>
      <c r="O392" s="4" t="str">
        <f ca="1">IF(OR(INDEX($X$2:$X$1001,MATCH(ROWS($W$2:W392),$W$2:$W$1001,0),1)&gt;=100000,INDEX($AD$1005:$AU$1005,1,MATCH(COLUMNS($AD$1006:AQ1006),$AD$1006:$AU$1006,0))&gt;=100000), " ",IF(INDEX($AD$2:$AU$1001,MATCH(ROWS($W$2:W392),$W$2:$W$1001,0),MATCH(COLUMNS($AD$1006:AQ1006),$AD$1006:$AU$1006,0)), HYPERLINK("#",""), HYPERLINK(CONCATENATE("#metadata!", ADDRESS(INDEX($Y$2:$Y$1001,MATCH(ROWS($W$2:W392),$W$2:$W$1001,0),0), INDEX($AD$1004:$AU$1004,1,MATCH(COLUMNS($AD$1006:AQ1006),$AD$1006:$AU$1006,0)))),"Fix")))</f>
        <v xml:space="preserve"> </v>
      </c>
      <c r="P392" s="4" t="str">
        <f ca="1">IF(OR(INDEX($X$2:$X$1001,MATCH(ROWS($W$2:W392),$W$2:$W$1001,0),1)&gt;=100000,INDEX($AD$1005:$AU$1005,1,MATCH(COLUMNS($AD$1006:AR1006),$AD$1006:$AU$1006,0))&gt;=100000), " ",IF(INDEX($AD$2:$AU$1001,MATCH(ROWS($W$2:W392),$W$2:$W$1001,0),MATCH(COLUMNS($AD$1006:AR1006),$AD$1006:$AU$1006,0)), HYPERLINK("#",""), HYPERLINK(CONCATENATE("#metadata!", ADDRESS(INDEX($Y$2:$Y$1001,MATCH(ROWS($W$2:W392),$W$2:$W$1001,0),0), INDEX($AD$1004:$AU$1004,1,MATCH(COLUMNS($AD$1006:AR1006),$AD$1006:$AU$1006,0)))),"Fix")))</f>
        <v xml:space="preserve"> </v>
      </c>
      <c r="Q392" s="4" t="str">
        <f ca="1">IF(OR(INDEX($X$2:$X$1001,MATCH(ROWS($W$2:W392),$W$2:$W$1001,0),1)&gt;=100000,INDEX($AD$1005:$AU$1005,1,MATCH(COLUMNS($AD$1006:AS1006),$AD$1006:$AU$1006,0))&gt;=100000), " ",IF(INDEX($AD$2:$AU$1001,MATCH(ROWS($W$2:W392),$W$2:$W$1001,0),MATCH(COLUMNS($AD$1006:AS1006),$AD$1006:$AU$1006,0)), HYPERLINK("#",""), HYPERLINK(CONCATENATE("#metadata!", ADDRESS(INDEX($Y$2:$Y$1001,MATCH(ROWS($W$2:W392),$W$2:$W$1001,0),0), INDEX($AD$1004:$AU$1004,1,MATCH(COLUMNS($AD$1006:AS1006),$AD$1006:$AU$1006,0)))),"Fix")))</f>
        <v xml:space="preserve"> </v>
      </c>
      <c r="R392" s="4" t="str">
        <f ca="1">IF(OR(INDEX($X$2:$X$1001,MATCH(ROWS($W$2:W392),$W$2:$W$1001,0),1)&gt;=100000,INDEX($AD$1005:$AU$1005,1,MATCH(COLUMNS($AD$1006:AT1006),$AD$1006:$AU$1006,0))&gt;=100000), " ",IF(INDEX($AD$2:$AU$1001,MATCH(ROWS($W$2:W392),$W$2:$W$1001,0),MATCH(COLUMNS($AD$1006:AT1006),$AD$1006:$AU$1006,0)), HYPERLINK("#",""), HYPERLINK(CONCATENATE("#metadata!", ADDRESS(INDEX($Y$2:$Y$1001,MATCH(ROWS($W$2:W392),$W$2:$W$1001,0),0), INDEX($AD$1004:$AU$1004,1,MATCH(COLUMNS($AD$1006:AT1006),$AD$1006:$AU$1006,0)))),"Fix")))</f>
        <v xml:space="preserve"> </v>
      </c>
      <c r="S392" s="4" t="str">
        <f ca="1">IF(OR(INDEX($X$2:$X$1001,MATCH(ROWS($W$2:W392),$W$2:$W$1001,0),1)&gt;=100000,INDEX($AD$1005:$AU$1005,1,MATCH(COLUMNS($AD$1006:AU1006),$AD$1006:$AU$1006,0))&gt;=100000), " ",IF(INDEX($AD$2:$AU$1001,MATCH(ROWS($W$2:W392),$W$2:$W$1001,0),MATCH(COLUMNS($AD$1006:AU1006),$AD$1006:$AU$1006,0)), HYPERLINK("#",""), HYPERLINK(CONCATENATE("#metadata!", ADDRESS(INDEX($Y$2:$Y$1001,MATCH(ROWS($W$2:W392),$W$2:$W$1001,0),0), INDEX($AD$1004:$AU$1004,1,MATCH(COLUMNS($AD$1006:AU1006),$AD$1006:$AU$1006,0)))),"Fix")))</f>
        <v xml:space="preserve"> </v>
      </c>
      <c r="W392">
        <v>391</v>
      </c>
      <c r="X392">
        <v>100392</v>
      </c>
      <c r="Y392">
        <v>392</v>
      </c>
      <c r="Z392" t="b">
        <f t="shared" si="6"/>
        <v>1</v>
      </c>
      <c r="AA392" t="b">
        <f>COUNTBLANK(metadata!B392:S392)=COLUMNS(metadata!B392:S392)</f>
        <v>1</v>
      </c>
      <c r="AB392" t="str">
        <v/>
      </c>
      <c r="AD392" t="b">
        <f ca="1">AND(IF(metadata!B392="",FALSE,TRUE),COUNTIF(metadata!B:B, metadata!B392) = 1,NOT(ISERROR(SUMPRODUCT(SEARCH(MID(metadata!B392,ROW(INDIRECT("1:"&amp;LEN(metadata!B392))), 1),"0123456789abcdefghijklmnopqrstuvwxyzABCDEFGHIJKLMNOPQRSTUVWXYZ.")))))</f>
        <v>0</v>
      </c>
      <c r="AE392" t="b">
        <f>OR(AND(IF(metadata!C392="",FALSE,TRUE),OR(EXACT(metadata!C392,"not applicable"),EXACT(metadata!C392,"missing: not collected"),EXACT(metadata!C392,"missing: not provided"),EXACT(metadata!C392,"missing: restricted access"))),AND(IF(metadata!C392="",FALSE,ISNUMBER(VALUE(metadata!C392))),metadata!C392&gt;0))</f>
        <v>0</v>
      </c>
      <c r="AF392" t="b">
        <f>AND(IF(metadata!D392="",FALSE,TRUE),EXACT(metadata!D392,"missing: not provided"))</f>
        <v>0</v>
      </c>
      <c r="AG392" t="b">
        <f>AND(IF(metadata!E392="",FALSE,TRUE),EXACT(metadata!E392,"Host-associated"))</f>
        <v>0</v>
      </c>
      <c r="AH392" t="b">
        <f>AND(IF(metadata!F392="",FALSE,TRUE),OR(EXACT(metadata!F392,"Animal"),EXACT(metadata!F392,"Fungus"),EXACT(metadata!F392,"Plant")))</f>
        <v>0</v>
      </c>
      <c r="AI392" t="b">
        <f>AND(IF(metadata!G392="",FALSE,TRUE),OR(EXACT(metadata!G392,"Plant secretion"),EXACT(metadata!G392,"Plant rhizosphere"),EXACT(metadata!G392,"Plant surface"),EXACT(metadata!G392,"Plant corpus"),EXACT(metadata!G392,"Fungus surface"),EXACT(metadata!G392,"Fungus corpus"),EXACT(metadata!G392,"Animal surface"),EXACT(metadata!G392,"Animal proximal gut"),EXACT(metadata!G392,"Animal corpus"),EXACT(metadata!G392,"Animal distal gut"),EXACT(metadata!G392,"Animal secretion")))</f>
        <v>0</v>
      </c>
      <c r="AJ392" t="b">
        <f>OR(AND(IF(metadata!H392="",FALSE,TRUE),OR(EXACT(metadata!H392,"missing: not collected"),EXACT(metadata!H392,"missing: not provided"),EXACT(metadata!H392,"missing: restricted access"))),AND(IF(metadata!H392="",FALSE,TRUE),OR(EXACT(metadata!H392,"organism-associated habitat"),EXACT(metadata!H392,"plant-associated habitat"),EXACT(metadata!H392,"animal-associated habitat"),EXACT(metadata!H392,"insecta-associated habitat"),EXACT(metadata!H392,"mammalia-associated habitat"),EXACT(metadata!H392,"human-associated habitat"),EXACT(metadata!H392,"livestock-associated habitat"))))</f>
        <v>0</v>
      </c>
      <c r="AK392" t="b">
        <f>AND(IF(metadata!I392="",FALSE,TRUE),EXACT(metadata!I392,"host-associated"))</f>
        <v>0</v>
      </c>
      <c r="AL392" t="b">
        <f>OR(AND(IF(metadata!J392="",FALSE,TRUE),OR(EXACT(metadata!J392,"not applicable"),EXACT(metadata!J392,"missing: not collected"),EXACT(metadata!J392,"missing: not provided"),EXACT(metadata!J392,"missing: restricted access"))),AND(IF(metadata!J392="",FALSE,ISNUMBER(VALUE(metadata!J392))),metadata!J392&gt;0))</f>
        <v>0</v>
      </c>
      <c r="AM392" t="b">
        <f>AND(IF(metadata!K392="",FALSE,TRUE),EXACT(metadata!K392,"missing: not provided"))</f>
        <v>0</v>
      </c>
      <c r="AN392" t="b">
        <f>IF(metadata!L392="",FALSE,TRUE)</f>
        <v>0</v>
      </c>
      <c r="AO392" t="b">
        <f>IF(metadata!M392="",FALSE,TRUE)</f>
        <v>0</v>
      </c>
      <c r="AP392" t="b">
        <f>OR(AND(IF(metadata!N392="",FALSE,TRUE),OR(EXACT(metadata!N392,"not applicable"),EXACT(metadata!N392,"missing: not collected"),EXACT(metadata!N392,"missing: not provided"))),AND(IF(metadata!N392="",FALSE,IF(ISERROR(INT(metadata!N392)),FALSE,INT(metadata!N392)=metadata!N392)),metadata!N392&gt;0))</f>
        <v>0</v>
      </c>
      <c r="AQ392" t="b">
        <f>AND(IF(metadata!O392="",FALSE,TRUE),EXACT(metadata!O392,"Not applicable"))</f>
        <v>0</v>
      </c>
      <c r="AR392" t="b">
        <f>OR(AND(IF(metadata!P392="",FALSE,TRUE),OR(EXACT(metadata!P392,"not applicable"),EXACT(metadata!P392,"missing: not collected"),EXACT(metadata!P392,"missing: not provided"),EXACT(metadata!P392,"missing: restricted access"))),IF(metadata!P392="",FALSE,IF(ISERROR(INT(metadata!P392)),FALSE,INT(metadata!P392)=metadata!P392)))</f>
        <v>0</v>
      </c>
      <c r="AS392" t="b">
        <f>AND(IF(metadata!Q392="",FALSE,TRUE),EXACT(metadata!Q392,"Not applicable"))</f>
        <v>0</v>
      </c>
      <c r="AT392" t="b">
        <f>OR(AND(IF(metadata!R392="",FALSE,TRUE),OR(EXACT(metadata!R392,"not applicable"),EXACT(metadata!R392,"missing: not collected"),EXACT(metadata!R392,"missing: not provided"),EXACT(metadata!R392,"missing: restricted access"))),AND(IF(metadata!R392="",FALSE,ISNUMBER(VALUE(metadata!R392))),metadata!R392&gt;0))</f>
        <v>0</v>
      </c>
      <c r="AU392" t="b">
        <f>AND(IF(metadata!S392="",FALSE,TRUE),EXACT(metadata!S392,"missing: not provided"))</f>
        <v>0</v>
      </c>
    </row>
    <row r="393" spans="1:47" x14ac:dyDescent="0.2">
      <c r="A393" s="5" t="str">
        <f ca="1">IF(B393=" "," ",HYPERLINK(CONCATENATE("#metadata!",ADDRESS(INDEX($Y$2:$Y$1001,MATCH(ROWS($W$2:W393),$W$2:$W$1001,0),0),1)),INDEX($AB$2:$AB$1001,MATCH(ROWS($W$2:W393),$W$2:$W$1001,0),0)))</f>
        <v xml:space="preserve"> </v>
      </c>
      <c r="B393" s="4" t="str">
        <f ca="1">IF(OR(INDEX($X$2:$X$1001,MATCH(ROWS($W$2:W393),$W$2:$W$1001,0),1)&gt;=100000,INDEX($AD$1005:$AU$1005,1,MATCH(COLUMNS($AD$1006:AD1006),$AD$1006:$AU$1006,0))&gt;=100000), " ",IF(INDEX($AD$2:$AU$1001,MATCH(ROWS($W$2:W393),$W$2:$W$1001,0),MATCH(COLUMNS($AD$1006:AD1006),$AD$1006:$AU$1006,0)), HYPERLINK("#",""), HYPERLINK(CONCATENATE("#metadata!", ADDRESS(INDEX($Y$2:$Y$1001,MATCH(ROWS($W$2:W393),$W$2:$W$1001,0),0), INDEX($AD$1004:$AU$1004,1,MATCH(COLUMNS($AD$1006:AD1006),$AD$1006:$AU$1006,0)))),"Fix")))</f>
        <v xml:space="preserve"> </v>
      </c>
      <c r="C393" s="4" t="str">
        <f ca="1">IF(OR(INDEX($X$2:$X$1001,MATCH(ROWS($W$2:W393),$W$2:$W$1001,0),1)&gt;=100000,INDEX($AD$1005:$AU$1005,1,MATCH(COLUMNS($AD$1006:AE1006),$AD$1006:$AU$1006,0))&gt;=100000), " ",IF(INDEX($AD$2:$AU$1001,MATCH(ROWS($W$2:W393),$W$2:$W$1001,0),MATCH(COLUMNS($AD$1006:AE1006),$AD$1006:$AU$1006,0)), HYPERLINK("#",""), HYPERLINK(CONCATENATE("#metadata!", ADDRESS(INDEX($Y$2:$Y$1001,MATCH(ROWS($W$2:W393),$W$2:$W$1001,0),0), INDEX($AD$1004:$AU$1004,1,MATCH(COLUMNS($AD$1006:AE1006),$AD$1006:$AU$1006,0)))),"Fix")))</f>
        <v xml:space="preserve"> </v>
      </c>
      <c r="D393" s="4" t="str">
        <f ca="1">IF(OR(INDEX($X$2:$X$1001,MATCH(ROWS($W$2:W393),$W$2:$W$1001,0),1)&gt;=100000,INDEX($AD$1005:$AU$1005,1,MATCH(COLUMNS($AD$1006:AF1006),$AD$1006:$AU$1006,0))&gt;=100000), " ",IF(INDEX($AD$2:$AU$1001,MATCH(ROWS($W$2:W393),$W$2:$W$1001,0),MATCH(COLUMNS($AD$1006:AF1006),$AD$1006:$AU$1006,0)), HYPERLINK("#",""), HYPERLINK(CONCATENATE("#metadata!", ADDRESS(INDEX($Y$2:$Y$1001,MATCH(ROWS($W$2:W393),$W$2:$W$1001,0),0), INDEX($AD$1004:$AU$1004,1,MATCH(COLUMNS($AD$1006:AF1006),$AD$1006:$AU$1006,0)))),"Fix")))</f>
        <v xml:space="preserve"> </v>
      </c>
      <c r="E393" s="4" t="str">
        <f ca="1">IF(OR(INDEX($X$2:$X$1001,MATCH(ROWS($W$2:W393),$W$2:$W$1001,0),1)&gt;=100000,INDEX($AD$1005:$AU$1005,1,MATCH(COLUMNS($AD$1006:AG1006),$AD$1006:$AU$1006,0))&gt;=100000), " ",IF(INDEX($AD$2:$AU$1001,MATCH(ROWS($W$2:W393),$W$2:$W$1001,0),MATCH(COLUMNS($AD$1006:AG1006),$AD$1006:$AU$1006,0)), HYPERLINK("#",""), HYPERLINK(CONCATENATE("#metadata!", ADDRESS(INDEX($Y$2:$Y$1001,MATCH(ROWS($W$2:W393),$W$2:$W$1001,0),0), INDEX($AD$1004:$AU$1004,1,MATCH(COLUMNS($AD$1006:AG1006),$AD$1006:$AU$1006,0)))),"Fix")))</f>
        <v xml:space="preserve"> </v>
      </c>
      <c r="F393" s="4" t="str">
        <f ca="1">IF(OR(INDEX($X$2:$X$1001,MATCH(ROWS($W$2:W393),$W$2:$W$1001,0),1)&gt;=100000,INDEX($AD$1005:$AU$1005,1,MATCH(COLUMNS($AD$1006:AH1006),$AD$1006:$AU$1006,0))&gt;=100000), " ",IF(INDEX($AD$2:$AU$1001,MATCH(ROWS($W$2:W393),$W$2:$W$1001,0),MATCH(COLUMNS($AD$1006:AH1006),$AD$1006:$AU$1006,0)), HYPERLINK("#",""), HYPERLINK(CONCATENATE("#metadata!", ADDRESS(INDEX($Y$2:$Y$1001,MATCH(ROWS($W$2:W393),$W$2:$W$1001,0),0), INDEX($AD$1004:$AU$1004,1,MATCH(COLUMNS($AD$1006:AH1006),$AD$1006:$AU$1006,0)))),"Fix")))</f>
        <v xml:space="preserve"> </v>
      </c>
      <c r="G393" s="4" t="str">
        <f ca="1">IF(OR(INDEX($X$2:$X$1001,MATCH(ROWS($W$2:W393),$W$2:$W$1001,0),1)&gt;=100000,INDEX($AD$1005:$AU$1005,1,MATCH(COLUMNS($AD$1006:AI1006),$AD$1006:$AU$1006,0))&gt;=100000), " ",IF(INDEX($AD$2:$AU$1001,MATCH(ROWS($W$2:W393),$W$2:$W$1001,0),MATCH(COLUMNS($AD$1006:AI1006),$AD$1006:$AU$1006,0)), HYPERLINK("#",""), HYPERLINK(CONCATENATE("#metadata!", ADDRESS(INDEX($Y$2:$Y$1001,MATCH(ROWS($W$2:W393),$W$2:$W$1001,0),0), INDEX($AD$1004:$AU$1004,1,MATCH(COLUMNS($AD$1006:AI1006),$AD$1006:$AU$1006,0)))),"Fix")))</f>
        <v xml:space="preserve"> </v>
      </c>
      <c r="H393" s="4" t="str">
        <f ca="1">IF(OR(INDEX($X$2:$X$1001,MATCH(ROWS($W$2:W393),$W$2:$W$1001,0),1)&gt;=100000,INDEX($AD$1005:$AU$1005,1,MATCH(COLUMNS($AD$1006:AJ1006),$AD$1006:$AU$1006,0))&gt;=100000), " ",IF(INDEX($AD$2:$AU$1001,MATCH(ROWS($W$2:W393),$W$2:$W$1001,0),MATCH(COLUMNS($AD$1006:AJ1006),$AD$1006:$AU$1006,0)), HYPERLINK("#",""), HYPERLINK(CONCATENATE("#metadata!", ADDRESS(INDEX($Y$2:$Y$1001,MATCH(ROWS($W$2:W393),$W$2:$W$1001,0),0), INDEX($AD$1004:$AU$1004,1,MATCH(COLUMNS($AD$1006:AJ1006),$AD$1006:$AU$1006,0)))),"Fix")))</f>
        <v xml:space="preserve"> </v>
      </c>
      <c r="I393" s="4" t="str">
        <f ca="1">IF(OR(INDEX($X$2:$X$1001,MATCH(ROWS($W$2:W393),$W$2:$W$1001,0),1)&gt;=100000,INDEX($AD$1005:$AU$1005,1,MATCH(COLUMNS($AD$1006:AK1006),$AD$1006:$AU$1006,0))&gt;=100000), " ",IF(INDEX($AD$2:$AU$1001,MATCH(ROWS($W$2:W393),$W$2:$W$1001,0),MATCH(COLUMNS($AD$1006:AK1006),$AD$1006:$AU$1006,0)), HYPERLINK("#",""), HYPERLINK(CONCATENATE("#metadata!", ADDRESS(INDEX($Y$2:$Y$1001,MATCH(ROWS($W$2:W393),$W$2:$W$1001,0),0), INDEX($AD$1004:$AU$1004,1,MATCH(COLUMNS($AD$1006:AK1006),$AD$1006:$AU$1006,0)))),"Fix")))</f>
        <v xml:space="preserve"> </v>
      </c>
      <c r="J393" s="4" t="str">
        <f ca="1">IF(OR(INDEX($X$2:$X$1001,MATCH(ROWS($W$2:W393),$W$2:$W$1001,0),1)&gt;=100000,INDEX($AD$1005:$AU$1005,1,MATCH(COLUMNS($AD$1006:AL1006),$AD$1006:$AU$1006,0))&gt;=100000), " ",IF(INDEX($AD$2:$AU$1001,MATCH(ROWS($W$2:W393),$W$2:$W$1001,0),MATCH(COLUMNS($AD$1006:AL1006),$AD$1006:$AU$1006,0)), HYPERLINK("#",""), HYPERLINK(CONCATENATE("#metadata!", ADDRESS(INDEX($Y$2:$Y$1001,MATCH(ROWS($W$2:W393),$W$2:$W$1001,0),0), INDEX($AD$1004:$AU$1004,1,MATCH(COLUMNS($AD$1006:AL1006),$AD$1006:$AU$1006,0)))),"Fix")))</f>
        <v xml:space="preserve"> </v>
      </c>
      <c r="K393" s="4" t="str">
        <f ca="1">IF(OR(INDEX($X$2:$X$1001,MATCH(ROWS($W$2:W393),$W$2:$W$1001,0),1)&gt;=100000,INDEX($AD$1005:$AU$1005,1,MATCH(COLUMNS($AD$1006:AM1006),$AD$1006:$AU$1006,0))&gt;=100000), " ",IF(INDEX($AD$2:$AU$1001,MATCH(ROWS($W$2:W393),$W$2:$W$1001,0),MATCH(COLUMNS($AD$1006:AM1006),$AD$1006:$AU$1006,0)), HYPERLINK("#",""), HYPERLINK(CONCATENATE("#metadata!", ADDRESS(INDEX($Y$2:$Y$1001,MATCH(ROWS($W$2:W393),$W$2:$W$1001,0),0), INDEX($AD$1004:$AU$1004,1,MATCH(COLUMNS($AD$1006:AM1006),$AD$1006:$AU$1006,0)))),"Fix")))</f>
        <v xml:space="preserve"> </v>
      </c>
      <c r="L393" s="4" t="str">
        <f ca="1">IF(OR(INDEX($X$2:$X$1001,MATCH(ROWS($W$2:W393),$W$2:$W$1001,0),1)&gt;=100000,INDEX($AD$1005:$AU$1005,1,MATCH(COLUMNS($AD$1006:AN1006),$AD$1006:$AU$1006,0))&gt;=100000), " ",IF(INDEX($AD$2:$AU$1001,MATCH(ROWS($W$2:W393),$W$2:$W$1001,0),MATCH(COLUMNS($AD$1006:AN1006),$AD$1006:$AU$1006,0)), HYPERLINK("#",""), HYPERLINK(CONCATENATE("#metadata!", ADDRESS(INDEX($Y$2:$Y$1001,MATCH(ROWS($W$2:W393),$W$2:$W$1001,0),0), INDEX($AD$1004:$AU$1004,1,MATCH(COLUMNS($AD$1006:AN1006),$AD$1006:$AU$1006,0)))),"Fix")))</f>
        <v xml:space="preserve"> </v>
      </c>
      <c r="M393" s="4" t="str">
        <f ca="1">IF(OR(INDEX($X$2:$X$1001,MATCH(ROWS($W$2:W393),$W$2:$W$1001,0),1)&gt;=100000,INDEX($AD$1005:$AU$1005,1,MATCH(COLUMNS($AD$1006:AO1006),$AD$1006:$AU$1006,0))&gt;=100000), " ",IF(INDEX($AD$2:$AU$1001,MATCH(ROWS($W$2:W393),$W$2:$W$1001,0),MATCH(COLUMNS($AD$1006:AO1006),$AD$1006:$AU$1006,0)), HYPERLINK("#",""), HYPERLINK(CONCATENATE("#metadata!", ADDRESS(INDEX($Y$2:$Y$1001,MATCH(ROWS($W$2:W393),$W$2:$W$1001,0),0), INDEX($AD$1004:$AU$1004,1,MATCH(COLUMNS($AD$1006:AO1006),$AD$1006:$AU$1006,0)))),"Fix")))</f>
        <v xml:space="preserve"> </v>
      </c>
      <c r="N393" s="4" t="str">
        <f ca="1">IF(OR(INDEX($X$2:$X$1001,MATCH(ROWS($W$2:W393),$W$2:$W$1001,0),1)&gt;=100000,INDEX($AD$1005:$AU$1005,1,MATCH(COLUMNS($AD$1006:AP1006),$AD$1006:$AU$1006,0))&gt;=100000), " ",IF(INDEX($AD$2:$AU$1001,MATCH(ROWS($W$2:W393),$W$2:$W$1001,0),MATCH(COLUMNS($AD$1006:AP1006),$AD$1006:$AU$1006,0)), HYPERLINK("#",""), HYPERLINK(CONCATENATE("#metadata!", ADDRESS(INDEX($Y$2:$Y$1001,MATCH(ROWS($W$2:W393),$W$2:$W$1001,0),0), INDEX($AD$1004:$AU$1004,1,MATCH(COLUMNS($AD$1006:AP1006),$AD$1006:$AU$1006,0)))),"Fix")))</f>
        <v xml:space="preserve"> </v>
      </c>
      <c r="O393" s="4" t="str">
        <f ca="1">IF(OR(INDEX($X$2:$X$1001,MATCH(ROWS($W$2:W393),$W$2:$W$1001,0),1)&gt;=100000,INDEX($AD$1005:$AU$1005,1,MATCH(COLUMNS($AD$1006:AQ1006),$AD$1006:$AU$1006,0))&gt;=100000), " ",IF(INDEX($AD$2:$AU$1001,MATCH(ROWS($W$2:W393),$W$2:$W$1001,0),MATCH(COLUMNS($AD$1006:AQ1006),$AD$1006:$AU$1006,0)), HYPERLINK("#",""), HYPERLINK(CONCATENATE("#metadata!", ADDRESS(INDEX($Y$2:$Y$1001,MATCH(ROWS($W$2:W393),$W$2:$W$1001,0),0), INDEX($AD$1004:$AU$1004,1,MATCH(COLUMNS($AD$1006:AQ1006),$AD$1006:$AU$1006,0)))),"Fix")))</f>
        <v xml:space="preserve"> </v>
      </c>
      <c r="P393" s="4" t="str">
        <f ca="1">IF(OR(INDEX($X$2:$X$1001,MATCH(ROWS($W$2:W393),$W$2:$W$1001,0),1)&gt;=100000,INDEX($AD$1005:$AU$1005,1,MATCH(COLUMNS($AD$1006:AR1006),$AD$1006:$AU$1006,0))&gt;=100000), " ",IF(INDEX($AD$2:$AU$1001,MATCH(ROWS($W$2:W393),$W$2:$W$1001,0),MATCH(COLUMNS($AD$1006:AR1006),$AD$1006:$AU$1006,0)), HYPERLINK("#",""), HYPERLINK(CONCATENATE("#metadata!", ADDRESS(INDEX($Y$2:$Y$1001,MATCH(ROWS($W$2:W393),$W$2:$W$1001,0),0), INDEX($AD$1004:$AU$1004,1,MATCH(COLUMNS($AD$1006:AR1006),$AD$1006:$AU$1006,0)))),"Fix")))</f>
        <v xml:space="preserve"> </v>
      </c>
      <c r="Q393" s="4" t="str">
        <f ca="1">IF(OR(INDEX($X$2:$X$1001,MATCH(ROWS($W$2:W393),$W$2:$W$1001,0),1)&gt;=100000,INDEX($AD$1005:$AU$1005,1,MATCH(COLUMNS($AD$1006:AS1006),$AD$1006:$AU$1006,0))&gt;=100000), " ",IF(INDEX($AD$2:$AU$1001,MATCH(ROWS($W$2:W393),$W$2:$W$1001,0),MATCH(COLUMNS($AD$1006:AS1006),$AD$1006:$AU$1006,0)), HYPERLINK("#",""), HYPERLINK(CONCATENATE("#metadata!", ADDRESS(INDEX($Y$2:$Y$1001,MATCH(ROWS($W$2:W393),$W$2:$W$1001,0),0), INDEX($AD$1004:$AU$1004,1,MATCH(COLUMNS($AD$1006:AS1006),$AD$1006:$AU$1006,0)))),"Fix")))</f>
        <v xml:space="preserve"> </v>
      </c>
      <c r="R393" s="4" t="str">
        <f ca="1">IF(OR(INDEX($X$2:$X$1001,MATCH(ROWS($W$2:W393),$W$2:$W$1001,0),1)&gt;=100000,INDEX($AD$1005:$AU$1005,1,MATCH(COLUMNS($AD$1006:AT1006),$AD$1006:$AU$1006,0))&gt;=100000), " ",IF(INDEX($AD$2:$AU$1001,MATCH(ROWS($W$2:W393),$W$2:$W$1001,0),MATCH(COLUMNS($AD$1006:AT1006),$AD$1006:$AU$1006,0)), HYPERLINK("#",""), HYPERLINK(CONCATENATE("#metadata!", ADDRESS(INDEX($Y$2:$Y$1001,MATCH(ROWS($W$2:W393),$W$2:$W$1001,0),0), INDEX($AD$1004:$AU$1004,1,MATCH(COLUMNS($AD$1006:AT1006),$AD$1006:$AU$1006,0)))),"Fix")))</f>
        <v xml:space="preserve"> </v>
      </c>
      <c r="S393" s="4" t="str">
        <f ca="1">IF(OR(INDEX($X$2:$X$1001,MATCH(ROWS($W$2:W393),$W$2:$W$1001,0),1)&gt;=100000,INDEX($AD$1005:$AU$1005,1,MATCH(COLUMNS($AD$1006:AU1006),$AD$1006:$AU$1006,0))&gt;=100000), " ",IF(INDEX($AD$2:$AU$1001,MATCH(ROWS($W$2:W393),$W$2:$W$1001,0),MATCH(COLUMNS($AD$1006:AU1006),$AD$1006:$AU$1006,0)), HYPERLINK("#",""), HYPERLINK(CONCATENATE("#metadata!", ADDRESS(INDEX($Y$2:$Y$1001,MATCH(ROWS($W$2:W393),$W$2:$W$1001,0),0), INDEX($AD$1004:$AU$1004,1,MATCH(COLUMNS($AD$1006:AU1006),$AD$1006:$AU$1006,0)))),"Fix")))</f>
        <v xml:space="preserve"> </v>
      </c>
      <c r="W393">
        <v>392</v>
      </c>
      <c r="X393">
        <v>100393</v>
      </c>
      <c r="Y393">
        <v>393</v>
      </c>
      <c r="Z393" t="b">
        <f t="shared" si="6"/>
        <v>1</v>
      </c>
      <c r="AA393" t="b">
        <f>COUNTBLANK(metadata!B393:S393)=COLUMNS(metadata!B393:S393)</f>
        <v>1</v>
      </c>
      <c r="AB393" t="str">
        <v/>
      </c>
      <c r="AD393" t="b">
        <f ca="1">AND(IF(metadata!B393="",FALSE,TRUE),COUNTIF(metadata!B:B, metadata!B393) = 1,NOT(ISERROR(SUMPRODUCT(SEARCH(MID(metadata!B393,ROW(INDIRECT("1:"&amp;LEN(metadata!B393))), 1),"0123456789abcdefghijklmnopqrstuvwxyzABCDEFGHIJKLMNOPQRSTUVWXYZ.")))))</f>
        <v>0</v>
      </c>
      <c r="AE393" t="b">
        <f>OR(AND(IF(metadata!C393="",FALSE,TRUE),OR(EXACT(metadata!C393,"not applicable"),EXACT(metadata!C393,"missing: not collected"),EXACT(metadata!C393,"missing: not provided"),EXACT(metadata!C393,"missing: restricted access"))),AND(IF(metadata!C393="",FALSE,ISNUMBER(VALUE(metadata!C393))),metadata!C393&gt;0))</f>
        <v>0</v>
      </c>
      <c r="AF393" t="b">
        <f>AND(IF(metadata!D393="",FALSE,TRUE),EXACT(metadata!D393,"missing: not provided"))</f>
        <v>0</v>
      </c>
      <c r="AG393" t="b">
        <f>AND(IF(metadata!E393="",FALSE,TRUE),EXACT(metadata!E393,"Host-associated"))</f>
        <v>0</v>
      </c>
      <c r="AH393" t="b">
        <f>AND(IF(metadata!F393="",FALSE,TRUE),OR(EXACT(metadata!F393,"Animal"),EXACT(metadata!F393,"Fungus"),EXACT(metadata!F393,"Plant")))</f>
        <v>0</v>
      </c>
      <c r="AI393" t="b">
        <f>AND(IF(metadata!G393="",FALSE,TRUE),OR(EXACT(metadata!G393,"Plant secretion"),EXACT(metadata!G393,"Plant rhizosphere"),EXACT(metadata!G393,"Plant surface"),EXACT(metadata!G393,"Plant corpus"),EXACT(metadata!G393,"Fungus surface"),EXACT(metadata!G393,"Fungus corpus"),EXACT(metadata!G393,"Animal surface"),EXACT(metadata!G393,"Animal proximal gut"),EXACT(metadata!G393,"Animal corpus"),EXACT(metadata!G393,"Animal distal gut"),EXACT(metadata!G393,"Animal secretion")))</f>
        <v>0</v>
      </c>
      <c r="AJ393" t="b">
        <f>OR(AND(IF(metadata!H393="",FALSE,TRUE),OR(EXACT(metadata!H393,"missing: not collected"),EXACT(metadata!H393,"missing: not provided"),EXACT(metadata!H393,"missing: restricted access"))),AND(IF(metadata!H393="",FALSE,TRUE),OR(EXACT(metadata!H393,"organism-associated habitat"),EXACT(metadata!H393,"plant-associated habitat"),EXACT(metadata!H393,"animal-associated habitat"),EXACT(metadata!H393,"insecta-associated habitat"),EXACT(metadata!H393,"mammalia-associated habitat"),EXACT(metadata!H393,"human-associated habitat"),EXACT(metadata!H393,"livestock-associated habitat"))))</f>
        <v>0</v>
      </c>
      <c r="AK393" t="b">
        <f>AND(IF(metadata!I393="",FALSE,TRUE),EXACT(metadata!I393,"host-associated"))</f>
        <v>0</v>
      </c>
      <c r="AL393" t="b">
        <f>OR(AND(IF(metadata!J393="",FALSE,TRUE),OR(EXACT(metadata!J393,"not applicable"),EXACT(metadata!J393,"missing: not collected"),EXACT(metadata!J393,"missing: not provided"),EXACT(metadata!J393,"missing: restricted access"))),AND(IF(metadata!J393="",FALSE,ISNUMBER(VALUE(metadata!J393))),metadata!J393&gt;0))</f>
        <v>0</v>
      </c>
      <c r="AM393" t="b">
        <f>AND(IF(metadata!K393="",FALSE,TRUE),EXACT(metadata!K393,"missing: not provided"))</f>
        <v>0</v>
      </c>
      <c r="AN393" t="b">
        <f>IF(metadata!L393="",FALSE,TRUE)</f>
        <v>0</v>
      </c>
      <c r="AO393" t="b">
        <f>IF(metadata!M393="",FALSE,TRUE)</f>
        <v>0</v>
      </c>
      <c r="AP393" t="b">
        <f>OR(AND(IF(metadata!N393="",FALSE,TRUE),OR(EXACT(metadata!N393,"not applicable"),EXACT(metadata!N393,"missing: not collected"),EXACT(metadata!N393,"missing: not provided"))),AND(IF(metadata!N393="",FALSE,IF(ISERROR(INT(metadata!N393)),FALSE,INT(metadata!N393)=metadata!N393)),metadata!N393&gt;0))</f>
        <v>0</v>
      </c>
      <c r="AQ393" t="b">
        <f>AND(IF(metadata!O393="",FALSE,TRUE),EXACT(metadata!O393,"Not applicable"))</f>
        <v>0</v>
      </c>
      <c r="AR393" t="b">
        <f>OR(AND(IF(metadata!P393="",FALSE,TRUE),OR(EXACT(metadata!P393,"not applicable"),EXACT(metadata!P393,"missing: not collected"),EXACT(metadata!P393,"missing: not provided"),EXACT(metadata!P393,"missing: restricted access"))),IF(metadata!P393="",FALSE,IF(ISERROR(INT(metadata!P393)),FALSE,INT(metadata!P393)=metadata!P393)))</f>
        <v>0</v>
      </c>
      <c r="AS393" t="b">
        <f>AND(IF(metadata!Q393="",FALSE,TRUE),EXACT(metadata!Q393,"Not applicable"))</f>
        <v>0</v>
      </c>
      <c r="AT393" t="b">
        <f>OR(AND(IF(metadata!R393="",FALSE,TRUE),OR(EXACT(metadata!R393,"not applicable"),EXACT(metadata!R393,"missing: not collected"),EXACT(metadata!R393,"missing: not provided"),EXACT(metadata!R393,"missing: restricted access"))),AND(IF(metadata!R393="",FALSE,ISNUMBER(VALUE(metadata!R393))),metadata!R393&gt;0))</f>
        <v>0</v>
      </c>
      <c r="AU393" t="b">
        <f>AND(IF(metadata!S393="",FALSE,TRUE),EXACT(metadata!S393,"missing: not provided"))</f>
        <v>0</v>
      </c>
    </row>
    <row r="394" spans="1:47" x14ac:dyDescent="0.2">
      <c r="A394" s="5" t="str">
        <f ca="1">IF(B394=" "," ",HYPERLINK(CONCATENATE("#metadata!",ADDRESS(INDEX($Y$2:$Y$1001,MATCH(ROWS($W$2:W394),$W$2:$W$1001,0),0),1)),INDEX($AB$2:$AB$1001,MATCH(ROWS($W$2:W394),$W$2:$W$1001,0),0)))</f>
        <v xml:space="preserve"> </v>
      </c>
      <c r="B394" s="4" t="str">
        <f ca="1">IF(OR(INDEX($X$2:$X$1001,MATCH(ROWS($W$2:W394),$W$2:$W$1001,0),1)&gt;=100000,INDEX($AD$1005:$AU$1005,1,MATCH(COLUMNS($AD$1006:AD1006),$AD$1006:$AU$1006,0))&gt;=100000), " ",IF(INDEX($AD$2:$AU$1001,MATCH(ROWS($W$2:W394),$W$2:$W$1001,0),MATCH(COLUMNS($AD$1006:AD1006),$AD$1006:$AU$1006,0)), HYPERLINK("#",""), HYPERLINK(CONCATENATE("#metadata!", ADDRESS(INDEX($Y$2:$Y$1001,MATCH(ROWS($W$2:W394),$W$2:$W$1001,0),0), INDEX($AD$1004:$AU$1004,1,MATCH(COLUMNS($AD$1006:AD1006),$AD$1006:$AU$1006,0)))),"Fix")))</f>
        <v xml:space="preserve"> </v>
      </c>
      <c r="C394" s="4" t="str">
        <f ca="1">IF(OR(INDEX($X$2:$X$1001,MATCH(ROWS($W$2:W394),$W$2:$W$1001,0),1)&gt;=100000,INDEX($AD$1005:$AU$1005,1,MATCH(COLUMNS($AD$1006:AE1006),$AD$1006:$AU$1006,0))&gt;=100000), " ",IF(INDEX($AD$2:$AU$1001,MATCH(ROWS($W$2:W394),$W$2:$W$1001,0),MATCH(COLUMNS($AD$1006:AE1006),$AD$1006:$AU$1006,0)), HYPERLINK("#",""), HYPERLINK(CONCATENATE("#metadata!", ADDRESS(INDEX($Y$2:$Y$1001,MATCH(ROWS($W$2:W394),$W$2:$W$1001,0),0), INDEX($AD$1004:$AU$1004,1,MATCH(COLUMNS($AD$1006:AE1006),$AD$1006:$AU$1006,0)))),"Fix")))</f>
        <v xml:space="preserve"> </v>
      </c>
      <c r="D394" s="4" t="str">
        <f ca="1">IF(OR(INDEX($X$2:$X$1001,MATCH(ROWS($W$2:W394),$W$2:$W$1001,0),1)&gt;=100000,INDEX($AD$1005:$AU$1005,1,MATCH(COLUMNS($AD$1006:AF1006),$AD$1006:$AU$1006,0))&gt;=100000), " ",IF(INDEX($AD$2:$AU$1001,MATCH(ROWS($W$2:W394),$W$2:$W$1001,0),MATCH(COLUMNS($AD$1006:AF1006),$AD$1006:$AU$1006,0)), HYPERLINK("#",""), HYPERLINK(CONCATENATE("#metadata!", ADDRESS(INDEX($Y$2:$Y$1001,MATCH(ROWS($W$2:W394),$W$2:$W$1001,0),0), INDEX($AD$1004:$AU$1004,1,MATCH(COLUMNS($AD$1006:AF1006),$AD$1006:$AU$1006,0)))),"Fix")))</f>
        <v xml:space="preserve"> </v>
      </c>
      <c r="E394" s="4" t="str">
        <f ca="1">IF(OR(INDEX($X$2:$X$1001,MATCH(ROWS($W$2:W394),$W$2:$W$1001,0),1)&gt;=100000,INDEX($AD$1005:$AU$1005,1,MATCH(COLUMNS($AD$1006:AG1006),$AD$1006:$AU$1006,0))&gt;=100000), " ",IF(INDEX($AD$2:$AU$1001,MATCH(ROWS($W$2:W394),$W$2:$W$1001,0),MATCH(COLUMNS($AD$1006:AG1006),$AD$1006:$AU$1006,0)), HYPERLINK("#",""), HYPERLINK(CONCATENATE("#metadata!", ADDRESS(INDEX($Y$2:$Y$1001,MATCH(ROWS($W$2:W394),$W$2:$W$1001,0),0), INDEX($AD$1004:$AU$1004,1,MATCH(COLUMNS($AD$1006:AG1006),$AD$1006:$AU$1006,0)))),"Fix")))</f>
        <v xml:space="preserve"> </v>
      </c>
      <c r="F394" s="4" t="str">
        <f ca="1">IF(OR(INDEX($X$2:$X$1001,MATCH(ROWS($W$2:W394),$W$2:$W$1001,0),1)&gt;=100000,INDEX($AD$1005:$AU$1005,1,MATCH(COLUMNS($AD$1006:AH1006),$AD$1006:$AU$1006,0))&gt;=100000), " ",IF(INDEX($AD$2:$AU$1001,MATCH(ROWS($W$2:W394),$W$2:$W$1001,0),MATCH(COLUMNS($AD$1006:AH1006),$AD$1006:$AU$1006,0)), HYPERLINK("#",""), HYPERLINK(CONCATENATE("#metadata!", ADDRESS(INDEX($Y$2:$Y$1001,MATCH(ROWS($W$2:W394),$W$2:$W$1001,0),0), INDEX($AD$1004:$AU$1004,1,MATCH(COLUMNS($AD$1006:AH1006),$AD$1006:$AU$1006,0)))),"Fix")))</f>
        <v xml:space="preserve"> </v>
      </c>
      <c r="G394" s="4" t="str">
        <f ca="1">IF(OR(INDEX($X$2:$X$1001,MATCH(ROWS($W$2:W394),$W$2:$W$1001,0),1)&gt;=100000,INDEX($AD$1005:$AU$1005,1,MATCH(COLUMNS($AD$1006:AI1006),$AD$1006:$AU$1006,0))&gt;=100000), " ",IF(INDEX($AD$2:$AU$1001,MATCH(ROWS($W$2:W394),$W$2:$W$1001,0),MATCH(COLUMNS($AD$1006:AI1006),$AD$1006:$AU$1006,0)), HYPERLINK("#",""), HYPERLINK(CONCATENATE("#metadata!", ADDRESS(INDEX($Y$2:$Y$1001,MATCH(ROWS($W$2:W394),$W$2:$W$1001,0),0), INDEX($AD$1004:$AU$1004,1,MATCH(COLUMNS($AD$1006:AI1006),$AD$1006:$AU$1006,0)))),"Fix")))</f>
        <v xml:space="preserve"> </v>
      </c>
      <c r="H394" s="4" t="str">
        <f ca="1">IF(OR(INDEX($X$2:$X$1001,MATCH(ROWS($W$2:W394),$W$2:$W$1001,0),1)&gt;=100000,INDEX($AD$1005:$AU$1005,1,MATCH(COLUMNS($AD$1006:AJ1006),$AD$1006:$AU$1006,0))&gt;=100000), " ",IF(INDEX($AD$2:$AU$1001,MATCH(ROWS($W$2:W394),$W$2:$W$1001,0),MATCH(COLUMNS($AD$1006:AJ1006),$AD$1006:$AU$1006,0)), HYPERLINK("#",""), HYPERLINK(CONCATENATE("#metadata!", ADDRESS(INDEX($Y$2:$Y$1001,MATCH(ROWS($W$2:W394),$W$2:$W$1001,0),0), INDEX($AD$1004:$AU$1004,1,MATCH(COLUMNS($AD$1006:AJ1006),$AD$1006:$AU$1006,0)))),"Fix")))</f>
        <v xml:space="preserve"> </v>
      </c>
      <c r="I394" s="4" t="str">
        <f ca="1">IF(OR(INDEX($X$2:$X$1001,MATCH(ROWS($W$2:W394),$W$2:$W$1001,0),1)&gt;=100000,INDEX($AD$1005:$AU$1005,1,MATCH(COLUMNS($AD$1006:AK1006),$AD$1006:$AU$1006,0))&gt;=100000), " ",IF(INDEX($AD$2:$AU$1001,MATCH(ROWS($W$2:W394),$W$2:$W$1001,0),MATCH(COLUMNS($AD$1006:AK1006),$AD$1006:$AU$1006,0)), HYPERLINK("#",""), HYPERLINK(CONCATENATE("#metadata!", ADDRESS(INDEX($Y$2:$Y$1001,MATCH(ROWS($W$2:W394),$W$2:$W$1001,0),0), INDEX($AD$1004:$AU$1004,1,MATCH(COLUMNS($AD$1006:AK1006),$AD$1006:$AU$1006,0)))),"Fix")))</f>
        <v xml:space="preserve"> </v>
      </c>
      <c r="J394" s="4" t="str">
        <f ca="1">IF(OR(INDEX($X$2:$X$1001,MATCH(ROWS($W$2:W394),$W$2:$W$1001,0),1)&gt;=100000,INDEX($AD$1005:$AU$1005,1,MATCH(COLUMNS($AD$1006:AL1006),$AD$1006:$AU$1006,0))&gt;=100000), " ",IF(INDEX($AD$2:$AU$1001,MATCH(ROWS($W$2:W394),$W$2:$W$1001,0),MATCH(COLUMNS($AD$1006:AL1006),$AD$1006:$AU$1006,0)), HYPERLINK("#",""), HYPERLINK(CONCATENATE("#metadata!", ADDRESS(INDEX($Y$2:$Y$1001,MATCH(ROWS($W$2:W394),$W$2:$W$1001,0),0), INDEX($AD$1004:$AU$1004,1,MATCH(COLUMNS($AD$1006:AL1006),$AD$1006:$AU$1006,0)))),"Fix")))</f>
        <v xml:space="preserve"> </v>
      </c>
      <c r="K394" s="4" t="str">
        <f ca="1">IF(OR(INDEX($X$2:$X$1001,MATCH(ROWS($W$2:W394),$W$2:$W$1001,0),1)&gt;=100000,INDEX($AD$1005:$AU$1005,1,MATCH(COLUMNS($AD$1006:AM1006),$AD$1006:$AU$1006,0))&gt;=100000), " ",IF(INDEX($AD$2:$AU$1001,MATCH(ROWS($W$2:W394),$W$2:$W$1001,0),MATCH(COLUMNS($AD$1006:AM1006),$AD$1006:$AU$1006,0)), HYPERLINK("#",""), HYPERLINK(CONCATENATE("#metadata!", ADDRESS(INDEX($Y$2:$Y$1001,MATCH(ROWS($W$2:W394),$W$2:$W$1001,0),0), INDEX($AD$1004:$AU$1004,1,MATCH(COLUMNS($AD$1006:AM1006),$AD$1006:$AU$1006,0)))),"Fix")))</f>
        <v xml:space="preserve"> </v>
      </c>
      <c r="L394" s="4" t="str">
        <f ca="1">IF(OR(INDEX($X$2:$X$1001,MATCH(ROWS($W$2:W394),$W$2:$W$1001,0),1)&gt;=100000,INDEX($AD$1005:$AU$1005,1,MATCH(COLUMNS($AD$1006:AN1006),$AD$1006:$AU$1006,0))&gt;=100000), " ",IF(INDEX($AD$2:$AU$1001,MATCH(ROWS($W$2:W394),$W$2:$W$1001,0),MATCH(COLUMNS($AD$1006:AN1006),$AD$1006:$AU$1006,0)), HYPERLINK("#",""), HYPERLINK(CONCATENATE("#metadata!", ADDRESS(INDEX($Y$2:$Y$1001,MATCH(ROWS($W$2:W394),$W$2:$W$1001,0),0), INDEX($AD$1004:$AU$1004,1,MATCH(COLUMNS($AD$1006:AN1006),$AD$1006:$AU$1006,0)))),"Fix")))</f>
        <v xml:space="preserve"> </v>
      </c>
      <c r="M394" s="4" t="str">
        <f ca="1">IF(OR(INDEX($X$2:$X$1001,MATCH(ROWS($W$2:W394),$W$2:$W$1001,0),1)&gt;=100000,INDEX($AD$1005:$AU$1005,1,MATCH(COLUMNS($AD$1006:AO1006),$AD$1006:$AU$1006,0))&gt;=100000), " ",IF(INDEX($AD$2:$AU$1001,MATCH(ROWS($W$2:W394),$W$2:$W$1001,0),MATCH(COLUMNS($AD$1006:AO1006),$AD$1006:$AU$1006,0)), HYPERLINK("#",""), HYPERLINK(CONCATENATE("#metadata!", ADDRESS(INDEX($Y$2:$Y$1001,MATCH(ROWS($W$2:W394),$W$2:$W$1001,0),0), INDEX($AD$1004:$AU$1004,1,MATCH(COLUMNS($AD$1006:AO1006),$AD$1006:$AU$1006,0)))),"Fix")))</f>
        <v xml:space="preserve"> </v>
      </c>
      <c r="N394" s="4" t="str">
        <f ca="1">IF(OR(INDEX($X$2:$X$1001,MATCH(ROWS($W$2:W394),$W$2:$W$1001,0),1)&gt;=100000,INDEX($AD$1005:$AU$1005,1,MATCH(COLUMNS($AD$1006:AP1006),$AD$1006:$AU$1006,0))&gt;=100000), " ",IF(INDEX($AD$2:$AU$1001,MATCH(ROWS($W$2:W394),$W$2:$W$1001,0),MATCH(COLUMNS($AD$1006:AP1006),$AD$1006:$AU$1006,0)), HYPERLINK("#",""), HYPERLINK(CONCATENATE("#metadata!", ADDRESS(INDEX($Y$2:$Y$1001,MATCH(ROWS($W$2:W394),$W$2:$W$1001,0),0), INDEX($AD$1004:$AU$1004,1,MATCH(COLUMNS($AD$1006:AP1006),$AD$1006:$AU$1006,0)))),"Fix")))</f>
        <v xml:space="preserve"> </v>
      </c>
      <c r="O394" s="4" t="str">
        <f ca="1">IF(OR(INDEX($X$2:$X$1001,MATCH(ROWS($W$2:W394),$W$2:$W$1001,0),1)&gt;=100000,INDEX($AD$1005:$AU$1005,1,MATCH(COLUMNS($AD$1006:AQ1006),$AD$1006:$AU$1006,0))&gt;=100000), " ",IF(INDEX($AD$2:$AU$1001,MATCH(ROWS($W$2:W394),$W$2:$W$1001,0),MATCH(COLUMNS($AD$1006:AQ1006),$AD$1006:$AU$1006,0)), HYPERLINK("#",""), HYPERLINK(CONCATENATE("#metadata!", ADDRESS(INDEX($Y$2:$Y$1001,MATCH(ROWS($W$2:W394),$W$2:$W$1001,0),0), INDEX($AD$1004:$AU$1004,1,MATCH(COLUMNS($AD$1006:AQ1006),$AD$1006:$AU$1006,0)))),"Fix")))</f>
        <v xml:space="preserve"> </v>
      </c>
      <c r="P394" s="4" t="str">
        <f ca="1">IF(OR(INDEX($X$2:$X$1001,MATCH(ROWS($W$2:W394),$W$2:$W$1001,0),1)&gt;=100000,INDEX($AD$1005:$AU$1005,1,MATCH(COLUMNS($AD$1006:AR1006),$AD$1006:$AU$1006,0))&gt;=100000), " ",IF(INDEX($AD$2:$AU$1001,MATCH(ROWS($W$2:W394),$W$2:$W$1001,0),MATCH(COLUMNS($AD$1006:AR1006),$AD$1006:$AU$1006,0)), HYPERLINK("#",""), HYPERLINK(CONCATENATE("#metadata!", ADDRESS(INDEX($Y$2:$Y$1001,MATCH(ROWS($W$2:W394),$W$2:$W$1001,0),0), INDEX($AD$1004:$AU$1004,1,MATCH(COLUMNS($AD$1006:AR1006),$AD$1006:$AU$1006,0)))),"Fix")))</f>
        <v xml:space="preserve"> </v>
      </c>
      <c r="Q394" s="4" t="str">
        <f ca="1">IF(OR(INDEX($X$2:$X$1001,MATCH(ROWS($W$2:W394),$W$2:$W$1001,0),1)&gt;=100000,INDEX($AD$1005:$AU$1005,1,MATCH(COLUMNS($AD$1006:AS1006),$AD$1006:$AU$1006,0))&gt;=100000), " ",IF(INDEX($AD$2:$AU$1001,MATCH(ROWS($W$2:W394),$W$2:$W$1001,0),MATCH(COLUMNS($AD$1006:AS1006),$AD$1006:$AU$1006,0)), HYPERLINK("#",""), HYPERLINK(CONCATENATE("#metadata!", ADDRESS(INDEX($Y$2:$Y$1001,MATCH(ROWS($W$2:W394),$W$2:$W$1001,0),0), INDEX($AD$1004:$AU$1004,1,MATCH(COLUMNS($AD$1006:AS1006),$AD$1006:$AU$1006,0)))),"Fix")))</f>
        <v xml:space="preserve"> </v>
      </c>
      <c r="R394" s="4" t="str">
        <f ca="1">IF(OR(INDEX($X$2:$X$1001,MATCH(ROWS($W$2:W394),$W$2:$W$1001,0),1)&gt;=100000,INDEX($AD$1005:$AU$1005,1,MATCH(COLUMNS($AD$1006:AT1006),$AD$1006:$AU$1006,0))&gt;=100000), " ",IF(INDEX($AD$2:$AU$1001,MATCH(ROWS($W$2:W394),$W$2:$W$1001,0),MATCH(COLUMNS($AD$1006:AT1006),$AD$1006:$AU$1006,0)), HYPERLINK("#",""), HYPERLINK(CONCATENATE("#metadata!", ADDRESS(INDEX($Y$2:$Y$1001,MATCH(ROWS($W$2:W394),$W$2:$W$1001,0),0), INDEX($AD$1004:$AU$1004,1,MATCH(COLUMNS($AD$1006:AT1006),$AD$1006:$AU$1006,0)))),"Fix")))</f>
        <v xml:space="preserve"> </v>
      </c>
      <c r="S394" s="4" t="str">
        <f ca="1">IF(OR(INDEX($X$2:$X$1001,MATCH(ROWS($W$2:W394),$W$2:$W$1001,0),1)&gt;=100000,INDEX($AD$1005:$AU$1005,1,MATCH(COLUMNS($AD$1006:AU1006),$AD$1006:$AU$1006,0))&gt;=100000), " ",IF(INDEX($AD$2:$AU$1001,MATCH(ROWS($W$2:W394),$W$2:$W$1001,0),MATCH(COLUMNS($AD$1006:AU1006),$AD$1006:$AU$1006,0)), HYPERLINK("#",""), HYPERLINK(CONCATENATE("#metadata!", ADDRESS(INDEX($Y$2:$Y$1001,MATCH(ROWS($W$2:W394),$W$2:$W$1001,0),0), INDEX($AD$1004:$AU$1004,1,MATCH(COLUMNS($AD$1006:AU1006),$AD$1006:$AU$1006,0)))),"Fix")))</f>
        <v xml:space="preserve"> </v>
      </c>
      <c r="W394">
        <v>393</v>
      </c>
      <c r="X394">
        <v>100394</v>
      </c>
      <c r="Y394">
        <v>394</v>
      </c>
      <c r="Z394" t="b">
        <f t="shared" si="6"/>
        <v>1</v>
      </c>
      <c r="AA394" t="b">
        <f>COUNTBLANK(metadata!B394:S394)=COLUMNS(metadata!B394:S394)</f>
        <v>1</v>
      </c>
      <c r="AB394" t="str">
        <v/>
      </c>
      <c r="AD394" t="b">
        <f ca="1">AND(IF(metadata!B394="",FALSE,TRUE),COUNTIF(metadata!B:B, metadata!B394) = 1,NOT(ISERROR(SUMPRODUCT(SEARCH(MID(metadata!B394,ROW(INDIRECT("1:"&amp;LEN(metadata!B394))), 1),"0123456789abcdefghijklmnopqrstuvwxyzABCDEFGHIJKLMNOPQRSTUVWXYZ.")))))</f>
        <v>0</v>
      </c>
      <c r="AE394" t="b">
        <f>OR(AND(IF(metadata!C394="",FALSE,TRUE),OR(EXACT(metadata!C394,"not applicable"),EXACT(metadata!C394,"missing: not collected"),EXACT(metadata!C394,"missing: not provided"),EXACT(metadata!C394,"missing: restricted access"))),AND(IF(metadata!C394="",FALSE,ISNUMBER(VALUE(metadata!C394))),metadata!C394&gt;0))</f>
        <v>0</v>
      </c>
      <c r="AF394" t="b">
        <f>AND(IF(metadata!D394="",FALSE,TRUE),EXACT(metadata!D394,"missing: not provided"))</f>
        <v>0</v>
      </c>
      <c r="AG394" t="b">
        <f>AND(IF(metadata!E394="",FALSE,TRUE),EXACT(metadata!E394,"Host-associated"))</f>
        <v>0</v>
      </c>
      <c r="AH394" t="b">
        <f>AND(IF(metadata!F394="",FALSE,TRUE),OR(EXACT(metadata!F394,"Animal"),EXACT(metadata!F394,"Fungus"),EXACT(metadata!F394,"Plant")))</f>
        <v>0</v>
      </c>
      <c r="AI394" t="b">
        <f>AND(IF(metadata!G394="",FALSE,TRUE),OR(EXACT(metadata!G394,"Plant secretion"),EXACT(metadata!G394,"Plant rhizosphere"),EXACT(metadata!G394,"Plant surface"),EXACT(metadata!G394,"Plant corpus"),EXACT(metadata!G394,"Fungus surface"),EXACT(metadata!G394,"Fungus corpus"),EXACT(metadata!G394,"Animal surface"),EXACT(metadata!G394,"Animal proximal gut"),EXACT(metadata!G394,"Animal corpus"),EXACT(metadata!G394,"Animal distal gut"),EXACT(metadata!G394,"Animal secretion")))</f>
        <v>0</v>
      </c>
      <c r="AJ394" t="b">
        <f>OR(AND(IF(metadata!H394="",FALSE,TRUE),OR(EXACT(metadata!H394,"missing: not collected"),EXACT(metadata!H394,"missing: not provided"),EXACT(metadata!H394,"missing: restricted access"))),AND(IF(metadata!H394="",FALSE,TRUE),OR(EXACT(metadata!H394,"organism-associated habitat"),EXACT(metadata!H394,"plant-associated habitat"),EXACT(metadata!H394,"animal-associated habitat"),EXACT(metadata!H394,"insecta-associated habitat"),EXACT(metadata!H394,"mammalia-associated habitat"),EXACT(metadata!H394,"human-associated habitat"),EXACT(metadata!H394,"livestock-associated habitat"))))</f>
        <v>0</v>
      </c>
      <c r="AK394" t="b">
        <f>AND(IF(metadata!I394="",FALSE,TRUE),EXACT(metadata!I394,"host-associated"))</f>
        <v>0</v>
      </c>
      <c r="AL394" t="b">
        <f>OR(AND(IF(metadata!J394="",FALSE,TRUE),OR(EXACT(metadata!J394,"not applicable"),EXACT(metadata!J394,"missing: not collected"),EXACT(metadata!J394,"missing: not provided"),EXACT(metadata!J394,"missing: restricted access"))),AND(IF(metadata!J394="",FALSE,ISNUMBER(VALUE(metadata!J394))),metadata!J394&gt;0))</f>
        <v>0</v>
      </c>
      <c r="AM394" t="b">
        <f>AND(IF(metadata!K394="",FALSE,TRUE),EXACT(metadata!K394,"missing: not provided"))</f>
        <v>0</v>
      </c>
      <c r="AN394" t="b">
        <f>IF(metadata!L394="",FALSE,TRUE)</f>
        <v>0</v>
      </c>
      <c r="AO394" t="b">
        <f>IF(metadata!M394="",FALSE,TRUE)</f>
        <v>0</v>
      </c>
      <c r="AP394" t="b">
        <f>OR(AND(IF(metadata!N394="",FALSE,TRUE),OR(EXACT(metadata!N394,"not applicable"),EXACT(metadata!N394,"missing: not collected"),EXACT(metadata!N394,"missing: not provided"))),AND(IF(metadata!N394="",FALSE,IF(ISERROR(INT(metadata!N394)),FALSE,INT(metadata!N394)=metadata!N394)),metadata!N394&gt;0))</f>
        <v>0</v>
      </c>
      <c r="AQ394" t="b">
        <f>AND(IF(metadata!O394="",FALSE,TRUE),EXACT(metadata!O394,"Not applicable"))</f>
        <v>0</v>
      </c>
      <c r="AR394" t="b">
        <f>OR(AND(IF(metadata!P394="",FALSE,TRUE),OR(EXACT(metadata!P394,"not applicable"),EXACT(metadata!P394,"missing: not collected"),EXACT(metadata!P394,"missing: not provided"),EXACT(metadata!P394,"missing: restricted access"))),IF(metadata!P394="",FALSE,IF(ISERROR(INT(metadata!P394)),FALSE,INT(metadata!P394)=metadata!P394)))</f>
        <v>0</v>
      </c>
      <c r="AS394" t="b">
        <f>AND(IF(metadata!Q394="",FALSE,TRUE),EXACT(metadata!Q394,"Not applicable"))</f>
        <v>0</v>
      </c>
      <c r="AT394" t="b">
        <f>OR(AND(IF(metadata!R394="",FALSE,TRUE),OR(EXACT(metadata!R394,"not applicable"),EXACT(metadata!R394,"missing: not collected"),EXACT(metadata!R394,"missing: not provided"),EXACT(metadata!R394,"missing: restricted access"))),AND(IF(metadata!R394="",FALSE,ISNUMBER(VALUE(metadata!R394))),metadata!R394&gt;0))</f>
        <v>0</v>
      </c>
      <c r="AU394" t="b">
        <f>AND(IF(metadata!S394="",FALSE,TRUE),EXACT(metadata!S394,"missing: not provided"))</f>
        <v>0</v>
      </c>
    </row>
    <row r="395" spans="1:47" x14ac:dyDescent="0.2">
      <c r="A395" s="5" t="str">
        <f ca="1">IF(B395=" "," ",HYPERLINK(CONCATENATE("#metadata!",ADDRESS(INDEX($Y$2:$Y$1001,MATCH(ROWS($W$2:W395),$W$2:$W$1001,0),0),1)),INDEX($AB$2:$AB$1001,MATCH(ROWS($W$2:W395),$W$2:$W$1001,0),0)))</f>
        <v xml:space="preserve"> </v>
      </c>
      <c r="B395" s="4" t="str">
        <f ca="1">IF(OR(INDEX($X$2:$X$1001,MATCH(ROWS($W$2:W395),$W$2:$W$1001,0),1)&gt;=100000,INDEX($AD$1005:$AU$1005,1,MATCH(COLUMNS($AD$1006:AD1006),$AD$1006:$AU$1006,0))&gt;=100000), " ",IF(INDEX($AD$2:$AU$1001,MATCH(ROWS($W$2:W395),$W$2:$W$1001,0),MATCH(COLUMNS($AD$1006:AD1006),$AD$1006:$AU$1006,0)), HYPERLINK("#",""), HYPERLINK(CONCATENATE("#metadata!", ADDRESS(INDEX($Y$2:$Y$1001,MATCH(ROWS($W$2:W395),$W$2:$W$1001,0),0), INDEX($AD$1004:$AU$1004,1,MATCH(COLUMNS($AD$1006:AD1006),$AD$1006:$AU$1006,0)))),"Fix")))</f>
        <v xml:space="preserve"> </v>
      </c>
      <c r="C395" s="4" t="str">
        <f ca="1">IF(OR(INDEX($X$2:$X$1001,MATCH(ROWS($W$2:W395),$W$2:$W$1001,0),1)&gt;=100000,INDEX($AD$1005:$AU$1005,1,MATCH(COLUMNS($AD$1006:AE1006),$AD$1006:$AU$1006,0))&gt;=100000), " ",IF(INDEX($AD$2:$AU$1001,MATCH(ROWS($W$2:W395),$W$2:$W$1001,0),MATCH(COLUMNS($AD$1006:AE1006),$AD$1006:$AU$1006,0)), HYPERLINK("#",""), HYPERLINK(CONCATENATE("#metadata!", ADDRESS(INDEX($Y$2:$Y$1001,MATCH(ROWS($W$2:W395),$W$2:$W$1001,0),0), INDEX($AD$1004:$AU$1004,1,MATCH(COLUMNS($AD$1006:AE1006),$AD$1006:$AU$1006,0)))),"Fix")))</f>
        <v xml:space="preserve"> </v>
      </c>
      <c r="D395" s="4" t="str">
        <f ca="1">IF(OR(INDEX($X$2:$X$1001,MATCH(ROWS($W$2:W395),$W$2:$W$1001,0),1)&gt;=100000,INDEX($AD$1005:$AU$1005,1,MATCH(COLUMNS($AD$1006:AF1006),$AD$1006:$AU$1006,0))&gt;=100000), " ",IF(INDEX($AD$2:$AU$1001,MATCH(ROWS($W$2:W395),$W$2:$W$1001,0),MATCH(COLUMNS($AD$1006:AF1006),$AD$1006:$AU$1006,0)), HYPERLINK("#",""), HYPERLINK(CONCATENATE("#metadata!", ADDRESS(INDEX($Y$2:$Y$1001,MATCH(ROWS($W$2:W395),$W$2:$W$1001,0),0), INDEX($AD$1004:$AU$1004,1,MATCH(COLUMNS($AD$1006:AF1006),$AD$1006:$AU$1006,0)))),"Fix")))</f>
        <v xml:space="preserve"> </v>
      </c>
      <c r="E395" s="4" t="str">
        <f ca="1">IF(OR(INDEX($X$2:$X$1001,MATCH(ROWS($W$2:W395),$W$2:$W$1001,0),1)&gt;=100000,INDEX($AD$1005:$AU$1005,1,MATCH(COLUMNS($AD$1006:AG1006),$AD$1006:$AU$1006,0))&gt;=100000), " ",IF(INDEX($AD$2:$AU$1001,MATCH(ROWS($W$2:W395),$W$2:$W$1001,0),MATCH(COLUMNS($AD$1006:AG1006),$AD$1006:$AU$1006,0)), HYPERLINK("#",""), HYPERLINK(CONCATENATE("#metadata!", ADDRESS(INDEX($Y$2:$Y$1001,MATCH(ROWS($W$2:W395),$W$2:$W$1001,0),0), INDEX($AD$1004:$AU$1004,1,MATCH(COLUMNS($AD$1006:AG1006),$AD$1006:$AU$1006,0)))),"Fix")))</f>
        <v xml:space="preserve"> </v>
      </c>
      <c r="F395" s="4" t="str">
        <f ca="1">IF(OR(INDEX($X$2:$X$1001,MATCH(ROWS($W$2:W395),$W$2:$W$1001,0),1)&gt;=100000,INDEX($AD$1005:$AU$1005,1,MATCH(COLUMNS($AD$1006:AH1006),$AD$1006:$AU$1006,0))&gt;=100000), " ",IF(INDEX($AD$2:$AU$1001,MATCH(ROWS($W$2:W395),$W$2:$W$1001,0),MATCH(COLUMNS($AD$1006:AH1006),$AD$1006:$AU$1006,0)), HYPERLINK("#",""), HYPERLINK(CONCATENATE("#metadata!", ADDRESS(INDEX($Y$2:$Y$1001,MATCH(ROWS($W$2:W395),$W$2:$W$1001,0),0), INDEX($AD$1004:$AU$1004,1,MATCH(COLUMNS($AD$1006:AH1006),$AD$1006:$AU$1006,0)))),"Fix")))</f>
        <v xml:space="preserve"> </v>
      </c>
      <c r="G395" s="4" t="str">
        <f ca="1">IF(OR(INDEX($X$2:$X$1001,MATCH(ROWS($W$2:W395),$W$2:$W$1001,0),1)&gt;=100000,INDEX($AD$1005:$AU$1005,1,MATCH(COLUMNS($AD$1006:AI1006),$AD$1006:$AU$1006,0))&gt;=100000), " ",IF(INDEX($AD$2:$AU$1001,MATCH(ROWS($W$2:W395),$W$2:$W$1001,0),MATCH(COLUMNS($AD$1006:AI1006),$AD$1006:$AU$1006,0)), HYPERLINK("#",""), HYPERLINK(CONCATENATE("#metadata!", ADDRESS(INDEX($Y$2:$Y$1001,MATCH(ROWS($W$2:W395),$W$2:$W$1001,0),0), INDEX($AD$1004:$AU$1004,1,MATCH(COLUMNS($AD$1006:AI1006),$AD$1006:$AU$1006,0)))),"Fix")))</f>
        <v xml:space="preserve"> </v>
      </c>
      <c r="H395" s="4" t="str">
        <f ca="1">IF(OR(INDEX($X$2:$X$1001,MATCH(ROWS($W$2:W395),$W$2:$W$1001,0),1)&gt;=100000,INDEX($AD$1005:$AU$1005,1,MATCH(COLUMNS($AD$1006:AJ1006),$AD$1006:$AU$1006,0))&gt;=100000), " ",IF(INDEX($AD$2:$AU$1001,MATCH(ROWS($W$2:W395),$W$2:$W$1001,0),MATCH(COLUMNS($AD$1006:AJ1006),$AD$1006:$AU$1006,0)), HYPERLINK("#",""), HYPERLINK(CONCATENATE("#metadata!", ADDRESS(INDEX($Y$2:$Y$1001,MATCH(ROWS($W$2:W395),$W$2:$W$1001,0),0), INDEX($AD$1004:$AU$1004,1,MATCH(COLUMNS($AD$1006:AJ1006),$AD$1006:$AU$1006,0)))),"Fix")))</f>
        <v xml:space="preserve"> </v>
      </c>
      <c r="I395" s="4" t="str">
        <f ca="1">IF(OR(INDEX($X$2:$X$1001,MATCH(ROWS($W$2:W395),$W$2:$W$1001,0),1)&gt;=100000,INDEX($AD$1005:$AU$1005,1,MATCH(COLUMNS($AD$1006:AK1006),$AD$1006:$AU$1006,0))&gt;=100000), " ",IF(INDEX($AD$2:$AU$1001,MATCH(ROWS($W$2:W395),$W$2:$W$1001,0),MATCH(COLUMNS($AD$1006:AK1006),$AD$1006:$AU$1006,0)), HYPERLINK("#",""), HYPERLINK(CONCATENATE("#metadata!", ADDRESS(INDEX($Y$2:$Y$1001,MATCH(ROWS($W$2:W395),$W$2:$W$1001,0),0), INDEX($AD$1004:$AU$1004,1,MATCH(COLUMNS($AD$1006:AK1006),$AD$1006:$AU$1006,0)))),"Fix")))</f>
        <v xml:space="preserve"> </v>
      </c>
      <c r="J395" s="4" t="str">
        <f ca="1">IF(OR(INDEX($X$2:$X$1001,MATCH(ROWS($W$2:W395),$W$2:$W$1001,0),1)&gt;=100000,INDEX($AD$1005:$AU$1005,1,MATCH(COLUMNS($AD$1006:AL1006),$AD$1006:$AU$1006,0))&gt;=100000), " ",IF(INDEX($AD$2:$AU$1001,MATCH(ROWS($W$2:W395),$W$2:$W$1001,0),MATCH(COLUMNS($AD$1006:AL1006),$AD$1006:$AU$1006,0)), HYPERLINK("#",""), HYPERLINK(CONCATENATE("#metadata!", ADDRESS(INDEX($Y$2:$Y$1001,MATCH(ROWS($W$2:W395),$W$2:$W$1001,0),0), INDEX($AD$1004:$AU$1004,1,MATCH(COLUMNS($AD$1006:AL1006),$AD$1006:$AU$1006,0)))),"Fix")))</f>
        <v xml:space="preserve"> </v>
      </c>
      <c r="K395" s="4" t="str">
        <f ca="1">IF(OR(INDEX($X$2:$X$1001,MATCH(ROWS($W$2:W395),$W$2:$W$1001,0),1)&gt;=100000,INDEX($AD$1005:$AU$1005,1,MATCH(COLUMNS($AD$1006:AM1006),$AD$1006:$AU$1006,0))&gt;=100000), " ",IF(INDEX($AD$2:$AU$1001,MATCH(ROWS($W$2:W395),$W$2:$W$1001,0),MATCH(COLUMNS($AD$1006:AM1006),$AD$1006:$AU$1006,0)), HYPERLINK("#",""), HYPERLINK(CONCATENATE("#metadata!", ADDRESS(INDEX($Y$2:$Y$1001,MATCH(ROWS($W$2:W395),$W$2:$W$1001,0),0), INDEX($AD$1004:$AU$1004,1,MATCH(COLUMNS($AD$1006:AM1006),$AD$1006:$AU$1006,0)))),"Fix")))</f>
        <v xml:space="preserve"> </v>
      </c>
      <c r="L395" s="4" t="str">
        <f ca="1">IF(OR(INDEX($X$2:$X$1001,MATCH(ROWS($W$2:W395),$W$2:$W$1001,0),1)&gt;=100000,INDEX($AD$1005:$AU$1005,1,MATCH(COLUMNS($AD$1006:AN1006),$AD$1006:$AU$1006,0))&gt;=100000), " ",IF(INDEX($AD$2:$AU$1001,MATCH(ROWS($W$2:W395),$W$2:$W$1001,0),MATCH(COLUMNS($AD$1006:AN1006),$AD$1006:$AU$1006,0)), HYPERLINK("#",""), HYPERLINK(CONCATENATE("#metadata!", ADDRESS(INDEX($Y$2:$Y$1001,MATCH(ROWS($W$2:W395),$W$2:$W$1001,0),0), INDEX($AD$1004:$AU$1004,1,MATCH(COLUMNS($AD$1006:AN1006),$AD$1006:$AU$1006,0)))),"Fix")))</f>
        <v xml:space="preserve"> </v>
      </c>
      <c r="M395" s="4" t="str">
        <f ca="1">IF(OR(INDEX($X$2:$X$1001,MATCH(ROWS($W$2:W395),$W$2:$W$1001,0),1)&gt;=100000,INDEX($AD$1005:$AU$1005,1,MATCH(COLUMNS($AD$1006:AO1006),$AD$1006:$AU$1006,0))&gt;=100000), " ",IF(INDEX($AD$2:$AU$1001,MATCH(ROWS($W$2:W395),$W$2:$W$1001,0),MATCH(COLUMNS($AD$1006:AO1006),$AD$1006:$AU$1006,0)), HYPERLINK("#",""), HYPERLINK(CONCATENATE("#metadata!", ADDRESS(INDEX($Y$2:$Y$1001,MATCH(ROWS($W$2:W395),$W$2:$W$1001,0),0), INDEX($AD$1004:$AU$1004,1,MATCH(COLUMNS($AD$1006:AO1006),$AD$1006:$AU$1006,0)))),"Fix")))</f>
        <v xml:space="preserve"> </v>
      </c>
      <c r="N395" s="4" t="str">
        <f ca="1">IF(OR(INDEX($X$2:$X$1001,MATCH(ROWS($W$2:W395),$W$2:$W$1001,0),1)&gt;=100000,INDEX($AD$1005:$AU$1005,1,MATCH(COLUMNS($AD$1006:AP1006),$AD$1006:$AU$1006,0))&gt;=100000), " ",IF(INDEX($AD$2:$AU$1001,MATCH(ROWS($W$2:W395),$W$2:$W$1001,0),MATCH(COLUMNS($AD$1006:AP1006),$AD$1006:$AU$1006,0)), HYPERLINK("#",""), HYPERLINK(CONCATENATE("#metadata!", ADDRESS(INDEX($Y$2:$Y$1001,MATCH(ROWS($W$2:W395),$W$2:$W$1001,0),0), INDEX($AD$1004:$AU$1004,1,MATCH(COLUMNS($AD$1006:AP1006),$AD$1006:$AU$1006,0)))),"Fix")))</f>
        <v xml:space="preserve"> </v>
      </c>
      <c r="O395" s="4" t="str">
        <f ca="1">IF(OR(INDEX($X$2:$X$1001,MATCH(ROWS($W$2:W395),$W$2:$W$1001,0),1)&gt;=100000,INDEX($AD$1005:$AU$1005,1,MATCH(COLUMNS($AD$1006:AQ1006),$AD$1006:$AU$1006,0))&gt;=100000), " ",IF(INDEX($AD$2:$AU$1001,MATCH(ROWS($W$2:W395),$W$2:$W$1001,0),MATCH(COLUMNS($AD$1006:AQ1006),$AD$1006:$AU$1006,0)), HYPERLINK("#",""), HYPERLINK(CONCATENATE("#metadata!", ADDRESS(INDEX($Y$2:$Y$1001,MATCH(ROWS($W$2:W395),$W$2:$W$1001,0),0), INDEX($AD$1004:$AU$1004,1,MATCH(COLUMNS($AD$1006:AQ1006),$AD$1006:$AU$1006,0)))),"Fix")))</f>
        <v xml:space="preserve"> </v>
      </c>
      <c r="P395" s="4" t="str">
        <f ca="1">IF(OR(INDEX($X$2:$X$1001,MATCH(ROWS($W$2:W395),$W$2:$W$1001,0),1)&gt;=100000,INDEX($AD$1005:$AU$1005,1,MATCH(COLUMNS($AD$1006:AR1006),$AD$1006:$AU$1006,0))&gt;=100000), " ",IF(INDEX($AD$2:$AU$1001,MATCH(ROWS($W$2:W395),$W$2:$W$1001,0),MATCH(COLUMNS($AD$1006:AR1006),$AD$1006:$AU$1006,0)), HYPERLINK("#",""), HYPERLINK(CONCATENATE("#metadata!", ADDRESS(INDEX($Y$2:$Y$1001,MATCH(ROWS($W$2:W395),$W$2:$W$1001,0),0), INDEX($AD$1004:$AU$1004,1,MATCH(COLUMNS($AD$1006:AR1006),$AD$1006:$AU$1006,0)))),"Fix")))</f>
        <v xml:space="preserve"> </v>
      </c>
      <c r="Q395" s="4" t="str">
        <f ca="1">IF(OR(INDEX($X$2:$X$1001,MATCH(ROWS($W$2:W395),$W$2:$W$1001,0),1)&gt;=100000,INDEX($AD$1005:$AU$1005,1,MATCH(COLUMNS($AD$1006:AS1006),$AD$1006:$AU$1006,0))&gt;=100000), " ",IF(INDEX($AD$2:$AU$1001,MATCH(ROWS($W$2:W395),$W$2:$W$1001,0),MATCH(COLUMNS($AD$1006:AS1006),$AD$1006:$AU$1006,0)), HYPERLINK("#",""), HYPERLINK(CONCATENATE("#metadata!", ADDRESS(INDEX($Y$2:$Y$1001,MATCH(ROWS($W$2:W395),$W$2:$W$1001,0),0), INDEX($AD$1004:$AU$1004,1,MATCH(COLUMNS($AD$1006:AS1006),$AD$1006:$AU$1006,0)))),"Fix")))</f>
        <v xml:space="preserve"> </v>
      </c>
      <c r="R395" s="4" t="str">
        <f ca="1">IF(OR(INDEX($X$2:$X$1001,MATCH(ROWS($W$2:W395),$W$2:$W$1001,0),1)&gt;=100000,INDEX($AD$1005:$AU$1005,1,MATCH(COLUMNS($AD$1006:AT1006),$AD$1006:$AU$1006,0))&gt;=100000), " ",IF(INDEX($AD$2:$AU$1001,MATCH(ROWS($W$2:W395),$W$2:$W$1001,0),MATCH(COLUMNS($AD$1006:AT1006),$AD$1006:$AU$1006,0)), HYPERLINK("#",""), HYPERLINK(CONCATENATE("#metadata!", ADDRESS(INDEX($Y$2:$Y$1001,MATCH(ROWS($W$2:W395),$W$2:$W$1001,0),0), INDEX($AD$1004:$AU$1004,1,MATCH(COLUMNS($AD$1006:AT1006),$AD$1006:$AU$1006,0)))),"Fix")))</f>
        <v xml:space="preserve"> </v>
      </c>
      <c r="S395" s="4" t="str">
        <f ca="1">IF(OR(INDEX($X$2:$X$1001,MATCH(ROWS($W$2:W395),$W$2:$W$1001,0),1)&gt;=100000,INDEX($AD$1005:$AU$1005,1,MATCH(COLUMNS($AD$1006:AU1006),$AD$1006:$AU$1006,0))&gt;=100000), " ",IF(INDEX($AD$2:$AU$1001,MATCH(ROWS($W$2:W395),$W$2:$W$1001,0),MATCH(COLUMNS($AD$1006:AU1006),$AD$1006:$AU$1006,0)), HYPERLINK("#",""), HYPERLINK(CONCATENATE("#metadata!", ADDRESS(INDEX($Y$2:$Y$1001,MATCH(ROWS($W$2:W395),$W$2:$W$1001,0),0), INDEX($AD$1004:$AU$1004,1,MATCH(COLUMNS($AD$1006:AU1006),$AD$1006:$AU$1006,0)))),"Fix")))</f>
        <v xml:space="preserve"> </v>
      </c>
      <c r="W395">
        <v>394</v>
      </c>
      <c r="X395">
        <v>100395</v>
      </c>
      <c r="Y395">
        <v>395</v>
      </c>
      <c r="Z395" t="b">
        <f t="shared" si="6"/>
        <v>1</v>
      </c>
      <c r="AA395" t="b">
        <f>COUNTBLANK(metadata!B395:S395)=COLUMNS(metadata!B395:S395)</f>
        <v>1</v>
      </c>
      <c r="AB395" t="str">
        <v/>
      </c>
      <c r="AD395" t="b">
        <f ca="1">AND(IF(metadata!B395="",FALSE,TRUE),COUNTIF(metadata!B:B, metadata!B395) = 1,NOT(ISERROR(SUMPRODUCT(SEARCH(MID(metadata!B395,ROW(INDIRECT("1:"&amp;LEN(metadata!B395))), 1),"0123456789abcdefghijklmnopqrstuvwxyzABCDEFGHIJKLMNOPQRSTUVWXYZ.")))))</f>
        <v>0</v>
      </c>
      <c r="AE395" t="b">
        <f>OR(AND(IF(metadata!C395="",FALSE,TRUE),OR(EXACT(metadata!C395,"not applicable"),EXACT(metadata!C395,"missing: not collected"),EXACT(metadata!C395,"missing: not provided"),EXACT(metadata!C395,"missing: restricted access"))),AND(IF(metadata!C395="",FALSE,ISNUMBER(VALUE(metadata!C395))),metadata!C395&gt;0))</f>
        <v>0</v>
      </c>
      <c r="AF395" t="b">
        <f>AND(IF(metadata!D395="",FALSE,TRUE),EXACT(metadata!D395,"missing: not provided"))</f>
        <v>0</v>
      </c>
      <c r="AG395" t="b">
        <f>AND(IF(metadata!E395="",FALSE,TRUE),EXACT(metadata!E395,"Host-associated"))</f>
        <v>0</v>
      </c>
      <c r="AH395" t="b">
        <f>AND(IF(metadata!F395="",FALSE,TRUE),OR(EXACT(metadata!F395,"Animal"),EXACT(metadata!F395,"Fungus"),EXACT(metadata!F395,"Plant")))</f>
        <v>0</v>
      </c>
      <c r="AI395" t="b">
        <f>AND(IF(metadata!G395="",FALSE,TRUE),OR(EXACT(metadata!G395,"Plant secretion"),EXACT(metadata!G395,"Plant rhizosphere"),EXACT(metadata!G395,"Plant surface"),EXACT(metadata!G395,"Plant corpus"),EXACT(metadata!G395,"Fungus surface"),EXACT(metadata!G395,"Fungus corpus"),EXACT(metadata!G395,"Animal surface"),EXACT(metadata!G395,"Animal proximal gut"),EXACT(metadata!G395,"Animal corpus"),EXACT(metadata!G395,"Animal distal gut"),EXACT(metadata!G395,"Animal secretion")))</f>
        <v>0</v>
      </c>
      <c r="AJ395" t="b">
        <f>OR(AND(IF(metadata!H395="",FALSE,TRUE),OR(EXACT(metadata!H395,"missing: not collected"),EXACT(metadata!H395,"missing: not provided"),EXACT(metadata!H395,"missing: restricted access"))),AND(IF(metadata!H395="",FALSE,TRUE),OR(EXACT(metadata!H395,"organism-associated habitat"),EXACT(metadata!H395,"plant-associated habitat"),EXACT(metadata!H395,"animal-associated habitat"),EXACT(metadata!H395,"insecta-associated habitat"),EXACT(metadata!H395,"mammalia-associated habitat"),EXACT(metadata!H395,"human-associated habitat"),EXACT(metadata!H395,"livestock-associated habitat"))))</f>
        <v>0</v>
      </c>
      <c r="AK395" t="b">
        <f>AND(IF(metadata!I395="",FALSE,TRUE),EXACT(metadata!I395,"host-associated"))</f>
        <v>0</v>
      </c>
      <c r="AL395" t="b">
        <f>OR(AND(IF(metadata!J395="",FALSE,TRUE),OR(EXACT(metadata!J395,"not applicable"),EXACT(metadata!J395,"missing: not collected"),EXACT(metadata!J395,"missing: not provided"),EXACT(metadata!J395,"missing: restricted access"))),AND(IF(metadata!J395="",FALSE,ISNUMBER(VALUE(metadata!J395))),metadata!J395&gt;0))</f>
        <v>0</v>
      </c>
      <c r="AM395" t="b">
        <f>AND(IF(metadata!K395="",FALSE,TRUE),EXACT(metadata!K395,"missing: not provided"))</f>
        <v>0</v>
      </c>
      <c r="AN395" t="b">
        <f>IF(metadata!L395="",FALSE,TRUE)</f>
        <v>0</v>
      </c>
      <c r="AO395" t="b">
        <f>IF(metadata!M395="",FALSE,TRUE)</f>
        <v>0</v>
      </c>
      <c r="AP395" t="b">
        <f>OR(AND(IF(metadata!N395="",FALSE,TRUE),OR(EXACT(metadata!N395,"not applicable"),EXACT(metadata!N395,"missing: not collected"),EXACT(metadata!N395,"missing: not provided"))),AND(IF(metadata!N395="",FALSE,IF(ISERROR(INT(metadata!N395)),FALSE,INT(metadata!N395)=metadata!N395)),metadata!N395&gt;0))</f>
        <v>0</v>
      </c>
      <c r="AQ395" t="b">
        <f>AND(IF(metadata!O395="",FALSE,TRUE),EXACT(metadata!O395,"Not applicable"))</f>
        <v>0</v>
      </c>
      <c r="AR395" t="b">
        <f>OR(AND(IF(metadata!P395="",FALSE,TRUE),OR(EXACT(metadata!P395,"not applicable"),EXACT(metadata!P395,"missing: not collected"),EXACT(metadata!P395,"missing: not provided"),EXACT(metadata!P395,"missing: restricted access"))),IF(metadata!P395="",FALSE,IF(ISERROR(INT(metadata!P395)),FALSE,INT(metadata!P395)=metadata!P395)))</f>
        <v>0</v>
      </c>
      <c r="AS395" t="b">
        <f>AND(IF(metadata!Q395="",FALSE,TRUE),EXACT(metadata!Q395,"Not applicable"))</f>
        <v>0</v>
      </c>
      <c r="AT395" t="b">
        <f>OR(AND(IF(metadata!R395="",FALSE,TRUE),OR(EXACT(metadata!R395,"not applicable"),EXACT(metadata!R395,"missing: not collected"),EXACT(metadata!R395,"missing: not provided"),EXACT(metadata!R395,"missing: restricted access"))),AND(IF(metadata!R395="",FALSE,ISNUMBER(VALUE(metadata!R395))),metadata!R395&gt;0))</f>
        <v>0</v>
      </c>
      <c r="AU395" t="b">
        <f>AND(IF(metadata!S395="",FALSE,TRUE),EXACT(metadata!S395,"missing: not provided"))</f>
        <v>0</v>
      </c>
    </row>
    <row r="396" spans="1:47" x14ac:dyDescent="0.2">
      <c r="A396" s="5" t="str">
        <f ca="1">IF(B396=" "," ",HYPERLINK(CONCATENATE("#metadata!",ADDRESS(INDEX($Y$2:$Y$1001,MATCH(ROWS($W$2:W396),$W$2:$W$1001,0),0),1)),INDEX($AB$2:$AB$1001,MATCH(ROWS($W$2:W396),$W$2:$W$1001,0),0)))</f>
        <v xml:space="preserve"> </v>
      </c>
      <c r="B396" s="4" t="str">
        <f ca="1">IF(OR(INDEX($X$2:$X$1001,MATCH(ROWS($W$2:W396),$W$2:$W$1001,0),1)&gt;=100000,INDEX($AD$1005:$AU$1005,1,MATCH(COLUMNS($AD$1006:AD1006),$AD$1006:$AU$1006,0))&gt;=100000), " ",IF(INDEX($AD$2:$AU$1001,MATCH(ROWS($W$2:W396),$W$2:$W$1001,0),MATCH(COLUMNS($AD$1006:AD1006),$AD$1006:$AU$1006,0)), HYPERLINK("#",""), HYPERLINK(CONCATENATE("#metadata!", ADDRESS(INDEX($Y$2:$Y$1001,MATCH(ROWS($W$2:W396),$W$2:$W$1001,0),0), INDEX($AD$1004:$AU$1004,1,MATCH(COLUMNS($AD$1006:AD1006),$AD$1006:$AU$1006,0)))),"Fix")))</f>
        <v xml:space="preserve"> </v>
      </c>
      <c r="C396" s="4" t="str">
        <f ca="1">IF(OR(INDEX($X$2:$X$1001,MATCH(ROWS($W$2:W396),$W$2:$W$1001,0),1)&gt;=100000,INDEX($AD$1005:$AU$1005,1,MATCH(COLUMNS($AD$1006:AE1006),$AD$1006:$AU$1006,0))&gt;=100000), " ",IF(INDEX($AD$2:$AU$1001,MATCH(ROWS($W$2:W396),$W$2:$W$1001,0),MATCH(COLUMNS($AD$1006:AE1006),$AD$1006:$AU$1006,0)), HYPERLINK("#",""), HYPERLINK(CONCATENATE("#metadata!", ADDRESS(INDEX($Y$2:$Y$1001,MATCH(ROWS($W$2:W396),$W$2:$W$1001,0),0), INDEX($AD$1004:$AU$1004,1,MATCH(COLUMNS($AD$1006:AE1006),$AD$1006:$AU$1006,0)))),"Fix")))</f>
        <v xml:space="preserve"> </v>
      </c>
      <c r="D396" s="4" t="str">
        <f ca="1">IF(OR(INDEX($X$2:$X$1001,MATCH(ROWS($W$2:W396),$W$2:$W$1001,0),1)&gt;=100000,INDEX($AD$1005:$AU$1005,1,MATCH(COLUMNS($AD$1006:AF1006),$AD$1006:$AU$1006,0))&gt;=100000), " ",IF(INDEX($AD$2:$AU$1001,MATCH(ROWS($W$2:W396),$W$2:$W$1001,0),MATCH(COLUMNS($AD$1006:AF1006),$AD$1006:$AU$1006,0)), HYPERLINK("#",""), HYPERLINK(CONCATENATE("#metadata!", ADDRESS(INDEX($Y$2:$Y$1001,MATCH(ROWS($W$2:W396),$W$2:$W$1001,0),0), INDEX($AD$1004:$AU$1004,1,MATCH(COLUMNS($AD$1006:AF1006),$AD$1006:$AU$1006,0)))),"Fix")))</f>
        <v xml:space="preserve"> </v>
      </c>
      <c r="E396" s="4" t="str">
        <f ca="1">IF(OR(INDEX($X$2:$X$1001,MATCH(ROWS($W$2:W396),$W$2:$W$1001,0),1)&gt;=100000,INDEX($AD$1005:$AU$1005,1,MATCH(COLUMNS($AD$1006:AG1006),$AD$1006:$AU$1006,0))&gt;=100000), " ",IF(INDEX($AD$2:$AU$1001,MATCH(ROWS($W$2:W396),$W$2:$W$1001,0),MATCH(COLUMNS($AD$1006:AG1006),$AD$1006:$AU$1006,0)), HYPERLINK("#",""), HYPERLINK(CONCATENATE("#metadata!", ADDRESS(INDEX($Y$2:$Y$1001,MATCH(ROWS($W$2:W396),$W$2:$W$1001,0),0), INDEX($AD$1004:$AU$1004,1,MATCH(COLUMNS($AD$1006:AG1006),$AD$1006:$AU$1006,0)))),"Fix")))</f>
        <v xml:space="preserve"> </v>
      </c>
      <c r="F396" s="4" t="str">
        <f ca="1">IF(OR(INDEX($X$2:$X$1001,MATCH(ROWS($W$2:W396),$W$2:$W$1001,0),1)&gt;=100000,INDEX($AD$1005:$AU$1005,1,MATCH(COLUMNS($AD$1006:AH1006),$AD$1006:$AU$1006,0))&gt;=100000), " ",IF(INDEX($AD$2:$AU$1001,MATCH(ROWS($W$2:W396),$W$2:$W$1001,0),MATCH(COLUMNS($AD$1006:AH1006),$AD$1006:$AU$1006,0)), HYPERLINK("#",""), HYPERLINK(CONCATENATE("#metadata!", ADDRESS(INDEX($Y$2:$Y$1001,MATCH(ROWS($W$2:W396),$W$2:$W$1001,0),0), INDEX($AD$1004:$AU$1004,1,MATCH(COLUMNS($AD$1006:AH1006),$AD$1006:$AU$1006,0)))),"Fix")))</f>
        <v xml:space="preserve"> </v>
      </c>
      <c r="G396" s="4" t="str">
        <f ca="1">IF(OR(INDEX($X$2:$X$1001,MATCH(ROWS($W$2:W396),$W$2:$W$1001,0),1)&gt;=100000,INDEX($AD$1005:$AU$1005,1,MATCH(COLUMNS($AD$1006:AI1006),$AD$1006:$AU$1006,0))&gt;=100000), " ",IF(INDEX($AD$2:$AU$1001,MATCH(ROWS($W$2:W396),$W$2:$W$1001,0),MATCH(COLUMNS($AD$1006:AI1006),$AD$1006:$AU$1006,0)), HYPERLINK("#",""), HYPERLINK(CONCATENATE("#metadata!", ADDRESS(INDEX($Y$2:$Y$1001,MATCH(ROWS($W$2:W396),$W$2:$W$1001,0),0), INDEX($AD$1004:$AU$1004,1,MATCH(COLUMNS($AD$1006:AI1006),$AD$1006:$AU$1006,0)))),"Fix")))</f>
        <v xml:space="preserve"> </v>
      </c>
      <c r="H396" s="4" t="str">
        <f ca="1">IF(OR(INDEX($X$2:$X$1001,MATCH(ROWS($W$2:W396),$W$2:$W$1001,0),1)&gt;=100000,INDEX($AD$1005:$AU$1005,1,MATCH(COLUMNS($AD$1006:AJ1006),$AD$1006:$AU$1006,0))&gt;=100000), " ",IF(INDEX($AD$2:$AU$1001,MATCH(ROWS($W$2:W396),$W$2:$W$1001,0),MATCH(COLUMNS($AD$1006:AJ1006),$AD$1006:$AU$1006,0)), HYPERLINK("#",""), HYPERLINK(CONCATENATE("#metadata!", ADDRESS(INDEX($Y$2:$Y$1001,MATCH(ROWS($W$2:W396),$W$2:$W$1001,0),0), INDEX($AD$1004:$AU$1004,1,MATCH(COLUMNS($AD$1006:AJ1006),$AD$1006:$AU$1006,0)))),"Fix")))</f>
        <v xml:space="preserve"> </v>
      </c>
      <c r="I396" s="4" t="str">
        <f ca="1">IF(OR(INDEX($X$2:$X$1001,MATCH(ROWS($W$2:W396),$W$2:$W$1001,0),1)&gt;=100000,INDEX($AD$1005:$AU$1005,1,MATCH(COLUMNS($AD$1006:AK1006),$AD$1006:$AU$1006,0))&gt;=100000), " ",IF(INDEX($AD$2:$AU$1001,MATCH(ROWS($W$2:W396),$W$2:$W$1001,0),MATCH(COLUMNS($AD$1006:AK1006),$AD$1006:$AU$1006,0)), HYPERLINK("#",""), HYPERLINK(CONCATENATE("#metadata!", ADDRESS(INDEX($Y$2:$Y$1001,MATCH(ROWS($W$2:W396),$W$2:$W$1001,0),0), INDEX($AD$1004:$AU$1004,1,MATCH(COLUMNS($AD$1006:AK1006),$AD$1006:$AU$1006,0)))),"Fix")))</f>
        <v xml:space="preserve"> </v>
      </c>
      <c r="J396" s="4" t="str">
        <f ca="1">IF(OR(INDEX($X$2:$X$1001,MATCH(ROWS($W$2:W396),$W$2:$W$1001,0),1)&gt;=100000,INDEX($AD$1005:$AU$1005,1,MATCH(COLUMNS($AD$1006:AL1006),$AD$1006:$AU$1006,0))&gt;=100000), " ",IF(INDEX($AD$2:$AU$1001,MATCH(ROWS($W$2:W396),$W$2:$W$1001,0),MATCH(COLUMNS($AD$1006:AL1006),$AD$1006:$AU$1006,0)), HYPERLINK("#",""), HYPERLINK(CONCATENATE("#metadata!", ADDRESS(INDEX($Y$2:$Y$1001,MATCH(ROWS($W$2:W396),$W$2:$W$1001,0),0), INDEX($AD$1004:$AU$1004,1,MATCH(COLUMNS($AD$1006:AL1006),$AD$1006:$AU$1006,0)))),"Fix")))</f>
        <v xml:space="preserve"> </v>
      </c>
      <c r="K396" s="4" t="str">
        <f ca="1">IF(OR(INDEX($X$2:$X$1001,MATCH(ROWS($W$2:W396),$W$2:$W$1001,0),1)&gt;=100000,INDEX($AD$1005:$AU$1005,1,MATCH(COLUMNS($AD$1006:AM1006),$AD$1006:$AU$1006,0))&gt;=100000), " ",IF(INDEX($AD$2:$AU$1001,MATCH(ROWS($W$2:W396),$W$2:$W$1001,0),MATCH(COLUMNS($AD$1006:AM1006),$AD$1006:$AU$1006,0)), HYPERLINK("#",""), HYPERLINK(CONCATENATE("#metadata!", ADDRESS(INDEX($Y$2:$Y$1001,MATCH(ROWS($W$2:W396),$W$2:$W$1001,0),0), INDEX($AD$1004:$AU$1004,1,MATCH(COLUMNS($AD$1006:AM1006),$AD$1006:$AU$1006,0)))),"Fix")))</f>
        <v xml:space="preserve"> </v>
      </c>
      <c r="L396" s="4" t="str">
        <f ca="1">IF(OR(INDEX($X$2:$X$1001,MATCH(ROWS($W$2:W396),$W$2:$W$1001,0),1)&gt;=100000,INDEX($AD$1005:$AU$1005,1,MATCH(COLUMNS($AD$1006:AN1006),$AD$1006:$AU$1006,0))&gt;=100000), " ",IF(INDEX($AD$2:$AU$1001,MATCH(ROWS($W$2:W396),$W$2:$W$1001,0),MATCH(COLUMNS($AD$1006:AN1006),$AD$1006:$AU$1006,0)), HYPERLINK("#",""), HYPERLINK(CONCATENATE("#metadata!", ADDRESS(INDEX($Y$2:$Y$1001,MATCH(ROWS($W$2:W396),$W$2:$W$1001,0),0), INDEX($AD$1004:$AU$1004,1,MATCH(COLUMNS($AD$1006:AN1006),$AD$1006:$AU$1006,0)))),"Fix")))</f>
        <v xml:space="preserve"> </v>
      </c>
      <c r="M396" s="4" t="str">
        <f ca="1">IF(OR(INDEX($X$2:$X$1001,MATCH(ROWS($W$2:W396),$W$2:$W$1001,0),1)&gt;=100000,INDEX($AD$1005:$AU$1005,1,MATCH(COLUMNS($AD$1006:AO1006),$AD$1006:$AU$1006,0))&gt;=100000), " ",IF(INDEX($AD$2:$AU$1001,MATCH(ROWS($W$2:W396),$W$2:$W$1001,0),MATCH(COLUMNS($AD$1006:AO1006),$AD$1006:$AU$1006,0)), HYPERLINK("#",""), HYPERLINK(CONCATENATE("#metadata!", ADDRESS(INDEX($Y$2:$Y$1001,MATCH(ROWS($W$2:W396),$W$2:$W$1001,0),0), INDEX($AD$1004:$AU$1004,1,MATCH(COLUMNS($AD$1006:AO1006),$AD$1006:$AU$1006,0)))),"Fix")))</f>
        <v xml:space="preserve"> </v>
      </c>
      <c r="N396" s="4" t="str">
        <f ca="1">IF(OR(INDEX($X$2:$X$1001,MATCH(ROWS($W$2:W396),$W$2:$W$1001,0),1)&gt;=100000,INDEX($AD$1005:$AU$1005,1,MATCH(COLUMNS($AD$1006:AP1006),$AD$1006:$AU$1006,0))&gt;=100000), " ",IF(INDEX($AD$2:$AU$1001,MATCH(ROWS($W$2:W396),$W$2:$W$1001,0),MATCH(COLUMNS($AD$1006:AP1006),$AD$1006:$AU$1006,0)), HYPERLINK("#",""), HYPERLINK(CONCATENATE("#metadata!", ADDRESS(INDEX($Y$2:$Y$1001,MATCH(ROWS($W$2:W396),$W$2:$W$1001,0),0), INDEX($AD$1004:$AU$1004,1,MATCH(COLUMNS($AD$1006:AP1006),$AD$1006:$AU$1006,0)))),"Fix")))</f>
        <v xml:space="preserve"> </v>
      </c>
      <c r="O396" s="4" t="str">
        <f ca="1">IF(OR(INDEX($X$2:$X$1001,MATCH(ROWS($W$2:W396),$W$2:$W$1001,0),1)&gt;=100000,INDEX($AD$1005:$AU$1005,1,MATCH(COLUMNS($AD$1006:AQ1006),$AD$1006:$AU$1006,0))&gt;=100000), " ",IF(INDEX($AD$2:$AU$1001,MATCH(ROWS($W$2:W396),$W$2:$W$1001,0),MATCH(COLUMNS($AD$1006:AQ1006),$AD$1006:$AU$1006,0)), HYPERLINK("#",""), HYPERLINK(CONCATENATE("#metadata!", ADDRESS(INDEX($Y$2:$Y$1001,MATCH(ROWS($W$2:W396),$W$2:$W$1001,0),0), INDEX($AD$1004:$AU$1004,1,MATCH(COLUMNS($AD$1006:AQ1006),$AD$1006:$AU$1006,0)))),"Fix")))</f>
        <v xml:space="preserve"> </v>
      </c>
      <c r="P396" s="4" t="str">
        <f ca="1">IF(OR(INDEX($X$2:$X$1001,MATCH(ROWS($W$2:W396),$W$2:$W$1001,0),1)&gt;=100000,INDEX($AD$1005:$AU$1005,1,MATCH(COLUMNS($AD$1006:AR1006),$AD$1006:$AU$1006,0))&gt;=100000), " ",IF(INDEX($AD$2:$AU$1001,MATCH(ROWS($W$2:W396),$W$2:$W$1001,0),MATCH(COLUMNS($AD$1006:AR1006),$AD$1006:$AU$1006,0)), HYPERLINK("#",""), HYPERLINK(CONCATENATE("#metadata!", ADDRESS(INDEX($Y$2:$Y$1001,MATCH(ROWS($W$2:W396),$W$2:$W$1001,0),0), INDEX($AD$1004:$AU$1004,1,MATCH(COLUMNS($AD$1006:AR1006),$AD$1006:$AU$1006,0)))),"Fix")))</f>
        <v xml:space="preserve"> </v>
      </c>
      <c r="Q396" s="4" t="str">
        <f ca="1">IF(OR(INDEX($X$2:$X$1001,MATCH(ROWS($W$2:W396),$W$2:$W$1001,0),1)&gt;=100000,INDEX($AD$1005:$AU$1005,1,MATCH(COLUMNS($AD$1006:AS1006),$AD$1006:$AU$1006,0))&gt;=100000), " ",IF(INDEX($AD$2:$AU$1001,MATCH(ROWS($W$2:W396),$W$2:$W$1001,0),MATCH(COLUMNS($AD$1006:AS1006),$AD$1006:$AU$1006,0)), HYPERLINK("#",""), HYPERLINK(CONCATENATE("#metadata!", ADDRESS(INDEX($Y$2:$Y$1001,MATCH(ROWS($W$2:W396),$W$2:$W$1001,0),0), INDEX($AD$1004:$AU$1004,1,MATCH(COLUMNS($AD$1006:AS1006),$AD$1006:$AU$1006,0)))),"Fix")))</f>
        <v xml:space="preserve"> </v>
      </c>
      <c r="R396" s="4" t="str">
        <f ca="1">IF(OR(INDEX($X$2:$X$1001,MATCH(ROWS($W$2:W396),$W$2:$W$1001,0),1)&gt;=100000,INDEX($AD$1005:$AU$1005,1,MATCH(COLUMNS($AD$1006:AT1006),$AD$1006:$AU$1006,0))&gt;=100000), " ",IF(INDEX($AD$2:$AU$1001,MATCH(ROWS($W$2:W396),$W$2:$W$1001,0),MATCH(COLUMNS($AD$1006:AT1006),$AD$1006:$AU$1006,0)), HYPERLINK("#",""), HYPERLINK(CONCATENATE("#metadata!", ADDRESS(INDEX($Y$2:$Y$1001,MATCH(ROWS($W$2:W396),$W$2:$W$1001,0),0), INDEX($AD$1004:$AU$1004,1,MATCH(COLUMNS($AD$1006:AT1006),$AD$1006:$AU$1006,0)))),"Fix")))</f>
        <v xml:space="preserve"> </v>
      </c>
      <c r="S396" s="4" t="str">
        <f ca="1">IF(OR(INDEX($X$2:$X$1001,MATCH(ROWS($W$2:W396),$W$2:$W$1001,0),1)&gt;=100000,INDEX($AD$1005:$AU$1005,1,MATCH(COLUMNS($AD$1006:AU1006),$AD$1006:$AU$1006,0))&gt;=100000), " ",IF(INDEX($AD$2:$AU$1001,MATCH(ROWS($W$2:W396),$W$2:$W$1001,0),MATCH(COLUMNS($AD$1006:AU1006),$AD$1006:$AU$1006,0)), HYPERLINK("#",""), HYPERLINK(CONCATENATE("#metadata!", ADDRESS(INDEX($Y$2:$Y$1001,MATCH(ROWS($W$2:W396),$W$2:$W$1001,0),0), INDEX($AD$1004:$AU$1004,1,MATCH(COLUMNS($AD$1006:AU1006),$AD$1006:$AU$1006,0)))),"Fix")))</f>
        <v xml:space="preserve"> </v>
      </c>
      <c r="W396">
        <v>395</v>
      </c>
      <c r="X396">
        <v>100396</v>
      </c>
      <c r="Y396">
        <v>396</v>
      </c>
      <c r="Z396" t="b">
        <f t="shared" si="6"/>
        <v>1</v>
      </c>
      <c r="AA396" t="b">
        <f>COUNTBLANK(metadata!B396:S396)=COLUMNS(metadata!B396:S396)</f>
        <v>1</v>
      </c>
      <c r="AB396" t="str">
        <v/>
      </c>
      <c r="AD396" t="b">
        <f ca="1">AND(IF(metadata!B396="",FALSE,TRUE),COUNTIF(metadata!B:B, metadata!B396) = 1,NOT(ISERROR(SUMPRODUCT(SEARCH(MID(metadata!B396,ROW(INDIRECT("1:"&amp;LEN(metadata!B396))), 1),"0123456789abcdefghijklmnopqrstuvwxyzABCDEFGHIJKLMNOPQRSTUVWXYZ.")))))</f>
        <v>0</v>
      </c>
      <c r="AE396" t="b">
        <f>OR(AND(IF(metadata!C396="",FALSE,TRUE),OR(EXACT(metadata!C396,"not applicable"),EXACT(metadata!C396,"missing: not collected"),EXACT(metadata!C396,"missing: not provided"),EXACT(metadata!C396,"missing: restricted access"))),AND(IF(metadata!C396="",FALSE,ISNUMBER(VALUE(metadata!C396))),metadata!C396&gt;0))</f>
        <v>0</v>
      </c>
      <c r="AF396" t="b">
        <f>AND(IF(metadata!D396="",FALSE,TRUE),EXACT(metadata!D396,"missing: not provided"))</f>
        <v>0</v>
      </c>
      <c r="AG396" t="b">
        <f>AND(IF(metadata!E396="",FALSE,TRUE),EXACT(metadata!E396,"Host-associated"))</f>
        <v>0</v>
      </c>
      <c r="AH396" t="b">
        <f>AND(IF(metadata!F396="",FALSE,TRUE),OR(EXACT(metadata!F396,"Animal"),EXACT(metadata!F396,"Fungus"),EXACT(metadata!F396,"Plant")))</f>
        <v>0</v>
      </c>
      <c r="AI396" t="b">
        <f>AND(IF(metadata!G396="",FALSE,TRUE),OR(EXACT(metadata!G396,"Plant secretion"),EXACT(metadata!G396,"Plant rhizosphere"),EXACT(metadata!G396,"Plant surface"),EXACT(metadata!G396,"Plant corpus"),EXACT(metadata!G396,"Fungus surface"),EXACT(metadata!G396,"Fungus corpus"),EXACT(metadata!G396,"Animal surface"),EXACT(metadata!G396,"Animal proximal gut"),EXACT(metadata!G396,"Animal corpus"),EXACT(metadata!G396,"Animal distal gut"),EXACT(metadata!G396,"Animal secretion")))</f>
        <v>0</v>
      </c>
      <c r="AJ396" t="b">
        <f>OR(AND(IF(metadata!H396="",FALSE,TRUE),OR(EXACT(metadata!H396,"missing: not collected"),EXACT(metadata!H396,"missing: not provided"),EXACT(metadata!H396,"missing: restricted access"))),AND(IF(metadata!H396="",FALSE,TRUE),OR(EXACT(metadata!H396,"organism-associated habitat"),EXACT(metadata!H396,"plant-associated habitat"),EXACT(metadata!H396,"animal-associated habitat"),EXACT(metadata!H396,"insecta-associated habitat"),EXACT(metadata!H396,"mammalia-associated habitat"),EXACT(metadata!H396,"human-associated habitat"),EXACT(metadata!H396,"livestock-associated habitat"))))</f>
        <v>0</v>
      </c>
      <c r="AK396" t="b">
        <f>AND(IF(metadata!I396="",FALSE,TRUE),EXACT(metadata!I396,"host-associated"))</f>
        <v>0</v>
      </c>
      <c r="AL396" t="b">
        <f>OR(AND(IF(metadata!J396="",FALSE,TRUE),OR(EXACT(metadata!J396,"not applicable"),EXACT(metadata!J396,"missing: not collected"),EXACT(metadata!J396,"missing: not provided"),EXACT(metadata!J396,"missing: restricted access"))),AND(IF(metadata!J396="",FALSE,ISNUMBER(VALUE(metadata!J396))),metadata!J396&gt;0))</f>
        <v>0</v>
      </c>
      <c r="AM396" t="b">
        <f>AND(IF(metadata!K396="",FALSE,TRUE),EXACT(metadata!K396,"missing: not provided"))</f>
        <v>0</v>
      </c>
      <c r="AN396" t="b">
        <f>IF(metadata!L396="",FALSE,TRUE)</f>
        <v>0</v>
      </c>
      <c r="AO396" t="b">
        <f>IF(metadata!M396="",FALSE,TRUE)</f>
        <v>0</v>
      </c>
      <c r="AP396" t="b">
        <f>OR(AND(IF(metadata!N396="",FALSE,TRUE),OR(EXACT(metadata!N396,"not applicable"),EXACT(metadata!N396,"missing: not collected"),EXACT(metadata!N396,"missing: not provided"))),AND(IF(metadata!N396="",FALSE,IF(ISERROR(INT(metadata!N396)),FALSE,INT(metadata!N396)=metadata!N396)),metadata!N396&gt;0))</f>
        <v>0</v>
      </c>
      <c r="AQ396" t="b">
        <f>AND(IF(metadata!O396="",FALSE,TRUE),EXACT(metadata!O396,"Not applicable"))</f>
        <v>0</v>
      </c>
      <c r="AR396" t="b">
        <f>OR(AND(IF(metadata!P396="",FALSE,TRUE),OR(EXACT(metadata!P396,"not applicable"),EXACT(metadata!P396,"missing: not collected"),EXACT(metadata!P396,"missing: not provided"),EXACT(metadata!P396,"missing: restricted access"))),IF(metadata!P396="",FALSE,IF(ISERROR(INT(metadata!P396)),FALSE,INT(metadata!P396)=metadata!P396)))</f>
        <v>0</v>
      </c>
      <c r="AS396" t="b">
        <f>AND(IF(metadata!Q396="",FALSE,TRUE),EXACT(metadata!Q396,"Not applicable"))</f>
        <v>0</v>
      </c>
      <c r="AT396" t="b">
        <f>OR(AND(IF(metadata!R396="",FALSE,TRUE),OR(EXACT(metadata!R396,"not applicable"),EXACT(metadata!R396,"missing: not collected"),EXACT(metadata!R396,"missing: not provided"),EXACT(metadata!R396,"missing: restricted access"))),AND(IF(metadata!R396="",FALSE,ISNUMBER(VALUE(metadata!R396))),metadata!R396&gt;0))</f>
        <v>0</v>
      </c>
      <c r="AU396" t="b">
        <f>AND(IF(metadata!S396="",FALSE,TRUE),EXACT(metadata!S396,"missing: not provided"))</f>
        <v>0</v>
      </c>
    </row>
    <row r="397" spans="1:47" x14ac:dyDescent="0.2">
      <c r="A397" s="5" t="str">
        <f ca="1">IF(B397=" "," ",HYPERLINK(CONCATENATE("#metadata!",ADDRESS(INDEX($Y$2:$Y$1001,MATCH(ROWS($W$2:W397),$W$2:$W$1001,0),0),1)),INDEX($AB$2:$AB$1001,MATCH(ROWS($W$2:W397),$W$2:$W$1001,0),0)))</f>
        <v xml:space="preserve"> </v>
      </c>
      <c r="B397" s="4" t="str">
        <f ca="1">IF(OR(INDEX($X$2:$X$1001,MATCH(ROWS($W$2:W397),$W$2:$W$1001,0),1)&gt;=100000,INDEX($AD$1005:$AU$1005,1,MATCH(COLUMNS($AD$1006:AD1006),$AD$1006:$AU$1006,0))&gt;=100000), " ",IF(INDEX($AD$2:$AU$1001,MATCH(ROWS($W$2:W397),$W$2:$W$1001,0),MATCH(COLUMNS($AD$1006:AD1006),$AD$1006:$AU$1006,0)), HYPERLINK("#",""), HYPERLINK(CONCATENATE("#metadata!", ADDRESS(INDEX($Y$2:$Y$1001,MATCH(ROWS($W$2:W397),$W$2:$W$1001,0),0), INDEX($AD$1004:$AU$1004,1,MATCH(COLUMNS($AD$1006:AD1006),$AD$1006:$AU$1006,0)))),"Fix")))</f>
        <v xml:space="preserve"> </v>
      </c>
      <c r="C397" s="4" t="str">
        <f ca="1">IF(OR(INDEX($X$2:$X$1001,MATCH(ROWS($W$2:W397),$W$2:$W$1001,0),1)&gt;=100000,INDEX($AD$1005:$AU$1005,1,MATCH(COLUMNS($AD$1006:AE1006),$AD$1006:$AU$1006,0))&gt;=100000), " ",IF(INDEX($AD$2:$AU$1001,MATCH(ROWS($W$2:W397),$W$2:$W$1001,0),MATCH(COLUMNS($AD$1006:AE1006),$AD$1006:$AU$1006,0)), HYPERLINK("#",""), HYPERLINK(CONCATENATE("#metadata!", ADDRESS(INDEX($Y$2:$Y$1001,MATCH(ROWS($W$2:W397),$W$2:$W$1001,0),0), INDEX($AD$1004:$AU$1004,1,MATCH(COLUMNS($AD$1006:AE1006),$AD$1006:$AU$1006,0)))),"Fix")))</f>
        <v xml:space="preserve"> </v>
      </c>
      <c r="D397" s="4" t="str">
        <f ca="1">IF(OR(INDEX($X$2:$X$1001,MATCH(ROWS($W$2:W397),$W$2:$W$1001,0),1)&gt;=100000,INDEX($AD$1005:$AU$1005,1,MATCH(COLUMNS($AD$1006:AF1006),$AD$1006:$AU$1006,0))&gt;=100000), " ",IF(INDEX($AD$2:$AU$1001,MATCH(ROWS($W$2:W397),$W$2:$W$1001,0),MATCH(COLUMNS($AD$1006:AF1006),$AD$1006:$AU$1006,0)), HYPERLINK("#",""), HYPERLINK(CONCATENATE("#metadata!", ADDRESS(INDEX($Y$2:$Y$1001,MATCH(ROWS($W$2:W397),$W$2:$W$1001,0),0), INDEX($AD$1004:$AU$1004,1,MATCH(COLUMNS($AD$1006:AF1006),$AD$1006:$AU$1006,0)))),"Fix")))</f>
        <v xml:space="preserve"> </v>
      </c>
      <c r="E397" s="4" t="str">
        <f ca="1">IF(OR(INDEX($X$2:$X$1001,MATCH(ROWS($W$2:W397),$W$2:$W$1001,0),1)&gt;=100000,INDEX($AD$1005:$AU$1005,1,MATCH(COLUMNS($AD$1006:AG1006),$AD$1006:$AU$1006,0))&gt;=100000), " ",IF(INDEX($AD$2:$AU$1001,MATCH(ROWS($W$2:W397),$W$2:$W$1001,0),MATCH(COLUMNS($AD$1006:AG1006),$AD$1006:$AU$1006,0)), HYPERLINK("#",""), HYPERLINK(CONCATENATE("#metadata!", ADDRESS(INDEX($Y$2:$Y$1001,MATCH(ROWS($W$2:W397),$W$2:$W$1001,0),0), INDEX($AD$1004:$AU$1004,1,MATCH(COLUMNS($AD$1006:AG1006),$AD$1006:$AU$1006,0)))),"Fix")))</f>
        <v xml:space="preserve"> </v>
      </c>
      <c r="F397" s="4" t="str">
        <f ca="1">IF(OR(INDEX($X$2:$X$1001,MATCH(ROWS($W$2:W397),$W$2:$W$1001,0),1)&gt;=100000,INDEX($AD$1005:$AU$1005,1,MATCH(COLUMNS($AD$1006:AH1006),$AD$1006:$AU$1006,0))&gt;=100000), " ",IF(INDEX($AD$2:$AU$1001,MATCH(ROWS($W$2:W397),$W$2:$W$1001,0),MATCH(COLUMNS($AD$1006:AH1006),$AD$1006:$AU$1006,0)), HYPERLINK("#",""), HYPERLINK(CONCATENATE("#metadata!", ADDRESS(INDEX($Y$2:$Y$1001,MATCH(ROWS($W$2:W397),$W$2:$W$1001,0),0), INDEX($AD$1004:$AU$1004,1,MATCH(COLUMNS($AD$1006:AH1006),$AD$1006:$AU$1006,0)))),"Fix")))</f>
        <v xml:space="preserve"> </v>
      </c>
      <c r="G397" s="4" t="str">
        <f ca="1">IF(OR(INDEX($X$2:$X$1001,MATCH(ROWS($W$2:W397),$W$2:$W$1001,0),1)&gt;=100000,INDEX($AD$1005:$AU$1005,1,MATCH(COLUMNS($AD$1006:AI1006),$AD$1006:$AU$1006,0))&gt;=100000), " ",IF(INDEX($AD$2:$AU$1001,MATCH(ROWS($W$2:W397),$W$2:$W$1001,0),MATCH(COLUMNS($AD$1006:AI1006),$AD$1006:$AU$1006,0)), HYPERLINK("#",""), HYPERLINK(CONCATENATE("#metadata!", ADDRESS(INDEX($Y$2:$Y$1001,MATCH(ROWS($W$2:W397),$W$2:$W$1001,0),0), INDEX($AD$1004:$AU$1004,1,MATCH(COLUMNS($AD$1006:AI1006),$AD$1006:$AU$1006,0)))),"Fix")))</f>
        <v xml:space="preserve"> </v>
      </c>
      <c r="H397" s="4" t="str">
        <f ca="1">IF(OR(INDEX($X$2:$X$1001,MATCH(ROWS($W$2:W397),$W$2:$W$1001,0),1)&gt;=100000,INDEX($AD$1005:$AU$1005,1,MATCH(COLUMNS($AD$1006:AJ1006),$AD$1006:$AU$1006,0))&gt;=100000), " ",IF(INDEX($AD$2:$AU$1001,MATCH(ROWS($W$2:W397),$W$2:$W$1001,0),MATCH(COLUMNS($AD$1006:AJ1006),$AD$1006:$AU$1006,0)), HYPERLINK("#",""), HYPERLINK(CONCATENATE("#metadata!", ADDRESS(INDEX($Y$2:$Y$1001,MATCH(ROWS($W$2:W397),$W$2:$W$1001,0),0), INDEX($AD$1004:$AU$1004,1,MATCH(COLUMNS($AD$1006:AJ1006),$AD$1006:$AU$1006,0)))),"Fix")))</f>
        <v xml:space="preserve"> </v>
      </c>
      <c r="I397" s="4" t="str">
        <f ca="1">IF(OR(INDEX($X$2:$X$1001,MATCH(ROWS($W$2:W397),$W$2:$W$1001,0),1)&gt;=100000,INDEX($AD$1005:$AU$1005,1,MATCH(COLUMNS($AD$1006:AK1006),$AD$1006:$AU$1006,0))&gt;=100000), " ",IF(INDEX($AD$2:$AU$1001,MATCH(ROWS($W$2:W397),$W$2:$W$1001,0),MATCH(COLUMNS($AD$1006:AK1006),$AD$1006:$AU$1006,0)), HYPERLINK("#",""), HYPERLINK(CONCATENATE("#metadata!", ADDRESS(INDEX($Y$2:$Y$1001,MATCH(ROWS($W$2:W397),$W$2:$W$1001,0),0), INDEX($AD$1004:$AU$1004,1,MATCH(COLUMNS($AD$1006:AK1006),$AD$1006:$AU$1006,0)))),"Fix")))</f>
        <v xml:space="preserve"> </v>
      </c>
      <c r="J397" s="4" t="str">
        <f ca="1">IF(OR(INDEX($X$2:$X$1001,MATCH(ROWS($W$2:W397),$W$2:$W$1001,0),1)&gt;=100000,INDEX($AD$1005:$AU$1005,1,MATCH(COLUMNS($AD$1006:AL1006),$AD$1006:$AU$1006,0))&gt;=100000), " ",IF(INDEX($AD$2:$AU$1001,MATCH(ROWS($W$2:W397),$W$2:$W$1001,0),MATCH(COLUMNS($AD$1006:AL1006),$AD$1006:$AU$1006,0)), HYPERLINK("#",""), HYPERLINK(CONCATENATE("#metadata!", ADDRESS(INDEX($Y$2:$Y$1001,MATCH(ROWS($W$2:W397),$W$2:$W$1001,0),0), INDEX($AD$1004:$AU$1004,1,MATCH(COLUMNS($AD$1006:AL1006),$AD$1006:$AU$1006,0)))),"Fix")))</f>
        <v xml:space="preserve"> </v>
      </c>
      <c r="K397" s="4" t="str">
        <f ca="1">IF(OR(INDEX($X$2:$X$1001,MATCH(ROWS($W$2:W397),$W$2:$W$1001,0),1)&gt;=100000,INDEX($AD$1005:$AU$1005,1,MATCH(COLUMNS($AD$1006:AM1006),$AD$1006:$AU$1006,0))&gt;=100000), " ",IF(INDEX($AD$2:$AU$1001,MATCH(ROWS($W$2:W397),$W$2:$W$1001,0),MATCH(COLUMNS($AD$1006:AM1006),$AD$1006:$AU$1006,0)), HYPERLINK("#",""), HYPERLINK(CONCATENATE("#metadata!", ADDRESS(INDEX($Y$2:$Y$1001,MATCH(ROWS($W$2:W397),$W$2:$W$1001,0),0), INDEX($AD$1004:$AU$1004,1,MATCH(COLUMNS($AD$1006:AM1006),$AD$1006:$AU$1006,0)))),"Fix")))</f>
        <v xml:space="preserve"> </v>
      </c>
      <c r="L397" s="4" t="str">
        <f ca="1">IF(OR(INDEX($X$2:$X$1001,MATCH(ROWS($W$2:W397),$W$2:$W$1001,0),1)&gt;=100000,INDEX($AD$1005:$AU$1005,1,MATCH(COLUMNS($AD$1006:AN1006),$AD$1006:$AU$1006,0))&gt;=100000), " ",IF(INDEX($AD$2:$AU$1001,MATCH(ROWS($W$2:W397),$W$2:$W$1001,0),MATCH(COLUMNS($AD$1006:AN1006),$AD$1006:$AU$1006,0)), HYPERLINK("#",""), HYPERLINK(CONCATENATE("#metadata!", ADDRESS(INDEX($Y$2:$Y$1001,MATCH(ROWS($W$2:W397),$W$2:$W$1001,0),0), INDEX($AD$1004:$AU$1004,1,MATCH(COLUMNS($AD$1006:AN1006),$AD$1006:$AU$1006,0)))),"Fix")))</f>
        <v xml:space="preserve"> </v>
      </c>
      <c r="M397" s="4" t="str">
        <f ca="1">IF(OR(INDEX($X$2:$X$1001,MATCH(ROWS($W$2:W397),$W$2:$W$1001,0),1)&gt;=100000,INDEX($AD$1005:$AU$1005,1,MATCH(COLUMNS($AD$1006:AO1006),$AD$1006:$AU$1006,0))&gt;=100000), " ",IF(INDEX($AD$2:$AU$1001,MATCH(ROWS($W$2:W397),$W$2:$W$1001,0),MATCH(COLUMNS($AD$1006:AO1006),$AD$1006:$AU$1006,0)), HYPERLINK("#",""), HYPERLINK(CONCATENATE("#metadata!", ADDRESS(INDEX($Y$2:$Y$1001,MATCH(ROWS($W$2:W397),$W$2:$W$1001,0),0), INDEX($AD$1004:$AU$1004,1,MATCH(COLUMNS($AD$1006:AO1006),$AD$1006:$AU$1006,0)))),"Fix")))</f>
        <v xml:space="preserve"> </v>
      </c>
      <c r="N397" s="4" t="str">
        <f ca="1">IF(OR(INDEX($X$2:$X$1001,MATCH(ROWS($W$2:W397),$W$2:$W$1001,0),1)&gt;=100000,INDEX($AD$1005:$AU$1005,1,MATCH(COLUMNS($AD$1006:AP1006),$AD$1006:$AU$1006,0))&gt;=100000), " ",IF(INDEX($AD$2:$AU$1001,MATCH(ROWS($W$2:W397),$W$2:$W$1001,0),MATCH(COLUMNS($AD$1006:AP1006),$AD$1006:$AU$1006,0)), HYPERLINK("#",""), HYPERLINK(CONCATENATE("#metadata!", ADDRESS(INDEX($Y$2:$Y$1001,MATCH(ROWS($W$2:W397),$W$2:$W$1001,0),0), INDEX($AD$1004:$AU$1004,1,MATCH(COLUMNS($AD$1006:AP1006),$AD$1006:$AU$1006,0)))),"Fix")))</f>
        <v xml:space="preserve"> </v>
      </c>
      <c r="O397" s="4" t="str">
        <f ca="1">IF(OR(INDEX($X$2:$X$1001,MATCH(ROWS($W$2:W397),$W$2:$W$1001,0),1)&gt;=100000,INDEX($AD$1005:$AU$1005,1,MATCH(COLUMNS($AD$1006:AQ1006),$AD$1006:$AU$1006,0))&gt;=100000), " ",IF(INDEX($AD$2:$AU$1001,MATCH(ROWS($W$2:W397),$W$2:$W$1001,0),MATCH(COLUMNS($AD$1006:AQ1006),$AD$1006:$AU$1006,0)), HYPERLINK("#",""), HYPERLINK(CONCATENATE("#metadata!", ADDRESS(INDEX($Y$2:$Y$1001,MATCH(ROWS($W$2:W397),$W$2:$W$1001,0),0), INDEX($AD$1004:$AU$1004,1,MATCH(COLUMNS($AD$1006:AQ1006),$AD$1006:$AU$1006,0)))),"Fix")))</f>
        <v xml:space="preserve"> </v>
      </c>
      <c r="P397" s="4" t="str">
        <f ca="1">IF(OR(INDEX($X$2:$X$1001,MATCH(ROWS($W$2:W397),$W$2:$W$1001,0),1)&gt;=100000,INDEX($AD$1005:$AU$1005,1,MATCH(COLUMNS($AD$1006:AR1006),$AD$1006:$AU$1006,0))&gt;=100000), " ",IF(INDEX($AD$2:$AU$1001,MATCH(ROWS($W$2:W397),$W$2:$W$1001,0),MATCH(COLUMNS($AD$1006:AR1006),$AD$1006:$AU$1006,0)), HYPERLINK("#",""), HYPERLINK(CONCATENATE("#metadata!", ADDRESS(INDEX($Y$2:$Y$1001,MATCH(ROWS($W$2:W397),$W$2:$W$1001,0),0), INDEX($AD$1004:$AU$1004,1,MATCH(COLUMNS($AD$1006:AR1006),$AD$1006:$AU$1006,0)))),"Fix")))</f>
        <v xml:space="preserve"> </v>
      </c>
      <c r="Q397" s="4" t="str">
        <f ca="1">IF(OR(INDEX($X$2:$X$1001,MATCH(ROWS($W$2:W397),$W$2:$W$1001,0),1)&gt;=100000,INDEX($AD$1005:$AU$1005,1,MATCH(COLUMNS($AD$1006:AS1006),$AD$1006:$AU$1006,0))&gt;=100000), " ",IF(INDEX($AD$2:$AU$1001,MATCH(ROWS($W$2:W397),$W$2:$W$1001,0),MATCH(COLUMNS($AD$1006:AS1006),$AD$1006:$AU$1006,0)), HYPERLINK("#",""), HYPERLINK(CONCATENATE("#metadata!", ADDRESS(INDEX($Y$2:$Y$1001,MATCH(ROWS($W$2:W397),$W$2:$W$1001,0),0), INDEX($AD$1004:$AU$1004,1,MATCH(COLUMNS($AD$1006:AS1006),$AD$1006:$AU$1006,0)))),"Fix")))</f>
        <v xml:space="preserve"> </v>
      </c>
      <c r="R397" s="4" t="str">
        <f ca="1">IF(OR(INDEX($X$2:$X$1001,MATCH(ROWS($W$2:W397),$W$2:$W$1001,0),1)&gt;=100000,INDEX($AD$1005:$AU$1005,1,MATCH(COLUMNS($AD$1006:AT1006),$AD$1006:$AU$1006,0))&gt;=100000), " ",IF(INDEX($AD$2:$AU$1001,MATCH(ROWS($W$2:W397),$W$2:$W$1001,0),MATCH(COLUMNS($AD$1006:AT1006),$AD$1006:$AU$1006,0)), HYPERLINK("#",""), HYPERLINK(CONCATENATE("#metadata!", ADDRESS(INDEX($Y$2:$Y$1001,MATCH(ROWS($W$2:W397),$W$2:$W$1001,0),0), INDEX($AD$1004:$AU$1004,1,MATCH(COLUMNS($AD$1006:AT1006),$AD$1006:$AU$1006,0)))),"Fix")))</f>
        <v xml:space="preserve"> </v>
      </c>
      <c r="S397" s="4" t="str">
        <f ca="1">IF(OR(INDEX($X$2:$X$1001,MATCH(ROWS($W$2:W397),$W$2:$W$1001,0),1)&gt;=100000,INDEX($AD$1005:$AU$1005,1,MATCH(COLUMNS($AD$1006:AU1006),$AD$1006:$AU$1006,0))&gt;=100000), " ",IF(INDEX($AD$2:$AU$1001,MATCH(ROWS($W$2:W397),$W$2:$W$1001,0),MATCH(COLUMNS($AD$1006:AU1006),$AD$1006:$AU$1006,0)), HYPERLINK("#",""), HYPERLINK(CONCATENATE("#metadata!", ADDRESS(INDEX($Y$2:$Y$1001,MATCH(ROWS($W$2:W397),$W$2:$W$1001,0),0), INDEX($AD$1004:$AU$1004,1,MATCH(COLUMNS($AD$1006:AU1006),$AD$1006:$AU$1006,0)))),"Fix")))</f>
        <v xml:space="preserve"> </v>
      </c>
      <c r="W397">
        <v>396</v>
      </c>
      <c r="X397">
        <v>100397</v>
      </c>
      <c r="Y397">
        <v>397</v>
      </c>
      <c r="Z397" t="b">
        <f t="shared" si="6"/>
        <v>1</v>
      </c>
      <c r="AA397" t="b">
        <f>COUNTBLANK(metadata!B397:S397)=COLUMNS(metadata!B397:S397)</f>
        <v>1</v>
      </c>
      <c r="AB397" t="str">
        <v/>
      </c>
      <c r="AD397" t="b">
        <f ca="1">AND(IF(metadata!B397="",FALSE,TRUE),COUNTIF(metadata!B:B, metadata!B397) = 1,NOT(ISERROR(SUMPRODUCT(SEARCH(MID(metadata!B397,ROW(INDIRECT("1:"&amp;LEN(metadata!B397))), 1),"0123456789abcdefghijklmnopqrstuvwxyzABCDEFGHIJKLMNOPQRSTUVWXYZ.")))))</f>
        <v>0</v>
      </c>
      <c r="AE397" t="b">
        <f>OR(AND(IF(metadata!C397="",FALSE,TRUE),OR(EXACT(metadata!C397,"not applicable"),EXACT(metadata!C397,"missing: not collected"),EXACT(metadata!C397,"missing: not provided"),EXACT(metadata!C397,"missing: restricted access"))),AND(IF(metadata!C397="",FALSE,ISNUMBER(VALUE(metadata!C397))),metadata!C397&gt;0))</f>
        <v>0</v>
      </c>
      <c r="AF397" t="b">
        <f>AND(IF(metadata!D397="",FALSE,TRUE),EXACT(metadata!D397,"missing: not provided"))</f>
        <v>0</v>
      </c>
      <c r="AG397" t="b">
        <f>AND(IF(metadata!E397="",FALSE,TRUE),EXACT(metadata!E397,"Host-associated"))</f>
        <v>0</v>
      </c>
      <c r="AH397" t="b">
        <f>AND(IF(metadata!F397="",FALSE,TRUE),OR(EXACT(metadata!F397,"Animal"),EXACT(metadata!F397,"Fungus"),EXACT(metadata!F397,"Plant")))</f>
        <v>0</v>
      </c>
      <c r="AI397" t="b">
        <f>AND(IF(metadata!G397="",FALSE,TRUE),OR(EXACT(metadata!G397,"Plant secretion"),EXACT(metadata!G397,"Plant rhizosphere"),EXACT(metadata!G397,"Plant surface"),EXACT(metadata!G397,"Plant corpus"),EXACT(metadata!G397,"Fungus surface"),EXACT(metadata!G397,"Fungus corpus"),EXACT(metadata!G397,"Animal surface"),EXACT(metadata!G397,"Animal proximal gut"),EXACT(metadata!G397,"Animal corpus"),EXACT(metadata!G397,"Animal distal gut"),EXACT(metadata!G397,"Animal secretion")))</f>
        <v>0</v>
      </c>
      <c r="AJ397" t="b">
        <f>OR(AND(IF(metadata!H397="",FALSE,TRUE),OR(EXACT(metadata!H397,"missing: not collected"),EXACT(metadata!H397,"missing: not provided"),EXACT(metadata!H397,"missing: restricted access"))),AND(IF(metadata!H397="",FALSE,TRUE),OR(EXACT(metadata!H397,"organism-associated habitat"),EXACT(metadata!H397,"plant-associated habitat"),EXACT(metadata!H397,"animal-associated habitat"),EXACT(metadata!H397,"insecta-associated habitat"),EXACT(metadata!H397,"mammalia-associated habitat"),EXACT(metadata!H397,"human-associated habitat"),EXACT(metadata!H397,"livestock-associated habitat"))))</f>
        <v>0</v>
      </c>
      <c r="AK397" t="b">
        <f>AND(IF(metadata!I397="",FALSE,TRUE),EXACT(metadata!I397,"host-associated"))</f>
        <v>0</v>
      </c>
      <c r="AL397" t="b">
        <f>OR(AND(IF(metadata!J397="",FALSE,TRUE),OR(EXACT(metadata!J397,"not applicable"),EXACT(metadata!J397,"missing: not collected"),EXACT(metadata!J397,"missing: not provided"),EXACT(metadata!J397,"missing: restricted access"))),AND(IF(metadata!J397="",FALSE,ISNUMBER(VALUE(metadata!J397))),metadata!J397&gt;0))</f>
        <v>0</v>
      </c>
      <c r="AM397" t="b">
        <f>AND(IF(metadata!K397="",FALSE,TRUE),EXACT(metadata!K397,"missing: not provided"))</f>
        <v>0</v>
      </c>
      <c r="AN397" t="b">
        <f>IF(metadata!L397="",FALSE,TRUE)</f>
        <v>0</v>
      </c>
      <c r="AO397" t="b">
        <f>IF(metadata!M397="",FALSE,TRUE)</f>
        <v>0</v>
      </c>
      <c r="AP397" t="b">
        <f>OR(AND(IF(metadata!N397="",FALSE,TRUE),OR(EXACT(metadata!N397,"not applicable"),EXACT(metadata!N397,"missing: not collected"),EXACT(metadata!N397,"missing: not provided"))),AND(IF(metadata!N397="",FALSE,IF(ISERROR(INT(metadata!N397)),FALSE,INT(metadata!N397)=metadata!N397)),metadata!N397&gt;0))</f>
        <v>0</v>
      </c>
      <c r="AQ397" t="b">
        <f>AND(IF(metadata!O397="",FALSE,TRUE),EXACT(metadata!O397,"Not applicable"))</f>
        <v>0</v>
      </c>
      <c r="AR397" t="b">
        <f>OR(AND(IF(metadata!P397="",FALSE,TRUE),OR(EXACT(metadata!P397,"not applicable"),EXACT(metadata!P397,"missing: not collected"),EXACT(metadata!P397,"missing: not provided"),EXACT(metadata!P397,"missing: restricted access"))),IF(metadata!P397="",FALSE,IF(ISERROR(INT(metadata!P397)),FALSE,INT(metadata!P397)=metadata!P397)))</f>
        <v>0</v>
      </c>
      <c r="AS397" t="b">
        <f>AND(IF(metadata!Q397="",FALSE,TRUE),EXACT(metadata!Q397,"Not applicable"))</f>
        <v>0</v>
      </c>
      <c r="AT397" t="b">
        <f>OR(AND(IF(metadata!R397="",FALSE,TRUE),OR(EXACT(metadata!R397,"not applicable"),EXACT(metadata!R397,"missing: not collected"),EXACT(metadata!R397,"missing: not provided"),EXACT(metadata!R397,"missing: restricted access"))),AND(IF(metadata!R397="",FALSE,ISNUMBER(VALUE(metadata!R397))),metadata!R397&gt;0))</f>
        <v>0</v>
      </c>
      <c r="AU397" t="b">
        <f>AND(IF(metadata!S397="",FALSE,TRUE),EXACT(metadata!S397,"missing: not provided"))</f>
        <v>0</v>
      </c>
    </row>
    <row r="398" spans="1:47" x14ac:dyDescent="0.2">
      <c r="A398" s="5" t="str">
        <f ca="1">IF(B398=" "," ",HYPERLINK(CONCATENATE("#metadata!",ADDRESS(INDEX($Y$2:$Y$1001,MATCH(ROWS($W$2:W398),$W$2:$W$1001,0),0),1)),INDEX($AB$2:$AB$1001,MATCH(ROWS($W$2:W398),$W$2:$W$1001,0),0)))</f>
        <v xml:space="preserve"> </v>
      </c>
      <c r="B398" s="4" t="str">
        <f ca="1">IF(OR(INDEX($X$2:$X$1001,MATCH(ROWS($W$2:W398),$W$2:$W$1001,0),1)&gt;=100000,INDEX($AD$1005:$AU$1005,1,MATCH(COLUMNS($AD$1006:AD1006),$AD$1006:$AU$1006,0))&gt;=100000), " ",IF(INDEX($AD$2:$AU$1001,MATCH(ROWS($W$2:W398),$W$2:$W$1001,0),MATCH(COLUMNS($AD$1006:AD1006),$AD$1006:$AU$1006,0)), HYPERLINK("#",""), HYPERLINK(CONCATENATE("#metadata!", ADDRESS(INDEX($Y$2:$Y$1001,MATCH(ROWS($W$2:W398),$W$2:$W$1001,0),0), INDEX($AD$1004:$AU$1004,1,MATCH(COLUMNS($AD$1006:AD1006),$AD$1006:$AU$1006,0)))),"Fix")))</f>
        <v xml:space="preserve"> </v>
      </c>
      <c r="C398" s="4" t="str">
        <f ca="1">IF(OR(INDEX($X$2:$X$1001,MATCH(ROWS($W$2:W398),$W$2:$W$1001,0),1)&gt;=100000,INDEX($AD$1005:$AU$1005,1,MATCH(COLUMNS($AD$1006:AE1006),$AD$1006:$AU$1006,0))&gt;=100000), " ",IF(INDEX($AD$2:$AU$1001,MATCH(ROWS($W$2:W398),$W$2:$W$1001,0),MATCH(COLUMNS($AD$1006:AE1006),$AD$1006:$AU$1006,0)), HYPERLINK("#",""), HYPERLINK(CONCATENATE("#metadata!", ADDRESS(INDEX($Y$2:$Y$1001,MATCH(ROWS($W$2:W398),$W$2:$W$1001,0),0), INDEX($AD$1004:$AU$1004,1,MATCH(COLUMNS($AD$1006:AE1006),$AD$1006:$AU$1006,0)))),"Fix")))</f>
        <v xml:space="preserve"> </v>
      </c>
      <c r="D398" s="4" t="str">
        <f ca="1">IF(OR(INDEX($X$2:$X$1001,MATCH(ROWS($W$2:W398),$W$2:$W$1001,0),1)&gt;=100000,INDEX($AD$1005:$AU$1005,1,MATCH(COLUMNS($AD$1006:AF1006),$AD$1006:$AU$1006,0))&gt;=100000), " ",IF(INDEX($AD$2:$AU$1001,MATCH(ROWS($W$2:W398),$W$2:$W$1001,0),MATCH(COLUMNS($AD$1006:AF1006),$AD$1006:$AU$1006,0)), HYPERLINK("#",""), HYPERLINK(CONCATENATE("#metadata!", ADDRESS(INDEX($Y$2:$Y$1001,MATCH(ROWS($W$2:W398),$W$2:$W$1001,0),0), INDEX($AD$1004:$AU$1004,1,MATCH(COLUMNS($AD$1006:AF1006),$AD$1006:$AU$1006,0)))),"Fix")))</f>
        <v xml:space="preserve"> </v>
      </c>
      <c r="E398" s="4" t="str">
        <f ca="1">IF(OR(INDEX($X$2:$X$1001,MATCH(ROWS($W$2:W398),$W$2:$W$1001,0),1)&gt;=100000,INDEX($AD$1005:$AU$1005,1,MATCH(COLUMNS($AD$1006:AG1006),$AD$1006:$AU$1006,0))&gt;=100000), " ",IF(INDEX($AD$2:$AU$1001,MATCH(ROWS($W$2:W398),$W$2:$W$1001,0),MATCH(COLUMNS($AD$1006:AG1006),$AD$1006:$AU$1006,0)), HYPERLINK("#",""), HYPERLINK(CONCATENATE("#metadata!", ADDRESS(INDEX($Y$2:$Y$1001,MATCH(ROWS($W$2:W398),$W$2:$W$1001,0),0), INDEX($AD$1004:$AU$1004,1,MATCH(COLUMNS($AD$1006:AG1006),$AD$1006:$AU$1006,0)))),"Fix")))</f>
        <v xml:space="preserve"> </v>
      </c>
      <c r="F398" s="4" t="str">
        <f ca="1">IF(OR(INDEX($X$2:$X$1001,MATCH(ROWS($W$2:W398),$W$2:$W$1001,0),1)&gt;=100000,INDEX($AD$1005:$AU$1005,1,MATCH(COLUMNS($AD$1006:AH1006),$AD$1006:$AU$1006,0))&gt;=100000), " ",IF(INDEX($AD$2:$AU$1001,MATCH(ROWS($W$2:W398),$W$2:$W$1001,0),MATCH(COLUMNS($AD$1006:AH1006),$AD$1006:$AU$1006,0)), HYPERLINK("#",""), HYPERLINK(CONCATENATE("#metadata!", ADDRESS(INDEX($Y$2:$Y$1001,MATCH(ROWS($W$2:W398),$W$2:$W$1001,0),0), INDEX($AD$1004:$AU$1004,1,MATCH(COLUMNS($AD$1006:AH1006),$AD$1006:$AU$1006,0)))),"Fix")))</f>
        <v xml:space="preserve"> </v>
      </c>
      <c r="G398" s="4" t="str">
        <f ca="1">IF(OR(INDEX($X$2:$X$1001,MATCH(ROWS($W$2:W398),$W$2:$W$1001,0),1)&gt;=100000,INDEX($AD$1005:$AU$1005,1,MATCH(COLUMNS($AD$1006:AI1006),$AD$1006:$AU$1006,0))&gt;=100000), " ",IF(INDEX($AD$2:$AU$1001,MATCH(ROWS($W$2:W398),$W$2:$W$1001,0),MATCH(COLUMNS($AD$1006:AI1006),$AD$1006:$AU$1006,0)), HYPERLINK("#",""), HYPERLINK(CONCATENATE("#metadata!", ADDRESS(INDEX($Y$2:$Y$1001,MATCH(ROWS($W$2:W398),$W$2:$W$1001,0),0), INDEX($AD$1004:$AU$1004,1,MATCH(COLUMNS($AD$1006:AI1006),$AD$1006:$AU$1006,0)))),"Fix")))</f>
        <v xml:space="preserve"> </v>
      </c>
      <c r="H398" s="4" t="str">
        <f ca="1">IF(OR(INDEX($X$2:$X$1001,MATCH(ROWS($W$2:W398),$W$2:$W$1001,0),1)&gt;=100000,INDEX($AD$1005:$AU$1005,1,MATCH(COLUMNS($AD$1006:AJ1006),$AD$1006:$AU$1006,0))&gt;=100000), " ",IF(INDEX($AD$2:$AU$1001,MATCH(ROWS($W$2:W398),$W$2:$W$1001,0),MATCH(COLUMNS($AD$1006:AJ1006),$AD$1006:$AU$1006,0)), HYPERLINK("#",""), HYPERLINK(CONCATENATE("#metadata!", ADDRESS(INDEX($Y$2:$Y$1001,MATCH(ROWS($W$2:W398),$W$2:$W$1001,0),0), INDEX($AD$1004:$AU$1004,1,MATCH(COLUMNS($AD$1006:AJ1006),$AD$1006:$AU$1006,0)))),"Fix")))</f>
        <v xml:space="preserve"> </v>
      </c>
      <c r="I398" s="4" t="str">
        <f ca="1">IF(OR(INDEX($X$2:$X$1001,MATCH(ROWS($W$2:W398),$W$2:$W$1001,0),1)&gt;=100000,INDEX($AD$1005:$AU$1005,1,MATCH(COLUMNS($AD$1006:AK1006),$AD$1006:$AU$1006,0))&gt;=100000), " ",IF(INDEX($AD$2:$AU$1001,MATCH(ROWS($W$2:W398),$W$2:$W$1001,0),MATCH(COLUMNS($AD$1006:AK1006),$AD$1006:$AU$1006,0)), HYPERLINK("#",""), HYPERLINK(CONCATENATE("#metadata!", ADDRESS(INDEX($Y$2:$Y$1001,MATCH(ROWS($W$2:W398),$W$2:$W$1001,0),0), INDEX($AD$1004:$AU$1004,1,MATCH(COLUMNS($AD$1006:AK1006),$AD$1006:$AU$1006,0)))),"Fix")))</f>
        <v xml:space="preserve"> </v>
      </c>
      <c r="J398" s="4" t="str">
        <f ca="1">IF(OR(INDEX($X$2:$X$1001,MATCH(ROWS($W$2:W398),$W$2:$W$1001,0),1)&gt;=100000,INDEX($AD$1005:$AU$1005,1,MATCH(COLUMNS($AD$1006:AL1006),$AD$1006:$AU$1006,0))&gt;=100000), " ",IF(INDEX($AD$2:$AU$1001,MATCH(ROWS($W$2:W398),$W$2:$W$1001,0),MATCH(COLUMNS($AD$1006:AL1006),$AD$1006:$AU$1006,0)), HYPERLINK("#",""), HYPERLINK(CONCATENATE("#metadata!", ADDRESS(INDEX($Y$2:$Y$1001,MATCH(ROWS($W$2:W398),$W$2:$W$1001,0),0), INDEX($AD$1004:$AU$1004,1,MATCH(COLUMNS($AD$1006:AL1006),$AD$1006:$AU$1006,0)))),"Fix")))</f>
        <v xml:space="preserve"> </v>
      </c>
      <c r="K398" s="4" t="str">
        <f ca="1">IF(OR(INDEX($X$2:$X$1001,MATCH(ROWS($W$2:W398),$W$2:$W$1001,0),1)&gt;=100000,INDEX($AD$1005:$AU$1005,1,MATCH(COLUMNS($AD$1006:AM1006),$AD$1006:$AU$1006,0))&gt;=100000), " ",IF(INDEX($AD$2:$AU$1001,MATCH(ROWS($W$2:W398),$W$2:$W$1001,0),MATCH(COLUMNS($AD$1006:AM1006),$AD$1006:$AU$1006,0)), HYPERLINK("#",""), HYPERLINK(CONCATENATE("#metadata!", ADDRESS(INDEX($Y$2:$Y$1001,MATCH(ROWS($W$2:W398),$W$2:$W$1001,0),0), INDEX($AD$1004:$AU$1004,1,MATCH(COLUMNS($AD$1006:AM1006),$AD$1006:$AU$1006,0)))),"Fix")))</f>
        <v xml:space="preserve"> </v>
      </c>
      <c r="L398" s="4" t="str">
        <f ca="1">IF(OR(INDEX($X$2:$X$1001,MATCH(ROWS($W$2:W398),$W$2:$W$1001,0),1)&gt;=100000,INDEX($AD$1005:$AU$1005,1,MATCH(COLUMNS($AD$1006:AN1006),$AD$1006:$AU$1006,0))&gt;=100000), " ",IF(INDEX($AD$2:$AU$1001,MATCH(ROWS($W$2:W398),$W$2:$W$1001,0),MATCH(COLUMNS($AD$1006:AN1006),$AD$1006:$AU$1006,0)), HYPERLINK("#",""), HYPERLINK(CONCATENATE("#metadata!", ADDRESS(INDEX($Y$2:$Y$1001,MATCH(ROWS($W$2:W398),$W$2:$W$1001,0),0), INDEX($AD$1004:$AU$1004,1,MATCH(COLUMNS($AD$1006:AN1006),$AD$1006:$AU$1006,0)))),"Fix")))</f>
        <v xml:space="preserve"> </v>
      </c>
      <c r="M398" s="4" t="str">
        <f ca="1">IF(OR(INDEX($X$2:$X$1001,MATCH(ROWS($W$2:W398),$W$2:$W$1001,0),1)&gt;=100000,INDEX($AD$1005:$AU$1005,1,MATCH(COLUMNS($AD$1006:AO1006),$AD$1006:$AU$1006,0))&gt;=100000), " ",IF(INDEX($AD$2:$AU$1001,MATCH(ROWS($W$2:W398),$W$2:$W$1001,0),MATCH(COLUMNS($AD$1006:AO1006),$AD$1006:$AU$1006,0)), HYPERLINK("#",""), HYPERLINK(CONCATENATE("#metadata!", ADDRESS(INDEX($Y$2:$Y$1001,MATCH(ROWS($W$2:W398),$W$2:$W$1001,0),0), INDEX($AD$1004:$AU$1004,1,MATCH(COLUMNS($AD$1006:AO1006),$AD$1006:$AU$1006,0)))),"Fix")))</f>
        <v xml:space="preserve"> </v>
      </c>
      <c r="N398" s="4" t="str">
        <f ca="1">IF(OR(INDEX($X$2:$X$1001,MATCH(ROWS($W$2:W398),$W$2:$W$1001,0),1)&gt;=100000,INDEX($AD$1005:$AU$1005,1,MATCH(COLUMNS($AD$1006:AP1006),$AD$1006:$AU$1006,0))&gt;=100000), " ",IF(INDEX($AD$2:$AU$1001,MATCH(ROWS($W$2:W398),$W$2:$W$1001,0),MATCH(COLUMNS($AD$1006:AP1006),$AD$1006:$AU$1006,0)), HYPERLINK("#",""), HYPERLINK(CONCATENATE("#metadata!", ADDRESS(INDEX($Y$2:$Y$1001,MATCH(ROWS($W$2:W398),$W$2:$W$1001,0),0), INDEX($AD$1004:$AU$1004,1,MATCH(COLUMNS($AD$1006:AP1006),$AD$1006:$AU$1006,0)))),"Fix")))</f>
        <v xml:space="preserve"> </v>
      </c>
      <c r="O398" s="4" t="str">
        <f ca="1">IF(OR(INDEX($X$2:$X$1001,MATCH(ROWS($W$2:W398),$W$2:$W$1001,0),1)&gt;=100000,INDEX($AD$1005:$AU$1005,1,MATCH(COLUMNS($AD$1006:AQ1006),$AD$1006:$AU$1006,0))&gt;=100000), " ",IF(INDEX($AD$2:$AU$1001,MATCH(ROWS($W$2:W398),$W$2:$W$1001,0),MATCH(COLUMNS($AD$1006:AQ1006),$AD$1006:$AU$1006,0)), HYPERLINK("#",""), HYPERLINK(CONCATENATE("#metadata!", ADDRESS(INDEX($Y$2:$Y$1001,MATCH(ROWS($W$2:W398),$W$2:$W$1001,0),0), INDEX($AD$1004:$AU$1004,1,MATCH(COLUMNS($AD$1006:AQ1006),$AD$1006:$AU$1006,0)))),"Fix")))</f>
        <v xml:space="preserve"> </v>
      </c>
      <c r="P398" s="4" t="str">
        <f ca="1">IF(OR(INDEX($X$2:$X$1001,MATCH(ROWS($W$2:W398),$W$2:$W$1001,0),1)&gt;=100000,INDEX($AD$1005:$AU$1005,1,MATCH(COLUMNS($AD$1006:AR1006),$AD$1006:$AU$1006,0))&gt;=100000), " ",IF(INDEX($AD$2:$AU$1001,MATCH(ROWS($W$2:W398),$W$2:$W$1001,0),MATCH(COLUMNS($AD$1006:AR1006),$AD$1006:$AU$1006,0)), HYPERLINK("#",""), HYPERLINK(CONCATENATE("#metadata!", ADDRESS(INDEX($Y$2:$Y$1001,MATCH(ROWS($W$2:W398),$W$2:$W$1001,0),0), INDEX($AD$1004:$AU$1004,1,MATCH(COLUMNS($AD$1006:AR1006),$AD$1006:$AU$1006,0)))),"Fix")))</f>
        <v xml:space="preserve"> </v>
      </c>
      <c r="Q398" s="4" t="str">
        <f ca="1">IF(OR(INDEX($X$2:$X$1001,MATCH(ROWS($W$2:W398),$W$2:$W$1001,0),1)&gt;=100000,INDEX($AD$1005:$AU$1005,1,MATCH(COLUMNS($AD$1006:AS1006),$AD$1006:$AU$1006,0))&gt;=100000), " ",IF(INDEX($AD$2:$AU$1001,MATCH(ROWS($W$2:W398),$W$2:$W$1001,0),MATCH(COLUMNS($AD$1006:AS1006),$AD$1006:$AU$1006,0)), HYPERLINK("#",""), HYPERLINK(CONCATENATE("#metadata!", ADDRESS(INDEX($Y$2:$Y$1001,MATCH(ROWS($W$2:W398),$W$2:$W$1001,0),0), INDEX($AD$1004:$AU$1004,1,MATCH(COLUMNS($AD$1006:AS1006),$AD$1006:$AU$1006,0)))),"Fix")))</f>
        <v xml:space="preserve"> </v>
      </c>
      <c r="R398" s="4" t="str">
        <f ca="1">IF(OR(INDEX($X$2:$X$1001,MATCH(ROWS($W$2:W398),$W$2:$W$1001,0),1)&gt;=100000,INDEX($AD$1005:$AU$1005,1,MATCH(COLUMNS($AD$1006:AT1006),$AD$1006:$AU$1006,0))&gt;=100000), " ",IF(INDEX($AD$2:$AU$1001,MATCH(ROWS($W$2:W398),$W$2:$W$1001,0),MATCH(COLUMNS($AD$1006:AT1006),$AD$1006:$AU$1006,0)), HYPERLINK("#",""), HYPERLINK(CONCATENATE("#metadata!", ADDRESS(INDEX($Y$2:$Y$1001,MATCH(ROWS($W$2:W398),$W$2:$W$1001,0),0), INDEX($AD$1004:$AU$1004,1,MATCH(COLUMNS($AD$1006:AT1006),$AD$1006:$AU$1006,0)))),"Fix")))</f>
        <v xml:space="preserve"> </v>
      </c>
      <c r="S398" s="4" t="str">
        <f ca="1">IF(OR(INDEX($X$2:$X$1001,MATCH(ROWS($W$2:W398),$W$2:$W$1001,0),1)&gt;=100000,INDEX($AD$1005:$AU$1005,1,MATCH(COLUMNS($AD$1006:AU1006),$AD$1006:$AU$1006,0))&gt;=100000), " ",IF(INDEX($AD$2:$AU$1001,MATCH(ROWS($W$2:W398),$W$2:$W$1001,0),MATCH(COLUMNS($AD$1006:AU1006),$AD$1006:$AU$1006,0)), HYPERLINK("#",""), HYPERLINK(CONCATENATE("#metadata!", ADDRESS(INDEX($Y$2:$Y$1001,MATCH(ROWS($W$2:W398),$W$2:$W$1001,0),0), INDEX($AD$1004:$AU$1004,1,MATCH(COLUMNS($AD$1006:AU1006),$AD$1006:$AU$1006,0)))),"Fix")))</f>
        <v xml:space="preserve"> </v>
      </c>
      <c r="W398">
        <v>397</v>
      </c>
      <c r="X398">
        <v>100398</v>
      </c>
      <c r="Y398">
        <v>398</v>
      </c>
      <c r="Z398" t="b">
        <f t="shared" si="6"/>
        <v>1</v>
      </c>
      <c r="AA398" t="b">
        <f>COUNTBLANK(metadata!B398:S398)=COLUMNS(metadata!B398:S398)</f>
        <v>1</v>
      </c>
      <c r="AB398" t="str">
        <v/>
      </c>
      <c r="AD398" t="b">
        <f ca="1">AND(IF(metadata!B398="",FALSE,TRUE),COUNTIF(metadata!B:B, metadata!B398) = 1,NOT(ISERROR(SUMPRODUCT(SEARCH(MID(metadata!B398,ROW(INDIRECT("1:"&amp;LEN(metadata!B398))), 1),"0123456789abcdefghijklmnopqrstuvwxyzABCDEFGHIJKLMNOPQRSTUVWXYZ.")))))</f>
        <v>0</v>
      </c>
      <c r="AE398" t="b">
        <f>OR(AND(IF(metadata!C398="",FALSE,TRUE),OR(EXACT(metadata!C398,"not applicable"),EXACT(metadata!C398,"missing: not collected"),EXACT(metadata!C398,"missing: not provided"),EXACT(metadata!C398,"missing: restricted access"))),AND(IF(metadata!C398="",FALSE,ISNUMBER(VALUE(metadata!C398))),metadata!C398&gt;0))</f>
        <v>0</v>
      </c>
      <c r="AF398" t="b">
        <f>AND(IF(metadata!D398="",FALSE,TRUE),EXACT(metadata!D398,"missing: not provided"))</f>
        <v>0</v>
      </c>
      <c r="AG398" t="b">
        <f>AND(IF(metadata!E398="",FALSE,TRUE),EXACT(metadata!E398,"Host-associated"))</f>
        <v>0</v>
      </c>
      <c r="AH398" t="b">
        <f>AND(IF(metadata!F398="",FALSE,TRUE),OR(EXACT(metadata!F398,"Animal"),EXACT(metadata!F398,"Fungus"),EXACT(metadata!F398,"Plant")))</f>
        <v>0</v>
      </c>
      <c r="AI398" t="b">
        <f>AND(IF(metadata!G398="",FALSE,TRUE),OR(EXACT(metadata!G398,"Plant secretion"),EXACT(metadata!G398,"Plant rhizosphere"),EXACT(metadata!G398,"Plant surface"),EXACT(metadata!G398,"Plant corpus"),EXACT(metadata!G398,"Fungus surface"),EXACT(metadata!G398,"Fungus corpus"),EXACT(metadata!G398,"Animal surface"),EXACT(metadata!G398,"Animal proximal gut"),EXACT(metadata!G398,"Animal corpus"),EXACT(metadata!G398,"Animal distal gut"),EXACT(metadata!G398,"Animal secretion")))</f>
        <v>0</v>
      </c>
      <c r="AJ398" t="b">
        <f>OR(AND(IF(metadata!H398="",FALSE,TRUE),OR(EXACT(metadata!H398,"missing: not collected"),EXACT(metadata!H398,"missing: not provided"),EXACT(metadata!H398,"missing: restricted access"))),AND(IF(metadata!H398="",FALSE,TRUE),OR(EXACT(metadata!H398,"organism-associated habitat"),EXACT(metadata!H398,"plant-associated habitat"),EXACT(metadata!H398,"animal-associated habitat"),EXACT(metadata!H398,"insecta-associated habitat"),EXACT(metadata!H398,"mammalia-associated habitat"),EXACT(metadata!H398,"human-associated habitat"),EXACT(metadata!H398,"livestock-associated habitat"))))</f>
        <v>0</v>
      </c>
      <c r="AK398" t="b">
        <f>AND(IF(metadata!I398="",FALSE,TRUE),EXACT(metadata!I398,"host-associated"))</f>
        <v>0</v>
      </c>
      <c r="AL398" t="b">
        <f>OR(AND(IF(metadata!J398="",FALSE,TRUE),OR(EXACT(metadata!J398,"not applicable"),EXACT(metadata!J398,"missing: not collected"),EXACT(metadata!J398,"missing: not provided"),EXACT(metadata!J398,"missing: restricted access"))),AND(IF(metadata!J398="",FALSE,ISNUMBER(VALUE(metadata!J398))),metadata!J398&gt;0))</f>
        <v>0</v>
      </c>
      <c r="AM398" t="b">
        <f>AND(IF(metadata!K398="",FALSE,TRUE),EXACT(metadata!K398,"missing: not provided"))</f>
        <v>0</v>
      </c>
      <c r="AN398" t="b">
        <f>IF(metadata!L398="",FALSE,TRUE)</f>
        <v>0</v>
      </c>
      <c r="AO398" t="b">
        <f>IF(metadata!M398="",FALSE,TRUE)</f>
        <v>0</v>
      </c>
      <c r="AP398" t="b">
        <f>OR(AND(IF(metadata!N398="",FALSE,TRUE),OR(EXACT(metadata!N398,"not applicable"),EXACT(metadata!N398,"missing: not collected"),EXACT(metadata!N398,"missing: not provided"))),AND(IF(metadata!N398="",FALSE,IF(ISERROR(INT(metadata!N398)),FALSE,INT(metadata!N398)=metadata!N398)),metadata!N398&gt;0))</f>
        <v>0</v>
      </c>
      <c r="AQ398" t="b">
        <f>AND(IF(metadata!O398="",FALSE,TRUE),EXACT(metadata!O398,"Not applicable"))</f>
        <v>0</v>
      </c>
      <c r="AR398" t="b">
        <f>OR(AND(IF(metadata!P398="",FALSE,TRUE),OR(EXACT(metadata!P398,"not applicable"),EXACT(metadata!P398,"missing: not collected"),EXACT(metadata!P398,"missing: not provided"),EXACT(metadata!P398,"missing: restricted access"))),IF(metadata!P398="",FALSE,IF(ISERROR(INT(metadata!P398)),FALSE,INT(metadata!P398)=metadata!P398)))</f>
        <v>0</v>
      </c>
      <c r="AS398" t="b">
        <f>AND(IF(metadata!Q398="",FALSE,TRUE),EXACT(metadata!Q398,"Not applicable"))</f>
        <v>0</v>
      </c>
      <c r="AT398" t="b">
        <f>OR(AND(IF(metadata!R398="",FALSE,TRUE),OR(EXACT(metadata!R398,"not applicable"),EXACT(metadata!R398,"missing: not collected"),EXACT(metadata!R398,"missing: not provided"),EXACT(metadata!R398,"missing: restricted access"))),AND(IF(metadata!R398="",FALSE,ISNUMBER(VALUE(metadata!R398))),metadata!R398&gt;0))</f>
        <v>0</v>
      </c>
      <c r="AU398" t="b">
        <f>AND(IF(metadata!S398="",FALSE,TRUE),EXACT(metadata!S398,"missing: not provided"))</f>
        <v>0</v>
      </c>
    </row>
    <row r="399" spans="1:47" x14ac:dyDescent="0.2">
      <c r="A399" s="5" t="str">
        <f ca="1">IF(B399=" "," ",HYPERLINK(CONCATENATE("#metadata!",ADDRESS(INDEX($Y$2:$Y$1001,MATCH(ROWS($W$2:W399),$W$2:$W$1001,0),0),1)),INDEX($AB$2:$AB$1001,MATCH(ROWS($W$2:W399),$W$2:$W$1001,0),0)))</f>
        <v xml:space="preserve"> </v>
      </c>
      <c r="B399" s="4" t="str">
        <f ca="1">IF(OR(INDEX($X$2:$X$1001,MATCH(ROWS($W$2:W399),$W$2:$W$1001,0),1)&gt;=100000,INDEX($AD$1005:$AU$1005,1,MATCH(COLUMNS($AD$1006:AD1006),$AD$1006:$AU$1006,0))&gt;=100000), " ",IF(INDEX($AD$2:$AU$1001,MATCH(ROWS($W$2:W399),$W$2:$W$1001,0),MATCH(COLUMNS($AD$1006:AD1006),$AD$1006:$AU$1006,0)), HYPERLINK("#",""), HYPERLINK(CONCATENATE("#metadata!", ADDRESS(INDEX($Y$2:$Y$1001,MATCH(ROWS($W$2:W399),$W$2:$W$1001,0),0), INDEX($AD$1004:$AU$1004,1,MATCH(COLUMNS($AD$1006:AD1006),$AD$1006:$AU$1006,0)))),"Fix")))</f>
        <v xml:space="preserve"> </v>
      </c>
      <c r="C399" s="4" t="str">
        <f ca="1">IF(OR(INDEX($X$2:$X$1001,MATCH(ROWS($W$2:W399),$W$2:$W$1001,0),1)&gt;=100000,INDEX($AD$1005:$AU$1005,1,MATCH(COLUMNS($AD$1006:AE1006),$AD$1006:$AU$1006,0))&gt;=100000), " ",IF(INDEX($AD$2:$AU$1001,MATCH(ROWS($W$2:W399),$W$2:$W$1001,0),MATCH(COLUMNS($AD$1006:AE1006),$AD$1006:$AU$1006,0)), HYPERLINK("#",""), HYPERLINK(CONCATENATE("#metadata!", ADDRESS(INDEX($Y$2:$Y$1001,MATCH(ROWS($W$2:W399),$W$2:$W$1001,0),0), INDEX($AD$1004:$AU$1004,1,MATCH(COLUMNS($AD$1006:AE1006),$AD$1006:$AU$1006,0)))),"Fix")))</f>
        <v xml:space="preserve"> </v>
      </c>
      <c r="D399" s="4" t="str">
        <f ca="1">IF(OR(INDEX($X$2:$X$1001,MATCH(ROWS($W$2:W399),$W$2:$W$1001,0),1)&gt;=100000,INDEX($AD$1005:$AU$1005,1,MATCH(COLUMNS($AD$1006:AF1006),$AD$1006:$AU$1006,0))&gt;=100000), " ",IF(INDEX($AD$2:$AU$1001,MATCH(ROWS($W$2:W399),$W$2:$W$1001,0),MATCH(COLUMNS($AD$1006:AF1006),$AD$1006:$AU$1006,0)), HYPERLINK("#",""), HYPERLINK(CONCATENATE("#metadata!", ADDRESS(INDEX($Y$2:$Y$1001,MATCH(ROWS($W$2:W399),$W$2:$W$1001,0),0), INDEX($AD$1004:$AU$1004,1,MATCH(COLUMNS($AD$1006:AF1006),$AD$1006:$AU$1006,0)))),"Fix")))</f>
        <v xml:space="preserve"> </v>
      </c>
      <c r="E399" s="4" t="str">
        <f ca="1">IF(OR(INDEX($X$2:$X$1001,MATCH(ROWS($W$2:W399),$W$2:$W$1001,0),1)&gt;=100000,INDEX($AD$1005:$AU$1005,1,MATCH(COLUMNS($AD$1006:AG1006),$AD$1006:$AU$1006,0))&gt;=100000), " ",IF(INDEX($AD$2:$AU$1001,MATCH(ROWS($W$2:W399),$W$2:$W$1001,0),MATCH(COLUMNS($AD$1006:AG1006),$AD$1006:$AU$1006,0)), HYPERLINK("#",""), HYPERLINK(CONCATENATE("#metadata!", ADDRESS(INDEX($Y$2:$Y$1001,MATCH(ROWS($W$2:W399),$W$2:$W$1001,0),0), INDEX($AD$1004:$AU$1004,1,MATCH(COLUMNS($AD$1006:AG1006),$AD$1006:$AU$1006,0)))),"Fix")))</f>
        <v xml:space="preserve"> </v>
      </c>
      <c r="F399" s="4" t="str">
        <f ca="1">IF(OR(INDEX($X$2:$X$1001,MATCH(ROWS($W$2:W399),$W$2:$W$1001,0),1)&gt;=100000,INDEX($AD$1005:$AU$1005,1,MATCH(COLUMNS($AD$1006:AH1006),$AD$1006:$AU$1006,0))&gt;=100000), " ",IF(INDEX($AD$2:$AU$1001,MATCH(ROWS($W$2:W399),$W$2:$W$1001,0),MATCH(COLUMNS($AD$1006:AH1006),$AD$1006:$AU$1006,0)), HYPERLINK("#",""), HYPERLINK(CONCATENATE("#metadata!", ADDRESS(INDEX($Y$2:$Y$1001,MATCH(ROWS($W$2:W399),$W$2:$W$1001,0),0), INDEX($AD$1004:$AU$1004,1,MATCH(COLUMNS($AD$1006:AH1006),$AD$1006:$AU$1006,0)))),"Fix")))</f>
        <v xml:space="preserve"> </v>
      </c>
      <c r="G399" s="4" t="str">
        <f ca="1">IF(OR(INDEX($X$2:$X$1001,MATCH(ROWS($W$2:W399),$W$2:$W$1001,0),1)&gt;=100000,INDEX($AD$1005:$AU$1005,1,MATCH(COLUMNS($AD$1006:AI1006),$AD$1006:$AU$1006,0))&gt;=100000), " ",IF(INDEX($AD$2:$AU$1001,MATCH(ROWS($W$2:W399),$W$2:$W$1001,0),MATCH(COLUMNS($AD$1006:AI1006),$AD$1006:$AU$1006,0)), HYPERLINK("#",""), HYPERLINK(CONCATENATE("#metadata!", ADDRESS(INDEX($Y$2:$Y$1001,MATCH(ROWS($W$2:W399),$W$2:$W$1001,0),0), INDEX($AD$1004:$AU$1004,1,MATCH(COLUMNS($AD$1006:AI1006),$AD$1006:$AU$1006,0)))),"Fix")))</f>
        <v xml:space="preserve"> </v>
      </c>
      <c r="H399" s="4" t="str">
        <f ca="1">IF(OR(INDEX($X$2:$X$1001,MATCH(ROWS($W$2:W399),$W$2:$W$1001,0),1)&gt;=100000,INDEX($AD$1005:$AU$1005,1,MATCH(COLUMNS($AD$1006:AJ1006),$AD$1006:$AU$1006,0))&gt;=100000), " ",IF(INDEX($AD$2:$AU$1001,MATCH(ROWS($W$2:W399),$W$2:$W$1001,0),MATCH(COLUMNS($AD$1006:AJ1006),$AD$1006:$AU$1006,0)), HYPERLINK("#",""), HYPERLINK(CONCATENATE("#metadata!", ADDRESS(INDEX($Y$2:$Y$1001,MATCH(ROWS($W$2:W399),$W$2:$W$1001,0),0), INDEX($AD$1004:$AU$1004,1,MATCH(COLUMNS($AD$1006:AJ1006),$AD$1006:$AU$1006,0)))),"Fix")))</f>
        <v xml:space="preserve"> </v>
      </c>
      <c r="I399" s="4" t="str">
        <f ca="1">IF(OR(INDEX($X$2:$X$1001,MATCH(ROWS($W$2:W399),$W$2:$W$1001,0),1)&gt;=100000,INDEX($AD$1005:$AU$1005,1,MATCH(COLUMNS($AD$1006:AK1006),$AD$1006:$AU$1006,0))&gt;=100000), " ",IF(INDEX($AD$2:$AU$1001,MATCH(ROWS($W$2:W399),$W$2:$W$1001,0),MATCH(COLUMNS($AD$1006:AK1006),$AD$1006:$AU$1006,0)), HYPERLINK("#",""), HYPERLINK(CONCATENATE("#metadata!", ADDRESS(INDEX($Y$2:$Y$1001,MATCH(ROWS($W$2:W399),$W$2:$W$1001,0),0), INDEX($AD$1004:$AU$1004,1,MATCH(COLUMNS($AD$1006:AK1006),$AD$1006:$AU$1006,0)))),"Fix")))</f>
        <v xml:space="preserve"> </v>
      </c>
      <c r="J399" s="4" t="str">
        <f ca="1">IF(OR(INDEX($X$2:$X$1001,MATCH(ROWS($W$2:W399),$W$2:$W$1001,0),1)&gt;=100000,INDEX($AD$1005:$AU$1005,1,MATCH(COLUMNS($AD$1006:AL1006),$AD$1006:$AU$1006,0))&gt;=100000), " ",IF(INDEX($AD$2:$AU$1001,MATCH(ROWS($W$2:W399),$W$2:$W$1001,0),MATCH(COLUMNS($AD$1006:AL1006),$AD$1006:$AU$1006,0)), HYPERLINK("#",""), HYPERLINK(CONCATENATE("#metadata!", ADDRESS(INDEX($Y$2:$Y$1001,MATCH(ROWS($W$2:W399),$W$2:$W$1001,0),0), INDEX($AD$1004:$AU$1004,1,MATCH(COLUMNS($AD$1006:AL1006),$AD$1006:$AU$1006,0)))),"Fix")))</f>
        <v xml:space="preserve"> </v>
      </c>
      <c r="K399" s="4" t="str">
        <f ca="1">IF(OR(INDEX($X$2:$X$1001,MATCH(ROWS($W$2:W399),$W$2:$W$1001,0),1)&gt;=100000,INDEX($AD$1005:$AU$1005,1,MATCH(COLUMNS($AD$1006:AM1006),$AD$1006:$AU$1006,0))&gt;=100000), " ",IF(INDEX($AD$2:$AU$1001,MATCH(ROWS($W$2:W399),$W$2:$W$1001,0),MATCH(COLUMNS($AD$1006:AM1006),$AD$1006:$AU$1006,0)), HYPERLINK("#",""), HYPERLINK(CONCATENATE("#metadata!", ADDRESS(INDEX($Y$2:$Y$1001,MATCH(ROWS($W$2:W399),$W$2:$W$1001,0),0), INDEX($AD$1004:$AU$1004,1,MATCH(COLUMNS($AD$1006:AM1006),$AD$1006:$AU$1006,0)))),"Fix")))</f>
        <v xml:space="preserve"> </v>
      </c>
      <c r="L399" s="4" t="str">
        <f ca="1">IF(OR(INDEX($X$2:$X$1001,MATCH(ROWS($W$2:W399),$W$2:$W$1001,0),1)&gt;=100000,INDEX($AD$1005:$AU$1005,1,MATCH(COLUMNS($AD$1006:AN1006),$AD$1006:$AU$1006,0))&gt;=100000), " ",IF(INDEX($AD$2:$AU$1001,MATCH(ROWS($W$2:W399),$W$2:$W$1001,0),MATCH(COLUMNS($AD$1006:AN1006),$AD$1006:$AU$1006,0)), HYPERLINK("#",""), HYPERLINK(CONCATENATE("#metadata!", ADDRESS(INDEX($Y$2:$Y$1001,MATCH(ROWS($W$2:W399),$W$2:$W$1001,0),0), INDEX($AD$1004:$AU$1004,1,MATCH(COLUMNS($AD$1006:AN1006),$AD$1006:$AU$1006,0)))),"Fix")))</f>
        <v xml:space="preserve"> </v>
      </c>
      <c r="M399" s="4" t="str">
        <f ca="1">IF(OR(INDEX($X$2:$X$1001,MATCH(ROWS($W$2:W399),$W$2:$W$1001,0),1)&gt;=100000,INDEX($AD$1005:$AU$1005,1,MATCH(COLUMNS($AD$1006:AO1006),$AD$1006:$AU$1006,0))&gt;=100000), " ",IF(INDEX($AD$2:$AU$1001,MATCH(ROWS($W$2:W399),$W$2:$W$1001,0),MATCH(COLUMNS($AD$1006:AO1006),$AD$1006:$AU$1006,0)), HYPERLINK("#",""), HYPERLINK(CONCATENATE("#metadata!", ADDRESS(INDEX($Y$2:$Y$1001,MATCH(ROWS($W$2:W399),$W$2:$W$1001,0),0), INDEX($AD$1004:$AU$1004,1,MATCH(COLUMNS($AD$1006:AO1006),$AD$1006:$AU$1006,0)))),"Fix")))</f>
        <v xml:space="preserve"> </v>
      </c>
      <c r="N399" s="4" t="str">
        <f ca="1">IF(OR(INDEX($X$2:$X$1001,MATCH(ROWS($W$2:W399),$W$2:$W$1001,0),1)&gt;=100000,INDEX($AD$1005:$AU$1005,1,MATCH(COLUMNS($AD$1006:AP1006),$AD$1006:$AU$1006,0))&gt;=100000), " ",IF(INDEX($AD$2:$AU$1001,MATCH(ROWS($W$2:W399),$W$2:$W$1001,0),MATCH(COLUMNS($AD$1006:AP1006),$AD$1006:$AU$1006,0)), HYPERLINK("#",""), HYPERLINK(CONCATENATE("#metadata!", ADDRESS(INDEX($Y$2:$Y$1001,MATCH(ROWS($W$2:W399),$W$2:$W$1001,0),0), INDEX($AD$1004:$AU$1004,1,MATCH(COLUMNS($AD$1006:AP1006),$AD$1006:$AU$1006,0)))),"Fix")))</f>
        <v xml:space="preserve"> </v>
      </c>
      <c r="O399" s="4" t="str">
        <f ca="1">IF(OR(INDEX($X$2:$X$1001,MATCH(ROWS($W$2:W399),$W$2:$W$1001,0),1)&gt;=100000,INDEX($AD$1005:$AU$1005,1,MATCH(COLUMNS($AD$1006:AQ1006),$AD$1006:$AU$1006,0))&gt;=100000), " ",IF(INDEX($AD$2:$AU$1001,MATCH(ROWS($W$2:W399),$W$2:$W$1001,0),MATCH(COLUMNS($AD$1006:AQ1006),$AD$1006:$AU$1006,0)), HYPERLINK("#",""), HYPERLINK(CONCATENATE("#metadata!", ADDRESS(INDEX($Y$2:$Y$1001,MATCH(ROWS($W$2:W399),$W$2:$W$1001,0),0), INDEX($AD$1004:$AU$1004,1,MATCH(COLUMNS($AD$1006:AQ1006),$AD$1006:$AU$1006,0)))),"Fix")))</f>
        <v xml:space="preserve"> </v>
      </c>
      <c r="P399" s="4" t="str">
        <f ca="1">IF(OR(INDEX($X$2:$X$1001,MATCH(ROWS($W$2:W399),$W$2:$W$1001,0),1)&gt;=100000,INDEX($AD$1005:$AU$1005,1,MATCH(COLUMNS($AD$1006:AR1006),$AD$1006:$AU$1006,0))&gt;=100000), " ",IF(INDEX($AD$2:$AU$1001,MATCH(ROWS($W$2:W399),$W$2:$W$1001,0),MATCH(COLUMNS($AD$1006:AR1006),$AD$1006:$AU$1006,0)), HYPERLINK("#",""), HYPERLINK(CONCATENATE("#metadata!", ADDRESS(INDEX($Y$2:$Y$1001,MATCH(ROWS($W$2:W399),$W$2:$W$1001,0),0), INDEX($AD$1004:$AU$1004,1,MATCH(COLUMNS($AD$1006:AR1006),$AD$1006:$AU$1006,0)))),"Fix")))</f>
        <v xml:space="preserve"> </v>
      </c>
      <c r="Q399" s="4" t="str">
        <f ca="1">IF(OR(INDEX($X$2:$X$1001,MATCH(ROWS($W$2:W399),$W$2:$W$1001,0),1)&gt;=100000,INDEX($AD$1005:$AU$1005,1,MATCH(COLUMNS($AD$1006:AS1006),$AD$1006:$AU$1006,0))&gt;=100000), " ",IF(INDEX($AD$2:$AU$1001,MATCH(ROWS($W$2:W399),$W$2:$W$1001,0),MATCH(COLUMNS($AD$1006:AS1006),$AD$1006:$AU$1006,0)), HYPERLINK("#",""), HYPERLINK(CONCATENATE("#metadata!", ADDRESS(INDEX($Y$2:$Y$1001,MATCH(ROWS($W$2:W399),$W$2:$W$1001,0),0), INDEX($AD$1004:$AU$1004,1,MATCH(COLUMNS($AD$1006:AS1006),$AD$1006:$AU$1006,0)))),"Fix")))</f>
        <v xml:space="preserve"> </v>
      </c>
      <c r="R399" s="4" t="str">
        <f ca="1">IF(OR(INDEX($X$2:$X$1001,MATCH(ROWS($W$2:W399),$W$2:$W$1001,0),1)&gt;=100000,INDEX($AD$1005:$AU$1005,1,MATCH(COLUMNS($AD$1006:AT1006),$AD$1006:$AU$1006,0))&gt;=100000), " ",IF(INDEX($AD$2:$AU$1001,MATCH(ROWS($W$2:W399),$W$2:$W$1001,0),MATCH(COLUMNS($AD$1006:AT1006),$AD$1006:$AU$1006,0)), HYPERLINK("#",""), HYPERLINK(CONCATENATE("#metadata!", ADDRESS(INDEX($Y$2:$Y$1001,MATCH(ROWS($W$2:W399),$W$2:$W$1001,0),0), INDEX($AD$1004:$AU$1004,1,MATCH(COLUMNS($AD$1006:AT1006),$AD$1006:$AU$1006,0)))),"Fix")))</f>
        <v xml:space="preserve"> </v>
      </c>
      <c r="S399" s="4" t="str">
        <f ca="1">IF(OR(INDEX($X$2:$X$1001,MATCH(ROWS($W$2:W399),$W$2:$W$1001,0),1)&gt;=100000,INDEX($AD$1005:$AU$1005,1,MATCH(COLUMNS($AD$1006:AU1006),$AD$1006:$AU$1006,0))&gt;=100000), " ",IF(INDEX($AD$2:$AU$1001,MATCH(ROWS($W$2:W399),$W$2:$W$1001,0),MATCH(COLUMNS($AD$1006:AU1006),$AD$1006:$AU$1006,0)), HYPERLINK("#",""), HYPERLINK(CONCATENATE("#metadata!", ADDRESS(INDEX($Y$2:$Y$1001,MATCH(ROWS($W$2:W399),$W$2:$W$1001,0),0), INDEX($AD$1004:$AU$1004,1,MATCH(COLUMNS($AD$1006:AU1006),$AD$1006:$AU$1006,0)))),"Fix")))</f>
        <v xml:space="preserve"> </v>
      </c>
      <c r="W399">
        <v>398</v>
      </c>
      <c r="X399">
        <v>100399</v>
      </c>
      <c r="Y399">
        <v>399</v>
      </c>
      <c r="Z399" t="b">
        <f t="shared" si="6"/>
        <v>1</v>
      </c>
      <c r="AA399" t="b">
        <f>COUNTBLANK(metadata!B399:S399)=COLUMNS(metadata!B399:S399)</f>
        <v>1</v>
      </c>
      <c r="AB399" t="str">
        <v/>
      </c>
      <c r="AD399" t="b">
        <f ca="1">AND(IF(metadata!B399="",FALSE,TRUE),COUNTIF(metadata!B:B, metadata!B399) = 1,NOT(ISERROR(SUMPRODUCT(SEARCH(MID(metadata!B399,ROW(INDIRECT("1:"&amp;LEN(metadata!B399))), 1),"0123456789abcdefghijklmnopqrstuvwxyzABCDEFGHIJKLMNOPQRSTUVWXYZ.")))))</f>
        <v>0</v>
      </c>
      <c r="AE399" t="b">
        <f>OR(AND(IF(metadata!C399="",FALSE,TRUE),OR(EXACT(metadata!C399,"not applicable"),EXACT(metadata!C399,"missing: not collected"),EXACT(metadata!C399,"missing: not provided"),EXACT(metadata!C399,"missing: restricted access"))),AND(IF(metadata!C399="",FALSE,ISNUMBER(VALUE(metadata!C399))),metadata!C399&gt;0))</f>
        <v>0</v>
      </c>
      <c r="AF399" t="b">
        <f>AND(IF(metadata!D399="",FALSE,TRUE),EXACT(metadata!D399,"missing: not provided"))</f>
        <v>0</v>
      </c>
      <c r="AG399" t="b">
        <f>AND(IF(metadata!E399="",FALSE,TRUE),EXACT(metadata!E399,"Host-associated"))</f>
        <v>0</v>
      </c>
      <c r="AH399" t="b">
        <f>AND(IF(metadata!F399="",FALSE,TRUE),OR(EXACT(metadata!F399,"Animal"),EXACT(metadata!F399,"Fungus"),EXACT(metadata!F399,"Plant")))</f>
        <v>0</v>
      </c>
      <c r="AI399" t="b">
        <f>AND(IF(metadata!G399="",FALSE,TRUE),OR(EXACT(metadata!G399,"Plant secretion"),EXACT(metadata!G399,"Plant rhizosphere"),EXACT(metadata!G399,"Plant surface"),EXACT(metadata!G399,"Plant corpus"),EXACT(metadata!G399,"Fungus surface"),EXACT(metadata!G399,"Fungus corpus"),EXACT(metadata!G399,"Animal surface"),EXACT(metadata!G399,"Animal proximal gut"),EXACT(metadata!G399,"Animal corpus"),EXACT(metadata!G399,"Animal distal gut"),EXACT(metadata!G399,"Animal secretion")))</f>
        <v>0</v>
      </c>
      <c r="AJ399" t="b">
        <f>OR(AND(IF(metadata!H399="",FALSE,TRUE),OR(EXACT(metadata!H399,"missing: not collected"),EXACT(metadata!H399,"missing: not provided"),EXACT(metadata!H399,"missing: restricted access"))),AND(IF(metadata!H399="",FALSE,TRUE),OR(EXACT(metadata!H399,"organism-associated habitat"),EXACT(metadata!H399,"plant-associated habitat"),EXACT(metadata!H399,"animal-associated habitat"),EXACT(metadata!H399,"insecta-associated habitat"),EXACT(metadata!H399,"mammalia-associated habitat"),EXACT(metadata!H399,"human-associated habitat"),EXACT(metadata!H399,"livestock-associated habitat"))))</f>
        <v>0</v>
      </c>
      <c r="AK399" t="b">
        <f>AND(IF(metadata!I399="",FALSE,TRUE),EXACT(metadata!I399,"host-associated"))</f>
        <v>0</v>
      </c>
      <c r="AL399" t="b">
        <f>OR(AND(IF(metadata!J399="",FALSE,TRUE),OR(EXACT(metadata!J399,"not applicable"),EXACT(metadata!J399,"missing: not collected"),EXACT(metadata!J399,"missing: not provided"),EXACT(metadata!J399,"missing: restricted access"))),AND(IF(metadata!J399="",FALSE,ISNUMBER(VALUE(metadata!J399))),metadata!J399&gt;0))</f>
        <v>0</v>
      </c>
      <c r="AM399" t="b">
        <f>AND(IF(metadata!K399="",FALSE,TRUE),EXACT(metadata!K399,"missing: not provided"))</f>
        <v>0</v>
      </c>
      <c r="AN399" t="b">
        <f>IF(metadata!L399="",FALSE,TRUE)</f>
        <v>0</v>
      </c>
      <c r="AO399" t="b">
        <f>IF(metadata!M399="",FALSE,TRUE)</f>
        <v>0</v>
      </c>
      <c r="AP399" t="b">
        <f>OR(AND(IF(metadata!N399="",FALSE,TRUE),OR(EXACT(metadata!N399,"not applicable"),EXACT(metadata!N399,"missing: not collected"),EXACT(metadata!N399,"missing: not provided"))),AND(IF(metadata!N399="",FALSE,IF(ISERROR(INT(metadata!N399)),FALSE,INT(metadata!N399)=metadata!N399)),metadata!N399&gt;0))</f>
        <v>0</v>
      </c>
      <c r="AQ399" t="b">
        <f>AND(IF(metadata!O399="",FALSE,TRUE),EXACT(metadata!O399,"Not applicable"))</f>
        <v>0</v>
      </c>
      <c r="AR399" t="b">
        <f>OR(AND(IF(metadata!P399="",FALSE,TRUE),OR(EXACT(metadata!P399,"not applicable"),EXACT(metadata!P399,"missing: not collected"),EXACT(metadata!P399,"missing: not provided"),EXACT(metadata!P399,"missing: restricted access"))),IF(metadata!P399="",FALSE,IF(ISERROR(INT(metadata!P399)),FALSE,INT(metadata!P399)=metadata!P399)))</f>
        <v>0</v>
      </c>
      <c r="AS399" t="b">
        <f>AND(IF(metadata!Q399="",FALSE,TRUE),EXACT(metadata!Q399,"Not applicable"))</f>
        <v>0</v>
      </c>
      <c r="AT399" t="b">
        <f>OR(AND(IF(metadata!R399="",FALSE,TRUE),OR(EXACT(metadata!R399,"not applicable"),EXACT(metadata!R399,"missing: not collected"),EXACT(metadata!R399,"missing: not provided"),EXACT(metadata!R399,"missing: restricted access"))),AND(IF(metadata!R399="",FALSE,ISNUMBER(VALUE(metadata!R399))),metadata!R399&gt;0))</f>
        <v>0</v>
      </c>
      <c r="AU399" t="b">
        <f>AND(IF(metadata!S399="",FALSE,TRUE),EXACT(metadata!S399,"missing: not provided"))</f>
        <v>0</v>
      </c>
    </row>
    <row r="400" spans="1:47" x14ac:dyDescent="0.2">
      <c r="A400" s="5" t="str">
        <f ca="1">IF(B400=" "," ",HYPERLINK(CONCATENATE("#metadata!",ADDRESS(INDEX($Y$2:$Y$1001,MATCH(ROWS($W$2:W400),$W$2:$W$1001,0),0),1)),INDEX($AB$2:$AB$1001,MATCH(ROWS($W$2:W400),$W$2:$W$1001,0),0)))</f>
        <v xml:space="preserve"> </v>
      </c>
      <c r="B400" s="4" t="str">
        <f ca="1">IF(OR(INDEX($X$2:$X$1001,MATCH(ROWS($W$2:W400),$W$2:$W$1001,0),1)&gt;=100000,INDEX($AD$1005:$AU$1005,1,MATCH(COLUMNS($AD$1006:AD1006),$AD$1006:$AU$1006,0))&gt;=100000), " ",IF(INDEX($AD$2:$AU$1001,MATCH(ROWS($W$2:W400),$W$2:$W$1001,0),MATCH(COLUMNS($AD$1006:AD1006),$AD$1006:$AU$1006,0)), HYPERLINK("#",""), HYPERLINK(CONCATENATE("#metadata!", ADDRESS(INDEX($Y$2:$Y$1001,MATCH(ROWS($W$2:W400),$W$2:$W$1001,0),0), INDEX($AD$1004:$AU$1004,1,MATCH(COLUMNS($AD$1006:AD1006),$AD$1006:$AU$1006,0)))),"Fix")))</f>
        <v xml:space="preserve"> </v>
      </c>
      <c r="C400" s="4" t="str">
        <f ca="1">IF(OR(INDEX($X$2:$X$1001,MATCH(ROWS($W$2:W400),$W$2:$W$1001,0),1)&gt;=100000,INDEX($AD$1005:$AU$1005,1,MATCH(COLUMNS($AD$1006:AE1006),$AD$1006:$AU$1006,0))&gt;=100000), " ",IF(INDEX($AD$2:$AU$1001,MATCH(ROWS($W$2:W400),$W$2:$W$1001,0),MATCH(COLUMNS($AD$1006:AE1006),$AD$1006:$AU$1006,0)), HYPERLINK("#",""), HYPERLINK(CONCATENATE("#metadata!", ADDRESS(INDEX($Y$2:$Y$1001,MATCH(ROWS($W$2:W400),$W$2:$W$1001,0),0), INDEX($AD$1004:$AU$1004,1,MATCH(COLUMNS($AD$1006:AE1006),$AD$1006:$AU$1006,0)))),"Fix")))</f>
        <v xml:space="preserve"> </v>
      </c>
      <c r="D400" s="4" t="str">
        <f ca="1">IF(OR(INDEX($X$2:$X$1001,MATCH(ROWS($W$2:W400),$W$2:$W$1001,0),1)&gt;=100000,INDEX($AD$1005:$AU$1005,1,MATCH(COLUMNS($AD$1006:AF1006),$AD$1006:$AU$1006,0))&gt;=100000), " ",IF(INDEX($AD$2:$AU$1001,MATCH(ROWS($W$2:W400),$W$2:$W$1001,0),MATCH(COLUMNS($AD$1006:AF1006),$AD$1006:$AU$1006,0)), HYPERLINK("#",""), HYPERLINK(CONCATENATE("#metadata!", ADDRESS(INDEX($Y$2:$Y$1001,MATCH(ROWS($W$2:W400),$W$2:$W$1001,0),0), INDEX($AD$1004:$AU$1004,1,MATCH(COLUMNS($AD$1006:AF1006),$AD$1006:$AU$1006,0)))),"Fix")))</f>
        <v xml:space="preserve"> </v>
      </c>
      <c r="E400" s="4" t="str">
        <f ca="1">IF(OR(INDEX($X$2:$X$1001,MATCH(ROWS($W$2:W400),$W$2:$W$1001,0),1)&gt;=100000,INDEX($AD$1005:$AU$1005,1,MATCH(COLUMNS($AD$1006:AG1006),$AD$1006:$AU$1006,0))&gt;=100000), " ",IF(INDEX($AD$2:$AU$1001,MATCH(ROWS($W$2:W400),$W$2:$W$1001,0),MATCH(COLUMNS($AD$1006:AG1006),$AD$1006:$AU$1006,0)), HYPERLINK("#",""), HYPERLINK(CONCATENATE("#metadata!", ADDRESS(INDEX($Y$2:$Y$1001,MATCH(ROWS($W$2:W400),$W$2:$W$1001,0),0), INDEX($AD$1004:$AU$1004,1,MATCH(COLUMNS($AD$1006:AG1006),$AD$1006:$AU$1006,0)))),"Fix")))</f>
        <v xml:space="preserve"> </v>
      </c>
      <c r="F400" s="4" t="str">
        <f ca="1">IF(OR(INDEX($X$2:$X$1001,MATCH(ROWS($W$2:W400),$W$2:$W$1001,0),1)&gt;=100000,INDEX($AD$1005:$AU$1005,1,MATCH(COLUMNS($AD$1006:AH1006),$AD$1006:$AU$1006,0))&gt;=100000), " ",IF(INDEX($AD$2:$AU$1001,MATCH(ROWS($W$2:W400),$W$2:$W$1001,0),MATCH(COLUMNS($AD$1006:AH1006),$AD$1006:$AU$1006,0)), HYPERLINK("#",""), HYPERLINK(CONCATENATE("#metadata!", ADDRESS(INDEX($Y$2:$Y$1001,MATCH(ROWS($W$2:W400),$W$2:$W$1001,0),0), INDEX($AD$1004:$AU$1004,1,MATCH(COLUMNS($AD$1006:AH1006),$AD$1006:$AU$1006,0)))),"Fix")))</f>
        <v xml:space="preserve"> </v>
      </c>
      <c r="G400" s="4" t="str">
        <f ca="1">IF(OR(INDEX($X$2:$X$1001,MATCH(ROWS($W$2:W400),$W$2:$W$1001,0),1)&gt;=100000,INDEX($AD$1005:$AU$1005,1,MATCH(COLUMNS($AD$1006:AI1006),$AD$1006:$AU$1006,0))&gt;=100000), " ",IF(INDEX($AD$2:$AU$1001,MATCH(ROWS($W$2:W400),$W$2:$W$1001,0),MATCH(COLUMNS($AD$1006:AI1006),$AD$1006:$AU$1006,0)), HYPERLINK("#",""), HYPERLINK(CONCATENATE("#metadata!", ADDRESS(INDEX($Y$2:$Y$1001,MATCH(ROWS($W$2:W400),$W$2:$W$1001,0),0), INDEX($AD$1004:$AU$1004,1,MATCH(COLUMNS($AD$1006:AI1006),$AD$1006:$AU$1006,0)))),"Fix")))</f>
        <v xml:space="preserve"> </v>
      </c>
      <c r="H400" s="4" t="str">
        <f ca="1">IF(OR(INDEX($X$2:$X$1001,MATCH(ROWS($W$2:W400),$W$2:$W$1001,0),1)&gt;=100000,INDEX($AD$1005:$AU$1005,1,MATCH(COLUMNS($AD$1006:AJ1006),$AD$1006:$AU$1006,0))&gt;=100000), " ",IF(INDEX($AD$2:$AU$1001,MATCH(ROWS($W$2:W400),$W$2:$W$1001,0),MATCH(COLUMNS($AD$1006:AJ1006),$AD$1006:$AU$1006,0)), HYPERLINK("#",""), HYPERLINK(CONCATENATE("#metadata!", ADDRESS(INDEX($Y$2:$Y$1001,MATCH(ROWS($W$2:W400),$W$2:$W$1001,0),0), INDEX($AD$1004:$AU$1004,1,MATCH(COLUMNS($AD$1006:AJ1006),$AD$1006:$AU$1006,0)))),"Fix")))</f>
        <v xml:space="preserve"> </v>
      </c>
      <c r="I400" s="4" t="str">
        <f ca="1">IF(OR(INDEX($X$2:$X$1001,MATCH(ROWS($W$2:W400),$W$2:$W$1001,0),1)&gt;=100000,INDEX($AD$1005:$AU$1005,1,MATCH(COLUMNS($AD$1006:AK1006),$AD$1006:$AU$1006,0))&gt;=100000), " ",IF(INDEX($AD$2:$AU$1001,MATCH(ROWS($W$2:W400),$W$2:$W$1001,0),MATCH(COLUMNS($AD$1006:AK1006),$AD$1006:$AU$1006,0)), HYPERLINK("#",""), HYPERLINK(CONCATENATE("#metadata!", ADDRESS(INDEX($Y$2:$Y$1001,MATCH(ROWS($W$2:W400),$W$2:$W$1001,0),0), INDEX($AD$1004:$AU$1004,1,MATCH(COLUMNS($AD$1006:AK1006),$AD$1006:$AU$1006,0)))),"Fix")))</f>
        <v xml:space="preserve"> </v>
      </c>
      <c r="J400" s="4" t="str">
        <f ca="1">IF(OR(INDEX($X$2:$X$1001,MATCH(ROWS($W$2:W400),$W$2:$W$1001,0),1)&gt;=100000,INDEX($AD$1005:$AU$1005,1,MATCH(COLUMNS($AD$1006:AL1006),$AD$1006:$AU$1006,0))&gt;=100000), " ",IF(INDEX($AD$2:$AU$1001,MATCH(ROWS($W$2:W400),$W$2:$W$1001,0),MATCH(COLUMNS($AD$1006:AL1006),$AD$1006:$AU$1006,0)), HYPERLINK("#",""), HYPERLINK(CONCATENATE("#metadata!", ADDRESS(INDEX($Y$2:$Y$1001,MATCH(ROWS($W$2:W400),$W$2:$W$1001,0),0), INDEX($AD$1004:$AU$1004,1,MATCH(COLUMNS($AD$1006:AL1006),$AD$1006:$AU$1006,0)))),"Fix")))</f>
        <v xml:space="preserve"> </v>
      </c>
      <c r="K400" s="4" t="str">
        <f ca="1">IF(OR(INDEX($X$2:$X$1001,MATCH(ROWS($W$2:W400),$W$2:$W$1001,0),1)&gt;=100000,INDEX($AD$1005:$AU$1005,1,MATCH(COLUMNS($AD$1006:AM1006),$AD$1006:$AU$1006,0))&gt;=100000), " ",IF(INDEX($AD$2:$AU$1001,MATCH(ROWS($W$2:W400),$W$2:$W$1001,0),MATCH(COLUMNS($AD$1006:AM1006),$AD$1006:$AU$1006,0)), HYPERLINK("#",""), HYPERLINK(CONCATENATE("#metadata!", ADDRESS(INDEX($Y$2:$Y$1001,MATCH(ROWS($W$2:W400),$W$2:$W$1001,0),0), INDEX($AD$1004:$AU$1004,1,MATCH(COLUMNS($AD$1006:AM1006),$AD$1006:$AU$1006,0)))),"Fix")))</f>
        <v xml:space="preserve"> </v>
      </c>
      <c r="L400" s="4" t="str">
        <f ca="1">IF(OR(INDEX($X$2:$X$1001,MATCH(ROWS($W$2:W400),$W$2:$W$1001,0),1)&gt;=100000,INDEX($AD$1005:$AU$1005,1,MATCH(COLUMNS($AD$1006:AN1006),$AD$1006:$AU$1006,0))&gt;=100000), " ",IF(INDEX($AD$2:$AU$1001,MATCH(ROWS($W$2:W400),$W$2:$W$1001,0),MATCH(COLUMNS($AD$1006:AN1006),$AD$1006:$AU$1006,0)), HYPERLINK("#",""), HYPERLINK(CONCATENATE("#metadata!", ADDRESS(INDEX($Y$2:$Y$1001,MATCH(ROWS($W$2:W400),$W$2:$W$1001,0),0), INDEX($AD$1004:$AU$1004,1,MATCH(COLUMNS($AD$1006:AN1006),$AD$1006:$AU$1006,0)))),"Fix")))</f>
        <v xml:space="preserve"> </v>
      </c>
      <c r="M400" s="4" t="str">
        <f ca="1">IF(OR(INDEX($X$2:$X$1001,MATCH(ROWS($W$2:W400),$W$2:$W$1001,0),1)&gt;=100000,INDEX($AD$1005:$AU$1005,1,MATCH(COLUMNS($AD$1006:AO1006),$AD$1006:$AU$1006,0))&gt;=100000), " ",IF(INDEX($AD$2:$AU$1001,MATCH(ROWS($W$2:W400),$W$2:$W$1001,0),MATCH(COLUMNS($AD$1006:AO1006),$AD$1006:$AU$1006,0)), HYPERLINK("#",""), HYPERLINK(CONCATENATE("#metadata!", ADDRESS(INDEX($Y$2:$Y$1001,MATCH(ROWS($W$2:W400),$W$2:$W$1001,0),0), INDEX($AD$1004:$AU$1004,1,MATCH(COLUMNS($AD$1006:AO1006),$AD$1006:$AU$1006,0)))),"Fix")))</f>
        <v xml:space="preserve"> </v>
      </c>
      <c r="N400" s="4" t="str">
        <f ca="1">IF(OR(INDEX($X$2:$X$1001,MATCH(ROWS($W$2:W400),$W$2:$W$1001,0),1)&gt;=100000,INDEX($AD$1005:$AU$1005,1,MATCH(COLUMNS($AD$1006:AP1006),$AD$1006:$AU$1006,0))&gt;=100000), " ",IF(INDEX($AD$2:$AU$1001,MATCH(ROWS($W$2:W400),$W$2:$W$1001,0),MATCH(COLUMNS($AD$1006:AP1006),$AD$1006:$AU$1006,0)), HYPERLINK("#",""), HYPERLINK(CONCATENATE("#metadata!", ADDRESS(INDEX($Y$2:$Y$1001,MATCH(ROWS($W$2:W400),$W$2:$W$1001,0),0), INDEX($AD$1004:$AU$1004,1,MATCH(COLUMNS($AD$1006:AP1006),$AD$1006:$AU$1006,0)))),"Fix")))</f>
        <v xml:space="preserve"> </v>
      </c>
      <c r="O400" s="4" t="str">
        <f ca="1">IF(OR(INDEX($X$2:$X$1001,MATCH(ROWS($W$2:W400),$W$2:$W$1001,0),1)&gt;=100000,INDEX($AD$1005:$AU$1005,1,MATCH(COLUMNS($AD$1006:AQ1006),$AD$1006:$AU$1006,0))&gt;=100000), " ",IF(INDEX($AD$2:$AU$1001,MATCH(ROWS($W$2:W400),$W$2:$W$1001,0),MATCH(COLUMNS($AD$1006:AQ1006),$AD$1006:$AU$1006,0)), HYPERLINK("#",""), HYPERLINK(CONCATENATE("#metadata!", ADDRESS(INDEX($Y$2:$Y$1001,MATCH(ROWS($W$2:W400),$W$2:$W$1001,0),0), INDEX($AD$1004:$AU$1004,1,MATCH(COLUMNS($AD$1006:AQ1006),$AD$1006:$AU$1006,0)))),"Fix")))</f>
        <v xml:space="preserve"> </v>
      </c>
      <c r="P400" s="4" t="str">
        <f ca="1">IF(OR(INDEX($X$2:$X$1001,MATCH(ROWS($W$2:W400),$W$2:$W$1001,0),1)&gt;=100000,INDEX($AD$1005:$AU$1005,1,MATCH(COLUMNS($AD$1006:AR1006),$AD$1006:$AU$1006,0))&gt;=100000), " ",IF(INDEX($AD$2:$AU$1001,MATCH(ROWS($W$2:W400),$W$2:$W$1001,0),MATCH(COLUMNS($AD$1006:AR1006),$AD$1006:$AU$1006,0)), HYPERLINK("#",""), HYPERLINK(CONCATENATE("#metadata!", ADDRESS(INDEX($Y$2:$Y$1001,MATCH(ROWS($W$2:W400),$W$2:$W$1001,0),0), INDEX($AD$1004:$AU$1004,1,MATCH(COLUMNS($AD$1006:AR1006),$AD$1006:$AU$1006,0)))),"Fix")))</f>
        <v xml:space="preserve"> </v>
      </c>
      <c r="Q400" s="4" t="str">
        <f ca="1">IF(OR(INDEX($X$2:$X$1001,MATCH(ROWS($W$2:W400),$W$2:$W$1001,0),1)&gt;=100000,INDEX($AD$1005:$AU$1005,1,MATCH(COLUMNS($AD$1006:AS1006),$AD$1006:$AU$1006,0))&gt;=100000), " ",IF(INDEX($AD$2:$AU$1001,MATCH(ROWS($W$2:W400),$W$2:$W$1001,0),MATCH(COLUMNS($AD$1006:AS1006),$AD$1006:$AU$1006,0)), HYPERLINK("#",""), HYPERLINK(CONCATENATE("#metadata!", ADDRESS(INDEX($Y$2:$Y$1001,MATCH(ROWS($W$2:W400),$W$2:$W$1001,0),0), INDEX($AD$1004:$AU$1004,1,MATCH(COLUMNS($AD$1006:AS1006),$AD$1006:$AU$1006,0)))),"Fix")))</f>
        <v xml:space="preserve"> </v>
      </c>
      <c r="R400" s="4" t="str">
        <f ca="1">IF(OR(INDEX($X$2:$X$1001,MATCH(ROWS($W$2:W400),$W$2:$W$1001,0),1)&gt;=100000,INDEX($AD$1005:$AU$1005,1,MATCH(COLUMNS($AD$1006:AT1006),$AD$1006:$AU$1006,0))&gt;=100000), " ",IF(INDEX($AD$2:$AU$1001,MATCH(ROWS($W$2:W400),$W$2:$W$1001,0),MATCH(COLUMNS($AD$1006:AT1006),$AD$1006:$AU$1006,0)), HYPERLINK("#",""), HYPERLINK(CONCATENATE("#metadata!", ADDRESS(INDEX($Y$2:$Y$1001,MATCH(ROWS($W$2:W400),$W$2:$W$1001,0),0), INDEX($AD$1004:$AU$1004,1,MATCH(COLUMNS($AD$1006:AT1006),$AD$1006:$AU$1006,0)))),"Fix")))</f>
        <v xml:space="preserve"> </v>
      </c>
      <c r="S400" s="4" t="str">
        <f ca="1">IF(OR(INDEX($X$2:$X$1001,MATCH(ROWS($W$2:W400),$W$2:$W$1001,0),1)&gt;=100000,INDEX($AD$1005:$AU$1005,1,MATCH(COLUMNS($AD$1006:AU1006),$AD$1006:$AU$1006,0))&gt;=100000), " ",IF(INDEX($AD$2:$AU$1001,MATCH(ROWS($W$2:W400),$W$2:$W$1001,0),MATCH(COLUMNS($AD$1006:AU1006),$AD$1006:$AU$1006,0)), HYPERLINK("#",""), HYPERLINK(CONCATENATE("#metadata!", ADDRESS(INDEX($Y$2:$Y$1001,MATCH(ROWS($W$2:W400),$W$2:$W$1001,0),0), INDEX($AD$1004:$AU$1004,1,MATCH(COLUMNS($AD$1006:AU1006),$AD$1006:$AU$1006,0)))),"Fix")))</f>
        <v xml:space="preserve"> </v>
      </c>
      <c r="W400">
        <v>399</v>
      </c>
      <c r="X400">
        <v>100400</v>
      </c>
      <c r="Y400">
        <v>400</v>
      </c>
      <c r="Z400" t="b">
        <f t="shared" si="6"/>
        <v>1</v>
      </c>
      <c r="AA400" t="b">
        <f>COUNTBLANK(metadata!B400:S400)=COLUMNS(metadata!B400:S400)</f>
        <v>1</v>
      </c>
      <c r="AB400" t="str">
        <v/>
      </c>
      <c r="AD400" t="b">
        <f ca="1">AND(IF(metadata!B400="",FALSE,TRUE),COUNTIF(metadata!B:B, metadata!B400) = 1,NOT(ISERROR(SUMPRODUCT(SEARCH(MID(metadata!B400,ROW(INDIRECT("1:"&amp;LEN(metadata!B400))), 1),"0123456789abcdefghijklmnopqrstuvwxyzABCDEFGHIJKLMNOPQRSTUVWXYZ.")))))</f>
        <v>0</v>
      </c>
      <c r="AE400" t="b">
        <f>OR(AND(IF(metadata!C400="",FALSE,TRUE),OR(EXACT(metadata!C400,"not applicable"),EXACT(metadata!C400,"missing: not collected"),EXACT(metadata!C400,"missing: not provided"),EXACT(metadata!C400,"missing: restricted access"))),AND(IF(metadata!C400="",FALSE,ISNUMBER(VALUE(metadata!C400))),metadata!C400&gt;0))</f>
        <v>0</v>
      </c>
      <c r="AF400" t="b">
        <f>AND(IF(metadata!D400="",FALSE,TRUE),EXACT(metadata!D400,"missing: not provided"))</f>
        <v>0</v>
      </c>
      <c r="AG400" t="b">
        <f>AND(IF(metadata!E400="",FALSE,TRUE),EXACT(metadata!E400,"Host-associated"))</f>
        <v>0</v>
      </c>
      <c r="AH400" t="b">
        <f>AND(IF(metadata!F400="",FALSE,TRUE),OR(EXACT(metadata!F400,"Animal"),EXACT(metadata!F400,"Fungus"),EXACT(metadata!F400,"Plant")))</f>
        <v>0</v>
      </c>
      <c r="AI400" t="b">
        <f>AND(IF(metadata!G400="",FALSE,TRUE),OR(EXACT(metadata!G400,"Plant secretion"),EXACT(metadata!G400,"Plant rhizosphere"),EXACT(metadata!G400,"Plant surface"),EXACT(metadata!G400,"Plant corpus"),EXACT(metadata!G400,"Fungus surface"),EXACT(metadata!G400,"Fungus corpus"),EXACT(metadata!G400,"Animal surface"),EXACT(metadata!G400,"Animal proximal gut"),EXACT(metadata!G400,"Animal corpus"),EXACT(metadata!G400,"Animal distal gut"),EXACT(metadata!G400,"Animal secretion")))</f>
        <v>0</v>
      </c>
      <c r="AJ400" t="b">
        <f>OR(AND(IF(metadata!H400="",FALSE,TRUE),OR(EXACT(metadata!H400,"missing: not collected"),EXACT(metadata!H400,"missing: not provided"),EXACT(metadata!H400,"missing: restricted access"))),AND(IF(metadata!H400="",FALSE,TRUE),OR(EXACT(metadata!H400,"organism-associated habitat"),EXACT(metadata!H400,"plant-associated habitat"),EXACT(metadata!H400,"animal-associated habitat"),EXACT(metadata!H400,"insecta-associated habitat"),EXACT(metadata!H400,"mammalia-associated habitat"),EXACT(metadata!H400,"human-associated habitat"),EXACT(metadata!H400,"livestock-associated habitat"))))</f>
        <v>0</v>
      </c>
      <c r="AK400" t="b">
        <f>AND(IF(metadata!I400="",FALSE,TRUE),EXACT(metadata!I400,"host-associated"))</f>
        <v>0</v>
      </c>
      <c r="AL400" t="b">
        <f>OR(AND(IF(metadata!J400="",FALSE,TRUE),OR(EXACT(metadata!J400,"not applicable"),EXACT(metadata!J400,"missing: not collected"),EXACT(metadata!J400,"missing: not provided"),EXACT(metadata!J400,"missing: restricted access"))),AND(IF(metadata!J400="",FALSE,ISNUMBER(VALUE(metadata!J400))),metadata!J400&gt;0))</f>
        <v>0</v>
      </c>
      <c r="AM400" t="b">
        <f>AND(IF(metadata!K400="",FALSE,TRUE),EXACT(metadata!K400,"missing: not provided"))</f>
        <v>0</v>
      </c>
      <c r="AN400" t="b">
        <f>IF(metadata!L400="",FALSE,TRUE)</f>
        <v>0</v>
      </c>
      <c r="AO400" t="b">
        <f>IF(metadata!M400="",FALSE,TRUE)</f>
        <v>0</v>
      </c>
      <c r="AP400" t="b">
        <f>OR(AND(IF(metadata!N400="",FALSE,TRUE),OR(EXACT(metadata!N400,"not applicable"),EXACT(metadata!N400,"missing: not collected"),EXACT(metadata!N400,"missing: not provided"))),AND(IF(metadata!N400="",FALSE,IF(ISERROR(INT(metadata!N400)),FALSE,INT(metadata!N400)=metadata!N400)),metadata!N400&gt;0))</f>
        <v>0</v>
      </c>
      <c r="AQ400" t="b">
        <f>AND(IF(metadata!O400="",FALSE,TRUE),EXACT(metadata!O400,"Not applicable"))</f>
        <v>0</v>
      </c>
      <c r="AR400" t="b">
        <f>OR(AND(IF(metadata!P400="",FALSE,TRUE),OR(EXACT(metadata!P400,"not applicable"),EXACT(metadata!P400,"missing: not collected"),EXACT(metadata!P400,"missing: not provided"),EXACT(metadata!P400,"missing: restricted access"))),IF(metadata!P400="",FALSE,IF(ISERROR(INT(metadata!P400)),FALSE,INT(metadata!P400)=metadata!P400)))</f>
        <v>0</v>
      </c>
      <c r="AS400" t="b">
        <f>AND(IF(metadata!Q400="",FALSE,TRUE),EXACT(metadata!Q400,"Not applicable"))</f>
        <v>0</v>
      </c>
      <c r="AT400" t="b">
        <f>OR(AND(IF(metadata!R400="",FALSE,TRUE),OR(EXACT(metadata!R400,"not applicable"),EXACT(metadata!R400,"missing: not collected"),EXACT(metadata!R400,"missing: not provided"),EXACT(metadata!R400,"missing: restricted access"))),AND(IF(metadata!R400="",FALSE,ISNUMBER(VALUE(metadata!R400))),metadata!R400&gt;0))</f>
        <v>0</v>
      </c>
      <c r="AU400" t="b">
        <f>AND(IF(metadata!S400="",FALSE,TRUE),EXACT(metadata!S400,"missing: not provided"))</f>
        <v>0</v>
      </c>
    </row>
    <row r="401" spans="1:47" x14ac:dyDescent="0.2">
      <c r="A401" s="5" t="str">
        <f ca="1">IF(B401=" "," ",HYPERLINK(CONCATENATE("#metadata!",ADDRESS(INDEX($Y$2:$Y$1001,MATCH(ROWS($W$2:W401),$W$2:$W$1001,0),0),1)),INDEX($AB$2:$AB$1001,MATCH(ROWS($W$2:W401),$W$2:$W$1001,0),0)))</f>
        <v xml:space="preserve"> </v>
      </c>
      <c r="B401" s="4" t="str">
        <f ca="1">IF(OR(INDEX($X$2:$X$1001,MATCH(ROWS($W$2:W401),$W$2:$W$1001,0),1)&gt;=100000,INDEX($AD$1005:$AU$1005,1,MATCH(COLUMNS($AD$1006:AD1006),$AD$1006:$AU$1006,0))&gt;=100000), " ",IF(INDEX($AD$2:$AU$1001,MATCH(ROWS($W$2:W401),$W$2:$W$1001,0),MATCH(COLUMNS($AD$1006:AD1006),$AD$1006:$AU$1006,0)), HYPERLINK("#",""), HYPERLINK(CONCATENATE("#metadata!", ADDRESS(INDEX($Y$2:$Y$1001,MATCH(ROWS($W$2:W401),$W$2:$W$1001,0),0), INDEX($AD$1004:$AU$1004,1,MATCH(COLUMNS($AD$1006:AD1006),$AD$1006:$AU$1006,0)))),"Fix")))</f>
        <v xml:space="preserve"> </v>
      </c>
      <c r="C401" s="4" t="str">
        <f ca="1">IF(OR(INDEX($X$2:$X$1001,MATCH(ROWS($W$2:W401),$W$2:$W$1001,0),1)&gt;=100000,INDEX($AD$1005:$AU$1005,1,MATCH(COLUMNS($AD$1006:AE1006),$AD$1006:$AU$1006,0))&gt;=100000), " ",IF(INDEX($AD$2:$AU$1001,MATCH(ROWS($W$2:W401),$W$2:$W$1001,0),MATCH(COLUMNS($AD$1006:AE1006),$AD$1006:$AU$1006,0)), HYPERLINK("#",""), HYPERLINK(CONCATENATE("#metadata!", ADDRESS(INDEX($Y$2:$Y$1001,MATCH(ROWS($W$2:W401),$W$2:$W$1001,0),0), INDEX($AD$1004:$AU$1004,1,MATCH(COLUMNS($AD$1006:AE1006),$AD$1006:$AU$1006,0)))),"Fix")))</f>
        <v xml:space="preserve"> </v>
      </c>
      <c r="D401" s="4" t="str">
        <f ca="1">IF(OR(INDEX($X$2:$X$1001,MATCH(ROWS($W$2:W401),$W$2:$W$1001,0),1)&gt;=100000,INDEX($AD$1005:$AU$1005,1,MATCH(COLUMNS($AD$1006:AF1006),$AD$1006:$AU$1006,0))&gt;=100000), " ",IF(INDEX($AD$2:$AU$1001,MATCH(ROWS($W$2:W401),$W$2:$W$1001,0),MATCH(COLUMNS($AD$1006:AF1006),$AD$1006:$AU$1006,0)), HYPERLINK("#",""), HYPERLINK(CONCATENATE("#metadata!", ADDRESS(INDEX($Y$2:$Y$1001,MATCH(ROWS($W$2:W401),$W$2:$W$1001,0),0), INDEX($AD$1004:$AU$1004,1,MATCH(COLUMNS($AD$1006:AF1006),$AD$1006:$AU$1006,0)))),"Fix")))</f>
        <v xml:space="preserve"> </v>
      </c>
      <c r="E401" s="4" t="str">
        <f ca="1">IF(OR(INDEX($X$2:$X$1001,MATCH(ROWS($W$2:W401),$W$2:$W$1001,0),1)&gt;=100000,INDEX($AD$1005:$AU$1005,1,MATCH(COLUMNS($AD$1006:AG1006),$AD$1006:$AU$1006,0))&gt;=100000), " ",IF(INDEX($AD$2:$AU$1001,MATCH(ROWS($W$2:W401),$W$2:$W$1001,0),MATCH(COLUMNS($AD$1006:AG1006),$AD$1006:$AU$1006,0)), HYPERLINK("#",""), HYPERLINK(CONCATENATE("#metadata!", ADDRESS(INDEX($Y$2:$Y$1001,MATCH(ROWS($W$2:W401),$W$2:$W$1001,0),0), INDEX($AD$1004:$AU$1004,1,MATCH(COLUMNS($AD$1006:AG1006),$AD$1006:$AU$1006,0)))),"Fix")))</f>
        <v xml:space="preserve"> </v>
      </c>
      <c r="F401" s="4" t="str">
        <f ca="1">IF(OR(INDEX($X$2:$X$1001,MATCH(ROWS($W$2:W401),$W$2:$W$1001,0),1)&gt;=100000,INDEX($AD$1005:$AU$1005,1,MATCH(COLUMNS($AD$1006:AH1006),$AD$1006:$AU$1006,0))&gt;=100000), " ",IF(INDEX($AD$2:$AU$1001,MATCH(ROWS($W$2:W401),$W$2:$W$1001,0),MATCH(COLUMNS($AD$1006:AH1006),$AD$1006:$AU$1006,0)), HYPERLINK("#",""), HYPERLINK(CONCATENATE("#metadata!", ADDRESS(INDEX($Y$2:$Y$1001,MATCH(ROWS($W$2:W401),$W$2:$W$1001,0),0), INDEX($AD$1004:$AU$1004,1,MATCH(COLUMNS($AD$1006:AH1006),$AD$1006:$AU$1006,0)))),"Fix")))</f>
        <v xml:space="preserve"> </v>
      </c>
      <c r="G401" s="4" t="str">
        <f ca="1">IF(OR(INDEX($X$2:$X$1001,MATCH(ROWS($W$2:W401),$W$2:$W$1001,0),1)&gt;=100000,INDEX($AD$1005:$AU$1005,1,MATCH(COLUMNS($AD$1006:AI1006),$AD$1006:$AU$1006,0))&gt;=100000), " ",IF(INDEX($AD$2:$AU$1001,MATCH(ROWS($W$2:W401),$W$2:$W$1001,0),MATCH(COLUMNS($AD$1006:AI1006),$AD$1006:$AU$1006,0)), HYPERLINK("#",""), HYPERLINK(CONCATENATE("#metadata!", ADDRESS(INDEX($Y$2:$Y$1001,MATCH(ROWS($W$2:W401),$W$2:$W$1001,0),0), INDEX($AD$1004:$AU$1004,1,MATCH(COLUMNS($AD$1006:AI1006),$AD$1006:$AU$1006,0)))),"Fix")))</f>
        <v xml:space="preserve"> </v>
      </c>
      <c r="H401" s="4" t="str">
        <f ca="1">IF(OR(INDEX($X$2:$X$1001,MATCH(ROWS($W$2:W401),$W$2:$W$1001,0),1)&gt;=100000,INDEX($AD$1005:$AU$1005,1,MATCH(COLUMNS($AD$1006:AJ1006),$AD$1006:$AU$1006,0))&gt;=100000), " ",IF(INDEX($AD$2:$AU$1001,MATCH(ROWS($W$2:W401),$W$2:$W$1001,0),MATCH(COLUMNS($AD$1006:AJ1006),$AD$1006:$AU$1006,0)), HYPERLINK("#",""), HYPERLINK(CONCATENATE("#metadata!", ADDRESS(INDEX($Y$2:$Y$1001,MATCH(ROWS($W$2:W401),$W$2:$W$1001,0),0), INDEX($AD$1004:$AU$1004,1,MATCH(COLUMNS($AD$1006:AJ1006),$AD$1006:$AU$1006,0)))),"Fix")))</f>
        <v xml:space="preserve"> </v>
      </c>
      <c r="I401" s="4" t="str">
        <f ca="1">IF(OR(INDEX($X$2:$X$1001,MATCH(ROWS($W$2:W401),$W$2:$W$1001,0),1)&gt;=100000,INDEX($AD$1005:$AU$1005,1,MATCH(COLUMNS($AD$1006:AK1006),$AD$1006:$AU$1006,0))&gt;=100000), " ",IF(INDEX($AD$2:$AU$1001,MATCH(ROWS($W$2:W401),$W$2:$W$1001,0),MATCH(COLUMNS($AD$1006:AK1006),$AD$1006:$AU$1006,0)), HYPERLINK("#",""), HYPERLINK(CONCATENATE("#metadata!", ADDRESS(INDEX($Y$2:$Y$1001,MATCH(ROWS($W$2:W401),$W$2:$W$1001,0),0), INDEX($AD$1004:$AU$1004,1,MATCH(COLUMNS($AD$1006:AK1006),$AD$1006:$AU$1006,0)))),"Fix")))</f>
        <v xml:space="preserve"> </v>
      </c>
      <c r="J401" s="4" t="str">
        <f ca="1">IF(OR(INDEX($X$2:$X$1001,MATCH(ROWS($W$2:W401),$W$2:$W$1001,0),1)&gt;=100000,INDEX($AD$1005:$AU$1005,1,MATCH(COLUMNS($AD$1006:AL1006),$AD$1006:$AU$1006,0))&gt;=100000), " ",IF(INDEX($AD$2:$AU$1001,MATCH(ROWS($W$2:W401),$W$2:$W$1001,0),MATCH(COLUMNS($AD$1006:AL1006),$AD$1006:$AU$1006,0)), HYPERLINK("#",""), HYPERLINK(CONCATENATE("#metadata!", ADDRESS(INDEX($Y$2:$Y$1001,MATCH(ROWS($W$2:W401),$W$2:$W$1001,0),0), INDEX($AD$1004:$AU$1004,1,MATCH(COLUMNS($AD$1006:AL1006),$AD$1006:$AU$1006,0)))),"Fix")))</f>
        <v xml:space="preserve"> </v>
      </c>
      <c r="K401" s="4" t="str">
        <f ca="1">IF(OR(INDEX($X$2:$X$1001,MATCH(ROWS($W$2:W401),$W$2:$W$1001,0),1)&gt;=100000,INDEX($AD$1005:$AU$1005,1,MATCH(COLUMNS($AD$1006:AM1006),$AD$1006:$AU$1006,0))&gt;=100000), " ",IF(INDEX($AD$2:$AU$1001,MATCH(ROWS($W$2:W401),$W$2:$W$1001,0),MATCH(COLUMNS($AD$1006:AM1006),$AD$1006:$AU$1006,0)), HYPERLINK("#",""), HYPERLINK(CONCATENATE("#metadata!", ADDRESS(INDEX($Y$2:$Y$1001,MATCH(ROWS($W$2:W401),$W$2:$W$1001,0),0), INDEX($AD$1004:$AU$1004,1,MATCH(COLUMNS($AD$1006:AM1006),$AD$1006:$AU$1006,0)))),"Fix")))</f>
        <v xml:space="preserve"> </v>
      </c>
      <c r="L401" s="4" t="str">
        <f ca="1">IF(OR(INDEX($X$2:$X$1001,MATCH(ROWS($W$2:W401),$W$2:$W$1001,0),1)&gt;=100000,INDEX($AD$1005:$AU$1005,1,MATCH(COLUMNS($AD$1006:AN1006),$AD$1006:$AU$1006,0))&gt;=100000), " ",IF(INDEX($AD$2:$AU$1001,MATCH(ROWS($W$2:W401),$W$2:$W$1001,0),MATCH(COLUMNS($AD$1006:AN1006),$AD$1006:$AU$1006,0)), HYPERLINK("#",""), HYPERLINK(CONCATENATE("#metadata!", ADDRESS(INDEX($Y$2:$Y$1001,MATCH(ROWS($W$2:W401),$W$2:$W$1001,0),0), INDEX($AD$1004:$AU$1004,1,MATCH(COLUMNS($AD$1006:AN1006),$AD$1006:$AU$1006,0)))),"Fix")))</f>
        <v xml:space="preserve"> </v>
      </c>
      <c r="M401" s="4" t="str">
        <f ca="1">IF(OR(INDEX($X$2:$X$1001,MATCH(ROWS($W$2:W401),$W$2:$W$1001,0),1)&gt;=100000,INDEX($AD$1005:$AU$1005,1,MATCH(COLUMNS($AD$1006:AO1006),$AD$1006:$AU$1006,0))&gt;=100000), " ",IF(INDEX($AD$2:$AU$1001,MATCH(ROWS($W$2:W401),$W$2:$W$1001,0),MATCH(COLUMNS($AD$1006:AO1006),$AD$1006:$AU$1006,0)), HYPERLINK("#",""), HYPERLINK(CONCATENATE("#metadata!", ADDRESS(INDEX($Y$2:$Y$1001,MATCH(ROWS($W$2:W401),$W$2:$W$1001,0),0), INDEX($AD$1004:$AU$1004,1,MATCH(COLUMNS($AD$1006:AO1006),$AD$1006:$AU$1006,0)))),"Fix")))</f>
        <v xml:space="preserve"> </v>
      </c>
      <c r="N401" s="4" t="str">
        <f ca="1">IF(OR(INDEX($X$2:$X$1001,MATCH(ROWS($W$2:W401),$W$2:$W$1001,0),1)&gt;=100000,INDEX($AD$1005:$AU$1005,1,MATCH(COLUMNS($AD$1006:AP1006),$AD$1006:$AU$1006,0))&gt;=100000), " ",IF(INDEX($AD$2:$AU$1001,MATCH(ROWS($W$2:W401),$W$2:$W$1001,0),MATCH(COLUMNS($AD$1006:AP1006),$AD$1006:$AU$1006,0)), HYPERLINK("#",""), HYPERLINK(CONCATENATE("#metadata!", ADDRESS(INDEX($Y$2:$Y$1001,MATCH(ROWS($W$2:W401),$W$2:$W$1001,0),0), INDEX($AD$1004:$AU$1004,1,MATCH(COLUMNS($AD$1006:AP1006),$AD$1006:$AU$1006,0)))),"Fix")))</f>
        <v xml:space="preserve"> </v>
      </c>
      <c r="O401" s="4" t="str">
        <f ca="1">IF(OR(INDEX($X$2:$X$1001,MATCH(ROWS($W$2:W401),$W$2:$W$1001,0),1)&gt;=100000,INDEX($AD$1005:$AU$1005,1,MATCH(COLUMNS($AD$1006:AQ1006),$AD$1006:$AU$1006,0))&gt;=100000), " ",IF(INDEX($AD$2:$AU$1001,MATCH(ROWS($W$2:W401),$W$2:$W$1001,0),MATCH(COLUMNS($AD$1006:AQ1006),$AD$1006:$AU$1006,0)), HYPERLINK("#",""), HYPERLINK(CONCATENATE("#metadata!", ADDRESS(INDEX($Y$2:$Y$1001,MATCH(ROWS($W$2:W401),$W$2:$W$1001,0),0), INDEX($AD$1004:$AU$1004,1,MATCH(COLUMNS($AD$1006:AQ1006),$AD$1006:$AU$1006,0)))),"Fix")))</f>
        <v xml:space="preserve"> </v>
      </c>
      <c r="P401" s="4" t="str">
        <f ca="1">IF(OR(INDEX($X$2:$X$1001,MATCH(ROWS($W$2:W401),$W$2:$W$1001,0),1)&gt;=100000,INDEX($AD$1005:$AU$1005,1,MATCH(COLUMNS($AD$1006:AR1006),$AD$1006:$AU$1006,0))&gt;=100000), " ",IF(INDEX($AD$2:$AU$1001,MATCH(ROWS($W$2:W401),$W$2:$W$1001,0),MATCH(COLUMNS($AD$1006:AR1006),$AD$1006:$AU$1006,0)), HYPERLINK("#",""), HYPERLINK(CONCATENATE("#metadata!", ADDRESS(INDEX($Y$2:$Y$1001,MATCH(ROWS($W$2:W401),$W$2:$W$1001,0),0), INDEX($AD$1004:$AU$1004,1,MATCH(COLUMNS($AD$1006:AR1006),$AD$1006:$AU$1006,0)))),"Fix")))</f>
        <v xml:space="preserve"> </v>
      </c>
      <c r="Q401" s="4" t="str">
        <f ca="1">IF(OR(INDEX($X$2:$X$1001,MATCH(ROWS($W$2:W401),$W$2:$W$1001,0),1)&gt;=100000,INDEX($AD$1005:$AU$1005,1,MATCH(COLUMNS($AD$1006:AS1006),$AD$1006:$AU$1006,0))&gt;=100000), " ",IF(INDEX($AD$2:$AU$1001,MATCH(ROWS($W$2:W401),$W$2:$W$1001,0),MATCH(COLUMNS($AD$1006:AS1006),$AD$1006:$AU$1006,0)), HYPERLINK("#",""), HYPERLINK(CONCATENATE("#metadata!", ADDRESS(INDEX($Y$2:$Y$1001,MATCH(ROWS($W$2:W401),$W$2:$W$1001,0),0), INDEX($AD$1004:$AU$1004,1,MATCH(COLUMNS($AD$1006:AS1006),$AD$1006:$AU$1006,0)))),"Fix")))</f>
        <v xml:space="preserve"> </v>
      </c>
      <c r="R401" s="4" t="str">
        <f ca="1">IF(OR(INDEX($X$2:$X$1001,MATCH(ROWS($W$2:W401),$W$2:$W$1001,0),1)&gt;=100000,INDEX($AD$1005:$AU$1005,1,MATCH(COLUMNS($AD$1006:AT1006),$AD$1006:$AU$1006,0))&gt;=100000), " ",IF(INDEX($AD$2:$AU$1001,MATCH(ROWS($W$2:W401),$W$2:$W$1001,0),MATCH(COLUMNS($AD$1006:AT1006),$AD$1006:$AU$1006,0)), HYPERLINK("#",""), HYPERLINK(CONCATENATE("#metadata!", ADDRESS(INDEX($Y$2:$Y$1001,MATCH(ROWS($W$2:W401),$W$2:$W$1001,0),0), INDEX($AD$1004:$AU$1004,1,MATCH(COLUMNS($AD$1006:AT1006),$AD$1006:$AU$1006,0)))),"Fix")))</f>
        <v xml:space="preserve"> </v>
      </c>
      <c r="S401" s="4" t="str">
        <f ca="1">IF(OR(INDEX($X$2:$X$1001,MATCH(ROWS($W$2:W401),$W$2:$W$1001,0),1)&gt;=100000,INDEX($AD$1005:$AU$1005,1,MATCH(COLUMNS($AD$1006:AU1006),$AD$1006:$AU$1006,0))&gt;=100000), " ",IF(INDEX($AD$2:$AU$1001,MATCH(ROWS($W$2:W401),$W$2:$W$1001,0),MATCH(COLUMNS($AD$1006:AU1006),$AD$1006:$AU$1006,0)), HYPERLINK("#",""), HYPERLINK(CONCATENATE("#metadata!", ADDRESS(INDEX($Y$2:$Y$1001,MATCH(ROWS($W$2:W401),$W$2:$W$1001,0),0), INDEX($AD$1004:$AU$1004,1,MATCH(COLUMNS($AD$1006:AU1006),$AD$1006:$AU$1006,0)))),"Fix")))</f>
        <v xml:space="preserve"> </v>
      </c>
      <c r="W401">
        <v>400</v>
      </c>
      <c r="X401">
        <v>100401</v>
      </c>
      <c r="Y401">
        <v>401</v>
      </c>
      <c r="Z401" t="b">
        <f t="shared" si="6"/>
        <v>1</v>
      </c>
      <c r="AA401" t="b">
        <f>COUNTBLANK(metadata!B401:S401)=COLUMNS(metadata!B401:S401)</f>
        <v>1</v>
      </c>
      <c r="AB401" t="str">
        <v/>
      </c>
      <c r="AD401" t="b">
        <f ca="1">AND(IF(metadata!B401="",FALSE,TRUE),COUNTIF(metadata!B:B, metadata!B401) = 1,NOT(ISERROR(SUMPRODUCT(SEARCH(MID(metadata!B401,ROW(INDIRECT("1:"&amp;LEN(metadata!B401))), 1),"0123456789abcdefghijklmnopqrstuvwxyzABCDEFGHIJKLMNOPQRSTUVWXYZ.")))))</f>
        <v>0</v>
      </c>
      <c r="AE401" t="b">
        <f>OR(AND(IF(metadata!C401="",FALSE,TRUE),OR(EXACT(metadata!C401,"not applicable"),EXACT(metadata!C401,"missing: not collected"),EXACT(metadata!C401,"missing: not provided"),EXACT(metadata!C401,"missing: restricted access"))),AND(IF(metadata!C401="",FALSE,ISNUMBER(VALUE(metadata!C401))),metadata!C401&gt;0))</f>
        <v>0</v>
      </c>
      <c r="AF401" t="b">
        <f>AND(IF(metadata!D401="",FALSE,TRUE),EXACT(metadata!D401,"missing: not provided"))</f>
        <v>0</v>
      </c>
      <c r="AG401" t="b">
        <f>AND(IF(metadata!E401="",FALSE,TRUE),EXACT(metadata!E401,"Host-associated"))</f>
        <v>0</v>
      </c>
      <c r="AH401" t="b">
        <f>AND(IF(metadata!F401="",FALSE,TRUE),OR(EXACT(metadata!F401,"Animal"),EXACT(metadata!F401,"Fungus"),EXACT(metadata!F401,"Plant")))</f>
        <v>0</v>
      </c>
      <c r="AI401" t="b">
        <f>AND(IF(metadata!G401="",FALSE,TRUE),OR(EXACT(metadata!G401,"Plant secretion"),EXACT(metadata!G401,"Plant rhizosphere"),EXACT(metadata!G401,"Plant surface"),EXACT(metadata!G401,"Plant corpus"),EXACT(metadata!G401,"Fungus surface"),EXACT(metadata!G401,"Fungus corpus"),EXACT(metadata!G401,"Animal surface"),EXACT(metadata!G401,"Animal proximal gut"),EXACT(metadata!G401,"Animal corpus"),EXACT(metadata!G401,"Animal distal gut"),EXACT(metadata!G401,"Animal secretion")))</f>
        <v>0</v>
      </c>
      <c r="AJ401" t="b">
        <f>OR(AND(IF(metadata!H401="",FALSE,TRUE),OR(EXACT(metadata!H401,"missing: not collected"),EXACT(metadata!H401,"missing: not provided"),EXACT(metadata!H401,"missing: restricted access"))),AND(IF(metadata!H401="",FALSE,TRUE),OR(EXACT(metadata!H401,"organism-associated habitat"),EXACT(metadata!H401,"plant-associated habitat"),EXACT(metadata!H401,"animal-associated habitat"),EXACT(metadata!H401,"insecta-associated habitat"),EXACT(metadata!H401,"mammalia-associated habitat"),EXACT(metadata!H401,"human-associated habitat"),EXACT(metadata!H401,"livestock-associated habitat"))))</f>
        <v>0</v>
      </c>
      <c r="AK401" t="b">
        <f>AND(IF(metadata!I401="",FALSE,TRUE),EXACT(metadata!I401,"host-associated"))</f>
        <v>0</v>
      </c>
      <c r="AL401" t="b">
        <f>OR(AND(IF(metadata!J401="",FALSE,TRUE),OR(EXACT(metadata!J401,"not applicable"),EXACT(metadata!J401,"missing: not collected"),EXACT(metadata!J401,"missing: not provided"),EXACT(metadata!J401,"missing: restricted access"))),AND(IF(metadata!J401="",FALSE,ISNUMBER(VALUE(metadata!J401))),metadata!J401&gt;0))</f>
        <v>0</v>
      </c>
      <c r="AM401" t="b">
        <f>AND(IF(metadata!K401="",FALSE,TRUE),EXACT(metadata!K401,"missing: not provided"))</f>
        <v>0</v>
      </c>
      <c r="AN401" t="b">
        <f>IF(metadata!L401="",FALSE,TRUE)</f>
        <v>0</v>
      </c>
      <c r="AO401" t="b">
        <f>IF(metadata!M401="",FALSE,TRUE)</f>
        <v>0</v>
      </c>
      <c r="AP401" t="b">
        <f>OR(AND(IF(metadata!N401="",FALSE,TRUE),OR(EXACT(metadata!N401,"not applicable"),EXACT(metadata!N401,"missing: not collected"),EXACT(metadata!N401,"missing: not provided"))),AND(IF(metadata!N401="",FALSE,IF(ISERROR(INT(metadata!N401)),FALSE,INT(metadata!N401)=metadata!N401)),metadata!N401&gt;0))</f>
        <v>0</v>
      </c>
      <c r="AQ401" t="b">
        <f>AND(IF(metadata!O401="",FALSE,TRUE),EXACT(metadata!O401,"Not applicable"))</f>
        <v>0</v>
      </c>
      <c r="AR401" t="b">
        <f>OR(AND(IF(metadata!P401="",FALSE,TRUE),OR(EXACT(metadata!P401,"not applicable"),EXACT(metadata!P401,"missing: not collected"),EXACT(metadata!P401,"missing: not provided"),EXACT(metadata!P401,"missing: restricted access"))),IF(metadata!P401="",FALSE,IF(ISERROR(INT(metadata!P401)),FALSE,INT(metadata!P401)=metadata!P401)))</f>
        <v>0</v>
      </c>
      <c r="AS401" t="b">
        <f>AND(IF(metadata!Q401="",FALSE,TRUE),EXACT(metadata!Q401,"Not applicable"))</f>
        <v>0</v>
      </c>
      <c r="AT401" t="b">
        <f>OR(AND(IF(metadata!R401="",FALSE,TRUE),OR(EXACT(metadata!R401,"not applicable"),EXACT(metadata!R401,"missing: not collected"),EXACT(metadata!R401,"missing: not provided"),EXACT(metadata!R401,"missing: restricted access"))),AND(IF(metadata!R401="",FALSE,ISNUMBER(VALUE(metadata!R401))),metadata!R401&gt;0))</f>
        <v>0</v>
      </c>
      <c r="AU401" t="b">
        <f>AND(IF(metadata!S401="",FALSE,TRUE),EXACT(metadata!S401,"missing: not provided"))</f>
        <v>0</v>
      </c>
    </row>
    <row r="402" spans="1:47" x14ac:dyDescent="0.2">
      <c r="A402" s="5" t="str">
        <f ca="1">IF(B402=" "," ",HYPERLINK(CONCATENATE("#metadata!",ADDRESS(INDEX($Y$2:$Y$1001,MATCH(ROWS($W$2:W402),$W$2:$W$1001,0),0),1)),INDEX($AB$2:$AB$1001,MATCH(ROWS($W$2:W402),$W$2:$W$1001,0),0)))</f>
        <v xml:space="preserve"> </v>
      </c>
      <c r="B402" s="4" t="str">
        <f ca="1">IF(OR(INDEX($X$2:$X$1001,MATCH(ROWS($W$2:W402),$W$2:$W$1001,0),1)&gt;=100000,INDEX($AD$1005:$AU$1005,1,MATCH(COLUMNS($AD$1006:AD1006),$AD$1006:$AU$1006,0))&gt;=100000), " ",IF(INDEX($AD$2:$AU$1001,MATCH(ROWS($W$2:W402),$W$2:$W$1001,0),MATCH(COLUMNS($AD$1006:AD1006),$AD$1006:$AU$1006,0)), HYPERLINK("#",""), HYPERLINK(CONCATENATE("#metadata!", ADDRESS(INDEX($Y$2:$Y$1001,MATCH(ROWS($W$2:W402),$W$2:$W$1001,0),0), INDEX($AD$1004:$AU$1004,1,MATCH(COLUMNS($AD$1006:AD1006),$AD$1006:$AU$1006,0)))),"Fix")))</f>
        <v xml:space="preserve"> </v>
      </c>
      <c r="C402" s="4" t="str">
        <f ca="1">IF(OR(INDEX($X$2:$X$1001,MATCH(ROWS($W$2:W402),$W$2:$W$1001,0),1)&gt;=100000,INDEX($AD$1005:$AU$1005,1,MATCH(COLUMNS($AD$1006:AE1006),$AD$1006:$AU$1006,0))&gt;=100000), " ",IF(INDEX($AD$2:$AU$1001,MATCH(ROWS($W$2:W402),$W$2:$W$1001,0),MATCH(COLUMNS($AD$1006:AE1006),$AD$1006:$AU$1006,0)), HYPERLINK("#",""), HYPERLINK(CONCATENATE("#metadata!", ADDRESS(INDEX($Y$2:$Y$1001,MATCH(ROWS($W$2:W402),$W$2:$W$1001,0),0), INDEX($AD$1004:$AU$1004,1,MATCH(COLUMNS($AD$1006:AE1006),$AD$1006:$AU$1006,0)))),"Fix")))</f>
        <v xml:space="preserve"> </v>
      </c>
      <c r="D402" s="4" t="str">
        <f ca="1">IF(OR(INDEX($X$2:$X$1001,MATCH(ROWS($W$2:W402),$W$2:$W$1001,0),1)&gt;=100000,INDEX($AD$1005:$AU$1005,1,MATCH(COLUMNS($AD$1006:AF1006),$AD$1006:$AU$1006,0))&gt;=100000), " ",IF(INDEX($AD$2:$AU$1001,MATCH(ROWS($W$2:W402),$W$2:$W$1001,0),MATCH(COLUMNS($AD$1006:AF1006),$AD$1006:$AU$1006,0)), HYPERLINK("#",""), HYPERLINK(CONCATENATE("#metadata!", ADDRESS(INDEX($Y$2:$Y$1001,MATCH(ROWS($W$2:W402),$W$2:$W$1001,0),0), INDEX($AD$1004:$AU$1004,1,MATCH(COLUMNS($AD$1006:AF1006),$AD$1006:$AU$1006,0)))),"Fix")))</f>
        <v xml:space="preserve"> </v>
      </c>
      <c r="E402" s="4" t="str">
        <f ca="1">IF(OR(INDEX($X$2:$X$1001,MATCH(ROWS($W$2:W402),$W$2:$W$1001,0),1)&gt;=100000,INDEX($AD$1005:$AU$1005,1,MATCH(COLUMNS($AD$1006:AG1006),$AD$1006:$AU$1006,0))&gt;=100000), " ",IF(INDEX($AD$2:$AU$1001,MATCH(ROWS($W$2:W402),$W$2:$W$1001,0),MATCH(COLUMNS($AD$1006:AG1006),$AD$1006:$AU$1006,0)), HYPERLINK("#",""), HYPERLINK(CONCATENATE("#metadata!", ADDRESS(INDEX($Y$2:$Y$1001,MATCH(ROWS($W$2:W402),$W$2:$W$1001,0),0), INDEX($AD$1004:$AU$1004,1,MATCH(COLUMNS($AD$1006:AG1006),$AD$1006:$AU$1006,0)))),"Fix")))</f>
        <v xml:space="preserve"> </v>
      </c>
      <c r="F402" s="4" t="str">
        <f ca="1">IF(OR(INDEX($X$2:$X$1001,MATCH(ROWS($W$2:W402),$W$2:$W$1001,0),1)&gt;=100000,INDEX($AD$1005:$AU$1005,1,MATCH(COLUMNS($AD$1006:AH1006),$AD$1006:$AU$1006,0))&gt;=100000), " ",IF(INDEX($AD$2:$AU$1001,MATCH(ROWS($W$2:W402),$W$2:$W$1001,0),MATCH(COLUMNS($AD$1006:AH1006),$AD$1006:$AU$1006,0)), HYPERLINK("#",""), HYPERLINK(CONCATENATE("#metadata!", ADDRESS(INDEX($Y$2:$Y$1001,MATCH(ROWS($W$2:W402),$W$2:$W$1001,0),0), INDEX($AD$1004:$AU$1004,1,MATCH(COLUMNS($AD$1006:AH1006),$AD$1006:$AU$1006,0)))),"Fix")))</f>
        <v xml:space="preserve"> </v>
      </c>
      <c r="G402" s="4" t="str">
        <f ca="1">IF(OR(INDEX($X$2:$X$1001,MATCH(ROWS($W$2:W402),$W$2:$W$1001,0),1)&gt;=100000,INDEX($AD$1005:$AU$1005,1,MATCH(COLUMNS($AD$1006:AI1006),$AD$1006:$AU$1006,0))&gt;=100000), " ",IF(INDEX($AD$2:$AU$1001,MATCH(ROWS($W$2:W402),$W$2:$W$1001,0),MATCH(COLUMNS($AD$1006:AI1006),$AD$1006:$AU$1006,0)), HYPERLINK("#",""), HYPERLINK(CONCATENATE("#metadata!", ADDRESS(INDEX($Y$2:$Y$1001,MATCH(ROWS($W$2:W402),$W$2:$W$1001,0),0), INDEX($AD$1004:$AU$1004,1,MATCH(COLUMNS($AD$1006:AI1006),$AD$1006:$AU$1006,0)))),"Fix")))</f>
        <v xml:space="preserve"> </v>
      </c>
      <c r="H402" s="4" t="str">
        <f ca="1">IF(OR(INDEX($X$2:$X$1001,MATCH(ROWS($W$2:W402),$W$2:$W$1001,0),1)&gt;=100000,INDEX($AD$1005:$AU$1005,1,MATCH(COLUMNS($AD$1006:AJ1006),$AD$1006:$AU$1006,0))&gt;=100000), " ",IF(INDEX($AD$2:$AU$1001,MATCH(ROWS($W$2:W402),$W$2:$W$1001,0),MATCH(COLUMNS($AD$1006:AJ1006),$AD$1006:$AU$1006,0)), HYPERLINK("#",""), HYPERLINK(CONCATENATE("#metadata!", ADDRESS(INDEX($Y$2:$Y$1001,MATCH(ROWS($W$2:W402),$W$2:$W$1001,0),0), INDEX($AD$1004:$AU$1004,1,MATCH(COLUMNS($AD$1006:AJ1006),$AD$1006:$AU$1006,0)))),"Fix")))</f>
        <v xml:space="preserve"> </v>
      </c>
      <c r="I402" s="4" t="str">
        <f ca="1">IF(OR(INDEX($X$2:$X$1001,MATCH(ROWS($W$2:W402),$W$2:$W$1001,0),1)&gt;=100000,INDEX($AD$1005:$AU$1005,1,MATCH(COLUMNS($AD$1006:AK1006),$AD$1006:$AU$1006,0))&gt;=100000), " ",IF(INDEX($AD$2:$AU$1001,MATCH(ROWS($W$2:W402),$W$2:$W$1001,0),MATCH(COLUMNS($AD$1006:AK1006),$AD$1006:$AU$1006,0)), HYPERLINK("#",""), HYPERLINK(CONCATENATE("#metadata!", ADDRESS(INDEX($Y$2:$Y$1001,MATCH(ROWS($W$2:W402),$W$2:$W$1001,0),0), INDEX($AD$1004:$AU$1004,1,MATCH(COLUMNS($AD$1006:AK1006),$AD$1006:$AU$1006,0)))),"Fix")))</f>
        <v xml:space="preserve"> </v>
      </c>
      <c r="J402" s="4" t="str">
        <f ca="1">IF(OR(INDEX($X$2:$X$1001,MATCH(ROWS($W$2:W402),$W$2:$W$1001,0),1)&gt;=100000,INDEX($AD$1005:$AU$1005,1,MATCH(COLUMNS($AD$1006:AL1006),$AD$1006:$AU$1006,0))&gt;=100000), " ",IF(INDEX($AD$2:$AU$1001,MATCH(ROWS($W$2:W402),$W$2:$W$1001,0),MATCH(COLUMNS($AD$1006:AL1006),$AD$1006:$AU$1006,0)), HYPERLINK("#",""), HYPERLINK(CONCATENATE("#metadata!", ADDRESS(INDEX($Y$2:$Y$1001,MATCH(ROWS($W$2:W402),$W$2:$W$1001,0),0), INDEX($AD$1004:$AU$1004,1,MATCH(COLUMNS($AD$1006:AL1006),$AD$1006:$AU$1006,0)))),"Fix")))</f>
        <v xml:space="preserve"> </v>
      </c>
      <c r="K402" s="4" t="str">
        <f ca="1">IF(OR(INDEX($X$2:$X$1001,MATCH(ROWS($W$2:W402),$W$2:$W$1001,0),1)&gt;=100000,INDEX($AD$1005:$AU$1005,1,MATCH(COLUMNS($AD$1006:AM1006),$AD$1006:$AU$1006,0))&gt;=100000), " ",IF(INDEX($AD$2:$AU$1001,MATCH(ROWS($W$2:W402),$W$2:$W$1001,0),MATCH(COLUMNS($AD$1006:AM1006),$AD$1006:$AU$1006,0)), HYPERLINK("#",""), HYPERLINK(CONCATENATE("#metadata!", ADDRESS(INDEX($Y$2:$Y$1001,MATCH(ROWS($W$2:W402),$W$2:$W$1001,0),0), INDEX($AD$1004:$AU$1004,1,MATCH(COLUMNS($AD$1006:AM1006),$AD$1006:$AU$1006,0)))),"Fix")))</f>
        <v xml:space="preserve"> </v>
      </c>
      <c r="L402" s="4" t="str">
        <f ca="1">IF(OR(INDEX($X$2:$X$1001,MATCH(ROWS($W$2:W402),$W$2:$W$1001,0),1)&gt;=100000,INDEX($AD$1005:$AU$1005,1,MATCH(COLUMNS($AD$1006:AN1006),$AD$1006:$AU$1006,0))&gt;=100000), " ",IF(INDEX($AD$2:$AU$1001,MATCH(ROWS($W$2:W402),$W$2:$W$1001,0),MATCH(COLUMNS($AD$1006:AN1006),$AD$1006:$AU$1006,0)), HYPERLINK("#",""), HYPERLINK(CONCATENATE("#metadata!", ADDRESS(INDEX($Y$2:$Y$1001,MATCH(ROWS($W$2:W402),$W$2:$W$1001,0),0), INDEX($AD$1004:$AU$1004,1,MATCH(COLUMNS($AD$1006:AN1006),$AD$1006:$AU$1006,0)))),"Fix")))</f>
        <v xml:space="preserve"> </v>
      </c>
      <c r="M402" s="4" t="str">
        <f ca="1">IF(OR(INDEX($X$2:$X$1001,MATCH(ROWS($W$2:W402),$W$2:$W$1001,0),1)&gt;=100000,INDEX($AD$1005:$AU$1005,1,MATCH(COLUMNS($AD$1006:AO1006),$AD$1006:$AU$1006,0))&gt;=100000), " ",IF(INDEX($AD$2:$AU$1001,MATCH(ROWS($W$2:W402),$W$2:$W$1001,0),MATCH(COLUMNS($AD$1006:AO1006),$AD$1006:$AU$1006,0)), HYPERLINK("#",""), HYPERLINK(CONCATENATE("#metadata!", ADDRESS(INDEX($Y$2:$Y$1001,MATCH(ROWS($W$2:W402),$W$2:$W$1001,0),0), INDEX($AD$1004:$AU$1004,1,MATCH(COLUMNS($AD$1006:AO1006),$AD$1006:$AU$1006,0)))),"Fix")))</f>
        <v xml:space="preserve"> </v>
      </c>
      <c r="N402" s="4" t="str">
        <f ca="1">IF(OR(INDEX($X$2:$X$1001,MATCH(ROWS($W$2:W402),$W$2:$W$1001,0),1)&gt;=100000,INDEX($AD$1005:$AU$1005,1,MATCH(COLUMNS($AD$1006:AP1006),$AD$1006:$AU$1006,0))&gt;=100000), " ",IF(INDEX($AD$2:$AU$1001,MATCH(ROWS($W$2:W402),$W$2:$W$1001,0),MATCH(COLUMNS($AD$1006:AP1006),$AD$1006:$AU$1006,0)), HYPERLINK("#",""), HYPERLINK(CONCATENATE("#metadata!", ADDRESS(INDEX($Y$2:$Y$1001,MATCH(ROWS($W$2:W402),$W$2:$W$1001,0),0), INDEX($AD$1004:$AU$1004,1,MATCH(COLUMNS($AD$1006:AP1006),$AD$1006:$AU$1006,0)))),"Fix")))</f>
        <v xml:space="preserve"> </v>
      </c>
      <c r="O402" s="4" t="str">
        <f ca="1">IF(OR(INDEX($X$2:$X$1001,MATCH(ROWS($W$2:W402),$W$2:$W$1001,0),1)&gt;=100000,INDEX($AD$1005:$AU$1005,1,MATCH(COLUMNS($AD$1006:AQ1006),$AD$1006:$AU$1006,0))&gt;=100000), " ",IF(INDEX($AD$2:$AU$1001,MATCH(ROWS($W$2:W402),$W$2:$W$1001,0),MATCH(COLUMNS($AD$1006:AQ1006),$AD$1006:$AU$1006,0)), HYPERLINK("#",""), HYPERLINK(CONCATENATE("#metadata!", ADDRESS(INDEX($Y$2:$Y$1001,MATCH(ROWS($W$2:W402),$W$2:$W$1001,0),0), INDEX($AD$1004:$AU$1004,1,MATCH(COLUMNS($AD$1006:AQ1006),$AD$1006:$AU$1006,0)))),"Fix")))</f>
        <v xml:space="preserve"> </v>
      </c>
      <c r="P402" s="4" t="str">
        <f ca="1">IF(OR(INDEX($X$2:$X$1001,MATCH(ROWS($W$2:W402),$W$2:$W$1001,0),1)&gt;=100000,INDEX($AD$1005:$AU$1005,1,MATCH(COLUMNS($AD$1006:AR1006),$AD$1006:$AU$1006,0))&gt;=100000), " ",IF(INDEX($AD$2:$AU$1001,MATCH(ROWS($W$2:W402),$W$2:$W$1001,0),MATCH(COLUMNS($AD$1006:AR1006),$AD$1006:$AU$1006,0)), HYPERLINK("#",""), HYPERLINK(CONCATENATE("#metadata!", ADDRESS(INDEX($Y$2:$Y$1001,MATCH(ROWS($W$2:W402),$W$2:$W$1001,0),0), INDEX($AD$1004:$AU$1004,1,MATCH(COLUMNS($AD$1006:AR1006),$AD$1006:$AU$1006,0)))),"Fix")))</f>
        <v xml:space="preserve"> </v>
      </c>
      <c r="Q402" s="4" t="str">
        <f ca="1">IF(OR(INDEX($X$2:$X$1001,MATCH(ROWS($W$2:W402),$W$2:$W$1001,0),1)&gt;=100000,INDEX($AD$1005:$AU$1005,1,MATCH(COLUMNS($AD$1006:AS1006),$AD$1006:$AU$1006,0))&gt;=100000), " ",IF(INDEX($AD$2:$AU$1001,MATCH(ROWS($W$2:W402),$W$2:$W$1001,0),MATCH(COLUMNS($AD$1006:AS1006),$AD$1006:$AU$1006,0)), HYPERLINK("#",""), HYPERLINK(CONCATENATE("#metadata!", ADDRESS(INDEX($Y$2:$Y$1001,MATCH(ROWS($W$2:W402),$W$2:$W$1001,0),0), INDEX($AD$1004:$AU$1004,1,MATCH(COLUMNS($AD$1006:AS1006),$AD$1006:$AU$1006,0)))),"Fix")))</f>
        <v xml:space="preserve"> </v>
      </c>
      <c r="R402" s="4" t="str">
        <f ca="1">IF(OR(INDEX($X$2:$X$1001,MATCH(ROWS($W$2:W402),$W$2:$W$1001,0),1)&gt;=100000,INDEX($AD$1005:$AU$1005,1,MATCH(COLUMNS($AD$1006:AT1006),$AD$1006:$AU$1006,0))&gt;=100000), " ",IF(INDEX($AD$2:$AU$1001,MATCH(ROWS($W$2:W402),$W$2:$W$1001,0),MATCH(COLUMNS($AD$1006:AT1006),$AD$1006:$AU$1006,0)), HYPERLINK("#",""), HYPERLINK(CONCATENATE("#metadata!", ADDRESS(INDEX($Y$2:$Y$1001,MATCH(ROWS($W$2:W402),$W$2:$W$1001,0),0), INDEX($AD$1004:$AU$1004,1,MATCH(COLUMNS($AD$1006:AT1006),$AD$1006:$AU$1006,0)))),"Fix")))</f>
        <v xml:space="preserve"> </v>
      </c>
      <c r="S402" s="4" t="str">
        <f ca="1">IF(OR(INDEX($X$2:$X$1001,MATCH(ROWS($W$2:W402),$W$2:$W$1001,0),1)&gt;=100000,INDEX($AD$1005:$AU$1005,1,MATCH(COLUMNS($AD$1006:AU1006),$AD$1006:$AU$1006,0))&gt;=100000), " ",IF(INDEX($AD$2:$AU$1001,MATCH(ROWS($W$2:W402),$W$2:$W$1001,0),MATCH(COLUMNS($AD$1006:AU1006),$AD$1006:$AU$1006,0)), HYPERLINK("#",""), HYPERLINK(CONCATENATE("#metadata!", ADDRESS(INDEX($Y$2:$Y$1001,MATCH(ROWS($W$2:W402),$W$2:$W$1001,0),0), INDEX($AD$1004:$AU$1004,1,MATCH(COLUMNS($AD$1006:AU1006),$AD$1006:$AU$1006,0)))),"Fix")))</f>
        <v xml:space="preserve"> </v>
      </c>
      <c r="W402">
        <v>401</v>
      </c>
      <c r="X402">
        <v>100402</v>
      </c>
      <c r="Y402">
        <v>402</v>
      </c>
      <c r="Z402" t="b">
        <f t="shared" si="6"/>
        <v>1</v>
      </c>
      <c r="AA402" t="b">
        <f>COUNTBLANK(metadata!B402:S402)=COLUMNS(metadata!B402:S402)</f>
        <v>1</v>
      </c>
      <c r="AB402" t="str">
        <v/>
      </c>
      <c r="AD402" t="b">
        <f ca="1">AND(IF(metadata!B402="",FALSE,TRUE),COUNTIF(metadata!B:B, metadata!B402) = 1,NOT(ISERROR(SUMPRODUCT(SEARCH(MID(metadata!B402,ROW(INDIRECT("1:"&amp;LEN(metadata!B402))), 1),"0123456789abcdefghijklmnopqrstuvwxyzABCDEFGHIJKLMNOPQRSTUVWXYZ.")))))</f>
        <v>0</v>
      </c>
      <c r="AE402" t="b">
        <f>OR(AND(IF(metadata!C402="",FALSE,TRUE),OR(EXACT(metadata!C402,"not applicable"),EXACT(metadata!C402,"missing: not collected"),EXACT(metadata!C402,"missing: not provided"),EXACT(metadata!C402,"missing: restricted access"))),AND(IF(metadata!C402="",FALSE,ISNUMBER(VALUE(metadata!C402))),metadata!C402&gt;0))</f>
        <v>0</v>
      </c>
      <c r="AF402" t="b">
        <f>AND(IF(metadata!D402="",FALSE,TRUE),EXACT(metadata!D402,"missing: not provided"))</f>
        <v>0</v>
      </c>
      <c r="AG402" t="b">
        <f>AND(IF(metadata!E402="",FALSE,TRUE),EXACT(metadata!E402,"Host-associated"))</f>
        <v>0</v>
      </c>
      <c r="AH402" t="b">
        <f>AND(IF(metadata!F402="",FALSE,TRUE),OR(EXACT(metadata!F402,"Animal"),EXACT(metadata!F402,"Fungus"),EXACT(metadata!F402,"Plant")))</f>
        <v>0</v>
      </c>
      <c r="AI402" t="b">
        <f>AND(IF(metadata!G402="",FALSE,TRUE),OR(EXACT(metadata!G402,"Plant secretion"),EXACT(metadata!G402,"Plant rhizosphere"),EXACT(metadata!G402,"Plant surface"),EXACT(metadata!G402,"Plant corpus"),EXACT(metadata!G402,"Fungus surface"),EXACT(metadata!G402,"Fungus corpus"),EXACT(metadata!G402,"Animal surface"),EXACT(metadata!G402,"Animal proximal gut"),EXACT(metadata!G402,"Animal corpus"),EXACT(metadata!G402,"Animal distal gut"),EXACT(metadata!G402,"Animal secretion")))</f>
        <v>0</v>
      </c>
      <c r="AJ402" t="b">
        <f>OR(AND(IF(metadata!H402="",FALSE,TRUE),OR(EXACT(metadata!H402,"missing: not collected"),EXACT(metadata!H402,"missing: not provided"),EXACT(metadata!H402,"missing: restricted access"))),AND(IF(metadata!H402="",FALSE,TRUE),OR(EXACT(metadata!H402,"organism-associated habitat"),EXACT(metadata!H402,"plant-associated habitat"),EXACT(metadata!H402,"animal-associated habitat"),EXACT(metadata!H402,"insecta-associated habitat"),EXACT(metadata!H402,"mammalia-associated habitat"),EXACT(metadata!H402,"human-associated habitat"),EXACT(metadata!H402,"livestock-associated habitat"))))</f>
        <v>0</v>
      </c>
      <c r="AK402" t="b">
        <f>AND(IF(metadata!I402="",FALSE,TRUE),EXACT(metadata!I402,"host-associated"))</f>
        <v>0</v>
      </c>
      <c r="AL402" t="b">
        <f>OR(AND(IF(metadata!J402="",FALSE,TRUE),OR(EXACT(metadata!J402,"not applicable"),EXACT(metadata!J402,"missing: not collected"),EXACT(metadata!J402,"missing: not provided"),EXACT(metadata!J402,"missing: restricted access"))),AND(IF(metadata!J402="",FALSE,ISNUMBER(VALUE(metadata!J402))),metadata!J402&gt;0))</f>
        <v>0</v>
      </c>
      <c r="AM402" t="b">
        <f>AND(IF(metadata!K402="",FALSE,TRUE),EXACT(metadata!K402,"missing: not provided"))</f>
        <v>0</v>
      </c>
      <c r="AN402" t="b">
        <f>IF(metadata!L402="",FALSE,TRUE)</f>
        <v>0</v>
      </c>
      <c r="AO402" t="b">
        <f>IF(metadata!M402="",FALSE,TRUE)</f>
        <v>0</v>
      </c>
      <c r="AP402" t="b">
        <f>OR(AND(IF(metadata!N402="",FALSE,TRUE),OR(EXACT(metadata!N402,"not applicable"),EXACT(metadata!N402,"missing: not collected"),EXACT(metadata!N402,"missing: not provided"))),AND(IF(metadata!N402="",FALSE,IF(ISERROR(INT(metadata!N402)),FALSE,INT(metadata!N402)=metadata!N402)),metadata!N402&gt;0))</f>
        <v>0</v>
      </c>
      <c r="AQ402" t="b">
        <f>AND(IF(metadata!O402="",FALSE,TRUE),EXACT(metadata!O402,"Not applicable"))</f>
        <v>0</v>
      </c>
      <c r="AR402" t="b">
        <f>OR(AND(IF(metadata!P402="",FALSE,TRUE),OR(EXACT(metadata!P402,"not applicable"),EXACT(metadata!P402,"missing: not collected"),EXACT(metadata!P402,"missing: not provided"),EXACT(metadata!P402,"missing: restricted access"))),IF(metadata!P402="",FALSE,IF(ISERROR(INT(metadata!P402)),FALSE,INT(metadata!P402)=metadata!P402)))</f>
        <v>0</v>
      </c>
      <c r="AS402" t="b">
        <f>AND(IF(metadata!Q402="",FALSE,TRUE),EXACT(metadata!Q402,"Not applicable"))</f>
        <v>0</v>
      </c>
      <c r="AT402" t="b">
        <f>OR(AND(IF(metadata!R402="",FALSE,TRUE),OR(EXACT(metadata!R402,"not applicable"),EXACT(metadata!R402,"missing: not collected"),EXACT(metadata!R402,"missing: not provided"),EXACT(metadata!R402,"missing: restricted access"))),AND(IF(metadata!R402="",FALSE,ISNUMBER(VALUE(metadata!R402))),metadata!R402&gt;0))</f>
        <v>0</v>
      </c>
      <c r="AU402" t="b">
        <f>AND(IF(metadata!S402="",FALSE,TRUE),EXACT(metadata!S402,"missing: not provided"))</f>
        <v>0</v>
      </c>
    </row>
    <row r="403" spans="1:47" x14ac:dyDescent="0.2">
      <c r="A403" s="5" t="str">
        <f ca="1">IF(B403=" "," ",HYPERLINK(CONCATENATE("#metadata!",ADDRESS(INDEX($Y$2:$Y$1001,MATCH(ROWS($W$2:W403),$W$2:$W$1001,0),0),1)),INDEX($AB$2:$AB$1001,MATCH(ROWS($W$2:W403),$W$2:$W$1001,0),0)))</f>
        <v xml:space="preserve"> </v>
      </c>
      <c r="B403" s="4" t="str">
        <f ca="1">IF(OR(INDEX($X$2:$X$1001,MATCH(ROWS($W$2:W403),$W$2:$W$1001,0),1)&gt;=100000,INDEX($AD$1005:$AU$1005,1,MATCH(COLUMNS($AD$1006:AD1006),$AD$1006:$AU$1006,0))&gt;=100000), " ",IF(INDEX($AD$2:$AU$1001,MATCH(ROWS($W$2:W403),$W$2:$W$1001,0),MATCH(COLUMNS($AD$1006:AD1006),$AD$1006:$AU$1006,0)), HYPERLINK("#",""), HYPERLINK(CONCATENATE("#metadata!", ADDRESS(INDEX($Y$2:$Y$1001,MATCH(ROWS($W$2:W403),$W$2:$W$1001,0),0), INDEX($AD$1004:$AU$1004,1,MATCH(COLUMNS($AD$1006:AD1006),$AD$1006:$AU$1006,0)))),"Fix")))</f>
        <v xml:space="preserve"> </v>
      </c>
      <c r="C403" s="4" t="str">
        <f ca="1">IF(OR(INDEX($X$2:$X$1001,MATCH(ROWS($W$2:W403),$W$2:$W$1001,0),1)&gt;=100000,INDEX($AD$1005:$AU$1005,1,MATCH(COLUMNS($AD$1006:AE1006),$AD$1006:$AU$1006,0))&gt;=100000), " ",IF(INDEX($AD$2:$AU$1001,MATCH(ROWS($W$2:W403),$W$2:$W$1001,0),MATCH(COLUMNS($AD$1006:AE1006),$AD$1006:$AU$1006,0)), HYPERLINK("#",""), HYPERLINK(CONCATENATE("#metadata!", ADDRESS(INDEX($Y$2:$Y$1001,MATCH(ROWS($W$2:W403),$W$2:$W$1001,0),0), INDEX($AD$1004:$AU$1004,1,MATCH(COLUMNS($AD$1006:AE1006),$AD$1006:$AU$1006,0)))),"Fix")))</f>
        <v xml:space="preserve"> </v>
      </c>
      <c r="D403" s="4" t="str">
        <f ca="1">IF(OR(INDEX($X$2:$X$1001,MATCH(ROWS($W$2:W403),$W$2:$W$1001,0),1)&gt;=100000,INDEX($AD$1005:$AU$1005,1,MATCH(COLUMNS($AD$1006:AF1006),$AD$1006:$AU$1006,0))&gt;=100000), " ",IF(INDEX($AD$2:$AU$1001,MATCH(ROWS($W$2:W403),$W$2:$W$1001,0),MATCH(COLUMNS($AD$1006:AF1006),$AD$1006:$AU$1006,0)), HYPERLINK("#",""), HYPERLINK(CONCATENATE("#metadata!", ADDRESS(INDEX($Y$2:$Y$1001,MATCH(ROWS($W$2:W403),$W$2:$W$1001,0),0), INDEX($AD$1004:$AU$1004,1,MATCH(COLUMNS($AD$1006:AF1006),$AD$1006:$AU$1006,0)))),"Fix")))</f>
        <v xml:space="preserve"> </v>
      </c>
      <c r="E403" s="4" t="str">
        <f ca="1">IF(OR(INDEX($X$2:$X$1001,MATCH(ROWS($W$2:W403),$W$2:$W$1001,0),1)&gt;=100000,INDEX($AD$1005:$AU$1005,1,MATCH(COLUMNS($AD$1006:AG1006),$AD$1006:$AU$1006,0))&gt;=100000), " ",IF(INDEX($AD$2:$AU$1001,MATCH(ROWS($W$2:W403),$W$2:$W$1001,0),MATCH(COLUMNS($AD$1006:AG1006),$AD$1006:$AU$1006,0)), HYPERLINK("#",""), HYPERLINK(CONCATENATE("#metadata!", ADDRESS(INDEX($Y$2:$Y$1001,MATCH(ROWS($W$2:W403),$W$2:$W$1001,0),0), INDEX($AD$1004:$AU$1004,1,MATCH(COLUMNS($AD$1006:AG1006),$AD$1006:$AU$1006,0)))),"Fix")))</f>
        <v xml:space="preserve"> </v>
      </c>
      <c r="F403" s="4" t="str">
        <f ca="1">IF(OR(INDEX($X$2:$X$1001,MATCH(ROWS($W$2:W403),$W$2:$W$1001,0),1)&gt;=100000,INDEX($AD$1005:$AU$1005,1,MATCH(COLUMNS($AD$1006:AH1006),$AD$1006:$AU$1006,0))&gt;=100000), " ",IF(INDEX($AD$2:$AU$1001,MATCH(ROWS($W$2:W403),$W$2:$W$1001,0),MATCH(COLUMNS($AD$1006:AH1006),$AD$1006:$AU$1006,0)), HYPERLINK("#",""), HYPERLINK(CONCATENATE("#metadata!", ADDRESS(INDEX($Y$2:$Y$1001,MATCH(ROWS($W$2:W403),$W$2:$W$1001,0),0), INDEX($AD$1004:$AU$1004,1,MATCH(COLUMNS($AD$1006:AH1006),$AD$1006:$AU$1006,0)))),"Fix")))</f>
        <v xml:space="preserve"> </v>
      </c>
      <c r="G403" s="4" t="str">
        <f ca="1">IF(OR(INDEX($X$2:$X$1001,MATCH(ROWS($W$2:W403),$W$2:$W$1001,0),1)&gt;=100000,INDEX($AD$1005:$AU$1005,1,MATCH(COLUMNS($AD$1006:AI1006),$AD$1006:$AU$1006,0))&gt;=100000), " ",IF(INDEX($AD$2:$AU$1001,MATCH(ROWS($W$2:W403),$W$2:$W$1001,0),MATCH(COLUMNS($AD$1006:AI1006),$AD$1006:$AU$1006,0)), HYPERLINK("#",""), HYPERLINK(CONCATENATE("#metadata!", ADDRESS(INDEX($Y$2:$Y$1001,MATCH(ROWS($W$2:W403),$W$2:$W$1001,0),0), INDEX($AD$1004:$AU$1004,1,MATCH(COLUMNS($AD$1006:AI1006),$AD$1006:$AU$1006,0)))),"Fix")))</f>
        <v xml:space="preserve"> </v>
      </c>
      <c r="H403" s="4" t="str">
        <f ca="1">IF(OR(INDEX($X$2:$X$1001,MATCH(ROWS($W$2:W403),$W$2:$W$1001,0),1)&gt;=100000,INDEX($AD$1005:$AU$1005,1,MATCH(COLUMNS($AD$1006:AJ1006),$AD$1006:$AU$1006,0))&gt;=100000), " ",IF(INDEX($AD$2:$AU$1001,MATCH(ROWS($W$2:W403),$W$2:$W$1001,0),MATCH(COLUMNS($AD$1006:AJ1006),$AD$1006:$AU$1006,0)), HYPERLINK("#",""), HYPERLINK(CONCATENATE("#metadata!", ADDRESS(INDEX($Y$2:$Y$1001,MATCH(ROWS($W$2:W403),$W$2:$W$1001,0),0), INDEX($AD$1004:$AU$1004,1,MATCH(COLUMNS($AD$1006:AJ1006),$AD$1006:$AU$1006,0)))),"Fix")))</f>
        <v xml:space="preserve"> </v>
      </c>
      <c r="I403" s="4" t="str">
        <f ca="1">IF(OR(INDEX($X$2:$X$1001,MATCH(ROWS($W$2:W403),$W$2:$W$1001,0),1)&gt;=100000,INDEX($AD$1005:$AU$1005,1,MATCH(COLUMNS($AD$1006:AK1006),$AD$1006:$AU$1006,0))&gt;=100000), " ",IF(INDEX($AD$2:$AU$1001,MATCH(ROWS($W$2:W403),$W$2:$W$1001,0),MATCH(COLUMNS($AD$1006:AK1006),$AD$1006:$AU$1006,0)), HYPERLINK("#",""), HYPERLINK(CONCATENATE("#metadata!", ADDRESS(INDEX($Y$2:$Y$1001,MATCH(ROWS($W$2:W403),$W$2:$W$1001,0),0), INDEX($AD$1004:$AU$1004,1,MATCH(COLUMNS($AD$1006:AK1006),$AD$1006:$AU$1006,0)))),"Fix")))</f>
        <v xml:space="preserve"> </v>
      </c>
      <c r="J403" s="4" t="str">
        <f ca="1">IF(OR(INDEX($X$2:$X$1001,MATCH(ROWS($W$2:W403),$W$2:$W$1001,0),1)&gt;=100000,INDEX($AD$1005:$AU$1005,1,MATCH(COLUMNS($AD$1006:AL1006),$AD$1006:$AU$1006,0))&gt;=100000), " ",IF(INDEX($AD$2:$AU$1001,MATCH(ROWS($W$2:W403),$W$2:$W$1001,0),MATCH(COLUMNS($AD$1006:AL1006),$AD$1006:$AU$1006,0)), HYPERLINK("#",""), HYPERLINK(CONCATENATE("#metadata!", ADDRESS(INDEX($Y$2:$Y$1001,MATCH(ROWS($W$2:W403),$W$2:$W$1001,0),0), INDEX($AD$1004:$AU$1004,1,MATCH(COLUMNS($AD$1006:AL1006),$AD$1006:$AU$1006,0)))),"Fix")))</f>
        <v xml:space="preserve"> </v>
      </c>
      <c r="K403" s="4" t="str">
        <f ca="1">IF(OR(INDEX($X$2:$X$1001,MATCH(ROWS($W$2:W403),$W$2:$W$1001,0),1)&gt;=100000,INDEX($AD$1005:$AU$1005,1,MATCH(COLUMNS($AD$1006:AM1006),$AD$1006:$AU$1006,0))&gt;=100000), " ",IF(INDEX($AD$2:$AU$1001,MATCH(ROWS($W$2:W403),$W$2:$W$1001,0),MATCH(COLUMNS($AD$1006:AM1006),$AD$1006:$AU$1006,0)), HYPERLINK("#",""), HYPERLINK(CONCATENATE("#metadata!", ADDRESS(INDEX($Y$2:$Y$1001,MATCH(ROWS($W$2:W403),$W$2:$W$1001,0),0), INDEX($AD$1004:$AU$1004,1,MATCH(COLUMNS($AD$1006:AM1006),$AD$1006:$AU$1006,0)))),"Fix")))</f>
        <v xml:space="preserve"> </v>
      </c>
      <c r="L403" s="4" t="str">
        <f ca="1">IF(OR(INDEX($X$2:$X$1001,MATCH(ROWS($W$2:W403),$W$2:$W$1001,0),1)&gt;=100000,INDEX($AD$1005:$AU$1005,1,MATCH(COLUMNS($AD$1006:AN1006),$AD$1006:$AU$1006,0))&gt;=100000), " ",IF(INDEX($AD$2:$AU$1001,MATCH(ROWS($W$2:W403),$W$2:$W$1001,0),MATCH(COLUMNS($AD$1006:AN1006),$AD$1006:$AU$1006,0)), HYPERLINK("#",""), HYPERLINK(CONCATENATE("#metadata!", ADDRESS(INDEX($Y$2:$Y$1001,MATCH(ROWS($W$2:W403),$W$2:$W$1001,0),0), INDEX($AD$1004:$AU$1004,1,MATCH(COLUMNS($AD$1006:AN1006),$AD$1006:$AU$1006,0)))),"Fix")))</f>
        <v xml:space="preserve"> </v>
      </c>
      <c r="M403" s="4" t="str">
        <f ca="1">IF(OR(INDEX($X$2:$X$1001,MATCH(ROWS($W$2:W403),$W$2:$W$1001,0),1)&gt;=100000,INDEX($AD$1005:$AU$1005,1,MATCH(COLUMNS($AD$1006:AO1006),$AD$1006:$AU$1006,0))&gt;=100000), " ",IF(INDEX($AD$2:$AU$1001,MATCH(ROWS($W$2:W403),$W$2:$W$1001,0),MATCH(COLUMNS($AD$1006:AO1006),$AD$1006:$AU$1006,0)), HYPERLINK("#",""), HYPERLINK(CONCATENATE("#metadata!", ADDRESS(INDEX($Y$2:$Y$1001,MATCH(ROWS($W$2:W403),$W$2:$W$1001,0),0), INDEX($AD$1004:$AU$1004,1,MATCH(COLUMNS($AD$1006:AO1006),$AD$1006:$AU$1006,0)))),"Fix")))</f>
        <v xml:space="preserve"> </v>
      </c>
      <c r="N403" s="4" t="str">
        <f ca="1">IF(OR(INDEX($X$2:$X$1001,MATCH(ROWS($W$2:W403),$W$2:$W$1001,0),1)&gt;=100000,INDEX($AD$1005:$AU$1005,1,MATCH(COLUMNS($AD$1006:AP1006),$AD$1006:$AU$1006,0))&gt;=100000), " ",IF(INDEX($AD$2:$AU$1001,MATCH(ROWS($W$2:W403),$W$2:$W$1001,0),MATCH(COLUMNS($AD$1006:AP1006),$AD$1006:$AU$1006,0)), HYPERLINK("#",""), HYPERLINK(CONCATENATE("#metadata!", ADDRESS(INDEX($Y$2:$Y$1001,MATCH(ROWS($W$2:W403),$W$2:$W$1001,0),0), INDEX($AD$1004:$AU$1004,1,MATCH(COLUMNS($AD$1006:AP1006),$AD$1006:$AU$1006,0)))),"Fix")))</f>
        <v xml:space="preserve"> </v>
      </c>
      <c r="O403" s="4" t="str">
        <f ca="1">IF(OR(INDEX($X$2:$X$1001,MATCH(ROWS($W$2:W403),$W$2:$W$1001,0),1)&gt;=100000,INDEX($AD$1005:$AU$1005,1,MATCH(COLUMNS($AD$1006:AQ1006),$AD$1006:$AU$1006,0))&gt;=100000), " ",IF(INDEX($AD$2:$AU$1001,MATCH(ROWS($W$2:W403),$W$2:$W$1001,0),MATCH(COLUMNS($AD$1006:AQ1006),$AD$1006:$AU$1006,0)), HYPERLINK("#",""), HYPERLINK(CONCATENATE("#metadata!", ADDRESS(INDEX($Y$2:$Y$1001,MATCH(ROWS($W$2:W403),$W$2:$W$1001,0),0), INDEX($AD$1004:$AU$1004,1,MATCH(COLUMNS($AD$1006:AQ1006),$AD$1006:$AU$1006,0)))),"Fix")))</f>
        <v xml:space="preserve"> </v>
      </c>
      <c r="P403" s="4" t="str">
        <f ca="1">IF(OR(INDEX($X$2:$X$1001,MATCH(ROWS($W$2:W403),$W$2:$W$1001,0),1)&gt;=100000,INDEX($AD$1005:$AU$1005,1,MATCH(COLUMNS($AD$1006:AR1006),$AD$1006:$AU$1006,0))&gt;=100000), " ",IF(INDEX($AD$2:$AU$1001,MATCH(ROWS($W$2:W403),$W$2:$W$1001,0),MATCH(COLUMNS($AD$1006:AR1006),$AD$1006:$AU$1006,0)), HYPERLINK("#",""), HYPERLINK(CONCATENATE("#metadata!", ADDRESS(INDEX($Y$2:$Y$1001,MATCH(ROWS($W$2:W403),$W$2:$W$1001,0),0), INDEX($AD$1004:$AU$1004,1,MATCH(COLUMNS($AD$1006:AR1006),$AD$1006:$AU$1006,0)))),"Fix")))</f>
        <v xml:space="preserve"> </v>
      </c>
      <c r="Q403" s="4" t="str">
        <f ca="1">IF(OR(INDEX($X$2:$X$1001,MATCH(ROWS($W$2:W403),$W$2:$W$1001,0),1)&gt;=100000,INDEX($AD$1005:$AU$1005,1,MATCH(COLUMNS($AD$1006:AS1006),$AD$1006:$AU$1006,0))&gt;=100000), " ",IF(INDEX($AD$2:$AU$1001,MATCH(ROWS($W$2:W403),$W$2:$W$1001,0),MATCH(COLUMNS($AD$1006:AS1006),$AD$1006:$AU$1006,0)), HYPERLINK("#",""), HYPERLINK(CONCATENATE("#metadata!", ADDRESS(INDEX($Y$2:$Y$1001,MATCH(ROWS($W$2:W403),$W$2:$W$1001,0),0), INDEX($AD$1004:$AU$1004,1,MATCH(COLUMNS($AD$1006:AS1006),$AD$1006:$AU$1006,0)))),"Fix")))</f>
        <v xml:space="preserve"> </v>
      </c>
      <c r="R403" s="4" t="str">
        <f ca="1">IF(OR(INDEX($X$2:$X$1001,MATCH(ROWS($W$2:W403),$W$2:$W$1001,0),1)&gt;=100000,INDEX($AD$1005:$AU$1005,1,MATCH(COLUMNS($AD$1006:AT1006),$AD$1006:$AU$1006,0))&gt;=100000), " ",IF(INDEX($AD$2:$AU$1001,MATCH(ROWS($W$2:W403),$W$2:$W$1001,0),MATCH(COLUMNS($AD$1006:AT1006),$AD$1006:$AU$1006,0)), HYPERLINK("#",""), HYPERLINK(CONCATENATE("#metadata!", ADDRESS(INDEX($Y$2:$Y$1001,MATCH(ROWS($W$2:W403),$W$2:$W$1001,0),0), INDEX($AD$1004:$AU$1004,1,MATCH(COLUMNS($AD$1006:AT1006),$AD$1006:$AU$1006,0)))),"Fix")))</f>
        <v xml:space="preserve"> </v>
      </c>
      <c r="S403" s="4" t="str">
        <f ca="1">IF(OR(INDEX($X$2:$X$1001,MATCH(ROWS($W$2:W403),$W$2:$W$1001,0),1)&gt;=100000,INDEX($AD$1005:$AU$1005,1,MATCH(COLUMNS($AD$1006:AU1006),$AD$1006:$AU$1006,0))&gt;=100000), " ",IF(INDEX($AD$2:$AU$1001,MATCH(ROWS($W$2:W403),$W$2:$W$1001,0),MATCH(COLUMNS($AD$1006:AU1006),$AD$1006:$AU$1006,0)), HYPERLINK("#",""), HYPERLINK(CONCATENATE("#metadata!", ADDRESS(INDEX($Y$2:$Y$1001,MATCH(ROWS($W$2:W403),$W$2:$W$1001,0),0), INDEX($AD$1004:$AU$1004,1,MATCH(COLUMNS($AD$1006:AU1006),$AD$1006:$AU$1006,0)))),"Fix")))</f>
        <v xml:space="preserve"> </v>
      </c>
      <c r="W403">
        <v>402</v>
      </c>
      <c r="X403">
        <v>100403</v>
      </c>
      <c r="Y403">
        <v>403</v>
      </c>
      <c r="Z403" t="b">
        <f t="shared" si="6"/>
        <v>1</v>
      </c>
      <c r="AA403" t="b">
        <f>COUNTBLANK(metadata!B403:S403)=COLUMNS(metadata!B403:S403)</f>
        <v>1</v>
      </c>
      <c r="AB403" t="str">
        <v/>
      </c>
      <c r="AD403" t="b">
        <f ca="1">AND(IF(metadata!B403="",FALSE,TRUE),COUNTIF(metadata!B:B, metadata!B403) = 1,NOT(ISERROR(SUMPRODUCT(SEARCH(MID(metadata!B403,ROW(INDIRECT("1:"&amp;LEN(metadata!B403))), 1),"0123456789abcdefghijklmnopqrstuvwxyzABCDEFGHIJKLMNOPQRSTUVWXYZ.")))))</f>
        <v>0</v>
      </c>
      <c r="AE403" t="b">
        <f>OR(AND(IF(metadata!C403="",FALSE,TRUE),OR(EXACT(metadata!C403,"not applicable"),EXACT(metadata!C403,"missing: not collected"),EXACT(metadata!C403,"missing: not provided"),EXACT(metadata!C403,"missing: restricted access"))),AND(IF(metadata!C403="",FALSE,ISNUMBER(VALUE(metadata!C403))),metadata!C403&gt;0))</f>
        <v>0</v>
      </c>
      <c r="AF403" t="b">
        <f>AND(IF(metadata!D403="",FALSE,TRUE),EXACT(metadata!D403,"missing: not provided"))</f>
        <v>0</v>
      </c>
      <c r="AG403" t="b">
        <f>AND(IF(metadata!E403="",FALSE,TRUE),EXACT(metadata!E403,"Host-associated"))</f>
        <v>0</v>
      </c>
      <c r="AH403" t="b">
        <f>AND(IF(metadata!F403="",FALSE,TRUE),OR(EXACT(metadata!F403,"Animal"),EXACT(metadata!F403,"Fungus"),EXACT(metadata!F403,"Plant")))</f>
        <v>0</v>
      </c>
      <c r="AI403" t="b">
        <f>AND(IF(metadata!G403="",FALSE,TRUE),OR(EXACT(metadata!G403,"Plant secretion"),EXACT(metadata!G403,"Plant rhizosphere"),EXACT(metadata!G403,"Plant surface"),EXACT(metadata!G403,"Plant corpus"),EXACT(metadata!G403,"Fungus surface"),EXACT(metadata!G403,"Fungus corpus"),EXACT(metadata!G403,"Animal surface"),EXACT(metadata!G403,"Animal proximal gut"),EXACT(metadata!G403,"Animal corpus"),EXACT(metadata!G403,"Animal distal gut"),EXACT(metadata!G403,"Animal secretion")))</f>
        <v>0</v>
      </c>
      <c r="AJ403" t="b">
        <f>OR(AND(IF(metadata!H403="",FALSE,TRUE),OR(EXACT(metadata!H403,"missing: not collected"),EXACT(metadata!H403,"missing: not provided"),EXACT(metadata!H403,"missing: restricted access"))),AND(IF(metadata!H403="",FALSE,TRUE),OR(EXACT(metadata!H403,"organism-associated habitat"),EXACT(metadata!H403,"plant-associated habitat"),EXACT(metadata!H403,"animal-associated habitat"),EXACT(metadata!H403,"insecta-associated habitat"),EXACT(metadata!H403,"mammalia-associated habitat"),EXACT(metadata!H403,"human-associated habitat"),EXACT(metadata!H403,"livestock-associated habitat"))))</f>
        <v>0</v>
      </c>
      <c r="AK403" t="b">
        <f>AND(IF(metadata!I403="",FALSE,TRUE),EXACT(metadata!I403,"host-associated"))</f>
        <v>0</v>
      </c>
      <c r="AL403" t="b">
        <f>OR(AND(IF(metadata!J403="",FALSE,TRUE),OR(EXACT(metadata!J403,"not applicable"),EXACT(metadata!J403,"missing: not collected"),EXACT(metadata!J403,"missing: not provided"),EXACT(metadata!J403,"missing: restricted access"))),AND(IF(metadata!J403="",FALSE,ISNUMBER(VALUE(metadata!J403))),metadata!J403&gt;0))</f>
        <v>0</v>
      </c>
      <c r="AM403" t="b">
        <f>AND(IF(metadata!K403="",FALSE,TRUE),EXACT(metadata!K403,"missing: not provided"))</f>
        <v>0</v>
      </c>
      <c r="AN403" t="b">
        <f>IF(metadata!L403="",FALSE,TRUE)</f>
        <v>0</v>
      </c>
      <c r="AO403" t="b">
        <f>IF(metadata!M403="",FALSE,TRUE)</f>
        <v>0</v>
      </c>
      <c r="AP403" t="b">
        <f>OR(AND(IF(metadata!N403="",FALSE,TRUE),OR(EXACT(metadata!N403,"not applicable"),EXACT(metadata!N403,"missing: not collected"),EXACT(metadata!N403,"missing: not provided"))),AND(IF(metadata!N403="",FALSE,IF(ISERROR(INT(metadata!N403)),FALSE,INT(metadata!N403)=metadata!N403)),metadata!N403&gt;0))</f>
        <v>0</v>
      </c>
      <c r="AQ403" t="b">
        <f>AND(IF(metadata!O403="",FALSE,TRUE),EXACT(metadata!O403,"Not applicable"))</f>
        <v>0</v>
      </c>
      <c r="AR403" t="b">
        <f>OR(AND(IF(metadata!P403="",FALSE,TRUE),OR(EXACT(metadata!P403,"not applicable"),EXACT(metadata!P403,"missing: not collected"),EXACT(metadata!P403,"missing: not provided"),EXACT(metadata!P403,"missing: restricted access"))),IF(metadata!P403="",FALSE,IF(ISERROR(INT(metadata!P403)),FALSE,INT(metadata!P403)=metadata!P403)))</f>
        <v>0</v>
      </c>
      <c r="AS403" t="b">
        <f>AND(IF(metadata!Q403="",FALSE,TRUE),EXACT(metadata!Q403,"Not applicable"))</f>
        <v>0</v>
      </c>
      <c r="AT403" t="b">
        <f>OR(AND(IF(metadata!R403="",FALSE,TRUE),OR(EXACT(metadata!R403,"not applicable"),EXACT(metadata!R403,"missing: not collected"),EXACT(metadata!R403,"missing: not provided"),EXACT(metadata!R403,"missing: restricted access"))),AND(IF(metadata!R403="",FALSE,ISNUMBER(VALUE(metadata!R403))),metadata!R403&gt;0))</f>
        <v>0</v>
      </c>
      <c r="AU403" t="b">
        <f>AND(IF(metadata!S403="",FALSE,TRUE),EXACT(metadata!S403,"missing: not provided"))</f>
        <v>0</v>
      </c>
    </row>
    <row r="404" spans="1:47" x14ac:dyDescent="0.2">
      <c r="A404" s="5" t="str">
        <f ca="1">IF(B404=" "," ",HYPERLINK(CONCATENATE("#metadata!",ADDRESS(INDEX($Y$2:$Y$1001,MATCH(ROWS($W$2:W404),$W$2:$W$1001,0),0),1)),INDEX($AB$2:$AB$1001,MATCH(ROWS($W$2:W404),$W$2:$W$1001,0),0)))</f>
        <v xml:space="preserve"> </v>
      </c>
      <c r="B404" s="4" t="str">
        <f ca="1">IF(OR(INDEX($X$2:$X$1001,MATCH(ROWS($W$2:W404),$W$2:$W$1001,0),1)&gt;=100000,INDEX($AD$1005:$AU$1005,1,MATCH(COLUMNS($AD$1006:AD1006),$AD$1006:$AU$1006,0))&gt;=100000), " ",IF(INDEX($AD$2:$AU$1001,MATCH(ROWS($W$2:W404),$W$2:$W$1001,0),MATCH(COLUMNS($AD$1006:AD1006),$AD$1006:$AU$1006,0)), HYPERLINK("#",""), HYPERLINK(CONCATENATE("#metadata!", ADDRESS(INDEX($Y$2:$Y$1001,MATCH(ROWS($W$2:W404),$W$2:$W$1001,0),0), INDEX($AD$1004:$AU$1004,1,MATCH(COLUMNS($AD$1006:AD1006),$AD$1006:$AU$1006,0)))),"Fix")))</f>
        <v xml:space="preserve"> </v>
      </c>
      <c r="C404" s="4" t="str">
        <f ca="1">IF(OR(INDEX($X$2:$X$1001,MATCH(ROWS($W$2:W404),$W$2:$W$1001,0),1)&gt;=100000,INDEX($AD$1005:$AU$1005,1,MATCH(COLUMNS($AD$1006:AE1006),$AD$1006:$AU$1006,0))&gt;=100000), " ",IF(INDEX($AD$2:$AU$1001,MATCH(ROWS($W$2:W404),$W$2:$W$1001,0),MATCH(COLUMNS($AD$1006:AE1006),$AD$1006:$AU$1006,0)), HYPERLINK("#",""), HYPERLINK(CONCATENATE("#metadata!", ADDRESS(INDEX($Y$2:$Y$1001,MATCH(ROWS($W$2:W404),$W$2:$W$1001,0),0), INDEX($AD$1004:$AU$1004,1,MATCH(COLUMNS($AD$1006:AE1006),$AD$1006:$AU$1006,0)))),"Fix")))</f>
        <v xml:space="preserve"> </v>
      </c>
      <c r="D404" s="4" t="str">
        <f ca="1">IF(OR(INDEX($X$2:$X$1001,MATCH(ROWS($W$2:W404),$W$2:$W$1001,0),1)&gt;=100000,INDEX($AD$1005:$AU$1005,1,MATCH(COLUMNS($AD$1006:AF1006),$AD$1006:$AU$1006,0))&gt;=100000), " ",IF(INDEX($AD$2:$AU$1001,MATCH(ROWS($W$2:W404),$W$2:$W$1001,0),MATCH(COLUMNS($AD$1006:AF1006),$AD$1006:$AU$1006,0)), HYPERLINK("#",""), HYPERLINK(CONCATENATE("#metadata!", ADDRESS(INDEX($Y$2:$Y$1001,MATCH(ROWS($W$2:W404),$W$2:$W$1001,0),0), INDEX($AD$1004:$AU$1004,1,MATCH(COLUMNS($AD$1006:AF1006),$AD$1006:$AU$1006,0)))),"Fix")))</f>
        <v xml:space="preserve"> </v>
      </c>
      <c r="E404" s="4" t="str">
        <f ca="1">IF(OR(INDEX($X$2:$X$1001,MATCH(ROWS($W$2:W404),$W$2:$W$1001,0),1)&gt;=100000,INDEX($AD$1005:$AU$1005,1,MATCH(COLUMNS($AD$1006:AG1006),$AD$1006:$AU$1006,0))&gt;=100000), " ",IF(INDEX($AD$2:$AU$1001,MATCH(ROWS($W$2:W404),$W$2:$W$1001,0),MATCH(COLUMNS($AD$1006:AG1006),$AD$1006:$AU$1006,0)), HYPERLINK("#",""), HYPERLINK(CONCATENATE("#metadata!", ADDRESS(INDEX($Y$2:$Y$1001,MATCH(ROWS($W$2:W404),$W$2:$W$1001,0),0), INDEX($AD$1004:$AU$1004,1,MATCH(COLUMNS($AD$1006:AG1006),$AD$1006:$AU$1006,0)))),"Fix")))</f>
        <v xml:space="preserve"> </v>
      </c>
      <c r="F404" s="4" t="str">
        <f ca="1">IF(OR(INDEX($X$2:$X$1001,MATCH(ROWS($W$2:W404),$W$2:$W$1001,0),1)&gt;=100000,INDEX($AD$1005:$AU$1005,1,MATCH(COLUMNS($AD$1006:AH1006),$AD$1006:$AU$1006,0))&gt;=100000), " ",IF(INDEX($AD$2:$AU$1001,MATCH(ROWS($W$2:W404),$W$2:$W$1001,0),MATCH(COLUMNS($AD$1006:AH1006),$AD$1006:$AU$1006,0)), HYPERLINK("#",""), HYPERLINK(CONCATENATE("#metadata!", ADDRESS(INDEX($Y$2:$Y$1001,MATCH(ROWS($W$2:W404),$W$2:$W$1001,0),0), INDEX($AD$1004:$AU$1004,1,MATCH(COLUMNS($AD$1006:AH1006),$AD$1006:$AU$1006,0)))),"Fix")))</f>
        <v xml:space="preserve"> </v>
      </c>
      <c r="G404" s="4" t="str">
        <f ca="1">IF(OR(INDEX($X$2:$X$1001,MATCH(ROWS($W$2:W404),$W$2:$W$1001,0),1)&gt;=100000,INDEX($AD$1005:$AU$1005,1,MATCH(COLUMNS($AD$1006:AI1006),$AD$1006:$AU$1006,0))&gt;=100000), " ",IF(INDEX($AD$2:$AU$1001,MATCH(ROWS($W$2:W404),$W$2:$W$1001,0),MATCH(COLUMNS($AD$1006:AI1006),$AD$1006:$AU$1006,0)), HYPERLINK("#",""), HYPERLINK(CONCATENATE("#metadata!", ADDRESS(INDEX($Y$2:$Y$1001,MATCH(ROWS($W$2:W404),$W$2:$W$1001,0),0), INDEX($AD$1004:$AU$1004,1,MATCH(COLUMNS($AD$1006:AI1006),$AD$1006:$AU$1006,0)))),"Fix")))</f>
        <v xml:space="preserve"> </v>
      </c>
      <c r="H404" s="4" t="str">
        <f ca="1">IF(OR(INDEX($X$2:$X$1001,MATCH(ROWS($W$2:W404),$W$2:$W$1001,0),1)&gt;=100000,INDEX($AD$1005:$AU$1005,1,MATCH(COLUMNS($AD$1006:AJ1006),$AD$1006:$AU$1006,0))&gt;=100000), " ",IF(INDEX($AD$2:$AU$1001,MATCH(ROWS($W$2:W404),$W$2:$W$1001,0),MATCH(COLUMNS($AD$1006:AJ1006),$AD$1006:$AU$1006,0)), HYPERLINK("#",""), HYPERLINK(CONCATENATE("#metadata!", ADDRESS(INDEX($Y$2:$Y$1001,MATCH(ROWS($W$2:W404),$W$2:$W$1001,0),0), INDEX($AD$1004:$AU$1004,1,MATCH(COLUMNS($AD$1006:AJ1006),$AD$1006:$AU$1006,0)))),"Fix")))</f>
        <v xml:space="preserve"> </v>
      </c>
      <c r="I404" s="4" t="str">
        <f ca="1">IF(OR(INDEX($X$2:$X$1001,MATCH(ROWS($W$2:W404),$W$2:$W$1001,0),1)&gt;=100000,INDEX($AD$1005:$AU$1005,1,MATCH(COLUMNS($AD$1006:AK1006),$AD$1006:$AU$1006,0))&gt;=100000), " ",IF(INDEX($AD$2:$AU$1001,MATCH(ROWS($W$2:W404),$W$2:$W$1001,0),MATCH(COLUMNS($AD$1006:AK1006),$AD$1006:$AU$1006,0)), HYPERLINK("#",""), HYPERLINK(CONCATENATE("#metadata!", ADDRESS(INDEX($Y$2:$Y$1001,MATCH(ROWS($W$2:W404),$W$2:$W$1001,0),0), INDEX($AD$1004:$AU$1004,1,MATCH(COLUMNS($AD$1006:AK1006),$AD$1006:$AU$1006,0)))),"Fix")))</f>
        <v xml:space="preserve"> </v>
      </c>
      <c r="J404" s="4" t="str">
        <f ca="1">IF(OR(INDEX($X$2:$X$1001,MATCH(ROWS($W$2:W404),$W$2:$W$1001,0),1)&gt;=100000,INDEX($AD$1005:$AU$1005,1,MATCH(COLUMNS($AD$1006:AL1006),$AD$1006:$AU$1006,0))&gt;=100000), " ",IF(INDEX($AD$2:$AU$1001,MATCH(ROWS($W$2:W404),$W$2:$W$1001,0),MATCH(COLUMNS($AD$1006:AL1006),$AD$1006:$AU$1006,0)), HYPERLINK("#",""), HYPERLINK(CONCATENATE("#metadata!", ADDRESS(INDEX($Y$2:$Y$1001,MATCH(ROWS($W$2:W404),$W$2:$W$1001,0),0), INDEX($AD$1004:$AU$1004,1,MATCH(COLUMNS($AD$1006:AL1006),$AD$1006:$AU$1006,0)))),"Fix")))</f>
        <v xml:space="preserve"> </v>
      </c>
      <c r="K404" s="4" t="str">
        <f ca="1">IF(OR(INDEX($X$2:$X$1001,MATCH(ROWS($W$2:W404),$W$2:$W$1001,0),1)&gt;=100000,INDEX($AD$1005:$AU$1005,1,MATCH(COLUMNS($AD$1006:AM1006),$AD$1006:$AU$1006,0))&gt;=100000), " ",IF(INDEX($AD$2:$AU$1001,MATCH(ROWS($W$2:W404),$W$2:$W$1001,0),MATCH(COLUMNS($AD$1006:AM1006),$AD$1006:$AU$1006,0)), HYPERLINK("#",""), HYPERLINK(CONCATENATE("#metadata!", ADDRESS(INDEX($Y$2:$Y$1001,MATCH(ROWS($W$2:W404),$W$2:$W$1001,0),0), INDEX($AD$1004:$AU$1004,1,MATCH(COLUMNS($AD$1006:AM1006),$AD$1006:$AU$1006,0)))),"Fix")))</f>
        <v xml:space="preserve"> </v>
      </c>
      <c r="L404" s="4" t="str">
        <f ca="1">IF(OR(INDEX($X$2:$X$1001,MATCH(ROWS($W$2:W404),$W$2:$W$1001,0),1)&gt;=100000,INDEX($AD$1005:$AU$1005,1,MATCH(COLUMNS($AD$1006:AN1006),$AD$1006:$AU$1006,0))&gt;=100000), " ",IF(INDEX($AD$2:$AU$1001,MATCH(ROWS($W$2:W404),$W$2:$W$1001,0),MATCH(COLUMNS($AD$1006:AN1006),$AD$1006:$AU$1006,0)), HYPERLINK("#",""), HYPERLINK(CONCATENATE("#metadata!", ADDRESS(INDEX($Y$2:$Y$1001,MATCH(ROWS($W$2:W404),$W$2:$W$1001,0),0), INDEX($AD$1004:$AU$1004,1,MATCH(COLUMNS($AD$1006:AN1006),$AD$1006:$AU$1006,0)))),"Fix")))</f>
        <v xml:space="preserve"> </v>
      </c>
      <c r="M404" s="4" t="str">
        <f ca="1">IF(OR(INDEX($X$2:$X$1001,MATCH(ROWS($W$2:W404),$W$2:$W$1001,0),1)&gt;=100000,INDEX($AD$1005:$AU$1005,1,MATCH(COLUMNS($AD$1006:AO1006),$AD$1006:$AU$1006,0))&gt;=100000), " ",IF(INDEX($AD$2:$AU$1001,MATCH(ROWS($W$2:W404),$W$2:$W$1001,0),MATCH(COLUMNS($AD$1006:AO1006),$AD$1006:$AU$1006,0)), HYPERLINK("#",""), HYPERLINK(CONCATENATE("#metadata!", ADDRESS(INDEX($Y$2:$Y$1001,MATCH(ROWS($W$2:W404),$W$2:$W$1001,0),0), INDEX($AD$1004:$AU$1004,1,MATCH(COLUMNS($AD$1006:AO1006),$AD$1006:$AU$1006,0)))),"Fix")))</f>
        <v xml:space="preserve"> </v>
      </c>
      <c r="N404" s="4" t="str">
        <f ca="1">IF(OR(INDEX($X$2:$X$1001,MATCH(ROWS($W$2:W404),$W$2:$W$1001,0),1)&gt;=100000,INDEX($AD$1005:$AU$1005,1,MATCH(COLUMNS($AD$1006:AP1006),$AD$1006:$AU$1006,0))&gt;=100000), " ",IF(INDEX($AD$2:$AU$1001,MATCH(ROWS($W$2:W404),$W$2:$W$1001,0),MATCH(COLUMNS($AD$1006:AP1006),$AD$1006:$AU$1006,0)), HYPERLINK("#",""), HYPERLINK(CONCATENATE("#metadata!", ADDRESS(INDEX($Y$2:$Y$1001,MATCH(ROWS($W$2:W404),$W$2:$W$1001,0),0), INDEX($AD$1004:$AU$1004,1,MATCH(COLUMNS($AD$1006:AP1006),$AD$1006:$AU$1006,0)))),"Fix")))</f>
        <v xml:space="preserve"> </v>
      </c>
      <c r="O404" s="4" t="str">
        <f ca="1">IF(OR(INDEX($X$2:$X$1001,MATCH(ROWS($W$2:W404),$W$2:$W$1001,0),1)&gt;=100000,INDEX($AD$1005:$AU$1005,1,MATCH(COLUMNS($AD$1006:AQ1006),$AD$1006:$AU$1006,0))&gt;=100000), " ",IF(INDEX($AD$2:$AU$1001,MATCH(ROWS($W$2:W404),$W$2:$W$1001,0),MATCH(COLUMNS($AD$1006:AQ1006),$AD$1006:$AU$1006,0)), HYPERLINK("#",""), HYPERLINK(CONCATENATE("#metadata!", ADDRESS(INDEX($Y$2:$Y$1001,MATCH(ROWS($W$2:W404),$W$2:$W$1001,0),0), INDEX($AD$1004:$AU$1004,1,MATCH(COLUMNS($AD$1006:AQ1006),$AD$1006:$AU$1006,0)))),"Fix")))</f>
        <v xml:space="preserve"> </v>
      </c>
      <c r="P404" s="4" t="str">
        <f ca="1">IF(OR(INDEX($X$2:$X$1001,MATCH(ROWS($W$2:W404),$W$2:$W$1001,0),1)&gt;=100000,INDEX($AD$1005:$AU$1005,1,MATCH(COLUMNS($AD$1006:AR1006),$AD$1006:$AU$1006,0))&gt;=100000), " ",IF(INDEX($AD$2:$AU$1001,MATCH(ROWS($W$2:W404),$W$2:$W$1001,0),MATCH(COLUMNS($AD$1006:AR1006),$AD$1006:$AU$1006,0)), HYPERLINK("#",""), HYPERLINK(CONCATENATE("#metadata!", ADDRESS(INDEX($Y$2:$Y$1001,MATCH(ROWS($W$2:W404),$W$2:$W$1001,0),0), INDEX($AD$1004:$AU$1004,1,MATCH(COLUMNS($AD$1006:AR1006),$AD$1006:$AU$1006,0)))),"Fix")))</f>
        <v xml:space="preserve"> </v>
      </c>
      <c r="Q404" s="4" t="str">
        <f ca="1">IF(OR(INDEX($X$2:$X$1001,MATCH(ROWS($W$2:W404),$W$2:$W$1001,0),1)&gt;=100000,INDEX($AD$1005:$AU$1005,1,MATCH(COLUMNS($AD$1006:AS1006),$AD$1006:$AU$1006,0))&gt;=100000), " ",IF(INDEX($AD$2:$AU$1001,MATCH(ROWS($W$2:W404),$W$2:$W$1001,0),MATCH(COLUMNS($AD$1006:AS1006),$AD$1006:$AU$1006,0)), HYPERLINK("#",""), HYPERLINK(CONCATENATE("#metadata!", ADDRESS(INDEX($Y$2:$Y$1001,MATCH(ROWS($W$2:W404),$W$2:$W$1001,0),0), INDEX($AD$1004:$AU$1004,1,MATCH(COLUMNS($AD$1006:AS1006),$AD$1006:$AU$1006,0)))),"Fix")))</f>
        <v xml:space="preserve"> </v>
      </c>
      <c r="R404" s="4" t="str">
        <f ca="1">IF(OR(INDEX($X$2:$X$1001,MATCH(ROWS($W$2:W404),$W$2:$W$1001,0),1)&gt;=100000,INDEX($AD$1005:$AU$1005,1,MATCH(COLUMNS($AD$1006:AT1006),$AD$1006:$AU$1006,0))&gt;=100000), " ",IF(INDEX($AD$2:$AU$1001,MATCH(ROWS($W$2:W404),$W$2:$W$1001,0),MATCH(COLUMNS($AD$1006:AT1006),$AD$1006:$AU$1006,0)), HYPERLINK("#",""), HYPERLINK(CONCATENATE("#metadata!", ADDRESS(INDEX($Y$2:$Y$1001,MATCH(ROWS($W$2:W404),$W$2:$W$1001,0),0), INDEX($AD$1004:$AU$1004,1,MATCH(COLUMNS($AD$1006:AT1006),$AD$1006:$AU$1006,0)))),"Fix")))</f>
        <v xml:space="preserve"> </v>
      </c>
      <c r="S404" s="4" t="str">
        <f ca="1">IF(OR(INDEX($X$2:$X$1001,MATCH(ROWS($W$2:W404),$W$2:$W$1001,0),1)&gt;=100000,INDEX($AD$1005:$AU$1005,1,MATCH(COLUMNS($AD$1006:AU1006),$AD$1006:$AU$1006,0))&gt;=100000), " ",IF(INDEX($AD$2:$AU$1001,MATCH(ROWS($W$2:W404),$W$2:$W$1001,0),MATCH(COLUMNS($AD$1006:AU1006),$AD$1006:$AU$1006,0)), HYPERLINK("#",""), HYPERLINK(CONCATENATE("#metadata!", ADDRESS(INDEX($Y$2:$Y$1001,MATCH(ROWS($W$2:W404),$W$2:$W$1001,0),0), INDEX($AD$1004:$AU$1004,1,MATCH(COLUMNS($AD$1006:AU1006),$AD$1006:$AU$1006,0)))),"Fix")))</f>
        <v xml:space="preserve"> </v>
      </c>
      <c r="W404">
        <v>403</v>
      </c>
      <c r="X404">
        <v>100404</v>
      </c>
      <c r="Y404">
        <v>404</v>
      </c>
      <c r="Z404" t="b">
        <f t="shared" si="6"/>
        <v>1</v>
      </c>
      <c r="AA404" t="b">
        <f>COUNTBLANK(metadata!B404:S404)=COLUMNS(metadata!B404:S404)</f>
        <v>1</v>
      </c>
      <c r="AB404" t="str">
        <v/>
      </c>
      <c r="AD404" t="b">
        <f ca="1">AND(IF(metadata!B404="",FALSE,TRUE),COUNTIF(metadata!B:B, metadata!B404) = 1,NOT(ISERROR(SUMPRODUCT(SEARCH(MID(metadata!B404,ROW(INDIRECT("1:"&amp;LEN(metadata!B404))), 1),"0123456789abcdefghijklmnopqrstuvwxyzABCDEFGHIJKLMNOPQRSTUVWXYZ.")))))</f>
        <v>0</v>
      </c>
      <c r="AE404" t="b">
        <f>OR(AND(IF(metadata!C404="",FALSE,TRUE),OR(EXACT(metadata!C404,"not applicable"),EXACT(metadata!C404,"missing: not collected"),EXACT(metadata!C404,"missing: not provided"),EXACT(metadata!C404,"missing: restricted access"))),AND(IF(metadata!C404="",FALSE,ISNUMBER(VALUE(metadata!C404))),metadata!C404&gt;0))</f>
        <v>0</v>
      </c>
      <c r="AF404" t="b">
        <f>AND(IF(metadata!D404="",FALSE,TRUE),EXACT(metadata!D404,"missing: not provided"))</f>
        <v>0</v>
      </c>
      <c r="AG404" t="b">
        <f>AND(IF(metadata!E404="",FALSE,TRUE),EXACT(metadata!E404,"Host-associated"))</f>
        <v>0</v>
      </c>
      <c r="AH404" t="b">
        <f>AND(IF(metadata!F404="",FALSE,TRUE),OR(EXACT(metadata!F404,"Animal"),EXACT(metadata!F404,"Fungus"),EXACT(metadata!F404,"Plant")))</f>
        <v>0</v>
      </c>
      <c r="AI404" t="b">
        <f>AND(IF(metadata!G404="",FALSE,TRUE),OR(EXACT(metadata!G404,"Plant secretion"),EXACT(metadata!G404,"Plant rhizosphere"),EXACT(metadata!G404,"Plant surface"),EXACT(metadata!G404,"Plant corpus"),EXACT(metadata!G404,"Fungus surface"),EXACT(metadata!G404,"Fungus corpus"),EXACT(metadata!G404,"Animal surface"),EXACT(metadata!G404,"Animal proximal gut"),EXACT(metadata!G404,"Animal corpus"),EXACT(metadata!G404,"Animal distal gut"),EXACT(metadata!G404,"Animal secretion")))</f>
        <v>0</v>
      </c>
      <c r="AJ404" t="b">
        <f>OR(AND(IF(metadata!H404="",FALSE,TRUE),OR(EXACT(metadata!H404,"missing: not collected"),EXACT(metadata!H404,"missing: not provided"),EXACT(metadata!H404,"missing: restricted access"))),AND(IF(metadata!H404="",FALSE,TRUE),OR(EXACT(metadata!H404,"organism-associated habitat"),EXACT(metadata!H404,"plant-associated habitat"),EXACT(metadata!H404,"animal-associated habitat"),EXACT(metadata!H404,"insecta-associated habitat"),EXACT(metadata!H404,"mammalia-associated habitat"),EXACT(metadata!H404,"human-associated habitat"),EXACT(metadata!H404,"livestock-associated habitat"))))</f>
        <v>0</v>
      </c>
      <c r="AK404" t="b">
        <f>AND(IF(metadata!I404="",FALSE,TRUE),EXACT(metadata!I404,"host-associated"))</f>
        <v>0</v>
      </c>
      <c r="AL404" t="b">
        <f>OR(AND(IF(metadata!J404="",FALSE,TRUE),OR(EXACT(metadata!J404,"not applicable"),EXACT(metadata!J404,"missing: not collected"),EXACT(metadata!J404,"missing: not provided"),EXACT(metadata!J404,"missing: restricted access"))),AND(IF(metadata!J404="",FALSE,ISNUMBER(VALUE(metadata!J404))),metadata!J404&gt;0))</f>
        <v>0</v>
      </c>
      <c r="AM404" t="b">
        <f>AND(IF(metadata!K404="",FALSE,TRUE),EXACT(metadata!K404,"missing: not provided"))</f>
        <v>0</v>
      </c>
      <c r="AN404" t="b">
        <f>IF(metadata!L404="",FALSE,TRUE)</f>
        <v>0</v>
      </c>
      <c r="AO404" t="b">
        <f>IF(metadata!M404="",FALSE,TRUE)</f>
        <v>0</v>
      </c>
      <c r="AP404" t="b">
        <f>OR(AND(IF(metadata!N404="",FALSE,TRUE),OR(EXACT(metadata!N404,"not applicable"),EXACT(metadata!N404,"missing: not collected"),EXACT(metadata!N404,"missing: not provided"))),AND(IF(metadata!N404="",FALSE,IF(ISERROR(INT(metadata!N404)),FALSE,INT(metadata!N404)=metadata!N404)),metadata!N404&gt;0))</f>
        <v>0</v>
      </c>
      <c r="AQ404" t="b">
        <f>AND(IF(metadata!O404="",FALSE,TRUE),EXACT(metadata!O404,"Not applicable"))</f>
        <v>0</v>
      </c>
      <c r="AR404" t="b">
        <f>OR(AND(IF(metadata!P404="",FALSE,TRUE),OR(EXACT(metadata!P404,"not applicable"),EXACT(metadata!P404,"missing: not collected"),EXACT(metadata!P404,"missing: not provided"),EXACT(metadata!P404,"missing: restricted access"))),IF(metadata!P404="",FALSE,IF(ISERROR(INT(metadata!P404)),FALSE,INT(metadata!P404)=metadata!P404)))</f>
        <v>0</v>
      </c>
      <c r="AS404" t="b">
        <f>AND(IF(metadata!Q404="",FALSE,TRUE),EXACT(metadata!Q404,"Not applicable"))</f>
        <v>0</v>
      </c>
      <c r="AT404" t="b">
        <f>OR(AND(IF(metadata!R404="",FALSE,TRUE),OR(EXACT(metadata!R404,"not applicable"),EXACT(metadata!R404,"missing: not collected"),EXACT(metadata!R404,"missing: not provided"),EXACT(metadata!R404,"missing: restricted access"))),AND(IF(metadata!R404="",FALSE,ISNUMBER(VALUE(metadata!R404))),metadata!R404&gt;0))</f>
        <v>0</v>
      </c>
      <c r="AU404" t="b">
        <f>AND(IF(metadata!S404="",FALSE,TRUE),EXACT(metadata!S404,"missing: not provided"))</f>
        <v>0</v>
      </c>
    </row>
    <row r="405" spans="1:47" x14ac:dyDescent="0.2">
      <c r="A405" s="5" t="str">
        <f ca="1">IF(B405=" "," ",HYPERLINK(CONCATENATE("#metadata!",ADDRESS(INDEX($Y$2:$Y$1001,MATCH(ROWS($W$2:W405),$W$2:$W$1001,0),0),1)),INDEX($AB$2:$AB$1001,MATCH(ROWS($W$2:W405),$W$2:$W$1001,0),0)))</f>
        <v xml:space="preserve"> </v>
      </c>
      <c r="B405" s="4" t="str">
        <f ca="1">IF(OR(INDEX($X$2:$X$1001,MATCH(ROWS($W$2:W405),$W$2:$W$1001,0),1)&gt;=100000,INDEX($AD$1005:$AU$1005,1,MATCH(COLUMNS($AD$1006:AD1006),$AD$1006:$AU$1006,0))&gt;=100000), " ",IF(INDEX($AD$2:$AU$1001,MATCH(ROWS($W$2:W405),$W$2:$W$1001,0),MATCH(COLUMNS($AD$1006:AD1006),$AD$1006:$AU$1006,0)), HYPERLINK("#",""), HYPERLINK(CONCATENATE("#metadata!", ADDRESS(INDEX($Y$2:$Y$1001,MATCH(ROWS($W$2:W405),$W$2:$W$1001,0),0), INDEX($AD$1004:$AU$1004,1,MATCH(COLUMNS($AD$1006:AD1006),$AD$1006:$AU$1006,0)))),"Fix")))</f>
        <v xml:space="preserve"> </v>
      </c>
      <c r="C405" s="4" t="str">
        <f ca="1">IF(OR(INDEX($X$2:$X$1001,MATCH(ROWS($W$2:W405),$W$2:$W$1001,0),1)&gt;=100000,INDEX($AD$1005:$AU$1005,1,MATCH(COLUMNS($AD$1006:AE1006),$AD$1006:$AU$1006,0))&gt;=100000), " ",IF(INDEX($AD$2:$AU$1001,MATCH(ROWS($W$2:W405),$W$2:$W$1001,0),MATCH(COLUMNS($AD$1006:AE1006),$AD$1006:$AU$1006,0)), HYPERLINK("#",""), HYPERLINK(CONCATENATE("#metadata!", ADDRESS(INDEX($Y$2:$Y$1001,MATCH(ROWS($W$2:W405),$W$2:$W$1001,0),0), INDEX($AD$1004:$AU$1004,1,MATCH(COLUMNS($AD$1006:AE1006),$AD$1006:$AU$1006,0)))),"Fix")))</f>
        <v xml:space="preserve"> </v>
      </c>
      <c r="D405" s="4" t="str">
        <f ca="1">IF(OR(INDEX($X$2:$X$1001,MATCH(ROWS($W$2:W405),$W$2:$W$1001,0),1)&gt;=100000,INDEX($AD$1005:$AU$1005,1,MATCH(COLUMNS($AD$1006:AF1006),$AD$1006:$AU$1006,0))&gt;=100000), " ",IF(INDEX($AD$2:$AU$1001,MATCH(ROWS($W$2:W405),$W$2:$W$1001,0),MATCH(COLUMNS($AD$1006:AF1006),$AD$1006:$AU$1006,0)), HYPERLINK("#",""), HYPERLINK(CONCATENATE("#metadata!", ADDRESS(INDEX($Y$2:$Y$1001,MATCH(ROWS($W$2:W405),$W$2:$W$1001,0),0), INDEX($AD$1004:$AU$1004,1,MATCH(COLUMNS($AD$1006:AF1006),$AD$1006:$AU$1006,0)))),"Fix")))</f>
        <v xml:space="preserve"> </v>
      </c>
      <c r="E405" s="4" t="str">
        <f ca="1">IF(OR(INDEX($X$2:$X$1001,MATCH(ROWS($W$2:W405),$W$2:$W$1001,0),1)&gt;=100000,INDEX($AD$1005:$AU$1005,1,MATCH(COLUMNS($AD$1006:AG1006),$AD$1006:$AU$1006,0))&gt;=100000), " ",IF(INDEX($AD$2:$AU$1001,MATCH(ROWS($W$2:W405),$W$2:$W$1001,0),MATCH(COLUMNS($AD$1006:AG1006),$AD$1006:$AU$1006,0)), HYPERLINK("#",""), HYPERLINK(CONCATENATE("#metadata!", ADDRESS(INDEX($Y$2:$Y$1001,MATCH(ROWS($W$2:W405),$W$2:$W$1001,0),0), INDEX($AD$1004:$AU$1004,1,MATCH(COLUMNS($AD$1006:AG1006),$AD$1006:$AU$1006,0)))),"Fix")))</f>
        <v xml:space="preserve"> </v>
      </c>
      <c r="F405" s="4" t="str">
        <f ca="1">IF(OR(INDEX($X$2:$X$1001,MATCH(ROWS($W$2:W405),$W$2:$W$1001,0),1)&gt;=100000,INDEX($AD$1005:$AU$1005,1,MATCH(COLUMNS($AD$1006:AH1006),$AD$1006:$AU$1006,0))&gt;=100000), " ",IF(INDEX($AD$2:$AU$1001,MATCH(ROWS($W$2:W405),$W$2:$W$1001,0),MATCH(COLUMNS($AD$1006:AH1006),$AD$1006:$AU$1006,0)), HYPERLINK("#",""), HYPERLINK(CONCATENATE("#metadata!", ADDRESS(INDEX($Y$2:$Y$1001,MATCH(ROWS($W$2:W405),$W$2:$W$1001,0),0), INDEX($AD$1004:$AU$1004,1,MATCH(COLUMNS($AD$1006:AH1006),$AD$1006:$AU$1006,0)))),"Fix")))</f>
        <v xml:space="preserve"> </v>
      </c>
      <c r="G405" s="4" t="str">
        <f ca="1">IF(OR(INDEX($X$2:$X$1001,MATCH(ROWS($W$2:W405),$W$2:$W$1001,0),1)&gt;=100000,INDEX($AD$1005:$AU$1005,1,MATCH(COLUMNS($AD$1006:AI1006),$AD$1006:$AU$1006,0))&gt;=100000), " ",IF(INDEX($AD$2:$AU$1001,MATCH(ROWS($W$2:W405),$W$2:$W$1001,0),MATCH(COLUMNS($AD$1006:AI1006),$AD$1006:$AU$1006,0)), HYPERLINK("#",""), HYPERLINK(CONCATENATE("#metadata!", ADDRESS(INDEX($Y$2:$Y$1001,MATCH(ROWS($W$2:W405),$W$2:$W$1001,0),0), INDEX($AD$1004:$AU$1004,1,MATCH(COLUMNS($AD$1006:AI1006),$AD$1006:$AU$1006,0)))),"Fix")))</f>
        <v xml:space="preserve"> </v>
      </c>
      <c r="H405" s="4" t="str">
        <f ca="1">IF(OR(INDEX($X$2:$X$1001,MATCH(ROWS($W$2:W405),$W$2:$W$1001,0),1)&gt;=100000,INDEX($AD$1005:$AU$1005,1,MATCH(COLUMNS($AD$1006:AJ1006),$AD$1006:$AU$1006,0))&gt;=100000), " ",IF(INDEX($AD$2:$AU$1001,MATCH(ROWS($W$2:W405),$W$2:$W$1001,0),MATCH(COLUMNS($AD$1006:AJ1006),$AD$1006:$AU$1006,0)), HYPERLINK("#",""), HYPERLINK(CONCATENATE("#metadata!", ADDRESS(INDEX($Y$2:$Y$1001,MATCH(ROWS($W$2:W405),$W$2:$W$1001,0),0), INDEX($AD$1004:$AU$1004,1,MATCH(COLUMNS($AD$1006:AJ1006),$AD$1006:$AU$1006,0)))),"Fix")))</f>
        <v xml:space="preserve"> </v>
      </c>
      <c r="I405" s="4" t="str">
        <f ca="1">IF(OR(INDEX($X$2:$X$1001,MATCH(ROWS($W$2:W405),$W$2:$W$1001,0),1)&gt;=100000,INDEX($AD$1005:$AU$1005,1,MATCH(COLUMNS($AD$1006:AK1006),$AD$1006:$AU$1006,0))&gt;=100000), " ",IF(INDEX($AD$2:$AU$1001,MATCH(ROWS($W$2:W405),$W$2:$W$1001,0),MATCH(COLUMNS($AD$1006:AK1006),$AD$1006:$AU$1006,0)), HYPERLINK("#",""), HYPERLINK(CONCATENATE("#metadata!", ADDRESS(INDEX($Y$2:$Y$1001,MATCH(ROWS($W$2:W405),$W$2:$W$1001,0),0), INDEX($AD$1004:$AU$1004,1,MATCH(COLUMNS($AD$1006:AK1006),$AD$1006:$AU$1006,0)))),"Fix")))</f>
        <v xml:space="preserve"> </v>
      </c>
      <c r="J405" s="4" t="str">
        <f ca="1">IF(OR(INDEX($X$2:$X$1001,MATCH(ROWS($W$2:W405),$W$2:$W$1001,0),1)&gt;=100000,INDEX($AD$1005:$AU$1005,1,MATCH(COLUMNS($AD$1006:AL1006),$AD$1006:$AU$1006,0))&gt;=100000), " ",IF(INDEX($AD$2:$AU$1001,MATCH(ROWS($W$2:W405),$W$2:$W$1001,0),MATCH(COLUMNS($AD$1006:AL1006),$AD$1006:$AU$1006,0)), HYPERLINK("#",""), HYPERLINK(CONCATENATE("#metadata!", ADDRESS(INDEX($Y$2:$Y$1001,MATCH(ROWS($W$2:W405),$W$2:$W$1001,0),0), INDEX($AD$1004:$AU$1004,1,MATCH(COLUMNS($AD$1006:AL1006),$AD$1006:$AU$1006,0)))),"Fix")))</f>
        <v xml:space="preserve"> </v>
      </c>
      <c r="K405" s="4" t="str">
        <f ca="1">IF(OR(INDEX($X$2:$X$1001,MATCH(ROWS($W$2:W405),$W$2:$W$1001,0),1)&gt;=100000,INDEX($AD$1005:$AU$1005,1,MATCH(COLUMNS($AD$1006:AM1006),$AD$1006:$AU$1006,0))&gt;=100000), " ",IF(INDEX($AD$2:$AU$1001,MATCH(ROWS($W$2:W405),$W$2:$W$1001,0),MATCH(COLUMNS($AD$1006:AM1006),$AD$1006:$AU$1006,0)), HYPERLINK("#",""), HYPERLINK(CONCATENATE("#metadata!", ADDRESS(INDEX($Y$2:$Y$1001,MATCH(ROWS($W$2:W405),$W$2:$W$1001,0),0), INDEX($AD$1004:$AU$1004,1,MATCH(COLUMNS($AD$1006:AM1006),$AD$1006:$AU$1006,0)))),"Fix")))</f>
        <v xml:space="preserve"> </v>
      </c>
      <c r="L405" s="4" t="str">
        <f ca="1">IF(OR(INDEX($X$2:$X$1001,MATCH(ROWS($W$2:W405),$W$2:$W$1001,0),1)&gt;=100000,INDEX($AD$1005:$AU$1005,1,MATCH(COLUMNS($AD$1006:AN1006),$AD$1006:$AU$1006,0))&gt;=100000), " ",IF(INDEX($AD$2:$AU$1001,MATCH(ROWS($W$2:W405),$W$2:$W$1001,0),MATCH(COLUMNS($AD$1006:AN1006),$AD$1006:$AU$1006,0)), HYPERLINK("#",""), HYPERLINK(CONCATENATE("#metadata!", ADDRESS(INDEX($Y$2:$Y$1001,MATCH(ROWS($W$2:W405),$W$2:$W$1001,0),0), INDEX($AD$1004:$AU$1004,1,MATCH(COLUMNS($AD$1006:AN1006),$AD$1006:$AU$1006,0)))),"Fix")))</f>
        <v xml:space="preserve"> </v>
      </c>
      <c r="M405" s="4" t="str">
        <f ca="1">IF(OR(INDEX($X$2:$X$1001,MATCH(ROWS($W$2:W405),$W$2:$W$1001,0),1)&gt;=100000,INDEX($AD$1005:$AU$1005,1,MATCH(COLUMNS($AD$1006:AO1006),$AD$1006:$AU$1006,0))&gt;=100000), " ",IF(INDEX($AD$2:$AU$1001,MATCH(ROWS($W$2:W405),$W$2:$W$1001,0),MATCH(COLUMNS($AD$1006:AO1006),$AD$1006:$AU$1006,0)), HYPERLINK("#",""), HYPERLINK(CONCATENATE("#metadata!", ADDRESS(INDEX($Y$2:$Y$1001,MATCH(ROWS($W$2:W405),$W$2:$W$1001,0),0), INDEX($AD$1004:$AU$1004,1,MATCH(COLUMNS($AD$1006:AO1006),$AD$1006:$AU$1006,0)))),"Fix")))</f>
        <v xml:space="preserve"> </v>
      </c>
      <c r="N405" s="4" t="str">
        <f ca="1">IF(OR(INDEX($X$2:$X$1001,MATCH(ROWS($W$2:W405),$W$2:$W$1001,0),1)&gt;=100000,INDEX($AD$1005:$AU$1005,1,MATCH(COLUMNS($AD$1006:AP1006),$AD$1006:$AU$1006,0))&gt;=100000), " ",IF(INDEX($AD$2:$AU$1001,MATCH(ROWS($W$2:W405),$W$2:$W$1001,0),MATCH(COLUMNS($AD$1006:AP1006),$AD$1006:$AU$1006,0)), HYPERLINK("#",""), HYPERLINK(CONCATENATE("#metadata!", ADDRESS(INDEX($Y$2:$Y$1001,MATCH(ROWS($W$2:W405),$W$2:$W$1001,0),0), INDEX($AD$1004:$AU$1004,1,MATCH(COLUMNS($AD$1006:AP1006),$AD$1006:$AU$1006,0)))),"Fix")))</f>
        <v xml:space="preserve"> </v>
      </c>
      <c r="O405" s="4" t="str">
        <f ca="1">IF(OR(INDEX($X$2:$X$1001,MATCH(ROWS($W$2:W405),$W$2:$W$1001,0),1)&gt;=100000,INDEX($AD$1005:$AU$1005,1,MATCH(COLUMNS($AD$1006:AQ1006),$AD$1006:$AU$1006,0))&gt;=100000), " ",IF(INDEX($AD$2:$AU$1001,MATCH(ROWS($W$2:W405),$W$2:$W$1001,0),MATCH(COLUMNS($AD$1006:AQ1006),$AD$1006:$AU$1006,0)), HYPERLINK("#",""), HYPERLINK(CONCATENATE("#metadata!", ADDRESS(INDEX($Y$2:$Y$1001,MATCH(ROWS($W$2:W405),$W$2:$W$1001,0),0), INDEX($AD$1004:$AU$1004,1,MATCH(COLUMNS($AD$1006:AQ1006),$AD$1006:$AU$1006,0)))),"Fix")))</f>
        <v xml:space="preserve"> </v>
      </c>
      <c r="P405" s="4" t="str">
        <f ca="1">IF(OR(INDEX($X$2:$X$1001,MATCH(ROWS($W$2:W405),$W$2:$W$1001,0),1)&gt;=100000,INDEX($AD$1005:$AU$1005,1,MATCH(COLUMNS($AD$1006:AR1006),$AD$1006:$AU$1006,0))&gt;=100000), " ",IF(INDEX($AD$2:$AU$1001,MATCH(ROWS($W$2:W405),$W$2:$W$1001,0),MATCH(COLUMNS($AD$1006:AR1006),$AD$1006:$AU$1006,0)), HYPERLINK("#",""), HYPERLINK(CONCATENATE("#metadata!", ADDRESS(INDEX($Y$2:$Y$1001,MATCH(ROWS($W$2:W405),$W$2:$W$1001,0),0), INDEX($AD$1004:$AU$1004,1,MATCH(COLUMNS($AD$1006:AR1006),$AD$1006:$AU$1006,0)))),"Fix")))</f>
        <v xml:space="preserve"> </v>
      </c>
      <c r="Q405" s="4" t="str">
        <f ca="1">IF(OR(INDEX($X$2:$X$1001,MATCH(ROWS($W$2:W405),$W$2:$W$1001,0),1)&gt;=100000,INDEX($AD$1005:$AU$1005,1,MATCH(COLUMNS($AD$1006:AS1006),$AD$1006:$AU$1006,0))&gt;=100000), " ",IF(INDEX($AD$2:$AU$1001,MATCH(ROWS($W$2:W405),$W$2:$W$1001,0),MATCH(COLUMNS($AD$1006:AS1006),$AD$1006:$AU$1006,0)), HYPERLINK("#",""), HYPERLINK(CONCATENATE("#metadata!", ADDRESS(INDEX($Y$2:$Y$1001,MATCH(ROWS($W$2:W405),$W$2:$W$1001,0),0), INDEX($AD$1004:$AU$1004,1,MATCH(COLUMNS($AD$1006:AS1006),$AD$1006:$AU$1006,0)))),"Fix")))</f>
        <v xml:space="preserve"> </v>
      </c>
      <c r="R405" s="4" t="str">
        <f ca="1">IF(OR(INDEX($X$2:$X$1001,MATCH(ROWS($W$2:W405),$W$2:$W$1001,0),1)&gt;=100000,INDEX($AD$1005:$AU$1005,1,MATCH(COLUMNS($AD$1006:AT1006),$AD$1006:$AU$1006,0))&gt;=100000), " ",IF(INDEX($AD$2:$AU$1001,MATCH(ROWS($W$2:W405),$W$2:$W$1001,0),MATCH(COLUMNS($AD$1006:AT1006),$AD$1006:$AU$1006,0)), HYPERLINK("#",""), HYPERLINK(CONCATENATE("#metadata!", ADDRESS(INDEX($Y$2:$Y$1001,MATCH(ROWS($W$2:W405),$W$2:$W$1001,0),0), INDEX($AD$1004:$AU$1004,1,MATCH(COLUMNS($AD$1006:AT1006),$AD$1006:$AU$1006,0)))),"Fix")))</f>
        <v xml:space="preserve"> </v>
      </c>
      <c r="S405" s="4" t="str">
        <f ca="1">IF(OR(INDEX($X$2:$X$1001,MATCH(ROWS($W$2:W405),$W$2:$W$1001,0),1)&gt;=100000,INDEX($AD$1005:$AU$1005,1,MATCH(COLUMNS($AD$1006:AU1006),$AD$1006:$AU$1006,0))&gt;=100000), " ",IF(INDEX($AD$2:$AU$1001,MATCH(ROWS($W$2:W405),$W$2:$W$1001,0),MATCH(COLUMNS($AD$1006:AU1006),$AD$1006:$AU$1006,0)), HYPERLINK("#",""), HYPERLINK(CONCATENATE("#metadata!", ADDRESS(INDEX($Y$2:$Y$1001,MATCH(ROWS($W$2:W405),$W$2:$W$1001,0),0), INDEX($AD$1004:$AU$1004,1,MATCH(COLUMNS($AD$1006:AU1006),$AD$1006:$AU$1006,0)))),"Fix")))</f>
        <v xml:space="preserve"> </v>
      </c>
      <c r="W405">
        <v>404</v>
      </c>
      <c r="X405">
        <v>100405</v>
      </c>
      <c r="Y405">
        <v>405</v>
      </c>
      <c r="Z405" t="b">
        <f t="shared" si="6"/>
        <v>1</v>
      </c>
      <c r="AA405" t="b">
        <f>COUNTBLANK(metadata!B405:S405)=COLUMNS(metadata!B405:S405)</f>
        <v>1</v>
      </c>
      <c r="AB405" t="str">
        <v/>
      </c>
      <c r="AD405" t="b">
        <f ca="1">AND(IF(metadata!B405="",FALSE,TRUE),COUNTIF(metadata!B:B, metadata!B405) = 1,NOT(ISERROR(SUMPRODUCT(SEARCH(MID(metadata!B405,ROW(INDIRECT("1:"&amp;LEN(metadata!B405))), 1),"0123456789abcdefghijklmnopqrstuvwxyzABCDEFGHIJKLMNOPQRSTUVWXYZ.")))))</f>
        <v>0</v>
      </c>
      <c r="AE405" t="b">
        <f>OR(AND(IF(metadata!C405="",FALSE,TRUE),OR(EXACT(metadata!C405,"not applicable"),EXACT(metadata!C405,"missing: not collected"),EXACT(metadata!C405,"missing: not provided"),EXACT(metadata!C405,"missing: restricted access"))),AND(IF(metadata!C405="",FALSE,ISNUMBER(VALUE(metadata!C405))),metadata!C405&gt;0))</f>
        <v>0</v>
      </c>
      <c r="AF405" t="b">
        <f>AND(IF(metadata!D405="",FALSE,TRUE),EXACT(metadata!D405,"missing: not provided"))</f>
        <v>0</v>
      </c>
      <c r="AG405" t="b">
        <f>AND(IF(metadata!E405="",FALSE,TRUE),EXACT(metadata!E405,"Host-associated"))</f>
        <v>0</v>
      </c>
      <c r="AH405" t="b">
        <f>AND(IF(metadata!F405="",FALSE,TRUE),OR(EXACT(metadata!F405,"Animal"),EXACT(metadata!F405,"Fungus"),EXACT(metadata!F405,"Plant")))</f>
        <v>0</v>
      </c>
      <c r="AI405" t="b">
        <f>AND(IF(metadata!G405="",FALSE,TRUE),OR(EXACT(metadata!G405,"Plant secretion"),EXACT(metadata!G405,"Plant rhizosphere"),EXACT(metadata!G405,"Plant surface"),EXACT(metadata!G405,"Plant corpus"),EXACT(metadata!G405,"Fungus surface"),EXACT(metadata!G405,"Fungus corpus"),EXACT(metadata!G405,"Animal surface"),EXACT(metadata!G405,"Animal proximal gut"),EXACT(metadata!G405,"Animal corpus"),EXACT(metadata!G405,"Animal distal gut"),EXACT(metadata!G405,"Animal secretion")))</f>
        <v>0</v>
      </c>
      <c r="AJ405" t="b">
        <f>OR(AND(IF(metadata!H405="",FALSE,TRUE),OR(EXACT(metadata!H405,"missing: not collected"),EXACT(metadata!H405,"missing: not provided"),EXACT(metadata!H405,"missing: restricted access"))),AND(IF(metadata!H405="",FALSE,TRUE),OR(EXACT(metadata!H405,"organism-associated habitat"),EXACT(metadata!H405,"plant-associated habitat"),EXACT(metadata!H405,"animal-associated habitat"),EXACT(metadata!H405,"insecta-associated habitat"),EXACT(metadata!H405,"mammalia-associated habitat"),EXACT(metadata!H405,"human-associated habitat"),EXACT(metadata!H405,"livestock-associated habitat"))))</f>
        <v>0</v>
      </c>
      <c r="AK405" t="b">
        <f>AND(IF(metadata!I405="",FALSE,TRUE),EXACT(metadata!I405,"host-associated"))</f>
        <v>0</v>
      </c>
      <c r="AL405" t="b">
        <f>OR(AND(IF(metadata!J405="",FALSE,TRUE),OR(EXACT(metadata!J405,"not applicable"),EXACT(metadata!J405,"missing: not collected"),EXACT(metadata!J405,"missing: not provided"),EXACT(metadata!J405,"missing: restricted access"))),AND(IF(metadata!J405="",FALSE,ISNUMBER(VALUE(metadata!J405))),metadata!J405&gt;0))</f>
        <v>0</v>
      </c>
      <c r="AM405" t="b">
        <f>AND(IF(metadata!K405="",FALSE,TRUE),EXACT(metadata!K405,"missing: not provided"))</f>
        <v>0</v>
      </c>
      <c r="AN405" t="b">
        <f>IF(metadata!L405="",FALSE,TRUE)</f>
        <v>0</v>
      </c>
      <c r="AO405" t="b">
        <f>IF(metadata!M405="",FALSE,TRUE)</f>
        <v>0</v>
      </c>
      <c r="AP405" t="b">
        <f>OR(AND(IF(metadata!N405="",FALSE,TRUE),OR(EXACT(metadata!N405,"not applicable"),EXACT(metadata!N405,"missing: not collected"),EXACT(metadata!N405,"missing: not provided"))),AND(IF(metadata!N405="",FALSE,IF(ISERROR(INT(metadata!N405)),FALSE,INT(metadata!N405)=metadata!N405)),metadata!N405&gt;0))</f>
        <v>0</v>
      </c>
      <c r="AQ405" t="b">
        <f>AND(IF(metadata!O405="",FALSE,TRUE),EXACT(metadata!O405,"Not applicable"))</f>
        <v>0</v>
      </c>
      <c r="AR405" t="b">
        <f>OR(AND(IF(metadata!P405="",FALSE,TRUE),OR(EXACT(metadata!P405,"not applicable"),EXACT(metadata!P405,"missing: not collected"),EXACT(metadata!P405,"missing: not provided"),EXACT(metadata!P405,"missing: restricted access"))),IF(metadata!P405="",FALSE,IF(ISERROR(INT(metadata!P405)),FALSE,INT(metadata!P405)=metadata!P405)))</f>
        <v>0</v>
      </c>
      <c r="AS405" t="b">
        <f>AND(IF(metadata!Q405="",FALSE,TRUE),EXACT(metadata!Q405,"Not applicable"))</f>
        <v>0</v>
      </c>
      <c r="AT405" t="b">
        <f>OR(AND(IF(metadata!R405="",FALSE,TRUE),OR(EXACT(metadata!R405,"not applicable"),EXACT(metadata!R405,"missing: not collected"),EXACT(metadata!R405,"missing: not provided"),EXACT(metadata!R405,"missing: restricted access"))),AND(IF(metadata!R405="",FALSE,ISNUMBER(VALUE(metadata!R405))),metadata!R405&gt;0))</f>
        <v>0</v>
      </c>
      <c r="AU405" t="b">
        <f>AND(IF(metadata!S405="",FALSE,TRUE),EXACT(metadata!S405,"missing: not provided"))</f>
        <v>0</v>
      </c>
    </row>
    <row r="406" spans="1:47" x14ac:dyDescent="0.2">
      <c r="A406" s="5" t="str">
        <f ca="1">IF(B406=" "," ",HYPERLINK(CONCATENATE("#metadata!",ADDRESS(INDEX($Y$2:$Y$1001,MATCH(ROWS($W$2:W406),$W$2:$W$1001,0),0),1)),INDEX($AB$2:$AB$1001,MATCH(ROWS($W$2:W406),$W$2:$W$1001,0),0)))</f>
        <v xml:space="preserve"> </v>
      </c>
      <c r="B406" s="4" t="str">
        <f ca="1">IF(OR(INDEX($X$2:$X$1001,MATCH(ROWS($W$2:W406),$W$2:$W$1001,0),1)&gt;=100000,INDEX($AD$1005:$AU$1005,1,MATCH(COLUMNS($AD$1006:AD1006),$AD$1006:$AU$1006,0))&gt;=100000), " ",IF(INDEX($AD$2:$AU$1001,MATCH(ROWS($W$2:W406),$W$2:$W$1001,0),MATCH(COLUMNS($AD$1006:AD1006),$AD$1006:$AU$1006,0)), HYPERLINK("#",""), HYPERLINK(CONCATENATE("#metadata!", ADDRESS(INDEX($Y$2:$Y$1001,MATCH(ROWS($W$2:W406),$W$2:$W$1001,0),0), INDEX($AD$1004:$AU$1004,1,MATCH(COLUMNS($AD$1006:AD1006),$AD$1006:$AU$1006,0)))),"Fix")))</f>
        <v xml:space="preserve"> </v>
      </c>
      <c r="C406" s="4" t="str">
        <f ca="1">IF(OR(INDEX($X$2:$X$1001,MATCH(ROWS($W$2:W406),$W$2:$W$1001,0),1)&gt;=100000,INDEX($AD$1005:$AU$1005,1,MATCH(COLUMNS($AD$1006:AE1006),$AD$1006:$AU$1006,0))&gt;=100000), " ",IF(INDEX($AD$2:$AU$1001,MATCH(ROWS($W$2:W406),$W$2:$W$1001,0),MATCH(COLUMNS($AD$1006:AE1006),$AD$1006:$AU$1006,0)), HYPERLINK("#",""), HYPERLINK(CONCATENATE("#metadata!", ADDRESS(INDEX($Y$2:$Y$1001,MATCH(ROWS($W$2:W406),$W$2:$W$1001,0),0), INDEX($AD$1004:$AU$1004,1,MATCH(COLUMNS($AD$1006:AE1006),$AD$1006:$AU$1006,0)))),"Fix")))</f>
        <v xml:space="preserve"> </v>
      </c>
      <c r="D406" s="4" t="str">
        <f ca="1">IF(OR(INDEX($X$2:$X$1001,MATCH(ROWS($W$2:W406),$W$2:$W$1001,0),1)&gt;=100000,INDEX($AD$1005:$AU$1005,1,MATCH(COLUMNS($AD$1006:AF1006),$AD$1006:$AU$1006,0))&gt;=100000), " ",IF(INDEX($AD$2:$AU$1001,MATCH(ROWS($W$2:W406),$W$2:$W$1001,0),MATCH(COLUMNS($AD$1006:AF1006),$AD$1006:$AU$1006,0)), HYPERLINK("#",""), HYPERLINK(CONCATENATE("#metadata!", ADDRESS(INDEX($Y$2:$Y$1001,MATCH(ROWS($W$2:W406),$W$2:$W$1001,0),0), INDEX($AD$1004:$AU$1004,1,MATCH(COLUMNS($AD$1006:AF1006),$AD$1006:$AU$1006,0)))),"Fix")))</f>
        <v xml:space="preserve"> </v>
      </c>
      <c r="E406" s="4" t="str">
        <f ca="1">IF(OR(INDEX($X$2:$X$1001,MATCH(ROWS($W$2:W406),$W$2:$W$1001,0),1)&gt;=100000,INDEX($AD$1005:$AU$1005,1,MATCH(COLUMNS($AD$1006:AG1006),$AD$1006:$AU$1006,0))&gt;=100000), " ",IF(INDEX($AD$2:$AU$1001,MATCH(ROWS($W$2:W406),$W$2:$W$1001,0),MATCH(COLUMNS($AD$1006:AG1006),$AD$1006:$AU$1006,0)), HYPERLINK("#",""), HYPERLINK(CONCATENATE("#metadata!", ADDRESS(INDEX($Y$2:$Y$1001,MATCH(ROWS($W$2:W406),$W$2:$W$1001,0),0), INDEX($AD$1004:$AU$1004,1,MATCH(COLUMNS($AD$1006:AG1006),$AD$1006:$AU$1006,0)))),"Fix")))</f>
        <v xml:space="preserve"> </v>
      </c>
      <c r="F406" s="4" t="str">
        <f ca="1">IF(OR(INDEX($X$2:$X$1001,MATCH(ROWS($W$2:W406),$W$2:$W$1001,0),1)&gt;=100000,INDEX($AD$1005:$AU$1005,1,MATCH(COLUMNS($AD$1006:AH1006),$AD$1006:$AU$1006,0))&gt;=100000), " ",IF(INDEX($AD$2:$AU$1001,MATCH(ROWS($W$2:W406),$W$2:$W$1001,0),MATCH(COLUMNS($AD$1006:AH1006),$AD$1006:$AU$1006,0)), HYPERLINK("#",""), HYPERLINK(CONCATENATE("#metadata!", ADDRESS(INDEX($Y$2:$Y$1001,MATCH(ROWS($W$2:W406),$W$2:$W$1001,0),0), INDEX($AD$1004:$AU$1004,1,MATCH(COLUMNS($AD$1006:AH1006),$AD$1006:$AU$1006,0)))),"Fix")))</f>
        <v xml:space="preserve"> </v>
      </c>
      <c r="G406" s="4" t="str">
        <f ca="1">IF(OR(INDEX($X$2:$X$1001,MATCH(ROWS($W$2:W406),$W$2:$W$1001,0),1)&gt;=100000,INDEX($AD$1005:$AU$1005,1,MATCH(COLUMNS($AD$1006:AI1006),$AD$1006:$AU$1006,0))&gt;=100000), " ",IF(INDEX($AD$2:$AU$1001,MATCH(ROWS($W$2:W406),$W$2:$W$1001,0),MATCH(COLUMNS($AD$1006:AI1006),$AD$1006:$AU$1006,0)), HYPERLINK("#",""), HYPERLINK(CONCATENATE("#metadata!", ADDRESS(INDEX($Y$2:$Y$1001,MATCH(ROWS($W$2:W406),$W$2:$W$1001,0),0), INDEX($AD$1004:$AU$1004,1,MATCH(COLUMNS($AD$1006:AI1006),$AD$1006:$AU$1006,0)))),"Fix")))</f>
        <v xml:space="preserve"> </v>
      </c>
      <c r="H406" s="4" t="str">
        <f ca="1">IF(OR(INDEX($X$2:$X$1001,MATCH(ROWS($W$2:W406),$W$2:$W$1001,0),1)&gt;=100000,INDEX($AD$1005:$AU$1005,1,MATCH(COLUMNS($AD$1006:AJ1006),$AD$1006:$AU$1006,0))&gt;=100000), " ",IF(INDEX($AD$2:$AU$1001,MATCH(ROWS($W$2:W406),$W$2:$W$1001,0),MATCH(COLUMNS($AD$1006:AJ1006),$AD$1006:$AU$1006,0)), HYPERLINK("#",""), HYPERLINK(CONCATENATE("#metadata!", ADDRESS(INDEX($Y$2:$Y$1001,MATCH(ROWS($W$2:W406),$W$2:$W$1001,0),0), INDEX($AD$1004:$AU$1004,1,MATCH(COLUMNS($AD$1006:AJ1006),$AD$1006:$AU$1006,0)))),"Fix")))</f>
        <v xml:space="preserve"> </v>
      </c>
      <c r="I406" s="4" t="str">
        <f ca="1">IF(OR(INDEX($X$2:$X$1001,MATCH(ROWS($W$2:W406),$W$2:$W$1001,0),1)&gt;=100000,INDEX($AD$1005:$AU$1005,1,MATCH(COLUMNS($AD$1006:AK1006),$AD$1006:$AU$1006,0))&gt;=100000), " ",IF(INDEX($AD$2:$AU$1001,MATCH(ROWS($W$2:W406),$W$2:$W$1001,0),MATCH(COLUMNS($AD$1006:AK1006),$AD$1006:$AU$1006,0)), HYPERLINK("#",""), HYPERLINK(CONCATENATE("#metadata!", ADDRESS(INDEX($Y$2:$Y$1001,MATCH(ROWS($W$2:W406),$W$2:$W$1001,0),0), INDEX($AD$1004:$AU$1004,1,MATCH(COLUMNS($AD$1006:AK1006),$AD$1006:$AU$1006,0)))),"Fix")))</f>
        <v xml:space="preserve"> </v>
      </c>
      <c r="J406" s="4" t="str">
        <f ca="1">IF(OR(INDEX($X$2:$X$1001,MATCH(ROWS($W$2:W406),$W$2:$W$1001,0),1)&gt;=100000,INDEX($AD$1005:$AU$1005,1,MATCH(COLUMNS($AD$1006:AL1006),$AD$1006:$AU$1006,0))&gt;=100000), " ",IF(INDEX($AD$2:$AU$1001,MATCH(ROWS($W$2:W406),$W$2:$W$1001,0),MATCH(COLUMNS($AD$1006:AL1006),$AD$1006:$AU$1006,0)), HYPERLINK("#",""), HYPERLINK(CONCATENATE("#metadata!", ADDRESS(INDEX($Y$2:$Y$1001,MATCH(ROWS($W$2:W406),$W$2:$W$1001,0),0), INDEX($AD$1004:$AU$1004,1,MATCH(COLUMNS($AD$1006:AL1006),$AD$1006:$AU$1006,0)))),"Fix")))</f>
        <v xml:space="preserve"> </v>
      </c>
      <c r="K406" s="4" t="str">
        <f ca="1">IF(OR(INDEX($X$2:$X$1001,MATCH(ROWS($W$2:W406),$W$2:$W$1001,0),1)&gt;=100000,INDEX($AD$1005:$AU$1005,1,MATCH(COLUMNS($AD$1006:AM1006),$AD$1006:$AU$1006,0))&gt;=100000), " ",IF(INDEX($AD$2:$AU$1001,MATCH(ROWS($W$2:W406),$W$2:$W$1001,0),MATCH(COLUMNS($AD$1006:AM1006),$AD$1006:$AU$1006,0)), HYPERLINK("#",""), HYPERLINK(CONCATENATE("#metadata!", ADDRESS(INDEX($Y$2:$Y$1001,MATCH(ROWS($W$2:W406),$W$2:$W$1001,0),0), INDEX($AD$1004:$AU$1004,1,MATCH(COLUMNS($AD$1006:AM1006),$AD$1006:$AU$1006,0)))),"Fix")))</f>
        <v xml:space="preserve"> </v>
      </c>
      <c r="L406" s="4" t="str">
        <f ca="1">IF(OR(INDEX($X$2:$X$1001,MATCH(ROWS($W$2:W406),$W$2:$W$1001,0),1)&gt;=100000,INDEX($AD$1005:$AU$1005,1,MATCH(COLUMNS($AD$1006:AN1006),$AD$1006:$AU$1006,0))&gt;=100000), " ",IF(INDEX($AD$2:$AU$1001,MATCH(ROWS($W$2:W406),$W$2:$W$1001,0),MATCH(COLUMNS($AD$1006:AN1006),$AD$1006:$AU$1006,0)), HYPERLINK("#",""), HYPERLINK(CONCATENATE("#metadata!", ADDRESS(INDEX($Y$2:$Y$1001,MATCH(ROWS($W$2:W406),$W$2:$W$1001,0),0), INDEX($AD$1004:$AU$1004,1,MATCH(COLUMNS($AD$1006:AN1006),$AD$1006:$AU$1006,0)))),"Fix")))</f>
        <v xml:space="preserve"> </v>
      </c>
      <c r="M406" s="4" t="str">
        <f ca="1">IF(OR(INDEX($X$2:$X$1001,MATCH(ROWS($W$2:W406),$W$2:$W$1001,0),1)&gt;=100000,INDEX($AD$1005:$AU$1005,1,MATCH(COLUMNS($AD$1006:AO1006),$AD$1006:$AU$1006,0))&gt;=100000), " ",IF(INDEX($AD$2:$AU$1001,MATCH(ROWS($W$2:W406),$W$2:$W$1001,0),MATCH(COLUMNS($AD$1006:AO1006),$AD$1006:$AU$1006,0)), HYPERLINK("#",""), HYPERLINK(CONCATENATE("#metadata!", ADDRESS(INDEX($Y$2:$Y$1001,MATCH(ROWS($W$2:W406),$W$2:$W$1001,0),0), INDEX($AD$1004:$AU$1004,1,MATCH(COLUMNS($AD$1006:AO1006),$AD$1006:$AU$1006,0)))),"Fix")))</f>
        <v xml:space="preserve"> </v>
      </c>
      <c r="N406" s="4" t="str">
        <f ca="1">IF(OR(INDEX($X$2:$X$1001,MATCH(ROWS($W$2:W406),$W$2:$W$1001,0),1)&gt;=100000,INDEX($AD$1005:$AU$1005,1,MATCH(COLUMNS($AD$1006:AP1006),$AD$1006:$AU$1006,0))&gt;=100000), " ",IF(INDEX($AD$2:$AU$1001,MATCH(ROWS($W$2:W406),$W$2:$W$1001,0),MATCH(COLUMNS($AD$1006:AP1006),$AD$1006:$AU$1006,0)), HYPERLINK("#",""), HYPERLINK(CONCATENATE("#metadata!", ADDRESS(INDEX($Y$2:$Y$1001,MATCH(ROWS($W$2:W406),$W$2:$W$1001,0),0), INDEX($AD$1004:$AU$1004,1,MATCH(COLUMNS($AD$1006:AP1006),$AD$1006:$AU$1006,0)))),"Fix")))</f>
        <v xml:space="preserve"> </v>
      </c>
      <c r="O406" s="4" t="str">
        <f ca="1">IF(OR(INDEX($X$2:$X$1001,MATCH(ROWS($W$2:W406),$W$2:$W$1001,0),1)&gt;=100000,INDEX($AD$1005:$AU$1005,1,MATCH(COLUMNS($AD$1006:AQ1006),$AD$1006:$AU$1006,0))&gt;=100000), " ",IF(INDEX($AD$2:$AU$1001,MATCH(ROWS($W$2:W406),$W$2:$W$1001,0),MATCH(COLUMNS($AD$1006:AQ1006),$AD$1006:$AU$1006,0)), HYPERLINK("#",""), HYPERLINK(CONCATENATE("#metadata!", ADDRESS(INDEX($Y$2:$Y$1001,MATCH(ROWS($W$2:W406),$W$2:$W$1001,0),0), INDEX($AD$1004:$AU$1004,1,MATCH(COLUMNS($AD$1006:AQ1006),$AD$1006:$AU$1006,0)))),"Fix")))</f>
        <v xml:space="preserve"> </v>
      </c>
      <c r="P406" s="4" t="str">
        <f ca="1">IF(OR(INDEX($X$2:$X$1001,MATCH(ROWS($W$2:W406),$W$2:$W$1001,0),1)&gt;=100000,INDEX($AD$1005:$AU$1005,1,MATCH(COLUMNS($AD$1006:AR1006),$AD$1006:$AU$1006,0))&gt;=100000), " ",IF(INDEX($AD$2:$AU$1001,MATCH(ROWS($W$2:W406),$W$2:$W$1001,0),MATCH(COLUMNS($AD$1006:AR1006),$AD$1006:$AU$1006,0)), HYPERLINK("#",""), HYPERLINK(CONCATENATE("#metadata!", ADDRESS(INDEX($Y$2:$Y$1001,MATCH(ROWS($W$2:W406),$W$2:$W$1001,0),0), INDEX($AD$1004:$AU$1004,1,MATCH(COLUMNS($AD$1006:AR1006),$AD$1006:$AU$1006,0)))),"Fix")))</f>
        <v xml:space="preserve"> </v>
      </c>
      <c r="Q406" s="4" t="str">
        <f ca="1">IF(OR(INDEX($X$2:$X$1001,MATCH(ROWS($W$2:W406),$W$2:$W$1001,0),1)&gt;=100000,INDEX($AD$1005:$AU$1005,1,MATCH(COLUMNS($AD$1006:AS1006),$AD$1006:$AU$1006,0))&gt;=100000), " ",IF(INDEX($AD$2:$AU$1001,MATCH(ROWS($W$2:W406),$W$2:$W$1001,0),MATCH(COLUMNS($AD$1006:AS1006),$AD$1006:$AU$1006,0)), HYPERLINK("#",""), HYPERLINK(CONCATENATE("#metadata!", ADDRESS(INDEX($Y$2:$Y$1001,MATCH(ROWS($W$2:W406),$W$2:$W$1001,0),0), INDEX($AD$1004:$AU$1004,1,MATCH(COLUMNS($AD$1006:AS1006),$AD$1006:$AU$1006,0)))),"Fix")))</f>
        <v xml:space="preserve"> </v>
      </c>
      <c r="R406" s="4" t="str">
        <f ca="1">IF(OR(INDEX($X$2:$X$1001,MATCH(ROWS($W$2:W406),$W$2:$W$1001,0),1)&gt;=100000,INDEX($AD$1005:$AU$1005,1,MATCH(COLUMNS($AD$1006:AT1006),$AD$1006:$AU$1006,0))&gt;=100000), " ",IF(INDEX($AD$2:$AU$1001,MATCH(ROWS($W$2:W406),$W$2:$W$1001,0),MATCH(COLUMNS($AD$1006:AT1006),$AD$1006:$AU$1006,0)), HYPERLINK("#",""), HYPERLINK(CONCATENATE("#metadata!", ADDRESS(INDEX($Y$2:$Y$1001,MATCH(ROWS($W$2:W406),$W$2:$W$1001,0),0), INDEX($AD$1004:$AU$1004,1,MATCH(COLUMNS($AD$1006:AT1006),$AD$1006:$AU$1006,0)))),"Fix")))</f>
        <v xml:space="preserve"> </v>
      </c>
      <c r="S406" s="4" t="str">
        <f ca="1">IF(OR(INDEX($X$2:$X$1001,MATCH(ROWS($W$2:W406),$W$2:$W$1001,0),1)&gt;=100000,INDEX($AD$1005:$AU$1005,1,MATCH(COLUMNS($AD$1006:AU1006),$AD$1006:$AU$1006,0))&gt;=100000), " ",IF(INDEX($AD$2:$AU$1001,MATCH(ROWS($W$2:W406),$W$2:$W$1001,0),MATCH(COLUMNS($AD$1006:AU1006),$AD$1006:$AU$1006,0)), HYPERLINK("#",""), HYPERLINK(CONCATENATE("#metadata!", ADDRESS(INDEX($Y$2:$Y$1001,MATCH(ROWS($W$2:W406),$W$2:$W$1001,0),0), INDEX($AD$1004:$AU$1004,1,MATCH(COLUMNS($AD$1006:AU1006),$AD$1006:$AU$1006,0)))),"Fix")))</f>
        <v xml:space="preserve"> </v>
      </c>
      <c r="W406">
        <v>405</v>
      </c>
      <c r="X406">
        <v>100406</v>
      </c>
      <c r="Y406">
        <v>406</v>
      </c>
      <c r="Z406" t="b">
        <f t="shared" si="6"/>
        <v>1</v>
      </c>
      <c r="AA406" t="b">
        <f>COUNTBLANK(metadata!B406:S406)=COLUMNS(metadata!B406:S406)</f>
        <v>1</v>
      </c>
      <c r="AB406" t="str">
        <v/>
      </c>
      <c r="AD406" t="b">
        <f ca="1">AND(IF(metadata!B406="",FALSE,TRUE),COUNTIF(metadata!B:B, metadata!B406) = 1,NOT(ISERROR(SUMPRODUCT(SEARCH(MID(metadata!B406,ROW(INDIRECT("1:"&amp;LEN(metadata!B406))), 1),"0123456789abcdefghijklmnopqrstuvwxyzABCDEFGHIJKLMNOPQRSTUVWXYZ.")))))</f>
        <v>0</v>
      </c>
      <c r="AE406" t="b">
        <f>OR(AND(IF(metadata!C406="",FALSE,TRUE),OR(EXACT(metadata!C406,"not applicable"),EXACT(metadata!C406,"missing: not collected"),EXACT(metadata!C406,"missing: not provided"),EXACT(metadata!C406,"missing: restricted access"))),AND(IF(metadata!C406="",FALSE,ISNUMBER(VALUE(metadata!C406))),metadata!C406&gt;0))</f>
        <v>0</v>
      </c>
      <c r="AF406" t="b">
        <f>AND(IF(metadata!D406="",FALSE,TRUE),EXACT(metadata!D406,"missing: not provided"))</f>
        <v>0</v>
      </c>
      <c r="AG406" t="b">
        <f>AND(IF(metadata!E406="",FALSE,TRUE),EXACT(metadata!E406,"Host-associated"))</f>
        <v>0</v>
      </c>
      <c r="AH406" t="b">
        <f>AND(IF(metadata!F406="",FALSE,TRUE),OR(EXACT(metadata!F406,"Animal"),EXACT(metadata!F406,"Fungus"),EXACT(metadata!F406,"Plant")))</f>
        <v>0</v>
      </c>
      <c r="AI406" t="b">
        <f>AND(IF(metadata!G406="",FALSE,TRUE),OR(EXACT(metadata!G406,"Plant secretion"),EXACT(metadata!G406,"Plant rhizosphere"),EXACT(metadata!G406,"Plant surface"),EXACT(metadata!G406,"Plant corpus"),EXACT(metadata!G406,"Fungus surface"),EXACT(metadata!G406,"Fungus corpus"),EXACT(metadata!G406,"Animal surface"),EXACT(metadata!G406,"Animal proximal gut"),EXACT(metadata!G406,"Animal corpus"),EXACT(metadata!G406,"Animal distal gut"),EXACT(metadata!G406,"Animal secretion")))</f>
        <v>0</v>
      </c>
      <c r="AJ406" t="b">
        <f>OR(AND(IF(metadata!H406="",FALSE,TRUE),OR(EXACT(metadata!H406,"missing: not collected"),EXACT(metadata!H406,"missing: not provided"),EXACT(metadata!H406,"missing: restricted access"))),AND(IF(metadata!H406="",FALSE,TRUE),OR(EXACT(metadata!H406,"organism-associated habitat"),EXACT(metadata!H406,"plant-associated habitat"),EXACT(metadata!H406,"animal-associated habitat"),EXACT(metadata!H406,"insecta-associated habitat"),EXACT(metadata!H406,"mammalia-associated habitat"),EXACT(metadata!H406,"human-associated habitat"),EXACT(metadata!H406,"livestock-associated habitat"))))</f>
        <v>0</v>
      </c>
      <c r="AK406" t="b">
        <f>AND(IF(metadata!I406="",FALSE,TRUE),EXACT(metadata!I406,"host-associated"))</f>
        <v>0</v>
      </c>
      <c r="AL406" t="b">
        <f>OR(AND(IF(metadata!J406="",FALSE,TRUE),OR(EXACT(metadata!J406,"not applicable"),EXACT(metadata!J406,"missing: not collected"),EXACT(metadata!J406,"missing: not provided"),EXACT(metadata!J406,"missing: restricted access"))),AND(IF(metadata!J406="",FALSE,ISNUMBER(VALUE(metadata!J406))),metadata!J406&gt;0))</f>
        <v>0</v>
      </c>
      <c r="AM406" t="b">
        <f>AND(IF(metadata!K406="",FALSE,TRUE),EXACT(metadata!K406,"missing: not provided"))</f>
        <v>0</v>
      </c>
      <c r="AN406" t="b">
        <f>IF(metadata!L406="",FALSE,TRUE)</f>
        <v>0</v>
      </c>
      <c r="AO406" t="b">
        <f>IF(metadata!M406="",FALSE,TRUE)</f>
        <v>0</v>
      </c>
      <c r="AP406" t="b">
        <f>OR(AND(IF(metadata!N406="",FALSE,TRUE),OR(EXACT(metadata!N406,"not applicable"),EXACT(metadata!N406,"missing: not collected"),EXACT(metadata!N406,"missing: not provided"))),AND(IF(metadata!N406="",FALSE,IF(ISERROR(INT(metadata!N406)),FALSE,INT(metadata!N406)=metadata!N406)),metadata!N406&gt;0))</f>
        <v>0</v>
      </c>
      <c r="AQ406" t="b">
        <f>AND(IF(metadata!O406="",FALSE,TRUE),EXACT(metadata!O406,"Not applicable"))</f>
        <v>0</v>
      </c>
      <c r="AR406" t="b">
        <f>OR(AND(IF(metadata!P406="",FALSE,TRUE),OR(EXACT(metadata!P406,"not applicable"),EXACT(metadata!P406,"missing: not collected"),EXACT(metadata!P406,"missing: not provided"),EXACT(metadata!P406,"missing: restricted access"))),IF(metadata!P406="",FALSE,IF(ISERROR(INT(metadata!P406)),FALSE,INT(metadata!P406)=metadata!P406)))</f>
        <v>0</v>
      </c>
      <c r="AS406" t="b">
        <f>AND(IF(metadata!Q406="",FALSE,TRUE),EXACT(metadata!Q406,"Not applicable"))</f>
        <v>0</v>
      </c>
      <c r="AT406" t="b">
        <f>OR(AND(IF(metadata!R406="",FALSE,TRUE),OR(EXACT(metadata!R406,"not applicable"),EXACT(metadata!R406,"missing: not collected"),EXACT(metadata!R406,"missing: not provided"),EXACT(metadata!R406,"missing: restricted access"))),AND(IF(metadata!R406="",FALSE,ISNUMBER(VALUE(metadata!R406))),metadata!R406&gt;0))</f>
        <v>0</v>
      </c>
      <c r="AU406" t="b">
        <f>AND(IF(metadata!S406="",FALSE,TRUE),EXACT(metadata!S406,"missing: not provided"))</f>
        <v>0</v>
      </c>
    </row>
    <row r="407" spans="1:47" x14ac:dyDescent="0.2">
      <c r="A407" s="5" t="str">
        <f ca="1">IF(B407=" "," ",HYPERLINK(CONCATENATE("#metadata!",ADDRESS(INDEX($Y$2:$Y$1001,MATCH(ROWS($W$2:W407),$W$2:$W$1001,0),0),1)),INDEX($AB$2:$AB$1001,MATCH(ROWS($W$2:W407),$W$2:$W$1001,0),0)))</f>
        <v xml:space="preserve"> </v>
      </c>
      <c r="B407" s="4" t="str">
        <f ca="1">IF(OR(INDEX($X$2:$X$1001,MATCH(ROWS($W$2:W407),$W$2:$W$1001,0),1)&gt;=100000,INDEX($AD$1005:$AU$1005,1,MATCH(COLUMNS($AD$1006:AD1006),$AD$1006:$AU$1006,0))&gt;=100000), " ",IF(INDEX($AD$2:$AU$1001,MATCH(ROWS($W$2:W407),$W$2:$W$1001,0),MATCH(COLUMNS($AD$1006:AD1006),$AD$1006:$AU$1006,0)), HYPERLINK("#",""), HYPERLINK(CONCATENATE("#metadata!", ADDRESS(INDEX($Y$2:$Y$1001,MATCH(ROWS($W$2:W407),$W$2:$W$1001,0),0), INDEX($AD$1004:$AU$1004,1,MATCH(COLUMNS($AD$1006:AD1006),$AD$1006:$AU$1006,0)))),"Fix")))</f>
        <v xml:space="preserve"> </v>
      </c>
      <c r="C407" s="4" t="str">
        <f ca="1">IF(OR(INDEX($X$2:$X$1001,MATCH(ROWS($W$2:W407),$W$2:$W$1001,0),1)&gt;=100000,INDEX($AD$1005:$AU$1005,1,MATCH(COLUMNS($AD$1006:AE1006),$AD$1006:$AU$1006,0))&gt;=100000), " ",IF(INDEX($AD$2:$AU$1001,MATCH(ROWS($W$2:W407),$W$2:$W$1001,0),MATCH(COLUMNS($AD$1006:AE1006),$AD$1006:$AU$1006,0)), HYPERLINK("#",""), HYPERLINK(CONCATENATE("#metadata!", ADDRESS(INDEX($Y$2:$Y$1001,MATCH(ROWS($W$2:W407),$W$2:$W$1001,0),0), INDEX($AD$1004:$AU$1004,1,MATCH(COLUMNS($AD$1006:AE1006),$AD$1006:$AU$1006,0)))),"Fix")))</f>
        <v xml:space="preserve"> </v>
      </c>
      <c r="D407" s="4" t="str">
        <f ca="1">IF(OR(INDEX($X$2:$X$1001,MATCH(ROWS($W$2:W407),$W$2:$W$1001,0),1)&gt;=100000,INDEX($AD$1005:$AU$1005,1,MATCH(COLUMNS($AD$1006:AF1006),$AD$1006:$AU$1006,0))&gt;=100000), " ",IF(INDEX($AD$2:$AU$1001,MATCH(ROWS($W$2:W407),$W$2:$W$1001,0),MATCH(COLUMNS($AD$1006:AF1006),$AD$1006:$AU$1006,0)), HYPERLINK("#",""), HYPERLINK(CONCATENATE("#metadata!", ADDRESS(INDEX($Y$2:$Y$1001,MATCH(ROWS($W$2:W407),$W$2:$W$1001,0),0), INDEX($AD$1004:$AU$1004,1,MATCH(COLUMNS($AD$1006:AF1006),$AD$1006:$AU$1006,0)))),"Fix")))</f>
        <v xml:space="preserve"> </v>
      </c>
      <c r="E407" s="4" t="str">
        <f ca="1">IF(OR(INDEX($X$2:$X$1001,MATCH(ROWS($W$2:W407),$W$2:$W$1001,0),1)&gt;=100000,INDEX($AD$1005:$AU$1005,1,MATCH(COLUMNS($AD$1006:AG1006),$AD$1006:$AU$1006,0))&gt;=100000), " ",IF(INDEX($AD$2:$AU$1001,MATCH(ROWS($W$2:W407),$W$2:$W$1001,0),MATCH(COLUMNS($AD$1006:AG1006),$AD$1006:$AU$1006,0)), HYPERLINK("#",""), HYPERLINK(CONCATENATE("#metadata!", ADDRESS(INDEX($Y$2:$Y$1001,MATCH(ROWS($W$2:W407),$W$2:$W$1001,0),0), INDEX($AD$1004:$AU$1004,1,MATCH(COLUMNS($AD$1006:AG1006),$AD$1006:$AU$1006,0)))),"Fix")))</f>
        <v xml:space="preserve"> </v>
      </c>
      <c r="F407" s="4" t="str">
        <f ca="1">IF(OR(INDEX($X$2:$X$1001,MATCH(ROWS($W$2:W407),$W$2:$W$1001,0),1)&gt;=100000,INDEX($AD$1005:$AU$1005,1,MATCH(COLUMNS($AD$1006:AH1006),$AD$1006:$AU$1006,0))&gt;=100000), " ",IF(INDEX($AD$2:$AU$1001,MATCH(ROWS($W$2:W407),$W$2:$W$1001,0),MATCH(COLUMNS($AD$1006:AH1006),$AD$1006:$AU$1006,0)), HYPERLINK("#",""), HYPERLINK(CONCATENATE("#metadata!", ADDRESS(INDEX($Y$2:$Y$1001,MATCH(ROWS($W$2:W407),$W$2:$W$1001,0),0), INDEX($AD$1004:$AU$1004,1,MATCH(COLUMNS($AD$1006:AH1006),$AD$1006:$AU$1006,0)))),"Fix")))</f>
        <v xml:space="preserve"> </v>
      </c>
      <c r="G407" s="4" t="str">
        <f ca="1">IF(OR(INDEX($X$2:$X$1001,MATCH(ROWS($W$2:W407),$W$2:$W$1001,0),1)&gt;=100000,INDEX($AD$1005:$AU$1005,1,MATCH(COLUMNS($AD$1006:AI1006),$AD$1006:$AU$1006,0))&gt;=100000), " ",IF(INDEX($AD$2:$AU$1001,MATCH(ROWS($W$2:W407),$W$2:$W$1001,0),MATCH(COLUMNS($AD$1006:AI1006),$AD$1006:$AU$1006,0)), HYPERLINK("#",""), HYPERLINK(CONCATENATE("#metadata!", ADDRESS(INDEX($Y$2:$Y$1001,MATCH(ROWS($W$2:W407),$W$2:$W$1001,0),0), INDEX($AD$1004:$AU$1004,1,MATCH(COLUMNS($AD$1006:AI1006),$AD$1006:$AU$1006,0)))),"Fix")))</f>
        <v xml:space="preserve"> </v>
      </c>
      <c r="H407" s="4" t="str">
        <f ca="1">IF(OR(INDEX($X$2:$X$1001,MATCH(ROWS($W$2:W407),$W$2:$W$1001,0),1)&gt;=100000,INDEX($AD$1005:$AU$1005,1,MATCH(COLUMNS($AD$1006:AJ1006),$AD$1006:$AU$1006,0))&gt;=100000), " ",IF(INDEX($AD$2:$AU$1001,MATCH(ROWS($W$2:W407),$W$2:$W$1001,0),MATCH(COLUMNS($AD$1006:AJ1006),$AD$1006:$AU$1006,0)), HYPERLINK("#",""), HYPERLINK(CONCATENATE("#metadata!", ADDRESS(INDEX($Y$2:$Y$1001,MATCH(ROWS($W$2:W407),$W$2:$W$1001,0),0), INDEX($AD$1004:$AU$1004,1,MATCH(COLUMNS($AD$1006:AJ1006),$AD$1006:$AU$1006,0)))),"Fix")))</f>
        <v xml:space="preserve"> </v>
      </c>
      <c r="I407" s="4" t="str">
        <f ca="1">IF(OR(INDEX($X$2:$X$1001,MATCH(ROWS($W$2:W407),$W$2:$W$1001,0),1)&gt;=100000,INDEX($AD$1005:$AU$1005,1,MATCH(COLUMNS($AD$1006:AK1006),$AD$1006:$AU$1006,0))&gt;=100000), " ",IF(INDEX($AD$2:$AU$1001,MATCH(ROWS($W$2:W407),$W$2:$W$1001,0),MATCH(COLUMNS($AD$1006:AK1006),$AD$1006:$AU$1006,0)), HYPERLINK("#",""), HYPERLINK(CONCATENATE("#metadata!", ADDRESS(INDEX($Y$2:$Y$1001,MATCH(ROWS($W$2:W407),$W$2:$W$1001,0),0), INDEX($AD$1004:$AU$1004,1,MATCH(COLUMNS($AD$1006:AK1006),$AD$1006:$AU$1006,0)))),"Fix")))</f>
        <v xml:space="preserve"> </v>
      </c>
      <c r="J407" s="4" t="str">
        <f ca="1">IF(OR(INDEX($X$2:$X$1001,MATCH(ROWS($W$2:W407),$W$2:$W$1001,0),1)&gt;=100000,INDEX($AD$1005:$AU$1005,1,MATCH(COLUMNS($AD$1006:AL1006),$AD$1006:$AU$1006,0))&gt;=100000), " ",IF(INDEX($AD$2:$AU$1001,MATCH(ROWS($W$2:W407),$W$2:$W$1001,0),MATCH(COLUMNS($AD$1006:AL1006),$AD$1006:$AU$1006,0)), HYPERLINK("#",""), HYPERLINK(CONCATENATE("#metadata!", ADDRESS(INDEX($Y$2:$Y$1001,MATCH(ROWS($W$2:W407),$W$2:$W$1001,0),0), INDEX($AD$1004:$AU$1004,1,MATCH(COLUMNS($AD$1006:AL1006),$AD$1006:$AU$1006,0)))),"Fix")))</f>
        <v xml:space="preserve"> </v>
      </c>
      <c r="K407" s="4" t="str">
        <f ca="1">IF(OR(INDEX($X$2:$X$1001,MATCH(ROWS($W$2:W407),$W$2:$W$1001,0),1)&gt;=100000,INDEX($AD$1005:$AU$1005,1,MATCH(COLUMNS($AD$1006:AM1006),$AD$1006:$AU$1006,0))&gt;=100000), " ",IF(INDEX($AD$2:$AU$1001,MATCH(ROWS($W$2:W407),$W$2:$W$1001,0),MATCH(COLUMNS($AD$1006:AM1006),$AD$1006:$AU$1006,0)), HYPERLINK("#",""), HYPERLINK(CONCATENATE("#metadata!", ADDRESS(INDEX($Y$2:$Y$1001,MATCH(ROWS($W$2:W407),$W$2:$W$1001,0),0), INDEX($AD$1004:$AU$1004,1,MATCH(COLUMNS($AD$1006:AM1006),$AD$1006:$AU$1006,0)))),"Fix")))</f>
        <v xml:space="preserve"> </v>
      </c>
      <c r="L407" s="4" t="str">
        <f ca="1">IF(OR(INDEX($X$2:$X$1001,MATCH(ROWS($W$2:W407),$W$2:$W$1001,0),1)&gt;=100000,INDEX($AD$1005:$AU$1005,1,MATCH(COLUMNS($AD$1006:AN1006),$AD$1006:$AU$1006,0))&gt;=100000), " ",IF(INDEX($AD$2:$AU$1001,MATCH(ROWS($W$2:W407),$W$2:$W$1001,0),MATCH(COLUMNS($AD$1006:AN1006),$AD$1006:$AU$1006,0)), HYPERLINK("#",""), HYPERLINK(CONCATENATE("#metadata!", ADDRESS(INDEX($Y$2:$Y$1001,MATCH(ROWS($W$2:W407),$W$2:$W$1001,0),0), INDEX($AD$1004:$AU$1004,1,MATCH(COLUMNS($AD$1006:AN1006),$AD$1006:$AU$1006,0)))),"Fix")))</f>
        <v xml:space="preserve"> </v>
      </c>
      <c r="M407" s="4" t="str">
        <f ca="1">IF(OR(INDEX($X$2:$X$1001,MATCH(ROWS($W$2:W407),$W$2:$W$1001,0),1)&gt;=100000,INDEX($AD$1005:$AU$1005,1,MATCH(COLUMNS($AD$1006:AO1006),$AD$1006:$AU$1006,0))&gt;=100000), " ",IF(INDEX($AD$2:$AU$1001,MATCH(ROWS($W$2:W407),$W$2:$W$1001,0),MATCH(COLUMNS($AD$1006:AO1006),$AD$1006:$AU$1006,0)), HYPERLINK("#",""), HYPERLINK(CONCATENATE("#metadata!", ADDRESS(INDEX($Y$2:$Y$1001,MATCH(ROWS($W$2:W407),$W$2:$W$1001,0),0), INDEX($AD$1004:$AU$1004,1,MATCH(COLUMNS($AD$1006:AO1006),$AD$1006:$AU$1006,0)))),"Fix")))</f>
        <v xml:space="preserve"> </v>
      </c>
      <c r="N407" s="4" t="str">
        <f ca="1">IF(OR(INDEX($X$2:$X$1001,MATCH(ROWS($W$2:W407),$W$2:$W$1001,0),1)&gt;=100000,INDEX($AD$1005:$AU$1005,1,MATCH(COLUMNS($AD$1006:AP1006),$AD$1006:$AU$1006,0))&gt;=100000), " ",IF(INDEX($AD$2:$AU$1001,MATCH(ROWS($W$2:W407),$W$2:$W$1001,0),MATCH(COLUMNS($AD$1006:AP1006),$AD$1006:$AU$1006,0)), HYPERLINK("#",""), HYPERLINK(CONCATENATE("#metadata!", ADDRESS(INDEX($Y$2:$Y$1001,MATCH(ROWS($W$2:W407),$W$2:$W$1001,0),0), INDEX($AD$1004:$AU$1004,1,MATCH(COLUMNS($AD$1006:AP1006),$AD$1006:$AU$1006,0)))),"Fix")))</f>
        <v xml:space="preserve"> </v>
      </c>
      <c r="O407" s="4" t="str">
        <f ca="1">IF(OR(INDEX($X$2:$X$1001,MATCH(ROWS($W$2:W407),$W$2:$W$1001,0),1)&gt;=100000,INDEX($AD$1005:$AU$1005,1,MATCH(COLUMNS($AD$1006:AQ1006),$AD$1006:$AU$1006,0))&gt;=100000), " ",IF(INDEX($AD$2:$AU$1001,MATCH(ROWS($W$2:W407),$W$2:$W$1001,0),MATCH(COLUMNS($AD$1006:AQ1006),$AD$1006:$AU$1006,0)), HYPERLINK("#",""), HYPERLINK(CONCATENATE("#metadata!", ADDRESS(INDEX($Y$2:$Y$1001,MATCH(ROWS($W$2:W407),$W$2:$W$1001,0),0), INDEX($AD$1004:$AU$1004,1,MATCH(COLUMNS($AD$1006:AQ1006),$AD$1006:$AU$1006,0)))),"Fix")))</f>
        <v xml:space="preserve"> </v>
      </c>
      <c r="P407" s="4" t="str">
        <f ca="1">IF(OR(INDEX($X$2:$X$1001,MATCH(ROWS($W$2:W407),$W$2:$W$1001,0),1)&gt;=100000,INDEX($AD$1005:$AU$1005,1,MATCH(COLUMNS($AD$1006:AR1006),$AD$1006:$AU$1006,0))&gt;=100000), " ",IF(INDEX($AD$2:$AU$1001,MATCH(ROWS($W$2:W407),$W$2:$W$1001,0),MATCH(COLUMNS($AD$1006:AR1006),$AD$1006:$AU$1006,0)), HYPERLINK("#",""), HYPERLINK(CONCATENATE("#metadata!", ADDRESS(INDEX($Y$2:$Y$1001,MATCH(ROWS($W$2:W407),$W$2:$W$1001,0),0), INDEX($AD$1004:$AU$1004,1,MATCH(COLUMNS($AD$1006:AR1006),$AD$1006:$AU$1006,0)))),"Fix")))</f>
        <v xml:space="preserve"> </v>
      </c>
      <c r="Q407" s="4" t="str">
        <f ca="1">IF(OR(INDEX($X$2:$X$1001,MATCH(ROWS($W$2:W407),$W$2:$W$1001,0),1)&gt;=100000,INDEX($AD$1005:$AU$1005,1,MATCH(COLUMNS($AD$1006:AS1006),$AD$1006:$AU$1006,0))&gt;=100000), " ",IF(INDEX($AD$2:$AU$1001,MATCH(ROWS($W$2:W407),$W$2:$W$1001,0),MATCH(COLUMNS($AD$1006:AS1006),$AD$1006:$AU$1006,0)), HYPERLINK("#",""), HYPERLINK(CONCATENATE("#metadata!", ADDRESS(INDEX($Y$2:$Y$1001,MATCH(ROWS($W$2:W407),$W$2:$W$1001,0),0), INDEX($AD$1004:$AU$1004,1,MATCH(COLUMNS($AD$1006:AS1006),$AD$1006:$AU$1006,0)))),"Fix")))</f>
        <v xml:space="preserve"> </v>
      </c>
      <c r="R407" s="4" t="str">
        <f ca="1">IF(OR(INDEX($X$2:$X$1001,MATCH(ROWS($W$2:W407),$W$2:$W$1001,0),1)&gt;=100000,INDEX($AD$1005:$AU$1005,1,MATCH(COLUMNS($AD$1006:AT1006),$AD$1006:$AU$1006,0))&gt;=100000), " ",IF(INDEX($AD$2:$AU$1001,MATCH(ROWS($W$2:W407),$W$2:$W$1001,0),MATCH(COLUMNS($AD$1006:AT1006),$AD$1006:$AU$1006,0)), HYPERLINK("#",""), HYPERLINK(CONCATENATE("#metadata!", ADDRESS(INDEX($Y$2:$Y$1001,MATCH(ROWS($W$2:W407),$W$2:$W$1001,0),0), INDEX($AD$1004:$AU$1004,1,MATCH(COLUMNS($AD$1006:AT1006),$AD$1006:$AU$1006,0)))),"Fix")))</f>
        <v xml:space="preserve"> </v>
      </c>
      <c r="S407" s="4" t="str">
        <f ca="1">IF(OR(INDEX($X$2:$X$1001,MATCH(ROWS($W$2:W407),$W$2:$W$1001,0),1)&gt;=100000,INDEX($AD$1005:$AU$1005,1,MATCH(COLUMNS($AD$1006:AU1006),$AD$1006:$AU$1006,0))&gt;=100000), " ",IF(INDEX($AD$2:$AU$1001,MATCH(ROWS($W$2:W407),$W$2:$W$1001,0),MATCH(COLUMNS($AD$1006:AU1006),$AD$1006:$AU$1006,0)), HYPERLINK("#",""), HYPERLINK(CONCATENATE("#metadata!", ADDRESS(INDEX($Y$2:$Y$1001,MATCH(ROWS($W$2:W407),$W$2:$W$1001,0),0), INDEX($AD$1004:$AU$1004,1,MATCH(COLUMNS($AD$1006:AU1006),$AD$1006:$AU$1006,0)))),"Fix")))</f>
        <v xml:space="preserve"> </v>
      </c>
      <c r="W407">
        <v>406</v>
      </c>
      <c r="X407">
        <v>100407</v>
      </c>
      <c r="Y407">
        <v>407</v>
      </c>
      <c r="Z407" t="b">
        <f t="shared" si="6"/>
        <v>1</v>
      </c>
      <c r="AA407" t="b">
        <f>COUNTBLANK(metadata!B407:S407)=COLUMNS(metadata!B407:S407)</f>
        <v>1</v>
      </c>
      <c r="AB407" t="str">
        <v/>
      </c>
      <c r="AD407" t="b">
        <f ca="1">AND(IF(metadata!B407="",FALSE,TRUE),COUNTIF(metadata!B:B, metadata!B407) = 1,NOT(ISERROR(SUMPRODUCT(SEARCH(MID(metadata!B407,ROW(INDIRECT("1:"&amp;LEN(metadata!B407))), 1),"0123456789abcdefghijklmnopqrstuvwxyzABCDEFGHIJKLMNOPQRSTUVWXYZ.")))))</f>
        <v>0</v>
      </c>
      <c r="AE407" t="b">
        <f>OR(AND(IF(metadata!C407="",FALSE,TRUE),OR(EXACT(metadata!C407,"not applicable"),EXACT(metadata!C407,"missing: not collected"),EXACT(metadata!C407,"missing: not provided"),EXACT(metadata!C407,"missing: restricted access"))),AND(IF(metadata!C407="",FALSE,ISNUMBER(VALUE(metadata!C407))),metadata!C407&gt;0))</f>
        <v>0</v>
      </c>
      <c r="AF407" t="b">
        <f>AND(IF(metadata!D407="",FALSE,TRUE),EXACT(metadata!D407,"missing: not provided"))</f>
        <v>0</v>
      </c>
      <c r="AG407" t="b">
        <f>AND(IF(metadata!E407="",FALSE,TRUE),EXACT(metadata!E407,"Host-associated"))</f>
        <v>0</v>
      </c>
      <c r="AH407" t="b">
        <f>AND(IF(metadata!F407="",FALSE,TRUE),OR(EXACT(metadata!F407,"Animal"),EXACT(metadata!F407,"Fungus"),EXACT(metadata!F407,"Plant")))</f>
        <v>0</v>
      </c>
      <c r="AI407" t="b">
        <f>AND(IF(metadata!G407="",FALSE,TRUE),OR(EXACT(metadata!G407,"Plant secretion"),EXACT(metadata!G407,"Plant rhizosphere"),EXACT(metadata!G407,"Plant surface"),EXACT(metadata!G407,"Plant corpus"),EXACT(metadata!G407,"Fungus surface"),EXACT(metadata!G407,"Fungus corpus"),EXACT(metadata!G407,"Animal surface"),EXACT(metadata!G407,"Animal proximal gut"),EXACT(metadata!G407,"Animal corpus"),EXACT(metadata!G407,"Animal distal gut"),EXACT(metadata!G407,"Animal secretion")))</f>
        <v>0</v>
      </c>
      <c r="AJ407" t="b">
        <f>OR(AND(IF(metadata!H407="",FALSE,TRUE),OR(EXACT(metadata!H407,"missing: not collected"),EXACT(metadata!H407,"missing: not provided"),EXACT(metadata!H407,"missing: restricted access"))),AND(IF(metadata!H407="",FALSE,TRUE),OR(EXACT(metadata!H407,"organism-associated habitat"),EXACT(metadata!H407,"plant-associated habitat"),EXACT(metadata!H407,"animal-associated habitat"),EXACT(metadata!H407,"insecta-associated habitat"),EXACT(metadata!H407,"mammalia-associated habitat"),EXACT(metadata!H407,"human-associated habitat"),EXACT(metadata!H407,"livestock-associated habitat"))))</f>
        <v>0</v>
      </c>
      <c r="AK407" t="b">
        <f>AND(IF(metadata!I407="",FALSE,TRUE),EXACT(metadata!I407,"host-associated"))</f>
        <v>0</v>
      </c>
      <c r="AL407" t="b">
        <f>OR(AND(IF(metadata!J407="",FALSE,TRUE),OR(EXACT(metadata!J407,"not applicable"),EXACT(metadata!J407,"missing: not collected"),EXACT(metadata!J407,"missing: not provided"),EXACT(metadata!J407,"missing: restricted access"))),AND(IF(metadata!J407="",FALSE,ISNUMBER(VALUE(metadata!J407))),metadata!J407&gt;0))</f>
        <v>0</v>
      </c>
      <c r="AM407" t="b">
        <f>AND(IF(metadata!K407="",FALSE,TRUE),EXACT(metadata!K407,"missing: not provided"))</f>
        <v>0</v>
      </c>
      <c r="AN407" t="b">
        <f>IF(metadata!L407="",FALSE,TRUE)</f>
        <v>0</v>
      </c>
      <c r="AO407" t="b">
        <f>IF(metadata!M407="",FALSE,TRUE)</f>
        <v>0</v>
      </c>
      <c r="AP407" t="b">
        <f>OR(AND(IF(metadata!N407="",FALSE,TRUE),OR(EXACT(metadata!N407,"not applicable"),EXACT(metadata!N407,"missing: not collected"),EXACT(metadata!N407,"missing: not provided"))),AND(IF(metadata!N407="",FALSE,IF(ISERROR(INT(metadata!N407)),FALSE,INT(metadata!N407)=metadata!N407)),metadata!N407&gt;0))</f>
        <v>0</v>
      </c>
      <c r="AQ407" t="b">
        <f>AND(IF(metadata!O407="",FALSE,TRUE),EXACT(metadata!O407,"Not applicable"))</f>
        <v>0</v>
      </c>
      <c r="AR407" t="b">
        <f>OR(AND(IF(metadata!P407="",FALSE,TRUE),OR(EXACT(metadata!P407,"not applicable"),EXACT(metadata!P407,"missing: not collected"),EXACT(metadata!P407,"missing: not provided"),EXACT(metadata!P407,"missing: restricted access"))),IF(metadata!P407="",FALSE,IF(ISERROR(INT(metadata!P407)),FALSE,INT(metadata!P407)=metadata!P407)))</f>
        <v>0</v>
      </c>
      <c r="AS407" t="b">
        <f>AND(IF(metadata!Q407="",FALSE,TRUE),EXACT(metadata!Q407,"Not applicable"))</f>
        <v>0</v>
      </c>
      <c r="AT407" t="b">
        <f>OR(AND(IF(metadata!R407="",FALSE,TRUE),OR(EXACT(metadata!R407,"not applicable"),EXACT(metadata!R407,"missing: not collected"),EXACT(metadata!R407,"missing: not provided"),EXACT(metadata!R407,"missing: restricted access"))),AND(IF(metadata!R407="",FALSE,ISNUMBER(VALUE(metadata!R407))),metadata!R407&gt;0))</f>
        <v>0</v>
      </c>
      <c r="AU407" t="b">
        <f>AND(IF(metadata!S407="",FALSE,TRUE),EXACT(metadata!S407,"missing: not provided"))</f>
        <v>0</v>
      </c>
    </row>
    <row r="408" spans="1:47" x14ac:dyDescent="0.2">
      <c r="A408" s="5" t="str">
        <f ca="1">IF(B408=" "," ",HYPERLINK(CONCATENATE("#metadata!",ADDRESS(INDEX($Y$2:$Y$1001,MATCH(ROWS($W$2:W408),$W$2:$W$1001,0),0),1)),INDEX($AB$2:$AB$1001,MATCH(ROWS($W$2:W408),$W$2:$W$1001,0),0)))</f>
        <v xml:space="preserve"> </v>
      </c>
      <c r="B408" s="4" t="str">
        <f ca="1">IF(OR(INDEX($X$2:$X$1001,MATCH(ROWS($W$2:W408),$W$2:$W$1001,0),1)&gt;=100000,INDEX($AD$1005:$AU$1005,1,MATCH(COLUMNS($AD$1006:AD1006),$AD$1006:$AU$1006,0))&gt;=100000), " ",IF(INDEX($AD$2:$AU$1001,MATCH(ROWS($W$2:W408),$W$2:$W$1001,0),MATCH(COLUMNS($AD$1006:AD1006),$AD$1006:$AU$1006,0)), HYPERLINK("#",""), HYPERLINK(CONCATENATE("#metadata!", ADDRESS(INDEX($Y$2:$Y$1001,MATCH(ROWS($W$2:W408),$W$2:$W$1001,0),0), INDEX($AD$1004:$AU$1004,1,MATCH(COLUMNS($AD$1006:AD1006),$AD$1006:$AU$1006,0)))),"Fix")))</f>
        <v xml:space="preserve"> </v>
      </c>
      <c r="C408" s="4" t="str">
        <f ca="1">IF(OR(INDEX($X$2:$X$1001,MATCH(ROWS($W$2:W408),$W$2:$W$1001,0),1)&gt;=100000,INDEX($AD$1005:$AU$1005,1,MATCH(COLUMNS($AD$1006:AE1006),$AD$1006:$AU$1006,0))&gt;=100000), " ",IF(INDEX($AD$2:$AU$1001,MATCH(ROWS($W$2:W408),$W$2:$W$1001,0),MATCH(COLUMNS($AD$1006:AE1006),$AD$1006:$AU$1006,0)), HYPERLINK("#",""), HYPERLINK(CONCATENATE("#metadata!", ADDRESS(INDEX($Y$2:$Y$1001,MATCH(ROWS($W$2:W408),$W$2:$W$1001,0),0), INDEX($AD$1004:$AU$1004,1,MATCH(COLUMNS($AD$1006:AE1006),$AD$1006:$AU$1006,0)))),"Fix")))</f>
        <v xml:space="preserve"> </v>
      </c>
      <c r="D408" s="4" t="str">
        <f ca="1">IF(OR(INDEX($X$2:$X$1001,MATCH(ROWS($W$2:W408),$W$2:$W$1001,0),1)&gt;=100000,INDEX($AD$1005:$AU$1005,1,MATCH(COLUMNS($AD$1006:AF1006),$AD$1006:$AU$1006,0))&gt;=100000), " ",IF(INDEX($AD$2:$AU$1001,MATCH(ROWS($W$2:W408),$W$2:$W$1001,0),MATCH(COLUMNS($AD$1006:AF1006),$AD$1006:$AU$1006,0)), HYPERLINK("#",""), HYPERLINK(CONCATENATE("#metadata!", ADDRESS(INDEX($Y$2:$Y$1001,MATCH(ROWS($W$2:W408),$W$2:$W$1001,0),0), INDEX($AD$1004:$AU$1004,1,MATCH(COLUMNS($AD$1006:AF1006),$AD$1006:$AU$1006,0)))),"Fix")))</f>
        <v xml:space="preserve"> </v>
      </c>
      <c r="E408" s="4" t="str">
        <f ca="1">IF(OR(INDEX($X$2:$X$1001,MATCH(ROWS($W$2:W408),$W$2:$W$1001,0),1)&gt;=100000,INDEX($AD$1005:$AU$1005,1,MATCH(COLUMNS($AD$1006:AG1006),$AD$1006:$AU$1006,0))&gt;=100000), " ",IF(INDEX($AD$2:$AU$1001,MATCH(ROWS($W$2:W408),$W$2:$W$1001,0),MATCH(COLUMNS($AD$1006:AG1006),$AD$1006:$AU$1006,0)), HYPERLINK("#",""), HYPERLINK(CONCATENATE("#metadata!", ADDRESS(INDEX($Y$2:$Y$1001,MATCH(ROWS($W$2:W408),$W$2:$W$1001,0),0), INDEX($AD$1004:$AU$1004,1,MATCH(COLUMNS($AD$1006:AG1006),$AD$1006:$AU$1006,0)))),"Fix")))</f>
        <v xml:space="preserve"> </v>
      </c>
      <c r="F408" s="4" t="str">
        <f ca="1">IF(OR(INDEX($X$2:$X$1001,MATCH(ROWS($W$2:W408),$W$2:$W$1001,0),1)&gt;=100000,INDEX($AD$1005:$AU$1005,1,MATCH(COLUMNS($AD$1006:AH1006),$AD$1006:$AU$1006,0))&gt;=100000), " ",IF(INDEX($AD$2:$AU$1001,MATCH(ROWS($W$2:W408),$W$2:$W$1001,0),MATCH(COLUMNS($AD$1006:AH1006),$AD$1006:$AU$1006,0)), HYPERLINK("#",""), HYPERLINK(CONCATENATE("#metadata!", ADDRESS(INDEX($Y$2:$Y$1001,MATCH(ROWS($W$2:W408),$W$2:$W$1001,0),0), INDEX($AD$1004:$AU$1004,1,MATCH(COLUMNS($AD$1006:AH1006),$AD$1006:$AU$1006,0)))),"Fix")))</f>
        <v xml:space="preserve"> </v>
      </c>
      <c r="G408" s="4" t="str">
        <f ca="1">IF(OR(INDEX($X$2:$X$1001,MATCH(ROWS($W$2:W408),$W$2:$W$1001,0),1)&gt;=100000,INDEX($AD$1005:$AU$1005,1,MATCH(COLUMNS($AD$1006:AI1006),$AD$1006:$AU$1006,0))&gt;=100000), " ",IF(INDEX($AD$2:$AU$1001,MATCH(ROWS($W$2:W408),$W$2:$W$1001,0),MATCH(COLUMNS($AD$1006:AI1006),$AD$1006:$AU$1006,0)), HYPERLINK("#",""), HYPERLINK(CONCATENATE("#metadata!", ADDRESS(INDEX($Y$2:$Y$1001,MATCH(ROWS($W$2:W408),$W$2:$W$1001,0),0), INDEX($AD$1004:$AU$1004,1,MATCH(COLUMNS($AD$1006:AI1006),$AD$1006:$AU$1006,0)))),"Fix")))</f>
        <v xml:space="preserve"> </v>
      </c>
      <c r="H408" s="4" t="str">
        <f ca="1">IF(OR(INDEX($X$2:$X$1001,MATCH(ROWS($W$2:W408),$W$2:$W$1001,0),1)&gt;=100000,INDEX($AD$1005:$AU$1005,1,MATCH(COLUMNS($AD$1006:AJ1006),$AD$1006:$AU$1006,0))&gt;=100000), " ",IF(INDEX($AD$2:$AU$1001,MATCH(ROWS($W$2:W408),$W$2:$W$1001,0),MATCH(COLUMNS($AD$1006:AJ1006),$AD$1006:$AU$1006,0)), HYPERLINK("#",""), HYPERLINK(CONCATENATE("#metadata!", ADDRESS(INDEX($Y$2:$Y$1001,MATCH(ROWS($W$2:W408),$W$2:$W$1001,0),0), INDEX($AD$1004:$AU$1004,1,MATCH(COLUMNS($AD$1006:AJ1006),$AD$1006:$AU$1006,0)))),"Fix")))</f>
        <v xml:space="preserve"> </v>
      </c>
      <c r="I408" s="4" t="str">
        <f ca="1">IF(OR(INDEX($X$2:$X$1001,MATCH(ROWS($W$2:W408),$W$2:$W$1001,0),1)&gt;=100000,INDEX($AD$1005:$AU$1005,1,MATCH(COLUMNS($AD$1006:AK1006),$AD$1006:$AU$1006,0))&gt;=100000), " ",IF(INDEX($AD$2:$AU$1001,MATCH(ROWS($W$2:W408),$W$2:$W$1001,0),MATCH(COLUMNS($AD$1006:AK1006),$AD$1006:$AU$1006,0)), HYPERLINK("#",""), HYPERLINK(CONCATENATE("#metadata!", ADDRESS(INDEX($Y$2:$Y$1001,MATCH(ROWS($W$2:W408),$W$2:$W$1001,0),0), INDEX($AD$1004:$AU$1004,1,MATCH(COLUMNS($AD$1006:AK1006),$AD$1006:$AU$1006,0)))),"Fix")))</f>
        <v xml:space="preserve"> </v>
      </c>
      <c r="J408" s="4" t="str">
        <f ca="1">IF(OR(INDEX($X$2:$X$1001,MATCH(ROWS($W$2:W408),$W$2:$W$1001,0),1)&gt;=100000,INDEX($AD$1005:$AU$1005,1,MATCH(COLUMNS($AD$1006:AL1006),$AD$1006:$AU$1006,0))&gt;=100000), " ",IF(INDEX($AD$2:$AU$1001,MATCH(ROWS($W$2:W408),$W$2:$W$1001,0),MATCH(COLUMNS($AD$1006:AL1006),$AD$1006:$AU$1006,0)), HYPERLINK("#",""), HYPERLINK(CONCATENATE("#metadata!", ADDRESS(INDEX($Y$2:$Y$1001,MATCH(ROWS($W$2:W408),$W$2:$W$1001,0),0), INDEX($AD$1004:$AU$1004,1,MATCH(COLUMNS($AD$1006:AL1006),$AD$1006:$AU$1006,0)))),"Fix")))</f>
        <v xml:space="preserve"> </v>
      </c>
      <c r="K408" s="4" t="str">
        <f ca="1">IF(OR(INDEX($X$2:$X$1001,MATCH(ROWS($W$2:W408),$W$2:$W$1001,0),1)&gt;=100000,INDEX($AD$1005:$AU$1005,1,MATCH(COLUMNS($AD$1006:AM1006),$AD$1006:$AU$1006,0))&gt;=100000), " ",IF(INDEX($AD$2:$AU$1001,MATCH(ROWS($W$2:W408),$W$2:$W$1001,0),MATCH(COLUMNS($AD$1006:AM1006),$AD$1006:$AU$1006,0)), HYPERLINK("#",""), HYPERLINK(CONCATENATE("#metadata!", ADDRESS(INDEX($Y$2:$Y$1001,MATCH(ROWS($W$2:W408),$W$2:$W$1001,0),0), INDEX($AD$1004:$AU$1004,1,MATCH(COLUMNS($AD$1006:AM1006),$AD$1006:$AU$1006,0)))),"Fix")))</f>
        <v xml:space="preserve"> </v>
      </c>
      <c r="L408" s="4" t="str">
        <f ca="1">IF(OR(INDEX($X$2:$X$1001,MATCH(ROWS($W$2:W408),$W$2:$W$1001,0),1)&gt;=100000,INDEX($AD$1005:$AU$1005,1,MATCH(COLUMNS($AD$1006:AN1006),$AD$1006:$AU$1006,0))&gt;=100000), " ",IF(INDEX($AD$2:$AU$1001,MATCH(ROWS($W$2:W408),$W$2:$W$1001,0),MATCH(COLUMNS($AD$1006:AN1006),$AD$1006:$AU$1006,0)), HYPERLINK("#",""), HYPERLINK(CONCATENATE("#metadata!", ADDRESS(INDEX($Y$2:$Y$1001,MATCH(ROWS($W$2:W408),$W$2:$W$1001,0),0), INDEX($AD$1004:$AU$1004,1,MATCH(COLUMNS($AD$1006:AN1006),$AD$1006:$AU$1006,0)))),"Fix")))</f>
        <v xml:space="preserve"> </v>
      </c>
      <c r="M408" s="4" t="str">
        <f ca="1">IF(OR(INDEX($X$2:$X$1001,MATCH(ROWS($W$2:W408),$W$2:$W$1001,0),1)&gt;=100000,INDEX($AD$1005:$AU$1005,1,MATCH(COLUMNS($AD$1006:AO1006),$AD$1006:$AU$1006,0))&gt;=100000), " ",IF(INDEX($AD$2:$AU$1001,MATCH(ROWS($W$2:W408),$W$2:$W$1001,0),MATCH(COLUMNS($AD$1006:AO1006),$AD$1006:$AU$1006,0)), HYPERLINK("#",""), HYPERLINK(CONCATENATE("#metadata!", ADDRESS(INDEX($Y$2:$Y$1001,MATCH(ROWS($W$2:W408),$W$2:$W$1001,0),0), INDEX($AD$1004:$AU$1004,1,MATCH(COLUMNS($AD$1006:AO1006),$AD$1006:$AU$1006,0)))),"Fix")))</f>
        <v xml:space="preserve"> </v>
      </c>
      <c r="N408" s="4" t="str">
        <f ca="1">IF(OR(INDEX($X$2:$X$1001,MATCH(ROWS($W$2:W408),$W$2:$W$1001,0),1)&gt;=100000,INDEX($AD$1005:$AU$1005,1,MATCH(COLUMNS($AD$1006:AP1006),$AD$1006:$AU$1006,0))&gt;=100000), " ",IF(INDEX($AD$2:$AU$1001,MATCH(ROWS($W$2:W408),$W$2:$W$1001,0),MATCH(COLUMNS($AD$1006:AP1006),$AD$1006:$AU$1006,0)), HYPERLINK("#",""), HYPERLINK(CONCATENATE("#metadata!", ADDRESS(INDEX($Y$2:$Y$1001,MATCH(ROWS($W$2:W408),$W$2:$W$1001,0),0), INDEX($AD$1004:$AU$1004,1,MATCH(COLUMNS($AD$1006:AP1006),$AD$1006:$AU$1006,0)))),"Fix")))</f>
        <v xml:space="preserve"> </v>
      </c>
      <c r="O408" s="4" t="str">
        <f ca="1">IF(OR(INDEX($X$2:$X$1001,MATCH(ROWS($W$2:W408),$W$2:$W$1001,0),1)&gt;=100000,INDEX($AD$1005:$AU$1005,1,MATCH(COLUMNS($AD$1006:AQ1006),$AD$1006:$AU$1006,0))&gt;=100000), " ",IF(INDEX($AD$2:$AU$1001,MATCH(ROWS($W$2:W408),$W$2:$W$1001,0),MATCH(COLUMNS($AD$1006:AQ1006),$AD$1006:$AU$1006,0)), HYPERLINK("#",""), HYPERLINK(CONCATENATE("#metadata!", ADDRESS(INDEX($Y$2:$Y$1001,MATCH(ROWS($W$2:W408),$W$2:$W$1001,0),0), INDEX($AD$1004:$AU$1004,1,MATCH(COLUMNS($AD$1006:AQ1006),$AD$1006:$AU$1006,0)))),"Fix")))</f>
        <v xml:space="preserve"> </v>
      </c>
      <c r="P408" s="4" t="str">
        <f ca="1">IF(OR(INDEX($X$2:$X$1001,MATCH(ROWS($W$2:W408),$W$2:$W$1001,0),1)&gt;=100000,INDEX($AD$1005:$AU$1005,1,MATCH(COLUMNS($AD$1006:AR1006),$AD$1006:$AU$1006,0))&gt;=100000), " ",IF(INDEX($AD$2:$AU$1001,MATCH(ROWS($W$2:W408),$W$2:$W$1001,0),MATCH(COLUMNS($AD$1006:AR1006),$AD$1006:$AU$1006,0)), HYPERLINK("#",""), HYPERLINK(CONCATENATE("#metadata!", ADDRESS(INDEX($Y$2:$Y$1001,MATCH(ROWS($W$2:W408),$W$2:$W$1001,0),0), INDEX($AD$1004:$AU$1004,1,MATCH(COLUMNS($AD$1006:AR1006),$AD$1006:$AU$1006,0)))),"Fix")))</f>
        <v xml:space="preserve"> </v>
      </c>
      <c r="Q408" s="4" t="str">
        <f ca="1">IF(OR(INDEX($X$2:$X$1001,MATCH(ROWS($W$2:W408),$W$2:$W$1001,0),1)&gt;=100000,INDEX($AD$1005:$AU$1005,1,MATCH(COLUMNS($AD$1006:AS1006),$AD$1006:$AU$1006,0))&gt;=100000), " ",IF(INDEX($AD$2:$AU$1001,MATCH(ROWS($W$2:W408),$W$2:$W$1001,0),MATCH(COLUMNS($AD$1006:AS1006),$AD$1006:$AU$1006,0)), HYPERLINK("#",""), HYPERLINK(CONCATENATE("#metadata!", ADDRESS(INDEX($Y$2:$Y$1001,MATCH(ROWS($W$2:W408),$W$2:$W$1001,0),0), INDEX($AD$1004:$AU$1004,1,MATCH(COLUMNS($AD$1006:AS1006),$AD$1006:$AU$1006,0)))),"Fix")))</f>
        <v xml:space="preserve"> </v>
      </c>
      <c r="R408" s="4" t="str">
        <f ca="1">IF(OR(INDEX($X$2:$X$1001,MATCH(ROWS($W$2:W408),$W$2:$W$1001,0),1)&gt;=100000,INDEX($AD$1005:$AU$1005,1,MATCH(COLUMNS($AD$1006:AT1006),$AD$1006:$AU$1006,0))&gt;=100000), " ",IF(INDEX($AD$2:$AU$1001,MATCH(ROWS($W$2:W408),$W$2:$W$1001,0),MATCH(COLUMNS($AD$1006:AT1006),$AD$1006:$AU$1006,0)), HYPERLINK("#",""), HYPERLINK(CONCATENATE("#metadata!", ADDRESS(INDEX($Y$2:$Y$1001,MATCH(ROWS($W$2:W408),$W$2:$W$1001,0),0), INDEX($AD$1004:$AU$1004,1,MATCH(COLUMNS($AD$1006:AT1006),$AD$1006:$AU$1006,0)))),"Fix")))</f>
        <v xml:space="preserve"> </v>
      </c>
      <c r="S408" s="4" t="str">
        <f ca="1">IF(OR(INDEX($X$2:$X$1001,MATCH(ROWS($W$2:W408),$W$2:$W$1001,0),1)&gt;=100000,INDEX($AD$1005:$AU$1005,1,MATCH(COLUMNS($AD$1006:AU1006),$AD$1006:$AU$1006,0))&gt;=100000), " ",IF(INDEX($AD$2:$AU$1001,MATCH(ROWS($W$2:W408),$W$2:$W$1001,0),MATCH(COLUMNS($AD$1006:AU1006),$AD$1006:$AU$1006,0)), HYPERLINK("#",""), HYPERLINK(CONCATENATE("#metadata!", ADDRESS(INDEX($Y$2:$Y$1001,MATCH(ROWS($W$2:W408),$W$2:$W$1001,0),0), INDEX($AD$1004:$AU$1004,1,MATCH(COLUMNS($AD$1006:AU1006),$AD$1006:$AU$1006,0)))),"Fix")))</f>
        <v xml:space="preserve"> </v>
      </c>
      <c r="W408">
        <v>407</v>
      </c>
      <c r="X408">
        <v>100408</v>
      </c>
      <c r="Y408">
        <v>408</v>
      </c>
      <c r="Z408" t="b">
        <f t="shared" si="6"/>
        <v>1</v>
      </c>
      <c r="AA408" t="b">
        <f>COUNTBLANK(metadata!B408:S408)=COLUMNS(metadata!B408:S408)</f>
        <v>1</v>
      </c>
      <c r="AB408" t="str">
        <v/>
      </c>
      <c r="AD408" t="b">
        <f ca="1">AND(IF(metadata!B408="",FALSE,TRUE),COUNTIF(metadata!B:B, metadata!B408) = 1,NOT(ISERROR(SUMPRODUCT(SEARCH(MID(metadata!B408,ROW(INDIRECT("1:"&amp;LEN(metadata!B408))), 1),"0123456789abcdefghijklmnopqrstuvwxyzABCDEFGHIJKLMNOPQRSTUVWXYZ.")))))</f>
        <v>0</v>
      </c>
      <c r="AE408" t="b">
        <f>OR(AND(IF(metadata!C408="",FALSE,TRUE),OR(EXACT(metadata!C408,"not applicable"),EXACT(metadata!C408,"missing: not collected"),EXACT(metadata!C408,"missing: not provided"),EXACT(metadata!C408,"missing: restricted access"))),AND(IF(metadata!C408="",FALSE,ISNUMBER(VALUE(metadata!C408))),metadata!C408&gt;0))</f>
        <v>0</v>
      </c>
      <c r="AF408" t="b">
        <f>AND(IF(metadata!D408="",FALSE,TRUE),EXACT(metadata!D408,"missing: not provided"))</f>
        <v>0</v>
      </c>
      <c r="AG408" t="b">
        <f>AND(IF(metadata!E408="",FALSE,TRUE),EXACT(metadata!E408,"Host-associated"))</f>
        <v>0</v>
      </c>
      <c r="AH408" t="b">
        <f>AND(IF(metadata!F408="",FALSE,TRUE),OR(EXACT(metadata!F408,"Animal"),EXACT(metadata!F408,"Fungus"),EXACT(metadata!F408,"Plant")))</f>
        <v>0</v>
      </c>
      <c r="AI408" t="b">
        <f>AND(IF(metadata!G408="",FALSE,TRUE),OR(EXACT(metadata!G408,"Plant secretion"),EXACT(metadata!G408,"Plant rhizosphere"),EXACT(metadata!G408,"Plant surface"),EXACT(metadata!G408,"Plant corpus"),EXACT(metadata!G408,"Fungus surface"),EXACT(metadata!G408,"Fungus corpus"),EXACT(metadata!G408,"Animal surface"),EXACT(metadata!G408,"Animal proximal gut"),EXACT(metadata!G408,"Animal corpus"),EXACT(metadata!G408,"Animal distal gut"),EXACT(metadata!G408,"Animal secretion")))</f>
        <v>0</v>
      </c>
      <c r="AJ408" t="b">
        <f>OR(AND(IF(metadata!H408="",FALSE,TRUE),OR(EXACT(metadata!H408,"missing: not collected"),EXACT(metadata!H408,"missing: not provided"),EXACT(metadata!H408,"missing: restricted access"))),AND(IF(metadata!H408="",FALSE,TRUE),OR(EXACT(metadata!H408,"organism-associated habitat"),EXACT(metadata!H408,"plant-associated habitat"),EXACT(metadata!H408,"animal-associated habitat"),EXACT(metadata!H408,"insecta-associated habitat"),EXACT(metadata!H408,"mammalia-associated habitat"),EXACT(metadata!H408,"human-associated habitat"),EXACT(metadata!H408,"livestock-associated habitat"))))</f>
        <v>0</v>
      </c>
      <c r="AK408" t="b">
        <f>AND(IF(metadata!I408="",FALSE,TRUE),EXACT(metadata!I408,"host-associated"))</f>
        <v>0</v>
      </c>
      <c r="AL408" t="b">
        <f>OR(AND(IF(metadata!J408="",FALSE,TRUE),OR(EXACT(metadata!J408,"not applicable"),EXACT(metadata!J408,"missing: not collected"),EXACT(metadata!J408,"missing: not provided"),EXACT(metadata!J408,"missing: restricted access"))),AND(IF(metadata!J408="",FALSE,ISNUMBER(VALUE(metadata!J408))),metadata!J408&gt;0))</f>
        <v>0</v>
      </c>
      <c r="AM408" t="b">
        <f>AND(IF(metadata!K408="",FALSE,TRUE),EXACT(metadata!K408,"missing: not provided"))</f>
        <v>0</v>
      </c>
      <c r="AN408" t="b">
        <f>IF(metadata!L408="",FALSE,TRUE)</f>
        <v>0</v>
      </c>
      <c r="AO408" t="b">
        <f>IF(metadata!M408="",FALSE,TRUE)</f>
        <v>0</v>
      </c>
      <c r="AP408" t="b">
        <f>OR(AND(IF(metadata!N408="",FALSE,TRUE),OR(EXACT(metadata!N408,"not applicable"),EXACT(metadata!N408,"missing: not collected"),EXACT(metadata!N408,"missing: not provided"))),AND(IF(metadata!N408="",FALSE,IF(ISERROR(INT(metadata!N408)),FALSE,INT(metadata!N408)=metadata!N408)),metadata!N408&gt;0))</f>
        <v>0</v>
      </c>
      <c r="AQ408" t="b">
        <f>AND(IF(metadata!O408="",FALSE,TRUE),EXACT(metadata!O408,"Not applicable"))</f>
        <v>0</v>
      </c>
      <c r="AR408" t="b">
        <f>OR(AND(IF(metadata!P408="",FALSE,TRUE),OR(EXACT(metadata!P408,"not applicable"),EXACT(metadata!P408,"missing: not collected"),EXACT(metadata!P408,"missing: not provided"),EXACT(metadata!P408,"missing: restricted access"))),IF(metadata!P408="",FALSE,IF(ISERROR(INT(metadata!P408)),FALSE,INT(metadata!P408)=metadata!P408)))</f>
        <v>0</v>
      </c>
      <c r="AS408" t="b">
        <f>AND(IF(metadata!Q408="",FALSE,TRUE),EXACT(metadata!Q408,"Not applicable"))</f>
        <v>0</v>
      </c>
      <c r="AT408" t="b">
        <f>OR(AND(IF(metadata!R408="",FALSE,TRUE),OR(EXACT(metadata!R408,"not applicable"),EXACT(metadata!R408,"missing: not collected"),EXACT(metadata!R408,"missing: not provided"),EXACT(metadata!R408,"missing: restricted access"))),AND(IF(metadata!R408="",FALSE,ISNUMBER(VALUE(metadata!R408))),metadata!R408&gt;0))</f>
        <v>0</v>
      </c>
      <c r="AU408" t="b">
        <f>AND(IF(metadata!S408="",FALSE,TRUE),EXACT(metadata!S408,"missing: not provided"))</f>
        <v>0</v>
      </c>
    </row>
    <row r="409" spans="1:47" x14ac:dyDescent="0.2">
      <c r="A409" s="5" t="str">
        <f ca="1">IF(B409=" "," ",HYPERLINK(CONCATENATE("#metadata!",ADDRESS(INDEX($Y$2:$Y$1001,MATCH(ROWS($W$2:W409),$W$2:$W$1001,0),0),1)),INDEX($AB$2:$AB$1001,MATCH(ROWS($W$2:W409),$W$2:$W$1001,0),0)))</f>
        <v xml:space="preserve"> </v>
      </c>
      <c r="B409" s="4" t="str">
        <f ca="1">IF(OR(INDEX($X$2:$X$1001,MATCH(ROWS($W$2:W409),$W$2:$W$1001,0),1)&gt;=100000,INDEX($AD$1005:$AU$1005,1,MATCH(COLUMNS($AD$1006:AD1006),$AD$1006:$AU$1006,0))&gt;=100000), " ",IF(INDEX($AD$2:$AU$1001,MATCH(ROWS($W$2:W409),$W$2:$W$1001,0),MATCH(COLUMNS($AD$1006:AD1006),$AD$1006:$AU$1006,0)), HYPERLINK("#",""), HYPERLINK(CONCATENATE("#metadata!", ADDRESS(INDEX($Y$2:$Y$1001,MATCH(ROWS($W$2:W409),$W$2:$W$1001,0),0), INDEX($AD$1004:$AU$1004,1,MATCH(COLUMNS($AD$1006:AD1006),$AD$1006:$AU$1006,0)))),"Fix")))</f>
        <v xml:space="preserve"> </v>
      </c>
      <c r="C409" s="4" t="str">
        <f ca="1">IF(OR(INDEX($X$2:$X$1001,MATCH(ROWS($W$2:W409),$W$2:$W$1001,0),1)&gt;=100000,INDEX($AD$1005:$AU$1005,1,MATCH(COLUMNS($AD$1006:AE1006),$AD$1006:$AU$1006,0))&gt;=100000), " ",IF(INDEX($AD$2:$AU$1001,MATCH(ROWS($W$2:W409),$W$2:$W$1001,0),MATCH(COLUMNS($AD$1006:AE1006),$AD$1006:$AU$1006,0)), HYPERLINK("#",""), HYPERLINK(CONCATENATE("#metadata!", ADDRESS(INDEX($Y$2:$Y$1001,MATCH(ROWS($W$2:W409),$W$2:$W$1001,0),0), INDEX($AD$1004:$AU$1004,1,MATCH(COLUMNS($AD$1006:AE1006),$AD$1006:$AU$1006,0)))),"Fix")))</f>
        <v xml:space="preserve"> </v>
      </c>
      <c r="D409" s="4" t="str">
        <f ca="1">IF(OR(INDEX($X$2:$X$1001,MATCH(ROWS($W$2:W409),$W$2:$W$1001,0),1)&gt;=100000,INDEX($AD$1005:$AU$1005,1,MATCH(COLUMNS($AD$1006:AF1006),$AD$1006:$AU$1006,0))&gt;=100000), " ",IF(INDEX($AD$2:$AU$1001,MATCH(ROWS($W$2:W409),$W$2:$W$1001,0),MATCH(COLUMNS($AD$1006:AF1006),$AD$1006:$AU$1006,0)), HYPERLINK("#",""), HYPERLINK(CONCATENATE("#metadata!", ADDRESS(INDEX($Y$2:$Y$1001,MATCH(ROWS($W$2:W409),$W$2:$W$1001,0),0), INDEX($AD$1004:$AU$1004,1,MATCH(COLUMNS($AD$1006:AF1006),$AD$1006:$AU$1006,0)))),"Fix")))</f>
        <v xml:space="preserve"> </v>
      </c>
      <c r="E409" s="4" t="str">
        <f ca="1">IF(OR(INDEX($X$2:$X$1001,MATCH(ROWS($W$2:W409),$W$2:$W$1001,0),1)&gt;=100000,INDEX($AD$1005:$AU$1005,1,MATCH(COLUMNS($AD$1006:AG1006),$AD$1006:$AU$1006,0))&gt;=100000), " ",IF(INDEX($AD$2:$AU$1001,MATCH(ROWS($W$2:W409),$W$2:$W$1001,0),MATCH(COLUMNS($AD$1006:AG1006),$AD$1006:$AU$1006,0)), HYPERLINK("#",""), HYPERLINK(CONCATENATE("#metadata!", ADDRESS(INDEX($Y$2:$Y$1001,MATCH(ROWS($W$2:W409),$W$2:$W$1001,0),0), INDEX($AD$1004:$AU$1004,1,MATCH(COLUMNS($AD$1006:AG1006),$AD$1006:$AU$1006,0)))),"Fix")))</f>
        <v xml:space="preserve"> </v>
      </c>
      <c r="F409" s="4" t="str">
        <f ca="1">IF(OR(INDEX($X$2:$X$1001,MATCH(ROWS($W$2:W409),$W$2:$W$1001,0),1)&gt;=100000,INDEX($AD$1005:$AU$1005,1,MATCH(COLUMNS($AD$1006:AH1006),$AD$1006:$AU$1006,0))&gt;=100000), " ",IF(INDEX($AD$2:$AU$1001,MATCH(ROWS($W$2:W409),$W$2:$W$1001,0),MATCH(COLUMNS($AD$1006:AH1006),$AD$1006:$AU$1006,0)), HYPERLINK("#",""), HYPERLINK(CONCATENATE("#metadata!", ADDRESS(INDEX($Y$2:$Y$1001,MATCH(ROWS($W$2:W409),$W$2:$W$1001,0),0), INDEX($AD$1004:$AU$1004,1,MATCH(COLUMNS($AD$1006:AH1006),$AD$1006:$AU$1006,0)))),"Fix")))</f>
        <v xml:space="preserve"> </v>
      </c>
      <c r="G409" s="4" t="str">
        <f ca="1">IF(OR(INDEX($X$2:$X$1001,MATCH(ROWS($W$2:W409),$W$2:$W$1001,0),1)&gt;=100000,INDEX($AD$1005:$AU$1005,1,MATCH(COLUMNS($AD$1006:AI1006),$AD$1006:$AU$1006,0))&gt;=100000), " ",IF(INDEX($AD$2:$AU$1001,MATCH(ROWS($W$2:W409),$W$2:$W$1001,0),MATCH(COLUMNS($AD$1006:AI1006),$AD$1006:$AU$1006,0)), HYPERLINK("#",""), HYPERLINK(CONCATENATE("#metadata!", ADDRESS(INDEX($Y$2:$Y$1001,MATCH(ROWS($W$2:W409),$W$2:$W$1001,0),0), INDEX($AD$1004:$AU$1004,1,MATCH(COLUMNS($AD$1006:AI1006),$AD$1006:$AU$1006,0)))),"Fix")))</f>
        <v xml:space="preserve"> </v>
      </c>
      <c r="H409" s="4" t="str">
        <f ca="1">IF(OR(INDEX($X$2:$X$1001,MATCH(ROWS($W$2:W409),$W$2:$W$1001,0),1)&gt;=100000,INDEX($AD$1005:$AU$1005,1,MATCH(COLUMNS($AD$1006:AJ1006),$AD$1006:$AU$1006,0))&gt;=100000), " ",IF(INDEX($AD$2:$AU$1001,MATCH(ROWS($W$2:W409),$W$2:$W$1001,0),MATCH(COLUMNS($AD$1006:AJ1006),$AD$1006:$AU$1006,0)), HYPERLINK("#",""), HYPERLINK(CONCATENATE("#metadata!", ADDRESS(INDEX($Y$2:$Y$1001,MATCH(ROWS($W$2:W409),$W$2:$W$1001,0),0), INDEX($AD$1004:$AU$1004,1,MATCH(COLUMNS($AD$1006:AJ1006),$AD$1006:$AU$1006,0)))),"Fix")))</f>
        <v xml:space="preserve"> </v>
      </c>
      <c r="I409" s="4" t="str">
        <f ca="1">IF(OR(INDEX($X$2:$X$1001,MATCH(ROWS($W$2:W409),$W$2:$W$1001,0),1)&gt;=100000,INDEX($AD$1005:$AU$1005,1,MATCH(COLUMNS($AD$1006:AK1006),$AD$1006:$AU$1006,0))&gt;=100000), " ",IF(INDEX($AD$2:$AU$1001,MATCH(ROWS($W$2:W409),$W$2:$W$1001,0),MATCH(COLUMNS($AD$1006:AK1006),$AD$1006:$AU$1006,0)), HYPERLINK("#",""), HYPERLINK(CONCATENATE("#metadata!", ADDRESS(INDEX($Y$2:$Y$1001,MATCH(ROWS($W$2:W409),$W$2:$W$1001,0),0), INDEX($AD$1004:$AU$1004,1,MATCH(COLUMNS($AD$1006:AK1006),$AD$1006:$AU$1006,0)))),"Fix")))</f>
        <v xml:space="preserve"> </v>
      </c>
      <c r="J409" s="4" t="str">
        <f ca="1">IF(OR(INDEX($X$2:$X$1001,MATCH(ROWS($W$2:W409),$W$2:$W$1001,0),1)&gt;=100000,INDEX($AD$1005:$AU$1005,1,MATCH(COLUMNS($AD$1006:AL1006),$AD$1006:$AU$1006,0))&gt;=100000), " ",IF(INDEX($AD$2:$AU$1001,MATCH(ROWS($W$2:W409),$W$2:$W$1001,0),MATCH(COLUMNS($AD$1006:AL1006),$AD$1006:$AU$1006,0)), HYPERLINK("#",""), HYPERLINK(CONCATENATE("#metadata!", ADDRESS(INDEX($Y$2:$Y$1001,MATCH(ROWS($W$2:W409),$W$2:$W$1001,0),0), INDEX($AD$1004:$AU$1004,1,MATCH(COLUMNS($AD$1006:AL1006),$AD$1006:$AU$1006,0)))),"Fix")))</f>
        <v xml:space="preserve"> </v>
      </c>
      <c r="K409" s="4" t="str">
        <f ca="1">IF(OR(INDEX($X$2:$X$1001,MATCH(ROWS($W$2:W409),$W$2:$W$1001,0),1)&gt;=100000,INDEX($AD$1005:$AU$1005,1,MATCH(COLUMNS($AD$1006:AM1006),$AD$1006:$AU$1006,0))&gt;=100000), " ",IF(INDEX($AD$2:$AU$1001,MATCH(ROWS($W$2:W409),$W$2:$W$1001,0),MATCH(COLUMNS($AD$1006:AM1006),$AD$1006:$AU$1006,0)), HYPERLINK("#",""), HYPERLINK(CONCATENATE("#metadata!", ADDRESS(INDEX($Y$2:$Y$1001,MATCH(ROWS($W$2:W409),$W$2:$W$1001,0),0), INDEX($AD$1004:$AU$1004,1,MATCH(COLUMNS($AD$1006:AM1006),$AD$1006:$AU$1006,0)))),"Fix")))</f>
        <v xml:space="preserve"> </v>
      </c>
      <c r="L409" s="4" t="str">
        <f ca="1">IF(OR(INDEX($X$2:$X$1001,MATCH(ROWS($W$2:W409),$W$2:$W$1001,0),1)&gt;=100000,INDEX($AD$1005:$AU$1005,1,MATCH(COLUMNS($AD$1006:AN1006),$AD$1006:$AU$1006,0))&gt;=100000), " ",IF(INDEX($AD$2:$AU$1001,MATCH(ROWS($W$2:W409),$W$2:$W$1001,0),MATCH(COLUMNS($AD$1006:AN1006),$AD$1006:$AU$1006,0)), HYPERLINK("#",""), HYPERLINK(CONCATENATE("#metadata!", ADDRESS(INDEX($Y$2:$Y$1001,MATCH(ROWS($W$2:W409),$W$2:$W$1001,0),0), INDEX($AD$1004:$AU$1004,1,MATCH(COLUMNS($AD$1006:AN1006),$AD$1006:$AU$1006,0)))),"Fix")))</f>
        <v xml:space="preserve"> </v>
      </c>
      <c r="M409" s="4" t="str">
        <f ca="1">IF(OR(INDEX($X$2:$X$1001,MATCH(ROWS($W$2:W409),$W$2:$W$1001,0),1)&gt;=100000,INDEX($AD$1005:$AU$1005,1,MATCH(COLUMNS($AD$1006:AO1006),$AD$1006:$AU$1006,0))&gt;=100000), " ",IF(INDEX($AD$2:$AU$1001,MATCH(ROWS($W$2:W409),$W$2:$W$1001,0),MATCH(COLUMNS($AD$1006:AO1006),$AD$1006:$AU$1006,0)), HYPERLINK("#",""), HYPERLINK(CONCATENATE("#metadata!", ADDRESS(INDEX($Y$2:$Y$1001,MATCH(ROWS($W$2:W409),$W$2:$W$1001,0),0), INDEX($AD$1004:$AU$1004,1,MATCH(COLUMNS($AD$1006:AO1006),$AD$1006:$AU$1006,0)))),"Fix")))</f>
        <v xml:space="preserve"> </v>
      </c>
      <c r="N409" s="4" t="str">
        <f ca="1">IF(OR(INDEX($X$2:$X$1001,MATCH(ROWS($W$2:W409),$W$2:$W$1001,0),1)&gt;=100000,INDEX($AD$1005:$AU$1005,1,MATCH(COLUMNS($AD$1006:AP1006),$AD$1006:$AU$1006,0))&gt;=100000), " ",IF(INDEX($AD$2:$AU$1001,MATCH(ROWS($W$2:W409),$W$2:$W$1001,0),MATCH(COLUMNS($AD$1006:AP1006),$AD$1006:$AU$1006,0)), HYPERLINK("#",""), HYPERLINK(CONCATENATE("#metadata!", ADDRESS(INDEX($Y$2:$Y$1001,MATCH(ROWS($W$2:W409),$W$2:$W$1001,0),0), INDEX($AD$1004:$AU$1004,1,MATCH(COLUMNS($AD$1006:AP1006),$AD$1006:$AU$1006,0)))),"Fix")))</f>
        <v xml:space="preserve"> </v>
      </c>
      <c r="O409" s="4" t="str">
        <f ca="1">IF(OR(INDEX($X$2:$X$1001,MATCH(ROWS($W$2:W409),$W$2:$W$1001,0),1)&gt;=100000,INDEX($AD$1005:$AU$1005,1,MATCH(COLUMNS($AD$1006:AQ1006),$AD$1006:$AU$1006,0))&gt;=100000), " ",IF(INDEX($AD$2:$AU$1001,MATCH(ROWS($W$2:W409),$W$2:$W$1001,0),MATCH(COLUMNS($AD$1006:AQ1006),$AD$1006:$AU$1006,0)), HYPERLINK("#",""), HYPERLINK(CONCATENATE("#metadata!", ADDRESS(INDEX($Y$2:$Y$1001,MATCH(ROWS($W$2:W409),$W$2:$W$1001,0),0), INDEX($AD$1004:$AU$1004,1,MATCH(COLUMNS($AD$1006:AQ1006),$AD$1006:$AU$1006,0)))),"Fix")))</f>
        <v xml:space="preserve"> </v>
      </c>
      <c r="P409" s="4" t="str">
        <f ca="1">IF(OR(INDEX($X$2:$X$1001,MATCH(ROWS($W$2:W409),$W$2:$W$1001,0),1)&gt;=100000,INDEX($AD$1005:$AU$1005,1,MATCH(COLUMNS($AD$1006:AR1006),$AD$1006:$AU$1006,0))&gt;=100000), " ",IF(INDEX($AD$2:$AU$1001,MATCH(ROWS($W$2:W409),$W$2:$W$1001,0),MATCH(COLUMNS($AD$1006:AR1006),$AD$1006:$AU$1006,0)), HYPERLINK("#",""), HYPERLINK(CONCATENATE("#metadata!", ADDRESS(INDEX($Y$2:$Y$1001,MATCH(ROWS($W$2:W409),$W$2:$W$1001,0),0), INDEX($AD$1004:$AU$1004,1,MATCH(COLUMNS($AD$1006:AR1006),$AD$1006:$AU$1006,0)))),"Fix")))</f>
        <v xml:space="preserve"> </v>
      </c>
      <c r="Q409" s="4" t="str">
        <f ca="1">IF(OR(INDEX($X$2:$X$1001,MATCH(ROWS($W$2:W409),$W$2:$W$1001,0),1)&gt;=100000,INDEX($AD$1005:$AU$1005,1,MATCH(COLUMNS($AD$1006:AS1006),$AD$1006:$AU$1006,0))&gt;=100000), " ",IF(INDEX($AD$2:$AU$1001,MATCH(ROWS($W$2:W409),$W$2:$W$1001,0),MATCH(COLUMNS($AD$1006:AS1006),$AD$1006:$AU$1006,0)), HYPERLINK("#",""), HYPERLINK(CONCATENATE("#metadata!", ADDRESS(INDEX($Y$2:$Y$1001,MATCH(ROWS($W$2:W409),$W$2:$W$1001,0),0), INDEX($AD$1004:$AU$1004,1,MATCH(COLUMNS($AD$1006:AS1006),$AD$1006:$AU$1006,0)))),"Fix")))</f>
        <v xml:space="preserve"> </v>
      </c>
      <c r="R409" s="4" t="str">
        <f ca="1">IF(OR(INDEX($X$2:$X$1001,MATCH(ROWS($W$2:W409),$W$2:$W$1001,0),1)&gt;=100000,INDEX($AD$1005:$AU$1005,1,MATCH(COLUMNS($AD$1006:AT1006),$AD$1006:$AU$1006,0))&gt;=100000), " ",IF(INDEX($AD$2:$AU$1001,MATCH(ROWS($W$2:W409),$W$2:$W$1001,0),MATCH(COLUMNS($AD$1006:AT1006),$AD$1006:$AU$1006,0)), HYPERLINK("#",""), HYPERLINK(CONCATENATE("#metadata!", ADDRESS(INDEX($Y$2:$Y$1001,MATCH(ROWS($W$2:W409),$W$2:$W$1001,0),0), INDEX($AD$1004:$AU$1004,1,MATCH(COLUMNS($AD$1006:AT1006),$AD$1006:$AU$1006,0)))),"Fix")))</f>
        <v xml:space="preserve"> </v>
      </c>
      <c r="S409" s="4" t="str">
        <f ca="1">IF(OR(INDEX($X$2:$X$1001,MATCH(ROWS($W$2:W409),$W$2:$W$1001,0),1)&gt;=100000,INDEX($AD$1005:$AU$1005,1,MATCH(COLUMNS($AD$1006:AU1006),$AD$1006:$AU$1006,0))&gt;=100000), " ",IF(INDEX($AD$2:$AU$1001,MATCH(ROWS($W$2:W409),$W$2:$W$1001,0),MATCH(COLUMNS($AD$1006:AU1006),$AD$1006:$AU$1006,0)), HYPERLINK("#",""), HYPERLINK(CONCATENATE("#metadata!", ADDRESS(INDEX($Y$2:$Y$1001,MATCH(ROWS($W$2:W409),$W$2:$W$1001,0),0), INDEX($AD$1004:$AU$1004,1,MATCH(COLUMNS($AD$1006:AU1006),$AD$1006:$AU$1006,0)))),"Fix")))</f>
        <v xml:space="preserve"> </v>
      </c>
      <c r="W409">
        <v>408</v>
      </c>
      <c r="X409">
        <v>100409</v>
      </c>
      <c r="Y409">
        <v>409</v>
      </c>
      <c r="Z409" t="b">
        <f t="shared" si="6"/>
        <v>1</v>
      </c>
      <c r="AA409" t="b">
        <f>COUNTBLANK(metadata!B409:S409)=COLUMNS(metadata!B409:S409)</f>
        <v>1</v>
      </c>
      <c r="AB409" t="str">
        <v/>
      </c>
      <c r="AD409" t="b">
        <f ca="1">AND(IF(metadata!B409="",FALSE,TRUE),COUNTIF(metadata!B:B, metadata!B409) = 1,NOT(ISERROR(SUMPRODUCT(SEARCH(MID(metadata!B409,ROW(INDIRECT("1:"&amp;LEN(metadata!B409))), 1),"0123456789abcdefghijklmnopqrstuvwxyzABCDEFGHIJKLMNOPQRSTUVWXYZ.")))))</f>
        <v>0</v>
      </c>
      <c r="AE409" t="b">
        <f>OR(AND(IF(metadata!C409="",FALSE,TRUE),OR(EXACT(metadata!C409,"not applicable"),EXACT(metadata!C409,"missing: not collected"),EXACT(metadata!C409,"missing: not provided"),EXACT(metadata!C409,"missing: restricted access"))),AND(IF(metadata!C409="",FALSE,ISNUMBER(VALUE(metadata!C409))),metadata!C409&gt;0))</f>
        <v>0</v>
      </c>
      <c r="AF409" t="b">
        <f>AND(IF(metadata!D409="",FALSE,TRUE),EXACT(metadata!D409,"missing: not provided"))</f>
        <v>0</v>
      </c>
      <c r="AG409" t="b">
        <f>AND(IF(metadata!E409="",FALSE,TRUE),EXACT(metadata!E409,"Host-associated"))</f>
        <v>0</v>
      </c>
      <c r="AH409" t="b">
        <f>AND(IF(metadata!F409="",FALSE,TRUE),OR(EXACT(metadata!F409,"Animal"),EXACT(metadata!F409,"Fungus"),EXACT(metadata!F409,"Plant")))</f>
        <v>0</v>
      </c>
      <c r="AI409" t="b">
        <f>AND(IF(metadata!G409="",FALSE,TRUE),OR(EXACT(metadata!G409,"Plant secretion"),EXACT(metadata!G409,"Plant rhizosphere"),EXACT(metadata!G409,"Plant surface"),EXACT(metadata!G409,"Plant corpus"),EXACT(metadata!G409,"Fungus surface"),EXACT(metadata!G409,"Fungus corpus"),EXACT(metadata!G409,"Animal surface"),EXACT(metadata!G409,"Animal proximal gut"),EXACT(metadata!G409,"Animal corpus"),EXACT(metadata!G409,"Animal distal gut"),EXACT(metadata!G409,"Animal secretion")))</f>
        <v>0</v>
      </c>
      <c r="AJ409" t="b">
        <f>OR(AND(IF(metadata!H409="",FALSE,TRUE),OR(EXACT(metadata!H409,"missing: not collected"),EXACT(metadata!H409,"missing: not provided"),EXACT(metadata!H409,"missing: restricted access"))),AND(IF(metadata!H409="",FALSE,TRUE),OR(EXACT(metadata!H409,"organism-associated habitat"),EXACT(metadata!H409,"plant-associated habitat"),EXACT(metadata!H409,"animal-associated habitat"),EXACT(metadata!H409,"insecta-associated habitat"),EXACT(metadata!H409,"mammalia-associated habitat"),EXACT(metadata!H409,"human-associated habitat"),EXACT(metadata!H409,"livestock-associated habitat"))))</f>
        <v>0</v>
      </c>
      <c r="AK409" t="b">
        <f>AND(IF(metadata!I409="",FALSE,TRUE),EXACT(metadata!I409,"host-associated"))</f>
        <v>0</v>
      </c>
      <c r="AL409" t="b">
        <f>OR(AND(IF(metadata!J409="",FALSE,TRUE),OR(EXACT(metadata!J409,"not applicable"),EXACT(metadata!J409,"missing: not collected"),EXACT(metadata!J409,"missing: not provided"),EXACT(metadata!J409,"missing: restricted access"))),AND(IF(metadata!J409="",FALSE,ISNUMBER(VALUE(metadata!J409))),metadata!J409&gt;0))</f>
        <v>0</v>
      </c>
      <c r="AM409" t="b">
        <f>AND(IF(metadata!K409="",FALSE,TRUE),EXACT(metadata!K409,"missing: not provided"))</f>
        <v>0</v>
      </c>
      <c r="AN409" t="b">
        <f>IF(metadata!L409="",FALSE,TRUE)</f>
        <v>0</v>
      </c>
      <c r="AO409" t="b">
        <f>IF(metadata!M409="",FALSE,TRUE)</f>
        <v>0</v>
      </c>
      <c r="AP409" t="b">
        <f>OR(AND(IF(metadata!N409="",FALSE,TRUE),OR(EXACT(metadata!N409,"not applicable"),EXACT(metadata!N409,"missing: not collected"),EXACT(metadata!N409,"missing: not provided"))),AND(IF(metadata!N409="",FALSE,IF(ISERROR(INT(metadata!N409)),FALSE,INT(metadata!N409)=metadata!N409)),metadata!N409&gt;0))</f>
        <v>0</v>
      </c>
      <c r="AQ409" t="b">
        <f>AND(IF(metadata!O409="",FALSE,TRUE),EXACT(metadata!O409,"Not applicable"))</f>
        <v>0</v>
      </c>
      <c r="AR409" t="b">
        <f>OR(AND(IF(metadata!P409="",FALSE,TRUE),OR(EXACT(metadata!P409,"not applicable"),EXACT(metadata!P409,"missing: not collected"),EXACT(metadata!P409,"missing: not provided"),EXACT(metadata!P409,"missing: restricted access"))),IF(metadata!P409="",FALSE,IF(ISERROR(INT(metadata!P409)),FALSE,INT(metadata!P409)=metadata!P409)))</f>
        <v>0</v>
      </c>
      <c r="AS409" t="b">
        <f>AND(IF(metadata!Q409="",FALSE,TRUE),EXACT(metadata!Q409,"Not applicable"))</f>
        <v>0</v>
      </c>
      <c r="AT409" t="b">
        <f>OR(AND(IF(metadata!R409="",FALSE,TRUE),OR(EXACT(metadata!R409,"not applicable"),EXACT(metadata!R409,"missing: not collected"),EXACT(metadata!R409,"missing: not provided"),EXACT(metadata!R409,"missing: restricted access"))),AND(IF(metadata!R409="",FALSE,ISNUMBER(VALUE(metadata!R409))),metadata!R409&gt;0))</f>
        <v>0</v>
      </c>
      <c r="AU409" t="b">
        <f>AND(IF(metadata!S409="",FALSE,TRUE),EXACT(metadata!S409,"missing: not provided"))</f>
        <v>0</v>
      </c>
    </row>
    <row r="410" spans="1:47" x14ac:dyDescent="0.2">
      <c r="A410" s="5" t="str">
        <f ca="1">IF(B410=" "," ",HYPERLINK(CONCATENATE("#metadata!",ADDRESS(INDEX($Y$2:$Y$1001,MATCH(ROWS($W$2:W410),$W$2:$W$1001,0),0),1)),INDEX($AB$2:$AB$1001,MATCH(ROWS($W$2:W410),$W$2:$W$1001,0),0)))</f>
        <v xml:space="preserve"> </v>
      </c>
      <c r="B410" s="4" t="str">
        <f ca="1">IF(OR(INDEX($X$2:$X$1001,MATCH(ROWS($W$2:W410),$W$2:$W$1001,0),1)&gt;=100000,INDEX($AD$1005:$AU$1005,1,MATCH(COLUMNS($AD$1006:AD1006),$AD$1006:$AU$1006,0))&gt;=100000), " ",IF(INDEX($AD$2:$AU$1001,MATCH(ROWS($W$2:W410),$W$2:$W$1001,0),MATCH(COLUMNS($AD$1006:AD1006),$AD$1006:$AU$1006,0)), HYPERLINK("#",""), HYPERLINK(CONCATENATE("#metadata!", ADDRESS(INDEX($Y$2:$Y$1001,MATCH(ROWS($W$2:W410),$W$2:$W$1001,0),0), INDEX($AD$1004:$AU$1004,1,MATCH(COLUMNS($AD$1006:AD1006),$AD$1006:$AU$1006,0)))),"Fix")))</f>
        <v xml:space="preserve"> </v>
      </c>
      <c r="C410" s="4" t="str">
        <f ca="1">IF(OR(INDEX($X$2:$X$1001,MATCH(ROWS($W$2:W410),$W$2:$W$1001,0),1)&gt;=100000,INDEX($AD$1005:$AU$1005,1,MATCH(COLUMNS($AD$1006:AE1006),$AD$1006:$AU$1006,0))&gt;=100000), " ",IF(INDEX($AD$2:$AU$1001,MATCH(ROWS($W$2:W410),$W$2:$W$1001,0),MATCH(COLUMNS($AD$1006:AE1006),$AD$1006:$AU$1006,0)), HYPERLINK("#",""), HYPERLINK(CONCATENATE("#metadata!", ADDRESS(INDEX($Y$2:$Y$1001,MATCH(ROWS($W$2:W410),$W$2:$W$1001,0),0), INDEX($AD$1004:$AU$1004,1,MATCH(COLUMNS($AD$1006:AE1006),$AD$1006:$AU$1006,0)))),"Fix")))</f>
        <v xml:space="preserve"> </v>
      </c>
      <c r="D410" s="4" t="str">
        <f ca="1">IF(OR(INDEX($X$2:$X$1001,MATCH(ROWS($W$2:W410),$W$2:$W$1001,0),1)&gt;=100000,INDEX($AD$1005:$AU$1005,1,MATCH(COLUMNS($AD$1006:AF1006),$AD$1006:$AU$1006,0))&gt;=100000), " ",IF(INDEX($AD$2:$AU$1001,MATCH(ROWS($W$2:W410),$W$2:$W$1001,0),MATCH(COLUMNS($AD$1006:AF1006),$AD$1006:$AU$1006,0)), HYPERLINK("#",""), HYPERLINK(CONCATENATE("#metadata!", ADDRESS(INDEX($Y$2:$Y$1001,MATCH(ROWS($W$2:W410),$W$2:$W$1001,0),0), INDEX($AD$1004:$AU$1004,1,MATCH(COLUMNS($AD$1006:AF1006),$AD$1006:$AU$1006,0)))),"Fix")))</f>
        <v xml:space="preserve"> </v>
      </c>
      <c r="E410" s="4" t="str">
        <f ca="1">IF(OR(INDEX($X$2:$X$1001,MATCH(ROWS($W$2:W410),$W$2:$W$1001,0),1)&gt;=100000,INDEX($AD$1005:$AU$1005,1,MATCH(COLUMNS($AD$1006:AG1006),$AD$1006:$AU$1006,0))&gt;=100000), " ",IF(INDEX($AD$2:$AU$1001,MATCH(ROWS($W$2:W410),$W$2:$W$1001,0),MATCH(COLUMNS($AD$1006:AG1006),$AD$1006:$AU$1006,0)), HYPERLINK("#",""), HYPERLINK(CONCATENATE("#metadata!", ADDRESS(INDEX($Y$2:$Y$1001,MATCH(ROWS($W$2:W410),$W$2:$W$1001,0),0), INDEX($AD$1004:$AU$1004,1,MATCH(COLUMNS($AD$1006:AG1006),$AD$1006:$AU$1006,0)))),"Fix")))</f>
        <v xml:space="preserve"> </v>
      </c>
      <c r="F410" s="4" t="str">
        <f ca="1">IF(OR(INDEX($X$2:$X$1001,MATCH(ROWS($W$2:W410),$W$2:$W$1001,0),1)&gt;=100000,INDEX($AD$1005:$AU$1005,1,MATCH(COLUMNS($AD$1006:AH1006),$AD$1006:$AU$1006,0))&gt;=100000), " ",IF(INDEX($AD$2:$AU$1001,MATCH(ROWS($W$2:W410),$W$2:$W$1001,0),MATCH(COLUMNS($AD$1006:AH1006),$AD$1006:$AU$1006,0)), HYPERLINK("#",""), HYPERLINK(CONCATENATE("#metadata!", ADDRESS(INDEX($Y$2:$Y$1001,MATCH(ROWS($W$2:W410),$W$2:$W$1001,0),0), INDEX($AD$1004:$AU$1004,1,MATCH(COLUMNS($AD$1006:AH1006),$AD$1006:$AU$1006,0)))),"Fix")))</f>
        <v xml:space="preserve"> </v>
      </c>
      <c r="G410" s="4" t="str">
        <f ca="1">IF(OR(INDEX($X$2:$X$1001,MATCH(ROWS($W$2:W410),$W$2:$W$1001,0),1)&gt;=100000,INDEX($AD$1005:$AU$1005,1,MATCH(COLUMNS($AD$1006:AI1006),$AD$1006:$AU$1006,0))&gt;=100000), " ",IF(INDEX($AD$2:$AU$1001,MATCH(ROWS($W$2:W410),$W$2:$W$1001,0),MATCH(COLUMNS($AD$1006:AI1006),$AD$1006:$AU$1006,0)), HYPERLINK("#",""), HYPERLINK(CONCATENATE("#metadata!", ADDRESS(INDEX($Y$2:$Y$1001,MATCH(ROWS($W$2:W410),$W$2:$W$1001,0),0), INDEX($AD$1004:$AU$1004,1,MATCH(COLUMNS($AD$1006:AI1006),$AD$1006:$AU$1006,0)))),"Fix")))</f>
        <v xml:space="preserve"> </v>
      </c>
      <c r="H410" s="4" t="str">
        <f ca="1">IF(OR(INDEX($X$2:$X$1001,MATCH(ROWS($W$2:W410),$W$2:$W$1001,0),1)&gt;=100000,INDEX($AD$1005:$AU$1005,1,MATCH(COLUMNS($AD$1006:AJ1006),$AD$1006:$AU$1006,0))&gt;=100000), " ",IF(INDEX($AD$2:$AU$1001,MATCH(ROWS($W$2:W410),$W$2:$W$1001,0),MATCH(COLUMNS($AD$1006:AJ1006),$AD$1006:$AU$1006,0)), HYPERLINK("#",""), HYPERLINK(CONCATENATE("#metadata!", ADDRESS(INDEX($Y$2:$Y$1001,MATCH(ROWS($W$2:W410),$W$2:$W$1001,0),0), INDEX($AD$1004:$AU$1004,1,MATCH(COLUMNS($AD$1006:AJ1006),$AD$1006:$AU$1006,0)))),"Fix")))</f>
        <v xml:space="preserve"> </v>
      </c>
      <c r="I410" s="4" t="str">
        <f ca="1">IF(OR(INDEX($X$2:$X$1001,MATCH(ROWS($W$2:W410),$W$2:$W$1001,0),1)&gt;=100000,INDEX($AD$1005:$AU$1005,1,MATCH(COLUMNS($AD$1006:AK1006),$AD$1006:$AU$1006,0))&gt;=100000), " ",IF(INDEX($AD$2:$AU$1001,MATCH(ROWS($W$2:W410),$W$2:$W$1001,0),MATCH(COLUMNS($AD$1006:AK1006),$AD$1006:$AU$1006,0)), HYPERLINK("#",""), HYPERLINK(CONCATENATE("#metadata!", ADDRESS(INDEX($Y$2:$Y$1001,MATCH(ROWS($W$2:W410),$W$2:$W$1001,0),0), INDEX($AD$1004:$AU$1004,1,MATCH(COLUMNS($AD$1006:AK1006),$AD$1006:$AU$1006,0)))),"Fix")))</f>
        <v xml:space="preserve"> </v>
      </c>
      <c r="J410" s="4" t="str">
        <f ca="1">IF(OR(INDEX($X$2:$X$1001,MATCH(ROWS($W$2:W410),$W$2:$W$1001,0),1)&gt;=100000,INDEX($AD$1005:$AU$1005,1,MATCH(COLUMNS($AD$1006:AL1006),$AD$1006:$AU$1006,0))&gt;=100000), " ",IF(INDEX($AD$2:$AU$1001,MATCH(ROWS($W$2:W410),$W$2:$W$1001,0),MATCH(COLUMNS($AD$1006:AL1006),$AD$1006:$AU$1006,0)), HYPERLINK("#",""), HYPERLINK(CONCATENATE("#metadata!", ADDRESS(INDEX($Y$2:$Y$1001,MATCH(ROWS($W$2:W410),$W$2:$W$1001,0),0), INDEX($AD$1004:$AU$1004,1,MATCH(COLUMNS($AD$1006:AL1006),$AD$1006:$AU$1006,0)))),"Fix")))</f>
        <v xml:space="preserve"> </v>
      </c>
      <c r="K410" s="4" t="str">
        <f ca="1">IF(OR(INDEX($X$2:$X$1001,MATCH(ROWS($W$2:W410),$W$2:$W$1001,0),1)&gt;=100000,INDEX($AD$1005:$AU$1005,1,MATCH(COLUMNS($AD$1006:AM1006),$AD$1006:$AU$1006,0))&gt;=100000), " ",IF(INDEX($AD$2:$AU$1001,MATCH(ROWS($W$2:W410),$W$2:$W$1001,0),MATCH(COLUMNS($AD$1006:AM1006),$AD$1006:$AU$1006,0)), HYPERLINK("#",""), HYPERLINK(CONCATENATE("#metadata!", ADDRESS(INDEX($Y$2:$Y$1001,MATCH(ROWS($W$2:W410),$W$2:$W$1001,0),0), INDEX($AD$1004:$AU$1004,1,MATCH(COLUMNS($AD$1006:AM1006),$AD$1006:$AU$1006,0)))),"Fix")))</f>
        <v xml:space="preserve"> </v>
      </c>
      <c r="L410" s="4" t="str">
        <f ca="1">IF(OR(INDEX($X$2:$X$1001,MATCH(ROWS($W$2:W410),$W$2:$W$1001,0),1)&gt;=100000,INDEX($AD$1005:$AU$1005,1,MATCH(COLUMNS($AD$1006:AN1006),$AD$1006:$AU$1006,0))&gt;=100000), " ",IF(INDEX($AD$2:$AU$1001,MATCH(ROWS($W$2:W410),$W$2:$W$1001,0),MATCH(COLUMNS($AD$1006:AN1006),$AD$1006:$AU$1006,0)), HYPERLINK("#",""), HYPERLINK(CONCATENATE("#metadata!", ADDRESS(INDEX($Y$2:$Y$1001,MATCH(ROWS($W$2:W410),$W$2:$W$1001,0),0), INDEX($AD$1004:$AU$1004,1,MATCH(COLUMNS($AD$1006:AN1006),$AD$1006:$AU$1006,0)))),"Fix")))</f>
        <v xml:space="preserve"> </v>
      </c>
      <c r="M410" s="4" t="str">
        <f ca="1">IF(OR(INDEX($X$2:$X$1001,MATCH(ROWS($W$2:W410),$W$2:$W$1001,0),1)&gt;=100000,INDEX($AD$1005:$AU$1005,1,MATCH(COLUMNS($AD$1006:AO1006),$AD$1006:$AU$1006,0))&gt;=100000), " ",IF(INDEX($AD$2:$AU$1001,MATCH(ROWS($W$2:W410),$W$2:$W$1001,0),MATCH(COLUMNS($AD$1006:AO1006),$AD$1006:$AU$1006,0)), HYPERLINK("#",""), HYPERLINK(CONCATENATE("#metadata!", ADDRESS(INDEX($Y$2:$Y$1001,MATCH(ROWS($W$2:W410),$W$2:$W$1001,0),0), INDEX($AD$1004:$AU$1004,1,MATCH(COLUMNS($AD$1006:AO1006),$AD$1006:$AU$1006,0)))),"Fix")))</f>
        <v xml:space="preserve"> </v>
      </c>
      <c r="N410" s="4" t="str">
        <f ca="1">IF(OR(INDEX($X$2:$X$1001,MATCH(ROWS($W$2:W410),$W$2:$W$1001,0),1)&gt;=100000,INDEX($AD$1005:$AU$1005,1,MATCH(COLUMNS($AD$1006:AP1006),$AD$1006:$AU$1006,0))&gt;=100000), " ",IF(INDEX($AD$2:$AU$1001,MATCH(ROWS($W$2:W410),$W$2:$W$1001,0),MATCH(COLUMNS($AD$1006:AP1006),$AD$1006:$AU$1006,0)), HYPERLINK("#",""), HYPERLINK(CONCATENATE("#metadata!", ADDRESS(INDEX($Y$2:$Y$1001,MATCH(ROWS($W$2:W410),$W$2:$W$1001,0),0), INDEX($AD$1004:$AU$1004,1,MATCH(COLUMNS($AD$1006:AP1006),$AD$1006:$AU$1006,0)))),"Fix")))</f>
        <v xml:space="preserve"> </v>
      </c>
      <c r="O410" s="4" t="str">
        <f ca="1">IF(OR(INDEX($X$2:$X$1001,MATCH(ROWS($W$2:W410),$W$2:$W$1001,0),1)&gt;=100000,INDEX($AD$1005:$AU$1005,1,MATCH(COLUMNS($AD$1006:AQ1006),$AD$1006:$AU$1006,0))&gt;=100000), " ",IF(INDEX($AD$2:$AU$1001,MATCH(ROWS($W$2:W410),$W$2:$W$1001,0),MATCH(COLUMNS($AD$1006:AQ1006),$AD$1006:$AU$1006,0)), HYPERLINK("#",""), HYPERLINK(CONCATENATE("#metadata!", ADDRESS(INDEX($Y$2:$Y$1001,MATCH(ROWS($W$2:W410),$W$2:$W$1001,0),0), INDEX($AD$1004:$AU$1004,1,MATCH(COLUMNS($AD$1006:AQ1006),$AD$1006:$AU$1006,0)))),"Fix")))</f>
        <v xml:space="preserve"> </v>
      </c>
      <c r="P410" s="4" t="str">
        <f ca="1">IF(OR(INDEX($X$2:$X$1001,MATCH(ROWS($W$2:W410),$W$2:$W$1001,0),1)&gt;=100000,INDEX($AD$1005:$AU$1005,1,MATCH(COLUMNS($AD$1006:AR1006),$AD$1006:$AU$1006,0))&gt;=100000), " ",IF(INDEX($AD$2:$AU$1001,MATCH(ROWS($W$2:W410),$W$2:$W$1001,0),MATCH(COLUMNS($AD$1006:AR1006),$AD$1006:$AU$1006,0)), HYPERLINK("#",""), HYPERLINK(CONCATENATE("#metadata!", ADDRESS(INDEX($Y$2:$Y$1001,MATCH(ROWS($W$2:W410),$W$2:$W$1001,0),0), INDEX($AD$1004:$AU$1004,1,MATCH(COLUMNS($AD$1006:AR1006),$AD$1006:$AU$1006,0)))),"Fix")))</f>
        <v xml:space="preserve"> </v>
      </c>
      <c r="Q410" s="4" t="str">
        <f ca="1">IF(OR(INDEX($X$2:$X$1001,MATCH(ROWS($W$2:W410),$W$2:$W$1001,0),1)&gt;=100000,INDEX($AD$1005:$AU$1005,1,MATCH(COLUMNS($AD$1006:AS1006),$AD$1006:$AU$1006,0))&gt;=100000), " ",IF(INDEX($AD$2:$AU$1001,MATCH(ROWS($W$2:W410),$W$2:$W$1001,0),MATCH(COLUMNS($AD$1006:AS1006),$AD$1006:$AU$1006,0)), HYPERLINK("#",""), HYPERLINK(CONCATENATE("#metadata!", ADDRESS(INDEX($Y$2:$Y$1001,MATCH(ROWS($W$2:W410),$W$2:$W$1001,0),0), INDEX($AD$1004:$AU$1004,1,MATCH(COLUMNS($AD$1006:AS1006),$AD$1006:$AU$1006,0)))),"Fix")))</f>
        <v xml:space="preserve"> </v>
      </c>
      <c r="R410" s="4" t="str">
        <f ca="1">IF(OR(INDEX($X$2:$X$1001,MATCH(ROWS($W$2:W410),$W$2:$W$1001,0),1)&gt;=100000,INDEX($AD$1005:$AU$1005,1,MATCH(COLUMNS($AD$1006:AT1006),$AD$1006:$AU$1006,0))&gt;=100000), " ",IF(INDEX($AD$2:$AU$1001,MATCH(ROWS($W$2:W410),$W$2:$W$1001,0),MATCH(COLUMNS($AD$1006:AT1006),$AD$1006:$AU$1006,0)), HYPERLINK("#",""), HYPERLINK(CONCATENATE("#metadata!", ADDRESS(INDEX($Y$2:$Y$1001,MATCH(ROWS($W$2:W410),$W$2:$W$1001,0),0), INDEX($AD$1004:$AU$1004,1,MATCH(COLUMNS($AD$1006:AT1006),$AD$1006:$AU$1006,0)))),"Fix")))</f>
        <v xml:space="preserve"> </v>
      </c>
      <c r="S410" s="4" t="str">
        <f ca="1">IF(OR(INDEX($X$2:$X$1001,MATCH(ROWS($W$2:W410),$W$2:$W$1001,0),1)&gt;=100000,INDEX($AD$1005:$AU$1005,1,MATCH(COLUMNS($AD$1006:AU1006),$AD$1006:$AU$1006,0))&gt;=100000), " ",IF(INDEX($AD$2:$AU$1001,MATCH(ROWS($W$2:W410),$W$2:$W$1001,0),MATCH(COLUMNS($AD$1006:AU1006),$AD$1006:$AU$1006,0)), HYPERLINK("#",""), HYPERLINK(CONCATENATE("#metadata!", ADDRESS(INDEX($Y$2:$Y$1001,MATCH(ROWS($W$2:W410),$W$2:$W$1001,0),0), INDEX($AD$1004:$AU$1004,1,MATCH(COLUMNS($AD$1006:AU1006),$AD$1006:$AU$1006,0)))),"Fix")))</f>
        <v xml:space="preserve"> </v>
      </c>
      <c r="W410">
        <v>409</v>
      </c>
      <c r="X410">
        <v>100410</v>
      </c>
      <c r="Y410">
        <v>410</v>
      </c>
      <c r="Z410" t="b">
        <f t="shared" si="6"/>
        <v>1</v>
      </c>
      <c r="AA410" t="b">
        <f>COUNTBLANK(metadata!B410:S410)=COLUMNS(metadata!B410:S410)</f>
        <v>1</v>
      </c>
      <c r="AB410" t="str">
        <v/>
      </c>
      <c r="AD410" t="b">
        <f ca="1">AND(IF(metadata!B410="",FALSE,TRUE),COUNTIF(metadata!B:B, metadata!B410) = 1,NOT(ISERROR(SUMPRODUCT(SEARCH(MID(metadata!B410,ROW(INDIRECT("1:"&amp;LEN(metadata!B410))), 1),"0123456789abcdefghijklmnopqrstuvwxyzABCDEFGHIJKLMNOPQRSTUVWXYZ.")))))</f>
        <v>0</v>
      </c>
      <c r="AE410" t="b">
        <f>OR(AND(IF(metadata!C410="",FALSE,TRUE),OR(EXACT(metadata!C410,"not applicable"),EXACT(metadata!C410,"missing: not collected"),EXACT(metadata!C410,"missing: not provided"),EXACT(metadata!C410,"missing: restricted access"))),AND(IF(metadata!C410="",FALSE,ISNUMBER(VALUE(metadata!C410))),metadata!C410&gt;0))</f>
        <v>0</v>
      </c>
      <c r="AF410" t="b">
        <f>AND(IF(metadata!D410="",FALSE,TRUE),EXACT(metadata!D410,"missing: not provided"))</f>
        <v>0</v>
      </c>
      <c r="AG410" t="b">
        <f>AND(IF(metadata!E410="",FALSE,TRUE),EXACT(metadata!E410,"Host-associated"))</f>
        <v>0</v>
      </c>
      <c r="AH410" t="b">
        <f>AND(IF(metadata!F410="",FALSE,TRUE),OR(EXACT(metadata!F410,"Animal"),EXACT(metadata!F410,"Fungus"),EXACT(metadata!F410,"Plant")))</f>
        <v>0</v>
      </c>
      <c r="AI410" t="b">
        <f>AND(IF(metadata!G410="",FALSE,TRUE),OR(EXACT(metadata!G410,"Plant secretion"),EXACT(metadata!G410,"Plant rhizosphere"),EXACT(metadata!G410,"Plant surface"),EXACT(metadata!G410,"Plant corpus"),EXACT(metadata!G410,"Fungus surface"),EXACT(metadata!G410,"Fungus corpus"),EXACT(metadata!G410,"Animal surface"),EXACT(metadata!G410,"Animal proximal gut"),EXACT(metadata!G410,"Animal corpus"),EXACT(metadata!G410,"Animal distal gut"),EXACT(metadata!G410,"Animal secretion")))</f>
        <v>0</v>
      </c>
      <c r="AJ410" t="b">
        <f>OR(AND(IF(metadata!H410="",FALSE,TRUE),OR(EXACT(metadata!H410,"missing: not collected"),EXACT(metadata!H410,"missing: not provided"),EXACT(metadata!H410,"missing: restricted access"))),AND(IF(metadata!H410="",FALSE,TRUE),OR(EXACT(metadata!H410,"organism-associated habitat"),EXACT(metadata!H410,"plant-associated habitat"),EXACT(metadata!H410,"animal-associated habitat"),EXACT(metadata!H410,"insecta-associated habitat"),EXACT(metadata!H410,"mammalia-associated habitat"),EXACT(metadata!H410,"human-associated habitat"),EXACT(metadata!H410,"livestock-associated habitat"))))</f>
        <v>0</v>
      </c>
      <c r="AK410" t="b">
        <f>AND(IF(metadata!I410="",FALSE,TRUE),EXACT(metadata!I410,"host-associated"))</f>
        <v>0</v>
      </c>
      <c r="AL410" t="b">
        <f>OR(AND(IF(metadata!J410="",FALSE,TRUE),OR(EXACT(metadata!J410,"not applicable"),EXACT(metadata!J410,"missing: not collected"),EXACT(metadata!J410,"missing: not provided"),EXACT(metadata!J410,"missing: restricted access"))),AND(IF(metadata!J410="",FALSE,ISNUMBER(VALUE(metadata!J410))),metadata!J410&gt;0))</f>
        <v>0</v>
      </c>
      <c r="AM410" t="b">
        <f>AND(IF(metadata!K410="",FALSE,TRUE),EXACT(metadata!K410,"missing: not provided"))</f>
        <v>0</v>
      </c>
      <c r="AN410" t="b">
        <f>IF(metadata!L410="",FALSE,TRUE)</f>
        <v>0</v>
      </c>
      <c r="AO410" t="b">
        <f>IF(metadata!M410="",FALSE,TRUE)</f>
        <v>0</v>
      </c>
      <c r="AP410" t="b">
        <f>OR(AND(IF(metadata!N410="",FALSE,TRUE),OR(EXACT(metadata!N410,"not applicable"),EXACT(metadata!N410,"missing: not collected"),EXACT(metadata!N410,"missing: not provided"))),AND(IF(metadata!N410="",FALSE,IF(ISERROR(INT(metadata!N410)),FALSE,INT(metadata!N410)=metadata!N410)),metadata!N410&gt;0))</f>
        <v>0</v>
      </c>
      <c r="AQ410" t="b">
        <f>AND(IF(metadata!O410="",FALSE,TRUE),EXACT(metadata!O410,"Not applicable"))</f>
        <v>0</v>
      </c>
      <c r="AR410" t="b">
        <f>OR(AND(IF(metadata!P410="",FALSE,TRUE),OR(EXACT(metadata!P410,"not applicable"),EXACT(metadata!P410,"missing: not collected"),EXACT(metadata!P410,"missing: not provided"),EXACT(metadata!P410,"missing: restricted access"))),IF(metadata!P410="",FALSE,IF(ISERROR(INT(metadata!P410)),FALSE,INT(metadata!P410)=metadata!P410)))</f>
        <v>0</v>
      </c>
      <c r="AS410" t="b">
        <f>AND(IF(metadata!Q410="",FALSE,TRUE),EXACT(metadata!Q410,"Not applicable"))</f>
        <v>0</v>
      </c>
      <c r="AT410" t="b">
        <f>OR(AND(IF(metadata!R410="",FALSE,TRUE),OR(EXACT(metadata!R410,"not applicable"),EXACT(metadata!R410,"missing: not collected"),EXACT(metadata!R410,"missing: not provided"),EXACT(metadata!R410,"missing: restricted access"))),AND(IF(metadata!R410="",FALSE,ISNUMBER(VALUE(metadata!R410))),metadata!R410&gt;0))</f>
        <v>0</v>
      </c>
      <c r="AU410" t="b">
        <f>AND(IF(metadata!S410="",FALSE,TRUE),EXACT(metadata!S410,"missing: not provided"))</f>
        <v>0</v>
      </c>
    </row>
    <row r="411" spans="1:47" x14ac:dyDescent="0.2">
      <c r="A411" s="5" t="str">
        <f ca="1">IF(B411=" "," ",HYPERLINK(CONCATENATE("#metadata!",ADDRESS(INDEX($Y$2:$Y$1001,MATCH(ROWS($W$2:W411),$W$2:$W$1001,0),0),1)),INDEX($AB$2:$AB$1001,MATCH(ROWS($W$2:W411),$W$2:$W$1001,0),0)))</f>
        <v xml:space="preserve"> </v>
      </c>
      <c r="B411" s="4" t="str">
        <f ca="1">IF(OR(INDEX($X$2:$X$1001,MATCH(ROWS($W$2:W411),$W$2:$W$1001,0),1)&gt;=100000,INDEX($AD$1005:$AU$1005,1,MATCH(COLUMNS($AD$1006:AD1006),$AD$1006:$AU$1006,0))&gt;=100000), " ",IF(INDEX($AD$2:$AU$1001,MATCH(ROWS($W$2:W411),$W$2:$W$1001,0),MATCH(COLUMNS($AD$1006:AD1006),$AD$1006:$AU$1006,0)), HYPERLINK("#",""), HYPERLINK(CONCATENATE("#metadata!", ADDRESS(INDEX($Y$2:$Y$1001,MATCH(ROWS($W$2:W411),$W$2:$W$1001,0),0), INDEX($AD$1004:$AU$1004,1,MATCH(COLUMNS($AD$1006:AD1006),$AD$1006:$AU$1006,0)))),"Fix")))</f>
        <v xml:space="preserve"> </v>
      </c>
      <c r="C411" s="4" t="str">
        <f ca="1">IF(OR(INDEX($X$2:$X$1001,MATCH(ROWS($W$2:W411),$W$2:$W$1001,0),1)&gt;=100000,INDEX($AD$1005:$AU$1005,1,MATCH(COLUMNS($AD$1006:AE1006),$AD$1006:$AU$1006,0))&gt;=100000), " ",IF(INDEX($AD$2:$AU$1001,MATCH(ROWS($W$2:W411),$W$2:$W$1001,0),MATCH(COLUMNS($AD$1006:AE1006),$AD$1006:$AU$1006,0)), HYPERLINK("#",""), HYPERLINK(CONCATENATE("#metadata!", ADDRESS(INDEX($Y$2:$Y$1001,MATCH(ROWS($W$2:W411),$W$2:$W$1001,0),0), INDEX($AD$1004:$AU$1004,1,MATCH(COLUMNS($AD$1006:AE1006),$AD$1006:$AU$1006,0)))),"Fix")))</f>
        <v xml:space="preserve"> </v>
      </c>
      <c r="D411" s="4" t="str">
        <f ca="1">IF(OR(INDEX($X$2:$X$1001,MATCH(ROWS($W$2:W411),$W$2:$W$1001,0),1)&gt;=100000,INDEX($AD$1005:$AU$1005,1,MATCH(COLUMNS($AD$1006:AF1006),$AD$1006:$AU$1006,0))&gt;=100000), " ",IF(INDEX($AD$2:$AU$1001,MATCH(ROWS($W$2:W411),$W$2:$W$1001,0),MATCH(COLUMNS($AD$1006:AF1006),$AD$1006:$AU$1006,0)), HYPERLINK("#",""), HYPERLINK(CONCATENATE("#metadata!", ADDRESS(INDEX($Y$2:$Y$1001,MATCH(ROWS($W$2:W411),$W$2:$W$1001,0),0), INDEX($AD$1004:$AU$1004,1,MATCH(COLUMNS($AD$1006:AF1006),$AD$1006:$AU$1006,0)))),"Fix")))</f>
        <v xml:space="preserve"> </v>
      </c>
      <c r="E411" s="4" t="str">
        <f ca="1">IF(OR(INDEX($X$2:$X$1001,MATCH(ROWS($W$2:W411),$W$2:$W$1001,0),1)&gt;=100000,INDEX($AD$1005:$AU$1005,1,MATCH(COLUMNS($AD$1006:AG1006),$AD$1006:$AU$1006,0))&gt;=100000), " ",IF(INDEX($AD$2:$AU$1001,MATCH(ROWS($W$2:W411),$W$2:$W$1001,0),MATCH(COLUMNS($AD$1006:AG1006),$AD$1006:$AU$1006,0)), HYPERLINK("#",""), HYPERLINK(CONCATENATE("#metadata!", ADDRESS(INDEX($Y$2:$Y$1001,MATCH(ROWS($W$2:W411),$W$2:$W$1001,0),0), INDEX($AD$1004:$AU$1004,1,MATCH(COLUMNS($AD$1006:AG1006),$AD$1006:$AU$1006,0)))),"Fix")))</f>
        <v xml:space="preserve"> </v>
      </c>
      <c r="F411" s="4" t="str">
        <f ca="1">IF(OR(INDEX($X$2:$X$1001,MATCH(ROWS($W$2:W411),$W$2:$W$1001,0),1)&gt;=100000,INDEX($AD$1005:$AU$1005,1,MATCH(COLUMNS($AD$1006:AH1006),$AD$1006:$AU$1006,0))&gt;=100000), " ",IF(INDEX($AD$2:$AU$1001,MATCH(ROWS($W$2:W411),$W$2:$W$1001,0),MATCH(COLUMNS($AD$1006:AH1006),$AD$1006:$AU$1006,0)), HYPERLINK("#",""), HYPERLINK(CONCATENATE("#metadata!", ADDRESS(INDEX($Y$2:$Y$1001,MATCH(ROWS($W$2:W411),$W$2:$W$1001,0),0), INDEX($AD$1004:$AU$1004,1,MATCH(COLUMNS($AD$1006:AH1006),$AD$1006:$AU$1006,0)))),"Fix")))</f>
        <v xml:space="preserve"> </v>
      </c>
      <c r="G411" s="4" t="str">
        <f ca="1">IF(OR(INDEX($X$2:$X$1001,MATCH(ROWS($W$2:W411),$W$2:$W$1001,0),1)&gt;=100000,INDEX($AD$1005:$AU$1005,1,MATCH(COLUMNS($AD$1006:AI1006),$AD$1006:$AU$1006,0))&gt;=100000), " ",IF(INDEX($AD$2:$AU$1001,MATCH(ROWS($W$2:W411),$W$2:$W$1001,0),MATCH(COLUMNS($AD$1006:AI1006),$AD$1006:$AU$1006,0)), HYPERLINK("#",""), HYPERLINK(CONCATENATE("#metadata!", ADDRESS(INDEX($Y$2:$Y$1001,MATCH(ROWS($W$2:W411),$W$2:$W$1001,0),0), INDEX($AD$1004:$AU$1004,1,MATCH(COLUMNS($AD$1006:AI1006),$AD$1006:$AU$1006,0)))),"Fix")))</f>
        <v xml:space="preserve"> </v>
      </c>
      <c r="H411" s="4" t="str">
        <f ca="1">IF(OR(INDEX($X$2:$X$1001,MATCH(ROWS($W$2:W411),$W$2:$W$1001,0),1)&gt;=100000,INDEX($AD$1005:$AU$1005,1,MATCH(COLUMNS($AD$1006:AJ1006),$AD$1006:$AU$1006,0))&gt;=100000), " ",IF(INDEX($AD$2:$AU$1001,MATCH(ROWS($W$2:W411),$W$2:$W$1001,0),MATCH(COLUMNS($AD$1006:AJ1006),$AD$1006:$AU$1006,0)), HYPERLINK("#",""), HYPERLINK(CONCATENATE("#metadata!", ADDRESS(INDEX($Y$2:$Y$1001,MATCH(ROWS($W$2:W411),$W$2:$W$1001,0),0), INDEX($AD$1004:$AU$1004,1,MATCH(COLUMNS($AD$1006:AJ1006),$AD$1006:$AU$1006,0)))),"Fix")))</f>
        <v xml:space="preserve"> </v>
      </c>
      <c r="I411" s="4" t="str">
        <f ca="1">IF(OR(INDEX($X$2:$X$1001,MATCH(ROWS($W$2:W411),$W$2:$W$1001,0),1)&gt;=100000,INDEX($AD$1005:$AU$1005,1,MATCH(COLUMNS($AD$1006:AK1006),$AD$1006:$AU$1006,0))&gt;=100000), " ",IF(INDEX($AD$2:$AU$1001,MATCH(ROWS($W$2:W411),$W$2:$W$1001,0),MATCH(COLUMNS($AD$1006:AK1006),$AD$1006:$AU$1006,0)), HYPERLINK("#",""), HYPERLINK(CONCATENATE("#metadata!", ADDRESS(INDEX($Y$2:$Y$1001,MATCH(ROWS($W$2:W411),$W$2:$W$1001,0),0), INDEX($AD$1004:$AU$1004,1,MATCH(COLUMNS($AD$1006:AK1006),$AD$1006:$AU$1006,0)))),"Fix")))</f>
        <v xml:space="preserve"> </v>
      </c>
      <c r="J411" s="4" t="str">
        <f ca="1">IF(OR(INDEX($X$2:$X$1001,MATCH(ROWS($W$2:W411),$W$2:$W$1001,0),1)&gt;=100000,INDEX($AD$1005:$AU$1005,1,MATCH(COLUMNS($AD$1006:AL1006),$AD$1006:$AU$1006,0))&gt;=100000), " ",IF(INDEX($AD$2:$AU$1001,MATCH(ROWS($W$2:W411),$W$2:$W$1001,0),MATCH(COLUMNS($AD$1006:AL1006),$AD$1006:$AU$1006,0)), HYPERLINK("#",""), HYPERLINK(CONCATENATE("#metadata!", ADDRESS(INDEX($Y$2:$Y$1001,MATCH(ROWS($W$2:W411),$W$2:$W$1001,0),0), INDEX($AD$1004:$AU$1004,1,MATCH(COLUMNS($AD$1006:AL1006),$AD$1006:$AU$1006,0)))),"Fix")))</f>
        <v xml:space="preserve"> </v>
      </c>
      <c r="K411" s="4" t="str">
        <f ca="1">IF(OR(INDEX($X$2:$X$1001,MATCH(ROWS($W$2:W411),$W$2:$W$1001,0),1)&gt;=100000,INDEX($AD$1005:$AU$1005,1,MATCH(COLUMNS($AD$1006:AM1006),$AD$1006:$AU$1006,0))&gt;=100000), " ",IF(INDEX($AD$2:$AU$1001,MATCH(ROWS($W$2:W411),$W$2:$W$1001,0),MATCH(COLUMNS($AD$1006:AM1006),$AD$1006:$AU$1006,0)), HYPERLINK("#",""), HYPERLINK(CONCATENATE("#metadata!", ADDRESS(INDEX($Y$2:$Y$1001,MATCH(ROWS($W$2:W411),$W$2:$W$1001,0),0), INDEX($AD$1004:$AU$1004,1,MATCH(COLUMNS($AD$1006:AM1006),$AD$1006:$AU$1006,0)))),"Fix")))</f>
        <v xml:space="preserve"> </v>
      </c>
      <c r="L411" s="4" t="str">
        <f ca="1">IF(OR(INDEX($X$2:$X$1001,MATCH(ROWS($W$2:W411),$W$2:$W$1001,0),1)&gt;=100000,INDEX($AD$1005:$AU$1005,1,MATCH(COLUMNS($AD$1006:AN1006),$AD$1006:$AU$1006,0))&gt;=100000), " ",IF(INDEX($AD$2:$AU$1001,MATCH(ROWS($W$2:W411),$W$2:$W$1001,0),MATCH(COLUMNS($AD$1006:AN1006),$AD$1006:$AU$1006,0)), HYPERLINK("#",""), HYPERLINK(CONCATENATE("#metadata!", ADDRESS(INDEX($Y$2:$Y$1001,MATCH(ROWS($W$2:W411),$W$2:$W$1001,0),0), INDEX($AD$1004:$AU$1004,1,MATCH(COLUMNS($AD$1006:AN1006),$AD$1006:$AU$1006,0)))),"Fix")))</f>
        <v xml:space="preserve"> </v>
      </c>
      <c r="M411" s="4" t="str">
        <f ca="1">IF(OR(INDEX($X$2:$X$1001,MATCH(ROWS($W$2:W411),$W$2:$W$1001,0),1)&gt;=100000,INDEX($AD$1005:$AU$1005,1,MATCH(COLUMNS($AD$1006:AO1006),$AD$1006:$AU$1006,0))&gt;=100000), " ",IF(INDEX($AD$2:$AU$1001,MATCH(ROWS($W$2:W411),$W$2:$W$1001,0),MATCH(COLUMNS($AD$1006:AO1006),$AD$1006:$AU$1006,0)), HYPERLINK("#",""), HYPERLINK(CONCATENATE("#metadata!", ADDRESS(INDEX($Y$2:$Y$1001,MATCH(ROWS($W$2:W411),$W$2:$W$1001,0),0), INDEX($AD$1004:$AU$1004,1,MATCH(COLUMNS($AD$1006:AO1006),$AD$1006:$AU$1006,0)))),"Fix")))</f>
        <v xml:space="preserve"> </v>
      </c>
      <c r="N411" s="4" t="str">
        <f ca="1">IF(OR(INDEX($X$2:$X$1001,MATCH(ROWS($W$2:W411),$W$2:$W$1001,0),1)&gt;=100000,INDEX($AD$1005:$AU$1005,1,MATCH(COLUMNS($AD$1006:AP1006),$AD$1006:$AU$1006,0))&gt;=100000), " ",IF(INDEX($AD$2:$AU$1001,MATCH(ROWS($W$2:W411),$W$2:$W$1001,0),MATCH(COLUMNS($AD$1006:AP1006),$AD$1006:$AU$1006,0)), HYPERLINK("#",""), HYPERLINK(CONCATENATE("#metadata!", ADDRESS(INDEX($Y$2:$Y$1001,MATCH(ROWS($W$2:W411),$W$2:$W$1001,0),0), INDEX($AD$1004:$AU$1004,1,MATCH(COLUMNS($AD$1006:AP1006),$AD$1006:$AU$1006,0)))),"Fix")))</f>
        <v xml:space="preserve"> </v>
      </c>
      <c r="O411" s="4" t="str">
        <f ca="1">IF(OR(INDEX($X$2:$X$1001,MATCH(ROWS($W$2:W411),$W$2:$W$1001,0),1)&gt;=100000,INDEX($AD$1005:$AU$1005,1,MATCH(COLUMNS($AD$1006:AQ1006),$AD$1006:$AU$1006,0))&gt;=100000), " ",IF(INDEX($AD$2:$AU$1001,MATCH(ROWS($W$2:W411),$W$2:$W$1001,0),MATCH(COLUMNS($AD$1006:AQ1006),$AD$1006:$AU$1006,0)), HYPERLINK("#",""), HYPERLINK(CONCATENATE("#metadata!", ADDRESS(INDEX($Y$2:$Y$1001,MATCH(ROWS($W$2:W411),$W$2:$W$1001,0),0), INDEX($AD$1004:$AU$1004,1,MATCH(COLUMNS($AD$1006:AQ1006),$AD$1006:$AU$1006,0)))),"Fix")))</f>
        <v xml:space="preserve"> </v>
      </c>
      <c r="P411" s="4" t="str">
        <f ca="1">IF(OR(INDEX($X$2:$X$1001,MATCH(ROWS($W$2:W411),$W$2:$W$1001,0),1)&gt;=100000,INDEX($AD$1005:$AU$1005,1,MATCH(COLUMNS($AD$1006:AR1006),$AD$1006:$AU$1006,0))&gt;=100000), " ",IF(INDEX($AD$2:$AU$1001,MATCH(ROWS($W$2:W411),$W$2:$W$1001,0),MATCH(COLUMNS($AD$1006:AR1006),$AD$1006:$AU$1006,0)), HYPERLINK("#",""), HYPERLINK(CONCATENATE("#metadata!", ADDRESS(INDEX($Y$2:$Y$1001,MATCH(ROWS($W$2:W411),$W$2:$W$1001,0),0), INDEX($AD$1004:$AU$1004,1,MATCH(COLUMNS($AD$1006:AR1006),$AD$1006:$AU$1006,0)))),"Fix")))</f>
        <v xml:space="preserve"> </v>
      </c>
      <c r="Q411" s="4" t="str">
        <f ca="1">IF(OR(INDEX($X$2:$X$1001,MATCH(ROWS($W$2:W411),$W$2:$W$1001,0),1)&gt;=100000,INDEX($AD$1005:$AU$1005,1,MATCH(COLUMNS($AD$1006:AS1006),$AD$1006:$AU$1006,0))&gt;=100000), " ",IF(INDEX($AD$2:$AU$1001,MATCH(ROWS($W$2:W411),$W$2:$W$1001,0),MATCH(COLUMNS($AD$1006:AS1006),$AD$1006:$AU$1006,0)), HYPERLINK("#",""), HYPERLINK(CONCATENATE("#metadata!", ADDRESS(INDEX($Y$2:$Y$1001,MATCH(ROWS($W$2:W411),$W$2:$W$1001,0),0), INDEX($AD$1004:$AU$1004,1,MATCH(COLUMNS($AD$1006:AS1006),$AD$1006:$AU$1006,0)))),"Fix")))</f>
        <v xml:space="preserve"> </v>
      </c>
      <c r="R411" s="4" t="str">
        <f ca="1">IF(OR(INDEX($X$2:$X$1001,MATCH(ROWS($W$2:W411),$W$2:$W$1001,0),1)&gt;=100000,INDEX($AD$1005:$AU$1005,1,MATCH(COLUMNS($AD$1006:AT1006),$AD$1006:$AU$1006,0))&gt;=100000), " ",IF(INDEX($AD$2:$AU$1001,MATCH(ROWS($W$2:W411),$W$2:$W$1001,0),MATCH(COLUMNS($AD$1006:AT1006),$AD$1006:$AU$1006,0)), HYPERLINK("#",""), HYPERLINK(CONCATENATE("#metadata!", ADDRESS(INDEX($Y$2:$Y$1001,MATCH(ROWS($W$2:W411),$W$2:$W$1001,0),0), INDEX($AD$1004:$AU$1004,1,MATCH(COLUMNS($AD$1006:AT1006),$AD$1006:$AU$1006,0)))),"Fix")))</f>
        <v xml:space="preserve"> </v>
      </c>
      <c r="S411" s="4" t="str">
        <f ca="1">IF(OR(INDEX($X$2:$X$1001,MATCH(ROWS($W$2:W411),$W$2:$W$1001,0),1)&gt;=100000,INDEX($AD$1005:$AU$1005,1,MATCH(COLUMNS($AD$1006:AU1006),$AD$1006:$AU$1006,0))&gt;=100000), " ",IF(INDEX($AD$2:$AU$1001,MATCH(ROWS($W$2:W411),$W$2:$W$1001,0),MATCH(COLUMNS($AD$1006:AU1006),$AD$1006:$AU$1006,0)), HYPERLINK("#",""), HYPERLINK(CONCATENATE("#metadata!", ADDRESS(INDEX($Y$2:$Y$1001,MATCH(ROWS($W$2:W411),$W$2:$W$1001,0),0), INDEX($AD$1004:$AU$1004,1,MATCH(COLUMNS($AD$1006:AU1006),$AD$1006:$AU$1006,0)))),"Fix")))</f>
        <v xml:space="preserve"> </v>
      </c>
      <c r="W411">
        <v>410</v>
      </c>
      <c r="X411">
        <v>100411</v>
      </c>
      <c r="Y411">
        <v>411</v>
      </c>
      <c r="Z411" t="b">
        <f t="shared" si="6"/>
        <v>1</v>
      </c>
      <c r="AA411" t="b">
        <f>COUNTBLANK(metadata!B411:S411)=COLUMNS(metadata!B411:S411)</f>
        <v>1</v>
      </c>
      <c r="AB411" t="str">
        <v/>
      </c>
      <c r="AD411" t="b">
        <f ca="1">AND(IF(metadata!B411="",FALSE,TRUE),COUNTIF(metadata!B:B, metadata!B411) = 1,NOT(ISERROR(SUMPRODUCT(SEARCH(MID(metadata!B411,ROW(INDIRECT("1:"&amp;LEN(metadata!B411))), 1),"0123456789abcdefghijklmnopqrstuvwxyzABCDEFGHIJKLMNOPQRSTUVWXYZ.")))))</f>
        <v>0</v>
      </c>
      <c r="AE411" t="b">
        <f>OR(AND(IF(metadata!C411="",FALSE,TRUE),OR(EXACT(metadata!C411,"not applicable"),EXACT(metadata!C411,"missing: not collected"),EXACT(metadata!C411,"missing: not provided"),EXACT(metadata!C411,"missing: restricted access"))),AND(IF(metadata!C411="",FALSE,ISNUMBER(VALUE(metadata!C411))),metadata!C411&gt;0))</f>
        <v>0</v>
      </c>
      <c r="AF411" t="b">
        <f>AND(IF(metadata!D411="",FALSE,TRUE),EXACT(metadata!D411,"missing: not provided"))</f>
        <v>0</v>
      </c>
      <c r="AG411" t="b">
        <f>AND(IF(metadata!E411="",FALSE,TRUE),EXACT(metadata!E411,"Host-associated"))</f>
        <v>0</v>
      </c>
      <c r="AH411" t="b">
        <f>AND(IF(metadata!F411="",FALSE,TRUE),OR(EXACT(metadata!F411,"Animal"),EXACT(metadata!F411,"Fungus"),EXACT(metadata!F411,"Plant")))</f>
        <v>0</v>
      </c>
      <c r="AI411" t="b">
        <f>AND(IF(metadata!G411="",FALSE,TRUE),OR(EXACT(metadata!G411,"Plant secretion"),EXACT(metadata!G411,"Plant rhizosphere"),EXACT(metadata!G411,"Plant surface"),EXACT(metadata!G411,"Plant corpus"),EXACT(metadata!G411,"Fungus surface"),EXACT(metadata!G411,"Fungus corpus"),EXACT(metadata!G411,"Animal surface"),EXACT(metadata!G411,"Animal proximal gut"),EXACT(metadata!G411,"Animal corpus"),EXACT(metadata!G411,"Animal distal gut"),EXACT(metadata!G411,"Animal secretion")))</f>
        <v>0</v>
      </c>
      <c r="AJ411" t="b">
        <f>OR(AND(IF(metadata!H411="",FALSE,TRUE),OR(EXACT(metadata!H411,"missing: not collected"),EXACT(metadata!H411,"missing: not provided"),EXACT(metadata!H411,"missing: restricted access"))),AND(IF(metadata!H411="",FALSE,TRUE),OR(EXACT(metadata!H411,"organism-associated habitat"),EXACT(metadata!H411,"plant-associated habitat"),EXACT(metadata!H411,"animal-associated habitat"),EXACT(metadata!H411,"insecta-associated habitat"),EXACT(metadata!H411,"mammalia-associated habitat"),EXACT(metadata!H411,"human-associated habitat"),EXACT(metadata!H411,"livestock-associated habitat"))))</f>
        <v>0</v>
      </c>
      <c r="AK411" t="b">
        <f>AND(IF(metadata!I411="",FALSE,TRUE),EXACT(metadata!I411,"host-associated"))</f>
        <v>0</v>
      </c>
      <c r="AL411" t="b">
        <f>OR(AND(IF(metadata!J411="",FALSE,TRUE),OR(EXACT(metadata!J411,"not applicable"),EXACT(metadata!J411,"missing: not collected"),EXACT(metadata!J411,"missing: not provided"),EXACT(metadata!J411,"missing: restricted access"))),AND(IF(metadata!J411="",FALSE,ISNUMBER(VALUE(metadata!J411))),metadata!J411&gt;0))</f>
        <v>0</v>
      </c>
      <c r="AM411" t="b">
        <f>AND(IF(metadata!K411="",FALSE,TRUE),EXACT(metadata!K411,"missing: not provided"))</f>
        <v>0</v>
      </c>
      <c r="AN411" t="b">
        <f>IF(metadata!L411="",FALSE,TRUE)</f>
        <v>0</v>
      </c>
      <c r="AO411" t="b">
        <f>IF(metadata!M411="",FALSE,TRUE)</f>
        <v>0</v>
      </c>
      <c r="AP411" t="b">
        <f>OR(AND(IF(metadata!N411="",FALSE,TRUE),OR(EXACT(metadata!N411,"not applicable"),EXACT(metadata!N411,"missing: not collected"),EXACT(metadata!N411,"missing: not provided"))),AND(IF(metadata!N411="",FALSE,IF(ISERROR(INT(metadata!N411)),FALSE,INT(metadata!N411)=metadata!N411)),metadata!N411&gt;0))</f>
        <v>0</v>
      </c>
      <c r="AQ411" t="b">
        <f>AND(IF(metadata!O411="",FALSE,TRUE),EXACT(metadata!O411,"Not applicable"))</f>
        <v>0</v>
      </c>
      <c r="AR411" t="b">
        <f>OR(AND(IF(metadata!P411="",FALSE,TRUE),OR(EXACT(metadata!P411,"not applicable"),EXACT(metadata!P411,"missing: not collected"),EXACT(metadata!P411,"missing: not provided"),EXACT(metadata!P411,"missing: restricted access"))),IF(metadata!P411="",FALSE,IF(ISERROR(INT(metadata!P411)),FALSE,INT(metadata!P411)=metadata!P411)))</f>
        <v>0</v>
      </c>
      <c r="AS411" t="b">
        <f>AND(IF(metadata!Q411="",FALSE,TRUE),EXACT(metadata!Q411,"Not applicable"))</f>
        <v>0</v>
      </c>
      <c r="AT411" t="b">
        <f>OR(AND(IF(metadata!R411="",FALSE,TRUE),OR(EXACT(metadata!R411,"not applicable"),EXACT(metadata!R411,"missing: not collected"),EXACT(metadata!R411,"missing: not provided"),EXACT(metadata!R411,"missing: restricted access"))),AND(IF(metadata!R411="",FALSE,ISNUMBER(VALUE(metadata!R411))),metadata!R411&gt;0))</f>
        <v>0</v>
      </c>
      <c r="AU411" t="b">
        <f>AND(IF(metadata!S411="",FALSE,TRUE),EXACT(metadata!S411,"missing: not provided"))</f>
        <v>0</v>
      </c>
    </row>
    <row r="412" spans="1:47" x14ac:dyDescent="0.2">
      <c r="A412" s="5" t="str">
        <f ca="1">IF(B412=" "," ",HYPERLINK(CONCATENATE("#metadata!",ADDRESS(INDEX($Y$2:$Y$1001,MATCH(ROWS($W$2:W412),$W$2:$W$1001,0),0),1)),INDEX($AB$2:$AB$1001,MATCH(ROWS($W$2:W412),$W$2:$W$1001,0),0)))</f>
        <v xml:space="preserve"> </v>
      </c>
      <c r="B412" s="4" t="str">
        <f ca="1">IF(OR(INDEX($X$2:$X$1001,MATCH(ROWS($W$2:W412),$W$2:$W$1001,0),1)&gt;=100000,INDEX($AD$1005:$AU$1005,1,MATCH(COLUMNS($AD$1006:AD1006),$AD$1006:$AU$1006,0))&gt;=100000), " ",IF(INDEX($AD$2:$AU$1001,MATCH(ROWS($W$2:W412),$W$2:$W$1001,0),MATCH(COLUMNS($AD$1006:AD1006),$AD$1006:$AU$1006,0)), HYPERLINK("#",""), HYPERLINK(CONCATENATE("#metadata!", ADDRESS(INDEX($Y$2:$Y$1001,MATCH(ROWS($W$2:W412),$W$2:$W$1001,0),0), INDEX($AD$1004:$AU$1004,1,MATCH(COLUMNS($AD$1006:AD1006),$AD$1006:$AU$1006,0)))),"Fix")))</f>
        <v xml:space="preserve"> </v>
      </c>
      <c r="C412" s="4" t="str">
        <f ca="1">IF(OR(INDEX($X$2:$X$1001,MATCH(ROWS($W$2:W412),$W$2:$W$1001,0),1)&gt;=100000,INDEX($AD$1005:$AU$1005,1,MATCH(COLUMNS($AD$1006:AE1006),$AD$1006:$AU$1006,0))&gt;=100000), " ",IF(INDEX($AD$2:$AU$1001,MATCH(ROWS($W$2:W412),$W$2:$W$1001,0),MATCH(COLUMNS($AD$1006:AE1006),$AD$1006:$AU$1006,0)), HYPERLINK("#",""), HYPERLINK(CONCATENATE("#metadata!", ADDRESS(INDEX($Y$2:$Y$1001,MATCH(ROWS($W$2:W412),$W$2:$W$1001,0),0), INDEX($AD$1004:$AU$1004,1,MATCH(COLUMNS($AD$1006:AE1006),$AD$1006:$AU$1006,0)))),"Fix")))</f>
        <v xml:space="preserve"> </v>
      </c>
      <c r="D412" s="4" t="str">
        <f ca="1">IF(OR(INDEX($X$2:$X$1001,MATCH(ROWS($W$2:W412),$W$2:$W$1001,0),1)&gt;=100000,INDEX($AD$1005:$AU$1005,1,MATCH(COLUMNS($AD$1006:AF1006),$AD$1006:$AU$1006,0))&gt;=100000), " ",IF(INDEX($AD$2:$AU$1001,MATCH(ROWS($W$2:W412),$W$2:$W$1001,0),MATCH(COLUMNS($AD$1006:AF1006),$AD$1006:$AU$1006,0)), HYPERLINK("#",""), HYPERLINK(CONCATENATE("#metadata!", ADDRESS(INDEX($Y$2:$Y$1001,MATCH(ROWS($W$2:W412),$W$2:$W$1001,0),0), INDEX($AD$1004:$AU$1004,1,MATCH(COLUMNS($AD$1006:AF1006),$AD$1006:$AU$1006,0)))),"Fix")))</f>
        <v xml:space="preserve"> </v>
      </c>
      <c r="E412" s="4" t="str">
        <f ca="1">IF(OR(INDEX($X$2:$X$1001,MATCH(ROWS($W$2:W412),$W$2:$W$1001,0),1)&gt;=100000,INDEX($AD$1005:$AU$1005,1,MATCH(COLUMNS($AD$1006:AG1006),$AD$1006:$AU$1006,0))&gt;=100000), " ",IF(INDEX($AD$2:$AU$1001,MATCH(ROWS($W$2:W412),$W$2:$W$1001,0),MATCH(COLUMNS($AD$1006:AG1006),$AD$1006:$AU$1006,0)), HYPERLINK("#",""), HYPERLINK(CONCATENATE("#metadata!", ADDRESS(INDEX($Y$2:$Y$1001,MATCH(ROWS($W$2:W412),$W$2:$W$1001,0),0), INDEX($AD$1004:$AU$1004,1,MATCH(COLUMNS($AD$1006:AG1006),$AD$1006:$AU$1006,0)))),"Fix")))</f>
        <v xml:space="preserve"> </v>
      </c>
      <c r="F412" s="4" t="str">
        <f ca="1">IF(OR(INDEX($X$2:$X$1001,MATCH(ROWS($W$2:W412),$W$2:$W$1001,0),1)&gt;=100000,INDEX($AD$1005:$AU$1005,1,MATCH(COLUMNS($AD$1006:AH1006),$AD$1006:$AU$1006,0))&gt;=100000), " ",IF(INDEX($AD$2:$AU$1001,MATCH(ROWS($W$2:W412),$W$2:$W$1001,0),MATCH(COLUMNS($AD$1006:AH1006),$AD$1006:$AU$1006,0)), HYPERLINK("#",""), HYPERLINK(CONCATENATE("#metadata!", ADDRESS(INDEX($Y$2:$Y$1001,MATCH(ROWS($W$2:W412),$W$2:$W$1001,0),0), INDEX($AD$1004:$AU$1004,1,MATCH(COLUMNS($AD$1006:AH1006),$AD$1006:$AU$1006,0)))),"Fix")))</f>
        <v xml:space="preserve"> </v>
      </c>
      <c r="G412" s="4" t="str">
        <f ca="1">IF(OR(INDEX($X$2:$X$1001,MATCH(ROWS($W$2:W412),$W$2:$W$1001,0),1)&gt;=100000,INDEX($AD$1005:$AU$1005,1,MATCH(COLUMNS($AD$1006:AI1006),$AD$1006:$AU$1006,0))&gt;=100000), " ",IF(INDEX($AD$2:$AU$1001,MATCH(ROWS($W$2:W412),$W$2:$W$1001,0),MATCH(COLUMNS($AD$1006:AI1006),$AD$1006:$AU$1006,0)), HYPERLINK("#",""), HYPERLINK(CONCATENATE("#metadata!", ADDRESS(INDEX($Y$2:$Y$1001,MATCH(ROWS($W$2:W412),$W$2:$W$1001,0),0), INDEX($AD$1004:$AU$1004,1,MATCH(COLUMNS($AD$1006:AI1006),$AD$1006:$AU$1006,0)))),"Fix")))</f>
        <v xml:space="preserve"> </v>
      </c>
      <c r="H412" s="4" t="str">
        <f ca="1">IF(OR(INDEX($X$2:$X$1001,MATCH(ROWS($W$2:W412),$W$2:$W$1001,0),1)&gt;=100000,INDEX($AD$1005:$AU$1005,1,MATCH(COLUMNS($AD$1006:AJ1006),$AD$1006:$AU$1006,0))&gt;=100000), " ",IF(INDEX($AD$2:$AU$1001,MATCH(ROWS($W$2:W412),$W$2:$W$1001,0),MATCH(COLUMNS($AD$1006:AJ1006),$AD$1006:$AU$1006,0)), HYPERLINK("#",""), HYPERLINK(CONCATENATE("#metadata!", ADDRESS(INDEX($Y$2:$Y$1001,MATCH(ROWS($W$2:W412),$W$2:$W$1001,0),0), INDEX($AD$1004:$AU$1004,1,MATCH(COLUMNS($AD$1006:AJ1006),$AD$1006:$AU$1006,0)))),"Fix")))</f>
        <v xml:space="preserve"> </v>
      </c>
      <c r="I412" s="4" t="str">
        <f ca="1">IF(OR(INDEX($X$2:$X$1001,MATCH(ROWS($W$2:W412),$W$2:$W$1001,0),1)&gt;=100000,INDEX($AD$1005:$AU$1005,1,MATCH(COLUMNS($AD$1006:AK1006),$AD$1006:$AU$1006,0))&gt;=100000), " ",IF(INDEX($AD$2:$AU$1001,MATCH(ROWS($W$2:W412),$W$2:$W$1001,0),MATCH(COLUMNS($AD$1006:AK1006),$AD$1006:$AU$1006,0)), HYPERLINK("#",""), HYPERLINK(CONCATENATE("#metadata!", ADDRESS(INDEX($Y$2:$Y$1001,MATCH(ROWS($W$2:W412),$W$2:$W$1001,0),0), INDEX($AD$1004:$AU$1004,1,MATCH(COLUMNS($AD$1006:AK1006),$AD$1006:$AU$1006,0)))),"Fix")))</f>
        <v xml:space="preserve"> </v>
      </c>
      <c r="J412" s="4" t="str">
        <f ca="1">IF(OR(INDEX($X$2:$X$1001,MATCH(ROWS($W$2:W412),$W$2:$W$1001,0),1)&gt;=100000,INDEX($AD$1005:$AU$1005,1,MATCH(COLUMNS($AD$1006:AL1006),$AD$1006:$AU$1006,0))&gt;=100000), " ",IF(INDEX($AD$2:$AU$1001,MATCH(ROWS($W$2:W412),$W$2:$W$1001,0),MATCH(COLUMNS($AD$1006:AL1006),$AD$1006:$AU$1006,0)), HYPERLINK("#",""), HYPERLINK(CONCATENATE("#metadata!", ADDRESS(INDEX($Y$2:$Y$1001,MATCH(ROWS($W$2:W412),$W$2:$W$1001,0),0), INDEX($AD$1004:$AU$1004,1,MATCH(COLUMNS($AD$1006:AL1006),$AD$1006:$AU$1006,0)))),"Fix")))</f>
        <v xml:space="preserve"> </v>
      </c>
      <c r="K412" s="4" t="str">
        <f ca="1">IF(OR(INDEX($X$2:$X$1001,MATCH(ROWS($W$2:W412),$W$2:$W$1001,0),1)&gt;=100000,INDEX($AD$1005:$AU$1005,1,MATCH(COLUMNS($AD$1006:AM1006),$AD$1006:$AU$1006,0))&gt;=100000), " ",IF(INDEX($AD$2:$AU$1001,MATCH(ROWS($W$2:W412),$W$2:$W$1001,0),MATCH(COLUMNS($AD$1006:AM1006),$AD$1006:$AU$1006,0)), HYPERLINK("#",""), HYPERLINK(CONCATENATE("#metadata!", ADDRESS(INDEX($Y$2:$Y$1001,MATCH(ROWS($W$2:W412),$W$2:$W$1001,0),0), INDEX($AD$1004:$AU$1004,1,MATCH(COLUMNS($AD$1006:AM1006),$AD$1006:$AU$1006,0)))),"Fix")))</f>
        <v xml:space="preserve"> </v>
      </c>
      <c r="L412" s="4" t="str">
        <f ca="1">IF(OR(INDEX($X$2:$X$1001,MATCH(ROWS($W$2:W412),$W$2:$W$1001,0),1)&gt;=100000,INDEX($AD$1005:$AU$1005,1,MATCH(COLUMNS($AD$1006:AN1006),$AD$1006:$AU$1006,0))&gt;=100000), " ",IF(INDEX($AD$2:$AU$1001,MATCH(ROWS($W$2:W412),$W$2:$W$1001,0),MATCH(COLUMNS($AD$1006:AN1006),$AD$1006:$AU$1006,0)), HYPERLINK("#",""), HYPERLINK(CONCATENATE("#metadata!", ADDRESS(INDEX($Y$2:$Y$1001,MATCH(ROWS($W$2:W412),$W$2:$W$1001,0),0), INDEX($AD$1004:$AU$1004,1,MATCH(COLUMNS($AD$1006:AN1006),$AD$1006:$AU$1006,0)))),"Fix")))</f>
        <v xml:space="preserve"> </v>
      </c>
      <c r="M412" s="4" t="str">
        <f ca="1">IF(OR(INDEX($X$2:$X$1001,MATCH(ROWS($W$2:W412),$W$2:$W$1001,0),1)&gt;=100000,INDEX($AD$1005:$AU$1005,1,MATCH(COLUMNS($AD$1006:AO1006),$AD$1006:$AU$1006,0))&gt;=100000), " ",IF(INDEX($AD$2:$AU$1001,MATCH(ROWS($W$2:W412),$W$2:$W$1001,0),MATCH(COLUMNS($AD$1006:AO1006),$AD$1006:$AU$1006,0)), HYPERLINK("#",""), HYPERLINK(CONCATENATE("#metadata!", ADDRESS(INDEX($Y$2:$Y$1001,MATCH(ROWS($W$2:W412),$W$2:$W$1001,0),0), INDEX($AD$1004:$AU$1004,1,MATCH(COLUMNS($AD$1006:AO1006),$AD$1006:$AU$1006,0)))),"Fix")))</f>
        <v xml:space="preserve"> </v>
      </c>
      <c r="N412" s="4" t="str">
        <f ca="1">IF(OR(INDEX($X$2:$X$1001,MATCH(ROWS($W$2:W412),$W$2:$W$1001,0),1)&gt;=100000,INDEX($AD$1005:$AU$1005,1,MATCH(COLUMNS($AD$1006:AP1006),$AD$1006:$AU$1006,0))&gt;=100000), " ",IF(INDEX($AD$2:$AU$1001,MATCH(ROWS($W$2:W412),$W$2:$W$1001,0),MATCH(COLUMNS($AD$1006:AP1006),$AD$1006:$AU$1006,0)), HYPERLINK("#",""), HYPERLINK(CONCATENATE("#metadata!", ADDRESS(INDEX($Y$2:$Y$1001,MATCH(ROWS($W$2:W412),$W$2:$W$1001,0),0), INDEX($AD$1004:$AU$1004,1,MATCH(COLUMNS($AD$1006:AP1006),$AD$1006:$AU$1006,0)))),"Fix")))</f>
        <v xml:space="preserve"> </v>
      </c>
      <c r="O412" s="4" t="str">
        <f ca="1">IF(OR(INDEX($X$2:$X$1001,MATCH(ROWS($W$2:W412),$W$2:$W$1001,0),1)&gt;=100000,INDEX($AD$1005:$AU$1005,1,MATCH(COLUMNS($AD$1006:AQ1006),$AD$1006:$AU$1006,0))&gt;=100000), " ",IF(INDEX($AD$2:$AU$1001,MATCH(ROWS($W$2:W412),$W$2:$W$1001,0),MATCH(COLUMNS($AD$1006:AQ1006),$AD$1006:$AU$1006,0)), HYPERLINK("#",""), HYPERLINK(CONCATENATE("#metadata!", ADDRESS(INDEX($Y$2:$Y$1001,MATCH(ROWS($W$2:W412),$W$2:$W$1001,0),0), INDEX($AD$1004:$AU$1004,1,MATCH(COLUMNS($AD$1006:AQ1006),$AD$1006:$AU$1006,0)))),"Fix")))</f>
        <v xml:space="preserve"> </v>
      </c>
      <c r="P412" s="4" t="str">
        <f ca="1">IF(OR(INDEX($X$2:$X$1001,MATCH(ROWS($W$2:W412),$W$2:$W$1001,0),1)&gt;=100000,INDEX($AD$1005:$AU$1005,1,MATCH(COLUMNS($AD$1006:AR1006),$AD$1006:$AU$1006,0))&gt;=100000), " ",IF(INDEX($AD$2:$AU$1001,MATCH(ROWS($W$2:W412),$W$2:$W$1001,0),MATCH(COLUMNS($AD$1006:AR1006),$AD$1006:$AU$1006,0)), HYPERLINK("#",""), HYPERLINK(CONCATENATE("#metadata!", ADDRESS(INDEX($Y$2:$Y$1001,MATCH(ROWS($W$2:W412),$W$2:$W$1001,0),0), INDEX($AD$1004:$AU$1004,1,MATCH(COLUMNS($AD$1006:AR1006),$AD$1006:$AU$1006,0)))),"Fix")))</f>
        <v xml:space="preserve"> </v>
      </c>
      <c r="Q412" s="4" t="str">
        <f ca="1">IF(OR(INDEX($X$2:$X$1001,MATCH(ROWS($W$2:W412),$W$2:$W$1001,0),1)&gt;=100000,INDEX($AD$1005:$AU$1005,1,MATCH(COLUMNS($AD$1006:AS1006),$AD$1006:$AU$1006,0))&gt;=100000), " ",IF(INDEX($AD$2:$AU$1001,MATCH(ROWS($W$2:W412),$W$2:$W$1001,0),MATCH(COLUMNS($AD$1006:AS1006),$AD$1006:$AU$1006,0)), HYPERLINK("#",""), HYPERLINK(CONCATENATE("#metadata!", ADDRESS(INDEX($Y$2:$Y$1001,MATCH(ROWS($W$2:W412),$W$2:$W$1001,0),0), INDEX($AD$1004:$AU$1004,1,MATCH(COLUMNS($AD$1006:AS1006),$AD$1006:$AU$1006,0)))),"Fix")))</f>
        <v xml:space="preserve"> </v>
      </c>
      <c r="R412" s="4" t="str">
        <f ca="1">IF(OR(INDEX($X$2:$X$1001,MATCH(ROWS($W$2:W412),$W$2:$W$1001,0),1)&gt;=100000,INDEX($AD$1005:$AU$1005,1,MATCH(COLUMNS($AD$1006:AT1006),$AD$1006:$AU$1006,0))&gt;=100000), " ",IF(INDEX($AD$2:$AU$1001,MATCH(ROWS($W$2:W412),$W$2:$W$1001,0),MATCH(COLUMNS($AD$1006:AT1006),$AD$1006:$AU$1006,0)), HYPERLINK("#",""), HYPERLINK(CONCATENATE("#metadata!", ADDRESS(INDEX($Y$2:$Y$1001,MATCH(ROWS($W$2:W412),$W$2:$W$1001,0),0), INDEX($AD$1004:$AU$1004,1,MATCH(COLUMNS($AD$1006:AT1006),$AD$1006:$AU$1006,0)))),"Fix")))</f>
        <v xml:space="preserve"> </v>
      </c>
      <c r="S412" s="4" t="str">
        <f ca="1">IF(OR(INDEX($X$2:$X$1001,MATCH(ROWS($W$2:W412),$W$2:$W$1001,0),1)&gt;=100000,INDEX($AD$1005:$AU$1005,1,MATCH(COLUMNS($AD$1006:AU1006),$AD$1006:$AU$1006,0))&gt;=100000), " ",IF(INDEX($AD$2:$AU$1001,MATCH(ROWS($W$2:W412),$W$2:$W$1001,0),MATCH(COLUMNS($AD$1006:AU1006),$AD$1006:$AU$1006,0)), HYPERLINK("#",""), HYPERLINK(CONCATENATE("#metadata!", ADDRESS(INDEX($Y$2:$Y$1001,MATCH(ROWS($W$2:W412),$W$2:$W$1001,0),0), INDEX($AD$1004:$AU$1004,1,MATCH(COLUMNS($AD$1006:AU1006),$AD$1006:$AU$1006,0)))),"Fix")))</f>
        <v xml:space="preserve"> </v>
      </c>
      <c r="W412">
        <v>411</v>
      </c>
      <c r="X412">
        <v>100412</v>
      </c>
      <c r="Y412">
        <v>412</v>
      </c>
      <c r="Z412" t="b">
        <f t="shared" si="6"/>
        <v>1</v>
      </c>
      <c r="AA412" t="b">
        <f>COUNTBLANK(metadata!B412:S412)=COLUMNS(metadata!B412:S412)</f>
        <v>1</v>
      </c>
      <c r="AB412" t="str">
        <v/>
      </c>
      <c r="AD412" t="b">
        <f ca="1">AND(IF(metadata!B412="",FALSE,TRUE),COUNTIF(metadata!B:B, metadata!B412) = 1,NOT(ISERROR(SUMPRODUCT(SEARCH(MID(metadata!B412,ROW(INDIRECT("1:"&amp;LEN(metadata!B412))), 1),"0123456789abcdefghijklmnopqrstuvwxyzABCDEFGHIJKLMNOPQRSTUVWXYZ.")))))</f>
        <v>0</v>
      </c>
      <c r="AE412" t="b">
        <f>OR(AND(IF(metadata!C412="",FALSE,TRUE),OR(EXACT(metadata!C412,"not applicable"),EXACT(metadata!C412,"missing: not collected"),EXACT(metadata!C412,"missing: not provided"),EXACT(metadata!C412,"missing: restricted access"))),AND(IF(metadata!C412="",FALSE,ISNUMBER(VALUE(metadata!C412))),metadata!C412&gt;0))</f>
        <v>0</v>
      </c>
      <c r="AF412" t="b">
        <f>AND(IF(metadata!D412="",FALSE,TRUE),EXACT(metadata!D412,"missing: not provided"))</f>
        <v>0</v>
      </c>
      <c r="AG412" t="b">
        <f>AND(IF(metadata!E412="",FALSE,TRUE),EXACT(metadata!E412,"Host-associated"))</f>
        <v>0</v>
      </c>
      <c r="AH412" t="b">
        <f>AND(IF(metadata!F412="",FALSE,TRUE),OR(EXACT(metadata!F412,"Animal"),EXACT(metadata!F412,"Fungus"),EXACT(metadata!F412,"Plant")))</f>
        <v>0</v>
      </c>
      <c r="AI412" t="b">
        <f>AND(IF(metadata!G412="",FALSE,TRUE),OR(EXACT(metadata!G412,"Plant secretion"),EXACT(metadata!G412,"Plant rhizosphere"),EXACT(metadata!G412,"Plant surface"),EXACT(metadata!G412,"Plant corpus"),EXACT(metadata!G412,"Fungus surface"),EXACT(metadata!G412,"Fungus corpus"),EXACT(metadata!G412,"Animal surface"),EXACT(metadata!G412,"Animal proximal gut"),EXACT(metadata!G412,"Animal corpus"),EXACT(metadata!G412,"Animal distal gut"),EXACT(metadata!G412,"Animal secretion")))</f>
        <v>0</v>
      </c>
      <c r="AJ412" t="b">
        <f>OR(AND(IF(metadata!H412="",FALSE,TRUE),OR(EXACT(metadata!H412,"missing: not collected"),EXACT(metadata!H412,"missing: not provided"),EXACT(metadata!H412,"missing: restricted access"))),AND(IF(metadata!H412="",FALSE,TRUE),OR(EXACT(metadata!H412,"organism-associated habitat"),EXACT(metadata!H412,"plant-associated habitat"),EXACT(metadata!H412,"animal-associated habitat"),EXACT(metadata!H412,"insecta-associated habitat"),EXACT(metadata!H412,"mammalia-associated habitat"),EXACT(metadata!H412,"human-associated habitat"),EXACT(metadata!H412,"livestock-associated habitat"))))</f>
        <v>0</v>
      </c>
      <c r="AK412" t="b">
        <f>AND(IF(metadata!I412="",FALSE,TRUE),EXACT(metadata!I412,"host-associated"))</f>
        <v>0</v>
      </c>
      <c r="AL412" t="b">
        <f>OR(AND(IF(metadata!J412="",FALSE,TRUE),OR(EXACT(metadata!J412,"not applicable"),EXACT(metadata!J412,"missing: not collected"),EXACT(metadata!J412,"missing: not provided"),EXACT(metadata!J412,"missing: restricted access"))),AND(IF(metadata!J412="",FALSE,ISNUMBER(VALUE(metadata!J412))),metadata!J412&gt;0))</f>
        <v>0</v>
      </c>
      <c r="AM412" t="b">
        <f>AND(IF(metadata!K412="",FALSE,TRUE),EXACT(metadata!K412,"missing: not provided"))</f>
        <v>0</v>
      </c>
      <c r="AN412" t="b">
        <f>IF(metadata!L412="",FALSE,TRUE)</f>
        <v>0</v>
      </c>
      <c r="AO412" t="b">
        <f>IF(metadata!M412="",FALSE,TRUE)</f>
        <v>0</v>
      </c>
      <c r="AP412" t="b">
        <f>OR(AND(IF(metadata!N412="",FALSE,TRUE),OR(EXACT(metadata!N412,"not applicable"),EXACT(metadata!N412,"missing: not collected"),EXACT(metadata!N412,"missing: not provided"))),AND(IF(metadata!N412="",FALSE,IF(ISERROR(INT(metadata!N412)),FALSE,INT(metadata!N412)=metadata!N412)),metadata!N412&gt;0))</f>
        <v>0</v>
      </c>
      <c r="AQ412" t="b">
        <f>AND(IF(metadata!O412="",FALSE,TRUE),EXACT(metadata!O412,"Not applicable"))</f>
        <v>0</v>
      </c>
      <c r="AR412" t="b">
        <f>OR(AND(IF(metadata!P412="",FALSE,TRUE),OR(EXACT(metadata!P412,"not applicable"),EXACT(metadata!P412,"missing: not collected"),EXACT(metadata!P412,"missing: not provided"),EXACT(metadata!P412,"missing: restricted access"))),IF(metadata!P412="",FALSE,IF(ISERROR(INT(metadata!P412)),FALSE,INT(metadata!P412)=metadata!P412)))</f>
        <v>0</v>
      </c>
      <c r="AS412" t="b">
        <f>AND(IF(metadata!Q412="",FALSE,TRUE),EXACT(metadata!Q412,"Not applicable"))</f>
        <v>0</v>
      </c>
      <c r="AT412" t="b">
        <f>OR(AND(IF(metadata!R412="",FALSE,TRUE),OR(EXACT(metadata!R412,"not applicable"),EXACT(metadata!R412,"missing: not collected"),EXACT(metadata!R412,"missing: not provided"),EXACT(metadata!R412,"missing: restricted access"))),AND(IF(metadata!R412="",FALSE,ISNUMBER(VALUE(metadata!R412))),metadata!R412&gt;0))</f>
        <v>0</v>
      </c>
      <c r="AU412" t="b">
        <f>AND(IF(metadata!S412="",FALSE,TRUE),EXACT(metadata!S412,"missing: not provided"))</f>
        <v>0</v>
      </c>
    </row>
    <row r="413" spans="1:47" x14ac:dyDescent="0.2">
      <c r="A413" s="5" t="str">
        <f ca="1">IF(B413=" "," ",HYPERLINK(CONCATENATE("#metadata!",ADDRESS(INDEX($Y$2:$Y$1001,MATCH(ROWS($W$2:W413),$W$2:$W$1001,0),0),1)),INDEX($AB$2:$AB$1001,MATCH(ROWS($W$2:W413),$W$2:$W$1001,0),0)))</f>
        <v xml:space="preserve"> </v>
      </c>
      <c r="B413" s="4" t="str">
        <f ca="1">IF(OR(INDEX($X$2:$X$1001,MATCH(ROWS($W$2:W413),$W$2:$W$1001,0),1)&gt;=100000,INDEX($AD$1005:$AU$1005,1,MATCH(COLUMNS($AD$1006:AD1006),$AD$1006:$AU$1006,0))&gt;=100000), " ",IF(INDEX($AD$2:$AU$1001,MATCH(ROWS($W$2:W413),$W$2:$W$1001,0),MATCH(COLUMNS($AD$1006:AD1006),$AD$1006:$AU$1006,0)), HYPERLINK("#",""), HYPERLINK(CONCATENATE("#metadata!", ADDRESS(INDEX($Y$2:$Y$1001,MATCH(ROWS($W$2:W413),$W$2:$W$1001,0),0), INDEX($AD$1004:$AU$1004,1,MATCH(COLUMNS($AD$1006:AD1006),$AD$1006:$AU$1006,0)))),"Fix")))</f>
        <v xml:space="preserve"> </v>
      </c>
      <c r="C413" s="4" t="str">
        <f ca="1">IF(OR(INDEX($X$2:$X$1001,MATCH(ROWS($W$2:W413),$W$2:$W$1001,0),1)&gt;=100000,INDEX($AD$1005:$AU$1005,1,MATCH(COLUMNS($AD$1006:AE1006),$AD$1006:$AU$1006,0))&gt;=100000), " ",IF(INDEX($AD$2:$AU$1001,MATCH(ROWS($W$2:W413),$W$2:$W$1001,0),MATCH(COLUMNS($AD$1006:AE1006),$AD$1006:$AU$1006,0)), HYPERLINK("#",""), HYPERLINK(CONCATENATE("#metadata!", ADDRESS(INDEX($Y$2:$Y$1001,MATCH(ROWS($W$2:W413),$W$2:$W$1001,0),0), INDEX($AD$1004:$AU$1004,1,MATCH(COLUMNS($AD$1006:AE1006),$AD$1006:$AU$1006,0)))),"Fix")))</f>
        <v xml:space="preserve"> </v>
      </c>
      <c r="D413" s="4" t="str">
        <f ca="1">IF(OR(INDEX($X$2:$X$1001,MATCH(ROWS($W$2:W413),$W$2:$W$1001,0),1)&gt;=100000,INDEX($AD$1005:$AU$1005,1,MATCH(COLUMNS($AD$1006:AF1006),$AD$1006:$AU$1006,0))&gt;=100000), " ",IF(INDEX($AD$2:$AU$1001,MATCH(ROWS($W$2:W413),$W$2:$W$1001,0),MATCH(COLUMNS($AD$1006:AF1006),$AD$1006:$AU$1006,0)), HYPERLINK("#",""), HYPERLINK(CONCATENATE("#metadata!", ADDRESS(INDEX($Y$2:$Y$1001,MATCH(ROWS($W$2:W413),$W$2:$W$1001,0),0), INDEX($AD$1004:$AU$1004,1,MATCH(COLUMNS($AD$1006:AF1006),$AD$1006:$AU$1006,0)))),"Fix")))</f>
        <v xml:space="preserve"> </v>
      </c>
      <c r="E413" s="4" t="str">
        <f ca="1">IF(OR(INDEX($X$2:$X$1001,MATCH(ROWS($W$2:W413),$W$2:$W$1001,0),1)&gt;=100000,INDEX($AD$1005:$AU$1005,1,MATCH(COLUMNS($AD$1006:AG1006),$AD$1006:$AU$1006,0))&gt;=100000), " ",IF(INDEX($AD$2:$AU$1001,MATCH(ROWS($W$2:W413),$W$2:$W$1001,0),MATCH(COLUMNS($AD$1006:AG1006),$AD$1006:$AU$1006,0)), HYPERLINK("#",""), HYPERLINK(CONCATENATE("#metadata!", ADDRESS(INDEX($Y$2:$Y$1001,MATCH(ROWS($W$2:W413),$W$2:$W$1001,0),0), INDEX($AD$1004:$AU$1004,1,MATCH(COLUMNS($AD$1006:AG1006),$AD$1006:$AU$1006,0)))),"Fix")))</f>
        <v xml:space="preserve"> </v>
      </c>
      <c r="F413" s="4" t="str">
        <f ca="1">IF(OR(INDEX($X$2:$X$1001,MATCH(ROWS($W$2:W413),$W$2:$W$1001,0),1)&gt;=100000,INDEX($AD$1005:$AU$1005,1,MATCH(COLUMNS($AD$1006:AH1006),$AD$1006:$AU$1006,0))&gt;=100000), " ",IF(INDEX($AD$2:$AU$1001,MATCH(ROWS($W$2:W413),$W$2:$W$1001,0),MATCH(COLUMNS($AD$1006:AH1006),$AD$1006:$AU$1006,0)), HYPERLINK("#",""), HYPERLINK(CONCATENATE("#metadata!", ADDRESS(INDEX($Y$2:$Y$1001,MATCH(ROWS($W$2:W413),$W$2:$W$1001,0),0), INDEX($AD$1004:$AU$1004,1,MATCH(COLUMNS($AD$1006:AH1006),$AD$1006:$AU$1006,0)))),"Fix")))</f>
        <v xml:space="preserve"> </v>
      </c>
      <c r="G413" s="4" t="str">
        <f ca="1">IF(OR(INDEX($X$2:$X$1001,MATCH(ROWS($W$2:W413),$W$2:$W$1001,0),1)&gt;=100000,INDEX($AD$1005:$AU$1005,1,MATCH(COLUMNS($AD$1006:AI1006),$AD$1006:$AU$1006,0))&gt;=100000), " ",IF(INDEX($AD$2:$AU$1001,MATCH(ROWS($W$2:W413),$W$2:$W$1001,0),MATCH(COLUMNS($AD$1006:AI1006),$AD$1006:$AU$1006,0)), HYPERLINK("#",""), HYPERLINK(CONCATENATE("#metadata!", ADDRESS(INDEX($Y$2:$Y$1001,MATCH(ROWS($W$2:W413),$W$2:$W$1001,0),0), INDEX($AD$1004:$AU$1004,1,MATCH(COLUMNS($AD$1006:AI1006),$AD$1006:$AU$1006,0)))),"Fix")))</f>
        <v xml:space="preserve"> </v>
      </c>
      <c r="H413" s="4" t="str">
        <f ca="1">IF(OR(INDEX($X$2:$X$1001,MATCH(ROWS($W$2:W413),$W$2:$W$1001,0),1)&gt;=100000,INDEX($AD$1005:$AU$1005,1,MATCH(COLUMNS($AD$1006:AJ1006),$AD$1006:$AU$1006,0))&gt;=100000), " ",IF(INDEX($AD$2:$AU$1001,MATCH(ROWS($W$2:W413),$W$2:$W$1001,0),MATCH(COLUMNS($AD$1006:AJ1006),$AD$1006:$AU$1006,0)), HYPERLINK("#",""), HYPERLINK(CONCATENATE("#metadata!", ADDRESS(INDEX($Y$2:$Y$1001,MATCH(ROWS($W$2:W413),$W$2:$W$1001,0),0), INDEX($AD$1004:$AU$1004,1,MATCH(COLUMNS($AD$1006:AJ1006),$AD$1006:$AU$1006,0)))),"Fix")))</f>
        <v xml:space="preserve"> </v>
      </c>
      <c r="I413" s="4" t="str">
        <f ca="1">IF(OR(INDEX($X$2:$X$1001,MATCH(ROWS($W$2:W413),$W$2:$W$1001,0),1)&gt;=100000,INDEX($AD$1005:$AU$1005,1,MATCH(COLUMNS($AD$1006:AK1006),$AD$1006:$AU$1006,0))&gt;=100000), " ",IF(INDEX($AD$2:$AU$1001,MATCH(ROWS($W$2:W413),$W$2:$W$1001,0),MATCH(COLUMNS($AD$1006:AK1006),$AD$1006:$AU$1006,0)), HYPERLINK("#",""), HYPERLINK(CONCATENATE("#metadata!", ADDRESS(INDEX($Y$2:$Y$1001,MATCH(ROWS($W$2:W413),$W$2:$W$1001,0),0), INDEX($AD$1004:$AU$1004,1,MATCH(COLUMNS($AD$1006:AK1006),$AD$1006:$AU$1006,0)))),"Fix")))</f>
        <v xml:space="preserve"> </v>
      </c>
      <c r="J413" s="4" t="str">
        <f ca="1">IF(OR(INDEX($X$2:$X$1001,MATCH(ROWS($W$2:W413),$W$2:$W$1001,0),1)&gt;=100000,INDEX($AD$1005:$AU$1005,1,MATCH(COLUMNS($AD$1006:AL1006),$AD$1006:$AU$1006,0))&gt;=100000), " ",IF(INDEX($AD$2:$AU$1001,MATCH(ROWS($W$2:W413),$W$2:$W$1001,0),MATCH(COLUMNS($AD$1006:AL1006),$AD$1006:$AU$1006,0)), HYPERLINK("#",""), HYPERLINK(CONCATENATE("#metadata!", ADDRESS(INDEX($Y$2:$Y$1001,MATCH(ROWS($W$2:W413),$W$2:$W$1001,0),0), INDEX($AD$1004:$AU$1004,1,MATCH(COLUMNS($AD$1006:AL1006),$AD$1006:$AU$1006,0)))),"Fix")))</f>
        <v xml:space="preserve"> </v>
      </c>
      <c r="K413" s="4" t="str">
        <f ca="1">IF(OR(INDEX($X$2:$X$1001,MATCH(ROWS($W$2:W413),$W$2:$W$1001,0),1)&gt;=100000,INDEX($AD$1005:$AU$1005,1,MATCH(COLUMNS($AD$1006:AM1006),$AD$1006:$AU$1006,0))&gt;=100000), " ",IF(INDEX($AD$2:$AU$1001,MATCH(ROWS($W$2:W413),$W$2:$W$1001,0),MATCH(COLUMNS($AD$1006:AM1006),$AD$1006:$AU$1006,0)), HYPERLINK("#",""), HYPERLINK(CONCATENATE("#metadata!", ADDRESS(INDEX($Y$2:$Y$1001,MATCH(ROWS($W$2:W413),$W$2:$W$1001,0),0), INDEX($AD$1004:$AU$1004,1,MATCH(COLUMNS($AD$1006:AM1006),$AD$1006:$AU$1006,0)))),"Fix")))</f>
        <v xml:space="preserve"> </v>
      </c>
      <c r="L413" s="4" t="str">
        <f ca="1">IF(OR(INDEX($X$2:$X$1001,MATCH(ROWS($W$2:W413),$W$2:$W$1001,0),1)&gt;=100000,INDEX($AD$1005:$AU$1005,1,MATCH(COLUMNS($AD$1006:AN1006),$AD$1006:$AU$1006,0))&gt;=100000), " ",IF(INDEX($AD$2:$AU$1001,MATCH(ROWS($W$2:W413),$W$2:$W$1001,0),MATCH(COLUMNS($AD$1006:AN1006),$AD$1006:$AU$1006,0)), HYPERLINK("#",""), HYPERLINK(CONCATENATE("#metadata!", ADDRESS(INDEX($Y$2:$Y$1001,MATCH(ROWS($W$2:W413),$W$2:$W$1001,0),0), INDEX($AD$1004:$AU$1004,1,MATCH(COLUMNS($AD$1006:AN1006),$AD$1006:$AU$1006,0)))),"Fix")))</f>
        <v xml:space="preserve"> </v>
      </c>
      <c r="M413" s="4" t="str">
        <f ca="1">IF(OR(INDEX($X$2:$X$1001,MATCH(ROWS($W$2:W413),$W$2:$W$1001,0),1)&gt;=100000,INDEX($AD$1005:$AU$1005,1,MATCH(COLUMNS($AD$1006:AO1006),$AD$1006:$AU$1006,0))&gt;=100000), " ",IF(INDEX($AD$2:$AU$1001,MATCH(ROWS($W$2:W413),$W$2:$W$1001,0),MATCH(COLUMNS($AD$1006:AO1006),$AD$1006:$AU$1006,0)), HYPERLINK("#",""), HYPERLINK(CONCATENATE("#metadata!", ADDRESS(INDEX($Y$2:$Y$1001,MATCH(ROWS($W$2:W413),$W$2:$W$1001,0),0), INDEX($AD$1004:$AU$1004,1,MATCH(COLUMNS($AD$1006:AO1006),$AD$1006:$AU$1006,0)))),"Fix")))</f>
        <v xml:space="preserve"> </v>
      </c>
      <c r="N413" s="4" t="str">
        <f ca="1">IF(OR(INDEX($X$2:$X$1001,MATCH(ROWS($W$2:W413),$W$2:$W$1001,0),1)&gt;=100000,INDEX($AD$1005:$AU$1005,1,MATCH(COLUMNS($AD$1006:AP1006),$AD$1006:$AU$1006,0))&gt;=100000), " ",IF(INDEX($AD$2:$AU$1001,MATCH(ROWS($W$2:W413),$W$2:$W$1001,0),MATCH(COLUMNS($AD$1006:AP1006),$AD$1006:$AU$1006,0)), HYPERLINK("#",""), HYPERLINK(CONCATENATE("#metadata!", ADDRESS(INDEX($Y$2:$Y$1001,MATCH(ROWS($W$2:W413),$W$2:$W$1001,0),0), INDEX($AD$1004:$AU$1004,1,MATCH(COLUMNS($AD$1006:AP1006),$AD$1006:$AU$1006,0)))),"Fix")))</f>
        <v xml:space="preserve"> </v>
      </c>
      <c r="O413" s="4" t="str">
        <f ca="1">IF(OR(INDEX($X$2:$X$1001,MATCH(ROWS($W$2:W413),$W$2:$W$1001,0),1)&gt;=100000,INDEX($AD$1005:$AU$1005,1,MATCH(COLUMNS($AD$1006:AQ1006),$AD$1006:$AU$1006,0))&gt;=100000), " ",IF(INDEX($AD$2:$AU$1001,MATCH(ROWS($W$2:W413),$W$2:$W$1001,0),MATCH(COLUMNS($AD$1006:AQ1006),$AD$1006:$AU$1006,0)), HYPERLINK("#",""), HYPERLINK(CONCATENATE("#metadata!", ADDRESS(INDEX($Y$2:$Y$1001,MATCH(ROWS($W$2:W413),$W$2:$W$1001,0),0), INDEX($AD$1004:$AU$1004,1,MATCH(COLUMNS($AD$1006:AQ1006),$AD$1006:$AU$1006,0)))),"Fix")))</f>
        <v xml:space="preserve"> </v>
      </c>
      <c r="P413" s="4" t="str">
        <f ca="1">IF(OR(INDEX($X$2:$X$1001,MATCH(ROWS($W$2:W413),$W$2:$W$1001,0),1)&gt;=100000,INDEX($AD$1005:$AU$1005,1,MATCH(COLUMNS($AD$1006:AR1006),$AD$1006:$AU$1006,0))&gt;=100000), " ",IF(INDEX($AD$2:$AU$1001,MATCH(ROWS($W$2:W413),$W$2:$W$1001,0),MATCH(COLUMNS($AD$1006:AR1006),$AD$1006:$AU$1006,0)), HYPERLINK("#",""), HYPERLINK(CONCATENATE("#metadata!", ADDRESS(INDEX($Y$2:$Y$1001,MATCH(ROWS($W$2:W413),$W$2:$W$1001,0),0), INDEX($AD$1004:$AU$1004,1,MATCH(COLUMNS($AD$1006:AR1006),$AD$1006:$AU$1006,0)))),"Fix")))</f>
        <v xml:space="preserve"> </v>
      </c>
      <c r="Q413" s="4" t="str">
        <f ca="1">IF(OR(INDEX($X$2:$X$1001,MATCH(ROWS($W$2:W413),$W$2:$W$1001,0),1)&gt;=100000,INDEX($AD$1005:$AU$1005,1,MATCH(COLUMNS($AD$1006:AS1006),$AD$1006:$AU$1006,0))&gt;=100000), " ",IF(INDEX($AD$2:$AU$1001,MATCH(ROWS($W$2:W413),$W$2:$W$1001,0),MATCH(COLUMNS($AD$1006:AS1006),$AD$1006:$AU$1006,0)), HYPERLINK("#",""), HYPERLINK(CONCATENATE("#metadata!", ADDRESS(INDEX($Y$2:$Y$1001,MATCH(ROWS($W$2:W413),$W$2:$W$1001,0),0), INDEX($AD$1004:$AU$1004,1,MATCH(COLUMNS($AD$1006:AS1006),$AD$1006:$AU$1006,0)))),"Fix")))</f>
        <v xml:space="preserve"> </v>
      </c>
      <c r="R413" s="4" t="str">
        <f ca="1">IF(OR(INDEX($X$2:$X$1001,MATCH(ROWS($W$2:W413),$W$2:$W$1001,0),1)&gt;=100000,INDEX($AD$1005:$AU$1005,1,MATCH(COLUMNS($AD$1006:AT1006),$AD$1006:$AU$1006,0))&gt;=100000), " ",IF(INDEX($AD$2:$AU$1001,MATCH(ROWS($W$2:W413),$W$2:$W$1001,0),MATCH(COLUMNS($AD$1006:AT1006),$AD$1006:$AU$1006,0)), HYPERLINK("#",""), HYPERLINK(CONCATENATE("#metadata!", ADDRESS(INDEX($Y$2:$Y$1001,MATCH(ROWS($W$2:W413),$W$2:$W$1001,0),0), INDEX($AD$1004:$AU$1004,1,MATCH(COLUMNS($AD$1006:AT1006),$AD$1006:$AU$1006,0)))),"Fix")))</f>
        <v xml:space="preserve"> </v>
      </c>
      <c r="S413" s="4" t="str">
        <f ca="1">IF(OR(INDEX($X$2:$X$1001,MATCH(ROWS($W$2:W413),$W$2:$W$1001,0),1)&gt;=100000,INDEX($AD$1005:$AU$1005,1,MATCH(COLUMNS($AD$1006:AU1006),$AD$1006:$AU$1006,0))&gt;=100000), " ",IF(INDEX($AD$2:$AU$1001,MATCH(ROWS($W$2:W413),$W$2:$W$1001,0),MATCH(COLUMNS($AD$1006:AU1006),$AD$1006:$AU$1006,0)), HYPERLINK("#",""), HYPERLINK(CONCATENATE("#metadata!", ADDRESS(INDEX($Y$2:$Y$1001,MATCH(ROWS($W$2:W413),$W$2:$W$1001,0),0), INDEX($AD$1004:$AU$1004,1,MATCH(COLUMNS($AD$1006:AU1006),$AD$1006:$AU$1006,0)))),"Fix")))</f>
        <v xml:space="preserve"> </v>
      </c>
      <c r="W413">
        <v>412</v>
      </c>
      <c r="X413">
        <v>100413</v>
      </c>
      <c r="Y413">
        <v>413</v>
      </c>
      <c r="Z413" t="b">
        <f t="shared" si="6"/>
        <v>1</v>
      </c>
      <c r="AA413" t="b">
        <f>COUNTBLANK(metadata!B413:S413)=COLUMNS(metadata!B413:S413)</f>
        <v>1</v>
      </c>
      <c r="AB413" t="str">
        <v/>
      </c>
      <c r="AD413" t="b">
        <f ca="1">AND(IF(metadata!B413="",FALSE,TRUE),COUNTIF(metadata!B:B, metadata!B413) = 1,NOT(ISERROR(SUMPRODUCT(SEARCH(MID(metadata!B413,ROW(INDIRECT("1:"&amp;LEN(metadata!B413))), 1),"0123456789abcdefghijklmnopqrstuvwxyzABCDEFGHIJKLMNOPQRSTUVWXYZ.")))))</f>
        <v>0</v>
      </c>
      <c r="AE413" t="b">
        <f>OR(AND(IF(metadata!C413="",FALSE,TRUE),OR(EXACT(metadata!C413,"not applicable"),EXACT(metadata!C413,"missing: not collected"),EXACT(metadata!C413,"missing: not provided"),EXACT(metadata!C413,"missing: restricted access"))),AND(IF(metadata!C413="",FALSE,ISNUMBER(VALUE(metadata!C413))),metadata!C413&gt;0))</f>
        <v>0</v>
      </c>
      <c r="AF413" t="b">
        <f>AND(IF(metadata!D413="",FALSE,TRUE),EXACT(metadata!D413,"missing: not provided"))</f>
        <v>0</v>
      </c>
      <c r="AG413" t="b">
        <f>AND(IF(metadata!E413="",FALSE,TRUE),EXACT(metadata!E413,"Host-associated"))</f>
        <v>0</v>
      </c>
      <c r="AH413" t="b">
        <f>AND(IF(metadata!F413="",FALSE,TRUE),OR(EXACT(metadata!F413,"Animal"),EXACT(metadata!F413,"Fungus"),EXACT(metadata!F413,"Plant")))</f>
        <v>0</v>
      </c>
      <c r="AI413" t="b">
        <f>AND(IF(metadata!G413="",FALSE,TRUE),OR(EXACT(metadata!G413,"Plant secretion"),EXACT(metadata!G413,"Plant rhizosphere"),EXACT(metadata!G413,"Plant surface"),EXACT(metadata!G413,"Plant corpus"),EXACT(metadata!G413,"Fungus surface"),EXACT(metadata!G413,"Fungus corpus"),EXACT(metadata!G413,"Animal surface"),EXACT(metadata!G413,"Animal proximal gut"),EXACT(metadata!G413,"Animal corpus"),EXACT(metadata!G413,"Animal distal gut"),EXACT(metadata!G413,"Animal secretion")))</f>
        <v>0</v>
      </c>
      <c r="AJ413" t="b">
        <f>OR(AND(IF(metadata!H413="",FALSE,TRUE),OR(EXACT(metadata!H413,"missing: not collected"),EXACT(metadata!H413,"missing: not provided"),EXACT(metadata!H413,"missing: restricted access"))),AND(IF(metadata!H413="",FALSE,TRUE),OR(EXACT(metadata!H413,"organism-associated habitat"),EXACT(metadata!H413,"plant-associated habitat"),EXACT(metadata!H413,"animal-associated habitat"),EXACT(metadata!H413,"insecta-associated habitat"),EXACT(metadata!H413,"mammalia-associated habitat"),EXACT(metadata!H413,"human-associated habitat"),EXACT(metadata!H413,"livestock-associated habitat"))))</f>
        <v>0</v>
      </c>
      <c r="AK413" t="b">
        <f>AND(IF(metadata!I413="",FALSE,TRUE),EXACT(metadata!I413,"host-associated"))</f>
        <v>0</v>
      </c>
      <c r="AL413" t="b">
        <f>OR(AND(IF(metadata!J413="",FALSE,TRUE),OR(EXACT(metadata!J413,"not applicable"),EXACT(metadata!J413,"missing: not collected"),EXACT(metadata!J413,"missing: not provided"),EXACT(metadata!J413,"missing: restricted access"))),AND(IF(metadata!J413="",FALSE,ISNUMBER(VALUE(metadata!J413))),metadata!J413&gt;0))</f>
        <v>0</v>
      </c>
      <c r="AM413" t="b">
        <f>AND(IF(metadata!K413="",FALSE,TRUE),EXACT(metadata!K413,"missing: not provided"))</f>
        <v>0</v>
      </c>
      <c r="AN413" t="b">
        <f>IF(metadata!L413="",FALSE,TRUE)</f>
        <v>0</v>
      </c>
      <c r="AO413" t="b">
        <f>IF(metadata!M413="",FALSE,TRUE)</f>
        <v>0</v>
      </c>
      <c r="AP413" t="b">
        <f>OR(AND(IF(metadata!N413="",FALSE,TRUE),OR(EXACT(metadata!N413,"not applicable"),EXACT(metadata!N413,"missing: not collected"),EXACT(metadata!N413,"missing: not provided"))),AND(IF(metadata!N413="",FALSE,IF(ISERROR(INT(metadata!N413)),FALSE,INT(metadata!N413)=metadata!N413)),metadata!N413&gt;0))</f>
        <v>0</v>
      </c>
      <c r="AQ413" t="b">
        <f>AND(IF(metadata!O413="",FALSE,TRUE),EXACT(metadata!O413,"Not applicable"))</f>
        <v>0</v>
      </c>
      <c r="AR413" t="b">
        <f>OR(AND(IF(metadata!P413="",FALSE,TRUE),OR(EXACT(metadata!P413,"not applicable"),EXACT(metadata!P413,"missing: not collected"),EXACT(metadata!P413,"missing: not provided"),EXACT(metadata!P413,"missing: restricted access"))),IF(metadata!P413="",FALSE,IF(ISERROR(INT(metadata!P413)),FALSE,INT(metadata!P413)=metadata!P413)))</f>
        <v>0</v>
      </c>
      <c r="AS413" t="b">
        <f>AND(IF(metadata!Q413="",FALSE,TRUE),EXACT(metadata!Q413,"Not applicable"))</f>
        <v>0</v>
      </c>
      <c r="AT413" t="b">
        <f>OR(AND(IF(metadata!R413="",FALSE,TRUE),OR(EXACT(metadata!R413,"not applicable"),EXACT(metadata!R413,"missing: not collected"),EXACT(metadata!R413,"missing: not provided"),EXACT(metadata!R413,"missing: restricted access"))),AND(IF(metadata!R413="",FALSE,ISNUMBER(VALUE(metadata!R413))),metadata!R413&gt;0))</f>
        <v>0</v>
      </c>
      <c r="AU413" t="b">
        <f>AND(IF(metadata!S413="",FALSE,TRUE),EXACT(metadata!S413,"missing: not provided"))</f>
        <v>0</v>
      </c>
    </row>
    <row r="414" spans="1:47" x14ac:dyDescent="0.2">
      <c r="A414" s="5" t="str">
        <f ca="1">IF(B414=" "," ",HYPERLINK(CONCATENATE("#metadata!",ADDRESS(INDEX($Y$2:$Y$1001,MATCH(ROWS($W$2:W414),$W$2:$W$1001,0),0),1)),INDEX($AB$2:$AB$1001,MATCH(ROWS($W$2:W414),$W$2:$W$1001,0),0)))</f>
        <v xml:space="preserve"> </v>
      </c>
      <c r="B414" s="4" t="str">
        <f ca="1">IF(OR(INDEX($X$2:$X$1001,MATCH(ROWS($W$2:W414),$W$2:$W$1001,0),1)&gt;=100000,INDEX($AD$1005:$AU$1005,1,MATCH(COLUMNS($AD$1006:AD1006),$AD$1006:$AU$1006,0))&gt;=100000), " ",IF(INDEX($AD$2:$AU$1001,MATCH(ROWS($W$2:W414),$W$2:$W$1001,0),MATCH(COLUMNS($AD$1006:AD1006),$AD$1006:$AU$1006,0)), HYPERLINK("#",""), HYPERLINK(CONCATENATE("#metadata!", ADDRESS(INDEX($Y$2:$Y$1001,MATCH(ROWS($W$2:W414),$W$2:$W$1001,0),0), INDEX($AD$1004:$AU$1004,1,MATCH(COLUMNS($AD$1006:AD1006),$AD$1006:$AU$1006,0)))),"Fix")))</f>
        <v xml:space="preserve"> </v>
      </c>
      <c r="C414" s="4" t="str">
        <f ca="1">IF(OR(INDEX($X$2:$X$1001,MATCH(ROWS($W$2:W414),$W$2:$W$1001,0),1)&gt;=100000,INDEX($AD$1005:$AU$1005,1,MATCH(COLUMNS($AD$1006:AE1006),$AD$1006:$AU$1006,0))&gt;=100000), " ",IF(INDEX($AD$2:$AU$1001,MATCH(ROWS($W$2:W414),$W$2:$W$1001,0),MATCH(COLUMNS($AD$1006:AE1006),$AD$1006:$AU$1006,0)), HYPERLINK("#",""), HYPERLINK(CONCATENATE("#metadata!", ADDRESS(INDEX($Y$2:$Y$1001,MATCH(ROWS($W$2:W414),$W$2:$W$1001,0),0), INDEX($AD$1004:$AU$1004,1,MATCH(COLUMNS($AD$1006:AE1006),$AD$1006:$AU$1006,0)))),"Fix")))</f>
        <v xml:space="preserve"> </v>
      </c>
      <c r="D414" s="4" t="str">
        <f ca="1">IF(OR(INDEX($X$2:$X$1001,MATCH(ROWS($W$2:W414),$W$2:$W$1001,0),1)&gt;=100000,INDEX($AD$1005:$AU$1005,1,MATCH(COLUMNS($AD$1006:AF1006),$AD$1006:$AU$1006,0))&gt;=100000), " ",IF(INDEX($AD$2:$AU$1001,MATCH(ROWS($W$2:W414),$W$2:$W$1001,0),MATCH(COLUMNS($AD$1006:AF1006),$AD$1006:$AU$1006,0)), HYPERLINK("#",""), HYPERLINK(CONCATENATE("#metadata!", ADDRESS(INDEX($Y$2:$Y$1001,MATCH(ROWS($W$2:W414),$W$2:$W$1001,0),0), INDEX($AD$1004:$AU$1004,1,MATCH(COLUMNS($AD$1006:AF1006),$AD$1006:$AU$1006,0)))),"Fix")))</f>
        <v xml:space="preserve"> </v>
      </c>
      <c r="E414" s="4" t="str">
        <f ca="1">IF(OR(INDEX($X$2:$X$1001,MATCH(ROWS($W$2:W414),$W$2:$W$1001,0),1)&gt;=100000,INDEX($AD$1005:$AU$1005,1,MATCH(COLUMNS($AD$1006:AG1006),$AD$1006:$AU$1006,0))&gt;=100000), " ",IF(INDEX($AD$2:$AU$1001,MATCH(ROWS($W$2:W414),$W$2:$W$1001,0),MATCH(COLUMNS($AD$1006:AG1006),$AD$1006:$AU$1006,0)), HYPERLINK("#",""), HYPERLINK(CONCATENATE("#metadata!", ADDRESS(INDEX($Y$2:$Y$1001,MATCH(ROWS($W$2:W414),$W$2:$W$1001,0),0), INDEX($AD$1004:$AU$1004,1,MATCH(COLUMNS($AD$1006:AG1006),$AD$1006:$AU$1006,0)))),"Fix")))</f>
        <v xml:space="preserve"> </v>
      </c>
      <c r="F414" s="4" t="str">
        <f ca="1">IF(OR(INDEX($X$2:$X$1001,MATCH(ROWS($W$2:W414),$W$2:$W$1001,0),1)&gt;=100000,INDEX($AD$1005:$AU$1005,1,MATCH(COLUMNS($AD$1006:AH1006),$AD$1006:$AU$1006,0))&gt;=100000), " ",IF(INDEX($AD$2:$AU$1001,MATCH(ROWS($W$2:W414),$W$2:$W$1001,0),MATCH(COLUMNS($AD$1006:AH1006),$AD$1006:$AU$1006,0)), HYPERLINK("#",""), HYPERLINK(CONCATENATE("#metadata!", ADDRESS(INDEX($Y$2:$Y$1001,MATCH(ROWS($W$2:W414),$W$2:$W$1001,0),0), INDEX($AD$1004:$AU$1004,1,MATCH(COLUMNS($AD$1006:AH1006),$AD$1006:$AU$1006,0)))),"Fix")))</f>
        <v xml:space="preserve"> </v>
      </c>
      <c r="G414" s="4" t="str">
        <f ca="1">IF(OR(INDEX($X$2:$X$1001,MATCH(ROWS($W$2:W414),$W$2:$W$1001,0),1)&gt;=100000,INDEX($AD$1005:$AU$1005,1,MATCH(COLUMNS($AD$1006:AI1006),$AD$1006:$AU$1006,0))&gt;=100000), " ",IF(INDEX($AD$2:$AU$1001,MATCH(ROWS($W$2:W414),$W$2:$W$1001,0),MATCH(COLUMNS($AD$1006:AI1006),$AD$1006:$AU$1006,0)), HYPERLINK("#",""), HYPERLINK(CONCATENATE("#metadata!", ADDRESS(INDEX($Y$2:$Y$1001,MATCH(ROWS($W$2:W414),$W$2:$W$1001,0),0), INDEX($AD$1004:$AU$1004,1,MATCH(COLUMNS($AD$1006:AI1006),$AD$1006:$AU$1006,0)))),"Fix")))</f>
        <v xml:space="preserve"> </v>
      </c>
      <c r="H414" s="4" t="str">
        <f ca="1">IF(OR(INDEX($X$2:$X$1001,MATCH(ROWS($W$2:W414),$W$2:$W$1001,0),1)&gt;=100000,INDEX($AD$1005:$AU$1005,1,MATCH(COLUMNS($AD$1006:AJ1006),$AD$1006:$AU$1006,0))&gt;=100000), " ",IF(INDEX($AD$2:$AU$1001,MATCH(ROWS($W$2:W414),$W$2:$W$1001,0),MATCH(COLUMNS($AD$1006:AJ1006),$AD$1006:$AU$1006,0)), HYPERLINK("#",""), HYPERLINK(CONCATENATE("#metadata!", ADDRESS(INDEX($Y$2:$Y$1001,MATCH(ROWS($W$2:W414),$W$2:$W$1001,0),0), INDEX($AD$1004:$AU$1004,1,MATCH(COLUMNS($AD$1006:AJ1006),$AD$1006:$AU$1006,0)))),"Fix")))</f>
        <v xml:space="preserve"> </v>
      </c>
      <c r="I414" s="4" t="str">
        <f ca="1">IF(OR(INDEX($X$2:$X$1001,MATCH(ROWS($W$2:W414),$W$2:$W$1001,0),1)&gt;=100000,INDEX($AD$1005:$AU$1005,1,MATCH(COLUMNS($AD$1006:AK1006),$AD$1006:$AU$1006,0))&gt;=100000), " ",IF(INDEX($AD$2:$AU$1001,MATCH(ROWS($W$2:W414),$W$2:$W$1001,0),MATCH(COLUMNS($AD$1006:AK1006),$AD$1006:$AU$1006,0)), HYPERLINK("#",""), HYPERLINK(CONCATENATE("#metadata!", ADDRESS(INDEX($Y$2:$Y$1001,MATCH(ROWS($W$2:W414),$W$2:$W$1001,0),0), INDEX($AD$1004:$AU$1004,1,MATCH(COLUMNS($AD$1006:AK1006),$AD$1006:$AU$1006,0)))),"Fix")))</f>
        <v xml:space="preserve"> </v>
      </c>
      <c r="J414" s="4" t="str">
        <f ca="1">IF(OR(INDEX($X$2:$X$1001,MATCH(ROWS($W$2:W414),$W$2:$W$1001,0),1)&gt;=100000,INDEX($AD$1005:$AU$1005,1,MATCH(COLUMNS($AD$1006:AL1006),$AD$1006:$AU$1006,0))&gt;=100000), " ",IF(INDEX($AD$2:$AU$1001,MATCH(ROWS($W$2:W414),$W$2:$W$1001,0),MATCH(COLUMNS($AD$1006:AL1006),$AD$1006:$AU$1006,0)), HYPERLINK("#",""), HYPERLINK(CONCATENATE("#metadata!", ADDRESS(INDEX($Y$2:$Y$1001,MATCH(ROWS($W$2:W414),$W$2:$W$1001,0),0), INDEX($AD$1004:$AU$1004,1,MATCH(COLUMNS($AD$1006:AL1006),$AD$1006:$AU$1006,0)))),"Fix")))</f>
        <v xml:space="preserve"> </v>
      </c>
      <c r="K414" s="4" t="str">
        <f ca="1">IF(OR(INDEX($X$2:$X$1001,MATCH(ROWS($W$2:W414),$W$2:$W$1001,0),1)&gt;=100000,INDEX($AD$1005:$AU$1005,1,MATCH(COLUMNS($AD$1006:AM1006),$AD$1006:$AU$1006,0))&gt;=100000), " ",IF(INDEX($AD$2:$AU$1001,MATCH(ROWS($W$2:W414),$W$2:$W$1001,0),MATCH(COLUMNS($AD$1006:AM1006),$AD$1006:$AU$1006,0)), HYPERLINK("#",""), HYPERLINK(CONCATENATE("#metadata!", ADDRESS(INDEX($Y$2:$Y$1001,MATCH(ROWS($W$2:W414),$W$2:$W$1001,0),0), INDEX($AD$1004:$AU$1004,1,MATCH(COLUMNS($AD$1006:AM1006),$AD$1006:$AU$1006,0)))),"Fix")))</f>
        <v xml:space="preserve"> </v>
      </c>
      <c r="L414" s="4" t="str">
        <f ca="1">IF(OR(INDEX($X$2:$X$1001,MATCH(ROWS($W$2:W414),$W$2:$W$1001,0),1)&gt;=100000,INDEX($AD$1005:$AU$1005,1,MATCH(COLUMNS($AD$1006:AN1006),$AD$1006:$AU$1006,0))&gt;=100000), " ",IF(INDEX($AD$2:$AU$1001,MATCH(ROWS($W$2:W414),$W$2:$W$1001,0),MATCH(COLUMNS($AD$1006:AN1006),$AD$1006:$AU$1006,0)), HYPERLINK("#",""), HYPERLINK(CONCATENATE("#metadata!", ADDRESS(INDEX($Y$2:$Y$1001,MATCH(ROWS($W$2:W414),$W$2:$W$1001,0),0), INDEX($AD$1004:$AU$1004,1,MATCH(COLUMNS($AD$1006:AN1006),$AD$1006:$AU$1006,0)))),"Fix")))</f>
        <v xml:space="preserve"> </v>
      </c>
      <c r="M414" s="4" t="str">
        <f ca="1">IF(OR(INDEX($X$2:$X$1001,MATCH(ROWS($W$2:W414),$W$2:$W$1001,0),1)&gt;=100000,INDEX($AD$1005:$AU$1005,1,MATCH(COLUMNS($AD$1006:AO1006),$AD$1006:$AU$1006,0))&gt;=100000), " ",IF(INDEX($AD$2:$AU$1001,MATCH(ROWS($W$2:W414),$W$2:$W$1001,0),MATCH(COLUMNS($AD$1006:AO1006),$AD$1006:$AU$1006,0)), HYPERLINK("#",""), HYPERLINK(CONCATENATE("#metadata!", ADDRESS(INDEX($Y$2:$Y$1001,MATCH(ROWS($W$2:W414),$W$2:$W$1001,0),0), INDEX($AD$1004:$AU$1004,1,MATCH(COLUMNS($AD$1006:AO1006),$AD$1006:$AU$1006,0)))),"Fix")))</f>
        <v xml:space="preserve"> </v>
      </c>
      <c r="N414" s="4" t="str">
        <f ca="1">IF(OR(INDEX($X$2:$X$1001,MATCH(ROWS($W$2:W414),$W$2:$W$1001,0),1)&gt;=100000,INDEX($AD$1005:$AU$1005,1,MATCH(COLUMNS($AD$1006:AP1006),$AD$1006:$AU$1006,0))&gt;=100000), " ",IF(INDEX($AD$2:$AU$1001,MATCH(ROWS($W$2:W414),$W$2:$W$1001,0),MATCH(COLUMNS($AD$1006:AP1006),$AD$1006:$AU$1006,0)), HYPERLINK("#",""), HYPERLINK(CONCATENATE("#metadata!", ADDRESS(INDEX($Y$2:$Y$1001,MATCH(ROWS($W$2:W414),$W$2:$W$1001,0),0), INDEX($AD$1004:$AU$1004,1,MATCH(COLUMNS($AD$1006:AP1006),$AD$1006:$AU$1006,0)))),"Fix")))</f>
        <v xml:space="preserve"> </v>
      </c>
      <c r="O414" s="4" t="str">
        <f ca="1">IF(OR(INDEX($X$2:$X$1001,MATCH(ROWS($W$2:W414),$W$2:$W$1001,0),1)&gt;=100000,INDEX($AD$1005:$AU$1005,1,MATCH(COLUMNS($AD$1006:AQ1006),$AD$1006:$AU$1006,0))&gt;=100000), " ",IF(INDEX($AD$2:$AU$1001,MATCH(ROWS($W$2:W414),$W$2:$W$1001,0),MATCH(COLUMNS($AD$1006:AQ1006),$AD$1006:$AU$1006,0)), HYPERLINK("#",""), HYPERLINK(CONCATENATE("#metadata!", ADDRESS(INDEX($Y$2:$Y$1001,MATCH(ROWS($W$2:W414),$W$2:$W$1001,0),0), INDEX($AD$1004:$AU$1004,1,MATCH(COLUMNS($AD$1006:AQ1006),$AD$1006:$AU$1006,0)))),"Fix")))</f>
        <v xml:space="preserve"> </v>
      </c>
      <c r="P414" s="4" t="str">
        <f ca="1">IF(OR(INDEX($X$2:$X$1001,MATCH(ROWS($W$2:W414),$W$2:$W$1001,0),1)&gt;=100000,INDEX($AD$1005:$AU$1005,1,MATCH(COLUMNS($AD$1006:AR1006),$AD$1006:$AU$1006,0))&gt;=100000), " ",IF(INDEX($AD$2:$AU$1001,MATCH(ROWS($W$2:W414),$W$2:$W$1001,0),MATCH(COLUMNS($AD$1006:AR1006),$AD$1006:$AU$1006,0)), HYPERLINK("#",""), HYPERLINK(CONCATENATE("#metadata!", ADDRESS(INDEX($Y$2:$Y$1001,MATCH(ROWS($W$2:W414),$W$2:$W$1001,0),0), INDEX($AD$1004:$AU$1004,1,MATCH(COLUMNS($AD$1006:AR1006),$AD$1006:$AU$1006,0)))),"Fix")))</f>
        <v xml:space="preserve"> </v>
      </c>
      <c r="Q414" s="4" t="str">
        <f ca="1">IF(OR(INDEX($X$2:$X$1001,MATCH(ROWS($W$2:W414),$W$2:$W$1001,0),1)&gt;=100000,INDEX($AD$1005:$AU$1005,1,MATCH(COLUMNS($AD$1006:AS1006),$AD$1006:$AU$1006,0))&gt;=100000), " ",IF(INDEX($AD$2:$AU$1001,MATCH(ROWS($W$2:W414),$W$2:$W$1001,0),MATCH(COLUMNS($AD$1006:AS1006),$AD$1006:$AU$1006,0)), HYPERLINK("#",""), HYPERLINK(CONCATENATE("#metadata!", ADDRESS(INDEX($Y$2:$Y$1001,MATCH(ROWS($W$2:W414),$W$2:$W$1001,0),0), INDEX($AD$1004:$AU$1004,1,MATCH(COLUMNS($AD$1006:AS1006),$AD$1006:$AU$1006,0)))),"Fix")))</f>
        <v xml:space="preserve"> </v>
      </c>
      <c r="R414" s="4" t="str">
        <f ca="1">IF(OR(INDEX($X$2:$X$1001,MATCH(ROWS($W$2:W414),$W$2:$W$1001,0),1)&gt;=100000,INDEX($AD$1005:$AU$1005,1,MATCH(COLUMNS($AD$1006:AT1006),$AD$1006:$AU$1006,0))&gt;=100000), " ",IF(INDEX($AD$2:$AU$1001,MATCH(ROWS($W$2:W414),$W$2:$W$1001,0),MATCH(COLUMNS($AD$1006:AT1006),$AD$1006:$AU$1006,0)), HYPERLINK("#",""), HYPERLINK(CONCATENATE("#metadata!", ADDRESS(INDEX($Y$2:$Y$1001,MATCH(ROWS($W$2:W414),$W$2:$W$1001,0),0), INDEX($AD$1004:$AU$1004,1,MATCH(COLUMNS($AD$1006:AT1006),$AD$1006:$AU$1006,0)))),"Fix")))</f>
        <v xml:space="preserve"> </v>
      </c>
      <c r="S414" s="4" t="str">
        <f ca="1">IF(OR(INDEX($X$2:$X$1001,MATCH(ROWS($W$2:W414),$W$2:$W$1001,0),1)&gt;=100000,INDEX($AD$1005:$AU$1005,1,MATCH(COLUMNS($AD$1006:AU1006),$AD$1006:$AU$1006,0))&gt;=100000), " ",IF(INDEX($AD$2:$AU$1001,MATCH(ROWS($W$2:W414),$W$2:$W$1001,0),MATCH(COLUMNS($AD$1006:AU1006),$AD$1006:$AU$1006,0)), HYPERLINK("#",""), HYPERLINK(CONCATENATE("#metadata!", ADDRESS(INDEX($Y$2:$Y$1001,MATCH(ROWS($W$2:W414),$W$2:$W$1001,0),0), INDEX($AD$1004:$AU$1004,1,MATCH(COLUMNS($AD$1006:AU1006),$AD$1006:$AU$1006,0)))),"Fix")))</f>
        <v xml:space="preserve"> </v>
      </c>
      <c r="W414">
        <v>413</v>
      </c>
      <c r="X414">
        <v>100414</v>
      </c>
      <c r="Y414">
        <v>414</v>
      </c>
      <c r="Z414" t="b">
        <f t="shared" si="6"/>
        <v>1</v>
      </c>
      <c r="AA414" t="b">
        <f>COUNTBLANK(metadata!B414:S414)=COLUMNS(metadata!B414:S414)</f>
        <v>1</v>
      </c>
      <c r="AB414" t="str">
        <v/>
      </c>
      <c r="AD414" t="b">
        <f ca="1">AND(IF(metadata!B414="",FALSE,TRUE),COUNTIF(metadata!B:B, metadata!B414) = 1,NOT(ISERROR(SUMPRODUCT(SEARCH(MID(metadata!B414,ROW(INDIRECT("1:"&amp;LEN(metadata!B414))), 1),"0123456789abcdefghijklmnopqrstuvwxyzABCDEFGHIJKLMNOPQRSTUVWXYZ.")))))</f>
        <v>0</v>
      </c>
      <c r="AE414" t="b">
        <f>OR(AND(IF(metadata!C414="",FALSE,TRUE),OR(EXACT(metadata!C414,"not applicable"),EXACT(metadata!C414,"missing: not collected"),EXACT(metadata!C414,"missing: not provided"),EXACT(metadata!C414,"missing: restricted access"))),AND(IF(metadata!C414="",FALSE,ISNUMBER(VALUE(metadata!C414))),metadata!C414&gt;0))</f>
        <v>0</v>
      </c>
      <c r="AF414" t="b">
        <f>AND(IF(metadata!D414="",FALSE,TRUE),EXACT(metadata!D414,"missing: not provided"))</f>
        <v>0</v>
      </c>
      <c r="AG414" t="b">
        <f>AND(IF(metadata!E414="",FALSE,TRUE),EXACT(metadata!E414,"Host-associated"))</f>
        <v>0</v>
      </c>
      <c r="AH414" t="b">
        <f>AND(IF(metadata!F414="",FALSE,TRUE),OR(EXACT(metadata!F414,"Animal"),EXACT(metadata!F414,"Fungus"),EXACT(metadata!F414,"Plant")))</f>
        <v>0</v>
      </c>
      <c r="AI414" t="b">
        <f>AND(IF(metadata!G414="",FALSE,TRUE),OR(EXACT(metadata!G414,"Plant secretion"),EXACT(metadata!G414,"Plant rhizosphere"),EXACT(metadata!G414,"Plant surface"),EXACT(metadata!G414,"Plant corpus"),EXACT(metadata!G414,"Fungus surface"),EXACT(metadata!G414,"Fungus corpus"),EXACT(metadata!G414,"Animal surface"),EXACT(metadata!G414,"Animal proximal gut"),EXACT(metadata!G414,"Animal corpus"),EXACT(metadata!G414,"Animal distal gut"),EXACT(metadata!G414,"Animal secretion")))</f>
        <v>0</v>
      </c>
      <c r="AJ414" t="b">
        <f>OR(AND(IF(metadata!H414="",FALSE,TRUE),OR(EXACT(metadata!H414,"missing: not collected"),EXACT(metadata!H414,"missing: not provided"),EXACT(metadata!H414,"missing: restricted access"))),AND(IF(metadata!H414="",FALSE,TRUE),OR(EXACT(metadata!H414,"organism-associated habitat"),EXACT(metadata!H414,"plant-associated habitat"),EXACT(metadata!H414,"animal-associated habitat"),EXACT(metadata!H414,"insecta-associated habitat"),EXACT(metadata!H414,"mammalia-associated habitat"),EXACT(metadata!H414,"human-associated habitat"),EXACT(metadata!H414,"livestock-associated habitat"))))</f>
        <v>0</v>
      </c>
      <c r="AK414" t="b">
        <f>AND(IF(metadata!I414="",FALSE,TRUE),EXACT(metadata!I414,"host-associated"))</f>
        <v>0</v>
      </c>
      <c r="AL414" t="b">
        <f>OR(AND(IF(metadata!J414="",FALSE,TRUE),OR(EXACT(metadata!J414,"not applicable"),EXACT(metadata!J414,"missing: not collected"),EXACT(metadata!J414,"missing: not provided"),EXACT(metadata!J414,"missing: restricted access"))),AND(IF(metadata!J414="",FALSE,ISNUMBER(VALUE(metadata!J414))),metadata!J414&gt;0))</f>
        <v>0</v>
      </c>
      <c r="AM414" t="b">
        <f>AND(IF(metadata!K414="",FALSE,TRUE),EXACT(metadata!K414,"missing: not provided"))</f>
        <v>0</v>
      </c>
      <c r="AN414" t="b">
        <f>IF(metadata!L414="",FALSE,TRUE)</f>
        <v>0</v>
      </c>
      <c r="AO414" t="b">
        <f>IF(metadata!M414="",FALSE,TRUE)</f>
        <v>0</v>
      </c>
      <c r="AP414" t="b">
        <f>OR(AND(IF(metadata!N414="",FALSE,TRUE),OR(EXACT(metadata!N414,"not applicable"),EXACT(metadata!N414,"missing: not collected"),EXACT(metadata!N414,"missing: not provided"))),AND(IF(metadata!N414="",FALSE,IF(ISERROR(INT(metadata!N414)),FALSE,INT(metadata!N414)=metadata!N414)),metadata!N414&gt;0))</f>
        <v>0</v>
      </c>
      <c r="AQ414" t="b">
        <f>AND(IF(metadata!O414="",FALSE,TRUE),EXACT(metadata!O414,"Not applicable"))</f>
        <v>0</v>
      </c>
      <c r="AR414" t="b">
        <f>OR(AND(IF(metadata!P414="",FALSE,TRUE),OR(EXACT(metadata!P414,"not applicable"),EXACT(metadata!P414,"missing: not collected"),EXACT(metadata!P414,"missing: not provided"),EXACT(metadata!P414,"missing: restricted access"))),IF(metadata!P414="",FALSE,IF(ISERROR(INT(metadata!P414)),FALSE,INT(metadata!P414)=metadata!P414)))</f>
        <v>0</v>
      </c>
      <c r="AS414" t="b">
        <f>AND(IF(metadata!Q414="",FALSE,TRUE),EXACT(metadata!Q414,"Not applicable"))</f>
        <v>0</v>
      </c>
      <c r="AT414" t="b">
        <f>OR(AND(IF(metadata!R414="",FALSE,TRUE),OR(EXACT(metadata!R414,"not applicable"),EXACT(metadata!R414,"missing: not collected"),EXACT(metadata!R414,"missing: not provided"),EXACT(metadata!R414,"missing: restricted access"))),AND(IF(metadata!R414="",FALSE,ISNUMBER(VALUE(metadata!R414))),metadata!R414&gt;0))</f>
        <v>0</v>
      </c>
      <c r="AU414" t="b">
        <f>AND(IF(metadata!S414="",FALSE,TRUE),EXACT(metadata!S414,"missing: not provided"))</f>
        <v>0</v>
      </c>
    </row>
    <row r="415" spans="1:47" x14ac:dyDescent="0.2">
      <c r="A415" s="5" t="str">
        <f ca="1">IF(B415=" "," ",HYPERLINK(CONCATENATE("#metadata!",ADDRESS(INDEX($Y$2:$Y$1001,MATCH(ROWS($W$2:W415),$W$2:$W$1001,0),0),1)),INDEX($AB$2:$AB$1001,MATCH(ROWS($W$2:W415),$W$2:$W$1001,0),0)))</f>
        <v xml:space="preserve"> </v>
      </c>
      <c r="B415" s="4" t="str">
        <f ca="1">IF(OR(INDEX($X$2:$X$1001,MATCH(ROWS($W$2:W415),$W$2:$W$1001,0),1)&gt;=100000,INDEX($AD$1005:$AU$1005,1,MATCH(COLUMNS($AD$1006:AD1006),$AD$1006:$AU$1006,0))&gt;=100000), " ",IF(INDEX($AD$2:$AU$1001,MATCH(ROWS($W$2:W415),$W$2:$W$1001,0),MATCH(COLUMNS($AD$1006:AD1006),$AD$1006:$AU$1006,0)), HYPERLINK("#",""), HYPERLINK(CONCATENATE("#metadata!", ADDRESS(INDEX($Y$2:$Y$1001,MATCH(ROWS($W$2:W415),$W$2:$W$1001,0),0), INDEX($AD$1004:$AU$1004,1,MATCH(COLUMNS($AD$1006:AD1006),$AD$1006:$AU$1006,0)))),"Fix")))</f>
        <v xml:space="preserve"> </v>
      </c>
      <c r="C415" s="4" t="str">
        <f ca="1">IF(OR(INDEX($X$2:$X$1001,MATCH(ROWS($W$2:W415),$W$2:$W$1001,0),1)&gt;=100000,INDEX($AD$1005:$AU$1005,1,MATCH(COLUMNS($AD$1006:AE1006),$AD$1006:$AU$1006,0))&gt;=100000), " ",IF(INDEX($AD$2:$AU$1001,MATCH(ROWS($W$2:W415),$W$2:$W$1001,0),MATCH(COLUMNS($AD$1006:AE1006),$AD$1006:$AU$1006,0)), HYPERLINK("#",""), HYPERLINK(CONCATENATE("#metadata!", ADDRESS(INDEX($Y$2:$Y$1001,MATCH(ROWS($W$2:W415),$W$2:$W$1001,0),0), INDEX($AD$1004:$AU$1004,1,MATCH(COLUMNS($AD$1006:AE1006),$AD$1006:$AU$1006,0)))),"Fix")))</f>
        <v xml:space="preserve"> </v>
      </c>
      <c r="D415" s="4" t="str">
        <f ca="1">IF(OR(INDEX($X$2:$X$1001,MATCH(ROWS($W$2:W415),$W$2:$W$1001,0),1)&gt;=100000,INDEX($AD$1005:$AU$1005,1,MATCH(COLUMNS($AD$1006:AF1006),$AD$1006:$AU$1006,0))&gt;=100000), " ",IF(INDEX($AD$2:$AU$1001,MATCH(ROWS($W$2:W415),$W$2:$W$1001,0),MATCH(COLUMNS($AD$1006:AF1006),$AD$1006:$AU$1006,0)), HYPERLINK("#",""), HYPERLINK(CONCATENATE("#metadata!", ADDRESS(INDEX($Y$2:$Y$1001,MATCH(ROWS($W$2:W415),$W$2:$W$1001,0),0), INDEX($AD$1004:$AU$1004,1,MATCH(COLUMNS($AD$1006:AF1006),$AD$1006:$AU$1006,0)))),"Fix")))</f>
        <v xml:space="preserve"> </v>
      </c>
      <c r="E415" s="4" t="str">
        <f ca="1">IF(OR(INDEX($X$2:$X$1001,MATCH(ROWS($W$2:W415),$W$2:$W$1001,0),1)&gt;=100000,INDEX($AD$1005:$AU$1005,1,MATCH(COLUMNS($AD$1006:AG1006),$AD$1006:$AU$1006,0))&gt;=100000), " ",IF(INDEX($AD$2:$AU$1001,MATCH(ROWS($W$2:W415),$W$2:$W$1001,0),MATCH(COLUMNS($AD$1006:AG1006),$AD$1006:$AU$1006,0)), HYPERLINK("#",""), HYPERLINK(CONCATENATE("#metadata!", ADDRESS(INDEX($Y$2:$Y$1001,MATCH(ROWS($W$2:W415),$W$2:$W$1001,0),0), INDEX($AD$1004:$AU$1004,1,MATCH(COLUMNS($AD$1006:AG1006),$AD$1006:$AU$1006,0)))),"Fix")))</f>
        <v xml:space="preserve"> </v>
      </c>
      <c r="F415" s="4" t="str">
        <f ca="1">IF(OR(INDEX($X$2:$X$1001,MATCH(ROWS($W$2:W415),$W$2:$W$1001,0),1)&gt;=100000,INDEX($AD$1005:$AU$1005,1,MATCH(COLUMNS($AD$1006:AH1006),$AD$1006:$AU$1006,0))&gt;=100000), " ",IF(INDEX($AD$2:$AU$1001,MATCH(ROWS($W$2:W415),$W$2:$W$1001,0),MATCH(COLUMNS($AD$1006:AH1006),$AD$1006:$AU$1006,0)), HYPERLINK("#",""), HYPERLINK(CONCATENATE("#metadata!", ADDRESS(INDEX($Y$2:$Y$1001,MATCH(ROWS($W$2:W415),$W$2:$W$1001,0),0), INDEX($AD$1004:$AU$1004,1,MATCH(COLUMNS($AD$1006:AH1006),$AD$1006:$AU$1006,0)))),"Fix")))</f>
        <v xml:space="preserve"> </v>
      </c>
      <c r="G415" s="4" t="str">
        <f ca="1">IF(OR(INDEX($X$2:$X$1001,MATCH(ROWS($W$2:W415),$W$2:$W$1001,0),1)&gt;=100000,INDEX($AD$1005:$AU$1005,1,MATCH(COLUMNS($AD$1006:AI1006),$AD$1006:$AU$1006,0))&gt;=100000), " ",IF(INDEX($AD$2:$AU$1001,MATCH(ROWS($W$2:W415),$W$2:$W$1001,0),MATCH(COLUMNS($AD$1006:AI1006),$AD$1006:$AU$1006,0)), HYPERLINK("#",""), HYPERLINK(CONCATENATE("#metadata!", ADDRESS(INDEX($Y$2:$Y$1001,MATCH(ROWS($W$2:W415),$W$2:$W$1001,0),0), INDEX($AD$1004:$AU$1004,1,MATCH(COLUMNS($AD$1006:AI1006),$AD$1006:$AU$1006,0)))),"Fix")))</f>
        <v xml:space="preserve"> </v>
      </c>
      <c r="H415" s="4" t="str">
        <f ca="1">IF(OR(INDEX($X$2:$X$1001,MATCH(ROWS($W$2:W415),$W$2:$W$1001,0),1)&gt;=100000,INDEX($AD$1005:$AU$1005,1,MATCH(COLUMNS($AD$1006:AJ1006),$AD$1006:$AU$1006,0))&gt;=100000), " ",IF(INDEX($AD$2:$AU$1001,MATCH(ROWS($W$2:W415),$W$2:$W$1001,0),MATCH(COLUMNS($AD$1006:AJ1006),$AD$1006:$AU$1006,0)), HYPERLINK("#",""), HYPERLINK(CONCATENATE("#metadata!", ADDRESS(INDEX($Y$2:$Y$1001,MATCH(ROWS($W$2:W415),$W$2:$W$1001,0),0), INDEX($AD$1004:$AU$1004,1,MATCH(COLUMNS($AD$1006:AJ1006),$AD$1006:$AU$1006,0)))),"Fix")))</f>
        <v xml:space="preserve"> </v>
      </c>
      <c r="I415" s="4" t="str">
        <f ca="1">IF(OR(INDEX($X$2:$X$1001,MATCH(ROWS($W$2:W415),$W$2:$W$1001,0),1)&gt;=100000,INDEX($AD$1005:$AU$1005,1,MATCH(COLUMNS($AD$1006:AK1006),$AD$1006:$AU$1006,0))&gt;=100000), " ",IF(INDEX($AD$2:$AU$1001,MATCH(ROWS($W$2:W415),$W$2:$W$1001,0),MATCH(COLUMNS($AD$1006:AK1006),$AD$1006:$AU$1006,0)), HYPERLINK("#",""), HYPERLINK(CONCATENATE("#metadata!", ADDRESS(INDEX($Y$2:$Y$1001,MATCH(ROWS($W$2:W415),$W$2:$W$1001,0),0), INDEX($AD$1004:$AU$1004,1,MATCH(COLUMNS($AD$1006:AK1006),$AD$1006:$AU$1006,0)))),"Fix")))</f>
        <v xml:space="preserve"> </v>
      </c>
      <c r="J415" s="4" t="str">
        <f ca="1">IF(OR(INDEX($X$2:$X$1001,MATCH(ROWS($W$2:W415),$W$2:$W$1001,0),1)&gt;=100000,INDEX($AD$1005:$AU$1005,1,MATCH(COLUMNS($AD$1006:AL1006),$AD$1006:$AU$1006,0))&gt;=100000), " ",IF(INDEX($AD$2:$AU$1001,MATCH(ROWS($W$2:W415),$W$2:$W$1001,0),MATCH(COLUMNS($AD$1006:AL1006),$AD$1006:$AU$1006,0)), HYPERLINK("#",""), HYPERLINK(CONCATENATE("#metadata!", ADDRESS(INDEX($Y$2:$Y$1001,MATCH(ROWS($W$2:W415),$W$2:$W$1001,0),0), INDEX($AD$1004:$AU$1004,1,MATCH(COLUMNS($AD$1006:AL1006),$AD$1006:$AU$1006,0)))),"Fix")))</f>
        <v xml:space="preserve"> </v>
      </c>
      <c r="K415" s="4" t="str">
        <f ca="1">IF(OR(INDEX($X$2:$X$1001,MATCH(ROWS($W$2:W415),$W$2:$W$1001,0),1)&gt;=100000,INDEX($AD$1005:$AU$1005,1,MATCH(COLUMNS($AD$1006:AM1006),$AD$1006:$AU$1006,0))&gt;=100000), " ",IF(INDEX($AD$2:$AU$1001,MATCH(ROWS($W$2:W415),$W$2:$W$1001,0),MATCH(COLUMNS($AD$1006:AM1006),$AD$1006:$AU$1006,0)), HYPERLINK("#",""), HYPERLINK(CONCATENATE("#metadata!", ADDRESS(INDEX($Y$2:$Y$1001,MATCH(ROWS($W$2:W415),$W$2:$W$1001,0),0), INDEX($AD$1004:$AU$1004,1,MATCH(COLUMNS($AD$1006:AM1006),$AD$1006:$AU$1006,0)))),"Fix")))</f>
        <v xml:space="preserve"> </v>
      </c>
      <c r="L415" s="4" t="str">
        <f ca="1">IF(OR(INDEX($X$2:$X$1001,MATCH(ROWS($W$2:W415),$W$2:$W$1001,0),1)&gt;=100000,INDEX($AD$1005:$AU$1005,1,MATCH(COLUMNS($AD$1006:AN1006),$AD$1006:$AU$1006,0))&gt;=100000), " ",IF(INDEX($AD$2:$AU$1001,MATCH(ROWS($W$2:W415),$W$2:$W$1001,0),MATCH(COLUMNS($AD$1006:AN1006),$AD$1006:$AU$1006,0)), HYPERLINK("#",""), HYPERLINK(CONCATENATE("#metadata!", ADDRESS(INDEX($Y$2:$Y$1001,MATCH(ROWS($W$2:W415),$W$2:$W$1001,0),0), INDEX($AD$1004:$AU$1004,1,MATCH(COLUMNS($AD$1006:AN1006),$AD$1006:$AU$1006,0)))),"Fix")))</f>
        <v xml:space="preserve"> </v>
      </c>
      <c r="M415" s="4" t="str">
        <f ca="1">IF(OR(INDEX($X$2:$X$1001,MATCH(ROWS($W$2:W415),$W$2:$W$1001,0),1)&gt;=100000,INDEX($AD$1005:$AU$1005,1,MATCH(COLUMNS($AD$1006:AO1006),$AD$1006:$AU$1006,0))&gt;=100000), " ",IF(INDEX($AD$2:$AU$1001,MATCH(ROWS($W$2:W415),$W$2:$W$1001,0),MATCH(COLUMNS($AD$1006:AO1006),$AD$1006:$AU$1006,0)), HYPERLINK("#",""), HYPERLINK(CONCATENATE("#metadata!", ADDRESS(INDEX($Y$2:$Y$1001,MATCH(ROWS($W$2:W415),$W$2:$W$1001,0),0), INDEX($AD$1004:$AU$1004,1,MATCH(COLUMNS($AD$1006:AO1006),$AD$1006:$AU$1006,0)))),"Fix")))</f>
        <v xml:space="preserve"> </v>
      </c>
      <c r="N415" s="4" t="str">
        <f ca="1">IF(OR(INDEX($X$2:$X$1001,MATCH(ROWS($W$2:W415),$W$2:$W$1001,0),1)&gt;=100000,INDEX($AD$1005:$AU$1005,1,MATCH(COLUMNS($AD$1006:AP1006),$AD$1006:$AU$1006,0))&gt;=100000), " ",IF(INDEX($AD$2:$AU$1001,MATCH(ROWS($W$2:W415),$W$2:$W$1001,0),MATCH(COLUMNS($AD$1006:AP1006),$AD$1006:$AU$1006,0)), HYPERLINK("#",""), HYPERLINK(CONCATENATE("#metadata!", ADDRESS(INDEX($Y$2:$Y$1001,MATCH(ROWS($W$2:W415),$W$2:$W$1001,0),0), INDEX($AD$1004:$AU$1004,1,MATCH(COLUMNS($AD$1006:AP1006),$AD$1006:$AU$1006,0)))),"Fix")))</f>
        <v xml:space="preserve"> </v>
      </c>
      <c r="O415" s="4" t="str">
        <f ca="1">IF(OR(INDEX($X$2:$X$1001,MATCH(ROWS($W$2:W415),$W$2:$W$1001,0),1)&gt;=100000,INDEX($AD$1005:$AU$1005,1,MATCH(COLUMNS($AD$1006:AQ1006),$AD$1006:$AU$1006,0))&gt;=100000), " ",IF(INDEX($AD$2:$AU$1001,MATCH(ROWS($W$2:W415),$W$2:$W$1001,0),MATCH(COLUMNS($AD$1006:AQ1006),$AD$1006:$AU$1006,0)), HYPERLINK("#",""), HYPERLINK(CONCATENATE("#metadata!", ADDRESS(INDEX($Y$2:$Y$1001,MATCH(ROWS($W$2:W415),$W$2:$W$1001,0),0), INDEX($AD$1004:$AU$1004,1,MATCH(COLUMNS($AD$1006:AQ1006),$AD$1006:$AU$1006,0)))),"Fix")))</f>
        <v xml:space="preserve"> </v>
      </c>
      <c r="P415" s="4" t="str">
        <f ca="1">IF(OR(INDEX($X$2:$X$1001,MATCH(ROWS($W$2:W415),$W$2:$W$1001,0),1)&gt;=100000,INDEX($AD$1005:$AU$1005,1,MATCH(COLUMNS($AD$1006:AR1006),$AD$1006:$AU$1006,0))&gt;=100000), " ",IF(INDEX($AD$2:$AU$1001,MATCH(ROWS($W$2:W415),$W$2:$W$1001,0),MATCH(COLUMNS($AD$1006:AR1006),$AD$1006:$AU$1006,0)), HYPERLINK("#",""), HYPERLINK(CONCATENATE("#metadata!", ADDRESS(INDEX($Y$2:$Y$1001,MATCH(ROWS($W$2:W415),$W$2:$W$1001,0),0), INDEX($AD$1004:$AU$1004,1,MATCH(COLUMNS($AD$1006:AR1006),$AD$1006:$AU$1006,0)))),"Fix")))</f>
        <v xml:space="preserve"> </v>
      </c>
      <c r="Q415" s="4" t="str">
        <f ca="1">IF(OR(INDEX($X$2:$X$1001,MATCH(ROWS($W$2:W415),$W$2:$W$1001,0),1)&gt;=100000,INDEX($AD$1005:$AU$1005,1,MATCH(COLUMNS($AD$1006:AS1006),$AD$1006:$AU$1006,0))&gt;=100000), " ",IF(INDEX($AD$2:$AU$1001,MATCH(ROWS($W$2:W415),$W$2:$W$1001,0),MATCH(COLUMNS($AD$1006:AS1006),$AD$1006:$AU$1006,0)), HYPERLINK("#",""), HYPERLINK(CONCATENATE("#metadata!", ADDRESS(INDEX($Y$2:$Y$1001,MATCH(ROWS($W$2:W415),$W$2:$W$1001,0),0), INDEX($AD$1004:$AU$1004,1,MATCH(COLUMNS($AD$1006:AS1006),$AD$1006:$AU$1006,0)))),"Fix")))</f>
        <v xml:space="preserve"> </v>
      </c>
      <c r="R415" s="4" t="str">
        <f ca="1">IF(OR(INDEX($X$2:$X$1001,MATCH(ROWS($W$2:W415),$W$2:$W$1001,0),1)&gt;=100000,INDEX($AD$1005:$AU$1005,1,MATCH(COLUMNS($AD$1006:AT1006),$AD$1006:$AU$1006,0))&gt;=100000), " ",IF(INDEX($AD$2:$AU$1001,MATCH(ROWS($W$2:W415),$W$2:$W$1001,0),MATCH(COLUMNS($AD$1006:AT1006),$AD$1006:$AU$1006,0)), HYPERLINK("#",""), HYPERLINK(CONCATENATE("#metadata!", ADDRESS(INDEX($Y$2:$Y$1001,MATCH(ROWS($W$2:W415),$W$2:$W$1001,0),0), INDEX($AD$1004:$AU$1004,1,MATCH(COLUMNS($AD$1006:AT1006),$AD$1006:$AU$1006,0)))),"Fix")))</f>
        <v xml:space="preserve"> </v>
      </c>
      <c r="S415" s="4" t="str">
        <f ca="1">IF(OR(INDEX($X$2:$X$1001,MATCH(ROWS($W$2:W415),$W$2:$W$1001,0),1)&gt;=100000,INDEX($AD$1005:$AU$1005,1,MATCH(COLUMNS($AD$1006:AU1006),$AD$1006:$AU$1006,0))&gt;=100000), " ",IF(INDEX($AD$2:$AU$1001,MATCH(ROWS($W$2:W415),$W$2:$W$1001,0),MATCH(COLUMNS($AD$1006:AU1006),$AD$1006:$AU$1006,0)), HYPERLINK("#",""), HYPERLINK(CONCATENATE("#metadata!", ADDRESS(INDEX($Y$2:$Y$1001,MATCH(ROWS($W$2:W415),$W$2:$W$1001,0),0), INDEX($AD$1004:$AU$1004,1,MATCH(COLUMNS($AD$1006:AU1006),$AD$1006:$AU$1006,0)))),"Fix")))</f>
        <v xml:space="preserve"> </v>
      </c>
      <c r="W415">
        <v>414</v>
      </c>
      <c r="X415">
        <v>100415</v>
      </c>
      <c r="Y415">
        <v>415</v>
      </c>
      <c r="Z415" t="b">
        <f t="shared" si="6"/>
        <v>1</v>
      </c>
      <c r="AA415" t="b">
        <f>COUNTBLANK(metadata!B415:S415)=COLUMNS(metadata!B415:S415)</f>
        <v>1</v>
      </c>
      <c r="AB415" t="str">
        <v/>
      </c>
      <c r="AD415" t="b">
        <f ca="1">AND(IF(metadata!B415="",FALSE,TRUE),COUNTIF(metadata!B:B, metadata!B415) = 1,NOT(ISERROR(SUMPRODUCT(SEARCH(MID(metadata!B415,ROW(INDIRECT("1:"&amp;LEN(metadata!B415))), 1),"0123456789abcdefghijklmnopqrstuvwxyzABCDEFGHIJKLMNOPQRSTUVWXYZ.")))))</f>
        <v>0</v>
      </c>
      <c r="AE415" t="b">
        <f>OR(AND(IF(metadata!C415="",FALSE,TRUE),OR(EXACT(metadata!C415,"not applicable"),EXACT(metadata!C415,"missing: not collected"),EXACT(metadata!C415,"missing: not provided"),EXACT(metadata!C415,"missing: restricted access"))),AND(IF(metadata!C415="",FALSE,ISNUMBER(VALUE(metadata!C415))),metadata!C415&gt;0))</f>
        <v>0</v>
      </c>
      <c r="AF415" t="b">
        <f>AND(IF(metadata!D415="",FALSE,TRUE),EXACT(metadata!D415,"missing: not provided"))</f>
        <v>0</v>
      </c>
      <c r="AG415" t="b">
        <f>AND(IF(metadata!E415="",FALSE,TRUE),EXACT(metadata!E415,"Host-associated"))</f>
        <v>0</v>
      </c>
      <c r="AH415" t="b">
        <f>AND(IF(metadata!F415="",FALSE,TRUE),OR(EXACT(metadata!F415,"Animal"),EXACT(metadata!F415,"Fungus"),EXACT(metadata!F415,"Plant")))</f>
        <v>0</v>
      </c>
      <c r="AI415" t="b">
        <f>AND(IF(metadata!G415="",FALSE,TRUE),OR(EXACT(metadata!G415,"Plant secretion"),EXACT(metadata!G415,"Plant rhizosphere"),EXACT(metadata!G415,"Plant surface"),EXACT(metadata!G415,"Plant corpus"),EXACT(metadata!G415,"Fungus surface"),EXACT(metadata!G415,"Fungus corpus"),EXACT(metadata!G415,"Animal surface"),EXACT(metadata!G415,"Animal proximal gut"),EXACT(metadata!G415,"Animal corpus"),EXACT(metadata!G415,"Animal distal gut"),EXACT(metadata!G415,"Animal secretion")))</f>
        <v>0</v>
      </c>
      <c r="AJ415" t="b">
        <f>OR(AND(IF(metadata!H415="",FALSE,TRUE),OR(EXACT(metadata!H415,"missing: not collected"),EXACT(metadata!H415,"missing: not provided"),EXACT(metadata!H415,"missing: restricted access"))),AND(IF(metadata!H415="",FALSE,TRUE),OR(EXACT(metadata!H415,"organism-associated habitat"),EXACT(metadata!H415,"plant-associated habitat"),EXACT(metadata!H415,"animal-associated habitat"),EXACT(metadata!H415,"insecta-associated habitat"),EXACT(metadata!H415,"mammalia-associated habitat"),EXACT(metadata!H415,"human-associated habitat"),EXACT(metadata!H415,"livestock-associated habitat"))))</f>
        <v>0</v>
      </c>
      <c r="AK415" t="b">
        <f>AND(IF(metadata!I415="",FALSE,TRUE),EXACT(metadata!I415,"host-associated"))</f>
        <v>0</v>
      </c>
      <c r="AL415" t="b">
        <f>OR(AND(IF(metadata!J415="",FALSE,TRUE),OR(EXACT(metadata!J415,"not applicable"),EXACT(metadata!J415,"missing: not collected"),EXACT(metadata!J415,"missing: not provided"),EXACT(metadata!J415,"missing: restricted access"))),AND(IF(metadata!J415="",FALSE,ISNUMBER(VALUE(metadata!J415))),metadata!J415&gt;0))</f>
        <v>0</v>
      </c>
      <c r="AM415" t="b">
        <f>AND(IF(metadata!K415="",FALSE,TRUE),EXACT(metadata!K415,"missing: not provided"))</f>
        <v>0</v>
      </c>
      <c r="AN415" t="b">
        <f>IF(metadata!L415="",FALSE,TRUE)</f>
        <v>0</v>
      </c>
      <c r="AO415" t="b">
        <f>IF(metadata!M415="",FALSE,TRUE)</f>
        <v>0</v>
      </c>
      <c r="AP415" t="b">
        <f>OR(AND(IF(metadata!N415="",FALSE,TRUE),OR(EXACT(metadata!N415,"not applicable"),EXACT(metadata!N415,"missing: not collected"),EXACT(metadata!N415,"missing: not provided"))),AND(IF(metadata!N415="",FALSE,IF(ISERROR(INT(metadata!N415)),FALSE,INT(metadata!N415)=metadata!N415)),metadata!N415&gt;0))</f>
        <v>0</v>
      </c>
      <c r="AQ415" t="b">
        <f>AND(IF(metadata!O415="",FALSE,TRUE),EXACT(metadata!O415,"Not applicable"))</f>
        <v>0</v>
      </c>
      <c r="AR415" t="b">
        <f>OR(AND(IF(metadata!P415="",FALSE,TRUE),OR(EXACT(metadata!P415,"not applicable"),EXACT(metadata!P415,"missing: not collected"),EXACT(metadata!P415,"missing: not provided"),EXACT(metadata!P415,"missing: restricted access"))),IF(metadata!P415="",FALSE,IF(ISERROR(INT(metadata!P415)),FALSE,INT(metadata!P415)=metadata!P415)))</f>
        <v>0</v>
      </c>
      <c r="AS415" t="b">
        <f>AND(IF(metadata!Q415="",FALSE,TRUE),EXACT(metadata!Q415,"Not applicable"))</f>
        <v>0</v>
      </c>
      <c r="AT415" t="b">
        <f>OR(AND(IF(metadata!R415="",FALSE,TRUE),OR(EXACT(metadata!R415,"not applicable"),EXACT(metadata!R415,"missing: not collected"),EXACT(metadata!R415,"missing: not provided"),EXACT(metadata!R415,"missing: restricted access"))),AND(IF(metadata!R415="",FALSE,ISNUMBER(VALUE(metadata!R415))),metadata!R415&gt;0))</f>
        <v>0</v>
      </c>
      <c r="AU415" t="b">
        <f>AND(IF(metadata!S415="",FALSE,TRUE),EXACT(metadata!S415,"missing: not provided"))</f>
        <v>0</v>
      </c>
    </row>
    <row r="416" spans="1:47" x14ac:dyDescent="0.2">
      <c r="A416" s="5" t="str">
        <f ca="1">IF(B416=" "," ",HYPERLINK(CONCATENATE("#metadata!",ADDRESS(INDEX($Y$2:$Y$1001,MATCH(ROWS($W$2:W416),$W$2:$W$1001,0),0),1)),INDEX($AB$2:$AB$1001,MATCH(ROWS($W$2:W416),$W$2:$W$1001,0),0)))</f>
        <v xml:space="preserve"> </v>
      </c>
      <c r="B416" s="4" t="str">
        <f ca="1">IF(OR(INDEX($X$2:$X$1001,MATCH(ROWS($W$2:W416),$W$2:$W$1001,0),1)&gt;=100000,INDEX($AD$1005:$AU$1005,1,MATCH(COLUMNS($AD$1006:AD1006),$AD$1006:$AU$1006,0))&gt;=100000), " ",IF(INDEX($AD$2:$AU$1001,MATCH(ROWS($W$2:W416),$W$2:$W$1001,0),MATCH(COLUMNS($AD$1006:AD1006),$AD$1006:$AU$1006,0)), HYPERLINK("#",""), HYPERLINK(CONCATENATE("#metadata!", ADDRESS(INDEX($Y$2:$Y$1001,MATCH(ROWS($W$2:W416),$W$2:$W$1001,0),0), INDEX($AD$1004:$AU$1004,1,MATCH(COLUMNS($AD$1006:AD1006),$AD$1006:$AU$1006,0)))),"Fix")))</f>
        <v xml:space="preserve"> </v>
      </c>
      <c r="C416" s="4" t="str">
        <f ca="1">IF(OR(INDEX($X$2:$X$1001,MATCH(ROWS($W$2:W416),$W$2:$W$1001,0),1)&gt;=100000,INDEX($AD$1005:$AU$1005,1,MATCH(COLUMNS($AD$1006:AE1006),$AD$1006:$AU$1006,0))&gt;=100000), " ",IF(INDEX($AD$2:$AU$1001,MATCH(ROWS($W$2:W416),$W$2:$W$1001,0),MATCH(COLUMNS($AD$1006:AE1006),$AD$1006:$AU$1006,0)), HYPERLINK("#",""), HYPERLINK(CONCATENATE("#metadata!", ADDRESS(INDEX($Y$2:$Y$1001,MATCH(ROWS($W$2:W416),$W$2:$W$1001,0),0), INDEX($AD$1004:$AU$1004,1,MATCH(COLUMNS($AD$1006:AE1006),$AD$1006:$AU$1006,0)))),"Fix")))</f>
        <v xml:space="preserve"> </v>
      </c>
      <c r="D416" s="4" t="str">
        <f ca="1">IF(OR(INDEX($X$2:$X$1001,MATCH(ROWS($W$2:W416),$W$2:$W$1001,0),1)&gt;=100000,INDEX($AD$1005:$AU$1005,1,MATCH(COLUMNS($AD$1006:AF1006),$AD$1006:$AU$1006,0))&gt;=100000), " ",IF(INDEX($AD$2:$AU$1001,MATCH(ROWS($W$2:W416),$W$2:$W$1001,0),MATCH(COLUMNS($AD$1006:AF1006),$AD$1006:$AU$1006,0)), HYPERLINK("#",""), HYPERLINK(CONCATENATE("#metadata!", ADDRESS(INDEX($Y$2:$Y$1001,MATCH(ROWS($W$2:W416),$W$2:$W$1001,0),0), INDEX($AD$1004:$AU$1004,1,MATCH(COLUMNS($AD$1006:AF1006),$AD$1006:$AU$1006,0)))),"Fix")))</f>
        <v xml:space="preserve"> </v>
      </c>
      <c r="E416" s="4" t="str">
        <f ca="1">IF(OR(INDEX($X$2:$X$1001,MATCH(ROWS($W$2:W416),$W$2:$W$1001,0),1)&gt;=100000,INDEX($AD$1005:$AU$1005,1,MATCH(COLUMNS($AD$1006:AG1006),$AD$1006:$AU$1006,0))&gt;=100000), " ",IF(INDEX($AD$2:$AU$1001,MATCH(ROWS($W$2:W416),$W$2:$W$1001,0),MATCH(COLUMNS($AD$1006:AG1006),$AD$1006:$AU$1006,0)), HYPERLINK("#",""), HYPERLINK(CONCATENATE("#metadata!", ADDRESS(INDEX($Y$2:$Y$1001,MATCH(ROWS($W$2:W416),$W$2:$W$1001,0),0), INDEX($AD$1004:$AU$1004,1,MATCH(COLUMNS($AD$1006:AG1006),$AD$1006:$AU$1006,0)))),"Fix")))</f>
        <v xml:space="preserve"> </v>
      </c>
      <c r="F416" s="4" t="str">
        <f ca="1">IF(OR(INDEX($X$2:$X$1001,MATCH(ROWS($W$2:W416),$W$2:$W$1001,0),1)&gt;=100000,INDEX($AD$1005:$AU$1005,1,MATCH(COLUMNS($AD$1006:AH1006),$AD$1006:$AU$1006,0))&gt;=100000), " ",IF(INDEX($AD$2:$AU$1001,MATCH(ROWS($W$2:W416),$W$2:$W$1001,0),MATCH(COLUMNS($AD$1006:AH1006),$AD$1006:$AU$1006,0)), HYPERLINK("#",""), HYPERLINK(CONCATENATE("#metadata!", ADDRESS(INDEX($Y$2:$Y$1001,MATCH(ROWS($W$2:W416),$W$2:$W$1001,0),0), INDEX($AD$1004:$AU$1004,1,MATCH(COLUMNS($AD$1006:AH1006),$AD$1006:$AU$1006,0)))),"Fix")))</f>
        <v xml:space="preserve"> </v>
      </c>
      <c r="G416" s="4" t="str">
        <f ca="1">IF(OR(INDEX($X$2:$X$1001,MATCH(ROWS($W$2:W416),$W$2:$W$1001,0),1)&gt;=100000,INDEX($AD$1005:$AU$1005,1,MATCH(COLUMNS($AD$1006:AI1006),$AD$1006:$AU$1006,0))&gt;=100000), " ",IF(INDEX($AD$2:$AU$1001,MATCH(ROWS($W$2:W416),$W$2:$W$1001,0),MATCH(COLUMNS($AD$1006:AI1006),$AD$1006:$AU$1006,0)), HYPERLINK("#",""), HYPERLINK(CONCATENATE("#metadata!", ADDRESS(INDEX($Y$2:$Y$1001,MATCH(ROWS($W$2:W416),$W$2:$W$1001,0),0), INDEX($AD$1004:$AU$1004,1,MATCH(COLUMNS($AD$1006:AI1006),$AD$1006:$AU$1006,0)))),"Fix")))</f>
        <v xml:space="preserve"> </v>
      </c>
      <c r="H416" s="4" t="str">
        <f ca="1">IF(OR(INDEX($X$2:$X$1001,MATCH(ROWS($W$2:W416),$W$2:$W$1001,0),1)&gt;=100000,INDEX($AD$1005:$AU$1005,1,MATCH(COLUMNS($AD$1006:AJ1006),$AD$1006:$AU$1006,0))&gt;=100000), " ",IF(INDEX($AD$2:$AU$1001,MATCH(ROWS($W$2:W416),$W$2:$W$1001,0),MATCH(COLUMNS($AD$1006:AJ1006),$AD$1006:$AU$1006,0)), HYPERLINK("#",""), HYPERLINK(CONCATENATE("#metadata!", ADDRESS(INDEX($Y$2:$Y$1001,MATCH(ROWS($W$2:W416),$W$2:$W$1001,0),0), INDEX($AD$1004:$AU$1004,1,MATCH(COLUMNS($AD$1006:AJ1006),$AD$1006:$AU$1006,0)))),"Fix")))</f>
        <v xml:space="preserve"> </v>
      </c>
      <c r="I416" s="4" t="str">
        <f ca="1">IF(OR(INDEX($X$2:$X$1001,MATCH(ROWS($W$2:W416),$W$2:$W$1001,0),1)&gt;=100000,INDEX($AD$1005:$AU$1005,1,MATCH(COLUMNS($AD$1006:AK1006),$AD$1006:$AU$1006,0))&gt;=100000), " ",IF(INDEX($AD$2:$AU$1001,MATCH(ROWS($W$2:W416),$W$2:$W$1001,0),MATCH(COLUMNS($AD$1006:AK1006),$AD$1006:$AU$1006,0)), HYPERLINK("#",""), HYPERLINK(CONCATENATE("#metadata!", ADDRESS(INDEX($Y$2:$Y$1001,MATCH(ROWS($W$2:W416),$W$2:$W$1001,0),0), INDEX($AD$1004:$AU$1004,1,MATCH(COLUMNS($AD$1006:AK1006),$AD$1006:$AU$1006,0)))),"Fix")))</f>
        <v xml:space="preserve"> </v>
      </c>
      <c r="J416" s="4" t="str">
        <f ca="1">IF(OR(INDEX($X$2:$X$1001,MATCH(ROWS($W$2:W416),$W$2:$W$1001,0),1)&gt;=100000,INDEX($AD$1005:$AU$1005,1,MATCH(COLUMNS($AD$1006:AL1006),$AD$1006:$AU$1006,0))&gt;=100000), " ",IF(INDEX($AD$2:$AU$1001,MATCH(ROWS($W$2:W416),$W$2:$W$1001,0),MATCH(COLUMNS($AD$1006:AL1006),$AD$1006:$AU$1006,0)), HYPERLINK("#",""), HYPERLINK(CONCATENATE("#metadata!", ADDRESS(INDEX($Y$2:$Y$1001,MATCH(ROWS($W$2:W416),$W$2:$W$1001,0),0), INDEX($AD$1004:$AU$1004,1,MATCH(COLUMNS($AD$1006:AL1006),$AD$1006:$AU$1006,0)))),"Fix")))</f>
        <v xml:space="preserve"> </v>
      </c>
      <c r="K416" s="4" t="str">
        <f ca="1">IF(OR(INDEX($X$2:$X$1001,MATCH(ROWS($W$2:W416),$W$2:$W$1001,0),1)&gt;=100000,INDEX($AD$1005:$AU$1005,1,MATCH(COLUMNS($AD$1006:AM1006),$AD$1006:$AU$1006,0))&gt;=100000), " ",IF(INDEX($AD$2:$AU$1001,MATCH(ROWS($W$2:W416),$W$2:$W$1001,0),MATCH(COLUMNS($AD$1006:AM1006),$AD$1006:$AU$1006,0)), HYPERLINK("#",""), HYPERLINK(CONCATENATE("#metadata!", ADDRESS(INDEX($Y$2:$Y$1001,MATCH(ROWS($W$2:W416),$W$2:$W$1001,0),0), INDEX($AD$1004:$AU$1004,1,MATCH(COLUMNS($AD$1006:AM1006),$AD$1006:$AU$1006,0)))),"Fix")))</f>
        <v xml:space="preserve"> </v>
      </c>
      <c r="L416" s="4" t="str">
        <f ca="1">IF(OR(INDEX($X$2:$X$1001,MATCH(ROWS($W$2:W416),$W$2:$W$1001,0),1)&gt;=100000,INDEX($AD$1005:$AU$1005,1,MATCH(COLUMNS($AD$1006:AN1006),$AD$1006:$AU$1006,0))&gt;=100000), " ",IF(INDEX($AD$2:$AU$1001,MATCH(ROWS($W$2:W416),$W$2:$W$1001,0),MATCH(COLUMNS($AD$1006:AN1006),$AD$1006:$AU$1006,0)), HYPERLINK("#",""), HYPERLINK(CONCATENATE("#metadata!", ADDRESS(INDEX($Y$2:$Y$1001,MATCH(ROWS($W$2:W416),$W$2:$W$1001,0),0), INDEX($AD$1004:$AU$1004,1,MATCH(COLUMNS($AD$1006:AN1006),$AD$1006:$AU$1006,0)))),"Fix")))</f>
        <v xml:space="preserve"> </v>
      </c>
      <c r="M416" s="4" t="str">
        <f ca="1">IF(OR(INDEX($X$2:$X$1001,MATCH(ROWS($W$2:W416),$W$2:$W$1001,0),1)&gt;=100000,INDEX($AD$1005:$AU$1005,1,MATCH(COLUMNS($AD$1006:AO1006),$AD$1006:$AU$1006,0))&gt;=100000), " ",IF(INDEX($AD$2:$AU$1001,MATCH(ROWS($W$2:W416),$W$2:$W$1001,0),MATCH(COLUMNS($AD$1006:AO1006),$AD$1006:$AU$1006,0)), HYPERLINK("#",""), HYPERLINK(CONCATENATE("#metadata!", ADDRESS(INDEX($Y$2:$Y$1001,MATCH(ROWS($W$2:W416),$W$2:$W$1001,0),0), INDEX($AD$1004:$AU$1004,1,MATCH(COLUMNS($AD$1006:AO1006),$AD$1006:$AU$1006,0)))),"Fix")))</f>
        <v xml:space="preserve"> </v>
      </c>
      <c r="N416" s="4" t="str">
        <f ca="1">IF(OR(INDEX($X$2:$X$1001,MATCH(ROWS($W$2:W416),$W$2:$W$1001,0),1)&gt;=100000,INDEX($AD$1005:$AU$1005,1,MATCH(COLUMNS($AD$1006:AP1006),$AD$1006:$AU$1006,0))&gt;=100000), " ",IF(INDEX($AD$2:$AU$1001,MATCH(ROWS($W$2:W416),$W$2:$W$1001,0),MATCH(COLUMNS($AD$1006:AP1006),$AD$1006:$AU$1006,0)), HYPERLINK("#",""), HYPERLINK(CONCATENATE("#metadata!", ADDRESS(INDEX($Y$2:$Y$1001,MATCH(ROWS($W$2:W416),$W$2:$W$1001,0),0), INDEX($AD$1004:$AU$1004,1,MATCH(COLUMNS($AD$1006:AP1006),$AD$1006:$AU$1006,0)))),"Fix")))</f>
        <v xml:space="preserve"> </v>
      </c>
      <c r="O416" s="4" t="str">
        <f ca="1">IF(OR(INDEX($X$2:$X$1001,MATCH(ROWS($W$2:W416),$W$2:$W$1001,0),1)&gt;=100000,INDEX($AD$1005:$AU$1005,1,MATCH(COLUMNS($AD$1006:AQ1006),$AD$1006:$AU$1006,0))&gt;=100000), " ",IF(INDEX($AD$2:$AU$1001,MATCH(ROWS($W$2:W416),$W$2:$W$1001,0),MATCH(COLUMNS($AD$1006:AQ1006),$AD$1006:$AU$1006,0)), HYPERLINK("#",""), HYPERLINK(CONCATENATE("#metadata!", ADDRESS(INDEX($Y$2:$Y$1001,MATCH(ROWS($W$2:W416),$W$2:$W$1001,0),0), INDEX($AD$1004:$AU$1004,1,MATCH(COLUMNS($AD$1006:AQ1006),$AD$1006:$AU$1006,0)))),"Fix")))</f>
        <v xml:space="preserve"> </v>
      </c>
      <c r="P416" s="4" t="str">
        <f ca="1">IF(OR(INDEX($X$2:$X$1001,MATCH(ROWS($W$2:W416),$W$2:$W$1001,0),1)&gt;=100000,INDEX($AD$1005:$AU$1005,1,MATCH(COLUMNS($AD$1006:AR1006),$AD$1006:$AU$1006,0))&gt;=100000), " ",IF(INDEX($AD$2:$AU$1001,MATCH(ROWS($W$2:W416),$W$2:$W$1001,0),MATCH(COLUMNS($AD$1006:AR1006),$AD$1006:$AU$1006,0)), HYPERLINK("#",""), HYPERLINK(CONCATENATE("#metadata!", ADDRESS(INDEX($Y$2:$Y$1001,MATCH(ROWS($W$2:W416),$W$2:$W$1001,0),0), INDEX($AD$1004:$AU$1004,1,MATCH(COLUMNS($AD$1006:AR1006),$AD$1006:$AU$1006,0)))),"Fix")))</f>
        <v xml:space="preserve"> </v>
      </c>
      <c r="Q416" s="4" t="str">
        <f ca="1">IF(OR(INDEX($X$2:$X$1001,MATCH(ROWS($W$2:W416),$W$2:$W$1001,0),1)&gt;=100000,INDEX($AD$1005:$AU$1005,1,MATCH(COLUMNS($AD$1006:AS1006),$AD$1006:$AU$1006,0))&gt;=100000), " ",IF(INDEX($AD$2:$AU$1001,MATCH(ROWS($W$2:W416),$W$2:$W$1001,0),MATCH(COLUMNS($AD$1006:AS1006),$AD$1006:$AU$1006,0)), HYPERLINK("#",""), HYPERLINK(CONCATENATE("#metadata!", ADDRESS(INDEX($Y$2:$Y$1001,MATCH(ROWS($W$2:W416),$W$2:$W$1001,0),0), INDEX($AD$1004:$AU$1004,1,MATCH(COLUMNS($AD$1006:AS1006),$AD$1006:$AU$1006,0)))),"Fix")))</f>
        <v xml:space="preserve"> </v>
      </c>
      <c r="R416" s="4" t="str">
        <f ca="1">IF(OR(INDEX($X$2:$X$1001,MATCH(ROWS($W$2:W416),$W$2:$W$1001,0),1)&gt;=100000,INDEX($AD$1005:$AU$1005,1,MATCH(COLUMNS($AD$1006:AT1006),$AD$1006:$AU$1006,0))&gt;=100000), " ",IF(INDEX($AD$2:$AU$1001,MATCH(ROWS($W$2:W416),$W$2:$W$1001,0),MATCH(COLUMNS($AD$1006:AT1006),$AD$1006:$AU$1006,0)), HYPERLINK("#",""), HYPERLINK(CONCATENATE("#metadata!", ADDRESS(INDEX($Y$2:$Y$1001,MATCH(ROWS($W$2:W416),$W$2:$W$1001,0),0), INDEX($AD$1004:$AU$1004,1,MATCH(COLUMNS($AD$1006:AT1006),$AD$1006:$AU$1006,0)))),"Fix")))</f>
        <v xml:space="preserve"> </v>
      </c>
      <c r="S416" s="4" t="str">
        <f ca="1">IF(OR(INDEX($X$2:$X$1001,MATCH(ROWS($W$2:W416),$W$2:$W$1001,0),1)&gt;=100000,INDEX($AD$1005:$AU$1005,1,MATCH(COLUMNS($AD$1006:AU1006),$AD$1006:$AU$1006,0))&gt;=100000), " ",IF(INDEX($AD$2:$AU$1001,MATCH(ROWS($W$2:W416),$W$2:$W$1001,0),MATCH(COLUMNS($AD$1006:AU1006),$AD$1006:$AU$1006,0)), HYPERLINK("#",""), HYPERLINK(CONCATENATE("#metadata!", ADDRESS(INDEX($Y$2:$Y$1001,MATCH(ROWS($W$2:W416),$W$2:$W$1001,0),0), INDEX($AD$1004:$AU$1004,1,MATCH(COLUMNS($AD$1006:AU1006),$AD$1006:$AU$1006,0)))),"Fix")))</f>
        <v xml:space="preserve"> </v>
      </c>
      <c r="W416">
        <v>415</v>
      </c>
      <c r="X416">
        <v>100416</v>
      </c>
      <c r="Y416">
        <v>416</v>
      </c>
      <c r="Z416" t="b">
        <f t="shared" si="6"/>
        <v>1</v>
      </c>
      <c r="AA416" t="b">
        <f>COUNTBLANK(metadata!B416:S416)=COLUMNS(metadata!B416:S416)</f>
        <v>1</v>
      </c>
      <c r="AB416" t="str">
        <v/>
      </c>
      <c r="AD416" t="b">
        <f ca="1">AND(IF(metadata!B416="",FALSE,TRUE),COUNTIF(metadata!B:B, metadata!B416) = 1,NOT(ISERROR(SUMPRODUCT(SEARCH(MID(metadata!B416,ROW(INDIRECT("1:"&amp;LEN(metadata!B416))), 1),"0123456789abcdefghijklmnopqrstuvwxyzABCDEFGHIJKLMNOPQRSTUVWXYZ.")))))</f>
        <v>0</v>
      </c>
      <c r="AE416" t="b">
        <f>OR(AND(IF(metadata!C416="",FALSE,TRUE),OR(EXACT(metadata!C416,"not applicable"),EXACT(metadata!C416,"missing: not collected"),EXACT(metadata!C416,"missing: not provided"),EXACT(metadata!C416,"missing: restricted access"))),AND(IF(metadata!C416="",FALSE,ISNUMBER(VALUE(metadata!C416))),metadata!C416&gt;0))</f>
        <v>0</v>
      </c>
      <c r="AF416" t="b">
        <f>AND(IF(metadata!D416="",FALSE,TRUE),EXACT(metadata!D416,"missing: not provided"))</f>
        <v>0</v>
      </c>
      <c r="AG416" t="b">
        <f>AND(IF(metadata!E416="",FALSE,TRUE),EXACT(metadata!E416,"Host-associated"))</f>
        <v>0</v>
      </c>
      <c r="AH416" t="b">
        <f>AND(IF(metadata!F416="",FALSE,TRUE),OR(EXACT(metadata!F416,"Animal"),EXACT(metadata!F416,"Fungus"),EXACT(metadata!F416,"Plant")))</f>
        <v>0</v>
      </c>
      <c r="AI416" t="b">
        <f>AND(IF(metadata!G416="",FALSE,TRUE),OR(EXACT(metadata!G416,"Plant secretion"),EXACT(metadata!G416,"Plant rhizosphere"),EXACT(metadata!G416,"Plant surface"),EXACT(metadata!G416,"Plant corpus"),EXACT(metadata!G416,"Fungus surface"),EXACT(metadata!G416,"Fungus corpus"),EXACT(metadata!G416,"Animal surface"),EXACT(metadata!G416,"Animal proximal gut"),EXACT(metadata!G416,"Animal corpus"),EXACT(metadata!G416,"Animal distal gut"),EXACT(metadata!G416,"Animal secretion")))</f>
        <v>0</v>
      </c>
      <c r="AJ416" t="b">
        <f>OR(AND(IF(metadata!H416="",FALSE,TRUE),OR(EXACT(metadata!H416,"missing: not collected"),EXACT(metadata!H416,"missing: not provided"),EXACT(metadata!H416,"missing: restricted access"))),AND(IF(metadata!H416="",FALSE,TRUE),OR(EXACT(metadata!H416,"organism-associated habitat"),EXACT(metadata!H416,"plant-associated habitat"),EXACT(metadata!H416,"animal-associated habitat"),EXACT(metadata!H416,"insecta-associated habitat"),EXACT(metadata!H416,"mammalia-associated habitat"),EXACT(metadata!H416,"human-associated habitat"),EXACT(metadata!H416,"livestock-associated habitat"))))</f>
        <v>0</v>
      </c>
      <c r="AK416" t="b">
        <f>AND(IF(metadata!I416="",FALSE,TRUE),EXACT(metadata!I416,"host-associated"))</f>
        <v>0</v>
      </c>
      <c r="AL416" t="b">
        <f>OR(AND(IF(metadata!J416="",FALSE,TRUE),OR(EXACT(metadata!J416,"not applicable"),EXACT(metadata!J416,"missing: not collected"),EXACT(metadata!J416,"missing: not provided"),EXACT(metadata!J416,"missing: restricted access"))),AND(IF(metadata!J416="",FALSE,ISNUMBER(VALUE(metadata!J416))),metadata!J416&gt;0))</f>
        <v>0</v>
      </c>
      <c r="AM416" t="b">
        <f>AND(IF(metadata!K416="",FALSE,TRUE),EXACT(metadata!K416,"missing: not provided"))</f>
        <v>0</v>
      </c>
      <c r="AN416" t="b">
        <f>IF(metadata!L416="",FALSE,TRUE)</f>
        <v>0</v>
      </c>
      <c r="AO416" t="b">
        <f>IF(metadata!M416="",FALSE,TRUE)</f>
        <v>0</v>
      </c>
      <c r="AP416" t="b">
        <f>OR(AND(IF(metadata!N416="",FALSE,TRUE),OR(EXACT(metadata!N416,"not applicable"),EXACT(metadata!N416,"missing: not collected"),EXACT(metadata!N416,"missing: not provided"))),AND(IF(metadata!N416="",FALSE,IF(ISERROR(INT(metadata!N416)),FALSE,INT(metadata!N416)=metadata!N416)),metadata!N416&gt;0))</f>
        <v>0</v>
      </c>
      <c r="AQ416" t="b">
        <f>AND(IF(metadata!O416="",FALSE,TRUE),EXACT(metadata!O416,"Not applicable"))</f>
        <v>0</v>
      </c>
      <c r="AR416" t="b">
        <f>OR(AND(IF(metadata!P416="",FALSE,TRUE),OR(EXACT(metadata!P416,"not applicable"),EXACT(metadata!P416,"missing: not collected"),EXACT(metadata!P416,"missing: not provided"),EXACT(metadata!P416,"missing: restricted access"))),IF(metadata!P416="",FALSE,IF(ISERROR(INT(metadata!P416)),FALSE,INT(metadata!P416)=metadata!P416)))</f>
        <v>0</v>
      </c>
      <c r="AS416" t="b">
        <f>AND(IF(metadata!Q416="",FALSE,TRUE),EXACT(metadata!Q416,"Not applicable"))</f>
        <v>0</v>
      </c>
      <c r="AT416" t="b">
        <f>OR(AND(IF(metadata!R416="",FALSE,TRUE),OR(EXACT(metadata!R416,"not applicable"),EXACT(metadata!R416,"missing: not collected"),EXACT(metadata!R416,"missing: not provided"),EXACT(metadata!R416,"missing: restricted access"))),AND(IF(metadata!R416="",FALSE,ISNUMBER(VALUE(metadata!R416))),metadata!R416&gt;0))</f>
        <v>0</v>
      </c>
      <c r="AU416" t="b">
        <f>AND(IF(metadata!S416="",FALSE,TRUE),EXACT(metadata!S416,"missing: not provided"))</f>
        <v>0</v>
      </c>
    </row>
    <row r="417" spans="1:47" x14ac:dyDescent="0.2">
      <c r="A417" s="5" t="str">
        <f ca="1">IF(B417=" "," ",HYPERLINK(CONCATENATE("#metadata!",ADDRESS(INDEX($Y$2:$Y$1001,MATCH(ROWS($W$2:W417),$W$2:$W$1001,0),0),1)),INDEX($AB$2:$AB$1001,MATCH(ROWS($W$2:W417),$W$2:$W$1001,0),0)))</f>
        <v xml:space="preserve"> </v>
      </c>
      <c r="B417" s="4" t="str">
        <f ca="1">IF(OR(INDEX($X$2:$X$1001,MATCH(ROWS($W$2:W417),$W$2:$W$1001,0),1)&gt;=100000,INDEX($AD$1005:$AU$1005,1,MATCH(COLUMNS($AD$1006:AD1006),$AD$1006:$AU$1006,0))&gt;=100000), " ",IF(INDEX($AD$2:$AU$1001,MATCH(ROWS($W$2:W417),$W$2:$W$1001,0),MATCH(COLUMNS($AD$1006:AD1006),$AD$1006:$AU$1006,0)), HYPERLINK("#",""), HYPERLINK(CONCATENATE("#metadata!", ADDRESS(INDEX($Y$2:$Y$1001,MATCH(ROWS($W$2:W417),$W$2:$W$1001,0),0), INDEX($AD$1004:$AU$1004,1,MATCH(COLUMNS($AD$1006:AD1006),$AD$1006:$AU$1006,0)))),"Fix")))</f>
        <v xml:space="preserve"> </v>
      </c>
      <c r="C417" s="4" t="str">
        <f ca="1">IF(OR(INDEX($X$2:$X$1001,MATCH(ROWS($W$2:W417),$W$2:$W$1001,0),1)&gt;=100000,INDEX($AD$1005:$AU$1005,1,MATCH(COLUMNS($AD$1006:AE1006),$AD$1006:$AU$1006,0))&gt;=100000), " ",IF(INDEX($AD$2:$AU$1001,MATCH(ROWS($W$2:W417),$W$2:$W$1001,0),MATCH(COLUMNS($AD$1006:AE1006),$AD$1006:$AU$1006,0)), HYPERLINK("#",""), HYPERLINK(CONCATENATE("#metadata!", ADDRESS(INDEX($Y$2:$Y$1001,MATCH(ROWS($W$2:W417),$W$2:$W$1001,0),0), INDEX($AD$1004:$AU$1004,1,MATCH(COLUMNS($AD$1006:AE1006),$AD$1006:$AU$1006,0)))),"Fix")))</f>
        <v xml:space="preserve"> </v>
      </c>
      <c r="D417" s="4" t="str">
        <f ca="1">IF(OR(INDEX($X$2:$X$1001,MATCH(ROWS($W$2:W417),$W$2:$W$1001,0),1)&gt;=100000,INDEX($AD$1005:$AU$1005,1,MATCH(COLUMNS($AD$1006:AF1006),$AD$1006:$AU$1006,0))&gt;=100000), " ",IF(INDEX($AD$2:$AU$1001,MATCH(ROWS($W$2:W417),$W$2:$W$1001,0),MATCH(COLUMNS($AD$1006:AF1006),$AD$1006:$AU$1006,0)), HYPERLINK("#",""), HYPERLINK(CONCATENATE("#metadata!", ADDRESS(INDEX($Y$2:$Y$1001,MATCH(ROWS($W$2:W417),$W$2:$W$1001,0),0), INDEX($AD$1004:$AU$1004,1,MATCH(COLUMNS($AD$1006:AF1006),$AD$1006:$AU$1006,0)))),"Fix")))</f>
        <v xml:space="preserve"> </v>
      </c>
      <c r="E417" s="4" t="str">
        <f ca="1">IF(OR(INDEX($X$2:$X$1001,MATCH(ROWS($W$2:W417),$W$2:$W$1001,0),1)&gt;=100000,INDEX($AD$1005:$AU$1005,1,MATCH(COLUMNS($AD$1006:AG1006),$AD$1006:$AU$1006,0))&gt;=100000), " ",IF(INDEX($AD$2:$AU$1001,MATCH(ROWS($W$2:W417),$W$2:$W$1001,0),MATCH(COLUMNS($AD$1006:AG1006),$AD$1006:$AU$1006,0)), HYPERLINK("#",""), HYPERLINK(CONCATENATE("#metadata!", ADDRESS(INDEX($Y$2:$Y$1001,MATCH(ROWS($W$2:W417),$W$2:$W$1001,0),0), INDEX($AD$1004:$AU$1004,1,MATCH(COLUMNS($AD$1006:AG1006),$AD$1006:$AU$1006,0)))),"Fix")))</f>
        <v xml:space="preserve"> </v>
      </c>
      <c r="F417" s="4" t="str">
        <f ca="1">IF(OR(INDEX($X$2:$X$1001,MATCH(ROWS($W$2:W417),$W$2:$W$1001,0),1)&gt;=100000,INDEX($AD$1005:$AU$1005,1,MATCH(COLUMNS($AD$1006:AH1006),$AD$1006:$AU$1006,0))&gt;=100000), " ",IF(INDEX($AD$2:$AU$1001,MATCH(ROWS($W$2:W417),$W$2:$W$1001,0),MATCH(COLUMNS($AD$1006:AH1006),$AD$1006:$AU$1006,0)), HYPERLINK("#",""), HYPERLINK(CONCATENATE("#metadata!", ADDRESS(INDEX($Y$2:$Y$1001,MATCH(ROWS($W$2:W417),$W$2:$W$1001,0),0), INDEX($AD$1004:$AU$1004,1,MATCH(COLUMNS($AD$1006:AH1006),$AD$1006:$AU$1006,0)))),"Fix")))</f>
        <v xml:space="preserve"> </v>
      </c>
      <c r="G417" s="4" t="str">
        <f ca="1">IF(OR(INDEX($X$2:$X$1001,MATCH(ROWS($W$2:W417),$W$2:$W$1001,0),1)&gt;=100000,INDEX($AD$1005:$AU$1005,1,MATCH(COLUMNS($AD$1006:AI1006),$AD$1006:$AU$1006,0))&gt;=100000), " ",IF(INDEX($AD$2:$AU$1001,MATCH(ROWS($W$2:W417),$W$2:$W$1001,0),MATCH(COLUMNS($AD$1006:AI1006),$AD$1006:$AU$1006,0)), HYPERLINK("#",""), HYPERLINK(CONCATENATE("#metadata!", ADDRESS(INDEX($Y$2:$Y$1001,MATCH(ROWS($W$2:W417),$W$2:$W$1001,0),0), INDEX($AD$1004:$AU$1004,1,MATCH(COLUMNS($AD$1006:AI1006),$AD$1006:$AU$1006,0)))),"Fix")))</f>
        <v xml:space="preserve"> </v>
      </c>
      <c r="H417" s="4" t="str">
        <f ca="1">IF(OR(INDEX($X$2:$X$1001,MATCH(ROWS($W$2:W417),$W$2:$W$1001,0),1)&gt;=100000,INDEX($AD$1005:$AU$1005,1,MATCH(COLUMNS($AD$1006:AJ1006),$AD$1006:$AU$1006,0))&gt;=100000), " ",IF(INDEX($AD$2:$AU$1001,MATCH(ROWS($W$2:W417),$W$2:$W$1001,0),MATCH(COLUMNS($AD$1006:AJ1006),$AD$1006:$AU$1006,0)), HYPERLINK("#",""), HYPERLINK(CONCATENATE("#metadata!", ADDRESS(INDEX($Y$2:$Y$1001,MATCH(ROWS($W$2:W417),$W$2:$W$1001,0),0), INDEX($AD$1004:$AU$1004,1,MATCH(COLUMNS($AD$1006:AJ1006),$AD$1006:$AU$1006,0)))),"Fix")))</f>
        <v xml:space="preserve"> </v>
      </c>
      <c r="I417" s="4" t="str">
        <f ca="1">IF(OR(INDEX($X$2:$X$1001,MATCH(ROWS($W$2:W417),$W$2:$W$1001,0),1)&gt;=100000,INDEX($AD$1005:$AU$1005,1,MATCH(COLUMNS($AD$1006:AK1006),$AD$1006:$AU$1006,0))&gt;=100000), " ",IF(INDEX($AD$2:$AU$1001,MATCH(ROWS($W$2:W417),$W$2:$W$1001,0),MATCH(COLUMNS($AD$1006:AK1006),$AD$1006:$AU$1006,0)), HYPERLINK("#",""), HYPERLINK(CONCATENATE("#metadata!", ADDRESS(INDEX($Y$2:$Y$1001,MATCH(ROWS($W$2:W417),$W$2:$W$1001,0),0), INDEX($AD$1004:$AU$1004,1,MATCH(COLUMNS($AD$1006:AK1006),$AD$1006:$AU$1006,0)))),"Fix")))</f>
        <v xml:space="preserve"> </v>
      </c>
      <c r="J417" s="4" t="str">
        <f ca="1">IF(OR(INDEX($X$2:$X$1001,MATCH(ROWS($W$2:W417),$W$2:$W$1001,0),1)&gt;=100000,INDEX($AD$1005:$AU$1005,1,MATCH(COLUMNS($AD$1006:AL1006),$AD$1006:$AU$1006,0))&gt;=100000), " ",IF(INDEX($AD$2:$AU$1001,MATCH(ROWS($W$2:W417),$W$2:$W$1001,0),MATCH(COLUMNS($AD$1006:AL1006),$AD$1006:$AU$1006,0)), HYPERLINK("#",""), HYPERLINK(CONCATENATE("#metadata!", ADDRESS(INDEX($Y$2:$Y$1001,MATCH(ROWS($W$2:W417),$W$2:$W$1001,0),0), INDEX($AD$1004:$AU$1004,1,MATCH(COLUMNS($AD$1006:AL1006),$AD$1006:$AU$1006,0)))),"Fix")))</f>
        <v xml:space="preserve"> </v>
      </c>
      <c r="K417" s="4" t="str">
        <f ca="1">IF(OR(INDEX($X$2:$X$1001,MATCH(ROWS($W$2:W417),$W$2:$W$1001,0),1)&gt;=100000,INDEX($AD$1005:$AU$1005,1,MATCH(COLUMNS($AD$1006:AM1006),$AD$1006:$AU$1006,0))&gt;=100000), " ",IF(INDEX($AD$2:$AU$1001,MATCH(ROWS($W$2:W417),$W$2:$W$1001,0),MATCH(COLUMNS($AD$1006:AM1006),$AD$1006:$AU$1006,0)), HYPERLINK("#",""), HYPERLINK(CONCATENATE("#metadata!", ADDRESS(INDEX($Y$2:$Y$1001,MATCH(ROWS($W$2:W417),$W$2:$W$1001,0),0), INDEX($AD$1004:$AU$1004,1,MATCH(COLUMNS($AD$1006:AM1006),$AD$1006:$AU$1006,0)))),"Fix")))</f>
        <v xml:space="preserve"> </v>
      </c>
      <c r="L417" s="4" t="str">
        <f ca="1">IF(OR(INDEX($X$2:$X$1001,MATCH(ROWS($W$2:W417),$W$2:$W$1001,0),1)&gt;=100000,INDEX($AD$1005:$AU$1005,1,MATCH(COLUMNS($AD$1006:AN1006),$AD$1006:$AU$1006,0))&gt;=100000), " ",IF(INDEX($AD$2:$AU$1001,MATCH(ROWS($W$2:W417),$W$2:$W$1001,0),MATCH(COLUMNS($AD$1006:AN1006),$AD$1006:$AU$1006,0)), HYPERLINK("#",""), HYPERLINK(CONCATENATE("#metadata!", ADDRESS(INDEX($Y$2:$Y$1001,MATCH(ROWS($W$2:W417),$W$2:$W$1001,0),0), INDEX($AD$1004:$AU$1004,1,MATCH(COLUMNS($AD$1006:AN1006),$AD$1006:$AU$1006,0)))),"Fix")))</f>
        <v xml:space="preserve"> </v>
      </c>
      <c r="M417" s="4" t="str">
        <f ca="1">IF(OR(INDEX($X$2:$X$1001,MATCH(ROWS($W$2:W417),$W$2:$W$1001,0),1)&gt;=100000,INDEX($AD$1005:$AU$1005,1,MATCH(COLUMNS($AD$1006:AO1006),$AD$1006:$AU$1006,0))&gt;=100000), " ",IF(INDEX($AD$2:$AU$1001,MATCH(ROWS($W$2:W417),$W$2:$W$1001,0),MATCH(COLUMNS($AD$1006:AO1006),$AD$1006:$AU$1006,0)), HYPERLINK("#",""), HYPERLINK(CONCATENATE("#metadata!", ADDRESS(INDEX($Y$2:$Y$1001,MATCH(ROWS($W$2:W417),$W$2:$W$1001,0),0), INDEX($AD$1004:$AU$1004,1,MATCH(COLUMNS($AD$1006:AO1006),$AD$1006:$AU$1006,0)))),"Fix")))</f>
        <v xml:space="preserve"> </v>
      </c>
      <c r="N417" s="4" t="str">
        <f ca="1">IF(OR(INDEX($X$2:$X$1001,MATCH(ROWS($W$2:W417),$W$2:$W$1001,0),1)&gt;=100000,INDEX($AD$1005:$AU$1005,1,MATCH(COLUMNS($AD$1006:AP1006),$AD$1006:$AU$1006,0))&gt;=100000), " ",IF(INDEX($AD$2:$AU$1001,MATCH(ROWS($W$2:W417),$W$2:$W$1001,0),MATCH(COLUMNS($AD$1006:AP1006),$AD$1006:$AU$1006,0)), HYPERLINK("#",""), HYPERLINK(CONCATENATE("#metadata!", ADDRESS(INDEX($Y$2:$Y$1001,MATCH(ROWS($W$2:W417),$W$2:$W$1001,0),0), INDEX($AD$1004:$AU$1004,1,MATCH(COLUMNS($AD$1006:AP1006),$AD$1006:$AU$1006,0)))),"Fix")))</f>
        <v xml:space="preserve"> </v>
      </c>
      <c r="O417" s="4" t="str">
        <f ca="1">IF(OR(INDEX($X$2:$X$1001,MATCH(ROWS($W$2:W417),$W$2:$W$1001,0),1)&gt;=100000,INDEX($AD$1005:$AU$1005,1,MATCH(COLUMNS($AD$1006:AQ1006),$AD$1006:$AU$1006,0))&gt;=100000), " ",IF(INDEX($AD$2:$AU$1001,MATCH(ROWS($W$2:W417),$W$2:$W$1001,0),MATCH(COLUMNS($AD$1006:AQ1006),$AD$1006:$AU$1006,0)), HYPERLINK("#",""), HYPERLINK(CONCATENATE("#metadata!", ADDRESS(INDEX($Y$2:$Y$1001,MATCH(ROWS($W$2:W417),$W$2:$W$1001,0),0), INDEX($AD$1004:$AU$1004,1,MATCH(COLUMNS($AD$1006:AQ1006),$AD$1006:$AU$1006,0)))),"Fix")))</f>
        <v xml:space="preserve"> </v>
      </c>
      <c r="P417" s="4" t="str">
        <f ca="1">IF(OR(INDEX($X$2:$X$1001,MATCH(ROWS($W$2:W417),$W$2:$W$1001,0),1)&gt;=100000,INDEX($AD$1005:$AU$1005,1,MATCH(COLUMNS($AD$1006:AR1006),$AD$1006:$AU$1006,0))&gt;=100000), " ",IF(INDEX($AD$2:$AU$1001,MATCH(ROWS($W$2:W417),$W$2:$W$1001,0),MATCH(COLUMNS($AD$1006:AR1006),$AD$1006:$AU$1006,0)), HYPERLINK("#",""), HYPERLINK(CONCATENATE("#metadata!", ADDRESS(INDEX($Y$2:$Y$1001,MATCH(ROWS($W$2:W417),$W$2:$W$1001,0),0), INDEX($AD$1004:$AU$1004,1,MATCH(COLUMNS($AD$1006:AR1006),$AD$1006:$AU$1006,0)))),"Fix")))</f>
        <v xml:space="preserve"> </v>
      </c>
      <c r="Q417" s="4" t="str">
        <f ca="1">IF(OR(INDEX($X$2:$X$1001,MATCH(ROWS($W$2:W417),$W$2:$W$1001,0),1)&gt;=100000,INDEX($AD$1005:$AU$1005,1,MATCH(COLUMNS($AD$1006:AS1006),$AD$1006:$AU$1006,0))&gt;=100000), " ",IF(INDEX($AD$2:$AU$1001,MATCH(ROWS($W$2:W417),$W$2:$W$1001,0),MATCH(COLUMNS($AD$1006:AS1006),$AD$1006:$AU$1006,0)), HYPERLINK("#",""), HYPERLINK(CONCATENATE("#metadata!", ADDRESS(INDEX($Y$2:$Y$1001,MATCH(ROWS($W$2:W417),$W$2:$W$1001,0),0), INDEX($AD$1004:$AU$1004,1,MATCH(COLUMNS($AD$1006:AS1006),$AD$1006:$AU$1006,0)))),"Fix")))</f>
        <v xml:space="preserve"> </v>
      </c>
      <c r="R417" s="4" t="str">
        <f ca="1">IF(OR(INDEX($X$2:$X$1001,MATCH(ROWS($W$2:W417),$W$2:$W$1001,0),1)&gt;=100000,INDEX($AD$1005:$AU$1005,1,MATCH(COLUMNS($AD$1006:AT1006),$AD$1006:$AU$1006,0))&gt;=100000), " ",IF(INDEX($AD$2:$AU$1001,MATCH(ROWS($W$2:W417),$W$2:$W$1001,0),MATCH(COLUMNS($AD$1006:AT1006),$AD$1006:$AU$1006,0)), HYPERLINK("#",""), HYPERLINK(CONCATENATE("#metadata!", ADDRESS(INDEX($Y$2:$Y$1001,MATCH(ROWS($W$2:W417),$W$2:$W$1001,0),0), INDEX($AD$1004:$AU$1004,1,MATCH(COLUMNS($AD$1006:AT1006),$AD$1006:$AU$1006,0)))),"Fix")))</f>
        <v xml:space="preserve"> </v>
      </c>
      <c r="S417" s="4" t="str">
        <f ca="1">IF(OR(INDEX($X$2:$X$1001,MATCH(ROWS($W$2:W417),$W$2:$W$1001,0),1)&gt;=100000,INDEX($AD$1005:$AU$1005,1,MATCH(COLUMNS($AD$1006:AU1006),$AD$1006:$AU$1006,0))&gt;=100000), " ",IF(INDEX($AD$2:$AU$1001,MATCH(ROWS($W$2:W417),$W$2:$W$1001,0),MATCH(COLUMNS($AD$1006:AU1006),$AD$1006:$AU$1006,0)), HYPERLINK("#",""), HYPERLINK(CONCATENATE("#metadata!", ADDRESS(INDEX($Y$2:$Y$1001,MATCH(ROWS($W$2:W417),$W$2:$W$1001,0),0), INDEX($AD$1004:$AU$1004,1,MATCH(COLUMNS($AD$1006:AU1006),$AD$1006:$AU$1006,0)))),"Fix")))</f>
        <v xml:space="preserve"> </v>
      </c>
      <c r="W417">
        <v>416</v>
      </c>
      <c r="X417">
        <v>100417</v>
      </c>
      <c r="Y417">
        <v>417</v>
      </c>
      <c r="Z417" t="b">
        <f t="shared" si="6"/>
        <v>1</v>
      </c>
      <c r="AA417" t="b">
        <f>COUNTBLANK(metadata!B417:S417)=COLUMNS(metadata!B417:S417)</f>
        <v>1</v>
      </c>
      <c r="AB417" t="str">
        <v/>
      </c>
      <c r="AD417" t="b">
        <f ca="1">AND(IF(metadata!B417="",FALSE,TRUE),COUNTIF(metadata!B:B, metadata!B417) = 1,NOT(ISERROR(SUMPRODUCT(SEARCH(MID(metadata!B417,ROW(INDIRECT("1:"&amp;LEN(metadata!B417))), 1),"0123456789abcdefghijklmnopqrstuvwxyzABCDEFGHIJKLMNOPQRSTUVWXYZ.")))))</f>
        <v>0</v>
      </c>
      <c r="AE417" t="b">
        <f>OR(AND(IF(metadata!C417="",FALSE,TRUE),OR(EXACT(metadata!C417,"not applicable"),EXACT(metadata!C417,"missing: not collected"),EXACT(metadata!C417,"missing: not provided"),EXACT(metadata!C417,"missing: restricted access"))),AND(IF(metadata!C417="",FALSE,ISNUMBER(VALUE(metadata!C417))),metadata!C417&gt;0))</f>
        <v>0</v>
      </c>
      <c r="AF417" t="b">
        <f>AND(IF(metadata!D417="",FALSE,TRUE),EXACT(metadata!D417,"missing: not provided"))</f>
        <v>0</v>
      </c>
      <c r="AG417" t="b">
        <f>AND(IF(metadata!E417="",FALSE,TRUE),EXACT(metadata!E417,"Host-associated"))</f>
        <v>0</v>
      </c>
      <c r="AH417" t="b">
        <f>AND(IF(metadata!F417="",FALSE,TRUE),OR(EXACT(metadata!F417,"Animal"),EXACT(metadata!F417,"Fungus"),EXACT(metadata!F417,"Plant")))</f>
        <v>0</v>
      </c>
      <c r="AI417" t="b">
        <f>AND(IF(metadata!G417="",FALSE,TRUE),OR(EXACT(metadata!G417,"Plant secretion"),EXACT(metadata!G417,"Plant rhizosphere"),EXACT(metadata!G417,"Plant surface"),EXACT(metadata!G417,"Plant corpus"),EXACT(metadata!G417,"Fungus surface"),EXACT(metadata!G417,"Fungus corpus"),EXACT(metadata!G417,"Animal surface"),EXACT(metadata!G417,"Animal proximal gut"),EXACT(metadata!G417,"Animal corpus"),EXACT(metadata!G417,"Animal distal gut"),EXACT(metadata!G417,"Animal secretion")))</f>
        <v>0</v>
      </c>
      <c r="AJ417" t="b">
        <f>OR(AND(IF(metadata!H417="",FALSE,TRUE),OR(EXACT(metadata!H417,"missing: not collected"),EXACT(metadata!H417,"missing: not provided"),EXACT(metadata!H417,"missing: restricted access"))),AND(IF(metadata!H417="",FALSE,TRUE),OR(EXACT(metadata!H417,"organism-associated habitat"),EXACT(metadata!H417,"plant-associated habitat"),EXACT(metadata!H417,"animal-associated habitat"),EXACT(metadata!H417,"insecta-associated habitat"),EXACT(metadata!H417,"mammalia-associated habitat"),EXACT(metadata!H417,"human-associated habitat"),EXACT(metadata!H417,"livestock-associated habitat"))))</f>
        <v>0</v>
      </c>
      <c r="AK417" t="b">
        <f>AND(IF(metadata!I417="",FALSE,TRUE),EXACT(metadata!I417,"host-associated"))</f>
        <v>0</v>
      </c>
      <c r="AL417" t="b">
        <f>OR(AND(IF(metadata!J417="",FALSE,TRUE),OR(EXACT(metadata!J417,"not applicable"),EXACT(metadata!J417,"missing: not collected"),EXACT(metadata!J417,"missing: not provided"),EXACT(metadata!J417,"missing: restricted access"))),AND(IF(metadata!J417="",FALSE,ISNUMBER(VALUE(metadata!J417))),metadata!J417&gt;0))</f>
        <v>0</v>
      </c>
      <c r="AM417" t="b">
        <f>AND(IF(metadata!K417="",FALSE,TRUE),EXACT(metadata!K417,"missing: not provided"))</f>
        <v>0</v>
      </c>
      <c r="AN417" t="b">
        <f>IF(metadata!L417="",FALSE,TRUE)</f>
        <v>0</v>
      </c>
      <c r="AO417" t="b">
        <f>IF(metadata!M417="",FALSE,TRUE)</f>
        <v>0</v>
      </c>
      <c r="AP417" t="b">
        <f>OR(AND(IF(metadata!N417="",FALSE,TRUE),OR(EXACT(metadata!N417,"not applicable"),EXACT(metadata!N417,"missing: not collected"),EXACT(metadata!N417,"missing: not provided"))),AND(IF(metadata!N417="",FALSE,IF(ISERROR(INT(metadata!N417)),FALSE,INT(metadata!N417)=metadata!N417)),metadata!N417&gt;0))</f>
        <v>0</v>
      </c>
      <c r="AQ417" t="b">
        <f>AND(IF(metadata!O417="",FALSE,TRUE),EXACT(metadata!O417,"Not applicable"))</f>
        <v>0</v>
      </c>
      <c r="AR417" t="b">
        <f>OR(AND(IF(metadata!P417="",FALSE,TRUE),OR(EXACT(metadata!P417,"not applicable"),EXACT(metadata!P417,"missing: not collected"),EXACT(metadata!P417,"missing: not provided"),EXACT(metadata!P417,"missing: restricted access"))),IF(metadata!P417="",FALSE,IF(ISERROR(INT(metadata!P417)),FALSE,INT(metadata!P417)=metadata!P417)))</f>
        <v>0</v>
      </c>
      <c r="AS417" t="b">
        <f>AND(IF(metadata!Q417="",FALSE,TRUE),EXACT(metadata!Q417,"Not applicable"))</f>
        <v>0</v>
      </c>
      <c r="AT417" t="b">
        <f>OR(AND(IF(metadata!R417="",FALSE,TRUE),OR(EXACT(metadata!R417,"not applicable"),EXACT(metadata!R417,"missing: not collected"),EXACT(metadata!R417,"missing: not provided"),EXACT(metadata!R417,"missing: restricted access"))),AND(IF(metadata!R417="",FALSE,ISNUMBER(VALUE(metadata!R417))),metadata!R417&gt;0))</f>
        <v>0</v>
      </c>
      <c r="AU417" t="b">
        <f>AND(IF(metadata!S417="",FALSE,TRUE),EXACT(metadata!S417,"missing: not provided"))</f>
        <v>0</v>
      </c>
    </row>
    <row r="418" spans="1:47" x14ac:dyDescent="0.2">
      <c r="A418" s="5" t="str">
        <f ca="1">IF(B418=" "," ",HYPERLINK(CONCATENATE("#metadata!",ADDRESS(INDEX($Y$2:$Y$1001,MATCH(ROWS($W$2:W418),$W$2:$W$1001,0),0),1)),INDEX($AB$2:$AB$1001,MATCH(ROWS($W$2:W418),$W$2:$W$1001,0),0)))</f>
        <v xml:space="preserve"> </v>
      </c>
      <c r="B418" s="4" t="str">
        <f ca="1">IF(OR(INDEX($X$2:$X$1001,MATCH(ROWS($W$2:W418),$W$2:$W$1001,0),1)&gt;=100000,INDEX($AD$1005:$AU$1005,1,MATCH(COLUMNS($AD$1006:AD1006),$AD$1006:$AU$1006,0))&gt;=100000), " ",IF(INDEX($AD$2:$AU$1001,MATCH(ROWS($W$2:W418),$W$2:$W$1001,0),MATCH(COLUMNS($AD$1006:AD1006),$AD$1006:$AU$1006,0)), HYPERLINK("#",""), HYPERLINK(CONCATENATE("#metadata!", ADDRESS(INDEX($Y$2:$Y$1001,MATCH(ROWS($W$2:W418),$W$2:$W$1001,0),0), INDEX($AD$1004:$AU$1004,1,MATCH(COLUMNS($AD$1006:AD1006),$AD$1006:$AU$1006,0)))),"Fix")))</f>
        <v xml:space="preserve"> </v>
      </c>
      <c r="C418" s="4" t="str">
        <f ca="1">IF(OR(INDEX($X$2:$X$1001,MATCH(ROWS($W$2:W418),$W$2:$W$1001,0),1)&gt;=100000,INDEX($AD$1005:$AU$1005,1,MATCH(COLUMNS($AD$1006:AE1006),$AD$1006:$AU$1006,0))&gt;=100000), " ",IF(INDEX($AD$2:$AU$1001,MATCH(ROWS($W$2:W418),$W$2:$W$1001,0),MATCH(COLUMNS($AD$1006:AE1006),$AD$1006:$AU$1006,0)), HYPERLINK("#",""), HYPERLINK(CONCATENATE("#metadata!", ADDRESS(INDEX($Y$2:$Y$1001,MATCH(ROWS($W$2:W418),$W$2:$W$1001,0),0), INDEX($AD$1004:$AU$1004,1,MATCH(COLUMNS($AD$1006:AE1006),$AD$1006:$AU$1006,0)))),"Fix")))</f>
        <v xml:space="preserve"> </v>
      </c>
      <c r="D418" s="4" t="str">
        <f ca="1">IF(OR(INDEX($X$2:$X$1001,MATCH(ROWS($W$2:W418),$W$2:$W$1001,0),1)&gt;=100000,INDEX($AD$1005:$AU$1005,1,MATCH(COLUMNS($AD$1006:AF1006),$AD$1006:$AU$1006,0))&gt;=100000), " ",IF(INDEX($AD$2:$AU$1001,MATCH(ROWS($W$2:W418),$W$2:$W$1001,0),MATCH(COLUMNS($AD$1006:AF1006),$AD$1006:$AU$1006,0)), HYPERLINK("#",""), HYPERLINK(CONCATENATE("#metadata!", ADDRESS(INDEX($Y$2:$Y$1001,MATCH(ROWS($W$2:W418),$W$2:$W$1001,0),0), INDEX($AD$1004:$AU$1004,1,MATCH(COLUMNS($AD$1006:AF1006),$AD$1006:$AU$1006,0)))),"Fix")))</f>
        <v xml:space="preserve"> </v>
      </c>
      <c r="E418" s="4" t="str">
        <f ca="1">IF(OR(INDEX($X$2:$X$1001,MATCH(ROWS($W$2:W418),$W$2:$W$1001,0),1)&gt;=100000,INDEX($AD$1005:$AU$1005,1,MATCH(COLUMNS($AD$1006:AG1006),$AD$1006:$AU$1006,0))&gt;=100000), " ",IF(INDEX($AD$2:$AU$1001,MATCH(ROWS($W$2:W418),$W$2:$W$1001,0),MATCH(COLUMNS($AD$1006:AG1006),$AD$1006:$AU$1006,0)), HYPERLINK("#",""), HYPERLINK(CONCATENATE("#metadata!", ADDRESS(INDEX($Y$2:$Y$1001,MATCH(ROWS($W$2:W418),$W$2:$W$1001,0),0), INDEX($AD$1004:$AU$1004,1,MATCH(COLUMNS($AD$1006:AG1006),$AD$1006:$AU$1006,0)))),"Fix")))</f>
        <v xml:space="preserve"> </v>
      </c>
      <c r="F418" s="4" t="str">
        <f ca="1">IF(OR(INDEX($X$2:$X$1001,MATCH(ROWS($W$2:W418),$W$2:$W$1001,0),1)&gt;=100000,INDEX($AD$1005:$AU$1005,1,MATCH(COLUMNS($AD$1006:AH1006),$AD$1006:$AU$1006,0))&gt;=100000), " ",IF(INDEX($AD$2:$AU$1001,MATCH(ROWS($W$2:W418),$W$2:$W$1001,0),MATCH(COLUMNS($AD$1006:AH1006),$AD$1006:$AU$1006,0)), HYPERLINK("#",""), HYPERLINK(CONCATENATE("#metadata!", ADDRESS(INDEX($Y$2:$Y$1001,MATCH(ROWS($W$2:W418),$W$2:$W$1001,0),0), INDEX($AD$1004:$AU$1004,1,MATCH(COLUMNS($AD$1006:AH1006),$AD$1006:$AU$1006,0)))),"Fix")))</f>
        <v xml:space="preserve"> </v>
      </c>
      <c r="G418" s="4" t="str">
        <f ca="1">IF(OR(INDEX($X$2:$X$1001,MATCH(ROWS($W$2:W418),$W$2:$W$1001,0),1)&gt;=100000,INDEX($AD$1005:$AU$1005,1,MATCH(COLUMNS($AD$1006:AI1006),$AD$1006:$AU$1006,0))&gt;=100000), " ",IF(INDEX($AD$2:$AU$1001,MATCH(ROWS($W$2:W418),$W$2:$W$1001,0),MATCH(COLUMNS($AD$1006:AI1006),$AD$1006:$AU$1006,0)), HYPERLINK("#",""), HYPERLINK(CONCATENATE("#metadata!", ADDRESS(INDEX($Y$2:$Y$1001,MATCH(ROWS($W$2:W418),$W$2:$W$1001,0),0), INDEX($AD$1004:$AU$1004,1,MATCH(COLUMNS($AD$1006:AI1006),$AD$1006:$AU$1006,0)))),"Fix")))</f>
        <v xml:space="preserve"> </v>
      </c>
      <c r="H418" s="4" t="str">
        <f ca="1">IF(OR(INDEX($X$2:$X$1001,MATCH(ROWS($W$2:W418),$W$2:$W$1001,0),1)&gt;=100000,INDEX($AD$1005:$AU$1005,1,MATCH(COLUMNS($AD$1006:AJ1006),$AD$1006:$AU$1006,0))&gt;=100000), " ",IF(INDEX($AD$2:$AU$1001,MATCH(ROWS($W$2:W418),$W$2:$W$1001,0),MATCH(COLUMNS($AD$1006:AJ1006),$AD$1006:$AU$1006,0)), HYPERLINK("#",""), HYPERLINK(CONCATENATE("#metadata!", ADDRESS(INDEX($Y$2:$Y$1001,MATCH(ROWS($W$2:W418),$W$2:$W$1001,0),0), INDEX($AD$1004:$AU$1004,1,MATCH(COLUMNS($AD$1006:AJ1006),$AD$1006:$AU$1006,0)))),"Fix")))</f>
        <v xml:space="preserve"> </v>
      </c>
      <c r="I418" s="4" t="str">
        <f ca="1">IF(OR(INDEX($X$2:$X$1001,MATCH(ROWS($W$2:W418),$W$2:$W$1001,0),1)&gt;=100000,INDEX($AD$1005:$AU$1005,1,MATCH(COLUMNS($AD$1006:AK1006),$AD$1006:$AU$1006,0))&gt;=100000), " ",IF(INDEX($AD$2:$AU$1001,MATCH(ROWS($W$2:W418),$W$2:$W$1001,0),MATCH(COLUMNS($AD$1006:AK1006),$AD$1006:$AU$1006,0)), HYPERLINK("#",""), HYPERLINK(CONCATENATE("#metadata!", ADDRESS(INDEX($Y$2:$Y$1001,MATCH(ROWS($W$2:W418),$W$2:$W$1001,0),0), INDEX($AD$1004:$AU$1004,1,MATCH(COLUMNS($AD$1006:AK1006),$AD$1006:$AU$1006,0)))),"Fix")))</f>
        <v xml:space="preserve"> </v>
      </c>
      <c r="J418" s="4" t="str">
        <f ca="1">IF(OR(INDEX($X$2:$X$1001,MATCH(ROWS($W$2:W418),$W$2:$W$1001,0),1)&gt;=100000,INDEX($AD$1005:$AU$1005,1,MATCH(COLUMNS($AD$1006:AL1006),$AD$1006:$AU$1006,0))&gt;=100000), " ",IF(INDEX($AD$2:$AU$1001,MATCH(ROWS($W$2:W418),$W$2:$W$1001,0),MATCH(COLUMNS($AD$1006:AL1006),$AD$1006:$AU$1006,0)), HYPERLINK("#",""), HYPERLINK(CONCATENATE("#metadata!", ADDRESS(INDEX($Y$2:$Y$1001,MATCH(ROWS($W$2:W418),$W$2:$W$1001,0),0), INDEX($AD$1004:$AU$1004,1,MATCH(COLUMNS($AD$1006:AL1006),$AD$1006:$AU$1006,0)))),"Fix")))</f>
        <v xml:space="preserve"> </v>
      </c>
      <c r="K418" s="4" t="str">
        <f ca="1">IF(OR(INDEX($X$2:$X$1001,MATCH(ROWS($W$2:W418),$W$2:$W$1001,0),1)&gt;=100000,INDEX($AD$1005:$AU$1005,1,MATCH(COLUMNS($AD$1006:AM1006),$AD$1006:$AU$1006,0))&gt;=100000), " ",IF(INDEX($AD$2:$AU$1001,MATCH(ROWS($W$2:W418),$W$2:$W$1001,0),MATCH(COLUMNS($AD$1006:AM1006),$AD$1006:$AU$1006,0)), HYPERLINK("#",""), HYPERLINK(CONCATENATE("#metadata!", ADDRESS(INDEX($Y$2:$Y$1001,MATCH(ROWS($W$2:W418),$W$2:$W$1001,0),0), INDEX($AD$1004:$AU$1004,1,MATCH(COLUMNS($AD$1006:AM1006),$AD$1006:$AU$1006,0)))),"Fix")))</f>
        <v xml:space="preserve"> </v>
      </c>
      <c r="L418" s="4" t="str">
        <f ca="1">IF(OR(INDEX($X$2:$X$1001,MATCH(ROWS($W$2:W418),$W$2:$W$1001,0),1)&gt;=100000,INDEX($AD$1005:$AU$1005,1,MATCH(COLUMNS($AD$1006:AN1006),$AD$1006:$AU$1006,0))&gt;=100000), " ",IF(INDEX($AD$2:$AU$1001,MATCH(ROWS($W$2:W418),$W$2:$W$1001,0),MATCH(COLUMNS($AD$1006:AN1006),$AD$1006:$AU$1006,0)), HYPERLINK("#",""), HYPERLINK(CONCATENATE("#metadata!", ADDRESS(INDEX($Y$2:$Y$1001,MATCH(ROWS($W$2:W418),$W$2:$W$1001,0),0), INDEX($AD$1004:$AU$1004,1,MATCH(COLUMNS($AD$1006:AN1006),$AD$1006:$AU$1006,0)))),"Fix")))</f>
        <v xml:space="preserve"> </v>
      </c>
      <c r="M418" s="4" t="str">
        <f ca="1">IF(OR(INDEX($X$2:$X$1001,MATCH(ROWS($W$2:W418),$W$2:$W$1001,0),1)&gt;=100000,INDEX($AD$1005:$AU$1005,1,MATCH(COLUMNS($AD$1006:AO1006),$AD$1006:$AU$1006,0))&gt;=100000), " ",IF(INDEX($AD$2:$AU$1001,MATCH(ROWS($W$2:W418),$W$2:$W$1001,0),MATCH(COLUMNS($AD$1006:AO1006),$AD$1006:$AU$1006,0)), HYPERLINK("#",""), HYPERLINK(CONCATENATE("#metadata!", ADDRESS(INDEX($Y$2:$Y$1001,MATCH(ROWS($W$2:W418),$W$2:$W$1001,0),0), INDEX($AD$1004:$AU$1004,1,MATCH(COLUMNS($AD$1006:AO1006),$AD$1006:$AU$1006,0)))),"Fix")))</f>
        <v xml:space="preserve"> </v>
      </c>
      <c r="N418" s="4" t="str">
        <f ca="1">IF(OR(INDEX($X$2:$X$1001,MATCH(ROWS($W$2:W418),$W$2:$W$1001,0),1)&gt;=100000,INDEX($AD$1005:$AU$1005,1,MATCH(COLUMNS($AD$1006:AP1006),$AD$1006:$AU$1006,0))&gt;=100000), " ",IF(INDEX($AD$2:$AU$1001,MATCH(ROWS($W$2:W418),$W$2:$W$1001,0),MATCH(COLUMNS($AD$1006:AP1006),$AD$1006:$AU$1006,0)), HYPERLINK("#",""), HYPERLINK(CONCATENATE("#metadata!", ADDRESS(INDEX($Y$2:$Y$1001,MATCH(ROWS($W$2:W418),$W$2:$W$1001,0),0), INDEX($AD$1004:$AU$1004,1,MATCH(COLUMNS($AD$1006:AP1006),$AD$1006:$AU$1006,0)))),"Fix")))</f>
        <v xml:space="preserve"> </v>
      </c>
      <c r="O418" s="4" t="str">
        <f ca="1">IF(OR(INDEX($X$2:$X$1001,MATCH(ROWS($W$2:W418),$W$2:$W$1001,0),1)&gt;=100000,INDEX($AD$1005:$AU$1005,1,MATCH(COLUMNS($AD$1006:AQ1006),$AD$1006:$AU$1006,0))&gt;=100000), " ",IF(INDEX($AD$2:$AU$1001,MATCH(ROWS($W$2:W418),$W$2:$W$1001,0),MATCH(COLUMNS($AD$1006:AQ1006),$AD$1006:$AU$1006,0)), HYPERLINK("#",""), HYPERLINK(CONCATENATE("#metadata!", ADDRESS(INDEX($Y$2:$Y$1001,MATCH(ROWS($W$2:W418),$W$2:$W$1001,0),0), INDEX($AD$1004:$AU$1004,1,MATCH(COLUMNS($AD$1006:AQ1006),$AD$1006:$AU$1006,0)))),"Fix")))</f>
        <v xml:space="preserve"> </v>
      </c>
      <c r="P418" s="4" t="str">
        <f ca="1">IF(OR(INDEX($X$2:$X$1001,MATCH(ROWS($W$2:W418),$W$2:$W$1001,0),1)&gt;=100000,INDEX($AD$1005:$AU$1005,1,MATCH(COLUMNS($AD$1006:AR1006),$AD$1006:$AU$1006,0))&gt;=100000), " ",IF(INDEX($AD$2:$AU$1001,MATCH(ROWS($W$2:W418),$W$2:$W$1001,0),MATCH(COLUMNS($AD$1006:AR1006),$AD$1006:$AU$1006,0)), HYPERLINK("#",""), HYPERLINK(CONCATENATE("#metadata!", ADDRESS(INDEX($Y$2:$Y$1001,MATCH(ROWS($W$2:W418),$W$2:$W$1001,0),0), INDEX($AD$1004:$AU$1004,1,MATCH(COLUMNS($AD$1006:AR1006),$AD$1006:$AU$1006,0)))),"Fix")))</f>
        <v xml:space="preserve"> </v>
      </c>
      <c r="Q418" s="4" t="str">
        <f ca="1">IF(OR(INDEX($X$2:$X$1001,MATCH(ROWS($W$2:W418),$W$2:$W$1001,0),1)&gt;=100000,INDEX($AD$1005:$AU$1005,1,MATCH(COLUMNS($AD$1006:AS1006),$AD$1006:$AU$1006,0))&gt;=100000), " ",IF(INDEX($AD$2:$AU$1001,MATCH(ROWS($W$2:W418),$W$2:$W$1001,0),MATCH(COLUMNS($AD$1006:AS1006),$AD$1006:$AU$1006,0)), HYPERLINK("#",""), HYPERLINK(CONCATENATE("#metadata!", ADDRESS(INDEX($Y$2:$Y$1001,MATCH(ROWS($W$2:W418),$W$2:$W$1001,0),0), INDEX($AD$1004:$AU$1004,1,MATCH(COLUMNS($AD$1006:AS1006),$AD$1006:$AU$1006,0)))),"Fix")))</f>
        <v xml:space="preserve"> </v>
      </c>
      <c r="R418" s="4" t="str">
        <f ca="1">IF(OR(INDEX($X$2:$X$1001,MATCH(ROWS($W$2:W418),$W$2:$W$1001,0),1)&gt;=100000,INDEX($AD$1005:$AU$1005,1,MATCH(COLUMNS($AD$1006:AT1006),$AD$1006:$AU$1006,0))&gt;=100000), " ",IF(INDEX($AD$2:$AU$1001,MATCH(ROWS($W$2:W418),$W$2:$W$1001,0),MATCH(COLUMNS($AD$1006:AT1006),$AD$1006:$AU$1006,0)), HYPERLINK("#",""), HYPERLINK(CONCATENATE("#metadata!", ADDRESS(INDEX($Y$2:$Y$1001,MATCH(ROWS($W$2:W418),$W$2:$W$1001,0),0), INDEX($AD$1004:$AU$1004,1,MATCH(COLUMNS($AD$1006:AT1006),$AD$1006:$AU$1006,0)))),"Fix")))</f>
        <v xml:space="preserve"> </v>
      </c>
      <c r="S418" s="4" t="str">
        <f ca="1">IF(OR(INDEX($X$2:$X$1001,MATCH(ROWS($W$2:W418),$W$2:$W$1001,0),1)&gt;=100000,INDEX($AD$1005:$AU$1005,1,MATCH(COLUMNS($AD$1006:AU1006),$AD$1006:$AU$1006,0))&gt;=100000), " ",IF(INDEX($AD$2:$AU$1001,MATCH(ROWS($W$2:W418),$W$2:$W$1001,0),MATCH(COLUMNS($AD$1006:AU1006),$AD$1006:$AU$1006,0)), HYPERLINK("#",""), HYPERLINK(CONCATENATE("#metadata!", ADDRESS(INDEX($Y$2:$Y$1001,MATCH(ROWS($W$2:W418),$W$2:$W$1001,0),0), INDEX($AD$1004:$AU$1004,1,MATCH(COLUMNS($AD$1006:AU1006),$AD$1006:$AU$1006,0)))),"Fix")))</f>
        <v xml:space="preserve"> </v>
      </c>
      <c r="W418">
        <v>417</v>
      </c>
      <c r="X418">
        <v>100418</v>
      </c>
      <c r="Y418">
        <v>418</v>
      </c>
      <c r="Z418" t="b">
        <f t="shared" si="6"/>
        <v>1</v>
      </c>
      <c r="AA418" t="b">
        <f>COUNTBLANK(metadata!B418:S418)=COLUMNS(metadata!B418:S418)</f>
        <v>1</v>
      </c>
      <c r="AB418" t="str">
        <v/>
      </c>
      <c r="AD418" t="b">
        <f ca="1">AND(IF(metadata!B418="",FALSE,TRUE),COUNTIF(metadata!B:B, metadata!B418) = 1,NOT(ISERROR(SUMPRODUCT(SEARCH(MID(metadata!B418,ROW(INDIRECT("1:"&amp;LEN(metadata!B418))), 1),"0123456789abcdefghijklmnopqrstuvwxyzABCDEFGHIJKLMNOPQRSTUVWXYZ.")))))</f>
        <v>0</v>
      </c>
      <c r="AE418" t="b">
        <f>OR(AND(IF(metadata!C418="",FALSE,TRUE),OR(EXACT(metadata!C418,"not applicable"),EXACT(metadata!C418,"missing: not collected"),EXACT(metadata!C418,"missing: not provided"),EXACT(metadata!C418,"missing: restricted access"))),AND(IF(metadata!C418="",FALSE,ISNUMBER(VALUE(metadata!C418))),metadata!C418&gt;0))</f>
        <v>0</v>
      </c>
      <c r="AF418" t="b">
        <f>AND(IF(metadata!D418="",FALSE,TRUE),EXACT(metadata!D418,"missing: not provided"))</f>
        <v>0</v>
      </c>
      <c r="AG418" t="b">
        <f>AND(IF(metadata!E418="",FALSE,TRUE),EXACT(metadata!E418,"Host-associated"))</f>
        <v>0</v>
      </c>
      <c r="AH418" t="b">
        <f>AND(IF(metadata!F418="",FALSE,TRUE),OR(EXACT(metadata!F418,"Animal"),EXACT(metadata!F418,"Fungus"),EXACT(metadata!F418,"Plant")))</f>
        <v>0</v>
      </c>
      <c r="AI418" t="b">
        <f>AND(IF(metadata!G418="",FALSE,TRUE),OR(EXACT(metadata!G418,"Plant secretion"),EXACT(metadata!G418,"Plant rhizosphere"),EXACT(metadata!G418,"Plant surface"),EXACT(metadata!G418,"Plant corpus"),EXACT(metadata!G418,"Fungus surface"),EXACT(metadata!G418,"Fungus corpus"),EXACT(metadata!G418,"Animal surface"),EXACT(metadata!G418,"Animal proximal gut"),EXACT(metadata!G418,"Animal corpus"),EXACT(metadata!G418,"Animal distal gut"),EXACT(metadata!G418,"Animal secretion")))</f>
        <v>0</v>
      </c>
      <c r="AJ418" t="b">
        <f>OR(AND(IF(metadata!H418="",FALSE,TRUE),OR(EXACT(metadata!H418,"missing: not collected"),EXACT(metadata!H418,"missing: not provided"),EXACT(metadata!H418,"missing: restricted access"))),AND(IF(metadata!H418="",FALSE,TRUE),OR(EXACT(metadata!H418,"organism-associated habitat"),EXACT(metadata!H418,"plant-associated habitat"),EXACT(metadata!H418,"animal-associated habitat"),EXACT(metadata!H418,"insecta-associated habitat"),EXACT(metadata!H418,"mammalia-associated habitat"),EXACT(metadata!H418,"human-associated habitat"),EXACT(metadata!H418,"livestock-associated habitat"))))</f>
        <v>0</v>
      </c>
      <c r="AK418" t="b">
        <f>AND(IF(metadata!I418="",FALSE,TRUE),EXACT(metadata!I418,"host-associated"))</f>
        <v>0</v>
      </c>
      <c r="AL418" t="b">
        <f>OR(AND(IF(metadata!J418="",FALSE,TRUE),OR(EXACT(metadata!J418,"not applicable"),EXACT(metadata!J418,"missing: not collected"),EXACT(metadata!J418,"missing: not provided"),EXACT(metadata!J418,"missing: restricted access"))),AND(IF(metadata!J418="",FALSE,ISNUMBER(VALUE(metadata!J418))),metadata!J418&gt;0))</f>
        <v>0</v>
      </c>
      <c r="AM418" t="b">
        <f>AND(IF(metadata!K418="",FALSE,TRUE),EXACT(metadata!K418,"missing: not provided"))</f>
        <v>0</v>
      </c>
      <c r="AN418" t="b">
        <f>IF(metadata!L418="",FALSE,TRUE)</f>
        <v>0</v>
      </c>
      <c r="AO418" t="b">
        <f>IF(metadata!M418="",FALSE,TRUE)</f>
        <v>0</v>
      </c>
      <c r="AP418" t="b">
        <f>OR(AND(IF(metadata!N418="",FALSE,TRUE),OR(EXACT(metadata!N418,"not applicable"),EXACT(metadata!N418,"missing: not collected"),EXACT(metadata!N418,"missing: not provided"))),AND(IF(metadata!N418="",FALSE,IF(ISERROR(INT(metadata!N418)),FALSE,INT(metadata!N418)=metadata!N418)),metadata!N418&gt;0))</f>
        <v>0</v>
      </c>
      <c r="AQ418" t="b">
        <f>AND(IF(metadata!O418="",FALSE,TRUE),EXACT(metadata!O418,"Not applicable"))</f>
        <v>0</v>
      </c>
      <c r="AR418" t="b">
        <f>OR(AND(IF(metadata!P418="",FALSE,TRUE),OR(EXACT(metadata!P418,"not applicable"),EXACT(metadata!P418,"missing: not collected"),EXACT(metadata!P418,"missing: not provided"),EXACT(metadata!P418,"missing: restricted access"))),IF(metadata!P418="",FALSE,IF(ISERROR(INT(metadata!P418)),FALSE,INT(metadata!P418)=metadata!P418)))</f>
        <v>0</v>
      </c>
      <c r="AS418" t="b">
        <f>AND(IF(metadata!Q418="",FALSE,TRUE),EXACT(metadata!Q418,"Not applicable"))</f>
        <v>0</v>
      </c>
      <c r="AT418" t="b">
        <f>OR(AND(IF(metadata!R418="",FALSE,TRUE),OR(EXACT(metadata!R418,"not applicable"),EXACT(metadata!R418,"missing: not collected"),EXACT(metadata!R418,"missing: not provided"),EXACT(metadata!R418,"missing: restricted access"))),AND(IF(metadata!R418="",FALSE,ISNUMBER(VALUE(metadata!R418))),metadata!R418&gt;0))</f>
        <v>0</v>
      </c>
      <c r="AU418" t="b">
        <f>AND(IF(metadata!S418="",FALSE,TRUE),EXACT(metadata!S418,"missing: not provided"))</f>
        <v>0</v>
      </c>
    </row>
    <row r="419" spans="1:47" x14ac:dyDescent="0.2">
      <c r="A419" s="5" t="str">
        <f ca="1">IF(B419=" "," ",HYPERLINK(CONCATENATE("#metadata!",ADDRESS(INDEX($Y$2:$Y$1001,MATCH(ROWS($W$2:W419),$W$2:$W$1001,0),0),1)),INDEX($AB$2:$AB$1001,MATCH(ROWS($W$2:W419),$W$2:$W$1001,0),0)))</f>
        <v xml:space="preserve"> </v>
      </c>
      <c r="B419" s="4" t="str">
        <f ca="1">IF(OR(INDEX($X$2:$X$1001,MATCH(ROWS($W$2:W419),$W$2:$W$1001,0),1)&gt;=100000,INDEX($AD$1005:$AU$1005,1,MATCH(COLUMNS($AD$1006:AD1006),$AD$1006:$AU$1006,0))&gt;=100000), " ",IF(INDEX($AD$2:$AU$1001,MATCH(ROWS($W$2:W419),$W$2:$W$1001,0),MATCH(COLUMNS($AD$1006:AD1006),$AD$1006:$AU$1006,0)), HYPERLINK("#",""), HYPERLINK(CONCATENATE("#metadata!", ADDRESS(INDEX($Y$2:$Y$1001,MATCH(ROWS($W$2:W419),$W$2:$W$1001,0),0), INDEX($AD$1004:$AU$1004,1,MATCH(COLUMNS($AD$1006:AD1006),$AD$1006:$AU$1006,0)))),"Fix")))</f>
        <v xml:space="preserve"> </v>
      </c>
      <c r="C419" s="4" t="str">
        <f ca="1">IF(OR(INDEX($X$2:$X$1001,MATCH(ROWS($W$2:W419),$W$2:$W$1001,0),1)&gt;=100000,INDEX($AD$1005:$AU$1005,1,MATCH(COLUMNS($AD$1006:AE1006),$AD$1006:$AU$1006,0))&gt;=100000), " ",IF(INDEX($AD$2:$AU$1001,MATCH(ROWS($W$2:W419),$W$2:$W$1001,0),MATCH(COLUMNS($AD$1006:AE1006),$AD$1006:$AU$1006,0)), HYPERLINK("#",""), HYPERLINK(CONCATENATE("#metadata!", ADDRESS(INDEX($Y$2:$Y$1001,MATCH(ROWS($W$2:W419),$W$2:$W$1001,0),0), INDEX($AD$1004:$AU$1004,1,MATCH(COLUMNS($AD$1006:AE1006),$AD$1006:$AU$1006,0)))),"Fix")))</f>
        <v xml:space="preserve"> </v>
      </c>
      <c r="D419" s="4" t="str">
        <f ca="1">IF(OR(INDEX($X$2:$X$1001,MATCH(ROWS($W$2:W419),$W$2:$W$1001,0),1)&gt;=100000,INDEX($AD$1005:$AU$1005,1,MATCH(COLUMNS($AD$1006:AF1006),$AD$1006:$AU$1006,0))&gt;=100000), " ",IF(INDEX($AD$2:$AU$1001,MATCH(ROWS($W$2:W419),$W$2:$W$1001,0),MATCH(COLUMNS($AD$1006:AF1006),$AD$1006:$AU$1006,0)), HYPERLINK("#",""), HYPERLINK(CONCATENATE("#metadata!", ADDRESS(INDEX($Y$2:$Y$1001,MATCH(ROWS($W$2:W419),$W$2:$W$1001,0),0), INDEX($AD$1004:$AU$1004,1,MATCH(COLUMNS($AD$1006:AF1006),$AD$1006:$AU$1006,0)))),"Fix")))</f>
        <v xml:space="preserve"> </v>
      </c>
      <c r="E419" s="4" t="str">
        <f ca="1">IF(OR(INDEX($X$2:$X$1001,MATCH(ROWS($W$2:W419),$W$2:$W$1001,0),1)&gt;=100000,INDEX($AD$1005:$AU$1005,1,MATCH(COLUMNS($AD$1006:AG1006),$AD$1006:$AU$1006,0))&gt;=100000), " ",IF(INDEX($AD$2:$AU$1001,MATCH(ROWS($W$2:W419),$W$2:$W$1001,0),MATCH(COLUMNS($AD$1006:AG1006),$AD$1006:$AU$1006,0)), HYPERLINK("#",""), HYPERLINK(CONCATENATE("#metadata!", ADDRESS(INDEX($Y$2:$Y$1001,MATCH(ROWS($W$2:W419),$W$2:$W$1001,0),0), INDEX($AD$1004:$AU$1004,1,MATCH(COLUMNS($AD$1006:AG1006),$AD$1006:$AU$1006,0)))),"Fix")))</f>
        <v xml:space="preserve"> </v>
      </c>
      <c r="F419" s="4" t="str">
        <f ca="1">IF(OR(INDEX($X$2:$X$1001,MATCH(ROWS($W$2:W419),$W$2:$W$1001,0),1)&gt;=100000,INDEX($AD$1005:$AU$1005,1,MATCH(COLUMNS($AD$1006:AH1006),$AD$1006:$AU$1006,0))&gt;=100000), " ",IF(INDEX($AD$2:$AU$1001,MATCH(ROWS($W$2:W419),$W$2:$W$1001,0),MATCH(COLUMNS($AD$1006:AH1006),$AD$1006:$AU$1006,0)), HYPERLINK("#",""), HYPERLINK(CONCATENATE("#metadata!", ADDRESS(INDEX($Y$2:$Y$1001,MATCH(ROWS($W$2:W419),$W$2:$W$1001,0),0), INDEX($AD$1004:$AU$1004,1,MATCH(COLUMNS($AD$1006:AH1006),$AD$1006:$AU$1006,0)))),"Fix")))</f>
        <v xml:space="preserve"> </v>
      </c>
      <c r="G419" s="4" t="str">
        <f ca="1">IF(OR(INDEX($X$2:$X$1001,MATCH(ROWS($W$2:W419),$W$2:$W$1001,0),1)&gt;=100000,INDEX($AD$1005:$AU$1005,1,MATCH(COLUMNS($AD$1006:AI1006),$AD$1006:$AU$1006,0))&gt;=100000), " ",IF(INDEX($AD$2:$AU$1001,MATCH(ROWS($W$2:W419),$W$2:$W$1001,0),MATCH(COLUMNS($AD$1006:AI1006),$AD$1006:$AU$1006,0)), HYPERLINK("#",""), HYPERLINK(CONCATENATE("#metadata!", ADDRESS(INDEX($Y$2:$Y$1001,MATCH(ROWS($W$2:W419),$W$2:$W$1001,0),0), INDEX($AD$1004:$AU$1004,1,MATCH(COLUMNS($AD$1006:AI1006),$AD$1006:$AU$1006,0)))),"Fix")))</f>
        <v xml:space="preserve"> </v>
      </c>
      <c r="H419" s="4" t="str">
        <f ca="1">IF(OR(INDEX($X$2:$X$1001,MATCH(ROWS($W$2:W419),$W$2:$W$1001,0),1)&gt;=100000,INDEX($AD$1005:$AU$1005,1,MATCH(COLUMNS($AD$1006:AJ1006),$AD$1006:$AU$1006,0))&gt;=100000), " ",IF(INDEX($AD$2:$AU$1001,MATCH(ROWS($W$2:W419),$W$2:$W$1001,0),MATCH(COLUMNS($AD$1006:AJ1006),$AD$1006:$AU$1006,0)), HYPERLINK("#",""), HYPERLINK(CONCATENATE("#metadata!", ADDRESS(INDEX($Y$2:$Y$1001,MATCH(ROWS($W$2:W419),$W$2:$W$1001,0),0), INDEX($AD$1004:$AU$1004,1,MATCH(COLUMNS($AD$1006:AJ1006),$AD$1006:$AU$1006,0)))),"Fix")))</f>
        <v xml:space="preserve"> </v>
      </c>
      <c r="I419" s="4" t="str">
        <f ca="1">IF(OR(INDEX($X$2:$X$1001,MATCH(ROWS($W$2:W419),$W$2:$W$1001,0),1)&gt;=100000,INDEX($AD$1005:$AU$1005,1,MATCH(COLUMNS($AD$1006:AK1006),$AD$1006:$AU$1006,0))&gt;=100000), " ",IF(INDEX($AD$2:$AU$1001,MATCH(ROWS($W$2:W419),$W$2:$W$1001,0),MATCH(COLUMNS($AD$1006:AK1006),$AD$1006:$AU$1006,0)), HYPERLINK("#",""), HYPERLINK(CONCATENATE("#metadata!", ADDRESS(INDEX($Y$2:$Y$1001,MATCH(ROWS($W$2:W419),$W$2:$W$1001,0),0), INDEX($AD$1004:$AU$1004,1,MATCH(COLUMNS($AD$1006:AK1006),$AD$1006:$AU$1006,0)))),"Fix")))</f>
        <v xml:space="preserve"> </v>
      </c>
      <c r="J419" s="4" t="str">
        <f ca="1">IF(OR(INDEX($X$2:$X$1001,MATCH(ROWS($W$2:W419),$W$2:$W$1001,0),1)&gt;=100000,INDEX($AD$1005:$AU$1005,1,MATCH(COLUMNS($AD$1006:AL1006),$AD$1006:$AU$1006,0))&gt;=100000), " ",IF(INDEX($AD$2:$AU$1001,MATCH(ROWS($W$2:W419),$W$2:$W$1001,0),MATCH(COLUMNS($AD$1006:AL1006),$AD$1006:$AU$1006,0)), HYPERLINK("#",""), HYPERLINK(CONCATENATE("#metadata!", ADDRESS(INDEX($Y$2:$Y$1001,MATCH(ROWS($W$2:W419),$W$2:$W$1001,0),0), INDEX($AD$1004:$AU$1004,1,MATCH(COLUMNS($AD$1006:AL1006),$AD$1006:$AU$1006,0)))),"Fix")))</f>
        <v xml:space="preserve"> </v>
      </c>
      <c r="K419" s="4" t="str">
        <f ca="1">IF(OR(INDEX($X$2:$X$1001,MATCH(ROWS($W$2:W419),$W$2:$W$1001,0),1)&gt;=100000,INDEX($AD$1005:$AU$1005,1,MATCH(COLUMNS($AD$1006:AM1006),$AD$1006:$AU$1006,0))&gt;=100000), " ",IF(INDEX($AD$2:$AU$1001,MATCH(ROWS($W$2:W419),$W$2:$W$1001,0),MATCH(COLUMNS($AD$1006:AM1006),$AD$1006:$AU$1006,0)), HYPERLINK("#",""), HYPERLINK(CONCATENATE("#metadata!", ADDRESS(INDEX($Y$2:$Y$1001,MATCH(ROWS($W$2:W419),$W$2:$W$1001,0),0), INDEX($AD$1004:$AU$1004,1,MATCH(COLUMNS($AD$1006:AM1006),$AD$1006:$AU$1006,0)))),"Fix")))</f>
        <v xml:space="preserve"> </v>
      </c>
      <c r="L419" s="4" t="str">
        <f ca="1">IF(OR(INDEX($X$2:$X$1001,MATCH(ROWS($W$2:W419),$W$2:$W$1001,0),1)&gt;=100000,INDEX($AD$1005:$AU$1005,1,MATCH(COLUMNS($AD$1006:AN1006),$AD$1006:$AU$1006,0))&gt;=100000), " ",IF(INDEX($AD$2:$AU$1001,MATCH(ROWS($W$2:W419),$W$2:$W$1001,0),MATCH(COLUMNS($AD$1006:AN1006),$AD$1006:$AU$1006,0)), HYPERLINK("#",""), HYPERLINK(CONCATENATE("#metadata!", ADDRESS(INDEX($Y$2:$Y$1001,MATCH(ROWS($W$2:W419),$W$2:$W$1001,0),0), INDEX($AD$1004:$AU$1004,1,MATCH(COLUMNS($AD$1006:AN1006),$AD$1006:$AU$1006,0)))),"Fix")))</f>
        <v xml:space="preserve"> </v>
      </c>
      <c r="M419" s="4" t="str">
        <f ca="1">IF(OR(INDEX($X$2:$X$1001,MATCH(ROWS($W$2:W419),$W$2:$W$1001,0),1)&gt;=100000,INDEX($AD$1005:$AU$1005,1,MATCH(COLUMNS($AD$1006:AO1006),$AD$1006:$AU$1006,0))&gt;=100000), " ",IF(INDEX($AD$2:$AU$1001,MATCH(ROWS($W$2:W419),$W$2:$W$1001,0),MATCH(COLUMNS($AD$1006:AO1006),$AD$1006:$AU$1006,0)), HYPERLINK("#",""), HYPERLINK(CONCATENATE("#metadata!", ADDRESS(INDEX($Y$2:$Y$1001,MATCH(ROWS($W$2:W419),$W$2:$W$1001,0),0), INDEX($AD$1004:$AU$1004,1,MATCH(COLUMNS($AD$1006:AO1006),$AD$1006:$AU$1006,0)))),"Fix")))</f>
        <v xml:space="preserve"> </v>
      </c>
      <c r="N419" s="4" t="str">
        <f ca="1">IF(OR(INDEX($X$2:$X$1001,MATCH(ROWS($W$2:W419),$W$2:$W$1001,0),1)&gt;=100000,INDEX($AD$1005:$AU$1005,1,MATCH(COLUMNS($AD$1006:AP1006),$AD$1006:$AU$1006,0))&gt;=100000), " ",IF(INDEX($AD$2:$AU$1001,MATCH(ROWS($W$2:W419),$W$2:$W$1001,0),MATCH(COLUMNS($AD$1006:AP1006),$AD$1006:$AU$1006,0)), HYPERLINK("#",""), HYPERLINK(CONCATENATE("#metadata!", ADDRESS(INDEX($Y$2:$Y$1001,MATCH(ROWS($W$2:W419),$W$2:$W$1001,0),0), INDEX($AD$1004:$AU$1004,1,MATCH(COLUMNS($AD$1006:AP1006),$AD$1006:$AU$1006,0)))),"Fix")))</f>
        <v xml:space="preserve"> </v>
      </c>
      <c r="O419" s="4" t="str">
        <f ca="1">IF(OR(INDEX($X$2:$X$1001,MATCH(ROWS($W$2:W419),$W$2:$W$1001,0),1)&gt;=100000,INDEX($AD$1005:$AU$1005,1,MATCH(COLUMNS($AD$1006:AQ1006),$AD$1006:$AU$1006,0))&gt;=100000), " ",IF(INDEX($AD$2:$AU$1001,MATCH(ROWS($W$2:W419),$W$2:$W$1001,0),MATCH(COLUMNS($AD$1006:AQ1006),$AD$1006:$AU$1006,0)), HYPERLINK("#",""), HYPERLINK(CONCATENATE("#metadata!", ADDRESS(INDEX($Y$2:$Y$1001,MATCH(ROWS($W$2:W419),$W$2:$W$1001,0),0), INDEX($AD$1004:$AU$1004,1,MATCH(COLUMNS($AD$1006:AQ1006),$AD$1006:$AU$1006,0)))),"Fix")))</f>
        <v xml:space="preserve"> </v>
      </c>
      <c r="P419" s="4" t="str">
        <f ca="1">IF(OR(INDEX($X$2:$X$1001,MATCH(ROWS($W$2:W419),$W$2:$W$1001,0),1)&gt;=100000,INDEX($AD$1005:$AU$1005,1,MATCH(COLUMNS($AD$1006:AR1006),$AD$1006:$AU$1006,0))&gt;=100000), " ",IF(INDEX($AD$2:$AU$1001,MATCH(ROWS($W$2:W419),$W$2:$W$1001,0),MATCH(COLUMNS($AD$1006:AR1006),$AD$1006:$AU$1006,0)), HYPERLINK("#",""), HYPERLINK(CONCATENATE("#metadata!", ADDRESS(INDEX($Y$2:$Y$1001,MATCH(ROWS($W$2:W419),$W$2:$W$1001,0),0), INDEX($AD$1004:$AU$1004,1,MATCH(COLUMNS($AD$1006:AR1006),$AD$1006:$AU$1006,0)))),"Fix")))</f>
        <v xml:space="preserve"> </v>
      </c>
      <c r="Q419" s="4" t="str">
        <f ca="1">IF(OR(INDEX($X$2:$X$1001,MATCH(ROWS($W$2:W419),$W$2:$W$1001,0),1)&gt;=100000,INDEX($AD$1005:$AU$1005,1,MATCH(COLUMNS($AD$1006:AS1006),$AD$1006:$AU$1006,0))&gt;=100000), " ",IF(INDEX($AD$2:$AU$1001,MATCH(ROWS($W$2:W419),$W$2:$W$1001,0),MATCH(COLUMNS($AD$1006:AS1006),$AD$1006:$AU$1006,0)), HYPERLINK("#",""), HYPERLINK(CONCATENATE("#metadata!", ADDRESS(INDEX($Y$2:$Y$1001,MATCH(ROWS($W$2:W419),$W$2:$W$1001,0),0), INDEX($AD$1004:$AU$1004,1,MATCH(COLUMNS($AD$1006:AS1006),$AD$1006:$AU$1006,0)))),"Fix")))</f>
        <v xml:space="preserve"> </v>
      </c>
      <c r="R419" s="4" t="str">
        <f ca="1">IF(OR(INDEX($X$2:$X$1001,MATCH(ROWS($W$2:W419),$W$2:$W$1001,0),1)&gt;=100000,INDEX($AD$1005:$AU$1005,1,MATCH(COLUMNS($AD$1006:AT1006),$AD$1006:$AU$1006,0))&gt;=100000), " ",IF(INDEX($AD$2:$AU$1001,MATCH(ROWS($W$2:W419),$W$2:$W$1001,0),MATCH(COLUMNS($AD$1006:AT1006),$AD$1006:$AU$1006,0)), HYPERLINK("#",""), HYPERLINK(CONCATENATE("#metadata!", ADDRESS(INDEX($Y$2:$Y$1001,MATCH(ROWS($W$2:W419),$W$2:$W$1001,0),0), INDEX($AD$1004:$AU$1004,1,MATCH(COLUMNS($AD$1006:AT1006),$AD$1006:$AU$1006,0)))),"Fix")))</f>
        <v xml:space="preserve"> </v>
      </c>
      <c r="S419" s="4" t="str">
        <f ca="1">IF(OR(INDEX($X$2:$X$1001,MATCH(ROWS($W$2:W419),$W$2:$W$1001,0),1)&gt;=100000,INDEX($AD$1005:$AU$1005,1,MATCH(COLUMNS($AD$1006:AU1006),$AD$1006:$AU$1006,0))&gt;=100000), " ",IF(INDEX($AD$2:$AU$1001,MATCH(ROWS($W$2:W419),$W$2:$W$1001,0),MATCH(COLUMNS($AD$1006:AU1006),$AD$1006:$AU$1006,0)), HYPERLINK("#",""), HYPERLINK(CONCATENATE("#metadata!", ADDRESS(INDEX($Y$2:$Y$1001,MATCH(ROWS($W$2:W419),$W$2:$W$1001,0),0), INDEX($AD$1004:$AU$1004,1,MATCH(COLUMNS($AD$1006:AU1006),$AD$1006:$AU$1006,0)))),"Fix")))</f>
        <v xml:space="preserve"> </v>
      </c>
      <c r="W419">
        <v>418</v>
      </c>
      <c r="X419">
        <v>100419</v>
      </c>
      <c r="Y419">
        <v>419</v>
      </c>
      <c r="Z419" t="b">
        <f t="shared" si="6"/>
        <v>1</v>
      </c>
      <c r="AA419" t="b">
        <f>COUNTBLANK(metadata!B419:S419)=COLUMNS(metadata!B419:S419)</f>
        <v>1</v>
      </c>
      <c r="AB419" t="str">
        <v/>
      </c>
      <c r="AD419" t="b">
        <f ca="1">AND(IF(metadata!B419="",FALSE,TRUE),COUNTIF(metadata!B:B, metadata!B419) = 1,NOT(ISERROR(SUMPRODUCT(SEARCH(MID(metadata!B419,ROW(INDIRECT("1:"&amp;LEN(metadata!B419))), 1),"0123456789abcdefghijklmnopqrstuvwxyzABCDEFGHIJKLMNOPQRSTUVWXYZ.")))))</f>
        <v>0</v>
      </c>
      <c r="AE419" t="b">
        <f>OR(AND(IF(metadata!C419="",FALSE,TRUE),OR(EXACT(metadata!C419,"not applicable"),EXACT(metadata!C419,"missing: not collected"),EXACT(metadata!C419,"missing: not provided"),EXACT(metadata!C419,"missing: restricted access"))),AND(IF(metadata!C419="",FALSE,ISNUMBER(VALUE(metadata!C419))),metadata!C419&gt;0))</f>
        <v>0</v>
      </c>
      <c r="AF419" t="b">
        <f>AND(IF(metadata!D419="",FALSE,TRUE),EXACT(metadata!D419,"missing: not provided"))</f>
        <v>0</v>
      </c>
      <c r="AG419" t="b">
        <f>AND(IF(metadata!E419="",FALSE,TRUE),EXACT(metadata!E419,"Host-associated"))</f>
        <v>0</v>
      </c>
      <c r="AH419" t="b">
        <f>AND(IF(metadata!F419="",FALSE,TRUE),OR(EXACT(metadata!F419,"Animal"),EXACT(metadata!F419,"Fungus"),EXACT(metadata!F419,"Plant")))</f>
        <v>0</v>
      </c>
      <c r="AI419" t="b">
        <f>AND(IF(metadata!G419="",FALSE,TRUE),OR(EXACT(metadata!G419,"Plant secretion"),EXACT(metadata!G419,"Plant rhizosphere"),EXACT(metadata!G419,"Plant surface"),EXACT(metadata!G419,"Plant corpus"),EXACT(metadata!G419,"Fungus surface"),EXACT(metadata!G419,"Fungus corpus"),EXACT(metadata!G419,"Animal surface"),EXACT(metadata!G419,"Animal proximal gut"),EXACT(metadata!G419,"Animal corpus"),EXACT(metadata!G419,"Animal distal gut"),EXACT(metadata!G419,"Animal secretion")))</f>
        <v>0</v>
      </c>
      <c r="AJ419" t="b">
        <f>OR(AND(IF(metadata!H419="",FALSE,TRUE),OR(EXACT(metadata!H419,"missing: not collected"),EXACT(metadata!H419,"missing: not provided"),EXACT(metadata!H419,"missing: restricted access"))),AND(IF(metadata!H419="",FALSE,TRUE),OR(EXACT(metadata!H419,"organism-associated habitat"),EXACT(metadata!H419,"plant-associated habitat"),EXACT(metadata!H419,"animal-associated habitat"),EXACT(metadata!H419,"insecta-associated habitat"),EXACT(metadata!H419,"mammalia-associated habitat"),EXACT(metadata!H419,"human-associated habitat"),EXACT(metadata!H419,"livestock-associated habitat"))))</f>
        <v>0</v>
      </c>
      <c r="AK419" t="b">
        <f>AND(IF(metadata!I419="",FALSE,TRUE),EXACT(metadata!I419,"host-associated"))</f>
        <v>0</v>
      </c>
      <c r="AL419" t="b">
        <f>OR(AND(IF(metadata!J419="",FALSE,TRUE),OR(EXACT(metadata!J419,"not applicable"),EXACT(metadata!J419,"missing: not collected"),EXACT(metadata!J419,"missing: not provided"),EXACT(metadata!J419,"missing: restricted access"))),AND(IF(metadata!J419="",FALSE,ISNUMBER(VALUE(metadata!J419))),metadata!J419&gt;0))</f>
        <v>0</v>
      </c>
      <c r="AM419" t="b">
        <f>AND(IF(metadata!K419="",FALSE,TRUE),EXACT(metadata!K419,"missing: not provided"))</f>
        <v>0</v>
      </c>
      <c r="AN419" t="b">
        <f>IF(metadata!L419="",FALSE,TRUE)</f>
        <v>0</v>
      </c>
      <c r="AO419" t="b">
        <f>IF(metadata!M419="",FALSE,TRUE)</f>
        <v>0</v>
      </c>
      <c r="AP419" t="b">
        <f>OR(AND(IF(metadata!N419="",FALSE,TRUE),OR(EXACT(metadata!N419,"not applicable"),EXACT(metadata!N419,"missing: not collected"),EXACT(metadata!N419,"missing: not provided"))),AND(IF(metadata!N419="",FALSE,IF(ISERROR(INT(metadata!N419)),FALSE,INT(metadata!N419)=metadata!N419)),metadata!N419&gt;0))</f>
        <v>0</v>
      </c>
      <c r="AQ419" t="b">
        <f>AND(IF(metadata!O419="",FALSE,TRUE),EXACT(metadata!O419,"Not applicable"))</f>
        <v>0</v>
      </c>
      <c r="AR419" t="b">
        <f>OR(AND(IF(metadata!P419="",FALSE,TRUE),OR(EXACT(metadata!P419,"not applicable"),EXACT(metadata!P419,"missing: not collected"),EXACT(metadata!P419,"missing: not provided"),EXACT(metadata!P419,"missing: restricted access"))),IF(metadata!P419="",FALSE,IF(ISERROR(INT(metadata!P419)),FALSE,INT(metadata!P419)=metadata!P419)))</f>
        <v>0</v>
      </c>
      <c r="AS419" t="b">
        <f>AND(IF(metadata!Q419="",FALSE,TRUE),EXACT(metadata!Q419,"Not applicable"))</f>
        <v>0</v>
      </c>
      <c r="AT419" t="b">
        <f>OR(AND(IF(metadata!R419="",FALSE,TRUE),OR(EXACT(metadata!R419,"not applicable"),EXACT(metadata!R419,"missing: not collected"),EXACT(metadata!R419,"missing: not provided"),EXACT(metadata!R419,"missing: restricted access"))),AND(IF(metadata!R419="",FALSE,ISNUMBER(VALUE(metadata!R419))),metadata!R419&gt;0))</f>
        <v>0</v>
      </c>
      <c r="AU419" t="b">
        <f>AND(IF(metadata!S419="",FALSE,TRUE),EXACT(metadata!S419,"missing: not provided"))</f>
        <v>0</v>
      </c>
    </row>
    <row r="420" spans="1:47" x14ac:dyDescent="0.2">
      <c r="A420" s="5" t="str">
        <f ca="1">IF(B420=" "," ",HYPERLINK(CONCATENATE("#metadata!",ADDRESS(INDEX($Y$2:$Y$1001,MATCH(ROWS($W$2:W420),$W$2:$W$1001,0),0),1)),INDEX($AB$2:$AB$1001,MATCH(ROWS($W$2:W420),$W$2:$W$1001,0),0)))</f>
        <v xml:space="preserve"> </v>
      </c>
      <c r="B420" s="4" t="str">
        <f ca="1">IF(OR(INDEX($X$2:$X$1001,MATCH(ROWS($W$2:W420),$W$2:$W$1001,0),1)&gt;=100000,INDEX($AD$1005:$AU$1005,1,MATCH(COLUMNS($AD$1006:AD1006),$AD$1006:$AU$1006,0))&gt;=100000), " ",IF(INDEX($AD$2:$AU$1001,MATCH(ROWS($W$2:W420),$W$2:$W$1001,0),MATCH(COLUMNS($AD$1006:AD1006),$AD$1006:$AU$1006,0)), HYPERLINK("#",""), HYPERLINK(CONCATENATE("#metadata!", ADDRESS(INDEX($Y$2:$Y$1001,MATCH(ROWS($W$2:W420),$W$2:$W$1001,0),0), INDEX($AD$1004:$AU$1004,1,MATCH(COLUMNS($AD$1006:AD1006),$AD$1006:$AU$1006,0)))),"Fix")))</f>
        <v xml:space="preserve"> </v>
      </c>
      <c r="C420" s="4" t="str">
        <f ca="1">IF(OR(INDEX($X$2:$X$1001,MATCH(ROWS($W$2:W420),$W$2:$W$1001,0),1)&gt;=100000,INDEX($AD$1005:$AU$1005,1,MATCH(COLUMNS($AD$1006:AE1006),$AD$1006:$AU$1006,0))&gt;=100000), " ",IF(INDEX($AD$2:$AU$1001,MATCH(ROWS($W$2:W420),$W$2:$W$1001,0),MATCH(COLUMNS($AD$1006:AE1006),$AD$1006:$AU$1006,0)), HYPERLINK("#",""), HYPERLINK(CONCATENATE("#metadata!", ADDRESS(INDEX($Y$2:$Y$1001,MATCH(ROWS($W$2:W420),$W$2:$W$1001,0),0), INDEX($AD$1004:$AU$1004,1,MATCH(COLUMNS($AD$1006:AE1006),$AD$1006:$AU$1006,0)))),"Fix")))</f>
        <v xml:space="preserve"> </v>
      </c>
      <c r="D420" s="4" t="str">
        <f ca="1">IF(OR(INDEX($X$2:$X$1001,MATCH(ROWS($W$2:W420),$W$2:$W$1001,0),1)&gt;=100000,INDEX($AD$1005:$AU$1005,1,MATCH(COLUMNS($AD$1006:AF1006),$AD$1006:$AU$1006,0))&gt;=100000), " ",IF(INDEX($AD$2:$AU$1001,MATCH(ROWS($W$2:W420),$W$2:$W$1001,0),MATCH(COLUMNS($AD$1006:AF1006),$AD$1006:$AU$1006,0)), HYPERLINK("#",""), HYPERLINK(CONCATENATE("#metadata!", ADDRESS(INDEX($Y$2:$Y$1001,MATCH(ROWS($W$2:W420),$W$2:$W$1001,0),0), INDEX($AD$1004:$AU$1004,1,MATCH(COLUMNS($AD$1006:AF1006),$AD$1006:$AU$1006,0)))),"Fix")))</f>
        <v xml:space="preserve"> </v>
      </c>
      <c r="E420" s="4" t="str">
        <f ca="1">IF(OR(INDEX($X$2:$X$1001,MATCH(ROWS($W$2:W420),$W$2:$W$1001,0),1)&gt;=100000,INDEX($AD$1005:$AU$1005,1,MATCH(COLUMNS($AD$1006:AG1006),$AD$1006:$AU$1006,0))&gt;=100000), " ",IF(INDEX($AD$2:$AU$1001,MATCH(ROWS($W$2:W420),$W$2:$W$1001,0),MATCH(COLUMNS($AD$1006:AG1006),$AD$1006:$AU$1006,0)), HYPERLINK("#",""), HYPERLINK(CONCATENATE("#metadata!", ADDRESS(INDEX($Y$2:$Y$1001,MATCH(ROWS($W$2:W420),$W$2:$W$1001,0),0), INDEX($AD$1004:$AU$1004,1,MATCH(COLUMNS($AD$1006:AG1006),$AD$1006:$AU$1006,0)))),"Fix")))</f>
        <v xml:space="preserve"> </v>
      </c>
      <c r="F420" s="4" t="str">
        <f ca="1">IF(OR(INDEX($X$2:$X$1001,MATCH(ROWS($W$2:W420),$W$2:$W$1001,0),1)&gt;=100000,INDEX($AD$1005:$AU$1005,1,MATCH(COLUMNS($AD$1006:AH1006),$AD$1006:$AU$1006,0))&gt;=100000), " ",IF(INDEX($AD$2:$AU$1001,MATCH(ROWS($W$2:W420),$W$2:$W$1001,0),MATCH(COLUMNS($AD$1006:AH1006),$AD$1006:$AU$1006,0)), HYPERLINK("#",""), HYPERLINK(CONCATENATE("#metadata!", ADDRESS(INDEX($Y$2:$Y$1001,MATCH(ROWS($W$2:W420),$W$2:$W$1001,0),0), INDEX($AD$1004:$AU$1004,1,MATCH(COLUMNS($AD$1006:AH1006),$AD$1006:$AU$1006,0)))),"Fix")))</f>
        <v xml:space="preserve"> </v>
      </c>
      <c r="G420" s="4" t="str">
        <f ca="1">IF(OR(INDEX($X$2:$X$1001,MATCH(ROWS($W$2:W420),$W$2:$W$1001,0),1)&gt;=100000,INDEX($AD$1005:$AU$1005,1,MATCH(COLUMNS($AD$1006:AI1006),$AD$1006:$AU$1006,0))&gt;=100000), " ",IF(INDEX($AD$2:$AU$1001,MATCH(ROWS($W$2:W420),$W$2:$W$1001,0),MATCH(COLUMNS($AD$1006:AI1006),$AD$1006:$AU$1006,0)), HYPERLINK("#",""), HYPERLINK(CONCATENATE("#metadata!", ADDRESS(INDEX($Y$2:$Y$1001,MATCH(ROWS($W$2:W420),$W$2:$W$1001,0),0), INDEX($AD$1004:$AU$1004,1,MATCH(COLUMNS($AD$1006:AI1006),$AD$1006:$AU$1006,0)))),"Fix")))</f>
        <v xml:space="preserve"> </v>
      </c>
      <c r="H420" s="4" t="str">
        <f ca="1">IF(OR(INDEX($X$2:$X$1001,MATCH(ROWS($W$2:W420),$W$2:$W$1001,0),1)&gt;=100000,INDEX($AD$1005:$AU$1005,1,MATCH(COLUMNS($AD$1006:AJ1006),$AD$1006:$AU$1006,0))&gt;=100000), " ",IF(INDEX($AD$2:$AU$1001,MATCH(ROWS($W$2:W420),$W$2:$W$1001,0),MATCH(COLUMNS($AD$1006:AJ1006),$AD$1006:$AU$1006,0)), HYPERLINK("#",""), HYPERLINK(CONCATENATE("#metadata!", ADDRESS(INDEX($Y$2:$Y$1001,MATCH(ROWS($W$2:W420),$W$2:$W$1001,0),0), INDEX($AD$1004:$AU$1004,1,MATCH(COLUMNS($AD$1006:AJ1006),$AD$1006:$AU$1006,0)))),"Fix")))</f>
        <v xml:space="preserve"> </v>
      </c>
      <c r="I420" s="4" t="str">
        <f ca="1">IF(OR(INDEX($X$2:$X$1001,MATCH(ROWS($W$2:W420),$W$2:$W$1001,0),1)&gt;=100000,INDEX($AD$1005:$AU$1005,1,MATCH(COLUMNS($AD$1006:AK1006),$AD$1006:$AU$1006,0))&gt;=100000), " ",IF(INDEX($AD$2:$AU$1001,MATCH(ROWS($W$2:W420),$W$2:$W$1001,0),MATCH(COLUMNS($AD$1006:AK1006),$AD$1006:$AU$1006,0)), HYPERLINK("#",""), HYPERLINK(CONCATENATE("#metadata!", ADDRESS(INDEX($Y$2:$Y$1001,MATCH(ROWS($W$2:W420),$W$2:$W$1001,0),0), INDEX($AD$1004:$AU$1004,1,MATCH(COLUMNS($AD$1006:AK1006),$AD$1006:$AU$1006,0)))),"Fix")))</f>
        <v xml:space="preserve"> </v>
      </c>
      <c r="J420" s="4" t="str">
        <f ca="1">IF(OR(INDEX($X$2:$X$1001,MATCH(ROWS($W$2:W420),$W$2:$W$1001,0),1)&gt;=100000,INDEX($AD$1005:$AU$1005,1,MATCH(COLUMNS($AD$1006:AL1006),$AD$1006:$AU$1006,0))&gt;=100000), " ",IF(INDEX($AD$2:$AU$1001,MATCH(ROWS($W$2:W420),$W$2:$W$1001,0),MATCH(COLUMNS($AD$1006:AL1006),$AD$1006:$AU$1006,0)), HYPERLINK("#",""), HYPERLINK(CONCATENATE("#metadata!", ADDRESS(INDEX($Y$2:$Y$1001,MATCH(ROWS($W$2:W420),$W$2:$W$1001,0),0), INDEX($AD$1004:$AU$1004,1,MATCH(COLUMNS($AD$1006:AL1006),$AD$1006:$AU$1006,0)))),"Fix")))</f>
        <v xml:space="preserve"> </v>
      </c>
      <c r="K420" s="4" t="str">
        <f ca="1">IF(OR(INDEX($X$2:$X$1001,MATCH(ROWS($W$2:W420),$W$2:$W$1001,0),1)&gt;=100000,INDEX($AD$1005:$AU$1005,1,MATCH(COLUMNS($AD$1006:AM1006),$AD$1006:$AU$1006,0))&gt;=100000), " ",IF(INDEX($AD$2:$AU$1001,MATCH(ROWS($W$2:W420),$W$2:$W$1001,0),MATCH(COLUMNS($AD$1006:AM1006),$AD$1006:$AU$1006,0)), HYPERLINK("#",""), HYPERLINK(CONCATENATE("#metadata!", ADDRESS(INDEX($Y$2:$Y$1001,MATCH(ROWS($W$2:W420),$W$2:$W$1001,0),0), INDEX($AD$1004:$AU$1004,1,MATCH(COLUMNS($AD$1006:AM1006),$AD$1006:$AU$1006,0)))),"Fix")))</f>
        <v xml:space="preserve"> </v>
      </c>
      <c r="L420" s="4" t="str">
        <f ca="1">IF(OR(INDEX($X$2:$X$1001,MATCH(ROWS($W$2:W420),$W$2:$W$1001,0),1)&gt;=100000,INDEX($AD$1005:$AU$1005,1,MATCH(COLUMNS($AD$1006:AN1006),$AD$1006:$AU$1006,0))&gt;=100000), " ",IF(INDEX($AD$2:$AU$1001,MATCH(ROWS($W$2:W420),$W$2:$W$1001,0),MATCH(COLUMNS($AD$1006:AN1006),$AD$1006:$AU$1006,0)), HYPERLINK("#",""), HYPERLINK(CONCATENATE("#metadata!", ADDRESS(INDEX($Y$2:$Y$1001,MATCH(ROWS($W$2:W420),$W$2:$W$1001,0),0), INDEX($AD$1004:$AU$1004,1,MATCH(COLUMNS($AD$1006:AN1006),$AD$1006:$AU$1006,0)))),"Fix")))</f>
        <v xml:space="preserve"> </v>
      </c>
      <c r="M420" s="4" t="str">
        <f ca="1">IF(OR(INDEX($X$2:$X$1001,MATCH(ROWS($W$2:W420),$W$2:$W$1001,0),1)&gt;=100000,INDEX($AD$1005:$AU$1005,1,MATCH(COLUMNS($AD$1006:AO1006),$AD$1006:$AU$1006,0))&gt;=100000), " ",IF(INDEX($AD$2:$AU$1001,MATCH(ROWS($W$2:W420),$W$2:$W$1001,0),MATCH(COLUMNS($AD$1006:AO1006),$AD$1006:$AU$1006,0)), HYPERLINK("#",""), HYPERLINK(CONCATENATE("#metadata!", ADDRESS(INDEX($Y$2:$Y$1001,MATCH(ROWS($W$2:W420),$W$2:$W$1001,0),0), INDEX($AD$1004:$AU$1004,1,MATCH(COLUMNS($AD$1006:AO1006),$AD$1006:$AU$1006,0)))),"Fix")))</f>
        <v xml:space="preserve"> </v>
      </c>
      <c r="N420" s="4" t="str">
        <f ca="1">IF(OR(INDEX($X$2:$X$1001,MATCH(ROWS($W$2:W420),$W$2:$W$1001,0),1)&gt;=100000,INDEX($AD$1005:$AU$1005,1,MATCH(COLUMNS($AD$1006:AP1006),$AD$1006:$AU$1006,0))&gt;=100000), " ",IF(INDEX($AD$2:$AU$1001,MATCH(ROWS($W$2:W420),$W$2:$W$1001,0),MATCH(COLUMNS($AD$1006:AP1006),$AD$1006:$AU$1006,0)), HYPERLINK("#",""), HYPERLINK(CONCATENATE("#metadata!", ADDRESS(INDEX($Y$2:$Y$1001,MATCH(ROWS($W$2:W420),$W$2:$W$1001,0),0), INDEX($AD$1004:$AU$1004,1,MATCH(COLUMNS($AD$1006:AP1006),$AD$1006:$AU$1006,0)))),"Fix")))</f>
        <v xml:space="preserve"> </v>
      </c>
      <c r="O420" s="4" t="str">
        <f ca="1">IF(OR(INDEX($X$2:$X$1001,MATCH(ROWS($W$2:W420),$W$2:$W$1001,0),1)&gt;=100000,INDEX($AD$1005:$AU$1005,1,MATCH(COLUMNS($AD$1006:AQ1006),$AD$1006:$AU$1006,0))&gt;=100000), " ",IF(INDEX($AD$2:$AU$1001,MATCH(ROWS($W$2:W420),$W$2:$W$1001,0),MATCH(COLUMNS($AD$1006:AQ1006),$AD$1006:$AU$1006,0)), HYPERLINK("#",""), HYPERLINK(CONCATENATE("#metadata!", ADDRESS(INDEX($Y$2:$Y$1001,MATCH(ROWS($W$2:W420),$W$2:$W$1001,0),0), INDEX($AD$1004:$AU$1004,1,MATCH(COLUMNS($AD$1006:AQ1006),$AD$1006:$AU$1006,0)))),"Fix")))</f>
        <v xml:space="preserve"> </v>
      </c>
      <c r="P420" s="4" t="str">
        <f ca="1">IF(OR(INDEX($X$2:$X$1001,MATCH(ROWS($W$2:W420),$W$2:$W$1001,0),1)&gt;=100000,INDEX($AD$1005:$AU$1005,1,MATCH(COLUMNS($AD$1006:AR1006),$AD$1006:$AU$1006,0))&gt;=100000), " ",IF(INDEX($AD$2:$AU$1001,MATCH(ROWS($W$2:W420),$W$2:$W$1001,0),MATCH(COLUMNS($AD$1006:AR1006),$AD$1006:$AU$1006,0)), HYPERLINK("#",""), HYPERLINK(CONCATENATE("#metadata!", ADDRESS(INDEX($Y$2:$Y$1001,MATCH(ROWS($W$2:W420),$W$2:$W$1001,0),0), INDEX($AD$1004:$AU$1004,1,MATCH(COLUMNS($AD$1006:AR1006),$AD$1006:$AU$1006,0)))),"Fix")))</f>
        <v xml:space="preserve"> </v>
      </c>
      <c r="Q420" s="4" t="str">
        <f ca="1">IF(OR(INDEX($X$2:$X$1001,MATCH(ROWS($W$2:W420),$W$2:$W$1001,0),1)&gt;=100000,INDEX($AD$1005:$AU$1005,1,MATCH(COLUMNS($AD$1006:AS1006),$AD$1006:$AU$1006,0))&gt;=100000), " ",IF(INDEX($AD$2:$AU$1001,MATCH(ROWS($W$2:W420),$W$2:$W$1001,0),MATCH(COLUMNS($AD$1006:AS1006),$AD$1006:$AU$1006,0)), HYPERLINK("#",""), HYPERLINK(CONCATENATE("#metadata!", ADDRESS(INDEX($Y$2:$Y$1001,MATCH(ROWS($W$2:W420),$W$2:$W$1001,0),0), INDEX($AD$1004:$AU$1004,1,MATCH(COLUMNS($AD$1006:AS1006),$AD$1006:$AU$1006,0)))),"Fix")))</f>
        <v xml:space="preserve"> </v>
      </c>
      <c r="R420" s="4" t="str">
        <f ca="1">IF(OR(INDEX($X$2:$X$1001,MATCH(ROWS($W$2:W420),$W$2:$W$1001,0),1)&gt;=100000,INDEX($AD$1005:$AU$1005,1,MATCH(COLUMNS($AD$1006:AT1006),$AD$1006:$AU$1006,0))&gt;=100000), " ",IF(INDEX($AD$2:$AU$1001,MATCH(ROWS($W$2:W420),$W$2:$W$1001,0),MATCH(COLUMNS($AD$1006:AT1006),$AD$1006:$AU$1006,0)), HYPERLINK("#",""), HYPERLINK(CONCATENATE("#metadata!", ADDRESS(INDEX($Y$2:$Y$1001,MATCH(ROWS($W$2:W420),$W$2:$W$1001,0),0), INDEX($AD$1004:$AU$1004,1,MATCH(COLUMNS($AD$1006:AT1006),$AD$1006:$AU$1006,0)))),"Fix")))</f>
        <v xml:space="preserve"> </v>
      </c>
      <c r="S420" s="4" t="str">
        <f ca="1">IF(OR(INDEX($X$2:$X$1001,MATCH(ROWS($W$2:W420),$W$2:$W$1001,0),1)&gt;=100000,INDEX($AD$1005:$AU$1005,1,MATCH(COLUMNS($AD$1006:AU1006),$AD$1006:$AU$1006,0))&gt;=100000), " ",IF(INDEX($AD$2:$AU$1001,MATCH(ROWS($W$2:W420),$W$2:$W$1001,0),MATCH(COLUMNS($AD$1006:AU1006),$AD$1006:$AU$1006,0)), HYPERLINK("#",""), HYPERLINK(CONCATENATE("#metadata!", ADDRESS(INDEX($Y$2:$Y$1001,MATCH(ROWS($W$2:W420),$W$2:$W$1001,0),0), INDEX($AD$1004:$AU$1004,1,MATCH(COLUMNS($AD$1006:AU1006),$AD$1006:$AU$1006,0)))),"Fix")))</f>
        <v xml:space="preserve"> </v>
      </c>
      <c r="W420">
        <v>419</v>
      </c>
      <c r="X420">
        <v>100420</v>
      </c>
      <c r="Y420">
        <v>420</v>
      </c>
      <c r="Z420" t="b">
        <f t="shared" si="6"/>
        <v>1</v>
      </c>
      <c r="AA420" t="b">
        <f>COUNTBLANK(metadata!B420:S420)=COLUMNS(metadata!B420:S420)</f>
        <v>1</v>
      </c>
      <c r="AB420" t="str">
        <v/>
      </c>
      <c r="AD420" t="b">
        <f ca="1">AND(IF(metadata!B420="",FALSE,TRUE),COUNTIF(metadata!B:B, metadata!B420) = 1,NOT(ISERROR(SUMPRODUCT(SEARCH(MID(metadata!B420,ROW(INDIRECT("1:"&amp;LEN(metadata!B420))), 1),"0123456789abcdefghijklmnopqrstuvwxyzABCDEFGHIJKLMNOPQRSTUVWXYZ.")))))</f>
        <v>0</v>
      </c>
      <c r="AE420" t="b">
        <f>OR(AND(IF(metadata!C420="",FALSE,TRUE),OR(EXACT(metadata!C420,"not applicable"),EXACT(metadata!C420,"missing: not collected"),EXACT(metadata!C420,"missing: not provided"),EXACT(metadata!C420,"missing: restricted access"))),AND(IF(metadata!C420="",FALSE,ISNUMBER(VALUE(metadata!C420))),metadata!C420&gt;0))</f>
        <v>0</v>
      </c>
      <c r="AF420" t="b">
        <f>AND(IF(metadata!D420="",FALSE,TRUE),EXACT(metadata!D420,"missing: not provided"))</f>
        <v>0</v>
      </c>
      <c r="AG420" t="b">
        <f>AND(IF(metadata!E420="",FALSE,TRUE),EXACT(metadata!E420,"Host-associated"))</f>
        <v>0</v>
      </c>
      <c r="AH420" t="b">
        <f>AND(IF(metadata!F420="",FALSE,TRUE),OR(EXACT(metadata!F420,"Animal"),EXACT(metadata!F420,"Fungus"),EXACT(metadata!F420,"Plant")))</f>
        <v>0</v>
      </c>
      <c r="AI420" t="b">
        <f>AND(IF(metadata!G420="",FALSE,TRUE),OR(EXACT(metadata!G420,"Plant secretion"),EXACT(metadata!G420,"Plant rhizosphere"),EXACT(metadata!G420,"Plant surface"),EXACT(metadata!G420,"Plant corpus"),EXACT(metadata!G420,"Fungus surface"),EXACT(metadata!G420,"Fungus corpus"),EXACT(metadata!G420,"Animal surface"),EXACT(metadata!G420,"Animal proximal gut"),EXACT(metadata!G420,"Animal corpus"),EXACT(metadata!G420,"Animal distal gut"),EXACT(metadata!G420,"Animal secretion")))</f>
        <v>0</v>
      </c>
      <c r="AJ420" t="b">
        <f>OR(AND(IF(metadata!H420="",FALSE,TRUE),OR(EXACT(metadata!H420,"missing: not collected"),EXACT(metadata!H420,"missing: not provided"),EXACT(metadata!H420,"missing: restricted access"))),AND(IF(metadata!H420="",FALSE,TRUE),OR(EXACT(metadata!H420,"organism-associated habitat"),EXACT(metadata!H420,"plant-associated habitat"),EXACT(metadata!H420,"animal-associated habitat"),EXACT(metadata!H420,"insecta-associated habitat"),EXACT(metadata!H420,"mammalia-associated habitat"),EXACT(metadata!H420,"human-associated habitat"),EXACT(metadata!H420,"livestock-associated habitat"))))</f>
        <v>0</v>
      </c>
      <c r="AK420" t="b">
        <f>AND(IF(metadata!I420="",FALSE,TRUE),EXACT(metadata!I420,"host-associated"))</f>
        <v>0</v>
      </c>
      <c r="AL420" t="b">
        <f>OR(AND(IF(metadata!J420="",FALSE,TRUE),OR(EXACT(metadata!J420,"not applicable"),EXACT(metadata!J420,"missing: not collected"),EXACT(metadata!J420,"missing: not provided"),EXACT(metadata!J420,"missing: restricted access"))),AND(IF(metadata!J420="",FALSE,ISNUMBER(VALUE(metadata!J420))),metadata!J420&gt;0))</f>
        <v>0</v>
      </c>
      <c r="AM420" t="b">
        <f>AND(IF(metadata!K420="",FALSE,TRUE),EXACT(metadata!K420,"missing: not provided"))</f>
        <v>0</v>
      </c>
      <c r="AN420" t="b">
        <f>IF(metadata!L420="",FALSE,TRUE)</f>
        <v>0</v>
      </c>
      <c r="AO420" t="b">
        <f>IF(metadata!M420="",FALSE,TRUE)</f>
        <v>0</v>
      </c>
      <c r="AP420" t="b">
        <f>OR(AND(IF(metadata!N420="",FALSE,TRUE),OR(EXACT(metadata!N420,"not applicable"),EXACT(metadata!N420,"missing: not collected"),EXACT(metadata!N420,"missing: not provided"))),AND(IF(metadata!N420="",FALSE,IF(ISERROR(INT(metadata!N420)),FALSE,INT(metadata!N420)=metadata!N420)),metadata!N420&gt;0))</f>
        <v>0</v>
      </c>
      <c r="AQ420" t="b">
        <f>AND(IF(metadata!O420="",FALSE,TRUE),EXACT(metadata!O420,"Not applicable"))</f>
        <v>0</v>
      </c>
      <c r="AR420" t="b">
        <f>OR(AND(IF(metadata!P420="",FALSE,TRUE),OR(EXACT(metadata!P420,"not applicable"),EXACT(metadata!P420,"missing: not collected"),EXACT(metadata!P420,"missing: not provided"),EXACT(metadata!P420,"missing: restricted access"))),IF(metadata!P420="",FALSE,IF(ISERROR(INT(metadata!P420)),FALSE,INT(metadata!P420)=metadata!P420)))</f>
        <v>0</v>
      </c>
      <c r="AS420" t="b">
        <f>AND(IF(metadata!Q420="",FALSE,TRUE),EXACT(metadata!Q420,"Not applicable"))</f>
        <v>0</v>
      </c>
      <c r="AT420" t="b">
        <f>OR(AND(IF(metadata!R420="",FALSE,TRUE),OR(EXACT(metadata!R420,"not applicable"),EXACT(metadata!R420,"missing: not collected"),EXACT(metadata!R420,"missing: not provided"),EXACT(metadata!R420,"missing: restricted access"))),AND(IF(metadata!R420="",FALSE,ISNUMBER(VALUE(metadata!R420))),metadata!R420&gt;0))</f>
        <v>0</v>
      </c>
      <c r="AU420" t="b">
        <f>AND(IF(metadata!S420="",FALSE,TRUE),EXACT(metadata!S420,"missing: not provided"))</f>
        <v>0</v>
      </c>
    </row>
    <row r="421" spans="1:47" x14ac:dyDescent="0.2">
      <c r="A421" s="5" t="str">
        <f ca="1">IF(B421=" "," ",HYPERLINK(CONCATENATE("#metadata!",ADDRESS(INDEX($Y$2:$Y$1001,MATCH(ROWS($W$2:W421),$W$2:$W$1001,0),0),1)),INDEX($AB$2:$AB$1001,MATCH(ROWS($W$2:W421),$W$2:$W$1001,0),0)))</f>
        <v xml:space="preserve"> </v>
      </c>
      <c r="B421" s="4" t="str">
        <f ca="1">IF(OR(INDEX($X$2:$X$1001,MATCH(ROWS($W$2:W421),$W$2:$W$1001,0),1)&gt;=100000,INDEX($AD$1005:$AU$1005,1,MATCH(COLUMNS($AD$1006:AD1006),$AD$1006:$AU$1006,0))&gt;=100000), " ",IF(INDEX($AD$2:$AU$1001,MATCH(ROWS($W$2:W421),$W$2:$W$1001,0),MATCH(COLUMNS($AD$1006:AD1006),$AD$1006:$AU$1006,0)), HYPERLINK("#",""), HYPERLINK(CONCATENATE("#metadata!", ADDRESS(INDEX($Y$2:$Y$1001,MATCH(ROWS($W$2:W421),$W$2:$W$1001,0),0), INDEX($AD$1004:$AU$1004,1,MATCH(COLUMNS($AD$1006:AD1006),$AD$1006:$AU$1006,0)))),"Fix")))</f>
        <v xml:space="preserve"> </v>
      </c>
      <c r="C421" s="4" t="str">
        <f ca="1">IF(OR(INDEX($X$2:$X$1001,MATCH(ROWS($W$2:W421),$W$2:$W$1001,0),1)&gt;=100000,INDEX($AD$1005:$AU$1005,1,MATCH(COLUMNS($AD$1006:AE1006),$AD$1006:$AU$1006,0))&gt;=100000), " ",IF(INDEX($AD$2:$AU$1001,MATCH(ROWS($W$2:W421),$W$2:$W$1001,0),MATCH(COLUMNS($AD$1006:AE1006),$AD$1006:$AU$1006,0)), HYPERLINK("#",""), HYPERLINK(CONCATENATE("#metadata!", ADDRESS(INDEX($Y$2:$Y$1001,MATCH(ROWS($W$2:W421),$W$2:$W$1001,0),0), INDEX($AD$1004:$AU$1004,1,MATCH(COLUMNS($AD$1006:AE1006),$AD$1006:$AU$1006,0)))),"Fix")))</f>
        <v xml:space="preserve"> </v>
      </c>
      <c r="D421" s="4" t="str">
        <f ca="1">IF(OR(INDEX($X$2:$X$1001,MATCH(ROWS($W$2:W421),$W$2:$W$1001,0),1)&gt;=100000,INDEX($AD$1005:$AU$1005,1,MATCH(COLUMNS($AD$1006:AF1006),$AD$1006:$AU$1006,0))&gt;=100000), " ",IF(INDEX($AD$2:$AU$1001,MATCH(ROWS($W$2:W421),$W$2:$W$1001,0),MATCH(COLUMNS($AD$1006:AF1006),$AD$1006:$AU$1006,0)), HYPERLINK("#",""), HYPERLINK(CONCATENATE("#metadata!", ADDRESS(INDEX($Y$2:$Y$1001,MATCH(ROWS($W$2:W421),$W$2:$W$1001,0),0), INDEX($AD$1004:$AU$1004,1,MATCH(COLUMNS($AD$1006:AF1006),$AD$1006:$AU$1006,0)))),"Fix")))</f>
        <v xml:space="preserve"> </v>
      </c>
      <c r="E421" s="4" t="str">
        <f ca="1">IF(OR(INDEX($X$2:$X$1001,MATCH(ROWS($W$2:W421),$W$2:$W$1001,0),1)&gt;=100000,INDEX($AD$1005:$AU$1005,1,MATCH(COLUMNS($AD$1006:AG1006),$AD$1006:$AU$1006,0))&gt;=100000), " ",IF(INDEX($AD$2:$AU$1001,MATCH(ROWS($W$2:W421),$W$2:$W$1001,0),MATCH(COLUMNS($AD$1006:AG1006),$AD$1006:$AU$1006,0)), HYPERLINK("#",""), HYPERLINK(CONCATENATE("#metadata!", ADDRESS(INDEX($Y$2:$Y$1001,MATCH(ROWS($W$2:W421),$W$2:$W$1001,0),0), INDEX($AD$1004:$AU$1004,1,MATCH(COLUMNS($AD$1006:AG1006),$AD$1006:$AU$1006,0)))),"Fix")))</f>
        <v xml:space="preserve"> </v>
      </c>
      <c r="F421" s="4" t="str">
        <f ca="1">IF(OR(INDEX($X$2:$X$1001,MATCH(ROWS($W$2:W421),$W$2:$W$1001,0),1)&gt;=100000,INDEX($AD$1005:$AU$1005,1,MATCH(COLUMNS($AD$1006:AH1006),$AD$1006:$AU$1006,0))&gt;=100000), " ",IF(INDEX($AD$2:$AU$1001,MATCH(ROWS($W$2:W421),$W$2:$W$1001,0),MATCH(COLUMNS($AD$1006:AH1006),$AD$1006:$AU$1006,0)), HYPERLINK("#",""), HYPERLINK(CONCATENATE("#metadata!", ADDRESS(INDEX($Y$2:$Y$1001,MATCH(ROWS($W$2:W421),$W$2:$W$1001,0),0), INDEX($AD$1004:$AU$1004,1,MATCH(COLUMNS($AD$1006:AH1006),$AD$1006:$AU$1006,0)))),"Fix")))</f>
        <v xml:space="preserve"> </v>
      </c>
      <c r="G421" s="4" t="str">
        <f ca="1">IF(OR(INDEX($X$2:$X$1001,MATCH(ROWS($W$2:W421),$W$2:$W$1001,0),1)&gt;=100000,INDEX($AD$1005:$AU$1005,1,MATCH(COLUMNS($AD$1006:AI1006),$AD$1006:$AU$1006,0))&gt;=100000), " ",IF(INDEX($AD$2:$AU$1001,MATCH(ROWS($W$2:W421),$W$2:$W$1001,0),MATCH(COLUMNS($AD$1006:AI1006),$AD$1006:$AU$1006,0)), HYPERLINK("#",""), HYPERLINK(CONCATENATE("#metadata!", ADDRESS(INDEX($Y$2:$Y$1001,MATCH(ROWS($W$2:W421),$W$2:$W$1001,0),0), INDEX($AD$1004:$AU$1004,1,MATCH(COLUMNS($AD$1006:AI1006),$AD$1006:$AU$1006,0)))),"Fix")))</f>
        <v xml:space="preserve"> </v>
      </c>
      <c r="H421" s="4" t="str">
        <f ca="1">IF(OR(INDEX($X$2:$X$1001,MATCH(ROWS($W$2:W421),$W$2:$W$1001,0),1)&gt;=100000,INDEX($AD$1005:$AU$1005,1,MATCH(COLUMNS($AD$1006:AJ1006),$AD$1006:$AU$1006,0))&gt;=100000), " ",IF(INDEX($AD$2:$AU$1001,MATCH(ROWS($W$2:W421),$W$2:$W$1001,0),MATCH(COLUMNS($AD$1006:AJ1006),$AD$1006:$AU$1006,0)), HYPERLINK("#",""), HYPERLINK(CONCATENATE("#metadata!", ADDRESS(INDEX($Y$2:$Y$1001,MATCH(ROWS($W$2:W421),$W$2:$W$1001,0),0), INDEX($AD$1004:$AU$1004,1,MATCH(COLUMNS($AD$1006:AJ1006),$AD$1006:$AU$1006,0)))),"Fix")))</f>
        <v xml:space="preserve"> </v>
      </c>
      <c r="I421" s="4" t="str">
        <f ca="1">IF(OR(INDEX($X$2:$X$1001,MATCH(ROWS($W$2:W421),$W$2:$W$1001,0),1)&gt;=100000,INDEX($AD$1005:$AU$1005,1,MATCH(COLUMNS($AD$1006:AK1006),$AD$1006:$AU$1006,0))&gt;=100000), " ",IF(INDEX($AD$2:$AU$1001,MATCH(ROWS($W$2:W421),$W$2:$W$1001,0),MATCH(COLUMNS($AD$1006:AK1006),$AD$1006:$AU$1006,0)), HYPERLINK("#",""), HYPERLINK(CONCATENATE("#metadata!", ADDRESS(INDEX($Y$2:$Y$1001,MATCH(ROWS($W$2:W421),$W$2:$W$1001,0),0), INDEX($AD$1004:$AU$1004,1,MATCH(COLUMNS($AD$1006:AK1006),$AD$1006:$AU$1006,0)))),"Fix")))</f>
        <v xml:space="preserve"> </v>
      </c>
      <c r="J421" s="4" t="str">
        <f ca="1">IF(OR(INDEX($X$2:$X$1001,MATCH(ROWS($W$2:W421),$W$2:$W$1001,0),1)&gt;=100000,INDEX($AD$1005:$AU$1005,1,MATCH(COLUMNS($AD$1006:AL1006),$AD$1006:$AU$1006,0))&gt;=100000), " ",IF(INDEX($AD$2:$AU$1001,MATCH(ROWS($W$2:W421),$W$2:$W$1001,0),MATCH(COLUMNS($AD$1006:AL1006),$AD$1006:$AU$1006,0)), HYPERLINK("#",""), HYPERLINK(CONCATENATE("#metadata!", ADDRESS(INDEX($Y$2:$Y$1001,MATCH(ROWS($W$2:W421),$W$2:$W$1001,0),0), INDEX($AD$1004:$AU$1004,1,MATCH(COLUMNS($AD$1006:AL1006),$AD$1006:$AU$1006,0)))),"Fix")))</f>
        <v xml:space="preserve"> </v>
      </c>
      <c r="K421" s="4" t="str">
        <f ca="1">IF(OR(INDEX($X$2:$X$1001,MATCH(ROWS($W$2:W421),$W$2:$W$1001,0),1)&gt;=100000,INDEX($AD$1005:$AU$1005,1,MATCH(COLUMNS($AD$1006:AM1006),$AD$1006:$AU$1006,0))&gt;=100000), " ",IF(INDEX($AD$2:$AU$1001,MATCH(ROWS($W$2:W421),$W$2:$W$1001,0),MATCH(COLUMNS($AD$1006:AM1006),$AD$1006:$AU$1006,0)), HYPERLINK("#",""), HYPERLINK(CONCATENATE("#metadata!", ADDRESS(INDEX($Y$2:$Y$1001,MATCH(ROWS($W$2:W421),$W$2:$W$1001,0),0), INDEX($AD$1004:$AU$1004,1,MATCH(COLUMNS($AD$1006:AM1006),$AD$1006:$AU$1006,0)))),"Fix")))</f>
        <v xml:space="preserve"> </v>
      </c>
      <c r="L421" s="4" t="str">
        <f ca="1">IF(OR(INDEX($X$2:$X$1001,MATCH(ROWS($W$2:W421),$W$2:$W$1001,0),1)&gt;=100000,INDEX($AD$1005:$AU$1005,1,MATCH(COLUMNS($AD$1006:AN1006),$AD$1006:$AU$1006,0))&gt;=100000), " ",IF(INDEX($AD$2:$AU$1001,MATCH(ROWS($W$2:W421),$W$2:$W$1001,0),MATCH(COLUMNS($AD$1006:AN1006),$AD$1006:$AU$1006,0)), HYPERLINK("#",""), HYPERLINK(CONCATENATE("#metadata!", ADDRESS(INDEX($Y$2:$Y$1001,MATCH(ROWS($W$2:W421),$W$2:$W$1001,0),0), INDEX($AD$1004:$AU$1004,1,MATCH(COLUMNS($AD$1006:AN1006),$AD$1006:$AU$1006,0)))),"Fix")))</f>
        <v xml:space="preserve"> </v>
      </c>
      <c r="M421" s="4" t="str">
        <f ca="1">IF(OR(INDEX($X$2:$X$1001,MATCH(ROWS($W$2:W421),$W$2:$W$1001,0),1)&gt;=100000,INDEX($AD$1005:$AU$1005,1,MATCH(COLUMNS($AD$1006:AO1006),$AD$1006:$AU$1006,0))&gt;=100000), " ",IF(INDEX($AD$2:$AU$1001,MATCH(ROWS($W$2:W421),$W$2:$W$1001,0),MATCH(COLUMNS($AD$1006:AO1006),$AD$1006:$AU$1006,0)), HYPERLINK("#",""), HYPERLINK(CONCATENATE("#metadata!", ADDRESS(INDEX($Y$2:$Y$1001,MATCH(ROWS($W$2:W421),$W$2:$W$1001,0),0), INDEX($AD$1004:$AU$1004,1,MATCH(COLUMNS($AD$1006:AO1006),$AD$1006:$AU$1006,0)))),"Fix")))</f>
        <v xml:space="preserve"> </v>
      </c>
      <c r="N421" s="4" t="str">
        <f ca="1">IF(OR(INDEX($X$2:$X$1001,MATCH(ROWS($W$2:W421),$W$2:$W$1001,0),1)&gt;=100000,INDEX($AD$1005:$AU$1005,1,MATCH(COLUMNS($AD$1006:AP1006),$AD$1006:$AU$1006,0))&gt;=100000), " ",IF(INDEX($AD$2:$AU$1001,MATCH(ROWS($W$2:W421),$W$2:$W$1001,0),MATCH(COLUMNS($AD$1006:AP1006),$AD$1006:$AU$1006,0)), HYPERLINK("#",""), HYPERLINK(CONCATENATE("#metadata!", ADDRESS(INDEX($Y$2:$Y$1001,MATCH(ROWS($W$2:W421),$W$2:$W$1001,0),0), INDEX($AD$1004:$AU$1004,1,MATCH(COLUMNS($AD$1006:AP1006),$AD$1006:$AU$1006,0)))),"Fix")))</f>
        <v xml:space="preserve"> </v>
      </c>
      <c r="O421" s="4" t="str">
        <f ca="1">IF(OR(INDEX($X$2:$X$1001,MATCH(ROWS($W$2:W421),$W$2:$W$1001,0),1)&gt;=100000,INDEX($AD$1005:$AU$1005,1,MATCH(COLUMNS($AD$1006:AQ1006),$AD$1006:$AU$1006,0))&gt;=100000), " ",IF(INDEX($AD$2:$AU$1001,MATCH(ROWS($W$2:W421),$W$2:$W$1001,0),MATCH(COLUMNS($AD$1006:AQ1006),$AD$1006:$AU$1006,0)), HYPERLINK("#",""), HYPERLINK(CONCATENATE("#metadata!", ADDRESS(INDEX($Y$2:$Y$1001,MATCH(ROWS($W$2:W421),$W$2:$W$1001,0),0), INDEX($AD$1004:$AU$1004,1,MATCH(COLUMNS($AD$1006:AQ1006),$AD$1006:$AU$1006,0)))),"Fix")))</f>
        <v xml:space="preserve"> </v>
      </c>
      <c r="P421" s="4" t="str">
        <f ca="1">IF(OR(INDEX($X$2:$X$1001,MATCH(ROWS($W$2:W421),$W$2:$W$1001,0),1)&gt;=100000,INDEX($AD$1005:$AU$1005,1,MATCH(COLUMNS($AD$1006:AR1006),$AD$1006:$AU$1006,0))&gt;=100000), " ",IF(INDEX($AD$2:$AU$1001,MATCH(ROWS($W$2:W421),$W$2:$W$1001,0),MATCH(COLUMNS($AD$1006:AR1006),$AD$1006:$AU$1006,0)), HYPERLINK("#",""), HYPERLINK(CONCATENATE("#metadata!", ADDRESS(INDEX($Y$2:$Y$1001,MATCH(ROWS($W$2:W421),$W$2:$W$1001,0),0), INDEX($AD$1004:$AU$1004,1,MATCH(COLUMNS($AD$1006:AR1006),$AD$1006:$AU$1006,0)))),"Fix")))</f>
        <v xml:space="preserve"> </v>
      </c>
      <c r="Q421" s="4" t="str">
        <f ca="1">IF(OR(INDEX($X$2:$X$1001,MATCH(ROWS($W$2:W421),$W$2:$W$1001,0),1)&gt;=100000,INDEX($AD$1005:$AU$1005,1,MATCH(COLUMNS($AD$1006:AS1006),$AD$1006:$AU$1006,0))&gt;=100000), " ",IF(INDEX($AD$2:$AU$1001,MATCH(ROWS($W$2:W421),$W$2:$W$1001,0),MATCH(COLUMNS($AD$1006:AS1006),$AD$1006:$AU$1006,0)), HYPERLINK("#",""), HYPERLINK(CONCATENATE("#metadata!", ADDRESS(INDEX($Y$2:$Y$1001,MATCH(ROWS($W$2:W421),$W$2:$W$1001,0),0), INDEX($AD$1004:$AU$1004,1,MATCH(COLUMNS($AD$1006:AS1006),$AD$1006:$AU$1006,0)))),"Fix")))</f>
        <v xml:space="preserve"> </v>
      </c>
      <c r="R421" s="4" t="str">
        <f ca="1">IF(OR(INDEX($X$2:$X$1001,MATCH(ROWS($W$2:W421),$W$2:$W$1001,0),1)&gt;=100000,INDEX($AD$1005:$AU$1005,1,MATCH(COLUMNS($AD$1006:AT1006),$AD$1006:$AU$1006,0))&gt;=100000), " ",IF(INDEX($AD$2:$AU$1001,MATCH(ROWS($W$2:W421),$W$2:$W$1001,0),MATCH(COLUMNS($AD$1006:AT1006),$AD$1006:$AU$1006,0)), HYPERLINK("#",""), HYPERLINK(CONCATENATE("#metadata!", ADDRESS(INDEX($Y$2:$Y$1001,MATCH(ROWS($W$2:W421),$W$2:$W$1001,0),0), INDEX($AD$1004:$AU$1004,1,MATCH(COLUMNS($AD$1006:AT1006),$AD$1006:$AU$1006,0)))),"Fix")))</f>
        <v xml:space="preserve"> </v>
      </c>
      <c r="S421" s="4" t="str">
        <f ca="1">IF(OR(INDEX($X$2:$X$1001,MATCH(ROWS($W$2:W421),$W$2:$W$1001,0),1)&gt;=100000,INDEX($AD$1005:$AU$1005,1,MATCH(COLUMNS($AD$1006:AU1006),$AD$1006:$AU$1006,0))&gt;=100000), " ",IF(INDEX($AD$2:$AU$1001,MATCH(ROWS($W$2:W421),$W$2:$W$1001,0),MATCH(COLUMNS($AD$1006:AU1006),$AD$1006:$AU$1006,0)), HYPERLINK("#",""), HYPERLINK(CONCATENATE("#metadata!", ADDRESS(INDEX($Y$2:$Y$1001,MATCH(ROWS($W$2:W421),$W$2:$W$1001,0),0), INDEX($AD$1004:$AU$1004,1,MATCH(COLUMNS($AD$1006:AU1006),$AD$1006:$AU$1006,0)))),"Fix")))</f>
        <v xml:space="preserve"> </v>
      </c>
      <c r="W421">
        <v>420</v>
      </c>
      <c r="X421">
        <v>100421</v>
      </c>
      <c r="Y421">
        <v>421</v>
      </c>
      <c r="Z421" t="b">
        <f t="shared" si="6"/>
        <v>1</v>
      </c>
      <c r="AA421" t="b">
        <f>COUNTBLANK(metadata!B421:S421)=COLUMNS(metadata!B421:S421)</f>
        <v>1</v>
      </c>
      <c r="AB421" t="str">
        <v/>
      </c>
      <c r="AD421" t="b">
        <f ca="1">AND(IF(metadata!B421="",FALSE,TRUE),COUNTIF(metadata!B:B, metadata!B421) = 1,NOT(ISERROR(SUMPRODUCT(SEARCH(MID(metadata!B421,ROW(INDIRECT("1:"&amp;LEN(metadata!B421))), 1),"0123456789abcdefghijklmnopqrstuvwxyzABCDEFGHIJKLMNOPQRSTUVWXYZ.")))))</f>
        <v>0</v>
      </c>
      <c r="AE421" t="b">
        <f>OR(AND(IF(metadata!C421="",FALSE,TRUE),OR(EXACT(metadata!C421,"not applicable"),EXACT(metadata!C421,"missing: not collected"),EXACT(metadata!C421,"missing: not provided"),EXACT(metadata!C421,"missing: restricted access"))),AND(IF(metadata!C421="",FALSE,ISNUMBER(VALUE(metadata!C421))),metadata!C421&gt;0))</f>
        <v>0</v>
      </c>
      <c r="AF421" t="b">
        <f>AND(IF(metadata!D421="",FALSE,TRUE),EXACT(metadata!D421,"missing: not provided"))</f>
        <v>0</v>
      </c>
      <c r="AG421" t="b">
        <f>AND(IF(metadata!E421="",FALSE,TRUE),EXACT(metadata!E421,"Host-associated"))</f>
        <v>0</v>
      </c>
      <c r="AH421" t="b">
        <f>AND(IF(metadata!F421="",FALSE,TRUE),OR(EXACT(metadata!F421,"Animal"),EXACT(metadata!F421,"Fungus"),EXACT(metadata!F421,"Plant")))</f>
        <v>0</v>
      </c>
      <c r="AI421" t="b">
        <f>AND(IF(metadata!G421="",FALSE,TRUE),OR(EXACT(metadata!G421,"Plant secretion"),EXACT(metadata!G421,"Plant rhizosphere"),EXACT(metadata!G421,"Plant surface"),EXACT(metadata!G421,"Plant corpus"),EXACT(metadata!G421,"Fungus surface"),EXACT(metadata!G421,"Fungus corpus"),EXACT(metadata!G421,"Animal surface"),EXACT(metadata!G421,"Animal proximal gut"),EXACT(metadata!G421,"Animal corpus"),EXACT(metadata!G421,"Animal distal gut"),EXACT(metadata!G421,"Animal secretion")))</f>
        <v>0</v>
      </c>
      <c r="AJ421" t="b">
        <f>OR(AND(IF(metadata!H421="",FALSE,TRUE),OR(EXACT(metadata!H421,"missing: not collected"),EXACT(metadata!H421,"missing: not provided"),EXACT(metadata!H421,"missing: restricted access"))),AND(IF(metadata!H421="",FALSE,TRUE),OR(EXACT(metadata!H421,"organism-associated habitat"),EXACT(metadata!H421,"plant-associated habitat"),EXACT(metadata!H421,"animal-associated habitat"),EXACT(metadata!H421,"insecta-associated habitat"),EXACT(metadata!H421,"mammalia-associated habitat"),EXACT(metadata!H421,"human-associated habitat"),EXACT(metadata!H421,"livestock-associated habitat"))))</f>
        <v>0</v>
      </c>
      <c r="AK421" t="b">
        <f>AND(IF(metadata!I421="",FALSE,TRUE),EXACT(metadata!I421,"host-associated"))</f>
        <v>0</v>
      </c>
      <c r="AL421" t="b">
        <f>OR(AND(IF(metadata!J421="",FALSE,TRUE),OR(EXACT(metadata!J421,"not applicable"),EXACT(metadata!J421,"missing: not collected"),EXACT(metadata!J421,"missing: not provided"),EXACT(metadata!J421,"missing: restricted access"))),AND(IF(metadata!J421="",FALSE,ISNUMBER(VALUE(metadata!J421))),metadata!J421&gt;0))</f>
        <v>0</v>
      </c>
      <c r="AM421" t="b">
        <f>AND(IF(metadata!K421="",FALSE,TRUE),EXACT(metadata!K421,"missing: not provided"))</f>
        <v>0</v>
      </c>
      <c r="AN421" t="b">
        <f>IF(metadata!L421="",FALSE,TRUE)</f>
        <v>0</v>
      </c>
      <c r="AO421" t="b">
        <f>IF(metadata!M421="",FALSE,TRUE)</f>
        <v>0</v>
      </c>
      <c r="AP421" t="b">
        <f>OR(AND(IF(metadata!N421="",FALSE,TRUE),OR(EXACT(metadata!N421,"not applicable"),EXACT(metadata!N421,"missing: not collected"),EXACT(metadata!N421,"missing: not provided"))),AND(IF(metadata!N421="",FALSE,IF(ISERROR(INT(metadata!N421)),FALSE,INT(metadata!N421)=metadata!N421)),metadata!N421&gt;0))</f>
        <v>0</v>
      </c>
      <c r="AQ421" t="b">
        <f>AND(IF(metadata!O421="",FALSE,TRUE),EXACT(metadata!O421,"Not applicable"))</f>
        <v>0</v>
      </c>
      <c r="AR421" t="b">
        <f>OR(AND(IF(metadata!P421="",FALSE,TRUE),OR(EXACT(metadata!P421,"not applicable"),EXACT(metadata!P421,"missing: not collected"),EXACT(metadata!P421,"missing: not provided"),EXACT(metadata!P421,"missing: restricted access"))),IF(metadata!P421="",FALSE,IF(ISERROR(INT(metadata!P421)),FALSE,INT(metadata!P421)=metadata!P421)))</f>
        <v>0</v>
      </c>
      <c r="AS421" t="b">
        <f>AND(IF(metadata!Q421="",FALSE,TRUE),EXACT(metadata!Q421,"Not applicable"))</f>
        <v>0</v>
      </c>
      <c r="AT421" t="b">
        <f>OR(AND(IF(metadata!R421="",FALSE,TRUE),OR(EXACT(metadata!R421,"not applicable"),EXACT(metadata!R421,"missing: not collected"),EXACT(metadata!R421,"missing: not provided"),EXACT(metadata!R421,"missing: restricted access"))),AND(IF(metadata!R421="",FALSE,ISNUMBER(VALUE(metadata!R421))),metadata!R421&gt;0))</f>
        <v>0</v>
      </c>
      <c r="AU421" t="b">
        <f>AND(IF(metadata!S421="",FALSE,TRUE),EXACT(metadata!S421,"missing: not provided"))</f>
        <v>0</v>
      </c>
    </row>
    <row r="422" spans="1:47" x14ac:dyDescent="0.2">
      <c r="A422" s="5" t="str">
        <f ca="1">IF(B422=" "," ",HYPERLINK(CONCATENATE("#metadata!",ADDRESS(INDEX($Y$2:$Y$1001,MATCH(ROWS($W$2:W422),$W$2:$W$1001,0),0),1)),INDEX($AB$2:$AB$1001,MATCH(ROWS($W$2:W422),$W$2:$W$1001,0),0)))</f>
        <v xml:space="preserve"> </v>
      </c>
      <c r="B422" s="4" t="str">
        <f ca="1">IF(OR(INDEX($X$2:$X$1001,MATCH(ROWS($W$2:W422),$W$2:$W$1001,0),1)&gt;=100000,INDEX($AD$1005:$AU$1005,1,MATCH(COLUMNS($AD$1006:AD1006),$AD$1006:$AU$1006,0))&gt;=100000), " ",IF(INDEX($AD$2:$AU$1001,MATCH(ROWS($W$2:W422),$W$2:$W$1001,0),MATCH(COLUMNS($AD$1006:AD1006),$AD$1006:$AU$1006,0)), HYPERLINK("#",""), HYPERLINK(CONCATENATE("#metadata!", ADDRESS(INDEX($Y$2:$Y$1001,MATCH(ROWS($W$2:W422),$W$2:$W$1001,0),0), INDEX($AD$1004:$AU$1004,1,MATCH(COLUMNS($AD$1006:AD1006),$AD$1006:$AU$1006,0)))),"Fix")))</f>
        <v xml:space="preserve"> </v>
      </c>
      <c r="C422" s="4" t="str">
        <f ca="1">IF(OR(INDEX($X$2:$X$1001,MATCH(ROWS($W$2:W422),$W$2:$W$1001,0),1)&gt;=100000,INDEX($AD$1005:$AU$1005,1,MATCH(COLUMNS($AD$1006:AE1006),$AD$1006:$AU$1006,0))&gt;=100000), " ",IF(INDEX($AD$2:$AU$1001,MATCH(ROWS($W$2:W422),$W$2:$W$1001,0),MATCH(COLUMNS($AD$1006:AE1006),$AD$1006:$AU$1006,0)), HYPERLINK("#",""), HYPERLINK(CONCATENATE("#metadata!", ADDRESS(INDEX($Y$2:$Y$1001,MATCH(ROWS($W$2:W422),$W$2:$W$1001,0),0), INDEX($AD$1004:$AU$1004,1,MATCH(COLUMNS($AD$1006:AE1006),$AD$1006:$AU$1006,0)))),"Fix")))</f>
        <v xml:space="preserve"> </v>
      </c>
      <c r="D422" s="4" t="str">
        <f ca="1">IF(OR(INDEX($X$2:$X$1001,MATCH(ROWS($W$2:W422),$W$2:$W$1001,0),1)&gt;=100000,INDEX($AD$1005:$AU$1005,1,MATCH(COLUMNS($AD$1006:AF1006),$AD$1006:$AU$1006,0))&gt;=100000), " ",IF(INDEX($AD$2:$AU$1001,MATCH(ROWS($W$2:W422),$W$2:$W$1001,0),MATCH(COLUMNS($AD$1006:AF1006),$AD$1006:$AU$1006,0)), HYPERLINK("#",""), HYPERLINK(CONCATENATE("#metadata!", ADDRESS(INDEX($Y$2:$Y$1001,MATCH(ROWS($W$2:W422),$W$2:$W$1001,0),0), INDEX($AD$1004:$AU$1004,1,MATCH(COLUMNS($AD$1006:AF1006),$AD$1006:$AU$1006,0)))),"Fix")))</f>
        <v xml:space="preserve"> </v>
      </c>
      <c r="E422" s="4" t="str">
        <f ca="1">IF(OR(INDEX($X$2:$X$1001,MATCH(ROWS($W$2:W422),$W$2:$W$1001,0),1)&gt;=100000,INDEX($AD$1005:$AU$1005,1,MATCH(COLUMNS($AD$1006:AG1006),$AD$1006:$AU$1006,0))&gt;=100000), " ",IF(INDEX($AD$2:$AU$1001,MATCH(ROWS($W$2:W422),$W$2:$W$1001,0),MATCH(COLUMNS($AD$1006:AG1006),$AD$1006:$AU$1006,0)), HYPERLINK("#",""), HYPERLINK(CONCATENATE("#metadata!", ADDRESS(INDEX($Y$2:$Y$1001,MATCH(ROWS($W$2:W422),$W$2:$W$1001,0),0), INDEX($AD$1004:$AU$1004,1,MATCH(COLUMNS($AD$1006:AG1006),$AD$1006:$AU$1006,0)))),"Fix")))</f>
        <v xml:space="preserve"> </v>
      </c>
      <c r="F422" s="4" t="str">
        <f ca="1">IF(OR(INDEX($X$2:$X$1001,MATCH(ROWS($W$2:W422),$W$2:$W$1001,0),1)&gt;=100000,INDEX($AD$1005:$AU$1005,1,MATCH(COLUMNS($AD$1006:AH1006),$AD$1006:$AU$1006,0))&gt;=100000), " ",IF(INDEX($AD$2:$AU$1001,MATCH(ROWS($W$2:W422),$W$2:$W$1001,0),MATCH(COLUMNS($AD$1006:AH1006),$AD$1006:$AU$1006,0)), HYPERLINK("#",""), HYPERLINK(CONCATENATE("#metadata!", ADDRESS(INDEX($Y$2:$Y$1001,MATCH(ROWS($W$2:W422),$W$2:$W$1001,0),0), INDEX($AD$1004:$AU$1004,1,MATCH(COLUMNS($AD$1006:AH1006),$AD$1006:$AU$1006,0)))),"Fix")))</f>
        <v xml:space="preserve"> </v>
      </c>
      <c r="G422" s="4" t="str">
        <f ca="1">IF(OR(INDEX($X$2:$X$1001,MATCH(ROWS($W$2:W422),$W$2:$W$1001,0),1)&gt;=100000,INDEX($AD$1005:$AU$1005,1,MATCH(COLUMNS($AD$1006:AI1006),$AD$1006:$AU$1006,0))&gt;=100000), " ",IF(INDEX($AD$2:$AU$1001,MATCH(ROWS($W$2:W422),$W$2:$W$1001,0),MATCH(COLUMNS($AD$1006:AI1006),$AD$1006:$AU$1006,0)), HYPERLINK("#",""), HYPERLINK(CONCATENATE("#metadata!", ADDRESS(INDEX($Y$2:$Y$1001,MATCH(ROWS($W$2:W422),$W$2:$W$1001,0),0), INDEX($AD$1004:$AU$1004,1,MATCH(COLUMNS($AD$1006:AI1006),$AD$1006:$AU$1006,0)))),"Fix")))</f>
        <v xml:space="preserve"> </v>
      </c>
      <c r="H422" s="4" t="str">
        <f ca="1">IF(OR(INDEX($X$2:$X$1001,MATCH(ROWS($W$2:W422),$W$2:$W$1001,0),1)&gt;=100000,INDEX($AD$1005:$AU$1005,1,MATCH(COLUMNS($AD$1006:AJ1006),$AD$1006:$AU$1006,0))&gt;=100000), " ",IF(INDEX($AD$2:$AU$1001,MATCH(ROWS($W$2:W422),$W$2:$W$1001,0),MATCH(COLUMNS($AD$1006:AJ1006),$AD$1006:$AU$1006,0)), HYPERLINK("#",""), HYPERLINK(CONCATENATE("#metadata!", ADDRESS(INDEX($Y$2:$Y$1001,MATCH(ROWS($W$2:W422),$W$2:$W$1001,0),0), INDEX($AD$1004:$AU$1004,1,MATCH(COLUMNS($AD$1006:AJ1006),$AD$1006:$AU$1006,0)))),"Fix")))</f>
        <v xml:space="preserve"> </v>
      </c>
      <c r="I422" s="4" t="str">
        <f ca="1">IF(OR(INDEX($X$2:$X$1001,MATCH(ROWS($W$2:W422),$W$2:$W$1001,0),1)&gt;=100000,INDEX($AD$1005:$AU$1005,1,MATCH(COLUMNS($AD$1006:AK1006),$AD$1006:$AU$1006,0))&gt;=100000), " ",IF(INDEX($AD$2:$AU$1001,MATCH(ROWS($W$2:W422),$W$2:$W$1001,0),MATCH(COLUMNS($AD$1006:AK1006),$AD$1006:$AU$1006,0)), HYPERLINK("#",""), HYPERLINK(CONCATENATE("#metadata!", ADDRESS(INDEX($Y$2:$Y$1001,MATCH(ROWS($W$2:W422),$W$2:$W$1001,0),0), INDEX($AD$1004:$AU$1004,1,MATCH(COLUMNS($AD$1006:AK1006),$AD$1006:$AU$1006,0)))),"Fix")))</f>
        <v xml:space="preserve"> </v>
      </c>
      <c r="J422" s="4" t="str">
        <f ca="1">IF(OR(INDEX($X$2:$X$1001,MATCH(ROWS($W$2:W422),$W$2:$W$1001,0),1)&gt;=100000,INDEX($AD$1005:$AU$1005,1,MATCH(COLUMNS($AD$1006:AL1006),$AD$1006:$AU$1006,0))&gt;=100000), " ",IF(INDEX($AD$2:$AU$1001,MATCH(ROWS($W$2:W422),$W$2:$W$1001,0),MATCH(COLUMNS($AD$1006:AL1006),$AD$1006:$AU$1006,0)), HYPERLINK("#",""), HYPERLINK(CONCATENATE("#metadata!", ADDRESS(INDEX($Y$2:$Y$1001,MATCH(ROWS($W$2:W422),$W$2:$W$1001,0),0), INDEX($AD$1004:$AU$1004,1,MATCH(COLUMNS($AD$1006:AL1006),$AD$1006:$AU$1006,0)))),"Fix")))</f>
        <v xml:space="preserve"> </v>
      </c>
      <c r="K422" s="4" t="str">
        <f ca="1">IF(OR(INDEX($X$2:$X$1001,MATCH(ROWS($W$2:W422),$W$2:$W$1001,0),1)&gt;=100000,INDEX($AD$1005:$AU$1005,1,MATCH(COLUMNS($AD$1006:AM1006),$AD$1006:$AU$1006,0))&gt;=100000), " ",IF(INDEX($AD$2:$AU$1001,MATCH(ROWS($W$2:W422),$W$2:$W$1001,0),MATCH(COLUMNS($AD$1006:AM1006),$AD$1006:$AU$1006,0)), HYPERLINK("#",""), HYPERLINK(CONCATENATE("#metadata!", ADDRESS(INDEX($Y$2:$Y$1001,MATCH(ROWS($W$2:W422),$W$2:$W$1001,0),0), INDEX($AD$1004:$AU$1004,1,MATCH(COLUMNS($AD$1006:AM1006),$AD$1006:$AU$1006,0)))),"Fix")))</f>
        <v xml:space="preserve"> </v>
      </c>
      <c r="L422" s="4" t="str">
        <f ca="1">IF(OR(INDEX($X$2:$X$1001,MATCH(ROWS($W$2:W422),$W$2:$W$1001,0),1)&gt;=100000,INDEX($AD$1005:$AU$1005,1,MATCH(COLUMNS($AD$1006:AN1006),$AD$1006:$AU$1006,0))&gt;=100000), " ",IF(INDEX($AD$2:$AU$1001,MATCH(ROWS($W$2:W422),$W$2:$W$1001,0),MATCH(COLUMNS($AD$1006:AN1006),$AD$1006:$AU$1006,0)), HYPERLINK("#",""), HYPERLINK(CONCATENATE("#metadata!", ADDRESS(INDEX($Y$2:$Y$1001,MATCH(ROWS($W$2:W422),$W$2:$W$1001,0),0), INDEX($AD$1004:$AU$1004,1,MATCH(COLUMNS($AD$1006:AN1006),$AD$1006:$AU$1006,0)))),"Fix")))</f>
        <v xml:space="preserve"> </v>
      </c>
      <c r="M422" s="4" t="str">
        <f ca="1">IF(OR(INDEX($X$2:$X$1001,MATCH(ROWS($W$2:W422),$W$2:$W$1001,0),1)&gt;=100000,INDEX($AD$1005:$AU$1005,1,MATCH(COLUMNS($AD$1006:AO1006),$AD$1006:$AU$1006,0))&gt;=100000), " ",IF(INDEX($AD$2:$AU$1001,MATCH(ROWS($W$2:W422),$W$2:$W$1001,0),MATCH(COLUMNS($AD$1006:AO1006),$AD$1006:$AU$1006,0)), HYPERLINK("#",""), HYPERLINK(CONCATENATE("#metadata!", ADDRESS(INDEX($Y$2:$Y$1001,MATCH(ROWS($W$2:W422),$W$2:$W$1001,0),0), INDEX($AD$1004:$AU$1004,1,MATCH(COLUMNS($AD$1006:AO1006),$AD$1006:$AU$1006,0)))),"Fix")))</f>
        <v xml:space="preserve"> </v>
      </c>
      <c r="N422" s="4" t="str">
        <f ca="1">IF(OR(INDEX($X$2:$X$1001,MATCH(ROWS($W$2:W422),$W$2:$W$1001,0),1)&gt;=100000,INDEX($AD$1005:$AU$1005,1,MATCH(COLUMNS($AD$1006:AP1006),$AD$1006:$AU$1006,0))&gt;=100000), " ",IF(INDEX($AD$2:$AU$1001,MATCH(ROWS($W$2:W422),$W$2:$W$1001,0),MATCH(COLUMNS($AD$1006:AP1006),$AD$1006:$AU$1006,0)), HYPERLINK("#",""), HYPERLINK(CONCATENATE("#metadata!", ADDRESS(INDEX($Y$2:$Y$1001,MATCH(ROWS($W$2:W422),$W$2:$W$1001,0),0), INDEX($AD$1004:$AU$1004,1,MATCH(COLUMNS($AD$1006:AP1006),$AD$1006:$AU$1006,0)))),"Fix")))</f>
        <v xml:space="preserve"> </v>
      </c>
      <c r="O422" s="4" t="str">
        <f ca="1">IF(OR(INDEX($X$2:$X$1001,MATCH(ROWS($W$2:W422),$W$2:$W$1001,0),1)&gt;=100000,INDEX($AD$1005:$AU$1005,1,MATCH(COLUMNS($AD$1006:AQ1006),$AD$1006:$AU$1006,0))&gt;=100000), " ",IF(INDEX($AD$2:$AU$1001,MATCH(ROWS($W$2:W422),$W$2:$W$1001,0),MATCH(COLUMNS($AD$1006:AQ1006),$AD$1006:$AU$1006,0)), HYPERLINK("#",""), HYPERLINK(CONCATENATE("#metadata!", ADDRESS(INDEX($Y$2:$Y$1001,MATCH(ROWS($W$2:W422),$W$2:$W$1001,0),0), INDEX($AD$1004:$AU$1004,1,MATCH(COLUMNS($AD$1006:AQ1006),$AD$1006:$AU$1006,0)))),"Fix")))</f>
        <v xml:space="preserve"> </v>
      </c>
      <c r="P422" s="4" t="str">
        <f ca="1">IF(OR(INDEX($X$2:$X$1001,MATCH(ROWS($W$2:W422),$W$2:$W$1001,0),1)&gt;=100000,INDEX($AD$1005:$AU$1005,1,MATCH(COLUMNS($AD$1006:AR1006),$AD$1006:$AU$1006,0))&gt;=100000), " ",IF(INDEX($AD$2:$AU$1001,MATCH(ROWS($W$2:W422),$W$2:$W$1001,0),MATCH(COLUMNS($AD$1006:AR1006),$AD$1006:$AU$1006,0)), HYPERLINK("#",""), HYPERLINK(CONCATENATE("#metadata!", ADDRESS(INDEX($Y$2:$Y$1001,MATCH(ROWS($W$2:W422),$W$2:$W$1001,0),0), INDEX($AD$1004:$AU$1004,1,MATCH(COLUMNS($AD$1006:AR1006),$AD$1006:$AU$1006,0)))),"Fix")))</f>
        <v xml:space="preserve"> </v>
      </c>
      <c r="Q422" s="4" t="str">
        <f ca="1">IF(OR(INDEX($X$2:$X$1001,MATCH(ROWS($W$2:W422),$W$2:$W$1001,0),1)&gt;=100000,INDEX($AD$1005:$AU$1005,1,MATCH(COLUMNS($AD$1006:AS1006),$AD$1006:$AU$1006,0))&gt;=100000), " ",IF(INDEX($AD$2:$AU$1001,MATCH(ROWS($W$2:W422),$W$2:$W$1001,0),MATCH(COLUMNS($AD$1006:AS1006),$AD$1006:$AU$1006,0)), HYPERLINK("#",""), HYPERLINK(CONCATENATE("#metadata!", ADDRESS(INDEX($Y$2:$Y$1001,MATCH(ROWS($W$2:W422),$W$2:$W$1001,0),0), INDEX($AD$1004:$AU$1004,1,MATCH(COLUMNS($AD$1006:AS1006),$AD$1006:$AU$1006,0)))),"Fix")))</f>
        <v xml:space="preserve"> </v>
      </c>
      <c r="R422" s="4" t="str">
        <f ca="1">IF(OR(INDEX($X$2:$X$1001,MATCH(ROWS($W$2:W422),$W$2:$W$1001,0),1)&gt;=100000,INDEX($AD$1005:$AU$1005,1,MATCH(COLUMNS($AD$1006:AT1006),$AD$1006:$AU$1006,0))&gt;=100000), " ",IF(INDEX($AD$2:$AU$1001,MATCH(ROWS($W$2:W422),$W$2:$W$1001,0),MATCH(COLUMNS($AD$1006:AT1006),$AD$1006:$AU$1006,0)), HYPERLINK("#",""), HYPERLINK(CONCATENATE("#metadata!", ADDRESS(INDEX($Y$2:$Y$1001,MATCH(ROWS($W$2:W422),$W$2:$W$1001,0),0), INDEX($AD$1004:$AU$1004,1,MATCH(COLUMNS($AD$1006:AT1006),$AD$1006:$AU$1006,0)))),"Fix")))</f>
        <v xml:space="preserve"> </v>
      </c>
      <c r="S422" s="4" t="str">
        <f ca="1">IF(OR(INDEX($X$2:$X$1001,MATCH(ROWS($W$2:W422),$W$2:$W$1001,0),1)&gt;=100000,INDEX($AD$1005:$AU$1005,1,MATCH(COLUMNS($AD$1006:AU1006),$AD$1006:$AU$1006,0))&gt;=100000), " ",IF(INDEX($AD$2:$AU$1001,MATCH(ROWS($W$2:W422),$W$2:$W$1001,0),MATCH(COLUMNS($AD$1006:AU1006),$AD$1006:$AU$1006,0)), HYPERLINK("#",""), HYPERLINK(CONCATENATE("#metadata!", ADDRESS(INDEX($Y$2:$Y$1001,MATCH(ROWS($W$2:W422),$W$2:$W$1001,0),0), INDEX($AD$1004:$AU$1004,1,MATCH(COLUMNS($AD$1006:AU1006),$AD$1006:$AU$1006,0)))),"Fix")))</f>
        <v xml:space="preserve"> </v>
      </c>
      <c r="W422">
        <v>421</v>
      </c>
      <c r="X422">
        <v>100422</v>
      </c>
      <c r="Y422">
        <v>422</v>
      </c>
      <c r="Z422" t="b">
        <f t="shared" si="6"/>
        <v>1</v>
      </c>
      <c r="AA422" t="b">
        <f>COUNTBLANK(metadata!B422:S422)=COLUMNS(metadata!B422:S422)</f>
        <v>1</v>
      </c>
      <c r="AB422" t="str">
        <v/>
      </c>
      <c r="AD422" t="b">
        <f ca="1">AND(IF(metadata!B422="",FALSE,TRUE),COUNTIF(metadata!B:B, metadata!B422) = 1,NOT(ISERROR(SUMPRODUCT(SEARCH(MID(metadata!B422,ROW(INDIRECT("1:"&amp;LEN(metadata!B422))), 1),"0123456789abcdefghijklmnopqrstuvwxyzABCDEFGHIJKLMNOPQRSTUVWXYZ.")))))</f>
        <v>0</v>
      </c>
      <c r="AE422" t="b">
        <f>OR(AND(IF(metadata!C422="",FALSE,TRUE),OR(EXACT(metadata!C422,"not applicable"),EXACT(metadata!C422,"missing: not collected"),EXACT(metadata!C422,"missing: not provided"),EXACT(metadata!C422,"missing: restricted access"))),AND(IF(metadata!C422="",FALSE,ISNUMBER(VALUE(metadata!C422))),metadata!C422&gt;0))</f>
        <v>0</v>
      </c>
      <c r="AF422" t="b">
        <f>AND(IF(metadata!D422="",FALSE,TRUE),EXACT(metadata!D422,"missing: not provided"))</f>
        <v>0</v>
      </c>
      <c r="AG422" t="b">
        <f>AND(IF(metadata!E422="",FALSE,TRUE),EXACT(metadata!E422,"Host-associated"))</f>
        <v>0</v>
      </c>
      <c r="AH422" t="b">
        <f>AND(IF(metadata!F422="",FALSE,TRUE),OR(EXACT(metadata!F422,"Animal"),EXACT(metadata!F422,"Fungus"),EXACT(metadata!F422,"Plant")))</f>
        <v>0</v>
      </c>
      <c r="AI422" t="b">
        <f>AND(IF(metadata!G422="",FALSE,TRUE),OR(EXACT(metadata!G422,"Plant secretion"),EXACT(metadata!G422,"Plant rhizosphere"),EXACT(metadata!G422,"Plant surface"),EXACT(metadata!G422,"Plant corpus"),EXACT(metadata!G422,"Fungus surface"),EXACT(metadata!G422,"Fungus corpus"),EXACT(metadata!G422,"Animal surface"),EXACT(metadata!G422,"Animal proximal gut"),EXACT(metadata!G422,"Animal corpus"),EXACT(metadata!G422,"Animal distal gut"),EXACT(metadata!G422,"Animal secretion")))</f>
        <v>0</v>
      </c>
      <c r="AJ422" t="b">
        <f>OR(AND(IF(metadata!H422="",FALSE,TRUE),OR(EXACT(metadata!H422,"missing: not collected"),EXACT(metadata!H422,"missing: not provided"),EXACT(metadata!H422,"missing: restricted access"))),AND(IF(metadata!H422="",FALSE,TRUE),OR(EXACT(metadata!H422,"organism-associated habitat"),EXACT(metadata!H422,"plant-associated habitat"),EXACT(metadata!H422,"animal-associated habitat"),EXACT(metadata!H422,"insecta-associated habitat"),EXACT(metadata!H422,"mammalia-associated habitat"),EXACT(metadata!H422,"human-associated habitat"),EXACT(metadata!H422,"livestock-associated habitat"))))</f>
        <v>0</v>
      </c>
      <c r="AK422" t="b">
        <f>AND(IF(metadata!I422="",FALSE,TRUE),EXACT(metadata!I422,"host-associated"))</f>
        <v>0</v>
      </c>
      <c r="AL422" t="b">
        <f>OR(AND(IF(metadata!J422="",FALSE,TRUE),OR(EXACT(metadata!J422,"not applicable"),EXACT(metadata!J422,"missing: not collected"),EXACT(metadata!J422,"missing: not provided"),EXACT(metadata!J422,"missing: restricted access"))),AND(IF(metadata!J422="",FALSE,ISNUMBER(VALUE(metadata!J422))),metadata!J422&gt;0))</f>
        <v>0</v>
      </c>
      <c r="AM422" t="b">
        <f>AND(IF(metadata!K422="",FALSE,TRUE),EXACT(metadata!K422,"missing: not provided"))</f>
        <v>0</v>
      </c>
      <c r="AN422" t="b">
        <f>IF(metadata!L422="",FALSE,TRUE)</f>
        <v>0</v>
      </c>
      <c r="AO422" t="b">
        <f>IF(metadata!M422="",FALSE,TRUE)</f>
        <v>0</v>
      </c>
      <c r="AP422" t="b">
        <f>OR(AND(IF(metadata!N422="",FALSE,TRUE),OR(EXACT(metadata!N422,"not applicable"),EXACT(metadata!N422,"missing: not collected"),EXACT(metadata!N422,"missing: not provided"))),AND(IF(metadata!N422="",FALSE,IF(ISERROR(INT(metadata!N422)),FALSE,INT(metadata!N422)=metadata!N422)),metadata!N422&gt;0))</f>
        <v>0</v>
      </c>
      <c r="AQ422" t="b">
        <f>AND(IF(metadata!O422="",FALSE,TRUE),EXACT(metadata!O422,"Not applicable"))</f>
        <v>0</v>
      </c>
      <c r="AR422" t="b">
        <f>OR(AND(IF(metadata!P422="",FALSE,TRUE),OR(EXACT(metadata!P422,"not applicable"),EXACT(metadata!P422,"missing: not collected"),EXACT(metadata!P422,"missing: not provided"),EXACT(metadata!P422,"missing: restricted access"))),IF(metadata!P422="",FALSE,IF(ISERROR(INT(metadata!P422)),FALSE,INT(metadata!P422)=metadata!P422)))</f>
        <v>0</v>
      </c>
      <c r="AS422" t="b">
        <f>AND(IF(metadata!Q422="",FALSE,TRUE),EXACT(metadata!Q422,"Not applicable"))</f>
        <v>0</v>
      </c>
      <c r="AT422" t="b">
        <f>OR(AND(IF(metadata!R422="",FALSE,TRUE),OR(EXACT(metadata!R422,"not applicable"),EXACT(metadata!R422,"missing: not collected"),EXACT(metadata!R422,"missing: not provided"),EXACT(metadata!R422,"missing: restricted access"))),AND(IF(metadata!R422="",FALSE,ISNUMBER(VALUE(metadata!R422))),metadata!R422&gt;0))</f>
        <v>0</v>
      </c>
      <c r="AU422" t="b">
        <f>AND(IF(metadata!S422="",FALSE,TRUE),EXACT(metadata!S422,"missing: not provided"))</f>
        <v>0</v>
      </c>
    </row>
    <row r="423" spans="1:47" x14ac:dyDescent="0.2">
      <c r="A423" s="5" t="str">
        <f ca="1">IF(B423=" "," ",HYPERLINK(CONCATENATE("#metadata!",ADDRESS(INDEX($Y$2:$Y$1001,MATCH(ROWS($W$2:W423),$W$2:$W$1001,0),0),1)),INDEX($AB$2:$AB$1001,MATCH(ROWS($W$2:W423),$W$2:$W$1001,0),0)))</f>
        <v xml:space="preserve"> </v>
      </c>
      <c r="B423" s="4" t="str">
        <f ca="1">IF(OR(INDEX($X$2:$X$1001,MATCH(ROWS($W$2:W423),$W$2:$W$1001,0),1)&gt;=100000,INDEX($AD$1005:$AU$1005,1,MATCH(COLUMNS($AD$1006:AD1006),$AD$1006:$AU$1006,0))&gt;=100000), " ",IF(INDEX($AD$2:$AU$1001,MATCH(ROWS($W$2:W423),$W$2:$W$1001,0),MATCH(COLUMNS($AD$1006:AD1006),$AD$1006:$AU$1006,0)), HYPERLINK("#",""), HYPERLINK(CONCATENATE("#metadata!", ADDRESS(INDEX($Y$2:$Y$1001,MATCH(ROWS($W$2:W423),$W$2:$W$1001,0),0), INDEX($AD$1004:$AU$1004,1,MATCH(COLUMNS($AD$1006:AD1006),$AD$1006:$AU$1006,0)))),"Fix")))</f>
        <v xml:space="preserve"> </v>
      </c>
      <c r="C423" s="4" t="str">
        <f ca="1">IF(OR(INDEX($X$2:$X$1001,MATCH(ROWS($W$2:W423),$W$2:$W$1001,0),1)&gt;=100000,INDEX($AD$1005:$AU$1005,1,MATCH(COLUMNS($AD$1006:AE1006),$AD$1006:$AU$1006,0))&gt;=100000), " ",IF(INDEX($AD$2:$AU$1001,MATCH(ROWS($W$2:W423),$W$2:$W$1001,0),MATCH(COLUMNS($AD$1006:AE1006),$AD$1006:$AU$1006,0)), HYPERLINK("#",""), HYPERLINK(CONCATENATE("#metadata!", ADDRESS(INDEX($Y$2:$Y$1001,MATCH(ROWS($W$2:W423),$W$2:$W$1001,0),0), INDEX($AD$1004:$AU$1004,1,MATCH(COLUMNS($AD$1006:AE1006),$AD$1006:$AU$1006,0)))),"Fix")))</f>
        <v xml:space="preserve"> </v>
      </c>
      <c r="D423" s="4" t="str">
        <f ca="1">IF(OR(INDEX($X$2:$X$1001,MATCH(ROWS($W$2:W423),$W$2:$W$1001,0),1)&gt;=100000,INDEX($AD$1005:$AU$1005,1,MATCH(COLUMNS($AD$1006:AF1006),$AD$1006:$AU$1006,0))&gt;=100000), " ",IF(INDEX($AD$2:$AU$1001,MATCH(ROWS($W$2:W423),$W$2:$W$1001,0),MATCH(COLUMNS($AD$1006:AF1006),$AD$1006:$AU$1006,0)), HYPERLINK("#",""), HYPERLINK(CONCATENATE("#metadata!", ADDRESS(INDEX($Y$2:$Y$1001,MATCH(ROWS($W$2:W423),$W$2:$W$1001,0),0), INDEX($AD$1004:$AU$1004,1,MATCH(COLUMNS($AD$1006:AF1006),$AD$1006:$AU$1006,0)))),"Fix")))</f>
        <v xml:space="preserve"> </v>
      </c>
      <c r="E423" s="4" t="str">
        <f ca="1">IF(OR(INDEX($X$2:$X$1001,MATCH(ROWS($W$2:W423),$W$2:$W$1001,0),1)&gt;=100000,INDEX($AD$1005:$AU$1005,1,MATCH(COLUMNS($AD$1006:AG1006),$AD$1006:$AU$1006,0))&gt;=100000), " ",IF(INDEX($AD$2:$AU$1001,MATCH(ROWS($W$2:W423),$W$2:$W$1001,0),MATCH(COLUMNS($AD$1006:AG1006),$AD$1006:$AU$1006,0)), HYPERLINK("#",""), HYPERLINK(CONCATENATE("#metadata!", ADDRESS(INDEX($Y$2:$Y$1001,MATCH(ROWS($W$2:W423),$W$2:$W$1001,0),0), INDEX($AD$1004:$AU$1004,1,MATCH(COLUMNS($AD$1006:AG1006),$AD$1006:$AU$1006,0)))),"Fix")))</f>
        <v xml:space="preserve"> </v>
      </c>
      <c r="F423" s="4" t="str">
        <f ca="1">IF(OR(INDEX($X$2:$X$1001,MATCH(ROWS($W$2:W423),$W$2:$W$1001,0),1)&gt;=100000,INDEX($AD$1005:$AU$1005,1,MATCH(COLUMNS($AD$1006:AH1006),$AD$1006:$AU$1006,0))&gt;=100000), " ",IF(INDEX($AD$2:$AU$1001,MATCH(ROWS($W$2:W423),$W$2:$W$1001,0),MATCH(COLUMNS($AD$1006:AH1006),$AD$1006:$AU$1006,0)), HYPERLINK("#",""), HYPERLINK(CONCATENATE("#metadata!", ADDRESS(INDEX($Y$2:$Y$1001,MATCH(ROWS($W$2:W423),$W$2:$W$1001,0),0), INDEX($AD$1004:$AU$1004,1,MATCH(COLUMNS($AD$1006:AH1006),$AD$1006:$AU$1006,0)))),"Fix")))</f>
        <v xml:space="preserve"> </v>
      </c>
      <c r="G423" s="4" t="str">
        <f ca="1">IF(OR(INDEX($X$2:$X$1001,MATCH(ROWS($W$2:W423),$W$2:$W$1001,0),1)&gt;=100000,INDEX($AD$1005:$AU$1005,1,MATCH(COLUMNS($AD$1006:AI1006),$AD$1006:$AU$1006,0))&gt;=100000), " ",IF(INDEX($AD$2:$AU$1001,MATCH(ROWS($W$2:W423),$W$2:$W$1001,0),MATCH(COLUMNS($AD$1006:AI1006),$AD$1006:$AU$1006,0)), HYPERLINK("#",""), HYPERLINK(CONCATENATE("#metadata!", ADDRESS(INDEX($Y$2:$Y$1001,MATCH(ROWS($W$2:W423),$W$2:$W$1001,0),0), INDEX($AD$1004:$AU$1004,1,MATCH(COLUMNS($AD$1006:AI1006),$AD$1006:$AU$1006,0)))),"Fix")))</f>
        <v xml:space="preserve"> </v>
      </c>
      <c r="H423" s="4" t="str">
        <f ca="1">IF(OR(INDEX($X$2:$X$1001,MATCH(ROWS($W$2:W423),$W$2:$W$1001,0),1)&gt;=100000,INDEX($AD$1005:$AU$1005,1,MATCH(COLUMNS($AD$1006:AJ1006),$AD$1006:$AU$1006,0))&gt;=100000), " ",IF(INDEX($AD$2:$AU$1001,MATCH(ROWS($W$2:W423),$W$2:$W$1001,0),MATCH(COLUMNS($AD$1006:AJ1006),$AD$1006:$AU$1006,0)), HYPERLINK("#",""), HYPERLINK(CONCATENATE("#metadata!", ADDRESS(INDEX($Y$2:$Y$1001,MATCH(ROWS($W$2:W423),$W$2:$W$1001,0),0), INDEX($AD$1004:$AU$1004,1,MATCH(COLUMNS($AD$1006:AJ1006),$AD$1006:$AU$1006,0)))),"Fix")))</f>
        <v xml:space="preserve"> </v>
      </c>
      <c r="I423" s="4" t="str">
        <f ca="1">IF(OR(INDEX($X$2:$X$1001,MATCH(ROWS($W$2:W423),$W$2:$W$1001,0),1)&gt;=100000,INDEX($AD$1005:$AU$1005,1,MATCH(COLUMNS($AD$1006:AK1006),$AD$1006:$AU$1006,0))&gt;=100000), " ",IF(INDEX($AD$2:$AU$1001,MATCH(ROWS($W$2:W423),$W$2:$W$1001,0),MATCH(COLUMNS($AD$1006:AK1006),$AD$1006:$AU$1006,0)), HYPERLINK("#",""), HYPERLINK(CONCATENATE("#metadata!", ADDRESS(INDEX($Y$2:$Y$1001,MATCH(ROWS($W$2:W423),$W$2:$W$1001,0),0), INDEX($AD$1004:$AU$1004,1,MATCH(COLUMNS($AD$1006:AK1006),$AD$1006:$AU$1006,0)))),"Fix")))</f>
        <v xml:space="preserve"> </v>
      </c>
      <c r="J423" s="4" t="str">
        <f ca="1">IF(OR(INDEX($X$2:$X$1001,MATCH(ROWS($W$2:W423),$W$2:$W$1001,0),1)&gt;=100000,INDEX($AD$1005:$AU$1005,1,MATCH(COLUMNS($AD$1006:AL1006),$AD$1006:$AU$1006,0))&gt;=100000), " ",IF(INDEX($AD$2:$AU$1001,MATCH(ROWS($W$2:W423),$W$2:$W$1001,0),MATCH(COLUMNS($AD$1006:AL1006),$AD$1006:$AU$1006,0)), HYPERLINK("#",""), HYPERLINK(CONCATENATE("#metadata!", ADDRESS(INDEX($Y$2:$Y$1001,MATCH(ROWS($W$2:W423),$W$2:$W$1001,0),0), INDEX($AD$1004:$AU$1004,1,MATCH(COLUMNS($AD$1006:AL1006),$AD$1006:$AU$1006,0)))),"Fix")))</f>
        <v xml:space="preserve"> </v>
      </c>
      <c r="K423" s="4" t="str">
        <f ca="1">IF(OR(INDEX($X$2:$X$1001,MATCH(ROWS($W$2:W423),$W$2:$W$1001,0),1)&gt;=100000,INDEX($AD$1005:$AU$1005,1,MATCH(COLUMNS($AD$1006:AM1006),$AD$1006:$AU$1006,0))&gt;=100000), " ",IF(INDEX($AD$2:$AU$1001,MATCH(ROWS($W$2:W423),$W$2:$W$1001,0),MATCH(COLUMNS($AD$1006:AM1006),$AD$1006:$AU$1006,0)), HYPERLINK("#",""), HYPERLINK(CONCATENATE("#metadata!", ADDRESS(INDEX($Y$2:$Y$1001,MATCH(ROWS($W$2:W423),$W$2:$W$1001,0),0), INDEX($AD$1004:$AU$1004,1,MATCH(COLUMNS($AD$1006:AM1006),$AD$1006:$AU$1006,0)))),"Fix")))</f>
        <v xml:space="preserve"> </v>
      </c>
      <c r="L423" s="4" t="str">
        <f ca="1">IF(OR(INDEX($X$2:$X$1001,MATCH(ROWS($W$2:W423),$W$2:$W$1001,0),1)&gt;=100000,INDEX($AD$1005:$AU$1005,1,MATCH(COLUMNS($AD$1006:AN1006),$AD$1006:$AU$1006,0))&gt;=100000), " ",IF(INDEX($AD$2:$AU$1001,MATCH(ROWS($W$2:W423),$W$2:$W$1001,0),MATCH(COLUMNS($AD$1006:AN1006),$AD$1006:$AU$1006,0)), HYPERLINK("#",""), HYPERLINK(CONCATENATE("#metadata!", ADDRESS(INDEX($Y$2:$Y$1001,MATCH(ROWS($W$2:W423),$W$2:$W$1001,0),0), INDEX($AD$1004:$AU$1004,1,MATCH(COLUMNS($AD$1006:AN1006),$AD$1006:$AU$1006,0)))),"Fix")))</f>
        <v xml:space="preserve"> </v>
      </c>
      <c r="M423" s="4" t="str">
        <f ca="1">IF(OR(INDEX($X$2:$X$1001,MATCH(ROWS($W$2:W423),$W$2:$W$1001,0),1)&gt;=100000,INDEX($AD$1005:$AU$1005,1,MATCH(COLUMNS($AD$1006:AO1006),$AD$1006:$AU$1006,0))&gt;=100000), " ",IF(INDEX($AD$2:$AU$1001,MATCH(ROWS($W$2:W423),$W$2:$W$1001,0),MATCH(COLUMNS($AD$1006:AO1006),$AD$1006:$AU$1006,0)), HYPERLINK("#",""), HYPERLINK(CONCATENATE("#metadata!", ADDRESS(INDEX($Y$2:$Y$1001,MATCH(ROWS($W$2:W423),$W$2:$W$1001,0),0), INDEX($AD$1004:$AU$1004,1,MATCH(COLUMNS($AD$1006:AO1006),$AD$1006:$AU$1006,0)))),"Fix")))</f>
        <v xml:space="preserve"> </v>
      </c>
      <c r="N423" s="4" t="str">
        <f ca="1">IF(OR(INDEX($X$2:$X$1001,MATCH(ROWS($W$2:W423),$W$2:$W$1001,0),1)&gt;=100000,INDEX($AD$1005:$AU$1005,1,MATCH(COLUMNS($AD$1006:AP1006),$AD$1006:$AU$1006,0))&gt;=100000), " ",IF(INDEX($AD$2:$AU$1001,MATCH(ROWS($W$2:W423),$W$2:$W$1001,0),MATCH(COLUMNS($AD$1006:AP1006),$AD$1006:$AU$1006,0)), HYPERLINK("#",""), HYPERLINK(CONCATENATE("#metadata!", ADDRESS(INDEX($Y$2:$Y$1001,MATCH(ROWS($W$2:W423),$W$2:$W$1001,0),0), INDEX($AD$1004:$AU$1004,1,MATCH(COLUMNS($AD$1006:AP1006),$AD$1006:$AU$1006,0)))),"Fix")))</f>
        <v xml:space="preserve"> </v>
      </c>
      <c r="O423" s="4" t="str">
        <f ca="1">IF(OR(INDEX($X$2:$X$1001,MATCH(ROWS($W$2:W423),$W$2:$W$1001,0),1)&gt;=100000,INDEX($AD$1005:$AU$1005,1,MATCH(COLUMNS($AD$1006:AQ1006),$AD$1006:$AU$1006,0))&gt;=100000), " ",IF(INDEX($AD$2:$AU$1001,MATCH(ROWS($W$2:W423),$W$2:$W$1001,0),MATCH(COLUMNS($AD$1006:AQ1006),$AD$1006:$AU$1006,0)), HYPERLINK("#",""), HYPERLINK(CONCATENATE("#metadata!", ADDRESS(INDEX($Y$2:$Y$1001,MATCH(ROWS($W$2:W423),$W$2:$W$1001,0),0), INDEX($AD$1004:$AU$1004,1,MATCH(COLUMNS($AD$1006:AQ1006),$AD$1006:$AU$1006,0)))),"Fix")))</f>
        <v xml:space="preserve"> </v>
      </c>
      <c r="P423" s="4" t="str">
        <f ca="1">IF(OR(INDEX($X$2:$X$1001,MATCH(ROWS($W$2:W423),$W$2:$W$1001,0),1)&gt;=100000,INDEX($AD$1005:$AU$1005,1,MATCH(COLUMNS($AD$1006:AR1006),$AD$1006:$AU$1006,0))&gt;=100000), " ",IF(INDEX($AD$2:$AU$1001,MATCH(ROWS($W$2:W423),$W$2:$W$1001,0),MATCH(COLUMNS($AD$1006:AR1006),$AD$1006:$AU$1006,0)), HYPERLINK("#",""), HYPERLINK(CONCATENATE("#metadata!", ADDRESS(INDEX($Y$2:$Y$1001,MATCH(ROWS($W$2:W423),$W$2:$W$1001,0),0), INDEX($AD$1004:$AU$1004,1,MATCH(COLUMNS($AD$1006:AR1006),$AD$1006:$AU$1006,0)))),"Fix")))</f>
        <v xml:space="preserve"> </v>
      </c>
      <c r="Q423" s="4" t="str">
        <f ca="1">IF(OR(INDEX($X$2:$X$1001,MATCH(ROWS($W$2:W423),$W$2:$W$1001,0),1)&gt;=100000,INDEX($AD$1005:$AU$1005,1,MATCH(COLUMNS($AD$1006:AS1006),$AD$1006:$AU$1006,0))&gt;=100000), " ",IF(INDEX($AD$2:$AU$1001,MATCH(ROWS($W$2:W423),$W$2:$W$1001,0),MATCH(COLUMNS($AD$1006:AS1006),$AD$1006:$AU$1006,0)), HYPERLINK("#",""), HYPERLINK(CONCATENATE("#metadata!", ADDRESS(INDEX($Y$2:$Y$1001,MATCH(ROWS($W$2:W423),$W$2:$W$1001,0),0), INDEX($AD$1004:$AU$1004,1,MATCH(COLUMNS($AD$1006:AS1006),$AD$1006:$AU$1006,0)))),"Fix")))</f>
        <v xml:space="preserve"> </v>
      </c>
      <c r="R423" s="4" t="str">
        <f ca="1">IF(OR(INDEX($X$2:$X$1001,MATCH(ROWS($W$2:W423),$W$2:$W$1001,0),1)&gt;=100000,INDEX($AD$1005:$AU$1005,1,MATCH(COLUMNS($AD$1006:AT1006),$AD$1006:$AU$1006,0))&gt;=100000), " ",IF(INDEX($AD$2:$AU$1001,MATCH(ROWS($W$2:W423),$W$2:$W$1001,0),MATCH(COLUMNS($AD$1006:AT1006),$AD$1006:$AU$1006,0)), HYPERLINK("#",""), HYPERLINK(CONCATENATE("#metadata!", ADDRESS(INDEX($Y$2:$Y$1001,MATCH(ROWS($W$2:W423),$W$2:$W$1001,0),0), INDEX($AD$1004:$AU$1004,1,MATCH(COLUMNS($AD$1006:AT1006),$AD$1006:$AU$1006,0)))),"Fix")))</f>
        <v xml:space="preserve"> </v>
      </c>
      <c r="S423" s="4" t="str">
        <f ca="1">IF(OR(INDEX($X$2:$X$1001,MATCH(ROWS($W$2:W423),$W$2:$W$1001,0),1)&gt;=100000,INDEX($AD$1005:$AU$1005,1,MATCH(COLUMNS($AD$1006:AU1006),$AD$1006:$AU$1006,0))&gt;=100000), " ",IF(INDEX($AD$2:$AU$1001,MATCH(ROWS($W$2:W423),$W$2:$W$1001,0),MATCH(COLUMNS($AD$1006:AU1006),$AD$1006:$AU$1006,0)), HYPERLINK("#",""), HYPERLINK(CONCATENATE("#metadata!", ADDRESS(INDEX($Y$2:$Y$1001,MATCH(ROWS($W$2:W423),$W$2:$W$1001,0),0), INDEX($AD$1004:$AU$1004,1,MATCH(COLUMNS($AD$1006:AU1006),$AD$1006:$AU$1006,0)))),"Fix")))</f>
        <v xml:space="preserve"> </v>
      </c>
      <c r="W423">
        <v>422</v>
      </c>
      <c r="X423">
        <v>100423</v>
      </c>
      <c r="Y423">
        <v>423</v>
      </c>
      <c r="Z423" t="b">
        <f t="shared" si="6"/>
        <v>1</v>
      </c>
      <c r="AA423" t="b">
        <f>COUNTBLANK(metadata!B423:S423)=COLUMNS(metadata!B423:S423)</f>
        <v>1</v>
      </c>
      <c r="AB423" t="str">
        <v/>
      </c>
      <c r="AD423" t="b">
        <f ca="1">AND(IF(metadata!B423="",FALSE,TRUE),COUNTIF(metadata!B:B, metadata!B423) = 1,NOT(ISERROR(SUMPRODUCT(SEARCH(MID(metadata!B423,ROW(INDIRECT("1:"&amp;LEN(metadata!B423))), 1),"0123456789abcdefghijklmnopqrstuvwxyzABCDEFGHIJKLMNOPQRSTUVWXYZ.")))))</f>
        <v>0</v>
      </c>
      <c r="AE423" t="b">
        <f>OR(AND(IF(metadata!C423="",FALSE,TRUE),OR(EXACT(metadata!C423,"not applicable"),EXACT(metadata!C423,"missing: not collected"),EXACT(metadata!C423,"missing: not provided"),EXACT(metadata!C423,"missing: restricted access"))),AND(IF(metadata!C423="",FALSE,ISNUMBER(VALUE(metadata!C423))),metadata!C423&gt;0))</f>
        <v>0</v>
      </c>
      <c r="AF423" t="b">
        <f>AND(IF(metadata!D423="",FALSE,TRUE),EXACT(metadata!D423,"missing: not provided"))</f>
        <v>0</v>
      </c>
      <c r="AG423" t="b">
        <f>AND(IF(metadata!E423="",FALSE,TRUE),EXACT(metadata!E423,"Host-associated"))</f>
        <v>0</v>
      </c>
      <c r="AH423" t="b">
        <f>AND(IF(metadata!F423="",FALSE,TRUE),OR(EXACT(metadata!F423,"Animal"),EXACT(metadata!F423,"Fungus"),EXACT(metadata!F423,"Plant")))</f>
        <v>0</v>
      </c>
      <c r="AI423" t="b">
        <f>AND(IF(metadata!G423="",FALSE,TRUE),OR(EXACT(metadata!G423,"Plant secretion"),EXACT(metadata!G423,"Plant rhizosphere"),EXACT(metadata!G423,"Plant surface"),EXACT(metadata!G423,"Plant corpus"),EXACT(metadata!G423,"Fungus surface"),EXACT(metadata!G423,"Fungus corpus"),EXACT(metadata!G423,"Animal surface"),EXACT(metadata!G423,"Animal proximal gut"),EXACT(metadata!G423,"Animal corpus"),EXACT(metadata!G423,"Animal distal gut"),EXACT(metadata!G423,"Animal secretion")))</f>
        <v>0</v>
      </c>
      <c r="AJ423" t="b">
        <f>OR(AND(IF(metadata!H423="",FALSE,TRUE),OR(EXACT(metadata!H423,"missing: not collected"),EXACT(metadata!H423,"missing: not provided"),EXACT(metadata!H423,"missing: restricted access"))),AND(IF(metadata!H423="",FALSE,TRUE),OR(EXACT(metadata!H423,"organism-associated habitat"),EXACT(metadata!H423,"plant-associated habitat"),EXACT(metadata!H423,"animal-associated habitat"),EXACT(metadata!H423,"insecta-associated habitat"),EXACT(metadata!H423,"mammalia-associated habitat"),EXACT(metadata!H423,"human-associated habitat"),EXACT(metadata!H423,"livestock-associated habitat"))))</f>
        <v>0</v>
      </c>
      <c r="AK423" t="b">
        <f>AND(IF(metadata!I423="",FALSE,TRUE),EXACT(metadata!I423,"host-associated"))</f>
        <v>0</v>
      </c>
      <c r="AL423" t="b">
        <f>OR(AND(IF(metadata!J423="",FALSE,TRUE),OR(EXACT(metadata!J423,"not applicable"),EXACT(metadata!J423,"missing: not collected"),EXACT(metadata!J423,"missing: not provided"),EXACT(metadata!J423,"missing: restricted access"))),AND(IF(metadata!J423="",FALSE,ISNUMBER(VALUE(metadata!J423))),metadata!J423&gt;0))</f>
        <v>0</v>
      </c>
      <c r="AM423" t="b">
        <f>AND(IF(metadata!K423="",FALSE,TRUE),EXACT(metadata!K423,"missing: not provided"))</f>
        <v>0</v>
      </c>
      <c r="AN423" t="b">
        <f>IF(metadata!L423="",FALSE,TRUE)</f>
        <v>0</v>
      </c>
      <c r="AO423" t="b">
        <f>IF(metadata!M423="",FALSE,TRUE)</f>
        <v>0</v>
      </c>
      <c r="AP423" t="b">
        <f>OR(AND(IF(metadata!N423="",FALSE,TRUE),OR(EXACT(metadata!N423,"not applicable"),EXACT(metadata!N423,"missing: not collected"),EXACT(metadata!N423,"missing: not provided"))),AND(IF(metadata!N423="",FALSE,IF(ISERROR(INT(metadata!N423)),FALSE,INT(metadata!N423)=metadata!N423)),metadata!N423&gt;0))</f>
        <v>0</v>
      </c>
      <c r="AQ423" t="b">
        <f>AND(IF(metadata!O423="",FALSE,TRUE),EXACT(metadata!O423,"Not applicable"))</f>
        <v>0</v>
      </c>
      <c r="AR423" t="b">
        <f>OR(AND(IF(metadata!P423="",FALSE,TRUE),OR(EXACT(metadata!P423,"not applicable"),EXACT(metadata!P423,"missing: not collected"),EXACT(metadata!P423,"missing: not provided"),EXACT(metadata!P423,"missing: restricted access"))),IF(metadata!P423="",FALSE,IF(ISERROR(INT(metadata!P423)),FALSE,INT(metadata!P423)=metadata!P423)))</f>
        <v>0</v>
      </c>
      <c r="AS423" t="b">
        <f>AND(IF(metadata!Q423="",FALSE,TRUE),EXACT(metadata!Q423,"Not applicable"))</f>
        <v>0</v>
      </c>
      <c r="AT423" t="b">
        <f>OR(AND(IF(metadata!R423="",FALSE,TRUE),OR(EXACT(metadata!R423,"not applicable"),EXACT(metadata!R423,"missing: not collected"),EXACT(metadata!R423,"missing: not provided"),EXACT(metadata!R423,"missing: restricted access"))),AND(IF(metadata!R423="",FALSE,ISNUMBER(VALUE(metadata!R423))),metadata!R423&gt;0))</f>
        <v>0</v>
      </c>
      <c r="AU423" t="b">
        <f>AND(IF(metadata!S423="",FALSE,TRUE),EXACT(metadata!S423,"missing: not provided"))</f>
        <v>0</v>
      </c>
    </row>
    <row r="424" spans="1:47" x14ac:dyDescent="0.2">
      <c r="A424" s="5" t="str">
        <f ca="1">IF(B424=" "," ",HYPERLINK(CONCATENATE("#metadata!",ADDRESS(INDEX($Y$2:$Y$1001,MATCH(ROWS($W$2:W424),$W$2:$W$1001,0),0),1)),INDEX($AB$2:$AB$1001,MATCH(ROWS($W$2:W424),$W$2:$W$1001,0),0)))</f>
        <v xml:space="preserve"> </v>
      </c>
      <c r="B424" s="4" t="str">
        <f ca="1">IF(OR(INDEX($X$2:$X$1001,MATCH(ROWS($W$2:W424),$W$2:$W$1001,0),1)&gt;=100000,INDEX($AD$1005:$AU$1005,1,MATCH(COLUMNS($AD$1006:AD1006),$AD$1006:$AU$1006,0))&gt;=100000), " ",IF(INDEX($AD$2:$AU$1001,MATCH(ROWS($W$2:W424),$W$2:$W$1001,0),MATCH(COLUMNS($AD$1006:AD1006),$AD$1006:$AU$1006,0)), HYPERLINK("#",""), HYPERLINK(CONCATENATE("#metadata!", ADDRESS(INDEX($Y$2:$Y$1001,MATCH(ROWS($W$2:W424),$W$2:$W$1001,0),0), INDEX($AD$1004:$AU$1004,1,MATCH(COLUMNS($AD$1006:AD1006),$AD$1006:$AU$1006,0)))),"Fix")))</f>
        <v xml:space="preserve"> </v>
      </c>
      <c r="C424" s="4" t="str">
        <f ca="1">IF(OR(INDEX($X$2:$X$1001,MATCH(ROWS($W$2:W424),$W$2:$W$1001,0),1)&gt;=100000,INDEX($AD$1005:$AU$1005,1,MATCH(COLUMNS($AD$1006:AE1006),$AD$1006:$AU$1006,0))&gt;=100000), " ",IF(INDEX($AD$2:$AU$1001,MATCH(ROWS($W$2:W424),$W$2:$W$1001,0),MATCH(COLUMNS($AD$1006:AE1006),$AD$1006:$AU$1006,0)), HYPERLINK("#",""), HYPERLINK(CONCATENATE("#metadata!", ADDRESS(INDEX($Y$2:$Y$1001,MATCH(ROWS($W$2:W424),$W$2:$W$1001,0),0), INDEX($AD$1004:$AU$1004,1,MATCH(COLUMNS($AD$1006:AE1006),$AD$1006:$AU$1006,0)))),"Fix")))</f>
        <v xml:space="preserve"> </v>
      </c>
      <c r="D424" s="4" t="str">
        <f ca="1">IF(OR(INDEX($X$2:$X$1001,MATCH(ROWS($W$2:W424),$W$2:$W$1001,0),1)&gt;=100000,INDEX($AD$1005:$AU$1005,1,MATCH(COLUMNS($AD$1006:AF1006),$AD$1006:$AU$1006,0))&gt;=100000), " ",IF(INDEX($AD$2:$AU$1001,MATCH(ROWS($W$2:W424),$W$2:$W$1001,0),MATCH(COLUMNS($AD$1006:AF1006),$AD$1006:$AU$1006,0)), HYPERLINK("#",""), HYPERLINK(CONCATENATE("#metadata!", ADDRESS(INDEX($Y$2:$Y$1001,MATCH(ROWS($W$2:W424),$W$2:$W$1001,0),0), INDEX($AD$1004:$AU$1004,1,MATCH(COLUMNS($AD$1006:AF1006),$AD$1006:$AU$1006,0)))),"Fix")))</f>
        <v xml:space="preserve"> </v>
      </c>
      <c r="E424" s="4" t="str">
        <f ca="1">IF(OR(INDEX($X$2:$X$1001,MATCH(ROWS($W$2:W424),$W$2:$W$1001,0),1)&gt;=100000,INDEX($AD$1005:$AU$1005,1,MATCH(COLUMNS($AD$1006:AG1006),$AD$1006:$AU$1006,0))&gt;=100000), " ",IF(INDEX($AD$2:$AU$1001,MATCH(ROWS($W$2:W424),$W$2:$W$1001,0),MATCH(COLUMNS($AD$1006:AG1006),$AD$1006:$AU$1006,0)), HYPERLINK("#",""), HYPERLINK(CONCATENATE("#metadata!", ADDRESS(INDEX($Y$2:$Y$1001,MATCH(ROWS($W$2:W424),$W$2:$W$1001,0),0), INDEX($AD$1004:$AU$1004,1,MATCH(COLUMNS($AD$1006:AG1006),$AD$1006:$AU$1006,0)))),"Fix")))</f>
        <v xml:space="preserve"> </v>
      </c>
      <c r="F424" s="4" t="str">
        <f ca="1">IF(OR(INDEX($X$2:$X$1001,MATCH(ROWS($W$2:W424),$W$2:$W$1001,0),1)&gt;=100000,INDEX($AD$1005:$AU$1005,1,MATCH(COLUMNS($AD$1006:AH1006),$AD$1006:$AU$1006,0))&gt;=100000), " ",IF(INDEX($AD$2:$AU$1001,MATCH(ROWS($W$2:W424),$W$2:$W$1001,0),MATCH(COLUMNS($AD$1006:AH1006),$AD$1006:$AU$1006,0)), HYPERLINK("#",""), HYPERLINK(CONCATENATE("#metadata!", ADDRESS(INDEX($Y$2:$Y$1001,MATCH(ROWS($W$2:W424),$W$2:$W$1001,0),0), INDEX($AD$1004:$AU$1004,1,MATCH(COLUMNS($AD$1006:AH1006),$AD$1006:$AU$1006,0)))),"Fix")))</f>
        <v xml:space="preserve"> </v>
      </c>
      <c r="G424" s="4" t="str">
        <f ca="1">IF(OR(INDEX($X$2:$X$1001,MATCH(ROWS($W$2:W424),$W$2:$W$1001,0),1)&gt;=100000,INDEX($AD$1005:$AU$1005,1,MATCH(COLUMNS($AD$1006:AI1006),$AD$1006:$AU$1006,0))&gt;=100000), " ",IF(INDEX($AD$2:$AU$1001,MATCH(ROWS($W$2:W424),$W$2:$W$1001,0),MATCH(COLUMNS($AD$1006:AI1006),$AD$1006:$AU$1006,0)), HYPERLINK("#",""), HYPERLINK(CONCATENATE("#metadata!", ADDRESS(INDEX($Y$2:$Y$1001,MATCH(ROWS($W$2:W424),$W$2:$W$1001,0),0), INDEX($AD$1004:$AU$1004,1,MATCH(COLUMNS($AD$1006:AI1006),$AD$1006:$AU$1006,0)))),"Fix")))</f>
        <v xml:space="preserve"> </v>
      </c>
      <c r="H424" s="4" t="str">
        <f ca="1">IF(OR(INDEX($X$2:$X$1001,MATCH(ROWS($W$2:W424),$W$2:$W$1001,0),1)&gt;=100000,INDEX($AD$1005:$AU$1005,1,MATCH(COLUMNS($AD$1006:AJ1006),$AD$1006:$AU$1006,0))&gt;=100000), " ",IF(INDEX($AD$2:$AU$1001,MATCH(ROWS($W$2:W424),$W$2:$W$1001,0),MATCH(COLUMNS($AD$1006:AJ1006),$AD$1006:$AU$1006,0)), HYPERLINK("#",""), HYPERLINK(CONCATENATE("#metadata!", ADDRESS(INDEX($Y$2:$Y$1001,MATCH(ROWS($W$2:W424),$W$2:$W$1001,0),0), INDEX($AD$1004:$AU$1004,1,MATCH(COLUMNS($AD$1006:AJ1006),$AD$1006:$AU$1006,0)))),"Fix")))</f>
        <v xml:space="preserve"> </v>
      </c>
      <c r="I424" s="4" t="str">
        <f ca="1">IF(OR(INDEX($X$2:$X$1001,MATCH(ROWS($W$2:W424),$W$2:$W$1001,0),1)&gt;=100000,INDEX($AD$1005:$AU$1005,1,MATCH(COLUMNS($AD$1006:AK1006),$AD$1006:$AU$1006,0))&gt;=100000), " ",IF(INDEX($AD$2:$AU$1001,MATCH(ROWS($W$2:W424),$W$2:$W$1001,0),MATCH(COLUMNS($AD$1006:AK1006),$AD$1006:$AU$1006,0)), HYPERLINK("#",""), HYPERLINK(CONCATENATE("#metadata!", ADDRESS(INDEX($Y$2:$Y$1001,MATCH(ROWS($W$2:W424),$W$2:$W$1001,0),0), INDEX($AD$1004:$AU$1004,1,MATCH(COLUMNS($AD$1006:AK1006),$AD$1006:$AU$1006,0)))),"Fix")))</f>
        <v xml:space="preserve"> </v>
      </c>
      <c r="J424" s="4" t="str">
        <f ca="1">IF(OR(INDEX($X$2:$X$1001,MATCH(ROWS($W$2:W424),$W$2:$W$1001,0),1)&gt;=100000,INDEX($AD$1005:$AU$1005,1,MATCH(COLUMNS($AD$1006:AL1006),$AD$1006:$AU$1006,0))&gt;=100000), " ",IF(INDEX($AD$2:$AU$1001,MATCH(ROWS($W$2:W424),$W$2:$W$1001,0),MATCH(COLUMNS($AD$1006:AL1006),$AD$1006:$AU$1006,0)), HYPERLINK("#",""), HYPERLINK(CONCATENATE("#metadata!", ADDRESS(INDEX($Y$2:$Y$1001,MATCH(ROWS($W$2:W424),$W$2:$W$1001,0),0), INDEX($AD$1004:$AU$1004,1,MATCH(COLUMNS($AD$1006:AL1006),$AD$1006:$AU$1006,0)))),"Fix")))</f>
        <v xml:space="preserve"> </v>
      </c>
      <c r="K424" s="4" t="str">
        <f ca="1">IF(OR(INDEX($X$2:$X$1001,MATCH(ROWS($W$2:W424),$W$2:$W$1001,0),1)&gt;=100000,INDEX($AD$1005:$AU$1005,1,MATCH(COLUMNS($AD$1006:AM1006),$AD$1006:$AU$1006,0))&gt;=100000), " ",IF(INDEX($AD$2:$AU$1001,MATCH(ROWS($W$2:W424),$W$2:$W$1001,0),MATCH(COLUMNS($AD$1006:AM1006),$AD$1006:$AU$1006,0)), HYPERLINK("#",""), HYPERLINK(CONCATENATE("#metadata!", ADDRESS(INDEX($Y$2:$Y$1001,MATCH(ROWS($W$2:W424),$W$2:$W$1001,0),0), INDEX($AD$1004:$AU$1004,1,MATCH(COLUMNS($AD$1006:AM1006),$AD$1006:$AU$1006,0)))),"Fix")))</f>
        <v xml:space="preserve"> </v>
      </c>
      <c r="L424" s="4" t="str">
        <f ca="1">IF(OR(INDEX($X$2:$X$1001,MATCH(ROWS($W$2:W424),$W$2:$W$1001,0),1)&gt;=100000,INDEX($AD$1005:$AU$1005,1,MATCH(COLUMNS($AD$1006:AN1006),$AD$1006:$AU$1006,0))&gt;=100000), " ",IF(INDEX($AD$2:$AU$1001,MATCH(ROWS($W$2:W424),$W$2:$W$1001,0),MATCH(COLUMNS($AD$1006:AN1006),$AD$1006:$AU$1006,0)), HYPERLINK("#",""), HYPERLINK(CONCATENATE("#metadata!", ADDRESS(INDEX($Y$2:$Y$1001,MATCH(ROWS($W$2:W424),$W$2:$W$1001,0),0), INDEX($AD$1004:$AU$1004,1,MATCH(COLUMNS($AD$1006:AN1006),$AD$1006:$AU$1006,0)))),"Fix")))</f>
        <v xml:space="preserve"> </v>
      </c>
      <c r="M424" s="4" t="str">
        <f ca="1">IF(OR(INDEX($X$2:$X$1001,MATCH(ROWS($W$2:W424),$W$2:$W$1001,0),1)&gt;=100000,INDEX($AD$1005:$AU$1005,1,MATCH(COLUMNS($AD$1006:AO1006),$AD$1006:$AU$1006,0))&gt;=100000), " ",IF(INDEX($AD$2:$AU$1001,MATCH(ROWS($W$2:W424),$W$2:$W$1001,0),MATCH(COLUMNS($AD$1006:AO1006),$AD$1006:$AU$1006,0)), HYPERLINK("#",""), HYPERLINK(CONCATENATE("#metadata!", ADDRESS(INDEX($Y$2:$Y$1001,MATCH(ROWS($W$2:W424),$W$2:$W$1001,0),0), INDEX($AD$1004:$AU$1004,1,MATCH(COLUMNS($AD$1006:AO1006),$AD$1006:$AU$1006,0)))),"Fix")))</f>
        <v xml:space="preserve"> </v>
      </c>
      <c r="N424" s="4" t="str">
        <f ca="1">IF(OR(INDEX($X$2:$X$1001,MATCH(ROWS($W$2:W424),$W$2:$W$1001,0),1)&gt;=100000,INDEX($AD$1005:$AU$1005,1,MATCH(COLUMNS($AD$1006:AP1006),$AD$1006:$AU$1006,0))&gt;=100000), " ",IF(INDEX($AD$2:$AU$1001,MATCH(ROWS($W$2:W424),$W$2:$W$1001,0),MATCH(COLUMNS($AD$1006:AP1006),$AD$1006:$AU$1006,0)), HYPERLINK("#",""), HYPERLINK(CONCATENATE("#metadata!", ADDRESS(INDEX($Y$2:$Y$1001,MATCH(ROWS($W$2:W424),$W$2:$W$1001,0),0), INDEX($AD$1004:$AU$1004,1,MATCH(COLUMNS($AD$1006:AP1006),$AD$1006:$AU$1006,0)))),"Fix")))</f>
        <v xml:space="preserve"> </v>
      </c>
      <c r="O424" s="4" t="str">
        <f ca="1">IF(OR(INDEX($X$2:$X$1001,MATCH(ROWS($W$2:W424),$W$2:$W$1001,0),1)&gt;=100000,INDEX($AD$1005:$AU$1005,1,MATCH(COLUMNS($AD$1006:AQ1006),$AD$1006:$AU$1006,0))&gt;=100000), " ",IF(INDEX($AD$2:$AU$1001,MATCH(ROWS($W$2:W424),$W$2:$W$1001,0),MATCH(COLUMNS($AD$1006:AQ1006),$AD$1006:$AU$1006,0)), HYPERLINK("#",""), HYPERLINK(CONCATENATE("#metadata!", ADDRESS(INDEX($Y$2:$Y$1001,MATCH(ROWS($W$2:W424),$W$2:$W$1001,0),0), INDEX($AD$1004:$AU$1004,1,MATCH(COLUMNS($AD$1006:AQ1006),$AD$1006:$AU$1006,0)))),"Fix")))</f>
        <v xml:space="preserve"> </v>
      </c>
      <c r="P424" s="4" t="str">
        <f ca="1">IF(OR(INDEX($X$2:$X$1001,MATCH(ROWS($W$2:W424),$W$2:$W$1001,0),1)&gt;=100000,INDEX($AD$1005:$AU$1005,1,MATCH(COLUMNS($AD$1006:AR1006),$AD$1006:$AU$1006,0))&gt;=100000), " ",IF(INDEX($AD$2:$AU$1001,MATCH(ROWS($W$2:W424),$W$2:$W$1001,0),MATCH(COLUMNS($AD$1006:AR1006),$AD$1006:$AU$1006,0)), HYPERLINK("#",""), HYPERLINK(CONCATENATE("#metadata!", ADDRESS(INDEX($Y$2:$Y$1001,MATCH(ROWS($W$2:W424),$W$2:$W$1001,0),0), INDEX($AD$1004:$AU$1004,1,MATCH(COLUMNS($AD$1006:AR1006),$AD$1006:$AU$1006,0)))),"Fix")))</f>
        <v xml:space="preserve"> </v>
      </c>
      <c r="Q424" s="4" t="str">
        <f ca="1">IF(OR(INDEX($X$2:$X$1001,MATCH(ROWS($W$2:W424),$W$2:$W$1001,0),1)&gt;=100000,INDEX($AD$1005:$AU$1005,1,MATCH(COLUMNS($AD$1006:AS1006),$AD$1006:$AU$1006,0))&gt;=100000), " ",IF(INDEX($AD$2:$AU$1001,MATCH(ROWS($W$2:W424),$W$2:$W$1001,0),MATCH(COLUMNS($AD$1006:AS1006),$AD$1006:$AU$1006,0)), HYPERLINK("#",""), HYPERLINK(CONCATENATE("#metadata!", ADDRESS(INDEX($Y$2:$Y$1001,MATCH(ROWS($W$2:W424),$W$2:$W$1001,0),0), INDEX($AD$1004:$AU$1004,1,MATCH(COLUMNS($AD$1006:AS1006),$AD$1006:$AU$1006,0)))),"Fix")))</f>
        <v xml:space="preserve"> </v>
      </c>
      <c r="R424" s="4" t="str">
        <f ca="1">IF(OR(INDEX($X$2:$X$1001,MATCH(ROWS($W$2:W424),$W$2:$W$1001,0),1)&gt;=100000,INDEX($AD$1005:$AU$1005,1,MATCH(COLUMNS($AD$1006:AT1006),$AD$1006:$AU$1006,0))&gt;=100000), " ",IF(INDEX($AD$2:$AU$1001,MATCH(ROWS($W$2:W424),$W$2:$W$1001,0),MATCH(COLUMNS($AD$1006:AT1006),$AD$1006:$AU$1006,0)), HYPERLINK("#",""), HYPERLINK(CONCATENATE("#metadata!", ADDRESS(INDEX($Y$2:$Y$1001,MATCH(ROWS($W$2:W424),$W$2:$W$1001,0),0), INDEX($AD$1004:$AU$1004,1,MATCH(COLUMNS($AD$1006:AT1006),$AD$1006:$AU$1006,0)))),"Fix")))</f>
        <v xml:space="preserve"> </v>
      </c>
      <c r="S424" s="4" t="str">
        <f ca="1">IF(OR(INDEX($X$2:$X$1001,MATCH(ROWS($W$2:W424),$W$2:$W$1001,0),1)&gt;=100000,INDEX($AD$1005:$AU$1005,1,MATCH(COLUMNS($AD$1006:AU1006),$AD$1006:$AU$1006,0))&gt;=100000), " ",IF(INDEX($AD$2:$AU$1001,MATCH(ROWS($W$2:W424),$W$2:$W$1001,0),MATCH(COLUMNS($AD$1006:AU1006),$AD$1006:$AU$1006,0)), HYPERLINK("#",""), HYPERLINK(CONCATENATE("#metadata!", ADDRESS(INDEX($Y$2:$Y$1001,MATCH(ROWS($W$2:W424),$W$2:$W$1001,0),0), INDEX($AD$1004:$AU$1004,1,MATCH(COLUMNS($AD$1006:AU1006),$AD$1006:$AU$1006,0)))),"Fix")))</f>
        <v xml:space="preserve"> </v>
      </c>
      <c r="W424">
        <v>423</v>
      </c>
      <c r="X424">
        <v>100424</v>
      </c>
      <c r="Y424">
        <v>424</v>
      </c>
      <c r="Z424" t="b">
        <f t="shared" si="6"/>
        <v>1</v>
      </c>
      <c r="AA424" t="b">
        <f>COUNTBLANK(metadata!B424:S424)=COLUMNS(metadata!B424:S424)</f>
        <v>1</v>
      </c>
      <c r="AB424" t="str">
        <v/>
      </c>
      <c r="AD424" t="b">
        <f ca="1">AND(IF(metadata!B424="",FALSE,TRUE),COUNTIF(metadata!B:B, metadata!B424) = 1,NOT(ISERROR(SUMPRODUCT(SEARCH(MID(metadata!B424,ROW(INDIRECT("1:"&amp;LEN(metadata!B424))), 1),"0123456789abcdefghijklmnopqrstuvwxyzABCDEFGHIJKLMNOPQRSTUVWXYZ.")))))</f>
        <v>0</v>
      </c>
      <c r="AE424" t="b">
        <f>OR(AND(IF(metadata!C424="",FALSE,TRUE),OR(EXACT(metadata!C424,"not applicable"),EXACT(metadata!C424,"missing: not collected"),EXACT(metadata!C424,"missing: not provided"),EXACT(metadata!C424,"missing: restricted access"))),AND(IF(metadata!C424="",FALSE,ISNUMBER(VALUE(metadata!C424))),metadata!C424&gt;0))</f>
        <v>0</v>
      </c>
      <c r="AF424" t="b">
        <f>AND(IF(metadata!D424="",FALSE,TRUE),EXACT(metadata!D424,"missing: not provided"))</f>
        <v>0</v>
      </c>
      <c r="AG424" t="b">
        <f>AND(IF(metadata!E424="",FALSE,TRUE),EXACT(metadata!E424,"Host-associated"))</f>
        <v>0</v>
      </c>
      <c r="AH424" t="b">
        <f>AND(IF(metadata!F424="",FALSE,TRUE),OR(EXACT(metadata!F424,"Animal"),EXACT(metadata!F424,"Fungus"),EXACT(metadata!F424,"Plant")))</f>
        <v>0</v>
      </c>
      <c r="AI424" t="b">
        <f>AND(IF(metadata!G424="",FALSE,TRUE),OR(EXACT(metadata!G424,"Plant secretion"),EXACT(metadata!G424,"Plant rhizosphere"),EXACT(metadata!G424,"Plant surface"),EXACT(metadata!G424,"Plant corpus"),EXACT(metadata!G424,"Fungus surface"),EXACT(metadata!G424,"Fungus corpus"),EXACT(metadata!G424,"Animal surface"),EXACT(metadata!G424,"Animal proximal gut"),EXACT(metadata!G424,"Animal corpus"),EXACT(metadata!G424,"Animal distal gut"),EXACT(metadata!G424,"Animal secretion")))</f>
        <v>0</v>
      </c>
      <c r="AJ424" t="b">
        <f>OR(AND(IF(metadata!H424="",FALSE,TRUE),OR(EXACT(metadata!H424,"missing: not collected"),EXACT(metadata!H424,"missing: not provided"),EXACT(metadata!H424,"missing: restricted access"))),AND(IF(metadata!H424="",FALSE,TRUE),OR(EXACT(metadata!H424,"organism-associated habitat"),EXACT(metadata!H424,"plant-associated habitat"),EXACT(metadata!H424,"animal-associated habitat"),EXACT(metadata!H424,"insecta-associated habitat"),EXACT(metadata!H424,"mammalia-associated habitat"),EXACT(metadata!H424,"human-associated habitat"),EXACT(metadata!H424,"livestock-associated habitat"))))</f>
        <v>0</v>
      </c>
      <c r="AK424" t="b">
        <f>AND(IF(metadata!I424="",FALSE,TRUE),EXACT(metadata!I424,"host-associated"))</f>
        <v>0</v>
      </c>
      <c r="AL424" t="b">
        <f>OR(AND(IF(metadata!J424="",FALSE,TRUE),OR(EXACT(metadata!J424,"not applicable"),EXACT(metadata!J424,"missing: not collected"),EXACT(metadata!J424,"missing: not provided"),EXACT(metadata!J424,"missing: restricted access"))),AND(IF(metadata!J424="",FALSE,ISNUMBER(VALUE(metadata!J424))),metadata!J424&gt;0))</f>
        <v>0</v>
      </c>
      <c r="AM424" t="b">
        <f>AND(IF(metadata!K424="",FALSE,TRUE),EXACT(metadata!K424,"missing: not provided"))</f>
        <v>0</v>
      </c>
      <c r="AN424" t="b">
        <f>IF(metadata!L424="",FALSE,TRUE)</f>
        <v>0</v>
      </c>
      <c r="AO424" t="b">
        <f>IF(metadata!M424="",FALSE,TRUE)</f>
        <v>0</v>
      </c>
      <c r="AP424" t="b">
        <f>OR(AND(IF(metadata!N424="",FALSE,TRUE),OR(EXACT(metadata!N424,"not applicable"),EXACT(metadata!N424,"missing: not collected"),EXACT(metadata!N424,"missing: not provided"))),AND(IF(metadata!N424="",FALSE,IF(ISERROR(INT(metadata!N424)),FALSE,INT(metadata!N424)=metadata!N424)),metadata!N424&gt;0))</f>
        <v>0</v>
      </c>
      <c r="AQ424" t="b">
        <f>AND(IF(metadata!O424="",FALSE,TRUE),EXACT(metadata!O424,"Not applicable"))</f>
        <v>0</v>
      </c>
      <c r="AR424" t="b">
        <f>OR(AND(IF(metadata!P424="",FALSE,TRUE),OR(EXACT(metadata!P424,"not applicable"),EXACT(metadata!P424,"missing: not collected"),EXACT(metadata!P424,"missing: not provided"),EXACT(metadata!P424,"missing: restricted access"))),IF(metadata!P424="",FALSE,IF(ISERROR(INT(metadata!P424)),FALSE,INT(metadata!P424)=metadata!P424)))</f>
        <v>0</v>
      </c>
      <c r="AS424" t="b">
        <f>AND(IF(metadata!Q424="",FALSE,TRUE),EXACT(metadata!Q424,"Not applicable"))</f>
        <v>0</v>
      </c>
      <c r="AT424" t="b">
        <f>OR(AND(IF(metadata!R424="",FALSE,TRUE),OR(EXACT(metadata!R424,"not applicable"),EXACT(metadata!R424,"missing: not collected"),EXACT(metadata!R424,"missing: not provided"),EXACT(metadata!R424,"missing: restricted access"))),AND(IF(metadata!R424="",FALSE,ISNUMBER(VALUE(metadata!R424))),metadata!R424&gt;0))</f>
        <v>0</v>
      </c>
      <c r="AU424" t="b">
        <f>AND(IF(metadata!S424="",FALSE,TRUE),EXACT(metadata!S424,"missing: not provided"))</f>
        <v>0</v>
      </c>
    </row>
    <row r="425" spans="1:47" x14ac:dyDescent="0.2">
      <c r="A425" s="5" t="str">
        <f ca="1">IF(B425=" "," ",HYPERLINK(CONCATENATE("#metadata!",ADDRESS(INDEX($Y$2:$Y$1001,MATCH(ROWS($W$2:W425),$W$2:$W$1001,0),0),1)),INDEX($AB$2:$AB$1001,MATCH(ROWS($W$2:W425),$W$2:$W$1001,0),0)))</f>
        <v xml:space="preserve"> </v>
      </c>
      <c r="B425" s="4" t="str">
        <f ca="1">IF(OR(INDEX($X$2:$X$1001,MATCH(ROWS($W$2:W425),$W$2:$W$1001,0),1)&gt;=100000,INDEX($AD$1005:$AU$1005,1,MATCH(COLUMNS($AD$1006:AD1006),$AD$1006:$AU$1006,0))&gt;=100000), " ",IF(INDEX($AD$2:$AU$1001,MATCH(ROWS($W$2:W425),$W$2:$W$1001,0),MATCH(COLUMNS($AD$1006:AD1006),$AD$1006:$AU$1006,0)), HYPERLINK("#",""), HYPERLINK(CONCATENATE("#metadata!", ADDRESS(INDEX($Y$2:$Y$1001,MATCH(ROWS($W$2:W425),$W$2:$W$1001,0),0), INDEX($AD$1004:$AU$1004,1,MATCH(COLUMNS($AD$1006:AD1006),$AD$1006:$AU$1006,0)))),"Fix")))</f>
        <v xml:space="preserve"> </v>
      </c>
      <c r="C425" s="4" t="str">
        <f ca="1">IF(OR(INDEX($X$2:$X$1001,MATCH(ROWS($W$2:W425),$W$2:$W$1001,0),1)&gt;=100000,INDEX($AD$1005:$AU$1005,1,MATCH(COLUMNS($AD$1006:AE1006),$AD$1006:$AU$1006,0))&gt;=100000), " ",IF(INDEX($AD$2:$AU$1001,MATCH(ROWS($W$2:W425),$W$2:$W$1001,0),MATCH(COLUMNS($AD$1006:AE1006),$AD$1006:$AU$1006,0)), HYPERLINK("#",""), HYPERLINK(CONCATENATE("#metadata!", ADDRESS(INDEX($Y$2:$Y$1001,MATCH(ROWS($W$2:W425),$W$2:$W$1001,0),0), INDEX($AD$1004:$AU$1004,1,MATCH(COLUMNS($AD$1006:AE1006),$AD$1006:$AU$1006,0)))),"Fix")))</f>
        <v xml:space="preserve"> </v>
      </c>
      <c r="D425" s="4" t="str">
        <f ca="1">IF(OR(INDEX($X$2:$X$1001,MATCH(ROWS($W$2:W425),$W$2:$W$1001,0),1)&gt;=100000,INDEX($AD$1005:$AU$1005,1,MATCH(COLUMNS($AD$1006:AF1006),$AD$1006:$AU$1006,0))&gt;=100000), " ",IF(INDEX($AD$2:$AU$1001,MATCH(ROWS($W$2:W425),$W$2:$W$1001,0),MATCH(COLUMNS($AD$1006:AF1006),$AD$1006:$AU$1006,0)), HYPERLINK("#",""), HYPERLINK(CONCATENATE("#metadata!", ADDRESS(INDEX($Y$2:$Y$1001,MATCH(ROWS($W$2:W425),$W$2:$W$1001,0),0), INDEX($AD$1004:$AU$1004,1,MATCH(COLUMNS($AD$1006:AF1006),$AD$1006:$AU$1006,0)))),"Fix")))</f>
        <v xml:space="preserve"> </v>
      </c>
      <c r="E425" s="4" t="str">
        <f ca="1">IF(OR(INDEX($X$2:$X$1001,MATCH(ROWS($W$2:W425),$W$2:$W$1001,0),1)&gt;=100000,INDEX($AD$1005:$AU$1005,1,MATCH(COLUMNS($AD$1006:AG1006),$AD$1006:$AU$1006,0))&gt;=100000), " ",IF(INDEX($AD$2:$AU$1001,MATCH(ROWS($W$2:W425),$W$2:$W$1001,0),MATCH(COLUMNS($AD$1006:AG1006),$AD$1006:$AU$1006,0)), HYPERLINK("#",""), HYPERLINK(CONCATENATE("#metadata!", ADDRESS(INDEX($Y$2:$Y$1001,MATCH(ROWS($W$2:W425),$W$2:$W$1001,0),0), INDEX($AD$1004:$AU$1004,1,MATCH(COLUMNS($AD$1006:AG1006),$AD$1006:$AU$1006,0)))),"Fix")))</f>
        <v xml:space="preserve"> </v>
      </c>
      <c r="F425" s="4" t="str">
        <f ca="1">IF(OR(INDEX($X$2:$X$1001,MATCH(ROWS($W$2:W425),$W$2:$W$1001,0),1)&gt;=100000,INDEX($AD$1005:$AU$1005,1,MATCH(COLUMNS($AD$1006:AH1006),$AD$1006:$AU$1006,0))&gt;=100000), " ",IF(INDEX($AD$2:$AU$1001,MATCH(ROWS($W$2:W425),$W$2:$W$1001,0),MATCH(COLUMNS($AD$1006:AH1006),$AD$1006:$AU$1006,0)), HYPERLINK("#",""), HYPERLINK(CONCATENATE("#metadata!", ADDRESS(INDEX($Y$2:$Y$1001,MATCH(ROWS($W$2:W425),$W$2:$W$1001,0),0), INDEX($AD$1004:$AU$1004,1,MATCH(COLUMNS($AD$1006:AH1006),$AD$1006:$AU$1006,0)))),"Fix")))</f>
        <v xml:space="preserve"> </v>
      </c>
      <c r="G425" s="4" t="str">
        <f ca="1">IF(OR(INDEX($X$2:$X$1001,MATCH(ROWS($W$2:W425),$W$2:$W$1001,0),1)&gt;=100000,INDEX($AD$1005:$AU$1005,1,MATCH(COLUMNS($AD$1006:AI1006),$AD$1006:$AU$1006,0))&gt;=100000), " ",IF(INDEX($AD$2:$AU$1001,MATCH(ROWS($W$2:W425),$W$2:$W$1001,0),MATCH(COLUMNS($AD$1006:AI1006),$AD$1006:$AU$1006,0)), HYPERLINK("#",""), HYPERLINK(CONCATENATE("#metadata!", ADDRESS(INDEX($Y$2:$Y$1001,MATCH(ROWS($W$2:W425),$W$2:$W$1001,0),0), INDEX($AD$1004:$AU$1004,1,MATCH(COLUMNS($AD$1006:AI1006),$AD$1006:$AU$1006,0)))),"Fix")))</f>
        <v xml:space="preserve"> </v>
      </c>
      <c r="H425" s="4" t="str">
        <f ca="1">IF(OR(INDEX($X$2:$X$1001,MATCH(ROWS($W$2:W425),$W$2:$W$1001,0),1)&gt;=100000,INDEX($AD$1005:$AU$1005,1,MATCH(COLUMNS($AD$1006:AJ1006),$AD$1006:$AU$1006,0))&gt;=100000), " ",IF(INDEX($AD$2:$AU$1001,MATCH(ROWS($W$2:W425),$W$2:$W$1001,0),MATCH(COLUMNS($AD$1006:AJ1006),$AD$1006:$AU$1006,0)), HYPERLINK("#",""), HYPERLINK(CONCATENATE("#metadata!", ADDRESS(INDEX($Y$2:$Y$1001,MATCH(ROWS($W$2:W425),$W$2:$W$1001,0),0), INDEX($AD$1004:$AU$1004,1,MATCH(COLUMNS($AD$1006:AJ1006),$AD$1006:$AU$1006,0)))),"Fix")))</f>
        <v xml:space="preserve"> </v>
      </c>
      <c r="I425" s="4" t="str">
        <f ca="1">IF(OR(INDEX($X$2:$X$1001,MATCH(ROWS($W$2:W425),$W$2:$W$1001,0),1)&gt;=100000,INDEX($AD$1005:$AU$1005,1,MATCH(COLUMNS($AD$1006:AK1006),$AD$1006:$AU$1006,0))&gt;=100000), " ",IF(INDEX($AD$2:$AU$1001,MATCH(ROWS($W$2:W425),$W$2:$W$1001,0),MATCH(COLUMNS($AD$1006:AK1006),$AD$1006:$AU$1006,0)), HYPERLINK("#",""), HYPERLINK(CONCATENATE("#metadata!", ADDRESS(INDEX($Y$2:$Y$1001,MATCH(ROWS($W$2:W425),$W$2:$W$1001,0),0), INDEX($AD$1004:$AU$1004,1,MATCH(COLUMNS($AD$1006:AK1006),$AD$1006:$AU$1006,0)))),"Fix")))</f>
        <v xml:space="preserve"> </v>
      </c>
      <c r="J425" s="4" t="str">
        <f ca="1">IF(OR(INDEX($X$2:$X$1001,MATCH(ROWS($W$2:W425),$W$2:$W$1001,0),1)&gt;=100000,INDEX($AD$1005:$AU$1005,1,MATCH(COLUMNS($AD$1006:AL1006),$AD$1006:$AU$1006,0))&gt;=100000), " ",IF(INDEX($AD$2:$AU$1001,MATCH(ROWS($W$2:W425),$W$2:$W$1001,0),MATCH(COLUMNS($AD$1006:AL1006),$AD$1006:$AU$1006,0)), HYPERLINK("#",""), HYPERLINK(CONCATENATE("#metadata!", ADDRESS(INDEX($Y$2:$Y$1001,MATCH(ROWS($W$2:W425),$W$2:$W$1001,0),0), INDEX($AD$1004:$AU$1004,1,MATCH(COLUMNS($AD$1006:AL1006),$AD$1006:$AU$1006,0)))),"Fix")))</f>
        <v xml:space="preserve"> </v>
      </c>
      <c r="K425" s="4" t="str">
        <f ca="1">IF(OR(INDEX($X$2:$X$1001,MATCH(ROWS($W$2:W425),$W$2:$W$1001,0),1)&gt;=100000,INDEX($AD$1005:$AU$1005,1,MATCH(COLUMNS($AD$1006:AM1006),$AD$1006:$AU$1006,0))&gt;=100000), " ",IF(INDEX($AD$2:$AU$1001,MATCH(ROWS($W$2:W425),$W$2:$W$1001,0),MATCH(COLUMNS($AD$1006:AM1006),$AD$1006:$AU$1006,0)), HYPERLINK("#",""), HYPERLINK(CONCATENATE("#metadata!", ADDRESS(INDEX($Y$2:$Y$1001,MATCH(ROWS($W$2:W425),$W$2:$W$1001,0),0), INDEX($AD$1004:$AU$1004,1,MATCH(COLUMNS($AD$1006:AM1006),$AD$1006:$AU$1006,0)))),"Fix")))</f>
        <v xml:space="preserve"> </v>
      </c>
      <c r="L425" s="4" t="str">
        <f ca="1">IF(OR(INDEX($X$2:$X$1001,MATCH(ROWS($W$2:W425),$W$2:$W$1001,0),1)&gt;=100000,INDEX($AD$1005:$AU$1005,1,MATCH(COLUMNS($AD$1006:AN1006),$AD$1006:$AU$1006,0))&gt;=100000), " ",IF(INDEX($AD$2:$AU$1001,MATCH(ROWS($W$2:W425),$W$2:$W$1001,0),MATCH(COLUMNS($AD$1006:AN1006),$AD$1006:$AU$1006,0)), HYPERLINK("#",""), HYPERLINK(CONCATENATE("#metadata!", ADDRESS(INDEX($Y$2:$Y$1001,MATCH(ROWS($W$2:W425),$W$2:$W$1001,0),0), INDEX($AD$1004:$AU$1004,1,MATCH(COLUMNS($AD$1006:AN1006),$AD$1006:$AU$1006,0)))),"Fix")))</f>
        <v xml:space="preserve"> </v>
      </c>
      <c r="M425" s="4" t="str">
        <f ca="1">IF(OR(INDEX($X$2:$X$1001,MATCH(ROWS($W$2:W425),$W$2:$W$1001,0),1)&gt;=100000,INDEX($AD$1005:$AU$1005,1,MATCH(COLUMNS($AD$1006:AO1006),$AD$1006:$AU$1006,0))&gt;=100000), " ",IF(INDEX($AD$2:$AU$1001,MATCH(ROWS($W$2:W425),$W$2:$W$1001,0),MATCH(COLUMNS($AD$1006:AO1006),$AD$1006:$AU$1006,0)), HYPERLINK("#",""), HYPERLINK(CONCATENATE("#metadata!", ADDRESS(INDEX($Y$2:$Y$1001,MATCH(ROWS($W$2:W425),$W$2:$W$1001,0),0), INDEX($AD$1004:$AU$1004,1,MATCH(COLUMNS($AD$1006:AO1006),$AD$1006:$AU$1006,0)))),"Fix")))</f>
        <v xml:space="preserve"> </v>
      </c>
      <c r="N425" s="4" t="str">
        <f ca="1">IF(OR(INDEX($X$2:$X$1001,MATCH(ROWS($W$2:W425),$W$2:$W$1001,0),1)&gt;=100000,INDEX($AD$1005:$AU$1005,1,MATCH(COLUMNS($AD$1006:AP1006),$AD$1006:$AU$1006,0))&gt;=100000), " ",IF(INDEX($AD$2:$AU$1001,MATCH(ROWS($W$2:W425),$W$2:$W$1001,0),MATCH(COLUMNS($AD$1006:AP1006),$AD$1006:$AU$1006,0)), HYPERLINK("#",""), HYPERLINK(CONCATENATE("#metadata!", ADDRESS(INDEX($Y$2:$Y$1001,MATCH(ROWS($W$2:W425),$W$2:$W$1001,0),0), INDEX($AD$1004:$AU$1004,1,MATCH(COLUMNS($AD$1006:AP1006),$AD$1006:$AU$1006,0)))),"Fix")))</f>
        <v xml:space="preserve"> </v>
      </c>
      <c r="O425" s="4" t="str">
        <f ca="1">IF(OR(INDEX($X$2:$X$1001,MATCH(ROWS($W$2:W425),$W$2:$W$1001,0),1)&gt;=100000,INDEX($AD$1005:$AU$1005,1,MATCH(COLUMNS($AD$1006:AQ1006),$AD$1006:$AU$1006,0))&gt;=100000), " ",IF(INDEX($AD$2:$AU$1001,MATCH(ROWS($W$2:W425),$W$2:$W$1001,0),MATCH(COLUMNS($AD$1006:AQ1006),$AD$1006:$AU$1006,0)), HYPERLINK("#",""), HYPERLINK(CONCATENATE("#metadata!", ADDRESS(INDEX($Y$2:$Y$1001,MATCH(ROWS($W$2:W425),$W$2:$W$1001,0),0), INDEX($AD$1004:$AU$1004,1,MATCH(COLUMNS($AD$1006:AQ1006),$AD$1006:$AU$1006,0)))),"Fix")))</f>
        <v xml:space="preserve"> </v>
      </c>
      <c r="P425" s="4" t="str">
        <f ca="1">IF(OR(INDEX($X$2:$X$1001,MATCH(ROWS($W$2:W425),$W$2:$W$1001,0),1)&gt;=100000,INDEX($AD$1005:$AU$1005,1,MATCH(COLUMNS($AD$1006:AR1006),$AD$1006:$AU$1006,0))&gt;=100000), " ",IF(INDEX($AD$2:$AU$1001,MATCH(ROWS($W$2:W425),$W$2:$W$1001,0),MATCH(COLUMNS($AD$1006:AR1006),$AD$1006:$AU$1006,0)), HYPERLINK("#",""), HYPERLINK(CONCATENATE("#metadata!", ADDRESS(INDEX($Y$2:$Y$1001,MATCH(ROWS($W$2:W425),$W$2:$W$1001,0),0), INDEX($AD$1004:$AU$1004,1,MATCH(COLUMNS($AD$1006:AR1006),$AD$1006:$AU$1006,0)))),"Fix")))</f>
        <v xml:space="preserve"> </v>
      </c>
      <c r="Q425" s="4" t="str">
        <f ca="1">IF(OR(INDEX($X$2:$X$1001,MATCH(ROWS($W$2:W425),$W$2:$W$1001,0),1)&gt;=100000,INDEX($AD$1005:$AU$1005,1,MATCH(COLUMNS($AD$1006:AS1006),$AD$1006:$AU$1006,0))&gt;=100000), " ",IF(INDEX($AD$2:$AU$1001,MATCH(ROWS($W$2:W425),$W$2:$W$1001,0),MATCH(COLUMNS($AD$1006:AS1006),$AD$1006:$AU$1006,0)), HYPERLINK("#",""), HYPERLINK(CONCATENATE("#metadata!", ADDRESS(INDEX($Y$2:$Y$1001,MATCH(ROWS($W$2:W425),$W$2:$W$1001,0),0), INDEX($AD$1004:$AU$1004,1,MATCH(COLUMNS($AD$1006:AS1006),$AD$1006:$AU$1006,0)))),"Fix")))</f>
        <v xml:space="preserve"> </v>
      </c>
      <c r="R425" s="4" t="str">
        <f ca="1">IF(OR(INDEX($X$2:$X$1001,MATCH(ROWS($W$2:W425),$W$2:$W$1001,0),1)&gt;=100000,INDEX($AD$1005:$AU$1005,1,MATCH(COLUMNS($AD$1006:AT1006),$AD$1006:$AU$1006,0))&gt;=100000), " ",IF(INDEX($AD$2:$AU$1001,MATCH(ROWS($W$2:W425),$W$2:$W$1001,0),MATCH(COLUMNS($AD$1006:AT1006),$AD$1006:$AU$1006,0)), HYPERLINK("#",""), HYPERLINK(CONCATENATE("#metadata!", ADDRESS(INDEX($Y$2:$Y$1001,MATCH(ROWS($W$2:W425),$W$2:$W$1001,0),0), INDEX($AD$1004:$AU$1004,1,MATCH(COLUMNS($AD$1006:AT1006),$AD$1006:$AU$1006,0)))),"Fix")))</f>
        <v xml:space="preserve"> </v>
      </c>
      <c r="S425" s="4" t="str">
        <f ca="1">IF(OR(INDEX($X$2:$X$1001,MATCH(ROWS($W$2:W425),$W$2:$W$1001,0),1)&gt;=100000,INDEX($AD$1005:$AU$1005,1,MATCH(COLUMNS($AD$1006:AU1006),$AD$1006:$AU$1006,0))&gt;=100000), " ",IF(INDEX($AD$2:$AU$1001,MATCH(ROWS($W$2:W425),$W$2:$W$1001,0),MATCH(COLUMNS($AD$1006:AU1006),$AD$1006:$AU$1006,0)), HYPERLINK("#",""), HYPERLINK(CONCATENATE("#metadata!", ADDRESS(INDEX($Y$2:$Y$1001,MATCH(ROWS($W$2:W425),$W$2:$W$1001,0),0), INDEX($AD$1004:$AU$1004,1,MATCH(COLUMNS($AD$1006:AU1006),$AD$1006:$AU$1006,0)))),"Fix")))</f>
        <v xml:space="preserve"> </v>
      </c>
      <c r="W425">
        <v>424</v>
      </c>
      <c r="X425">
        <v>100425</v>
      </c>
      <c r="Y425">
        <v>425</v>
      </c>
      <c r="Z425" t="b">
        <f t="shared" si="6"/>
        <v>1</v>
      </c>
      <c r="AA425" t="b">
        <f>COUNTBLANK(metadata!B425:S425)=COLUMNS(metadata!B425:S425)</f>
        <v>1</v>
      </c>
      <c r="AB425" t="str">
        <v/>
      </c>
      <c r="AD425" t="b">
        <f ca="1">AND(IF(metadata!B425="",FALSE,TRUE),COUNTIF(metadata!B:B, metadata!B425) = 1,NOT(ISERROR(SUMPRODUCT(SEARCH(MID(metadata!B425,ROW(INDIRECT("1:"&amp;LEN(metadata!B425))), 1),"0123456789abcdefghijklmnopqrstuvwxyzABCDEFGHIJKLMNOPQRSTUVWXYZ.")))))</f>
        <v>0</v>
      </c>
      <c r="AE425" t="b">
        <f>OR(AND(IF(metadata!C425="",FALSE,TRUE),OR(EXACT(metadata!C425,"not applicable"),EXACT(metadata!C425,"missing: not collected"),EXACT(metadata!C425,"missing: not provided"),EXACT(metadata!C425,"missing: restricted access"))),AND(IF(metadata!C425="",FALSE,ISNUMBER(VALUE(metadata!C425))),metadata!C425&gt;0))</f>
        <v>0</v>
      </c>
      <c r="AF425" t="b">
        <f>AND(IF(metadata!D425="",FALSE,TRUE),EXACT(metadata!D425,"missing: not provided"))</f>
        <v>0</v>
      </c>
      <c r="AG425" t="b">
        <f>AND(IF(metadata!E425="",FALSE,TRUE),EXACT(metadata!E425,"Host-associated"))</f>
        <v>0</v>
      </c>
      <c r="AH425" t="b">
        <f>AND(IF(metadata!F425="",FALSE,TRUE),OR(EXACT(metadata!F425,"Animal"),EXACT(metadata!F425,"Fungus"),EXACT(metadata!F425,"Plant")))</f>
        <v>0</v>
      </c>
      <c r="AI425" t="b">
        <f>AND(IF(metadata!G425="",FALSE,TRUE),OR(EXACT(metadata!G425,"Plant secretion"),EXACT(metadata!G425,"Plant rhizosphere"),EXACT(metadata!G425,"Plant surface"),EXACT(metadata!G425,"Plant corpus"),EXACT(metadata!G425,"Fungus surface"),EXACT(metadata!G425,"Fungus corpus"),EXACT(metadata!G425,"Animal surface"),EXACT(metadata!G425,"Animal proximal gut"),EXACT(metadata!G425,"Animal corpus"),EXACT(metadata!G425,"Animal distal gut"),EXACT(metadata!G425,"Animal secretion")))</f>
        <v>0</v>
      </c>
      <c r="AJ425" t="b">
        <f>OR(AND(IF(metadata!H425="",FALSE,TRUE),OR(EXACT(metadata!H425,"missing: not collected"),EXACT(metadata!H425,"missing: not provided"),EXACT(metadata!H425,"missing: restricted access"))),AND(IF(metadata!H425="",FALSE,TRUE),OR(EXACT(metadata!H425,"organism-associated habitat"),EXACT(metadata!H425,"plant-associated habitat"),EXACT(metadata!H425,"animal-associated habitat"),EXACT(metadata!H425,"insecta-associated habitat"),EXACT(metadata!H425,"mammalia-associated habitat"),EXACT(metadata!H425,"human-associated habitat"),EXACT(metadata!H425,"livestock-associated habitat"))))</f>
        <v>0</v>
      </c>
      <c r="AK425" t="b">
        <f>AND(IF(metadata!I425="",FALSE,TRUE),EXACT(metadata!I425,"host-associated"))</f>
        <v>0</v>
      </c>
      <c r="AL425" t="b">
        <f>OR(AND(IF(metadata!J425="",FALSE,TRUE),OR(EXACT(metadata!J425,"not applicable"),EXACT(metadata!J425,"missing: not collected"),EXACT(metadata!J425,"missing: not provided"),EXACT(metadata!J425,"missing: restricted access"))),AND(IF(metadata!J425="",FALSE,ISNUMBER(VALUE(metadata!J425))),metadata!J425&gt;0))</f>
        <v>0</v>
      </c>
      <c r="AM425" t="b">
        <f>AND(IF(metadata!K425="",FALSE,TRUE),EXACT(metadata!K425,"missing: not provided"))</f>
        <v>0</v>
      </c>
      <c r="AN425" t="b">
        <f>IF(metadata!L425="",FALSE,TRUE)</f>
        <v>0</v>
      </c>
      <c r="AO425" t="b">
        <f>IF(metadata!M425="",FALSE,TRUE)</f>
        <v>0</v>
      </c>
      <c r="AP425" t="b">
        <f>OR(AND(IF(metadata!N425="",FALSE,TRUE),OR(EXACT(metadata!N425,"not applicable"),EXACT(metadata!N425,"missing: not collected"),EXACT(metadata!N425,"missing: not provided"))),AND(IF(metadata!N425="",FALSE,IF(ISERROR(INT(metadata!N425)),FALSE,INT(metadata!N425)=metadata!N425)),metadata!N425&gt;0))</f>
        <v>0</v>
      </c>
      <c r="AQ425" t="b">
        <f>AND(IF(metadata!O425="",FALSE,TRUE),EXACT(metadata!O425,"Not applicable"))</f>
        <v>0</v>
      </c>
      <c r="AR425" t="b">
        <f>OR(AND(IF(metadata!P425="",FALSE,TRUE),OR(EXACT(metadata!P425,"not applicable"),EXACT(metadata!P425,"missing: not collected"),EXACT(metadata!P425,"missing: not provided"),EXACT(metadata!P425,"missing: restricted access"))),IF(metadata!P425="",FALSE,IF(ISERROR(INT(metadata!P425)),FALSE,INT(metadata!P425)=metadata!P425)))</f>
        <v>0</v>
      </c>
      <c r="AS425" t="b">
        <f>AND(IF(metadata!Q425="",FALSE,TRUE),EXACT(metadata!Q425,"Not applicable"))</f>
        <v>0</v>
      </c>
      <c r="AT425" t="b">
        <f>OR(AND(IF(metadata!R425="",FALSE,TRUE),OR(EXACT(metadata!R425,"not applicable"),EXACT(metadata!R425,"missing: not collected"),EXACT(metadata!R425,"missing: not provided"),EXACT(metadata!R425,"missing: restricted access"))),AND(IF(metadata!R425="",FALSE,ISNUMBER(VALUE(metadata!R425))),metadata!R425&gt;0))</f>
        <v>0</v>
      </c>
      <c r="AU425" t="b">
        <f>AND(IF(metadata!S425="",FALSE,TRUE),EXACT(metadata!S425,"missing: not provided"))</f>
        <v>0</v>
      </c>
    </row>
    <row r="426" spans="1:47" x14ac:dyDescent="0.2">
      <c r="A426" s="5" t="str">
        <f ca="1">IF(B426=" "," ",HYPERLINK(CONCATENATE("#metadata!",ADDRESS(INDEX($Y$2:$Y$1001,MATCH(ROWS($W$2:W426),$W$2:$W$1001,0),0),1)),INDEX($AB$2:$AB$1001,MATCH(ROWS($W$2:W426),$W$2:$W$1001,0),0)))</f>
        <v xml:space="preserve"> </v>
      </c>
      <c r="B426" s="4" t="str">
        <f ca="1">IF(OR(INDEX($X$2:$X$1001,MATCH(ROWS($W$2:W426),$W$2:$W$1001,0),1)&gt;=100000,INDEX($AD$1005:$AU$1005,1,MATCH(COLUMNS($AD$1006:AD1006),$AD$1006:$AU$1006,0))&gt;=100000), " ",IF(INDEX($AD$2:$AU$1001,MATCH(ROWS($W$2:W426),$W$2:$W$1001,0),MATCH(COLUMNS($AD$1006:AD1006),$AD$1006:$AU$1006,0)), HYPERLINK("#",""), HYPERLINK(CONCATENATE("#metadata!", ADDRESS(INDEX($Y$2:$Y$1001,MATCH(ROWS($W$2:W426),$W$2:$W$1001,0),0), INDEX($AD$1004:$AU$1004,1,MATCH(COLUMNS($AD$1006:AD1006),$AD$1006:$AU$1006,0)))),"Fix")))</f>
        <v xml:space="preserve"> </v>
      </c>
      <c r="C426" s="4" t="str">
        <f ca="1">IF(OR(INDEX($X$2:$X$1001,MATCH(ROWS($W$2:W426),$W$2:$W$1001,0),1)&gt;=100000,INDEX($AD$1005:$AU$1005,1,MATCH(COLUMNS($AD$1006:AE1006),$AD$1006:$AU$1006,0))&gt;=100000), " ",IF(INDEX($AD$2:$AU$1001,MATCH(ROWS($W$2:W426),$W$2:$W$1001,0),MATCH(COLUMNS($AD$1006:AE1006),$AD$1006:$AU$1006,0)), HYPERLINK("#",""), HYPERLINK(CONCATENATE("#metadata!", ADDRESS(INDEX($Y$2:$Y$1001,MATCH(ROWS($W$2:W426),$W$2:$W$1001,0),0), INDEX($AD$1004:$AU$1004,1,MATCH(COLUMNS($AD$1006:AE1006),$AD$1006:$AU$1006,0)))),"Fix")))</f>
        <v xml:space="preserve"> </v>
      </c>
      <c r="D426" s="4" t="str">
        <f ca="1">IF(OR(INDEX($X$2:$X$1001,MATCH(ROWS($W$2:W426),$W$2:$W$1001,0),1)&gt;=100000,INDEX($AD$1005:$AU$1005,1,MATCH(COLUMNS($AD$1006:AF1006),$AD$1006:$AU$1006,0))&gt;=100000), " ",IF(INDEX($AD$2:$AU$1001,MATCH(ROWS($W$2:W426),$W$2:$W$1001,0),MATCH(COLUMNS($AD$1006:AF1006),$AD$1006:$AU$1006,0)), HYPERLINK("#",""), HYPERLINK(CONCATENATE("#metadata!", ADDRESS(INDEX($Y$2:$Y$1001,MATCH(ROWS($W$2:W426),$W$2:$W$1001,0),0), INDEX($AD$1004:$AU$1004,1,MATCH(COLUMNS($AD$1006:AF1006),$AD$1006:$AU$1006,0)))),"Fix")))</f>
        <v xml:space="preserve"> </v>
      </c>
      <c r="E426" s="4" t="str">
        <f ca="1">IF(OR(INDEX($X$2:$X$1001,MATCH(ROWS($W$2:W426),$W$2:$W$1001,0),1)&gt;=100000,INDEX($AD$1005:$AU$1005,1,MATCH(COLUMNS($AD$1006:AG1006),$AD$1006:$AU$1006,0))&gt;=100000), " ",IF(INDEX($AD$2:$AU$1001,MATCH(ROWS($W$2:W426),$W$2:$W$1001,0),MATCH(COLUMNS($AD$1006:AG1006),$AD$1006:$AU$1006,0)), HYPERLINK("#",""), HYPERLINK(CONCATENATE("#metadata!", ADDRESS(INDEX($Y$2:$Y$1001,MATCH(ROWS($W$2:W426),$W$2:$W$1001,0),0), INDEX($AD$1004:$AU$1004,1,MATCH(COLUMNS($AD$1006:AG1006),$AD$1006:$AU$1006,0)))),"Fix")))</f>
        <v xml:space="preserve"> </v>
      </c>
      <c r="F426" s="4" t="str">
        <f ca="1">IF(OR(INDEX($X$2:$X$1001,MATCH(ROWS($W$2:W426),$W$2:$W$1001,0),1)&gt;=100000,INDEX($AD$1005:$AU$1005,1,MATCH(COLUMNS($AD$1006:AH1006),$AD$1006:$AU$1006,0))&gt;=100000), " ",IF(INDEX($AD$2:$AU$1001,MATCH(ROWS($W$2:W426),$W$2:$W$1001,0),MATCH(COLUMNS($AD$1006:AH1006),$AD$1006:$AU$1006,0)), HYPERLINK("#",""), HYPERLINK(CONCATENATE("#metadata!", ADDRESS(INDEX($Y$2:$Y$1001,MATCH(ROWS($W$2:W426),$W$2:$W$1001,0),0), INDEX($AD$1004:$AU$1004,1,MATCH(COLUMNS($AD$1006:AH1006),$AD$1006:$AU$1006,0)))),"Fix")))</f>
        <v xml:space="preserve"> </v>
      </c>
      <c r="G426" s="4" t="str">
        <f ca="1">IF(OR(INDEX($X$2:$X$1001,MATCH(ROWS($W$2:W426),$W$2:$W$1001,0),1)&gt;=100000,INDEX($AD$1005:$AU$1005,1,MATCH(COLUMNS($AD$1006:AI1006),$AD$1006:$AU$1006,0))&gt;=100000), " ",IF(INDEX($AD$2:$AU$1001,MATCH(ROWS($W$2:W426),$W$2:$W$1001,0),MATCH(COLUMNS($AD$1006:AI1006),$AD$1006:$AU$1006,0)), HYPERLINK("#",""), HYPERLINK(CONCATENATE("#metadata!", ADDRESS(INDEX($Y$2:$Y$1001,MATCH(ROWS($W$2:W426),$W$2:$W$1001,0),0), INDEX($AD$1004:$AU$1004,1,MATCH(COLUMNS($AD$1006:AI1006),$AD$1006:$AU$1006,0)))),"Fix")))</f>
        <v xml:space="preserve"> </v>
      </c>
      <c r="H426" s="4" t="str">
        <f ca="1">IF(OR(INDEX($X$2:$X$1001,MATCH(ROWS($W$2:W426),$W$2:$W$1001,0),1)&gt;=100000,INDEX($AD$1005:$AU$1005,1,MATCH(COLUMNS($AD$1006:AJ1006),$AD$1006:$AU$1006,0))&gt;=100000), " ",IF(INDEX($AD$2:$AU$1001,MATCH(ROWS($W$2:W426),$W$2:$W$1001,0),MATCH(COLUMNS($AD$1006:AJ1006),$AD$1006:$AU$1006,0)), HYPERLINK("#",""), HYPERLINK(CONCATENATE("#metadata!", ADDRESS(INDEX($Y$2:$Y$1001,MATCH(ROWS($W$2:W426),$W$2:$W$1001,0),0), INDEX($AD$1004:$AU$1004,1,MATCH(COLUMNS($AD$1006:AJ1006),$AD$1006:$AU$1006,0)))),"Fix")))</f>
        <v xml:space="preserve"> </v>
      </c>
      <c r="I426" s="4" t="str">
        <f ca="1">IF(OR(INDEX($X$2:$X$1001,MATCH(ROWS($W$2:W426),$W$2:$W$1001,0),1)&gt;=100000,INDEX($AD$1005:$AU$1005,1,MATCH(COLUMNS($AD$1006:AK1006),$AD$1006:$AU$1006,0))&gt;=100000), " ",IF(INDEX($AD$2:$AU$1001,MATCH(ROWS($W$2:W426),$W$2:$W$1001,0),MATCH(COLUMNS($AD$1006:AK1006),$AD$1006:$AU$1006,0)), HYPERLINK("#",""), HYPERLINK(CONCATENATE("#metadata!", ADDRESS(INDEX($Y$2:$Y$1001,MATCH(ROWS($W$2:W426),$W$2:$W$1001,0),0), INDEX($AD$1004:$AU$1004,1,MATCH(COLUMNS($AD$1006:AK1006),$AD$1006:$AU$1006,0)))),"Fix")))</f>
        <v xml:space="preserve"> </v>
      </c>
      <c r="J426" s="4" t="str">
        <f ca="1">IF(OR(INDEX($X$2:$X$1001,MATCH(ROWS($W$2:W426),$W$2:$W$1001,0),1)&gt;=100000,INDEX($AD$1005:$AU$1005,1,MATCH(COLUMNS($AD$1006:AL1006),$AD$1006:$AU$1006,0))&gt;=100000), " ",IF(INDEX($AD$2:$AU$1001,MATCH(ROWS($W$2:W426),$W$2:$W$1001,0),MATCH(COLUMNS($AD$1006:AL1006),$AD$1006:$AU$1006,0)), HYPERLINK("#",""), HYPERLINK(CONCATENATE("#metadata!", ADDRESS(INDEX($Y$2:$Y$1001,MATCH(ROWS($W$2:W426),$W$2:$W$1001,0),0), INDEX($AD$1004:$AU$1004,1,MATCH(COLUMNS($AD$1006:AL1006),$AD$1006:$AU$1006,0)))),"Fix")))</f>
        <v xml:space="preserve"> </v>
      </c>
      <c r="K426" s="4" t="str">
        <f ca="1">IF(OR(INDEX($X$2:$X$1001,MATCH(ROWS($W$2:W426),$W$2:$W$1001,0),1)&gt;=100000,INDEX($AD$1005:$AU$1005,1,MATCH(COLUMNS($AD$1006:AM1006),$AD$1006:$AU$1006,0))&gt;=100000), " ",IF(INDEX($AD$2:$AU$1001,MATCH(ROWS($W$2:W426),$W$2:$W$1001,0),MATCH(COLUMNS($AD$1006:AM1006),$AD$1006:$AU$1006,0)), HYPERLINK("#",""), HYPERLINK(CONCATENATE("#metadata!", ADDRESS(INDEX($Y$2:$Y$1001,MATCH(ROWS($W$2:W426),$W$2:$W$1001,0),0), INDEX($AD$1004:$AU$1004,1,MATCH(COLUMNS($AD$1006:AM1006),$AD$1006:$AU$1006,0)))),"Fix")))</f>
        <v xml:space="preserve"> </v>
      </c>
      <c r="L426" s="4" t="str">
        <f ca="1">IF(OR(INDEX($X$2:$X$1001,MATCH(ROWS($W$2:W426),$W$2:$W$1001,0),1)&gt;=100000,INDEX($AD$1005:$AU$1005,1,MATCH(COLUMNS($AD$1006:AN1006),$AD$1006:$AU$1006,0))&gt;=100000), " ",IF(INDEX($AD$2:$AU$1001,MATCH(ROWS($W$2:W426),$W$2:$W$1001,0),MATCH(COLUMNS($AD$1006:AN1006),$AD$1006:$AU$1006,0)), HYPERLINK("#",""), HYPERLINK(CONCATENATE("#metadata!", ADDRESS(INDEX($Y$2:$Y$1001,MATCH(ROWS($W$2:W426),$W$2:$W$1001,0),0), INDEX($AD$1004:$AU$1004,1,MATCH(COLUMNS($AD$1006:AN1006),$AD$1006:$AU$1006,0)))),"Fix")))</f>
        <v xml:space="preserve"> </v>
      </c>
      <c r="M426" s="4" t="str">
        <f ca="1">IF(OR(INDEX($X$2:$X$1001,MATCH(ROWS($W$2:W426),$W$2:$W$1001,0),1)&gt;=100000,INDEX($AD$1005:$AU$1005,1,MATCH(COLUMNS($AD$1006:AO1006),$AD$1006:$AU$1006,0))&gt;=100000), " ",IF(INDEX($AD$2:$AU$1001,MATCH(ROWS($W$2:W426),$W$2:$W$1001,0),MATCH(COLUMNS($AD$1006:AO1006),$AD$1006:$AU$1006,0)), HYPERLINK("#",""), HYPERLINK(CONCATENATE("#metadata!", ADDRESS(INDEX($Y$2:$Y$1001,MATCH(ROWS($W$2:W426),$W$2:$W$1001,0),0), INDEX($AD$1004:$AU$1004,1,MATCH(COLUMNS($AD$1006:AO1006),$AD$1006:$AU$1006,0)))),"Fix")))</f>
        <v xml:space="preserve"> </v>
      </c>
      <c r="N426" s="4" t="str">
        <f ca="1">IF(OR(INDEX($X$2:$X$1001,MATCH(ROWS($W$2:W426),$W$2:$W$1001,0),1)&gt;=100000,INDEX($AD$1005:$AU$1005,1,MATCH(COLUMNS($AD$1006:AP1006),$AD$1006:$AU$1006,0))&gt;=100000), " ",IF(INDEX($AD$2:$AU$1001,MATCH(ROWS($W$2:W426),$W$2:$W$1001,0),MATCH(COLUMNS($AD$1006:AP1006),$AD$1006:$AU$1006,0)), HYPERLINK("#",""), HYPERLINK(CONCATENATE("#metadata!", ADDRESS(INDEX($Y$2:$Y$1001,MATCH(ROWS($W$2:W426),$W$2:$W$1001,0),0), INDEX($AD$1004:$AU$1004,1,MATCH(COLUMNS($AD$1006:AP1006),$AD$1006:$AU$1006,0)))),"Fix")))</f>
        <v xml:space="preserve"> </v>
      </c>
      <c r="O426" s="4" t="str">
        <f ca="1">IF(OR(INDEX($X$2:$X$1001,MATCH(ROWS($W$2:W426),$W$2:$W$1001,0),1)&gt;=100000,INDEX($AD$1005:$AU$1005,1,MATCH(COLUMNS($AD$1006:AQ1006),$AD$1006:$AU$1006,0))&gt;=100000), " ",IF(INDEX($AD$2:$AU$1001,MATCH(ROWS($W$2:W426),$W$2:$W$1001,0),MATCH(COLUMNS($AD$1006:AQ1006),$AD$1006:$AU$1006,0)), HYPERLINK("#",""), HYPERLINK(CONCATENATE("#metadata!", ADDRESS(INDEX($Y$2:$Y$1001,MATCH(ROWS($W$2:W426),$W$2:$W$1001,0),0), INDEX($AD$1004:$AU$1004,1,MATCH(COLUMNS($AD$1006:AQ1006),$AD$1006:$AU$1006,0)))),"Fix")))</f>
        <v xml:space="preserve"> </v>
      </c>
      <c r="P426" s="4" t="str">
        <f ca="1">IF(OR(INDEX($X$2:$X$1001,MATCH(ROWS($W$2:W426),$W$2:$W$1001,0),1)&gt;=100000,INDEX($AD$1005:$AU$1005,1,MATCH(COLUMNS($AD$1006:AR1006),$AD$1006:$AU$1006,0))&gt;=100000), " ",IF(INDEX($AD$2:$AU$1001,MATCH(ROWS($W$2:W426),$W$2:$W$1001,0),MATCH(COLUMNS($AD$1006:AR1006),$AD$1006:$AU$1006,0)), HYPERLINK("#",""), HYPERLINK(CONCATENATE("#metadata!", ADDRESS(INDEX($Y$2:$Y$1001,MATCH(ROWS($W$2:W426),$W$2:$W$1001,0),0), INDEX($AD$1004:$AU$1004,1,MATCH(COLUMNS($AD$1006:AR1006),$AD$1006:$AU$1006,0)))),"Fix")))</f>
        <v xml:space="preserve"> </v>
      </c>
      <c r="Q426" s="4" t="str">
        <f ca="1">IF(OR(INDEX($X$2:$X$1001,MATCH(ROWS($W$2:W426),$W$2:$W$1001,0),1)&gt;=100000,INDEX($AD$1005:$AU$1005,1,MATCH(COLUMNS($AD$1006:AS1006),$AD$1006:$AU$1006,0))&gt;=100000), " ",IF(INDEX($AD$2:$AU$1001,MATCH(ROWS($W$2:W426),$W$2:$W$1001,0),MATCH(COLUMNS($AD$1006:AS1006),$AD$1006:$AU$1006,0)), HYPERLINK("#",""), HYPERLINK(CONCATENATE("#metadata!", ADDRESS(INDEX($Y$2:$Y$1001,MATCH(ROWS($W$2:W426),$W$2:$W$1001,0),0), INDEX($AD$1004:$AU$1004,1,MATCH(COLUMNS($AD$1006:AS1006),$AD$1006:$AU$1006,0)))),"Fix")))</f>
        <v xml:space="preserve"> </v>
      </c>
      <c r="R426" s="4" t="str">
        <f ca="1">IF(OR(INDEX($X$2:$X$1001,MATCH(ROWS($W$2:W426),$W$2:$W$1001,0),1)&gt;=100000,INDEX($AD$1005:$AU$1005,1,MATCH(COLUMNS($AD$1006:AT1006),$AD$1006:$AU$1006,0))&gt;=100000), " ",IF(INDEX($AD$2:$AU$1001,MATCH(ROWS($W$2:W426),$W$2:$W$1001,0),MATCH(COLUMNS($AD$1006:AT1006),$AD$1006:$AU$1006,0)), HYPERLINK("#",""), HYPERLINK(CONCATENATE("#metadata!", ADDRESS(INDEX($Y$2:$Y$1001,MATCH(ROWS($W$2:W426),$W$2:$W$1001,0),0), INDEX($AD$1004:$AU$1004,1,MATCH(COLUMNS($AD$1006:AT1006),$AD$1006:$AU$1006,0)))),"Fix")))</f>
        <v xml:space="preserve"> </v>
      </c>
      <c r="S426" s="4" t="str">
        <f ca="1">IF(OR(INDEX($X$2:$X$1001,MATCH(ROWS($W$2:W426),$W$2:$W$1001,0),1)&gt;=100000,INDEX($AD$1005:$AU$1005,1,MATCH(COLUMNS($AD$1006:AU1006),$AD$1006:$AU$1006,0))&gt;=100000), " ",IF(INDEX($AD$2:$AU$1001,MATCH(ROWS($W$2:W426),$W$2:$W$1001,0),MATCH(COLUMNS($AD$1006:AU1006),$AD$1006:$AU$1006,0)), HYPERLINK("#",""), HYPERLINK(CONCATENATE("#metadata!", ADDRESS(INDEX($Y$2:$Y$1001,MATCH(ROWS($W$2:W426),$W$2:$W$1001,0),0), INDEX($AD$1004:$AU$1004,1,MATCH(COLUMNS($AD$1006:AU1006),$AD$1006:$AU$1006,0)))),"Fix")))</f>
        <v xml:space="preserve"> </v>
      </c>
      <c r="W426">
        <v>425</v>
      </c>
      <c r="X426">
        <v>100426</v>
      </c>
      <c r="Y426">
        <v>426</v>
      </c>
      <c r="Z426" t="b">
        <f t="shared" si="6"/>
        <v>1</v>
      </c>
      <c r="AA426" t="b">
        <f>COUNTBLANK(metadata!B426:S426)=COLUMNS(metadata!B426:S426)</f>
        <v>1</v>
      </c>
      <c r="AB426" t="str">
        <v/>
      </c>
      <c r="AD426" t="b">
        <f ca="1">AND(IF(metadata!B426="",FALSE,TRUE),COUNTIF(metadata!B:B, metadata!B426) = 1,NOT(ISERROR(SUMPRODUCT(SEARCH(MID(metadata!B426,ROW(INDIRECT("1:"&amp;LEN(metadata!B426))), 1),"0123456789abcdefghijklmnopqrstuvwxyzABCDEFGHIJKLMNOPQRSTUVWXYZ.")))))</f>
        <v>0</v>
      </c>
      <c r="AE426" t="b">
        <f>OR(AND(IF(metadata!C426="",FALSE,TRUE),OR(EXACT(metadata!C426,"not applicable"),EXACT(metadata!C426,"missing: not collected"),EXACT(metadata!C426,"missing: not provided"),EXACT(metadata!C426,"missing: restricted access"))),AND(IF(metadata!C426="",FALSE,ISNUMBER(VALUE(metadata!C426))),metadata!C426&gt;0))</f>
        <v>0</v>
      </c>
      <c r="AF426" t="b">
        <f>AND(IF(metadata!D426="",FALSE,TRUE),EXACT(metadata!D426,"missing: not provided"))</f>
        <v>0</v>
      </c>
      <c r="AG426" t="b">
        <f>AND(IF(metadata!E426="",FALSE,TRUE),EXACT(metadata!E426,"Host-associated"))</f>
        <v>0</v>
      </c>
      <c r="AH426" t="b">
        <f>AND(IF(metadata!F426="",FALSE,TRUE),OR(EXACT(metadata!F426,"Animal"),EXACT(metadata!F426,"Fungus"),EXACT(metadata!F426,"Plant")))</f>
        <v>0</v>
      </c>
      <c r="AI426" t="b">
        <f>AND(IF(metadata!G426="",FALSE,TRUE),OR(EXACT(metadata!G426,"Plant secretion"),EXACT(metadata!G426,"Plant rhizosphere"),EXACT(metadata!G426,"Plant surface"),EXACT(metadata!G426,"Plant corpus"),EXACT(metadata!G426,"Fungus surface"),EXACT(metadata!G426,"Fungus corpus"),EXACT(metadata!G426,"Animal surface"),EXACT(metadata!G426,"Animal proximal gut"),EXACT(metadata!G426,"Animal corpus"),EXACT(metadata!G426,"Animal distal gut"),EXACT(metadata!G426,"Animal secretion")))</f>
        <v>0</v>
      </c>
      <c r="AJ426" t="b">
        <f>OR(AND(IF(metadata!H426="",FALSE,TRUE),OR(EXACT(metadata!H426,"missing: not collected"),EXACT(metadata!H426,"missing: not provided"),EXACT(metadata!H426,"missing: restricted access"))),AND(IF(metadata!H426="",FALSE,TRUE),OR(EXACT(metadata!H426,"organism-associated habitat"),EXACT(metadata!H426,"plant-associated habitat"),EXACT(metadata!H426,"animal-associated habitat"),EXACT(metadata!H426,"insecta-associated habitat"),EXACT(metadata!H426,"mammalia-associated habitat"),EXACT(metadata!H426,"human-associated habitat"),EXACT(metadata!H426,"livestock-associated habitat"))))</f>
        <v>0</v>
      </c>
      <c r="AK426" t="b">
        <f>AND(IF(metadata!I426="",FALSE,TRUE),EXACT(metadata!I426,"host-associated"))</f>
        <v>0</v>
      </c>
      <c r="AL426" t="b">
        <f>OR(AND(IF(metadata!J426="",FALSE,TRUE),OR(EXACT(metadata!J426,"not applicable"),EXACT(metadata!J426,"missing: not collected"),EXACT(metadata!J426,"missing: not provided"),EXACT(metadata!J426,"missing: restricted access"))),AND(IF(metadata!J426="",FALSE,ISNUMBER(VALUE(metadata!J426))),metadata!J426&gt;0))</f>
        <v>0</v>
      </c>
      <c r="AM426" t="b">
        <f>AND(IF(metadata!K426="",FALSE,TRUE),EXACT(metadata!K426,"missing: not provided"))</f>
        <v>0</v>
      </c>
      <c r="AN426" t="b">
        <f>IF(metadata!L426="",FALSE,TRUE)</f>
        <v>0</v>
      </c>
      <c r="AO426" t="b">
        <f>IF(metadata!M426="",FALSE,TRUE)</f>
        <v>0</v>
      </c>
      <c r="AP426" t="b">
        <f>OR(AND(IF(metadata!N426="",FALSE,TRUE),OR(EXACT(metadata!N426,"not applicable"),EXACT(metadata!N426,"missing: not collected"),EXACT(metadata!N426,"missing: not provided"))),AND(IF(metadata!N426="",FALSE,IF(ISERROR(INT(metadata!N426)),FALSE,INT(metadata!N426)=metadata!N426)),metadata!N426&gt;0))</f>
        <v>0</v>
      </c>
      <c r="AQ426" t="b">
        <f>AND(IF(metadata!O426="",FALSE,TRUE),EXACT(metadata!O426,"Not applicable"))</f>
        <v>0</v>
      </c>
      <c r="AR426" t="b">
        <f>OR(AND(IF(metadata!P426="",FALSE,TRUE),OR(EXACT(metadata!P426,"not applicable"),EXACT(metadata!P426,"missing: not collected"),EXACT(metadata!P426,"missing: not provided"),EXACT(metadata!P426,"missing: restricted access"))),IF(metadata!P426="",FALSE,IF(ISERROR(INT(metadata!P426)),FALSE,INT(metadata!P426)=metadata!P426)))</f>
        <v>0</v>
      </c>
      <c r="AS426" t="b">
        <f>AND(IF(metadata!Q426="",FALSE,TRUE),EXACT(metadata!Q426,"Not applicable"))</f>
        <v>0</v>
      </c>
      <c r="AT426" t="b">
        <f>OR(AND(IF(metadata!R426="",FALSE,TRUE),OR(EXACT(metadata!R426,"not applicable"),EXACT(metadata!R426,"missing: not collected"),EXACT(metadata!R426,"missing: not provided"),EXACT(metadata!R426,"missing: restricted access"))),AND(IF(metadata!R426="",FALSE,ISNUMBER(VALUE(metadata!R426))),metadata!R426&gt;0))</f>
        <v>0</v>
      </c>
      <c r="AU426" t="b">
        <f>AND(IF(metadata!S426="",FALSE,TRUE),EXACT(metadata!S426,"missing: not provided"))</f>
        <v>0</v>
      </c>
    </row>
    <row r="427" spans="1:47" x14ac:dyDescent="0.2">
      <c r="A427" s="5" t="str">
        <f ca="1">IF(B427=" "," ",HYPERLINK(CONCATENATE("#metadata!",ADDRESS(INDEX($Y$2:$Y$1001,MATCH(ROWS($W$2:W427),$W$2:$W$1001,0),0),1)),INDEX($AB$2:$AB$1001,MATCH(ROWS($W$2:W427),$W$2:$W$1001,0),0)))</f>
        <v xml:space="preserve"> </v>
      </c>
      <c r="B427" s="4" t="str">
        <f ca="1">IF(OR(INDEX($X$2:$X$1001,MATCH(ROWS($W$2:W427),$W$2:$W$1001,0),1)&gt;=100000,INDEX($AD$1005:$AU$1005,1,MATCH(COLUMNS($AD$1006:AD1006),$AD$1006:$AU$1006,0))&gt;=100000), " ",IF(INDEX($AD$2:$AU$1001,MATCH(ROWS($W$2:W427),$W$2:$W$1001,0),MATCH(COLUMNS($AD$1006:AD1006),$AD$1006:$AU$1006,0)), HYPERLINK("#",""), HYPERLINK(CONCATENATE("#metadata!", ADDRESS(INDEX($Y$2:$Y$1001,MATCH(ROWS($W$2:W427),$W$2:$W$1001,0),0), INDEX($AD$1004:$AU$1004,1,MATCH(COLUMNS($AD$1006:AD1006),$AD$1006:$AU$1006,0)))),"Fix")))</f>
        <v xml:space="preserve"> </v>
      </c>
      <c r="C427" s="4" t="str">
        <f ca="1">IF(OR(INDEX($X$2:$X$1001,MATCH(ROWS($W$2:W427),$W$2:$W$1001,0),1)&gt;=100000,INDEX($AD$1005:$AU$1005,1,MATCH(COLUMNS($AD$1006:AE1006),$AD$1006:$AU$1006,0))&gt;=100000), " ",IF(INDEX($AD$2:$AU$1001,MATCH(ROWS($W$2:W427),$W$2:$W$1001,0),MATCH(COLUMNS($AD$1006:AE1006),$AD$1006:$AU$1006,0)), HYPERLINK("#",""), HYPERLINK(CONCATENATE("#metadata!", ADDRESS(INDEX($Y$2:$Y$1001,MATCH(ROWS($W$2:W427),$W$2:$W$1001,0),0), INDEX($AD$1004:$AU$1004,1,MATCH(COLUMNS($AD$1006:AE1006),$AD$1006:$AU$1006,0)))),"Fix")))</f>
        <v xml:space="preserve"> </v>
      </c>
      <c r="D427" s="4" t="str">
        <f ca="1">IF(OR(INDEX($X$2:$X$1001,MATCH(ROWS($W$2:W427),$W$2:$W$1001,0),1)&gt;=100000,INDEX($AD$1005:$AU$1005,1,MATCH(COLUMNS($AD$1006:AF1006),$AD$1006:$AU$1006,0))&gt;=100000), " ",IF(INDEX($AD$2:$AU$1001,MATCH(ROWS($W$2:W427),$W$2:$W$1001,0),MATCH(COLUMNS($AD$1006:AF1006),$AD$1006:$AU$1006,0)), HYPERLINK("#",""), HYPERLINK(CONCATENATE("#metadata!", ADDRESS(INDEX($Y$2:$Y$1001,MATCH(ROWS($W$2:W427),$W$2:$W$1001,0),0), INDEX($AD$1004:$AU$1004,1,MATCH(COLUMNS($AD$1006:AF1006),$AD$1006:$AU$1006,0)))),"Fix")))</f>
        <v xml:space="preserve"> </v>
      </c>
      <c r="E427" s="4" t="str">
        <f ca="1">IF(OR(INDEX($X$2:$X$1001,MATCH(ROWS($W$2:W427),$W$2:$W$1001,0),1)&gt;=100000,INDEX($AD$1005:$AU$1005,1,MATCH(COLUMNS($AD$1006:AG1006),$AD$1006:$AU$1006,0))&gt;=100000), " ",IF(INDEX($AD$2:$AU$1001,MATCH(ROWS($W$2:W427),$W$2:$W$1001,0),MATCH(COLUMNS($AD$1006:AG1006),$AD$1006:$AU$1006,0)), HYPERLINK("#",""), HYPERLINK(CONCATENATE("#metadata!", ADDRESS(INDEX($Y$2:$Y$1001,MATCH(ROWS($W$2:W427),$W$2:$W$1001,0),0), INDEX($AD$1004:$AU$1004,1,MATCH(COLUMNS($AD$1006:AG1006),$AD$1006:$AU$1006,0)))),"Fix")))</f>
        <v xml:space="preserve"> </v>
      </c>
      <c r="F427" s="4" t="str">
        <f ca="1">IF(OR(INDEX($X$2:$X$1001,MATCH(ROWS($W$2:W427),$W$2:$W$1001,0),1)&gt;=100000,INDEX($AD$1005:$AU$1005,1,MATCH(COLUMNS($AD$1006:AH1006),$AD$1006:$AU$1006,0))&gt;=100000), " ",IF(INDEX($AD$2:$AU$1001,MATCH(ROWS($W$2:W427),$W$2:$W$1001,0),MATCH(COLUMNS($AD$1006:AH1006),$AD$1006:$AU$1006,0)), HYPERLINK("#",""), HYPERLINK(CONCATENATE("#metadata!", ADDRESS(INDEX($Y$2:$Y$1001,MATCH(ROWS($W$2:W427),$W$2:$W$1001,0),0), INDEX($AD$1004:$AU$1004,1,MATCH(COLUMNS($AD$1006:AH1006),$AD$1006:$AU$1006,0)))),"Fix")))</f>
        <v xml:space="preserve"> </v>
      </c>
      <c r="G427" s="4" t="str">
        <f ca="1">IF(OR(INDEX($X$2:$X$1001,MATCH(ROWS($W$2:W427),$W$2:$W$1001,0),1)&gt;=100000,INDEX($AD$1005:$AU$1005,1,MATCH(COLUMNS($AD$1006:AI1006),$AD$1006:$AU$1006,0))&gt;=100000), " ",IF(INDEX($AD$2:$AU$1001,MATCH(ROWS($W$2:W427),$W$2:$W$1001,0),MATCH(COLUMNS($AD$1006:AI1006),$AD$1006:$AU$1006,0)), HYPERLINK("#",""), HYPERLINK(CONCATENATE("#metadata!", ADDRESS(INDEX($Y$2:$Y$1001,MATCH(ROWS($W$2:W427),$W$2:$W$1001,0),0), INDEX($AD$1004:$AU$1004,1,MATCH(COLUMNS($AD$1006:AI1006),$AD$1006:$AU$1006,0)))),"Fix")))</f>
        <v xml:space="preserve"> </v>
      </c>
      <c r="H427" s="4" t="str">
        <f ca="1">IF(OR(INDEX($X$2:$X$1001,MATCH(ROWS($W$2:W427),$W$2:$W$1001,0),1)&gt;=100000,INDEX($AD$1005:$AU$1005,1,MATCH(COLUMNS($AD$1006:AJ1006),$AD$1006:$AU$1006,0))&gt;=100000), " ",IF(INDEX($AD$2:$AU$1001,MATCH(ROWS($W$2:W427),$W$2:$W$1001,0),MATCH(COLUMNS($AD$1006:AJ1006),$AD$1006:$AU$1006,0)), HYPERLINK("#",""), HYPERLINK(CONCATENATE("#metadata!", ADDRESS(INDEX($Y$2:$Y$1001,MATCH(ROWS($W$2:W427),$W$2:$W$1001,0),0), INDEX($AD$1004:$AU$1004,1,MATCH(COLUMNS($AD$1006:AJ1006),$AD$1006:$AU$1006,0)))),"Fix")))</f>
        <v xml:space="preserve"> </v>
      </c>
      <c r="I427" s="4" t="str">
        <f ca="1">IF(OR(INDEX($X$2:$X$1001,MATCH(ROWS($W$2:W427),$W$2:$W$1001,0),1)&gt;=100000,INDEX($AD$1005:$AU$1005,1,MATCH(COLUMNS($AD$1006:AK1006),$AD$1006:$AU$1006,0))&gt;=100000), " ",IF(INDEX($AD$2:$AU$1001,MATCH(ROWS($W$2:W427),$W$2:$W$1001,0),MATCH(COLUMNS($AD$1006:AK1006),$AD$1006:$AU$1006,0)), HYPERLINK("#",""), HYPERLINK(CONCATENATE("#metadata!", ADDRESS(INDEX($Y$2:$Y$1001,MATCH(ROWS($W$2:W427),$W$2:$W$1001,0),0), INDEX($AD$1004:$AU$1004,1,MATCH(COLUMNS($AD$1006:AK1006),$AD$1006:$AU$1006,0)))),"Fix")))</f>
        <v xml:space="preserve"> </v>
      </c>
      <c r="J427" s="4" t="str">
        <f ca="1">IF(OR(INDEX($X$2:$X$1001,MATCH(ROWS($W$2:W427),$W$2:$W$1001,0),1)&gt;=100000,INDEX($AD$1005:$AU$1005,1,MATCH(COLUMNS($AD$1006:AL1006),$AD$1006:$AU$1006,0))&gt;=100000), " ",IF(INDEX($AD$2:$AU$1001,MATCH(ROWS($W$2:W427),$W$2:$W$1001,0),MATCH(COLUMNS($AD$1006:AL1006),$AD$1006:$AU$1006,0)), HYPERLINK("#",""), HYPERLINK(CONCATENATE("#metadata!", ADDRESS(INDEX($Y$2:$Y$1001,MATCH(ROWS($W$2:W427),$W$2:$W$1001,0),0), INDEX($AD$1004:$AU$1004,1,MATCH(COLUMNS($AD$1006:AL1006),$AD$1006:$AU$1006,0)))),"Fix")))</f>
        <v xml:space="preserve"> </v>
      </c>
      <c r="K427" s="4" t="str">
        <f ca="1">IF(OR(INDEX($X$2:$X$1001,MATCH(ROWS($W$2:W427),$W$2:$W$1001,0),1)&gt;=100000,INDEX($AD$1005:$AU$1005,1,MATCH(COLUMNS($AD$1006:AM1006),$AD$1006:$AU$1006,0))&gt;=100000), " ",IF(INDEX($AD$2:$AU$1001,MATCH(ROWS($W$2:W427),$W$2:$W$1001,0),MATCH(COLUMNS($AD$1006:AM1006),$AD$1006:$AU$1006,0)), HYPERLINK("#",""), HYPERLINK(CONCATENATE("#metadata!", ADDRESS(INDEX($Y$2:$Y$1001,MATCH(ROWS($W$2:W427),$W$2:$W$1001,0),0), INDEX($AD$1004:$AU$1004,1,MATCH(COLUMNS($AD$1006:AM1006),$AD$1006:$AU$1006,0)))),"Fix")))</f>
        <v xml:space="preserve"> </v>
      </c>
      <c r="L427" s="4" t="str">
        <f ca="1">IF(OR(INDEX($X$2:$X$1001,MATCH(ROWS($W$2:W427),$W$2:$W$1001,0),1)&gt;=100000,INDEX($AD$1005:$AU$1005,1,MATCH(COLUMNS($AD$1006:AN1006),$AD$1006:$AU$1006,0))&gt;=100000), " ",IF(INDEX($AD$2:$AU$1001,MATCH(ROWS($W$2:W427),$W$2:$W$1001,0),MATCH(COLUMNS($AD$1006:AN1006),$AD$1006:$AU$1006,0)), HYPERLINK("#",""), HYPERLINK(CONCATENATE("#metadata!", ADDRESS(INDEX($Y$2:$Y$1001,MATCH(ROWS($W$2:W427),$W$2:$W$1001,0),0), INDEX($AD$1004:$AU$1004,1,MATCH(COLUMNS($AD$1006:AN1006),$AD$1006:$AU$1006,0)))),"Fix")))</f>
        <v xml:space="preserve"> </v>
      </c>
      <c r="M427" s="4" t="str">
        <f ca="1">IF(OR(INDEX($X$2:$X$1001,MATCH(ROWS($W$2:W427),$W$2:$W$1001,0),1)&gt;=100000,INDEX($AD$1005:$AU$1005,1,MATCH(COLUMNS($AD$1006:AO1006),$AD$1006:$AU$1006,0))&gt;=100000), " ",IF(INDEX($AD$2:$AU$1001,MATCH(ROWS($W$2:W427),$W$2:$W$1001,0),MATCH(COLUMNS($AD$1006:AO1006),$AD$1006:$AU$1006,0)), HYPERLINK("#",""), HYPERLINK(CONCATENATE("#metadata!", ADDRESS(INDEX($Y$2:$Y$1001,MATCH(ROWS($W$2:W427),$W$2:$W$1001,0),0), INDEX($AD$1004:$AU$1004,1,MATCH(COLUMNS($AD$1006:AO1006),$AD$1006:$AU$1006,0)))),"Fix")))</f>
        <v xml:space="preserve"> </v>
      </c>
      <c r="N427" s="4" t="str">
        <f ca="1">IF(OR(INDEX($X$2:$X$1001,MATCH(ROWS($W$2:W427),$W$2:$W$1001,0),1)&gt;=100000,INDEX($AD$1005:$AU$1005,1,MATCH(COLUMNS($AD$1006:AP1006),$AD$1006:$AU$1006,0))&gt;=100000), " ",IF(INDEX($AD$2:$AU$1001,MATCH(ROWS($W$2:W427),$W$2:$W$1001,0),MATCH(COLUMNS($AD$1006:AP1006),$AD$1006:$AU$1006,0)), HYPERLINK("#",""), HYPERLINK(CONCATENATE("#metadata!", ADDRESS(INDEX($Y$2:$Y$1001,MATCH(ROWS($W$2:W427),$W$2:$W$1001,0),0), INDEX($AD$1004:$AU$1004,1,MATCH(COLUMNS($AD$1006:AP1006),$AD$1006:$AU$1006,0)))),"Fix")))</f>
        <v xml:space="preserve"> </v>
      </c>
      <c r="O427" s="4" t="str">
        <f ca="1">IF(OR(INDEX($X$2:$X$1001,MATCH(ROWS($W$2:W427),$W$2:$W$1001,0),1)&gt;=100000,INDEX($AD$1005:$AU$1005,1,MATCH(COLUMNS($AD$1006:AQ1006),$AD$1006:$AU$1006,0))&gt;=100000), " ",IF(INDEX($AD$2:$AU$1001,MATCH(ROWS($W$2:W427),$W$2:$W$1001,0),MATCH(COLUMNS($AD$1006:AQ1006),$AD$1006:$AU$1006,0)), HYPERLINK("#",""), HYPERLINK(CONCATENATE("#metadata!", ADDRESS(INDEX($Y$2:$Y$1001,MATCH(ROWS($W$2:W427),$W$2:$W$1001,0),0), INDEX($AD$1004:$AU$1004,1,MATCH(COLUMNS($AD$1006:AQ1006),$AD$1006:$AU$1006,0)))),"Fix")))</f>
        <v xml:space="preserve"> </v>
      </c>
      <c r="P427" s="4" t="str">
        <f ca="1">IF(OR(INDEX($X$2:$X$1001,MATCH(ROWS($W$2:W427),$W$2:$W$1001,0),1)&gt;=100000,INDEX($AD$1005:$AU$1005,1,MATCH(COLUMNS($AD$1006:AR1006),$AD$1006:$AU$1006,0))&gt;=100000), " ",IF(INDEX($AD$2:$AU$1001,MATCH(ROWS($W$2:W427),$W$2:$W$1001,0),MATCH(COLUMNS($AD$1006:AR1006),$AD$1006:$AU$1006,0)), HYPERLINK("#",""), HYPERLINK(CONCATENATE("#metadata!", ADDRESS(INDEX($Y$2:$Y$1001,MATCH(ROWS($W$2:W427),$W$2:$W$1001,0),0), INDEX($AD$1004:$AU$1004,1,MATCH(COLUMNS($AD$1006:AR1006),$AD$1006:$AU$1006,0)))),"Fix")))</f>
        <v xml:space="preserve"> </v>
      </c>
      <c r="Q427" s="4" t="str">
        <f ca="1">IF(OR(INDEX($X$2:$X$1001,MATCH(ROWS($W$2:W427),$W$2:$W$1001,0),1)&gt;=100000,INDEX($AD$1005:$AU$1005,1,MATCH(COLUMNS($AD$1006:AS1006),$AD$1006:$AU$1006,0))&gt;=100000), " ",IF(INDEX($AD$2:$AU$1001,MATCH(ROWS($W$2:W427),$W$2:$W$1001,0),MATCH(COLUMNS($AD$1006:AS1006),$AD$1006:$AU$1006,0)), HYPERLINK("#",""), HYPERLINK(CONCATENATE("#metadata!", ADDRESS(INDEX($Y$2:$Y$1001,MATCH(ROWS($W$2:W427),$W$2:$W$1001,0),0), INDEX($AD$1004:$AU$1004,1,MATCH(COLUMNS($AD$1006:AS1006),$AD$1006:$AU$1006,0)))),"Fix")))</f>
        <v xml:space="preserve"> </v>
      </c>
      <c r="R427" s="4" t="str">
        <f ca="1">IF(OR(INDEX($X$2:$X$1001,MATCH(ROWS($W$2:W427),$W$2:$W$1001,0),1)&gt;=100000,INDEX($AD$1005:$AU$1005,1,MATCH(COLUMNS($AD$1006:AT1006),$AD$1006:$AU$1006,0))&gt;=100000), " ",IF(INDEX($AD$2:$AU$1001,MATCH(ROWS($W$2:W427),$W$2:$W$1001,0),MATCH(COLUMNS($AD$1006:AT1006),$AD$1006:$AU$1006,0)), HYPERLINK("#",""), HYPERLINK(CONCATENATE("#metadata!", ADDRESS(INDEX($Y$2:$Y$1001,MATCH(ROWS($W$2:W427),$W$2:$W$1001,0),0), INDEX($AD$1004:$AU$1004,1,MATCH(COLUMNS($AD$1006:AT1006),$AD$1006:$AU$1006,0)))),"Fix")))</f>
        <v xml:space="preserve"> </v>
      </c>
      <c r="S427" s="4" t="str">
        <f ca="1">IF(OR(INDEX($X$2:$X$1001,MATCH(ROWS($W$2:W427),$W$2:$W$1001,0),1)&gt;=100000,INDEX($AD$1005:$AU$1005,1,MATCH(COLUMNS($AD$1006:AU1006),$AD$1006:$AU$1006,0))&gt;=100000), " ",IF(INDEX($AD$2:$AU$1001,MATCH(ROWS($W$2:W427),$W$2:$W$1001,0),MATCH(COLUMNS($AD$1006:AU1006),$AD$1006:$AU$1006,0)), HYPERLINK("#",""), HYPERLINK(CONCATENATE("#metadata!", ADDRESS(INDEX($Y$2:$Y$1001,MATCH(ROWS($W$2:W427),$W$2:$W$1001,0),0), INDEX($AD$1004:$AU$1004,1,MATCH(COLUMNS($AD$1006:AU1006),$AD$1006:$AU$1006,0)))),"Fix")))</f>
        <v xml:space="preserve"> </v>
      </c>
      <c r="W427">
        <v>426</v>
      </c>
      <c r="X427">
        <v>100427</v>
      </c>
      <c r="Y427">
        <v>427</v>
      </c>
      <c r="Z427" t="b">
        <f t="shared" si="6"/>
        <v>1</v>
      </c>
      <c r="AA427" t="b">
        <f>COUNTBLANK(metadata!B427:S427)=COLUMNS(metadata!B427:S427)</f>
        <v>1</v>
      </c>
      <c r="AB427" t="str">
        <v/>
      </c>
      <c r="AD427" t="b">
        <f ca="1">AND(IF(metadata!B427="",FALSE,TRUE),COUNTIF(metadata!B:B, metadata!B427) = 1,NOT(ISERROR(SUMPRODUCT(SEARCH(MID(metadata!B427,ROW(INDIRECT("1:"&amp;LEN(metadata!B427))), 1),"0123456789abcdefghijklmnopqrstuvwxyzABCDEFGHIJKLMNOPQRSTUVWXYZ.")))))</f>
        <v>0</v>
      </c>
      <c r="AE427" t="b">
        <f>OR(AND(IF(metadata!C427="",FALSE,TRUE),OR(EXACT(metadata!C427,"not applicable"),EXACT(metadata!C427,"missing: not collected"),EXACT(metadata!C427,"missing: not provided"),EXACT(metadata!C427,"missing: restricted access"))),AND(IF(metadata!C427="",FALSE,ISNUMBER(VALUE(metadata!C427))),metadata!C427&gt;0))</f>
        <v>0</v>
      </c>
      <c r="AF427" t="b">
        <f>AND(IF(metadata!D427="",FALSE,TRUE),EXACT(metadata!D427,"missing: not provided"))</f>
        <v>0</v>
      </c>
      <c r="AG427" t="b">
        <f>AND(IF(metadata!E427="",FALSE,TRUE),EXACT(metadata!E427,"Host-associated"))</f>
        <v>0</v>
      </c>
      <c r="AH427" t="b">
        <f>AND(IF(metadata!F427="",FALSE,TRUE),OR(EXACT(metadata!F427,"Animal"),EXACT(metadata!F427,"Fungus"),EXACT(metadata!F427,"Plant")))</f>
        <v>0</v>
      </c>
      <c r="AI427" t="b">
        <f>AND(IF(metadata!G427="",FALSE,TRUE),OR(EXACT(metadata!G427,"Plant secretion"),EXACT(metadata!G427,"Plant rhizosphere"),EXACT(metadata!G427,"Plant surface"),EXACT(metadata!G427,"Plant corpus"),EXACT(metadata!G427,"Fungus surface"),EXACT(metadata!G427,"Fungus corpus"),EXACT(metadata!G427,"Animal surface"),EXACT(metadata!G427,"Animal proximal gut"),EXACT(metadata!G427,"Animal corpus"),EXACT(metadata!G427,"Animal distal gut"),EXACT(metadata!G427,"Animal secretion")))</f>
        <v>0</v>
      </c>
      <c r="AJ427" t="b">
        <f>OR(AND(IF(metadata!H427="",FALSE,TRUE),OR(EXACT(metadata!H427,"missing: not collected"),EXACT(metadata!H427,"missing: not provided"),EXACT(metadata!H427,"missing: restricted access"))),AND(IF(metadata!H427="",FALSE,TRUE),OR(EXACT(metadata!H427,"organism-associated habitat"),EXACT(metadata!H427,"plant-associated habitat"),EXACT(metadata!H427,"animal-associated habitat"),EXACT(metadata!H427,"insecta-associated habitat"),EXACT(metadata!H427,"mammalia-associated habitat"),EXACT(metadata!H427,"human-associated habitat"),EXACT(metadata!H427,"livestock-associated habitat"))))</f>
        <v>0</v>
      </c>
      <c r="AK427" t="b">
        <f>AND(IF(metadata!I427="",FALSE,TRUE),EXACT(metadata!I427,"host-associated"))</f>
        <v>0</v>
      </c>
      <c r="AL427" t="b">
        <f>OR(AND(IF(metadata!J427="",FALSE,TRUE),OR(EXACT(metadata!J427,"not applicable"),EXACT(metadata!J427,"missing: not collected"),EXACT(metadata!J427,"missing: not provided"),EXACT(metadata!J427,"missing: restricted access"))),AND(IF(metadata!J427="",FALSE,ISNUMBER(VALUE(metadata!J427))),metadata!J427&gt;0))</f>
        <v>0</v>
      </c>
      <c r="AM427" t="b">
        <f>AND(IF(metadata!K427="",FALSE,TRUE),EXACT(metadata!K427,"missing: not provided"))</f>
        <v>0</v>
      </c>
      <c r="AN427" t="b">
        <f>IF(metadata!L427="",FALSE,TRUE)</f>
        <v>0</v>
      </c>
      <c r="AO427" t="b">
        <f>IF(metadata!M427="",FALSE,TRUE)</f>
        <v>0</v>
      </c>
      <c r="AP427" t="b">
        <f>OR(AND(IF(metadata!N427="",FALSE,TRUE),OR(EXACT(metadata!N427,"not applicable"),EXACT(metadata!N427,"missing: not collected"),EXACT(metadata!N427,"missing: not provided"))),AND(IF(metadata!N427="",FALSE,IF(ISERROR(INT(metadata!N427)),FALSE,INT(metadata!N427)=metadata!N427)),metadata!N427&gt;0))</f>
        <v>0</v>
      </c>
      <c r="AQ427" t="b">
        <f>AND(IF(metadata!O427="",FALSE,TRUE),EXACT(metadata!O427,"Not applicable"))</f>
        <v>0</v>
      </c>
      <c r="AR427" t="b">
        <f>OR(AND(IF(metadata!P427="",FALSE,TRUE),OR(EXACT(metadata!P427,"not applicable"),EXACT(metadata!P427,"missing: not collected"),EXACT(metadata!P427,"missing: not provided"),EXACT(metadata!P427,"missing: restricted access"))),IF(metadata!P427="",FALSE,IF(ISERROR(INT(metadata!P427)),FALSE,INT(metadata!P427)=metadata!P427)))</f>
        <v>0</v>
      </c>
      <c r="AS427" t="b">
        <f>AND(IF(metadata!Q427="",FALSE,TRUE),EXACT(metadata!Q427,"Not applicable"))</f>
        <v>0</v>
      </c>
      <c r="AT427" t="b">
        <f>OR(AND(IF(metadata!R427="",FALSE,TRUE),OR(EXACT(metadata!R427,"not applicable"),EXACT(metadata!R427,"missing: not collected"),EXACT(metadata!R427,"missing: not provided"),EXACT(metadata!R427,"missing: restricted access"))),AND(IF(metadata!R427="",FALSE,ISNUMBER(VALUE(metadata!R427))),metadata!R427&gt;0))</f>
        <v>0</v>
      </c>
      <c r="AU427" t="b">
        <f>AND(IF(metadata!S427="",FALSE,TRUE),EXACT(metadata!S427,"missing: not provided"))</f>
        <v>0</v>
      </c>
    </row>
    <row r="428" spans="1:47" x14ac:dyDescent="0.2">
      <c r="A428" s="5" t="str">
        <f ca="1">IF(B428=" "," ",HYPERLINK(CONCATENATE("#metadata!",ADDRESS(INDEX($Y$2:$Y$1001,MATCH(ROWS($W$2:W428),$W$2:$W$1001,0),0),1)),INDEX($AB$2:$AB$1001,MATCH(ROWS($W$2:W428),$W$2:$W$1001,0),0)))</f>
        <v xml:space="preserve"> </v>
      </c>
      <c r="B428" s="4" t="str">
        <f ca="1">IF(OR(INDEX($X$2:$X$1001,MATCH(ROWS($W$2:W428),$W$2:$W$1001,0),1)&gt;=100000,INDEX($AD$1005:$AU$1005,1,MATCH(COLUMNS($AD$1006:AD1006),$AD$1006:$AU$1006,0))&gt;=100000), " ",IF(INDEX($AD$2:$AU$1001,MATCH(ROWS($W$2:W428),$W$2:$W$1001,0),MATCH(COLUMNS($AD$1006:AD1006),$AD$1006:$AU$1006,0)), HYPERLINK("#",""), HYPERLINK(CONCATENATE("#metadata!", ADDRESS(INDEX($Y$2:$Y$1001,MATCH(ROWS($W$2:W428),$W$2:$W$1001,0),0), INDEX($AD$1004:$AU$1004,1,MATCH(COLUMNS($AD$1006:AD1006),$AD$1006:$AU$1006,0)))),"Fix")))</f>
        <v xml:space="preserve"> </v>
      </c>
      <c r="C428" s="4" t="str">
        <f ca="1">IF(OR(INDEX($X$2:$X$1001,MATCH(ROWS($W$2:W428),$W$2:$W$1001,0),1)&gt;=100000,INDEX($AD$1005:$AU$1005,1,MATCH(COLUMNS($AD$1006:AE1006),$AD$1006:$AU$1006,0))&gt;=100000), " ",IF(INDEX($AD$2:$AU$1001,MATCH(ROWS($W$2:W428),$W$2:$W$1001,0),MATCH(COLUMNS($AD$1006:AE1006),$AD$1006:$AU$1006,0)), HYPERLINK("#",""), HYPERLINK(CONCATENATE("#metadata!", ADDRESS(INDEX($Y$2:$Y$1001,MATCH(ROWS($W$2:W428),$W$2:$W$1001,0),0), INDEX($AD$1004:$AU$1004,1,MATCH(COLUMNS($AD$1006:AE1006),$AD$1006:$AU$1006,0)))),"Fix")))</f>
        <v xml:space="preserve"> </v>
      </c>
      <c r="D428" s="4" t="str">
        <f ca="1">IF(OR(INDEX($X$2:$X$1001,MATCH(ROWS($W$2:W428),$W$2:$W$1001,0),1)&gt;=100000,INDEX($AD$1005:$AU$1005,1,MATCH(COLUMNS($AD$1006:AF1006),$AD$1006:$AU$1006,0))&gt;=100000), " ",IF(INDEX($AD$2:$AU$1001,MATCH(ROWS($W$2:W428),$W$2:$W$1001,0),MATCH(COLUMNS($AD$1006:AF1006),$AD$1006:$AU$1006,0)), HYPERLINK("#",""), HYPERLINK(CONCATENATE("#metadata!", ADDRESS(INDEX($Y$2:$Y$1001,MATCH(ROWS($W$2:W428),$W$2:$W$1001,0),0), INDEX($AD$1004:$AU$1004,1,MATCH(COLUMNS($AD$1006:AF1006),$AD$1006:$AU$1006,0)))),"Fix")))</f>
        <v xml:space="preserve"> </v>
      </c>
      <c r="E428" s="4" t="str">
        <f ca="1">IF(OR(INDEX($X$2:$X$1001,MATCH(ROWS($W$2:W428),$W$2:$W$1001,0),1)&gt;=100000,INDEX($AD$1005:$AU$1005,1,MATCH(COLUMNS($AD$1006:AG1006),$AD$1006:$AU$1006,0))&gt;=100000), " ",IF(INDEX($AD$2:$AU$1001,MATCH(ROWS($W$2:W428),$W$2:$W$1001,0),MATCH(COLUMNS($AD$1006:AG1006),$AD$1006:$AU$1006,0)), HYPERLINK("#",""), HYPERLINK(CONCATENATE("#metadata!", ADDRESS(INDEX($Y$2:$Y$1001,MATCH(ROWS($W$2:W428),$W$2:$W$1001,0),0), INDEX($AD$1004:$AU$1004,1,MATCH(COLUMNS($AD$1006:AG1006),$AD$1006:$AU$1006,0)))),"Fix")))</f>
        <v xml:space="preserve"> </v>
      </c>
      <c r="F428" s="4" t="str">
        <f ca="1">IF(OR(INDEX($X$2:$X$1001,MATCH(ROWS($W$2:W428),$W$2:$W$1001,0),1)&gt;=100000,INDEX($AD$1005:$AU$1005,1,MATCH(COLUMNS($AD$1006:AH1006),$AD$1006:$AU$1006,0))&gt;=100000), " ",IF(INDEX($AD$2:$AU$1001,MATCH(ROWS($W$2:W428),$W$2:$W$1001,0),MATCH(COLUMNS($AD$1006:AH1006),$AD$1006:$AU$1006,0)), HYPERLINK("#",""), HYPERLINK(CONCATENATE("#metadata!", ADDRESS(INDEX($Y$2:$Y$1001,MATCH(ROWS($W$2:W428),$W$2:$W$1001,0),0), INDEX($AD$1004:$AU$1004,1,MATCH(COLUMNS($AD$1006:AH1006),$AD$1006:$AU$1006,0)))),"Fix")))</f>
        <v xml:space="preserve"> </v>
      </c>
      <c r="G428" s="4" t="str">
        <f ca="1">IF(OR(INDEX($X$2:$X$1001,MATCH(ROWS($W$2:W428),$W$2:$W$1001,0),1)&gt;=100000,INDEX($AD$1005:$AU$1005,1,MATCH(COLUMNS($AD$1006:AI1006),$AD$1006:$AU$1006,0))&gt;=100000), " ",IF(INDEX($AD$2:$AU$1001,MATCH(ROWS($W$2:W428),$W$2:$W$1001,0),MATCH(COLUMNS($AD$1006:AI1006),$AD$1006:$AU$1006,0)), HYPERLINK("#",""), HYPERLINK(CONCATENATE("#metadata!", ADDRESS(INDEX($Y$2:$Y$1001,MATCH(ROWS($W$2:W428),$W$2:$W$1001,0),0), INDEX($AD$1004:$AU$1004,1,MATCH(COLUMNS($AD$1006:AI1006),$AD$1006:$AU$1006,0)))),"Fix")))</f>
        <v xml:space="preserve"> </v>
      </c>
      <c r="H428" s="4" t="str">
        <f ca="1">IF(OR(INDEX($X$2:$X$1001,MATCH(ROWS($W$2:W428),$W$2:$W$1001,0),1)&gt;=100000,INDEX($AD$1005:$AU$1005,1,MATCH(COLUMNS($AD$1006:AJ1006),$AD$1006:$AU$1006,0))&gt;=100000), " ",IF(INDEX($AD$2:$AU$1001,MATCH(ROWS($W$2:W428),$W$2:$W$1001,0),MATCH(COLUMNS($AD$1006:AJ1006),$AD$1006:$AU$1006,0)), HYPERLINK("#",""), HYPERLINK(CONCATENATE("#metadata!", ADDRESS(INDEX($Y$2:$Y$1001,MATCH(ROWS($W$2:W428),$W$2:$W$1001,0),0), INDEX($AD$1004:$AU$1004,1,MATCH(COLUMNS($AD$1006:AJ1006),$AD$1006:$AU$1006,0)))),"Fix")))</f>
        <v xml:space="preserve"> </v>
      </c>
      <c r="I428" s="4" t="str">
        <f ca="1">IF(OR(INDEX($X$2:$X$1001,MATCH(ROWS($W$2:W428),$W$2:$W$1001,0),1)&gt;=100000,INDEX($AD$1005:$AU$1005,1,MATCH(COLUMNS($AD$1006:AK1006),$AD$1006:$AU$1006,0))&gt;=100000), " ",IF(INDEX($AD$2:$AU$1001,MATCH(ROWS($W$2:W428),$W$2:$W$1001,0),MATCH(COLUMNS($AD$1006:AK1006),$AD$1006:$AU$1006,0)), HYPERLINK("#",""), HYPERLINK(CONCATENATE("#metadata!", ADDRESS(INDEX($Y$2:$Y$1001,MATCH(ROWS($W$2:W428),$W$2:$W$1001,0),0), INDEX($AD$1004:$AU$1004,1,MATCH(COLUMNS($AD$1006:AK1006),$AD$1006:$AU$1006,0)))),"Fix")))</f>
        <v xml:space="preserve"> </v>
      </c>
      <c r="J428" s="4" t="str">
        <f ca="1">IF(OR(INDEX($X$2:$X$1001,MATCH(ROWS($W$2:W428),$W$2:$W$1001,0),1)&gt;=100000,INDEX($AD$1005:$AU$1005,1,MATCH(COLUMNS($AD$1006:AL1006),$AD$1006:$AU$1006,0))&gt;=100000), " ",IF(INDEX($AD$2:$AU$1001,MATCH(ROWS($W$2:W428),$W$2:$W$1001,0),MATCH(COLUMNS($AD$1006:AL1006),$AD$1006:$AU$1006,0)), HYPERLINK("#",""), HYPERLINK(CONCATENATE("#metadata!", ADDRESS(INDEX($Y$2:$Y$1001,MATCH(ROWS($W$2:W428),$W$2:$W$1001,0),0), INDEX($AD$1004:$AU$1004,1,MATCH(COLUMNS($AD$1006:AL1006),$AD$1006:$AU$1006,0)))),"Fix")))</f>
        <v xml:space="preserve"> </v>
      </c>
      <c r="K428" s="4" t="str">
        <f ca="1">IF(OR(INDEX($X$2:$X$1001,MATCH(ROWS($W$2:W428),$W$2:$W$1001,0),1)&gt;=100000,INDEX($AD$1005:$AU$1005,1,MATCH(COLUMNS($AD$1006:AM1006),$AD$1006:$AU$1006,0))&gt;=100000), " ",IF(INDEX($AD$2:$AU$1001,MATCH(ROWS($W$2:W428),$W$2:$W$1001,0),MATCH(COLUMNS($AD$1006:AM1006),$AD$1006:$AU$1006,0)), HYPERLINK("#",""), HYPERLINK(CONCATENATE("#metadata!", ADDRESS(INDEX($Y$2:$Y$1001,MATCH(ROWS($W$2:W428),$W$2:$W$1001,0),0), INDEX($AD$1004:$AU$1004,1,MATCH(COLUMNS($AD$1006:AM1006),$AD$1006:$AU$1006,0)))),"Fix")))</f>
        <v xml:space="preserve"> </v>
      </c>
      <c r="L428" s="4" t="str">
        <f ca="1">IF(OR(INDEX($X$2:$X$1001,MATCH(ROWS($W$2:W428),$W$2:$W$1001,0),1)&gt;=100000,INDEX($AD$1005:$AU$1005,1,MATCH(COLUMNS($AD$1006:AN1006),$AD$1006:$AU$1006,0))&gt;=100000), " ",IF(INDEX($AD$2:$AU$1001,MATCH(ROWS($W$2:W428),$W$2:$W$1001,0),MATCH(COLUMNS($AD$1006:AN1006),$AD$1006:$AU$1006,0)), HYPERLINK("#",""), HYPERLINK(CONCATENATE("#metadata!", ADDRESS(INDEX($Y$2:$Y$1001,MATCH(ROWS($W$2:W428),$W$2:$W$1001,0),0), INDEX($AD$1004:$AU$1004,1,MATCH(COLUMNS($AD$1006:AN1006),$AD$1006:$AU$1006,0)))),"Fix")))</f>
        <v xml:space="preserve"> </v>
      </c>
      <c r="M428" s="4" t="str">
        <f ca="1">IF(OR(INDEX($X$2:$X$1001,MATCH(ROWS($W$2:W428),$W$2:$W$1001,0),1)&gt;=100000,INDEX($AD$1005:$AU$1005,1,MATCH(COLUMNS($AD$1006:AO1006),$AD$1006:$AU$1006,0))&gt;=100000), " ",IF(INDEX($AD$2:$AU$1001,MATCH(ROWS($W$2:W428),$W$2:$W$1001,0),MATCH(COLUMNS($AD$1006:AO1006),$AD$1006:$AU$1006,0)), HYPERLINK("#",""), HYPERLINK(CONCATENATE("#metadata!", ADDRESS(INDEX($Y$2:$Y$1001,MATCH(ROWS($W$2:W428),$W$2:$W$1001,0),0), INDEX($AD$1004:$AU$1004,1,MATCH(COLUMNS($AD$1006:AO1006),$AD$1006:$AU$1006,0)))),"Fix")))</f>
        <v xml:space="preserve"> </v>
      </c>
      <c r="N428" s="4" t="str">
        <f ca="1">IF(OR(INDEX($X$2:$X$1001,MATCH(ROWS($W$2:W428),$W$2:$W$1001,0),1)&gt;=100000,INDEX($AD$1005:$AU$1005,1,MATCH(COLUMNS($AD$1006:AP1006),$AD$1006:$AU$1006,0))&gt;=100000), " ",IF(INDEX($AD$2:$AU$1001,MATCH(ROWS($W$2:W428),$W$2:$W$1001,0),MATCH(COLUMNS($AD$1006:AP1006),$AD$1006:$AU$1006,0)), HYPERLINK("#",""), HYPERLINK(CONCATENATE("#metadata!", ADDRESS(INDEX($Y$2:$Y$1001,MATCH(ROWS($W$2:W428),$W$2:$W$1001,0),0), INDEX($AD$1004:$AU$1004,1,MATCH(COLUMNS($AD$1006:AP1006),$AD$1006:$AU$1006,0)))),"Fix")))</f>
        <v xml:space="preserve"> </v>
      </c>
      <c r="O428" s="4" t="str">
        <f ca="1">IF(OR(INDEX($X$2:$X$1001,MATCH(ROWS($W$2:W428),$W$2:$W$1001,0),1)&gt;=100000,INDEX($AD$1005:$AU$1005,1,MATCH(COLUMNS($AD$1006:AQ1006),$AD$1006:$AU$1006,0))&gt;=100000), " ",IF(INDEX($AD$2:$AU$1001,MATCH(ROWS($W$2:W428),$W$2:$W$1001,0),MATCH(COLUMNS($AD$1006:AQ1006),$AD$1006:$AU$1006,0)), HYPERLINK("#",""), HYPERLINK(CONCATENATE("#metadata!", ADDRESS(INDEX($Y$2:$Y$1001,MATCH(ROWS($W$2:W428),$W$2:$W$1001,0),0), INDEX($AD$1004:$AU$1004,1,MATCH(COLUMNS($AD$1006:AQ1006),$AD$1006:$AU$1006,0)))),"Fix")))</f>
        <v xml:space="preserve"> </v>
      </c>
      <c r="P428" s="4" t="str">
        <f ca="1">IF(OR(INDEX($X$2:$X$1001,MATCH(ROWS($W$2:W428),$W$2:$W$1001,0),1)&gt;=100000,INDEX($AD$1005:$AU$1005,1,MATCH(COLUMNS($AD$1006:AR1006),$AD$1006:$AU$1006,0))&gt;=100000), " ",IF(INDEX($AD$2:$AU$1001,MATCH(ROWS($W$2:W428),$W$2:$W$1001,0),MATCH(COLUMNS($AD$1006:AR1006),$AD$1006:$AU$1006,0)), HYPERLINK("#",""), HYPERLINK(CONCATENATE("#metadata!", ADDRESS(INDEX($Y$2:$Y$1001,MATCH(ROWS($W$2:W428),$W$2:$W$1001,0),0), INDEX($AD$1004:$AU$1004,1,MATCH(COLUMNS($AD$1006:AR1006),$AD$1006:$AU$1006,0)))),"Fix")))</f>
        <v xml:space="preserve"> </v>
      </c>
      <c r="Q428" s="4" t="str">
        <f ca="1">IF(OR(INDEX($X$2:$X$1001,MATCH(ROWS($W$2:W428),$W$2:$W$1001,0),1)&gt;=100000,INDEX($AD$1005:$AU$1005,1,MATCH(COLUMNS($AD$1006:AS1006),$AD$1006:$AU$1006,0))&gt;=100000), " ",IF(INDEX($AD$2:$AU$1001,MATCH(ROWS($W$2:W428),$W$2:$W$1001,0),MATCH(COLUMNS($AD$1006:AS1006),$AD$1006:$AU$1006,0)), HYPERLINK("#",""), HYPERLINK(CONCATENATE("#metadata!", ADDRESS(INDEX($Y$2:$Y$1001,MATCH(ROWS($W$2:W428),$W$2:$W$1001,0),0), INDEX($AD$1004:$AU$1004,1,MATCH(COLUMNS($AD$1006:AS1006),$AD$1006:$AU$1006,0)))),"Fix")))</f>
        <v xml:space="preserve"> </v>
      </c>
      <c r="R428" s="4" t="str">
        <f ca="1">IF(OR(INDEX($X$2:$X$1001,MATCH(ROWS($W$2:W428),$W$2:$W$1001,0),1)&gt;=100000,INDEX($AD$1005:$AU$1005,1,MATCH(COLUMNS($AD$1006:AT1006),$AD$1006:$AU$1006,0))&gt;=100000), " ",IF(INDEX($AD$2:$AU$1001,MATCH(ROWS($W$2:W428),$W$2:$W$1001,0),MATCH(COLUMNS($AD$1006:AT1006),$AD$1006:$AU$1006,0)), HYPERLINK("#",""), HYPERLINK(CONCATENATE("#metadata!", ADDRESS(INDEX($Y$2:$Y$1001,MATCH(ROWS($W$2:W428),$W$2:$W$1001,0),0), INDEX($AD$1004:$AU$1004,1,MATCH(COLUMNS($AD$1006:AT1006),$AD$1006:$AU$1006,0)))),"Fix")))</f>
        <v xml:space="preserve"> </v>
      </c>
      <c r="S428" s="4" t="str">
        <f ca="1">IF(OR(INDEX($X$2:$X$1001,MATCH(ROWS($W$2:W428),$W$2:$W$1001,0),1)&gt;=100000,INDEX($AD$1005:$AU$1005,1,MATCH(COLUMNS($AD$1006:AU1006),$AD$1006:$AU$1006,0))&gt;=100000), " ",IF(INDEX($AD$2:$AU$1001,MATCH(ROWS($W$2:W428),$W$2:$W$1001,0),MATCH(COLUMNS($AD$1006:AU1006),$AD$1006:$AU$1006,0)), HYPERLINK("#",""), HYPERLINK(CONCATENATE("#metadata!", ADDRESS(INDEX($Y$2:$Y$1001,MATCH(ROWS($W$2:W428),$W$2:$W$1001,0),0), INDEX($AD$1004:$AU$1004,1,MATCH(COLUMNS($AD$1006:AU1006),$AD$1006:$AU$1006,0)))),"Fix")))</f>
        <v xml:space="preserve"> </v>
      </c>
      <c r="W428">
        <v>427</v>
      </c>
      <c r="X428">
        <v>100428</v>
      </c>
      <c r="Y428">
        <v>428</v>
      </c>
      <c r="Z428" t="b">
        <f t="shared" si="6"/>
        <v>1</v>
      </c>
      <c r="AA428" t="b">
        <f>COUNTBLANK(metadata!B428:S428)=COLUMNS(metadata!B428:S428)</f>
        <v>1</v>
      </c>
      <c r="AB428" t="str">
        <v/>
      </c>
      <c r="AD428" t="b">
        <f ca="1">AND(IF(metadata!B428="",FALSE,TRUE),COUNTIF(metadata!B:B, metadata!B428) = 1,NOT(ISERROR(SUMPRODUCT(SEARCH(MID(metadata!B428,ROW(INDIRECT("1:"&amp;LEN(metadata!B428))), 1),"0123456789abcdefghijklmnopqrstuvwxyzABCDEFGHIJKLMNOPQRSTUVWXYZ.")))))</f>
        <v>0</v>
      </c>
      <c r="AE428" t="b">
        <f>OR(AND(IF(metadata!C428="",FALSE,TRUE),OR(EXACT(metadata!C428,"not applicable"),EXACT(metadata!C428,"missing: not collected"),EXACT(metadata!C428,"missing: not provided"),EXACT(metadata!C428,"missing: restricted access"))),AND(IF(metadata!C428="",FALSE,ISNUMBER(VALUE(metadata!C428))),metadata!C428&gt;0))</f>
        <v>0</v>
      </c>
      <c r="AF428" t="b">
        <f>AND(IF(metadata!D428="",FALSE,TRUE),EXACT(metadata!D428,"missing: not provided"))</f>
        <v>0</v>
      </c>
      <c r="AG428" t="b">
        <f>AND(IF(metadata!E428="",FALSE,TRUE),EXACT(metadata!E428,"Host-associated"))</f>
        <v>0</v>
      </c>
      <c r="AH428" t="b">
        <f>AND(IF(metadata!F428="",FALSE,TRUE),OR(EXACT(metadata!F428,"Animal"),EXACT(metadata!F428,"Fungus"),EXACT(metadata!F428,"Plant")))</f>
        <v>0</v>
      </c>
      <c r="AI428" t="b">
        <f>AND(IF(metadata!G428="",FALSE,TRUE),OR(EXACT(metadata!G428,"Plant secretion"),EXACT(metadata!G428,"Plant rhizosphere"),EXACT(metadata!G428,"Plant surface"),EXACT(metadata!G428,"Plant corpus"),EXACT(metadata!G428,"Fungus surface"),EXACT(metadata!G428,"Fungus corpus"),EXACT(metadata!G428,"Animal surface"),EXACT(metadata!G428,"Animal proximal gut"),EXACT(metadata!G428,"Animal corpus"),EXACT(metadata!G428,"Animal distal gut"),EXACT(metadata!G428,"Animal secretion")))</f>
        <v>0</v>
      </c>
      <c r="AJ428" t="b">
        <f>OR(AND(IF(metadata!H428="",FALSE,TRUE),OR(EXACT(metadata!H428,"missing: not collected"),EXACT(metadata!H428,"missing: not provided"),EXACT(metadata!H428,"missing: restricted access"))),AND(IF(metadata!H428="",FALSE,TRUE),OR(EXACT(metadata!H428,"organism-associated habitat"),EXACT(metadata!H428,"plant-associated habitat"),EXACT(metadata!H428,"animal-associated habitat"),EXACT(metadata!H428,"insecta-associated habitat"),EXACT(metadata!H428,"mammalia-associated habitat"),EXACT(metadata!H428,"human-associated habitat"),EXACT(metadata!H428,"livestock-associated habitat"))))</f>
        <v>0</v>
      </c>
      <c r="AK428" t="b">
        <f>AND(IF(metadata!I428="",FALSE,TRUE),EXACT(metadata!I428,"host-associated"))</f>
        <v>0</v>
      </c>
      <c r="AL428" t="b">
        <f>OR(AND(IF(metadata!J428="",FALSE,TRUE),OR(EXACT(metadata!J428,"not applicable"),EXACT(metadata!J428,"missing: not collected"),EXACT(metadata!J428,"missing: not provided"),EXACT(metadata!J428,"missing: restricted access"))),AND(IF(metadata!J428="",FALSE,ISNUMBER(VALUE(metadata!J428))),metadata!J428&gt;0))</f>
        <v>0</v>
      </c>
      <c r="AM428" t="b">
        <f>AND(IF(metadata!K428="",FALSE,TRUE),EXACT(metadata!K428,"missing: not provided"))</f>
        <v>0</v>
      </c>
      <c r="AN428" t="b">
        <f>IF(metadata!L428="",FALSE,TRUE)</f>
        <v>0</v>
      </c>
      <c r="AO428" t="b">
        <f>IF(metadata!M428="",FALSE,TRUE)</f>
        <v>0</v>
      </c>
      <c r="AP428" t="b">
        <f>OR(AND(IF(metadata!N428="",FALSE,TRUE),OR(EXACT(metadata!N428,"not applicable"),EXACT(metadata!N428,"missing: not collected"),EXACT(metadata!N428,"missing: not provided"))),AND(IF(metadata!N428="",FALSE,IF(ISERROR(INT(metadata!N428)),FALSE,INT(metadata!N428)=metadata!N428)),metadata!N428&gt;0))</f>
        <v>0</v>
      </c>
      <c r="AQ428" t="b">
        <f>AND(IF(metadata!O428="",FALSE,TRUE),EXACT(metadata!O428,"Not applicable"))</f>
        <v>0</v>
      </c>
      <c r="AR428" t="b">
        <f>OR(AND(IF(metadata!P428="",FALSE,TRUE),OR(EXACT(metadata!P428,"not applicable"),EXACT(metadata!P428,"missing: not collected"),EXACT(metadata!P428,"missing: not provided"),EXACT(metadata!P428,"missing: restricted access"))),IF(metadata!P428="",FALSE,IF(ISERROR(INT(metadata!P428)),FALSE,INT(metadata!P428)=metadata!P428)))</f>
        <v>0</v>
      </c>
      <c r="AS428" t="b">
        <f>AND(IF(metadata!Q428="",FALSE,TRUE),EXACT(metadata!Q428,"Not applicable"))</f>
        <v>0</v>
      </c>
      <c r="AT428" t="b">
        <f>OR(AND(IF(metadata!R428="",FALSE,TRUE),OR(EXACT(metadata!R428,"not applicable"),EXACT(metadata!R428,"missing: not collected"),EXACT(metadata!R428,"missing: not provided"),EXACT(metadata!R428,"missing: restricted access"))),AND(IF(metadata!R428="",FALSE,ISNUMBER(VALUE(metadata!R428))),metadata!R428&gt;0))</f>
        <v>0</v>
      </c>
      <c r="AU428" t="b">
        <f>AND(IF(metadata!S428="",FALSE,TRUE),EXACT(metadata!S428,"missing: not provided"))</f>
        <v>0</v>
      </c>
    </row>
    <row r="429" spans="1:47" x14ac:dyDescent="0.2">
      <c r="A429" s="5" t="str">
        <f ca="1">IF(B429=" "," ",HYPERLINK(CONCATENATE("#metadata!",ADDRESS(INDEX($Y$2:$Y$1001,MATCH(ROWS($W$2:W429),$W$2:$W$1001,0),0),1)),INDEX($AB$2:$AB$1001,MATCH(ROWS($W$2:W429),$W$2:$W$1001,0),0)))</f>
        <v xml:space="preserve"> </v>
      </c>
      <c r="B429" s="4" t="str">
        <f ca="1">IF(OR(INDEX($X$2:$X$1001,MATCH(ROWS($W$2:W429),$W$2:$W$1001,0),1)&gt;=100000,INDEX($AD$1005:$AU$1005,1,MATCH(COLUMNS($AD$1006:AD1006),$AD$1006:$AU$1006,0))&gt;=100000), " ",IF(INDEX($AD$2:$AU$1001,MATCH(ROWS($W$2:W429),$W$2:$W$1001,0),MATCH(COLUMNS($AD$1006:AD1006),$AD$1006:$AU$1006,0)), HYPERLINK("#",""), HYPERLINK(CONCATENATE("#metadata!", ADDRESS(INDEX($Y$2:$Y$1001,MATCH(ROWS($W$2:W429),$W$2:$W$1001,0),0), INDEX($AD$1004:$AU$1004,1,MATCH(COLUMNS($AD$1006:AD1006),$AD$1006:$AU$1006,0)))),"Fix")))</f>
        <v xml:space="preserve"> </v>
      </c>
      <c r="C429" s="4" t="str">
        <f ca="1">IF(OR(INDEX($X$2:$X$1001,MATCH(ROWS($W$2:W429),$W$2:$W$1001,0),1)&gt;=100000,INDEX($AD$1005:$AU$1005,1,MATCH(COLUMNS($AD$1006:AE1006),$AD$1006:$AU$1006,0))&gt;=100000), " ",IF(INDEX($AD$2:$AU$1001,MATCH(ROWS($W$2:W429),$W$2:$W$1001,0),MATCH(COLUMNS($AD$1006:AE1006),$AD$1006:$AU$1006,0)), HYPERLINK("#",""), HYPERLINK(CONCATENATE("#metadata!", ADDRESS(INDEX($Y$2:$Y$1001,MATCH(ROWS($W$2:W429),$W$2:$W$1001,0),0), INDEX($AD$1004:$AU$1004,1,MATCH(COLUMNS($AD$1006:AE1006),$AD$1006:$AU$1006,0)))),"Fix")))</f>
        <v xml:space="preserve"> </v>
      </c>
      <c r="D429" s="4" t="str">
        <f ca="1">IF(OR(INDEX($X$2:$X$1001,MATCH(ROWS($W$2:W429),$W$2:$W$1001,0),1)&gt;=100000,INDEX($AD$1005:$AU$1005,1,MATCH(COLUMNS($AD$1006:AF1006),$AD$1006:$AU$1006,0))&gt;=100000), " ",IF(INDEX($AD$2:$AU$1001,MATCH(ROWS($W$2:W429),$W$2:$W$1001,0),MATCH(COLUMNS($AD$1006:AF1006),$AD$1006:$AU$1006,0)), HYPERLINK("#",""), HYPERLINK(CONCATENATE("#metadata!", ADDRESS(INDEX($Y$2:$Y$1001,MATCH(ROWS($W$2:W429),$W$2:$W$1001,0),0), INDEX($AD$1004:$AU$1004,1,MATCH(COLUMNS($AD$1006:AF1006),$AD$1006:$AU$1006,0)))),"Fix")))</f>
        <v xml:space="preserve"> </v>
      </c>
      <c r="E429" s="4" t="str">
        <f ca="1">IF(OR(INDEX($X$2:$X$1001,MATCH(ROWS($W$2:W429),$W$2:$W$1001,0),1)&gt;=100000,INDEX($AD$1005:$AU$1005,1,MATCH(COLUMNS($AD$1006:AG1006),$AD$1006:$AU$1006,0))&gt;=100000), " ",IF(INDEX($AD$2:$AU$1001,MATCH(ROWS($W$2:W429),$W$2:$W$1001,0),MATCH(COLUMNS($AD$1006:AG1006),$AD$1006:$AU$1006,0)), HYPERLINK("#",""), HYPERLINK(CONCATENATE("#metadata!", ADDRESS(INDEX($Y$2:$Y$1001,MATCH(ROWS($W$2:W429),$W$2:$W$1001,0),0), INDEX($AD$1004:$AU$1004,1,MATCH(COLUMNS($AD$1006:AG1006),$AD$1006:$AU$1006,0)))),"Fix")))</f>
        <v xml:space="preserve"> </v>
      </c>
      <c r="F429" s="4" t="str">
        <f ca="1">IF(OR(INDEX($X$2:$X$1001,MATCH(ROWS($W$2:W429),$W$2:$W$1001,0),1)&gt;=100000,INDEX($AD$1005:$AU$1005,1,MATCH(COLUMNS($AD$1006:AH1006),$AD$1006:$AU$1006,0))&gt;=100000), " ",IF(INDEX($AD$2:$AU$1001,MATCH(ROWS($W$2:W429),$W$2:$W$1001,0),MATCH(COLUMNS($AD$1006:AH1006),$AD$1006:$AU$1006,0)), HYPERLINK("#",""), HYPERLINK(CONCATENATE("#metadata!", ADDRESS(INDEX($Y$2:$Y$1001,MATCH(ROWS($W$2:W429),$W$2:$W$1001,0),0), INDEX($AD$1004:$AU$1004,1,MATCH(COLUMNS($AD$1006:AH1006),$AD$1006:$AU$1006,0)))),"Fix")))</f>
        <v xml:space="preserve"> </v>
      </c>
      <c r="G429" s="4" t="str">
        <f ca="1">IF(OR(INDEX($X$2:$X$1001,MATCH(ROWS($W$2:W429),$W$2:$W$1001,0),1)&gt;=100000,INDEX($AD$1005:$AU$1005,1,MATCH(COLUMNS($AD$1006:AI1006),$AD$1006:$AU$1006,0))&gt;=100000), " ",IF(INDEX($AD$2:$AU$1001,MATCH(ROWS($W$2:W429),$W$2:$W$1001,0),MATCH(COLUMNS($AD$1006:AI1006),$AD$1006:$AU$1006,0)), HYPERLINK("#",""), HYPERLINK(CONCATENATE("#metadata!", ADDRESS(INDEX($Y$2:$Y$1001,MATCH(ROWS($W$2:W429),$W$2:$W$1001,0),0), INDEX($AD$1004:$AU$1004,1,MATCH(COLUMNS($AD$1006:AI1006),$AD$1006:$AU$1006,0)))),"Fix")))</f>
        <v xml:space="preserve"> </v>
      </c>
      <c r="H429" s="4" t="str">
        <f ca="1">IF(OR(INDEX($X$2:$X$1001,MATCH(ROWS($W$2:W429),$W$2:$W$1001,0),1)&gt;=100000,INDEX($AD$1005:$AU$1005,1,MATCH(COLUMNS($AD$1006:AJ1006),$AD$1006:$AU$1006,0))&gt;=100000), " ",IF(INDEX($AD$2:$AU$1001,MATCH(ROWS($W$2:W429),$W$2:$W$1001,0),MATCH(COLUMNS($AD$1006:AJ1006),$AD$1006:$AU$1006,0)), HYPERLINK("#",""), HYPERLINK(CONCATENATE("#metadata!", ADDRESS(INDEX($Y$2:$Y$1001,MATCH(ROWS($W$2:W429),$W$2:$W$1001,0),0), INDEX($AD$1004:$AU$1004,1,MATCH(COLUMNS($AD$1006:AJ1006),$AD$1006:$AU$1006,0)))),"Fix")))</f>
        <v xml:space="preserve"> </v>
      </c>
      <c r="I429" s="4" t="str">
        <f ca="1">IF(OR(INDEX($X$2:$X$1001,MATCH(ROWS($W$2:W429),$W$2:$W$1001,0),1)&gt;=100000,INDEX($AD$1005:$AU$1005,1,MATCH(COLUMNS($AD$1006:AK1006),$AD$1006:$AU$1006,0))&gt;=100000), " ",IF(INDEX($AD$2:$AU$1001,MATCH(ROWS($W$2:W429),$W$2:$W$1001,0),MATCH(COLUMNS($AD$1006:AK1006),$AD$1006:$AU$1006,0)), HYPERLINK("#",""), HYPERLINK(CONCATENATE("#metadata!", ADDRESS(INDEX($Y$2:$Y$1001,MATCH(ROWS($W$2:W429),$W$2:$W$1001,0),0), INDEX($AD$1004:$AU$1004,1,MATCH(COLUMNS($AD$1006:AK1006),$AD$1006:$AU$1006,0)))),"Fix")))</f>
        <v xml:space="preserve"> </v>
      </c>
      <c r="J429" s="4" t="str">
        <f ca="1">IF(OR(INDEX($X$2:$X$1001,MATCH(ROWS($W$2:W429),$W$2:$W$1001,0),1)&gt;=100000,INDEX($AD$1005:$AU$1005,1,MATCH(COLUMNS($AD$1006:AL1006),$AD$1006:$AU$1006,0))&gt;=100000), " ",IF(INDEX($AD$2:$AU$1001,MATCH(ROWS($W$2:W429),$W$2:$W$1001,0),MATCH(COLUMNS($AD$1006:AL1006),$AD$1006:$AU$1006,0)), HYPERLINK("#",""), HYPERLINK(CONCATENATE("#metadata!", ADDRESS(INDEX($Y$2:$Y$1001,MATCH(ROWS($W$2:W429),$W$2:$W$1001,0),0), INDEX($AD$1004:$AU$1004,1,MATCH(COLUMNS($AD$1006:AL1006),$AD$1006:$AU$1006,0)))),"Fix")))</f>
        <v xml:space="preserve"> </v>
      </c>
      <c r="K429" s="4" t="str">
        <f ca="1">IF(OR(INDEX($X$2:$X$1001,MATCH(ROWS($W$2:W429),$W$2:$W$1001,0),1)&gt;=100000,INDEX($AD$1005:$AU$1005,1,MATCH(COLUMNS($AD$1006:AM1006),$AD$1006:$AU$1006,0))&gt;=100000), " ",IF(INDEX($AD$2:$AU$1001,MATCH(ROWS($W$2:W429),$W$2:$W$1001,0),MATCH(COLUMNS($AD$1006:AM1006),$AD$1006:$AU$1006,0)), HYPERLINK("#",""), HYPERLINK(CONCATENATE("#metadata!", ADDRESS(INDEX($Y$2:$Y$1001,MATCH(ROWS($W$2:W429),$W$2:$W$1001,0),0), INDEX($AD$1004:$AU$1004,1,MATCH(COLUMNS($AD$1006:AM1006),$AD$1006:$AU$1006,0)))),"Fix")))</f>
        <v xml:space="preserve"> </v>
      </c>
      <c r="L429" s="4" t="str">
        <f ca="1">IF(OR(INDEX($X$2:$X$1001,MATCH(ROWS($W$2:W429),$W$2:$W$1001,0),1)&gt;=100000,INDEX($AD$1005:$AU$1005,1,MATCH(COLUMNS($AD$1006:AN1006),$AD$1006:$AU$1006,0))&gt;=100000), " ",IF(INDEX($AD$2:$AU$1001,MATCH(ROWS($W$2:W429),$W$2:$W$1001,0),MATCH(COLUMNS($AD$1006:AN1006),$AD$1006:$AU$1006,0)), HYPERLINK("#",""), HYPERLINK(CONCATENATE("#metadata!", ADDRESS(INDEX($Y$2:$Y$1001,MATCH(ROWS($W$2:W429),$W$2:$W$1001,0),0), INDEX($AD$1004:$AU$1004,1,MATCH(COLUMNS($AD$1006:AN1006),$AD$1006:$AU$1006,0)))),"Fix")))</f>
        <v xml:space="preserve"> </v>
      </c>
      <c r="M429" s="4" t="str">
        <f ca="1">IF(OR(INDEX($X$2:$X$1001,MATCH(ROWS($W$2:W429),$W$2:$W$1001,0),1)&gt;=100000,INDEX($AD$1005:$AU$1005,1,MATCH(COLUMNS($AD$1006:AO1006),$AD$1006:$AU$1006,0))&gt;=100000), " ",IF(INDEX($AD$2:$AU$1001,MATCH(ROWS($W$2:W429),$W$2:$W$1001,0),MATCH(COLUMNS($AD$1006:AO1006),$AD$1006:$AU$1006,0)), HYPERLINK("#",""), HYPERLINK(CONCATENATE("#metadata!", ADDRESS(INDEX($Y$2:$Y$1001,MATCH(ROWS($W$2:W429),$W$2:$W$1001,0),0), INDEX($AD$1004:$AU$1004,1,MATCH(COLUMNS($AD$1006:AO1006),$AD$1006:$AU$1006,0)))),"Fix")))</f>
        <v xml:space="preserve"> </v>
      </c>
      <c r="N429" s="4" t="str">
        <f ca="1">IF(OR(INDEX($X$2:$X$1001,MATCH(ROWS($W$2:W429),$W$2:$W$1001,0),1)&gt;=100000,INDEX($AD$1005:$AU$1005,1,MATCH(COLUMNS($AD$1006:AP1006),$AD$1006:$AU$1006,0))&gt;=100000), " ",IF(INDEX($AD$2:$AU$1001,MATCH(ROWS($W$2:W429),$W$2:$W$1001,0),MATCH(COLUMNS($AD$1006:AP1006),$AD$1006:$AU$1006,0)), HYPERLINK("#",""), HYPERLINK(CONCATENATE("#metadata!", ADDRESS(INDEX($Y$2:$Y$1001,MATCH(ROWS($W$2:W429),$W$2:$W$1001,0),0), INDEX($AD$1004:$AU$1004,1,MATCH(COLUMNS($AD$1006:AP1006),$AD$1006:$AU$1006,0)))),"Fix")))</f>
        <v xml:space="preserve"> </v>
      </c>
      <c r="O429" s="4" t="str">
        <f ca="1">IF(OR(INDEX($X$2:$X$1001,MATCH(ROWS($W$2:W429),$W$2:$W$1001,0),1)&gt;=100000,INDEX($AD$1005:$AU$1005,1,MATCH(COLUMNS($AD$1006:AQ1006),$AD$1006:$AU$1006,0))&gt;=100000), " ",IF(INDEX($AD$2:$AU$1001,MATCH(ROWS($W$2:W429),$W$2:$W$1001,0),MATCH(COLUMNS($AD$1006:AQ1006),$AD$1006:$AU$1006,0)), HYPERLINK("#",""), HYPERLINK(CONCATENATE("#metadata!", ADDRESS(INDEX($Y$2:$Y$1001,MATCH(ROWS($W$2:W429),$W$2:$W$1001,0),0), INDEX($AD$1004:$AU$1004,1,MATCH(COLUMNS($AD$1006:AQ1006),$AD$1006:$AU$1006,0)))),"Fix")))</f>
        <v xml:space="preserve"> </v>
      </c>
      <c r="P429" s="4" t="str">
        <f ca="1">IF(OR(INDEX($X$2:$X$1001,MATCH(ROWS($W$2:W429),$W$2:$W$1001,0),1)&gt;=100000,INDEX($AD$1005:$AU$1005,1,MATCH(COLUMNS($AD$1006:AR1006),$AD$1006:$AU$1006,0))&gt;=100000), " ",IF(INDEX($AD$2:$AU$1001,MATCH(ROWS($W$2:W429),$W$2:$W$1001,0),MATCH(COLUMNS($AD$1006:AR1006),$AD$1006:$AU$1006,0)), HYPERLINK("#",""), HYPERLINK(CONCATENATE("#metadata!", ADDRESS(INDEX($Y$2:$Y$1001,MATCH(ROWS($W$2:W429),$W$2:$W$1001,0),0), INDEX($AD$1004:$AU$1004,1,MATCH(COLUMNS($AD$1006:AR1006),$AD$1006:$AU$1006,0)))),"Fix")))</f>
        <v xml:space="preserve"> </v>
      </c>
      <c r="Q429" s="4" t="str">
        <f ca="1">IF(OR(INDEX($X$2:$X$1001,MATCH(ROWS($W$2:W429),$W$2:$W$1001,0),1)&gt;=100000,INDEX($AD$1005:$AU$1005,1,MATCH(COLUMNS($AD$1006:AS1006),$AD$1006:$AU$1006,0))&gt;=100000), " ",IF(INDEX($AD$2:$AU$1001,MATCH(ROWS($W$2:W429),$W$2:$W$1001,0),MATCH(COLUMNS($AD$1006:AS1006),$AD$1006:$AU$1006,0)), HYPERLINK("#",""), HYPERLINK(CONCATENATE("#metadata!", ADDRESS(INDEX($Y$2:$Y$1001,MATCH(ROWS($W$2:W429),$W$2:$W$1001,0),0), INDEX($AD$1004:$AU$1004,1,MATCH(COLUMNS($AD$1006:AS1006),$AD$1006:$AU$1006,0)))),"Fix")))</f>
        <v xml:space="preserve"> </v>
      </c>
      <c r="R429" s="4" t="str">
        <f ca="1">IF(OR(INDEX($X$2:$X$1001,MATCH(ROWS($W$2:W429),$W$2:$W$1001,0),1)&gt;=100000,INDEX($AD$1005:$AU$1005,1,MATCH(COLUMNS($AD$1006:AT1006),$AD$1006:$AU$1006,0))&gt;=100000), " ",IF(INDEX($AD$2:$AU$1001,MATCH(ROWS($W$2:W429),$W$2:$W$1001,0),MATCH(COLUMNS($AD$1006:AT1006),$AD$1006:$AU$1006,0)), HYPERLINK("#",""), HYPERLINK(CONCATENATE("#metadata!", ADDRESS(INDEX($Y$2:$Y$1001,MATCH(ROWS($W$2:W429),$W$2:$W$1001,0),0), INDEX($AD$1004:$AU$1004,1,MATCH(COLUMNS($AD$1006:AT1006),$AD$1006:$AU$1006,0)))),"Fix")))</f>
        <v xml:space="preserve"> </v>
      </c>
      <c r="S429" s="4" t="str">
        <f ca="1">IF(OR(INDEX($X$2:$X$1001,MATCH(ROWS($W$2:W429),$W$2:$W$1001,0),1)&gt;=100000,INDEX($AD$1005:$AU$1005,1,MATCH(COLUMNS($AD$1006:AU1006),$AD$1006:$AU$1006,0))&gt;=100000), " ",IF(INDEX($AD$2:$AU$1001,MATCH(ROWS($W$2:W429),$W$2:$W$1001,0),MATCH(COLUMNS($AD$1006:AU1006),$AD$1006:$AU$1006,0)), HYPERLINK("#",""), HYPERLINK(CONCATENATE("#metadata!", ADDRESS(INDEX($Y$2:$Y$1001,MATCH(ROWS($W$2:W429),$W$2:$W$1001,0),0), INDEX($AD$1004:$AU$1004,1,MATCH(COLUMNS($AD$1006:AU1006),$AD$1006:$AU$1006,0)))),"Fix")))</f>
        <v xml:space="preserve"> </v>
      </c>
      <c r="W429">
        <v>428</v>
      </c>
      <c r="X429">
        <v>100429</v>
      </c>
      <c r="Y429">
        <v>429</v>
      </c>
      <c r="Z429" t="b">
        <f t="shared" si="6"/>
        <v>1</v>
      </c>
      <c r="AA429" t="b">
        <f>COUNTBLANK(metadata!B429:S429)=COLUMNS(metadata!B429:S429)</f>
        <v>1</v>
      </c>
      <c r="AB429" t="str">
        <v/>
      </c>
      <c r="AD429" t="b">
        <f ca="1">AND(IF(metadata!B429="",FALSE,TRUE),COUNTIF(metadata!B:B, metadata!B429) = 1,NOT(ISERROR(SUMPRODUCT(SEARCH(MID(metadata!B429,ROW(INDIRECT("1:"&amp;LEN(metadata!B429))), 1),"0123456789abcdefghijklmnopqrstuvwxyzABCDEFGHIJKLMNOPQRSTUVWXYZ.")))))</f>
        <v>0</v>
      </c>
      <c r="AE429" t="b">
        <f>OR(AND(IF(metadata!C429="",FALSE,TRUE),OR(EXACT(metadata!C429,"not applicable"),EXACT(metadata!C429,"missing: not collected"),EXACT(metadata!C429,"missing: not provided"),EXACT(metadata!C429,"missing: restricted access"))),AND(IF(metadata!C429="",FALSE,ISNUMBER(VALUE(metadata!C429))),metadata!C429&gt;0))</f>
        <v>0</v>
      </c>
      <c r="AF429" t="b">
        <f>AND(IF(metadata!D429="",FALSE,TRUE),EXACT(metadata!D429,"missing: not provided"))</f>
        <v>0</v>
      </c>
      <c r="AG429" t="b">
        <f>AND(IF(metadata!E429="",FALSE,TRUE),EXACT(metadata!E429,"Host-associated"))</f>
        <v>0</v>
      </c>
      <c r="AH429" t="b">
        <f>AND(IF(metadata!F429="",FALSE,TRUE),OR(EXACT(metadata!F429,"Animal"),EXACT(metadata!F429,"Fungus"),EXACT(metadata!F429,"Plant")))</f>
        <v>0</v>
      </c>
      <c r="AI429" t="b">
        <f>AND(IF(metadata!G429="",FALSE,TRUE),OR(EXACT(metadata!G429,"Plant secretion"),EXACT(metadata!G429,"Plant rhizosphere"),EXACT(metadata!G429,"Plant surface"),EXACT(metadata!G429,"Plant corpus"),EXACT(metadata!G429,"Fungus surface"),EXACT(metadata!G429,"Fungus corpus"),EXACT(metadata!G429,"Animal surface"),EXACT(metadata!G429,"Animal proximal gut"),EXACT(metadata!G429,"Animal corpus"),EXACT(metadata!G429,"Animal distal gut"),EXACT(metadata!G429,"Animal secretion")))</f>
        <v>0</v>
      </c>
      <c r="AJ429" t="b">
        <f>OR(AND(IF(metadata!H429="",FALSE,TRUE),OR(EXACT(metadata!H429,"missing: not collected"),EXACT(metadata!H429,"missing: not provided"),EXACT(metadata!H429,"missing: restricted access"))),AND(IF(metadata!H429="",FALSE,TRUE),OR(EXACT(metadata!H429,"organism-associated habitat"),EXACT(metadata!H429,"plant-associated habitat"),EXACT(metadata!H429,"animal-associated habitat"),EXACT(metadata!H429,"insecta-associated habitat"),EXACT(metadata!H429,"mammalia-associated habitat"),EXACT(metadata!H429,"human-associated habitat"),EXACT(metadata!H429,"livestock-associated habitat"))))</f>
        <v>0</v>
      </c>
      <c r="AK429" t="b">
        <f>AND(IF(metadata!I429="",FALSE,TRUE),EXACT(metadata!I429,"host-associated"))</f>
        <v>0</v>
      </c>
      <c r="AL429" t="b">
        <f>OR(AND(IF(metadata!J429="",FALSE,TRUE),OR(EXACT(metadata!J429,"not applicable"),EXACT(metadata!J429,"missing: not collected"),EXACT(metadata!J429,"missing: not provided"),EXACT(metadata!J429,"missing: restricted access"))),AND(IF(metadata!J429="",FALSE,ISNUMBER(VALUE(metadata!J429))),metadata!J429&gt;0))</f>
        <v>0</v>
      </c>
      <c r="AM429" t="b">
        <f>AND(IF(metadata!K429="",FALSE,TRUE),EXACT(metadata!K429,"missing: not provided"))</f>
        <v>0</v>
      </c>
      <c r="AN429" t="b">
        <f>IF(metadata!L429="",FALSE,TRUE)</f>
        <v>0</v>
      </c>
      <c r="AO429" t="b">
        <f>IF(metadata!M429="",FALSE,TRUE)</f>
        <v>0</v>
      </c>
      <c r="AP429" t="b">
        <f>OR(AND(IF(metadata!N429="",FALSE,TRUE),OR(EXACT(metadata!N429,"not applicable"),EXACT(metadata!N429,"missing: not collected"),EXACT(metadata!N429,"missing: not provided"))),AND(IF(metadata!N429="",FALSE,IF(ISERROR(INT(metadata!N429)),FALSE,INT(metadata!N429)=metadata!N429)),metadata!N429&gt;0))</f>
        <v>0</v>
      </c>
      <c r="AQ429" t="b">
        <f>AND(IF(metadata!O429="",FALSE,TRUE),EXACT(metadata!O429,"Not applicable"))</f>
        <v>0</v>
      </c>
      <c r="AR429" t="b">
        <f>OR(AND(IF(metadata!P429="",FALSE,TRUE),OR(EXACT(metadata!P429,"not applicable"),EXACT(metadata!P429,"missing: not collected"),EXACT(metadata!P429,"missing: not provided"),EXACT(metadata!P429,"missing: restricted access"))),IF(metadata!P429="",FALSE,IF(ISERROR(INT(metadata!P429)),FALSE,INT(metadata!P429)=metadata!P429)))</f>
        <v>0</v>
      </c>
      <c r="AS429" t="b">
        <f>AND(IF(metadata!Q429="",FALSE,TRUE),EXACT(metadata!Q429,"Not applicable"))</f>
        <v>0</v>
      </c>
      <c r="AT429" t="b">
        <f>OR(AND(IF(metadata!R429="",FALSE,TRUE),OR(EXACT(metadata!R429,"not applicable"),EXACT(metadata!R429,"missing: not collected"),EXACT(metadata!R429,"missing: not provided"),EXACT(metadata!R429,"missing: restricted access"))),AND(IF(metadata!R429="",FALSE,ISNUMBER(VALUE(metadata!R429))),metadata!R429&gt;0))</f>
        <v>0</v>
      </c>
      <c r="AU429" t="b">
        <f>AND(IF(metadata!S429="",FALSE,TRUE),EXACT(metadata!S429,"missing: not provided"))</f>
        <v>0</v>
      </c>
    </row>
    <row r="430" spans="1:47" x14ac:dyDescent="0.2">
      <c r="A430" s="5" t="str">
        <f ca="1">IF(B430=" "," ",HYPERLINK(CONCATENATE("#metadata!",ADDRESS(INDEX($Y$2:$Y$1001,MATCH(ROWS($W$2:W430),$W$2:$W$1001,0),0),1)),INDEX($AB$2:$AB$1001,MATCH(ROWS($W$2:W430),$W$2:$W$1001,0),0)))</f>
        <v xml:space="preserve"> </v>
      </c>
      <c r="B430" s="4" t="str">
        <f ca="1">IF(OR(INDEX($X$2:$X$1001,MATCH(ROWS($W$2:W430),$W$2:$W$1001,0),1)&gt;=100000,INDEX($AD$1005:$AU$1005,1,MATCH(COLUMNS($AD$1006:AD1006),$AD$1006:$AU$1006,0))&gt;=100000), " ",IF(INDEX($AD$2:$AU$1001,MATCH(ROWS($W$2:W430),$W$2:$W$1001,0),MATCH(COLUMNS($AD$1006:AD1006),$AD$1006:$AU$1006,0)), HYPERLINK("#",""), HYPERLINK(CONCATENATE("#metadata!", ADDRESS(INDEX($Y$2:$Y$1001,MATCH(ROWS($W$2:W430),$W$2:$W$1001,0),0), INDEX($AD$1004:$AU$1004,1,MATCH(COLUMNS($AD$1006:AD1006),$AD$1006:$AU$1006,0)))),"Fix")))</f>
        <v xml:space="preserve"> </v>
      </c>
      <c r="C430" s="4" t="str">
        <f ca="1">IF(OR(INDEX($X$2:$X$1001,MATCH(ROWS($W$2:W430),$W$2:$W$1001,0),1)&gt;=100000,INDEX($AD$1005:$AU$1005,1,MATCH(COLUMNS($AD$1006:AE1006),$AD$1006:$AU$1006,0))&gt;=100000), " ",IF(INDEX($AD$2:$AU$1001,MATCH(ROWS($W$2:W430),$W$2:$W$1001,0),MATCH(COLUMNS($AD$1006:AE1006),$AD$1006:$AU$1006,0)), HYPERLINK("#",""), HYPERLINK(CONCATENATE("#metadata!", ADDRESS(INDEX($Y$2:$Y$1001,MATCH(ROWS($W$2:W430),$W$2:$W$1001,0),0), INDEX($AD$1004:$AU$1004,1,MATCH(COLUMNS($AD$1006:AE1006),$AD$1006:$AU$1006,0)))),"Fix")))</f>
        <v xml:space="preserve"> </v>
      </c>
      <c r="D430" s="4" t="str">
        <f ca="1">IF(OR(INDEX($X$2:$X$1001,MATCH(ROWS($W$2:W430),$W$2:$W$1001,0),1)&gt;=100000,INDEX($AD$1005:$AU$1005,1,MATCH(COLUMNS($AD$1006:AF1006),$AD$1006:$AU$1006,0))&gt;=100000), " ",IF(INDEX($AD$2:$AU$1001,MATCH(ROWS($W$2:W430),$W$2:$W$1001,0),MATCH(COLUMNS($AD$1006:AF1006),$AD$1006:$AU$1006,0)), HYPERLINK("#",""), HYPERLINK(CONCATENATE("#metadata!", ADDRESS(INDEX($Y$2:$Y$1001,MATCH(ROWS($W$2:W430),$W$2:$W$1001,0),0), INDEX($AD$1004:$AU$1004,1,MATCH(COLUMNS($AD$1006:AF1006),$AD$1006:$AU$1006,0)))),"Fix")))</f>
        <v xml:space="preserve"> </v>
      </c>
      <c r="E430" s="4" t="str">
        <f ca="1">IF(OR(INDEX($X$2:$X$1001,MATCH(ROWS($W$2:W430),$W$2:$W$1001,0),1)&gt;=100000,INDEX($AD$1005:$AU$1005,1,MATCH(COLUMNS($AD$1006:AG1006),$AD$1006:$AU$1006,0))&gt;=100000), " ",IF(INDEX($AD$2:$AU$1001,MATCH(ROWS($W$2:W430),$W$2:$W$1001,0),MATCH(COLUMNS($AD$1006:AG1006),$AD$1006:$AU$1006,0)), HYPERLINK("#",""), HYPERLINK(CONCATENATE("#metadata!", ADDRESS(INDEX($Y$2:$Y$1001,MATCH(ROWS($W$2:W430),$W$2:$W$1001,0),0), INDEX($AD$1004:$AU$1004,1,MATCH(COLUMNS($AD$1006:AG1006),$AD$1006:$AU$1006,0)))),"Fix")))</f>
        <v xml:space="preserve"> </v>
      </c>
      <c r="F430" s="4" t="str">
        <f ca="1">IF(OR(INDEX($X$2:$X$1001,MATCH(ROWS($W$2:W430),$W$2:$W$1001,0),1)&gt;=100000,INDEX($AD$1005:$AU$1005,1,MATCH(COLUMNS($AD$1006:AH1006),$AD$1006:$AU$1006,0))&gt;=100000), " ",IF(INDEX($AD$2:$AU$1001,MATCH(ROWS($W$2:W430),$W$2:$W$1001,0),MATCH(COLUMNS($AD$1006:AH1006),$AD$1006:$AU$1006,0)), HYPERLINK("#",""), HYPERLINK(CONCATENATE("#metadata!", ADDRESS(INDEX($Y$2:$Y$1001,MATCH(ROWS($W$2:W430),$W$2:$W$1001,0),0), INDEX($AD$1004:$AU$1004,1,MATCH(COLUMNS($AD$1006:AH1006),$AD$1006:$AU$1006,0)))),"Fix")))</f>
        <v xml:space="preserve"> </v>
      </c>
      <c r="G430" s="4" t="str">
        <f ca="1">IF(OR(INDEX($X$2:$X$1001,MATCH(ROWS($W$2:W430),$W$2:$W$1001,0),1)&gt;=100000,INDEX($AD$1005:$AU$1005,1,MATCH(COLUMNS($AD$1006:AI1006),$AD$1006:$AU$1006,0))&gt;=100000), " ",IF(INDEX($AD$2:$AU$1001,MATCH(ROWS($W$2:W430),$W$2:$W$1001,0),MATCH(COLUMNS($AD$1006:AI1006),$AD$1006:$AU$1006,0)), HYPERLINK("#",""), HYPERLINK(CONCATENATE("#metadata!", ADDRESS(INDEX($Y$2:$Y$1001,MATCH(ROWS($W$2:W430),$W$2:$W$1001,0),0), INDEX($AD$1004:$AU$1004,1,MATCH(COLUMNS($AD$1006:AI1006),$AD$1006:$AU$1006,0)))),"Fix")))</f>
        <v xml:space="preserve"> </v>
      </c>
      <c r="H430" s="4" t="str">
        <f ca="1">IF(OR(INDEX($X$2:$X$1001,MATCH(ROWS($W$2:W430),$W$2:$W$1001,0),1)&gt;=100000,INDEX($AD$1005:$AU$1005,1,MATCH(COLUMNS($AD$1006:AJ1006),$AD$1006:$AU$1006,0))&gt;=100000), " ",IF(INDEX($AD$2:$AU$1001,MATCH(ROWS($W$2:W430),$W$2:$W$1001,0),MATCH(COLUMNS($AD$1006:AJ1006),$AD$1006:$AU$1006,0)), HYPERLINK("#",""), HYPERLINK(CONCATENATE("#metadata!", ADDRESS(INDEX($Y$2:$Y$1001,MATCH(ROWS($W$2:W430),$W$2:$W$1001,0),0), INDEX($AD$1004:$AU$1004,1,MATCH(COLUMNS($AD$1006:AJ1006),$AD$1006:$AU$1006,0)))),"Fix")))</f>
        <v xml:space="preserve"> </v>
      </c>
      <c r="I430" s="4" t="str">
        <f ca="1">IF(OR(INDEX($X$2:$X$1001,MATCH(ROWS($W$2:W430),$W$2:$W$1001,0),1)&gt;=100000,INDEX($AD$1005:$AU$1005,1,MATCH(COLUMNS($AD$1006:AK1006),$AD$1006:$AU$1006,0))&gt;=100000), " ",IF(INDEX($AD$2:$AU$1001,MATCH(ROWS($W$2:W430),$W$2:$W$1001,0),MATCH(COLUMNS($AD$1006:AK1006),$AD$1006:$AU$1006,0)), HYPERLINK("#",""), HYPERLINK(CONCATENATE("#metadata!", ADDRESS(INDEX($Y$2:$Y$1001,MATCH(ROWS($W$2:W430),$W$2:$W$1001,0),0), INDEX($AD$1004:$AU$1004,1,MATCH(COLUMNS($AD$1006:AK1006),$AD$1006:$AU$1006,0)))),"Fix")))</f>
        <v xml:space="preserve"> </v>
      </c>
      <c r="J430" s="4" t="str">
        <f ca="1">IF(OR(INDEX($X$2:$X$1001,MATCH(ROWS($W$2:W430),$W$2:$W$1001,0),1)&gt;=100000,INDEX($AD$1005:$AU$1005,1,MATCH(COLUMNS($AD$1006:AL1006),$AD$1006:$AU$1006,0))&gt;=100000), " ",IF(INDEX($AD$2:$AU$1001,MATCH(ROWS($W$2:W430),$W$2:$W$1001,0),MATCH(COLUMNS($AD$1006:AL1006),$AD$1006:$AU$1006,0)), HYPERLINK("#",""), HYPERLINK(CONCATENATE("#metadata!", ADDRESS(INDEX($Y$2:$Y$1001,MATCH(ROWS($W$2:W430),$W$2:$W$1001,0),0), INDEX($AD$1004:$AU$1004,1,MATCH(COLUMNS($AD$1006:AL1006),$AD$1006:$AU$1006,0)))),"Fix")))</f>
        <v xml:space="preserve"> </v>
      </c>
      <c r="K430" s="4" t="str">
        <f ca="1">IF(OR(INDEX($X$2:$X$1001,MATCH(ROWS($W$2:W430),$W$2:$W$1001,0),1)&gt;=100000,INDEX($AD$1005:$AU$1005,1,MATCH(COLUMNS($AD$1006:AM1006),$AD$1006:$AU$1006,0))&gt;=100000), " ",IF(INDEX($AD$2:$AU$1001,MATCH(ROWS($W$2:W430),$W$2:$W$1001,0),MATCH(COLUMNS($AD$1006:AM1006),$AD$1006:$AU$1006,0)), HYPERLINK("#",""), HYPERLINK(CONCATENATE("#metadata!", ADDRESS(INDEX($Y$2:$Y$1001,MATCH(ROWS($W$2:W430),$W$2:$W$1001,0),0), INDEX($AD$1004:$AU$1004,1,MATCH(COLUMNS($AD$1006:AM1006),$AD$1006:$AU$1006,0)))),"Fix")))</f>
        <v xml:space="preserve"> </v>
      </c>
      <c r="L430" s="4" t="str">
        <f ca="1">IF(OR(INDEX($X$2:$X$1001,MATCH(ROWS($W$2:W430),$W$2:$W$1001,0),1)&gt;=100000,INDEX($AD$1005:$AU$1005,1,MATCH(COLUMNS($AD$1006:AN1006),$AD$1006:$AU$1006,0))&gt;=100000), " ",IF(INDEX($AD$2:$AU$1001,MATCH(ROWS($W$2:W430),$W$2:$W$1001,0),MATCH(COLUMNS($AD$1006:AN1006),$AD$1006:$AU$1006,0)), HYPERLINK("#",""), HYPERLINK(CONCATENATE("#metadata!", ADDRESS(INDEX($Y$2:$Y$1001,MATCH(ROWS($W$2:W430),$W$2:$W$1001,0),0), INDEX($AD$1004:$AU$1004,1,MATCH(COLUMNS($AD$1006:AN1006),$AD$1006:$AU$1006,0)))),"Fix")))</f>
        <v xml:space="preserve"> </v>
      </c>
      <c r="M430" s="4" t="str">
        <f ca="1">IF(OR(INDEX($X$2:$X$1001,MATCH(ROWS($W$2:W430),$W$2:$W$1001,0),1)&gt;=100000,INDEX($AD$1005:$AU$1005,1,MATCH(COLUMNS($AD$1006:AO1006),$AD$1006:$AU$1006,0))&gt;=100000), " ",IF(INDEX($AD$2:$AU$1001,MATCH(ROWS($W$2:W430),$W$2:$W$1001,0),MATCH(COLUMNS($AD$1006:AO1006),$AD$1006:$AU$1006,0)), HYPERLINK("#",""), HYPERLINK(CONCATENATE("#metadata!", ADDRESS(INDEX($Y$2:$Y$1001,MATCH(ROWS($W$2:W430),$W$2:$W$1001,0),0), INDEX($AD$1004:$AU$1004,1,MATCH(COLUMNS($AD$1006:AO1006),$AD$1006:$AU$1006,0)))),"Fix")))</f>
        <v xml:space="preserve"> </v>
      </c>
      <c r="N430" s="4" t="str">
        <f ca="1">IF(OR(INDEX($X$2:$X$1001,MATCH(ROWS($W$2:W430),$W$2:$W$1001,0),1)&gt;=100000,INDEX($AD$1005:$AU$1005,1,MATCH(COLUMNS($AD$1006:AP1006),$AD$1006:$AU$1006,0))&gt;=100000), " ",IF(INDEX($AD$2:$AU$1001,MATCH(ROWS($W$2:W430),$W$2:$W$1001,0),MATCH(COLUMNS($AD$1006:AP1006),$AD$1006:$AU$1006,0)), HYPERLINK("#",""), HYPERLINK(CONCATENATE("#metadata!", ADDRESS(INDEX($Y$2:$Y$1001,MATCH(ROWS($W$2:W430),$W$2:$W$1001,0),0), INDEX($AD$1004:$AU$1004,1,MATCH(COLUMNS($AD$1006:AP1006),$AD$1006:$AU$1006,0)))),"Fix")))</f>
        <v xml:space="preserve"> </v>
      </c>
      <c r="O430" s="4" t="str">
        <f ca="1">IF(OR(INDEX($X$2:$X$1001,MATCH(ROWS($W$2:W430),$W$2:$W$1001,0),1)&gt;=100000,INDEX($AD$1005:$AU$1005,1,MATCH(COLUMNS($AD$1006:AQ1006),$AD$1006:$AU$1006,0))&gt;=100000), " ",IF(INDEX($AD$2:$AU$1001,MATCH(ROWS($W$2:W430),$W$2:$W$1001,0),MATCH(COLUMNS($AD$1006:AQ1006),$AD$1006:$AU$1006,0)), HYPERLINK("#",""), HYPERLINK(CONCATENATE("#metadata!", ADDRESS(INDEX($Y$2:$Y$1001,MATCH(ROWS($W$2:W430),$W$2:$W$1001,0),0), INDEX($AD$1004:$AU$1004,1,MATCH(COLUMNS($AD$1006:AQ1006),$AD$1006:$AU$1006,0)))),"Fix")))</f>
        <v xml:space="preserve"> </v>
      </c>
      <c r="P430" s="4" t="str">
        <f ca="1">IF(OR(INDEX($X$2:$X$1001,MATCH(ROWS($W$2:W430),$W$2:$W$1001,0),1)&gt;=100000,INDEX($AD$1005:$AU$1005,1,MATCH(COLUMNS($AD$1006:AR1006),$AD$1006:$AU$1006,0))&gt;=100000), " ",IF(INDEX($AD$2:$AU$1001,MATCH(ROWS($W$2:W430),$W$2:$W$1001,0),MATCH(COLUMNS($AD$1006:AR1006),$AD$1006:$AU$1006,0)), HYPERLINK("#",""), HYPERLINK(CONCATENATE("#metadata!", ADDRESS(INDEX($Y$2:$Y$1001,MATCH(ROWS($W$2:W430),$W$2:$W$1001,0),0), INDEX($AD$1004:$AU$1004,1,MATCH(COLUMNS($AD$1006:AR1006),$AD$1006:$AU$1006,0)))),"Fix")))</f>
        <v xml:space="preserve"> </v>
      </c>
      <c r="Q430" s="4" t="str">
        <f ca="1">IF(OR(INDEX($X$2:$X$1001,MATCH(ROWS($W$2:W430),$W$2:$W$1001,0),1)&gt;=100000,INDEX($AD$1005:$AU$1005,1,MATCH(COLUMNS($AD$1006:AS1006),$AD$1006:$AU$1006,0))&gt;=100000), " ",IF(INDEX($AD$2:$AU$1001,MATCH(ROWS($W$2:W430),$W$2:$W$1001,0),MATCH(COLUMNS($AD$1006:AS1006),$AD$1006:$AU$1006,0)), HYPERLINK("#",""), HYPERLINK(CONCATENATE("#metadata!", ADDRESS(INDEX($Y$2:$Y$1001,MATCH(ROWS($W$2:W430),$W$2:$W$1001,0),0), INDEX($AD$1004:$AU$1004,1,MATCH(COLUMNS($AD$1006:AS1006),$AD$1006:$AU$1006,0)))),"Fix")))</f>
        <v xml:space="preserve"> </v>
      </c>
      <c r="R430" s="4" t="str">
        <f ca="1">IF(OR(INDEX($X$2:$X$1001,MATCH(ROWS($W$2:W430),$W$2:$W$1001,0),1)&gt;=100000,INDEX($AD$1005:$AU$1005,1,MATCH(COLUMNS($AD$1006:AT1006),$AD$1006:$AU$1006,0))&gt;=100000), " ",IF(INDEX($AD$2:$AU$1001,MATCH(ROWS($W$2:W430),$W$2:$W$1001,0),MATCH(COLUMNS($AD$1006:AT1006),$AD$1006:$AU$1006,0)), HYPERLINK("#",""), HYPERLINK(CONCATENATE("#metadata!", ADDRESS(INDEX($Y$2:$Y$1001,MATCH(ROWS($W$2:W430),$W$2:$W$1001,0),0), INDEX($AD$1004:$AU$1004,1,MATCH(COLUMNS($AD$1006:AT1006),$AD$1006:$AU$1006,0)))),"Fix")))</f>
        <v xml:space="preserve"> </v>
      </c>
      <c r="S430" s="4" t="str">
        <f ca="1">IF(OR(INDEX($X$2:$X$1001,MATCH(ROWS($W$2:W430),$W$2:$W$1001,0),1)&gt;=100000,INDEX($AD$1005:$AU$1005,1,MATCH(COLUMNS($AD$1006:AU1006),$AD$1006:$AU$1006,0))&gt;=100000), " ",IF(INDEX($AD$2:$AU$1001,MATCH(ROWS($W$2:W430),$W$2:$W$1001,0),MATCH(COLUMNS($AD$1006:AU1006),$AD$1006:$AU$1006,0)), HYPERLINK("#",""), HYPERLINK(CONCATENATE("#metadata!", ADDRESS(INDEX($Y$2:$Y$1001,MATCH(ROWS($W$2:W430),$W$2:$W$1001,0),0), INDEX($AD$1004:$AU$1004,1,MATCH(COLUMNS($AD$1006:AU1006),$AD$1006:$AU$1006,0)))),"Fix")))</f>
        <v xml:space="preserve"> </v>
      </c>
      <c r="W430">
        <v>429</v>
      </c>
      <c r="X430">
        <v>100430</v>
      </c>
      <c r="Y430">
        <v>430</v>
      </c>
      <c r="Z430" t="b">
        <f t="shared" si="6"/>
        <v>1</v>
      </c>
      <c r="AA430" t="b">
        <f>COUNTBLANK(metadata!B430:S430)=COLUMNS(metadata!B430:S430)</f>
        <v>1</v>
      </c>
      <c r="AB430" t="str">
        <v/>
      </c>
      <c r="AD430" t="b">
        <f ca="1">AND(IF(metadata!B430="",FALSE,TRUE),COUNTIF(metadata!B:B, metadata!B430) = 1,NOT(ISERROR(SUMPRODUCT(SEARCH(MID(metadata!B430,ROW(INDIRECT("1:"&amp;LEN(metadata!B430))), 1),"0123456789abcdefghijklmnopqrstuvwxyzABCDEFGHIJKLMNOPQRSTUVWXYZ.")))))</f>
        <v>0</v>
      </c>
      <c r="AE430" t="b">
        <f>OR(AND(IF(metadata!C430="",FALSE,TRUE),OR(EXACT(metadata!C430,"not applicable"),EXACT(metadata!C430,"missing: not collected"),EXACT(metadata!C430,"missing: not provided"),EXACT(metadata!C430,"missing: restricted access"))),AND(IF(metadata!C430="",FALSE,ISNUMBER(VALUE(metadata!C430))),metadata!C430&gt;0))</f>
        <v>0</v>
      </c>
      <c r="AF430" t="b">
        <f>AND(IF(metadata!D430="",FALSE,TRUE),EXACT(metadata!D430,"missing: not provided"))</f>
        <v>0</v>
      </c>
      <c r="AG430" t="b">
        <f>AND(IF(metadata!E430="",FALSE,TRUE),EXACT(metadata!E430,"Host-associated"))</f>
        <v>0</v>
      </c>
      <c r="AH430" t="b">
        <f>AND(IF(metadata!F430="",FALSE,TRUE),OR(EXACT(metadata!F430,"Animal"),EXACT(metadata!F430,"Fungus"),EXACT(metadata!F430,"Plant")))</f>
        <v>0</v>
      </c>
      <c r="AI430" t="b">
        <f>AND(IF(metadata!G430="",FALSE,TRUE),OR(EXACT(metadata!G430,"Plant secretion"),EXACT(metadata!G430,"Plant rhizosphere"),EXACT(metadata!G430,"Plant surface"),EXACT(metadata!G430,"Plant corpus"),EXACT(metadata!G430,"Fungus surface"),EXACT(metadata!G430,"Fungus corpus"),EXACT(metadata!G430,"Animal surface"),EXACT(metadata!G430,"Animal proximal gut"),EXACT(metadata!G430,"Animal corpus"),EXACT(metadata!G430,"Animal distal gut"),EXACT(metadata!G430,"Animal secretion")))</f>
        <v>0</v>
      </c>
      <c r="AJ430" t="b">
        <f>OR(AND(IF(metadata!H430="",FALSE,TRUE),OR(EXACT(metadata!H430,"missing: not collected"),EXACT(metadata!H430,"missing: not provided"),EXACT(metadata!H430,"missing: restricted access"))),AND(IF(metadata!H430="",FALSE,TRUE),OR(EXACT(metadata!H430,"organism-associated habitat"),EXACT(metadata!H430,"plant-associated habitat"),EXACT(metadata!H430,"animal-associated habitat"),EXACT(metadata!H430,"insecta-associated habitat"),EXACT(metadata!H430,"mammalia-associated habitat"),EXACT(metadata!H430,"human-associated habitat"),EXACT(metadata!H430,"livestock-associated habitat"))))</f>
        <v>0</v>
      </c>
      <c r="AK430" t="b">
        <f>AND(IF(metadata!I430="",FALSE,TRUE),EXACT(metadata!I430,"host-associated"))</f>
        <v>0</v>
      </c>
      <c r="AL430" t="b">
        <f>OR(AND(IF(metadata!J430="",FALSE,TRUE),OR(EXACT(metadata!J430,"not applicable"),EXACT(metadata!J430,"missing: not collected"),EXACT(metadata!J430,"missing: not provided"),EXACT(metadata!J430,"missing: restricted access"))),AND(IF(metadata!J430="",FALSE,ISNUMBER(VALUE(metadata!J430))),metadata!J430&gt;0))</f>
        <v>0</v>
      </c>
      <c r="AM430" t="b">
        <f>AND(IF(metadata!K430="",FALSE,TRUE),EXACT(metadata!K430,"missing: not provided"))</f>
        <v>0</v>
      </c>
      <c r="AN430" t="b">
        <f>IF(metadata!L430="",FALSE,TRUE)</f>
        <v>0</v>
      </c>
      <c r="AO430" t="b">
        <f>IF(metadata!M430="",FALSE,TRUE)</f>
        <v>0</v>
      </c>
      <c r="AP430" t="b">
        <f>OR(AND(IF(metadata!N430="",FALSE,TRUE),OR(EXACT(metadata!N430,"not applicable"),EXACT(metadata!N430,"missing: not collected"),EXACT(metadata!N430,"missing: not provided"))),AND(IF(metadata!N430="",FALSE,IF(ISERROR(INT(metadata!N430)),FALSE,INT(metadata!N430)=metadata!N430)),metadata!N430&gt;0))</f>
        <v>0</v>
      </c>
      <c r="AQ430" t="b">
        <f>AND(IF(metadata!O430="",FALSE,TRUE),EXACT(metadata!O430,"Not applicable"))</f>
        <v>0</v>
      </c>
      <c r="AR430" t="b">
        <f>OR(AND(IF(metadata!P430="",FALSE,TRUE),OR(EXACT(metadata!P430,"not applicable"),EXACT(metadata!P430,"missing: not collected"),EXACT(metadata!P430,"missing: not provided"),EXACT(metadata!P430,"missing: restricted access"))),IF(metadata!P430="",FALSE,IF(ISERROR(INT(metadata!P430)),FALSE,INT(metadata!P430)=metadata!P430)))</f>
        <v>0</v>
      </c>
      <c r="AS430" t="b">
        <f>AND(IF(metadata!Q430="",FALSE,TRUE),EXACT(metadata!Q430,"Not applicable"))</f>
        <v>0</v>
      </c>
      <c r="AT430" t="b">
        <f>OR(AND(IF(metadata!R430="",FALSE,TRUE),OR(EXACT(metadata!R430,"not applicable"),EXACT(metadata!R430,"missing: not collected"),EXACT(metadata!R430,"missing: not provided"),EXACT(metadata!R430,"missing: restricted access"))),AND(IF(metadata!R430="",FALSE,ISNUMBER(VALUE(metadata!R430))),metadata!R430&gt;0))</f>
        <v>0</v>
      </c>
      <c r="AU430" t="b">
        <f>AND(IF(metadata!S430="",FALSE,TRUE),EXACT(metadata!S430,"missing: not provided"))</f>
        <v>0</v>
      </c>
    </row>
    <row r="431" spans="1:47" x14ac:dyDescent="0.2">
      <c r="A431" s="5" t="str">
        <f ca="1">IF(B431=" "," ",HYPERLINK(CONCATENATE("#metadata!",ADDRESS(INDEX($Y$2:$Y$1001,MATCH(ROWS($W$2:W431),$W$2:$W$1001,0),0),1)),INDEX($AB$2:$AB$1001,MATCH(ROWS($W$2:W431),$W$2:$W$1001,0),0)))</f>
        <v xml:space="preserve"> </v>
      </c>
      <c r="B431" s="4" t="str">
        <f ca="1">IF(OR(INDEX($X$2:$X$1001,MATCH(ROWS($W$2:W431),$W$2:$W$1001,0),1)&gt;=100000,INDEX($AD$1005:$AU$1005,1,MATCH(COLUMNS($AD$1006:AD1006),$AD$1006:$AU$1006,0))&gt;=100000), " ",IF(INDEX($AD$2:$AU$1001,MATCH(ROWS($W$2:W431),$W$2:$W$1001,0),MATCH(COLUMNS($AD$1006:AD1006),$AD$1006:$AU$1006,0)), HYPERLINK("#",""), HYPERLINK(CONCATENATE("#metadata!", ADDRESS(INDEX($Y$2:$Y$1001,MATCH(ROWS($W$2:W431),$W$2:$W$1001,0),0), INDEX($AD$1004:$AU$1004,1,MATCH(COLUMNS($AD$1006:AD1006),$AD$1006:$AU$1006,0)))),"Fix")))</f>
        <v xml:space="preserve"> </v>
      </c>
      <c r="C431" s="4" t="str">
        <f ca="1">IF(OR(INDEX($X$2:$X$1001,MATCH(ROWS($W$2:W431),$W$2:$W$1001,0),1)&gt;=100000,INDEX($AD$1005:$AU$1005,1,MATCH(COLUMNS($AD$1006:AE1006),$AD$1006:$AU$1006,0))&gt;=100000), " ",IF(INDEX($AD$2:$AU$1001,MATCH(ROWS($W$2:W431),$W$2:$W$1001,0),MATCH(COLUMNS($AD$1006:AE1006),$AD$1006:$AU$1006,0)), HYPERLINK("#",""), HYPERLINK(CONCATENATE("#metadata!", ADDRESS(INDEX($Y$2:$Y$1001,MATCH(ROWS($W$2:W431),$W$2:$W$1001,0),0), INDEX($AD$1004:$AU$1004,1,MATCH(COLUMNS($AD$1006:AE1006),$AD$1006:$AU$1006,0)))),"Fix")))</f>
        <v xml:space="preserve"> </v>
      </c>
      <c r="D431" s="4" t="str">
        <f ca="1">IF(OR(INDEX($X$2:$X$1001,MATCH(ROWS($W$2:W431),$W$2:$W$1001,0),1)&gt;=100000,INDEX($AD$1005:$AU$1005,1,MATCH(COLUMNS($AD$1006:AF1006),$AD$1006:$AU$1006,0))&gt;=100000), " ",IF(INDEX($AD$2:$AU$1001,MATCH(ROWS($W$2:W431),$W$2:$W$1001,0),MATCH(COLUMNS($AD$1006:AF1006),$AD$1006:$AU$1006,0)), HYPERLINK("#",""), HYPERLINK(CONCATENATE("#metadata!", ADDRESS(INDEX($Y$2:$Y$1001,MATCH(ROWS($W$2:W431),$W$2:$W$1001,0),0), INDEX($AD$1004:$AU$1004,1,MATCH(COLUMNS($AD$1006:AF1006),$AD$1006:$AU$1006,0)))),"Fix")))</f>
        <v xml:space="preserve"> </v>
      </c>
      <c r="E431" s="4" t="str">
        <f ca="1">IF(OR(INDEX($X$2:$X$1001,MATCH(ROWS($W$2:W431),$W$2:$W$1001,0),1)&gt;=100000,INDEX($AD$1005:$AU$1005,1,MATCH(COLUMNS($AD$1006:AG1006),$AD$1006:$AU$1006,0))&gt;=100000), " ",IF(INDEX($AD$2:$AU$1001,MATCH(ROWS($W$2:W431),$W$2:$W$1001,0),MATCH(COLUMNS($AD$1006:AG1006),$AD$1006:$AU$1006,0)), HYPERLINK("#",""), HYPERLINK(CONCATENATE("#metadata!", ADDRESS(INDEX($Y$2:$Y$1001,MATCH(ROWS($W$2:W431),$W$2:$W$1001,0),0), INDEX($AD$1004:$AU$1004,1,MATCH(COLUMNS($AD$1006:AG1006),$AD$1006:$AU$1006,0)))),"Fix")))</f>
        <v xml:space="preserve"> </v>
      </c>
      <c r="F431" s="4" t="str">
        <f ca="1">IF(OR(INDEX($X$2:$X$1001,MATCH(ROWS($W$2:W431),$W$2:$W$1001,0),1)&gt;=100000,INDEX($AD$1005:$AU$1005,1,MATCH(COLUMNS($AD$1006:AH1006),$AD$1006:$AU$1006,0))&gt;=100000), " ",IF(INDEX($AD$2:$AU$1001,MATCH(ROWS($W$2:W431),$W$2:$W$1001,0),MATCH(COLUMNS($AD$1006:AH1006),$AD$1006:$AU$1006,0)), HYPERLINK("#",""), HYPERLINK(CONCATENATE("#metadata!", ADDRESS(INDEX($Y$2:$Y$1001,MATCH(ROWS($W$2:W431),$W$2:$W$1001,0),0), INDEX($AD$1004:$AU$1004,1,MATCH(COLUMNS($AD$1006:AH1006),$AD$1006:$AU$1006,0)))),"Fix")))</f>
        <v xml:space="preserve"> </v>
      </c>
      <c r="G431" s="4" t="str">
        <f ca="1">IF(OR(INDEX($X$2:$X$1001,MATCH(ROWS($W$2:W431),$W$2:$W$1001,0),1)&gt;=100000,INDEX($AD$1005:$AU$1005,1,MATCH(COLUMNS($AD$1006:AI1006),$AD$1006:$AU$1006,0))&gt;=100000), " ",IF(INDEX($AD$2:$AU$1001,MATCH(ROWS($W$2:W431),$W$2:$W$1001,0),MATCH(COLUMNS($AD$1006:AI1006),$AD$1006:$AU$1006,0)), HYPERLINK("#",""), HYPERLINK(CONCATENATE("#metadata!", ADDRESS(INDEX($Y$2:$Y$1001,MATCH(ROWS($W$2:W431),$W$2:$W$1001,0),0), INDEX($AD$1004:$AU$1004,1,MATCH(COLUMNS($AD$1006:AI1006),$AD$1006:$AU$1006,0)))),"Fix")))</f>
        <v xml:space="preserve"> </v>
      </c>
      <c r="H431" s="4" t="str">
        <f ca="1">IF(OR(INDEX($X$2:$X$1001,MATCH(ROWS($W$2:W431),$W$2:$W$1001,0),1)&gt;=100000,INDEX($AD$1005:$AU$1005,1,MATCH(COLUMNS($AD$1006:AJ1006),$AD$1006:$AU$1006,0))&gt;=100000), " ",IF(INDEX($AD$2:$AU$1001,MATCH(ROWS($W$2:W431),$W$2:$W$1001,0),MATCH(COLUMNS($AD$1006:AJ1006),$AD$1006:$AU$1006,0)), HYPERLINK("#",""), HYPERLINK(CONCATENATE("#metadata!", ADDRESS(INDEX($Y$2:$Y$1001,MATCH(ROWS($W$2:W431),$W$2:$W$1001,0),0), INDEX($AD$1004:$AU$1004,1,MATCH(COLUMNS($AD$1006:AJ1006),$AD$1006:$AU$1006,0)))),"Fix")))</f>
        <v xml:space="preserve"> </v>
      </c>
      <c r="I431" s="4" t="str">
        <f ca="1">IF(OR(INDEX($X$2:$X$1001,MATCH(ROWS($W$2:W431),$W$2:$W$1001,0),1)&gt;=100000,INDEX($AD$1005:$AU$1005,1,MATCH(COLUMNS($AD$1006:AK1006),$AD$1006:$AU$1006,0))&gt;=100000), " ",IF(INDEX($AD$2:$AU$1001,MATCH(ROWS($W$2:W431),$W$2:$W$1001,0),MATCH(COLUMNS($AD$1006:AK1006),$AD$1006:$AU$1006,0)), HYPERLINK("#",""), HYPERLINK(CONCATENATE("#metadata!", ADDRESS(INDEX($Y$2:$Y$1001,MATCH(ROWS($W$2:W431),$W$2:$W$1001,0),0), INDEX($AD$1004:$AU$1004,1,MATCH(COLUMNS($AD$1006:AK1006),$AD$1006:$AU$1006,0)))),"Fix")))</f>
        <v xml:space="preserve"> </v>
      </c>
      <c r="J431" s="4" t="str">
        <f ca="1">IF(OR(INDEX($X$2:$X$1001,MATCH(ROWS($W$2:W431),$W$2:$W$1001,0),1)&gt;=100000,INDEX($AD$1005:$AU$1005,1,MATCH(COLUMNS($AD$1006:AL1006),$AD$1006:$AU$1006,0))&gt;=100000), " ",IF(INDEX($AD$2:$AU$1001,MATCH(ROWS($W$2:W431),$W$2:$W$1001,0),MATCH(COLUMNS($AD$1006:AL1006),$AD$1006:$AU$1006,0)), HYPERLINK("#",""), HYPERLINK(CONCATENATE("#metadata!", ADDRESS(INDEX($Y$2:$Y$1001,MATCH(ROWS($W$2:W431),$W$2:$W$1001,0),0), INDEX($AD$1004:$AU$1004,1,MATCH(COLUMNS($AD$1006:AL1006),$AD$1006:$AU$1006,0)))),"Fix")))</f>
        <v xml:space="preserve"> </v>
      </c>
      <c r="K431" s="4" t="str">
        <f ca="1">IF(OR(INDEX($X$2:$X$1001,MATCH(ROWS($W$2:W431),$W$2:$W$1001,0),1)&gt;=100000,INDEX($AD$1005:$AU$1005,1,MATCH(COLUMNS($AD$1006:AM1006),$AD$1006:$AU$1006,0))&gt;=100000), " ",IF(INDEX($AD$2:$AU$1001,MATCH(ROWS($W$2:W431),$W$2:$W$1001,0),MATCH(COLUMNS($AD$1006:AM1006),$AD$1006:$AU$1006,0)), HYPERLINK("#",""), HYPERLINK(CONCATENATE("#metadata!", ADDRESS(INDEX($Y$2:$Y$1001,MATCH(ROWS($W$2:W431),$W$2:$W$1001,0),0), INDEX($AD$1004:$AU$1004,1,MATCH(COLUMNS($AD$1006:AM1006),$AD$1006:$AU$1006,0)))),"Fix")))</f>
        <v xml:space="preserve"> </v>
      </c>
      <c r="L431" s="4" t="str">
        <f ca="1">IF(OR(INDEX($X$2:$X$1001,MATCH(ROWS($W$2:W431),$W$2:$W$1001,0),1)&gt;=100000,INDEX($AD$1005:$AU$1005,1,MATCH(COLUMNS($AD$1006:AN1006),$AD$1006:$AU$1006,0))&gt;=100000), " ",IF(INDEX($AD$2:$AU$1001,MATCH(ROWS($W$2:W431),$W$2:$W$1001,0),MATCH(COLUMNS($AD$1006:AN1006),$AD$1006:$AU$1006,0)), HYPERLINK("#",""), HYPERLINK(CONCATENATE("#metadata!", ADDRESS(INDEX($Y$2:$Y$1001,MATCH(ROWS($W$2:W431),$W$2:$W$1001,0),0), INDEX($AD$1004:$AU$1004,1,MATCH(COLUMNS($AD$1006:AN1006),$AD$1006:$AU$1006,0)))),"Fix")))</f>
        <v xml:space="preserve"> </v>
      </c>
      <c r="M431" s="4" t="str">
        <f ca="1">IF(OR(INDEX($X$2:$X$1001,MATCH(ROWS($W$2:W431),$W$2:$W$1001,0),1)&gt;=100000,INDEX($AD$1005:$AU$1005,1,MATCH(COLUMNS($AD$1006:AO1006),$AD$1006:$AU$1006,0))&gt;=100000), " ",IF(INDEX($AD$2:$AU$1001,MATCH(ROWS($W$2:W431),$W$2:$W$1001,0),MATCH(COLUMNS($AD$1006:AO1006),$AD$1006:$AU$1006,0)), HYPERLINK("#",""), HYPERLINK(CONCATENATE("#metadata!", ADDRESS(INDEX($Y$2:$Y$1001,MATCH(ROWS($W$2:W431),$W$2:$W$1001,0),0), INDEX($AD$1004:$AU$1004,1,MATCH(COLUMNS($AD$1006:AO1006),$AD$1006:$AU$1006,0)))),"Fix")))</f>
        <v xml:space="preserve"> </v>
      </c>
      <c r="N431" s="4" t="str">
        <f ca="1">IF(OR(INDEX($X$2:$X$1001,MATCH(ROWS($W$2:W431),$W$2:$W$1001,0),1)&gt;=100000,INDEX($AD$1005:$AU$1005,1,MATCH(COLUMNS($AD$1006:AP1006),$AD$1006:$AU$1006,0))&gt;=100000), " ",IF(INDEX($AD$2:$AU$1001,MATCH(ROWS($W$2:W431),$W$2:$W$1001,0),MATCH(COLUMNS($AD$1006:AP1006),$AD$1006:$AU$1006,0)), HYPERLINK("#",""), HYPERLINK(CONCATENATE("#metadata!", ADDRESS(INDEX($Y$2:$Y$1001,MATCH(ROWS($W$2:W431),$W$2:$W$1001,0),0), INDEX($AD$1004:$AU$1004,1,MATCH(COLUMNS($AD$1006:AP1006),$AD$1006:$AU$1006,0)))),"Fix")))</f>
        <v xml:space="preserve"> </v>
      </c>
      <c r="O431" s="4" t="str">
        <f ca="1">IF(OR(INDEX($X$2:$X$1001,MATCH(ROWS($W$2:W431),$W$2:$W$1001,0),1)&gt;=100000,INDEX($AD$1005:$AU$1005,1,MATCH(COLUMNS($AD$1006:AQ1006),$AD$1006:$AU$1006,0))&gt;=100000), " ",IF(INDEX($AD$2:$AU$1001,MATCH(ROWS($W$2:W431),$W$2:$W$1001,0),MATCH(COLUMNS($AD$1006:AQ1006),$AD$1006:$AU$1006,0)), HYPERLINK("#",""), HYPERLINK(CONCATENATE("#metadata!", ADDRESS(INDEX($Y$2:$Y$1001,MATCH(ROWS($W$2:W431),$W$2:$W$1001,0),0), INDEX($AD$1004:$AU$1004,1,MATCH(COLUMNS($AD$1006:AQ1006),$AD$1006:$AU$1006,0)))),"Fix")))</f>
        <v xml:space="preserve"> </v>
      </c>
      <c r="P431" s="4" t="str">
        <f ca="1">IF(OR(INDEX($X$2:$X$1001,MATCH(ROWS($W$2:W431),$W$2:$W$1001,0),1)&gt;=100000,INDEX($AD$1005:$AU$1005,1,MATCH(COLUMNS($AD$1006:AR1006),$AD$1006:$AU$1006,0))&gt;=100000), " ",IF(INDEX($AD$2:$AU$1001,MATCH(ROWS($W$2:W431),$W$2:$W$1001,0),MATCH(COLUMNS($AD$1006:AR1006),$AD$1006:$AU$1006,0)), HYPERLINK("#",""), HYPERLINK(CONCATENATE("#metadata!", ADDRESS(INDEX($Y$2:$Y$1001,MATCH(ROWS($W$2:W431),$W$2:$W$1001,0),0), INDEX($AD$1004:$AU$1004,1,MATCH(COLUMNS($AD$1006:AR1006),$AD$1006:$AU$1006,0)))),"Fix")))</f>
        <v xml:space="preserve"> </v>
      </c>
      <c r="Q431" s="4" t="str">
        <f ca="1">IF(OR(INDEX($X$2:$X$1001,MATCH(ROWS($W$2:W431),$W$2:$W$1001,0),1)&gt;=100000,INDEX($AD$1005:$AU$1005,1,MATCH(COLUMNS($AD$1006:AS1006),$AD$1006:$AU$1006,0))&gt;=100000), " ",IF(INDEX($AD$2:$AU$1001,MATCH(ROWS($W$2:W431),$W$2:$W$1001,0),MATCH(COLUMNS($AD$1006:AS1006),$AD$1006:$AU$1006,0)), HYPERLINK("#",""), HYPERLINK(CONCATENATE("#metadata!", ADDRESS(INDEX($Y$2:$Y$1001,MATCH(ROWS($W$2:W431),$W$2:$W$1001,0),0), INDEX($AD$1004:$AU$1004,1,MATCH(COLUMNS($AD$1006:AS1006),$AD$1006:$AU$1006,0)))),"Fix")))</f>
        <v xml:space="preserve"> </v>
      </c>
      <c r="R431" s="4" t="str">
        <f ca="1">IF(OR(INDEX($X$2:$X$1001,MATCH(ROWS($W$2:W431),$W$2:$W$1001,0),1)&gt;=100000,INDEX($AD$1005:$AU$1005,1,MATCH(COLUMNS($AD$1006:AT1006),$AD$1006:$AU$1006,0))&gt;=100000), " ",IF(INDEX($AD$2:$AU$1001,MATCH(ROWS($W$2:W431),$W$2:$W$1001,0),MATCH(COLUMNS($AD$1006:AT1006),$AD$1006:$AU$1006,0)), HYPERLINK("#",""), HYPERLINK(CONCATENATE("#metadata!", ADDRESS(INDEX($Y$2:$Y$1001,MATCH(ROWS($W$2:W431),$W$2:$W$1001,0),0), INDEX($AD$1004:$AU$1004,1,MATCH(COLUMNS($AD$1006:AT1006),$AD$1006:$AU$1006,0)))),"Fix")))</f>
        <v xml:space="preserve"> </v>
      </c>
      <c r="S431" s="4" t="str">
        <f ca="1">IF(OR(INDEX($X$2:$X$1001,MATCH(ROWS($W$2:W431),$W$2:$W$1001,0),1)&gt;=100000,INDEX($AD$1005:$AU$1005,1,MATCH(COLUMNS($AD$1006:AU1006),$AD$1006:$AU$1006,0))&gt;=100000), " ",IF(INDEX($AD$2:$AU$1001,MATCH(ROWS($W$2:W431),$W$2:$W$1001,0),MATCH(COLUMNS($AD$1006:AU1006),$AD$1006:$AU$1006,0)), HYPERLINK("#",""), HYPERLINK(CONCATENATE("#metadata!", ADDRESS(INDEX($Y$2:$Y$1001,MATCH(ROWS($W$2:W431),$W$2:$W$1001,0),0), INDEX($AD$1004:$AU$1004,1,MATCH(COLUMNS($AD$1006:AU1006),$AD$1006:$AU$1006,0)))),"Fix")))</f>
        <v xml:space="preserve"> </v>
      </c>
      <c r="W431">
        <v>430</v>
      </c>
      <c r="X431">
        <v>100431</v>
      </c>
      <c r="Y431">
        <v>431</v>
      </c>
      <c r="Z431" t="b">
        <f t="shared" si="6"/>
        <v>1</v>
      </c>
      <c r="AA431" t="b">
        <f>COUNTBLANK(metadata!B431:S431)=COLUMNS(metadata!B431:S431)</f>
        <v>1</v>
      </c>
      <c r="AB431" t="str">
        <v/>
      </c>
      <c r="AD431" t="b">
        <f ca="1">AND(IF(metadata!B431="",FALSE,TRUE),COUNTIF(metadata!B:B, metadata!B431) = 1,NOT(ISERROR(SUMPRODUCT(SEARCH(MID(metadata!B431,ROW(INDIRECT("1:"&amp;LEN(metadata!B431))), 1),"0123456789abcdefghijklmnopqrstuvwxyzABCDEFGHIJKLMNOPQRSTUVWXYZ.")))))</f>
        <v>0</v>
      </c>
      <c r="AE431" t="b">
        <f>OR(AND(IF(metadata!C431="",FALSE,TRUE),OR(EXACT(metadata!C431,"not applicable"),EXACT(metadata!C431,"missing: not collected"),EXACT(metadata!C431,"missing: not provided"),EXACT(metadata!C431,"missing: restricted access"))),AND(IF(metadata!C431="",FALSE,ISNUMBER(VALUE(metadata!C431))),metadata!C431&gt;0))</f>
        <v>0</v>
      </c>
      <c r="AF431" t="b">
        <f>AND(IF(metadata!D431="",FALSE,TRUE),EXACT(metadata!D431,"missing: not provided"))</f>
        <v>0</v>
      </c>
      <c r="AG431" t="b">
        <f>AND(IF(metadata!E431="",FALSE,TRUE),EXACT(metadata!E431,"Host-associated"))</f>
        <v>0</v>
      </c>
      <c r="AH431" t="b">
        <f>AND(IF(metadata!F431="",FALSE,TRUE),OR(EXACT(metadata!F431,"Animal"),EXACT(metadata!F431,"Fungus"),EXACT(metadata!F431,"Plant")))</f>
        <v>0</v>
      </c>
      <c r="AI431" t="b">
        <f>AND(IF(metadata!G431="",FALSE,TRUE),OR(EXACT(metadata!G431,"Plant secretion"),EXACT(metadata!G431,"Plant rhizosphere"),EXACT(metadata!G431,"Plant surface"),EXACT(metadata!G431,"Plant corpus"),EXACT(metadata!G431,"Fungus surface"),EXACT(metadata!G431,"Fungus corpus"),EXACT(metadata!G431,"Animal surface"),EXACT(metadata!G431,"Animal proximal gut"),EXACT(metadata!G431,"Animal corpus"),EXACT(metadata!G431,"Animal distal gut"),EXACT(metadata!G431,"Animal secretion")))</f>
        <v>0</v>
      </c>
      <c r="AJ431" t="b">
        <f>OR(AND(IF(metadata!H431="",FALSE,TRUE),OR(EXACT(metadata!H431,"missing: not collected"),EXACT(metadata!H431,"missing: not provided"),EXACT(metadata!H431,"missing: restricted access"))),AND(IF(metadata!H431="",FALSE,TRUE),OR(EXACT(metadata!H431,"organism-associated habitat"),EXACT(metadata!H431,"plant-associated habitat"),EXACT(metadata!H431,"animal-associated habitat"),EXACT(metadata!H431,"insecta-associated habitat"),EXACT(metadata!H431,"mammalia-associated habitat"),EXACT(metadata!H431,"human-associated habitat"),EXACT(metadata!H431,"livestock-associated habitat"))))</f>
        <v>0</v>
      </c>
      <c r="AK431" t="b">
        <f>AND(IF(metadata!I431="",FALSE,TRUE),EXACT(metadata!I431,"host-associated"))</f>
        <v>0</v>
      </c>
      <c r="AL431" t="b">
        <f>OR(AND(IF(metadata!J431="",FALSE,TRUE),OR(EXACT(metadata!J431,"not applicable"),EXACT(metadata!J431,"missing: not collected"),EXACT(metadata!J431,"missing: not provided"),EXACT(metadata!J431,"missing: restricted access"))),AND(IF(metadata!J431="",FALSE,ISNUMBER(VALUE(metadata!J431))),metadata!J431&gt;0))</f>
        <v>0</v>
      </c>
      <c r="AM431" t="b">
        <f>AND(IF(metadata!K431="",FALSE,TRUE),EXACT(metadata!K431,"missing: not provided"))</f>
        <v>0</v>
      </c>
      <c r="AN431" t="b">
        <f>IF(metadata!L431="",FALSE,TRUE)</f>
        <v>0</v>
      </c>
      <c r="AO431" t="b">
        <f>IF(metadata!M431="",FALSE,TRUE)</f>
        <v>0</v>
      </c>
      <c r="AP431" t="b">
        <f>OR(AND(IF(metadata!N431="",FALSE,TRUE),OR(EXACT(metadata!N431,"not applicable"),EXACT(metadata!N431,"missing: not collected"),EXACT(metadata!N431,"missing: not provided"))),AND(IF(metadata!N431="",FALSE,IF(ISERROR(INT(metadata!N431)),FALSE,INT(metadata!N431)=metadata!N431)),metadata!N431&gt;0))</f>
        <v>0</v>
      </c>
      <c r="AQ431" t="b">
        <f>AND(IF(metadata!O431="",FALSE,TRUE),EXACT(metadata!O431,"Not applicable"))</f>
        <v>0</v>
      </c>
      <c r="AR431" t="b">
        <f>OR(AND(IF(metadata!P431="",FALSE,TRUE),OR(EXACT(metadata!P431,"not applicable"),EXACT(metadata!P431,"missing: not collected"),EXACT(metadata!P431,"missing: not provided"),EXACT(metadata!P431,"missing: restricted access"))),IF(metadata!P431="",FALSE,IF(ISERROR(INT(metadata!P431)),FALSE,INT(metadata!P431)=metadata!P431)))</f>
        <v>0</v>
      </c>
      <c r="AS431" t="b">
        <f>AND(IF(metadata!Q431="",FALSE,TRUE),EXACT(metadata!Q431,"Not applicable"))</f>
        <v>0</v>
      </c>
      <c r="AT431" t="b">
        <f>OR(AND(IF(metadata!R431="",FALSE,TRUE),OR(EXACT(metadata!R431,"not applicable"),EXACT(metadata!R431,"missing: not collected"),EXACT(metadata!R431,"missing: not provided"),EXACT(metadata!R431,"missing: restricted access"))),AND(IF(metadata!R431="",FALSE,ISNUMBER(VALUE(metadata!R431))),metadata!R431&gt;0))</f>
        <v>0</v>
      </c>
      <c r="AU431" t="b">
        <f>AND(IF(metadata!S431="",FALSE,TRUE),EXACT(metadata!S431,"missing: not provided"))</f>
        <v>0</v>
      </c>
    </row>
    <row r="432" spans="1:47" x14ac:dyDescent="0.2">
      <c r="A432" s="5" t="str">
        <f ca="1">IF(B432=" "," ",HYPERLINK(CONCATENATE("#metadata!",ADDRESS(INDEX($Y$2:$Y$1001,MATCH(ROWS($W$2:W432),$W$2:$W$1001,0),0),1)),INDEX($AB$2:$AB$1001,MATCH(ROWS($W$2:W432),$W$2:$W$1001,0),0)))</f>
        <v xml:space="preserve"> </v>
      </c>
      <c r="B432" s="4" t="str">
        <f ca="1">IF(OR(INDEX($X$2:$X$1001,MATCH(ROWS($W$2:W432),$W$2:$W$1001,0),1)&gt;=100000,INDEX($AD$1005:$AU$1005,1,MATCH(COLUMNS($AD$1006:AD1006),$AD$1006:$AU$1006,0))&gt;=100000), " ",IF(INDEX($AD$2:$AU$1001,MATCH(ROWS($W$2:W432),$W$2:$W$1001,0),MATCH(COLUMNS($AD$1006:AD1006),$AD$1006:$AU$1006,0)), HYPERLINK("#",""), HYPERLINK(CONCATENATE("#metadata!", ADDRESS(INDEX($Y$2:$Y$1001,MATCH(ROWS($W$2:W432),$W$2:$W$1001,0),0), INDEX($AD$1004:$AU$1004,1,MATCH(COLUMNS($AD$1006:AD1006),$AD$1006:$AU$1006,0)))),"Fix")))</f>
        <v xml:space="preserve"> </v>
      </c>
      <c r="C432" s="4" t="str">
        <f ca="1">IF(OR(INDEX($X$2:$X$1001,MATCH(ROWS($W$2:W432),$W$2:$W$1001,0),1)&gt;=100000,INDEX($AD$1005:$AU$1005,1,MATCH(COLUMNS($AD$1006:AE1006),$AD$1006:$AU$1006,0))&gt;=100000), " ",IF(INDEX($AD$2:$AU$1001,MATCH(ROWS($W$2:W432),$W$2:$W$1001,0),MATCH(COLUMNS($AD$1006:AE1006),$AD$1006:$AU$1006,0)), HYPERLINK("#",""), HYPERLINK(CONCATENATE("#metadata!", ADDRESS(INDEX($Y$2:$Y$1001,MATCH(ROWS($W$2:W432),$W$2:$W$1001,0),0), INDEX($AD$1004:$AU$1004,1,MATCH(COLUMNS($AD$1006:AE1006),$AD$1006:$AU$1006,0)))),"Fix")))</f>
        <v xml:space="preserve"> </v>
      </c>
      <c r="D432" s="4" t="str">
        <f ca="1">IF(OR(INDEX($X$2:$X$1001,MATCH(ROWS($W$2:W432),$W$2:$W$1001,0),1)&gt;=100000,INDEX($AD$1005:$AU$1005,1,MATCH(COLUMNS($AD$1006:AF1006),$AD$1006:$AU$1006,0))&gt;=100000), " ",IF(INDEX($AD$2:$AU$1001,MATCH(ROWS($W$2:W432),$W$2:$W$1001,0),MATCH(COLUMNS($AD$1006:AF1006),$AD$1006:$AU$1006,0)), HYPERLINK("#",""), HYPERLINK(CONCATENATE("#metadata!", ADDRESS(INDEX($Y$2:$Y$1001,MATCH(ROWS($W$2:W432),$W$2:$W$1001,0),0), INDEX($AD$1004:$AU$1004,1,MATCH(COLUMNS($AD$1006:AF1006),$AD$1006:$AU$1006,0)))),"Fix")))</f>
        <v xml:space="preserve"> </v>
      </c>
      <c r="E432" s="4" t="str">
        <f ca="1">IF(OR(INDEX($X$2:$X$1001,MATCH(ROWS($W$2:W432),$W$2:$W$1001,0),1)&gt;=100000,INDEX($AD$1005:$AU$1005,1,MATCH(COLUMNS($AD$1006:AG1006),$AD$1006:$AU$1006,0))&gt;=100000), " ",IF(INDEX($AD$2:$AU$1001,MATCH(ROWS($W$2:W432),$W$2:$W$1001,0),MATCH(COLUMNS($AD$1006:AG1006),$AD$1006:$AU$1006,0)), HYPERLINK("#",""), HYPERLINK(CONCATENATE("#metadata!", ADDRESS(INDEX($Y$2:$Y$1001,MATCH(ROWS($W$2:W432),$W$2:$W$1001,0),0), INDEX($AD$1004:$AU$1004,1,MATCH(COLUMNS($AD$1006:AG1006),$AD$1006:$AU$1006,0)))),"Fix")))</f>
        <v xml:space="preserve"> </v>
      </c>
      <c r="F432" s="4" t="str">
        <f ca="1">IF(OR(INDEX($X$2:$X$1001,MATCH(ROWS($W$2:W432),$W$2:$W$1001,0),1)&gt;=100000,INDEX($AD$1005:$AU$1005,1,MATCH(COLUMNS($AD$1006:AH1006),$AD$1006:$AU$1006,0))&gt;=100000), " ",IF(INDEX($AD$2:$AU$1001,MATCH(ROWS($W$2:W432),$W$2:$W$1001,0),MATCH(COLUMNS($AD$1006:AH1006),$AD$1006:$AU$1006,0)), HYPERLINK("#",""), HYPERLINK(CONCATENATE("#metadata!", ADDRESS(INDEX($Y$2:$Y$1001,MATCH(ROWS($W$2:W432),$W$2:$W$1001,0),0), INDEX($AD$1004:$AU$1004,1,MATCH(COLUMNS($AD$1006:AH1006),$AD$1006:$AU$1006,0)))),"Fix")))</f>
        <v xml:space="preserve"> </v>
      </c>
      <c r="G432" s="4" t="str">
        <f ca="1">IF(OR(INDEX($X$2:$X$1001,MATCH(ROWS($W$2:W432),$W$2:$W$1001,0),1)&gt;=100000,INDEX($AD$1005:$AU$1005,1,MATCH(COLUMNS($AD$1006:AI1006),$AD$1006:$AU$1006,0))&gt;=100000), " ",IF(INDEX($AD$2:$AU$1001,MATCH(ROWS($W$2:W432),$W$2:$W$1001,0),MATCH(COLUMNS($AD$1006:AI1006),$AD$1006:$AU$1006,0)), HYPERLINK("#",""), HYPERLINK(CONCATENATE("#metadata!", ADDRESS(INDEX($Y$2:$Y$1001,MATCH(ROWS($W$2:W432),$W$2:$W$1001,0),0), INDEX($AD$1004:$AU$1004,1,MATCH(COLUMNS($AD$1006:AI1006),$AD$1006:$AU$1006,0)))),"Fix")))</f>
        <v xml:space="preserve"> </v>
      </c>
      <c r="H432" s="4" t="str">
        <f ca="1">IF(OR(INDEX($X$2:$X$1001,MATCH(ROWS($W$2:W432),$W$2:$W$1001,0),1)&gt;=100000,INDEX($AD$1005:$AU$1005,1,MATCH(COLUMNS($AD$1006:AJ1006),$AD$1006:$AU$1006,0))&gt;=100000), " ",IF(INDEX($AD$2:$AU$1001,MATCH(ROWS($W$2:W432),$W$2:$W$1001,0),MATCH(COLUMNS($AD$1006:AJ1006),$AD$1006:$AU$1006,0)), HYPERLINK("#",""), HYPERLINK(CONCATENATE("#metadata!", ADDRESS(INDEX($Y$2:$Y$1001,MATCH(ROWS($W$2:W432),$W$2:$W$1001,0),0), INDEX($AD$1004:$AU$1004,1,MATCH(COLUMNS($AD$1006:AJ1006),$AD$1006:$AU$1006,0)))),"Fix")))</f>
        <v xml:space="preserve"> </v>
      </c>
      <c r="I432" s="4" t="str">
        <f ca="1">IF(OR(INDEX($X$2:$X$1001,MATCH(ROWS($W$2:W432),$W$2:$W$1001,0),1)&gt;=100000,INDEX($AD$1005:$AU$1005,1,MATCH(COLUMNS($AD$1006:AK1006),$AD$1006:$AU$1006,0))&gt;=100000), " ",IF(INDEX($AD$2:$AU$1001,MATCH(ROWS($W$2:W432),$W$2:$W$1001,0),MATCH(COLUMNS($AD$1006:AK1006),$AD$1006:$AU$1006,0)), HYPERLINK("#",""), HYPERLINK(CONCATENATE("#metadata!", ADDRESS(INDEX($Y$2:$Y$1001,MATCH(ROWS($W$2:W432),$W$2:$W$1001,0),0), INDEX($AD$1004:$AU$1004,1,MATCH(COLUMNS($AD$1006:AK1006),$AD$1006:$AU$1006,0)))),"Fix")))</f>
        <v xml:space="preserve"> </v>
      </c>
      <c r="J432" s="4" t="str">
        <f ca="1">IF(OR(INDEX($X$2:$X$1001,MATCH(ROWS($W$2:W432),$W$2:$W$1001,0),1)&gt;=100000,INDEX($AD$1005:$AU$1005,1,MATCH(COLUMNS($AD$1006:AL1006),$AD$1006:$AU$1006,0))&gt;=100000), " ",IF(INDEX($AD$2:$AU$1001,MATCH(ROWS($W$2:W432),$W$2:$W$1001,0),MATCH(COLUMNS($AD$1006:AL1006),$AD$1006:$AU$1006,0)), HYPERLINK("#",""), HYPERLINK(CONCATENATE("#metadata!", ADDRESS(INDEX($Y$2:$Y$1001,MATCH(ROWS($W$2:W432),$W$2:$W$1001,0),0), INDEX($AD$1004:$AU$1004,1,MATCH(COLUMNS($AD$1006:AL1006),$AD$1006:$AU$1006,0)))),"Fix")))</f>
        <v xml:space="preserve"> </v>
      </c>
      <c r="K432" s="4" t="str">
        <f ca="1">IF(OR(INDEX($X$2:$X$1001,MATCH(ROWS($W$2:W432),$W$2:$W$1001,0),1)&gt;=100000,INDEX($AD$1005:$AU$1005,1,MATCH(COLUMNS($AD$1006:AM1006),$AD$1006:$AU$1006,0))&gt;=100000), " ",IF(INDEX($AD$2:$AU$1001,MATCH(ROWS($W$2:W432),$W$2:$W$1001,0),MATCH(COLUMNS($AD$1006:AM1006),$AD$1006:$AU$1006,0)), HYPERLINK("#",""), HYPERLINK(CONCATENATE("#metadata!", ADDRESS(INDEX($Y$2:$Y$1001,MATCH(ROWS($W$2:W432),$W$2:$W$1001,0),0), INDEX($AD$1004:$AU$1004,1,MATCH(COLUMNS($AD$1006:AM1006),$AD$1006:$AU$1006,0)))),"Fix")))</f>
        <v xml:space="preserve"> </v>
      </c>
      <c r="L432" s="4" t="str">
        <f ca="1">IF(OR(INDEX($X$2:$X$1001,MATCH(ROWS($W$2:W432),$W$2:$W$1001,0),1)&gt;=100000,INDEX($AD$1005:$AU$1005,1,MATCH(COLUMNS($AD$1006:AN1006),$AD$1006:$AU$1006,0))&gt;=100000), " ",IF(INDEX($AD$2:$AU$1001,MATCH(ROWS($W$2:W432),$W$2:$W$1001,0),MATCH(COLUMNS($AD$1006:AN1006),$AD$1006:$AU$1006,0)), HYPERLINK("#",""), HYPERLINK(CONCATENATE("#metadata!", ADDRESS(INDEX($Y$2:$Y$1001,MATCH(ROWS($W$2:W432),$W$2:$W$1001,0),0), INDEX($AD$1004:$AU$1004,1,MATCH(COLUMNS($AD$1006:AN1006),$AD$1006:$AU$1006,0)))),"Fix")))</f>
        <v xml:space="preserve"> </v>
      </c>
      <c r="M432" s="4" t="str">
        <f ca="1">IF(OR(INDEX($X$2:$X$1001,MATCH(ROWS($W$2:W432),$W$2:$W$1001,0),1)&gt;=100000,INDEX($AD$1005:$AU$1005,1,MATCH(COLUMNS($AD$1006:AO1006),$AD$1006:$AU$1006,0))&gt;=100000), " ",IF(INDEX($AD$2:$AU$1001,MATCH(ROWS($W$2:W432),$W$2:$W$1001,0),MATCH(COLUMNS($AD$1006:AO1006),$AD$1006:$AU$1006,0)), HYPERLINK("#",""), HYPERLINK(CONCATENATE("#metadata!", ADDRESS(INDEX($Y$2:$Y$1001,MATCH(ROWS($W$2:W432),$W$2:$W$1001,0),0), INDEX($AD$1004:$AU$1004,1,MATCH(COLUMNS($AD$1006:AO1006),$AD$1006:$AU$1006,0)))),"Fix")))</f>
        <v xml:space="preserve"> </v>
      </c>
      <c r="N432" s="4" t="str">
        <f ca="1">IF(OR(INDEX($X$2:$X$1001,MATCH(ROWS($W$2:W432),$W$2:$W$1001,0),1)&gt;=100000,INDEX($AD$1005:$AU$1005,1,MATCH(COLUMNS($AD$1006:AP1006),$AD$1006:$AU$1006,0))&gt;=100000), " ",IF(INDEX($AD$2:$AU$1001,MATCH(ROWS($W$2:W432),$W$2:$W$1001,0),MATCH(COLUMNS($AD$1006:AP1006),$AD$1006:$AU$1006,0)), HYPERLINK("#",""), HYPERLINK(CONCATENATE("#metadata!", ADDRESS(INDEX($Y$2:$Y$1001,MATCH(ROWS($W$2:W432),$W$2:$W$1001,0),0), INDEX($AD$1004:$AU$1004,1,MATCH(COLUMNS($AD$1006:AP1006),$AD$1006:$AU$1006,0)))),"Fix")))</f>
        <v xml:space="preserve"> </v>
      </c>
      <c r="O432" s="4" t="str">
        <f ca="1">IF(OR(INDEX($X$2:$X$1001,MATCH(ROWS($W$2:W432),$W$2:$W$1001,0),1)&gt;=100000,INDEX($AD$1005:$AU$1005,1,MATCH(COLUMNS($AD$1006:AQ1006),$AD$1006:$AU$1006,0))&gt;=100000), " ",IF(INDEX($AD$2:$AU$1001,MATCH(ROWS($W$2:W432),$W$2:$W$1001,0),MATCH(COLUMNS($AD$1006:AQ1006),$AD$1006:$AU$1006,0)), HYPERLINK("#",""), HYPERLINK(CONCATENATE("#metadata!", ADDRESS(INDEX($Y$2:$Y$1001,MATCH(ROWS($W$2:W432),$W$2:$W$1001,0),0), INDEX($AD$1004:$AU$1004,1,MATCH(COLUMNS($AD$1006:AQ1006),$AD$1006:$AU$1006,0)))),"Fix")))</f>
        <v xml:space="preserve"> </v>
      </c>
      <c r="P432" s="4" t="str">
        <f ca="1">IF(OR(INDEX($X$2:$X$1001,MATCH(ROWS($W$2:W432),$W$2:$W$1001,0),1)&gt;=100000,INDEX($AD$1005:$AU$1005,1,MATCH(COLUMNS($AD$1006:AR1006),$AD$1006:$AU$1006,0))&gt;=100000), " ",IF(INDEX($AD$2:$AU$1001,MATCH(ROWS($W$2:W432),$W$2:$W$1001,0),MATCH(COLUMNS($AD$1006:AR1006),$AD$1006:$AU$1006,0)), HYPERLINK("#",""), HYPERLINK(CONCATENATE("#metadata!", ADDRESS(INDEX($Y$2:$Y$1001,MATCH(ROWS($W$2:W432),$W$2:$W$1001,0),0), INDEX($AD$1004:$AU$1004,1,MATCH(COLUMNS($AD$1006:AR1006),$AD$1006:$AU$1006,0)))),"Fix")))</f>
        <v xml:space="preserve"> </v>
      </c>
      <c r="Q432" s="4" t="str">
        <f ca="1">IF(OR(INDEX($X$2:$X$1001,MATCH(ROWS($W$2:W432),$W$2:$W$1001,0),1)&gt;=100000,INDEX($AD$1005:$AU$1005,1,MATCH(COLUMNS($AD$1006:AS1006),$AD$1006:$AU$1006,0))&gt;=100000), " ",IF(INDEX($AD$2:$AU$1001,MATCH(ROWS($W$2:W432),$W$2:$W$1001,0),MATCH(COLUMNS($AD$1006:AS1006),$AD$1006:$AU$1006,0)), HYPERLINK("#",""), HYPERLINK(CONCATENATE("#metadata!", ADDRESS(INDEX($Y$2:$Y$1001,MATCH(ROWS($W$2:W432),$W$2:$W$1001,0),0), INDEX($AD$1004:$AU$1004,1,MATCH(COLUMNS($AD$1006:AS1006),$AD$1006:$AU$1006,0)))),"Fix")))</f>
        <v xml:space="preserve"> </v>
      </c>
      <c r="R432" s="4" t="str">
        <f ca="1">IF(OR(INDEX($X$2:$X$1001,MATCH(ROWS($W$2:W432),$W$2:$W$1001,0),1)&gt;=100000,INDEX($AD$1005:$AU$1005,1,MATCH(COLUMNS($AD$1006:AT1006),$AD$1006:$AU$1006,0))&gt;=100000), " ",IF(INDEX($AD$2:$AU$1001,MATCH(ROWS($W$2:W432),$W$2:$W$1001,0),MATCH(COLUMNS($AD$1006:AT1006),$AD$1006:$AU$1006,0)), HYPERLINK("#",""), HYPERLINK(CONCATENATE("#metadata!", ADDRESS(INDEX($Y$2:$Y$1001,MATCH(ROWS($W$2:W432),$W$2:$W$1001,0),0), INDEX($AD$1004:$AU$1004,1,MATCH(COLUMNS($AD$1006:AT1006),$AD$1006:$AU$1006,0)))),"Fix")))</f>
        <v xml:space="preserve"> </v>
      </c>
      <c r="S432" s="4" t="str">
        <f ca="1">IF(OR(INDEX($X$2:$X$1001,MATCH(ROWS($W$2:W432),$W$2:$W$1001,0),1)&gt;=100000,INDEX($AD$1005:$AU$1005,1,MATCH(COLUMNS($AD$1006:AU1006),$AD$1006:$AU$1006,0))&gt;=100000), " ",IF(INDEX($AD$2:$AU$1001,MATCH(ROWS($W$2:W432),$W$2:$W$1001,0),MATCH(COLUMNS($AD$1006:AU1006),$AD$1006:$AU$1006,0)), HYPERLINK("#",""), HYPERLINK(CONCATENATE("#metadata!", ADDRESS(INDEX($Y$2:$Y$1001,MATCH(ROWS($W$2:W432),$W$2:$W$1001,0),0), INDEX($AD$1004:$AU$1004,1,MATCH(COLUMNS($AD$1006:AU1006),$AD$1006:$AU$1006,0)))),"Fix")))</f>
        <v xml:space="preserve"> </v>
      </c>
      <c r="W432">
        <v>431</v>
      </c>
      <c r="X432">
        <v>100432</v>
      </c>
      <c r="Y432">
        <v>432</v>
      </c>
      <c r="Z432" t="b">
        <f t="shared" si="6"/>
        <v>1</v>
      </c>
      <c r="AA432" t="b">
        <f>COUNTBLANK(metadata!B432:S432)=COLUMNS(metadata!B432:S432)</f>
        <v>1</v>
      </c>
      <c r="AB432" t="str">
        <v/>
      </c>
      <c r="AD432" t="b">
        <f ca="1">AND(IF(metadata!B432="",FALSE,TRUE),COUNTIF(metadata!B:B, metadata!B432) = 1,NOT(ISERROR(SUMPRODUCT(SEARCH(MID(metadata!B432,ROW(INDIRECT("1:"&amp;LEN(metadata!B432))), 1),"0123456789abcdefghijklmnopqrstuvwxyzABCDEFGHIJKLMNOPQRSTUVWXYZ.")))))</f>
        <v>0</v>
      </c>
      <c r="AE432" t="b">
        <f>OR(AND(IF(metadata!C432="",FALSE,TRUE),OR(EXACT(metadata!C432,"not applicable"),EXACT(metadata!C432,"missing: not collected"),EXACT(metadata!C432,"missing: not provided"),EXACT(metadata!C432,"missing: restricted access"))),AND(IF(metadata!C432="",FALSE,ISNUMBER(VALUE(metadata!C432))),metadata!C432&gt;0))</f>
        <v>0</v>
      </c>
      <c r="AF432" t="b">
        <f>AND(IF(metadata!D432="",FALSE,TRUE),EXACT(metadata!D432,"missing: not provided"))</f>
        <v>0</v>
      </c>
      <c r="AG432" t="b">
        <f>AND(IF(metadata!E432="",FALSE,TRUE),EXACT(metadata!E432,"Host-associated"))</f>
        <v>0</v>
      </c>
      <c r="AH432" t="b">
        <f>AND(IF(metadata!F432="",FALSE,TRUE),OR(EXACT(metadata!F432,"Animal"),EXACT(metadata!F432,"Fungus"),EXACT(metadata!F432,"Plant")))</f>
        <v>0</v>
      </c>
      <c r="AI432" t="b">
        <f>AND(IF(metadata!G432="",FALSE,TRUE),OR(EXACT(metadata!G432,"Plant secretion"),EXACT(metadata!G432,"Plant rhizosphere"),EXACT(metadata!G432,"Plant surface"),EXACT(metadata!G432,"Plant corpus"),EXACT(metadata!G432,"Fungus surface"),EXACT(metadata!G432,"Fungus corpus"),EXACT(metadata!G432,"Animal surface"),EXACT(metadata!G432,"Animal proximal gut"),EXACT(metadata!G432,"Animal corpus"),EXACT(metadata!G432,"Animal distal gut"),EXACT(metadata!G432,"Animal secretion")))</f>
        <v>0</v>
      </c>
      <c r="AJ432" t="b">
        <f>OR(AND(IF(metadata!H432="",FALSE,TRUE),OR(EXACT(metadata!H432,"missing: not collected"),EXACT(metadata!H432,"missing: not provided"),EXACT(metadata!H432,"missing: restricted access"))),AND(IF(metadata!H432="",FALSE,TRUE),OR(EXACT(metadata!H432,"organism-associated habitat"),EXACT(metadata!H432,"plant-associated habitat"),EXACT(metadata!H432,"animal-associated habitat"),EXACT(metadata!H432,"insecta-associated habitat"),EXACT(metadata!H432,"mammalia-associated habitat"),EXACT(metadata!H432,"human-associated habitat"),EXACT(metadata!H432,"livestock-associated habitat"))))</f>
        <v>0</v>
      </c>
      <c r="AK432" t="b">
        <f>AND(IF(metadata!I432="",FALSE,TRUE),EXACT(metadata!I432,"host-associated"))</f>
        <v>0</v>
      </c>
      <c r="AL432" t="b">
        <f>OR(AND(IF(metadata!J432="",FALSE,TRUE),OR(EXACT(metadata!J432,"not applicable"),EXACT(metadata!J432,"missing: not collected"),EXACT(metadata!J432,"missing: not provided"),EXACT(metadata!J432,"missing: restricted access"))),AND(IF(metadata!J432="",FALSE,ISNUMBER(VALUE(metadata!J432))),metadata!J432&gt;0))</f>
        <v>0</v>
      </c>
      <c r="AM432" t="b">
        <f>AND(IF(metadata!K432="",FALSE,TRUE),EXACT(metadata!K432,"missing: not provided"))</f>
        <v>0</v>
      </c>
      <c r="AN432" t="b">
        <f>IF(metadata!L432="",FALSE,TRUE)</f>
        <v>0</v>
      </c>
      <c r="AO432" t="b">
        <f>IF(metadata!M432="",FALSE,TRUE)</f>
        <v>0</v>
      </c>
      <c r="AP432" t="b">
        <f>OR(AND(IF(metadata!N432="",FALSE,TRUE),OR(EXACT(metadata!N432,"not applicable"),EXACT(metadata!N432,"missing: not collected"),EXACT(metadata!N432,"missing: not provided"))),AND(IF(metadata!N432="",FALSE,IF(ISERROR(INT(metadata!N432)),FALSE,INT(metadata!N432)=metadata!N432)),metadata!N432&gt;0))</f>
        <v>0</v>
      </c>
      <c r="AQ432" t="b">
        <f>AND(IF(metadata!O432="",FALSE,TRUE),EXACT(metadata!O432,"Not applicable"))</f>
        <v>0</v>
      </c>
      <c r="AR432" t="b">
        <f>OR(AND(IF(metadata!P432="",FALSE,TRUE),OR(EXACT(metadata!P432,"not applicable"),EXACT(metadata!P432,"missing: not collected"),EXACT(metadata!P432,"missing: not provided"),EXACT(metadata!P432,"missing: restricted access"))),IF(metadata!P432="",FALSE,IF(ISERROR(INT(metadata!P432)),FALSE,INT(metadata!P432)=metadata!P432)))</f>
        <v>0</v>
      </c>
      <c r="AS432" t="b">
        <f>AND(IF(metadata!Q432="",FALSE,TRUE),EXACT(metadata!Q432,"Not applicable"))</f>
        <v>0</v>
      </c>
      <c r="AT432" t="b">
        <f>OR(AND(IF(metadata!R432="",FALSE,TRUE),OR(EXACT(metadata!R432,"not applicable"),EXACT(metadata!R432,"missing: not collected"),EXACT(metadata!R432,"missing: not provided"),EXACT(metadata!R432,"missing: restricted access"))),AND(IF(metadata!R432="",FALSE,ISNUMBER(VALUE(metadata!R432))),metadata!R432&gt;0))</f>
        <v>0</v>
      </c>
      <c r="AU432" t="b">
        <f>AND(IF(metadata!S432="",FALSE,TRUE),EXACT(metadata!S432,"missing: not provided"))</f>
        <v>0</v>
      </c>
    </row>
    <row r="433" spans="1:47" x14ac:dyDescent="0.2">
      <c r="A433" s="5" t="str">
        <f ca="1">IF(B433=" "," ",HYPERLINK(CONCATENATE("#metadata!",ADDRESS(INDEX($Y$2:$Y$1001,MATCH(ROWS($W$2:W433),$W$2:$W$1001,0),0),1)),INDEX($AB$2:$AB$1001,MATCH(ROWS($W$2:W433),$W$2:$W$1001,0),0)))</f>
        <v xml:space="preserve"> </v>
      </c>
      <c r="B433" s="4" t="str">
        <f ca="1">IF(OR(INDEX($X$2:$X$1001,MATCH(ROWS($W$2:W433),$W$2:$W$1001,0),1)&gt;=100000,INDEX($AD$1005:$AU$1005,1,MATCH(COLUMNS($AD$1006:AD1006),$AD$1006:$AU$1006,0))&gt;=100000), " ",IF(INDEX($AD$2:$AU$1001,MATCH(ROWS($W$2:W433),$W$2:$W$1001,0),MATCH(COLUMNS($AD$1006:AD1006),$AD$1006:$AU$1006,0)), HYPERLINK("#",""), HYPERLINK(CONCATENATE("#metadata!", ADDRESS(INDEX($Y$2:$Y$1001,MATCH(ROWS($W$2:W433),$W$2:$W$1001,0),0), INDEX($AD$1004:$AU$1004,1,MATCH(COLUMNS($AD$1006:AD1006),$AD$1006:$AU$1006,0)))),"Fix")))</f>
        <v xml:space="preserve"> </v>
      </c>
      <c r="C433" s="4" t="str">
        <f ca="1">IF(OR(INDEX($X$2:$X$1001,MATCH(ROWS($W$2:W433),$W$2:$W$1001,0),1)&gt;=100000,INDEX($AD$1005:$AU$1005,1,MATCH(COLUMNS($AD$1006:AE1006),$AD$1006:$AU$1006,0))&gt;=100000), " ",IF(INDEX($AD$2:$AU$1001,MATCH(ROWS($W$2:W433),$W$2:$W$1001,0),MATCH(COLUMNS($AD$1006:AE1006),$AD$1006:$AU$1006,0)), HYPERLINK("#",""), HYPERLINK(CONCATENATE("#metadata!", ADDRESS(INDEX($Y$2:$Y$1001,MATCH(ROWS($W$2:W433),$W$2:$W$1001,0),0), INDEX($AD$1004:$AU$1004,1,MATCH(COLUMNS($AD$1006:AE1006),$AD$1006:$AU$1006,0)))),"Fix")))</f>
        <v xml:space="preserve"> </v>
      </c>
      <c r="D433" s="4" t="str">
        <f ca="1">IF(OR(INDEX($X$2:$X$1001,MATCH(ROWS($W$2:W433),$W$2:$W$1001,0),1)&gt;=100000,INDEX($AD$1005:$AU$1005,1,MATCH(COLUMNS($AD$1006:AF1006),$AD$1006:$AU$1006,0))&gt;=100000), " ",IF(INDEX($AD$2:$AU$1001,MATCH(ROWS($W$2:W433),$W$2:$W$1001,0),MATCH(COLUMNS($AD$1006:AF1006),$AD$1006:$AU$1006,0)), HYPERLINK("#",""), HYPERLINK(CONCATENATE("#metadata!", ADDRESS(INDEX($Y$2:$Y$1001,MATCH(ROWS($W$2:W433),$W$2:$W$1001,0),0), INDEX($AD$1004:$AU$1004,1,MATCH(COLUMNS($AD$1006:AF1006),$AD$1006:$AU$1006,0)))),"Fix")))</f>
        <v xml:space="preserve"> </v>
      </c>
      <c r="E433" s="4" t="str">
        <f ca="1">IF(OR(INDEX($X$2:$X$1001,MATCH(ROWS($W$2:W433),$W$2:$W$1001,0),1)&gt;=100000,INDEX($AD$1005:$AU$1005,1,MATCH(COLUMNS($AD$1006:AG1006),$AD$1006:$AU$1006,0))&gt;=100000), " ",IF(INDEX($AD$2:$AU$1001,MATCH(ROWS($W$2:W433),$W$2:$W$1001,0),MATCH(COLUMNS($AD$1006:AG1006),$AD$1006:$AU$1006,0)), HYPERLINK("#",""), HYPERLINK(CONCATENATE("#metadata!", ADDRESS(INDEX($Y$2:$Y$1001,MATCH(ROWS($W$2:W433),$W$2:$W$1001,0),0), INDEX($AD$1004:$AU$1004,1,MATCH(COLUMNS($AD$1006:AG1006),$AD$1006:$AU$1006,0)))),"Fix")))</f>
        <v xml:space="preserve"> </v>
      </c>
      <c r="F433" s="4" t="str">
        <f ca="1">IF(OR(INDEX($X$2:$X$1001,MATCH(ROWS($W$2:W433),$W$2:$W$1001,0),1)&gt;=100000,INDEX($AD$1005:$AU$1005,1,MATCH(COLUMNS($AD$1006:AH1006),$AD$1006:$AU$1006,0))&gt;=100000), " ",IF(INDEX($AD$2:$AU$1001,MATCH(ROWS($W$2:W433),$W$2:$W$1001,0),MATCH(COLUMNS($AD$1006:AH1006),$AD$1006:$AU$1006,0)), HYPERLINK("#",""), HYPERLINK(CONCATENATE("#metadata!", ADDRESS(INDEX($Y$2:$Y$1001,MATCH(ROWS($W$2:W433),$W$2:$W$1001,0),0), INDEX($AD$1004:$AU$1004,1,MATCH(COLUMNS($AD$1006:AH1006),$AD$1006:$AU$1006,0)))),"Fix")))</f>
        <v xml:space="preserve"> </v>
      </c>
      <c r="G433" s="4" t="str">
        <f ca="1">IF(OR(INDEX($X$2:$X$1001,MATCH(ROWS($W$2:W433),$W$2:$W$1001,0),1)&gt;=100000,INDEX($AD$1005:$AU$1005,1,MATCH(COLUMNS($AD$1006:AI1006),$AD$1006:$AU$1006,0))&gt;=100000), " ",IF(INDEX($AD$2:$AU$1001,MATCH(ROWS($W$2:W433),$W$2:$W$1001,0),MATCH(COLUMNS($AD$1006:AI1006),$AD$1006:$AU$1006,0)), HYPERLINK("#",""), HYPERLINK(CONCATENATE("#metadata!", ADDRESS(INDEX($Y$2:$Y$1001,MATCH(ROWS($W$2:W433),$W$2:$W$1001,0),0), INDEX($AD$1004:$AU$1004,1,MATCH(COLUMNS($AD$1006:AI1006),$AD$1006:$AU$1006,0)))),"Fix")))</f>
        <v xml:space="preserve"> </v>
      </c>
      <c r="H433" s="4" t="str">
        <f ca="1">IF(OR(INDEX($X$2:$X$1001,MATCH(ROWS($W$2:W433),$W$2:$W$1001,0),1)&gt;=100000,INDEX($AD$1005:$AU$1005,1,MATCH(COLUMNS($AD$1006:AJ1006),$AD$1006:$AU$1006,0))&gt;=100000), " ",IF(INDEX($AD$2:$AU$1001,MATCH(ROWS($W$2:W433),$W$2:$W$1001,0),MATCH(COLUMNS($AD$1006:AJ1006),$AD$1006:$AU$1006,0)), HYPERLINK("#",""), HYPERLINK(CONCATENATE("#metadata!", ADDRESS(INDEX($Y$2:$Y$1001,MATCH(ROWS($W$2:W433),$W$2:$W$1001,0),0), INDEX($AD$1004:$AU$1004,1,MATCH(COLUMNS($AD$1006:AJ1006),$AD$1006:$AU$1006,0)))),"Fix")))</f>
        <v xml:space="preserve"> </v>
      </c>
      <c r="I433" s="4" t="str">
        <f ca="1">IF(OR(INDEX($X$2:$X$1001,MATCH(ROWS($W$2:W433),$W$2:$W$1001,0),1)&gt;=100000,INDEX($AD$1005:$AU$1005,1,MATCH(COLUMNS($AD$1006:AK1006),$AD$1006:$AU$1006,0))&gt;=100000), " ",IF(INDEX($AD$2:$AU$1001,MATCH(ROWS($W$2:W433),$W$2:$W$1001,0),MATCH(COLUMNS($AD$1006:AK1006),$AD$1006:$AU$1006,0)), HYPERLINK("#",""), HYPERLINK(CONCATENATE("#metadata!", ADDRESS(INDEX($Y$2:$Y$1001,MATCH(ROWS($W$2:W433),$W$2:$W$1001,0),0), INDEX($AD$1004:$AU$1004,1,MATCH(COLUMNS($AD$1006:AK1006),$AD$1006:$AU$1006,0)))),"Fix")))</f>
        <v xml:space="preserve"> </v>
      </c>
      <c r="J433" s="4" t="str">
        <f ca="1">IF(OR(INDEX($X$2:$X$1001,MATCH(ROWS($W$2:W433),$W$2:$W$1001,0),1)&gt;=100000,INDEX($AD$1005:$AU$1005,1,MATCH(COLUMNS($AD$1006:AL1006),$AD$1006:$AU$1006,0))&gt;=100000), " ",IF(INDEX($AD$2:$AU$1001,MATCH(ROWS($W$2:W433),$W$2:$W$1001,0),MATCH(COLUMNS($AD$1006:AL1006),$AD$1006:$AU$1006,0)), HYPERLINK("#",""), HYPERLINK(CONCATENATE("#metadata!", ADDRESS(INDEX($Y$2:$Y$1001,MATCH(ROWS($W$2:W433),$W$2:$W$1001,0),0), INDEX($AD$1004:$AU$1004,1,MATCH(COLUMNS($AD$1006:AL1006),$AD$1006:$AU$1006,0)))),"Fix")))</f>
        <v xml:space="preserve"> </v>
      </c>
      <c r="K433" s="4" t="str">
        <f ca="1">IF(OR(INDEX($X$2:$X$1001,MATCH(ROWS($W$2:W433),$W$2:$W$1001,0),1)&gt;=100000,INDEX($AD$1005:$AU$1005,1,MATCH(COLUMNS($AD$1006:AM1006),$AD$1006:$AU$1006,0))&gt;=100000), " ",IF(INDEX($AD$2:$AU$1001,MATCH(ROWS($W$2:W433),$W$2:$W$1001,0),MATCH(COLUMNS($AD$1006:AM1006),$AD$1006:$AU$1006,0)), HYPERLINK("#",""), HYPERLINK(CONCATENATE("#metadata!", ADDRESS(INDEX($Y$2:$Y$1001,MATCH(ROWS($W$2:W433),$W$2:$W$1001,0),0), INDEX($AD$1004:$AU$1004,1,MATCH(COLUMNS($AD$1006:AM1006),$AD$1006:$AU$1006,0)))),"Fix")))</f>
        <v xml:space="preserve"> </v>
      </c>
      <c r="L433" s="4" t="str">
        <f ca="1">IF(OR(INDEX($X$2:$X$1001,MATCH(ROWS($W$2:W433),$W$2:$W$1001,0),1)&gt;=100000,INDEX($AD$1005:$AU$1005,1,MATCH(COLUMNS($AD$1006:AN1006),$AD$1006:$AU$1006,0))&gt;=100000), " ",IF(INDEX($AD$2:$AU$1001,MATCH(ROWS($W$2:W433),$W$2:$W$1001,0),MATCH(COLUMNS($AD$1006:AN1006),$AD$1006:$AU$1006,0)), HYPERLINK("#",""), HYPERLINK(CONCATENATE("#metadata!", ADDRESS(INDEX($Y$2:$Y$1001,MATCH(ROWS($W$2:W433),$W$2:$W$1001,0),0), INDEX($AD$1004:$AU$1004,1,MATCH(COLUMNS($AD$1006:AN1006),$AD$1006:$AU$1006,0)))),"Fix")))</f>
        <v xml:space="preserve"> </v>
      </c>
      <c r="M433" s="4" t="str">
        <f ca="1">IF(OR(INDEX($X$2:$X$1001,MATCH(ROWS($W$2:W433),$W$2:$W$1001,0),1)&gt;=100000,INDEX($AD$1005:$AU$1005,1,MATCH(COLUMNS($AD$1006:AO1006),$AD$1006:$AU$1006,0))&gt;=100000), " ",IF(INDEX($AD$2:$AU$1001,MATCH(ROWS($W$2:W433),$W$2:$W$1001,0),MATCH(COLUMNS($AD$1006:AO1006),$AD$1006:$AU$1006,0)), HYPERLINK("#",""), HYPERLINK(CONCATENATE("#metadata!", ADDRESS(INDEX($Y$2:$Y$1001,MATCH(ROWS($W$2:W433),$W$2:$W$1001,0),0), INDEX($AD$1004:$AU$1004,1,MATCH(COLUMNS($AD$1006:AO1006),$AD$1006:$AU$1006,0)))),"Fix")))</f>
        <v xml:space="preserve"> </v>
      </c>
      <c r="N433" s="4" t="str">
        <f ca="1">IF(OR(INDEX($X$2:$X$1001,MATCH(ROWS($W$2:W433),$W$2:$W$1001,0),1)&gt;=100000,INDEX($AD$1005:$AU$1005,1,MATCH(COLUMNS($AD$1006:AP1006),$AD$1006:$AU$1006,0))&gt;=100000), " ",IF(INDEX($AD$2:$AU$1001,MATCH(ROWS($W$2:W433),$W$2:$W$1001,0),MATCH(COLUMNS($AD$1006:AP1006),$AD$1006:$AU$1006,0)), HYPERLINK("#",""), HYPERLINK(CONCATENATE("#metadata!", ADDRESS(INDEX($Y$2:$Y$1001,MATCH(ROWS($W$2:W433),$W$2:$W$1001,0),0), INDEX($AD$1004:$AU$1004,1,MATCH(COLUMNS($AD$1006:AP1006),$AD$1006:$AU$1006,0)))),"Fix")))</f>
        <v xml:space="preserve"> </v>
      </c>
      <c r="O433" s="4" t="str">
        <f ca="1">IF(OR(INDEX($X$2:$X$1001,MATCH(ROWS($W$2:W433),$W$2:$W$1001,0),1)&gt;=100000,INDEX($AD$1005:$AU$1005,1,MATCH(COLUMNS($AD$1006:AQ1006),$AD$1006:$AU$1006,0))&gt;=100000), " ",IF(INDEX($AD$2:$AU$1001,MATCH(ROWS($W$2:W433),$W$2:$W$1001,0),MATCH(COLUMNS($AD$1006:AQ1006),$AD$1006:$AU$1006,0)), HYPERLINK("#",""), HYPERLINK(CONCATENATE("#metadata!", ADDRESS(INDEX($Y$2:$Y$1001,MATCH(ROWS($W$2:W433),$W$2:$W$1001,0),0), INDEX($AD$1004:$AU$1004,1,MATCH(COLUMNS($AD$1006:AQ1006),$AD$1006:$AU$1006,0)))),"Fix")))</f>
        <v xml:space="preserve"> </v>
      </c>
      <c r="P433" s="4" t="str">
        <f ca="1">IF(OR(INDEX($X$2:$X$1001,MATCH(ROWS($W$2:W433),$W$2:$W$1001,0),1)&gt;=100000,INDEX($AD$1005:$AU$1005,1,MATCH(COLUMNS($AD$1006:AR1006),$AD$1006:$AU$1006,0))&gt;=100000), " ",IF(INDEX($AD$2:$AU$1001,MATCH(ROWS($W$2:W433),$W$2:$W$1001,0),MATCH(COLUMNS($AD$1006:AR1006),$AD$1006:$AU$1006,0)), HYPERLINK("#",""), HYPERLINK(CONCATENATE("#metadata!", ADDRESS(INDEX($Y$2:$Y$1001,MATCH(ROWS($W$2:W433),$W$2:$W$1001,0),0), INDEX($AD$1004:$AU$1004,1,MATCH(COLUMNS($AD$1006:AR1006),$AD$1006:$AU$1006,0)))),"Fix")))</f>
        <v xml:space="preserve"> </v>
      </c>
      <c r="Q433" s="4" t="str">
        <f ca="1">IF(OR(INDEX($X$2:$X$1001,MATCH(ROWS($W$2:W433),$W$2:$W$1001,0),1)&gt;=100000,INDEX($AD$1005:$AU$1005,1,MATCH(COLUMNS($AD$1006:AS1006),$AD$1006:$AU$1006,0))&gt;=100000), " ",IF(INDEX($AD$2:$AU$1001,MATCH(ROWS($W$2:W433),$W$2:$W$1001,0),MATCH(COLUMNS($AD$1006:AS1006),$AD$1006:$AU$1006,0)), HYPERLINK("#",""), HYPERLINK(CONCATENATE("#metadata!", ADDRESS(INDEX($Y$2:$Y$1001,MATCH(ROWS($W$2:W433),$W$2:$W$1001,0),0), INDEX($AD$1004:$AU$1004,1,MATCH(COLUMNS($AD$1006:AS1006),$AD$1006:$AU$1006,0)))),"Fix")))</f>
        <v xml:space="preserve"> </v>
      </c>
      <c r="R433" s="4" t="str">
        <f ca="1">IF(OR(INDEX($X$2:$X$1001,MATCH(ROWS($W$2:W433),$W$2:$W$1001,0),1)&gt;=100000,INDEX($AD$1005:$AU$1005,1,MATCH(COLUMNS($AD$1006:AT1006),$AD$1006:$AU$1006,0))&gt;=100000), " ",IF(INDEX($AD$2:$AU$1001,MATCH(ROWS($W$2:W433),$W$2:$W$1001,0),MATCH(COLUMNS($AD$1006:AT1006),$AD$1006:$AU$1006,0)), HYPERLINK("#",""), HYPERLINK(CONCATENATE("#metadata!", ADDRESS(INDEX($Y$2:$Y$1001,MATCH(ROWS($W$2:W433),$W$2:$W$1001,0),0), INDEX($AD$1004:$AU$1004,1,MATCH(COLUMNS($AD$1006:AT1006),$AD$1006:$AU$1006,0)))),"Fix")))</f>
        <v xml:space="preserve"> </v>
      </c>
      <c r="S433" s="4" t="str">
        <f ca="1">IF(OR(INDEX($X$2:$X$1001,MATCH(ROWS($W$2:W433),$W$2:$W$1001,0),1)&gt;=100000,INDEX($AD$1005:$AU$1005,1,MATCH(COLUMNS($AD$1006:AU1006),$AD$1006:$AU$1006,0))&gt;=100000), " ",IF(INDEX($AD$2:$AU$1001,MATCH(ROWS($W$2:W433),$W$2:$W$1001,0),MATCH(COLUMNS($AD$1006:AU1006),$AD$1006:$AU$1006,0)), HYPERLINK("#",""), HYPERLINK(CONCATENATE("#metadata!", ADDRESS(INDEX($Y$2:$Y$1001,MATCH(ROWS($W$2:W433),$W$2:$W$1001,0),0), INDEX($AD$1004:$AU$1004,1,MATCH(COLUMNS($AD$1006:AU1006),$AD$1006:$AU$1006,0)))),"Fix")))</f>
        <v xml:space="preserve"> </v>
      </c>
      <c r="W433">
        <v>432</v>
      </c>
      <c r="X433">
        <v>100433</v>
      </c>
      <c r="Y433">
        <v>433</v>
      </c>
      <c r="Z433" t="b">
        <f t="shared" si="6"/>
        <v>1</v>
      </c>
      <c r="AA433" t="b">
        <f>COUNTBLANK(metadata!B433:S433)=COLUMNS(metadata!B433:S433)</f>
        <v>1</v>
      </c>
      <c r="AB433" t="str">
        <v/>
      </c>
      <c r="AD433" t="b">
        <f ca="1">AND(IF(metadata!B433="",FALSE,TRUE),COUNTIF(metadata!B:B, metadata!B433) = 1,NOT(ISERROR(SUMPRODUCT(SEARCH(MID(metadata!B433,ROW(INDIRECT("1:"&amp;LEN(metadata!B433))), 1),"0123456789abcdefghijklmnopqrstuvwxyzABCDEFGHIJKLMNOPQRSTUVWXYZ.")))))</f>
        <v>0</v>
      </c>
      <c r="AE433" t="b">
        <f>OR(AND(IF(metadata!C433="",FALSE,TRUE),OR(EXACT(metadata!C433,"not applicable"),EXACT(metadata!C433,"missing: not collected"),EXACT(metadata!C433,"missing: not provided"),EXACT(metadata!C433,"missing: restricted access"))),AND(IF(metadata!C433="",FALSE,ISNUMBER(VALUE(metadata!C433))),metadata!C433&gt;0))</f>
        <v>0</v>
      </c>
      <c r="AF433" t="b">
        <f>AND(IF(metadata!D433="",FALSE,TRUE),EXACT(metadata!D433,"missing: not provided"))</f>
        <v>0</v>
      </c>
      <c r="AG433" t="b">
        <f>AND(IF(metadata!E433="",FALSE,TRUE),EXACT(metadata!E433,"Host-associated"))</f>
        <v>0</v>
      </c>
      <c r="AH433" t="b">
        <f>AND(IF(metadata!F433="",FALSE,TRUE),OR(EXACT(metadata!F433,"Animal"),EXACT(metadata!F433,"Fungus"),EXACT(metadata!F433,"Plant")))</f>
        <v>0</v>
      </c>
      <c r="AI433" t="b">
        <f>AND(IF(metadata!G433="",FALSE,TRUE),OR(EXACT(metadata!G433,"Plant secretion"),EXACT(metadata!G433,"Plant rhizosphere"),EXACT(metadata!G433,"Plant surface"),EXACT(metadata!G433,"Plant corpus"),EXACT(metadata!G433,"Fungus surface"),EXACT(metadata!G433,"Fungus corpus"),EXACT(metadata!G433,"Animal surface"),EXACT(metadata!G433,"Animal proximal gut"),EXACT(metadata!G433,"Animal corpus"),EXACT(metadata!G433,"Animal distal gut"),EXACT(metadata!G433,"Animal secretion")))</f>
        <v>0</v>
      </c>
      <c r="AJ433" t="b">
        <f>OR(AND(IF(metadata!H433="",FALSE,TRUE),OR(EXACT(metadata!H433,"missing: not collected"),EXACT(metadata!H433,"missing: not provided"),EXACT(metadata!H433,"missing: restricted access"))),AND(IF(metadata!H433="",FALSE,TRUE),OR(EXACT(metadata!H433,"organism-associated habitat"),EXACT(metadata!H433,"plant-associated habitat"),EXACT(metadata!H433,"animal-associated habitat"),EXACT(metadata!H433,"insecta-associated habitat"),EXACT(metadata!H433,"mammalia-associated habitat"),EXACT(metadata!H433,"human-associated habitat"),EXACT(metadata!H433,"livestock-associated habitat"))))</f>
        <v>0</v>
      </c>
      <c r="AK433" t="b">
        <f>AND(IF(metadata!I433="",FALSE,TRUE),EXACT(metadata!I433,"host-associated"))</f>
        <v>0</v>
      </c>
      <c r="AL433" t="b">
        <f>OR(AND(IF(metadata!J433="",FALSE,TRUE),OR(EXACT(metadata!J433,"not applicable"),EXACT(metadata!J433,"missing: not collected"),EXACT(metadata!J433,"missing: not provided"),EXACT(metadata!J433,"missing: restricted access"))),AND(IF(metadata!J433="",FALSE,ISNUMBER(VALUE(metadata!J433))),metadata!J433&gt;0))</f>
        <v>0</v>
      </c>
      <c r="AM433" t="b">
        <f>AND(IF(metadata!K433="",FALSE,TRUE),EXACT(metadata!K433,"missing: not provided"))</f>
        <v>0</v>
      </c>
      <c r="AN433" t="b">
        <f>IF(metadata!L433="",FALSE,TRUE)</f>
        <v>0</v>
      </c>
      <c r="AO433" t="b">
        <f>IF(metadata!M433="",FALSE,TRUE)</f>
        <v>0</v>
      </c>
      <c r="AP433" t="b">
        <f>OR(AND(IF(metadata!N433="",FALSE,TRUE),OR(EXACT(metadata!N433,"not applicable"),EXACT(metadata!N433,"missing: not collected"),EXACT(metadata!N433,"missing: not provided"))),AND(IF(metadata!N433="",FALSE,IF(ISERROR(INT(metadata!N433)),FALSE,INT(metadata!N433)=metadata!N433)),metadata!N433&gt;0))</f>
        <v>0</v>
      </c>
      <c r="AQ433" t="b">
        <f>AND(IF(metadata!O433="",FALSE,TRUE),EXACT(metadata!O433,"Not applicable"))</f>
        <v>0</v>
      </c>
      <c r="AR433" t="b">
        <f>OR(AND(IF(metadata!P433="",FALSE,TRUE),OR(EXACT(metadata!P433,"not applicable"),EXACT(metadata!P433,"missing: not collected"),EXACT(metadata!P433,"missing: not provided"),EXACT(metadata!P433,"missing: restricted access"))),IF(metadata!P433="",FALSE,IF(ISERROR(INT(metadata!P433)),FALSE,INT(metadata!P433)=metadata!P433)))</f>
        <v>0</v>
      </c>
      <c r="AS433" t="b">
        <f>AND(IF(metadata!Q433="",FALSE,TRUE),EXACT(metadata!Q433,"Not applicable"))</f>
        <v>0</v>
      </c>
      <c r="AT433" t="b">
        <f>OR(AND(IF(metadata!R433="",FALSE,TRUE),OR(EXACT(metadata!R433,"not applicable"),EXACT(metadata!R433,"missing: not collected"),EXACT(metadata!R433,"missing: not provided"),EXACT(metadata!R433,"missing: restricted access"))),AND(IF(metadata!R433="",FALSE,ISNUMBER(VALUE(metadata!R433))),metadata!R433&gt;0))</f>
        <v>0</v>
      </c>
      <c r="AU433" t="b">
        <f>AND(IF(metadata!S433="",FALSE,TRUE),EXACT(metadata!S433,"missing: not provided"))</f>
        <v>0</v>
      </c>
    </row>
    <row r="434" spans="1:47" x14ac:dyDescent="0.2">
      <c r="A434" s="5" t="str">
        <f ca="1">IF(B434=" "," ",HYPERLINK(CONCATENATE("#metadata!",ADDRESS(INDEX($Y$2:$Y$1001,MATCH(ROWS($W$2:W434),$W$2:$W$1001,0),0),1)),INDEX($AB$2:$AB$1001,MATCH(ROWS($W$2:W434),$W$2:$W$1001,0),0)))</f>
        <v xml:space="preserve"> </v>
      </c>
      <c r="B434" s="4" t="str">
        <f ca="1">IF(OR(INDEX($X$2:$X$1001,MATCH(ROWS($W$2:W434),$W$2:$W$1001,0),1)&gt;=100000,INDEX($AD$1005:$AU$1005,1,MATCH(COLUMNS($AD$1006:AD1006),$AD$1006:$AU$1006,0))&gt;=100000), " ",IF(INDEX($AD$2:$AU$1001,MATCH(ROWS($W$2:W434),$W$2:$W$1001,0),MATCH(COLUMNS($AD$1006:AD1006),$AD$1006:$AU$1006,0)), HYPERLINK("#",""), HYPERLINK(CONCATENATE("#metadata!", ADDRESS(INDEX($Y$2:$Y$1001,MATCH(ROWS($W$2:W434),$W$2:$W$1001,0),0), INDEX($AD$1004:$AU$1004,1,MATCH(COLUMNS($AD$1006:AD1006),$AD$1006:$AU$1006,0)))),"Fix")))</f>
        <v xml:space="preserve"> </v>
      </c>
      <c r="C434" s="4" t="str">
        <f ca="1">IF(OR(INDEX($X$2:$X$1001,MATCH(ROWS($W$2:W434),$W$2:$W$1001,0),1)&gt;=100000,INDEX($AD$1005:$AU$1005,1,MATCH(COLUMNS($AD$1006:AE1006),$AD$1006:$AU$1006,0))&gt;=100000), " ",IF(INDEX($AD$2:$AU$1001,MATCH(ROWS($W$2:W434),$W$2:$W$1001,0),MATCH(COLUMNS($AD$1006:AE1006),$AD$1006:$AU$1006,0)), HYPERLINK("#",""), HYPERLINK(CONCATENATE("#metadata!", ADDRESS(INDEX($Y$2:$Y$1001,MATCH(ROWS($W$2:W434),$W$2:$W$1001,0),0), INDEX($AD$1004:$AU$1004,1,MATCH(COLUMNS($AD$1006:AE1006),$AD$1006:$AU$1006,0)))),"Fix")))</f>
        <v xml:space="preserve"> </v>
      </c>
      <c r="D434" s="4" t="str">
        <f ca="1">IF(OR(INDEX($X$2:$X$1001,MATCH(ROWS($W$2:W434),$W$2:$W$1001,0),1)&gt;=100000,INDEX($AD$1005:$AU$1005,1,MATCH(COLUMNS($AD$1006:AF1006),$AD$1006:$AU$1006,0))&gt;=100000), " ",IF(INDEX($AD$2:$AU$1001,MATCH(ROWS($W$2:W434),$W$2:$W$1001,0),MATCH(COLUMNS($AD$1006:AF1006),$AD$1006:$AU$1006,0)), HYPERLINK("#",""), HYPERLINK(CONCATENATE("#metadata!", ADDRESS(INDEX($Y$2:$Y$1001,MATCH(ROWS($W$2:W434),$W$2:$W$1001,0),0), INDEX($AD$1004:$AU$1004,1,MATCH(COLUMNS($AD$1006:AF1006),$AD$1006:$AU$1006,0)))),"Fix")))</f>
        <v xml:space="preserve"> </v>
      </c>
      <c r="E434" s="4" t="str">
        <f ca="1">IF(OR(INDEX($X$2:$X$1001,MATCH(ROWS($W$2:W434),$W$2:$W$1001,0),1)&gt;=100000,INDEX($AD$1005:$AU$1005,1,MATCH(COLUMNS($AD$1006:AG1006),$AD$1006:$AU$1006,0))&gt;=100000), " ",IF(INDEX($AD$2:$AU$1001,MATCH(ROWS($W$2:W434),$W$2:$W$1001,0),MATCH(COLUMNS($AD$1006:AG1006),$AD$1006:$AU$1006,0)), HYPERLINK("#",""), HYPERLINK(CONCATENATE("#metadata!", ADDRESS(INDEX($Y$2:$Y$1001,MATCH(ROWS($W$2:W434),$W$2:$W$1001,0),0), INDEX($AD$1004:$AU$1004,1,MATCH(COLUMNS($AD$1006:AG1006),$AD$1006:$AU$1006,0)))),"Fix")))</f>
        <v xml:space="preserve"> </v>
      </c>
      <c r="F434" s="4" t="str">
        <f ca="1">IF(OR(INDEX($X$2:$X$1001,MATCH(ROWS($W$2:W434),$W$2:$W$1001,0),1)&gt;=100000,INDEX($AD$1005:$AU$1005,1,MATCH(COLUMNS($AD$1006:AH1006),$AD$1006:$AU$1006,0))&gt;=100000), " ",IF(INDEX($AD$2:$AU$1001,MATCH(ROWS($W$2:W434),$W$2:$W$1001,0),MATCH(COLUMNS($AD$1006:AH1006),$AD$1006:$AU$1006,0)), HYPERLINK("#",""), HYPERLINK(CONCATENATE("#metadata!", ADDRESS(INDEX($Y$2:$Y$1001,MATCH(ROWS($W$2:W434),$W$2:$W$1001,0),0), INDEX($AD$1004:$AU$1004,1,MATCH(COLUMNS($AD$1006:AH1006),$AD$1006:$AU$1006,0)))),"Fix")))</f>
        <v xml:space="preserve"> </v>
      </c>
      <c r="G434" s="4" t="str">
        <f ca="1">IF(OR(INDEX($X$2:$X$1001,MATCH(ROWS($W$2:W434),$W$2:$W$1001,0),1)&gt;=100000,INDEX($AD$1005:$AU$1005,1,MATCH(COLUMNS($AD$1006:AI1006),$AD$1006:$AU$1006,0))&gt;=100000), " ",IF(INDEX($AD$2:$AU$1001,MATCH(ROWS($W$2:W434),$W$2:$W$1001,0),MATCH(COLUMNS($AD$1006:AI1006),$AD$1006:$AU$1006,0)), HYPERLINK("#",""), HYPERLINK(CONCATENATE("#metadata!", ADDRESS(INDEX($Y$2:$Y$1001,MATCH(ROWS($W$2:W434),$W$2:$W$1001,0),0), INDEX($AD$1004:$AU$1004,1,MATCH(COLUMNS($AD$1006:AI1006),$AD$1006:$AU$1006,0)))),"Fix")))</f>
        <v xml:space="preserve"> </v>
      </c>
      <c r="H434" s="4" t="str">
        <f ca="1">IF(OR(INDEX($X$2:$X$1001,MATCH(ROWS($W$2:W434),$W$2:$W$1001,0),1)&gt;=100000,INDEX($AD$1005:$AU$1005,1,MATCH(COLUMNS($AD$1006:AJ1006),$AD$1006:$AU$1006,0))&gt;=100000), " ",IF(INDEX($AD$2:$AU$1001,MATCH(ROWS($W$2:W434),$W$2:$W$1001,0),MATCH(COLUMNS($AD$1006:AJ1006),$AD$1006:$AU$1006,0)), HYPERLINK("#",""), HYPERLINK(CONCATENATE("#metadata!", ADDRESS(INDEX($Y$2:$Y$1001,MATCH(ROWS($W$2:W434),$W$2:$W$1001,0),0), INDEX($AD$1004:$AU$1004,1,MATCH(COLUMNS($AD$1006:AJ1006),$AD$1006:$AU$1006,0)))),"Fix")))</f>
        <v xml:space="preserve"> </v>
      </c>
      <c r="I434" s="4" t="str">
        <f ca="1">IF(OR(INDEX($X$2:$X$1001,MATCH(ROWS($W$2:W434),$W$2:$W$1001,0),1)&gt;=100000,INDEX($AD$1005:$AU$1005,1,MATCH(COLUMNS($AD$1006:AK1006),$AD$1006:$AU$1006,0))&gt;=100000), " ",IF(INDEX($AD$2:$AU$1001,MATCH(ROWS($W$2:W434),$W$2:$W$1001,0),MATCH(COLUMNS($AD$1006:AK1006),$AD$1006:$AU$1006,0)), HYPERLINK("#",""), HYPERLINK(CONCATENATE("#metadata!", ADDRESS(INDEX($Y$2:$Y$1001,MATCH(ROWS($W$2:W434),$W$2:$W$1001,0),0), INDEX($AD$1004:$AU$1004,1,MATCH(COLUMNS($AD$1006:AK1006),$AD$1006:$AU$1006,0)))),"Fix")))</f>
        <v xml:space="preserve"> </v>
      </c>
      <c r="J434" s="4" t="str">
        <f ca="1">IF(OR(INDEX($X$2:$X$1001,MATCH(ROWS($W$2:W434),$W$2:$W$1001,0),1)&gt;=100000,INDEX($AD$1005:$AU$1005,1,MATCH(COLUMNS($AD$1006:AL1006),$AD$1006:$AU$1006,0))&gt;=100000), " ",IF(INDEX($AD$2:$AU$1001,MATCH(ROWS($W$2:W434),$W$2:$W$1001,0),MATCH(COLUMNS($AD$1006:AL1006),$AD$1006:$AU$1006,0)), HYPERLINK("#",""), HYPERLINK(CONCATENATE("#metadata!", ADDRESS(INDEX($Y$2:$Y$1001,MATCH(ROWS($W$2:W434),$W$2:$W$1001,0),0), INDEX($AD$1004:$AU$1004,1,MATCH(COLUMNS($AD$1006:AL1006),$AD$1006:$AU$1006,0)))),"Fix")))</f>
        <v xml:space="preserve"> </v>
      </c>
      <c r="K434" s="4" t="str">
        <f ca="1">IF(OR(INDEX($X$2:$X$1001,MATCH(ROWS($W$2:W434),$W$2:$W$1001,0),1)&gt;=100000,INDEX($AD$1005:$AU$1005,1,MATCH(COLUMNS($AD$1006:AM1006),$AD$1006:$AU$1006,0))&gt;=100000), " ",IF(INDEX($AD$2:$AU$1001,MATCH(ROWS($W$2:W434),$W$2:$W$1001,0),MATCH(COLUMNS($AD$1006:AM1006),$AD$1006:$AU$1006,0)), HYPERLINK("#",""), HYPERLINK(CONCATENATE("#metadata!", ADDRESS(INDEX($Y$2:$Y$1001,MATCH(ROWS($W$2:W434),$W$2:$W$1001,0),0), INDEX($AD$1004:$AU$1004,1,MATCH(COLUMNS($AD$1006:AM1006),$AD$1006:$AU$1006,0)))),"Fix")))</f>
        <v xml:space="preserve"> </v>
      </c>
      <c r="L434" s="4" t="str">
        <f ca="1">IF(OR(INDEX($X$2:$X$1001,MATCH(ROWS($W$2:W434),$W$2:$W$1001,0),1)&gt;=100000,INDEX($AD$1005:$AU$1005,1,MATCH(COLUMNS($AD$1006:AN1006),$AD$1006:$AU$1006,0))&gt;=100000), " ",IF(INDEX($AD$2:$AU$1001,MATCH(ROWS($W$2:W434),$W$2:$W$1001,0),MATCH(COLUMNS($AD$1006:AN1006),$AD$1006:$AU$1006,0)), HYPERLINK("#",""), HYPERLINK(CONCATENATE("#metadata!", ADDRESS(INDEX($Y$2:$Y$1001,MATCH(ROWS($W$2:W434),$W$2:$W$1001,0),0), INDEX($AD$1004:$AU$1004,1,MATCH(COLUMNS($AD$1006:AN1006),$AD$1006:$AU$1006,0)))),"Fix")))</f>
        <v xml:space="preserve"> </v>
      </c>
      <c r="M434" s="4" t="str">
        <f ca="1">IF(OR(INDEX($X$2:$X$1001,MATCH(ROWS($W$2:W434),$W$2:$W$1001,0),1)&gt;=100000,INDEX($AD$1005:$AU$1005,1,MATCH(COLUMNS($AD$1006:AO1006),$AD$1006:$AU$1006,0))&gt;=100000), " ",IF(INDEX($AD$2:$AU$1001,MATCH(ROWS($W$2:W434),$W$2:$W$1001,0),MATCH(COLUMNS($AD$1006:AO1006),$AD$1006:$AU$1006,0)), HYPERLINK("#",""), HYPERLINK(CONCATENATE("#metadata!", ADDRESS(INDEX($Y$2:$Y$1001,MATCH(ROWS($W$2:W434),$W$2:$W$1001,0),0), INDEX($AD$1004:$AU$1004,1,MATCH(COLUMNS($AD$1006:AO1006),$AD$1006:$AU$1006,0)))),"Fix")))</f>
        <v xml:space="preserve"> </v>
      </c>
      <c r="N434" s="4" t="str">
        <f ca="1">IF(OR(INDEX($X$2:$X$1001,MATCH(ROWS($W$2:W434),$W$2:$W$1001,0),1)&gt;=100000,INDEX($AD$1005:$AU$1005,1,MATCH(COLUMNS($AD$1006:AP1006),$AD$1006:$AU$1006,0))&gt;=100000), " ",IF(INDEX($AD$2:$AU$1001,MATCH(ROWS($W$2:W434),$W$2:$W$1001,0),MATCH(COLUMNS($AD$1006:AP1006),$AD$1006:$AU$1006,0)), HYPERLINK("#",""), HYPERLINK(CONCATENATE("#metadata!", ADDRESS(INDEX($Y$2:$Y$1001,MATCH(ROWS($W$2:W434),$W$2:$W$1001,0),0), INDEX($AD$1004:$AU$1004,1,MATCH(COLUMNS($AD$1006:AP1006),$AD$1006:$AU$1006,0)))),"Fix")))</f>
        <v xml:space="preserve"> </v>
      </c>
      <c r="O434" s="4" t="str">
        <f ca="1">IF(OR(INDEX($X$2:$X$1001,MATCH(ROWS($W$2:W434),$W$2:$W$1001,0),1)&gt;=100000,INDEX($AD$1005:$AU$1005,1,MATCH(COLUMNS($AD$1006:AQ1006),$AD$1006:$AU$1006,0))&gt;=100000), " ",IF(INDEX($AD$2:$AU$1001,MATCH(ROWS($W$2:W434),$W$2:$W$1001,0),MATCH(COLUMNS($AD$1006:AQ1006),$AD$1006:$AU$1006,0)), HYPERLINK("#",""), HYPERLINK(CONCATENATE("#metadata!", ADDRESS(INDEX($Y$2:$Y$1001,MATCH(ROWS($W$2:W434),$W$2:$W$1001,0),0), INDEX($AD$1004:$AU$1004,1,MATCH(COLUMNS($AD$1006:AQ1006),$AD$1006:$AU$1006,0)))),"Fix")))</f>
        <v xml:space="preserve"> </v>
      </c>
      <c r="P434" s="4" t="str">
        <f ca="1">IF(OR(INDEX($X$2:$X$1001,MATCH(ROWS($W$2:W434),$W$2:$W$1001,0),1)&gt;=100000,INDEX($AD$1005:$AU$1005,1,MATCH(COLUMNS($AD$1006:AR1006),$AD$1006:$AU$1006,0))&gt;=100000), " ",IF(INDEX($AD$2:$AU$1001,MATCH(ROWS($W$2:W434),$W$2:$W$1001,0),MATCH(COLUMNS($AD$1006:AR1006),$AD$1006:$AU$1006,0)), HYPERLINK("#",""), HYPERLINK(CONCATENATE("#metadata!", ADDRESS(INDEX($Y$2:$Y$1001,MATCH(ROWS($W$2:W434),$W$2:$W$1001,0),0), INDEX($AD$1004:$AU$1004,1,MATCH(COLUMNS($AD$1006:AR1006),$AD$1006:$AU$1006,0)))),"Fix")))</f>
        <v xml:space="preserve"> </v>
      </c>
      <c r="Q434" s="4" t="str">
        <f ca="1">IF(OR(INDEX($X$2:$X$1001,MATCH(ROWS($W$2:W434),$W$2:$W$1001,0),1)&gt;=100000,INDEX($AD$1005:$AU$1005,1,MATCH(COLUMNS($AD$1006:AS1006),$AD$1006:$AU$1006,0))&gt;=100000), " ",IF(INDEX($AD$2:$AU$1001,MATCH(ROWS($W$2:W434),$W$2:$W$1001,0),MATCH(COLUMNS($AD$1006:AS1006),$AD$1006:$AU$1006,0)), HYPERLINK("#",""), HYPERLINK(CONCATENATE("#metadata!", ADDRESS(INDEX($Y$2:$Y$1001,MATCH(ROWS($W$2:W434),$W$2:$W$1001,0),0), INDEX($AD$1004:$AU$1004,1,MATCH(COLUMNS($AD$1006:AS1006),$AD$1006:$AU$1006,0)))),"Fix")))</f>
        <v xml:space="preserve"> </v>
      </c>
      <c r="R434" s="4" t="str">
        <f ca="1">IF(OR(INDEX($X$2:$X$1001,MATCH(ROWS($W$2:W434),$W$2:$W$1001,0),1)&gt;=100000,INDEX($AD$1005:$AU$1005,1,MATCH(COLUMNS($AD$1006:AT1006),$AD$1006:$AU$1006,0))&gt;=100000), " ",IF(INDEX($AD$2:$AU$1001,MATCH(ROWS($W$2:W434),$W$2:$W$1001,0),MATCH(COLUMNS($AD$1006:AT1006),$AD$1006:$AU$1006,0)), HYPERLINK("#",""), HYPERLINK(CONCATENATE("#metadata!", ADDRESS(INDEX($Y$2:$Y$1001,MATCH(ROWS($W$2:W434),$W$2:$W$1001,0),0), INDEX($AD$1004:$AU$1004,1,MATCH(COLUMNS($AD$1006:AT1006),$AD$1006:$AU$1006,0)))),"Fix")))</f>
        <v xml:space="preserve"> </v>
      </c>
      <c r="S434" s="4" t="str">
        <f ca="1">IF(OR(INDEX($X$2:$X$1001,MATCH(ROWS($W$2:W434),$W$2:$W$1001,0),1)&gt;=100000,INDEX($AD$1005:$AU$1005,1,MATCH(COLUMNS($AD$1006:AU1006),$AD$1006:$AU$1006,0))&gt;=100000), " ",IF(INDEX($AD$2:$AU$1001,MATCH(ROWS($W$2:W434),$W$2:$W$1001,0),MATCH(COLUMNS($AD$1006:AU1006),$AD$1006:$AU$1006,0)), HYPERLINK("#",""), HYPERLINK(CONCATENATE("#metadata!", ADDRESS(INDEX($Y$2:$Y$1001,MATCH(ROWS($W$2:W434),$W$2:$W$1001,0),0), INDEX($AD$1004:$AU$1004,1,MATCH(COLUMNS($AD$1006:AU1006),$AD$1006:$AU$1006,0)))),"Fix")))</f>
        <v xml:space="preserve"> </v>
      </c>
      <c r="W434">
        <v>433</v>
      </c>
      <c r="X434">
        <v>100434</v>
      </c>
      <c r="Y434">
        <v>434</v>
      </c>
      <c r="Z434" t="b">
        <f t="shared" si="6"/>
        <v>1</v>
      </c>
      <c r="AA434" t="b">
        <f>COUNTBLANK(metadata!B434:S434)=COLUMNS(metadata!B434:S434)</f>
        <v>1</v>
      </c>
      <c r="AB434" t="str">
        <v/>
      </c>
      <c r="AD434" t="b">
        <f ca="1">AND(IF(metadata!B434="",FALSE,TRUE),COUNTIF(metadata!B:B, metadata!B434) = 1,NOT(ISERROR(SUMPRODUCT(SEARCH(MID(metadata!B434,ROW(INDIRECT("1:"&amp;LEN(metadata!B434))), 1),"0123456789abcdefghijklmnopqrstuvwxyzABCDEFGHIJKLMNOPQRSTUVWXYZ.")))))</f>
        <v>0</v>
      </c>
      <c r="AE434" t="b">
        <f>OR(AND(IF(metadata!C434="",FALSE,TRUE),OR(EXACT(metadata!C434,"not applicable"),EXACT(metadata!C434,"missing: not collected"),EXACT(metadata!C434,"missing: not provided"),EXACT(metadata!C434,"missing: restricted access"))),AND(IF(metadata!C434="",FALSE,ISNUMBER(VALUE(metadata!C434))),metadata!C434&gt;0))</f>
        <v>0</v>
      </c>
      <c r="AF434" t="b">
        <f>AND(IF(metadata!D434="",FALSE,TRUE),EXACT(metadata!D434,"missing: not provided"))</f>
        <v>0</v>
      </c>
      <c r="AG434" t="b">
        <f>AND(IF(metadata!E434="",FALSE,TRUE),EXACT(metadata!E434,"Host-associated"))</f>
        <v>0</v>
      </c>
      <c r="AH434" t="b">
        <f>AND(IF(metadata!F434="",FALSE,TRUE),OR(EXACT(metadata!F434,"Animal"),EXACT(metadata!F434,"Fungus"),EXACT(metadata!F434,"Plant")))</f>
        <v>0</v>
      </c>
      <c r="AI434" t="b">
        <f>AND(IF(metadata!G434="",FALSE,TRUE),OR(EXACT(metadata!G434,"Plant secretion"),EXACT(metadata!G434,"Plant rhizosphere"),EXACT(metadata!G434,"Plant surface"),EXACT(metadata!G434,"Plant corpus"),EXACT(metadata!G434,"Fungus surface"),EXACT(metadata!G434,"Fungus corpus"),EXACT(metadata!G434,"Animal surface"),EXACT(metadata!G434,"Animal proximal gut"),EXACT(metadata!G434,"Animal corpus"),EXACT(metadata!G434,"Animal distal gut"),EXACT(metadata!G434,"Animal secretion")))</f>
        <v>0</v>
      </c>
      <c r="AJ434" t="b">
        <f>OR(AND(IF(metadata!H434="",FALSE,TRUE),OR(EXACT(metadata!H434,"missing: not collected"),EXACT(metadata!H434,"missing: not provided"),EXACT(metadata!H434,"missing: restricted access"))),AND(IF(metadata!H434="",FALSE,TRUE),OR(EXACT(metadata!H434,"organism-associated habitat"),EXACT(metadata!H434,"plant-associated habitat"),EXACT(metadata!H434,"animal-associated habitat"),EXACT(metadata!H434,"insecta-associated habitat"),EXACT(metadata!H434,"mammalia-associated habitat"),EXACT(metadata!H434,"human-associated habitat"),EXACT(metadata!H434,"livestock-associated habitat"))))</f>
        <v>0</v>
      </c>
      <c r="AK434" t="b">
        <f>AND(IF(metadata!I434="",FALSE,TRUE),EXACT(metadata!I434,"host-associated"))</f>
        <v>0</v>
      </c>
      <c r="AL434" t="b">
        <f>OR(AND(IF(metadata!J434="",FALSE,TRUE),OR(EXACT(metadata!J434,"not applicable"),EXACT(metadata!J434,"missing: not collected"),EXACT(metadata!J434,"missing: not provided"),EXACT(metadata!J434,"missing: restricted access"))),AND(IF(metadata!J434="",FALSE,ISNUMBER(VALUE(metadata!J434))),metadata!J434&gt;0))</f>
        <v>0</v>
      </c>
      <c r="AM434" t="b">
        <f>AND(IF(metadata!K434="",FALSE,TRUE),EXACT(metadata!K434,"missing: not provided"))</f>
        <v>0</v>
      </c>
      <c r="AN434" t="b">
        <f>IF(metadata!L434="",FALSE,TRUE)</f>
        <v>0</v>
      </c>
      <c r="AO434" t="b">
        <f>IF(metadata!M434="",FALSE,TRUE)</f>
        <v>0</v>
      </c>
      <c r="AP434" t="b">
        <f>OR(AND(IF(metadata!N434="",FALSE,TRUE),OR(EXACT(metadata!N434,"not applicable"),EXACT(metadata!N434,"missing: not collected"),EXACT(metadata!N434,"missing: not provided"))),AND(IF(metadata!N434="",FALSE,IF(ISERROR(INT(metadata!N434)),FALSE,INT(metadata!N434)=metadata!N434)),metadata!N434&gt;0))</f>
        <v>0</v>
      </c>
      <c r="AQ434" t="b">
        <f>AND(IF(metadata!O434="",FALSE,TRUE),EXACT(metadata!O434,"Not applicable"))</f>
        <v>0</v>
      </c>
      <c r="AR434" t="b">
        <f>OR(AND(IF(metadata!P434="",FALSE,TRUE),OR(EXACT(metadata!P434,"not applicable"),EXACT(metadata!P434,"missing: not collected"),EXACT(metadata!P434,"missing: not provided"),EXACT(metadata!P434,"missing: restricted access"))),IF(metadata!P434="",FALSE,IF(ISERROR(INT(metadata!P434)),FALSE,INT(metadata!P434)=metadata!P434)))</f>
        <v>0</v>
      </c>
      <c r="AS434" t="b">
        <f>AND(IF(metadata!Q434="",FALSE,TRUE),EXACT(metadata!Q434,"Not applicable"))</f>
        <v>0</v>
      </c>
      <c r="AT434" t="b">
        <f>OR(AND(IF(metadata!R434="",FALSE,TRUE),OR(EXACT(metadata!R434,"not applicable"),EXACT(metadata!R434,"missing: not collected"),EXACT(metadata!R434,"missing: not provided"),EXACT(metadata!R434,"missing: restricted access"))),AND(IF(metadata!R434="",FALSE,ISNUMBER(VALUE(metadata!R434))),metadata!R434&gt;0))</f>
        <v>0</v>
      </c>
      <c r="AU434" t="b">
        <f>AND(IF(metadata!S434="",FALSE,TRUE),EXACT(metadata!S434,"missing: not provided"))</f>
        <v>0</v>
      </c>
    </row>
    <row r="435" spans="1:47" x14ac:dyDescent="0.2">
      <c r="A435" s="5" t="str">
        <f ca="1">IF(B435=" "," ",HYPERLINK(CONCATENATE("#metadata!",ADDRESS(INDEX($Y$2:$Y$1001,MATCH(ROWS($W$2:W435),$W$2:$W$1001,0),0),1)),INDEX($AB$2:$AB$1001,MATCH(ROWS($W$2:W435),$W$2:$W$1001,0),0)))</f>
        <v xml:space="preserve"> </v>
      </c>
      <c r="B435" s="4" t="str">
        <f ca="1">IF(OR(INDEX($X$2:$X$1001,MATCH(ROWS($W$2:W435),$W$2:$W$1001,0),1)&gt;=100000,INDEX($AD$1005:$AU$1005,1,MATCH(COLUMNS($AD$1006:AD1006),$AD$1006:$AU$1006,0))&gt;=100000), " ",IF(INDEX($AD$2:$AU$1001,MATCH(ROWS($W$2:W435),$W$2:$W$1001,0),MATCH(COLUMNS($AD$1006:AD1006),$AD$1006:$AU$1006,0)), HYPERLINK("#",""), HYPERLINK(CONCATENATE("#metadata!", ADDRESS(INDEX($Y$2:$Y$1001,MATCH(ROWS($W$2:W435),$W$2:$W$1001,0),0), INDEX($AD$1004:$AU$1004,1,MATCH(COLUMNS($AD$1006:AD1006),$AD$1006:$AU$1006,0)))),"Fix")))</f>
        <v xml:space="preserve"> </v>
      </c>
      <c r="C435" s="4" t="str">
        <f ca="1">IF(OR(INDEX($X$2:$X$1001,MATCH(ROWS($W$2:W435),$W$2:$W$1001,0),1)&gt;=100000,INDEX($AD$1005:$AU$1005,1,MATCH(COLUMNS($AD$1006:AE1006),$AD$1006:$AU$1006,0))&gt;=100000), " ",IF(INDEX($AD$2:$AU$1001,MATCH(ROWS($W$2:W435),$W$2:$W$1001,0),MATCH(COLUMNS($AD$1006:AE1006),$AD$1006:$AU$1006,0)), HYPERLINK("#",""), HYPERLINK(CONCATENATE("#metadata!", ADDRESS(INDEX($Y$2:$Y$1001,MATCH(ROWS($W$2:W435),$W$2:$W$1001,0),0), INDEX($AD$1004:$AU$1004,1,MATCH(COLUMNS($AD$1006:AE1006),$AD$1006:$AU$1006,0)))),"Fix")))</f>
        <v xml:space="preserve"> </v>
      </c>
      <c r="D435" s="4" t="str">
        <f ca="1">IF(OR(INDEX($X$2:$X$1001,MATCH(ROWS($W$2:W435),$W$2:$W$1001,0),1)&gt;=100000,INDEX($AD$1005:$AU$1005,1,MATCH(COLUMNS($AD$1006:AF1006),$AD$1006:$AU$1006,0))&gt;=100000), " ",IF(INDEX($AD$2:$AU$1001,MATCH(ROWS($W$2:W435),$W$2:$W$1001,0),MATCH(COLUMNS($AD$1006:AF1006),$AD$1006:$AU$1006,0)), HYPERLINK("#",""), HYPERLINK(CONCATENATE("#metadata!", ADDRESS(INDEX($Y$2:$Y$1001,MATCH(ROWS($W$2:W435),$W$2:$W$1001,0),0), INDEX($AD$1004:$AU$1004,1,MATCH(COLUMNS($AD$1006:AF1006),$AD$1006:$AU$1006,0)))),"Fix")))</f>
        <v xml:space="preserve"> </v>
      </c>
      <c r="E435" s="4" t="str">
        <f ca="1">IF(OR(INDEX($X$2:$X$1001,MATCH(ROWS($W$2:W435),$W$2:$W$1001,0),1)&gt;=100000,INDEX($AD$1005:$AU$1005,1,MATCH(COLUMNS($AD$1006:AG1006),$AD$1006:$AU$1006,0))&gt;=100000), " ",IF(INDEX($AD$2:$AU$1001,MATCH(ROWS($W$2:W435),$W$2:$W$1001,0),MATCH(COLUMNS($AD$1006:AG1006),$AD$1006:$AU$1006,0)), HYPERLINK("#",""), HYPERLINK(CONCATENATE("#metadata!", ADDRESS(INDEX($Y$2:$Y$1001,MATCH(ROWS($W$2:W435),$W$2:$W$1001,0),0), INDEX($AD$1004:$AU$1004,1,MATCH(COLUMNS($AD$1006:AG1006),$AD$1006:$AU$1006,0)))),"Fix")))</f>
        <v xml:space="preserve"> </v>
      </c>
      <c r="F435" s="4" t="str">
        <f ca="1">IF(OR(INDEX($X$2:$X$1001,MATCH(ROWS($W$2:W435),$W$2:$W$1001,0),1)&gt;=100000,INDEX($AD$1005:$AU$1005,1,MATCH(COLUMNS($AD$1006:AH1006),$AD$1006:$AU$1006,0))&gt;=100000), " ",IF(INDEX($AD$2:$AU$1001,MATCH(ROWS($W$2:W435),$W$2:$W$1001,0),MATCH(COLUMNS($AD$1006:AH1006),$AD$1006:$AU$1006,0)), HYPERLINK("#",""), HYPERLINK(CONCATENATE("#metadata!", ADDRESS(INDEX($Y$2:$Y$1001,MATCH(ROWS($W$2:W435),$W$2:$W$1001,0),0), INDEX($AD$1004:$AU$1004,1,MATCH(COLUMNS($AD$1006:AH1006),$AD$1006:$AU$1006,0)))),"Fix")))</f>
        <v xml:space="preserve"> </v>
      </c>
      <c r="G435" s="4" t="str">
        <f ca="1">IF(OR(INDEX($X$2:$X$1001,MATCH(ROWS($W$2:W435),$W$2:$W$1001,0),1)&gt;=100000,INDEX($AD$1005:$AU$1005,1,MATCH(COLUMNS($AD$1006:AI1006),$AD$1006:$AU$1006,0))&gt;=100000), " ",IF(INDEX($AD$2:$AU$1001,MATCH(ROWS($W$2:W435),$W$2:$W$1001,0),MATCH(COLUMNS($AD$1006:AI1006),$AD$1006:$AU$1006,0)), HYPERLINK("#",""), HYPERLINK(CONCATENATE("#metadata!", ADDRESS(INDEX($Y$2:$Y$1001,MATCH(ROWS($W$2:W435),$W$2:$W$1001,0),0), INDEX($AD$1004:$AU$1004,1,MATCH(COLUMNS($AD$1006:AI1006),$AD$1006:$AU$1006,0)))),"Fix")))</f>
        <v xml:space="preserve"> </v>
      </c>
      <c r="H435" s="4" t="str">
        <f ca="1">IF(OR(INDEX($X$2:$X$1001,MATCH(ROWS($W$2:W435),$W$2:$W$1001,0),1)&gt;=100000,INDEX($AD$1005:$AU$1005,1,MATCH(COLUMNS($AD$1006:AJ1006),$AD$1006:$AU$1006,0))&gt;=100000), " ",IF(INDEX($AD$2:$AU$1001,MATCH(ROWS($W$2:W435),$W$2:$W$1001,0),MATCH(COLUMNS($AD$1006:AJ1006),$AD$1006:$AU$1006,0)), HYPERLINK("#",""), HYPERLINK(CONCATENATE("#metadata!", ADDRESS(INDEX($Y$2:$Y$1001,MATCH(ROWS($W$2:W435),$W$2:$W$1001,0),0), INDEX($AD$1004:$AU$1004,1,MATCH(COLUMNS($AD$1006:AJ1006),$AD$1006:$AU$1006,0)))),"Fix")))</f>
        <v xml:space="preserve"> </v>
      </c>
      <c r="I435" s="4" t="str">
        <f ca="1">IF(OR(INDEX($X$2:$X$1001,MATCH(ROWS($W$2:W435),$W$2:$W$1001,0),1)&gt;=100000,INDEX($AD$1005:$AU$1005,1,MATCH(COLUMNS($AD$1006:AK1006),$AD$1006:$AU$1006,0))&gt;=100000), " ",IF(INDEX($AD$2:$AU$1001,MATCH(ROWS($W$2:W435),$W$2:$W$1001,0),MATCH(COLUMNS($AD$1006:AK1006),$AD$1006:$AU$1006,0)), HYPERLINK("#",""), HYPERLINK(CONCATENATE("#metadata!", ADDRESS(INDEX($Y$2:$Y$1001,MATCH(ROWS($W$2:W435),$W$2:$W$1001,0),0), INDEX($AD$1004:$AU$1004,1,MATCH(COLUMNS($AD$1006:AK1006),$AD$1006:$AU$1006,0)))),"Fix")))</f>
        <v xml:space="preserve"> </v>
      </c>
      <c r="J435" s="4" t="str">
        <f ca="1">IF(OR(INDEX($X$2:$X$1001,MATCH(ROWS($W$2:W435),$W$2:$W$1001,0),1)&gt;=100000,INDEX($AD$1005:$AU$1005,1,MATCH(COLUMNS($AD$1006:AL1006),$AD$1006:$AU$1006,0))&gt;=100000), " ",IF(INDEX($AD$2:$AU$1001,MATCH(ROWS($W$2:W435),$W$2:$W$1001,0),MATCH(COLUMNS($AD$1006:AL1006),$AD$1006:$AU$1006,0)), HYPERLINK("#",""), HYPERLINK(CONCATENATE("#metadata!", ADDRESS(INDEX($Y$2:$Y$1001,MATCH(ROWS($W$2:W435),$W$2:$W$1001,0),0), INDEX($AD$1004:$AU$1004,1,MATCH(COLUMNS($AD$1006:AL1006),$AD$1006:$AU$1006,0)))),"Fix")))</f>
        <v xml:space="preserve"> </v>
      </c>
      <c r="K435" s="4" t="str">
        <f ca="1">IF(OR(INDEX($X$2:$X$1001,MATCH(ROWS($W$2:W435),$W$2:$W$1001,0),1)&gt;=100000,INDEX($AD$1005:$AU$1005,1,MATCH(COLUMNS($AD$1006:AM1006),$AD$1006:$AU$1006,0))&gt;=100000), " ",IF(INDEX($AD$2:$AU$1001,MATCH(ROWS($W$2:W435),$W$2:$W$1001,0),MATCH(COLUMNS($AD$1006:AM1006),$AD$1006:$AU$1006,0)), HYPERLINK("#",""), HYPERLINK(CONCATENATE("#metadata!", ADDRESS(INDEX($Y$2:$Y$1001,MATCH(ROWS($W$2:W435),$W$2:$W$1001,0),0), INDEX($AD$1004:$AU$1004,1,MATCH(COLUMNS($AD$1006:AM1006),$AD$1006:$AU$1006,0)))),"Fix")))</f>
        <v xml:space="preserve"> </v>
      </c>
      <c r="L435" s="4" t="str">
        <f ca="1">IF(OR(INDEX($X$2:$X$1001,MATCH(ROWS($W$2:W435),$W$2:$W$1001,0),1)&gt;=100000,INDEX($AD$1005:$AU$1005,1,MATCH(COLUMNS($AD$1006:AN1006),$AD$1006:$AU$1006,0))&gt;=100000), " ",IF(INDEX($AD$2:$AU$1001,MATCH(ROWS($W$2:W435),$W$2:$W$1001,0),MATCH(COLUMNS($AD$1006:AN1006),$AD$1006:$AU$1006,0)), HYPERLINK("#",""), HYPERLINK(CONCATENATE("#metadata!", ADDRESS(INDEX($Y$2:$Y$1001,MATCH(ROWS($W$2:W435),$W$2:$W$1001,0),0), INDEX($AD$1004:$AU$1004,1,MATCH(COLUMNS($AD$1006:AN1006),$AD$1006:$AU$1006,0)))),"Fix")))</f>
        <v xml:space="preserve"> </v>
      </c>
      <c r="M435" s="4" t="str">
        <f ca="1">IF(OR(INDEX($X$2:$X$1001,MATCH(ROWS($W$2:W435),$W$2:$W$1001,0),1)&gt;=100000,INDEX($AD$1005:$AU$1005,1,MATCH(COLUMNS($AD$1006:AO1006),$AD$1006:$AU$1006,0))&gt;=100000), " ",IF(INDEX($AD$2:$AU$1001,MATCH(ROWS($W$2:W435),$W$2:$W$1001,0),MATCH(COLUMNS($AD$1006:AO1006),$AD$1006:$AU$1006,0)), HYPERLINK("#",""), HYPERLINK(CONCATENATE("#metadata!", ADDRESS(INDEX($Y$2:$Y$1001,MATCH(ROWS($W$2:W435),$W$2:$W$1001,0),0), INDEX($AD$1004:$AU$1004,1,MATCH(COLUMNS($AD$1006:AO1006),$AD$1006:$AU$1006,0)))),"Fix")))</f>
        <v xml:space="preserve"> </v>
      </c>
      <c r="N435" s="4" t="str">
        <f ca="1">IF(OR(INDEX($X$2:$X$1001,MATCH(ROWS($W$2:W435),$W$2:$W$1001,0),1)&gt;=100000,INDEX($AD$1005:$AU$1005,1,MATCH(COLUMNS($AD$1006:AP1006),$AD$1006:$AU$1006,0))&gt;=100000), " ",IF(INDEX($AD$2:$AU$1001,MATCH(ROWS($W$2:W435),$W$2:$W$1001,0),MATCH(COLUMNS($AD$1006:AP1006),$AD$1006:$AU$1006,0)), HYPERLINK("#",""), HYPERLINK(CONCATENATE("#metadata!", ADDRESS(INDEX($Y$2:$Y$1001,MATCH(ROWS($W$2:W435),$W$2:$W$1001,0),0), INDEX($AD$1004:$AU$1004,1,MATCH(COLUMNS($AD$1006:AP1006),$AD$1006:$AU$1006,0)))),"Fix")))</f>
        <v xml:space="preserve"> </v>
      </c>
      <c r="O435" s="4" t="str">
        <f ca="1">IF(OR(INDEX($X$2:$X$1001,MATCH(ROWS($W$2:W435),$W$2:$W$1001,0),1)&gt;=100000,INDEX($AD$1005:$AU$1005,1,MATCH(COLUMNS($AD$1006:AQ1006),$AD$1006:$AU$1006,0))&gt;=100000), " ",IF(INDEX($AD$2:$AU$1001,MATCH(ROWS($W$2:W435),$W$2:$W$1001,0),MATCH(COLUMNS($AD$1006:AQ1006),$AD$1006:$AU$1006,0)), HYPERLINK("#",""), HYPERLINK(CONCATENATE("#metadata!", ADDRESS(INDEX($Y$2:$Y$1001,MATCH(ROWS($W$2:W435),$W$2:$W$1001,0),0), INDEX($AD$1004:$AU$1004,1,MATCH(COLUMNS($AD$1006:AQ1006),$AD$1006:$AU$1006,0)))),"Fix")))</f>
        <v xml:space="preserve"> </v>
      </c>
      <c r="P435" s="4" t="str">
        <f ca="1">IF(OR(INDEX($X$2:$X$1001,MATCH(ROWS($W$2:W435),$W$2:$W$1001,0),1)&gt;=100000,INDEX($AD$1005:$AU$1005,1,MATCH(COLUMNS($AD$1006:AR1006),$AD$1006:$AU$1006,0))&gt;=100000), " ",IF(INDEX($AD$2:$AU$1001,MATCH(ROWS($W$2:W435),$W$2:$W$1001,0),MATCH(COLUMNS($AD$1006:AR1006),$AD$1006:$AU$1006,0)), HYPERLINK("#",""), HYPERLINK(CONCATENATE("#metadata!", ADDRESS(INDEX($Y$2:$Y$1001,MATCH(ROWS($W$2:W435),$W$2:$W$1001,0),0), INDEX($AD$1004:$AU$1004,1,MATCH(COLUMNS($AD$1006:AR1006),$AD$1006:$AU$1006,0)))),"Fix")))</f>
        <v xml:space="preserve"> </v>
      </c>
      <c r="Q435" s="4" t="str">
        <f ca="1">IF(OR(INDEX($X$2:$X$1001,MATCH(ROWS($W$2:W435),$W$2:$W$1001,0),1)&gt;=100000,INDEX($AD$1005:$AU$1005,1,MATCH(COLUMNS($AD$1006:AS1006),$AD$1006:$AU$1006,0))&gt;=100000), " ",IF(INDEX($AD$2:$AU$1001,MATCH(ROWS($W$2:W435),$W$2:$W$1001,0),MATCH(COLUMNS($AD$1006:AS1006),$AD$1006:$AU$1006,0)), HYPERLINK("#",""), HYPERLINK(CONCATENATE("#metadata!", ADDRESS(INDEX($Y$2:$Y$1001,MATCH(ROWS($W$2:W435),$W$2:$W$1001,0),0), INDEX($AD$1004:$AU$1004,1,MATCH(COLUMNS($AD$1006:AS1006),$AD$1006:$AU$1006,0)))),"Fix")))</f>
        <v xml:space="preserve"> </v>
      </c>
      <c r="R435" s="4" t="str">
        <f ca="1">IF(OR(INDEX($X$2:$X$1001,MATCH(ROWS($W$2:W435),$W$2:$W$1001,0),1)&gt;=100000,INDEX($AD$1005:$AU$1005,1,MATCH(COLUMNS($AD$1006:AT1006),$AD$1006:$AU$1006,0))&gt;=100000), " ",IF(INDEX($AD$2:$AU$1001,MATCH(ROWS($W$2:W435),$W$2:$W$1001,0),MATCH(COLUMNS($AD$1006:AT1006),$AD$1006:$AU$1006,0)), HYPERLINK("#",""), HYPERLINK(CONCATENATE("#metadata!", ADDRESS(INDEX($Y$2:$Y$1001,MATCH(ROWS($W$2:W435),$W$2:$W$1001,0),0), INDEX($AD$1004:$AU$1004,1,MATCH(COLUMNS($AD$1006:AT1006),$AD$1006:$AU$1006,0)))),"Fix")))</f>
        <v xml:space="preserve"> </v>
      </c>
      <c r="S435" s="4" t="str">
        <f ca="1">IF(OR(INDEX($X$2:$X$1001,MATCH(ROWS($W$2:W435),$W$2:$W$1001,0),1)&gt;=100000,INDEX($AD$1005:$AU$1005,1,MATCH(COLUMNS($AD$1006:AU1006),$AD$1006:$AU$1006,0))&gt;=100000), " ",IF(INDEX($AD$2:$AU$1001,MATCH(ROWS($W$2:W435),$W$2:$W$1001,0),MATCH(COLUMNS($AD$1006:AU1006),$AD$1006:$AU$1006,0)), HYPERLINK("#",""), HYPERLINK(CONCATENATE("#metadata!", ADDRESS(INDEX($Y$2:$Y$1001,MATCH(ROWS($W$2:W435),$W$2:$W$1001,0),0), INDEX($AD$1004:$AU$1004,1,MATCH(COLUMNS($AD$1006:AU1006),$AD$1006:$AU$1006,0)))),"Fix")))</f>
        <v xml:space="preserve"> </v>
      </c>
      <c r="W435">
        <v>434</v>
      </c>
      <c r="X435">
        <v>100435</v>
      </c>
      <c r="Y435">
        <v>435</v>
      </c>
      <c r="Z435" t="b">
        <f t="shared" si="6"/>
        <v>1</v>
      </c>
      <c r="AA435" t="b">
        <f>COUNTBLANK(metadata!B435:S435)=COLUMNS(metadata!B435:S435)</f>
        <v>1</v>
      </c>
      <c r="AB435" t="str">
        <v/>
      </c>
      <c r="AD435" t="b">
        <f ca="1">AND(IF(metadata!B435="",FALSE,TRUE),COUNTIF(metadata!B:B, metadata!B435) = 1,NOT(ISERROR(SUMPRODUCT(SEARCH(MID(metadata!B435,ROW(INDIRECT("1:"&amp;LEN(metadata!B435))), 1),"0123456789abcdefghijklmnopqrstuvwxyzABCDEFGHIJKLMNOPQRSTUVWXYZ.")))))</f>
        <v>0</v>
      </c>
      <c r="AE435" t="b">
        <f>OR(AND(IF(metadata!C435="",FALSE,TRUE),OR(EXACT(metadata!C435,"not applicable"),EXACT(metadata!C435,"missing: not collected"),EXACT(metadata!C435,"missing: not provided"),EXACT(metadata!C435,"missing: restricted access"))),AND(IF(metadata!C435="",FALSE,ISNUMBER(VALUE(metadata!C435))),metadata!C435&gt;0))</f>
        <v>0</v>
      </c>
      <c r="AF435" t="b">
        <f>AND(IF(metadata!D435="",FALSE,TRUE),EXACT(metadata!D435,"missing: not provided"))</f>
        <v>0</v>
      </c>
      <c r="AG435" t="b">
        <f>AND(IF(metadata!E435="",FALSE,TRUE),EXACT(metadata!E435,"Host-associated"))</f>
        <v>0</v>
      </c>
      <c r="AH435" t="b">
        <f>AND(IF(metadata!F435="",FALSE,TRUE),OR(EXACT(metadata!F435,"Animal"),EXACT(metadata!F435,"Fungus"),EXACT(metadata!F435,"Plant")))</f>
        <v>0</v>
      </c>
      <c r="AI435" t="b">
        <f>AND(IF(metadata!G435="",FALSE,TRUE),OR(EXACT(metadata!G435,"Plant secretion"),EXACT(metadata!G435,"Plant rhizosphere"),EXACT(metadata!G435,"Plant surface"),EXACT(metadata!G435,"Plant corpus"),EXACT(metadata!G435,"Fungus surface"),EXACT(metadata!G435,"Fungus corpus"),EXACT(metadata!G435,"Animal surface"),EXACT(metadata!G435,"Animal proximal gut"),EXACT(metadata!G435,"Animal corpus"),EXACT(metadata!G435,"Animal distal gut"),EXACT(metadata!G435,"Animal secretion")))</f>
        <v>0</v>
      </c>
      <c r="AJ435" t="b">
        <f>OR(AND(IF(metadata!H435="",FALSE,TRUE),OR(EXACT(metadata!H435,"missing: not collected"),EXACT(metadata!H435,"missing: not provided"),EXACT(metadata!H435,"missing: restricted access"))),AND(IF(metadata!H435="",FALSE,TRUE),OR(EXACT(metadata!H435,"organism-associated habitat"),EXACT(metadata!H435,"plant-associated habitat"),EXACT(metadata!H435,"animal-associated habitat"),EXACT(metadata!H435,"insecta-associated habitat"),EXACT(metadata!H435,"mammalia-associated habitat"),EXACT(metadata!H435,"human-associated habitat"),EXACT(metadata!H435,"livestock-associated habitat"))))</f>
        <v>0</v>
      </c>
      <c r="AK435" t="b">
        <f>AND(IF(metadata!I435="",FALSE,TRUE),EXACT(metadata!I435,"host-associated"))</f>
        <v>0</v>
      </c>
      <c r="AL435" t="b">
        <f>OR(AND(IF(metadata!J435="",FALSE,TRUE),OR(EXACT(metadata!J435,"not applicable"),EXACT(metadata!J435,"missing: not collected"),EXACT(metadata!J435,"missing: not provided"),EXACT(metadata!J435,"missing: restricted access"))),AND(IF(metadata!J435="",FALSE,ISNUMBER(VALUE(metadata!J435))),metadata!J435&gt;0))</f>
        <v>0</v>
      </c>
      <c r="AM435" t="b">
        <f>AND(IF(metadata!K435="",FALSE,TRUE),EXACT(metadata!K435,"missing: not provided"))</f>
        <v>0</v>
      </c>
      <c r="AN435" t="b">
        <f>IF(metadata!L435="",FALSE,TRUE)</f>
        <v>0</v>
      </c>
      <c r="AO435" t="b">
        <f>IF(metadata!M435="",FALSE,TRUE)</f>
        <v>0</v>
      </c>
      <c r="AP435" t="b">
        <f>OR(AND(IF(metadata!N435="",FALSE,TRUE),OR(EXACT(metadata!N435,"not applicable"),EXACT(metadata!N435,"missing: not collected"),EXACT(metadata!N435,"missing: not provided"))),AND(IF(metadata!N435="",FALSE,IF(ISERROR(INT(metadata!N435)),FALSE,INT(metadata!N435)=metadata!N435)),metadata!N435&gt;0))</f>
        <v>0</v>
      </c>
      <c r="AQ435" t="b">
        <f>AND(IF(metadata!O435="",FALSE,TRUE),EXACT(metadata!O435,"Not applicable"))</f>
        <v>0</v>
      </c>
      <c r="AR435" t="b">
        <f>OR(AND(IF(metadata!P435="",FALSE,TRUE),OR(EXACT(metadata!P435,"not applicable"),EXACT(metadata!P435,"missing: not collected"),EXACT(metadata!P435,"missing: not provided"),EXACT(metadata!P435,"missing: restricted access"))),IF(metadata!P435="",FALSE,IF(ISERROR(INT(metadata!P435)),FALSE,INT(metadata!P435)=metadata!P435)))</f>
        <v>0</v>
      </c>
      <c r="AS435" t="b">
        <f>AND(IF(metadata!Q435="",FALSE,TRUE),EXACT(metadata!Q435,"Not applicable"))</f>
        <v>0</v>
      </c>
      <c r="AT435" t="b">
        <f>OR(AND(IF(metadata!R435="",FALSE,TRUE),OR(EXACT(metadata!R435,"not applicable"),EXACT(metadata!R435,"missing: not collected"),EXACT(metadata!R435,"missing: not provided"),EXACT(metadata!R435,"missing: restricted access"))),AND(IF(metadata!R435="",FALSE,ISNUMBER(VALUE(metadata!R435))),metadata!R435&gt;0))</f>
        <v>0</v>
      </c>
      <c r="AU435" t="b">
        <f>AND(IF(metadata!S435="",FALSE,TRUE),EXACT(metadata!S435,"missing: not provided"))</f>
        <v>0</v>
      </c>
    </row>
    <row r="436" spans="1:47" x14ac:dyDescent="0.2">
      <c r="A436" s="5" t="str">
        <f ca="1">IF(B436=" "," ",HYPERLINK(CONCATENATE("#metadata!",ADDRESS(INDEX($Y$2:$Y$1001,MATCH(ROWS($W$2:W436),$W$2:$W$1001,0),0),1)),INDEX($AB$2:$AB$1001,MATCH(ROWS($W$2:W436),$W$2:$W$1001,0),0)))</f>
        <v xml:space="preserve"> </v>
      </c>
      <c r="B436" s="4" t="str">
        <f ca="1">IF(OR(INDEX($X$2:$X$1001,MATCH(ROWS($W$2:W436),$W$2:$W$1001,0),1)&gt;=100000,INDEX($AD$1005:$AU$1005,1,MATCH(COLUMNS($AD$1006:AD1006),$AD$1006:$AU$1006,0))&gt;=100000), " ",IF(INDEX($AD$2:$AU$1001,MATCH(ROWS($W$2:W436),$W$2:$W$1001,0),MATCH(COLUMNS($AD$1006:AD1006),$AD$1006:$AU$1006,0)), HYPERLINK("#",""), HYPERLINK(CONCATENATE("#metadata!", ADDRESS(INDEX($Y$2:$Y$1001,MATCH(ROWS($W$2:W436),$W$2:$W$1001,0),0), INDEX($AD$1004:$AU$1004,1,MATCH(COLUMNS($AD$1006:AD1006),$AD$1006:$AU$1006,0)))),"Fix")))</f>
        <v xml:space="preserve"> </v>
      </c>
      <c r="C436" s="4" t="str">
        <f ca="1">IF(OR(INDEX($X$2:$X$1001,MATCH(ROWS($W$2:W436),$W$2:$W$1001,0),1)&gt;=100000,INDEX($AD$1005:$AU$1005,1,MATCH(COLUMNS($AD$1006:AE1006),$AD$1006:$AU$1006,0))&gt;=100000), " ",IF(INDEX($AD$2:$AU$1001,MATCH(ROWS($W$2:W436),$W$2:$W$1001,0),MATCH(COLUMNS($AD$1006:AE1006),$AD$1006:$AU$1006,0)), HYPERLINK("#",""), HYPERLINK(CONCATENATE("#metadata!", ADDRESS(INDEX($Y$2:$Y$1001,MATCH(ROWS($W$2:W436),$W$2:$W$1001,0),0), INDEX($AD$1004:$AU$1004,1,MATCH(COLUMNS($AD$1006:AE1006),$AD$1006:$AU$1006,0)))),"Fix")))</f>
        <v xml:space="preserve"> </v>
      </c>
      <c r="D436" s="4" t="str">
        <f ca="1">IF(OR(INDEX($X$2:$X$1001,MATCH(ROWS($W$2:W436),$W$2:$W$1001,0),1)&gt;=100000,INDEX($AD$1005:$AU$1005,1,MATCH(COLUMNS($AD$1006:AF1006),$AD$1006:$AU$1006,0))&gt;=100000), " ",IF(INDEX($AD$2:$AU$1001,MATCH(ROWS($W$2:W436),$W$2:$W$1001,0),MATCH(COLUMNS($AD$1006:AF1006),$AD$1006:$AU$1006,0)), HYPERLINK("#",""), HYPERLINK(CONCATENATE("#metadata!", ADDRESS(INDEX($Y$2:$Y$1001,MATCH(ROWS($W$2:W436),$W$2:$W$1001,0),0), INDEX($AD$1004:$AU$1004,1,MATCH(COLUMNS($AD$1006:AF1006),$AD$1006:$AU$1006,0)))),"Fix")))</f>
        <v xml:space="preserve"> </v>
      </c>
      <c r="E436" s="4" t="str">
        <f ca="1">IF(OR(INDEX($X$2:$X$1001,MATCH(ROWS($W$2:W436),$W$2:$W$1001,0),1)&gt;=100000,INDEX($AD$1005:$AU$1005,1,MATCH(COLUMNS($AD$1006:AG1006),$AD$1006:$AU$1006,0))&gt;=100000), " ",IF(INDEX($AD$2:$AU$1001,MATCH(ROWS($W$2:W436),$W$2:$W$1001,0),MATCH(COLUMNS($AD$1006:AG1006),$AD$1006:$AU$1006,0)), HYPERLINK("#",""), HYPERLINK(CONCATENATE("#metadata!", ADDRESS(INDEX($Y$2:$Y$1001,MATCH(ROWS($W$2:W436),$W$2:$W$1001,0),0), INDEX($AD$1004:$AU$1004,1,MATCH(COLUMNS($AD$1006:AG1006),$AD$1006:$AU$1006,0)))),"Fix")))</f>
        <v xml:space="preserve"> </v>
      </c>
      <c r="F436" s="4" t="str">
        <f ca="1">IF(OR(INDEX($X$2:$X$1001,MATCH(ROWS($W$2:W436),$W$2:$W$1001,0),1)&gt;=100000,INDEX($AD$1005:$AU$1005,1,MATCH(COLUMNS($AD$1006:AH1006),$AD$1006:$AU$1006,0))&gt;=100000), " ",IF(INDEX($AD$2:$AU$1001,MATCH(ROWS($W$2:W436),$W$2:$W$1001,0),MATCH(COLUMNS($AD$1006:AH1006),$AD$1006:$AU$1006,0)), HYPERLINK("#",""), HYPERLINK(CONCATENATE("#metadata!", ADDRESS(INDEX($Y$2:$Y$1001,MATCH(ROWS($W$2:W436),$W$2:$W$1001,0),0), INDEX($AD$1004:$AU$1004,1,MATCH(COLUMNS($AD$1006:AH1006),$AD$1006:$AU$1006,0)))),"Fix")))</f>
        <v xml:space="preserve"> </v>
      </c>
      <c r="G436" s="4" t="str">
        <f ca="1">IF(OR(INDEX($X$2:$X$1001,MATCH(ROWS($W$2:W436),$W$2:$W$1001,0),1)&gt;=100000,INDEX($AD$1005:$AU$1005,1,MATCH(COLUMNS($AD$1006:AI1006),$AD$1006:$AU$1006,0))&gt;=100000), " ",IF(INDEX($AD$2:$AU$1001,MATCH(ROWS($W$2:W436),$W$2:$W$1001,0),MATCH(COLUMNS($AD$1006:AI1006),$AD$1006:$AU$1006,0)), HYPERLINK("#",""), HYPERLINK(CONCATENATE("#metadata!", ADDRESS(INDEX($Y$2:$Y$1001,MATCH(ROWS($W$2:W436),$W$2:$W$1001,0),0), INDEX($AD$1004:$AU$1004,1,MATCH(COLUMNS($AD$1006:AI1006),$AD$1006:$AU$1006,0)))),"Fix")))</f>
        <v xml:space="preserve"> </v>
      </c>
      <c r="H436" s="4" t="str">
        <f ca="1">IF(OR(INDEX($X$2:$X$1001,MATCH(ROWS($W$2:W436),$W$2:$W$1001,0),1)&gt;=100000,INDEX($AD$1005:$AU$1005,1,MATCH(COLUMNS($AD$1006:AJ1006),$AD$1006:$AU$1006,0))&gt;=100000), " ",IF(INDEX($AD$2:$AU$1001,MATCH(ROWS($W$2:W436),$W$2:$W$1001,0),MATCH(COLUMNS($AD$1006:AJ1006),$AD$1006:$AU$1006,0)), HYPERLINK("#",""), HYPERLINK(CONCATENATE("#metadata!", ADDRESS(INDEX($Y$2:$Y$1001,MATCH(ROWS($W$2:W436),$W$2:$W$1001,0),0), INDEX($AD$1004:$AU$1004,1,MATCH(COLUMNS($AD$1006:AJ1006),$AD$1006:$AU$1006,0)))),"Fix")))</f>
        <v xml:space="preserve"> </v>
      </c>
      <c r="I436" s="4" t="str">
        <f ca="1">IF(OR(INDEX($X$2:$X$1001,MATCH(ROWS($W$2:W436),$W$2:$W$1001,0),1)&gt;=100000,INDEX($AD$1005:$AU$1005,1,MATCH(COLUMNS($AD$1006:AK1006),$AD$1006:$AU$1006,0))&gt;=100000), " ",IF(INDEX($AD$2:$AU$1001,MATCH(ROWS($W$2:W436),$W$2:$W$1001,0),MATCH(COLUMNS($AD$1006:AK1006),$AD$1006:$AU$1006,0)), HYPERLINK("#",""), HYPERLINK(CONCATENATE("#metadata!", ADDRESS(INDEX($Y$2:$Y$1001,MATCH(ROWS($W$2:W436),$W$2:$W$1001,0),0), INDEX($AD$1004:$AU$1004,1,MATCH(COLUMNS($AD$1006:AK1006),$AD$1006:$AU$1006,0)))),"Fix")))</f>
        <v xml:space="preserve"> </v>
      </c>
      <c r="J436" s="4" t="str">
        <f ca="1">IF(OR(INDEX($X$2:$X$1001,MATCH(ROWS($W$2:W436),$W$2:$W$1001,0),1)&gt;=100000,INDEX($AD$1005:$AU$1005,1,MATCH(COLUMNS($AD$1006:AL1006),$AD$1006:$AU$1006,0))&gt;=100000), " ",IF(INDEX($AD$2:$AU$1001,MATCH(ROWS($W$2:W436),$W$2:$W$1001,0),MATCH(COLUMNS($AD$1006:AL1006),$AD$1006:$AU$1006,0)), HYPERLINK("#",""), HYPERLINK(CONCATENATE("#metadata!", ADDRESS(INDEX($Y$2:$Y$1001,MATCH(ROWS($W$2:W436),$W$2:$W$1001,0),0), INDEX($AD$1004:$AU$1004,1,MATCH(COLUMNS($AD$1006:AL1006),$AD$1006:$AU$1006,0)))),"Fix")))</f>
        <v xml:space="preserve"> </v>
      </c>
      <c r="K436" s="4" t="str">
        <f ca="1">IF(OR(INDEX($X$2:$X$1001,MATCH(ROWS($W$2:W436),$W$2:$W$1001,0),1)&gt;=100000,INDEX($AD$1005:$AU$1005,1,MATCH(COLUMNS($AD$1006:AM1006),$AD$1006:$AU$1006,0))&gt;=100000), " ",IF(INDEX($AD$2:$AU$1001,MATCH(ROWS($W$2:W436),$W$2:$W$1001,0),MATCH(COLUMNS($AD$1006:AM1006),$AD$1006:$AU$1006,0)), HYPERLINK("#",""), HYPERLINK(CONCATENATE("#metadata!", ADDRESS(INDEX($Y$2:$Y$1001,MATCH(ROWS($W$2:W436),$W$2:$W$1001,0),0), INDEX($AD$1004:$AU$1004,1,MATCH(COLUMNS($AD$1006:AM1006),$AD$1006:$AU$1006,0)))),"Fix")))</f>
        <v xml:space="preserve"> </v>
      </c>
      <c r="L436" s="4" t="str">
        <f ca="1">IF(OR(INDEX($X$2:$X$1001,MATCH(ROWS($W$2:W436),$W$2:$W$1001,0),1)&gt;=100000,INDEX($AD$1005:$AU$1005,1,MATCH(COLUMNS($AD$1006:AN1006),$AD$1006:$AU$1006,0))&gt;=100000), " ",IF(INDEX($AD$2:$AU$1001,MATCH(ROWS($W$2:W436),$W$2:$W$1001,0),MATCH(COLUMNS($AD$1006:AN1006),$AD$1006:$AU$1006,0)), HYPERLINK("#",""), HYPERLINK(CONCATENATE("#metadata!", ADDRESS(INDEX($Y$2:$Y$1001,MATCH(ROWS($W$2:W436),$W$2:$W$1001,0),0), INDEX($AD$1004:$AU$1004,1,MATCH(COLUMNS($AD$1006:AN1006),$AD$1006:$AU$1006,0)))),"Fix")))</f>
        <v xml:space="preserve"> </v>
      </c>
      <c r="M436" s="4" t="str">
        <f ca="1">IF(OR(INDEX($X$2:$X$1001,MATCH(ROWS($W$2:W436),$W$2:$W$1001,0),1)&gt;=100000,INDEX($AD$1005:$AU$1005,1,MATCH(COLUMNS($AD$1006:AO1006),$AD$1006:$AU$1006,0))&gt;=100000), " ",IF(INDEX($AD$2:$AU$1001,MATCH(ROWS($W$2:W436),$W$2:$W$1001,0),MATCH(COLUMNS($AD$1006:AO1006),$AD$1006:$AU$1006,0)), HYPERLINK("#",""), HYPERLINK(CONCATENATE("#metadata!", ADDRESS(INDEX($Y$2:$Y$1001,MATCH(ROWS($W$2:W436),$W$2:$W$1001,0),0), INDEX($AD$1004:$AU$1004,1,MATCH(COLUMNS($AD$1006:AO1006),$AD$1006:$AU$1006,0)))),"Fix")))</f>
        <v xml:space="preserve"> </v>
      </c>
      <c r="N436" s="4" t="str">
        <f ca="1">IF(OR(INDEX($X$2:$X$1001,MATCH(ROWS($W$2:W436),$W$2:$W$1001,0),1)&gt;=100000,INDEX($AD$1005:$AU$1005,1,MATCH(COLUMNS($AD$1006:AP1006),$AD$1006:$AU$1006,0))&gt;=100000), " ",IF(INDEX($AD$2:$AU$1001,MATCH(ROWS($W$2:W436),$W$2:$W$1001,0),MATCH(COLUMNS($AD$1006:AP1006),$AD$1006:$AU$1006,0)), HYPERLINK("#",""), HYPERLINK(CONCATENATE("#metadata!", ADDRESS(INDEX($Y$2:$Y$1001,MATCH(ROWS($W$2:W436),$W$2:$W$1001,0),0), INDEX($AD$1004:$AU$1004,1,MATCH(COLUMNS($AD$1006:AP1006),$AD$1006:$AU$1006,0)))),"Fix")))</f>
        <v xml:space="preserve"> </v>
      </c>
      <c r="O436" s="4" t="str">
        <f ca="1">IF(OR(INDEX($X$2:$X$1001,MATCH(ROWS($W$2:W436),$W$2:$W$1001,0),1)&gt;=100000,INDEX($AD$1005:$AU$1005,1,MATCH(COLUMNS($AD$1006:AQ1006),$AD$1006:$AU$1006,0))&gt;=100000), " ",IF(INDEX($AD$2:$AU$1001,MATCH(ROWS($W$2:W436),$W$2:$W$1001,0),MATCH(COLUMNS($AD$1006:AQ1006),$AD$1006:$AU$1006,0)), HYPERLINK("#",""), HYPERLINK(CONCATENATE("#metadata!", ADDRESS(INDEX($Y$2:$Y$1001,MATCH(ROWS($W$2:W436),$W$2:$W$1001,0),0), INDEX($AD$1004:$AU$1004,1,MATCH(COLUMNS($AD$1006:AQ1006),$AD$1006:$AU$1006,0)))),"Fix")))</f>
        <v xml:space="preserve"> </v>
      </c>
      <c r="P436" s="4" t="str">
        <f ca="1">IF(OR(INDEX($X$2:$X$1001,MATCH(ROWS($W$2:W436),$W$2:$W$1001,0),1)&gt;=100000,INDEX($AD$1005:$AU$1005,1,MATCH(COLUMNS($AD$1006:AR1006),$AD$1006:$AU$1006,0))&gt;=100000), " ",IF(INDEX($AD$2:$AU$1001,MATCH(ROWS($W$2:W436),$W$2:$W$1001,0),MATCH(COLUMNS($AD$1006:AR1006),$AD$1006:$AU$1006,0)), HYPERLINK("#",""), HYPERLINK(CONCATENATE("#metadata!", ADDRESS(INDEX($Y$2:$Y$1001,MATCH(ROWS($W$2:W436),$W$2:$W$1001,0),0), INDEX($AD$1004:$AU$1004,1,MATCH(COLUMNS($AD$1006:AR1006),$AD$1006:$AU$1006,0)))),"Fix")))</f>
        <v xml:space="preserve"> </v>
      </c>
      <c r="Q436" s="4" t="str">
        <f ca="1">IF(OR(INDEX($X$2:$X$1001,MATCH(ROWS($W$2:W436),$W$2:$W$1001,0),1)&gt;=100000,INDEX($AD$1005:$AU$1005,1,MATCH(COLUMNS($AD$1006:AS1006),$AD$1006:$AU$1006,0))&gt;=100000), " ",IF(INDEX($AD$2:$AU$1001,MATCH(ROWS($W$2:W436),$W$2:$W$1001,0),MATCH(COLUMNS($AD$1006:AS1006),$AD$1006:$AU$1006,0)), HYPERLINK("#",""), HYPERLINK(CONCATENATE("#metadata!", ADDRESS(INDEX($Y$2:$Y$1001,MATCH(ROWS($W$2:W436),$W$2:$W$1001,0),0), INDEX($AD$1004:$AU$1004,1,MATCH(COLUMNS($AD$1006:AS1006),$AD$1006:$AU$1006,0)))),"Fix")))</f>
        <v xml:space="preserve"> </v>
      </c>
      <c r="R436" s="4" t="str">
        <f ca="1">IF(OR(INDEX($X$2:$X$1001,MATCH(ROWS($W$2:W436),$W$2:$W$1001,0),1)&gt;=100000,INDEX($AD$1005:$AU$1005,1,MATCH(COLUMNS($AD$1006:AT1006),$AD$1006:$AU$1006,0))&gt;=100000), " ",IF(INDEX($AD$2:$AU$1001,MATCH(ROWS($W$2:W436),$W$2:$W$1001,0),MATCH(COLUMNS($AD$1006:AT1006),$AD$1006:$AU$1006,0)), HYPERLINK("#",""), HYPERLINK(CONCATENATE("#metadata!", ADDRESS(INDEX($Y$2:$Y$1001,MATCH(ROWS($W$2:W436),$W$2:$W$1001,0),0), INDEX($AD$1004:$AU$1004,1,MATCH(COLUMNS($AD$1006:AT1006),$AD$1006:$AU$1006,0)))),"Fix")))</f>
        <v xml:space="preserve"> </v>
      </c>
      <c r="S436" s="4" t="str">
        <f ca="1">IF(OR(INDEX($X$2:$X$1001,MATCH(ROWS($W$2:W436),$W$2:$W$1001,0),1)&gt;=100000,INDEX($AD$1005:$AU$1005,1,MATCH(COLUMNS($AD$1006:AU1006),$AD$1006:$AU$1006,0))&gt;=100000), " ",IF(INDEX($AD$2:$AU$1001,MATCH(ROWS($W$2:W436),$W$2:$W$1001,0),MATCH(COLUMNS($AD$1006:AU1006),$AD$1006:$AU$1006,0)), HYPERLINK("#",""), HYPERLINK(CONCATENATE("#metadata!", ADDRESS(INDEX($Y$2:$Y$1001,MATCH(ROWS($W$2:W436),$W$2:$W$1001,0),0), INDEX($AD$1004:$AU$1004,1,MATCH(COLUMNS($AD$1006:AU1006),$AD$1006:$AU$1006,0)))),"Fix")))</f>
        <v xml:space="preserve"> </v>
      </c>
      <c r="W436">
        <v>435</v>
      </c>
      <c r="X436">
        <v>100436</v>
      </c>
      <c r="Y436">
        <v>436</v>
      </c>
      <c r="Z436" t="b">
        <f t="shared" si="6"/>
        <v>1</v>
      </c>
      <c r="AA436" t="b">
        <f>COUNTBLANK(metadata!B436:S436)=COLUMNS(metadata!B436:S436)</f>
        <v>1</v>
      </c>
      <c r="AB436" t="str">
        <v/>
      </c>
      <c r="AD436" t="b">
        <f ca="1">AND(IF(metadata!B436="",FALSE,TRUE),COUNTIF(metadata!B:B, metadata!B436) = 1,NOT(ISERROR(SUMPRODUCT(SEARCH(MID(metadata!B436,ROW(INDIRECT("1:"&amp;LEN(metadata!B436))), 1),"0123456789abcdefghijklmnopqrstuvwxyzABCDEFGHIJKLMNOPQRSTUVWXYZ.")))))</f>
        <v>0</v>
      </c>
      <c r="AE436" t="b">
        <f>OR(AND(IF(metadata!C436="",FALSE,TRUE),OR(EXACT(metadata!C436,"not applicable"),EXACT(metadata!C436,"missing: not collected"),EXACT(metadata!C436,"missing: not provided"),EXACT(metadata!C436,"missing: restricted access"))),AND(IF(metadata!C436="",FALSE,ISNUMBER(VALUE(metadata!C436))),metadata!C436&gt;0))</f>
        <v>0</v>
      </c>
      <c r="AF436" t="b">
        <f>AND(IF(metadata!D436="",FALSE,TRUE),EXACT(metadata!D436,"missing: not provided"))</f>
        <v>0</v>
      </c>
      <c r="AG436" t="b">
        <f>AND(IF(metadata!E436="",FALSE,TRUE),EXACT(metadata!E436,"Host-associated"))</f>
        <v>0</v>
      </c>
      <c r="AH436" t="b">
        <f>AND(IF(metadata!F436="",FALSE,TRUE),OR(EXACT(metadata!F436,"Animal"),EXACT(metadata!F436,"Fungus"),EXACT(metadata!F436,"Plant")))</f>
        <v>0</v>
      </c>
      <c r="AI436" t="b">
        <f>AND(IF(metadata!G436="",FALSE,TRUE),OR(EXACT(metadata!G436,"Plant secretion"),EXACT(metadata!G436,"Plant rhizosphere"),EXACT(metadata!G436,"Plant surface"),EXACT(metadata!G436,"Plant corpus"),EXACT(metadata!G436,"Fungus surface"),EXACT(metadata!G436,"Fungus corpus"),EXACT(metadata!G436,"Animal surface"),EXACT(metadata!G436,"Animal proximal gut"),EXACT(metadata!G436,"Animal corpus"),EXACT(metadata!G436,"Animal distal gut"),EXACT(metadata!G436,"Animal secretion")))</f>
        <v>0</v>
      </c>
      <c r="AJ436" t="b">
        <f>OR(AND(IF(metadata!H436="",FALSE,TRUE),OR(EXACT(metadata!H436,"missing: not collected"),EXACT(metadata!H436,"missing: not provided"),EXACT(metadata!H436,"missing: restricted access"))),AND(IF(metadata!H436="",FALSE,TRUE),OR(EXACT(metadata!H436,"organism-associated habitat"),EXACT(metadata!H436,"plant-associated habitat"),EXACT(metadata!H436,"animal-associated habitat"),EXACT(metadata!H436,"insecta-associated habitat"),EXACT(metadata!H436,"mammalia-associated habitat"),EXACT(metadata!H436,"human-associated habitat"),EXACT(metadata!H436,"livestock-associated habitat"))))</f>
        <v>0</v>
      </c>
      <c r="AK436" t="b">
        <f>AND(IF(metadata!I436="",FALSE,TRUE),EXACT(metadata!I436,"host-associated"))</f>
        <v>0</v>
      </c>
      <c r="AL436" t="b">
        <f>OR(AND(IF(metadata!J436="",FALSE,TRUE),OR(EXACT(metadata!J436,"not applicable"),EXACT(metadata!J436,"missing: not collected"),EXACT(metadata!J436,"missing: not provided"),EXACT(metadata!J436,"missing: restricted access"))),AND(IF(metadata!J436="",FALSE,ISNUMBER(VALUE(metadata!J436))),metadata!J436&gt;0))</f>
        <v>0</v>
      </c>
      <c r="AM436" t="b">
        <f>AND(IF(metadata!K436="",FALSE,TRUE),EXACT(metadata!K436,"missing: not provided"))</f>
        <v>0</v>
      </c>
      <c r="AN436" t="b">
        <f>IF(metadata!L436="",FALSE,TRUE)</f>
        <v>0</v>
      </c>
      <c r="AO436" t="b">
        <f>IF(metadata!M436="",FALSE,TRUE)</f>
        <v>0</v>
      </c>
      <c r="AP436" t="b">
        <f>OR(AND(IF(metadata!N436="",FALSE,TRUE),OR(EXACT(metadata!N436,"not applicable"),EXACT(metadata!N436,"missing: not collected"),EXACT(metadata!N436,"missing: not provided"))),AND(IF(metadata!N436="",FALSE,IF(ISERROR(INT(metadata!N436)),FALSE,INT(metadata!N436)=metadata!N436)),metadata!N436&gt;0))</f>
        <v>0</v>
      </c>
      <c r="AQ436" t="b">
        <f>AND(IF(metadata!O436="",FALSE,TRUE),EXACT(metadata!O436,"Not applicable"))</f>
        <v>0</v>
      </c>
      <c r="AR436" t="b">
        <f>OR(AND(IF(metadata!P436="",FALSE,TRUE),OR(EXACT(metadata!P436,"not applicable"),EXACT(metadata!P436,"missing: not collected"),EXACT(metadata!P436,"missing: not provided"),EXACT(metadata!P436,"missing: restricted access"))),IF(metadata!P436="",FALSE,IF(ISERROR(INT(metadata!P436)),FALSE,INT(metadata!P436)=metadata!P436)))</f>
        <v>0</v>
      </c>
      <c r="AS436" t="b">
        <f>AND(IF(metadata!Q436="",FALSE,TRUE),EXACT(metadata!Q436,"Not applicable"))</f>
        <v>0</v>
      </c>
      <c r="AT436" t="b">
        <f>OR(AND(IF(metadata!R436="",FALSE,TRUE),OR(EXACT(metadata!R436,"not applicable"),EXACT(metadata!R436,"missing: not collected"),EXACT(metadata!R436,"missing: not provided"),EXACT(metadata!R436,"missing: restricted access"))),AND(IF(metadata!R436="",FALSE,ISNUMBER(VALUE(metadata!R436))),metadata!R436&gt;0))</f>
        <v>0</v>
      </c>
      <c r="AU436" t="b">
        <f>AND(IF(metadata!S436="",FALSE,TRUE),EXACT(metadata!S436,"missing: not provided"))</f>
        <v>0</v>
      </c>
    </row>
    <row r="437" spans="1:47" x14ac:dyDescent="0.2">
      <c r="A437" s="5" t="str">
        <f ca="1">IF(B437=" "," ",HYPERLINK(CONCATENATE("#metadata!",ADDRESS(INDEX($Y$2:$Y$1001,MATCH(ROWS($W$2:W437),$W$2:$W$1001,0),0),1)),INDEX($AB$2:$AB$1001,MATCH(ROWS($W$2:W437),$W$2:$W$1001,0),0)))</f>
        <v xml:space="preserve"> </v>
      </c>
      <c r="B437" s="4" t="str">
        <f ca="1">IF(OR(INDEX($X$2:$X$1001,MATCH(ROWS($W$2:W437),$W$2:$W$1001,0),1)&gt;=100000,INDEX($AD$1005:$AU$1005,1,MATCH(COLUMNS($AD$1006:AD1006),$AD$1006:$AU$1006,0))&gt;=100000), " ",IF(INDEX($AD$2:$AU$1001,MATCH(ROWS($W$2:W437),$W$2:$W$1001,0),MATCH(COLUMNS($AD$1006:AD1006),$AD$1006:$AU$1006,0)), HYPERLINK("#",""), HYPERLINK(CONCATENATE("#metadata!", ADDRESS(INDEX($Y$2:$Y$1001,MATCH(ROWS($W$2:W437),$W$2:$W$1001,0),0), INDEX($AD$1004:$AU$1004,1,MATCH(COLUMNS($AD$1006:AD1006),$AD$1006:$AU$1006,0)))),"Fix")))</f>
        <v xml:space="preserve"> </v>
      </c>
      <c r="C437" s="4" t="str">
        <f ca="1">IF(OR(INDEX($X$2:$X$1001,MATCH(ROWS($W$2:W437),$W$2:$W$1001,0),1)&gt;=100000,INDEX($AD$1005:$AU$1005,1,MATCH(COLUMNS($AD$1006:AE1006),$AD$1006:$AU$1006,0))&gt;=100000), " ",IF(INDEX($AD$2:$AU$1001,MATCH(ROWS($W$2:W437),$W$2:$W$1001,0),MATCH(COLUMNS($AD$1006:AE1006),$AD$1006:$AU$1006,0)), HYPERLINK("#",""), HYPERLINK(CONCATENATE("#metadata!", ADDRESS(INDEX($Y$2:$Y$1001,MATCH(ROWS($W$2:W437),$W$2:$W$1001,0),0), INDEX($AD$1004:$AU$1004,1,MATCH(COLUMNS($AD$1006:AE1006),$AD$1006:$AU$1006,0)))),"Fix")))</f>
        <v xml:space="preserve"> </v>
      </c>
      <c r="D437" s="4" t="str">
        <f ca="1">IF(OR(INDEX($X$2:$X$1001,MATCH(ROWS($W$2:W437),$W$2:$W$1001,0),1)&gt;=100000,INDEX($AD$1005:$AU$1005,1,MATCH(COLUMNS($AD$1006:AF1006),$AD$1006:$AU$1006,0))&gt;=100000), " ",IF(INDEX($AD$2:$AU$1001,MATCH(ROWS($W$2:W437),$W$2:$W$1001,0),MATCH(COLUMNS($AD$1006:AF1006),$AD$1006:$AU$1006,0)), HYPERLINK("#",""), HYPERLINK(CONCATENATE("#metadata!", ADDRESS(INDEX($Y$2:$Y$1001,MATCH(ROWS($W$2:W437),$W$2:$W$1001,0),0), INDEX($AD$1004:$AU$1004,1,MATCH(COLUMNS($AD$1006:AF1006),$AD$1006:$AU$1006,0)))),"Fix")))</f>
        <v xml:space="preserve"> </v>
      </c>
      <c r="E437" s="4" t="str">
        <f ca="1">IF(OR(INDEX($X$2:$X$1001,MATCH(ROWS($W$2:W437),$W$2:$W$1001,0),1)&gt;=100000,INDEX($AD$1005:$AU$1005,1,MATCH(COLUMNS($AD$1006:AG1006),$AD$1006:$AU$1006,0))&gt;=100000), " ",IF(INDEX($AD$2:$AU$1001,MATCH(ROWS($W$2:W437),$W$2:$W$1001,0),MATCH(COLUMNS($AD$1006:AG1006),$AD$1006:$AU$1006,0)), HYPERLINK("#",""), HYPERLINK(CONCATENATE("#metadata!", ADDRESS(INDEX($Y$2:$Y$1001,MATCH(ROWS($W$2:W437),$W$2:$W$1001,0),0), INDEX($AD$1004:$AU$1004,1,MATCH(COLUMNS($AD$1006:AG1006),$AD$1006:$AU$1006,0)))),"Fix")))</f>
        <v xml:space="preserve"> </v>
      </c>
      <c r="F437" s="4" t="str">
        <f ca="1">IF(OR(INDEX($X$2:$X$1001,MATCH(ROWS($W$2:W437),$W$2:$W$1001,0),1)&gt;=100000,INDEX($AD$1005:$AU$1005,1,MATCH(COLUMNS($AD$1006:AH1006),$AD$1006:$AU$1006,0))&gt;=100000), " ",IF(INDEX($AD$2:$AU$1001,MATCH(ROWS($W$2:W437),$W$2:$W$1001,0),MATCH(COLUMNS($AD$1006:AH1006),$AD$1006:$AU$1006,0)), HYPERLINK("#",""), HYPERLINK(CONCATENATE("#metadata!", ADDRESS(INDEX($Y$2:$Y$1001,MATCH(ROWS($W$2:W437),$W$2:$W$1001,0),0), INDEX($AD$1004:$AU$1004,1,MATCH(COLUMNS($AD$1006:AH1006),$AD$1006:$AU$1006,0)))),"Fix")))</f>
        <v xml:space="preserve"> </v>
      </c>
      <c r="G437" s="4" t="str">
        <f ca="1">IF(OR(INDEX($X$2:$X$1001,MATCH(ROWS($W$2:W437),$W$2:$W$1001,0),1)&gt;=100000,INDEX($AD$1005:$AU$1005,1,MATCH(COLUMNS($AD$1006:AI1006),$AD$1006:$AU$1006,0))&gt;=100000), " ",IF(INDEX($AD$2:$AU$1001,MATCH(ROWS($W$2:W437),$W$2:$W$1001,0),MATCH(COLUMNS($AD$1006:AI1006),$AD$1006:$AU$1006,0)), HYPERLINK("#",""), HYPERLINK(CONCATENATE("#metadata!", ADDRESS(INDEX($Y$2:$Y$1001,MATCH(ROWS($W$2:W437),$W$2:$W$1001,0),0), INDEX($AD$1004:$AU$1004,1,MATCH(COLUMNS($AD$1006:AI1006),$AD$1006:$AU$1006,0)))),"Fix")))</f>
        <v xml:space="preserve"> </v>
      </c>
      <c r="H437" s="4" t="str">
        <f ca="1">IF(OR(INDEX($X$2:$X$1001,MATCH(ROWS($W$2:W437),$W$2:$W$1001,0),1)&gt;=100000,INDEX($AD$1005:$AU$1005,1,MATCH(COLUMNS($AD$1006:AJ1006),$AD$1006:$AU$1006,0))&gt;=100000), " ",IF(INDEX($AD$2:$AU$1001,MATCH(ROWS($W$2:W437),$W$2:$W$1001,0),MATCH(COLUMNS($AD$1006:AJ1006),$AD$1006:$AU$1006,0)), HYPERLINK("#",""), HYPERLINK(CONCATENATE("#metadata!", ADDRESS(INDEX($Y$2:$Y$1001,MATCH(ROWS($W$2:W437),$W$2:$W$1001,0),0), INDEX($AD$1004:$AU$1004,1,MATCH(COLUMNS($AD$1006:AJ1006),$AD$1006:$AU$1006,0)))),"Fix")))</f>
        <v xml:space="preserve"> </v>
      </c>
      <c r="I437" s="4" t="str">
        <f ca="1">IF(OR(INDEX($X$2:$X$1001,MATCH(ROWS($W$2:W437),$W$2:$W$1001,0),1)&gt;=100000,INDEX($AD$1005:$AU$1005,1,MATCH(COLUMNS($AD$1006:AK1006),$AD$1006:$AU$1006,0))&gt;=100000), " ",IF(INDEX($AD$2:$AU$1001,MATCH(ROWS($W$2:W437),$W$2:$W$1001,0),MATCH(COLUMNS($AD$1006:AK1006),$AD$1006:$AU$1006,0)), HYPERLINK("#",""), HYPERLINK(CONCATENATE("#metadata!", ADDRESS(INDEX($Y$2:$Y$1001,MATCH(ROWS($W$2:W437),$W$2:$W$1001,0),0), INDEX($AD$1004:$AU$1004,1,MATCH(COLUMNS($AD$1006:AK1006),$AD$1006:$AU$1006,0)))),"Fix")))</f>
        <v xml:space="preserve"> </v>
      </c>
      <c r="J437" s="4" t="str">
        <f ca="1">IF(OR(INDEX($X$2:$X$1001,MATCH(ROWS($W$2:W437),$W$2:$W$1001,0),1)&gt;=100000,INDEX($AD$1005:$AU$1005,1,MATCH(COLUMNS($AD$1006:AL1006),$AD$1006:$AU$1006,0))&gt;=100000), " ",IF(INDEX($AD$2:$AU$1001,MATCH(ROWS($W$2:W437),$W$2:$W$1001,0),MATCH(COLUMNS($AD$1006:AL1006),$AD$1006:$AU$1006,0)), HYPERLINK("#",""), HYPERLINK(CONCATENATE("#metadata!", ADDRESS(INDEX($Y$2:$Y$1001,MATCH(ROWS($W$2:W437),$W$2:$W$1001,0),0), INDEX($AD$1004:$AU$1004,1,MATCH(COLUMNS($AD$1006:AL1006),$AD$1006:$AU$1006,0)))),"Fix")))</f>
        <v xml:space="preserve"> </v>
      </c>
      <c r="K437" s="4" t="str">
        <f ca="1">IF(OR(INDEX($X$2:$X$1001,MATCH(ROWS($W$2:W437),$W$2:$W$1001,0),1)&gt;=100000,INDEX($AD$1005:$AU$1005,1,MATCH(COLUMNS($AD$1006:AM1006),$AD$1006:$AU$1006,0))&gt;=100000), " ",IF(INDEX($AD$2:$AU$1001,MATCH(ROWS($W$2:W437),$W$2:$W$1001,0),MATCH(COLUMNS($AD$1006:AM1006),$AD$1006:$AU$1006,0)), HYPERLINK("#",""), HYPERLINK(CONCATENATE("#metadata!", ADDRESS(INDEX($Y$2:$Y$1001,MATCH(ROWS($W$2:W437),$W$2:$W$1001,0),0), INDEX($AD$1004:$AU$1004,1,MATCH(COLUMNS($AD$1006:AM1006),$AD$1006:$AU$1006,0)))),"Fix")))</f>
        <v xml:space="preserve"> </v>
      </c>
      <c r="L437" s="4" t="str">
        <f ca="1">IF(OR(INDEX($X$2:$X$1001,MATCH(ROWS($W$2:W437),$W$2:$W$1001,0),1)&gt;=100000,INDEX($AD$1005:$AU$1005,1,MATCH(COLUMNS($AD$1006:AN1006),$AD$1006:$AU$1006,0))&gt;=100000), " ",IF(INDEX($AD$2:$AU$1001,MATCH(ROWS($W$2:W437),$W$2:$W$1001,0),MATCH(COLUMNS($AD$1006:AN1006),$AD$1006:$AU$1006,0)), HYPERLINK("#",""), HYPERLINK(CONCATENATE("#metadata!", ADDRESS(INDEX($Y$2:$Y$1001,MATCH(ROWS($W$2:W437),$W$2:$W$1001,0),0), INDEX($AD$1004:$AU$1004,1,MATCH(COLUMNS($AD$1006:AN1006),$AD$1006:$AU$1006,0)))),"Fix")))</f>
        <v xml:space="preserve"> </v>
      </c>
      <c r="M437" s="4" t="str">
        <f ca="1">IF(OR(INDEX($X$2:$X$1001,MATCH(ROWS($W$2:W437),$W$2:$W$1001,0),1)&gt;=100000,INDEX($AD$1005:$AU$1005,1,MATCH(COLUMNS($AD$1006:AO1006),$AD$1006:$AU$1006,0))&gt;=100000), " ",IF(INDEX($AD$2:$AU$1001,MATCH(ROWS($W$2:W437),$W$2:$W$1001,0),MATCH(COLUMNS($AD$1006:AO1006),$AD$1006:$AU$1006,0)), HYPERLINK("#",""), HYPERLINK(CONCATENATE("#metadata!", ADDRESS(INDEX($Y$2:$Y$1001,MATCH(ROWS($W$2:W437),$W$2:$W$1001,0),0), INDEX($AD$1004:$AU$1004,1,MATCH(COLUMNS($AD$1006:AO1006),$AD$1006:$AU$1006,0)))),"Fix")))</f>
        <v xml:space="preserve"> </v>
      </c>
      <c r="N437" s="4" t="str">
        <f ca="1">IF(OR(INDEX($X$2:$X$1001,MATCH(ROWS($W$2:W437),$W$2:$W$1001,0),1)&gt;=100000,INDEX($AD$1005:$AU$1005,1,MATCH(COLUMNS($AD$1006:AP1006),$AD$1006:$AU$1006,0))&gt;=100000), " ",IF(INDEX($AD$2:$AU$1001,MATCH(ROWS($W$2:W437),$W$2:$W$1001,0),MATCH(COLUMNS($AD$1006:AP1006),$AD$1006:$AU$1006,0)), HYPERLINK("#",""), HYPERLINK(CONCATENATE("#metadata!", ADDRESS(INDEX($Y$2:$Y$1001,MATCH(ROWS($W$2:W437),$W$2:$W$1001,0),0), INDEX($AD$1004:$AU$1004,1,MATCH(COLUMNS($AD$1006:AP1006),$AD$1006:$AU$1006,0)))),"Fix")))</f>
        <v xml:space="preserve"> </v>
      </c>
      <c r="O437" s="4" t="str">
        <f ca="1">IF(OR(INDEX($X$2:$X$1001,MATCH(ROWS($W$2:W437),$W$2:$W$1001,0),1)&gt;=100000,INDEX($AD$1005:$AU$1005,1,MATCH(COLUMNS($AD$1006:AQ1006),$AD$1006:$AU$1006,0))&gt;=100000), " ",IF(INDEX($AD$2:$AU$1001,MATCH(ROWS($W$2:W437),$W$2:$W$1001,0),MATCH(COLUMNS($AD$1006:AQ1006),$AD$1006:$AU$1006,0)), HYPERLINK("#",""), HYPERLINK(CONCATENATE("#metadata!", ADDRESS(INDEX($Y$2:$Y$1001,MATCH(ROWS($W$2:W437),$W$2:$W$1001,0),0), INDEX($AD$1004:$AU$1004,1,MATCH(COLUMNS($AD$1006:AQ1006),$AD$1006:$AU$1006,0)))),"Fix")))</f>
        <v xml:space="preserve"> </v>
      </c>
      <c r="P437" s="4" t="str">
        <f ca="1">IF(OR(INDEX($X$2:$X$1001,MATCH(ROWS($W$2:W437),$W$2:$W$1001,0),1)&gt;=100000,INDEX($AD$1005:$AU$1005,1,MATCH(COLUMNS($AD$1006:AR1006),$AD$1006:$AU$1006,0))&gt;=100000), " ",IF(INDEX($AD$2:$AU$1001,MATCH(ROWS($W$2:W437),$W$2:$W$1001,0),MATCH(COLUMNS($AD$1006:AR1006),$AD$1006:$AU$1006,0)), HYPERLINK("#",""), HYPERLINK(CONCATENATE("#metadata!", ADDRESS(INDEX($Y$2:$Y$1001,MATCH(ROWS($W$2:W437),$W$2:$W$1001,0),0), INDEX($AD$1004:$AU$1004,1,MATCH(COLUMNS($AD$1006:AR1006),$AD$1006:$AU$1006,0)))),"Fix")))</f>
        <v xml:space="preserve"> </v>
      </c>
      <c r="Q437" s="4" t="str">
        <f ca="1">IF(OR(INDEX($X$2:$X$1001,MATCH(ROWS($W$2:W437),$W$2:$W$1001,0),1)&gt;=100000,INDEX($AD$1005:$AU$1005,1,MATCH(COLUMNS($AD$1006:AS1006),$AD$1006:$AU$1006,0))&gt;=100000), " ",IF(INDEX($AD$2:$AU$1001,MATCH(ROWS($W$2:W437),$W$2:$W$1001,0),MATCH(COLUMNS($AD$1006:AS1006),$AD$1006:$AU$1006,0)), HYPERLINK("#",""), HYPERLINK(CONCATENATE("#metadata!", ADDRESS(INDEX($Y$2:$Y$1001,MATCH(ROWS($W$2:W437),$W$2:$W$1001,0),0), INDEX($AD$1004:$AU$1004,1,MATCH(COLUMNS($AD$1006:AS1006),$AD$1006:$AU$1006,0)))),"Fix")))</f>
        <v xml:space="preserve"> </v>
      </c>
      <c r="R437" s="4" t="str">
        <f ca="1">IF(OR(INDEX($X$2:$X$1001,MATCH(ROWS($W$2:W437),$W$2:$W$1001,0),1)&gt;=100000,INDEX($AD$1005:$AU$1005,1,MATCH(COLUMNS($AD$1006:AT1006),$AD$1006:$AU$1006,0))&gt;=100000), " ",IF(INDEX($AD$2:$AU$1001,MATCH(ROWS($W$2:W437),$W$2:$W$1001,0),MATCH(COLUMNS($AD$1006:AT1006),$AD$1006:$AU$1006,0)), HYPERLINK("#",""), HYPERLINK(CONCATENATE("#metadata!", ADDRESS(INDEX($Y$2:$Y$1001,MATCH(ROWS($W$2:W437),$W$2:$W$1001,0),0), INDEX($AD$1004:$AU$1004,1,MATCH(COLUMNS($AD$1006:AT1006),$AD$1006:$AU$1006,0)))),"Fix")))</f>
        <v xml:space="preserve"> </v>
      </c>
      <c r="S437" s="4" t="str">
        <f ca="1">IF(OR(INDEX($X$2:$X$1001,MATCH(ROWS($W$2:W437),$W$2:$W$1001,0),1)&gt;=100000,INDEX($AD$1005:$AU$1005,1,MATCH(COLUMNS($AD$1006:AU1006),$AD$1006:$AU$1006,0))&gt;=100000), " ",IF(INDEX($AD$2:$AU$1001,MATCH(ROWS($W$2:W437),$W$2:$W$1001,0),MATCH(COLUMNS($AD$1006:AU1006),$AD$1006:$AU$1006,0)), HYPERLINK("#",""), HYPERLINK(CONCATENATE("#metadata!", ADDRESS(INDEX($Y$2:$Y$1001,MATCH(ROWS($W$2:W437),$W$2:$W$1001,0),0), INDEX($AD$1004:$AU$1004,1,MATCH(COLUMNS($AD$1006:AU1006),$AD$1006:$AU$1006,0)))),"Fix")))</f>
        <v xml:space="preserve"> </v>
      </c>
      <c r="W437">
        <v>436</v>
      </c>
      <c r="X437">
        <v>100437</v>
      </c>
      <c r="Y437">
        <v>437</v>
      </c>
      <c r="Z437" t="b">
        <f t="shared" si="6"/>
        <v>1</v>
      </c>
      <c r="AA437" t="b">
        <f>COUNTBLANK(metadata!B437:S437)=COLUMNS(metadata!B437:S437)</f>
        <v>1</v>
      </c>
      <c r="AB437" t="str">
        <v/>
      </c>
      <c r="AD437" t="b">
        <f ca="1">AND(IF(metadata!B437="",FALSE,TRUE),COUNTIF(metadata!B:B, metadata!B437) = 1,NOT(ISERROR(SUMPRODUCT(SEARCH(MID(metadata!B437,ROW(INDIRECT("1:"&amp;LEN(metadata!B437))), 1),"0123456789abcdefghijklmnopqrstuvwxyzABCDEFGHIJKLMNOPQRSTUVWXYZ.")))))</f>
        <v>0</v>
      </c>
      <c r="AE437" t="b">
        <f>OR(AND(IF(metadata!C437="",FALSE,TRUE),OR(EXACT(metadata!C437,"not applicable"),EXACT(metadata!C437,"missing: not collected"),EXACT(metadata!C437,"missing: not provided"),EXACT(metadata!C437,"missing: restricted access"))),AND(IF(metadata!C437="",FALSE,ISNUMBER(VALUE(metadata!C437))),metadata!C437&gt;0))</f>
        <v>0</v>
      </c>
      <c r="AF437" t="b">
        <f>AND(IF(metadata!D437="",FALSE,TRUE),EXACT(metadata!D437,"missing: not provided"))</f>
        <v>0</v>
      </c>
      <c r="AG437" t="b">
        <f>AND(IF(metadata!E437="",FALSE,TRUE),EXACT(metadata!E437,"Host-associated"))</f>
        <v>0</v>
      </c>
      <c r="AH437" t="b">
        <f>AND(IF(metadata!F437="",FALSE,TRUE),OR(EXACT(metadata!F437,"Animal"),EXACT(metadata!F437,"Fungus"),EXACT(metadata!F437,"Plant")))</f>
        <v>0</v>
      </c>
      <c r="AI437" t="b">
        <f>AND(IF(metadata!G437="",FALSE,TRUE),OR(EXACT(metadata!G437,"Plant secretion"),EXACT(metadata!G437,"Plant rhizosphere"),EXACT(metadata!G437,"Plant surface"),EXACT(metadata!G437,"Plant corpus"),EXACT(metadata!G437,"Fungus surface"),EXACT(metadata!G437,"Fungus corpus"),EXACT(metadata!G437,"Animal surface"),EXACT(metadata!G437,"Animal proximal gut"),EXACT(metadata!G437,"Animal corpus"),EXACT(metadata!G437,"Animal distal gut"),EXACT(metadata!G437,"Animal secretion")))</f>
        <v>0</v>
      </c>
      <c r="AJ437" t="b">
        <f>OR(AND(IF(metadata!H437="",FALSE,TRUE),OR(EXACT(metadata!H437,"missing: not collected"),EXACT(metadata!H437,"missing: not provided"),EXACT(metadata!H437,"missing: restricted access"))),AND(IF(metadata!H437="",FALSE,TRUE),OR(EXACT(metadata!H437,"organism-associated habitat"),EXACT(metadata!H437,"plant-associated habitat"),EXACT(metadata!H437,"animal-associated habitat"),EXACT(metadata!H437,"insecta-associated habitat"),EXACT(metadata!H437,"mammalia-associated habitat"),EXACT(metadata!H437,"human-associated habitat"),EXACT(metadata!H437,"livestock-associated habitat"))))</f>
        <v>0</v>
      </c>
      <c r="AK437" t="b">
        <f>AND(IF(metadata!I437="",FALSE,TRUE),EXACT(metadata!I437,"host-associated"))</f>
        <v>0</v>
      </c>
      <c r="AL437" t="b">
        <f>OR(AND(IF(metadata!J437="",FALSE,TRUE),OR(EXACT(metadata!J437,"not applicable"),EXACT(metadata!J437,"missing: not collected"),EXACT(metadata!J437,"missing: not provided"),EXACT(metadata!J437,"missing: restricted access"))),AND(IF(metadata!J437="",FALSE,ISNUMBER(VALUE(metadata!J437))),metadata!J437&gt;0))</f>
        <v>0</v>
      </c>
      <c r="AM437" t="b">
        <f>AND(IF(metadata!K437="",FALSE,TRUE),EXACT(metadata!K437,"missing: not provided"))</f>
        <v>0</v>
      </c>
      <c r="AN437" t="b">
        <f>IF(metadata!L437="",FALSE,TRUE)</f>
        <v>0</v>
      </c>
      <c r="AO437" t="b">
        <f>IF(metadata!M437="",FALSE,TRUE)</f>
        <v>0</v>
      </c>
      <c r="AP437" t="b">
        <f>OR(AND(IF(metadata!N437="",FALSE,TRUE),OR(EXACT(metadata!N437,"not applicable"),EXACT(metadata!N437,"missing: not collected"),EXACT(metadata!N437,"missing: not provided"))),AND(IF(metadata!N437="",FALSE,IF(ISERROR(INT(metadata!N437)),FALSE,INT(metadata!N437)=metadata!N437)),metadata!N437&gt;0))</f>
        <v>0</v>
      </c>
      <c r="AQ437" t="b">
        <f>AND(IF(metadata!O437="",FALSE,TRUE),EXACT(metadata!O437,"Not applicable"))</f>
        <v>0</v>
      </c>
      <c r="AR437" t="b">
        <f>OR(AND(IF(metadata!P437="",FALSE,TRUE),OR(EXACT(metadata!P437,"not applicable"),EXACT(metadata!P437,"missing: not collected"),EXACT(metadata!P437,"missing: not provided"),EXACT(metadata!P437,"missing: restricted access"))),IF(metadata!P437="",FALSE,IF(ISERROR(INT(metadata!P437)),FALSE,INT(metadata!P437)=metadata!P437)))</f>
        <v>0</v>
      </c>
      <c r="AS437" t="b">
        <f>AND(IF(metadata!Q437="",FALSE,TRUE),EXACT(metadata!Q437,"Not applicable"))</f>
        <v>0</v>
      </c>
      <c r="AT437" t="b">
        <f>OR(AND(IF(metadata!R437="",FALSE,TRUE),OR(EXACT(metadata!R437,"not applicable"),EXACT(metadata!R437,"missing: not collected"),EXACT(metadata!R437,"missing: not provided"),EXACT(metadata!R437,"missing: restricted access"))),AND(IF(metadata!R437="",FALSE,ISNUMBER(VALUE(metadata!R437))),metadata!R437&gt;0))</f>
        <v>0</v>
      </c>
      <c r="AU437" t="b">
        <f>AND(IF(metadata!S437="",FALSE,TRUE),EXACT(metadata!S437,"missing: not provided"))</f>
        <v>0</v>
      </c>
    </row>
    <row r="438" spans="1:47" x14ac:dyDescent="0.2">
      <c r="A438" s="5" t="str">
        <f ca="1">IF(B438=" "," ",HYPERLINK(CONCATENATE("#metadata!",ADDRESS(INDEX($Y$2:$Y$1001,MATCH(ROWS($W$2:W438),$W$2:$W$1001,0),0),1)),INDEX($AB$2:$AB$1001,MATCH(ROWS($W$2:W438),$W$2:$W$1001,0),0)))</f>
        <v xml:space="preserve"> </v>
      </c>
      <c r="B438" s="4" t="str">
        <f ca="1">IF(OR(INDEX($X$2:$X$1001,MATCH(ROWS($W$2:W438),$W$2:$W$1001,0),1)&gt;=100000,INDEX($AD$1005:$AU$1005,1,MATCH(COLUMNS($AD$1006:AD1006),$AD$1006:$AU$1006,0))&gt;=100000), " ",IF(INDEX($AD$2:$AU$1001,MATCH(ROWS($W$2:W438),$W$2:$W$1001,0),MATCH(COLUMNS($AD$1006:AD1006),$AD$1006:$AU$1006,0)), HYPERLINK("#",""), HYPERLINK(CONCATENATE("#metadata!", ADDRESS(INDEX($Y$2:$Y$1001,MATCH(ROWS($W$2:W438),$W$2:$W$1001,0),0), INDEX($AD$1004:$AU$1004,1,MATCH(COLUMNS($AD$1006:AD1006),$AD$1006:$AU$1006,0)))),"Fix")))</f>
        <v xml:space="preserve"> </v>
      </c>
      <c r="C438" s="4" t="str">
        <f ca="1">IF(OR(INDEX($X$2:$X$1001,MATCH(ROWS($W$2:W438),$W$2:$W$1001,0),1)&gt;=100000,INDEX($AD$1005:$AU$1005,1,MATCH(COLUMNS($AD$1006:AE1006),$AD$1006:$AU$1006,0))&gt;=100000), " ",IF(INDEX($AD$2:$AU$1001,MATCH(ROWS($W$2:W438),$W$2:$W$1001,0),MATCH(COLUMNS($AD$1006:AE1006),$AD$1006:$AU$1006,0)), HYPERLINK("#",""), HYPERLINK(CONCATENATE("#metadata!", ADDRESS(INDEX($Y$2:$Y$1001,MATCH(ROWS($W$2:W438),$W$2:$W$1001,0),0), INDEX($AD$1004:$AU$1004,1,MATCH(COLUMNS($AD$1006:AE1006),$AD$1006:$AU$1006,0)))),"Fix")))</f>
        <v xml:space="preserve"> </v>
      </c>
      <c r="D438" s="4" t="str">
        <f ca="1">IF(OR(INDEX($X$2:$X$1001,MATCH(ROWS($W$2:W438),$W$2:$W$1001,0),1)&gt;=100000,INDEX($AD$1005:$AU$1005,1,MATCH(COLUMNS($AD$1006:AF1006),$AD$1006:$AU$1006,0))&gt;=100000), " ",IF(INDEX($AD$2:$AU$1001,MATCH(ROWS($W$2:W438),$W$2:$W$1001,0),MATCH(COLUMNS($AD$1006:AF1006),$AD$1006:$AU$1006,0)), HYPERLINK("#",""), HYPERLINK(CONCATENATE("#metadata!", ADDRESS(INDEX($Y$2:$Y$1001,MATCH(ROWS($W$2:W438),$W$2:$W$1001,0),0), INDEX($AD$1004:$AU$1004,1,MATCH(COLUMNS($AD$1006:AF1006),$AD$1006:$AU$1006,0)))),"Fix")))</f>
        <v xml:space="preserve"> </v>
      </c>
      <c r="E438" s="4" t="str">
        <f ca="1">IF(OR(INDEX($X$2:$X$1001,MATCH(ROWS($W$2:W438),$W$2:$W$1001,0),1)&gt;=100000,INDEX($AD$1005:$AU$1005,1,MATCH(COLUMNS($AD$1006:AG1006),$AD$1006:$AU$1006,0))&gt;=100000), " ",IF(INDEX($AD$2:$AU$1001,MATCH(ROWS($W$2:W438),$W$2:$W$1001,0),MATCH(COLUMNS($AD$1006:AG1006),$AD$1006:$AU$1006,0)), HYPERLINK("#",""), HYPERLINK(CONCATENATE("#metadata!", ADDRESS(INDEX($Y$2:$Y$1001,MATCH(ROWS($W$2:W438),$W$2:$W$1001,0),0), INDEX($AD$1004:$AU$1004,1,MATCH(COLUMNS($AD$1006:AG1006),$AD$1006:$AU$1006,0)))),"Fix")))</f>
        <v xml:space="preserve"> </v>
      </c>
      <c r="F438" s="4" t="str">
        <f ca="1">IF(OR(INDEX($X$2:$X$1001,MATCH(ROWS($W$2:W438),$W$2:$W$1001,0),1)&gt;=100000,INDEX($AD$1005:$AU$1005,1,MATCH(COLUMNS($AD$1006:AH1006),$AD$1006:$AU$1006,0))&gt;=100000), " ",IF(INDEX($AD$2:$AU$1001,MATCH(ROWS($W$2:W438),$W$2:$W$1001,0),MATCH(COLUMNS($AD$1006:AH1006),$AD$1006:$AU$1006,0)), HYPERLINK("#",""), HYPERLINK(CONCATENATE("#metadata!", ADDRESS(INDEX($Y$2:$Y$1001,MATCH(ROWS($W$2:W438),$W$2:$W$1001,0),0), INDEX($AD$1004:$AU$1004,1,MATCH(COLUMNS($AD$1006:AH1006),$AD$1006:$AU$1006,0)))),"Fix")))</f>
        <v xml:space="preserve"> </v>
      </c>
      <c r="G438" s="4" t="str">
        <f ca="1">IF(OR(INDEX($X$2:$X$1001,MATCH(ROWS($W$2:W438),$W$2:$W$1001,0),1)&gt;=100000,INDEX($AD$1005:$AU$1005,1,MATCH(COLUMNS($AD$1006:AI1006),$AD$1006:$AU$1006,0))&gt;=100000), " ",IF(INDEX($AD$2:$AU$1001,MATCH(ROWS($W$2:W438),$W$2:$W$1001,0),MATCH(COLUMNS($AD$1006:AI1006),$AD$1006:$AU$1006,0)), HYPERLINK("#",""), HYPERLINK(CONCATENATE("#metadata!", ADDRESS(INDEX($Y$2:$Y$1001,MATCH(ROWS($W$2:W438),$W$2:$W$1001,0),0), INDEX($AD$1004:$AU$1004,1,MATCH(COLUMNS($AD$1006:AI1006),$AD$1006:$AU$1006,0)))),"Fix")))</f>
        <v xml:space="preserve"> </v>
      </c>
      <c r="H438" s="4" t="str">
        <f ca="1">IF(OR(INDEX($X$2:$X$1001,MATCH(ROWS($W$2:W438),$W$2:$W$1001,0),1)&gt;=100000,INDEX($AD$1005:$AU$1005,1,MATCH(COLUMNS($AD$1006:AJ1006),$AD$1006:$AU$1006,0))&gt;=100000), " ",IF(INDEX($AD$2:$AU$1001,MATCH(ROWS($W$2:W438),$W$2:$W$1001,0),MATCH(COLUMNS($AD$1006:AJ1006),$AD$1006:$AU$1006,0)), HYPERLINK("#",""), HYPERLINK(CONCATENATE("#metadata!", ADDRESS(INDEX($Y$2:$Y$1001,MATCH(ROWS($W$2:W438),$W$2:$W$1001,0),0), INDEX($AD$1004:$AU$1004,1,MATCH(COLUMNS($AD$1006:AJ1006),$AD$1006:$AU$1006,0)))),"Fix")))</f>
        <v xml:space="preserve"> </v>
      </c>
      <c r="I438" s="4" t="str">
        <f ca="1">IF(OR(INDEX($X$2:$X$1001,MATCH(ROWS($W$2:W438),$W$2:$W$1001,0),1)&gt;=100000,INDEX($AD$1005:$AU$1005,1,MATCH(COLUMNS($AD$1006:AK1006),$AD$1006:$AU$1006,0))&gt;=100000), " ",IF(INDEX($AD$2:$AU$1001,MATCH(ROWS($W$2:W438),$W$2:$W$1001,0),MATCH(COLUMNS($AD$1006:AK1006),$AD$1006:$AU$1006,0)), HYPERLINK("#",""), HYPERLINK(CONCATENATE("#metadata!", ADDRESS(INDEX($Y$2:$Y$1001,MATCH(ROWS($W$2:W438),$W$2:$W$1001,0),0), INDEX($AD$1004:$AU$1004,1,MATCH(COLUMNS($AD$1006:AK1006),$AD$1006:$AU$1006,0)))),"Fix")))</f>
        <v xml:space="preserve"> </v>
      </c>
      <c r="J438" s="4" t="str">
        <f ca="1">IF(OR(INDEX($X$2:$X$1001,MATCH(ROWS($W$2:W438),$W$2:$W$1001,0),1)&gt;=100000,INDEX($AD$1005:$AU$1005,1,MATCH(COLUMNS($AD$1006:AL1006),$AD$1006:$AU$1006,0))&gt;=100000), " ",IF(INDEX($AD$2:$AU$1001,MATCH(ROWS($W$2:W438),$W$2:$W$1001,0),MATCH(COLUMNS($AD$1006:AL1006),$AD$1006:$AU$1006,0)), HYPERLINK("#",""), HYPERLINK(CONCATENATE("#metadata!", ADDRESS(INDEX($Y$2:$Y$1001,MATCH(ROWS($W$2:W438),$W$2:$W$1001,0),0), INDEX($AD$1004:$AU$1004,1,MATCH(COLUMNS($AD$1006:AL1006),$AD$1006:$AU$1006,0)))),"Fix")))</f>
        <v xml:space="preserve"> </v>
      </c>
      <c r="K438" s="4" t="str">
        <f ca="1">IF(OR(INDEX($X$2:$X$1001,MATCH(ROWS($W$2:W438),$W$2:$W$1001,0),1)&gt;=100000,INDEX($AD$1005:$AU$1005,1,MATCH(COLUMNS($AD$1006:AM1006),$AD$1006:$AU$1006,0))&gt;=100000), " ",IF(INDEX($AD$2:$AU$1001,MATCH(ROWS($W$2:W438),$W$2:$W$1001,0),MATCH(COLUMNS($AD$1006:AM1006),$AD$1006:$AU$1006,0)), HYPERLINK("#",""), HYPERLINK(CONCATENATE("#metadata!", ADDRESS(INDEX($Y$2:$Y$1001,MATCH(ROWS($W$2:W438),$W$2:$W$1001,0),0), INDEX($AD$1004:$AU$1004,1,MATCH(COLUMNS($AD$1006:AM1006),$AD$1006:$AU$1006,0)))),"Fix")))</f>
        <v xml:space="preserve"> </v>
      </c>
      <c r="L438" s="4" t="str">
        <f ca="1">IF(OR(INDEX($X$2:$X$1001,MATCH(ROWS($W$2:W438),$W$2:$W$1001,0),1)&gt;=100000,INDEX($AD$1005:$AU$1005,1,MATCH(COLUMNS($AD$1006:AN1006),$AD$1006:$AU$1006,0))&gt;=100000), " ",IF(INDEX($AD$2:$AU$1001,MATCH(ROWS($W$2:W438),$W$2:$W$1001,0),MATCH(COLUMNS($AD$1006:AN1006),$AD$1006:$AU$1006,0)), HYPERLINK("#",""), HYPERLINK(CONCATENATE("#metadata!", ADDRESS(INDEX($Y$2:$Y$1001,MATCH(ROWS($W$2:W438),$W$2:$W$1001,0),0), INDEX($AD$1004:$AU$1004,1,MATCH(COLUMNS($AD$1006:AN1006),$AD$1006:$AU$1006,0)))),"Fix")))</f>
        <v xml:space="preserve"> </v>
      </c>
      <c r="M438" s="4" t="str">
        <f ca="1">IF(OR(INDEX($X$2:$X$1001,MATCH(ROWS($W$2:W438),$W$2:$W$1001,0),1)&gt;=100000,INDEX($AD$1005:$AU$1005,1,MATCH(COLUMNS($AD$1006:AO1006),$AD$1006:$AU$1006,0))&gt;=100000), " ",IF(INDEX($AD$2:$AU$1001,MATCH(ROWS($W$2:W438),$W$2:$W$1001,0),MATCH(COLUMNS($AD$1006:AO1006),$AD$1006:$AU$1006,0)), HYPERLINK("#",""), HYPERLINK(CONCATENATE("#metadata!", ADDRESS(INDEX($Y$2:$Y$1001,MATCH(ROWS($W$2:W438),$W$2:$W$1001,0),0), INDEX($AD$1004:$AU$1004,1,MATCH(COLUMNS($AD$1006:AO1006),$AD$1006:$AU$1006,0)))),"Fix")))</f>
        <v xml:space="preserve"> </v>
      </c>
      <c r="N438" s="4" t="str">
        <f ca="1">IF(OR(INDEX($X$2:$X$1001,MATCH(ROWS($W$2:W438),$W$2:$W$1001,0),1)&gt;=100000,INDEX($AD$1005:$AU$1005,1,MATCH(COLUMNS($AD$1006:AP1006),$AD$1006:$AU$1006,0))&gt;=100000), " ",IF(INDEX($AD$2:$AU$1001,MATCH(ROWS($W$2:W438),$W$2:$W$1001,0),MATCH(COLUMNS($AD$1006:AP1006),$AD$1006:$AU$1006,0)), HYPERLINK("#",""), HYPERLINK(CONCATENATE("#metadata!", ADDRESS(INDEX($Y$2:$Y$1001,MATCH(ROWS($W$2:W438),$W$2:$W$1001,0),0), INDEX($AD$1004:$AU$1004,1,MATCH(COLUMNS($AD$1006:AP1006),$AD$1006:$AU$1006,0)))),"Fix")))</f>
        <v xml:space="preserve"> </v>
      </c>
      <c r="O438" s="4" t="str">
        <f ca="1">IF(OR(INDEX($X$2:$X$1001,MATCH(ROWS($W$2:W438),$W$2:$W$1001,0),1)&gt;=100000,INDEX($AD$1005:$AU$1005,1,MATCH(COLUMNS($AD$1006:AQ1006),$AD$1006:$AU$1006,0))&gt;=100000), " ",IF(INDEX($AD$2:$AU$1001,MATCH(ROWS($W$2:W438),$W$2:$W$1001,0),MATCH(COLUMNS($AD$1006:AQ1006),$AD$1006:$AU$1006,0)), HYPERLINK("#",""), HYPERLINK(CONCATENATE("#metadata!", ADDRESS(INDEX($Y$2:$Y$1001,MATCH(ROWS($W$2:W438),$W$2:$W$1001,0),0), INDEX($AD$1004:$AU$1004,1,MATCH(COLUMNS($AD$1006:AQ1006),$AD$1006:$AU$1006,0)))),"Fix")))</f>
        <v xml:space="preserve"> </v>
      </c>
      <c r="P438" s="4" t="str">
        <f ca="1">IF(OR(INDEX($X$2:$X$1001,MATCH(ROWS($W$2:W438),$W$2:$W$1001,0),1)&gt;=100000,INDEX($AD$1005:$AU$1005,1,MATCH(COLUMNS($AD$1006:AR1006),$AD$1006:$AU$1006,0))&gt;=100000), " ",IF(INDEX($AD$2:$AU$1001,MATCH(ROWS($W$2:W438),$W$2:$W$1001,0),MATCH(COLUMNS($AD$1006:AR1006),$AD$1006:$AU$1006,0)), HYPERLINK("#",""), HYPERLINK(CONCATENATE("#metadata!", ADDRESS(INDEX($Y$2:$Y$1001,MATCH(ROWS($W$2:W438),$W$2:$W$1001,0),0), INDEX($AD$1004:$AU$1004,1,MATCH(COLUMNS($AD$1006:AR1006),$AD$1006:$AU$1006,0)))),"Fix")))</f>
        <v xml:space="preserve"> </v>
      </c>
      <c r="Q438" s="4" t="str">
        <f ca="1">IF(OR(INDEX($X$2:$X$1001,MATCH(ROWS($W$2:W438),$W$2:$W$1001,0),1)&gt;=100000,INDEX($AD$1005:$AU$1005,1,MATCH(COLUMNS($AD$1006:AS1006),$AD$1006:$AU$1006,0))&gt;=100000), " ",IF(INDEX($AD$2:$AU$1001,MATCH(ROWS($W$2:W438),$W$2:$W$1001,0),MATCH(COLUMNS($AD$1006:AS1006),$AD$1006:$AU$1006,0)), HYPERLINK("#",""), HYPERLINK(CONCATENATE("#metadata!", ADDRESS(INDEX($Y$2:$Y$1001,MATCH(ROWS($W$2:W438),$W$2:$W$1001,0),0), INDEX($AD$1004:$AU$1004,1,MATCH(COLUMNS($AD$1006:AS1006),$AD$1006:$AU$1006,0)))),"Fix")))</f>
        <v xml:space="preserve"> </v>
      </c>
      <c r="R438" s="4" t="str">
        <f ca="1">IF(OR(INDEX($X$2:$X$1001,MATCH(ROWS($W$2:W438),$W$2:$W$1001,0),1)&gt;=100000,INDEX($AD$1005:$AU$1005,1,MATCH(COLUMNS($AD$1006:AT1006),$AD$1006:$AU$1006,0))&gt;=100000), " ",IF(INDEX($AD$2:$AU$1001,MATCH(ROWS($W$2:W438),$W$2:$W$1001,0),MATCH(COLUMNS($AD$1006:AT1006),$AD$1006:$AU$1006,0)), HYPERLINK("#",""), HYPERLINK(CONCATENATE("#metadata!", ADDRESS(INDEX($Y$2:$Y$1001,MATCH(ROWS($W$2:W438),$W$2:$W$1001,0),0), INDEX($AD$1004:$AU$1004,1,MATCH(COLUMNS($AD$1006:AT1006),$AD$1006:$AU$1006,0)))),"Fix")))</f>
        <v xml:space="preserve"> </v>
      </c>
      <c r="S438" s="4" t="str">
        <f ca="1">IF(OR(INDEX($X$2:$X$1001,MATCH(ROWS($W$2:W438),$W$2:$W$1001,0),1)&gt;=100000,INDEX($AD$1005:$AU$1005,1,MATCH(COLUMNS($AD$1006:AU1006),$AD$1006:$AU$1006,0))&gt;=100000), " ",IF(INDEX($AD$2:$AU$1001,MATCH(ROWS($W$2:W438),$W$2:$W$1001,0),MATCH(COLUMNS($AD$1006:AU1006),$AD$1006:$AU$1006,0)), HYPERLINK("#",""), HYPERLINK(CONCATENATE("#metadata!", ADDRESS(INDEX($Y$2:$Y$1001,MATCH(ROWS($W$2:W438),$W$2:$W$1001,0),0), INDEX($AD$1004:$AU$1004,1,MATCH(COLUMNS($AD$1006:AU1006),$AD$1006:$AU$1006,0)))),"Fix")))</f>
        <v xml:space="preserve"> </v>
      </c>
      <c r="W438">
        <v>437</v>
      </c>
      <c r="X438">
        <v>100438</v>
      </c>
      <c r="Y438">
        <v>438</v>
      </c>
      <c r="Z438" t="b">
        <f t="shared" si="6"/>
        <v>1</v>
      </c>
      <c r="AA438" t="b">
        <f>COUNTBLANK(metadata!B438:S438)=COLUMNS(metadata!B438:S438)</f>
        <v>1</v>
      </c>
      <c r="AB438" t="str">
        <v/>
      </c>
      <c r="AD438" t="b">
        <f ca="1">AND(IF(metadata!B438="",FALSE,TRUE),COUNTIF(metadata!B:B, metadata!B438) = 1,NOT(ISERROR(SUMPRODUCT(SEARCH(MID(metadata!B438,ROW(INDIRECT("1:"&amp;LEN(metadata!B438))), 1),"0123456789abcdefghijklmnopqrstuvwxyzABCDEFGHIJKLMNOPQRSTUVWXYZ.")))))</f>
        <v>0</v>
      </c>
      <c r="AE438" t="b">
        <f>OR(AND(IF(metadata!C438="",FALSE,TRUE),OR(EXACT(metadata!C438,"not applicable"),EXACT(metadata!C438,"missing: not collected"),EXACT(metadata!C438,"missing: not provided"),EXACT(metadata!C438,"missing: restricted access"))),AND(IF(metadata!C438="",FALSE,ISNUMBER(VALUE(metadata!C438))),metadata!C438&gt;0))</f>
        <v>0</v>
      </c>
      <c r="AF438" t="b">
        <f>AND(IF(metadata!D438="",FALSE,TRUE),EXACT(metadata!D438,"missing: not provided"))</f>
        <v>0</v>
      </c>
      <c r="AG438" t="b">
        <f>AND(IF(metadata!E438="",FALSE,TRUE),EXACT(metadata!E438,"Host-associated"))</f>
        <v>0</v>
      </c>
      <c r="AH438" t="b">
        <f>AND(IF(metadata!F438="",FALSE,TRUE),OR(EXACT(metadata!F438,"Animal"),EXACT(metadata!F438,"Fungus"),EXACT(metadata!F438,"Plant")))</f>
        <v>0</v>
      </c>
      <c r="AI438" t="b">
        <f>AND(IF(metadata!G438="",FALSE,TRUE),OR(EXACT(metadata!G438,"Plant secretion"),EXACT(metadata!G438,"Plant rhizosphere"),EXACT(metadata!G438,"Plant surface"),EXACT(metadata!G438,"Plant corpus"),EXACT(metadata!G438,"Fungus surface"),EXACT(metadata!G438,"Fungus corpus"),EXACT(metadata!G438,"Animal surface"),EXACT(metadata!G438,"Animal proximal gut"),EXACT(metadata!G438,"Animal corpus"),EXACT(metadata!G438,"Animal distal gut"),EXACT(metadata!G438,"Animal secretion")))</f>
        <v>0</v>
      </c>
      <c r="AJ438" t="b">
        <f>OR(AND(IF(metadata!H438="",FALSE,TRUE),OR(EXACT(metadata!H438,"missing: not collected"),EXACT(metadata!H438,"missing: not provided"),EXACT(metadata!H438,"missing: restricted access"))),AND(IF(metadata!H438="",FALSE,TRUE),OR(EXACT(metadata!H438,"organism-associated habitat"),EXACT(metadata!H438,"plant-associated habitat"),EXACT(metadata!H438,"animal-associated habitat"),EXACT(metadata!H438,"insecta-associated habitat"),EXACT(metadata!H438,"mammalia-associated habitat"),EXACT(metadata!H438,"human-associated habitat"),EXACT(metadata!H438,"livestock-associated habitat"))))</f>
        <v>0</v>
      </c>
      <c r="AK438" t="b">
        <f>AND(IF(metadata!I438="",FALSE,TRUE),EXACT(metadata!I438,"host-associated"))</f>
        <v>0</v>
      </c>
      <c r="AL438" t="b">
        <f>OR(AND(IF(metadata!J438="",FALSE,TRUE),OR(EXACT(metadata!J438,"not applicable"),EXACT(metadata!J438,"missing: not collected"),EXACT(metadata!J438,"missing: not provided"),EXACT(metadata!J438,"missing: restricted access"))),AND(IF(metadata!J438="",FALSE,ISNUMBER(VALUE(metadata!J438))),metadata!J438&gt;0))</f>
        <v>0</v>
      </c>
      <c r="AM438" t="b">
        <f>AND(IF(metadata!K438="",FALSE,TRUE),EXACT(metadata!K438,"missing: not provided"))</f>
        <v>0</v>
      </c>
      <c r="AN438" t="b">
        <f>IF(metadata!L438="",FALSE,TRUE)</f>
        <v>0</v>
      </c>
      <c r="AO438" t="b">
        <f>IF(metadata!M438="",FALSE,TRUE)</f>
        <v>0</v>
      </c>
      <c r="AP438" t="b">
        <f>OR(AND(IF(metadata!N438="",FALSE,TRUE),OR(EXACT(metadata!N438,"not applicable"),EXACT(metadata!N438,"missing: not collected"),EXACT(metadata!N438,"missing: not provided"))),AND(IF(metadata!N438="",FALSE,IF(ISERROR(INT(metadata!N438)),FALSE,INT(metadata!N438)=metadata!N438)),metadata!N438&gt;0))</f>
        <v>0</v>
      </c>
      <c r="AQ438" t="b">
        <f>AND(IF(metadata!O438="",FALSE,TRUE),EXACT(metadata!O438,"Not applicable"))</f>
        <v>0</v>
      </c>
      <c r="AR438" t="b">
        <f>OR(AND(IF(metadata!P438="",FALSE,TRUE),OR(EXACT(metadata!P438,"not applicable"),EXACT(metadata!P438,"missing: not collected"),EXACT(metadata!P438,"missing: not provided"),EXACT(metadata!P438,"missing: restricted access"))),IF(metadata!P438="",FALSE,IF(ISERROR(INT(metadata!P438)),FALSE,INT(metadata!P438)=metadata!P438)))</f>
        <v>0</v>
      </c>
      <c r="AS438" t="b">
        <f>AND(IF(metadata!Q438="",FALSE,TRUE),EXACT(metadata!Q438,"Not applicable"))</f>
        <v>0</v>
      </c>
      <c r="AT438" t="b">
        <f>OR(AND(IF(metadata!R438="",FALSE,TRUE),OR(EXACT(metadata!R438,"not applicable"),EXACT(metadata!R438,"missing: not collected"),EXACT(metadata!R438,"missing: not provided"),EXACT(metadata!R438,"missing: restricted access"))),AND(IF(metadata!R438="",FALSE,ISNUMBER(VALUE(metadata!R438))),metadata!R438&gt;0))</f>
        <v>0</v>
      </c>
      <c r="AU438" t="b">
        <f>AND(IF(metadata!S438="",FALSE,TRUE),EXACT(metadata!S438,"missing: not provided"))</f>
        <v>0</v>
      </c>
    </row>
    <row r="439" spans="1:47" x14ac:dyDescent="0.2">
      <c r="A439" s="5" t="str">
        <f ca="1">IF(B439=" "," ",HYPERLINK(CONCATENATE("#metadata!",ADDRESS(INDEX($Y$2:$Y$1001,MATCH(ROWS($W$2:W439),$W$2:$W$1001,0),0),1)),INDEX($AB$2:$AB$1001,MATCH(ROWS($W$2:W439),$W$2:$W$1001,0),0)))</f>
        <v xml:space="preserve"> </v>
      </c>
      <c r="B439" s="4" t="str">
        <f ca="1">IF(OR(INDEX($X$2:$X$1001,MATCH(ROWS($W$2:W439),$W$2:$W$1001,0),1)&gt;=100000,INDEX($AD$1005:$AU$1005,1,MATCH(COLUMNS($AD$1006:AD1006),$AD$1006:$AU$1006,0))&gt;=100000), " ",IF(INDEX($AD$2:$AU$1001,MATCH(ROWS($W$2:W439),$W$2:$W$1001,0),MATCH(COLUMNS($AD$1006:AD1006),$AD$1006:$AU$1006,0)), HYPERLINK("#",""), HYPERLINK(CONCATENATE("#metadata!", ADDRESS(INDEX($Y$2:$Y$1001,MATCH(ROWS($W$2:W439),$W$2:$W$1001,0),0), INDEX($AD$1004:$AU$1004,1,MATCH(COLUMNS($AD$1006:AD1006),$AD$1006:$AU$1006,0)))),"Fix")))</f>
        <v xml:space="preserve"> </v>
      </c>
      <c r="C439" s="4" t="str">
        <f ca="1">IF(OR(INDEX($X$2:$X$1001,MATCH(ROWS($W$2:W439),$W$2:$W$1001,0),1)&gt;=100000,INDEX($AD$1005:$AU$1005,1,MATCH(COLUMNS($AD$1006:AE1006),$AD$1006:$AU$1006,0))&gt;=100000), " ",IF(INDEX($AD$2:$AU$1001,MATCH(ROWS($W$2:W439),$W$2:$W$1001,0),MATCH(COLUMNS($AD$1006:AE1006),$AD$1006:$AU$1006,0)), HYPERLINK("#",""), HYPERLINK(CONCATENATE("#metadata!", ADDRESS(INDEX($Y$2:$Y$1001,MATCH(ROWS($W$2:W439),$W$2:$W$1001,0),0), INDEX($AD$1004:$AU$1004,1,MATCH(COLUMNS($AD$1006:AE1006),$AD$1006:$AU$1006,0)))),"Fix")))</f>
        <v xml:space="preserve"> </v>
      </c>
      <c r="D439" s="4" t="str">
        <f ca="1">IF(OR(INDEX($X$2:$X$1001,MATCH(ROWS($W$2:W439),$W$2:$W$1001,0),1)&gt;=100000,INDEX($AD$1005:$AU$1005,1,MATCH(COLUMNS($AD$1006:AF1006),$AD$1006:$AU$1006,0))&gt;=100000), " ",IF(INDEX($AD$2:$AU$1001,MATCH(ROWS($W$2:W439),$W$2:$W$1001,0),MATCH(COLUMNS($AD$1006:AF1006),$AD$1006:$AU$1006,0)), HYPERLINK("#",""), HYPERLINK(CONCATENATE("#metadata!", ADDRESS(INDEX($Y$2:$Y$1001,MATCH(ROWS($W$2:W439),$W$2:$W$1001,0),0), INDEX($AD$1004:$AU$1004,1,MATCH(COLUMNS($AD$1006:AF1006),$AD$1006:$AU$1006,0)))),"Fix")))</f>
        <v xml:space="preserve"> </v>
      </c>
      <c r="E439" s="4" t="str">
        <f ca="1">IF(OR(INDEX($X$2:$X$1001,MATCH(ROWS($W$2:W439),$W$2:$W$1001,0),1)&gt;=100000,INDEX($AD$1005:$AU$1005,1,MATCH(COLUMNS($AD$1006:AG1006),$AD$1006:$AU$1006,0))&gt;=100000), " ",IF(INDEX($AD$2:$AU$1001,MATCH(ROWS($W$2:W439),$W$2:$W$1001,0),MATCH(COLUMNS($AD$1006:AG1006),$AD$1006:$AU$1006,0)), HYPERLINK("#",""), HYPERLINK(CONCATENATE("#metadata!", ADDRESS(INDEX($Y$2:$Y$1001,MATCH(ROWS($W$2:W439),$W$2:$W$1001,0),0), INDEX($AD$1004:$AU$1004,1,MATCH(COLUMNS($AD$1006:AG1006),$AD$1006:$AU$1006,0)))),"Fix")))</f>
        <v xml:space="preserve"> </v>
      </c>
      <c r="F439" s="4" t="str">
        <f ca="1">IF(OR(INDEX($X$2:$X$1001,MATCH(ROWS($W$2:W439),$W$2:$W$1001,0),1)&gt;=100000,INDEX($AD$1005:$AU$1005,1,MATCH(COLUMNS($AD$1006:AH1006),$AD$1006:$AU$1006,0))&gt;=100000), " ",IF(INDEX($AD$2:$AU$1001,MATCH(ROWS($W$2:W439),$W$2:$W$1001,0),MATCH(COLUMNS($AD$1006:AH1006),$AD$1006:$AU$1006,0)), HYPERLINK("#",""), HYPERLINK(CONCATENATE("#metadata!", ADDRESS(INDEX($Y$2:$Y$1001,MATCH(ROWS($W$2:W439),$W$2:$W$1001,0),0), INDEX($AD$1004:$AU$1004,1,MATCH(COLUMNS($AD$1006:AH1006),$AD$1006:$AU$1006,0)))),"Fix")))</f>
        <v xml:space="preserve"> </v>
      </c>
      <c r="G439" s="4" t="str">
        <f ca="1">IF(OR(INDEX($X$2:$X$1001,MATCH(ROWS($W$2:W439),$W$2:$W$1001,0),1)&gt;=100000,INDEX($AD$1005:$AU$1005,1,MATCH(COLUMNS($AD$1006:AI1006),$AD$1006:$AU$1006,0))&gt;=100000), " ",IF(INDEX($AD$2:$AU$1001,MATCH(ROWS($W$2:W439),$W$2:$W$1001,0),MATCH(COLUMNS($AD$1006:AI1006),$AD$1006:$AU$1006,0)), HYPERLINK("#",""), HYPERLINK(CONCATENATE("#metadata!", ADDRESS(INDEX($Y$2:$Y$1001,MATCH(ROWS($W$2:W439),$W$2:$W$1001,0),0), INDEX($AD$1004:$AU$1004,1,MATCH(COLUMNS($AD$1006:AI1006),$AD$1006:$AU$1006,0)))),"Fix")))</f>
        <v xml:space="preserve"> </v>
      </c>
      <c r="H439" s="4" t="str">
        <f ca="1">IF(OR(INDEX($X$2:$X$1001,MATCH(ROWS($W$2:W439),$W$2:$W$1001,0),1)&gt;=100000,INDEX($AD$1005:$AU$1005,1,MATCH(COLUMNS($AD$1006:AJ1006),$AD$1006:$AU$1006,0))&gt;=100000), " ",IF(INDEX($AD$2:$AU$1001,MATCH(ROWS($W$2:W439),$W$2:$W$1001,0),MATCH(COLUMNS($AD$1006:AJ1006),$AD$1006:$AU$1006,0)), HYPERLINK("#",""), HYPERLINK(CONCATENATE("#metadata!", ADDRESS(INDEX($Y$2:$Y$1001,MATCH(ROWS($W$2:W439),$W$2:$W$1001,0),0), INDEX($AD$1004:$AU$1004,1,MATCH(COLUMNS($AD$1006:AJ1006),$AD$1006:$AU$1006,0)))),"Fix")))</f>
        <v xml:space="preserve"> </v>
      </c>
      <c r="I439" s="4" t="str">
        <f ca="1">IF(OR(INDEX($X$2:$X$1001,MATCH(ROWS($W$2:W439),$W$2:$W$1001,0),1)&gt;=100000,INDEX($AD$1005:$AU$1005,1,MATCH(COLUMNS($AD$1006:AK1006),$AD$1006:$AU$1006,0))&gt;=100000), " ",IF(INDEX($AD$2:$AU$1001,MATCH(ROWS($W$2:W439),$W$2:$W$1001,0),MATCH(COLUMNS($AD$1006:AK1006),$AD$1006:$AU$1006,0)), HYPERLINK("#",""), HYPERLINK(CONCATENATE("#metadata!", ADDRESS(INDEX($Y$2:$Y$1001,MATCH(ROWS($W$2:W439),$W$2:$W$1001,0),0), INDEX($AD$1004:$AU$1004,1,MATCH(COLUMNS($AD$1006:AK1006),$AD$1006:$AU$1006,0)))),"Fix")))</f>
        <v xml:space="preserve"> </v>
      </c>
      <c r="J439" s="4" t="str">
        <f ca="1">IF(OR(INDEX($X$2:$X$1001,MATCH(ROWS($W$2:W439),$W$2:$W$1001,0),1)&gt;=100000,INDEX($AD$1005:$AU$1005,1,MATCH(COLUMNS($AD$1006:AL1006),$AD$1006:$AU$1006,0))&gt;=100000), " ",IF(INDEX($AD$2:$AU$1001,MATCH(ROWS($W$2:W439),$W$2:$W$1001,0),MATCH(COLUMNS($AD$1006:AL1006),$AD$1006:$AU$1006,0)), HYPERLINK("#",""), HYPERLINK(CONCATENATE("#metadata!", ADDRESS(INDEX($Y$2:$Y$1001,MATCH(ROWS($W$2:W439),$W$2:$W$1001,0),0), INDEX($AD$1004:$AU$1004,1,MATCH(COLUMNS($AD$1006:AL1006),$AD$1006:$AU$1006,0)))),"Fix")))</f>
        <v xml:space="preserve"> </v>
      </c>
      <c r="K439" s="4" t="str">
        <f ca="1">IF(OR(INDEX($X$2:$X$1001,MATCH(ROWS($W$2:W439),$W$2:$W$1001,0),1)&gt;=100000,INDEX($AD$1005:$AU$1005,1,MATCH(COLUMNS($AD$1006:AM1006),$AD$1006:$AU$1006,0))&gt;=100000), " ",IF(INDEX($AD$2:$AU$1001,MATCH(ROWS($W$2:W439),$W$2:$W$1001,0),MATCH(COLUMNS($AD$1006:AM1006),$AD$1006:$AU$1006,0)), HYPERLINK("#",""), HYPERLINK(CONCATENATE("#metadata!", ADDRESS(INDEX($Y$2:$Y$1001,MATCH(ROWS($W$2:W439),$W$2:$W$1001,0),0), INDEX($AD$1004:$AU$1004,1,MATCH(COLUMNS($AD$1006:AM1006),$AD$1006:$AU$1006,0)))),"Fix")))</f>
        <v xml:space="preserve"> </v>
      </c>
      <c r="L439" s="4" t="str">
        <f ca="1">IF(OR(INDEX($X$2:$X$1001,MATCH(ROWS($W$2:W439),$W$2:$W$1001,0),1)&gt;=100000,INDEX($AD$1005:$AU$1005,1,MATCH(COLUMNS($AD$1006:AN1006),$AD$1006:$AU$1006,0))&gt;=100000), " ",IF(INDEX($AD$2:$AU$1001,MATCH(ROWS($W$2:W439),$W$2:$W$1001,0),MATCH(COLUMNS($AD$1006:AN1006),$AD$1006:$AU$1006,0)), HYPERLINK("#",""), HYPERLINK(CONCATENATE("#metadata!", ADDRESS(INDEX($Y$2:$Y$1001,MATCH(ROWS($W$2:W439),$W$2:$W$1001,0),0), INDEX($AD$1004:$AU$1004,1,MATCH(COLUMNS($AD$1006:AN1006),$AD$1006:$AU$1006,0)))),"Fix")))</f>
        <v xml:space="preserve"> </v>
      </c>
      <c r="M439" s="4" t="str">
        <f ca="1">IF(OR(INDEX($X$2:$X$1001,MATCH(ROWS($W$2:W439),$W$2:$W$1001,0),1)&gt;=100000,INDEX($AD$1005:$AU$1005,1,MATCH(COLUMNS($AD$1006:AO1006),$AD$1006:$AU$1006,0))&gt;=100000), " ",IF(INDEX($AD$2:$AU$1001,MATCH(ROWS($W$2:W439),$W$2:$W$1001,0),MATCH(COLUMNS($AD$1006:AO1006),$AD$1006:$AU$1006,0)), HYPERLINK("#",""), HYPERLINK(CONCATENATE("#metadata!", ADDRESS(INDEX($Y$2:$Y$1001,MATCH(ROWS($W$2:W439),$W$2:$W$1001,0),0), INDEX($AD$1004:$AU$1004,1,MATCH(COLUMNS($AD$1006:AO1006),$AD$1006:$AU$1006,0)))),"Fix")))</f>
        <v xml:space="preserve"> </v>
      </c>
      <c r="N439" s="4" t="str">
        <f ca="1">IF(OR(INDEX($X$2:$X$1001,MATCH(ROWS($W$2:W439),$W$2:$W$1001,0),1)&gt;=100000,INDEX($AD$1005:$AU$1005,1,MATCH(COLUMNS($AD$1006:AP1006),$AD$1006:$AU$1006,0))&gt;=100000), " ",IF(INDEX($AD$2:$AU$1001,MATCH(ROWS($W$2:W439),$W$2:$W$1001,0),MATCH(COLUMNS($AD$1006:AP1006),$AD$1006:$AU$1006,0)), HYPERLINK("#",""), HYPERLINK(CONCATENATE("#metadata!", ADDRESS(INDEX($Y$2:$Y$1001,MATCH(ROWS($W$2:W439),$W$2:$W$1001,0),0), INDEX($AD$1004:$AU$1004,1,MATCH(COLUMNS($AD$1006:AP1006),$AD$1006:$AU$1006,0)))),"Fix")))</f>
        <v xml:space="preserve"> </v>
      </c>
      <c r="O439" s="4" t="str">
        <f ca="1">IF(OR(INDEX($X$2:$X$1001,MATCH(ROWS($W$2:W439),$W$2:$W$1001,0),1)&gt;=100000,INDEX($AD$1005:$AU$1005,1,MATCH(COLUMNS($AD$1006:AQ1006),$AD$1006:$AU$1006,0))&gt;=100000), " ",IF(INDEX($AD$2:$AU$1001,MATCH(ROWS($W$2:W439),$W$2:$W$1001,0),MATCH(COLUMNS($AD$1006:AQ1006),$AD$1006:$AU$1006,0)), HYPERLINK("#",""), HYPERLINK(CONCATENATE("#metadata!", ADDRESS(INDEX($Y$2:$Y$1001,MATCH(ROWS($W$2:W439),$W$2:$W$1001,0),0), INDEX($AD$1004:$AU$1004,1,MATCH(COLUMNS($AD$1006:AQ1006),$AD$1006:$AU$1006,0)))),"Fix")))</f>
        <v xml:space="preserve"> </v>
      </c>
      <c r="P439" s="4" t="str">
        <f ca="1">IF(OR(INDEX($X$2:$X$1001,MATCH(ROWS($W$2:W439),$W$2:$W$1001,0),1)&gt;=100000,INDEX($AD$1005:$AU$1005,1,MATCH(COLUMNS($AD$1006:AR1006),$AD$1006:$AU$1006,0))&gt;=100000), " ",IF(INDEX($AD$2:$AU$1001,MATCH(ROWS($W$2:W439),$W$2:$W$1001,0),MATCH(COLUMNS($AD$1006:AR1006),$AD$1006:$AU$1006,0)), HYPERLINK("#",""), HYPERLINK(CONCATENATE("#metadata!", ADDRESS(INDEX($Y$2:$Y$1001,MATCH(ROWS($W$2:W439),$W$2:$W$1001,0),0), INDEX($AD$1004:$AU$1004,1,MATCH(COLUMNS($AD$1006:AR1006),$AD$1006:$AU$1006,0)))),"Fix")))</f>
        <v xml:space="preserve"> </v>
      </c>
      <c r="Q439" s="4" t="str">
        <f ca="1">IF(OR(INDEX($X$2:$X$1001,MATCH(ROWS($W$2:W439),$W$2:$W$1001,0),1)&gt;=100000,INDEX($AD$1005:$AU$1005,1,MATCH(COLUMNS($AD$1006:AS1006),$AD$1006:$AU$1006,0))&gt;=100000), " ",IF(INDEX($AD$2:$AU$1001,MATCH(ROWS($W$2:W439),$W$2:$W$1001,0),MATCH(COLUMNS($AD$1006:AS1006),$AD$1006:$AU$1006,0)), HYPERLINK("#",""), HYPERLINK(CONCATENATE("#metadata!", ADDRESS(INDEX($Y$2:$Y$1001,MATCH(ROWS($W$2:W439),$W$2:$W$1001,0),0), INDEX($AD$1004:$AU$1004,1,MATCH(COLUMNS($AD$1006:AS1006),$AD$1006:$AU$1006,0)))),"Fix")))</f>
        <v xml:space="preserve"> </v>
      </c>
      <c r="R439" s="4" t="str">
        <f ca="1">IF(OR(INDEX($X$2:$X$1001,MATCH(ROWS($W$2:W439),$W$2:$W$1001,0),1)&gt;=100000,INDEX($AD$1005:$AU$1005,1,MATCH(COLUMNS($AD$1006:AT1006),$AD$1006:$AU$1006,0))&gt;=100000), " ",IF(INDEX($AD$2:$AU$1001,MATCH(ROWS($W$2:W439),$W$2:$W$1001,0),MATCH(COLUMNS($AD$1006:AT1006),$AD$1006:$AU$1006,0)), HYPERLINK("#",""), HYPERLINK(CONCATENATE("#metadata!", ADDRESS(INDEX($Y$2:$Y$1001,MATCH(ROWS($W$2:W439),$W$2:$W$1001,0),0), INDEX($AD$1004:$AU$1004,1,MATCH(COLUMNS($AD$1006:AT1006),$AD$1006:$AU$1006,0)))),"Fix")))</f>
        <v xml:space="preserve"> </v>
      </c>
      <c r="S439" s="4" t="str">
        <f ca="1">IF(OR(INDEX($X$2:$X$1001,MATCH(ROWS($W$2:W439),$W$2:$W$1001,0),1)&gt;=100000,INDEX($AD$1005:$AU$1005,1,MATCH(COLUMNS($AD$1006:AU1006),$AD$1006:$AU$1006,0))&gt;=100000), " ",IF(INDEX($AD$2:$AU$1001,MATCH(ROWS($W$2:W439),$W$2:$W$1001,0),MATCH(COLUMNS($AD$1006:AU1006),$AD$1006:$AU$1006,0)), HYPERLINK("#",""), HYPERLINK(CONCATENATE("#metadata!", ADDRESS(INDEX($Y$2:$Y$1001,MATCH(ROWS($W$2:W439),$W$2:$W$1001,0),0), INDEX($AD$1004:$AU$1004,1,MATCH(COLUMNS($AD$1006:AU1006),$AD$1006:$AU$1006,0)))),"Fix")))</f>
        <v xml:space="preserve"> </v>
      </c>
      <c r="W439">
        <v>438</v>
      </c>
      <c r="X439">
        <v>100439</v>
      </c>
      <c r="Y439">
        <v>439</v>
      </c>
      <c r="Z439" t="b">
        <f t="shared" si="6"/>
        <v>1</v>
      </c>
      <c r="AA439" t="b">
        <f>COUNTBLANK(metadata!B439:S439)=COLUMNS(metadata!B439:S439)</f>
        <v>1</v>
      </c>
      <c r="AB439" t="str">
        <v/>
      </c>
      <c r="AD439" t="b">
        <f ca="1">AND(IF(metadata!B439="",FALSE,TRUE),COUNTIF(metadata!B:B, metadata!B439) = 1,NOT(ISERROR(SUMPRODUCT(SEARCH(MID(metadata!B439,ROW(INDIRECT("1:"&amp;LEN(metadata!B439))), 1),"0123456789abcdefghijklmnopqrstuvwxyzABCDEFGHIJKLMNOPQRSTUVWXYZ.")))))</f>
        <v>0</v>
      </c>
      <c r="AE439" t="b">
        <f>OR(AND(IF(metadata!C439="",FALSE,TRUE),OR(EXACT(metadata!C439,"not applicable"),EXACT(metadata!C439,"missing: not collected"),EXACT(metadata!C439,"missing: not provided"),EXACT(metadata!C439,"missing: restricted access"))),AND(IF(metadata!C439="",FALSE,ISNUMBER(VALUE(metadata!C439))),metadata!C439&gt;0))</f>
        <v>0</v>
      </c>
      <c r="AF439" t="b">
        <f>AND(IF(metadata!D439="",FALSE,TRUE),EXACT(metadata!D439,"missing: not provided"))</f>
        <v>0</v>
      </c>
      <c r="AG439" t="b">
        <f>AND(IF(metadata!E439="",FALSE,TRUE),EXACT(metadata!E439,"Host-associated"))</f>
        <v>0</v>
      </c>
      <c r="AH439" t="b">
        <f>AND(IF(metadata!F439="",FALSE,TRUE),OR(EXACT(metadata!F439,"Animal"),EXACT(metadata!F439,"Fungus"),EXACT(metadata!F439,"Plant")))</f>
        <v>0</v>
      </c>
      <c r="AI439" t="b">
        <f>AND(IF(metadata!G439="",FALSE,TRUE),OR(EXACT(metadata!G439,"Plant secretion"),EXACT(metadata!G439,"Plant rhizosphere"),EXACT(metadata!G439,"Plant surface"),EXACT(metadata!G439,"Plant corpus"),EXACT(metadata!G439,"Fungus surface"),EXACT(metadata!G439,"Fungus corpus"),EXACT(metadata!G439,"Animal surface"),EXACT(metadata!G439,"Animal proximal gut"),EXACT(metadata!G439,"Animal corpus"),EXACT(metadata!G439,"Animal distal gut"),EXACT(metadata!G439,"Animal secretion")))</f>
        <v>0</v>
      </c>
      <c r="AJ439" t="b">
        <f>OR(AND(IF(metadata!H439="",FALSE,TRUE),OR(EXACT(metadata!H439,"missing: not collected"),EXACT(metadata!H439,"missing: not provided"),EXACT(metadata!H439,"missing: restricted access"))),AND(IF(metadata!H439="",FALSE,TRUE),OR(EXACT(metadata!H439,"organism-associated habitat"),EXACT(metadata!H439,"plant-associated habitat"),EXACT(metadata!H439,"animal-associated habitat"),EXACT(metadata!H439,"insecta-associated habitat"),EXACT(metadata!H439,"mammalia-associated habitat"),EXACT(metadata!H439,"human-associated habitat"),EXACT(metadata!H439,"livestock-associated habitat"))))</f>
        <v>0</v>
      </c>
      <c r="AK439" t="b">
        <f>AND(IF(metadata!I439="",FALSE,TRUE),EXACT(metadata!I439,"host-associated"))</f>
        <v>0</v>
      </c>
      <c r="AL439" t="b">
        <f>OR(AND(IF(metadata!J439="",FALSE,TRUE),OR(EXACT(metadata!J439,"not applicable"),EXACT(metadata!J439,"missing: not collected"),EXACT(metadata!J439,"missing: not provided"),EXACT(metadata!J439,"missing: restricted access"))),AND(IF(metadata!J439="",FALSE,ISNUMBER(VALUE(metadata!J439))),metadata!J439&gt;0))</f>
        <v>0</v>
      </c>
      <c r="AM439" t="b">
        <f>AND(IF(metadata!K439="",FALSE,TRUE),EXACT(metadata!K439,"missing: not provided"))</f>
        <v>0</v>
      </c>
      <c r="AN439" t="b">
        <f>IF(metadata!L439="",FALSE,TRUE)</f>
        <v>0</v>
      </c>
      <c r="AO439" t="b">
        <f>IF(metadata!M439="",FALSE,TRUE)</f>
        <v>0</v>
      </c>
      <c r="AP439" t="b">
        <f>OR(AND(IF(metadata!N439="",FALSE,TRUE),OR(EXACT(metadata!N439,"not applicable"),EXACT(metadata!N439,"missing: not collected"),EXACT(metadata!N439,"missing: not provided"))),AND(IF(metadata!N439="",FALSE,IF(ISERROR(INT(metadata!N439)),FALSE,INT(metadata!N439)=metadata!N439)),metadata!N439&gt;0))</f>
        <v>0</v>
      </c>
      <c r="AQ439" t="b">
        <f>AND(IF(metadata!O439="",FALSE,TRUE),EXACT(metadata!O439,"Not applicable"))</f>
        <v>0</v>
      </c>
      <c r="AR439" t="b">
        <f>OR(AND(IF(metadata!P439="",FALSE,TRUE),OR(EXACT(metadata!P439,"not applicable"),EXACT(metadata!P439,"missing: not collected"),EXACT(metadata!P439,"missing: not provided"),EXACT(metadata!P439,"missing: restricted access"))),IF(metadata!P439="",FALSE,IF(ISERROR(INT(metadata!P439)),FALSE,INT(metadata!P439)=metadata!P439)))</f>
        <v>0</v>
      </c>
      <c r="AS439" t="b">
        <f>AND(IF(metadata!Q439="",FALSE,TRUE),EXACT(metadata!Q439,"Not applicable"))</f>
        <v>0</v>
      </c>
      <c r="AT439" t="b">
        <f>OR(AND(IF(metadata!R439="",FALSE,TRUE),OR(EXACT(metadata!R439,"not applicable"),EXACT(metadata!R439,"missing: not collected"),EXACT(metadata!R439,"missing: not provided"),EXACT(metadata!R439,"missing: restricted access"))),AND(IF(metadata!R439="",FALSE,ISNUMBER(VALUE(metadata!R439))),metadata!R439&gt;0))</f>
        <v>0</v>
      </c>
      <c r="AU439" t="b">
        <f>AND(IF(metadata!S439="",FALSE,TRUE),EXACT(metadata!S439,"missing: not provided"))</f>
        <v>0</v>
      </c>
    </row>
    <row r="440" spans="1:47" x14ac:dyDescent="0.2">
      <c r="A440" s="5" t="str">
        <f ca="1">IF(B440=" "," ",HYPERLINK(CONCATENATE("#metadata!",ADDRESS(INDEX($Y$2:$Y$1001,MATCH(ROWS($W$2:W440),$W$2:$W$1001,0),0),1)),INDEX($AB$2:$AB$1001,MATCH(ROWS($W$2:W440),$W$2:$W$1001,0),0)))</f>
        <v xml:space="preserve"> </v>
      </c>
      <c r="B440" s="4" t="str">
        <f ca="1">IF(OR(INDEX($X$2:$X$1001,MATCH(ROWS($W$2:W440),$W$2:$W$1001,0),1)&gt;=100000,INDEX($AD$1005:$AU$1005,1,MATCH(COLUMNS($AD$1006:AD1006),$AD$1006:$AU$1006,0))&gt;=100000), " ",IF(INDEX($AD$2:$AU$1001,MATCH(ROWS($W$2:W440),$W$2:$W$1001,0),MATCH(COLUMNS($AD$1006:AD1006),$AD$1006:$AU$1006,0)), HYPERLINK("#",""), HYPERLINK(CONCATENATE("#metadata!", ADDRESS(INDEX($Y$2:$Y$1001,MATCH(ROWS($W$2:W440),$W$2:$W$1001,0),0), INDEX($AD$1004:$AU$1004,1,MATCH(COLUMNS($AD$1006:AD1006),$AD$1006:$AU$1006,0)))),"Fix")))</f>
        <v xml:space="preserve"> </v>
      </c>
      <c r="C440" s="4" t="str">
        <f ca="1">IF(OR(INDEX($X$2:$X$1001,MATCH(ROWS($W$2:W440),$W$2:$W$1001,0),1)&gt;=100000,INDEX($AD$1005:$AU$1005,1,MATCH(COLUMNS($AD$1006:AE1006),$AD$1006:$AU$1006,0))&gt;=100000), " ",IF(INDEX($AD$2:$AU$1001,MATCH(ROWS($W$2:W440),$W$2:$W$1001,0),MATCH(COLUMNS($AD$1006:AE1006),$AD$1006:$AU$1006,0)), HYPERLINK("#",""), HYPERLINK(CONCATENATE("#metadata!", ADDRESS(INDEX($Y$2:$Y$1001,MATCH(ROWS($W$2:W440),$W$2:$W$1001,0),0), INDEX($AD$1004:$AU$1004,1,MATCH(COLUMNS($AD$1006:AE1006),$AD$1006:$AU$1006,0)))),"Fix")))</f>
        <v xml:space="preserve"> </v>
      </c>
      <c r="D440" s="4" t="str">
        <f ca="1">IF(OR(INDEX($X$2:$X$1001,MATCH(ROWS($W$2:W440),$W$2:$W$1001,0),1)&gt;=100000,INDEX($AD$1005:$AU$1005,1,MATCH(COLUMNS($AD$1006:AF1006),$AD$1006:$AU$1006,0))&gt;=100000), " ",IF(INDEX($AD$2:$AU$1001,MATCH(ROWS($W$2:W440),$W$2:$W$1001,0),MATCH(COLUMNS($AD$1006:AF1006),$AD$1006:$AU$1006,0)), HYPERLINK("#",""), HYPERLINK(CONCATENATE("#metadata!", ADDRESS(INDEX($Y$2:$Y$1001,MATCH(ROWS($W$2:W440),$W$2:$W$1001,0),0), INDEX($AD$1004:$AU$1004,1,MATCH(COLUMNS($AD$1006:AF1006),$AD$1006:$AU$1006,0)))),"Fix")))</f>
        <v xml:space="preserve"> </v>
      </c>
      <c r="E440" s="4" t="str">
        <f ca="1">IF(OR(INDEX($X$2:$X$1001,MATCH(ROWS($W$2:W440),$W$2:$W$1001,0),1)&gt;=100000,INDEX($AD$1005:$AU$1005,1,MATCH(COLUMNS($AD$1006:AG1006),$AD$1006:$AU$1006,0))&gt;=100000), " ",IF(INDEX($AD$2:$AU$1001,MATCH(ROWS($W$2:W440),$W$2:$W$1001,0),MATCH(COLUMNS($AD$1006:AG1006),$AD$1006:$AU$1006,0)), HYPERLINK("#",""), HYPERLINK(CONCATENATE("#metadata!", ADDRESS(INDEX($Y$2:$Y$1001,MATCH(ROWS($W$2:W440),$W$2:$W$1001,0),0), INDEX($AD$1004:$AU$1004,1,MATCH(COLUMNS($AD$1006:AG1006),$AD$1006:$AU$1006,0)))),"Fix")))</f>
        <v xml:space="preserve"> </v>
      </c>
      <c r="F440" s="4" t="str">
        <f ca="1">IF(OR(INDEX($X$2:$X$1001,MATCH(ROWS($W$2:W440),$W$2:$W$1001,0),1)&gt;=100000,INDEX($AD$1005:$AU$1005,1,MATCH(COLUMNS($AD$1006:AH1006),$AD$1006:$AU$1006,0))&gt;=100000), " ",IF(INDEX($AD$2:$AU$1001,MATCH(ROWS($W$2:W440),$W$2:$W$1001,0),MATCH(COLUMNS($AD$1006:AH1006),$AD$1006:$AU$1006,0)), HYPERLINK("#",""), HYPERLINK(CONCATENATE("#metadata!", ADDRESS(INDEX($Y$2:$Y$1001,MATCH(ROWS($W$2:W440),$W$2:$W$1001,0),0), INDEX($AD$1004:$AU$1004,1,MATCH(COLUMNS($AD$1006:AH1006),$AD$1006:$AU$1006,0)))),"Fix")))</f>
        <v xml:space="preserve"> </v>
      </c>
      <c r="G440" s="4" t="str">
        <f ca="1">IF(OR(INDEX($X$2:$X$1001,MATCH(ROWS($W$2:W440),$W$2:$W$1001,0),1)&gt;=100000,INDEX($AD$1005:$AU$1005,1,MATCH(COLUMNS($AD$1006:AI1006),$AD$1006:$AU$1006,0))&gt;=100000), " ",IF(INDEX($AD$2:$AU$1001,MATCH(ROWS($W$2:W440),$W$2:$W$1001,0),MATCH(COLUMNS($AD$1006:AI1006),$AD$1006:$AU$1006,0)), HYPERLINK("#",""), HYPERLINK(CONCATENATE("#metadata!", ADDRESS(INDEX($Y$2:$Y$1001,MATCH(ROWS($W$2:W440),$W$2:$W$1001,0),0), INDEX($AD$1004:$AU$1004,1,MATCH(COLUMNS($AD$1006:AI1006),$AD$1006:$AU$1006,0)))),"Fix")))</f>
        <v xml:space="preserve"> </v>
      </c>
      <c r="H440" s="4" t="str">
        <f ca="1">IF(OR(INDEX($X$2:$X$1001,MATCH(ROWS($W$2:W440),$W$2:$W$1001,0),1)&gt;=100000,INDEX($AD$1005:$AU$1005,1,MATCH(COLUMNS($AD$1006:AJ1006),$AD$1006:$AU$1006,0))&gt;=100000), " ",IF(INDEX($AD$2:$AU$1001,MATCH(ROWS($W$2:W440),$W$2:$W$1001,0),MATCH(COLUMNS($AD$1006:AJ1006),$AD$1006:$AU$1006,0)), HYPERLINK("#",""), HYPERLINK(CONCATENATE("#metadata!", ADDRESS(INDEX($Y$2:$Y$1001,MATCH(ROWS($W$2:W440),$W$2:$W$1001,0),0), INDEX($AD$1004:$AU$1004,1,MATCH(COLUMNS($AD$1006:AJ1006),$AD$1006:$AU$1006,0)))),"Fix")))</f>
        <v xml:space="preserve"> </v>
      </c>
      <c r="I440" s="4" t="str">
        <f ca="1">IF(OR(INDEX($X$2:$X$1001,MATCH(ROWS($W$2:W440),$W$2:$W$1001,0),1)&gt;=100000,INDEX($AD$1005:$AU$1005,1,MATCH(COLUMNS($AD$1006:AK1006),$AD$1006:$AU$1006,0))&gt;=100000), " ",IF(INDEX($AD$2:$AU$1001,MATCH(ROWS($W$2:W440),$W$2:$W$1001,0),MATCH(COLUMNS($AD$1006:AK1006),$AD$1006:$AU$1006,0)), HYPERLINK("#",""), HYPERLINK(CONCATENATE("#metadata!", ADDRESS(INDEX($Y$2:$Y$1001,MATCH(ROWS($W$2:W440),$W$2:$W$1001,0),0), INDEX($AD$1004:$AU$1004,1,MATCH(COLUMNS($AD$1006:AK1006),$AD$1006:$AU$1006,0)))),"Fix")))</f>
        <v xml:space="preserve"> </v>
      </c>
      <c r="J440" s="4" t="str">
        <f ca="1">IF(OR(INDEX($X$2:$X$1001,MATCH(ROWS($W$2:W440),$W$2:$W$1001,0),1)&gt;=100000,INDEX($AD$1005:$AU$1005,1,MATCH(COLUMNS($AD$1006:AL1006),$AD$1006:$AU$1006,0))&gt;=100000), " ",IF(INDEX($AD$2:$AU$1001,MATCH(ROWS($W$2:W440),$W$2:$W$1001,0),MATCH(COLUMNS($AD$1006:AL1006),$AD$1006:$AU$1006,0)), HYPERLINK("#",""), HYPERLINK(CONCATENATE("#metadata!", ADDRESS(INDEX($Y$2:$Y$1001,MATCH(ROWS($W$2:W440),$W$2:$W$1001,0),0), INDEX($AD$1004:$AU$1004,1,MATCH(COLUMNS($AD$1006:AL1006),$AD$1006:$AU$1006,0)))),"Fix")))</f>
        <v xml:space="preserve"> </v>
      </c>
      <c r="K440" s="4" t="str">
        <f ca="1">IF(OR(INDEX($X$2:$X$1001,MATCH(ROWS($W$2:W440),$W$2:$W$1001,0),1)&gt;=100000,INDEX($AD$1005:$AU$1005,1,MATCH(COLUMNS($AD$1006:AM1006),$AD$1006:$AU$1006,0))&gt;=100000), " ",IF(INDEX($AD$2:$AU$1001,MATCH(ROWS($W$2:W440),$W$2:$W$1001,0),MATCH(COLUMNS($AD$1006:AM1006),$AD$1006:$AU$1006,0)), HYPERLINK("#",""), HYPERLINK(CONCATENATE("#metadata!", ADDRESS(INDEX($Y$2:$Y$1001,MATCH(ROWS($W$2:W440),$W$2:$W$1001,0),0), INDEX($AD$1004:$AU$1004,1,MATCH(COLUMNS($AD$1006:AM1006),$AD$1006:$AU$1006,0)))),"Fix")))</f>
        <v xml:space="preserve"> </v>
      </c>
      <c r="L440" s="4" t="str">
        <f ca="1">IF(OR(INDEX($X$2:$X$1001,MATCH(ROWS($W$2:W440),$W$2:$W$1001,0),1)&gt;=100000,INDEX($AD$1005:$AU$1005,1,MATCH(COLUMNS($AD$1006:AN1006),$AD$1006:$AU$1006,0))&gt;=100000), " ",IF(INDEX($AD$2:$AU$1001,MATCH(ROWS($W$2:W440),$W$2:$W$1001,0),MATCH(COLUMNS($AD$1006:AN1006),$AD$1006:$AU$1006,0)), HYPERLINK("#",""), HYPERLINK(CONCATENATE("#metadata!", ADDRESS(INDEX($Y$2:$Y$1001,MATCH(ROWS($W$2:W440),$W$2:$W$1001,0),0), INDEX($AD$1004:$AU$1004,1,MATCH(COLUMNS($AD$1006:AN1006),$AD$1006:$AU$1006,0)))),"Fix")))</f>
        <v xml:space="preserve"> </v>
      </c>
      <c r="M440" s="4" t="str">
        <f ca="1">IF(OR(INDEX($X$2:$X$1001,MATCH(ROWS($W$2:W440),$W$2:$W$1001,0),1)&gt;=100000,INDEX($AD$1005:$AU$1005,1,MATCH(COLUMNS($AD$1006:AO1006),$AD$1006:$AU$1006,0))&gt;=100000), " ",IF(INDEX($AD$2:$AU$1001,MATCH(ROWS($W$2:W440),$W$2:$W$1001,0),MATCH(COLUMNS($AD$1006:AO1006),$AD$1006:$AU$1006,0)), HYPERLINK("#",""), HYPERLINK(CONCATENATE("#metadata!", ADDRESS(INDEX($Y$2:$Y$1001,MATCH(ROWS($W$2:W440),$W$2:$W$1001,0),0), INDEX($AD$1004:$AU$1004,1,MATCH(COLUMNS($AD$1006:AO1006),$AD$1006:$AU$1006,0)))),"Fix")))</f>
        <v xml:space="preserve"> </v>
      </c>
      <c r="N440" s="4" t="str">
        <f ca="1">IF(OR(INDEX($X$2:$X$1001,MATCH(ROWS($W$2:W440),$W$2:$W$1001,0),1)&gt;=100000,INDEX($AD$1005:$AU$1005,1,MATCH(COLUMNS($AD$1006:AP1006),$AD$1006:$AU$1006,0))&gt;=100000), " ",IF(INDEX($AD$2:$AU$1001,MATCH(ROWS($W$2:W440),$W$2:$W$1001,0),MATCH(COLUMNS($AD$1006:AP1006),$AD$1006:$AU$1006,0)), HYPERLINK("#",""), HYPERLINK(CONCATENATE("#metadata!", ADDRESS(INDEX($Y$2:$Y$1001,MATCH(ROWS($W$2:W440),$W$2:$W$1001,0),0), INDEX($AD$1004:$AU$1004,1,MATCH(COLUMNS($AD$1006:AP1006),$AD$1006:$AU$1006,0)))),"Fix")))</f>
        <v xml:space="preserve"> </v>
      </c>
      <c r="O440" s="4" t="str">
        <f ca="1">IF(OR(INDEX($X$2:$X$1001,MATCH(ROWS($W$2:W440),$W$2:$W$1001,0),1)&gt;=100000,INDEX($AD$1005:$AU$1005,1,MATCH(COLUMNS($AD$1006:AQ1006),$AD$1006:$AU$1006,0))&gt;=100000), " ",IF(INDEX($AD$2:$AU$1001,MATCH(ROWS($W$2:W440),$W$2:$W$1001,0),MATCH(COLUMNS($AD$1006:AQ1006),$AD$1006:$AU$1006,0)), HYPERLINK("#",""), HYPERLINK(CONCATENATE("#metadata!", ADDRESS(INDEX($Y$2:$Y$1001,MATCH(ROWS($W$2:W440),$W$2:$W$1001,0),0), INDEX($AD$1004:$AU$1004,1,MATCH(COLUMNS($AD$1006:AQ1006),$AD$1006:$AU$1006,0)))),"Fix")))</f>
        <v xml:space="preserve"> </v>
      </c>
      <c r="P440" s="4" t="str">
        <f ca="1">IF(OR(INDEX($X$2:$X$1001,MATCH(ROWS($W$2:W440),$W$2:$W$1001,0),1)&gt;=100000,INDEX($AD$1005:$AU$1005,1,MATCH(COLUMNS($AD$1006:AR1006),$AD$1006:$AU$1006,0))&gt;=100000), " ",IF(INDEX($AD$2:$AU$1001,MATCH(ROWS($W$2:W440),$W$2:$W$1001,0),MATCH(COLUMNS($AD$1006:AR1006),$AD$1006:$AU$1006,0)), HYPERLINK("#",""), HYPERLINK(CONCATENATE("#metadata!", ADDRESS(INDEX($Y$2:$Y$1001,MATCH(ROWS($W$2:W440),$W$2:$W$1001,0),0), INDEX($AD$1004:$AU$1004,1,MATCH(COLUMNS($AD$1006:AR1006),$AD$1006:$AU$1006,0)))),"Fix")))</f>
        <v xml:space="preserve"> </v>
      </c>
      <c r="Q440" s="4" t="str">
        <f ca="1">IF(OR(INDEX($X$2:$X$1001,MATCH(ROWS($W$2:W440),$W$2:$W$1001,0),1)&gt;=100000,INDEX($AD$1005:$AU$1005,1,MATCH(COLUMNS($AD$1006:AS1006),$AD$1006:$AU$1006,0))&gt;=100000), " ",IF(INDEX($AD$2:$AU$1001,MATCH(ROWS($W$2:W440),$W$2:$W$1001,0),MATCH(COLUMNS($AD$1006:AS1006),$AD$1006:$AU$1006,0)), HYPERLINK("#",""), HYPERLINK(CONCATENATE("#metadata!", ADDRESS(INDEX($Y$2:$Y$1001,MATCH(ROWS($W$2:W440),$W$2:$W$1001,0),0), INDEX($AD$1004:$AU$1004,1,MATCH(COLUMNS($AD$1006:AS1006),$AD$1006:$AU$1006,0)))),"Fix")))</f>
        <v xml:space="preserve"> </v>
      </c>
      <c r="R440" s="4" t="str">
        <f ca="1">IF(OR(INDEX($X$2:$X$1001,MATCH(ROWS($W$2:W440),$W$2:$W$1001,0),1)&gt;=100000,INDEX($AD$1005:$AU$1005,1,MATCH(COLUMNS($AD$1006:AT1006),$AD$1006:$AU$1006,0))&gt;=100000), " ",IF(INDEX($AD$2:$AU$1001,MATCH(ROWS($W$2:W440),$W$2:$W$1001,0),MATCH(COLUMNS($AD$1006:AT1006),$AD$1006:$AU$1006,0)), HYPERLINK("#",""), HYPERLINK(CONCATENATE("#metadata!", ADDRESS(INDEX($Y$2:$Y$1001,MATCH(ROWS($W$2:W440),$W$2:$W$1001,0),0), INDEX($AD$1004:$AU$1004,1,MATCH(COLUMNS($AD$1006:AT1006),$AD$1006:$AU$1006,0)))),"Fix")))</f>
        <v xml:space="preserve"> </v>
      </c>
      <c r="S440" s="4" t="str">
        <f ca="1">IF(OR(INDEX($X$2:$X$1001,MATCH(ROWS($W$2:W440),$W$2:$W$1001,0),1)&gt;=100000,INDEX($AD$1005:$AU$1005,1,MATCH(COLUMNS($AD$1006:AU1006),$AD$1006:$AU$1006,0))&gt;=100000), " ",IF(INDEX($AD$2:$AU$1001,MATCH(ROWS($W$2:W440),$W$2:$W$1001,0),MATCH(COLUMNS($AD$1006:AU1006),$AD$1006:$AU$1006,0)), HYPERLINK("#",""), HYPERLINK(CONCATENATE("#metadata!", ADDRESS(INDEX($Y$2:$Y$1001,MATCH(ROWS($W$2:W440),$W$2:$W$1001,0),0), INDEX($AD$1004:$AU$1004,1,MATCH(COLUMNS($AD$1006:AU1006),$AD$1006:$AU$1006,0)))),"Fix")))</f>
        <v xml:space="preserve"> </v>
      </c>
      <c r="W440">
        <v>439</v>
      </c>
      <c r="X440">
        <v>100440</v>
      </c>
      <c r="Y440">
        <v>440</v>
      </c>
      <c r="Z440" t="b">
        <f t="shared" si="6"/>
        <v>1</v>
      </c>
      <c r="AA440" t="b">
        <f>COUNTBLANK(metadata!B440:S440)=COLUMNS(metadata!B440:S440)</f>
        <v>1</v>
      </c>
      <c r="AB440" t="str">
        <v/>
      </c>
      <c r="AD440" t="b">
        <f ca="1">AND(IF(metadata!B440="",FALSE,TRUE),COUNTIF(metadata!B:B, metadata!B440) = 1,NOT(ISERROR(SUMPRODUCT(SEARCH(MID(metadata!B440,ROW(INDIRECT("1:"&amp;LEN(metadata!B440))), 1),"0123456789abcdefghijklmnopqrstuvwxyzABCDEFGHIJKLMNOPQRSTUVWXYZ.")))))</f>
        <v>0</v>
      </c>
      <c r="AE440" t="b">
        <f>OR(AND(IF(metadata!C440="",FALSE,TRUE),OR(EXACT(metadata!C440,"not applicable"),EXACT(metadata!C440,"missing: not collected"),EXACT(metadata!C440,"missing: not provided"),EXACT(metadata!C440,"missing: restricted access"))),AND(IF(metadata!C440="",FALSE,ISNUMBER(VALUE(metadata!C440))),metadata!C440&gt;0))</f>
        <v>0</v>
      </c>
      <c r="AF440" t="b">
        <f>AND(IF(metadata!D440="",FALSE,TRUE),EXACT(metadata!D440,"missing: not provided"))</f>
        <v>0</v>
      </c>
      <c r="AG440" t="b">
        <f>AND(IF(metadata!E440="",FALSE,TRUE),EXACT(metadata!E440,"Host-associated"))</f>
        <v>0</v>
      </c>
      <c r="AH440" t="b">
        <f>AND(IF(metadata!F440="",FALSE,TRUE),OR(EXACT(metadata!F440,"Animal"),EXACT(metadata!F440,"Fungus"),EXACT(metadata!F440,"Plant")))</f>
        <v>0</v>
      </c>
      <c r="AI440" t="b">
        <f>AND(IF(metadata!G440="",FALSE,TRUE),OR(EXACT(metadata!G440,"Plant secretion"),EXACT(metadata!G440,"Plant rhizosphere"),EXACT(metadata!G440,"Plant surface"),EXACT(metadata!G440,"Plant corpus"),EXACT(metadata!G440,"Fungus surface"),EXACT(metadata!G440,"Fungus corpus"),EXACT(metadata!G440,"Animal surface"),EXACT(metadata!G440,"Animal proximal gut"),EXACT(metadata!G440,"Animal corpus"),EXACT(metadata!G440,"Animal distal gut"),EXACT(metadata!G440,"Animal secretion")))</f>
        <v>0</v>
      </c>
      <c r="AJ440" t="b">
        <f>OR(AND(IF(metadata!H440="",FALSE,TRUE),OR(EXACT(metadata!H440,"missing: not collected"),EXACT(metadata!H440,"missing: not provided"),EXACT(metadata!H440,"missing: restricted access"))),AND(IF(metadata!H440="",FALSE,TRUE),OR(EXACT(metadata!H440,"organism-associated habitat"),EXACT(metadata!H440,"plant-associated habitat"),EXACT(metadata!H440,"animal-associated habitat"),EXACT(metadata!H440,"insecta-associated habitat"),EXACT(metadata!H440,"mammalia-associated habitat"),EXACT(metadata!H440,"human-associated habitat"),EXACT(metadata!H440,"livestock-associated habitat"))))</f>
        <v>0</v>
      </c>
      <c r="AK440" t="b">
        <f>AND(IF(metadata!I440="",FALSE,TRUE),EXACT(metadata!I440,"host-associated"))</f>
        <v>0</v>
      </c>
      <c r="AL440" t="b">
        <f>OR(AND(IF(metadata!J440="",FALSE,TRUE),OR(EXACT(metadata!J440,"not applicable"),EXACT(metadata!J440,"missing: not collected"),EXACT(metadata!J440,"missing: not provided"),EXACT(metadata!J440,"missing: restricted access"))),AND(IF(metadata!J440="",FALSE,ISNUMBER(VALUE(metadata!J440))),metadata!J440&gt;0))</f>
        <v>0</v>
      </c>
      <c r="AM440" t="b">
        <f>AND(IF(metadata!K440="",FALSE,TRUE),EXACT(metadata!K440,"missing: not provided"))</f>
        <v>0</v>
      </c>
      <c r="AN440" t="b">
        <f>IF(metadata!L440="",FALSE,TRUE)</f>
        <v>0</v>
      </c>
      <c r="AO440" t="b">
        <f>IF(metadata!M440="",FALSE,TRUE)</f>
        <v>0</v>
      </c>
      <c r="AP440" t="b">
        <f>OR(AND(IF(metadata!N440="",FALSE,TRUE),OR(EXACT(metadata!N440,"not applicable"),EXACT(metadata!N440,"missing: not collected"),EXACT(metadata!N440,"missing: not provided"))),AND(IF(metadata!N440="",FALSE,IF(ISERROR(INT(metadata!N440)),FALSE,INT(metadata!N440)=metadata!N440)),metadata!N440&gt;0))</f>
        <v>0</v>
      </c>
      <c r="AQ440" t="b">
        <f>AND(IF(metadata!O440="",FALSE,TRUE),EXACT(metadata!O440,"Not applicable"))</f>
        <v>0</v>
      </c>
      <c r="AR440" t="b">
        <f>OR(AND(IF(metadata!P440="",FALSE,TRUE),OR(EXACT(metadata!P440,"not applicable"),EXACT(metadata!P440,"missing: not collected"),EXACT(metadata!P440,"missing: not provided"),EXACT(metadata!P440,"missing: restricted access"))),IF(metadata!P440="",FALSE,IF(ISERROR(INT(metadata!P440)),FALSE,INT(metadata!P440)=metadata!P440)))</f>
        <v>0</v>
      </c>
      <c r="AS440" t="b">
        <f>AND(IF(metadata!Q440="",FALSE,TRUE),EXACT(metadata!Q440,"Not applicable"))</f>
        <v>0</v>
      </c>
      <c r="AT440" t="b">
        <f>OR(AND(IF(metadata!R440="",FALSE,TRUE),OR(EXACT(metadata!R440,"not applicable"),EXACT(metadata!R440,"missing: not collected"),EXACT(metadata!R440,"missing: not provided"),EXACT(metadata!R440,"missing: restricted access"))),AND(IF(metadata!R440="",FALSE,ISNUMBER(VALUE(metadata!R440))),metadata!R440&gt;0))</f>
        <v>0</v>
      </c>
      <c r="AU440" t="b">
        <f>AND(IF(metadata!S440="",FALSE,TRUE),EXACT(metadata!S440,"missing: not provided"))</f>
        <v>0</v>
      </c>
    </row>
    <row r="441" spans="1:47" x14ac:dyDescent="0.2">
      <c r="A441" s="5" t="str">
        <f ca="1">IF(B441=" "," ",HYPERLINK(CONCATENATE("#metadata!",ADDRESS(INDEX($Y$2:$Y$1001,MATCH(ROWS($W$2:W441),$W$2:$W$1001,0),0),1)),INDEX($AB$2:$AB$1001,MATCH(ROWS($W$2:W441),$W$2:$W$1001,0),0)))</f>
        <v xml:space="preserve"> </v>
      </c>
      <c r="B441" s="4" t="str">
        <f ca="1">IF(OR(INDEX($X$2:$X$1001,MATCH(ROWS($W$2:W441),$W$2:$W$1001,0),1)&gt;=100000,INDEX($AD$1005:$AU$1005,1,MATCH(COLUMNS($AD$1006:AD1006),$AD$1006:$AU$1006,0))&gt;=100000), " ",IF(INDEX($AD$2:$AU$1001,MATCH(ROWS($W$2:W441),$W$2:$W$1001,0),MATCH(COLUMNS($AD$1006:AD1006),$AD$1006:$AU$1006,0)), HYPERLINK("#",""), HYPERLINK(CONCATENATE("#metadata!", ADDRESS(INDEX($Y$2:$Y$1001,MATCH(ROWS($W$2:W441),$W$2:$W$1001,0),0), INDEX($AD$1004:$AU$1004,1,MATCH(COLUMNS($AD$1006:AD1006),$AD$1006:$AU$1006,0)))),"Fix")))</f>
        <v xml:space="preserve"> </v>
      </c>
      <c r="C441" s="4" t="str">
        <f ca="1">IF(OR(INDEX($X$2:$X$1001,MATCH(ROWS($W$2:W441),$W$2:$W$1001,0),1)&gt;=100000,INDEX($AD$1005:$AU$1005,1,MATCH(COLUMNS($AD$1006:AE1006),$AD$1006:$AU$1006,0))&gt;=100000), " ",IF(INDEX($AD$2:$AU$1001,MATCH(ROWS($W$2:W441),$W$2:$W$1001,0),MATCH(COLUMNS($AD$1006:AE1006),$AD$1006:$AU$1006,0)), HYPERLINK("#",""), HYPERLINK(CONCATENATE("#metadata!", ADDRESS(INDEX($Y$2:$Y$1001,MATCH(ROWS($W$2:W441),$W$2:$W$1001,0),0), INDEX($AD$1004:$AU$1004,1,MATCH(COLUMNS($AD$1006:AE1006),$AD$1006:$AU$1006,0)))),"Fix")))</f>
        <v xml:space="preserve"> </v>
      </c>
      <c r="D441" s="4" t="str">
        <f ca="1">IF(OR(INDEX($X$2:$X$1001,MATCH(ROWS($W$2:W441),$W$2:$W$1001,0),1)&gt;=100000,INDEX($AD$1005:$AU$1005,1,MATCH(COLUMNS($AD$1006:AF1006),$AD$1006:$AU$1006,0))&gt;=100000), " ",IF(INDEX($AD$2:$AU$1001,MATCH(ROWS($W$2:W441),$W$2:$W$1001,0),MATCH(COLUMNS($AD$1006:AF1006),$AD$1006:$AU$1006,0)), HYPERLINK("#",""), HYPERLINK(CONCATENATE("#metadata!", ADDRESS(INDEX($Y$2:$Y$1001,MATCH(ROWS($W$2:W441),$W$2:$W$1001,0),0), INDEX($AD$1004:$AU$1004,1,MATCH(COLUMNS($AD$1006:AF1006),$AD$1006:$AU$1006,0)))),"Fix")))</f>
        <v xml:space="preserve"> </v>
      </c>
      <c r="E441" s="4" t="str">
        <f ca="1">IF(OR(INDEX($X$2:$X$1001,MATCH(ROWS($W$2:W441),$W$2:$W$1001,0),1)&gt;=100000,INDEX($AD$1005:$AU$1005,1,MATCH(COLUMNS($AD$1006:AG1006),$AD$1006:$AU$1006,0))&gt;=100000), " ",IF(INDEX($AD$2:$AU$1001,MATCH(ROWS($W$2:W441),$W$2:$W$1001,0),MATCH(COLUMNS($AD$1006:AG1006),$AD$1006:$AU$1006,0)), HYPERLINK("#",""), HYPERLINK(CONCATENATE("#metadata!", ADDRESS(INDEX($Y$2:$Y$1001,MATCH(ROWS($W$2:W441),$W$2:$W$1001,0),0), INDEX($AD$1004:$AU$1004,1,MATCH(COLUMNS($AD$1006:AG1006),$AD$1006:$AU$1006,0)))),"Fix")))</f>
        <v xml:space="preserve"> </v>
      </c>
      <c r="F441" s="4" t="str">
        <f ca="1">IF(OR(INDEX($X$2:$X$1001,MATCH(ROWS($W$2:W441),$W$2:$W$1001,0),1)&gt;=100000,INDEX($AD$1005:$AU$1005,1,MATCH(COLUMNS($AD$1006:AH1006),$AD$1006:$AU$1006,0))&gt;=100000), " ",IF(INDEX($AD$2:$AU$1001,MATCH(ROWS($W$2:W441),$W$2:$W$1001,0),MATCH(COLUMNS($AD$1006:AH1006),$AD$1006:$AU$1006,0)), HYPERLINK("#",""), HYPERLINK(CONCATENATE("#metadata!", ADDRESS(INDEX($Y$2:$Y$1001,MATCH(ROWS($W$2:W441),$W$2:$W$1001,0),0), INDEX($AD$1004:$AU$1004,1,MATCH(COLUMNS($AD$1006:AH1006),$AD$1006:$AU$1006,0)))),"Fix")))</f>
        <v xml:space="preserve"> </v>
      </c>
      <c r="G441" s="4" t="str">
        <f ca="1">IF(OR(INDEX($X$2:$X$1001,MATCH(ROWS($W$2:W441),$W$2:$W$1001,0),1)&gt;=100000,INDEX($AD$1005:$AU$1005,1,MATCH(COLUMNS($AD$1006:AI1006),$AD$1006:$AU$1006,0))&gt;=100000), " ",IF(INDEX($AD$2:$AU$1001,MATCH(ROWS($W$2:W441),$W$2:$W$1001,0),MATCH(COLUMNS($AD$1006:AI1006),$AD$1006:$AU$1006,0)), HYPERLINK("#",""), HYPERLINK(CONCATENATE("#metadata!", ADDRESS(INDEX($Y$2:$Y$1001,MATCH(ROWS($W$2:W441),$W$2:$W$1001,0),0), INDEX($AD$1004:$AU$1004,1,MATCH(COLUMNS($AD$1006:AI1006),$AD$1006:$AU$1006,0)))),"Fix")))</f>
        <v xml:space="preserve"> </v>
      </c>
      <c r="H441" s="4" t="str">
        <f ca="1">IF(OR(INDEX($X$2:$X$1001,MATCH(ROWS($W$2:W441),$W$2:$W$1001,0),1)&gt;=100000,INDEX($AD$1005:$AU$1005,1,MATCH(COLUMNS($AD$1006:AJ1006),$AD$1006:$AU$1006,0))&gt;=100000), " ",IF(INDEX($AD$2:$AU$1001,MATCH(ROWS($W$2:W441),$W$2:$W$1001,0),MATCH(COLUMNS($AD$1006:AJ1006),$AD$1006:$AU$1006,0)), HYPERLINK("#",""), HYPERLINK(CONCATENATE("#metadata!", ADDRESS(INDEX($Y$2:$Y$1001,MATCH(ROWS($W$2:W441),$W$2:$W$1001,0),0), INDEX($AD$1004:$AU$1004,1,MATCH(COLUMNS($AD$1006:AJ1006),$AD$1006:$AU$1006,0)))),"Fix")))</f>
        <v xml:space="preserve"> </v>
      </c>
      <c r="I441" s="4" t="str">
        <f ca="1">IF(OR(INDEX($X$2:$X$1001,MATCH(ROWS($W$2:W441),$W$2:$W$1001,0),1)&gt;=100000,INDEX($AD$1005:$AU$1005,1,MATCH(COLUMNS($AD$1006:AK1006),$AD$1006:$AU$1006,0))&gt;=100000), " ",IF(INDEX($AD$2:$AU$1001,MATCH(ROWS($W$2:W441),$W$2:$W$1001,0),MATCH(COLUMNS($AD$1006:AK1006),$AD$1006:$AU$1006,0)), HYPERLINK("#",""), HYPERLINK(CONCATENATE("#metadata!", ADDRESS(INDEX($Y$2:$Y$1001,MATCH(ROWS($W$2:W441),$W$2:$W$1001,0),0), INDEX($AD$1004:$AU$1004,1,MATCH(COLUMNS($AD$1006:AK1006),$AD$1006:$AU$1006,0)))),"Fix")))</f>
        <v xml:space="preserve"> </v>
      </c>
      <c r="J441" s="4" t="str">
        <f ca="1">IF(OR(INDEX($X$2:$X$1001,MATCH(ROWS($W$2:W441),$W$2:$W$1001,0),1)&gt;=100000,INDEX($AD$1005:$AU$1005,1,MATCH(COLUMNS($AD$1006:AL1006),$AD$1006:$AU$1006,0))&gt;=100000), " ",IF(INDEX($AD$2:$AU$1001,MATCH(ROWS($W$2:W441),$W$2:$W$1001,0),MATCH(COLUMNS($AD$1006:AL1006),$AD$1006:$AU$1006,0)), HYPERLINK("#",""), HYPERLINK(CONCATENATE("#metadata!", ADDRESS(INDEX($Y$2:$Y$1001,MATCH(ROWS($W$2:W441),$W$2:$W$1001,0),0), INDEX($AD$1004:$AU$1004,1,MATCH(COLUMNS($AD$1006:AL1006),$AD$1006:$AU$1006,0)))),"Fix")))</f>
        <v xml:space="preserve"> </v>
      </c>
      <c r="K441" s="4" t="str">
        <f ca="1">IF(OR(INDEX($X$2:$X$1001,MATCH(ROWS($W$2:W441),$W$2:$W$1001,0),1)&gt;=100000,INDEX($AD$1005:$AU$1005,1,MATCH(COLUMNS($AD$1006:AM1006),$AD$1006:$AU$1006,0))&gt;=100000), " ",IF(INDEX($AD$2:$AU$1001,MATCH(ROWS($W$2:W441),$W$2:$W$1001,0),MATCH(COLUMNS($AD$1006:AM1006),$AD$1006:$AU$1006,0)), HYPERLINK("#",""), HYPERLINK(CONCATENATE("#metadata!", ADDRESS(INDEX($Y$2:$Y$1001,MATCH(ROWS($W$2:W441),$W$2:$W$1001,0),0), INDEX($AD$1004:$AU$1004,1,MATCH(COLUMNS($AD$1006:AM1006),$AD$1006:$AU$1006,0)))),"Fix")))</f>
        <v xml:space="preserve"> </v>
      </c>
      <c r="L441" s="4" t="str">
        <f ca="1">IF(OR(INDEX($X$2:$X$1001,MATCH(ROWS($W$2:W441),$W$2:$W$1001,0),1)&gt;=100000,INDEX($AD$1005:$AU$1005,1,MATCH(COLUMNS($AD$1006:AN1006),$AD$1006:$AU$1006,0))&gt;=100000), " ",IF(INDEX($AD$2:$AU$1001,MATCH(ROWS($W$2:W441),$W$2:$W$1001,0),MATCH(COLUMNS($AD$1006:AN1006),$AD$1006:$AU$1006,0)), HYPERLINK("#",""), HYPERLINK(CONCATENATE("#metadata!", ADDRESS(INDEX($Y$2:$Y$1001,MATCH(ROWS($W$2:W441),$W$2:$W$1001,0),0), INDEX($AD$1004:$AU$1004,1,MATCH(COLUMNS($AD$1006:AN1006),$AD$1006:$AU$1006,0)))),"Fix")))</f>
        <v xml:space="preserve"> </v>
      </c>
      <c r="M441" s="4" t="str">
        <f ca="1">IF(OR(INDEX($X$2:$X$1001,MATCH(ROWS($W$2:W441),$W$2:$W$1001,0),1)&gt;=100000,INDEX($AD$1005:$AU$1005,1,MATCH(COLUMNS($AD$1006:AO1006),$AD$1006:$AU$1006,0))&gt;=100000), " ",IF(INDEX($AD$2:$AU$1001,MATCH(ROWS($W$2:W441),$W$2:$W$1001,0),MATCH(COLUMNS($AD$1006:AO1006),$AD$1006:$AU$1006,0)), HYPERLINK("#",""), HYPERLINK(CONCATENATE("#metadata!", ADDRESS(INDEX($Y$2:$Y$1001,MATCH(ROWS($W$2:W441),$W$2:$W$1001,0),0), INDEX($AD$1004:$AU$1004,1,MATCH(COLUMNS($AD$1006:AO1006),$AD$1006:$AU$1006,0)))),"Fix")))</f>
        <v xml:space="preserve"> </v>
      </c>
      <c r="N441" s="4" t="str">
        <f ca="1">IF(OR(INDEX($X$2:$X$1001,MATCH(ROWS($W$2:W441),$W$2:$W$1001,0),1)&gt;=100000,INDEX($AD$1005:$AU$1005,1,MATCH(COLUMNS($AD$1006:AP1006),$AD$1006:$AU$1006,0))&gt;=100000), " ",IF(INDEX($AD$2:$AU$1001,MATCH(ROWS($W$2:W441),$W$2:$W$1001,0),MATCH(COLUMNS($AD$1006:AP1006),$AD$1006:$AU$1006,0)), HYPERLINK("#",""), HYPERLINK(CONCATENATE("#metadata!", ADDRESS(INDEX($Y$2:$Y$1001,MATCH(ROWS($W$2:W441),$W$2:$W$1001,0),0), INDEX($AD$1004:$AU$1004,1,MATCH(COLUMNS($AD$1006:AP1006),$AD$1006:$AU$1006,0)))),"Fix")))</f>
        <v xml:space="preserve"> </v>
      </c>
      <c r="O441" s="4" t="str">
        <f ca="1">IF(OR(INDEX($X$2:$X$1001,MATCH(ROWS($W$2:W441),$W$2:$W$1001,0),1)&gt;=100000,INDEX($AD$1005:$AU$1005,1,MATCH(COLUMNS($AD$1006:AQ1006),$AD$1006:$AU$1006,0))&gt;=100000), " ",IF(INDEX($AD$2:$AU$1001,MATCH(ROWS($W$2:W441),$W$2:$W$1001,0),MATCH(COLUMNS($AD$1006:AQ1006),$AD$1006:$AU$1006,0)), HYPERLINK("#",""), HYPERLINK(CONCATENATE("#metadata!", ADDRESS(INDEX($Y$2:$Y$1001,MATCH(ROWS($W$2:W441),$W$2:$W$1001,0),0), INDEX($AD$1004:$AU$1004,1,MATCH(COLUMNS($AD$1006:AQ1006),$AD$1006:$AU$1006,0)))),"Fix")))</f>
        <v xml:space="preserve"> </v>
      </c>
      <c r="P441" s="4" t="str">
        <f ca="1">IF(OR(INDEX($X$2:$X$1001,MATCH(ROWS($W$2:W441),$W$2:$W$1001,0),1)&gt;=100000,INDEX($AD$1005:$AU$1005,1,MATCH(COLUMNS($AD$1006:AR1006),$AD$1006:$AU$1006,0))&gt;=100000), " ",IF(INDEX($AD$2:$AU$1001,MATCH(ROWS($W$2:W441),$W$2:$W$1001,0),MATCH(COLUMNS($AD$1006:AR1006),$AD$1006:$AU$1006,0)), HYPERLINK("#",""), HYPERLINK(CONCATENATE("#metadata!", ADDRESS(INDEX($Y$2:$Y$1001,MATCH(ROWS($W$2:W441),$W$2:$W$1001,0),0), INDEX($AD$1004:$AU$1004,1,MATCH(COLUMNS($AD$1006:AR1006),$AD$1006:$AU$1006,0)))),"Fix")))</f>
        <v xml:space="preserve"> </v>
      </c>
      <c r="Q441" s="4" t="str">
        <f ca="1">IF(OR(INDEX($X$2:$X$1001,MATCH(ROWS($W$2:W441),$W$2:$W$1001,0),1)&gt;=100000,INDEX($AD$1005:$AU$1005,1,MATCH(COLUMNS($AD$1006:AS1006),$AD$1006:$AU$1006,0))&gt;=100000), " ",IF(INDEX($AD$2:$AU$1001,MATCH(ROWS($W$2:W441),$W$2:$W$1001,0),MATCH(COLUMNS($AD$1006:AS1006),$AD$1006:$AU$1006,0)), HYPERLINK("#",""), HYPERLINK(CONCATENATE("#metadata!", ADDRESS(INDEX($Y$2:$Y$1001,MATCH(ROWS($W$2:W441),$W$2:$W$1001,0),0), INDEX($AD$1004:$AU$1004,1,MATCH(COLUMNS($AD$1006:AS1006),$AD$1006:$AU$1006,0)))),"Fix")))</f>
        <v xml:space="preserve"> </v>
      </c>
      <c r="R441" s="4" t="str">
        <f ca="1">IF(OR(INDEX($X$2:$X$1001,MATCH(ROWS($W$2:W441),$W$2:$W$1001,0),1)&gt;=100000,INDEX($AD$1005:$AU$1005,1,MATCH(COLUMNS($AD$1006:AT1006),$AD$1006:$AU$1006,0))&gt;=100000), " ",IF(INDEX($AD$2:$AU$1001,MATCH(ROWS($W$2:W441),$W$2:$W$1001,0),MATCH(COLUMNS($AD$1006:AT1006),$AD$1006:$AU$1006,0)), HYPERLINK("#",""), HYPERLINK(CONCATENATE("#metadata!", ADDRESS(INDEX($Y$2:$Y$1001,MATCH(ROWS($W$2:W441),$W$2:$W$1001,0),0), INDEX($AD$1004:$AU$1004,1,MATCH(COLUMNS($AD$1006:AT1006),$AD$1006:$AU$1006,0)))),"Fix")))</f>
        <v xml:space="preserve"> </v>
      </c>
      <c r="S441" s="4" t="str">
        <f ca="1">IF(OR(INDEX($X$2:$X$1001,MATCH(ROWS($W$2:W441),$W$2:$W$1001,0),1)&gt;=100000,INDEX($AD$1005:$AU$1005,1,MATCH(COLUMNS($AD$1006:AU1006),$AD$1006:$AU$1006,0))&gt;=100000), " ",IF(INDEX($AD$2:$AU$1001,MATCH(ROWS($W$2:W441),$W$2:$W$1001,0),MATCH(COLUMNS($AD$1006:AU1006),$AD$1006:$AU$1006,0)), HYPERLINK("#",""), HYPERLINK(CONCATENATE("#metadata!", ADDRESS(INDEX($Y$2:$Y$1001,MATCH(ROWS($W$2:W441),$W$2:$W$1001,0),0), INDEX($AD$1004:$AU$1004,1,MATCH(COLUMNS($AD$1006:AU1006),$AD$1006:$AU$1006,0)))),"Fix")))</f>
        <v xml:space="preserve"> </v>
      </c>
      <c r="W441">
        <v>440</v>
      </c>
      <c r="X441">
        <v>100441</v>
      </c>
      <c r="Y441">
        <v>441</v>
      </c>
      <c r="Z441" t="b">
        <f t="shared" si="6"/>
        <v>1</v>
      </c>
      <c r="AA441" t="b">
        <f>COUNTBLANK(metadata!B441:S441)=COLUMNS(metadata!B441:S441)</f>
        <v>1</v>
      </c>
      <c r="AB441" t="str">
        <v/>
      </c>
      <c r="AD441" t="b">
        <f ca="1">AND(IF(metadata!B441="",FALSE,TRUE),COUNTIF(metadata!B:B, metadata!B441) = 1,NOT(ISERROR(SUMPRODUCT(SEARCH(MID(metadata!B441,ROW(INDIRECT("1:"&amp;LEN(metadata!B441))), 1),"0123456789abcdefghijklmnopqrstuvwxyzABCDEFGHIJKLMNOPQRSTUVWXYZ.")))))</f>
        <v>0</v>
      </c>
      <c r="AE441" t="b">
        <f>OR(AND(IF(metadata!C441="",FALSE,TRUE),OR(EXACT(metadata!C441,"not applicable"),EXACT(metadata!C441,"missing: not collected"),EXACT(metadata!C441,"missing: not provided"),EXACT(metadata!C441,"missing: restricted access"))),AND(IF(metadata!C441="",FALSE,ISNUMBER(VALUE(metadata!C441))),metadata!C441&gt;0))</f>
        <v>0</v>
      </c>
      <c r="AF441" t="b">
        <f>AND(IF(metadata!D441="",FALSE,TRUE),EXACT(metadata!D441,"missing: not provided"))</f>
        <v>0</v>
      </c>
      <c r="AG441" t="b">
        <f>AND(IF(metadata!E441="",FALSE,TRUE),EXACT(metadata!E441,"Host-associated"))</f>
        <v>0</v>
      </c>
      <c r="AH441" t="b">
        <f>AND(IF(metadata!F441="",FALSE,TRUE),OR(EXACT(metadata!F441,"Animal"),EXACT(metadata!F441,"Fungus"),EXACT(metadata!F441,"Plant")))</f>
        <v>0</v>
      </c>
      <c r="AI441" t="b">
        <f>AND(IF(metadata!G441="",FALSE,TRUE),OR(EXACT(metadata!G441,"Plant secretion"),EXACT(metadata!G441,"Plant rhizosphere"),EXACT(metadata!G441,"Plant surface"),EXACT(metadata!G441,"Plant corpus"),EXACT(metadata!G441,"Fungus surface"),EXACT(metadata!G441,"Fungus corpus"),EXACT(metadata!G441,"Animal surface"),EXACT(metadata!G441,"Animal proximal gut"),EXACT(metadata!G441,"Animal corpus"),EXACT(metadata!G441,"Animal distal gut"),EXACT(metadata!G441,"Animal secretion")))</f>
        <v>0</v>
      </c>
      <c r="AJ441" t="b">
        <f>OR(AND(IF(metadata!H441="",FALSE,TRUE),OR(EXACT(metadata!H441,"missing: not collected"),EXACT(metadata!H441,"missing: not provided"),EXACT(metadata!H441,"missing: restricted access"))),AND(IF(metadata!H441="",FALSE,TRUE),OR(EXACT(metadata!H441,"organism-associated habitat"),EXACT(metadata!H441,"plant-associated habitat"),EXACT(metadata!H441,"animal-associated habitat"),EXACT(metadata!H441,"insecta-associated habitat"),EXACT(metadata!H441,"mammalia-associated habitat"),EXACT(metadata!H441,"human-associated habitat"),EXACT(metadata!H441,"livestock-associated habitat"))))</f>
        <v>0</v>
      </c>
      <c r="AK441" t="b">
        <f>AND(IF(metadata!I441="",FALSE,TRUE),EXACT(metadata!I441,"host-associated"))</f>
        <v>0</v>
      </c>
      <c r="AL441" t="b">
        <f>OR(AND(IF(metadata!J441="",FALSE,TRUE),OR(EXACT(metadata!J441,"not applicable"),EXACT(metadata!J441,"missing: not collected"),EXACT(metadata!J441,"missing: not provided"),EXACT(metadata!J441,"missing: restricted access"))),AND(IF(metadata!J441="",FALSE,ISNUMBER(VALUE(metadata!J441))),metadata!J441&gt;0))</f>
        <v>0</v>
      </c>
      <c r="AM441" t="b">
        <f>AND(IF(metadata!K441="",FALSE,TRUE),EXACT(metadata!K441,"missing: not provided"))</f>
        <v>0</v>
      </c>
      <c r="AN441" t="b">
        <f>IF(metadata!L441="",FALSE,TRUE)</f>
        <v>0</v>
      </c>
      <c r="AO441" t="b">
        <f>IF(metadata!M441="",FALSE,TRUE)</f>
        <v>0</v>
      </c>
      <c r="AP441" t="b">
        <f>OR(AND(IF(metadata!N441="",FALSE,TRUE),OR(EXACT(metadata!N441,"not applicable"),EXACT(metadata!N441,"missing: not collected"),EXACT(metadata!N441,"missing: not provided"))),AND(IF(metadata!N441="",FALSE,IF(ISERROR(INT(metadata!N441)),FALSE,INT(metadata!N441)=metadata!N441)),metadata!N441&gt;0))</f>
        <v>0</v>
      </c>
      <c r="AQ441" t="b">
        <f>AND(IF(metadata!O441="",FALSE,TRUE),EXACT(metadata!O441,"Not applicable"))</f>
        <v>0</v>
      </c>
      <c r="AR441" t="b">
        <f>OR(AND(IF(metadata!P441="",FALSE,TRUE),OR(EXACT(metadata!P441,"not applicable"),EXACT(metadata!P441,"missing: not collected"),EXACT(metadata!P441,"missing: not provided"),EXACT(metadata!P441,"missing: restricted access"))),IF(metadata!P441="",FALSE,IF(ISERROR(INT(metadata!P441)),FALSE,INT(metadata!P441)=metadata!P441)))</f>
        <v>0</v>
      </c>
      <c r="AS441" t="b">
        <f>AND(IF(metadata!Q441="",FALSE,TRUE),EXACT(metadata!Q441,"Not applicable"))</f>
        <v>0</v>
      </c>
      <c r="AT441" t="b">
        <f>OR(AND(IF(metadata!R441="",FALSE,TRUE),OR(EXACT(metadata!R441,"not applicable"),EXACT(metadata!R441,"missing: not collected"),EXACT(metadata!R441,"missing: not provided"),EXACT(metadata!R441,"missing: restricted access"))),AND(IF(metadata!R441="",FALSE,ISNUMBER(VALUE(metadata!R441))),metadata!R441&gt;0))</f>
        <v>0</v>
      </c>
      <c r="AU441" t="b">
        <f>AND(IF(metadata!S441="",FALSE,TRUE),EXACT(metadata!S441,"missing: not provided"))</f>
        <v>0</v>
      </c>
    </row>
    <row r="442" spans="1:47" x14ac:dyDescent="0.2">
      <c r="A442" s="5" t="str">
        <f ca="1">IF(B442=" "," ",HYPERLINK(CONCATENATE("#metadata!",ADDRESS(INDEX($Y$2:$Y$1001,MATCH(ROWS($W$2:W442),$W$2:$W$1001,0),0),1)),INDEX($AB$2:$AB$1001,MATCH(ROWS($W$2:W442),$W$2:$W$1001,0),0)))</f>
        <v xml:space="preserve"> </v>
      </c>
      <c r="B442" s="4" t="str">
        <f ca="1">IF(OR(INDEX($X$2:$X$1001,MATCH(ROWS($W$2:W442),$W$2:$W$1001,0),1)&gt;=100000,INDEX($AD$1005:$AU$1005,1,MATCH(COLUMNS($AD$1006:AD1006),$AD$1006:$AU$1006,0))&gt;=100000), " ",IF(INDEX($AD$2:$AU$1001,MATCH(ROWS($W$2:W442),$W$2:$W$1001,0),MATCH(COLUMNS($AD$1006:AD1006),$AD$1006:$AU$1006,0)), HYPERLINK("#",""), HYPERLINK(CONCATENATE("#metadata!", ADDRESS(INDEX($Y$2:$Y$1001,MATCH(ROWS($W$2:W442),$W$2:$W$1001,0),0), INDEX($AD$1004:$AU$1004,1,MATCH(COLUMNS($AD$1006:AD1006),$AD$1006:$AU$1006,0)))),"Fix")))</f>
        <v xml:space="preserve"> </v>
      </c>
      <c r="C442" s="4" t="str">
        <f ca="1">IF(OR(INDEX($X$2:$X$1001,MATCH(ROWS($W$2:W442),$W$2:$W$1001,0),1)&gt;=100000,INDEX($AD$1005:$AU$1005,1,MATCH(COLUMNS($AD$1006:AE1006),$AD$1006:$AU$1006,0))&gt;=100000), " ",IF(INDEX($AD$2:$AU$1001,MATCH(ROWS($W$2:W442),$W$2:$W$1001,0),MATCH(COLUMNS($AD$1006:AE1006),$AD$1006:$AU$1006,0)), HYPERLINK("#",""), HYPERLINK(CONCATENATE("#metadata!", ADDRESS(INDEX($Y$2:$Y$1001,MATCH(ROWS($W$2:W442),$W$2:$W$1001,0),0), INDEX($AD$1004:$AU$1004,1,MATCH(COLUMNS($AD$1006:AE1006),$AD$1006:$AU$1006,0)))),"Fix")))</f>
        <v xml:space="preserve"> </v>
      </c>
      <c r="D442" s="4" t="str">
        <f ca="1">IF(OR(INDEX($X$2:$X$1001,MATCH(ROWS($W$2:W442),$W$2:$W$1001,0),1)&gt;=100000,INDEX($AD$1005:$AU$1005,1,MATCH(COLUMNS($AD$1006:AF1006),$AD$1006:$AU$1006,0))&gt;=100000), " ",IF(INDEX($AD$2:$AU$1001,MATCH(ROWS($W$2:W442),$W$2:$W$1001,0),MATCH(COLUMNS($AD$1006:AF1006),$AD$1006:$AU$1006,0)), HYPERLINK("#",""), HYPERLINK(CONCATENATE("#metadata!", ADDRESS(INDEX($Y$2:$Y$1001,MATCH(ROWS($W$2:W442),$W$2:$W$1001,0),0), INDEX($AD$1004:$AU$1004,1,MATCH(COLUMNS($AD$1006:AF1006),$AD$1006:$AU$1006,0)))),"Fix")))</f>
        <v xml:space="preserve"> </v>
      </c>
      <c r="E442" s="4" t="str">
        <f ca="1">IF(OR(INDEX($X$2:$X$1001,MATCH(ROWS($W$2:W442),$W$2:$W$1001,0),1)&gt;=100000,INDEX($AD$1005:$AU$1005,1,MATCH(COLUMNS($AD$1006:AG1006),$AD$1006:$AU$1006,0))&gt;=100000), " ",IF(INDEX($AD$2:$AU$1001,MATCH(ROWS($W$2:W442),$W$2:$W$1001,0),MATCH(COLUMNS($AD$1006:AG1006),$AD$1006:$AU$1006,0)), HYPERLINK("#",""), HYPERLINK(CONCATENATE("#metadata!", ADDRESS(INDEX($Y$2:$Y$1001,MATCH(ROWS($W$2:W442),$W$2:$W$1001,0),0), INDEX($AD$1004:$AU$1004,1,MATCH(COLUMNS($AD$1006:AG1006),$AD$1006:$AU$1006,0)))),"Fix")))</f>
        <v xml:space="preserve"> </v>
      </c>
      <c r="F442" s="4" t="str">
        <f ca="1">IF(OR(INDEX($X$2:$X$1001,MATCH(ROWS($W$2:W442),$W$2:$W$1001,0),1)&gt;=100000,INDEX($AD$1005:$AU$1005,1,MATCH(COLUMNS($AD$1006:AH1006),$AD$1006:$AU$1006,0))&gt;=100000), " ",IF(INDEX($AD$2:$AU$1001,MATCH(ROWS($W$2:W442),$W$2:$W$1001,0),MATCH(COLUMNS($AD$1006:AH1006),$AD$1006:$AU$1006,0)), HYPERLINK("#",""), HYPERLINK(CONCATENATE("#metadata!", ADDRESS(INDEX($Y$2:$Y$1001,MATCH(ROWS($W$2:W442),$W$2:$W$1001,0),0), INDEX($AD$1004:$AU$1004,1,MATCH(COLUMNS($AD$1006:AH1006),$AD$1006:$AU$1006,0)))),"Fix")))</f>
        <v xml:space="preserve"> </v>
      </c>
      <c r="G442" s="4" t="str">
        <f ca="1">IF(OR(INDEX($X$2:$X$1001,MATCH(ROWS($W$2:W442),$W$2:$W$1001,0),1)&gt;=100000,INDEX($AD$1005:$AU$1005,1,MATCH(COLUMNS($AD$1006:AI1006),$AD$1006:$AU$1006,0))&gt;=100000), " ",IF(INDEX($AD$2:$AU$1001,MATCH(ROWS($W$2:W442),$W$2:$W$1001,0),MATCH(COLUMNS($AD$1006:AI1006),$AD$1006:$AU$1006,0)), HYPERLINK("#",""), HYPERLINK(CONCATENATE("#metadata!", ADDRESS(INDEX($Y$2:$Y$1001,MATCH(ROWS($W$2:W442),$W$2:$W$1001,0),0), INDEX($AD$1004:$AU$1004,1,MATCH(COLUMNS($AD$1006:AI1006),$AD$1006:$AU$1006,0)))),"Fix")))</f>
        <v xml:space="preserve"> </v>
      </c>
      <c r="H442" s="4" t="str">
        <f ca="1">IF(OR(INDEX($X$2:$X$1001,MATCH(ROWS($W$2:W442),$W$2:$W$1001,0),1)&gt;=100000,INDEX($AD$1005:$AU$1005,1,MATCH(COLUMNS($AD$1006:AJ1006),$AD$1006:$AU$1006,0))&gt;=100000), " ",IF(INDEX($AD$2:$AU$1001,MATCH(ROWS($W$2:W442),$W$2:$W$1001,0),MATCH(COLUMNS($AD$1006:AJ1006),$AD$1006:$AU$1006,0)), HYPERLINK("#",""), HYPERLINK(CONCATENATE("#metadata!", ADDRESS(INDEX($Y$2:$Y$1001,MATCH(ROWS($W$2:W442),$W$2:$W$1001,0),0), INDEX($AD$1004:$AU$1004,1,MATCH(COLUMNS($AD$1006:AJ1006),$AD$1006:$AU$1006,0)))),"Fix")))</f>
        <v xml:space="preserve"> </v>
      </c>
      <c r="I442" s="4" t="str">
        <f ca="1">IF(OR(INDEX($X$2:$X$1001,MATCH(ROWS($W$2:W442),$W$2:$W$1001,0),1)&gt;=100000,INDEX($AD$1005:$AU$1005,1,MATCH(COLUMNS($AD$1006:AK1006),$AD$1006:$AU$1006,0))&gt;=100000), " ",IF(INDEX($AD$2:$AU$1001,MATCH(ROWS($W$2:W442),$W$2:$W$1001,0),MATCH(COLUMNS($AD$1006:AK1006),$AD$1006:$AU$1006,0)), HYPERLINK("#",""), HYPERLINK(CONCATENATE("#metadata!", ADDRESS(INDEX($Y$2:$Y$1001,MATCH(ROWS($W$2:W442),$W$2:$W$1001,0),0), INDEX($AD$1004:$AU$1004,1,MATCH(COLUMNS($AD$1006:AK1006),$AD$1006:$AU$1006,0)))),"Fix")))</f>
        <v xml:space="preserve"> </v>
      </c>
      <c r="J442" s="4" t="str">
        <f ca="1">IF(OR(INDEX($X$2:$X$1001,MATCH(ROWS($W$2:W442),$W$2:$W$1001,0),1)&gt;=100000,INDEX($AD$1005:$AU$1005,1,MATCH(COLUMNS($AD$1006:AL1006),$AD$1006:$AU$1006,0))&gt;=100000), " ",IF(INDEX($AD$2:$AU$1001,MATCH(ROWS($W$2:W442),$W$2:$W$1001,0),MATCH(COLUMNS($AD$1006:AL1006),$AD$1006:$AU$1006,0)), HYPERLINK("#",""), HYPERLINK(CONCATENATE("#metadata!", ADDRESS(INDEX($Y$2:$Y$1001,MATCH(ROWS($W$2:W442),$W$2:$W$1001,0),0), INDEX($AD$1004:$AU$1004,1,MATCH(COLUMNS($AD$1006:AL1006),$AD$1006:$AU$1006,0)))),"Fix")))</f>
        <v xml:space="preserve"> </v>
      </c>
      <c r="K442" s="4" t="str">
        <f ca="1">IF(OR(INDEX($X$2:$X$1001,MATCH(ROWS($W$2:W442),$W$2:$W$1001,0),1)&gt;=100000,INDEX($AD$1005:$AU$1005,1,MATCH(COLUMNS($AD$1006:AM1006),$AD$1006:$AU$1006,0))&gt;=100000), " ",IF(INDEX($AD$2:$AU$1001,MATCH(ROWS($W$2:W442),$W$2:$W$1001,0),MATCH(COLUMNS($AD$1006:AM1006),$AD$1006:$AU$1006,0)), HYPERLINK("#",""), HYPERLINK(CONCATENATE("#metadata!", ADDRESS(INDEX($Y$2:$Y$1001,MATCH(ROWS($W$2:W442),$W$2:$W$1001,0),0), INDEX($AD$1004:$AU$1004,1,MATCH(COLUMNS($AD$1006:AM1006),$AD$1006:$AU$1006,0)))),"Fix")))</f>
        <v xml:space="preserve"> </v>
      </c>
      <c r="L442" s="4" t="str">
        <f ca="1">IF(OR(INDEX($X$2:$X$1001,MATCH(ROWS($W$2:W442),$W$2:$W$1001,0),1)&gt;=100000,INDEX($AD$1005:$AU$1005,1,MATCH(COLUMNS($AD$1006:AN1006),$AD$1006:$AU$1006,0))&gt;=100000), " ",IF(INDEX($AD$2:$AU$1001,MATCH(ROWS($W$2:W442),$W$2:$W$1001,0),MATCH(COLUMNS($AD$1006:AN1006),$AD$1006:$AU$1006,0)), HYPERLINK("#",""), HYPERLINK(CONCATENATE("#metadata!", ADDRESS(INDEX($Y$2:$Y$1001,MATCH(ROWS($W$2:W442),$W$2:$W$1001,0),0), INDEX($AD$1004:$AU$1004,1,MATCH(COLUMNS($AD$1006:AN1006),$AD$1006:$AU$1006,0)))),"Fix")))</f>
        <v xml:space="preserve"> </v>
      </c>
      <c r="M442" s="4" t="str">
        <f ca="1">IF(OR(INDEX($X$2:$X$1001,MATCH(ROWS($W$2:W442),$W$2:$W$1001,0),1)&gt;=100000,INDEX($AD$1005:$AU$1005,1,MATCH(COLUMNS($AD$1006:AO1006),$AD$1006:$AU$1006,0))&gt;=100000), " ",IF(INDEX($AD$2:$AU$1001,MATCH(ROWS($W$2:W442),$W$2:$W$1001,0),MATCH(COLUMNS($AD$1006:AO1006),$AD$1006:$AU$1006,0)), HYPERLINK("#",""), HYPERLINK(CONCATENATE("#metadata!", ADDRESS(INDEX($Y$2:$Y$1001,MATCH(ROWS($W$2:W442),$W$2:$W$1001,0),0), INDEX($AD$1004:$AU$1004,1,MATCH(COLUMNS($AD$1006:AO1006),$AD$1006:$AU$1006,0)))),"Fix")))</f>
        <v xml:space="preserve"> </v>
      </c>
      <c r="N442" s="4" t="str">
        <f ca="1">IF(OR(INDEX($X$2:$X$1001,MATCH(ROWS($W$2:W442),$W$2:$W$1001,0),1)&gt;=100000,INDEX($AD$1005:$AU$1005,1,MATCH(COLUMNS($AD$1006:AP1006),$AD$1006:$AU$1006,0))&gt;=100000), " ",IF(INDEX($AD$2:$AU$1001,MATCH(ROWS($W$2:W442),$W$2:$W$1001,0),MATCH(COLUMNS($AD$1006:AP1006),$AD$1006:$AU$1006,0)), HYPERLINK("#",""), HYPERLINK(CONCATENATE("#metadata!", ADDRESS(INDEX($Y$2:$Y$1001,MATCH(ROWS($W$2:W442),$W$2:$W$1001,0),0), INDEX($AD$1004:$AU$1004,1,MATCH(COLUMNS($AD$1006:AP1006),$AD$1006:$AU$1006,0)))),"Fix")))</f>
        <v xml:space="preserve"> </v>
      </c>
      <c r="O442" s="4" t="str">
        <f ca="1">IF(OR(INDEX($X$2:$X$1001,MATCH(ROWS($W$2:W442),$W$2:$W$1001,0),1)&gt;=100000,INDEX($AD$1005:$AU$1005,1,MATCH(COLUMNS($AD$1006:AQ1006),$AD$1006:$AU$1006,0))&gt;=100000), " ",IF(INDEX($AD$2:$AU$1001,MATCH(ROWS($W$2:W442),$W$2:$W$1001,0),MATCH(COLUMNS($AD$1006:AQ1006),$AD$1006:$AU$1006,0)), HYPERLINK("#",""), HYPERLINK(CONCATENATE("#metadata!", ADDRESS(INDEX($Y$2:$Y$1001,MATCH(ROWS($W$2:W442),$W$2:$W$1001,0),0), INDEX($AD$1004:$AU$1004,1,MATCH(COLUMNS($AD$1006:AQ1006),$AD$1006:$AU$1006,0)))),"Fix")))</f>
        <v xml:space="preserve"> </v>
      </c>
      <c r="P442" s="4" t="str">
        <f ca="1">IF(OR(INDEX($X$2:$X$1001,MATCH(ROWS($W$2:W442),$W$2:$W$1001,0),1)&gt;=100000,INDEX($AD$1005:$AU$1005,1,MATCH(COLUMNS($AD$1006:AR1006),$AD$1006:$AU$1006,0))&gt;=100000), " ",IF(INDEX($AD$2:$AU$1001,MATCH(ROWS($W$2:W442),$W$2:$W$1001,0),MATCH(COLUMNS($AD$1006:AR1006),$AD$1006:$AU$1006,0)), HYPERLINK("#",""), HYPERLINK(CONCATENATE("#metadata!", ADDRESS(INDEX($Y$2:$Y$1001,MATCH(ROWS($W$2:W442),$W$2:$W$1001,0),0), INDEX($AD$1004:$AU$1004,1,MATCH(COLUMNS($AD$1006:AR1006),$AD$1006:$AU$1006,0)))),"Fix")))</f>
        <v xml:space="preserve"> </v>
      </c>
      <c r="Q442" s="4" t="str">
        <f ca="1">IF(OR(INDEX($X$2:$X$1001,MATCH(ROWS($W$2:W442),$W$2:$W$1001,0),1)&gt;=100000,INDEX($AD$1005:$AU$1005,1,MATCH(COLUMNS($AD$1006:AS1006),$AD$1006:$AU$1006,0))&gt;=100000), " ",IF(INDEX($AD$2:$AU$1001,MATCH(ROWS($W$2:W442),$W$2:$W$1001,0),MATCH(COLUMNS($AD$1006:AS1006),$AD$1006:$AU$1006,0)), HYPERLINK("#",""), HYPERLINK(CONCATENATE("#metadata!", ADDRESS(INDEX($Y$2:$Y$1001,MATCH(ROWS($W$2:W442),$W$2:$W$1001,0),0), INDEX($AD$1004:$AU$1004,1,MATCH(COLUMNS($AD$1006:AS1006),$AD$1006:$AU$1006,0)))),"Fix")))</f>
        <v xml:space="preserve"> </v>
      </c>
      <c r="R442" s="4" t="str">
        <f ca="1">IF(OR(INDEX($X$2:$X$1001,MATCH(ROWS($W$2:W442),$W$2:$W$1001,0),1)&gt;=100000,INDEX($AD$1005:$AU$1005,1,MATCH(COLUMNS($AD$1006:AT1006),$AD$1006:$AU$1006,0))&gt;=100000), " ",IF(INDEX($AD$2:$AU$1001,MATCH(ROWS($W$2:W442),$W$2:$W$1001,0),MATCH(COLUMNS($AD$1006:AT1006),$AD$1006:$AU$1006,0)), HYPERLINK("#",""), HYPERLINK(CONCATENATE("#metadata!", ADDRESS(INDEX($Y$2:$Y$1001,MATCH(ROWS($W$2:W442),$W$2:$W$1001,0),0), INDEX($AD$1004:$AU$1004,1,MATCH(COLUMNS($AD$1006:AT1006),$AD$1006:$AU$1006,0)))),"Fix")))</f>
        <v xml:space="preserve"> </v>
      </c>
      <c r="S442" s="4" t="str">
        <f ca="1">IF(OR(INDEX($X$2:$X$1001,MATCH(ROWS($W$2:W442),$W$2:$W$1001,0),1)&gt;=100000,INDEX($AD$1005:$AU$1005,1,MATCH(COLUMNS($AD$1006:AU1006),$AD$1006:$AU$1006,0))&gt;=100000), " ",IF(INDEX($AD$2:$AU$1001,MATCH(ROWS($W$2:W442),$W$2:$W$1001,0),MATCH(COLUMNS($AD$1006:AU1006),$AD$1006:$AU$1006,0)), HYPERLINK("#",""), HYPERLINK(CONCATENATE("#metadata!", ADDRESS(INDEX($Y$2:$Y$1001,MATCH(ROWS($W$2:W442),$W$2:$W$1001,0),0), INDEX($AD$1004:$AU$1004,1,MATCH(COLUMNS($AD$1006:AU1006),$AD$1006:$AU$1006,0)))),"Fix")))</f>
        <v xml:space="preserve"> </v>
      </c>
      <c r="W442">
        <v>441</v>
      </c>
      <c r="X442">
        <v>100442</v>
      </c>
      <c r="Y442">
        <v>442</v>
      </c>
      <c r="Z442" t="b">
        <f t="shared" si="6"/>
        <v>1</v>
      </c>
      <c r="AA442" t="b">
        <f>COUNTBLANK(metadata!B442:S442)=COLUMNS(metadata!B442:S442)</f>
        <v>1</v>
      </c>
      <c r="AB442" t="str">
        <v/>
      </c>
      <c r="AD442" t="b">
        <f ca="1">AND(IF(metadata!B442="",FALSE,TRUE),COUNTIF(metadata!B:B, metadata!B442) = 1,NOT(ISERROR(SUMPRODUCT(SEARCH(MID(metadata!B442,ROW(INDIRECT("1:"&amp;LEN(metadata!B442))), 1),"0123456789abcdefghijklmnopqrstuvwxyzABCDEFGHIJKLMNOPQRSTUVWXYZ.")))))</f>
        <v>0</v>
      </c>
      <c r="AE442" t="b">
        <f>OR(AND(IF(metadata!C442="",FALSE,TRUE),OR(EXACT(metadata!C442,"not applicable"),EXACT(metadata!C442,"missing: not collected"),EXACT(metadata!C442,"missing: not provided"),EXACT(metadata!C442,"missing: restricted access"))),AND(IF(metadata!C442="",FALSE,ISNUMBER(VALUE(metadata!C442))),metadata!C442&gt;0))</f>
        <v>0</v>
      </c>
      <c r="AF442" t="b">
        <f>AND(IF(metadata!D442="",FALSE,TRUE),EXACT(metadata!D442,"missing: not provided"))</f>
        <v>0</v>
      </c>
      <c r="AG442" t="b">
        <f>AND(IF(metadata!E442="",FALSE,TRUE),EXACT(metadata!E442,"Host-associated"))</f>
        <v>0</v>
      </c>
      <c r="AH442" t="b">
        <f>AND(IF(metadata!F442="",FALSE,TRUE),OR(EXACT(metadata!F442,"Animal"),EXACT(metadata!F442,"Fungus"),EXACT(metadata!F442,"Plant")))</f>
        <v>0</v>
      </c>
      <c r="AI442" t="b">
        <f>AND(IF(metadata!G442="",FALSE,TRUE),OR(EXACT(metadata!G442,"Plant secretion"),EXACT(metadata!G442,"Plant rhizosphere"),EXACT(metadata!G442,"Plant surface"),EXACT(metadata!G442,"Plant corpus"),EXACT(metadata!G442,"Fungus surface"),EXACT(metadata!G442,"Fungus corpus"),EXACT(metadata!G442,"Animal surface"),EXACT(metadata!G442,"Animal proximal gut"),EXACT(metadata!G442,"Animal corpus"),EXACT(metadata!G442,"Animal distal gut"),EXACT(metadata!G442,"Animal secretion")))</f>
        <v>0</v>
      </c>
      <c r="AJ442" t="b">
        <f>OR(AND(IF(metadata!H442="",FALSE,TRUE),OR(EXACT(metadata!H442,"missing: not collected"),EXACT(metadata!H442,"missing: not provided"),EXACT(metadata!H442,"missing: restricted access"))),AND(IF(metadata!H442="",FALSE,TRUE),OR(EXACT(metadata!H442,"organism-associated habitat"),EXACT(metadata!H442,"plant-associated habitat"),EXACT(metadata!H442,"animal-associated habitat"),EXACT(metadata!H442,"insecta-associated habitat"),EXACT(metadata!H442,"mammalia-associated habitat"),EXACT(metadata!H442,"human-associated habitat"),EXACT(metadata!H442,"livestock-associated habitat"))))</f>
        <v>0</v>
      </c>
      <c r="AK442" t="b">
        <f>AND(IF(metadata!I442="",FALSE,TRUE),EXACT(metadata!I442,"host-associated"))</f>
        <v>0</v>
      </c>
      <c r="AL442" t="b">
        <f>OR(AND(IF(metadata!J442="",FALSE,TRUE),OR(EXACT(metadata!J442,"not applicable"),EXACT(metadata!J442,"missing: not collected"),EXACT(metadata!J442,"missing: not provided"),EXACT(metadata!J442,"missing: restricted access"))),AND(IF(metadata!J442="",FALSE,ISNUMBER(VALUE(metadata!J442))),metadata!J442&gt;0))</f>
        <v>0</v>
      </c>
      <c r="AM442" t="b">
        <f>AND(IF(metadata!K442="",FALSE,TRUE),EXACT(metadata!K442,"missing: not provided"))</f>
        <v>0</v>
      </c>
      <c r="AN442" t="b">
        <f>IF(metadata!L442="",FALSE,TRUE)</f>
        <v>0</v>
      </c>
      <c r="AO442" t="b">
        <f>IF(metadata!M442="",FALSE,TRUE)</f>
        <v>0</v>
      </c>
      <c r="AP442" t="b">
        <f>OR(AND(IF(metadata!N442="",FALSE,TRUE),OR(EXACT(metadata!N442,"not applicable"),EXACT(metadata!N442,"missing: not collected"),EXACT(metadata!N442,"missing: not provided"))),AND(IF(metadata!N442="",FALSE,IF(ISERROR(INT(metadata!N442)),FALSE,INT(metadata!N442)=metadata!N442)),metadata!N442&gt;0))</f>
        <v>0</v>
      </c>
      <c r="AQ442" t="b">
        <f>AND(IF(metadata!O442="",FALSE,TRUE),EXACT(metadata!O442,"Not applicable"))</f>
        <v>0</v>
      </c>
      <c r="AR442" t="b">
        <f>OR(AND(IF(metadata!P442="",FALSE,TRUE),OR(EXACT(metadata!P442,"not applicable"),EXACT(metadata!P442,"missing: not collected"),EXACT(metadata!P442,"missing: not provided"),EXACT(metadata!P442,"missing: restricted access"))),IF(metadata!P442="",FALSE,IF(ISERROR(INT(metadata!P442)),FALSE,INT(metadata!P442)=metadata!P442)))</f>
        <v>0</v>
      </c>
      <c r="AS442" t="b">
        <f>AND(IF(metadata!Q442="",FALSE,TRUE),EXACT(metadata!Q442,"Not applicable"))</f>
        <v>0</v>
      </c>
      <c r="AT442" t="b">
        <f>OR(AND(IF(metadata!R442="",FALSE,TRUE),OR(EXACT(metadata!R442,"not applicable"),EXACT(metadata!R442,"missing: not collected"),EXACT(metadata!R442,"missing: not provided"),EXACT(metadata!R442,"missing: restricted access"))),AND(IF(metadata!R442="",FALSE,ISNUMBER(VALUE(metadata!R442))),metadata!R442&gt;0))</f>
        <v>0</v>
      </c>
      <c r="AU442" t="b">
        <f>AND(IF(metadata!S442="",FALSE,TRUE),EXACT(metadata!S442,"missing: not provided"))</f>
        <v>0</v>
      </c>
    </row>
    <row r="443" spans="1:47" x14ac:dyDescent="0.2">
      <c r="A443" s="5" t="str">
        <f ca="1">IF(B443=" "," ",HYPERLINK(CONCATENATE("#metadata!",ADDRESS(INDEX($Y$2:$Y$1001,MATCH(ROWS($W$2:W443),$W$2:$W$1001,0),0),1)),INDEX($AB$2:$AB$1001,MATCH(ROWS($W$2:W443),$W$2:$W$1001,0),0)))</f>
        <v xml:space="preserve"> </v>
      </c>
      <c r="B443" s="4" t="str">
        <f ca="1">IF(OR(INDEX($X$2:$X$1001,MATCH(ROWS($W$2:W443),$W$2:$W$1001,0),1)&gt;=100000,INDEX($AD$1005:$AU$1005,1,MATCH(COLUMNS($AD$1006:AD1006),$AD$1006:$AU$1006,0))&gt;=100000), " ",IF(INDEX($AD$2:$AU$1001,MATCH(ROWS($W$2:W443),$W$2:$W$1001,0),MATCH(COLUMNS($AD$1006:AD1006),$AD$1006:$AU$1006,0)), HYPERLINK("#",""), HYPERLINK(CONCATENATE("#metadata!", ADDRESS(INDEX($Y$2:$Y$1001,MATCH(ROWS($W$2:W443),$W$2:$W$1001,0),0), INDEX($AD$1004:$AU$1004,1,MATCH(COLUMNS($AD$1006:AD1006),$AD$1006:$AU$1006,0)))),"Fix")))</f>
        <v xml:space="preserve"> </v>
      </c>
      <c r="C443" s="4" t="str">
        <f ca="1">IF(OR(INDEX($X$2:$X$1001,MATCH(ROWS($W$2:W443),$W$2:$W$1001,0),1)&gt;=100000,INDEX($AD$1005:$AU$1005,1,MATCH(COLUMNS($AD$1006:AE1006),$AD$1006:$AU$1006,0))&gt;=100000), " ",IF(INDEX($AD$2:$AU$1001,MATCH(ROWS($W$2:W443),$W$2:$W$1001,0),MATCH(COLUMNS($AD$1006:AE1006),$AD$1006:$AU$1006,0)), HYPERLINK("#",""), HYPERLINK(CONCATENATE("#metadata!", ADDRESS(INDEX($Y$2:$Y$1001,MATCH(ROWS($W$2:W443),$W$2:$W$1001,0),0), INDEX($AD$1004:$AU$1004,1,MATCH(COLUMNS($AD$1006:AE1006),$AD$1006:$AU$1006,0)))),"Fix")))</f>
        <v xml:space="preserve"> </v>
      </c>
      <c r="D443" s="4" t="str">
        <f ca="1">IF(OR(INDEX($X$2:$X$1001,MATCH(ROWS($W$2:W443),$W$2:$W$1001,0),1)&gt;=100000,INDEX($AD$1005:$AU$1005,1,MATCH(COLUMNS($AD$1006:AF1006),$AD$1006:$AU$1006,0))&gt;=100000), " ",IF(INDEX($AD$2:$AU$1001,MATCH(ROWS($W$2:W443),$W$2:$W$1001,0),MATCH(COLUMNS($AD$1006:AF1006),$AD$1006:$AU$1006,0)), HYPERLINK("#",""), HYPERLINK(CONCATENATE("#metadata!", ADDRESS(INDEX($Y$2:$Y$1001,MATCH(ROWS($W$2:W443),$W$2:$W$1001,0),0), INDEX($AD$1004:$AU$1004,1,MATCH(COLUMNS($AD$1006:AF1006),$AD$1006:$AU$1006,0)))),"Fix")))</f>
        <v xml:space="preserve"> </v>
      </c>
      <c r="E443" s="4" t="str">
        <f ca="1">IF(OR(INDEX($X$2:$X$1001,MATCH(ROWS($W$2:W443),$W$2:$W$1001,0),1)&gt;=100000,INDEX($AD$1005:$AU$1005,1,MATCH(COLUMNS($AD$1006:AG1006),$AD$1006:$AU$1006,0))&gt;=100000), " ",IF(INDEX($AD$2:$AU$1001,MATCH(ROWS($W$2:W443),$W$2:$W$1001,0),MATCH(COLUMNS($AD$1006:AG1006),$AD$1006:$AU$1006,0)), HYPERLINK("#",""), HYPERLINK(CONCATENATE("#metadata!", ADDRESS(INDEX($Y$2:$Y$1001,MATCH(ROWS($W$2:W443),$W$2:$W$1001,0),0), INDEX($AD$1004:$AU$1004,1,MATCH(COLUMNS($AD$1006:AG1006),$AD$1006:$AU$1006,0)))),"Fix")))</f>
        <v xml:space="preserve"> </v>
      </c>
      <c r="F443" s="4" t="str">
        <f ca="1">IF(OR(INDEX($X$2:$X$1001,MATCH(ROWS($W$2:W443),$W$2:$W$1001,0),1)&gt;=100000,INDEX($AD$1005:$AU$1005,1,MATCH(COLUMNS($AD$1006:AH1006),$AD$1006:$AU$1006,0))&gt;=100000), " ",IF(INDEX($AD$2:$AU$1001,MATCH(ROWS($W$2:W443),$W$2:$W$1001,0),MATCH(COLUMNS($AD$1006:AH1006),$AD$1006:$AU$1006,0)), HYPERLINK("#",""), HYPERLINK(CONCATENATE("#metadata!", ADDRESS(INDEX($Y$2:$Y$1001,MATCH(ROWS($W$2:W443),$W$2:$W$1001,0),0), INDEX($AD$1004:$AU$1004,1,MATCH(COLUMNS($AD$1006:AH1006),$AD$1006:$AU$1006,0)))),"Fix")))</f>
        <v xml:space="preserve"> </v>
      </c>
      <c r="G443" s="4" t="str">
        <f ca="1">IF(OR(INDEX($X$2:$X$1001,MATCH(ROWS($W$2:W443),$W$2:$W$1001,0),1)&gt;=100000,INDEX($AD$1005:$AU$1005,1,MATCH(COLUMNS($AD$1006:AI1006),$AD$1006:$AU$1006,0))&gt;=100000), " ",IF(INDEX($AD$2:$AU$1001,MATCH(ROWS($W$2:W443),$W$2:$W$1001,0),MATCH(COLUMNS($AD$1006:AI1006),$AD$1006:$AU$1006,0)), HYPERLINK("#",""), HYPERLINK(CONCATENATE("#metadata!", ADDRESS(INDEX($Y$2:$Y$1001,MATCH(ROWS($W$2:W443),$W$2:$W$1001,0),0), INDEX($AD$1004:$AU$1004,1,MATCH(COLUMNS($AD$1006:AI1006),$AD$1006:$AU$1006,0)))),"Fix")))</f>
        <v xml:space="preserve"> </v>
      </c>
      <c r="H443" s="4" t="str">
        <f ca="1">IF(OR(INDEX($X$2:$X$1001,MATCH(ROWS($W$2:W443),$W$2:$W$1001,0),1)&gt;=100000,INDEX($AD$1005:$AU$1005,1,MATCH(COLUMNS($AD$1006:AJ1006),$AD$1006:$AU$1006,0))&gt;=100000), " ",IF(INDEX($AD$2:$AU$1001,MATCH(ROWS($W$2:W443),$W$2:$W$1001,0),MATCH(COLUMNS($AD$1006:AJ1006),$AD$1006:$AU$1006,0)), HYPERLINK("#",""), HYPERLINK(CONCATENATE("#metadata!", ADDRESS(INDEX($Y$2:$Y$1001,MATCH(ROWS($W$2:W443),$W$2:$W$1001,0),0), INDEX($AD$1004:$AU$1004,1,MATCH(COLUMNS($AD$1006:AJ1006),$AD$1006:$AU$1006,0)))),"Fix")))</f>
        <v xml:space="preserve"> </v>
      </c>
      <c r="I443" s="4" t="str">
        <f ca="1">IF(OR(INDEX($X$2:$X$1001,MATCH(ROWS($W$2:W443),$W$2:$W$1001,0),1)&gt;=100000,INDEX($AD$1005:$AU$1005,1,MATCH(COLUMNS($AD$1006:AK1006),$AD$1006:$AU$1006,0))&gt;=100000), " ",IF(INDEX($AD$2:$AU$1001,MATCH(ROWS($W$2:W443),$W$2:$W$1001,0),MATCH(COLUMNS($AD$1006:AK1006),$AD$1006:$AU$1006,0)), HYPERLINK("#",""), HYPERLINK(CONCATENATE("#metadata!", ADDRESS(INDEX($Y$2:$Y$1001,MATCH(ROWS($W$2:W443),$W$2:$W$1001,0),0), INDEX($AD$1004:$AU$1004,1,MATCH(COLUMNS($AD$1006:AK1006),$AD$1006:$AU$1006,0)))),"Fix")))</f>
        <v xml:space="preserve"> </v>
      </c>
      <c r="J443" s="4" t="str">
        <f ca="1">IF(OR(INDEX($X$2:$X$1001,MATCH(ROWS($W$2:W443),$W$2:$W$1001,0),1)&gt;=100000,INDEX($AD$1005:$AU$1005,1,MATCH(COLUMNS($AD$1006:AL1006),$AD$1006:$AU$1006,0))&gt;=100000), " ",IF(INDEX($AD$2:$AU$1001,MATCH(ROWS($W$2:W443),$W$2:$W$1001,0),MATCH(COLUMNS($AD$1006:AL1006),$AD$1006:$AU$1006,0)), HYPERLINK("#",""), HYPERLINK(CONCATENATE("#metadata!", ADDRESS(INDEX($Y$2:$Y$1001,MATCH(ROWS($W$2:W443),$W$2:$W$1001,0),0), INDEX($AD$1004:$AU$1004,1,MATCH(COLUMNS($AD$1006:AL1006),$AD$1006:$AU$1006,0)))),"Fix")))</f>
        <v xml:space="preserve"> </v>
      </c>
      <c r="K443" s="4" t="str">
        <f ca="1">IF(OR(INDEX($X$2:$X$1001,MATCH(ROWS($W$2:W443),$W$2:$W$1001,0),1)&gt;=100000,INDEX($AD$1005:$AU$1005,1,MATCH(COLUMNS($AD$1006:AM1006),$AD$1006:$AU$1006,0))&gt;=100000), " ",IF(INDEX($AD$2:$AU$1001,MATCH(ROWS($W$2:W443),$W$2:$W$1001,0),MATCH(COLUMNS($AD$1006:AM1006),$AD$1006:$AU$1006,0)), HYPERLINK("#",""), HYPERLINK(CONCATENATE("#metadata!", ADDRESS(INDEX($Y$2:$Y$1001,MATCH(ROWS($W$2:W443),$W$2:$W$1001,0),0), INDEX($AD$1004:$AU$1004,1,MATCH(COLUMNS($AD$1006:AM1006),$AD$1006:$AU$1006,0)))),"Fix")))</f>
        <v xml:space="preserve"> </v>
      </c>
      <c r="L443" s="4" t="str">
        <f ca="1">IF(OR(INDEX($X$2:$X$1001,MATCH(ROWS($W$2:W443),$W$2:$W$1001,0),1)&gt;=100000,INDEX($AD$1005:$AU$1005,1,MATCH(COLUMNS($AD$1006:AN1006),$AD$1006:$AU$1006,0))&gt;=100000), " ",IF(INDEX($AD$2:$AU$1001,MATCH(ROWS($W$2:W443),$W$2:$W$1001,0),MATCH(COLUMNS($AD$1006:AN1006),$AD$1006:$AU$1006,0)), HYPERLINK("#",""), HYPERLINK(CONCATENATE("#metadata!", ADDRESS(INDEX($Y$2:$Y$1001,MATCH(ROWS($W$2:W443),$W$2:$W$1001,0),0), INDEX($AD$1004:$AU$1004,1,MATCH(COLUMNS($AD$1006:AN1006),$AD$1006:$AU$1006,0)))),"Fix")))</f>
        <v xml:space="preserve"> </v>
      </c>
      <c r="M443" s="4" t="str">
        <f ca="1">IF(OR(INDEX($X$2:$X$1001,MATCH(ROWS($W$2:W443),$W$2:$W$1001,0),1)&gt;=100000,INDEX($AD$1005:$AU$1005,1,MATCH(COLUMNS($AD$1006:AO1006),$AD$1006:$AU$1006,0))&gt;=100000), " ",IF(INDEX($AD$2:$AU$1001,MATCH(ROWS($W$2:W443),$W$2:$W$1001,0),MATCH(COLUMNS($AD$1006:AO1006),$AD$1006:$AU$1006,0)), HYPERLINK("#",""), HYPERLINK(CONCATENATE("#metadata!", ADDRESS(INDEX($Y$2:$Y$1001,MATCH(ROWS($W$2:W443),$W$2:$W$1001,0),0), INDEX($AD$1004:$AU$1004,1,MATCH(COLUMNS($AD$1006:AO1006),$AD$1006:$AU$1006,0)))),"Fix")))</f>
        <v xml:space="preserve"> </v>
      </c>
      <c r="N443" s="4" t="str">
        <f ca="1">IF(OR(INDEX($X$2:$X$1001,MATCH(ROWS($W$2:W443),$W$2:$W$1001,0),1)&gt;=100000,INDEX($AD$1005:$AU$1005,1,MATCH(COLUMNS($AD$1006:AP1006),$AD$1006:$AU$1006,0))&gt;=100000), " ",IF(INDEX($AD$2:$AU$1001,MATCH(ROWS($W$2:W443),$W$2:$W$1001,0),MATCH(COLUMNS($AD$1006:AP1006),$AD$1006:$AU$1006,0)), HYPERLINK("#",""), HYPERLINK(CONCATENATE("#metadata!", ADDRESS(INDEX($Y$2:$Y$1001,MATCH(ROWS($W$2:W443),$W$2:$W$1001,0),0), INDEX($AD$1004:$AU$1004,1,MATCH(COLUMNS($AD$1006:AP1006),$AD$1006:$AU$1006,0)))),"Fix")))</f>
        <v xml:space="preserve"> </v>
      </c>
      <c r="O443" s="4" t="str">
        <f ca="1">IF(OR(INDEX($X$2:$X$1001,MATCH(ROWS($W$2:W443),$W$2:$W$1001,0),1)&gt;=100000,INDEX($AD$1005:$AU$1005,1,MATCH(COLUMNS($AD$1006:AQ1006),$AD$1006:$AU$1006,0))&gt;=100000), " ",IF(INDEX($AD$2:$AU$1001,MATCH(ROWS($W$2:W443),$W$2:$W$1001,0),MATCH(COLUMNS($AD$1006:AQ1006),$AD$1006:$AU$1006,0)), HYPERLINK("#",""), HYPERLINK(CONCATENATE("#metadata!", ADDRESS(INDEX($Y$2:$Y$1001,MATCH(ROWS($W$2:W443),$W$2:$W$1001,0),0), INDEX($AD$1004:$AU$1004,1,MATCH(COLUMNS($AD$1006:AQ1006),$AD$1006:$AU$1006,0)))),"Fix")))</f>
        <v xml:space="preserve"> </v>
      </c>
      <c r="P443" s="4" t="str">
        <f ca="1">IF(OR(INDEX($X$2:$X$1001,MATCH(ROWS($W$2:W443),$W$2:$W$1001,0),1)&gt;=100000,INDEX($AD$1005:$AU$1005,1,MATCH(COLUMNS($AD$1006:AR1006),$AD$1006:$AU$1006,0))&gt;=100000), " ",IF(INDEX($AD$2:$AU$1001,MATCH(ROWS($W$2:W443),$W$2:$W$1001,0),MATCH(COLUMNS($AD$1006:AR1006),$AD$1006:$AU$1006,0)), HYPERLINK("#",""), HYPERLINK(CONCATENATE("#metadata!", ADDRESS(INDEX($Y$2:$Y$1001,MATCH(ROWS($W$2:W443),$W$2:$W$1001,0),0), INDEX($AD$1004:$AU$1004,1,MATCH(COLUMNS($AD$1006:AR1006),$AD$1006:$AU$1006,0)))),"Fix")))</f>
        <v xml:space="preserve"> </v>
      </c>
      <c r="Q443" s="4" t="str">
        <f ca="1">IF(OR(INDEX($X$2:$X$1001,MATCH(ROWS($W$2:W443),$W$2:$W$1001,0),1)&gt;=100000,INDEX($AD$1005:$AU$1005,1,MATCH(COLUMNS($AD$1006:AS1006),$AD$1006:$AU$1006,0))&gt;=100000), " ",IF(INDEX($AD$2:$AU$1001,MATCH(ROWS($W$2:W443),$W$2:$W$1001,0),MATCH(COLUMNS($AD$1006:AS1006),$AD$1006:$AU$1006,0)), HYPERLINK("#",""), HYPERLINK(CONCATENATE("#metadata!", ADDRESS(INDEX($Y$2:$Y$1001,MATCH(ROWS($W$2:W443),$W$2:$W$1001,0),0), INDEX($AD$1004:$AU$1004,1,MATCH(COLUMNS($AD$1006:AS1006),$AD$1006:$AU$1006,0)))),"Fix")))</f>
        <v xml:space="preserve"> </v>
      </c>
      <c r="R443" s="4" t="str">
        <f ca="1">IF(OR(INDEX($X$2:$X$1001,MATCH(ROWS($W$2:W443),$W$2:$W$1001,0),1)&gt;=100000,INDEX($AD$1005:$AU$1005,1,MATCH(COLUMNS($AD$1006:AT1006),$AD$1006:$AU$1006,0))&gt;=100000), " ",IF(INDEX($AD$2:$AU$1001,MATCH(ROWS($W$2:W443),$W$2:$W$1001,0),MATCH(COLUMNS($AD$1006:AT1006),$AD$1006:$AU$1006,0)), HYPERLINK("#",""), HYPERLINK(CONCATENATE("#metadata!", ADDRESS(INDEX($Y$2:$Y$1001,MATCH(ROWS($W$2:W443),$W$2:$W$1001,0),0), INDEX($AD$1004:$AU$1004,1,MATCH(COLUMNS($AD$1006:AT1006),$AD$1006:$AU$1006,0)))),"Fix")))</f>
        <v xml:space="preserve"> </v>
      </c>
      <c r="S443" s="4" t="str">
        <f ca="1">IF(OR(INDEX($X$2:$X$1001,MATCH(ROWS($W$2:W443),$W$2:$W$1001,0),1)&gt;=100000,INDEX($AD$1005:$AU$1005,1,MATCH(COLUMNS($AD$1006:AU1006),$AD$1006:$AU$1006,0))&gt;=100000), " ",IF(INDEX($AD$2:$AU$1001,MATCH(ROWS($W$2:W443),$W$2:$W$1001,0),MATCH(COLUMNS($AD$1006:AU1006),$AD$1006:$AU$1006,0)), HYPERLINK("#",""), HYPERLINK(CONCATENATE("#metadata!", ADDRESS(INDEX($Y$2:$Y$1001,MATCH(ROWS($W$2:W443),$W$2:$W$1001,0),0), INDEX($AD$1004:$AU$1004,1,MATCH(COLUMNS($AD$1006:AU1006),$AD$1006:$AU$1006,0)))),"Fix")))</f>
        <v xml:space="preserve"> </v>
      </c>
      <c r="W443">
        <v>442</v>
      </c>
      <c r="X443">
        <v>100443</v>
      </c>
      <c r="Y443">
        <v>443</v>
      </c>
      <c r="Z443" t="b">
        <f t="shared" si="6"/>
        <v>1</v>
      </c>
      <c r="AA443" t="b">
        <f>COUNTBLANK(metadata!B443:S443)=COLUMNS(metadata!B443:S443)</f>
        <v>1</v>
      </c>
      <c r="AB443" t="str">
        <v/>
      </c>
      <c r="AD443" t="b">
        <f ca="1">AND(IF(metadata!B443="",FALSE,TRUE),COUNTIF(metadata!B:B, metadata!B443) = 1,NOT(ISERROR(SUMPRODUCT(SEARCH(MID(metadata!B443,ROW(INDIRECT("1:"&amp;LEN(metadata!B443))), 1),"0123456789abcdefghijklmnopqrstuvwxyzABCDEFGHIJKLMNOPQRSTUVWXYZ.")))))</f>
        <v>0</v>
      </c>
      <c r="AE443" t="b">
        <f>OR(AND(IF(metadata!C443="",FALSE,TRUE),OR(EXACT(metadata!C443,"not applicable"),EXACT(metadata!C443,"missing: not collected"),EXACT(metadata!C443,"missing: not provided"),EXACT(metadata!C443,"missing: restricted access"))),AND(IF(metadata!C443="",FALSE,ISNUMBER(VALUE(metadata!C443))),metadata!C443&gt;0))</f>
        <v>0</v>
      </c>
      <c r="AF443" t="b">
        <f>AND(IF(metadata!D443="",FALSE,TRUE),EXACT(metadata!D443,"missing: not provided"))</f>
        <v>0</v>
      </c>
      <c r="AG443" t="b">
        <f>AND(IF(metadata!E443="",FALSE,TRUE),EXACT(metadata!E443,"Host-associated"))</f>
        <v>0</v>
      </c>
      <c r="AH443" t="b">
        <f>AND(IF(metadata!F443="",FALSE,TRUE),OR(EXACT(metadata!F443,"Animal"),EXACT(metadata!F443,"Fungus"),EXACT(metadata!F443,"Plant")))</f>
        <v>0</v>
      </c>
      <c r="AI443" t="b">
        <f>AND(IF(metadata!G443="",FALSE,TRUE),OR(EXACT(metadata!G443,"Plant secretion"),EXACT(metadata!G443,"Plant rhizosphere"),EXACT(metadata!G443,"Plant surface"),EXACT(metadata!G443,"Plant corpus"),EXACT(metadata!G443,"Fungus surface"),EXACT(metadata!G443,"Fungus corpus"),EXACT(metadata!G443,"Animal surface"),EXACT(metadata!G443,"Animal proximal gut"),EXACT(metadata!G443,"Animal corpus"),EXACT(metadata!G443,"Animal distal gut"),EXACT(metadata!G443,"Animal secretion")))</f>
        <v>0</v>
      </c>
      <c r="AJ443" t="b">
        <f>OR(AND(IF(metadata!H443="",FALSE,TRUE),OR(EXACT(metadata!H443,"missing: not collected"),EXACT(metadata!H443,"missing: not provided"),EXACT(metadata!H443,"missing: restricted access"))),AND(IF(metadata!H443="",FALSE,TRUE),OR(EXACT(metadata!H443,"organism-associated habitat"),EXACT(metadata!H443,"plant-associated habitat"),EXACT(metadata!H443,"animal-associated habitat"),EXACT(metadata!H443,"insecta-associated habitat"),EXACT(metadata!H443,"mammalia-associated habitat"),EXACT(metadata!H443,"human-associated habitat"),EXACT(metadata!H443,"livestock-associated habitat"))))</f>
        <v>0</v>
      </c>
      <c r="AK443" t="b">
        <f>AND(IF(metadata!I443="",FALSE,TRUE),EXACT(metadata!I443,"host-associated"))</f>
        <v>0</v>
      </c>
      <c r="AL443" t="b">
        <f>OR(AND(IF(metadata!J443="",FALSE,TRUE),OR(EXACT(metadata!J443,"not applicable"),EXACT(metadata!J443,"missing: not collected"),EXACT(metadata!J443,"missing: not provided"),EXACT(metadata!J443,"missing: restricted access"))),AND(IF(metadata!J443="",FALSE,ISNUMBER(VALUE(metadata!J443))),metadata!J443&gt;0))</f>
        <v>0</v>
      </c>
      <c r="AM443" t="b">
        <f>AND(IF(metadata!K443="",FALSE,TRUE),EXACT(metadata!K443,"missing: not provided"))</f>
        <v>0</v>
      </c>
      <c r="AN443" t="b">
        <f>IF(metadata!L443="",FALSE,TRUE)</f>
        <v>0</v>
      </c>
      <c r="AO443" t="b">
        <f>IF(metadata!M443="",FALSE,TRUE)</f>
        <v>0</v>
      </c>
      <c r="AP443" t="b">
        <f>OR(AND(IF(metadata!N443="",FALSE,TRUE),OR(EXACT(metadata!N443,"not applicable"),EXACT(metadata!N443,"missing: not collected"),EXACT(metadata!N443,"missing: not provided"))),AND(IF(metadata!N443="",FALSE,IF(ISERROR(INT(metadata!N443)),FALSE,INT(metadata!N443)=metadata!N443)),metadata!N443&gt;0))</f>
        <v>0</v>
      </c>
      <c r="AQ443" t="b">
        <f>AND(IF(metadata!O443="",FALSE,TRUE),EXACT(metadata!O443,"Not applicable"))</f>
        <v>0</v>
      </c>
      <c r="AR443" t="b">
        <f>OR(AND(IF(metadata!P443="",FALSE,TRUE),OR(EXACT(metadata!P443,"not applicable"),EXACT(metadata!P443,"missing: not collected"),EXACT(metadata!P443,"missing: not provided"),EXACT(metadata!P443,"missing: restricted access"))),IF(metadata!P443="",FALSE,IF(ISERROR(INT(metadata!P443)),FALSE,INT(metadata!P443)=metadata!P443)))</f>
        <v>0</v>
      </c>
      <c r="AS443" t="b">
        <f>AND(IF(metadata!Q443="",FALSE,TRUE),EXACT(metadata!Q443,"Not applicable"))</f>
        <v>0</v>
      </c>
      <c r="AT443" t="b">
        <f>OR(AND(IF(metadata!R443="",FALSE,TRUE),OR(EXACT(metadata!R443,"not applicable"),EXACT(metadata!R443,"missing: not collected"),EXACT(metadata!R443,"missing: not provided"),EXACT(metadata!R443,"missing: restricted access"))),AND(IF(metadata!R443="",FALSE,ISNUMBER(VALUE(metadata!R443))),metadata!R443&gt;0))</f>
        <v>0</v>
      </c>
      <c r="AU443" t="b">
        <f>AND(IF(metadata!S443="",FALSE,TRUE),EXACT(metadata!S443,"missing: not provided"))</f>
        <v>0</v>
      </c>
    </row>
    <row r="444" spans="1:47" x14ac:dyDescent="0.2">
      <c r="A444" s="5" t="str">
        <f ca="1">IF(B444=" "," ",HYPERLINK(CONCATENATE("#metadata!",ADDRESS(INDEX($Y$2:$Y$1001,MATCH(ROWS($W$2:W444),$W$2:$W$1001,0),0),1)),INDEX($AB$2:$AB$1001,MATCH(ROWS($W$2:W444),$W$2:$W$1001,0),0)))</f>
        <v xml:space="preserve"> </v>
      </c>
      <c r="B444" s="4" t="str">
        <f ca="1">IF(OR(INDEX($X$2:$X$1001,MATCH(ROWS($W$2:W444),$W$2:$W$1001,0),1)&gt;=100000,INDEX($AD$1005:$AU$1005,1,MATCH(COLUMNS($AD$1006:AD1006),$AD$1006:$AU$1006,0))&gt;=100000), " ",IF(INDEX($AD$2:$AU$1001,MATCH(ROWS($W$2:W444),$W$2:$W$1001,0),MATCH(COLUMNS($AD$1006:AD1006),$AD$1006:$AU$1006,0)), HYPERLINK("#",""), HYPERLINK(CONCATENATE("#metadata!", ADDRESS(INDEX($Y$2:$Y$1001,MATCH(ROWS($W$2:W444),$W$2:$W$1001,0),0), INDEX($AD$1004:$AU$1004,1,MATCH(COLUMNS($AD$1006:AD1006),$AD$1006:$AU$1006,0)))),"Fix")))</f>
        <v xml:space="preserve"> </v>
      </c>
      <c r="C444" s="4" t="str">
        <f ca="1">IF(OR(INDEX($X$2:$X$1001,MATCH(ROWS($W$2:W444),$W$2:$W$1001,0),1)&gt;=100000,INDEX($AD$1005:$AU$1005,1,MATCH(COLUMNS($AD$1006:AE1006),$AD$1006:$AU$1006,0))&gt;=100000), " ",IF(INDEX($AD$2:$AU$1001,MATCH(ROWS($W$2:W444),$W$2:$W$1001,0),MATCH(COLUMNS($AD$1006:AE1006),$AD$1006:$AU$1006,0)), HYPERLINK("#",""), HYPERLINK(CONCATENATE("#metadata!", ADDRESS(INDEX($Y$2:$Y$1001,MATCH(ROWS($W$2:W444),$W$2:$W$1001,0),0), INDEX($AD$1004:$AU$1004,1,MATCH(COLUMNS($AD$1006:AE1006),$AD$1006:$AU$1006,0)))),"Fix")))</f>
        <v xml:space="preserve"> </v>
      </c>
      <c r="D444" s="4" t="str">
        <f ca="1">IF(OR(INDEX($X$2:$X$1001,MATCH(ROWS($W$2:W444),$W$2:$W$1001,0),1)&gt;=100000,INDEX($AD$1005:$AU$1005,1,MATCH(COLUMNS($AD$1006:AF1006),$AD$1006:$AU$1006,0))&gt;=100000), " ",IF(INDEX($AD$2:$AU$1001,MATCH(ROWS($W$2:W444),$W$2:$W$1001,0),MATCH(COLUMNS($AD$1006:AF1006),$AD$1006:$AU$1006,0)), HYPERLINK("#",""), HYPERLINK(CONCATENATE("#metadata!", ADDRESS(INDEX($Y$2:$Y$1001,MATCH(ROWS($W$2:W444),$W$2:$W$1001,0),0), INDEX($AD$1004:$AU$1004,1,MATCH(COLUMNS($AD$1006:AF1006),$AD$1006:$AU$1006,0)))),"Fix")))</f>
        <v xml:space="preserve"> </v>
      </c>
      <c r="E444" s="4" t="str">
        <f ca="1">IF(OR(INDEX($X$2:$X$1001,MATCH(ROWS($W$2:W444),$W$2:$W$1001,0),1)&gt;=100000,INDEX($AD$1005:$AU$1005,1,MATCH(COLUMNS($AD$1006:AG1006),$AD$1006:$AU$1006,0))&gt;=100000), " ",IF(INDEX($AD$2:$AU$1001,MATCH(ROWS($W$2:W444),$W$2:$W$1001,0),MATCH(COLUMNS($AD$1006:AG1006),$AD$1006:$AU$1006,0)), HYPERLINK("#",""), HYPERLINK(CONCATENATE("#metadata!", ADDRESS(INDEX($Y$2:$Y$1001,MATCH(ROWS($W$2:W444),$W$2:$W$1001,0),0), INDEX($AD$1004:$AU$1004,1,MATCH(COLUMNS($AD$1006:AG1006),$AD$1006:$AU$1006,0)))),"Fix")))</f>
        <v xml:space="preserve"> </v>
      </c>
      <c r="F444" s="4" t="str">
        <f ca="1">IF(OR(INDEX($X$2:$X$1001,MATCH(ROWS($W$2:W444),$W$2:$W$1001,0),1)&gt;=100000,INDEX($AD$1005:$AU$1005,1,MATCH(COLUMNS($AD$1006:AH1006),$AD$1006:$AU$1006,0))&gt;=100000), " ",IF(INDEX($AD$2:$AU$1001,MATCH(ROWS($W$2:W444),$W$2:$W$1001,0),MATCH(COLUMNS($AD$1006:AH1006),$AD$1006:$AU$1006,0)), HYPERLINK("#",""), HYPERLINK(CONCATENATE("#metadata!", ADDRESS(INDEX($Y$2:$Y$1001,MATCH(ROWS($W$2:W444),$W$2:$W$1001,0),0), INDEX($AD$1004:$AU$1004,1,MATCH(COLUMNS($AD$1006:AH1006),$AD$1006:$AU$1006,0)))),"Fix")))</f>
        <v xml:space="preserve"> </v>
      </c>
      <c r="G444" s="4" t="str">
        <f ca="1">IF(OR(INDEX($X$2:$X$1001,MATCH(ROWS($W$2:W444),$W$2:$W$1001,0),1)&gt;=100000,INDEX($AD$1005:$AU$1005,1,MATCH(COLUMNS($AD$1006:AI1006),$AD$1006:$AU$1006,0))&gt;=100000), " ",IF(INDEX($AD$2:$AU$1001,MATCH(ROWS($W$2:W444),$W$2:$W$1001,0),MATCH(COLUMNS($AD$1006:AI1006),$AD$1006:$AU$1006,0)), HYPERLINK("#",""), HYPERLINK(CONCATENATE("#metadata!", ADDRESS(INDEX($Y$2:$Y$1001,MATCH(ROWS($W$2:W444),$W$2:$W$1001,0),0), INDEX($AD$1004:$AU$1004,1,MATCH(COLUMNS($AD$1006:AI1006),$AD$1006:$AU$1006,0)))),"Fix")))</f>
        <v xml:space="preserve"> </v>
      </c>
      <c r="H444" s="4" t="str">
        <f ca="1">IF(OR(INDEX($X$2:$X$1001,MATCH(ROWS($W$2:W444),$W$2:$W$1001,0),1)&gt;=100000,INDEX($AD$1005:$AU$1005,1,MATCH(COLUMNS($AD$1006:AJ1006),$AD$1006:$AU$1006,0))&gt;=100000), " ",IF(INDEX($AD$2:$AU$1001,MATCH(ROWS($W$2:W444),$W$2:$W$1001,0),MATCH(COLUMNS($AD$1006:AJ1006),$AD$1006:$AU$1006,0)), HYPERLINK("#",""), HYPERLINK(CONCATENATE("#metadata!", ADDRESS(INDEX($Y$2:$Y$1001,MATCH(ROWS($W$2:W444),$W$2:$W$1001,0),0), INDEX($AD$1004:$AU$1004,1,MATCH(COLUMNS($AD$1006:AJ1006),$AD$1006:$AU$1006,0)))),"Fix")))</f>
        <v xml:space="preserve"> </v>
      </c>
      <c r="I444" s="4" t="str">
        <f ca="1">IF(OR(INDEX($X$2:$X$1001,MATCH(ROWS($W$2:W444),$W$2:$W$1001,0),1)&gt;=100000,INDEX($AD$1005:$AU$1005,1,MATCH(COLUMNS($AD$1006:AK1006),$AD$1006:$AU$1006,0))&gt;=100000), " ",IF(INDEX($AD$2:$AU$1001,MATCH(ROWS($W$2:W444),$W$2:$W$1001,0),MATCH(COLUMNS($AD$1006:AK1006),$AD$1006:$AU$1006,0)), HYPERLINK("#",""), HYPERLINK(CONCATENATE("#metadata!", ADDRESS(INDEX($Y$2:$Y$1001,MATCH(ROWS($W$2:W444),$W$2:$W$1001,0),0), INDEX($AD$1004:$AU$1004,1,MATCH(COLUMNS($AD$1006:AK1006),$AD$1006:$AU$1006,0)))),"Fix")))</f>
        <v xml:space="preserve"> </v>
      </c>
      <c r="J444" s="4" t="str">
        <f ca="1">IF(OR(INDEX($X$2:$X$1001,MATCH(ROWS($W$2:W444),$W$2:$W$1001,0),1)&gt;=100000,INDEX($AD$1005:$AU$1005,1,MATCH(COLUMNS($AD$1006:AL1006),$AD$1006:$AU$1006,0))&gt;=100000), " ",IF(INDEX($AD$2:$AU$1001,MATCH(ROWS($W$2:W444),$W$2:$W$1001,0),MATCH(COLUMNS($AD$1006:AL1006),$AD$1006:$AU$1006,0)), HYPERLINK("#",""), HYPERLINK(CONCATENATE("#metadata!", ADDRESS(INDEX($Y$2:$Y$1001,MATCH(ROWS($W$2:W444),$W$2:$W$1001,0),0), INDEX($AD$1004:$AU$1004,1,MATCH(COLUMNS($AD$1006:AL1006),$AD$1006:$AU$1006,0)))),"Fix")))</f>
        <v xml:space="preserve"> </v>
      </c>
      <c r="K444" s="4" t="str">
        <f ca="1">IF(OR(INDEX($X$2:$X$1001,MATCH(ROWS($W$2:W444),$W$2:$W$1001,0),1)&gt;=100000,INDEX($AD$1005:$AU$1005,1,MATCH(COLUMNS($AD$1006:AM1006),$AD$1006:$AU$1006,0))&gt;=100000), " ",IF(INDEX($AD$2:$AU$1001,MATCH(ROWS($W$2:W444),$W$2:$W$1001,0),MATCH(COLUMNS($AD$1006:AM1006),$AD$1006:$AU$1006,0)), HYPERLINK("#",""), HYPERLINK(CONCATENATE("#metadata!", ADDRESS(INDEX($Y$2:$Y$1001,MATCH(ROWS($W$2:W444),$W$2:$W$1001,0),0), INDEX($AD$1004:$AU$1004,1,MATCH(COLUMNS($AD$1006:AM1006),$AD$1006:$AU$1006,0)))),"Fix")))</f>
        <v xml:space="preserve"> </v>
      </c>
      <c r="L444" s="4" t="str">
        <f ca="1">IF(OR(INDEX($X$2:$X$1001,MATCH(ROWS($W$2:W444),$W$2:$W$1001,0),1)&gt;=100000,INDEX($AD$1005:$AU$1005,1,MATCH(COLUMNS($AD$1006:AN1006),$AD$1006:$AU$1006,0))&gt;=100000), " ",IF(INDEX($AD$2:$AU$1001,MATCH(ROWS($W$2:W444),$W$2:$W$1001,0),MATCH(COLUMNS($AD$1006:AN1006),$AD$1006:$AU$1006,0)), HYPERLINK("#",""), HYPERLINK(CONCATENATE("#metadata!", ADDRESS(INDEX($Y$2:$Y$1001,MATCH(ROWS($W$2:W444),$W$2:$W$1001,0),0), INDEX($AD$1004:$AU$1004,1,MATCH(COLUMNS($AD$1006:AN1006),$AD$1006:$AU$1006,0)))),"Fix")))</f>
        <v xml:space="preserve"> </v>
      </c>
      <c r="M444" s="4" t="str">
        <f ca="1">IF(OR(INDEX($X$2:$X$1001,MATCH(ROWS($W$2:W444),$W$2:$W$1001,0),1)&gt;=100000,INDEX($AD$1005:$AU$1005,1,MATCH(COLUMNS($AD$1006:AO1006),$AD$1006:$AU$1006,0))&gt;=100000), " ",IF(INDEX($AD$2:$AU$1001,MATCH(ROWS($W$2:W444),$W$2:$W$1001,0),MATCH(COLUMNS($AD$1006:AO1006),$AD$1006:$AU$1006,0)), HYPERLINK("#",""), HYPERLINK(CONCATENATE("#metadata!", ADDRESS(INDEX($Y$2:$Y$1001,MATCH(ROWS($W$2:W444),$W$2:$W$1001,0),0), INDEX($AD$1004:$AU$1004,1,MATCH(COLUMNS($AD$1006:AO1006),$AD$1006:$AU$1006,0)))),"Fix")))</f>
        <v xml:space="preserve"> </v>
      </c>
      <c r="N444" s="4" t="str">
        <f ca="1">IF(OR(INDEX($X$2:$X$1001,MATCH(ROWS($W$2:W444),$W$2:$W$1001,0),1)&gt;=100000,INDEX($AD$1005:$AU$1005,1,MATCH(COLUMNS($AD$1006:AP1006),$AD$1006:$AU$1006,0))&gt;=100000), " ",IF(INDEX($AD$2:$AU$1001,MATCH(ROWS($W$2:W444),$W$2:$W$1001,0),MATCH(COLUMNS($AD$1006:AP1006),$AD$1006:$AU$1006,0)), HYPERLINK("#",""), HYPERLINK(CONCATENATE("#metadata!", ADDRESS(INDEX($Y$2:$Y$1001,MATCH(ROWS($W$2:W444),$W$2:$W$1001,0),0), INDEX($AD$1004:$AU$1004,1,MATCH(COLUMNS($AD$1006:AP1006),$AD$1006:$AU$1006,0)))),"Fix")))</f>
        <v xml:space="preserve"> </v>
      </c>
      <c r="O444" s="4" t="str">
        <f ca="1">IF(OR(INDEX($X$2:$X$1001,MATCH(ROWS($W$2:W444),$W$2:$W$1001,0),1)&gt;=100000,INDEX($AD$1005:$AU$1005,1,MATCH(COLUMNS($AD$1006:AQ1006),$AD$1006:$AU$1006,0))&gt;=100000), " ",IF(INDEX($AD$2:$AU$1001,MATCH(ROWS($W$2:W444),$W$2:$W$1001,0),MATCH(COLUMNS($AD$1006:AQ1006),$AD$1006:$AU$1006,0)), HYPERLINK("#",""), HYPERLINK(CONCATENATE("#metadata!", ADDRESS(INDEX($Y$2:$Y$1001,MATCH(ROWS($W$2:W444),$W$2:$W$1001,0),0), INDEX($AD$1004:$AU$1004,1,MATCH(COLUMNS($AD$1006:AQ1006),$AD$1006:$AU$1006,0)))),"Fix")))</f>
        <v xml:space="preserve"> </v>
      </c>
      <c r="P444" s="4" t="str">
        <f ca="1">IF(OR(INDEX($X$2:$X$1001,MATCH(ROWS($W$2:W444),$W$2:$W$1001,0),1)&gt;=100000,INDEX($AD$1005:$AU$1005,1,MATCH(COLUMNS($AD$1006:AR1006),$AD$1006:$AU$1006,0))&gt;=100000), " ",IF(INDEX($AD$2:$AU$1001,MATCH(ROWS($W$2:W444),$W$2:$W$1001,0),MATCH(COLUMNS($AD$1006:AR1006),$AD$1006:$AU$1006,0)), HYPERLINK("#",""), HYPERLINK(CONCATENATE("#metadata!", ADDRESS(INDEX($Y$2:$Y$1001,MATCH(ROWS($W$2:W444),$W$2:$W$1001,0),0), INDEX($AD$1004:$AU$1004,1,MATCH(COLUMNS($AD$1006:AR1006),$AD$1006:$AU$1006,0)))),"Fix")))</f>
        <v xml:space="preserve"> </v>
      </c>
      <c r="Q444" s="4" t="str">
        <f ca="1">IF(OR(INDEX($X$2:$X$1001,MATCH(ROWS($W$2:W444),$W$2:$W$1001,0),1)&gt;=100000,INDEX($AD$1005:$AU$1005,1,MATCH(COLUMNS($AD$1006:AS1006),$AD$1006:$AU$1006,0))&gt;=100000), " ",IF(INDEX($AD$2:$AU$1001,MATCH(ROWS($W$2:W444),$W$2:$W$1001,0),MATCH(COLUMNS($AD$1006:AS1006),$AD$1006:$AU$1006,0)), HYPERLINK("#",""), HYPERLINK(CONCATENATE("#metadata!", ADDRESS(INDEX($Y$2:$Y$1001,MATCH(ROWS($W$2:W444),$W$2:$W$1001,0),0), INDEX($AD$1004:$AU$1004,1,MATCH(COLUMNS($AD$1006:AS1006),$AD$1006:$AU$1006,0)))),"Fix")))</f>
        <v xml:space="preserve"> </v>
      </c>
      <c r="R444" s="4" t="str">
        <f ca="1">IF(OR(INDEX($X$2:$X$1001,MATCH(ROWS($W$2:W444),$W$2:$W$1001,0),1)&gt;=100000,INDEX($AD$1005:$AU$1005,1,MATCH(COLUMNS($AD$1006:AT1006),$AD$1006:$AU$1006,0))&gt;=100000), " ",IF(INDEX($AD$2:$AU$1001,MATCH(ROWS($W$2:W444),$W$2:$W$1001,0),MATCH(COLUMNS($AD$1006:AT1006),$AD$1006:$AU$1006,0)), HYPERLINK("#",""), HYPERLINK(CONCATENATE("#metadata!", ADDRESS(INDEX($Y$2:$Y$1001,MATCH(ROWS($W$2:W444),$W$2:$W$1001,0),0), INDEX($AD$1004:$AU$1004,1,MATCH(COLUMNS($AD$1006:AT1006),$AD$1006:$AU$1006,0)))),"Fix")))</f>
        <v xml:space="preserve"> </v>
      </c>
      <c r="S444" s="4" t="str">
        <f ca="1">IF(OR(INDEX($X$2:$X$1001,MATCH(ROWS($W$2:W444),$W$2:$W$1001,0),1)&gt;=100000,INDEX($AD$1005:$AU$1005,1,MATCH(COLUMNS($AD$1006:AU1006),$AD$1006:$AU$1006,0))&gt;=100000), " ",IF(INDEX($AD$2:$AU$1001,MATCH(ROWS($W$2:W444),$W$2:$W$1001,0),MATCH(COLUMNS($AD$1006:AU1006),$AD$1006:$AU$1006,0)), HYPERLINK("#",""), HYPERLINK(CONCATENATE("#metadata!", ADDRESS(INDEX($Y$2:$Y$1001,MATCH(ROWS($W$2:W444),$W$2:$W$1001,0),0), INDEX($AD$1004:$AU$1004,1,MATCH(COLUMNS($AD$1006:AU1006),$AD$1006:$AU$1006,0)))),"Fix")))</f>
        <v xml:space="preserve"> </v>
      </c>
      <c r="W444">
        <v>443</v>
      </c>
      <c r="X444">
        <v>100444</v>
      </c>
      <c r="Y444">
        <v>444</v>
      </c>
      <c r="Z444" t="b">
        <f t="shared" si="6"/>
        <v>1</v>
      </c>
      <c r="AA444" t="b">
        <f>COUNTBLANK(metadata!B444:S444)=COLUMNS(metadata!B444:S444)</f>
        <v>1</v>
      </c>
      <c r="AB444" t="str">
        <v/>
      </c>
      <c r="AD444" t="b">
        <f ca="1">AND(IF(metadata!B444="",FALSE,TRUE),COUNTIF(metadata!B:B, metadata!B444) = 1,NOT(ISERROR(SUMPRODUCT(SEARCH(MID(metadata!B444,ROW(INDIRECT("1:"&amp;LEN(metadata!B444))), 1),"0123456789abcdefghijklmnopqrstuvwxyzABCDEFGHIJKLMNOPQRSTUVWXYZ.")))))</f>
        <v>0</v>
      </c>
      <c r="AE444" t="b">
        <f>OR(AND(IF(metadata!C444="",FALSE,TRUE),OR(EXACT(metadata!C444,"not applicable"),EXACT(metadata!C444,"missing: not collected"),EXACT(metadata!C444,"missing: not provided"),EXACT(metadata!C444,"missing: restricted access"))),AND(IF(metadata!C444="",FALSE,ISNUMBER(VALUE(metadata!C444))),metadata!C444&gt;0))</f>
        <v>0</v>
      </c>
      <c r="AF444" t="b">
        <f>AND(IF(metadata!D444="",FALSE,TRUE),EXACT(metadata!D444,"missing: not provided"))</f>
        <v>0</v>
      </c>
      <c r="AG444" t="b">
        <f>AND(IF(metadata!E444="",FALSE,TRUE),EXACT(metadata!E444,"Host-associated"))</f>
        <v>0</v>
      </c>
      <c r="AH444" t="b">
        <f>AND(IF(metadata!F444="",FALSE,TRUE),OR(EXACT(metadata!F444,"Animal"),EXACT(metadata!F444,"Fungus"),EXACT(metadata!F444,"Plant")))</f>
        <v>0</v>
      </c>
      <c r="AI444" t="b">
        <f>AND(IF(metadata!G444="",FALSE,TRUE),OR(EXACT(metadata!G444,"Plant secretion"),EXACT(metadata!G444,"Plant rhizosphere"),EXACT(metadata!G444,"Plant surface"),EXACT(metadata!G444,"Plant corpus"),EXACT(metadata!G444,"Fungus surface"),EXACT(metadata!G444,"Fungus corpus"),EXACT(metadata!G444,"Animal surface"),EXACT(metadata!G444,"Animal proximal gut"),EXACT(metadata!G444,"Animal corpus"),EXACT(metadata!G444,"Animal distal gut"),EXACT(metadata!G444,"Animal secretion")))</f>
        <v>0</v>
      </c>
      <c r="AJ444" t="b">
        <f>OR(AND(IF(metadata!H444="",FALSE,TRUE),OR(EXACT(metadata!H444,"missing: not collected"),EXACT(metadata!H444,"missing: not provided"),EXACT(metadata!H444,"missing: restricted access"))),AND(IF(metadata!H444="",FALSE,TRUE),OR(EXACT(metadata!H444,"organism-associated habitat"),EXACT(metadata!H444,"plant-associated habitat"),EXACT(metadata!H444,"animal-associated habitat"),EXACT(metadata!H444,"insecta-associated habitat"),EXACT(metadata!H444,"mammalia-associated habitat"),EXACT(metadata!H444,"human-associated habitat"),EXACT(metadata!H444,"livestock-associated habitat"))))</f>
        <v>0</v>
      </c>
      <c r="AK444" t="b">
        <f>AND(IF(metadata!I444="",FALSE,TRUE),EXACT(metadata!I444,"host-associated"))</f>
        <v>0</v>
      </c>
      <c r="AL444" t="b">
        <f>OR(AND(IF(metadata!J444="",FALSE,TRUE),OR(EXACT(metadata!J444,"not applicable"),EXACT(metadata!J444,"missing: not collected"),EXACT(metadata!J444,"missing: not provided"),EXACT(metadata!J444,"missing: restricted access"))),AND(IF(metadata!J444="",FALSE,ISNUMBER(VALUE(metadata!J444))),metadata!J444&gt;0))</f>
        <v>0</v>
      </c>
      <c r="AM444" t="b">
        <f>AND(IF(metadata!K444="",FALSE,TRUE),EXACT(metadata!K444,"missing: not provided"))</f>
        <v>0</v>
      </c>
      <c r="AN444" t="b">
        <f>IF(metadata!L444="",FALSE,TRUE)</f>
        <v>0</v>
      </c>
      <c r="AO444" t="b">
        <f>IF(metadata!M444="",FALSE,TRUE)</f>
        <v>0</v>
      </c>
      <c r="AP444" t="b">
        <f>OR(AND(IF(metadata!N444="",FALSE,TRUE),OR(EXACT(metadata!N444,"not applicable"),EXACT(metadata!N444,"missing: not collected"),EXACT(metadata!N444,"missing: not provided"))),AND(IF(metadata!N444="",FALSE,IF(ISERROR(INT(metadata!N444)),FALSE,INT(metadata!N444)=metadata!N444)),metadata!N444&gt;0))</f>
        <v>0</v>
      </c>
      <c r="AQ444" t="b">
        <f>AND(IF(metadata!O444="",FALSE,TRUE),EXACT(metadata!O444,"Not applicable"))</f>
        <v>0</v>
      </c>
      <c r="AR444" t="b">
        <f>OR(AND(IF(metadata!P444="",FALSE,TRUE),OR(EXACT(metadata!P444,"not applicable"),EXACT(metadata!P444,"missing: not collected"),EXACT(metadata!P444,"missing: not provided"),EXACT(metadata!P444,"missing: restricted access"))),IF(metadata!P444="",FALSE,IF(ISERROR(INT(metadata!P444)),FALSE,INT(metadata!P444)=metadata!P444)))</f>
        <v>0</v>
      </c>
      <c r="AS444" t="b">
        <f>AND(IF(metadata!Q444="",FALSE,TRUE),EXACT(metadata!Q444,"Not applicable"))</f>
        <v>0</v>
      </c>
      <c r="AT444" t="b">
        <f>OR(AND(IF(metadata!R444="",FALSE,TRUE),OR(EXACT(metadata!R444,"not applicable"),EXACT(metadata!R444,"missing: not collected"),EXACT(metadata!R444,"missing: not provided"),EXACT(metadata!R444,"missing: restricted access"))),AND(IF(metadata!R444="",FALSE,ISNUMBER(VALUE(metadata!R444))),metadata!R444&gt;0))</f>
        <v>0</v>
      </c>
      <c r="AU444" t="b">
        <f>AND(IF(metadata!S444="",FALSE,TRUE),EXACT(metadata!S444,"missing: not provided"))</f>
        <v>0</v>
      </c>
    </row>
    <row r="445" spans="1:47" x14ac:dyDescent="0.2">
      <c r="A445" s="5" t="str">
        <f ca="1">IF(B445=" "," ",HYPERLINK(CONCATENATE("#metadata!",ADDRESS(INDEX($Y$2:$Y$1001,MATCH(ROWS($W$2:W445),$W$2:$W$1001,0),0),1)),INDEX($AB$2:$AB$1001,MATCH(ROWS($W$2:W445),$W$2:$W$1001,0),0)))</f>
        <v xml:space="preserve"> </v>
      </c>
      <c r="B445" s="4" t="str">
        <f ca="1">IF(OR(INDEX($X$2:$X$1001,MATCH(ROWS($W$2:W445),$W$2:$W$1001,0),1)&gt;=100000,INDEX($AD$1005:$AU$1005,1,MATCH(COLUMNS($AD$1006:AD1006),$AD$1006:$AU$1006,0))&gt;=100000), " ",IF(INDEX($AD$2:$AU$1001,MATCH(ROWS($W$2:W445),$W$2:$W$1001,0),MATCH(COLUMNS($AD$1006:AD1006),$AD$1006:$AU$1006,0)), HYPERLINK("#",""), HYPERLINK(CONCATENATE("#metadata!", ADDRESS(INDEX($Y$2:$Y$1001,MATCH(ROWS($W$2:W445),$W$2:$W$1001,0),0), INDEX($AD$1004:$AU$1004,1,MATCH(COLUMNS($AD$1006:AD1006),$AD$1006:$AU$1006,0)))),"Fix")))</f>
        <v xml:space="preserve"> </v>
      </c>
      <c r="C445" s="4" t="str">
        <f ca="1">IF(OR(INDEX($X$2:$X$1001,MATCH(ROWS($W$2:W445),$W$2:$W$1001,0),1)&gt;=100000,INDEX($AD$1005:$AU$1005,1,MATCH(COLUMNS($AD$1006:AE1006),$AD$1006:$AU$1006,0))&gt;=100000), " ",IF(INDEX($AD$2:$AU$1001,MATCH(ROWS($W$2:W445),$W$2:$W$1001,0),MATCH(COLUMNS($AD$1006:AE1006),$AD$1006:$AU$1006,0)), HYPERLINK("#",""), HYPERLINK(CONCATENATE("#metadata!", ADDRESS(INDEX($Y$2:$Y$1001,MATCH(ROWS($W$2:W445),$W$2:$W$1001,0),0), INDEX($AD$1004:$AU$1004,1,MATCH(COLUMNS($AD$1006:AE1006),$AD$1006:$AU$1006,0)))),"Fix")))</f>
        <v xml:space="preserve"> </v>
      </c>
      <c r="D445" s="4" t="str">
        <f ca="1">IF(OR(INDEX($X$2:$X$1001,MATCH(ROWS($W$2:W445),$W$2:$W$1001,0),1)&gt;=100000,INDEX($AD$1005:$AU$1005,1,MATCH(COLUMNS($AD$1006:AF1006),$AD$1006:$AU$1006,0))&gt;=100000), " ",IF(INDEX($AD$2:$AU$1001,MATCH(ROWS($W$2:W445),$W$2:$W$1001,0),MATCH(COLUMNS($AD$1006:AF1006),$AD$1006:$AU$1006,0)), HYPERLINK("#",""), HYPERLINK(CONCATENATE("#metadata!", ADDRESS(INDEX($Y$2:$Y$1001,MATCH(ROWS($W$2:W445),$W$2:$W$1001,0),0), INDEX($AD$1004:$AU$1004,1,MATCH(COLUMNS($AD$1006:AF1006),$AD$1006:$AU$1006,0)))),"Fix")))</f>
        <v xml:space="preserve"> </v>
      </c>
      <c r="E445" s="4" t="str">
        <f ca="1">IF(OR(INDEX($X$2:$X$1001,MATCH(ROWS($W$2:W445),$W$2:$W$1001,0),1)&gt;=100000,INDEX($AD$1005:$AU$1005,1,MATCH(COLUMNS($AD$1006:AG1006),$AD$1006:$AU$1006,0))&gt;=100000), " ",IF(INDEX($AD$2:$AU$1001,MATCH(ROWS($W$2:W445),$W$2:$W$1001,0),MATCH(COLUMNS($AD$1006:AG1006),$AD$1006:$AU$1006,0)), HYPERLINK("#",""), HYPERLINK(CONCATENATE("#metadata!", ADDRESS(INDEX($Y$2:$Y$1001,MATCH(ROWS($W$2:W445),$W$2:$W$1001,0),0), INDEX($AD$1004:$AU$1004,1,MATCH(COLUMNS($AD$1006:AG1006),$AD$1006:$AU$1006,0)))),"Fix")))</f>
        <v xml:space="preserve"> </v>
      </c>
      <c r="F445" s="4" t="str">
        <f ca="1">IF(OR(INDEX($X$2:$X$1001,MATCH(ROWS($W$2:W445),$W$2:$W$1001,0),1)&gt;=100000,INDEX($AD$1005:$AU$1005,1,MATCH(COLUMNS($AD$1006:AH1006),$AD$1006:$AU$1006,0))&gt;=100000), " ",IF(INDEX($AD$2:$AU$1001,MATCH(ROWS($W$2:W445),$W$2:$W$1001,0),MATCH(COLUMNS($AD$1006:AH1006),$AD$1006:$AU$1006,0)), HYPERLINK("#",""), HYPERLINK(CONCATENATE("#metadata!", ADDRESS(INDEX($Y$2:$Y$1001,MATCH(ROWS($W$2:W445),$W$2:$W$1001,0),0), INDEX($AD$1004:$AU$1004,1,MATCH(COLUMNS($AD$1006:AH1006),$AD$1006:$AU$1006,0)))),"Fix")))</f>
        <v xml:space="preserve"> </v>
      </c>
      <c r="G445" s="4" t="str">
        <f ca="1">IF(OR(INDEX($X$2:$X$1001,MATCH(ROWS($W$2:W445),$W$2:$W$1001,0),1)&gt;=100000,INDEX($AD$1005:$AU$1005,1,MATCH(COLUMNS($AD$1006:AI1006),$AD$1006:$AU$1006,0))&gt;=100000), " ",IF(INDEX($AD$2:$AU$1001,MATCH(ROWS($W$2:W445),$W$2:$W$1001,0),MATCH(COLUMNS($AD$1006:AI1006),$AD$1006:$AU$1006,0)), HYPERLINK("#",""), HYPERLINK(CONCATENATE("#metadata!", ADDRESS(INDEX($Y$2:$Y$1001,MATCH(ROWS($W$2:W445),$W$2:$W$1001,0),0), INDEX($AD$1004:$AU$1004,1,MATCH(COLUMNS($AD$1006:AI1006),$AD$1006:$AU$1006,0)))),"Fix")))</f>
        <v xml:space="preserve"> </v>
      </c>
      <c r="H445" s="4" t="str">
        <f ca="1">IF(OR(INDEX($X$2:$X$1001,MATCH(ROWS($W$2:W445),$W$2:$W$1001,0),1)&gt;=100000,INDEX($AD$1005:$AU$1005,1,MATCH(COLUMNS($AD$1006:AJ1006),$AD$1006:$AU$1006,0))&gt;=100000), " ",IF(INDEX($AD$2:$AU$1001,MATCH(ROWS($W$2:W445),$W$2:$W$1001,0),MATCH(COLUMNS($AD$1006:AJ1006),$AD$1006:$AU$1006,0)), HYPERLINK("#",""), HYPERLINK(CONCATENATE("#metadata!", ADDRESS(INDEX($Y$2:$Y$1001,MATCH(ROWS($W$2:W445),$W$2:$W$1001,0),0), INDEX($AD$1004:$AU$1004,1,MATCH(COLUMNS($AD$1006:AJ1006),$AD$1006:$AU$1006,0)))),"Fix")))</f>
        <v xml:space="preserve"> </v>
      </c>
      <c r="I445" s="4" t="str">
        <f ca="1">IF(OR(INDEX($X$2:$X$1001,MATCH(ROWS($W$2:W445),$W$2:$W$1001,0),1)&gt;=100000,INDEX($AD$1005:$AU$1005,1,MATCH(COLUMNS($AD$1006:AK1006),$AD$1006:$AU$1006,0))&gt;=100000), " ",IF(INDEX($AD$2:$AU$1001,MATCH(ROWS($W$2:W445),$W$2:$W$1001,0),MATCH(COLUMNS($AD$1006:AK1006),$AD$1006:$AU$1006,0)), HYPERLINK("#",""), HYPERLINK(CONCATENATE("#metadata!", ADDRESS(INDEX($Y$2:$Y$1001,MATCH(ROWS($W$2:W445),$W$2:$W$1001,0),0), INDEX($AD$1004:$AU$1004,1,MATCH(COLUMNS($AD$1006:AK1006),$AD$1006:$AU$1006,0)))),"Fix")))</f>
        <v xml:space="preserve"> </v>
      </c>
      <c r="J445" s="4" t="str">
        <f ca="1">IF(OR(INDEX($X$2:$X$1001,MATCH(ROWS($W$2:W445),$W$2:$W$1001,0),1)&gt;=100000,INDEX($AD$1005:$AU$1005,1,MATCH(COLUMNS($AD$1006:AL1006),$AD$1006:$AU$1006,0))&gt;=100000), " ",IF(INDEX($AD$2:$AU$1001,MATCH(ROWS($W$2:W445),$W$2:$W$1001,0),MATCH(COLUMNS($AD$1006:AL1006),$AD$1006:$AU$1006,0)), HYPERLINK("#",""), HYPERLINK(CONCATENATE("#metadata!", ADDRESS(INDEX($Y$2:$Y$1001,MATCH(ROWS($W$2:W445),$W$2:$W$1001,0),0), INDEX($AD$1004:$AU$1004,1,MATCH(COLUMNS($AD$1006:AL1006),$AD$1006:$AU$1006,0)))),"Fix")))</f>
        <v xml:space="preserve"> </v>
      </c>
      <c r="K445" s="4" t="str">
        <f ca="1">IF(OR(INDEX($X$2:$X$1001,MATCH(ROWS($W$2:W445),$W$2:$W$1001,0),1)&gt;=100000,INDEX($AD$1005:$AU$1005,1,MATCH(COLUMNS($AD$1006:AM1006),$AD$1006:$AU$1006,0))&gt;=100000), " ",IF(INDEX($AD$2:$AU$1001,MATCH(ROWS($W$2:W445),$W$2:$W$1001,0),MATCH(COLUMNS($AD$1006:AM1006),$AD$1006:$AU$1006,0)), HYPERLINK("#",""), HYPERLINK(CONCATENATE("#metadata!", ADDRESS(INDEX($Y$2:$Y$1001,MATCH(ROWS($W$2:W445),$W$2:$W$1001,0),0), INDEX($AD$1004:$AU$1004,1,MATCH(COLUMNS($AD$1006:AM1006),$AD$1006:$AU$1006,0)))),"Fix")))</f>
        <v xml:space="preserve"> </v>
      </c>
      <c r="L445" s="4" t="str">
        <f ca="1">IF(OR(INDEX($X$2:$X$1001,MATCH(ROWS($W$2:W445),$W$2:$W$1001,0),1)&gt;=100000,INDEX($AD$1005:$AU$1005,1,MATCH(COLUMNS($AD$1006:AN1006),$AD$1006:$AU$1006,0))&gt;=100000), " ",IF(INDEX($AD$2:$AU$1001,MATCH(ROWS($W$2:W445),$W$2:$W$1001,0),MATCH(COLUMNS($AD$1006:AN1006),$AD$1006:$AU$1006,0)), HYPERLINK("#",""), HYPERLINK(CONCATENATE("#metadata!", ADDRESS(INDEX($Y$2:$Y$1001,MATCH(ROWS($W$2:W445),$W$2:$W$1001,0),0), INDEX($AD$1004:$AU$1004,1,MATCH(COLUMNS($AD$1006:AN1006),$AD$1006:$AU$1006,0)))),"Fix")))</f>
        <v xml:space="preserve"> </v>
      </c>
      <c r="M445" s="4" t="str">
        <f ca="1">IF(OR(INDEX($X$2:$X$1001,MATCH(ROWS($W$2:W445),$W$2:$W$1001,0),1)&gt;=100000,INDEX($AD$1005:$AU$1005,1,MATCH(COLUMNS($AD$1006:AO1006),$AD$1006:$AU$1006,0))&gt;=100000), " ",IF(INDEX($AD$2:$AU$1001,MATCH(ROWS($W$2:W445),$W$2:$W$1001,0),MATCH(COLUMNS($AD$1006:AO1006),$AD$1006:$AU$1006,0)), HYPERLINK("#",""), HYPERLINK(CONCATENATE("#metadata!", ADDRESS(INDEX($Y$2:$Y$1001,MATCH(ROWS($W$2:W445),$W$2:$W$1001,0),0), INDEX($AD$1004:$AU$1004,1,MATCH(COLUMNS($AD$1006:AO1006),$AD$1006:$AU$1006,0)))),"Fix")))</f>
        <v xml:space="preserve"> </v>
      </c>
      <c r="N445" s="4" t="str">
        <f ca="1">IF(OR(INDEX($X$2:$X$1001,MATCH(ROWS($W$2:W445),$W$2:$W$1001,0),1)&gt;=100000,INDEX($AD$1005:$AU$1005,1,MATCH(COLUMNS($AD$1006:AP1006),$AD$1006:$AU$1006,0))&gt;=100000), " ",IF(INDEX($AD$2:$AU$1001,MATCH(ROWS($W$2:W445),$W$2:$W$1001,0),MATCH(COLUMNS($AD$1006:AP1006),$AD$1006:$AU$1006,0)), HYPERLINK("#",""), HYPERLINK(CONCATENATE("#metadata!", ADDRESS(INDEX($Y$2:$Y$1001,MATCH(ROWS($W$2:W445),$W$2:$W$1001,0),0), INDEX($AD$1004:$AU$1004,1,MATCH(COLUMNS($AD$1006:AP1006),$AD$1006:$AU$1006,0)))),"Fix")))</f>
        <v xml:space="preserve"> </v>
      </c>
      <c r="O445" s="4" t="str">
        <f ca="1">IF(OR(INDEX($X$2:$X$1001,MATCH(ROWS($W$2:W445),$W$2:$W$1001,0),1)&gt;=100000,INDEX($AD$1005:$AU$1005,1,MATCH(COLUMNS($AD$1006:AQ1006),$AD$1006:$AU$1006,0))&gt;=100000), " ",IF(INDEX($AD$2:$AU$1001,MATCH(ROWS($W$2:W445),$W$2:$W$1001,0),MATCH(COLUMNS($AD$1006:AQ1006),$AD$1006:$AU$1006,0)), HYPERLINK("#",""), HYPERLINK(CONCATENATE("#metadata!", ADDRESS(INDEX($Y$2:$Y$1001,MATCH(ROWS($W$2:W445),$W$2:$W$1001,0),0), INDEX($AD$1004:$AU$1004,1,MATCH(COLUMNS($AD$1006:AQ1006),$AD$1006:$AU$1006,0)))),"Fix")))</f>
        <v xml:space="preserve"> </v>
      </c>
      <c r="P445" s="4" t="str">
        <f ca="1">IF(OR(INDEX($X$2:$X$1001,MATCH(ROWS($W$2:W445),$W$2:$W$1001,0),1)&gt;=100000,INDEX($AD$1005:$AU$1005,1,MATCH(COLUMNS($AD$1006:AR1006),$AD$1006:$AU$1006,0))&gt;=100000), " ",IF(INDEX($AD$2:$AU$1001,MATCH(ROWS($W$2:W445),$W$2:$W$1001,0),MATCH(COLUMNS($AD$1006:AR1006),$AD$1006:$AU$1006,0)), HYPERLINK("#",""), HYPERLINK(CONCATENATE("#metadata!", ADDRESS(INDEX($Y$2:$Y$1001,MATCH(ROWS($W$2:W445),$W$2:$W$1001,0),0), INDEX($AD$1004:$AU$1004,1,MATCH(COLUMNS($AD$1006:AR1006),$AD$1006:$AU$1006,0)))),"Fix")))</f>
        <v xml:space="preserve"> </v>
      </c>
      <c r="Q445" s="4" t="str">
        <f ca="1">IF(OR(INDEX($X$2:$X$1001,MATCH(ROWS($W$2:W445),$W$2:$W$1001,0),1)&gt;=100000,INDEX($AD$1005:$AU$1005,1,MATCH(COLUMNS($AD$1006:AS1006),$AD$1006:$AU$1006,0))&gt;=100000), " ",IF(INDEX($AD$2:$AU$1001,MATCH(ROWS($W$2:W445),$W$2:$W$1001,0),MATCH(COLUMNS($AD$1006:AS1006),$AD$1006:$AU$1006,0)), HYPERLINK("#",""), HYPERLINK(CONCATENATE("#metadata!", ADDRESS(INDEX($Y$2:$Y$1001,MATCH(ROWS($W$2:W445),$W$2:$W$1001,0),0), INDEX($AD$1004:$AU$1004,1,MATCH(COLUMNS($AD$1006:AS1006),$AD$1006:$AU$1006,0)))),"Fix")))</f>
        <v xml:space="preserve"> </v>
      </c>
      <c r="R445" s="4" t="str">
        <f ca="1">IF(OR(INDEX($X$2:$X$1001,MATCH(ROWS($W$2:W445),$W$2:$W$1001,0),1)&gt;=100000,INDEX($AD$1005:$AU$1005,1,MATCH(COLUMNS($AD$1006:AT1006),$AD$1006:$AU$1006,0))&gt;=100000), " ",IF(INDEX($AD$2:$AU$1001,MATCH(ROWS($W$2:W445),$W$2:$W$1001,0),MATCH(COLUMNS($AD$1006:AT1006),$AD$1006:$AU$1006,0)), HYPERLINK("#",""), HYPERLINK(CONCATENATE("#metadata!", ADDRESS(INDEX($Y$2:$Y$1001,MATCH(ROWS($W$2:W445),$W$2:$W$1001,0),0), INDEX($AD$1004:$AU$1004,1,MATCH(COLUMNS($AD$1006:AT1006),$AD$1006:$AU$1006,0)))),"Fix")))</f>
        <v xml:space="preserve"> </v>
      </c>
      <c r="S445" s="4" t="str">
        <f ca="1">IF(OR(INDEX($X$2:$X$1001,MATCH(ROWS($W$2:W445),$W$2:$W$1001,0),1)&gt;=100000,INDEX($AD$1005:$AU$1005,1,MATCH(COLUMNS($AD$1006:AU1006),$AD$1006:$AU$1006,0))&gt;=100000), " ",IF(INDEX($AD$2:$AU$1001,MATCH(ROWS($W$2:W445),$W$2:$W$1001,0),MATCH(COLUMNS($AD$1006:AU1006),$AD$1006:$AU$1006,0)), HYPERLINK("#",""), HYPERLINK(CONCATENATE("#metadata!", ADDRESS(INDEX($Y$2:$Y$1001,MATCH(ROWS($W$2:W445),$W$2:$W$1001,0),0), INDEX($AD$1004:$AU$1004,1,MATCH(COLUMNS($AD$1006:AU1006),$AD$1006:$AU$1006,0)))),"Fix")))</f>
        <v xml:space="preserve"> </v>
      </c>
      <c r="W445">
        <v>444</v>
      </c>
      <c r="X445">
        <v>100445</v>
      </c>
      <c r="Y445">
        <v>445</v>
      </c>
      <c r="Z445" t="b">
        <f t="shared" si="6"/>
        <v>1</v>
      </c>
      <c r="AA445" t="b">
        <f>COUNTBLANK(metadata!B445:S445)=COLUMNS(metadata!B445:S445)</f>
        <v>1</v>
      </c>
      <c r="AB445" t="str">
        <v/>
      </c>
      <c r="AD445" t="b">
        <f ca="1">AND(IF(metadata!B445="",FALSE,TRUE),COUNTIF(metadata!B:B, metadata!B445) = 1,NOT(ISERROR(SUMPRODUCT(SEARCH(MID(metadata!B445,ROW(INDIRECT("1:"&amp;LEN(metadata!B445))), 1),"0123456789abcdefghijklmnopqrstuvwxyzABCDEFGHIJKLMNOPQRSTUVWXYZ.")))))</f>
        <v>0</v>
      </c>
      <c r="AE445" t="b">
        <f>OR(AND(IF(metadata!C445="",FALSE,TRUE),OR(EXACT(metadata!C445,"not applicable"),EXACT(metadata!C445,"missing: not collected"),EXACT(metadata!C445,"missing: not provided"),EXACT(metadata!C445,"missing: restricted access"))),AND(IF(metadata!C445="",FALSE,ISNUMBER(VALUE(metadata!C445))),metadata!C445&gt;0))</f>
        <v>0</v>
      </c>
      <c r="AF445" t="b">
        <f>AND(IF(metadata!D445="",FALSE,TRUE),EXACT(metadata!D445,"missing: not provided"))</f>
        <v>0</v>
      </c>
      <c r="AG445" t="b">
        <f>AND(IF(metadata!E445="",FALSE,TRUE),EXACT(metadata!E445,"Host-associated"))</f>
        <v>0</v>
      </c>
      <c r="AH445" t="b">
        <f>AND(IF(metadata!F445="",FALSE,TRUE),OR(EXACT(metadata!F445,"Animal"),EXACT(metadata!F445,"Fungus"),EXACT(metadata!F445,"Plant")))</f>
        <v>0</v>
      </c>
      <c r="AI445" t="b">
        <f>AND(IF(metadata!G445="",FALSE,TRUE),OR(EXACT(metadata!G445,"Plant secretion"),EXACT(metadata!G445,"Plant rhizosphere"),EXACT(metadata!G445,"Plant surface"),EXACT(metadata!G445,"Plant corpus"),EXACT(metadata!G445,"Fungus surface"),EXACT(metadata!G445,"Fungus corpus"),EXACT(metadata!G445,"Animal surface"),EXACT(metadata!G445,"Animal proximal gut"),EXACT(metadata!G445,"Animal corpus"),EXACT(metadata!G445,"Animal distal gut"),EXACT(metadata!G445,"Animal secretion")))</f>
        <v>0</v>
      </c>
      <c r="AJ445" t="b">
        <f>OR(AND(IF(metadata!H445="",FALSE,TRUE),OR(EXACT(metadata!H445,"missing: not collected"),EXACT(metadata!H445,"missing: not provided"),EXACT(metadata!H445,"missing: restricted access"))),AND(IF(metadata!H445="",FALSE,TRUE),OR(EXACT(metadata!H445,"organism-associated habitat"),EXACT(metadata!H445,"plant-associated habitat"),EXACT(metadata!H445,"animal-associated habitat"),EXACT(metadata!H445,"insecta-associated habitat"),EXACT(metadata!H445,"mammalia-associated habitat"),EXACT(metadata!H445,"human-associated habitat"),EXACT(metadata!H445,"livestock-associated habitat"))))</f>
        <v>0</v>
      </c>
      <c r="AK445" t="b">
        <f>AND(IF(metadata!I445="",FALSE,TRUE),EXACT(metadata!I445,"host-associated"))</f>
        <v>0</v>
      </c>
      <c r="AL445" t="b">
        <f>OR(AND(IF(metadata!J445="",FALSE,TRUE),OR(EXACT(metadata!J445,"not applicable"),EXACT(metadata!J445,"missing: not collected"),EXACT(metadata!J445,"missing: not provided"),EXACT(metadata!J445,"missing: restricted access"))),AND(IF(metadata!J445="",FALSE,ISNUMBER(VALUE(metadata!J445))),metadata!J445&gt;0))</f>
        <v>0</v>
      </c>
      <c r="AM445" t="b">
        <f>AND(IF(metadata!K445="",FALSE,TRUE),EXACT(metadata!K445,"missing: not provided"))</f>
        <v>0</v>
      </c>
      <c r="AN445" t="b">
        <f>IF(metadata!L445="",FALSE,TRUE)</f>
        <v>0</v>
      </c>
      <c r="AO445" t="b">
        <f>IF(metadata!M445="",FALSE,TRUE)</f>
        <v>0</v>
      </c>
      <c r="AP445" t="b">
        <f>OR(AND(IF(metadata!N445="",FALSE,TRUE),OR(EXACT(metadata!N445,"not applicable"),EXACT(metadata!N445,"missing: not collected"),EXACT(metadata!N445,"missing: not provided"))),AND(IF(metadata!N445="",FALSE,IF(ISERROR(INT(metadata!N445)),FALSE,INT(metadata!N445)=metadata!N445)),metadata!N445&gt;0))</f>
        <v>0</v>
      </c>
      <c r="AQ445" t="b">
        <f>AND(IF(metadata!O445="",FALSE,TRUE),EXACT(metadata!O445,"Not applicable"))</f>
        <v>0</v>
      </c>
      <c r="AR445" t="b">
        <f>OR(AND(IF(metadata!P445="",FALSE,TRUE),OR(EXACT(metadata!P445,"not applicable"),EXACT(metadata!P445,"missing: not collected"),EXACT(metadata!P445,"missing: not provided"),EXACT(metadata!P445,"missing: restricted access"))),IF(metadata!P445="",FALSE,IF(ISERROR(INT(metadata!P445)),FALSE,INT(metadata!P445)=metadata!P445)))</f>
        <v>0</v>
      </c>
      <c r="AS445" t="b">
        <f>AND(IF(metadata!Q445="",FALSE,TRUE),EXACT(metadata!Q445,"Not applicable"))</f>
        <v>0</v>
      </c>
      <c r="AT445" t="b">
        <f>OR(AND(IF(metadata!R445="",FALSE,TRUE),OR(EXACT(metadata!R445,"not applicable"),EXACT(metadata!R445,"missing: not collected"),EXACT(metadata!R445,"missing: not provided"),EXACT(metadata!R445,"missing: restricted access"))),AND(IF(metadata!R445="",FALSE,ISNUMBER(VALUE(metadata!R445))),metadata!R445&gt;0))</f>
        <v>0</v>
      </c>
      <c r="AU445" t="b">
        <f>AND(IF(metadata!S445="",FALSE,TRUE),EXACT(metadata!S445,"missing: not provided"))</f>
        <v>0</v>
      </c>
    </row>
    <row r="446" spans="1:47" x14ac:dyDescent="0.2">
      <c r="A446" s="5" t="str">
        <f ca="1">IF(B446=" "," ",HYPERLINK(CONCATENATE("#metadata!",ADDRESS(INDEX($Y$2:$Y$1001,MATCH(ROWS($W$2:W446),$W$2:$W$1001,0),0),1)),INDEX($AB$2:$AB$1001,MATCH(ROWS($W$2:W446),$W$2:$W$1001,0),0)))</f>
        <v xml:space="preserve"> </v>
      </c>
      <c r="B446" s="4" t="str">
        <f ca="1">IF(OR(INDEX($X$2:$X$1001,MATCH(ROWS($W$2:W446),$W$2:$W$1001,0),1)&gt;=100000,INDEX($AD$1005:$AU$1005,1,MATCH(COLUMNS($AD$1006:AD1006),$AD$1006:$AU$1006,0))&gt;=100000), " ",IF(INDEX($AD$2:$AU$1001,MATCH(ROWS($W$2:W446),$W$2:$W$1001,0),MATCH(COLUMNS($AD$1006:AD1006),$AD$1006:$AU$1006,0)), HYPERLINK("#",""), HYPERLINK(CONCATENATE("#metadata!", ADDRESS(INDEX($Y$2:$Y$1001,MATCH(ROWS($W$2:W446),$W$2:$W$1001,0),0), INDEX($AD$1004:$AU$1004,1,MATCH(COLUMNS($AD$1006:AD1006),$AD$1006:$AU$1006,0)))),"Fix")))</f>
        <v xml:space="preserve"> </v>
      </c>
      <c r="C446" s="4" t="str">
        <f ca="1">IF(OR(INDEX($X$2:$X$1001,MATCH(ROWS($W$2:W446),$W$2:$W$1001,0),1)&gt;=100000,INDEX($AD$1005:$AU$1005,1,MATCH(COLUMNS($AD$1006:AE1006),$AD$1006:$AU$1006,0))&gt;=100000), " ",IF(INDEX($AD$2:$AU$1001,MATCH(ROWS($W$2:W446),$W$2:$W$1001,0),MATCH(COLUMNS($AD$1006:AE1006),$AD$1006:$AU$1006,0)), HYPERLINK("#",""), HYPERLINK(CONCATENATE("#metadata!", ADDRESS(INDEX($Y$2:$Y$1001,MATCH(ROWS($W$2:W446),$W$2:$W$1001,0),0), INDEX($AD$1004:$AU$1004,1,MATCH(COLUMNS($AD$1006:AE1006),$AD$1006:$AU$1006,0)))),"Fix")))</f>
        <v xml:space="preserve"> </v>
      </c>
      <c r="D446" s="4" t="str">
        <f ca="1">IF(OR(INDEX($X$2:$X$1001,MATCH(ROWS($W$2:W446),$W$2:$W$1001,0),1)&gt;=100000,INDEX($AD$1005:$AU$1005,1,MATCH(COLUMNS($AD$1006:AF1006),$AD$1006:$AU$1006,0))&gt;=100000), " ",IF(INDEX($AD$2:$AU$1001,MATCH(ROWS($W$2:W446),$W$2:$W$1001,0),MATCH(COLUMNS($AD$1006:AF1006),$AD$1006:$AU$1006,0)), HYPERLINK("#",""), HYPERLINK(CONCATENATE("#metadata!", ADDRESS(INDEX($Y$2:$Y$1001,MATCH(ROWS($W$2:W446),$W$2:$W$1001,0),0), INDEX($AD$1004:$AU$1004,1,MATCH(COLUMNS($AD$1006:AF1006),$AD$1006:$AU$1006,0)))),"Fix")))</f>
        <v xml:space="preserve"> </v>
      </c>
      <c r="E446" s="4" t="str">
        <f ca="1">IF(OR(INDEX($X$2:$X$1001,MATCH(ROWS($W$2:W446),$W$2:$W$1001,0),1)&gt;=100000,INDEX($AD$1005:$AU$1005,1,MATCH(COLUMNS($AD$1006:AG1006),$AD$1006:$AU$1006,0))&gt;=100000), " ",IF(INDEX($AD$2:$AU$1001,MATCH(ROWS($W$2:W446),$W$2:$W$1001,0),MATCH(COLUMNS($AD$1006:AG1006),$AD$1006:$AU$1006,0)), HYPERLINK("#",""), HYPERLINK(CONCATENATE("#metadata!", ADDRESS(INDEX($Y$2:$Y$1001,MATCH(ROWS($W$2:W446),$W$2:$W$1001,0),0), INDEX($AD$1004:$AU$1004,1,MATCH(COLUMNS($AD$1006:AG1006),$AD$1006:$AU$1006,0)))),"Fix")))</f>
        <v xml:space="preserve"> </v>
      </c>
      <c r="F446" s="4" t="str">
        <f ca="1">IF(OR(INDEX($X$2:$X$1001,MATCH(ROWS($W$2:W446),$W$2:$W$1001,0),1)&gt;=100000,INDEX($AD$1005:$AU$1005,1,MATCH(COLUMNS($AD$1006:AH1006),$AD$1006:$AU$1006,0))&gt;=100000), " ",IF(INDEX($AD$2:$AU$1001,MATCH(ROWS($W$2:W446),$W$2:$W$1001,0),MATCH(COLUMNS($AD$1006:AH1006),$AD$1006:$AU$1006,0)), HYPERLINK("#",""), HYPERLINK(CONCATENATE("#metadata!", ADDRESS(INDEX($Y$2:$Y$1001,MATCH(ROWS($W$2:W446),$W$2:$W$1001,0),0), INDEX($AD$1004:$AU$1004,1,MATCH(COLUMNS($AD$1006:AH1006),$AD$1006:$AU$1006,0)))),"Fix")))</f>
        <v xml:space="preserve"> </v>
      </c>
      <c r="G446" s="4" t="str">
        <f ca="1">IF(OR(INDEX($X$2:$X$1001,MATCH(ROWS($W$2:W446),$W$2:$W$1001,0),1)&gt;=100000,INDEX($AD$1005:$AU$1005,1,MATCH(COLUMNS($AD$1006:AI1006),$AD$1006:$AU$1006,0))&gt;=100000), " ",IF(INDEX($AD$2:$AU$1001,MATCH(ROWS($W$2:W446),$W$2:$W$1001,0),MATCH(COLUMNS($AD$1006:AI1006),$AD$1006:$AU$1006,0)), HYPERLINK("#",""), HYPERLINK(CONCATENATE("#metadata!", ADDRESS(INDEX($Y$2:$Y$1001,MATCH(ROWS($W$2:W446),$W$2:$W$1001,0),0), INDEX($AD$1004:$AU$1004,1,MATCH(COLUMNS($AD$1006:AI1006),$AD$1006:$AU$1006,0)))),"Fix")))</f>
        <v xml:space="preserve"> </v>
      </c>
      <c r="H446" s="4" t="str">
        <f ca="1">IF(OR(INDEX($X$2:$X$1001,MATCH(ROWS($W$2:W446),$W$2:$W$1001,0),1)&gt;=100000,INDEX($AD$1005:$AU$1005,1,MATCH(COLUMNS($AD$1006:AJ1006),$AD$1006:$AU$1006,0))&gt;=100000), " ",IF(INDEX($AD$2:$AU$1001,MATCH(ROWS($W$2:W446),$W$2:$W$1001,0),MATCH(COLUMNS($AD$1006:AJ1006),$AD$1006:$AU$1006,0)), HYPERLINK("#",""), HYPERLINK(CONCATENATE("#metadata!", ADDRESS(INDEX($Y$2:$Y$1001,MATCH(ROWS($W$2:W446),$W$2:$W$1001,0),0), INDEX($AD$1004:$AU$1004,1,MATCH(COLUMNS($AD$1006:AJ1006),$AD$1006:$AU$1006,0)))),"Fix")))</f>
        <v xml:space="preserve"> </v>
      </c>
      <c r="I446" s="4" t="str">
        <f ca="1">IF(OR(INDEX($X$2:$X$1001,MATCH(ROWS($W$2:W446),$W$2:$W$1001,0),1)&gt;=100000,INDEX($AD$1005:$AU$1005,1,MATCH(COLUMNS($AD$1006:AK1006),$AD$1006:$AU$1006,0))&gt;=100000), " ",IF(INDEX($AD$2:$AU$1001,MATCH(ROWS($W$2:W446),$W$2:$W$1001,0),MATCH(COLUMNS($AD$1006:AK1006),$AD$1006:$AU$1006,0)), HYPERLINK("#",""), HYPERLINK(CONCATENATE("#metadata!", ADDRESS(INDEX($Y$2:$Y$1001,MATCH(ROWS($W$2:W446),$W$2:$W$1001,0),0), INDEX($AD$1004:$AU$1004,1,MATCH(COLUMNS($AD$1006:AK1006),$AD$1006:$AU$1006,0)))),"Fix")))</f>
        <v xml:space="preserve"> </v>
      </c>
      <c r="J446" s="4" t="str">
        <f ca="1">IF(OR(INDEX($X$2:$X$1001,MATCH(ROWS($W$2:W446),$W$2:$W$1001,0),1)&gt;=100000,INDEX($AD$1005:$AU$1005,1,MATCH(COLUMNS($AD$1006:AL1006),$AD$1006:$AU$1006,0))&gt;=100000), " ",IF(INDEX($AD$2:$AU$1001,MATCH(ROWS($W$2:W446),$W$2:$W$1001,0),MATCH(COLUMNS($AD$1006:AL1006),$AD$1006:$AU$1006,0)), HYPERLINK("#",""), HYPERLINK(CONCATENATE("#metadata!", ADDRESS(INDEX($Y$2:$Y$1001,MATCH(ROWS($W$2:W446),$W$2:$W$1001,0),0), INDEX($AD$1004:$AU$1004,1,MATCH(COLUMNS($AD$1006:AL1006),$AD$1006:$AU$1006,0)))),"Fix")))</f>
        <v xml:space="preserve"> </v>
      </c>
      <c r="K446" s="4" t="str">
        <f ca="1">IF(OR(INDEX($X$2:$X$1001,MATCH(ROWS($W$2:W446),$W$2:$W$1001,0),1)&gt;=100000,INDEX($AD$1005:$AU$1005,1,MATCH(COLUMNS($AD$1006:AM1006),$AD$1006:$AU$1006,0))&gt;=100000), " ",IF(INDEX($AD$2:$AU$1001,MATCH(ROWS($W$2:W446),$W$2:$W$1001,0),MATCH(COLUMNS($AD$1006:AM1006),$AD$1006:$AU$1006,0)), HYPERLINK("#",""), HYPERLINK(CONCATENATE("#metadata!", ADDRESS(INDEX($Y$2:$Y$1001,MATCH(ROWS($W$2:W446),$W$2:$W$1001,0),0), INDEX($AD$1004:$AU$1004,1,MATCH(COLUMNS($AD$1006:AM1006),$AD$1006:$AU$1006,0)))),"Fix")))</f>
        <v xml:space="preserve"> </v>
      </c>
      <c r="L446" s="4" t="str">
        <f ca="1">IF(OR(INDEX($X$2:$X$1001,MATCH(ROWS($W$2:W446),$W$2:$W$1001,0),1)&gt;=100000,INDEX($AD$1005:$AU$1005,1,MATCH(COLUMNS($AD$1006:AN1006),$AD$1006:$AU$1006,0))&gt;=100000), " ",IF(INDEX($AD$2:$AU$1001,MATCH(ROWS($W$2:W446),$W$2:$W$1001,0),MATCH(COLUMNS($AD$1006:AN1006),$AD$1006:$AU$1006,0)), HYPERLINK("#",""), HYPERLINK(CONCATENATE("#metadata!", ADDRESS(INDEX($Y$2:$Y$1001,MATCH(ROWS($W$2:W446),$W$2:$W$1001,0),0), INDEX($AD$1004:$AU$1004,1,MATCH(COLUMNS($AD$1006:AN1006),$AD$1006:$AU$1006,0)))),"Fix")))</f>
        <v xml:space="preserve"> </v>
      </c>
      <c r="M446" s="4" t="str">
        <f ca="1">IF(OR(INDEX($X$2:$X$1001,MATCH(ROWS($W$2:W446),$W$2:$W$1001,0),1)&gt;=100000,INDEX($AD$1005:$AU$1005,1,MATCH(COLUMNS($AD$1006:AO1006),$AD$1006:$AU$1006,0))&gt;=100000), " ",IF(INDEX($AD$2:$AU$1001,MATCH(ROWS($W$2:W446),$W$2:$W$1001,0),MATCH(COLUMNS($AD$1006:AO1006),$AD$1006:$AU$1006,0)), HYPERLINK("#",""), HYPERLINK(CONCATENATE("#metadata!", ADDRESS(INDEX($Y$2:$Y$1001,MATCH(ROWS($W$2:W446),$W$2:$W$1001,0),0), INDEX($AD$1004:$AU$1004,1,MATCH(COLUMNS($AD$1006:AO1006),$AD$1006:$AU$1006,0)))),"Fix")))</f>
        <v xml:space="preserve"> </v>
      </c>
      <c r="N446" s="4" t="str">
        <f ca="1">IF(OR(INDEX($X$2:$X$1001,MATCH(ROWS($W$2:W446),$W$2:$W$1001,0),1)&gt;=100000,INDEX($AD$1005:$AU$1005,1,MATCH(COLUMNS($AD$1006:AP1006),$AD$1006:$AU$1006,0))&gt;=100000), " ",IF(INDEX($AD$2:$AU$1001,MATCH(ROWS($W$2:W446),$W$2:$W$1001,0),MATCH(COLUMNS($AD$1006:AP1006),$AD$1006:$AU$1006,0)), HYPERLINK("#",""), HYPERLINK(CONCATENATE("#metadata!", ADDRESS(INDEX($Y$2:$Y$1001,MATCH(ROWS($W$2:W446),$W$2:$W$1001,0),0), INDEX($AD$1004:$AU$1004,1,MATCH(COLUMNS($AD$1006:AP1006),$AD$1006:$AU$1006,0)))),"Fix")))</f>
        <v xml:space="preserve"> </v>
      </c>
      <c r="O446" s="4" t="str">
        <f ca="1">IF(OR(INDEX($X$2:$X$1001,MATCH(ROWS($W$2:W446),$W$2:$W$1001,0),1)&gt;=100000,INDEX($AD$1005:$AU$1005,1,MATCH(COLUMNS($AD$1006:AQ1006),$AD$1006:$AU$1006,0))&gt;=100000), " ",IF(INDEX($AD$2:$AU$1001,MATCH(ROWS($W$2:W446),$W$2:$W$1001,0),MATCH(COLUMNS($AD$1006:AQ1006),$AD$1006:$AU$1006,0)), HYPERLINK("#",""), HYPERLINK(CONCATENATE("#metadata!", ADDRESS(INDEX($Y$2:$Y$1001,MATCH(ROWS($W$2:W446),$W$2:$W$1001,0),0), INDEX($AD$1004:$AU$1004,1,MATCH(COLUMNS($AD$1006:AQ1006),$AD$1006:$AU$1006,0)))),"Fix")))</f>
        <v xml:space="preserve"> </v>
      </c>
      <c r="P446" s="4" t="str">
        <f ca="1">IF(OR(INDEX($X$2:$X$1001,MATCH(ROWS($W$2:W446),$W$2:$W$1001,0),1)&gt;=100000,INDEX($AD$1005:$AU$1005,1,MATCH(COLUMNS($AD$1006:AR1006),$AD$1006:$AU$1006,0))&gt;=100000), " ",IF(INDEX($AD$2:$AU$1001,MATCH(ROWS($W$2:W446),$W$2:$W$1001,0),MATCH(COLUMNS($AD$1006:AR1006),$AD$1006:$AU$1006,0)), HYPERLINK("#",""), HYPERLINK(CONCATENATE("#metadata!", ADDRESS(INDEX($Y$2:$Y$1001,MATCH(ROWS($W$2:W446),$W$2:$W$1001,0),0), INDEX($AD$1004:$AU$1004,1,MATCH(COLUMNS($AD$1006:AR1006),$AD$1006:$AU$1006,0)))),"Fix")))</f>
        <v xml:space="preserve"> </v>
      </c>
      <c r="Q446" s="4" t="str">
        <f ca="1">IF(OR(INDEX($X$2:$X$1001,MATCH(ROWS($W$2:W446),$W$2:$W$1001,0),1)&gt;=100000,INDEX($AD$1005:$AU$1005,1,MATCH(COLUMNS($AD$1006:AS1006),$AD$1006:$AU$1006,0))&gt;=100000), " ",IF(INDEX($AD$2:$AU$1001,MATCH(ROWS($W$2:W446),$W$2:$W$1001,0),MATCH(COLUMNS($AD$1006:AS1006),$AD$1006:$AU$1006,0)), HYPERLINK("#",""), HYPERLINK(CONCATENATE("#metadata!", ADDRESS(INDEX($Y$2:$Y$1001,MATCH(ROWS($W$2:W446),$W$2:$W$1001,0),0), INDEX($AD$1004:$AU$1004,1,MATCH(COLUMNS($AD$1006:AS1006),$AD$1006:$AU$1006,0)))),"Fix")))</f>
        <v xml:space="preserve"> </v>
      </c>
      <c r="R446" s="4" t="str">
        <f ca="1">IF(OR(INDEX($X$2:$X$1001,MATCH(ROWS($W$2:W446),$W$2:$W$1001,0),1)&gt;=100000,INDEX($AD$1005:$AU$1005,1,MATCH(COLUMNS($AD$1006:AT1006),$AD$1006:$AU$1006,0))&gt;=100000), " ",IF(INDEX($AD$2:$AU$1001,MATCH(ROWS($W$2:W446),$W$2:$W$1001,0),MATCH(COLUMNS($AD$1006:AT1006),$AD$1006:$AU$1006,0)), HYPERLINK("#",""), HYPERLINK(CONCATENATE("#metadata!", ADDRESS(INDEX($Y$2:$Y$1001,MATCH(ROWS($W$2:W446),$W$2:$W$1001,0),0), INDEX($AD$1004:$AU$1004,1,MATCH(COLUMNS($AD$1006:AT1006),$AD$1006:$AU$1006,0)))),"Fix")))</f>
        <v xml:space="preserve"> </v>
      </c>
      <c r="S446" s="4" t="str">
        <f ca="1">IF(OR(INDEX($X$2:$X$1001,MATCH(ROWS($W$2:W446),$W$2:$W$1001,0),1)&gt;=100000,INDEX($AD$1005:$AU$1005,1,MATCH(COLUMNS($AD$1006:AU1006),$AD$1006:$AU$1006,0))&gt;=100000), " ",IF(INDEX($AD$2:$AU$1001,MATCH(ROWS($W$2:W446),$W$2:$W$1001,0),MATCH(COLUMNS($AD$1006:AU1006),$AD$1006:$AU$1006,0)), HYPERLINK("#",""), HYPERLINK(CONCATENATE("#metadata!", ADDRESS(INDEX($Y$2:$Y$1001,MATCH(ROWS($W$2:W446),$W$2:$W$1001,0),0), INDEX($AD$1004:$AU$1004,1,MATCH(COLUMNS($AD$1006:AU1006),$AD$1006:$AU$1006,0)))),"Fix")))</f>
        <v xml:space="preserve"> </v>
      </c>
      <c r="W446">
        <v>445</v>
      </c>
      <c r="X446">
        <v>100446</v>
      </c>
      <c r="Y446">
        <v>446</v>
      </c>
      <c r="Z446" t="b">
        <f t="shared" si="6"/>
        <v>1</v>
      </c>
      <c r="AA446" t="b">
        <f>COUNTBLANK(metadata!B446:S446)=COLUMNS(metadata!B446:S446)</f>
        <v>1</v>
      </c>
      <c r="AB446" t="str">
        <v/>
      </c>
      <c r="AD446" t="b">
        <f ca="1">AND(IF(metadata!B446="",FALSE,TRUE),COUNTIF(metadata!B:B, metadata!B446) = 1,NOT(ISERROR(SUMPRODUCT(SEARCH(MID(metadata!B446,ROW(INDIRECT("1:"&amp;LEN(metadata!B446))), 1),"0123456789abcdefghijklmnopqrstuvwxyzABCDEFGHIJKLMNOPQRSTUVWXYZ.")))))</f>
        <v>0</v>
      </c>
      <c r="AE446" t="b">
        <f>OR(AND(IF(metadata!C446="",FALSE,TRUE),OR(EXACT(metadata!C446,"not applicable"),EXACT(metadata!C446,"missing: not collected"),EXACT(metadata!C446,"missing: not provided"),EXACT(metadata!C446,"missing: restricted access"))),AND(IF(metadata!C446="",FALSE,ISNUMBER(VALUE(metadata!C446))),metadata!C446&gt;0))</f>
        <v>0</v>
      </c>
      <c r="AF446" t="b">
        <f>AND(IF(metadata!D446="",FALSE,TRUE),EXACT(metadata!D446,"missing: not provided"))</f>
        <v>0</v>
      </c>
      <c r="AG446" t="b">
        <f>AND(IF(metadata!E446="",FALSE,TRUE),EXACT(metadata!E446,"Host-associated"))</f>
        <v>0</v>
      </c>
      <c r="AH446" t="b">
        <f>AND(IF(metadata!F446="",FALSE,TRUE),OR(EXACT(metadata!F446,"Animal"),EXACT(metadata!F446,"Fungus"),EXACT(metadata!F446,"Plant")))</f>
        <v>0</v>
      </c>
      <c r="AI446" t="b">
        <f>AND(IF(metadata!G446="",FALSE,TRUE),OR(EXACT(metadata!G446,"Plant secretion"),EXACT(metadata!G446,"Plant rhizosphere"),EXACT(metadata!G446,"Plant surface"),EXACT(metadata!G446,"Plant corpus"),EXACT(metadata!G446,"Fungus surface"),EXACT(metadata!G446,"Fungus corpus"),EXACT(metadata!G446,"Animal surface"),EXACT(metadata!G446,"Animal proximal gut"),EXACT(metadata!G446,"Animal corpus"),EXACT(metadata!G446,"Animal distal gut"),EXACT(metadata!G446,"Animal secretion")))</f>
        <v>0</v>
      </c>
      <c r="AJ446" t="b">
        <f>OR(AND(IF(metadata!H446="",FALSE,TRUE),OR(EXACT(metadata!H446,"missing: not collected"),EXACT(metadata!H446,"missing: not provided"),EXACT(metadata!H446,"missing: restricted access"))),AND(IF(metadata!H446="",FALSE,TRUE),OR(EXACT(metadata!H446,"organism-associated habitat"),EXACT(metadata!H446,"plant-associated habitat"),EXACT(metadata!H446,"animal-associated habitat"),EXACT(metadata!H446,"insecta-associated habitat"),EXACT(metadata!H446,"mammalia-associated habitat"),EXACT(metadata!H446,"human-associated habitat"),EXACT(metadata!H446,"livestock-associated habitat"))))</f>
        <v>0</v>
      </c>
      <c r="AK446" t="b">
        <f>AND(IF(metadata!I446="",FALSE,TRUE),EXACT(metadata!I446,"host-associated"))</f>
        <v>0</v>
      </c>
      <c r="AL446" t="b">
        <f>OR(AND(IF(metadata!J446="",FALSE,TRUE),OR(EXACT(metadata!J446,"not applicable"),EXACT(metadata!J446,"missing: not collected"),EXACT(metadata!J446,"missing: not provided"),EXACT(metadata!J446,"missing: restricted access"))),AND(IF(metadata!J446="",FALSE,ISNUMBER(VALUE(metadata!J446))),metadata!J446&gt;0))</f>
        <v>0</v>
      </c>
      <c r="AM446" t="b">
        <f>AND(IF(metadata!K446="",FALSE,TRUE),EXACT(metadata!K446,"missing: not provided"))</f>
        <v>0</v>
      </c>
      <c r="AN446" t="b">
        <f>IF(metadata!L446="",FALSE,TRUE)</f>
        <v>0</v>
      </c>
      <c r="AO446" t="b">
        <f>IF(metadata!M446="",FALSE,TRUE)</f>
        <v>0</v>
      </c>
      <c r="AP446" t="b">
        <f>OR(AND(IF(metadata!N446="",FALSE,TRUE),OR(EXACT(metadata!N446,"not applicable"),EXACT(metadata!N446,"missing: not collected"),EXACT(metadata!N446,"missing: not provided"))),AND(IF(metadata!N446="",FALSE,IF(ISERROR(INT(metadata!N446)),FALSE,INT(metadata!N446)=metadata!N446)),metadata!N446&gt;0))</f>
        <v>0</v>
      </c>
      <c r="AQ446" t="b">
        <f>AND(IF(metadata!O446="",FALSE,TRUE),EXACT(metadata!O446,"Not applicable"))</f>
        <v>0</v>
      </c>
      <c r="AR446" t="b">
        <f>OR(AND(IF(metadata!P446="",FALSE,TRUE),OR(EXACT(metadata!P446,"not applicable"),EXACT(metadata!P446,"missing: not collected"),EXACT(metadata!P446,"missing: not provided"),EXACT(metadata!P446,"missing: restricted access"))),IF(metadata!P446="",FALSE,IF(ISERROR(INT(metadata!P446)),FALSE,INT(metadata!P446)=metadata!P446)))</f>
        <v>0</v>
      </c>
      <c r="AS446" t="b">
        <f>AND(IF(metadata!Q446="",FALSE,TRUE),EXACT(metadata!Q446,"Not applicable"))</f>
        <v>0</v>
      </c>
      <c r="AT446" t="b">
        <f>OR(AND(IF(metadata!R446="",FALSE,TRUE),OR(EXACT(metadata!R446,"not applicable"),EXACT(metadata!R446,"missing: not collected"),EXACT(metadata!R446,"missing: not provided"),EXACT(metadata!R446,"missing: restricted access"))),AND(IF(metadata!R446="",FALSE,ISNUMBER(VALUE(metadata!R446))),metadata!R446&gt;0))</f>
        <v>0</v>
      </c>
      <c r="AU446" t="b">
        <f>AND(IF(metadata!S446="",FALSE,TRUE),EXACT(metadata!S446,"missing: not provided"))</f>
        <v>0</v>
      </c>
    </row>
    <row r="447" spans="1:47" x14ac:dyDescent="0.2">
      <c r="A447" s="5" t="str">
        <f ca="1">IF(B447=" "," ",HYPERLINK(CONCATENATE("#metadata!",ADDRESS(INDEX($Y$2:$Y$1001,MATCH(ROWS($W$2:W447),$W$2:$W$1001,0),0),1)),INDEX($AB$2:$AB$1001,MATCH(ROWS($W$2:W447),$W$2:$W$1001,0),0)))</f>
        <v xml:space="preserve"> </v>
      </c>
      <c r="B447" s="4" t="str">
        <f ca="1">IF(OR(INDEX($X$2:$X$1001,MATCH(ROWS($W$2:W447),$W$2:$W$1001,0),1)&gt;=100000,INDEX($AD$1005:$AU$1005,1,MATCH(COLUMNS($AD$1006:AD1006),$AD$1006:$AU$1006,0))&gt;=100000), " ",IF(INDEX($AD$2:$AU$1001,MATCH(ROWS($W$2:W447),$W$2:$W$1001,0),MATCH(COLUMNS($AD$1006:AD1006),$AD$1006:$AU$1006,0)), HYPERLINK("#",""), HYPERLINK(CONCATENATE("#metadata!", ADDRESS(INDEX($Y$2:$Y$1001,MATCH(ROWS($W$2:W447),$W$2:$W$1001,0),0), INDEX($AD$1004:$AU$1004,1,MATCH(COLUMNS($AD$1006:AD1006),$AD$1006:$AU$1006,0)))),"Fix")))</f>
        <v xml:space="preserve"> </v>
      </c>
      <c r="C447" s="4" t="str">
        <f ca="1">IF(OR(INDEX($X$2:$X$1001,MATCH(ROWS($W$2:W447),$W$2:$W$1001,0),1)&gt;=100000,INDEX($AD$1005:$AU$1005,1,MATCH(COLUMNS($AD$1006:AE1006),$AD$1006:$AU$1006,0))&gt;=100000), " ",IF(INDEX($AD$2:$AU$1001,MATCH(ROWS($W$2:W447),$W$2:$W$1001,0),MATCH(COLUMNS($AD$1006:AE1006),$AD$1006:$AU$1006,0)), HYPERLINK("#",""), HYPERLINK(CONCATENATE("#metadata!", ADDRESS(INDEX($Y$2:$Y$1001,MATCH(ROWS($W$2:W447),$W$2:$W$1001,0),0), INDEX($AD$1004:$AU$1004,1,MATCH(COLUMNS($AD$1006:AE1006),$AD$1006:$AU$1006,0)))),"Fix")))</f>
        <v xml:space="preserve"> </v>
      </c>
      <c r="D447" s="4" t="str">
        <f ca="1">IF(OR(INDEX($X$2:$X$1001,MATCH(ROWS($W$2:W447),$W$2:$W$1001,0),1)&gt;=100000,INDEX($AD$1005:$AU$1005,1,MATCH(COLUMNS($AD$1006:AF1006),$AD$1006:$AU$1006,0))&gt;=100000), " ",IF(INDEX($AD$2:$AU$1001,MATCH(ROWS($W$2:W447),$W$2:$W$1001,0),MATCH(COLUMNS($AD$1006:AF1006),$AD$1006:$AU$1006,0)), HYPERLINK("#",""), HYPERLINK(CONCATENATE("#metadata!", ADDRESS(INDEX($Y$2:$Y$1001,MATCH(ROWS($W$2:W447),$W$2:$W$1001,0),0), INDEX($AD$1004:$AU$1004,1,MATCH(COLUMNS($AD$1006:AF1006),$AD$1006:$AU$1006,0)))),"Fix")))</f>
        <v xml:space="preserve"> </v>
      </c>
      <c r="E447" s="4" t="str">
        <f ca="1">IF(OR(INDEX($X$2:$X$1001,MATCH(ROWS($W$2:W447),$W$2:$W$1001,0),1)&gt;=100000,INDEX($AD$1005:$AU$1005,1,MATCH(COLUMNS($AD$1006:AG1006),$AD$1006:$AU$1006,0))&gt;=100000), " ",IF(INDEX($AD$2:$AU$1001,MATCH(ROWS($W$2:W447),$W$2:$W$1001,0),MATCH(COLUMNS($AD$1006:AG1006),$AD$1006:$AU$1006,0)), HYPERLINK("#",""), HYPERLINK(CONCATENATE("#metadata!", ADDRESS(INDEX($Y$2:$Y$1001,MATCH(ROWS($W$2:W447),$W$2:$W$1001,0),0), INDEX($AD$1004:$AU$1004,1,MATCH(COLUMNS($AD$1006:AG1006),$AD$1006:$AU$1006,0)))),"Fix")))</f>
        <v xml:space="preserve"> </v>
      </c>
      <c r="F447" s="4" t="str">
        <f ca="1">IF(OR(INDEX($X$2:$X$1001,MATCH(ROWS($W$2:W447),$W$2:$W$1001,0),1)&gt;=100000,INDEX($AD$1005:$AU$1005,1,MATCH(COLUMNS($AD$1006:AH1006),$AD$1006:$AU$1006,0))&gt;=100000), " ",IF(INDEX($AD$2:$AU$1001,MATCH(ROWS($W$2:W447),$W$2:$W$1001,0),MATCH(COLUMNS($AD$1006:AH1006),$AD$1006:$AU$1006,0)), HYPERLINK("#",""), HYPERLINK(CONCATENATE("#metadata!", ADDRESS(INDEX($Y$2:$Y$1001,MATCH(ROWS($W$2:W447),$W$2:$W$1001,0),0), INDEX($AD$1004:$AU$1004,1,MATCH(COLUMNS($AD$1006:AH1006),$AD$1006:$AU$1006,0)))),"Fix")))</f>
        <v xml:space="preserve"> </v>
      </c>
      <c r="G447" s="4" t="str">
        <f ca="1">IF(OR(INDEX($X$2:$X$1001,MATCH(ROWS($W$2:W447),$W$2:$W$1001,0),1)&gt;=100000,INDEX($AD$1005:$AU$1005,1,MATCH(COLUMNS($AD$1006:AI1006),$AD$1006:$AU$1006,0))&gt;=100000), " ",IF(INDEX($AD$2:$AU$1001,MATCH(ROWS($W$2:W447),$W$2:$W$1001,0),MATCH(COLUMNS($AD$1006:AI1006),$AD$1006:$AU$1006,0)), HYPERLINK("#",""), HYPERLINK(CONCATENATE("#metadata!", ADDRESS(INDEX($Y$2:$Y$1001,MATCH(ROWS($W$2:W447),$W$2:$W$1001,0),0), INDEX($AD$1004:$AU$1004,1,MATCH(COLUMNS($AD$1006:AI1006),$AD$1006:$AU$1006,0)))),"Fix")))</f>
        <v xml:space="preserve"> </v>
      </c>
      <c r="H447" s="4" t="str">
        <f ca="1">IF(OR(INDEX($X$2:$X$1001,MATCH(ROWS($W$2:W447),$W$2:$W$1001,0),1)&gt;=100000,INDEX($AD$1005:$AU$1005,1,MATCH(COLUMNS($AD$1006:AJ1006),$AD$1006:$AU$1006,0))&gt;=100000), " ",IF(INDEX($AD$2:$AU$1001,MATCH(ROWS($W$2:W447),$W$2:$W$1001,0),MATCH(COLUMNS($AD$1006:AJ1006),$AD$1006:$AU$1006,0)), HYPERLINK("#",""), HYPERLINK(CONCATENATE("#metadata!", ADDRESS(INDEX($Y$2:$Y$1001,MATCH(ROWS($W$2:W447),$W$2:$W$1001,0),0), INDEX($AD$1004:$AU$1004,1,MATCH(COLUMNS($AD$1006:AJ1006),$AD$1006:$AU$1006,0)))),"Fix")))</f>
        <v xml:space="preserve"> </v>
      </c>
      <c r="I447" s="4" t="str">
        <f ca="1">IF(OR(INDEX($X$2:$X$1001,MATCH(ROWS($W$2:W447),$W$2:$W$1001,0),1)&gt;=100000,INDEX($AD$1005:$AU$1005,1,MATCH(COLUMNS($AD$1006:AK1006),$AD$1006:$AU$1006,0))&gt;=100000), " ",IF(INDEX($AD$2:$AU$1001,MATCH(ROWS($W$2:W447),$W$2:$W$1001,0),MATCH(COLUMNS($AD$1006:AK1006),$AD$1006:$AU$1006,0)), HYPERLINK("#",""), HYPERLINK(CONCATENATE("#metadata!", ADDRESS(INDEX($Y$2:$Y$1001,MATCH(ROWS($W$2:W447),$W$2:$W$1001,0),0), INDEX($AD$1004:$AU$1004,1,MATCH(COLUMNS($AD$1006:AK1006),$AD$1006:$AU$1006,0)))),"Fix")))</f>
        <v xml:space="preserve"> </v>
      </c>
      <c r="J447" s="4" t="str">
        <f ca="1">IF(OR(INDEX($X$2:$X$1001,MATCH(ROWS($W$2:W447),$W$2:$W$1001,0),1)&gt;=100000,INDEX($AD$1005:$AU$1005,1,MATCH(COLUMNS($AD$1006:AL1006),$AD$1006:$AU$1006,0))&gt;=100000), " ",IF(INDEX($AD$2:$AU$1001,MATCH(ROWS($W$2:W447),$W$2:$W$1001,0),MATCH(COLUMNS($AD$1006:AL1006),$AD$1006:$AU$1006,0)), HYPERLINK("#",""), HYPERLINK(CONCATENATE("#metadata!", ADDRESS(INDEX($Y$2:$Y$1001,MATCH(ROWS($W$2:W447),$W$2:$W$1001,0),0), INDEX($AD$1004:$AU$1004,1,MATCH(COLUMNS($AD$1006:AL1006),$AD$1006:$AU$1006,0)))),"Fix")))</f>
        <v xml:space="preserve"> </v>
      </c>
      <c r="K447" s="4" t="str">
        <f ca="1">IF(OR(INDEX($X$2:$X$1001,MATCH(ROWS($W$2:W447),$W$2:$W$1001,0),1)&gt;=100000,INDEX($AD$1005:$AU$1005,1,MATCH(COLUMNS($AD$1006:AM1006),$AD$1006:$AU$1006,0))&gt;=100000), " ",IF(INDEX($AD$2:$AU$1001,MATCH(ROWS($W$2:W447),$W$2:$W$1001,0),MATCH(COLUMNS($AD$1006:AM1006),$AD$1006:$AU$1006,0)), HYPERLINK("#",""), HYPERLINK(CONCATENATE("#metadata!", ADDRESS(INDEX($Y$2:$Y$1001,MATCH(ROWS($W$2:W447),$W$2:$W$1001,0),0), INDEX($AD$1004:$AU$1004,1,MATCH(COLUMNS($AD$1006:AM1006),$AD$1006:$AU$1006,0)))),"Fix")))</f>
        <v xml:space="preserve"> </v>
      </c>
      <c r="L447" s="4" t="str">
        <f ca="1">IF(OR(INDEX($X$2:$X$1001,MATCH(ROWS($W$2:W447),$W$2:$W$1001,0),1)&gt;=100000,INDEX($AD$1005:$AU$1005,1,MATCH(COLUMNS($AD$1006:AN1006),$AD$1006:$AU$1006,0))&gt;=100000), " ",IF(INDEX($AD$2:$AU$1001,MATCH(ROWS($W$2:W447),$W$2:$W$1001,0),MATCH(COLUMNS($AD$1006:AN1006),$AD$1006:$AU$1006,0)), HYPERLINK("#",""), HYPERLINK(CONCATENATE("#metadata!", ADDRESS(INDEX($Y$2:$Y$1001,MATCH(ROWS($W$2:W447),$W$2:$W$1001,0),0), INDEX($AD$1004:$AU$1004,1,MATCH(COLUMNS($AD$1006:AN1006),$AD$1006:$AU$1006,0)))),"Fix")))</f>
        <v xml:space="preserve"> </v>
      </c>
      <c r="M447" s="4" t="str">
        <f ca="1">IF(OR(INDEX($X$2:$X$1001,MATCH(ROWS($W$2:W447),$W$2:$W$1001,0),1)&gt;=100000,INDEX($AD$1005:$AU$1005,1,MATCH(COLUMNS($AD$1006:AO1006),$AD$1006:$AU$1006,0))&gt;=100000), " ",IF(INDEX($AD$2:$AU$1001,MATCH(ROWS($W$2:W447),$W$2:$W$1001,0),MATCH(COLUMNS($AD$1006:AO1006),$AD$1006:$AU$1006,0)), HYPERLINK("#",""), HYPERLINK(CONCATENATE("#metadata!", ADDRESS(INDEX($Y$2:$Y$1001,MATCH(ROWS($W$2:W447),$W$2:$W$1001,0),0), INDEX($AD$1004:$AU$1004,1,MATCH(COLUMNS($AD$1006:AO1006),$AD$1006:$AU$1006,0)))),"Fix")))</f>
        <v xml:space="preserve"> </v>
      </c>
      <c r="N447" s="4" t="str">
        <f ca="1">IF(OR(INDEX($X$2:$X$1001,MATCH(ROWS($W$2:W447),$W$2:$W$1001,0),1)&gt;=100000,INDEX($AD$1005:$AU$1005,1,MATCH(COLUMNS($AD$1006:AP1006),$AD$1006:$AU$1006,0))&gt;=100000), " ",IF(INDEX($AD$2:$AU$1001,MATCH(ROWS($W$2:W447),$W$2:$W$1001,0),MATCH(COLUMNS($AD$1006:AP1006),$AD$1006:$AU$1006,0)), HYPERLINK("#",""), HYPERLINK(CONCATENATE("#metadata!", ADDRESS(INDEX($Y$2:$Y$1001,MATCH(ROWS($W$2:W447),$W$2:$W$1001,0),0), INDEX($AD$1004:$AU$1004,1,MATCH(COLUMNS($AD$1006:AP1006),$AD$1006:$AU$1006,0)))),"Fix")))</f>
        <v xml:space="preserve"> </v>
      </c>
      <c r="O447" s="4" t="str">
        <f ca="1">IF(OR(INDEX($X$2:$X$1001,MATCH(ROWS($W$2:W447),$W$2:$W$1001,0),1)&gt;=100000,INDEX($AD$1005:$AU$1005,1,MATCH(COLUMNS($AD$1006:AQ1006),$AD$1006:$AU$1006,0))&gt;=100000), " ",IF(INDEX($AD$2:$AU$1001,MATCH(ROWS($W$2:W447),$W$2:$W$1001,0),MATCH(COLUMNS($AD$1006:AQ1006),$AD$1006:$AU$1006,0)), HYPERLINK("#",""), HYPERLINK(CONCATENATE("#metadata!", ADDRESS(INDEX($Y$2:$Y$1001,MATCH(ROWS($W$2:W447),$W$2:$W$1001,0),0), INDEX($AD$1004:$AU$1004,1,MATCH(COLUMNS($AD$1006:AQ1006),$AD$1006:$AU$1006,0)))),"Fix")))</f>
        <v xml:space="preserve"> </v>
      </c>
      <c r="P447" s="4" t="str">
        <f ca="1">IF(OR(INDEX($X$2:$X$1001,MATCH(ROWS($W$2:W447),$W$2:$W$1001,0),1)&gt;=100000,INDEX($AD$1005:$AU$1005,1,MATCH(COLUMNS($AD$1006:AR1006),$AD$1006:$AU$1006,0))&gt;=100000), " ",IF(INDEX($AD$2:$AU$1001,MATCH(ROWS($W$2:W447),$W$2:$W$1001,0),MATCH(COLUMNS($AD$1006:AR1006),$AD$1006:$AU$1006,0)), HYPERLINK("#",""), HYPERLINK(CONCATENATE("#metadata!", ADDRESS(INDEX($Y$2:$Y$1001,MATCH(ROWS($W$2:W447),$W$2:$W$1001,0),0), INDEX($AD$1004:$AU$1004,1,MATCH(COLUMNS($AD$1006:AR1006),$AD$1006:$AU$1006,0)))),"Fix")))</f>
        <v xml:space="preserve"> </v>
      </c>
      <c r="Q447" s="4" t="str">
        <f ca="1">IF(OR(INDEX($X$2:$X$1001,MATCH(ROWS($W$2:W447),$W$2:$W$1001,0),1)&gt;=100000,INDEX($AD$1005:$AU$1005,1,MATCH(COLUMNS($AD$1006:AS1006),$AD$1006:$AU$1006,0))&gt;=100000), " ",IF(INDEX($AD$2:$AU$1001,MATCH(ROWS($W$2:W447),$W$2:$W$1001,0),MATCH(COLUMNS($AD$1006:AS1006),$AD$1006:$AU$1006,0)), HYPERLINK("#",""), HYPERLINK(CONCATENATE("#metadata!", ADDRESS(INDEX($Y$2:$Y$1001,MATCH(ROWS($W$2:W447),$W$2:$W$1001,0),0), INDEX($AD$1004:$AU$1004,1,MATCH(COLUMNS($AD$1006:AS1006),$AD$1006:$AU$1006,0)))),"Fix")))</f>
        <v xml:space="preserve"> </v>
      </c>
      <c r="R447" s="4" t="str">
        <f ca="1">IF(OR(INDEX($X$2:$X$1001,MATCH(ROWS($W$2:W447),$W$2:$W$1001,0),1)&gt;=100000,INDEX($AD$1005:$AU$1005,1,MATCH(COLUMNS($AD$1006:AT1006),$AD$1006:$AU$1006,0))&gt;=100000), " ",IF(INDEX($AD$2:$AU$1001,MATCH(ROWS($W$2:W447),$W$2:$W$1001,0),MATCH(COLUMNS($AD$1006:AT1006),$AD$1006:$AU$1006,0)), HYPERLINK("#",""), HYPERLINK(CONCATENATE("#metadata!", ADDRESS(INDEX($Y$2:$Y$1001,MATCH(ROWS($W$2:W447),$W$2:$W$1001,0),0), INDEX($AD$1004:$AU$1004,1,MATCH(COLUMNS($AD$1006:AT1006),$AD$1006:$AU$1006,0)))),"Fix")))</f>
        <v xml:space="preserve"> </v>
      </c>
      <c r="S447" s="4" t="str">
        <f ca="1">IF(OR(INDEX($X$2:$X$1001,MATCH(ROWS($W$2:W447),$W$2:$W$1001,0),1)&gt;=100000,INDEX($AD$1005:$AU$1005,1,MATCH(COLUMNS($AD$1006:AU1006),$AD$1006:$AU$1006,0))&gt;=100000), " ",IF(INDEX($AD$2:$AU$1001,MATCH(ROWS($W$2:W447),$W$2:$W$1001,0),MATCH(COLUMNS($AD$1006:AU1006),$AD$1006:$AU$1006,0)), HYPERLINK("#",""), HYPERLINK(CONCATENATE("#metadata!", ADDRESS(INDEX($Y$2:$Y$1001,MATCH(ROWS($W$2:W447),$W$2:$W$1001,0),0), INDEX($AD$1004:$AU$1004,1,MATCH(COLUMNS($AD$1006:AU1006),$AD$1006:$AU$1006,0)))),"Fix")))</f>
        <v xml:space="preserve"> </v>
      </c>
      <c r="W447">
        <v>446</v>
      </c>
      <c r="X447">
        <v>100447</v>
      </c>
      <c r="Y447">
        <v>447</v>
      </c>
      <c r="Z447" t="b">
        <f t="shared" si="6"/>
        <v>1</v>
      </c>
      <c r="AA447" t="b">
        <f>COUNTBLANK(metadata!B447:S447)=COLUMNS(metadata!B447:S447)</f>
        <v>1</v>
      </c>
      <c r="AB447" t="str">
        <v/>
      </c>
      <c r="AD447" t="b">
        <f ca="1">AND(IF(metadata!B447="",FALSE,TRUE),COUNTIF(metadata!B:B, metadata!B447) = 1,NOT(ISERROR(SUMPRODUCT(SEARCH(MID(metadata!B447,ROW(INDIRECT("1:"&amp;LEN(metadata!B447))), 1),"0123456789abcdefghijklmnopqrstuvwxyzABCDEFGHIJKLMNOPQRSTUVWXYZ.")))))</f>
        <v>0</v>
      </c>
      <c r="AE447" t="b">
        <f>OR(AND(IF(metadata!C447="",FALSE,TRUE),OR(EXACT(metadata!C447,"not applicable"),EXACT(metadata!C447,"missing: not collected"),EXACT(metadata!C447,"missing: not provided"),EXACT(metadata!C447,"missing: restricted access"))),AND(IF(metadata!C447="",FALSE,ISNUMBER(VALUE(metadata!C447))),metadata!C447&gt;0))</f>
        <v>0</v>
      </c>
      <c r="AF447" t="b">
        <f>AND(IF(metadata!D447="",FALSE,TRUE),EXACT(metadata!D447,"missing: not provided"))</f>
        <v>0</v>
      </c>
      <c r="AG447" t="b">
        <f>AND(IF(metadata!E447="",FALSE,TRUE),EXACT(metadata!E447,"Host-associated"))</f>
        <v>0</v>
      </c>
      <c r="AH447" t="b">
        <f>AND(IF(metadata!F447="",FALSE,TRUE),OR(EXACT(metadata!F447,"Animal"),EXACT(metadata!F447,"Fungus"),EXACT(metadata!F447,"Plant")))</f>
        <v>0</v>
      </c>
      <c r="AI447" t="b">
        <f>AND(IF(metadata!G447="",FALSE,TRUE),OR(EXACT(metadata!G447,"Plant secretion"),EXACT(metadata!G447,"Plant rhizosphere"),EXACT(metadata!G447,"Plant surface"),EXACT(metadata!G447,"Plant corpus"),EXACT(metadata!G447,"Fungus surface"),EXACT(metadata!G447,"Fungus corpus"),EXACT(metadata!G447,"Animal surface"),EXACT(metadata!G447,"Animal proximal gut"),EXACT(metadata!G447,"Animal corpus"),EXACT(metadata!G447,"Animal distal gut"),EXACT(metadata!G447,"Animal secretion")))</f>
        <v>0</v>
      </c>
      <c r="AJ447" t="b">
        <f>OR(AND(IF(metadata!H447="",FALSE,TRUE),OR(EXACT(metadata!H447,"missing: not collected"),EXACT(metadata!H447,"missing: not provided"),EXACT(metadata!H447,"missing: restricted access"))),AND(IF(metadata!H447="",FALSE,TRUE),OR(EXACT(metadata!H447,"organism-associated habitat"),EXACT(metadata!H447,"plant-associated habitat"),EXACT(metadata!H447,"animal-associated habitat"),EXACT(metadata!H447,"insecta-associated habitat"),EXACT(metadata!H447,"mammalia-associated habitat"),EXACT(metadata!H447,"human-associated habitat"),EXACT(metadata!H447,"livestock-associated habitat"))))</f>
        <v>0</v>
      </c>
      <c r="AK447" t="b">
        <f>AND(IF(metadata!I447="",FALSE,TRUE),EXACT(metadata!I447,"host-associated"))</f>
        <v>0</v>
      </c>
      <c r="AL447" t="b">
        <f>OR(AND(IF(metadata!J447="",FALSE,TRUE),OR(EXACT(metadata!J447,"not applicable"),EXACT(metadata!J447,"missing: not collected"),EXACT(metadata!J447,"missing: not provided"),EXACT(metadata!J447,"missing: restricted access"))),AND(IF(metadata!J447="",FALSE,ISNUMBER(VALUE(metadata!J447))),metadata!J447&gt;0))</f>
        <v>0</v>
      </c>
      <c r="AM447" t="b">
        <f>AND(IF(metadata!K447="",FALSE,TRUE),EXACT(metadata!K447,"missing: not provided"))</f>
        <v>0</v>
      </c>
      <c r="AN447" t="b">
        <f>IF(metadata!L447="",FALSE,TRUE)</f>
        <v>0</v>
      </c>
      <c r="AO447" t="b">
        <f>IF(metadata!M447="",FALSE,TRUE)</f>
        <v>0</v>
      </c>
      <c r="AP447" t="b">
        <f>OR(AND(IF(metadata!N447="",FALSE,TRUE),OR(EXACT(metadata!N447,"not applicable"),EXACT(metadata!N447,"missing: not collected"),EXACT(metadata!N447,"missing: not provided"))),AND(IF(metadata!N447="",FALSE,IF(ISERROR(INT(metadata!N447)),FALSE,INT(metadata!N447)=metadata!N447)),metadata!N447&gt;0))</f>
        <v>0</v>
      </c>
      <c r="AQ447" t="b">
        <f>AND(IF(metadata!O447="",FALSE,TRUE),EXACT(metadata!O447,"Not applicable"))</f>
        <v>0</v>
      </c>
      <c r="AR447" t="b">
        <f>OR(AND(IF(metadata!P447="",FALSE,TRUE),OR(EXACT(metadata!P447,"not applicable"),EXACT(metadata!P447,"missing: not collected"),EXACT(metadata!P447,"missing: not provided"),EXACT(metadata!P447,"missing: restricted access"))),IF(metadata!P447="",FALSE,IF(ISERROR(INT(metadata!P447)),FALSE,INT(metadata!P447)=metadata!P447)))</f>
        <v>0</v>
      </c>
      <c r="AS447" t="b">
        <f>AND(IF(metadata!Q447="",FALSE,TRUE),EXACT(metadata!Q447,"Not applicable"))</f>
        <v>0</v>
      </c>
      <c r="AT447" t="b">
        <f>OR(AND(IF(metadata!R447="",FALSE,TRUE),OR(EXACT(metadata!R447,"not applicable"),EXACT(metadata!R447,"missing: not collected"),EXACT(metadata!R447,"missing: not provided"),EXACT(metadata!R447,"missing: restricted access"))),AND(IF(metadata!R447="",FALSE,ISNUMBER(VALUE(metadata!R447))),metadata!R447&gt;0))</f>
        <v>0</v>
      </c>
      <c r="AU447" t="b">
        <f>AND(IF(metadata!S447="",FALSE,TRUE),EXACT(metadata!S447,"missing: not provided"))</f>
        <v>0</v>
      </c>
    </row>
    <row r="448" spans="1:47" x14ac:dyDescent="0.2">
      <c r="A448" s="5" t="str">
        <f ca="1">IF(B448=" "," ",HYPERLINK(CONCATENATE("#metadata!",ADDRESS(INDEX($Y$2:$Y$1001,MATCH(ROWS($W$2:W448),$W$2:$W$1001,0),0),1)),INDEX($AB$2:$AB$1001,MATCH(ROWS($W$2:W448),$W$2:$W$1001,0),0)))</f>
        <v xml:space="preserve"> </v>
      </c>
      <c r="B448" s="4" t="str">
        <f ca="1">IF(OR(INDEX($X$2:$X$1001,MATCH(ROWS($W$2:W448),$W$2:$W$1001,0),1)&gt;=100000,INDEX($AD$1005:$AU$1005,1,MATCH(COLUMNS($AD$1006:AD1006),$AD$1006:$AU$1006,0))&gt;=100000), " ",IF(INDEX($AD$2:$AU$1001,MATCH(ROWS($W$2:W448),$W$2:$W$1001,0),MATCH(COLUMNS($AD$1006:AD1006),$AD$1006:$AU$1006,0)), HYPERLINK("#",""), HYPERLINK(CONCATENATE("#metadata!", ADDRESS(INDEX($Y$2:$Y$1001,MATCH(ROWS($W$2:W448),$W$2:$W$1001,0),0), INDEX($AD$1004:$AU$1004,1,MATCH(COLUMNS($AD$1006:AD1006),$AD$1006:$AU$1006,0)))),"Fix")))</f>
        <v xml:space="preserve"> </v>
      </c>
      <c r="C448" s="4" t="str">
        <f ca="1">IF(OR(INDEX($X$2:$X$1001,MATCH(ROWS($W$2:W448),$W$2:$W$1001,0),1)&gt;=100000,INDEX($AD$1005:$AU$1005,1,MATCH(COLUMNS($AD$1006:AE1006),$AD$1006:$AU$1006,0))&gt;=100000), " ",IF(INDEX($AD$2:$AU$1001,MATCH(ROWS($W$2:W448),$W$2:$W$1001,0),MATCH(COLUMNS($AD$1006:AE1006),$AD$1006:$AU$1006,0)), HYPERLINK("#",""), HYPERLINK(CONCATENATE("#metadata!", ADDRESS(INDEX($Y$2:$Y$1001,MATCH(ROWS($W$2:W448),$W$2:$W$1001,0),0), INDEX($AD$1004:$AU$1004,1,MATCH(COLUMNS($AD$1006:AE1006),$AD$1006:$AU$1006,0)))),"Fix")))</f>
        <v xml:space="preserve"> </v>
      </c>
      <c r="D448" s="4" t="str">
        <f ca="1">IF(OR(INDEX($X$2:$X$1001,MATCH(ROWS($W$2:W448),$W$2:$W$1001,0),1)&gt;=100000,INDEX($AD$1005:$AU$1005,1,MATCH(COLUMNS($AD$1006:AF1006),$AD$1006:$AU$1006,0))&gt;=100000), " ",IF(INDEX($AD$2:$AU$1001,MATCH(ROWS($W$2:W448),$W$2:$W$1001,0),MATCH(COLUMNS($AD$1006:AF1006),$AD$1006:$AU$1006,0)), HYPERLINK("#",""), HYPERLINK(CONCATENATE("#metadata!", ADDRESS(INDEX($Y$2:$Y$1001,MATCH(ROWS($W$2:W448),$W$2:$W$1001,0),0), INDEX($AD$1004:$AU$1004,1,MATCH(COLUMNS($AD$1006:AF1006),$AD$1006:$AU$1006,0)))),"Fix")))</f>
        <v xml:space="preserve"> </v>
      </c>
      <c r="E448" s="4" t="str">
        <f ca="1">IF(OR(INDEX($X$2:$X$1001,MATCH(ROWS($W$2:W448),$W$2:$W$1001,0),1)&gt;=100000,INDEX($AD$1005:$AU$1005,1,MATCH(COLUMNS($AD$1006:AG1006),$AD$1006:$AU$1006,0))&gt;=100000), " ",IF(INDEX($AD$2:$AU$1001,MATCH(ROWS($W$2:W448),$W$2:$W$1001,0),MATCH(COLUMNS($AD$1006:AG1006),$AD$1006:$AU$1006,0)), HYPERLINK("#",""), HYPERLINK(CONCATENATE("#metadata!", ADDRESS(INDEX($Y$2:$Y$1001,MATCH(ROWS($W$2:W448),$W$2:$W$1001,0),0), INDEX($AD$1004:$AU$1004,1,MATCH(COLUMNS($AD$1006:AG1006),$AD$1006:$AU$1006,0)))),"Fix")))</f>
        <v xml:space="preserve"> </v>
      </c>
      <c r="F448" s="4" t="str">
        <f ca="1">IF(OR(INDEX($X$2:$X$1001,MATCH(ROWS($W$2:W448),$W$2:$W$1001,0),1)&gt;=100000,INDEX($AD$1005:$AU$1005,1,MATCH(COLUMNS($AD$1006:AH1006),$AD$1006:$AU$1006,0))&gt;=100000), " ",IF(INDEX($AD$2:$AU$1001,MATCH(ROWS($W$2:W448),$W$2:$W$1001,0),MATCH(COLUMNS($AD$1006:AH1006),$AD$1006:$AU$1006,0)), HYPERLINK("#",""), HYPERLINK(CONCATENATE("#metadata!", ADDRESS(INDEX($Y$2:$Y$1001,MATCH(ROWS($W$2:W448),$W$2:$W$1001,0),0), INDEX($AD$1004:$AU$1004,1,MATCH(COLUMNS($AD$1006:AH1006),$AD$1006:$AU$1006,0)))),"Fix")))</f>
        <v xml:space="preserve"> </v>
      </c>
      <c r="G448" s="4" t="str">
        <f ca="1">IF(OR(INDEX($X$2:$X$1001,MATCH(ROWS($W$2:W448),$W$2:$W$1001,0),1)&gt;=100000,INDEX($AD$1005:$AU$1005,1,MATCH(COLUMNS($AD$1006:AI1006),$AD$1006:$AU$1006,0))&gt;=100000), " ",IF(INDEX($AD$2:$AU$1001,MATCH(ROWS($W$2:W448),$W$2:$W$1001,0),MATCH(COLUMNS($AD$1006:AI1006),$AD$1006:$AU$1006,0)), HYPERLINK("#",""), HYPERLINK(CONCATENATE("#metadata!", ADDRESS(INDEX($Y$2:$Y$1001,MATCH(ROWS($W$2:W448),$W$2:$W$1001,0),0), INDEX($AD$1004:$AU$1004,1,MATCH(COLUMNS($AD$1006:AI1006),$AD$1006:$AU$1006,0)))),"Fix")))</f>
        <v xml:space="preserve"> </v>
      </c>
      <c r="H448" s="4" t="str">
        <f ca="1">IF(OR(INDEX($X$2:$X$1001,MATCH(ROWS($W$2:W448),$W$2:$W$1001,0),1)&gt;=100000,INDEX($AD$1005:$AU$1005,1,MATCH(COLUMNS($AD$1006:AJ1006),$AD$1006:$AU$1006,0))&gt;=100000), " ",IF(INDEX($AD$2:$AU$1001,MATCH(ROWS($W$2:W448),$W$2:$W$1001,0),MATCH(COLUMNS($AD$1006:AJ1006),$AD$1006:$AU$1006,0)), HYPERLINK("#",""), HYPERLINK(CONCATENATE("#metadata!", ADDRESS(INDEX($Y$2:$Y$1001,MATCH(ROWS($W$2:W448),$W$2:$W$1001,0),0), INDEX($AD$1004:$AU$1004,1,MATCH(COLUMNS($AD$1006:AJ1006),$AD$1006:$AU$1006,0)))),"Fix")))</f>
        <v xml:space="preserve"> </v>
      </c>
      <c r="I448" s="4" t="str">
        <f ca="1">IF(OR(INDEX($X$2:$X$1001,MATCH(ROWS($W$2:W448),$W$2:$W$1001,0),1)&gt;=100000,INDEX($AD$1005:$AU$1005,1,MATCH(COLUMNS($AD$1006:AK1006),$AD$1006:$AU$1006,0))&gt;=100000), " ",IF(INDEX($AD$2:$AU$1001,MATCH(ROWS($W$2:W448),$W$2:$W$1001,0),MATCH(COLUMNS($AD$1006:AK1006),$AD$1006:$AU$1006,0)), HYPERLINK("#",""), HYPERLINK(CONCATENATE("#metadata!", ADDRESS(INDEX($Y$2:$Y$1001,MATCH(ROWS($W$2:W448),$W$2:$W$1001,0),0), INDEX($AD$1004:$AU$1004,1,MATCH(COLUMNS($AD$1006:AK1006),$AD$1006:$AU$1006,0)))),"Fix")))</f>
        <v xml:space="preserve"> </v>
      </c>
      <c r="J448" s="4" t="str">
        <f ca="1">IF(OR(INDEX($X$2:$X$1001,MATCH(ROWS($W$2:W448),$W$2:$W$1001,0),1)&gt;=100000,INDEX($AD$1005:$AU$1005,1,MATCH(COLUMNS($AD$1006:AL1006),$AD$1006:$AU$1006,0))&gt;=100000), " ",IF(INDEX($AD$2:$AU$1001,MATCH(ROWS($W$2:W448),$W$2:$W$1001,0),MATCH(COLUMNS($AD$1006:AL1006),$AD$1006:$AU$1006,0)), HYPERLINK("#",""), HYPERLINK(CONCATENATE("#metadata!", ADDRESS(INDEX($Y$2:$Y$1001,MATCH(ROWS($W$2:W448),$W$2:$W$1001,0),0), INDEX($AD$1004:$AU$1004,1,MATCH(COLUMNS($AD$1006:AL1006),$AD$1006:$AU$1006,0)))),"Fix")))</f>
        <v xml:space="preserve"> </v>
      </c>
      <c r="K448" s="4" t="str">
        <f ca="1">IF(OR(INDEX($X$2:$X$1001,MATCH(ROWS($W$2:W448),$W$2:$W$1001,0),1)&gt;=100000,INDEX($AD$1005:$AU$1005,1,MATCH(COLUMNS($AD$1006:AM1006),$AD$1006:$AU$1006,0))&gt;=100000), " ",IF(INDEX($AD$2:$AU$1001,MATCH(ROWS($W$2:W448),$W$2:$W$1001,0),MATCH(COLUMNS($AD$1006:AM1006),$AD$1006:$AU$1006,0)), HYPERLINK("#",""), HYPERLINK(CONCATENATE("#metadata!", ADDRESS(INDEX($Y$2:$Y$1001,MATCH(ROWS($W$2:W448),$W$2:$W$1001,0),0), INDEX($AD$1004:$AU$1004,1,MATCH(COLUMNS($AD$1006:AM1006),$AD$1006:$AU$1006,0)))),"Fix")))</f>
        <v xml:space="preserve"> </v>
      </c>
      <c r="L448" s="4" t="str">
        <f ca="1">IF(OR(INDEX($X$2:$X$1001,MATCH(ROWS($W$2:W448),$W$2:$W$1001,0),1)&gt;=100000,INDEX($AD$1005:$AU$1005,1,MATCH(COLUMNS($AD$1006:AN1006),$AD$1006:$AU$1006,0))&gt;=100000), " ",IF(INDEX($AD$2:$AU$1001,MATCH(ROWS($W$2:W448),$W$2:$W$1001,0),MATCH(COLUMNS($AD$1006:AN1006),$AD$1006:$AU$1006,0)), HYPERLINK("#",""), HYPERLINK(CONCATENATE("#metadata!", ADDRESS(INDEX($Y$2:$Y$1001,MATCH(ROWS($W$2:W448),$W$2:$W$1001,0),0), INDEX($AD$1004:$AU$1004,1,MATCH(COLUMNS($AD$1006:AN1006),$AD$1006:$AU$1006,0)))),"Fix")))</f>
        <v xml:space="preserve"> </v>
      </c>
      <c r="M448" s="4" t="str">
        <f ca="1">IF(OR(INDEX($X$2:$X$1001,MATCH(ROWS($W$2:W448),$W$2:$W$1001,0),1)&gt;=100000,INDEX($AD$1005:$AU$1005,1,MATCH(COLUMNS($AD$1006:AO1006),$AD$1006:$AU$1006,0))&gt;=100000), " ",IF(INDEX($AD$2:$AU$1001,MATCH(ROWS($W$2:W448),$W$2:$W$1001,0),MATCH(COLUMNS($AD$1006:AO1006),$AD$1006:$AU$1006,0)), HYPERLINK("#",""), HYPERLINK(CONCATENATE("#metadata!", ADDRESS(INDEX($Y$2:$Y$1001,MATCH(ROWS($W$2:W448),$W$2:$W$1001,0),0), INDEX($AD$1004:$AU$1004,1,MATCH(COLUMNS($AD$1006:AO1006),$AD$1006:$AU$1006,0)))),"Fix")))</f>
        <v xml:space="preserve"> </v>
      </c>
      <c r="N448" s="4" t="str">
        <f ca="1">IF(OR(INDEX($X$2:$X$1001,MATCH(ROWS($W$2:W448),$W$2:$W$1001,0),1)&gt;=100000,INDEX($AD$1005:$AU$1005,1,MATCH(COLUMNS($AD$1006:AP1006),$AD$1006:$AU$1006,0))&gt;=100000), " ",IF(INDEX($AD$2:$AU$1001,MATCH(ROWS($W$2:W448),$W$2:$W$1001,0),MATCH(COLUMNS($AD$1006:AP1006),$AD$1006:$AU$1006,0)), HYPERLINK("#",""), HYPERLINK(CONCATENATE("#metadata!", ADDRESS(INDEX($Y$2:$Y$1001,MATCH(ROWS($W$2:W448),$W$2:$W$1001,0),0), INDEX($AD$1004:$AU$1004,1,MATCH(COLUMNS($AD$1006:AP1006),$AD$1006:$AU$1006,0)))),"Fix")))</f>
        <v xml:space="preserve"> </v>
      </c>
      <c r="O448" s="4" t="str">
        <f ca="1">IF(OR(INDEX($X$2:$X$1001,MATCH(ROWS($W$2:W448),$W$2:$W$1001,0),1)&gt;=100000,INDEX($AD$1005:$AU$1005,1,MATCH(COLUMNS($AD$1006:AQ1006),$AD$1006:$AU$1006,0))&gt;=100000), " ",IF(INDEX($AD$2:$AU$1001,MATCH(ROWS($W$2:W448),$W$2:$W$1001,0),MATCH(COLUMNS($AD$1006:AQ1006),$AD$1006:$AU$1006,0)), HYPERLINK("#",""), HYPERLINK(CONCATENATE("#metadata!", ADDRESS(INDEX($Y$2:$Y$1001,MATCH(ROWS($W$2:W448),$W$2:$W$1001,0),0), INDEX($AD$1004:$AU$1004,1,MATCH(COLUMNS($AD$1006:AQ1006),$AD$1006:$AU$1006,0)))),"Fix")))</f>
        <v xml:space="preserve"> </v>
      </c>
      <c r="P448" s="4" t="str">
        <f ca="1">IF(OR(INDEX($X$2:$X$1001,MATCH(ROWS($W$2:W448),$W$2:$W$1001,0),1)&gt;=100000,INDEX($AD$1005:$AU$1005,1,MATCH(COLUMNS($AD$1006:AR1006),$AD$1006:$AU$1006,0))&gt;=100000), " ",IF(INDEX($AD$2:$AU$1001,MATCH(ROWS($W$2:W448),$W$2:$W$1001,0),MATCH(COLUMNS($AD$1006:AR1006),$AD$1006:$AU$1006,0)), HYPERLINK("#",""), HYPERLINK(CONCATENATE("#metadata!", ADDRESS(INDEX($Y$2:$Y$1001,MATCH(ROWS($W$2:W448),$W$2:$W$1001,0),0), INDEX($AD$1004:$AU$1004,1,MATCH(COLUMNS($AD$1006:AR1006),$AD$1006:$AU$1006,0)))),"Fix")))</f>
        <v xml:space="preserve"> </v>
      </c>
      <c r="Q448" s="4" t="str">
        <f ca="1">IF(OR(INDEX($X$2:$X$1001,MATCH(ROWS($W$2:W448),$W$2:$W$1001,0),1)&gt;=100000,INDEX($AD$1005:$AU$1005,1,MATCH(COLUMNS($AD$1006:AS1006),$AD$1006:$AU$1006,0))&gt;=100000), " ",IF(INDEX($AD$2:$AU$1001,MATCH(ROWS($W$2:W448),$W$2:$W$1001,0),MATCH(COLUMNS($AD$1006:AS1006),$AD$1006:$AU$1006,0)), HYPERLINK("#",""), HYPERLINK(CONCATENATE("#metadata!", ADDRESS(INDEX($Y$2:$Y$1001,MATCH(ROWS($W$2:W448),$W$2:$W$1001,0),0), INDEX($AD$1004:$AU$1004,1,MATCH(COLUMNS($AD$1006:AS1006),$AD$1006:$AU$1006,0)))),"Fix")))</f>
        <v xml:space="preserve"> </v>
      </c>
      <c r="R448" s="4" t="str">
        <f ca="1">IF(OR(INDEX($X$2:$X$1001,MATCH(ROWS($W$2:W448),$W$2:$W$1001,0),1)&gt;=100000,INDEX($AD$1005:$AU$1005,1,MATCH(COLUMNS($AD$1006:AT1006),$AD$1006:$AU$1006,0))&gt;=100000), " ",IF(INDEX($AD$2:$AU$1001,MATCH(ROWS($W$2:W448),$W$2:$W$1001,0),MATCH(COLUMNS($AD$1006:AT1006),$AD$1006:$AU$1006,0)), HYPERLINK("#",""), HYPERLINK(CONCATENATE("#metadata!", ADDRESS(INDEX($Y$2:$Y$1001,MATCH(ROWS($W$2:W448),$W$2:$W$1001,0),0), INDEX($AD$1004:$AU$1004,1,MATCH(COLUMNS($AD$1006:AT1006),$AD$1006:$AU$1006,0)))),"Fix")))</f>
        <v xml:space="preserve"> </v>
      </c>
      <c r="S448" s="4" t="str">
        <f ca="1">IF(OR(INDEX($X$2:$X$1001,MATCH(ROWS($W$2:W448),$W$2:$W$1001,0),1)&gt;=100000,INDEX($AD$1005:$AU$1005,1,MATCH(COLUMNS($AD$1006:AU1006),$AD$1006:$AU$1006,0))&gt;=100000), " ",IF(INDEX($AD$2:$AU$1001,MATCH(ROWS($W$2:W448),$W$2:$W$1001,0),MATCH(COLUMNS($AD$1006:AU1006),$AD$1006:$AU$1006,0)), HYPERLINK("#",""), HYPERLINK(CONCATENATE("#metadata!", ADDRESS(INDEX($Y$2:$Y$1001,MATCH(ROWS($W$2:W448),$W$2:$W$1001,0),0), INDEX($AD$1004:$AU$1004,1,MATCH(COLUMNS($AD$1006:AU1006),$AD$1006:$AU$1006,0)))),"Fix")))</f>
        <v xml:space="preserve"> </v>
      </c>
      <c r="W448">
        <v>447</v>
      </c>
      <c r="X448">
        <v>100448</v>
      </c>
      <c r="Y448">
        <v>448</v>
      </c>
      <c r="Z448" t="b">
        <f t="shared" si="6"/>
        <v>1</v>
      </c>
      <c r="AA448" t="b">
        <f>COUNTBLANK(metadata!B448:S448)=COLUMNS(metadata!B448:S448)</f>
        <v>1</v>
      </c>
      <c r="AB448" t="str">
        <v/>
      </c>
      <c r="AD448" t="b">
        <f ca="1">AND(IF(metadata!B448="",FALSE,TRUE),COUNTIF(metadata!B:B, metadata!B448) = 1,NOT(ISERROR(SUMPRODUCT(SEARCH(MID(metadata!B448,ROW(INDIRECT("1:"&amp;LEN(metadata!B448))), 1),"0123456789abcdefghijklmnopqrstuvwxyzABCDEFGHIJKLMNOPQRSTUVWXYZ.")))))</f>
        <v>0</v>
      </c>
      <c r="AE448" t="b">
        <f>OR(AND(IF(metadata!C448="",FALSE,TRUE),OR(EXACT(metadata!C448,"not applicable"),EXACT(metadata!C448,"missing: not collected"),EXACT(metadata!C448,"missing: not provided"),EXACT(metadata!C448,"missing: restricted access"))),AND(IF(metadata!C448="",FALSE,ISNUMBER(VALUE(metadata!C448))),metadata!C448&gt;0))</f>
        <v>0</v>
      </c>
      <c r="AF448" t="b">
        <f>AND(IF(metadata!D448="",FALSE,TRUE),EXACT(metadata!D448,"missing: not provided"))</f>
        <v>0</v>
      </c>
      <c r="AG448" t="b">
        <f>AND(IF(metadata!E448="",FALSE,TRUE),EXACT(metadata!E448,"Host-associated"))</f>
        <v>0</v>
      </c>
      <c r="AH448" t="b">
        <f>AND(IF(metadata!F448="",FALSE,TRUE),OR(EXACT(metadata!F448,"Animal"),EXACT(metadata!F448,"Fungus"),EXACT(metadata!F448,"Plant")))</f>
        <v>0</v>
      </c>
      <c r="AI448" t="b">
        <f>AND(IF(metadata!G448="",FALSE,TRUE),OR(EXACT(metadata!G448,"Plant secretion"),EXACT(metadata!G448,"Plant rhizosphere"),EXACT(metadata!G448,"Plant surface"),EXACT(metadata!G448,"Plant corpus"),EXACT(metadata!G448,"Fungus surface"),EXACT(metadata!G448,"Fungus corpus"),EXACT(metadata!G448,"Animal surface"),EXACT(metadata!G448,"Animal proximal gut"),EXACT(metadata!G448,"Animal corpus"),EXACT(metadata!G448,"Animal distal gut"),EXACT(metadata!G448,"Animal secretion")))</f>
        <v>0</v>
      </c>
      <c r="AJ448" t="b">
        <f>OR(AND(IF(metadata!H448="",FALSE,TRUE),OR(EXACT(metadata!H448,"missing: not collected"),EXACT(metadata!H448,"missing: not provided"),EXACT(metadata!H448,"missing: restricted access"))),AND(IF(metadata!H448="",FALSE,TRUE),OR(EXACT(metadata!H448,"organism-associated habitat"),EXACT(metadata!H448,"plant-associated habitat"),EXACT(metadata!H448,"animal-associated habitat"),EXACT(metadata!H448,"insecta-associated habitat"),EXACT(metadata!H448,"mammalia-associated habitat"),EXACT(metadata!H448,"human-associated habitat"),EXACT(metadata!H448,"livestock-associated habitat"))))</f>
        <v>0</v>
      </c>
      <c r="AK448" t="b">
        <f>AND(IF(metadata!I448="",FALSE,TRUE),EXACT(metadata!I448,"host-associated"))</f>
        <v>0</v>
      </c>
      <c r="AL448" t="b">
        <f>OR(AND(IF(metadata!J448="",FALSE,TRUE),OR(EXACT(metadata!J448,"not applicable"),EXACT(metadata!J448,"missing: not collected"),EXACT(metadata!J448,"missing: not provided"),EXACT(metadata!J448,"missing: restricted access"))),AND(IF(metadata!J448="",FALSE,ISNUMBER(VALUE(metadata!J448))),metadata!J448&gt;0))</f>
        <v>0</v>
      </c>
      <c r="AM448" t="b">
        <f>AND(IF(metadata!K448="",FALSE,TRUE),EXACT(metadata!K448,"missing: not provided"))</f>
        <v>0</v>
      </c>
      <c r="AN448" t="b">
        <f>IF(metadata!L448="",FALSE,TRUE)</f>
        <v>0</v>
      </c>
      <c r="AO448" t="b">
        <f>IF(metadata!M448="",FALSE,TRUE)</f>
        <v>0</v>
      </c>
      <c r="AP448" t="b">
        <f>OR(AND(IF(metadata!N448="",FALSE,TRUE),OR(EXACT(metadata!N448,"not applicable"),EXACT(metadata!N448,"missing: not collected"),EXACT(metadata!N448,"missing: not provided"))),AND(IF(metadata!N448="",FALSE,IF(ISERROR(INT(metadata!N448)),FALSE,INT(metadata!N448)=metadata!N448)),metadata!N448&gt;0))</f>
        <v>0</v>
      </c>
      <c r="AQ448" t="b">
        <f>AND(IF(metadata!O448="",FALSE,TRUE),EXACT(metadata!O448,"Not applicable"))</f>
        <v>0</v>
      </c>
      <c r="AR448" t="b">
        <f>OR(AND(IF(metadata!P448="",FALSE,TRUE),OR(EXACT(metadata!P448,"not applicable"),EXACT(metadata!P448,"missing: not collected"),EXACT(metadata!P448,"missing: not provided"),EXACT(metadata!P448,"missing: restricted access"))),IF(metadata!P448="",FALSE,IF(ISERROR(INT(metadata!P448)),FALSE,INT(metadata!P448)=metadata!P448)))</f>
        <v>0</v>
      </c>
      <c r="AS448" t="b">
        <f>AND(IF(metadata!Q448="",FALSE,TRUE),EXACT(metadata!Q448,"Not applicable"))</f>
        <v>0</v>
      </c>
      <c r="AT448" t="b">
        <f>OR(AND(IF(metadata!R448="",FALSE,TRUE),OR(EXACT(metadata!R448,"not applicable"),EXACT(metadata!R448,"missing: not collected"),EXACT(metadata!R448,"missing: not provided"),EXACT(metadata!R448,"missing: restricted access"))),AND(IF(metadata!R448="",FALSE,ISNUMBER(VALUE(metadata!R448))),metadata!R448&gt;0))</f>
        <v>0</v>
      </c>
      <c r="AU448" t="b">
        <f>AND(IF(metadata!S448="",FALSE,TRUE),EXACT(metadata!S448,"missing: not provided"))</f>
        <v>0</v>
      </c>
    </row>
    <row r="449" spans="1:47" x14ac:dyDescent="0.2">
      <c r="A449" s="5" t="str">
        <f ca="1">IF(B449=" "," ",HYPERLINK(CONCATENATE("#metadata!",ADDRESS(INDEX($Y$2:$Y$1001,MATCH(ROWS($W$2:W449),$W$2:$W$1001,0),0),1)),INDEX($AB$2:$AB$1001,MATCH(ROWS($W$2:W449),$W$2:$W$1001,0),0)))</f>
        <v xml:space="preserve"> </v>
      </c>
      <c r="B449" s="4" t="str">
        <f ca="1">IF(OR(INDEX($X$2:$X$1001,MATCH(ROWS($W$2:W449),$W$2:$W$1001,0),1)&gt;=100000,INDEX($AD$1005:$AU$1005,1,MATCH(COLUMNS($AD$1006:AD1006),$AD$1006:$AU$1006,0))&gt;=100000), " ",IF(INDEX($AD$2:$AU$1001,MATCH(ROWS($W$2:W449),$W$2:$W$1001,0),MATCH(COLUMNS($AD$1006:AD1006),$AD$1006:$AU$1006,0)), HYPERLINK("#",""), HYPERLINK(CONCATENATE("#metadata!", ADDRESS(INDEX($Y$2:$Y$1001,MATCH(ROWS($W$2:W449),$W$2:$W$1001,0),0), INDEX($AD$1004:$AU$1004,1,MATCH(COLUMNS($AD$1006:AD1006),$AD$1006:$AU$1006,0)))),"Fix")))</f>
        <v xml:space="preserve"> </v>
      </c>
      <c r="C449" s="4" t="str">
        <f ca="1">IF(OR(INDEX($X$2:$X$1001,MATCH(ROWS($W$2:W449),$W$2:$W$1001,0),1)&gt;=100000,INDEX($AD$1005:$AU$1005,1,MATCH(COLUMNS($AD$1006:AE1006),$AD$1006:$AU$1006,0))&gt;=100000), " ",IF(INDEX($AD$2:$AU$1001,MATCH(ROWS($W$2:W449),$W$2:$W$1001,0),MATCH(COLUMNS($AD$1006:AE1006),$AD$1006:$AU$1006,0)), HYPERLINK("#",""), HYPERLINK(CONCATENATE("#metadata!", ADDRESS(INDEX($Y$2:$Y$1001,MATCH(ROWS($W$2:W449),$W$2:$W$1001,0),0), INDEX($AD$1004:$AU$1004,1,MATCH(COLUMNS($AD$1006:AE1006),$AD$1006:$AU$1006,0)))),"Fix")))</f>
        <v xml:space="preserve"> </v>
      </c>
      <c r="D449" s="4" t="str">
        <f ca="1">IF(OR(INDEX($X$2:$X$1001,MATCH(ROWS($W$2:W449),$W$2:$W$1001,0),1)&gt;=100000,INDEX($AD$1005:$AU$1005,1,MATCH(COLUMNS($AD$1006:AF1006),$AD$1006:$AU$1006,0))&gt;=100000), " ",IF(INDEX($AD$2:$AU$1001,MATCH(ROWS($W$2:W449),$W$2:$W$1001,0),MATCH(COLUMNS($AD$1006:AF1006),$AD$1006:$AU$1006,0)), HYPERLINK("#",""), HYPERLINK(CONCATENATE("#metadata!", ADDRESS(INDEX($Y$2:$Y$1001,MATCH(ROWS($W$2:W449),$W$2:$W$1001,0),0), INDEX($AD$1004:$AU$1004,1,MATCH(COLUMNS($AD$1006:AF1006),$AD$1006:$AU$1006,0)))),"Fix")))</f>
        <v xml:space="preserve"> </v>
      </c>
      <c r="E449" s="4" t="str">
        <f ca="1">IF(OR(INDEX($X$2:$X$1001,MATCH(ROWS($W$2:W449),$W$2:$W$1001,0),1)&gt;=100000,INDEX($AD$1005:$AU$1005,1,MATCH(COLUMNS($AD$1006:AG1006),$AD$1006:$AU$1006,0))&gt;=100000), " ",IF(INDEX($AD$2:$AU$1001,MATCH(ROWS($W$2:W449),$W$2:$W$1001,0),MATCH(COLUMNS($AD$1006:AG1006),$AD$1006:$AU$1006,0)), HYPERLINK("#",""), HYPERLINK(CONCATENATE("#metadata!", ADDRESS(INDEX($Y$2:$Y$1001,MATCH(ROWS($W$2:W449),$W$2:$W$1001,0),0), INDEX($AD$1004:$AU$1004,1,MATCH(COLUMNS($AD$1006:AG1006),$AD$1006:$AU$1006,0)))),"Fix")))</f>
        <v xml:space="preserve"> </v>
      </c>
      <c r="F449" s="4" t="str">
        <f ca="1">IF(OR(INDEX($X$2:$X$1001,MATCH(ROWS($W$2:W449),$W$2:$W$1001,0),1)&gt;=100000,INDEX($AD$1005:$AU$1005,1,MATCH(COLUMNS($AD$1006:AH1006),$AD$1006:$AU$1006,0))&gt;=100000), " ",IF(INDEX($AD$2:$AU$1001,MATCH(ROWS($W$2:W449),$W$2:$W$1001,0),MATCH(COLUMNS($AD$1006:AH1006),$AD$1006:$AU$1006,0)), HYPERLINK("#",""), HYPERLINK(CONCATENATE("#metadata!", ADDRESS(INDEX($Y$2:$Y$1001,MATCH(ROWS($W$2:W449),$W$2:$W$1001,0),0), INDEX($AD$1004:$AU$1004,1,MATCH(COLUMNS($AD$1006:AH1006),$AD$1006:$AU$1006,0)))),"Fix")))</f>
        <v xml:space="preserve"> </v>
      </c>
      <c r="G449" s="4" t="str">
        <f ca="1">IF(OR(INDEX($X$2:$X$1001,MATCH(ROWS($W$2:W449),$W$2:$W$1001,0),1)&gt;=100000,INDEX($AD$1005:$AU$1005,1,MATCH(COLUMNS($AD$1006:AI1006),$AD$1006:$AU$1006,0))&gt;=100000), " ",IF(INDEX($AD$2:$AU$1001,MATCH(ROWS($W$2:W449),$W$2:$W$1001,0),MATCH(COLUMNS($AD$1006:AI1006),$AD$1006:$AU$1006,0)), HYPERLINK("#",""), HYPERLINK(CONCATENATE("#metadata!", ADDRESS(INDEX($Y$2:$Y$1001,MATCH(ROWS($W$2:W449),$W$2:$W$1001,0),0), INDEX($AD$1004:$AU$1004,1,MATCH(COLUMNS($AD$1006:AI1006),$AD$1006:$AU$1006,0)))),"Fix")))</f>
        <v xml:space="preserve"> </v>
      </c>
      <c r="H449" s="4" t="str">
        <f ca="1">IF(OR(INDEX($X$2:$X$1001,MATCH(ROWS($W$2:W449),$W$2:$W$1001,0),1)&gt;=100000,INDEX($AD$1005:$AU$1005,1,MATCH(COLUMNS($AD$1006:AJ1006),$AD$1006:$AU$1006,0))&gt;=100000), " ",IF(INDEX($AD$2:$AU$1001,MATCH(ROWS($W$2:W449),$W$2:$W$1001,0),MATCH(COLUMNS($AD$1006:AJ1006),$AD$1006:$AU$1006,0)), HYPERLINK("#",""), HYPERLINK(CONCATENATE("#metadata!", ADDRESS(INDEX($Y$2:$Y$1001,MATCH(ROWS($W$2:W449),$W$2:$W$1001,0),0), INDEX($AD$1004:$AU$1004,1,MATCH(COLUMNS($AD$1006:AJ1006),$AD$1006:$AU$1006,0)))),"Fix")))</f>
        <v xml:space="preserve"> </v>
      </c>
      <c r="I449" s="4" t="str">
        <f ca="1">IF(OR(INDEX($X$2:$X$1001,MATCH(ROWS($W$2:W449),$W$2:$W$1001,0),1)&gt;=100000,INDEX($AD$1005:$AU$1005,1,MATCH(COLUMNS($AD$1006:AK1006),$AD$1006:$AU$1006,0))&gt;=100000), " ",IF(INDEX($AD$2:$AU$1001,MATCH(ROWS($W$2:W449),$W$2:$W$1001,0),MATCH(COLUMNS($AD$1006:AK1006),$AD$1006:$AU$1006,0)), HYPERLINK("#",""), HYPERLINK(CONCATENATE("#metadata!", ADDRESS(INDEX($Y$2:$Y$1001,MATCH(ROWS($W$2:W449),$W$2:$W$1001,0),0), INDEX($AD$1004:$AU$1004,1,MATCH(COLUMNS($AD$1006:AK1006),$AD$1006:$AU$1006,0)))),"Fix")))</f>
        <v xml:space="preserve"> </v>
      </c>
      <c r="J449" s="4" t="str">
        <f ca="1">IF(OR(INDEX($X$2:$X$1001,MATCH(ROWS($W$2:W449),$W$2:$W$1001,0),1)&gt;=100000,INDEX($AD$1005:$AU$1005,1,MATCH(COLUMNS($AD$1006:AL1006),$AD$1006:$AU$1006,0))&gt;=100000), " ",IF(INDEX($AD$2:$AU$1001,MATCH(ROWS($W$2:W449),$W$2:$W$1001,0),MATCH(COLUMNS($AD$1006:AL1006),$AD$1006:$AU$1006,0)), HYPERLINK("#",""), HYPERLINK(CONCATENATE("#metadata!", ADDRESS(INDEX($Y$2:$Y$1001,MATCH(ROWS($W$2:W449),$W$2:$W$1001,0),0), INDEX($AD$1004:$AU$1004,1,MATCH(COLUMNS($AD$1006:AL1006),$AD$1006:$AU$1006,0)))),"Fix")))</f>
        <v xml:space="preserve"> </v>
      </c>
      <c r="K449" s="4" t="str">
        <f ca="1">IF(OR(INDEX($X$2:$X$1001,MATCH(ROWS($W$2:W449),$W$2:$W$1001,0),1)&gt;=100000,INDEX($AD$1005:$AU$1005,1,MATCH(COLUMNS($AD$1006:AM1006),$AD$1006:$AU$1006,0))&gt;=100000), " ",IF(INDEX($AD$2:$AU$1001,MATCH(ROWS($W$2:W449),$W$2:$W$1001,0),MATCH(COLUMNS($AD$1006:AM1006),$AD$1006:$AU$1006,0)), HYPERLINK("#",""), HYPERLINK(CONCATENATE("#metadata!", ADDRESS(INDEX($Y$2:$Y$1001,MATCH(ROWS($W$2:W449),$W$2:$W$1001,0),0), INDEX($AD$1004:$AU$1004,1,MATCH(COLUMNS($AD$1006:AM1006),$AD$1006:$AU$1006,0)))),"Fix")))</f>
        <v xml:space="preserve"> </v>
      </c>
      <c r="L449" s="4" t="str">
        <f ca="1">IF(OR(INDEX($X$2:$X$1001,MATCH(ROWS($W$2:W449),$W$2:$W$1001,0),1)&gt;=100000,INDEX($AD$1005:$AU$1005,1,MATCH(COLUMNS($AD$1006:AN1006),$AD$1006:$AU$1006,0))&gt;=100000), " ",IF(INDEX($AD$2:$AU$1001,MATCH(ROWS($W$2:W449),$W$2:$W$1001,0),MATCH(COLUMNS($AD$1006:AN1006),$AD$1006:$AU$1006,0)), HYPERLINK("#",""), HYPERLINK(CONCATENATE("#metadata!", ADDRESS(INDEX($Y$2:$Y$1001,MATCH(ROWS($W$2:W449),$W$2:$W$1001,0),0), INDEX($AD$1004:$AU$1004,1,MATCH(COLUMNS($AD$1006:AN1006),$AD$1006:$AU$1006,0)))),"Fix")))</f>
        <v xml:space="preserve"> </v>
      </c>
      <c r="M449" s="4" t="str">
        <f ca="1">IF(OR(INDEX($X$2:$X$1001,MATCH(ROWS($W$2:W449),$W$2:$W$1001,0),1)&gt;=100000,INDEX($AD$1005:$AU$1005,1,MATCH(COLUMNS($AD$1006:AO1006),$AD$1006:$AU$1006,0))&gt;=100000), " ",IF(INDEX($AD$2:$AU$1001,MATCH(ROWS($W$2:W449),$W$2:$W$1001,0),MATCH(COLUMNS($AD$1006:AO1006),$AD$1006:$AU$1006,0)), HYPERLINK("#",""), HYPERLINK(CONCATENATE("#metadata!", ADDRESS(INDEX($Y$2:$Y$1001,MATCH(ROWS($W$2:W449),$W$2:$W$1001,0),0), INDEX($AD$1004:$AU$1004,1,MATCH(COLUMNS($AD$1006:AO1006),$AD$1006:$AU$1006,0)))),"Fix")))</f>
        <v xml:space="preserve"> </v>
      </c>
      <c r="N449" s="4" t="str">
        <f ca="1">IF(OR(INDEX($X$2:$X$1001,MATCH(ROWS($W$2:W449),$W$2:$W$1001,0),1)&gt;=100000,INDEX($AD$1005:$AU$1005,1,MATCH(COLUMNS($AD$1006:AP1006),$AD$1006:$AU$1006,0))&gt;=100000), " ",IF(INDEX($AD$2:$AU$1001,MATCH(ROWS($W$2:W449),$W$2:$W$1001,0),MATCH(COLUMNS($AD$1006:AP1006),$AD$1006:$AU$1006,0)), HYPERLINK("#",""), HYPERLINK(CONCATENATE("#metadata!", ADDRESS(INDEX($Y$2:$Y$1001,MATCH(ROWS($W$2:W449),$W$2:$W$1001,0),0), INDEX($AD$1004:$AU$1004,1,MATCH(COLUMNS($AD$1006:AP1006),$AD$1006:$AU$1006,0)))),"Fix")))</f>
        <v xml:space="preserve"> </v>
      </c>
      <c r="O449" s="4" t="str">
        <f ca="1">IF(OR(INDEX($X$2:$X$1001,MATCH(ROWS($W$2:W449),$W$2:$W$1001,0),1)&gt;=100000,INDEX($AD$1005:$AU$1005,1,MATCH(COLUMNS($AD$1006:AQ1006),$AD$1006:$AU$1006,0))&gt;=100000), " ",IF(INDEX($AD$2:$AU$1001,MATCH(ROWS($W$2:W449),$W$2:$W$1001,0),MATCH(COLUMNS($AD$1006:AQ1006),$AD$1006:$AU$1006,0)), HYPERLINK("#",""), HYPERLINK(CONCATENATE("#metadata!", ADDRESS(INDEX($Y$2:$Y$1001,MATCH(ROWS($W$2:W449),$W$2:$W$1001,0),0), INDEX($AD$1004:$AU$1004,1,MATCH(COLUMNS($AD$1006:AQ1006),$AD$1006:$AU$1006,0)))),"Fix")))</f>
        <v xml:space="preserve"> </v>
      </c>
      <c r="P449" s="4" t="str">
        <f ca="1">IF(OR(INDEX($X$2:$X$1001,MATCH(ROWS($W$2:W449),$W$2:$W$1001,0),1)&gt;=100000,INDEX($AD$1005:$AU$1005,1,MATCH(COLUMNS($AD$1006:AR1006),$AD$1006:$AU$1006,0))&gt;=100000), " ",IF(INDEX($AD$2:$AU$1001,MATCH(ROWS($W$2:W449),$W$2:$W$1001,0),MATCH(COLUMNS($AD$1006:AR1006),$AD$1006:$AU$1006,0)), HYPERLINK("#",""), HYPERLINK(CONCATENATE("#metadata!", ADDRESS(INDEX($Y$2:$Y$1001,MATCH(ROWS($W$2:W449),$W$2:$W$1001,0),0), INDEX($AD$1004:$AU$1004,1,MATCH(COLUMNS($AD$1006:AR1006),$AD$1006:$AU$1006,0)))),"Fix")))</f>
        <v xml:space="preserve"> </v>
      </c>
      <c r="Q449" s="4" t="str">
        <f ca="1">IF(OR(INDEX($X$2:$X$1001,MATCH(ROWS($W$2:W449),$W$2:$W$1001,0),1)&gt;=100000,INDEX($AD$1005:$AU$1005,1,MATCH(COLUMNS($AD$1006:AS1006),$AD$1006:$AU$1006,0))&gt;=100000), " ",IF(INDEX($AD$2:$AU$1001,MATCH(ROWS($W$2:W449),$W$2:$W$1001,0),MATCH(COLUMNS($AD$1006:AS1006),$AD$1006:$AU$1006,0)), HYPERLINK("#",""), HYPERLINK(CONCATENATE("#metadata!", ADDRESS(INDEX($Y$2:$Y$1001,MATCH(ROWS($W$2:W449),$W$2:$W$1001,0),0), INDEX($AD$1004:$AU$1004,1,MATCH(COLUMNS($AD$1006:AS1006),$AD$1006:$AU$1006,0)))),"Fix")))</f>
        <v xml:space="preserve"> </v>
      </c>
      <c r="R449" s="4" t="str">
        <f ca="1">IF(OR(INDEX($X$2:$X$1001,MATCH(ROWS($W$2:W449),$W$2:$W$1001,0),1)&gt;=100000,INDEX($AD$1005:$AU$1005,1,MATCH(COLUMNS($AD$1006:AT1006),$AD$1006:$AU$1006,0))&gt;=100000), " ",IF(INDEX($AD$2:$AU$1001,MATCH(ROWS($W$2:W449),$W$2:$W$1001,0),MATCH(COLUMNS($AD$1006:AT1006),$AD$1006:$AU$1006,0)), HYPERLINK("#",""), HYPERLINK(CONCATENATE("#metadata!", ADDRESS(INDEX($Y$2:$Y$1001,MATCH(ROWS($W$2:W449),$W$2:$W$1001,0),0), INDEX($AD$1004:$AU$1004,1,MATCH(COLUMNS($AD$1006:AT1006),$AD$1006:$AU$1006,0)))),"Fix")))</f>
        <v xml:space="preserve"> </v>
      </c>
      <c r="S449" s="4" t="str">
        <f ca="1">IF(OR(INDEX($X$2:$X$1001,MATCH(ROWS($W$2:W449),$W$2:$W$1001,0),1)&gt;=100000,INDEX($AD$1005:$AU$1005,1,MATCH(COLUMNS($AD$1006:AU1006),$AD$1006:$AU$1006,0))&gt;=100000), " ",IF(INDEX($AD$2:$AU$1001,MATCH(ROWS($W$2:W449),$W$2:$W$1001,0),MATCH(COLUMNS($AD$1006:AU1006),$AD$1006:$AU$1006,0)), HYPERLINK("#",""), HYPERLINK(CONCATENATE("#metadata!", ADDRESS(INDEX($Y$2:$Y$1001,MATCH(ROWS($W$2:W449),$W$2:$W$1001,0),0), INDEX($AD$1004:$AU$1004,1,MATCH(COLUMNS($AD$1006:AU1006),$AD$1006:$AU$1006,0)))),"Fix")))</f>
        <v xml:space="preserve"> </v>
      </c>
      <c r="W449">
        <v>448</v>
      </c>
      <c r="X449">
        <v>100449</v>
      </c>
      <c r="Y449">
        <v>449</v>
      </c>
      <c r="Z449" t="b">
        <f t="shared" si="6"/>
        <v>1</v>
      </c>
      <c r="AA449" t="b">
        <f>COUNTBLANK(metadata!B449:S449)=COLUMNS(metadata!B449:S449)</f>
        <v>1</v>
      </c>
      <c r="AB449" t="str">
        <v/>
      </c>
      <c r="AD449" t="b">
        <f ca="1">AND(IF(metadata!B449="",FALSE,TRUE),COUNTIF(metadata!B:B, metadata!B449) = 1,NOT(ISERROR(SUMPRODUCT(SEARCH(MID(metadata!B449,ROW(INDIRECT("1:"&amp;LEN(metadata!B449))), 1),"0123456789abcdefghijklmnopqrstuvwxyzABCDEFGHIJKLMNOPQRSTUVWXYZ.")))))</f>
        <v>0</v>
      </c>
      <c r="AE449" t="b">
        <f>OR(AND(IF(metadata!C449="",FALSE,TRUE),OR(EXACT(metadata!C449,"not applicable"),EXACT(metadata!C449,"missing: not collected"),EXACT(metadata!C449,"missing: not provided"),EXACT(metadata!C449,"missing: restricted access"))),AND(IF(metadata!C449="",FALSE,ISNUMBER(VALUE(metadata!C449))),metadata!C449&gt;0))</f>
        <v>0</v>
      </c>
      <c r="AF449" t="b">
        <f>AND(IF(metadata!D449="",FALSE,TRUE),EXACT(metadata!D449,"missing: not provided"))</f>
        <v>0</v>
      </c>
      <c r="AG449" t="b">
        <f>AND(IF(metadata!E449="",FALSE,TRUE),EXACT(metadata!E449,"Host-associated"))</f>
        <v>0</v>
      </c>
      <c r="AH449" t="b">
        <f>AND(IF(metadata!F449="",FALSE,TRUE),OR(EXACT(metadata!F449,"Animal"),EXACT(metadata!F449,"Fungus"),EXACT(metadata!F449,"Plant")))</f>
        <v>0</v>
      </c>
      <c r="AI449" t="b">
        <f>AND(IF(metadata!G449="",FALSE,TRUE),OR(EXACT(metadata!G449,"Plant secretion"),EXACT(metadata!G449,"Plant rhizosphere"),EXACT(metadata!G449,"Plant surface"),EXACT(metadata!G449,"Plant corpus"),EXACT(metadata!G449,"Fungus surface"),EXACT(metadata!G449,"Fungus corpus"),EXACT(metadata!G449,"Animal surface"),EXACT(metadata!G449,"Animal proximal gut"),EXACT(metadata!G449,"Animal corpus"),EXACT(metadata!G449,"Animal distal gut"),EXACT(metadata!G449,"Animal secretion")))</f>
        <v>0</v>
      </c>
      <c r="AJ449" t="b">
        <f>OR(AND(IF(metadata!H449="",FALSE,TRUE),OR(EXACT(metadata!H449,"missing: not collected"),EXACT(metadata!H449,"missing: not provided"),EXACT(metadata!H449,"missing: restricted access"))),AND(IF(metadata!H449="",FALSE,TRUE),OR(EXACT(metadata!H449,"organism-associated habitat"),EXACT(metadata!H449,"plant-associated habitat"),EXACT(metadata!H449,"animal-associated habitat"),EXACT(metadata!H449,"insecta-associated habitat"),EXACT(metadata!H449,"mammalia-associated habitat"),EXACT(metadata!H449,"human-associated habitat"),EXACT(metadata!H449,"livestock-associated habitat"))))</f>
        <v>0</v>
      </c>
      <c r="AK449" t="b">
        <f>AND(IF(metadata!I449="",FALSE,TRUE),EXACT(metadata!I449,"host-associated"))</f>
        <v>0</v>
      </c>
      <c r="AL449" t="b">
        <f>OR(AND(IF(metadata!J449="",FALSE,TRUE),OR(EXACT(metadata!J449,"not applicable"),EXACT(metadata!J449,"missing: not collected"),EXACT(metadata!J449,"missing: not provided"),EXACT(metadata!J449,"missing: restricted access"))),AND(IF(metadata!J449="",FALSE,ISNUMBER(VALUE(metadata!J449))),metadata!J449&gt;0))</f>
        <v>0</v>
      </c>
      <c r="AM449" t="b">
        <f>AND(IF(metadata!K449="",FALSE,TRUE),EXACT(metadata!K449,"missing: not provided"))</f>
        <v>0</v>
      </c>
      <c r="AN449" t="b">
        <f>IF(metadata!L449="",FALSE,TRUE)</f>
        <v>0</v>
      </c>
      <c r="AO449" t="b">
        <f>IF(metadata!M449="",FALSE,TRUE)</f>
        <v>0</v>
      </c>
      <c r="AP449" t="b">
        <f>OR(AND(IF(metadata!N449="",FALSE,TRUE),OR(EXACT(metadata!N449,"not applicable"),EXACT(metadata!N449,"missing: not collected"),EXACT(metadata!N449,"missing: not provided"))),AND(IF(metadata!N449="",FALSE,IF(ISERROR(INT(metadata!N449)),FALSE,INT(metadata!N449)=metadata!N449)),metadata!N449&gt;0))</f>
        <v>0</v>
      </c>
      <c r="AQ449" t="b">
        <f>AND(IF(metadata!O449="",FALSE,TRUE),EXACT(metadata!O449,"Not applicable"))</f>
        <v>0</v>
      </c>
      <c r="AR449" t="b">
        <f>OR(AND(IF(metadata!P449="",FALSE,TRUE),OR(EXACT(metadata!P449,"not applicable"),EXACT(metadata!P449,"missing: not collected"),EXACT(metadata!P449,"missing: not provided"),EXACT(metadata!P449,"missing: restricted access"))),IF(metadata!P449="",FALSE,IF(ISERROR(INT(metadata!P449)),FALSE,INT(metadata!P449)=metadata!P449)))</f>
        <v>0</v>
      </c>
      <c r="AS449" t="b">
        <f>AND(IF(metadata!Q449="",FALSE,TRUE),EXACT(metadata!Q449,"Not applicable"))</f>
        <v>0</v>
      </c>
      <c r="AT449" t="b">
        <f>OR(AND(IF(metadata!R449="",FALSE,TRUE),OR(EXACT(metadata!R449,"not applicable"),EXACT(metadata!R449,"missing: not collected"),EXACT(metadata!R449,"missing: not provided"),EXACT(metadata!R449,"missing: restricted access"))),AND(IF(metadata!R449="",FALSE,ISNUMBER(VALUE(metadata!R449))),metadata!R449&gt;0))</f>
        <v>0</v>
      </c>
      <c r="AU449" t="b">
        <f>AND(IF(metadata!S449="",FALSE,TRUE),EXACT(metadata!S449,"missing: not provided"))</f>
        <v>0</v>
      </c>
    </row>
    <row r="450" spans="1:47" x14ac:dyDescent="0.2">
      <c r="A450" s="5" t="str">
        <f ca="1">IF(B450=" "," ",HYPERLINK(CONCATENATE("#metadata!",ADDRESS(INDEX($Y$2:$Y$1001,MATCH(ROWS($W$2:W450),$W$2:$W$1001,0),0),1)),INDEX($AB$2:$AB$1001,MATCH(ROWS($W$2:W450),$W$2:$W$1001,0),0)))</f>
        <v xml:space="preserve"> </v>
      </c>
      <c r="B450" s="4" t="str">
        <f ca="1">IF(OR(INDEX($X$2:$X$1001,MATCH(ROWS($W$2:W450),$W$2:$W$1001,0),1)&gt;=100000,INDEX($AD$1005:$AU$1005,1,MATCH(COLUMNS($AD$1006:AD1006),$AD$1006:$AU$1006,0))&gt;=100000), " ",IF(INDEX($AD$2:$AU$1001,MATCH(ROWS($W$2:W450),$W$2:$W$1001,0),MATCH(COLUMNS($AD$1006:AD1006),$AD$1006:$AU$1006,0)), HYPERLINK("#",""), HYPERLINK(CONCATENATE("#metadata!", ADDRESS(INDEX($Y$2:$Y$1001,MATCH(ROWS($W$2:W450),$W$2:$W$1001,0),0), INDEX($AD$1004:$AU$1004,1,MATCH(COLUMNS($AD$1006:AD1006),$AD$1006:$AU$1006,0)))),"Fix")))</f>
        <v xml:space="preserve"> </v>
      </c>
      <c r="C450" s="4" t="str">
        <f ca="1">IF(OR(INDEX($X$2:$X$1001,MATCH(ROWS($W$2:W450),$W$2:$W$1001,0),1)&gt;=100000,INDEX($AD$1005:$AU$1005,1,MATCH(COLUMNS($AD$1006:AE1006),$AD$1006:$AU$1006,0))&gt;=100000), " ",IF(INDEX($AD$2:$AU$1001,MATCH(ROWS($W$2:W450),$W$2:$W$1001,0),MATCH(COLUMNS($AD$1006:AE1006),$AD$1006:$AU$1006,0)), HYPERLINK("#",""), HYPERLINK(CONCATENATE("#metadata!", ADDRESS(INDEX($Y$2:$Y$1001,MATCH(ROWS($W$2:W450),$W$2:$W$1001,0),0), INDEX($AD$1004:$AU$1004,1,MATCH(COLUMNS($AD$1006:AE1006),$AD$1006:$AU$1006,0)))),"Fix")))</f>
        <v xml:space="preserve"> </v>
      </c>
      <c r="D450" s="4" t="str">
        <f ca="1">IF(OR(INDEX($X$2:$X$1001,MATCH(ROWS($W$2:W450),$W$2:$W$1001,0),1)&gt;=100000,INDEX($AD$1005:$AU$1005,1,MATCH(COLUMNS($AD$1006:AF1006),$AD$1006:$AU$1006,0))&gt;=100000), " ",IF(INDEX($AD$2:$AU$1001,MATCH(ROWS($W$2:W450),$W$2:$W$1001,0),MATCH(COLUMNS($AD$1006:AF1006),$AD$1006:$AU$1006,0)), HYPERLINK("#",""), HYPERLINK(CONCATENATE("#metadata!", ADDRESS(INDEX($Y$2:$Y$1001,MATCH(ROWS($W$2:W450),$W$2:$W$1001,0),0), INDEX($AD$1004:$AU$1004,1,MATCH(COLUMNS($AD$1006:AF1006),$AD$1006:$AU$1006,0)))),"Fix")))</f>
        <v xml:space="preserve"> </v>
      </c>
      <c r="E450" s="4" t="str">
        <f ca="1">IF(OR(INDEX($X$2:$X$1001,MATCH(ROWS($W$2:W450),$W$2:$W$1001,0),1)&gt;=100000,INDEX($AD$1005:$AU$1005,1,MATCH(COLUMNS($AD$1006:AG1006),$AD$1006:$AU$1006,0))&gt;=100000), " ",IF(INDEX($AD$2:$AU$1001,MATCH(ROWS($W$2:W450),$W$2:$W$1001,0),MATCH(COLUMNS($AD$1006:AG1006),$AD$1006:$AU$1006,0)), HYPERLINK("#",""), HYPERLINK(CONCATENATE("#metadata!", ADDRESS(INDEX($Y$2:$Y$1001,MATCH(ROWS($W$2:W450),$W$2:$W$1001,0),0), INDEX($AD$1004:$AU$1004,1,MATCH(COLUMNS($AD$1006:AG1006),$AD$1006:$AU$1006,0)))),"Fix")))</f>
        <v xml:space="preserve"> </v>
      </c>
      <c r="F450" s="4" t="str">
        <f ca="1">IF(OR(INDEX($X$2:$X$1001,MATCH(ROWS($W$2:W450),$W$2:$W$1001,0),1)&gt;=100000,INDEX($AD$1005:$AU$1005,1,MATCH(COLUMNS($AD$1006:AH1006),$AD$1006:$AU$1006,0))&gt;=100000), " ",IF(INDEX($AD$2:$AU$1001,MATCH(ROWS($W$2:W450),$W$2:$W$1001,0),MATCH(COLUMNS($AD$1006:AH1006),$AD$1006:$AU$1006,0)), HYPERLINK("#",""), HYPERLINK(CONCATENATE("#metadata!", ADDRESS(INDEX($Y$2:$Y$1001,MATCH(ROWS($W$2:W450),$W$2:$W$1001,0),0), INDEX($AD$1004:$AU$1004,1,MATCH(COLUMNS($AD$1006:AH1006),$AD$1006:$AU$1006,0)))),"Fix")))</f>
        <v xml:space="preserve"> </v>
      </c>
      <c r="G450" s="4" t="str">
        <f ca="1">IF(OR(INDEX($X$2:$X$1001,MATCH(ROWS($W$2:W450),$W$2:$W$1001,0),1)&gt;=100000,INDEX($AD$1005:$AU$1005,1,MATCH(COLUMNS($AD$1006:AI1006),$AD$1006:$AU$1006,0))&gt;=100000), " ",IF(INDEX($AD$2:$AU$1001,MATCH(ROWS($W$2:W450),$W$2:$W$1001,0),MATCH(COLUMNS($AD$1006:AI1006),$AD$1006:$AU$1006,0)), HYPERLINK("#",""), HYPERLINK(CONCATENATE("#metadata!", ADDRESS(INDEX($Y$2:$Y$1001,MATCH(ROWS($W$2:W450),$W$2:$W$1001,0),0), INDEX($AD$1004:$AU$1004,1,MATCH(COLUMNS($AD$1006:AI1006),$AD$1006:$AU$1006,0)))),"Fix")))</f>
        <v xml:space="preserve"> </v>
      </c>
      <c r="H450" s="4" t="str">
        <f ca="1">IF(OR(INDEX($X$2:$X$1001,MATCH(ROWS($W$2:W450),$W$2:$W$1001,0),1)&gt;=100000,INDEX($AD$1005:$AU$1005,1,MATCH(COLUMNS($AD$1006:AJ1006),$AD$1006:$AU$1006,0))&gt;=100000), " ",IF(INDEX($AD$2:$AU$1001,MATCH(ROWS($W$2:W450),$W$2:$W$1001,0),MATCH(COLUMNS($AD$1006:AJ1006),$AD$1006:$AU$1006,0)), HYPERLINK("#",""), HYPERLINK(CONCATENATE("#metadata!", ADDRESS(INDEX($Y$2:$Y$1001,MATCH(ROWS($W$2:W450),$W$2:$W$1001,0),0), INDEX($AD$1004:$AU$1004,1,MATCH(COLUMNS($AD$1006:AJ1006),$AD$1006:$AU$1006,0)))),"Fix")))</f>
        <v xml:space="preserve"> </v>
      </c>
      <c r="I450" s="4" t="str">
        <f ca="1">IF(OR(INDEX($X$2:$X$1001,MATCH(ROWS($W$2:W450),$W$2:$W$1001,0),1)&gt;=100000,INDEX($AD$1005:$AU$1005,1,MATCH(COLUMNS($AD$1006:AK1006),$AD$1006:$AU$1006,0))&gt;=100000), " ",IF(INDEX($AD$2:$AU$1001,MATCH(ROWS($W$2:W450),$W$2:$W$1001,0),MATCH(COLUMNS($AD$1006:AK1006),$AD$1006:$AU$1006,0)), HYPERLINK("#",""), HYPERLINK(CONCATENATE("#metadata!", ADDRESS(INDEX($Y$2:$Y$1001,MATCH(ROWS($W$2:W450),$W$2:$W$1001,0),0), INDEX($AD$1004:$AU$1004,1,MATCH(COLUMNS($AD$1006:AK1006),$AD$1006:$AU$1006,0)))),"Fix")))</f>
        <v xml:space="preserve"> </v>
      </c>
      <c r="J450" s="4" t="str">
        <f ca="1">IF(OR(INDEX($X$2:$X$1001,MATCH(ROWS($W$2:W450),$W$2:$W$1001,0),1)&gt;=100000,INDEX($AD$1005:$AU$1005,1,MATCH(COLUMNS($AD$1006:AL1006),$AD$1006:$AU$1006,0))&gt;=100000), " ",IF(INDEX($AD$2:$AU$1001,MATCH(ROWS($W$2:W450),$W$2:$W$1001,0),MATCH(COLUMNS($AD$1006:AL1006),$AD$1006:$AU$1006,0)), HYPERLINK("#",""), HYPERLINK(CONCATENATE("#metadata!", ADDRESS(INDEX($Y$2:$Y$1001,MATCH(ROWS($W$2:W450),$W$2:$W$1001,0),0), INDEX($AD$1004:$AU$1004,1,MATCH(COLUMNS($AD$1006:AL1006),$AD$1006:$AU$1006,0)))),"Fix")))</f>
        <v xml:space="preserve"> </v>
      </c>
      <c r="K450" s="4" t="str">
        <f ca="1">IF(OR(INDEX($X$2:$X$1001,MATCH(ROWS($W$2:W450),$W$2:$W$1001,0),1)&gt;=100000,INDEX($AD$1005:$AU$1005,1,MATCH(COLUMNS($AD$1006:AM1006),$AD$1006:$AU$1006,0))&gt;=100000), " ",IF(INDEX($AD$2:$AU$1001,MATCH(ROWS($W$2:W450),$W$2:$W$1001,0),MATCH(COLUMNS($AD$1006:AM1006),$AD$1006:$AU$1006,0)), HYPERLINK("#",""), HYPERLINK(CONCATENATE("#metadata!", ADDRESS(INDEX($Y$2:$Y$1001,MATCH(ROWS($W$2:W450),$W$2:$W$1001,0),0), INDEX($AD$1004:$AU$1004,1,MATCH(COLUMNS($AD$1006:AM1006),$AD$1006:$AU$1006,0)))),"Fix")))</f>
        <v xml:space="preserve"> </v>
      </c>
      <c r="L450" s="4" t="str">
        <f ca="1">IF(OR(INDEX($X$2:$X$1001,MATCH(ROWS($W$2:W450),$W$2:$W$1001,0),1)&gt;=100000,INDEX($AD$1005:$AU$1005,1,MATCH(COLUMNS($AD$1006:AN1006),$AD$1006:$AU$1006,0))&gt;=100000), " ",IF(INDEX($AD$2:$AU$1001,MATCH(ROWS($W$2:W450),$W$2:$W$1001,0),MATCH(COLUMNS($AD$1006:AN1006),$AD$1006:$AU$1006,0)), HYPERLINK("#",""), HYPERLINK(CONCATENATE("#metadata!", ADDRESS(INDEX($Y$2:$Y$1001,MATCH(ROWS($W$2:W450),$W$2:$W$1001,0),0), INDEX($AD$1004:$AU$1004,1,MATCH(COLUMNS($AD$1006:AN1006),$AD$1006:$AU$1006,0)))),"Fix")))</f>
        <v xml:space="preserve"> </v>
      </c>
      <c r="M450" s="4" t="str">
        <f ca="1">IF(OR(INDEX($X$2:$X$1001,MATCH(ROWS($W$2:W450),$W$2:$W$1001,0),1)&gt;=100000,INDEX($AD$1005:$AU$1005,1,MATCH(COLUMNS($AD$1006:AO1006),$AD$1006:$AU$1006,0))&gt;=100000), " ",IF(INDEX($AD$2:$AU$1001,MATCH(ROWS($W$2:W450),$W$2:$W$1001,0),MATCH(COLUMNS($AD$1006:AO1006),$AD$1006:$AU$1006,0)), HYPERLINK("#",""), HYPERLINK(CONCATENATE("#metadata!", ADDRESS(INDEX($Y$2:$Y$1001,MATCH(ROWS($W$2:W450),$W$2:$W$1001,0),0), INDEX($AD$1004:$AU$1004,1,MATCH(COLUMNS($AD$1006:AO1006),$AD$1006:$AU$1006,0)))),"Fix")))</f>
        <v xml:space="preserve"> </v>
      </c>
      <c r="N450" s="4" t="str">
        <f ca="1">IF(OR(INDEX($X$2:$X$1001,MATCH(ROWS($W$2:W450),$W$2:$W$1001,0),1)&gt;=100000,INDEX($AD$1005:$AU$1005,1,MATCH(COLUMNS($AD$1006:AP1006),$AD$1006:$AU$1006,0))&gt;=100000), " ",IF(INDEX($AD$2:$AU$1001,MATCH(ROWS($W$2:W450),$W$2:$W$1001,0),MATCH(COLUMNS($AD$1006:AP1006),$AD$1006:$AU$1006,0)), HYPERLINK("#",""), HYPERLINK(CONCATENATE("#metadata!", ADDRESS(INDEX($Y$2:$Y$1001,MATCH(ROWS($W$2:W450),$W$2:$W$1001,0),0), INDEX($AD$1004:$AU$1004,1,MATCH(COLUMNS($AD$1006:AP1006),$AD$1006:$AU$1006,0)))),"Fix")))</f>
        <v xml:space="preserve"> </v>
      </c>
      <c r="O450" s="4" t="str">
        <f ca="1">IF(OR(INDEX($X$2:$X$1001,MATCH(ROWS($W$2:W450),$W$2:$W$1001,0),1)&gt;=100000,INDEX($AD$1005:$AU$1005,1,MATCH(COLUMNS($AD$1006:AQ1006),$AD$1006:$AU$1006,0))&gt;=100000), " ",IF(INDEX($AD$2:$AU$1001,MATCH(ROWS($W$2:W450),$W$2:$W$1001,0),MATCH(COLUMNS($AD$1006:AQ1006),$AD$1006:$AU$1006,0)), HYPERLINK("#",""), HYPERLINK(CONCATENATE("#metadata!", ADDRESS(INDEX($Y$2:$Y$1001,MATCH(ROWS($W$2:W450),$W$2:$W$1001,0),0), INDEX($AD$1004:$AU$1004,1,MATCH(COLUMNS($AD$1006:AQ1006),$AD$1006:$AU$1006,0)))),"Fix")))</f>
        <v xml:space="preserve"> </v>
      </c>
      <c r="P450" s="4" t="str">
        <f ca="1">IF(OR(INDEX($X$2:$X$1001,MATCH(ROWS($W$2:W450),$W$2:$W$1001,0),1)&gt;=100000,INDEX($AD$1005:$AU$1005,1,MATCH(COLUMNS($AD$1006:AR1006),$AD$1006:$AU$1006,0))&gt;=100000), " ",IF(INDEX($AD$2:$AU$1001,MATCH(ROWS($W$2:W450),$W$2:$W$1001,0),MATCH(COLUMNS($AD$1006:AR1006),$AD$1006:$AU$1006,0)), HYPERLINK("#",""), HYPERLINK(CONCATENATE("#metadata!", ADDRESS(INDEX($Y$2:$Y$1001,MATCH(ROWS($W$2:W450),$W$2:$W$1001,0),0), INDEX($AD$1004:$AU$1004,1,MATCH(COLUMNS($AD$1006:AR1006),$AD$1006:$AU$1006,0)))),"Fix")))</f>
        <v xml:space="preserve"> </v>
      </c>
      <c r="Q450" s="4" t="str">
        <f ca="1">IF(OR(INDEX($X$2:$X$1001,MATCH(ROWS($W$2:W450),$W$2:$W$1001,0),1)&gt;=100000,INDEX($AD$1005:$AU$1005,1,MATCH(COLUMNS($AD$1006:AS1006),$AD$1006:$AU$1006,0))&gt;=100000), " ",IF(INDEX($AD$2:$AU$1001,MATCH(ROWS($W$2:W450),$W$2:$W$1001,0),MATCH(COLUMNS($AD$1006:AS1006),$AD$1006:$AU$1006,0)), HYPERLINK("#",""), HYPERLINK(CONCATENATE("#metadata!", ADDRESS(INDEX($Y$2:$Y$1001,MATCH(ROWS($W$2:W450),$W$2:$W$1001,0),0), INDEX($AD$1004:$AU$1004,1,MATCH(COLUMNS($AD$1006:AS1006),$AD$1006:$AU$1006,0)))),"Fix")))</f>
        <v xml:space="preserve"> </v>
      </c>
      <c r="R450" s="4" t="str">
        <f ca="1">IF(OR(INDEX($X$2:$X$1001,MATCH(ROWS($W$2:W450),$W$2:$W$1001,0),1)&gt;=100000,INDEX($AD$1005:$AU$1005,1,MATCH(COLUMNS($AD$1006:AT1006),$AD$1006:$AU$1006,0))&gt;=100000), " ",IF(INDEX($AD$2:$AU$1001,MATCH(ROWS($W$2:W450),$W$2:$W$1001,0),MATCH(COLUMNS($AD$1006:AT1006),$AD$1006:$AU$1006,0)), HYPERLINK("#",""), HYPERLINK(CONCATENATE("#metadata!", ADDRESS(INDEX($Y$2:$Y$1001,MATCH(ROWS($W$2:W450),$W$2:$W$1001,0),0), INDEX($AD$1004:$AU$1004,1,MATCH(COLUMNS($AD$1006:AT1006),$AD$1006:$AU$1006,0)))),"Fix")))</f>
        <v xml:space="preserve"> </v>
      </c>
      <c r="S450" s="4" t="str">
        <f ca="1">IF(OR(INDEX($X$2:$X$1001,MATCH(ROWS($W$2:W450),$W$2:$W$1001,0),1)&gt;=100000,INDEX($AD$1005:$AU$1005,1,MATCH(COLUMNS($AD$1006:AU1006),$AD$1006:$AU$1006,0))&gt;=100000), " ",IF(INDEX($AD$2:$AU$1001,MATCH(ROWS($W$2:W450),$W$2:$W$1001,0),MATCH(COLUMNS($AD$1006:AU1006),$AD$1006:$AU$1006,0)), HYPERLINK("#",""), HYPERLINK(CONCATENATE("#metadata!", ADDRESS(INDEX($Y$2:$Y$1001,MATCH(ROWS($W$2:W450),$W$2:$W$1001,0),0), INDEX($AD$1004:$AU$1004,1,MATCH(COLUMNS($AD$1006:AU1006),$AD$1006:$AU$1006,0)))),"Fix")))</f>
        <v xml:space="preserve"> </v>
      </c>
      <c r="W450">
        <v>449</v>
      </c>
      <c r="X450">
        <v>100450</v>
      </c>
      <c r="Y450">
        <v>450</v>
      </c>
      <c r="Z450" t="b">
        <f t="shared" ref="Z450:Z513" si="7">IF(AA450,TRUE,AND(AD450:AU450))</f>
        <v>1</v>
      </c>
      <c r="AA450" t="b">
        <f>COUNTBLANK(metadata!B450:S450)=COLUMNS(metadata!B450:S450)</f>
        <v>1</v>
      </c>
      <c r="AB450" t="str">
        <v/>
      </c>
      <c r="AD450" t="b">
        <f ca="1">AND(IF(metadata!B450="",FALSE,TRUE),COUNTIF(metadata!B:B, metadata!B450) = 1,NOT(ISERROR(SUMPRODUCT(SEARCH(MID(metadata!B450,ROW(INDIRECT("1:"&amp;LEN(metadata!B450))), 1),"0123456789abcdefghijklmnopqrstuvwxyzABCDEFGHIJKLMNOPQRSTUVWXYZ.")))))</f>
        <v>0</v>
      </c>
      <c r="AE450" t="b">
        <f>OR(AND(IF(metadata!C450="",FALSE,TRUE),OR(EXACT(metadata!C450,"not applicable"),EXACT(metadata!C450,"missing: not collected"),EXACT(metadata!C450,"missing: not provided"),EXACT(metadata!C450,"missing: restricted access"))),AND(IF(metadata!C450="",FALSE,ISNUMBER(VALUE(metadata!C450))),metadata!C450&gt;0))</f>
        <v>0</v>
      </c>
      <c r="AF450" t="b">
        <f>AND(IF(metadata!D450="",FALSE,TRUE),EXACT(metadata!D450,"missing: not provided"))</f>
        <v>0</v>
      </c>
      <c r="AG450" t="b">
        <f>AND(IF(metadata!E450="",FALSE,TRUE),EXACT(metadata!E450,"Host-associated"))</f>
        <v>0</v>
      </c>
      <c r="AH450" t="b">
        <f>AND(IF(metadata!F450="",FALSE,TRUE),OR(EXACT(metadata!F450,"Animal"),EXACT(metadata!F450,"Fungus"),EXACT(metadata!F450,"Plant")))</f>
        <v>0</v>
      </c>
      <c r="AI450" t="b">
        <f>AND(IF(metadata!G450="",FALSE,TRUE),OR(EXACT(metadata!G450,"Plant secretion"),EXACT(metadata!G450,"Plant rhizosphere"),EXACT(metadata!G450,"Plant surface"),EXACT(metadata!G450,"Plant corpus"),EXACT(metadata!G450,"Fungus surface"),EXACT(metadata!G450,"Fungus corpus"),EXACT(metadata!G450,"Animal surface"),EXACT(metadata!G450,"Animal proximal gut"),EXACT(metadata!G450,"Animal corpus"),EXACT(metadata!G450,"Animal distal gut"),EXACT(metadata!G450,"Animal secretion")))</f>
        <v>0</v>
      </c>
      <c r="AJ450" t="b">
        <f>OR(AND(IF(metadata!H450="",FALSE,TRUE),OR(EXACT(metadata!H450,"missing: not collected"),EXACT(metadata!H450,"missing: not provided"),EXACT(metadata!H450,"missing: restricted access"))),AND(IF(metadata!H450="",FALSE,TRUE),OR(EXACT(metadata!H450,"organism-associated habitat"),EXACT(metadata!H450,"plant-associated habitat"),EXACT(metadata!H450,"animal-associated habitat"),EXACT(metadata!H450,"insecta-associated habitat"),EXACT(metadata!H450,"mammalia-associated habitat"),EXACT(metadata!H450,"human-associated habitat"),EXACT(metadata!H450,"livestock-associated habitat"))))</f>
        <v>0</v>
      </c>
      <c r="AK450" t="b">
        <f>AND(IF(metadata!I450="",FALSE,TRUE),EXACT(metadata!I450,"host-associated"))</f>
        <v>0</v>
      </c>
      <c r="AL450" t="b">
        <f>OR(AND(IF(metadata!J450="",FALSE,TRUE),OR(EXACT(metadata!J450,"not applicable"),EXACT(metadata!J450,"missing: not collected"),EXACT(metadata!J450,"missing: not provided"),EXACT(metadata!J450,"missing: restricted access"))),AND(IF(metadata!J450="",FALSE,ISNUMBER(VALUE(metadata!J450))),metadata!J450&gt;0))</f>
        <v>0</v>
      </c>
      <c r="AM450" t="b">
        <f>AND(IF(metadata!K450="",FALSE,TRUE),EXACT(metadata!K450,"missing: not provided"))</f>
        <v>0</v>
      </c>
      <c r="AN450" t="b">
        <f>IF(metadata!L450="",FALSE,TRUE)</f>
        <v>0</v>
      </c>
      <c r="AO450" t="b">
        <f>IF(metadata!M450="",FALSE,TRUE)</f>
        <v>0</v>
      </c>
      <c r="AP450" t="b">
        <f>OR(AND(IF(metadata!N450="",FALSE,TRUE),OR(EXACT(metadata!N450,"not applicable"),EXACT(metadata!N450,"missing: not collected"),EXACT(metadata!N450,"missing: not provided"))),AND(IF(metadata!N450="",FALSE,IF(ISERROR(INT(metadata!N450)),FALSE,INT(metadata!N450)=metadata!N450)),metadata!N450&gt;0))</f>
        <v>0</v>
      </c>
      <c r="AQ450" t="b">
        <f>AND(IF(metadata!O450="",FALSE,TRUE),EXACT(metadata!O450,"Not applicable"))</f>
        <v>0</v>
      </c>
      <c r="AR450" t="b">
        <f>OR(AND(IF(metadata!P450="",FALSE,TRUE),OR(EXACT(metadata!P450,"not applicable"),EXACT(metadata!P450,"missing: not collected"),EXACT(metadata!P450,"missing: not provided"),EXACT(metadata!P450,"missing: restricted access"))),IF(metadata!P450="",FALSE,IF(ISERROR(INT(metadata!P450)),FALSE,INT(metadata!P450)=metadata!P450)))</f>
        <v>0</v>
      </c>
      <c r="AS450" t="b">
        <f>AND(IF(metadata!Q450="",FALSE,TRUE),EXACT(metadata!Q450,"Not applicable"))</f>
        <v>0</v>
      </c>
      <c r="AT450" t="b">
        <f>OR(AND(IF(metadata!R450="",FALSE,TRUE),OR(EXACT(metadata!R450,"not applicable"),EXACT(metadata!R450,"missing: not collected"),EXACT(metadata!R450,"missing: not provided"),EXACT(metadata!R450,"missing: restricted access"))),AND(IF(metadata!R450="",FALSE,ISNUMBER(VALUE(metadata!R450))),metadata!R450&gt;0))</f>
        <v>0</v>
      </c>
      <c r="AU450" t="b">
        <f>AND(IF(metadata!S450="",FALSE,TRUE),EXACT(metadata!S450,"missing: not provided"))</f>
        <v>0</v>
      </c>
    </row>
    <row r="451" spans="1:47" x14ac:dyDescent="0.2">
      <c r="A451" s="5" t="str">
        <f ca="1">IF(B451=" "," ",HYPERLINK(CONCATENATE("#metadata!",ADDRESS(INDEX($Y$2:$Y$1001,MATCH(ROWS($W$2:W451),$W$2:$W$1001,0),0),1)),INDEX($AB$2:$AB$1001,MATCH(ROWS($W$2:W451),$W$2:$W$1001,0),0)))</f>
        <v xml:space="preserve"> </v>
      </c>
      <c r="B451" s="4" t="str">
        <f ca="1">IF(OR(INDEX($X$2:$X$1001,MATCH(ROWS($W$2:W451),$W$2:$W$1001,0),1)&gt;=100000,INDEX($AD$1005:$AU$1005,1,MATCH(COLUMNS($AD$1006:AD1006),$AD$1006:$AU$1006,0))&gt;=100000), " ",IF(INDEX($AD$2:$AU$1001,MATCH(ROWS($W$2:W451),$W$2:$W$1001,0),MATCH(COLUMNS($AD$1006:AD1006),$AD$1006:$AU$1006,0)), HYPERLINK("#",""), HYPERLINK(CONCATENATE("#metadata!", ADDRESS(INDEX($Y$2:$Y$1001,MATCH(ROWS($W$2:W451),$W$2:$W$1001,0),0), INDEX($AD$1004:$AU$1004,1,MATCH(COLUMNS($AD$1006:AD1006),$AD$1006:$AU$1006,0)))),"Fix")))</f>
        <v xml:space="preserve"> </v>
      </c>
      <c r="C451" s="4" t="str">
        <f ca="1">IF(OR(INDEX($X$2:$X$1001,MATCH(ROWS($W$2:W451),$W$2:$W$1001,0),1)&gt;=100000,INDEX($AD$1005:$AU$1005,1,MATCH(COLUMNS($AD$1006:AE1006),$AD$1006:$AU$1006,0))&gt;=100000), " ",IF(INDEX($AD$2:$AU$1001,MATCH(ROWS($W$2:W451),$W$2:$W$1001,0),MATCH(COLUMNS($AD$1006:AE1006),$AD$1006:$AU$1006,0)), HYPERLINK("#",""), HYPERLINK(CONCATENATE("#metadata!", ADDRESS(INDEX($Y$2:$Y$1001,MATCH(ROWS($W$2:W451),$W$2:$W$1001,0),0), INDEX($AD$1004:$AU$1004,1,MATCH(COLUMNS($AD$1006:AE1006),$AD$1006:$AU$1006,0)))),"Fix")))</f>
        <v xml:space="preserve"> </v>
      </c>
      <c r="D451" s="4" t="str">
        <f ca="1">IF(OR(INDEX($X$2:$X$1001,MATCH(ROWS($W$2:W451),$W$2:$W$1001,0),1)&gt;=100000,INDEX($AD$1005:$AU$1005,1,MATCH(COLUMNS($AD$1006:AF1006),$AD$1006:$AU$1006,0))&gt;=100000), " ",IF(INDEX($AD$2:$AU$1001,MATCH(ROWS($W$2:W451),$W$2:$W$1001,0),MATCH(COLUMNS($AD$1006:AF1006),$AD$1006:$AU$1006,0)), HYPERLINK("#",""), HYPERLINK(CONCATENATE("#metadata!", ADDRESS(INDEX($Y$2:$Y$1001,MATCH(ROWS($W$2:W451),$W$2:$W$1001,0),0), INDEX($AD$1004:$AU$1004,1,MATCH(COLUMNS($AD$1006:AF1006),$AD$1006:$AU$1006,0)))),"Fix")))</f>
        <v xml:space="preserve"> </v>
      </c>
      <c r="E451" s="4" t="str">
        <f ca="1">IF(OR(INDEX($X$2:$X$1001,MATCH(ROWS($W$2:W451),$W$2:$W$1001,0),1)&gt;=100000,INDEX($AD$1005:$AU$1005,1,MATCH(COLUMNS($AD$1006:AG1006),$AD$1006:$AU$1006,0))&gt;=100000), " ",IF(INDEX($AD$2:$AU$1001,MATCH(ROWS($W$2:W451),$W$2:$W$1001,0),MATCH(COLUMNS($AD$1006:AG1006),$AD$1006:$AU$1006,0)), HYPERLINK("#",""), HYPERLINK(CONCATENATE("#metadata!", ADDRESS(INDEX($Y$2:$Y$1001,MATCH(ROWS($W$2:W451),$W$2:$W$1001,0),0), INDEX($AD$1004:$AU$1004,1,MATCH(COLUMNS($AD$1006:AG1006),$AD$1006:$AU$1006,0)))),"Fix")))</f>
        <v xml:space="preserve"> </v>
      </c>
      <c r="F451" s="4" t="str">
        <f ca="1">IF(OR(INDEX($X$2:$X$1001,MATCH(ROWS($W$2:W451),$W$2:$W$1001,0),1)&gt;=100000,INDEX($AD$1005:$AU$1005,1,MATCH(COLUMNS($AD$1006:AH1006),$AD$1006:$AU$1006,0))&gt;=100000), " ",IF(INDEX($AD$2:$AU$1001,MATCH(ROWS($W$2:W451),$W$2:$W$1001,0),MATCH(COLUMNS($AD$1006:AH1006),$AD$1006:$AU$1006,0)), HYPERLINK("#",""), HYPERLINK(CONCATENATE("#metadata!", ADDRESS(INDEX($Y$2:$Y$1001,MATCH(ROWS($W$2:W451),$W$2:$W$1001,0),0), INDEX($AD$1004:$AU$1004,1,MATCH(COLUMNS($AD$1006:AH1006),$AD$1006:$AU$1006,0)))),"Fix")))</f>
        <v xml:space="preserve"> </v>
      </c>
      <c r="G451" s="4" t="str">
        <f ca="1">IF(OR(INDEX($X$2:$X$1001,MATCH(ROWS($W$2:W451),$W$2:$W$1001,0),1)&gt;=100000,INDEX($AD$1005:$AU$1005,1,MATCH(COLUMNS($AD$1006:AI1006),$AD$1006:$AU$1006,0))&gt;=100000), " ",IF(INDEX($AD$2:$AU$1001,MATCH(ROWS($W$2:W451),$W$2:$W$1001,0),MATCH(COLUMNS($AD$1006:AI1006),$AD$1006:$AU$1006,0)), HYPERLINK("#",""), HYPERLINK(CONCATENATE("#metadata!", ADDRESS(INDEX($Y$2:$Y$1001,MATCH(ROWS($W$2:W451),$W$2:$W$1001,0),0), INDEX($AD$1004:$AU$1004,1,MATCH(COLUMNS($AD$1006:AI1006),$AD$1006:$AU$1006,0)))),"Fix")))</f>
        <v xml:space="preserve"> </v>
      </c>
      <c r="H451" s="4" t="str">
        <f ca="1">IF(OR(INDEX($X$2:$X$1001,MATCH(ROWS($W$2:W451),$W$2:$W$1001,0),1)&gt;=100000,INDEX($AD$1005:$AU$1005,1,MATCH(COLUMNS($AD$1006:AJ1006),$AD$1006:$AU$1006,0))&gt;=100000), " ",IF(INDEX($AD$2:$AU$1001,MATCH(ROWS($W$2:W451),$W$2:$W$1001,0),MATCH(COLUMNS($AD$1006:AJ1006),$AD$1006:$AU$1006,0)), HYPERLINK("#",""), HYPERLINK(CONCATENATE("#metadata!", ADDRESS(INDEX($Y$2:$Y$1001,MATCH(ROWS($W$2:W451),$W$2:$W$1001,0),0), INDEX($AD$1004:$AU$1004,1,MATCH(COLUMNS($AD$1006:AJ1006),$AD$1006:$AU$1006,0)))),"Fix")))</f>
        <v xml:space="preserve"> </v>
      </c>
      <c r="I451" s="4" t="str">
        <f ca="1">IF(OR(INDEX($X$2:$X$1001,MATCH(ROWS($W$2:W451),$W$2:$W$1001,0),1)&gt;=100000,INDEX($AD$1005:$AU$1005,1,MATCH(COLUMNS($AD$1006:AK1006),$AD$1006:$AU$1006,0))&gt;=100000), " ",IF(INDEX($AD$2:$AU$1001,MATCH(ROWS($W$2:W451),$W$2:$W$1001,0),MATCH(COLUMNS($AD$1006:AK1006),$AD$1006:$AU$1006,0)), HYPERLINK("#",""), HYPERLINK(CONCATENATE("#metadata!", ADDRESS(INDEX($Y$2:$Y$1001,MATCH(ROWS($W$2:W451),$W$2:$W$1001,0),0), INDEX($AD$1004:$AU$1004,1,MATCH(COLUMNS($AD$1006:AK1006),$AD$1006:$AU$1006,0)))),"Fix")))</f>
        <v xml:space="preserve"> </v>
      </c>
      <c r="J451" s="4" t="str">
        <f ca="1">IF(OR(INDEX($X$2:$X$1001,MATCH(ROWS($W$2:W451),$W$2:$W$1001,0),1)&gt;=100000,INDEX($AD$1005:$AU$1005,1,MATCH(COLUMNS($AD$1006:AL1006),$AD$1006:$AU$1006,0))&gt;=100000), " ",IF(INDEX($AD$2:$AU$1001,MATCH(ROWS($W$2:W451),$W$2:$W$1001,0),MATCH(COLUMNS($AD$1006:AL1006),$AD$1006:$AU$1006,0)), HYPERLINK("#",""), HYPERLINK(CONCATENATE("#metadata!", ADDRESS(INDEX($Y$2:$Y$1001,MATCH(ROWS($W$2:W451),$W$2:$W$1001,0),0), INDEX($AD$1004:$AU$1004,1,MATCH(COLUMNS($AD$1006:AL1006),$AD$1006:$AU$1006,0)))),"Fix")))</f>
        <v xml:space="preserve"> </v>
      </c>
      <c r="K451" s="4" t="str">
        <f ca="1">IF(OR(INDEX($X$2:$X$1001,MATCH(ROWS($W$2:W451),$W$2:$W$1001,0),1)&gt;=100000,INDEX($AD$1005:$AU$1005,1,MATCH(COLUMNS($AD$1006:AM1006),$AD$1006:$AU$1006,0))&gt;=100000), " ",IF(INDEX($AD$2:$AU$1001,MATCH(ROWS($W$2:W451),$W$2:$W$1001,0),MATCH(COLUMNS($AD$1006:AM1006),$AD$1006:$AU$1006,0)), HYPERLINK("#",""), HYPERLINK(CONCATENATE("#metadata!", ADDRESS(INDEX($Y$2:$Y$1001,MATCH(ROWS($W$2:W451),$W$2:$W$1001,0),0), INDEX($AD$1004:$AU$1004,1,MATCH(COLUMNS($AD$1006:AM1006),$AD$1006:$AU$1006,0)))),"Fix")))</f>
        <v xml:space="preserve"> </v>
      </c>
      <c r="L451" s="4" t="str">
        <f ca="1">IF(OR(INDEX($X$2:$X$1001,MATCH(ROWS($W$2:W451),$W$2:$W$1001,0),1)&gt;=100000,INDEX($AD$1005:$AU$1005,1,MATCH(COLUMNS($AD$1006:AN1006),$AD$1006:$AU$1006,0))&gt;=100000), " ",IF(INDEX($AD$2:$AU$1001,MATCH(ROWS($W$2:W451),$W$2:$W$1001,0),MATCH(COLUMNS($AD$1006:AN1006),$AD$1006:$AU$1006,0)), HYPERLINK("#",""), HYPERLINK(CONCATENATE("#metadata!", ADDRESS(INDEX($Y$2:$Y$1001,MATCH(ROWS($W$2:W451),$W$2:$W$1001,0),0), INDEX($AD$1004:$AU$1004,1,MATCH(COLUMNS($AD$1006:AN1006),$AD$1006:$AU$1006,0)))),"Fix")))</f>
        <v xml:space="preserve"> </v>
      </c>
      <c r="M451" s="4" t="str">
        <f ca="1">IF(OR(INDEX($X$2:$X$1001,MATCH(ROWS($W$2:W451),$W$2:$W$1001,0),1)&gt;=100000,INDEX($AD$1005:$AU$1005,1,MATCH(COLUMNS($AD$1006:AO1006),$AD$1006:$AU$1006,0))&gt;=100000), " ",IF(INDEX($AD$2:$AU$1001,MATCH(ROWS($W$2:W451),$W$2:$W$1001,0),MATCH(COLUMNS($AD$1006:AO1006),$AD$1006:$AU$1006,0)), HYPERLINK("#",""), HYPERLINK(CONCATENATE("#metadata!", ADDRESS(INDEX($Y$2:$Y$1001,MATCH(ROWS($W$2:W451),$W$2:$W$1001,0),0), INDEX($AD$1004:$AU$1004,1,MATCH(COLUMNS($AD$1006:AO1006),$AD$1006:$AU$1006,0)))),"Fix")))</f>
        <v xml:space="preserve"> </v>
      </c>
      <c r="N451" s="4" t="str">
        <f ca="1">IF(OR(INDEX($X$2:$X$1001,MATCH(ROWS($W$2:W451),$W$2:$W$1001,0),1)&gt;=100000,INDEX($AD$1005:$AU$1005,1,MATCH(COLUMNS($AD$1006:AP1006),$AD$1006:$AU$1006,0))&gt;=100000), " ",IF(INDEX($AD$2:$AU$1001,MATCH(ROWS($W$2:W451),$W$2:$W$1001,0),MATCH(COLUMNS($AD$1006:AP1006),$AD$1006:$AU$1006,0)), HYPERLINK("#",""), HYPERLINK(CONCATENATE("#metadata!", ADDRESS(INDEX($Y$2:$Y$1001,MATCH(ROWS($W$2:W451),$W$2:$W$1001,0),0), INDEX($AD$1004:$AU$1004,1,MATCH(COLUMNS($AD$1006:AP1006),$AD$1006:$AU$1006,0)))),"Fix")))</f>
        <v xml:space="preserve"> </v>
      </c>
      <c r="O451" s="4" t="str">
        <f ca="1">IF(OR(INDEX($X$2:$X$1001,MATCH(ROWS($W$2:W451),$W$2:$W$1001,0),1)&gt;=100000,INDEX($AD$1005:$AU$1005,1,MATCH(COLUMNS($AD$1006:AQ1006),$AD$1006:$AU$1006,0))&gt;=100000), " ",IF(INDEX($AD$2:$AU$1001,MATCH(ROWS($W$2:W451),$W$2:$W$1001,0),MATCH(COLUMNS($AD$1006:AQ1006),$AD$1006:$AU$1006,0)), HYPERLINK("#",""), HYPERLINK(CONCATENATE("#metadata!", ADDRESS(INDEX($Y$2:$Y$1001,MATCH(ROWS($W$2:W451),$W$2:$W$1001,0),0), INDEX($AD$1004:$AU$1004,1,MATCH(COLUMNS($AD$1006:AQ1006),$AD$1006:$AU$1006,0)))),"Fix")))</f>
        <v xml:space="preserve"> </v>
      </c>
      <c r="P451" s="4" t="str">
        <f ca="1">IF(OR(INDEX($X$2:$X$1001,MATCH(ROWS($W$2:W451),$W$2:$W$1001,0),1)&gt;=100000,INDEX($AD$1005:$AU$1005,1,MATCH(COLUMNS($AD$1006:AR1006),$AD$1006:$AU$1006,0))&gt;=100000), " ",IF(INDEX($AD$2:$AU$1001,MATCH(ROWS($W$2:W451),$W$2:$W$1001,0),MATCH(COLUMNS($AD$1006:AR1006),$AD$1006:$AU$1006,0)), HYPERLINK("#",""), HYPERLINK(CONCATENATE("#metadata!", ADDRESS(INDEX($Y$2:$Y$1001,MATCH(ROWS($W$2:W451),$W$2:$W$1001,0),0), INDEX($AD$1004:$AU$1004,1,MATCH(COLUMNS($AD$1006:AR1006),$AD$1006:$AU$1006,0)))),"Fix")))</f>
        <v xml:space="preserve"> </v>
      </c>
      <c r="Q451" s="4" t="str">
        <f ca="1">IF(OR(INDEX($X$2:$X$1001,MATCH(ROWS($W$2:W451),$W$2:$W$1001,0),1)&gt;=100000,INDEX($AD$1005:$AU$1005,1,MATCH(COLUMNS($AD$1006:AS1006),$AD$1006:$AU$1006,0))&gt;=100000), " ",IF(INDEX($AD$2:$AU$1001,MATCH(ROWS($W$2:W451),$W$2:$W$1001,0),MATCH(COLUMNS($AD$1006:AS1006),$AD$1006:$AU$1006,0)), HYPERLINK("#",""), HYPERLINK(CONCATENATE("#metadata!", ADDRESS(INDEX($Y$2:$Y$1001,MATCH(ROWS($W$2:W451),$W$2:$W$1001,0),0), INDEX($AD$1004:$AU$1004,1,MATCH(COLUMNS($AD$1006:AS1006),$AD$1006:$AU$1006,0)))),"Fix")))</f>
        <v xml:space="preserve"> </v>
      </c>
      <c r="R451" s="4" t="str">
        <f ca="1">IF(OR(INDEX($X$2:$X$1001,MATCH(ROWS($W$2:W451),$W$2:$W$1001,0),1)&gt;=100000,INDEX($AD$1005:$AU$1005,1,MATCH(COLUMNS($AD$1006:AT1006),$AD$1006:$AU$1006,0))&gt;=100000), " ",IF(INDEX($AD$2:$AU$1001,MATCH(ROWS($W$2:W451),$W$2:$W$1001,0),MATCH(COLUMNS($AD$1006:AT1006),$AD$1006:$AU$1006,0)), HYPERLINK("#",""), HYPERLINK(CONCATENATE("#metadata!", ADDRESS(INDEX($Y$2:$Y$1001,MATCH(ROWS($W$2:W451),$W$2:$W$1001,0),0), INDEX($AD$1004:$AU$1004,1,MATCH(COLUMNS($AD$1006:AT1006),$AD$1006:$AU$1006,0)))),"Fix")))</f>
        <v xml:space="preserve"> </v>
      </c>
      <c r="S451" s="4" t="str">
        <f ca="1">IF(OR(INDEX($X$2:$X$1001,MATCH(ROWS($W$2:W451),$W$2:$W$1001,0),1)&gt;=100000,INDEX($AD$1005:$AU$1005,1,MATCH(COLUMNS($AD$1006:AU1006),$AD$1006:$AU$1006,0))&gt;=100000), " ",IF(INDEX($AD$2:$AU$1001,MATCH(ROWS($W$2:W451),$W$2:$W$1001,0),MATCH(COLUMNS($AD$1006:AU1006),$AD$1006:$AU$1006,0)), HYPERLINK("#",""), HYPERLINK(CONCATENATE("#metadata!", ADDRESS(INDEX($Y$2:$Y$1001,MATCH(ROWS($W$2:W451),$W$2:$W$1001,0),0), INDEX($AD$1004:$AU$1004,1,MATCH(COLUMNS($AD$1006:AU1006),$AD$1006:$AU$1006,0)))),"Fix")))</f>
        <v xml:space="preserve"> </v>
      </c>
      <c r="W451">
        <v>450</v>
      </c>
      <c r="X451">
        <v>100451</v>
      </c>
      <c r="Y451">
        <v>451</v>
      </c>
      <c r="Z451" t="b">
        <f t="shared" si="7"/>
        <v>1</v>
      </c>
      <c r="AA451" t="b">
        <f>COUNTBLANK(metadata!B451:S451)=COLUMNS(metadata!B451:S451)</f>
        <v>1</v>
      </c>
      <c r="AB451" t="str">
        <v/>
      </c>
      <c r="AD451" t="b">
        <f ca="1">AND(IF(metadata!B451="",FALSE,TRUE),COUNTIF(metadata!B:B, metadata!B451) = 1,NOT(ISERROR(SUMPRODUCT(SEARCH(MID(metadata!B451,ROW(INDIRECT("1:"&amp;LEN(metadata!B451))), 1),"0123456789abcdefghijklmnopqrstuvwxyzABCDEFGHIJKLMNOPQRSTUVWXYZ.")))))</f>
        <v>0</v>
      </c>
      <c r="AE451" t="b">
        <f>OR(AND(IF(metadata!C451="",FALSE,TRUE),OR(EXACT(metadata!C451,"not applicable"),EXACT(metadata!C451,"missing: not collected"),EXACT(metadata!C451,"missing: not provided"),EXACT(metadata!C451,"missing: restricted access"))),AND(IF(metadata!C451="",FALSE,ISNUMBER(VALUE(metadata!C451))),metadata!C451&gt;0))</f>
        <v>0</v>
      </c>
      <c r="AF451" t="b">
        <f>AND(IF(metadata!D451="",FALSE,TRUE),EXACT(metadata!D451,"missing: not provided"))</f>
        <v>0</v>
      </c>
      <c r="AG451" t="b">
        <f>AND(IF(metadata!E451="",FALSE,TRUE),EXACT(metadata!E451,"Host-associated"))</f>
        <v>0</v>
      </c>
      <c r="AH451" t="b">
        <f>AND(IF(metadata!F451="",FALSE,TRUE),OR(EXACT(metadata!F451,"Animal"),EXACT(metadata!F451,"Fungus"),EXACT(metadata!F451,"Plant")))</f>
        <v>0</v>
      </c>
      <c r="AI451" t="b">
        <f>AND(IF(metadata!G451="",FALSE,TRUE),OR(EXACT(metadata!G451,"Plant secretion"),EXACT(metadata!G451,"Plant rhizosphere"),EXACT(metadata!G451,"Plant surface"),EXACT(metadata!G451,"Plant corpus"),EXACT(metadata!G451,"Fungus surface"),EXACT(metadata!G451,"Fungus corpus"),EXACT(metadata!G451,"Animal surface"),EXACT(metadata!G451,"Animal proximal gut"),EXACT(metadata!G451,"Animal corpus"),EXACT(metadata!G451,"Animal distal gut"),EXACT(metadata!G451,"Animal secretion")))</f>
        <v>0</v>
      </c>
      <c r="AJ451" t="b">
        <f>OR(AND(IF(metadata!H451="",FALSE,TRUE),OR(EXACT(metadata!H451,"missing: not collected"),EXACT(metadata!H451,"missing: not provided"),EXACT(metadata!H451,"missing: restricted access"))),AND(IF(metadata!H451="",FALSE,TRUE),OR(EXACT(metadata!H451,"organism-associated habitat"),EXACT(metadata!H451,"plant-associated habitat"),EXACT(metadata!H451,"animal-associated habitat"),EXACT(metadata!H451,"insecta-associated habitat"),EXACT(metadata!H451,"mammalia-associated habitat"),EXACT(metadata!H451,"human-associated habitat"),EXACT(metadata!H451,"livestock-associated habitat"))))</f>
        <v>0</v>
      </c>
      <c r="AK451" t="b">
        <f>AND(IF(metadata!I451="",FALSE,TRUE),EXACT(metadata!I451,"host-associated"))</f>
        <v>0</v>
      </c>
      <c r="AL451" t="b">
        <f>OR(AND(IF(metadata!J451="",FALSE,TRUE),OR(EXACT(metadata!J451,"not applicable"),EXACT(metadata!J451,"missing: not collected"),EXACT(metadata!J451,"missing: not provided"),EXACT(metadata!J451,"missing: restricted access"))),AND(IF(metadata!J451="",FALSE,ISNUMBER(VALUE(metadata!J451))),metadata!J451&gt;0))</f>
        <v>0</v>
      </c>
      <c r="AM451" t="b">
        <f>AND(IF(metadata!K451="",FALSE,TRUE),EXACT(metadata!K451,"missing: not provided"))</f>
        <v>0</v>
      </c>
      <c r="AN451" t="b">
        <f>IF(metadata!L451="",FALSE,TRUE)</f>
        <v>0</v>
      </c>
      <c r="AO451" t="b">
        <f>IF(metadata!M451="",FALSE,TRUE)</f>
        <v>0</v>
      </c>
      <c r="AP451" t="b">
        <f>OR(AND(IF(metadata!N451="",FALSE,TRUE),OR(EXACT(metadata!N451,"not applicable"),EXACT(metadata!N451,"missing: not collected"),EXACT(metadata!N451,"missing: not provided"))),AND(IF(metadata!N451="",FALSE,IF(ISERROR(INT(metadata!N451)),FALSE,INT(metadata!N451)=metadata!N451)),metadata!N451&gt;0))</f>
        <v>0</v>
      </c>
      <c r="AQ451" t="b">
        <f>AND(IF(metadata!O451="",FALSE,TRUE),EXACT(metadata!O451,"Not applicable"))</f>
        <v>0</v>
      </c>
      <c r="AR451" t="b">
        <f>OR(AND(IF(metadata!P451="",FALSE,TRUE),OR(EXACT(metadata!P451,"not applicable"),EXACT(metadata!P451,"missing: not collected"),EXACT(metadata!P451,"missing: not provided"),EXACT(metadata!P451,"missing: restricted access"))),IF(metadata!P451="",FALSE,IF(ISERROR(INT(metadata!P451)),FALSE,INT(metadata!P451)=metadata!P451)))</f>
        <v>0</v>
      </c>
      <c r="AS451" t="b">
        <f>AND(IF(metadata!Q451="",FALSE,TRUE),EXACT(metadata!Q451,"Not applicable"))</f>
        <v>0</v>
      </c>
      <c r="AT451" t="b">
        <f>OR(AND(IF(metadata!R451="",FALSE,TRUE),OR(EXACT(metadata!R451,"not applicable"),EXACT(metadata!R451,"missing: not collected"),EXACT(metadata!R451,"missing: not provided"),EXACT(metadata!R451,"missing: restricted access"))),AND(IF(metadata!R451="",FALSE,ISNUMBER(VALUE(metadata!R451))),metadata!R451&gt;0))</f>
        <v>0</v>
      </c>
      <c r="AU451" t="b">
        <f>AND(IF(metadata!S451="",FALSE,TRUE),EXACT(metadata!S451,"missing: not provided"))</f>
        <v>0</v>
      </c>
    </row>
    <row r="452" spans="1:47" x14ac:dyDescent="0.2">
      <c r="A452" s="5" t="str">
        <f ca="1">IF(B452=" "," ",HYPERLINK(CONCATENATE("#metadata!",ADDRESS(INDEX($Y$2:$Y$1001,MATCH(ROWS($W$2:W452),$W$2:$W$1001,0),0),1)),INDEX($AB$2:$AB$1001,MATCH(ROWS($W$2:W452),$W$2:$W$1001,0),0)))</f>
        <v xml:space="preserve"> </v>
      </c>
      <c r="B452" s="4" t="str">
        <f ca="1">IF(OR(INDEX($X$2:$X$1001,MATCH(ROWS($W$2:W452),$W$2:$W$1001,0),1)&gt;=100000,INDEX($AD$1005:$AU$1005,1,MATCH(COLUMNS($AD$1006:AD1006),$AD$1006:$AU$1006,0))&gt;=100000), " ",IF(INDEX($AD$2:$AU$1001,MATCH(ROWS($W$2:W452),$W$2:$W$1001,0),MATCH(COLUMNS($AD$1006:AD1006),$AD$1006:$AU$1006,0)), HYPERLINK("#",""), HYPERLINK(CONCATENATE("#metadata!", ADDRESS(INDEX($Y$2:$Y$1001,MATCH(ROWS($W$2:W452),$W$2:$W$1001,0),0), INDEX($AD$1004:$AU$1004,1,MATCH(COLUMNS($AD$1006:AD1006),$AD$1006:$AU$1006,0)))),"Fix")))</f>
        <v xml:space="preserve"> </v>
      </c>
      <c r="C452" s="4" t="str">
        <f ca="1">IF(OR(INDEX($X$2:$X$1001,MATCH(ROWS($W$2:W452),$W$2:$W$1001,0),1)&gt;=100000,INDEX($AD$1005:$AU$1005,1,MATCH(COLUMNS($AD$1006:AE1006),$AD$1006:$AU$1006,0))&gt;=100000), " ",IF(INDEX($AD$2:$AU$1001,MATCH(ROWS($W$2:W452),$W$2:$W$1001,0),MATCH(COLUMNS($AD$1006:AE1006),$AD$1006:$AU$1006,0)), HYPERLINK("#",""), HYPERLINK(CONCATENATE("#metadata!", ADDRESS(INDEX($Y$2:$Y$1001,MATCH(ROWS($W$2:W452),$W$2:$W$1001,0),0), INDEX($AD$1004:$AU$1004,1,MATCH(COLUMNS($AD$1006:AE1006),$AD$1006:$AU$1006,0)))),"Fix")))</f>
        <v xml:space="preserve"> </v>
      </c>
      <c r="D452" s="4" t="str">
        <f ca="1">IF(OR(INDEX($X$2:$X$1001,MATCH(ROWS($W$2:W452),$W$2:$W$1001,0),1)&gt;=100000,INDEX($AD$1005:$AU$1005,1,MATCH(COLUMNS($AD$1006:AF1006),$AD$1006:$AU$1006,0))&gt;=100000), " ",IF(INDEX($AD$2:$AU$1001,MATCH(ROWS($W$2:W452),$W$2:$W$1001,0),MATCH(COLUMNS($AD$1006:AF1006),$AD$1006:$AU$1006,0)), HYPERLINK("#",""), HYPERLINK(CONCATENATE("#metadata!", ADDRESS(INDEX($Y$2:$Y$1001,MATCH(ROWS($W$2:W452),$W$2:$W$1001,0),0), INDEX($AD$1004:$AU$1004,1,MATCH(COLUMNS($AD$1006:AF1006),$AD$1006:$AU$1006,0)))),"Fix")))</f>
        <v xml:space="preserve"> </v>
      </c>
      <c r="E452" s="4" t="str">
        <f ca="1">IF(OR(INDEX($X$2:$X$1001,MATCH(ROWS($W$2:W452),$W$2:$W$1001,0),1)&gt;=100000,INDEX($AD$1005:$AU$1005,1,MATCH(COLUMNS($AD$1006:AG1006),$AD$1006:$AU$1006,0))&gt;=100000), " ",IF(INDEX($AD$2:$AU$1001,MATCH(ROWS($W$2:W452),$W$2:$W$1001,0),MATCH(COLUMNS($AD$1006:AG1006),$AD$1006:$AU$1006,0)), HYPERLINK("#",""), HYPERLINK(CONCATENATE("#metadata!", ADDRESS(INDEX($Y$2:$Y$1001,MATCH(ROWS($W$2:W452),$W$2:$W$1001,0),0), INDEX($AD$1004:$AU$1004,1,MATCH(COLUMNS($AD$1006:AG1006),$AD$1006:$AU$1006,0)))),"Fix")))</f>
        <v xml:space="preserve"> </v>
      </c>
      <c r="F452" s="4" t="str">
        <f ca="1">IF(OR(INDEX($X$2:$X$1001,MATCH(ROWS($W$2:W452),$W$2:$W$1001,0),1)&gt;=100000,INDEX($AD$1005:$AU$1005,1,MATCH(COLUMNS($AD$1006:AH1006),$AD$1006:$AU$1006,0))&gt;=100000), " ",IF(INDEX($AD$2:$AU$1001,MATCH(ROWS($W$2:W452),$W$2:$W$1001,0),MATCH(COLUMNS($AD$1006:AH1006),$AD$1006:$AU$1006,0)), HYPERLINK("#",""), HYPERLINK(CONCATENATE("#metadata!", ADDRESS(INDEX($Y$2:$Y$1001,MATCH(ROWS($W$2:W452),$W$2:$W$1001,0),0), INDEX($AD$1004:$AU$1004,1,MATCH(COLUMNS($AD$1006:AH1006),$AD$1006:$AU$1006,0)))),"Fix")))</f>
        <v xml:space="preserve"> </v>
      </c>
      <c r="G452" s="4" t="str">
        <f ca="1">IF(OR(INDEX($X$2:$X$1001,MATCH(ROWS($W$2:W452),$W$2:$W$1001,0),1)&gt;=100000,INDEX($AD$1005:$AU$1005,1,MATCH(COLUMNS($AD$1006:AI1006),$AD$1006:$AU$1006,0))&gt;=100000), " ",IF(INDEX($AD$2:$AU$1001,MATCH(ROWS($W$2:W452),$W$2:$W$1001,0),MATCH(COLUMNS($AD$1006:AI1006),$AD$1006:$AU$1006,0)), HYPERLINK("#",""), HYPERLINK(CONCATENATE("#metadata!", ADDRESS(INDEX($Y$2:$Y$1001,MATCH(ROWS($W$2:W452),$W$2:$W$1001,0),0), INDEX($AD$1004:$AU$1004,1,MATCH(COLUMNS($AD$1006:AI1006),$AD$1006:$AU$1006,0)))),"Fix")))</f>
        <v xml:space="preserve"> </v>
      </c>
      <c r="H452" s="4" t="str">
        <f ca="1">IF(OR(INDEX($X$2:$X$1001,MATCH(ROWS($W$2:W452),$W$2:$W$1001,0),1)&gt;=100000,INDEX($AD$1005:$AU$1005,1,MATCH(COLUMNS($AD$1006:AJ1006),$AD$1006:$AU$1006,0))&gt;=100000), " ",IF(INDEX($AD$2:$AU$1001,MATCH(ROWS($W$2:W452),$W$2:$W$1001,0),MATCH(COLUMNS($AD$1006:AJ1006),$AD$1006:$AU$1006,0)), HYPERLINK("#",""), HYPERLINK(CONCATENATE("#metadata!", ADDRESS(INDEX($Y$2:$Y$1001,MATCH(ROWS($W$2:W452),$W$2:$W$1001,0),0), INDEX($AD$1004:$AU$1004,1,MATCH(COLUMNS($AD$1006:AJ1006),$AD$1006:$AU$1006,0)))),"Fix")))</f>
        <v xml:space="preserve"> </v>
      </c>
      <c r="I452" s="4" t="str">
        <f ca="1">IF(OR(INDEX($X$2:$X$1001,MATCH(ROWS($W$2:W452),$W$2:$W$1001,0),1)&gt;=100000,INDEX($AD$1005:$AU$1005,1,MATCH(COLUMNS($AD$1006:AK1006),$AD$1006:$AU$1006,0))&gt;=100000), " ",IF(INDEX($AD$2:$AU$1001,MATCH(ROWS($W$2:W452),$W$2:$W$1001,0),MATCH(COLUMNS($AD$1006:AK1006),$AD$1006:$AU$1006,0)), HYPERLINK("#",""), HYPERLINK(CONCATENATE("#metadata!", ADDRESS(INDEX($Y$2:$Y$1001,MATCH(ROWS($W$2:W452),$W$2:$W$1001,0),0), INDEX($AD$1004:$AU$1004,1,MATCH(COLUMNS($AD$1006:AK1006),$AD$1006:$AU$1006,0)))),"Fix")))</f>
        <v xml:space="preserve"> </v>
      </c>
      <c r="J452" s="4" t="str">
        <f ca="1">IF(OR(INDEX($X$2:$X$1001,MATCH(ROWS($W$2:W452),$W$2:$W$1001,0),1)&gt;=100000,INDEX($AD$1005:$AU$1005,1,MATCH(COLUMNS($AD$1006:AL1006),$AD$1006:$AU$1006,0))&gt;=100000), " ",IF(INDEX($AD$2:$AU$1001,MATCH(ROWS($W$2:W452),$W$2:$W$1001,0),MATCH(COLUMNS($AD$1006:AL1006),$AD$1006:$AU$1006,0)), HYPERLINK("#",""), HYPERLINK(CONCATENATE("#metadata!", ADDRESS(INDEX($Y$2:$Y$1001,MATCH(ROWS($W$2:W452),$W$2:$W$1001,0),0), INDEX($AD$1004:$AU$1004,1,MATCH(COLUMNS($AD$1006:AL1006),$AD$1006:$AU$1006,0)))),"Fix")))</f>
        <v xml:space="preserve"> </v>
      </c>
      <c r="K452" s="4" t="str">
        <f ca="1">IF(OR(INDEX($X$2:$X$1001,MATCH(ROWS($W$2:W452),$W$2:$W$1001,0),1)&gt;=100000,INDEX($AD$1005:$AU$1005,1,MATCH(COLUMNS($AD$1006:AM1006),$AD$1006:$AU$1006,0))&gt;=100000), " ",IF(INDEX($AD$2:$AU$1001,MATCH(ROWS($W$2:W452),$W$2:$W$1001,0),MATCH(COLUMNS($AD$1006:AM1006),$AD$1006:$AU$1006,0)), HYPERLINK("#",""), HYPERLINK(CONCATENATE("#metadata!", ADDRESS(INDEX($Y$2:$Y$1001,MATCH(ROWS($W$2:W452),$W$2:$W$1001,0),0), INDEX($AD$1004:$AU$1004,1,MATCH(COLUMNS($AD$1006:AM1006),$AD$1006:$AU$1006,0)))),"Fix")))</f>
        <v xml:space="preserve"> </v>
      </c>
      <c r="L452" s="4" t="str">
        <f ca="1">IF(OR(INDEX($X$2:$X$1001,MATCH(ROWS($W$2:W452),$W$2:$W$1001,0),1)&gt;=100000,INDEX($AD$1005:$AU$1005,1,MATCH(COLUMNS($AD$1006:AN1006),$AD$1006:$AU$1006,0))&gt;=100000), " ",IF(INDEX($AD$2:$AU$1001,MATCH(ROWS($W$2:W452),$W$2:$W$1001,0),MATCH(COLUMNS($AD$1006:AN1006),$AD$1006:$AU$1006,0)), HYPERLINK("#",""), HYPERLINK(CONCATENATE("#metadata!", ADDRESS(INDEX($Y$2:$Y$1001,MATCH(ROWS($W$2:W452),$W$2:$W$1001,0),0), INDEX($AD$1004:$AU$1004,1,MATCH(COLUMNS($AD$1006:AN1006),$AD$1006:$AU$1006,0)))),"Fix")))</f>
        <v xml:space="preserve"> </v>
      </c>
      <c r="M452" s="4" t="str">
        <f ca="1">IF(OR(INDEX($X$2:$X$1001,MATCH(ROWS($W$2:W452),$W$2:$W$1001,0),1)&gt;=100000,INDEX($AD$1005:$AU$1005,1,MATCH(COLUMNS($AD$1006:AO1006),$AD$1006:$AU$1006,0))&gt;=100000), " ",IF(INDEX($AD$2:$AU$1001,MATCH(ROWS($W$2:W452),$W$2:$W$1001,0),MATCH(COLUMNS($AD$1006:AO1006),$AD$1006:$AU$1006,0)), HYPERLINK("#",""), HYPERLINK(CONCATENATE("#metadata!", ADDRESS(INDEX($Y$2:$Y$1001,MATCH(ROWS($W$2:W452),$W$2:$W$1001,0),0), INDEX($AD$1004:$AU$1004,1,MATCH(COLUMNS($AD$1006:AO1006),$AD$1006:$AU$1006,0)))),"Fix")))</f>
        <v xml:space="preserve"> </v>
      </c>
      <c r="N452" s="4" t="str">
        <f ca="1">IF(OR(INDEX($X$2:$X$1001,MATCH(ROWS($W$2:W452),$W$2:$W$1001,0),1)&gt;=100000,INDEX($AD$1005:$AU$1005,1,MATCH(COLUMNS($AD$1006:AP1006),$AD$1006:$AU$1006,0))&gt;=100000), " ",IF(INDEX($AD$2:$AU$1001,MATCH(ROWS($W$2:W452),$W$2:$W$1001,0),MATCH(COLUMNS($AD$1006:AP1006),$AD$1006:$AU$1006,0)), HYPERLINK("#",""), HYPERLINK(CONCATENATE("#metadata!", ADDRESS(INDEX($Y$2:$Y$1001,MATCH(ROWS($W$2:W452),$W$2:$W$1001,0),0), INDEX($AD$1004:$AU$1004,1,MATCH(COLUMNS($AD$1006:AP1006),$AD$1006:$AU$1006,0)))),"Fix")))</f>
        <v xml:space="preserve"> </v>
      </c>
      <c r="O452" s="4" t="str">
        <f ca="1">IF(OR(INDEX($X$2:$X$1001,MATCH(ROWS($W$2:W452),$W$2:$W$1001,0),1)&gt;=100000,INDEX($AD$1005:$AU$1005,1,MATCH(COLUMNS($AD$1006:AQ1006),$AD$1006:$AU$1006,0))&gt;=100000), " ",IF(INDEX($AD$2:$AU$1001,MATCH(ROWS($W$2:W452),$W$2:$W$1001,0),MATCH(COLUMNS($AD$1006:AQ1006),$AD$1006:$AU$1006,0)), HYPERLINK("#",""), HYPERLINK(CONCATENATE("#metadata!", ADDRESS(INDEX($Y$2:$Y$1001,MATCH(ROWS($W$2:W452),$W$2:$W$1001,0),0), INDEX($AD$1004:$AU$1004,1,MATCH(COLUMNS($AD$1006:AQ1006),$AD$1006:$AU$1006,0)))),"Fix")))</f>
        <v xml:space="preserve"> </v>
      </c>
      <c r="P452" s="4" t="str">
        <f ca="1">IF(OR(INDEX($X$2:$X$1001,MATCH(ROWS($W$2:W452),$W$2:$W$1001,0),1)&gt;=100000,INDEX($AD$1005:$AU$1005,1,MATCH(COLUMNS($AD$1006:AR1006),$AD$1006:$AU$1006,0))&gt;=100000), " ",IF(INDEX($AD$2:$AU$1001,MATCH(ROWS($W$2:W452),$W$2:$W$1001,0),MATCH(COLUMNS($AD$1006:AR1006),$AD$1006:$AU$1006,0)), HYPERLINK("#",""), HYPERLINK(CONCATENATE("#metadata!", ADDRESS(INDEX($Y$2:$Y$1001,MATCH(ROWS($W$2:W452),$W$2:$W$1001,0),0), INDEX($AD$1004:$AU$1004,1,MATCH(COLUMNS($AD$1006:AR1006),$AD$1006:$AU$1006,0)))),"Fix")))</f>
        <v xml:space="preserve"> </v>
      </c>
      <c r="Q452" s="4" t="str">
        <f ca="1">IF(OR(INDEX($X$2:$X$1001,MATCH(ROWS($W$2:W452),$W$2:$W$1001,0),1)&gt;=100000,INDEX($AD$1005:$AU$1005,1,MATCH(COLUMNS($AD$1006:AS1006),$AD$1006:$AU$1006,0))&gt;=100000), " ",IF(INDEX($AD$2:$AU$1001,MATCH(ROWS($W$2:W452),$W$2:$W$1001,0),MATCH(COLUMNS($AD$1006:AS1006),$AD$1006:$AU$1006,0)), HYPERLINK("#",""), HYPERLINK(CONCATENATE("#metadata!", ADDRESS(INDEX($Y$2:$Y$1001,MATCH(ROWS($W$2:W452),$W$2:$W$1001,0),0), INDEX($AD$1004:$AU$1004,1,MATCH(COLUMNS($AD$1006:AS1006),$AD$1006:$AU$1006,0)))),"Fix")))</f>
        <v xml:space="preserve"> </v>
      </c>
      <c r="R452" s="4" t="str">
        <f ca="1">IF(OR(INDEX($X$2:$X$1001,MATCH(ROWS($W$2:W452),$W$2:$W$1001,0),1)&gt;=100000,INDEX($AD$1005:$AU$1005,1,MATCH(COLUMNS($AD$1006:AT1006),$AD$1006:$AU$1006,0))&gt;=100000), " ",IF(INDEX($AD$2:$AU$1001,MATCH(ROWS($W$2:W452),$W$2:$W$1001,0),MATCH(COLUMNS($AD$1006:AT1006),$AD$1006:$AU$1006,0)), HYPERLINK("#",""), HYPERLINK(CONCATENATE("#metadata!", ADDRESS(INDEX($Y$2:$Y$1001,MATCH(ROWS($W$2:W452),$W$2:$W$1001,0),0), INDEX($AD$1004:$AU$1004,1,MATCH(COLUMNS($AD$1006:AT1006),$AD$1006:$AU$1006,0)))),"Fix")))</f>
        <v xml:space="preserve"> </v>
      </c>
      <c r="S452" s="4" t="str">
        <f ca="1">IF(OR(INDEX($X$2:$X$1001,MATCH(ROWS($W$2:W452),$W$2:$W$1001,0),1)&gt;=100000,INDEX($AD$1005:$AU$1005,1,MATCH(COLUMNS($AD$1006:AU1006),$AD$1006:$AU$1006,0))&gt;=100000), " ",IF(INDEX($AD$2:$AU$1001,MATCH(ROWS($W$2:W452),$W$2:$W$1001,0),MATCH(COLUMNS($AD$1006:AU1006),$AD$1006:$AU$1006,0)), HYPERLINK("#",""), HYPERLINK(CONCATENATE("#metadata!", ADDRESS(INDEX($Y$2:$Y$1001,MATCH(ROWS($W$2:W452),$W$2:$W$1001,0),0), INDEX($AD$1004:$AU$1004,1,MATCH(COLUMNS($AD$1006:AU1006),$AD$1006:$AU$1006,0)))),"Fix")))</f>
        <v xml:space="preserve"> </v>
      </c>
      <c r="W452">
        <v>451</v>
      </c>
      <c r="X452">
        <v>100452</v>
      </c>
      <c r="Y452">
        <v>452</v>
      </c>
      <c r="Z452" t="b">
        <f t="shared" si="7"/>
        <v>1</v>
      </c>
      <c r="AA452" t="b">
        <f>COUNTBLANK(metadata!B452:S452)=COLUMNS(metadata!B452:S452)</f>
        <v>1</v>
      </c>
      <c r="AB452" t="str">
        <v/>
      </c>
      <c r="AD452" t="b">
        <f ca="1">AND(IF(metadata!B452="",FALSE,TRUE),COUNTIF(metadata!B:B, metadata!B452) = 1,NOT(ISERROR(SUMPRODUCT(SEARCH(MID(metadata!B452,ROW(INDIRECT("1:"&amp;LEN(metadata!B452))), 1),"0123456789abcdefghijklmnopqrstuvwxyzABCDEFGHIJKLMNOPQRSTUVWXYZ.")))))</f>
        <v>0</v>
      </c>
      <c r="AE452" t="b">
        <f>OR(AND(IF(metadata!C452="",FALSE,TRUE),OR(EXACT(metadata!C452,"not applicable"),EXACT(metadata!C452,"missing: not collected"),EXACT(metadata!C452,"missing: not provided"),EXACT(metadata!C452,"missing: restricted access"))),AND(IF(metadata!C452="",FALSE,ISNUMBER(VALUE(metadata!C452))),metadata!C452&gt;0))</f>
        <v>0</v>
      </c>
      <c r="AF452" t="b">
        <f>AND(IF(metadata!D452="",FALSE,TRUE),EXACT(metadata!D452,"missing: not provided"))</f>
        <v>0</v>
      </c>
      <c r="AG452" t="b">
        <f>AND(IF(metadata!E452="",FALSE,TRUE),EXACT(metadata!E452,"Host-associated"))</f>
        <v>0</v>
      </c>
      <c r="AH452" t="b">
        <f>AND(IF(metadata!F452="",FALSE,TRUE),OR(EXACT(metadata!F452,"Animal"),EXACT(metadata!F452,"Fungus"),EXACT(metadata!F452,"Plant")))</f>
        <v>0</v>
      </c>
      <c r="AI452" t="b">
        <f>AND(IF(metadata!G452="",FALSE,TRUE),OR(EXACT(metadata!G452,"Plant secretion"),EXACT(metadata!G452,"Plant rhizosphere"),EXACT(metadata!G452,"Plant surface"),EXACT(metadata!G452,"Plant corpus"),EXACT(metadata!G452,"Fungus surface"),EXACT(metadata!G452,"Fungus corpus"),EXACT(metadata!G452,"Animal surface"),EXACT(metadata!G452,"Animal proximal gut"),EXACT(metadata!G452,"Animal corpus"),EXACT(metadata!G452,"Animal distal gut"),EXACT(metadata!G452,"Animal secretion")))</f>
        <v>0</v>
      </c>
      <c r="AJ452" t="b">
        <f>OR(AND(IF(metadata!H452="",FALSE,TRUE),OR(EXACT(metadata!H452,"missing: not collected"),EXACT(metadata!H452,"missing: not provided"),EXACT(metadata!H452,"missing: restricted access"))),AND(IF(metadata!H452="",FALSE,TRUE),OR(EXACT(metadata!H452,"organism-associated habitat"),EXACT(metadata!H452,"plant-associated habitat"),EXACT(metadata!H452,"animal-associated habitat"),EXACT(metadata!H452,"insecta-associated habitat"),EXACT(metadata!H452,"mammalia-associated habitat"),EXACT(metadata!H452,"human-associated habitat"),EXACT(metadata!H452,"livestock-associated habitat"))))</f>
        <v>0</v>
      </c>
      <c r="AK452" t="b">
        <f>AND(IF(metadata!I452="",FALSE,TRUE),EXACT(metadata!I452,"host-associated"))</f>
        <v>0</v>
      </c>
      <c r="AL452" t="b">
        <f>OR(AND(IF(metadata!J452="",FALSE,TRUE),OR(EXACT(metadata!J452,"not applicable"),EXACT(metadata!J452,"missing: not collected"),EXACT(metadata!J452,"missing: not provided"),EXACT(metadata!J452,"missing: restricted access"))),AND(IF(metadata!J452="",FALSE,ISNUMBER(VALUE(metadata!J452))),metadata!J452&gt;0))</f>
        <v>0</v>
      </c>
      <c r="AM452" t="b">
        <f>AND(IF(metadata!K452="",FALSE,TRUE),EXACT(metadata!K452,"missing: not provided"))</f>
        <v>0</v>
      </c>
      <c r="AN452" t="b">
        <f>IF(metadata!L452="",FALSE,TRUE)</f>
        <v>0</v>
      </c>
      <c r="AO452" t="b">
        <f>IF(metadata!M452="",FALSE,TRUE)</f>
        <v>0</v>
      </c>
      <c r="AP452" t="b">
        <f>OR(AND(IF(metadata!N452="",FALSE,TRUE),OR(EXACT(metadata!N452,"not applicable"),EXACT(metadata!N452,"missing: not collected"),EXACT(metadata!N452,"missing: not provided"))),AND(IF(metadata!N452="",FALSE,IF(ISERROR(INT(metadata!N452)),FALSE,INT(metadata!N452)=metadata!N452)),metadata!N452&gt;0))</f>
        <v>0</v>
      </c>
      <c r="AQ452" t="b">
        <f>AND(IF(metadata!O452="",FALSE,TRUE),EXACT(metadata!O452,"Not applicable"))</f>
        <v>0</v>
      </c>
      <c r="AR452" t="b">
        <f>OR(AND(IF(metadata!P452="",FALSE,TRUE),OR(EXACT(metadata!P452,"not applicable"),EXACT(metadata!P452,"missing: not collected"),EXACT(metadata!P452,"missing: not provided"),EXACT(metadata!P452,"missing: restricted access"))),IF(metadata!P452="",FALSE,IF(ISERROR(INT(metadata!P452)),FALSE,INT(metadata!P452)=metadata!P452)))</f>
        <v>0</v>
      </c>
      <c r="AS452" t="b">
        <f>AND(IF(metadata!Q452="",FALSE,TRUE),EXACT(metadata!Q452,"Not applicable"))</f>
        <v>0</v>
      </c>
      <c r="AT452" t="b">
        <f>OR(AND(IF(metadata!R452="",FALSE,TRUE),OR(EXACT(metadata!R452,"not applicable"),EXACT(metadata!R452,"missing: not collected"),EXACT(metadata!R452,"missing: not provided"),EXACT(metadata!R452,"missing: restricted access"))),AND(IF(metadata!R452="",FALSE,ISNUMBER(VALUE(metadata!R452))),metadata!R452&gt;0))</f>
        <v>0</v>
      </c>
      <c r="AU452" t="b">
        <f>AND(IF(metadata!S452="",FALSE,TRUE),EXACT(metadata!S452,"missing: not provided"))</f>
        <v>0</v>
      </c>
    </row>
    <row r="453" spans="1:47" x14ac:dyDescent="0.2">
      <c r="A453" s="5" t="str">
        <f ca="1">IF(B453=" "," ",HYPERLINK(CONCATENATE("#metadata!",ADDRESS(INDEX($Y$2:$Y$1001,MATCH(ROWS($W$2:W453),$W$2:$W$1001,0),0),1)),INDEX($AB$2:$AB$1001,MATCH(ROWS($W$2:W453),$W$2:$W$1001,0),0)))</f>
        <v xml:space="preserve"> </v>
      </c>
      <c r="B453" s="4" t="str">
        <f ca="1">IF(OR(INDEX($X$2:$X$1001,MATCH(ROWS($W$2:W453),$W$2:$W$1001,0),1)&gt;=100000,INDEX($AD$1005:$AU$1005,1,MATCH(COLUMNS($AD$1006:AD1006),$AD$1006:$AU$1006,0))&gt;=100000), " ",IF(INDEX($AD$2:$AU$1001,MATCH(ROWS($W$2:W453),$W$2:$W$1001,0),MATCH(COLUMNS($AD$1006:AD1006),$AD$1006:$AU$1006,0)), HYPERLINK("#",""), HYPERLINK(CONCATENATE("#metadata!", ADDRESS(INDEX($Y$2:$Y$1001,MATCH(ROWS($W$2:W453),$W$2:$W$1001,0),0), INDEX($AD$1004:$AU$1004,1,MATCH(COLUMNS($AD$1006:AD1006),$AD$1006:$AU$1006,0)))),"Fix")))</f>
        <v xml:space="preserve"> </v>
      </c>
      <c r="C453" s="4" t="str">
        <f ca="1">IF(OR(INDEX($X$2:$X$1001,MATCH(ROWS($W$2:W453),$W$2:$W$1001,0),1)&gt;=100000,INDEX($AD$1005:$AU$1005,1,MATCH(COLUMNS($AD$1006:AE1006),$AD$1006:$AU$1006,0))&gt;=100000), " ",IF(INDEX($AD$2:$AU$1001,MATCH(ROWS($W$2:W453),$W$2:$W$1001,0),MATCH(COLUMNS($AD$1006:AE1006),$AD$1006:$AU$1006,0)), HYPERLINK("#",""), HYPERLINK(CONCATENATE("#metadata!", ADDRESS(INDEX($Y$2:$Y$1001,MATCH(ROWS($W$2:W453),$W$2:$W$1001,0),0), INDEX($AD$1004:$AU$1004,1,MATCH(COLUMNS($AD$1006:AE1006),$AD$1006:$AU$1006,0)))),"Fix")))</f>
        <v xml:space="preserve"> </v>
      </c>
      <c r="D453" s="4" t="str">
        <f ca="1">IF(OR(INDEX($X$2:$X$1001,MATCH(ROWS($W$2:W453),$W$2:$W$1001,0),1)&gt;=100000,INDEX($AD$1005:$AU$1005,1,MATCH(COLUMNS($AD$1006:AF1006),$AD$1006:$AU$1006,0))&gt;=100000), " ",IF(INDEX($AD$2:$AU$1001,MATCH(ROWS($W$2:W453),$W$2:$W$1001,0),MATCH(COLUMNS($AD$1006:AF1006),$AD$1006:$AU$1006,0)), HYPERLINK("#",""), HYPERLINK(CONCATENATE("#metadata!", ADDRESS(INDEX($Y$2:$Y$1001,MATCH(ROWS($W$2:W453),$W$2:$W$1001,0),0), INDEX($AD$1004:$AU$1004,1,MATCH(COLUMNS($AD$1006:AF1006),$AD$1006:$AU$1006,0)))),"Fix")))</f>
        <v xml:space="preserve"> </v>
      </c>
      <c r="E453" s="4" t="str">
        <f ca="1">IF(OR(INDEX($X$2:$X$1001,MATCH(ROWS($W$2:W453),$W$2:$W$1001,0),1)&gt;=100000,INDEX($AD$1005:$AU$1005,1,MATCH(COLUMNS($AD$1006:AG1006),$AD$1006:$AU$1006,0))&gt;=100000), " ",IF(INDEX($AD$2:$AU$1001,MATCH(ROWS($W$2:W453),$W$2:$W$1001,0),MATCH(COLUMNS($AD$1006:AG1006),$AD$1006:$AU$1006,0)), HYPERLINK("#",""), HYPERLINK(CONCATENATE("#metadata!", ADDRESS(INDEX($Y$2:$Y$1001,MATCH(ROWS($W$2:W453),$W$2:$W$1001,0),0), INDEX($AD$1004:$AU$1004,1,MATCH(COLUMNS($AD$1006:AG1006),$AD$1006:$AU$1006,0)))),"Fix")))</f>
        <v xml:space="preserve"> </v>
      </c>
      <c r="F453" s="4" t="str">
        <f ca="1">IF(OR(INDEX($X$2:$X$1001,MATCH(ROWS($W$2:W453),$W$2:$W$1001,0),1)&gt;=100000,INDEX($AD$1005:$AU$1005,1,MATCH(COLUMNS($AD$1006:AH1006),$AD$1006:$AU$1006,0))&gt;=100000), " ",IF(INDEX($AD$2:$AU$1001,MATCH(ROWS($W$2:W453),$W$2:$W$1001,0),MATCH(COLUMNS($AD$1006:AH1006),$AD$1006:$AU$1006,0)), HYPERLINK("#",""), HYPERLINK(CONCATENATE("#metadata!", ADDRESS(INDEX($Y$2:$Y$1001,MATCH(ROWS($W$2:W453),$W$2:$W$1001,0),0), INDEX($AD$1004:$AU$1004,1,MATCH(COLUMNS($AD$1006:AH1006),$AD$1006:$AU$1006,0)))),"Fix")))</f>
        <v xml:space="preserve"> </v>
      </c>
      <c r="G453" s="4" t="str">
        <f ca="1">IF(OR(INDEX($X$2:$X$1001,MATCH(ROWS($W$2:W453),$W$2:$W$1001,0),1)&gt;=100000,INDEX($AD$1005:$AU$1005,1,MATCH(COLUMNS($AD$1006:AI1006),$AD$1006:$AU$1006,0))&gt;=100000), " ",IF(INDEX($AD$2:$AU$1001,MATCH(ROWS($W$2:W453),$W$2:$W$1001,0),MATCH(COLUMNS($AD$1006:AI1006),$AD$1006:$AU$1006,0)), HYPERLINK("#",""), HYPERLINK(CONCATENATE("#metadata!", ADDRESS(INDEX($Y$2:$Y$1001,MATCH(ROWS($W$2:W453),$W$2:$W$1001,0),0), INDEX($AD$1004:$AU$1004,1,MATCH(COLUMNS($AD$1006:AI1006),$AD$1006:$AU$1006,0)))),"Fix")))</f>
        <v xml:space="preserve"> </v>
      </c>
      <c r="H453" s="4" t="str">
        <f ca="1">IF(OR(INDEX($X$2:$X$1001,MATCH(ROWS($W$2:W453),$W$2:$W$1001,0),1)&gt;=100000,INDEX($AD$1005:$AU$1005,1,MATCH(COLUMNS($AD$1006:AJ1006),$AD$1006:$AU$1006,0))&gt;=100000), " ",IF(INDEX($AD$2:$AU$1001,MATCH(ROWS($W$2:W453),$W$2:$W$1001,0),MATCH(COLUMNS($AD$1006:AJ1006),$AD$1006:$AU$1006,0)), HYPERLINK("#",""), HYPERLINK(CONCATENATE("#metadata!", ADDRESS(INDEX($Y$2:$Y$1001,MATCH(ROWS($W$2:W453),$W$2:$W$1001,0),0), INDEX($AD$1004:$AU$1004,1,MATCH(COLUMNS($AD$1006:AJ1006),$AD$1006:$AU$1006,0)))),"Fix")))</f>
        <v xml:space="preserve"> </v>
      </c>
      <c r="I453" s="4" t="str">
        <f ca="1">IF(OR(INDEX($X$2:$X$1001,MATCH(ROWS($W$2:W453),$W$2:$W$1001,0),1)&gt;=100000,INDEX($AD$1005:$AU$1005,1,MATCH(COLUMNS($AD$1006:AK1006),$AD$1006:$AU$1006,0))&gt;=100000), " ",IF(INDEX($AD$2:$AU$1001,MATCH(ROWS($W$2:W453),$W$2:$W$1001,0),MATCH(COLUMNS($AD$1006:AK1006),$AD$1006:$AU$1006,0)), HYPERLINK("#",""), HYPERLINK(CONCATENATE("#metadata!", ADDRESS(INDEX($Y$2:$Y$1001,MATCH(ROWS($W$2:W453),$W$2:$W$1001,0),0), INDEX($AD$1004:$AU$1004,1,MATCH(COLUMNS($AD$1006:AK1006),$AD$1006:$AU$1006,0)))),"Fix")))</f>
        <v xml:space="preserve"> </v>
      </c>
      <c r="J453" s="4" t="str">
        <f ca="1">IF(OR(INDEX($X$2:$X$1001,MATCH(ROWS($W$2:W453),$W$2:$W$1001,0),1)&gt;=100000,INDEX($AD$1005:$AU$1005,1,MATCH(COLUMNS($AD$1006:AL1006),$AD$1006:$AU$1006,0))&gt;=100000), " ",IF(INDEX($AD$2:$AU$1001,MATCH(ROWS($W$2:W453),$W$2:$W$1001,0),MATCH(COLUMNS($AD$1006:AL1006),$AD$1006:$AU$1006,0)), HYPERLINK("#",""), HYPERLINK(CONCATENATE("#metadata!", ADDRESS(INDEX($Y$2:$Y$1001,MATCH(ROWS($W$2:W453),$W$2:$W$1001,0),0), INDEX($AD$1004:$AU$1004,1,MATCH(COLUMNS($AD$1006:AL1006),$AD$1006:$AU$1006,0)))),"Fix")))</f>
        <v xml:space="preserve"> </v>
      </c>
      <c r="K453" s="4" t="str">
        <f ca="1">IF(OR(INDEX($X$2:$X$1001,MATCH(ROWS($W$2:W453),$W$2:$W$1001,0),1)&gt;=100000,INDEX($AD$1005:$AU$1005,1,MATCH(COLUMNS($AD$1006:AM1006),$AD$1006:$AU$1006,0))&gt;=100000), " ",IF(INDEX($AD$2:$AU$1001,MATCH(ROWS($W$2:W453),$W$2:$W$1001,0),MATCH(COLUMNS($AD$1006:AM1006),$AD$1006:$AU$1006,0)), HYPERLINK("#",""), HYPERLINK(CONCATENATE("#metadata!", ADDRESS(INDEX($Y$2:$Y$1001,MATCH(ROWS($W$2:W453),$W$2:$W$1001,0),0), INDEX($AD$1004:$AU$1004,1,MATCH(COLUMNS($AD$1006:AM1006),$AD$1006:$AU$1006,0)))),"Fix")))</f>
        <v xml:space="preserve"> </v>
      </c>
      <c r="L453" s="4" t="str">
        <f ca="1">IF(OR(INDEX($X$2:$X$1001,MATCH(ROWS($W$2:W453),$W$2:$W$1001,0),1)&gt;=100000,INDEX($AD$1005:$AU$1005,1,MATCH(COLUMNS($AD$1006:AN1006),$AD$1006:$AU$1006,0))&gt;=100000), " ",IF(INDEX($AD$2:$AU$1001,MATCH(ROWS($W$2:W453),$W$2:$W$1001,0),MATCH(COLUMNS($AD$1006:AN1006),$AD$1006:$AU$1006,0)), HYPERLINK("#",""), HYPERLINK(CONCATENATE("#metadata!", ADDRESS(INDEX($Y$2:$Y$1001,MATCH(ROWS($W$2:W453),$W$2:$W$1001,0),0), INDEX($AD$1004:$AU$1004,1,MATCH(COLUMNS($AD$1006:AN1006),$AD$1006:$AU$1006,0)))),"Fix")))</f>
        <v xml:space="preserve"> </v>
      </c>
      <c r="M453" s="4" t="str">
        <f ca="1">IF(OR(INDEX($X$2:$X$1001,MATCH(ROWS($W$2:W453),$W$2:$W$1001,0),1)&gt;=100000,INDEX($AD$1005:$AU$1005,1,MATCH(COLUMNS($AD$1006:AO1006),$AD$1006:$AU$1006,0))&gt;=100000), " ",IF(INDEX($AD$2:$AU$1001,MATCH(ROWS($W$2:W453),$W$2:$W$1001,0),MATCH(COLUMNS($AD$1006:AO1006),$AD$1006:$AU$1006,0)), HYPERLINK("#",""), HYPERLINK(CONCATENATE("#metadata!", ADDRESS(INDEX($Y$2:$Y$1001,MATCH(ROWS($W$2:W453),$W$2:$W$1001,0),0), INDEX($AD$1004:$AU$1004,1,MATCH(COLUMNS($AD$1006:AO1006),$AD$1006:$AU$1006,0)))),"Fix")))</f>
        <v xml:space="preserve"> </v>
      </c>
      <c r="N453" s="4" t="str">
        <f ca="1">IF(OR(INDEX($X$2:$X$1001,MATCH(ROWS($W$2:W453),$W$2:$W$1001,0),1)&gt;=100000,INDEX($AD$1005:$AU$1005,1,MATCH(COLUMNS($AD$1006:AP1006),$AD$1006:$AU$1006,0))&gt;=100000), " ",IF(INDEX($AD$2:$AU$1001,MATCH(ROWS($W$2:W453),$W$2:$W$1001,0),MATCH(COLUMNS($AD$1006:AP1006),$AD$1006:$AU$1006,0)), HYPERLINK("#",""), HYPERLINK(CONCATENATE("#metadata!", ADDRESS(INDEX($Y$2:$Y$1001,MATCH(ROWS($W$2:W453),$W$2:$W$1001,0),0), INDEX($AD$1004:$AU$1004,1,MATCH(COLUMNS($AD$1006:AP1006),$AD$1006:$AU$1006,0)))),"Fix")))</f>
        <v xml:space="preserve"> </v>
      </c>
      <c r="O453" s="4" t="str">
        <f ca="1">IF(OR(INDEX($X$2:$X$1001,MATCH(ROWS($W$2:W453),$W$2:$W$1001,0),1)&gt;=100000,INDEX($AD$1005:$AU$1005,1,MATCH(COLUMNS($AD$1006:AQ1006),$AD$1006:$AU$1006,0))&gt;=100000), " ",IF(INDEX($AD$2:$AU$1001,MATCH(ROWS($W$2:W453),$W$2:$W$1001,0),MATCH(COLUMNS($AD$1006:AQ1006),$AD$1006:$AU$1006,0)), HYPERLINK("#",""), HYPERLINK(CONCATENATE("#metadata!", ADDRESS(INDEX($Y$2:$Y$1001,MATCH(ROWS($W$2:W453),$W$2:$W$1001,0),0), INDEX($AD$1004:$AU$1004,1,MATCH(COLUMNS($AD$1006:AQ1006),$AD$1006:$AU$1006,0)))),"Fix")))</f>
        <v xml:space="preserve"> </v>
      </c>
      <c r="P453" s="4" t="str">
        <f ca="1">IF(OR(INDEX($X$2:$X$1001,MATCH(ROWS($W$2:W453),$W$2:$W$1001,0),1)&gt;=100000,INDEX($AD$1005:$AU$1005,1,MATCH(COLUMNS($AD$1006:AR1006),$AD$1006:$AU$1006,0))&gt;=100000), " ",IF(INDEX($AD$2:$AU$1001,MATCH(ROWS($W$2:W453),$W$2:$W$1001,0),MATCH(COLUMNS($AD$1006:AR1006),$AD$1006:$AU$1006,0)), HYPERLINK("#",""), HYPERLINK(CONCATENATE("#metadata!", ADDRESS(INDEX($Y$2:$Y$1001,MATCH(ROWS($W$2:W453),$W$2:$W$1001,0),0), INDEX($AD$1004:$AU$1004,1,MATCH(COLUMNS($AD$1006:AR1006),$AD$1006:$AU$1006,0)))),"Fix")))</f>
        <v xml:space="preserve"> </v>
      </c>
      <c r="Q453" s="4" t="str">
        <f ca="1">IF(OR(INDEX($X$2:$X$1001,MATCH(ROWS($W$2:W453),$W$2:$W$1001,0),1)&gt;=100000,INDEX($AD$1005:$AU$1005,1,MATCH(COLUMNS($AD$1006:AS1006),$AD$1006:$AU$1006,0))&gt;=100000), " ",IF(INDEX($AD$2:$AU$1001,MATCH(ROWS($W$2:W453),$W$2:$W$1001,0),MATCH(COLUMNS($AD$1006:AS1006),$AD$1006:$AU$1006,0)), HYPERLINK("#",""), HYPERLINK(CONCATENATE("#metadata!", ADDRESS(INDEX($Y$2:$Y$1001,MATCH(ROWS($W$2:W453),$W$2:$W$1001,0),0), INDEX($AD$1004:$AU$1004,1,MATCH(COLUMNS($AD$1006:AS1006),$AD$1006:$AU$1006,0)))),"Fix")))</f>
        <v xml:space="preserve"> </v>
      </c>
      <c r="R453" s="4" t="str">
        <f ca="1">IF(OR(INDEX($X$2:$X$1001,MATCH(ROWS($W$2:W453),$W$2:$W$1001,0),1)&gt;=100000,INDEX($AD$1005:$AU$1005,1,MATCH(COLUMNS($AD$1006:AT1006),$AD$1006:$AU$1006,0))&gt;=100000), " ",IF(INDEX($AD$2:$AU$1001,MATCH(ROWS($W$2:W453),$W$2:$W$1001,0),MATCH(COLUMNS($AD$1006:AT1006),$AD$1006:$AU$1006,0)), HYPERLINK("#",""), HYPERLINK(CONCATENATE("#metadata!", ADDRESS(INDEX($Y$2:$Y$1001,MATCH(ROWS($W$2:W453),$W$2:$W$1001,0),0), INDEX($AD$1004:$AU$1004,1,MATCH(COLUMNS($AD$1006:AT1006),$AD$1006:$AU$1006,0)))),"Fix")))</f>
        <v xml:space="preserve"> </v>
      </c>
      <c r="S453" s="4" t="str">
        <f ca="1">IF(OR(INDEX($X$2:$X$1001,MATCH(ROWS($W$2:W453),$W$2:$W$1001,0),1)&gt;=100000,INDEX($AD$1005:$AU$1005,1,MATCH(COLUMNS($AD$1006:AU1006),$AD$1006:$AU$1006,0))&gt;=100000), " ",IF(INDEX($AD$2:$AU$1001,MATCH(ROWS($W$2:W453),$W$2:$W$1001,0),MATCH(COLUMNS($AD$1006:AU1006),$AD$1006:$AU$1006,0)), HYPERLINK("#",""), HYPERLINK(CONCATENATE("#metadata!", ADDRESS(INDEX($Y$2:$Y$1001,MATCH(ROWS($W$2:W453),$W$2:$W$1001,0),0), INDEX($AD$1004:$AU$1004,1,MATCH(COLUMNS($AD$1006:AU1006),$AD$1006:$AU$1006,0)))),"Fix")))</f>
        <v xml:space="preserve"> </v>
      </c>
      <c r="W453">
        <v>452</v>
      </c>
      <c r="X453">
        <v>100453</v>
      </c>
      <c r="Y453">
        <v>453</v>
      </c>
      <c r="Z453" t="b">
        <f t="shared" si="7"/>
        <v>1</v>
      </c>
      <c r="AA453" t="b">
        <f>COUNTBLANK(metadata!B453:S453)=COLUMNS(metadata!B453:S453)</f>
        <v>1</v>
      </c>
      <c r="AB453" t="str">
        <v/>
      </c>
      <c r="AD453" t="b">
        <f ca="1">AND(IF(metadata!B453="",FALSE,TRUE),COUNTIF(metadata!B:B, metadata!B453) = 1,NOT(ISERROR(SUMPRODUCT(SEARCH(MID(metadata!B453,ROW(INDIRECT("1:"&amp;LEN(metadata!B453))), 1),"0123456789abcdefghijklmnopqrstuvwxyzABCDEFGHIJKLMNOPQRSTUVWXYZ.")))))</f>
        <v>0</v>
      </c>
      <c r="AE453" t="b">
        <f>OR(AND(IF(metadata!C453="",FALSE,TRUE),OR(EXACT(metadata!C453,"not applicable"),EXACT(metadata!C453,"missing: not collected"),EXACT(metadata!C453,"missing: not provided"),EXACT(metadata!C453,"missing: restricted access"))),AND(IF(metadata!C453="",FALSE,ISNUMBER(VALUE(metadata!C453))),metadata!C453&gt;0))</f>
        <v>0</v>
      </c>
      <c r="AF453" t="b">
        <f>AND(IF(metadata!D453="",FALSE,TRUE),EXACT(metadata!D453,"missing: not provided"))</f>
        <v>0</v>
      </c>
      <c r="AG453" t="b">
        <f>AND(IF(metadata!E453="",FALSE,TRUE),EXACT(metadata!E453,"Host-associated"))</f>
        <v>0</v>
      </c>
      <c r="AH453" t="b">
        <f>AND(IF(metadata!F453="",FALSE,TRUE),OR(EXACT(metadata!F453,"Animal"),EXACT(metadata!F453,"Fungus"),EXACT(metadata!F453,"Plant")))</f>
        <v>0</v>
      </c>
      <c r="AI453" t="b">
        <f>AND(IF(metadata!G453="",FALSE,TRUE),OR(EXACT(metadata!G453,"Plant secretion"),EXACT(metadata!G453,"Plant rhizosphere"),EXACT(metadata!G453,"Plant surface"),EXACT(metadata!G453,"Plant corpus"),EXACT(metadata!G453,"Fungus surface"),EXACT(metadata!G453,"Fungus corpus"),EXACT(metadata!G453,"Animal surface"),EXACT(metadata!G453,"Animal proximal gut"),EXACT(metadata!G453,"Animal corpus"),EXACT(metadata!G453,"Animal distal gut"),EXACT(metadata!G453,"Animal secretion")))</f>
        <v>0</v>
      </c>
      <c r="AJ453" t="b">
        <f>OR(AND(IF(metadata!H453="",FALSE,TRUE),OR(EXACT(metadata!H453,"missing: not collected"),EXACT(metadata!H453,"missing: not provided"),EXACT(metadata!H453,"missing: restricted access"))),AND(IF(metadata!H453="",FALSE,TRUE),OR(EXACT(metadata!H453,"organism-associated habitat"),EXACT(metadata!H453,"plant-associated habitat"),EXACT(metadata!H453,"animal-associated habitat"),EXACT(metadata!H453,"insecta-associated habitat"),EXACT(metadata!H453,"mammalia-associated habitat"),EXACT(metadata!H453,"human-associated habitat"),EXACT(metadata!H453,"livestock-associated habitat"))))</f>
        <v>0</v>
      </c>
      <c r="AK453" t="b">
        <f>AND(IF(metadata!I453="",FALSE,TRUE),EXACT(metadata!I453,"host-associated"))</f>
        <v>0</v>
      </c>
      <c r="AL453" t="b">
        <f>OR(AND(IF(metadata!J453="",FALSE,TRUE),OR(EXACT(metadata!J453,"not applicable"),EXACT(metadata!J453,"missing: not collected"),EXACT(metadata!J453,"missing: not provided"),EXACT(metadata!J453,"missing: restricted access"))),AND(IF(metadata!J453="",FALSE,ISNUMBER(VALUE(metadata!J453))),metadata!J453&gt;0))</f>
        <v>0</v>
      </c>
      <c r="AM453" t="b">
        <f>AND(IF(metadata!K453="",FALSE,TRUE),EXACT(metadata!K453,"missing: not provided"))</f>
        <v>0</v>
      </c>
      <c r="AN453" t="b">
        <f>IF(metadata!L453="",FALSE,TRUE)</f>
        <v>0</v>
      </c>
      <c r="AO453" t="b">
        <f>IF(metadata!M453="",FALSE,TRUE)</f>
        <v>0</v>
      </c>
      <c r="AP453" t="b">
        <f>OR(AND(IF(metadata!N453="",FALSE,TRUE),OR(EXACT(metadata!N453,"not applicable"),EXACT(metadata!N453,"missing: not collected"),EXACT(metadata!N453,"missing: not provided"))),AND(IF(metadata!N453="",FALSE,IF(ISERROR(INT(metadata!N453)),FALSE,INT(metadata!N453)=metadata!N453)),metadata!N453&gt;0))</f>
        <v>0</v>
      </c>
      <c r="AQ453" t="b">
        <f>AND(IF(metadata!O453="",FALSE,TRUE),EXACT(metadata!O453,"Not applicable"))</f>
        <v>0</v>
      </c>
      <c r="AR453" t="b">
        <f>OR(AND(IF(metadata!P453="",FALSE,TRUE),OR(EXACT(metadata!P453,"not applicable"),EXACT(metadata!P453,"missing: not collected"),EXACT(metadata!P453,"missing: not provided"),EXACT(metadata!P453,"missing: restricted access"))),IF(metadata!P453="",FALSE,IF(ISERROR(INT(metadata!P453)),FALSE,INT(metadata!P453)=metadata!P453)))</f>
        <v>0</v>
      </c>
      <c r="AS453" t="b">
        <f>AND(IF(metadata!Q453="",FALSE,TRUE),EXACT(metadata!Q453,"Not applicable"))</f>
        <v>0</v>
      </c>
      <c r="AT453" t="b">
        <f>OR(AND(IF(metadata!R453="",FALSE,TRUE),OR(EXACT(metadata!R453,"not applicable"),EXACT(metadata!R453,"missing: not collected"),EXACT(metadata!R453,"missing: not provided"),EXACT(metadata!R453,"missing: restricted access"))),AND(IF(metadata!R453="",FALSE,ISNUMBER(VALUE(metadata!R453))),metadata!R453&gt;0))</f>
        <v>0</v>
      </c>
      <c r="AU453" t="b">
        <f>AND(IF(metadata!S453="",FALSE,TRUE),EXACT(metadata!S453,"missing: not provided"))</f>
        <v>0</v>
      </c>
    </row>
    <row r="454" spans="1:47" x14ac:dyDescent="0.2">
      <c r="A454" s="5" t="str">
        <f ca="1">IF(B454=" "," ",HYPERLINK(CONCATENATE("#metadata!",ADDRESS(INDEX($Y$2:$Y$1001,MATCH(ROWS($W$2:W454),$W$2:$W$1001,0),0),1)),INDEX($AB$2:$AB$1001,MATCH(ROWS($W$2:W454),$W$2:$W$1001,0),0)))</f>
        <v xml:space="preserve"> </v>
      </c>
      <c r="B454" s="4" t="str">
        <f ca="1">IF(OR(INDEX($X$2:$X$1001,MATCH(ROWS($W$2:W454),$W$2:$W$1001,0),1)&gt;=100000,INDEX($AD$1005:$AU$1005,1,MATCH(COLUMNS($AD$1006:AD1006),$AD$1006:$AU$1006,0))&gt;=100000), " ",IF(INDEX($AD$2:$AU$1001,MATCH(ROWS($W$2:W454),$W$2:$W$1001,0),MATCH(COLUMNS($AD$1006:AD1006),$AD$1006:$AU$1006,0)), HYPERLINK("#",""), HYPERLINK(CONCATENATE("#metadata!", ADDRESS(INDEX($Y$2:$Y$1001,MATCH(ROWS($W$2:W454),$W$2:$W$1001,0),0), INDEX($AD$1004:$AU$1004,1,MATCH(COLUMNS($AD$1006:AD1006),$AD$1006:$AU$1006,0)))),"Fix")))</f>
        <v xml:space="preserve"> </v>
      </c>
      <c r="C454" s="4" t="str">
        <f ca="1">IF(OR(INDEX($X$2:$X$1001,MATCH(ROWS($W$2:W454),$W$2:$W$1001,0),1)&gt;=100000,INDEX($AD$1005:$AU$1005,1,MATCH(COLUMNS($AD$1006:AE1006),$AD$1006:$AU$1006,0))&gt;=100000), " ",IF(INDEX($AD$2:$AU$1001,MATCH(ROWS($W$2:W454),$W$2:$W$1001,0),MATCH(COLUMNS($AD$1006:AE1006),$AD$1006:$AU$1006,0)), HYPERLINK("#",""), HYPERLINK(CONCATENATE("#metadata!", ADDRESS(INDEX($Y$2:$Y$1001,MATCH(ROWS($W$2:W454),$W$2:$W$1001,0),0), INDEX($AD$1004:$AU$1004,1,MATCH(COLUMNS($AD$1006:AE1006),$AD$1006:$AU$1006,0)))),"Fix")))</f>
        <v xml:space="preserve"> </v>
      </c>
      <c r="D454" s="4" t="str">
        <f ca="1">IF(OR(INDEX($X$2:$X$1001,MATCH(ROWS($W$2:W454),$W$2:$W$1001,0),1)&gt;=100000,INDEX($AD$1005:$AU$1005,1,MATCH(COLUMNS($AD$1006:AF1006),$AD$1006:$AU$1006,0))&gt;=100000), " ",IF(INDEX($AD$2:$AU$1001,MATCH(ROWS($W$2:W454),$W$2:$W$1001,0),MATCH(COLUMNS($AD$1006:AF1006),$AD$1006:$AU$1006,0)), HYPERLINK("#",""), HYPERLINK(CONCATENATE("#metadata!", ADDRESS(INDEX($Y$2:$Y$1001,MATCH(ROWS($W$2:W454),$W$2:$W$1001,0),0), INDEX($AD$1004:$AU$1004,1,MATCH(COLUMNS($AD$1006:AF1006),$AD$1006:$AU$1006,0)))),"Fix")))</f>
        <v xml:space="preserve"> </v>
      </c>
      <c r="E454" s="4" t="str">
        <f ca="1">IF(OR(INDEX($X$2:$X$1001,MATCH(ROWS($W$2:W454),$W$2:$W$1001,0),1)&gt;=100000,INDEX($AD$1005:$AU$1005,1,MATCH(COLUMNS($AD$1006:AG1006),$AD$1006:$AU$1006,0))&gt;=100000), " ",IF(INDEX($AD$2:$AU$1001,MATCH(ROWS($W$2:W454),$W$2:$W$1001,0),MATCH(COLUMNS($AD$1006:AG1006),$AD$1006:$AU$1006,0)), HYPERLINK("#",""), HYPERLINK(CONCATENATE("#metadata!", ADDRESS(INDEX($Y$2:$Y$1001,MATCH(ROWS($W$2:W454),$W$2:$W$1001,0),0), INDEX($AD$1004:$AU$1004,1,MATCH(COLUMNS($AD$1006:AG1006),$AD$1006:$AU$1006,0)))),"Fix")))</f>
        <v xml:space="preserve"> </v>
      </c>
      <c r="F454" s="4" t="str">
        <f ca="1">IF(OR(INDEX($X$2:$X$1001,MATCH(ROWS($W$2:W454),$W$2:$W$1001,0),1)&gt;=100000,INDEX($AD$1005:$AU$1005,1,MATCH(COLUMNS($AD$1006:AH1006),$AD$1006:$AU$1006,0))&gt;=100000), " ",IF(INDEX($AD$2:$AU$1001,MATCH(ROWS($W$2:W454),$W$2:$W$1001,0),MATCH(COLUMNS($AD$1006:AH1006),$AD$1006:$AU$1006,0)), HYPERLINK("#",""), HYPERLINK(CONCATENATE("#metadata!", ADDRESS(INDEX($Y$2:$Y$1001,MATCH(ROWS($W$2:W454),$W$2:$W$1001,0),0), INDEX($AD$1004:$AU$1004,1,MATCH(COLUMNS($AD$1006:AH1006),$AD$1006:$AU$1006,0)))),"Fix")))</f>
        <v xml:space="preserve"> </v>
      </c>
      <c r="G454" s="4" t="str">
        <f ca="1">IF(OR(INDEX($X$2:$X$1001,MATCH(ROWS($W$2:W454),$W$2:$W$1001,0),1)&gt;=100000,INDEX($AD$1005:$AU$1005,1,MATCH(COLUMNS($AD$1006:AI1006),$AD$1006:$AU$1006,0))&gt;=100000), " ",IF(INDEX($AD$2:$AU$1001,MATCH(ROWS($W$2:W454),$W$2:$W$1001,0),MATCH(COLUMNS($AD$1006:AI1006),$AD$1006:$AU$1006,0)), HYPERLINK("#",""), HYPERLINK(CONCATENATE("#metadata!", ADDRESS(INDEX($Y$2:$Y$1001,MATCH(ROWS($W$2:W454),$W$2:$W$1001,0),0), INDEX($AD$1004:$AU$1004,1,MATCH(COLUMNS($AD$1006:AI1006),$AD$1006:$AU$1006,0)))),"Fix")))</f>
        <v xml:space="preserve"> </v>
      </c>
      <c r="H454" s="4" t="str">
        <f ca="1">IF(OR(INDEX($X$2:$X$1001,MATCH(ROWS($W$2:W454),$W$2:$W$1001,0),1)&gt;=100000,INDEX($AD$1005:$AU$1005,1,MATCH(COLUMNS($AD$1006:AJ1006),$AD$1006:$AU$1006,0))&gt;=100000), " ",IF(INDEX($AD$2:$AU$1001,MATCH(ROWS($W$2:W454),$W$2:$W$1001,0),MATCH(COLUMNS($AD$1006:AJ1006),$AD$1006:$AU$1006,0)), HYPERLINK("#",""), HYPERLINK(CONCATENATE("#metadata!", ADDRESS(INDEX($Y$2:$Y$1001,MATCH(ROWS($W$2:W454),$W$2:$W$1001,0),0), INDEX($AD$1004:$AU$1004,1,MATCH(COLUMNS($AD$1006:AJ1006),$AD$1006:$AU$1006,0)))),"Fix")))</f>
        <v xml:space="preserve"> </v>
      </c>
      <c r="I454" s="4" t="str">
        <f ca="1">IF(OR(INDEX($X$2:$X$1001,MATCH(ROWS($W$2:W454),$W$2:$W$1001,0),1)&gt;=100000,INDEX($AD$1005:$AU$1005,1,MATCH(COLUMNS($AD$1006:AK1006),$AD$1006:$AU$1006,0))&gt;=100000), " ",IF(INDEX($AD$2:$AU$1001,MATCH(ROWS($W$2:W454),$W$2:$W$1001,0),MATCH(COLUMNS($AD$1006:AK1006),$AD$1006:$AU$1006,0)), HYPERLINK("#",""), HYPERLINK(CONCATENATE("#metadata!", ADDRESS(INDEX($Y$2:$Y$1001,MATCH(ROWS($W$2:W454),$W$2:$W$1001,0),0), INDEX($AD$1004:$AU$1004,1,MATCH(COLUMNS($AD$1006:AK1006),$AD$1006:$AU$1006,0)))),"Fix")))</f>
        <v xml:space="preserve"> </v>
      </c>
      <c r="J454" s="4" t="str">
        <f ca="1">IF(OR(INDEX($X$2:$X$1001,MATCH(ROWS($W$2:W454),$W$2:$W$1001,0),1)&gt;=100000,INDEX($AD$1005:$AU$1005,1,MATCH(COLUMNS($AD$1006:AL1006),$AD$1006:$AU$1006,0))&gt;=100000), " ",IF(INDEX($AD$2:$AU$1001,MATCH(ROWS($W$2:W454),$W$2:$W$1001,0),MATCH(COLUMNS($AD$1006:AL1006),$AD$1006:$AU$1006,0)), HYPERLINK("#",""), HYPERLINK(CONCATENATE("#metadata!", ADDRESS(INDEX($Y$2:$Y$1001,MATCH(ROWS($W$2:W454),$W$2:$W$1001,0),0), INDEX($AD$1004:$AU$1004,1,MATCH(COLUMNS($AD$1006:AL1006),$AD$1006:$AU$1006,0)))),"Fix")))</f>
        <v xml:space="preserve"> </v>
      </c>
      <c r="K454" s="4" t="str">
        <f ca="1">IF(OR(INDEX($X$2:$X$1001,MATCH(ROWS($W$2:W454),$W$2:$W$1001,0),1)&gt;=100000,INDEX($AD$1005:$AU$1005,1,MATCH(COLUMNS($AD$1006:AM1006),$AD$1006:$AU$1006,0))&gt;=100000), " ",IF(INDEX($AD$2:$AU$1001,MATCH(ROWS($W$2:W454),$W$2:$W$1001,0),MATCH(COLUMNS($AD$1006:AM1006),$AD$1006:$AU$1006,0)), HYPERLINK("#",""), HYPERLINK(CONCATENATE("#metadata!", ADDRESS(INDEX($Y$2:$Y$1001,MATCH(ROWS($W$2:W454),$W$2:$W$1001,0),0), INDEX($AD$1004:$AU$1004,1,MATCH(COLUMNS($AD$1006:AM1006),$AD$1006:$AU$1006,0)))),"Fix")))</f>
        <v xml:space="preserve"> </v>
      </c>
      <c r="L454" s="4" t="str">
        <f ca="1">IF(OR(INDEX($X$2:$X$1001,MATCH(ROWS($W$2:W454),$W$2:$W$1001,0),1)&gt;=100000,INDEX($AD$1005:$AU$1005,1,MATCH(COLUMNS($AD$1006:AN1006),$AD$1006:$AU$1006,0))&gt;=100000), " ",IF(INDEX($AD$2:$AU$1001,MATCH(ROWS($W$2:W454),$W$2:$W$1001,0),MATCH(COLUMNS($AD$1006:AN1006),$AD$1006:$AU$1006,0)), HYPERLINK("#",""), HYPERLINK(CONCATENATE("#metadata!", ADDRESS(INDEX($Y$2:$Y$1001,MATCH(ROWS($W$2:W454),$W$2:$W$1001,0),0), INDEX($AD$1004:$AU$1004,1,MATCH(COLUMNS($AD$1006:AN1006),$AD$1006:$AU$1006,0)))),"Fix")))</f>
        <v xml:space="preserve"> </v>
      </c>
      <c r="M454" s="4" t="str">
        <f ca="1">IF(OR(INDEX($X$2:$X$1001,MATCH(ROWS($W$2:W454),$W$2:$W$1001,0),1)&gt;=100000,INDEX($AD$1005:$AU$1005,1,MATCH(COLUMNS($AD$1006:AO1006),$AD$1006:$AU$1006,0))&gt;=100000), " ",IF(INDEX($AD$2:$AU$1001,MATCH(ROWS($W$2:W454),$W$2:$W$1001,0),MATCH(COLUMNS($AD$1006:AO1006),$AD$1006:$AU$1006,0)), HYPERLINK("#",""), HYPERLINK(CONCATENATE("#metadata!", ADDRESS(INDEX($Y$2:$Y$1001,MATCH(ROWS($W$2:W454),$W$2:$W$1001,0),0), INDEX($AD$1004:$AU$1004,1,MATCH(COLUMNS($AD$1006:AO1006),$AD$1006:$AU$1006,0)))),"Fix")))</f>
        <v xml:space="preserve"> </v>
      </c>
      <c r="N454" s="4" t="str">
        <f ca="1">IF(OR(INDEX($X$2:$X$1001,MATCH(ROWS($W$2:W454),$W$2:$W$1001,0),1)&gt;=100000,INDEX($AD$1005:$AU$1005,1,MATCH(COLUMNS($AD$1006:AP1006),$AD$1006:$AU$1006,0))&gt;=100000), " ",IF(INDEX($AD$2:$AU$1001,MATCH(ROWS($W$2:W454),$W$2:$W$1001,0),MATCH(COLUMNS($AD$1006:AP1006),$AD$1006:$AU$1006,0)), HYPERLINK("#",""), HYPERLINK(CONCATENATE("#metadata!", ADDRESS(INDEX($Y$2:$Y$1001,MATCH(ROWS($W$2:W454),$W$2:$W$1001,0),0), INDEX($AD$1004:$AU$1004,1,MATCH(COLUMNS($AD$1006:AP1006),$AD$1006:$AU$1006,0)))),"Fix")))</f>
        <v xml:space="preserve"> </v>
      </c>
      <c r="O454" s="4" t="str">
        <f ca="1">IF(OR(INDEX($X$2:$X$1001,MATCH(ROWS($W$2:W454),$W$2:$W$1001,0),1)&gt;=100000,INDEX($AD$1005:$AU$1005,1,MATCH(COLUMNS($AD$1006:AQ1006),$AD$1006:$AU$1006,0))&gt;=100000), " ",IF(INDEX($AD$2:$AU$1001,MATCH(ROWS($W$2:W454),$W$2:$W$1001,0),MATCH(COLUMNS($AD$1006:AQ1006),$AD$1006:$AU$1006,0)), HYPERLINK("#",""), HYPERLINK(CONCATENATE("#metadata!", ADDRESS(INDEX($Y$2:$Y$1001,MATCH(ROWS($W$2:W454),$W$2:$W$1001,0),0), INDEX($AD$1004:$AU$1004,1,MATCH(COLUMNS($AD$1006:AQ1006),$AD$1006:$AU$1006,0)))),"Fix")))</f>
        <v xml:space="preserve"> </v>
      </c>
      <c r="P454" s="4" t="str">
        <f ca="1">IF(OR(INDEX($X$2:$X$1001,MATCH(ROWS($W$2:W454),$W$2:$W$1001,0),1)&gt;=100000,INDEX($AD$1005:$AU$1005,1,MATCH(COLUMNS($AD$1006:AR1006),$AD$1006:$AU$1006,0))&gt;=100000), " ",IF(INDEX($AD$2:$AU$1001,MATCH(ROWS($W$2:W454),$W$2:$W$1001,0),MATCH(COLUMNS($AD$1006:AR1006),$AD$1006:$AU$1006,0)), HYPERLINK("#",""), HYPERLINK(CONCATENATE("#metadata!", ADDRESS(INDEX($Y$2:$Y$1001,MATCH(ROWS($W$2:W454),$W$2:$W$1001,0),0), INDEX($AD$1004:$AU$1004,1,MATCH(COLUMNS($AD$1006:AR1006),$AD$1006:$AU$1006,0)))),"Fix")))</f>
        <v xml:space="preserve"> </v>
      </c>
      <c r="Q454" s="4" t="str">
        <f ca="1">IF(OR(INDEX($X$2:$X$1001,MATCH(ROWS($W$2:W454),$W$2:$W$1001,0),1)&gt;=100000,INDEX($AD$1005:$AU$1005,1,MATCH(COLUMNS($AD$1006:AS1006),$AD$1006:$AU$1006,0))&gt;=100000), " ",IF(INDEX($AD$2:$AU$1001,MATCH(ROWS($W$2:W454),$W$2:$W$1001,0),MATCH(COLUMNS($AD$1006:AS1006),$AD$1006:$AU$1006,0)), HYPERLINK("#",""), HYPERLINK(CONCATENATE("#metadata!", ADDRESS(INDEX($Y$2:$Y$1001,MATCH(ROWS($W$2:W454),$W$2:$W$1001,0),0), INDEX($AD$1004:$AU$1004,1,MATCH(COLUMNS($AD$1006:AS1006),$AD$1006:$AU$1006,0)))),"Fix")))</f>
        <v xml:space="preserve"> </v>
      </c>
      <c r="R454" s="4" t="str">
        <f ca="1">IF(OR(INDEX($X$2:$X$1001,MATCH(ROWS($W$2:W454),$W$2:$W$1001,0),1)&gt;=100000,INDEX($AD$1005:$AU$1005,1,MATCH(COLUMNS($AD$1006:AT1006),$AD$1006:$AU$1006,0))&gt;=100000), " ",IF(INDEX($AD$2:$AU$1001,MATCH(ROWS($W$2:W454),$W$2:$W$1001,0),MATCH(COLUMNS($AD$1006:AT1006),$AD$1006:$AU$1006,0)), HYPERLINK("#",""), HYPERLINK(CONCATENATE("#metadata!", ADDRESS(INDEX($Y$2:$Y$1001,MATCH(ROWS($W$2:W454),$W$2:$W$1001,0),0), INDEX($AD$1004:$AU$1004,1,MATCH(COLUMNS($AD$1006:AT1006),$AD$1006:$AU$1006,0)))),"Fix")))</f>
        <v xml:space="preserve"> </v>
      </c>
      <c r="S454" s="4" t="str">
        <f ca="1">IF(OR(INDEX($X$2:$X$1001,MATCH(ROWS($W$2:W454),$W$2:$W$1001,0),1)&gt;=100000,INDEX($AD$1005:$AU$1005,1,MATCH(COLUMNS($AD$1006:AU1006),$AD$1006:$AU$1006,0))&gt;=100000), " ",IF(INDEX($AD$2:$AU$1001,MATCH(ROWS($W$2:W454),$W$2:$W$1001,0),MATCH(COLUMNS($AD$1006:AU1006),$AD$1006:$AU$1006,0)), HYPERLINK("#",""), HYPERLINK(CONCATENATE("#metadata!", ADDRESS(INDEX($Y$2:$Y$1001,MATCH(ROWS($W$2:W454),$W$2:$W$1001,0),0), INDEX($AD$1004:$AU$1004,1,MATCH(COLUMNS($AD$1006:AU1006),$AD$1006:$AU$1006,0)))),"Fix")))</f>
        <v xml:space="preserve"> </v>
      </c>
      <c r="W454">
        <v>453</v>
      </c>
      <c r="X454">
        <v>100454</v>
      </c>
      <c r="Y454">
        <v>454</v>
      </c>
      <c r="Z454" t="b">
        <f t="shared" si="7"/>
        <v>1</v>
      </c>
      <c r="AA454" t="b">
        <f>COUNTBLANK(metadata!B454:S454)=COLUMNS(metadata!B454:S454)</f>
        <v>1</v>
      </c>
      <c r="AB454" t="str">
        <v/>
      </c>
      <c r="AD454" t="b">
        <f ca="1">AND(IF(metadata!B454="",FALSE,TRUE),COUNTIF(metadata!B:B, metadata!B454) = 1,NOT(ISERROR(SUMPRODUCT(SEARCH(MID(metadata!B454,ROW(INDIRECT("1:"&amp;LEN(metadata!B454))), 1),"0123456789abcdefghijklmnopqrstuvwxyzABCDEFGHIJKLMNOPQRSTUVWXYZ.")))))</f>
        <v>0</v>
      </c>
      <c r="AE454" t="b">
        <f>OR(AND(IF(metadata!C454="",FALSE,TRUE),OR(EXACT(metadata!C454,"not applicable"),EXACT(metadata!C454,"missing: not collected"),EXACT(metadata!C454,"missing: not provided"),EXACT(metadata!C454,"missing: restricted access"))),AND(IF(metadata!C454="",FALSE,ISNUMBER(VALUE(metadata!C454))),metadata!C454&gt;0))</f>
        <v>0</v>
      </c>
      <c r="AF454" t="b">
        <f>AND(IF(metadata!D454="",FALSE,TRUE),EXACT(metadata!D454,"missing: not provided"))</f>
        <v>0</v>
      </c>
      <c r="AG454" t="b">
        <f>AND(IF(metadata!E454="",FALSE,TRUE),EXACT(metadata!E454,"Host-associated"))</f>
        <v>0</v>
      </c>
      <c r="AH454" t="b">
        <f>AND(IF(metadata!F454="",FALSE,TRUE),OR(EXACT(metadata!F454,"Animal"),EXACT(metadata!F454,"Fungus"),EXACT(metadata!F454,"Plant")))</f>
        <v>0</v>
      </c>
      <c r="AI454" t="b">
        <f>AND(IF(metadata!G454="",FALSE,TRUE),OR(EXACT(metadata!G454,"Plant secretion"),EXACT(metadata!G454,"Plant rhizosphere"),EXACT(metadata!G454,"Plant surface"),EXACT(metadata!G454,"Plant corpus"),EXACT(metadata!G454,"Fungus surface"),EXACT(metadata!G454,"Fungus corpus"),EXACT(metadata!G454,"Animal surface"),EXACT(metadata!G454,"Animal proximal gut"),EXACT(metadata!G454,"Animal corpus"),EXACT(metadata!G454,"Animal distal gut"),EXACT(metadata!G454,"Animal secretion")))</f>
        <v>0</v>
      </c>
      <c r="AJ454" t="b">
        <f>OR(AND(IF(metadata!H454="",FALSE,TRUE),OR(EXACT(metadata!H454,"missing: not collected"),EXACT(metadata!H454,"missing: not provided"),EXACT(metadata!H454,"missing: restricted access"))),AND(IF(metadata!H454="",FALSE,TRUE),OR(EXACT(metadata!H454,"organism-associated habitat"),EXACT(metadata!H454,"plant-associated habitat"),EXACT(metadata!H454,"animal-associated habitat"),EXACT(metadata!H454,"insecta-associated habitat"),EXACT(metadata!H454,"mammalia-associated habitat"),EXACT(metadata!H454,"human-associated habitat"),EXACT(metadata!H454,"livestock-associated habitat"))))</f>
        <v>0</v>
      </c>
      <c r="AK454" t="b">
        <f>AND(IF(metadata!I454="",FALSE,TRUE),EXACT(metadata!I454,"host-associated"))</f>
        <v>0</v>
      </c>
      <c r="AL454" t="b">
        <f>OR(AND(IF(metadata!J454="",FALSE,TRUE),OR(EXACT(metadata!J454,"not applicable"),EXACT(metadata!J454,"missing: not collected"),EXACT(metadata!J454,"missing: not provided"),EXACT(metadata!J454,"missing: restricted access"))),AND(IF(metadata!J454="",FALSE,ISNUMBER(VALUE(metadata!J454))),metadata!J454&gt;0))</f>
        <v>0</v>
      </c>
      <c r="AM454" t="b">
        <f>AND(IF(metadata!K454="",FALSE,TRUE),EXACT(metadata!K454,"missing: not provided"))</f>
        <v>0</v>
      </c>
      <c r="AN454" t="b">
        <f>IF(metadata!L454="",FALSE,TRUE)</f>
        <v>0</v>
      </c>
      <c r="AO454" t="b">
        <f>IF(metadata!M454="",FALSE,TRUE)</f>
        <v>0</v>
      </c>
      <c r="AP454" t="b">
        <f>OR(AND(IF(metadata!N454="",FALSE,TRUE),OR(EXACT(metadata!N454,"not applicable"),EXACT(metadata!N454,"missing: not collected"),EXACT(metadata!N454,"missing: not provided"))),AND(IF(metadata!N454="",FALSE,IF(ISERROR(INT(metadata!N454)),FALSE,INT(metadata!N454)=metadata!N454)),metadata!N454&gt;0))</f>
        <v>0</v>
      </c>
      <c r="AQ454" t="b">
        <f>AND(IF(metadata!O454="",FALSE,TRUE),EXACT(metadata!O454,"Not applicable"))</f>
        <v>0</v>
      </c>
      <c r="AR454" t="b">
        <f>OR(AND(IF(metadata!P454="",FALSE,TRUE),OR(EXACT(metadata!P454,"not applicable"),EXACT(metadata!P454,"missing: not collected"),EXACT(metadata!P454,"missing: not provided"),EXACT(metadata!P454,"missing: restricted access"))),IF(metadata!P454="",FALSE,IF(ISERROR(INT(metadata!P454)),FALSE,INT(metadata!P454)=metadata!P454)))</f>
        <v>0</v>
      </c>
      <c r="AS454" t="b">
        <f>AND(IF(metadata!Q454="",FALSE,TRUE),EXACT(metadata!Q454,"Not applicable"))</f>
        <v>0</v>
      </c>
      <c r="AT454" t="b">
        <f>OR(AND(IF(metadata!R454="",FALSE,TRUE),OR(EXACT(metadata!R454,"not applicable"),EXACT(metadata!R454,"missing: not collected"),EXACT(metadata!R454,"missing: not provided"),EXACT(metadata!R454,"missing: restricted access"))),AND(IF(metadata!R454="",FALSE,ISNUMBER(VALUE(metadata!R454))),metadata!R454&gt;0))</f>
        <v>0</v>
      </c>
      <c r="AU454" t="b">
        <f>AND(IF(metadata!S454="",FALSE,TRUE),EXACT(metadata!S454,"missing: not provided"))</f>
        <v>0</v>
      </c>
    </row>
    <row r="455" spans="1:47" x14ac:dyDescent="0.2">
      <c r="A455" s="5" t="str">
        <f ca="1">IF(B455=" "," ",HYPERLINK(CONCATENATE("#metadata!",ADDRESS(INDEX($Y$2:$Y$1001,MATCH(ROWS($W$2:W455),$W$2:$W$1001,0),0),1)),INDEX($AB$2:$AB$1001,MATCH(ROWS($W$2:W455),$W$2:$W$1001,0),0)))</f>
        <v xml:space="preserve"> </v>
      </c>
      <c r="B455" s="4" t="str">
        <f ca="1">IF(OR(INDEX($X$2:$X$1001,MATCH(ROWS($W$2:W455),$W$2:$W$1001,0),1)&gt;=100000,INDEX($AD$1005:$AU$1005,1,MATCH(COLUMNS($AD$1006:AD1006),$AD$1006:$AU$1006,0))&gt;=100000), " ",IF(INDEX($AD$2:$AU$1001,MATCH(ROWS($W$2:W455),$W$2:$W$1001,0),MATCH(COLUMNS($AD$1006:AD1006),$AD$1006:$AU$1006,0)), HYPERLINK("#",""), HYPERLINK(CONCATENATE("#metadata!", ADDRESS(INDEX($Y$2:$Y$1001,MATCH(ROWS($W$2:W455),$W$2:$W$1001,0),0), INDEX($AD$1004:$AU$1004,1,MATCH(COLUMNS($AD$1006:AD1006),$AD$1006:$AU$1006,0)))),"Fix")))</f>
        <v xml:space="preserve"> </v>
      </c>
      <c r="C455" s="4" t="str">
        <f ca="1">IF(OR(INDEX($X$2:$X$1001,MATCH(ROWS($W$2:W455),$W$2:$W$1001,0),1)&gt;=100000,INDEX($AD$1005:$AU$1005,1,MATCH(COLUMNS($AD$1006:AE1006),$AD$1006:$AU$1006,0))&gt;=100000), " ",IF(INDEX($AD$2:$AU$1001,MATCH(ROWS($W$2:W455),$W$2:$W$1001,0),MATCH(COLUMNS($AD$1006:AE1006),$AD$1006:$AU$1006,0)), HYPERLINK("#",""), HYPERLINK(CONCATENATE("#metadata!", ADDRESS(INDEX($Y$2:$Y$1001,MATCH(ROWS($W$2:W455),$W$2:$W$1001,0),0), INDEX($AD$1004:$AU$1004,1,MATCH(COLUMNS($AD$1006:AE1006),$AD$1006:$AU$1006,0)))),"Fix")))</f>
        <v xml:space="preserve"> </v>
      </c>
      <c r="D455" s="4" t="str">
        <f ca="1">IF(OR(INDEX($X$2:$X$1001,MATCH(ROWS($W$2:W455),$W$2:$W$1001,0),1)&gt;=100000,INDEX($AD$1005:$AU$1005,1,MATCH(COLUMNS($AD$1006:AF1006),$AD$1006:$AU$1006,0))&gt;=100000), " ",IF(INDEX($AD$2:$AU$1001,MATCH(ROWS($W$2:W455),$W$2:$W$1001,0),MATCH(COLUMNS($AD$1006:AF1006),$AD$1006:$AU$1006,0)), HYPERLINK("#",""), HYPERLINK(CONCATENATE("#metadata!", ADDRESS(INDEX($Y$2:$Y$1001,MATCH(ROWS($W$2:W455),$W$2:$W$1001,0),0), INDEX($AD$1004:$AU$1004,1,MATCH(COLUMNS($AD$1006:AF1006),$AD$1006:$AU$1006,0)))),"Fix")))</f>
        <v xml:space="preserve"> </v>
      </c>
      <c r="E455" s="4" t="str">
        <f ca="1">IF(OR(INDEX($X$2:$X$1001,MATCH(ROWS($W$2:W455),$W$2:$W$1001,0),1)&gt;=100000,INDEX($AD$1005:$AU$1005,1,MATCH(COLUMNS($AD$1006:AG1006),$AD$1006:$AU$1006,0))&gt;=100000), " ",IF(INDEX($AD$2:$AU$1001,MATCH(ROWS($W$2:W455),$W$2:$W$1001,0),MATCH(COLUMNS($AD$1006:AG1006),$AD$1006:$AU$1006,0)), HYPERLINK("#",""), HYPERLINK(CONCATENATE("#metadata!", ADDRESS(INDEX($Y$2:$Y$1001,MATCH(ROWS($W$2:W455),$W$2:$W$1001,0),0), INDEX($AD$1004:$AU$1004,1,MATCH(COLUMNS($AD$1006:AG1006),$AD$1006:$AU$1006,0)))),"Fix")))</f>
        <v xml:space="preserve"> </v>
      </c>
      <c r="F455" s="4" t="str">
        <f ca="1">IF(OR(INDEX($X$2:$X$1001,MATCH(ROWS($W$2:W455),$W$2:$W$1001,0),1)&gt;=100000,INDEX($AD$1005:$AU$1005,1,MATCH(COLUMNS($AD$1006:AH1006),$AD$1006:$AU$1006,0))&gt;=100000), " ",IF(INDEX($AD$2:$AU$1001,MATCH(ROWS($W$2:W455),$W$2:$W$1001,0),MATCH(COLUMNS($AD$1006:AH1006),$AD$1006:$AU$1006,0)), HYPERLINK("#",""), HYPERLINK(CONCATENATE("#metadata!", ADDRESS(INDEX($Y$2:$Y$1001,MATCH(ROWS($W$2:W455),$W$2:$W$1001,0),0), INDEX($AD$1004:$AU$1004,1,MATCH(COLUMNS($AD$1006:AH1006),$AD$1006:$AU$1006,0)))),"Fix")))</f>
        <v xml:space="preserve"> </v>
      </c>
      <c r="G455" s="4" t="str">
        <f ca="1">IF(OR(INDEX($X$2:$X$1001,MATCH(ROWS($W$2:W455),$W$2:$W$1001,0),1)&gt;=100000,INDEX($AD$1005:$AU$1005,1,MATCH(COLUMNS($AD$1006:AI1006),$AD$1006:$AU$1006,0))&gt;=100000), " ",IF(INDEX($AD$2:$AU$1001,MATCH(ROWS($W$2:W455),$W$2:$W$1001,0),MATCH(COLUMNS($AD$1006:AI1006),$AD$1006:$AU$1006,0)), HYPERLINK("#",""), HYPERLINK(CONCATENATE("#metadata!", ADDRESS(INDEX($Y$2:$Y$1001,MATCH(ROWS($W$2:W455),$W$2:$W$1001,0),0), INDEX($AD$1004:$AU$1004,1,MATCH(COLUMNS($AD$1006:AI1006),$AD$1006:$AU$1006,0)))),"Fix")))</f>
        <v xml:space="preserve"> </v>
      </c>
      <c r="H455" s="4" t="str">
        <f ca="1">IF(OR(INDEX($X$2:$X$1001,MATCH(ROWS($W$2:W455),$W$2:$W$1001,0),1)&gt;=100000,INDEX($AD$1005:$AU$1005,1,MATCH(COLUMNS($AD$1006:AJ1006),$AD$1006:$AU$1006,0))&gt;=100000), " ",IF(INDEX($AD$2:$AU$1001,MATCH(ROWS($W$2:W455),$W$2:$W$1001,0),MATCH(COLUMNS($AD$1006:AJ1006),$AD$1006:$AU$1006,0)), HYPERLINK("#",""), HYPERLINK(CONCATENATE("#metadata!", ADDRESS(INDEX($Y$2:$Y$1001,MATCH(ROWS($W$2:W455),$W$2:$W$1001,0),0), INDEX($AD$1004:$AU$1004,1,MATCH(COLUMNS($AD$1006:AJ1006),$AD$1006:$AU$1006,0)))),"Fix")))</f>
        <v xml:space="preserve"> </v>
      </c>
      <c r="I455" s="4" t="str">
        <f ca="1">IF(OR(INDEX($X$2:$X$1001,MATCH(ROWS($W$2:W455),$W$2:$W$1001,0),1)&gt;=100000,INDEX($AD$1005:$AU$1005,1,MATCH(COLUMNS($AD$1006:AK1006),$AD$1006:$AU$1006,0))&gt;=100000), " ",IF(INDEX($AD$2:$AU$1001,MATCH(ROWS($W$2:W455),$W$2:$W$1001,0),MATCH(COLUMNS($AD$1006:AK1006),$AD$1006:$AU$1006,0)), HYPERLINK("#",""), HYPERLINK(CONCATENATE("#metadata!", ADDRESS(INDEX($Y$2:$Y$1001,MATCH(ROWS($W$2:W455),$W$2:$W$1001,0),0), INDEX($AD$1004:$AU$1004,1,MATCH(COLUMNS($AD$1006:AK1006),$AD$1006:$AU$1006,0)))),"Fix")))</f>
        <v xml:space="preserve"> </v>
      </c>
      <c r="J455" s="4" t="str">
        <f ca="1">IF(OR(INDEX($X$2:$X$1001,MATCH(ROWS($W$2:W455),$W$2:$W$1001,0),1)&gt;=100000,INDEX($AD$1005:$AU$1005,1,MATCH(COLUMNS($AD$1006:AL1006),$AD$1006:$AU$1006,0))&gt;=100000), " ",IF(INDEX($AD$2:$AU$1001,MATCH(ROWS($W$2:W455),$W$2:$W$1001,0),MATCH(COLUMNS($AD$1006:AL1006),$AD$1006:$AU$1006,0)), HYPERLINK("#",""), HYPERLINK(CONCATENATE("#metadata!", ADDRESS(INDEX($Y$2:$Y$1001,MATCH(ROWS($W$2:W455),$W$2:$W$1001,0),0), INDEX($AD$1004:$AU$1004,1,MATCH(COLUMNS($AD$1006:AL1006),$AD$1006:$AU$1006,0)))),"Fix")))</f>
        <v xml:space="preserve"> </v>
      </c>
      <c r="K455" s="4" t="str">
        <f ca="1">IF(OR(INDEX($X$2:$X$1001,MATCH(ROWS($W$2:W455),$W$2:$W$1001,0),1)&gt;=100000,INDEX($AD$1005:$AU$1005,1,MATCH(COLUMNS($AD$1006:AM1006),$AD$1006:$AU$1006,0))&gt;=100000), " ",IF(INDEX($AD$2:$AU$1001,MATCH(ROWS($W$2:W455),$W$2:$W$1001,0),MATCH(COLUMNS($AD$1006:AM1006),$AD$1006:$AU$1006,0)), HYPERLINK("#",""), HYPERLINK(CONCATENATE("#metadata!", ADDRESS(INDEX($Y$2:$Y$1001,MATCH(ROWS($W$2:W455),$W$2:$W$1001,0),0), INDEX($AD$1004:$AU$1004,1,MATCH(COLUMNS($AD$1006:AM1006),$AD$1006:$AU$1006,0)))),"Fix")))</f>
        <v xml:space="preserve"> </v>
      </c>
      <c r="L455" s="4" t="str">
        <f ca="1">IF(OR(INDEX($X$2:$X$1001,MATCH(ROWS($W$2:W455),$W$2:$W$1001,0),1)&gt;=100000,INDEX($AD$1005:$AU$1005,1,MATCH(COLUMNS($AD$1006:AN1006),$AD$1006:$AU$1006,0))&gt;=100000), " ",IF(INDEX($AD$2:$AU$1001,MATCH(ROWS($W$2:W455),$W$2:$W$1001,0),MATCH(COLUMNS($AD$1006:AN1006),$AD$1006:$AU$1006,0)), HYPERLINK("#",""), HYPERLINK(CONCATENATE("#metadata!", ADDRESS(INDEX($Y$2:$Y$1001,MATCH(ROWS($W$2:W455),$W$2:$W$1001,0),0), INDEX($AD$1004:$AU$1004,1,MATCH(COLUMNS($AD$1006:AN1006),$AD$1006:$AU$1006,0)))),"Fix")))</f>
        <v xml:space="preserve"> </v>
      </c>
      <c r="M455" s="4" t="str">
        <f ca="1">IF(OR(INDEX($X$2:$X$1001,MATCH(ROWS($W$2:W455),$W$2:$W$1001,0),1)&gt;=100000,INDEX($AD$1005:$AU$1005,1,MATCH(COLUMNS($AD$1006:AO1006),$AD$1006:$AU$1006,0))&gt;=100000), " ",IF(INDEX($AD$2:$AU$1001,MATCH(ROWS($W$2:W455),$W$2:$W$1001,0),MATCH(COLUMNS($AD$1006:AO1006),$AD$1006:$AU$1006,0)), HYPERLINK("#",""), HYPERLINK(CONCATENATE("#metadata!", ADDRESS(INDEX($Y$2:$Y$1001,MATCH(ROWS($W$2:W455),$W$2:$W$1001,0),0), INDEX($AD$1004:$AU$1004,1,MATCH(COLUMNS($AD$1006:AO1006),$AD$1006:$AU$1006,0)))),"Fix")))</f>
        <v xml:space="preserve"> </v>
      </c>
      <c r="N455" s="4" t="str">
        <f ca="1">IF(OR(INDEX($X$2:$X$1001,MATCH(ROWS($W$2:W455),$W$2:$W$1001,0),1)&gt;=100000,INDEX($AD$1005:$AU$1005,1,MATCH(COLUMNS($AD$1006:AP1006),$AD$1006:$AU$1006,0))&gt;=100000), " ",IF(INDEX($AD$2:$AU$1001,MATCH(ROWS($W$2:W455),$W$2:$W$1001,0),MATCH(COLUMNS($AD$1006:AP1006),$AD$1006:$AU$1006,0)), HYPERLINK("#",""), HYPERLINK(CONCATENATE("#metadata!", ADDRESS(INDEX($Y$2:$Y$1001,MATCH(ROWS($W$2:W455),$W$2:$W$1001,0),0), INDEX($AD$1004:$AU$1004,1,MATCH(COLUMNS($AD$1006:AP1006),$AD$1006:$AU$1006,0)))),"Fix")))</f>
        <v xml:space="preserve"> </v>
      </c>
      <c r="O455" s="4" t="str">
        <f ca="1">IF(OR(INDEX($X$2:$X$1001,MATCH(ROWS($W$2:W455),$W$2:$W$1001,0),1)&gt;=100000,INDEX($AD$1005:$AU$1005,1,MATCH(COLUMNS($AD$1006:AQ1006),$AD$1006:$AU$1006,0))&gt;=100000), " ",IF(INDEX($AD$2:$AU$1001,MATCH(ROWS($W$2:W455),$W$2:$W$1001,0),MATCH(COLUMNS($AD$1006:AQ1006),$AD$1006:$AU$1006,0)), HYPERLINK("#",""), HYPERLINK(CONCATENATE("#metadata!", ADDRESS(INDEX($Y$2:$Y$1001,MATCH(ROWS($W$2:W455),$W$2:$W$1001,0),0), INDEX($AD$1004:$AU$1004,1,MATCH(COLUMNS($AD$1006:AQ1006),$AD$1006:$AU$1006,0)))),"Fix")))</f>
        <v xml:space="preserve"> </v>
      </c>
      <c r="P455" s="4" t="str">
        <f ca="1">IF(OR(INDEX($X$2:$X$1001,MATCH(ROWS($W$2:W455),$W$2:$W$1001,0),1)&gt;=100000,INDEX($AD$1005:$AU$1005,1,MATCH(COLUMNS($AD$1006:AR1006),$AD$1006:$AU$1006,0))&gt;=100000), " ",IF(INDEX($AD$2:$AU$1001,MATCH(ROWS($W$2:W455),$W$2:$W$1001,0),MATCH(COLUMNS($AD$1006:AR1006),$AD$1006:$AU$1006,0)), HYPERLINK("#",""), HYPERLINK(CONCATENATE("#metadata!", ADDRESS(INDEX($Y$2:$Y$1001,MATCH(ROWS($W$2:W455),$W$2:$W$1001,0),0), INDEX($AD$1004:$AU$1004,1,MATCH(COLUMNS($AD$1006:AR1006),$AD$1006:$AU$1006,0)))),"Fix")))</f>
        <v xml:space="preserve"> </v>
      </c>
      <c r="Q455" s="4" t="str">
        <f ca="1">IF(OR(INDEX($X$2:$X$1001,MATCH(ROWS($W$2:W455),$W$2:$W$1001,0),1)&gt;=100000,INDEX($AD$1005:$AU$1005,1,MATCH(COLUMNS($AD$1006:AS1006),$AD$1006:$AU$1006,0))&gt;=100000), " ",IF(INDEX($AD$2:$AU$1001,MATCH(ROWS($W$2:W455),$W$2:$W$1001,0),MATCH(COLUMNS($AD$1006:AS1006),$AD$1006:$AU$1006,0)), HYPERLINK("#",""), HYPERLINK(CONCATENATE("#metadata!", ADDRESS(INDEX($Y$2:$Y$1001,MATCH(ROWS($W$2:W455),$W$2:$W$1001,0),0), INDEX($AD$1004:$AU$1004,1,MATCH(COLUMNS($AD$1006:AS1006),$AD$1006:$AU$1006,0)))),"Fix")))</f>
        <v xml:space="preserve"> </v>
      </c>
      <c r="R455" s="4" t="str">
        <f ca="1">IF(OR(INDEX($X$2:$X$1001,MATCH(ROWS($W$2:W455),$W$2:$W$1001,0),1)&gt;=100000,INDEX($AD$1005:$AU$1005,1,MATCH(COLUMNS($AD$1006:AT1006),$AD$1006:$AU$1006,0))&gt;=100000), " ",IF(INDEX($AD$2:$AU$1001,MATCH(ROWS($W$2:W455),$W$2:$W$1001,0),MATCH(COLUMNS($AD$1006:AT1006),$AD$1006:$AU$1006,0)), HYPERLINK("#",""), HYPERLINK(CONCATENATE("#metadata!", ADDRESS(INDEX($Y$2:$Y$1001,MATCH(ROWS($W$2:W455),$W$2:$W$1001,0),0), INDEX($AD$1004:$AU$1004,1,MATCH(COLUMNS($AD$1006:AT1006),$AD$1006:$AU$1006,0)))),"Fix")))</f>
        <v xml:space="preserve"> </v>
      </c>
      <c r="S455" s="4" t="str">
        <f ca="1">IF(OR(INDEX($X$2:$X$1001,MATCH(ROWS($W$2:W455),$W$2:$W$1001,0),1)&gt;=100000,INDEX($AD$1005:$AU$1005,1,MATCH(COLUMNS($AD$1006:AU1006),$AD$1006:$AU$1006,0))&gt;=100000), " ",IF(INDEX($AD$2:$AU$1001,MATCH(ROWS($W$2:W455),$W$2:$W$1001,0),MATCH(COLUMNS($AD$1006:AU1006),$AD$1006:$AU$1006,0)), HYPERLINK("#",""), HYPERLINK(CONCATENATE("#metadata!", ADDRESS(INDEX($Y$2:$Y$1001,MATCH(ROWS($W$2:W455),$W$2:$W$1001,0),0), INDEX($AD$1004:$AU$1004,1,MATCH(COLUMNS($AD$1006:AU1006),$AD$1006:$AU$1006,0)))),"Fix")))</f>
        <v xml:space="preserve"> </v>
      </c>
      <c r="W455">
        <v>454</v>
      </c>
      <c r="X455">
        <v>100455</v>
      </c>
      <c r="Y455">
        <v>455</v>
      </c>
      <c r="Z455" t="b">
        <f t="shared" si="7"/>
        <v>1</v>
      </c>
      <c r="AA455" t="b">
        <f>COUNTBLANK(metadata!B455:S455)=COLUMNS(metadata!B455:S455)</f>
        <v>1</v>
      </c>
      <c r="AB455" t="str">
        <v/>
      </c>
      <c r="AD455" t="b">
        <f ca="1">AND(IF(metadata!B455="",FALSE,TRUE),COUNTIF(metadata!B:B, metadata!B455) = 1,NOT(ISERROR(SUMPRODUCT(SEARCH(MID(metadata!B455,ROW(INDIRECT("1:"&amp;LEN(metadata!B455))), 1),"0123456789abcdefghijklmnopqrstuvwxyzABCDEFGHIJKLMNOPQRSTUVWXYZ.")))))</f>
        <v>0</v>
      </c>
      <c r="AE455" t="b">
        <f>OR(AND(IF(metadata!C455="",FALSE,TRUE),OR(EXACT(metadata!C455,"not applicable"),EXACT(metadata!C455,"missing: not collected"),EXACT(metadata!C455,"missing: not provided"),EXACT(metadata!C455,"missing: restricted access"))),AND(IF(metadata!C455="",FALSE,ISNUMBER(VALUE(metadata!C455))),metadata!C455&gt;0))</f>
        <v>0</v>
      </c>
      <c r="AF455" t="b">
        <f>AND(IF(metadata!D455="",FALSE,TRUE),EXACT(metadata!D455,"missing: not provided"))</f>
        <v>0</v>
      </c>
      <c r="AG455" t="b">
        <f>AND(IF(metadata!E455="",FALSE,TRUE),EXACT(metadata!E455,"Host-associated"))</f>
        <v>0</v>
      </c>
      <c r="AH455" t="b">
        <f>AND(IF(metadata!F455="",FALSE,TRUE),OR(EXACT(metadata!F455,"Animal"),EXACT(metadata!F455,"Fungus"),EXACT(metadata!F455,"Plant")))</f>
        <v>0</v>
      </c>
      <c r="AI455" t="b">
        <f>AND(IF(metadata!G455="",FALSE,TRUE),OR(EXACT(metadata!G455,"Plant secretion"),EXACT(metadata!G455,"Plant rhizosphere"),EXACT(metadata!G455,"Plant surface"),EXACT(metadata!G455,"Plant corpus"),EXACT(metadata!G455,"Fungus surface"),EXACT(metadata!G455,"Fungus corpus"),EXACT(metadata!G455,"Animal surface"),EXACT(metadata!G455,"Animal proximal gut"),EXACT(metadata!G455,"Animal corpus"),EXACT(metadata!G455,"Animal distal gut"),EXACT(metadata!G455,"Animal secretion")))</f>
        <v>0</v>
      </c>
      <c r="AJ455" t="b">
        <f>OR(AND(IF(metadata!H455="",FALSE,TRUE),OR(EXACT(metadata!H455,"missing: not collected"),EXACT(metadata!H455,"missing: not provided"),EXACT(metadata!H455,"missing: restricted access"))),AND(IF(metadata!H455="",FALSE,TRUE),OR(EXACT(metadata!H455,"organism-associated habitat"),EXACT(metadata!H455,"plant-associated habitat"),EXACT(metadata!H455,"animal-associated habitat"),EXACT(metadata!H455,"insecta-associated habitat"),EXACT(metadata!H455,"mammalia-associated habitat"),EXACT(metadata!H455,"human-associated habitat"),EXACT(metadata!H455,"livestock-associated habitat"))))</f>
        <v>0</v>
      </c>
      <c r="AK455" t="b">
        <f>AND(IF(metadata!I455="",FALSE,TRUE),EXACT(metadata!I455,"host-associated"))</f>
        <v>0</v>
      </c>
      <c r="AL455" t="b">
        <f>OR(AND(IF(metadata!J455="",FALSE,TRUE),OR(EXACT(metadata!J455,"not applicable"),EXACT(metadata!J455,"missing: not collected"),EXACT(metadata!J455,"missing: not provided"),EXACT(metadata!J455,"missing: restricted access"))),AND(IF(metadata!J455="",FALSE,ISNUMBER(VALUE(metadata!J455))),metadata!J455&gt;0))</f>
        <v>0</v>
      </c>
      <c r="AM455" t="b">
        <f>AND(IF(metadata!K455="",FALSE,TRUE),EXACT(metadata!K455,"missing: not provided"))</f>
        <v>0</v>
      </c>
      <c r="AN455" t="b">
        <f>IF(metadata!L455="",FALSE,TRUE)</f>
        <v>0</v>
      </c>
      <c r="AO455" t="b">
        <f>IF(metadata!M455="",FALSE,TRUE)</f>
        <v>0</v>
      </c>
      <c r="AP455" t="b">
        <f>OR(AND(IF(metadata!N455="",FALSE,TRUE),OR(EXACT(metadata!N455,"not applicable"),EXACT(metadata!N455,"missing: not collected"),EXACT(metadata!N455,"missing: not provided"))),AND(IF(metadata!N455="",FALSE,IF(ISERROR(INT(metadata!N455)),FALSE,INT(metadata!N455)=metadata!N455)),metadata!N455&gt;0))</f>
        <v>0</v>
      </c>
      <c r="AQ455" t="b">
        <f>AND(IF(metadata!O455="",FALSE,TRUE),EXACT(metadata!O455,"Not applicable"))</f>
        <v>0</v>
      </c>
      <c r="AR455" t="b">
        <f>OR(AND(IF(metadata!P455="",FALSE,TRUE),OR(EXACT(metadata!P455,"not applicable"),EXACT(metadata!P455,"missing: not collected"),EXACT(metadata!P455,"missing: not provided"),EXACT(metadata!P455,"missing: restricted access"))),IF(metadata!P455="",FALSE,IF(ISERROR(INT(metadata!P455)),FALSE,INT(metadata!P455)=metadata!P455)))</f>
        <v>0</v>
      </c>
      <c r="AS455" t="b">
        <f>AND(IF(metadata!Q455="",FALSE,TRUE),EXACT(metadata!Q455,"Not applicable"))</f>
        <v>0</v>
      </c>
      <c r="AT455" t="b">
        <f>OR(AND(IF(metadata!R455="",FALSE,TRUE),OR(EXACT(metadata!R455,"not applicable"),EXACT(metadata!R455,"missing: not collected"),EXACT(metadata!R455,"missing: not provided"),EXACT(metadata!R455,"missing: restricted access"))),AND(IF(metadata!R455="",FALSE,ISNUMBER(VALUE(metadata!R455))),metadata!R455&gt;0))</f>
        <v>0</v>
      </c>
      <c r="AU455" t="b">
        <f>AND(IF(metadata!S455="",FALSE,TRUE),EXACT(metadata!S455,"missing: not provided"))</f>
        <v>0</v>
      </c>
    </row>
    <row r="456" spans="1:47" x14ac:dyDescent="0.2">
      <c r="A456" s="5" t="str">
        <f ca="1">IF(B456=" "," ",HYPERLINK(CONCATENATE("#metadata!",ADDRESS(INDEX($Y$2:$Y$1001,MATCH(ROWS($W$2:W456),$W$2:$W$1001,0),0),1)),INDEX($AB$2:$AB$1001,MATCH(ROWS($W$2:W456),$W$2:$W$1001,0),0)))</f>
        <v xml:space="preserve"> </v>
      </c>
      <c r="B456" s="4" t="str">
        <f ca="1">IF(OR(INDEX($X$2:$X$1001,MATCH(ROWS($W$2:W456),$W$2:$W$1001,0),1)&gt;=100000,INDEX($AD$1005:$AU$1005,1,MATCH(COLUMNS($AD$1006:AD1006),$AD$1006:$AU$1006,0))&gt;=100000), " ",IF(INDEX($AD$2:$AU$1001,MATCH(ROWS($W$2:W456),$W$2:$W$1001,0),MATCH(COLUMNS($AD$1006:AD1006),$AD$1006:$AU$1006,0)), HYPERLINK("#",""), HYPERLINK(CONCATENATE("#metadata!", ADDRESS(INDEX($Y$2:$Y$1001,MATCH(ROWS($W$2:W456),$W$2:$W$1001,0),0), INDEX($AD$1004:$AU$1004,1,MATCH(COLUMNS($AD$1006:AD1006),$AD$1006:$AU$1006,0)))),"Fix")))</f>
        <v xml:space="preserve"> </v>
      </c>
      <c r="C456" s="4" t="str">
        <f ca="1">IF(OR(INDEX($X$2:$X$1001,MATCH(ROWS($W$2:W456),$W$2:$W$1001,0),1)&gt;=100000,INDEX($AD$1005:$AU$1005,1,MATCH(COLUMNS($AD$1006:AE1006),$AD$1006:$AU$1006,0))&gt;=100000), " ",IF(INDEX($AD$2:$AU$1001,MATCH(ROWS($W$2:W456),$W$2:$W$1001,0),MATCH(COLUMNS($AD$1006:AE1006),$AD$1006:$AU$1006,0)), HYPERLINK("#",""), HYPERLINK(CONCATENATE("#metadata!", ADDRESS(INDEX($Y$2:$Y$1001,MATCH(ROWS($W$2:W456),$W$2:$W$1001,0),0), INDEX($AD$1004:$AU$1004,1,MATCH(COLUMNS($AD$1006:AE1006),$AD$1006:$AU$1006,0)))),"Fix")))</f>
        <v xml:space="preserve"> </v>
      </c>
      <c r="D456" s="4" t="str">
        <f ca="1">IF(OR(INDEX($X$2:$X$1001,MATCH(ROWS($W$2:W456),$W$2:$W$1001,0),1)&gt;=100000,INDEX($AD$1005:$AU$1005,1,MATCH(COLUMNS($AD$1006:AF1006),$AD$1006:$AU$1006,0))&gt;=100000), " ",IF(INDEX($AD$2:$AU$1001,MATCH(ROWS($W$2:W456),$W$2:$W$1001,0),MATCH(COLUMNS($AD$1006:AF1006),$AD$1006:$AU$1006,0)), HYPERLINK("#",""), HYPERLINK(CONCATENATE("#metadata!", ADDRESS(INDEX($Y$2:$Y$1001,MATCH(ROWS($W$2:W456),$W$2:$W$1001,0),0), INDEX($AD$1004:$AU$1004,1,MATCH(COLUMNS($AD$1006:AF1006),$AD$1006:$AU$1006,0)))),"Fix")))</f>
        <v xml:space="preserve"> </v>
      </c>
      <c r="E456" s="4" t="str">
        <f ca="1">IF(OR(INDEX($X$2:$X$1001,MATCH(ROWS($W$2:W456),$W$2:$W$1001,0),1)&gt;=100000,INDEX($AD$1005:$AU$1005,1,MATCH(COLUMNS($AD$1006:AG1006),$AD$1006:$AU$1006,0))&gt;=100000), " ",IF(INDEX($AD$2:$AU$1001,MATCH(ROWS($W$2:W456),$W$2:$W$1001,0),MATCH(COLUMNS($AD$1006:AG1006),$AD$1006:$AU$1006,0)), HYPERLINK("#",""), HYPERLINK(CONCATENATE("#metadata!", ADDRESS(INDEX($Y$2:$Y$1001,MATCH(ROWS($W$2:W456),$W$2:$W$1001,0),0), INDEX($AD$1004:$AU$1004,1,MATCH(COLUMNS($AD$1006:AG1006),$AD$1006:$AU$1006,0)))),"Fix")))</f>
        <v xml:space="preserve"> </v>
      </c>
      <c r="F456" s="4" t="str">
        <f ca="1">IF(OR(INDEX($X$2:$X$1001,MATCH(ROWS($W$2:W456),$W$2:$W$1001,0),1)&gt;=100000,INDEX($AD$1005:$AU$1005,1,MATCH(COLUMNS($AD$1006:AH1006),$AD$1006:$AU$1006,0))&gt;=100000), " ",IF(INDEX($AD$2:$AU$1001,MATCH(ROWS($W$2:W456),$W$2:$W$1001,0),MATCH(COLUMNS($AD$1006:AH1006),$AD$1006:$AU$1006,0)), HYPERLINK("#",""), HYPERLINK(CONCATENATE("#metadata!", ADDRESS(INDEX($Y$2:$Y$1001,MATCH(ROWS($W$2:W456),$W$2:$W$1001,0),0), INDEX($AD$1004:$AU$1004,1,MATCH(COLUMNS($AD$1006:AH1006),$AD$1006:$AU$1006,0)))),"Fix")))</f>
        <v xml:space="preserve"> </v>
      </c>
      <c r="G456" s="4" t="str">
        <f ca="1">IF(OR(INDEX($X$2:$X$1001,MATCH(ROWS($W$2:W456),$W$2:$W$1001,0),1)&gt;=100000,INDEX($AD$1005:$AU$1005,1,MATCH(COLUMNS($AD$1006:AI1006),$AD$1006:$AU$1006,0))&gt;=100000), " ",IF(INDEX($AD$2:$AU$1001,MATCH(ROWS($W$2:W456),$W$2:$W$1001,0),MATCH(COLUMNS($AD$1006:AI1006),$AD$1006:$AU$1006,0)), HYPERLINK("#",""), HYPERLINK(CONCATENATE("#metadata!", ADDRESS(INDEX($Y$2:$Y$1001,MATCH(ROWS($W$2:W456),$W$2:$W$1001,0),0), INDEX($AD$1004:$AU$1004,1,MATCH(COLUMNS($AD$1006:AI1006),$AD$1006:$AU$1006,0)))),"Fix")))</f>
        <v xml:space="preserve"> </v>
      </c>
      <c r="H456" s="4" t="str">
        <f ca="1">IF(OR(INDEX($X$2:$X$1001,MATCH(ROWS($W$2:W456),$W$2:$W$1001,0),1)&gt;=100000,INDEX($AD$1005:$AU$1005,1,MATCH(COLUMNS($AD$1006:AJ1006),$AD$1006:$AU$1006,0))&gt;=100000), " ",IF(INDEX($AD$2:$AU$1001,MATCH(ROWS($W$2:W456),$W$2:$W$1001,0),MATCH(COLUMNS($AD$1006:AJ1006),$AD$1006:$AU$1006,0)), HYPERLINK("#",""), HYPERLINK(CONCATENATE("#metadata!", ADDRESS(INDEX($Y$2:$Y$1001,MATCH(ROWS($W$2:W456),$W$2:$W$1001,0),0), INDEX($AD$1004:$AU$1004,1,MATCH(COLUMNS($AD$1006:AJ1006),$AD$1006:$AU$1006,0)))),"Fix")))</f>
        <v xml:space="preserve"> </v>
      </c>
      <c r="I456" s="4" t="str">
        <f ca="1">IF(OR(INDEX($X$2:$X$1001,MATCH(ROWS($W$2:W456),$W$2:$W$1001,0),1)&gt;=100000,INDEX($AD$1005:$AU$1005,1,MATCH(COLUMNS($AD$1006:AK1006),$AD$1006:$AU$1006,0))&gt;=100000), " ",IF(INDEX($AD$2:$AU$1001,MATCH(ROWS($W$2:W456),$W$2:$W$1001,0),MATCH(COLUMNS($AD$1006:AK1006),$AD$1006:$AU$1006,0)), HYPERLINK("#",""), HYPERLINK(CONCATENATE("#metadata!", ADDRESS(INDEX($Y$2:$Y$1001,MATCH(ROWS($W$2:W456),$W$2:$W$1001,0),0), INDEX($AD$1004:$AU$1004,1,MATCH(COLUMNS($AD$1006:AK1006),$AD$1006:$AU$1006,0)))),"Fix")))</f>
        <v xml:space="preserve"> </v>
      </c>
      <c r="J456" s="4" t="str">
        <f ca="1">IF(OR(INDEX($X$2:$X$1001,MATCH(ROWS($W$2:W456),$W$2:$W$1001,0),1)&gt;=100000,INDEX($AD$1005:$AU$1005,1,MATCH(COLUMNS($AD$1006:AL1006),$AD$1006:$AU$1006,0))&gt;=100000), " ",IF(INDEX($AD$2:$AU$1001,MATCH(ROWS($W$2:W456),$W$2:$W$1001,0),MATCH(COLUMNS($AD$1006:AL1006),$AD$1006:$AU$1006,0)), HYPERLINK("#",""), HYPERLINK(CONCATENATE("#metadata!", ADDRESS(INDEX($Y$2:$Y$1001,MATCH(ROWS($W$2:W456),$W$2:$W$1001,0),0), INDEX($AD$1004:$AU$1004,1,MATCH(COLUMNS($AD$1006:AL1006),$AD$1006:$AU$1006,0)))),"Fix")))</f>
        <v xml:space="preserve"> </v>
      </c>
      <c r="K456" s="4" t="str">
        <f ca="1">IF(OR(INDEX($X$2:$X$1001,MATCH(ROWS($W$2:W456),$W$2:$W$1001,0),1)&gt;=100000,INDEX($AD$1005:$AU$1005,1,MATCH(COLUMNS($AD$1006:AM1006),$AD$1006:$AU$1006,0))&gt;=100000), " ",IF(INDEX($AD$2:$AU$1001,MATCH(ROWS($W$2:W456),$W$2:$W$1001,0),MATCH(COLUMNS($AD$1006:AM1006),$AD$1006:$AU$1006,0)), HYPERLINK("#",""), HYPERLINK(CONCATENATE("#metadata!", ADDRESS(INDEX($Y$2:$Y$1001,MATCH(ROWS($W$2:W456),$W$2:$W$1001,0),0), INDEX($AD$1004:$AU$1004,1,MATCH(COLUMNS($AD$1006:AM1006),$AD$1006:$AU$1006,0)))),"Fix")))</f>
        <v xml:space="preserve"> </v>
      </c>
      <c r="L456" s="4" t="str">
        <f ca="1">IF(OR(INDEX($X$2:$X$1001,MATCH(ROWS($W$2:W456),$W$2:$W$1001,0),1)&gt;=100000,INDEX($AD$1005:$AU$1005,1,MATCH(COLUMNS($AD$1006:AN1006),$AD$1006:$AU$1006,0))&gt;=100000), " ",IF(INDEX($AD$2:$AU$1001,MATCH(ROWS($W$2:W456),$W$2:$W$1001,0),MATCH(COLUMNS($AD$1006:AN1006),$AD$1006:$AU$1006,0)), HYPERLINK("#",""), HYPERLINK(CONCATENATE("#metadata!", ADDRESS(INDEX($Y$2:$Y$1001,MATCH(ROWS($W$2:W456),$W$2:$W$1001,0),0), INDEX($AD$1004:$AU$1004,1,MATCH(COLUMNS($AD$1006:AN1006),$AD$1006:$AU$1006,0)))),"Fix")))</f>
        <v xml:space="preserve"> </v>
      </c>
      <c r="M456" s="4" t="str">
        <f ca="1">IF(OR(INDEX($X$2:$X$1001,MATCH(ROWS($W$2:W456),$W$2:$W$1001,0),1)&gt;=100000,INDEX($AD$1005:$AU$1005,1,MATCH(COLUMNS($AD$1006:AO1006),$AD$1006:$AU$1006,0))&gt;=100000), " ",IF(INDEX($AD$2:$AU$1001,MATCH(ROWS($W$2:W456),$W$2:$W$1001,0),MATCH(COLUMNS($AD$1006:AO1006),$AD$1006:$AU$1006,0)), HYPERLINK("#",""), HYPERLINK(CONCATENATE("#metadata!", ADDRESS(INDEX($Y$2:$Y$1001,MATCH(ROWS($W$2:W456),$W$2:$W$1001,0),0), INDEX($AD$1004:$AU$1004,1,MATCH(COLUMNS($AD$1006:AO1006),$AD$1006:$AU$1006,0)))),"Fix")))</f>
        <v xml:space="preserve"> </v>
      </c>
      <c r="N456" s="4" t="str">
        <f ca="1">IF(OR(INDEX($X$2:$X$1001,MATCH(ROWS($W$2:W456),$W$2:$W$1001,0),1)&gt;=100000,INDEX($AD$1005:$AU$1005,1,MATCH(COLUMNS($AD$1006:AP1006),$AD$1006:$AU$1006,0))&gt;=100000), " ",IF(INDEX($AD$2:$AU$1001,MATCH(ROWS($W$2:W456),$W$2:$W$1001,0),MATCH(COLUMNS($AD$1006:AP1006),$AD$1006:$AU$1006,0)), HYPERLINK("#",""), HYPERLINK(CONCATENATE("#metadata!", ADDRESS(INDEX($Y$2:$Y$1001,MATCH(ROWS($W$2:W456),$W$2:$W$1001,0),0), INDEX($AD$1004:$AU$1004,1,MATCH(COLUMNS($AD$1006:AP1006),$AD$1006:$AU$1006,0)))),"Fix")))</f>
        <v xml:space="preserve"> </v>
      </c>
      <c r="O456" s="4" t="str">
        <f ca="1">IF(OR(INDEX($X$2:$X$1001,MATCH(ROWS($W$2:W456),$W$2:$W$1001,0),1)&gt;=100000,INDEX($AD$1005:$AU$1005,1,MATCH(COLUMNS($AD$1006:AQ1006),$AD$1006:$AU$1006,0))&gt;=100000), " ",IF(INDEX($AD$2:$AU$1001,MATCH(ROWS($W$2:W456),$W$2:$W$1001,0),MATCH(COLUMNS($AD$1006:AQ1006),$AD$1006:$AU$1006,0)), HYPERLINK("#",""), HYPERLINK(CONCATENATE("#metadata!", ADDRESS(INDEX($Y$2:$Y$1001,MATCH(ROWS($W$2:W456),$W$2:$W$1001,0),0), INDEX($AD$1004:$AU$1004,1,MATCH(COLUMNS($AD$1006:AQ1006),$AD$1006:$AU$1006,0)))),"Fix")))</f>
        <v xml:space="preserve"> </v>
      </c>
      <c r="P456" s="4" t="str">
        <f ca="1">IF(OR(INDEX($X$2:$X$1001,MATCH(ROWS($W$2:W456),$W$2:$W$1001,0),1)&gt;=100000,INDEX($AD$1005:$AU$1005,1,MATCH(COLUMNS($AD$1006:AR1006),$AD$1006:$AU$1006,0))&gt;=100000), " ",IF(INDEX($AD$2:$AU$1001,MATCH(ROWS($W$2:W456),$W$2:$W$1001,0),MATCH(COLUMNS($AD$1006:AR1006),$AD$1006:$AU$1006,0)), HYPERLINK("#",""), HYPERLINK(CONCATENATE("#metadata!", ADDRESS(INDEX($Y$2:$Y$1001,MATCH(ROWS($W$2:W456),$W$2:$W$1001,0),0), INDEX($AD$1004:$AU$1004,1,MATCH(COLUMNS($AD$1006:AR1006),$AD$1006:$AU$1006,0)))),"Fix")))</f>
        <v xml:space="preserve"> </v>
      </c>
      <c r="Q456" s="4" t="str">
        <f ca="1">IF(OR(INDEX($X$2:$X$1001,MATCH(ROWS($W$2:W456),$W$2:$W$1001,0),1)&gt;=100000,INDEX($AD$1005:$AU$1005,1,MATCH(COLUMNS($AD$1006:AS1006),$AD$1006:$AU$1006,0))&gt;=100000), " ",IF(INDEX($AD$2:$AU$1001,MATCH(ROWS($W$2:W456),$W$2:$W$1001,0),MATCH(COLUMNS($AD$1006:AS1006),$AD$1006:$AU$1006,0)), HYPERLINK("#",""), HYPERLINK(CONCATENATE("#metadata!", ADDRESS(INDEX($Y$2:$Y$1001,MATCH(ROWS($W$2:W456),$W$2:$W$1001,0),0), INDEX($AD$1004:$AU$1004,1,MATCH(COLUMNS($AD$1006:AS1006),$AD$1006:$AU$1006,0)))),"Fix")))</f>
        <v xml:space="preserve"> </v>
      </c>
      <c r="R456" s="4" t="str">
        <f ca="1">IF(OR(INDEX($X$2:$X$1001,MATCH(ROWS($W$2:W456),$W$2:$W$1001,0),1)&gt;=100000,INDEX($AD$1005:$AU$1005,1,MATCH(COLUMNS($AD$1006:AT1006),$AD$1006:$AU$1006,0))&gt;=100000), " ",IF(INDEX($AD$2:$AU$1001,MATCH(ROWS($W$2:W456),$W$2:$W$1001,0),MATCH(COLUMNS($AD$1006:AT1006),$AD$1006:$AU$1006,0)), HYPERLINK("#",""), HYPERLINK(CONCATENATE("#metadata!", ADDRESS(INDEX($Y$2:$Y$1001,MATCH(ROWS($W$2:W456),$W$2:$W$1001,0),0), INDEX($AD$1004:$AU$1004,1,MATCH(COLUMNS($AD$1006:AT1006),$AD$1006:$AU$1006,0)))),"Fix")))</f>
        <v xml:space="preserve"> </v>
      </c>
      <c r="S456" s="4" t="str">
        <f ca="1">IF(OR(INDEX($X$2:$X$1001,MATCH(ROWS($W$2:W456),$W$2:$W$1001,0),1)&gt;=100000,INDEX($AD$1005:$AU$1005,1,MATCH(COLUMNS($AD$1006:AU1006),$AD$1006:$AU$1006,0))&gt;=100000), " ",IF(INDEX($AD$2:$AU$1001,MATCH(ROWS($W$2:W456),$W$2:$W$1001,0),MATCH(COLUMNS($AD$1006:AU1006),$AD$1006:$AU$1006,0)), HYPERLINK("#",""), HYPERLINK(CONCATENATE("#metadata!", ADDRESS(INDEX($Y$2:$Y$1001,MATCH(ROWS($W$2:W456),$W$2:$W$1001,0),0), INDEX($AD$1004:$AU$1004,1,MATCH(COLUMNS($AD$1006:AU1006),$AD$1006:$AU$1006,0)))),"Fix")))</f>
        <v xml:space="preserve"> </v>
      </c>
      <c r="W456">
        <v>455</v>
      </c>
      <c r="X456">
        <v>100456</v>
      </c>
      <c r="Y456">
        <v>456</v>
      </c>
      <c r="Z456" t="b">
        <f t="shared" si="7"/>
        <v>1</v>
      </c>
      <c r="AA456" t="b">
        <f>COUNTBLANK(metadata!B456:S456)=COLUMNS(metadata!B456:S456)</f>
        <v>1</v>
      </c>
      <c r="AB456" t="str">
        <v/>
      </c>
      <c r="AD456" t="b">
        <f ca="1">AND(IF(metadata!B456="",FALSE,TRUE),COUNTIF(metadata!B:B, metadata!B456) = 1,NOT(ISERROR(SUMPRODUCT(SEARCH(MID(metadata!B456,ROW(INDIRECT("1:"&amp;LEN(metadata!B456))), 1),"0123456789abcdefghijklmnopqrstuvwxyzABCDEFGHIJKLMNOPQRSTUVWXYZ.")))))</f>
        <v>0</v>
      </c>
      <c r="AE456" t="b">
        <f>OR(AND(IF(metadata!C456="",FALSE,TRUE),OR(EXACT(metadata!C456,"not applicable"),EXACT(metadata!C456,"missing: not collected"),EXACT(metadata!C456,"missing: not provided"),EXACT(metadata!C456,"missing: restricted access"))),AND(IF(metadata!C456="",FALSE,ISNUMBER(VALUE(metadata!C456))),metadata!C456&gt;0))</f>
        <v>0</v>
      </c>
      <c r="AF456" t="b">
        <f>AND(IF(metadata!D456="",FALSE,TRUE),EXACT(metadata!D456,"missing: not provided"))</f>
        <v>0</v>
      </c>
      <c r="AG456" t="b">
        <f>AND(IF(metadata!E456="",FALSE,TRUE),EXACT(metadata!E456,"Host-associated"))</f>
        <v>0</v>
      </c>
      <c r="AH456" t="b">
        <f>AND(IF(metadata!F456="",FALSE,TRUE),OR(EXACT(metadata!F456,"Animal"),EXACT(metadata!F456,"Fungus"),EXACT(metadata!F456,"Plant")))</f>
        <v>0</v>
      </c>
      <c r="AI456" t="b">
        <f>AND(IF(metadata!G456="",FALSE,TRUE),OR(EXACT(metadata!G456,"Plant secretion"),EXACT(metadata!G456,"Plant rhizosphere"),EXACT(metadata!G456,"Plant surface"),EXACT(metadata!G456,"Plant corpus"),EXACT(metadata!G456,"Fungus surface"),EXACT(metadata!G456,"Fungus corpus"),EXACT(metadata!G456,"Animal surface"),EXACT(metadata!G456,"Animal proximal gut"),EXACT(metadata!G456,"Animal corpus"),EXACT(metadata!G456,"Animal distal gut"),EXACT(metadata!G456,"Animal secretion")))</f>
        <v>0</v>
      </c>
      <c r="AJ456" t="b">
        <f>OR(AND(IF(metadata!H456="",FALSE,TRUE),OR(EXACT(metadata!H456,"missing: not collected"),EXACT(metadata!H456,"missing: not provided"),EXACT(metadata!H456,"missing: restricted access"))),AND(IF(metadata!H456="",FALSE,TRUE),OR(EXACT(metadata!H456,"organism-associated habitat"),EXACT(metadata!H456,"plant-associated habitat"),EXACT(metadata!H456,"animal-associated habitat"),EXACT(metadata!H456,"insecta-associated habitat"),EXACT(metadata!H456,"mammalia-associated habitat"),EXACT(metadata!H456,"human-associated habitat"),EXACT(metadata!H456,"livestock-associated habitat"))))</f>
        <v>0</v>
      </c>
      <c r="AK456" t="b">
        <f>AND(IF(metadata!I456="",FALSE,TRUE),EXACT(metadata!I456,"host-associated"))</f>
        <v>0</v>
      </c>
      <c r="AL456" t="b">
        <f>OR(AND(IF(metadata!J456="",FALSE,TRUE),OR(EXACT(metadata!J456,"not applicable"),EXACT(metadata!J456,"missing: not collected"),EXACT(metadata!J456,"missing: not provided"),EXACT(metadata!J456,"missing: restricted access"))),AND(IF(metadata!J456="",FALSE,ISNUMBER(VALUE(metadata!J456))),metadata!J456&gt;0))</f>
        <v>0</v>
      </c>
      <c r="AM456" t="b">
        <f>AND(IF(metadata!K456="",FALSE,TRUE),EXACT(metadata!K456,"missing: not provided"))</f>
        <v>0</v>
      </c>
      <c r="AN456" t="b">
        <f>IF(metadata!L456="",FALSE,TRUE)</f>
        <v>0</v>
      </c>
      <c r="AO456" t="b">
        <f>IF(metadata!M456="",FALSE,TRUE)</f>
        <v>0</v>
      </c>
      <c r="AP456" t="b">
        <f>OR(AND(IF(metadata!N456="",FALSE,TRUE),OR(EXACT(metadata!N456,"not applicable"),EXACT(metadata!N456,"missing: not collected"),EXACT(metadata!N456,"missing: not provided"))),AND(IF(metadata!N456="",FALSE,IF(ISERROR(INT(metadata!N456)),FALSE,INT(metadata!N456)=metadata!N456)),metadata!N456&gt;0))</f>
        <v>0</v>
      </c>
      <c r="AQ456" t="b">
        <f>AND(IF(metadata!O456="",FALSE,TRUE),EXACT(metadata!O456,"Not applicable"))</f>
        <v>0</v>
      </c>
      <c r="AR456" t="b">
        <f>OR(AND(IF(metadata!P456="",FALSE,TRUE),OR(EXACT(metadata!P456,"not applicable"),EXACT(metadata!P456,"missing: not collected"),EXACT(metadata!P456,"missing: not provided"),EXACT(metadata!P456,"missing: restricted access"))),IF(metadata!P456="",FALSE,IF(ISERROR(INT(metadata!P456)),FALSE,INT(metadata!P456)=metadata!P456)))</f>
        <v>0</v>
      </c>
      <c r="AS456" t="b">
        <f>AND(IF(metadata!Q456="",FALSE,TRUE),EXACT(metadata!Q456,"Not applicable"))</f>
        <v>0</v>
      </c>
      <c r="AT456" t="b">
        <f>OR(AND(IF(metadata!R456="",FALSE,TRUE),OR(EXACT(metadata!R456,"not applicable"),EXACT(metadata!R456,"missing: not collected"),EXACT(metadata!R456,"missing: not provided"),EXACT(metadata!R456,"missing: restricted access"))),AND(IF(metadata!R456="",FALSE,ISNUMBER(VALUE(metadata!R456))),metadata!R456&gt;0))</f>
        <v>0</v>
      </c>
      <c r="AU456" t="b">
        <f>AND(IF(metadata!S456="",FALSE,TRUE),EXACT(metadata!S456,"missing: not provided"))</f>
        <v>0</v>
      </c>
    </row>
    <row r="457" spans="1:47" x14ac:dyDescent="0.2">
      <c r="A457" s="5" t="str">
        <f ca="1">IF(B457=" "," ",HYPERLINK(CONCATENATE("#metadata!",ADDRESS(INDEX($Y$2:$Y$1001,MATCH(ROWS($W$2:W457),$W$2:$W$1001,0),0),1)),INDEX($AB$2:$AB$1001,MATCH(ROWS($W$2:W457),$W$2:$W$1001,0),0)))</f>
        <v xml:space="preserve"> </v>
      </c>
      <c r="B457" s="4" t="str">
        <f ca="1">IF(OR(INDEX($X$2:$X$1001,MATCH(ROWS($W$2:W457),$W$2:$W$1001,0),1)&gt;=100000,INDEX($AD$1005:$AU$1005,1,MATCH(COLUMNS($AD$1006:AD1006),$AD$1006:$AU$1006,0))&gt;=100000), " ",IF(INDEX($AD$2:$AU$1001,MATCH(ROWS($W$2:W457),$W$2:$W$1001,0),MATCH(COLUMNS($AD$1006:AD1006),$AD$1006:$AU$1006,0)), HYPERLINK("#",""), HYPERLINK(CONCATENATE("#metadata!", ADDRESS(INDEX($Y$2:$Y$1001,MATCH(ROWS($W$2:W457),$W$2:$W$1001,0),0), INDEX($AD$1004:$AU$1004,1,MATCH(COLUMNS($AD$1006:AD1006),$AD$1006:$AU$1006,0)))),"Fix")))</f>
        <v xml:space="preserve"> </v>
      </c>
      <c r="C457" s="4" t="str">
        <f ca="1">IF(OR(INDEX($X$2:$X$1001,MATCH(ROWS($W$2:W457),$W$2:$W$1001,0),1)&gt;=100000,INDEX($AD$1005:$AU$1005,1,MATCH(COLUMNS($AD$1006:AE1006),$AD$1006:$AU$1006,0))&gt;=100000), " ",IF(INDEX($AD$2:$AU$1001,MATCH(ROWS($W$2:W457),$W$2:$W$1001,0),MATCH(COLUMNS($AD$1006:AE1006),$AD$1006:$AU$1006,0)), HYPERLINK("#",""), HYPERLINK(CONCATENATE("#metadata!", ADDRESS(INDEX($Y$2:$Y$1001,MATCH(ROWS($W$2:W457),$W$2:$W$1001,0),0), INDEX($AD$1004:$AU$1004,1,MATCH(COLUMNS($AD$1006:AE1006),$AD$1006:$AU$1006,0)))),"Fix")))</f>
        <v xml:space="preserve"> </v>
      </c>
      <c r="D457" s="4" t="str">
        <f ca="1">IF(OR(INDEX($X$2:$X$1001,MATCH(ROWS($W$2:W457),$W$2:$W$1001,0),1)&gt;=100000,INDEX($AD$1005:$AU$1005,1,MATCH(COLUMNS($AD$1006:AF1006),$AD$1006:$AU$1006,0))&gt;=100000), " ",IF(INDEX($AD$2:$AU$1001,MATCH(ROWS($W$2:W457),$W$2:$W$1001,0),MATCH(COLUMNS($AD$1006:AF1006),$AD$1006:$AU$1006,0)), HYPERLINK("#",""), HYPERLINK(CONCATENATE("#metadata!", ADDRESS(INDEX($Y$2:$Y$1001,MATCH(ROWS($W$2:W457),$W$2:$W$1001,0),0), INDEX($AD$1004:$AU$1004,1,MATCH(COLUMNS($AD$1006:AF1006),$AD$1006:$AU$1006,0)))),"Fix")))</f>
        <v xml:space="preserve"> </v>
      </c>
      <c r="E457" s="4" t="str">
        <f ca="1">IF(OR(INDEX($X$2:$X$1001,MATCH(ROWS($W$2:W457),$W$2:$W$1001,0),1)&gt;=100000,INDEX($AD$1005:$AU$1005,1,MATCH(COLUMNS($AD$1006:AG1006),$AD$1006:$AU$1006,0))&gt;=100000), " ",IF(INDEX($AD$2:$AU$1001,MATCH(ROWS($W$2:W457),$W$2:$W$1001,0),MATCH(COLUMNS($AD$1006:AG1006),$AD$1006:$AU$1006,0)), HYPERLINK("#",""), HYPERLINK(CONCATENATE("#metadata!", ADDRESS(INDEX($Y$2:$Y$1001,MATCH(ROWS($W$2:W457),$W$2:$W$1001,0),0), INDEX($AD$1004:$AU$1004,1,MATCH(COLUMNS($AD$1006:AG1006),$AD$1006:$AU$1006,0)))),"Fix")))</f>
        <v xml:space="preserve"> </v>
      </c>
      <c r="F457" s="4" t="str">
        <f ca="1">IF(OR(INDEX($X$2:$X$1001,MATCH(ROWS($W$2:W457),$W$2:$W$1001,0),1)&gt;=100000,INDEX($AD$1005:$AU$1005,1,MATCH(COLUMNS($AD$1006:AH1006),$AD$1006:$AU$1006,0))&gt;=100000), " ",IF(INDEX($AD$2:$AU$1001,MATCH(ROWS($W$2:W457),$W$2:$W$1001,0),MATCH(COLUMNS($AD$1006:AH1006),$AD$1006:$AU$1006,0)), HYPERLINK("#",""), HYPERLINK(CONCATENATE("#metadata!", ADDRESS(INDEX($Y$2:$Y$1001,MATCH(ROWS($W$2:W457),$W$2:$W$1001,0),0), INDEX($AD$1004:$AU$1004,1,MATCH(COLUMNS($AD$1006:AH1006),$AD$1006:$AU$1006,0)))),"Fix")))</f>
        <v xml:space="preserve"> </v>
      </c>
      <c r="G457" s="4" t="str">
        <f ca="1">IF(OR(INDEX($X$2:$X$1001,MATCH(ROWS($W$2:W457),$W$2:$W$1001,0),1)&gt;=100000,INDEX($AD$1005:$AU$1005,1,MATCH(COLUMNS($AD$1006:AI1006),$AD$1006:$AU$1006,0))&gt;=100000), " ",IF(INDEX($AD$2:$AU$1001,MATCH(ROWS($W$2:W457),$W$2:$W$1001,0),MATCH(COLUMNS($AD$1006:AI1006),$AD$1006:$AU$1006,0)), HYPERLINK("#",""), HYPERLINK(CONCATENATE("#metadata!", ADDRESS(INDEX($Y$2:$Y$1001,MATCH(ROWS($W$2:W457),$W$2:$W$1001,0),0), INDEX($AD$1004:$AU$1004,1,MATCH(COLUMNS($AD$1006:AI1006),$AD$1006:$AU$1006,0)))),"Fix")))</f>
        <v xml:space="preserve"> </v>
      </c>
      <c r="H457" s="4" t="str">
        <f ca="1">IF(OR(INDEX($X$2:$X$1001,MATCH(ROWS($W$2:W457),$W$2:$W$1001,0),1)&gt;=100000,INDEX($AD$1005:$AU$1005,1,MATCH(COLUMNS($AD$1006:AJ1006),$AD$1006:$AU$1006,0))&gt;=100000), " ",IF(INDEX($AD$2:$AU$1001,MATCH(ROWS($W$2:W457),$W$2:$W$1001,0),MATCH(COLUMNS($AD$1006:AJ1006),$AD$1006:$AU$1006,0)), HYPERLINK("#",""), HYPERLINK(CONCATENATE("#metadata!", ADDRESS(INDEX($Y$2:$Y$1001,MATCH(ROWS($W$2:W457),$W$2:$W$1001,0),0), INDEX($AD$1004:$AU$1004,1,MATCH(COLUMNS($AD$1006:AJ1006),$AD$1006:$AU$1006,0)))),"Fix")))</f>
        <v xml:space="preserve"> </v>
      </c>
      <c r="I457" s="4" t="str">
        <f ca="1">IF(OR(INDEX($X$2:$X$1001,MATCH(ROWS($W$2:W457),$W$2:$W$1001,0),1)&gt;=100000,INDEX($AD$1005:$AU$1005,1,MATCH(COLUMNS($AD$1006:AK1006),$AD$1006:$AU$1006,0))&gt;=100000), " ",IF(INDEX($AD$2:$AU$1001,MATCH(ROWS($W$2:W457),$W$2:$W$1001,0),MATCH(COLUMNS($AD$1006:AK1006),$AD$1006:$AU$1006,0)), HYPERLINK("#",""), HYPERLINK(CONCATENATE("#metadata!", ADDRESS(INDEX($Y$2:$Y$1001,MATCH(ROWS($W$2:W457),$W$2:$W$1001,0),0), INDEX($AD$1004:$AU$1004,1,MATCH(COLUMNS($AD$1006:AK1006),$AD$1006:$AU$1006,0)))),"Fix")))</f>
        <v xml:space="preserve"> </v>
      </c>
      <c r="J457" s="4" t="str">
        <f ca="1">IF(OR(INDEX($X$2:$X$1001,MATCH(ROWS($W$2:W457),$W$2:$W$1001,0),1)&gt;=100000,INDEX($AD$1005:$AU$1005,1,MATCH(COLUMNS($AD$1006:AL1006),$AD$1006:$AU$1006,0))&gt;=100000), " ",IF(INDEX($AD$2:$AU$1001,MATCH(ROWS($W$2:W457),$W$2:$W$1001,0),MATCH(COLUMNS($AD$1006:AL1006),$AD$1006:$AU$1006,0)), HYPERLINK("#",""), HYPERLINK(CONCATENATE("#metadata!", ADDRESS(INDEX($Y$2:$Y$1001,MATCH(ROWS($W$2:W457),$W$2:$W$1001,0),0), INDEX($AD$1004:$AU$1004,1,MATCH(COLUMNS($AD$1006:AL1006),$AD$1006:$AU$1006,0)))),"Fix")))</f>
        <v xml:space="preserve"> </v>
      </c>
      <c r="K457" s="4" t="str">
        <f ca="1">IF(OR(INDEX($X$2:$X$1001,MATCH(ROWS($W$2:W457),$W$2:$W$1001,0),1)&gt;=100000,INDEX($AD$1005:$AU$1005,1,MATCH(COLUMNS($AD$1006:AM1006),$AD$1006:$AU$1006,0))&gt;=100000), " ",IF(INDEX($AD$2:$AU$1001,MATCH(ROWS($W$2:W457),$W$2:$W$1001,0),MATCH(COLUMNS($AD$1006:AM1006),$AD$1006:$AU$1006,0)), HYPERLINK("#",""), HYPERLINK(CONCATENATE("#metadata!", ADDRESS(INDEX($Y$2:$Y$1001,MATCH(ROWS($W$2:W457),$W$2:$W$1001,0),0), INDEX($AD$1004:$AU$1004,1,MATCH(COLUMNS($AD$1006:AM1006),$AD$1006:$AU$1006,0)))),"Fix")))</f>
        <v xml:space="preserve"> </v>
      </c>
      <c r="L457" s="4" t="str">
        <f ca="1">IF(OR(INDEX($X$2:$X$1001,MATCH(ROWS($W$2:W457),$W$2:$W$1001,0),1)&gt;=100000,INDEX($AD$1005:$AU$1005,1,MATCH(COLUMNS($AD$1006:AN1006),$AD$1006:$AU$1006,0))&gt;=100000), " ",IF(INDEX($AD$2:$AU$1001,MATCH(ROWS($W$2:W457),$W$2:$W$1001,0),MATCH(COLUMNS($AD$1006:AN1006),$AD$1006:$AU$1006,0)), HYPERLINK("#",""), HYPERLINK(CONCATENATE("#metadata!", ADDRESS(INDEX($Y$2:$Y$1001,MATCH(ROWS($W$2:W457),$W$2:$W$1001,0),0), INDEX($AD$1004:$AU$1004,1,MATCH(COLUMNS($AD$1006:AN1006),$AD$1006:$AU$1006,0)))),"Fix")))</f>
        <v xml:space="preserve"> </v>
      </c>
      <c r="M457" s="4" t="str">
        <f ca="1">IF(OR(INDEX($X$2:$X$1001,MATCH(ROWS($W$2:W457),$W$2:$W$1001,0),1)&gt;=100000,INDEX($AD$1005:$AU$1005,1,MATCH(COLUMNS($AD$1006:AO1006),$AD$1006:$AU$1006,0))&gt;=100000), " ",IF(INDEX($AD$2:$AU$1001,MATCH(ROWS($W$2:W457),$W$2:$W$1001,0),MATCH(COLUMNS($AD$1006:AO1006),$AD$1006:$AU$1006,0)), HYPERLINK("#",""), HYPERLINK(CONCATENATE("#metadata!", ADDRESS(INDEX($Y$2:$Y$1001,MATCH(ROWS($W$2:W457),$W$2:$W$1001,0),0), INDEX($AD$1004:$AU$1004,1,MATCH(COLUMNS($AD$1006:AO1006),$AD$1006:$AU$1006,0)))),"Fix")))</f>
        <v xml:space="preserve"> </v>
      </c>
      <c r="N457" s="4" t="str">
        <f ca="1">IF(OR(INDEX($X$2:$X$1001,MATCH(ROWS($W$2:W457),$W$2:$W$1001,0),1)&gt;=100000,INDEX($AD$1005:$AU$1005,1,MATCH(COLUMNS($AD$1006:AP1006),$AD$1006:$AU$1006,0))&gt;=100000), " ",IF(INDEX($AD$2:$AU$1001,MATCH(ROWS($W$2:W457),$W$2:$W$1001,0),MATCH(COLUMNS($AD$1006:AP1006),$AD$1006:$AU$1006,0)), HYPERLINK("#",""), HYPERLINK(CONCATENATE("#metadata!", ADDRESS(INDEX($Y$2:$Y$1001,MATCH(ROWS($W$2:W457),$W$2:$W$1001,0),0), INDEX($AD$1004:$AU$1004,1,MATCH(COLUMNS($AD$1006:AP1006),$AD$1006:$AU$1006,0)))),"Fix")))</f>
        <v xml:space="preserve"> </v>
      </c>
      <c r="O457" s="4" t="str">
        <f ca="1">IF(OR(INDEX($X$2:$X$1001,MATCH(ROWS($W$2:W457),$W$2:$W$1001,0),1)&gt;=100000,INDEX($AD$1005:$AU$1005,1,MATCH(COLUMNS($AD$1006:AQ1006),$AD$1006:$AU$1006,0))&gt;=100000), " ",IF(INDEX($AD$2:$AU$1001,MATCH(ROWS($W$2:W457),$W$2:$W$1001,0),MATCH(COLUMNS($AD$1006:AQ1006),$AD$1006:$AU$1006,0)), HYPERLINK("#",""), HYPERLINK(CONCATENATE("#metadata!", ADDRESS(INDEX($Y$2:$Y$1001,MATCH(ROWS($W$2:W457),$W$2:$W$1001,0),0), INDEX($AD$1004:$AU$1004,1,MATCH(COLUMNS($AD$1006:AQ1006),$AD$1006:$AU$1006,0)))),"Fix")))</f>
        <v xml:space="preserve"> </v>
      </c>
      <c r="P457" s="4" t="str">
        <f ca="1">IF(OR(INDEX($X$2:$X$1001,MATCH(ROWS($W$2:W457),$W$2:$W$1001,0),1)&gt;=100000,INDEX($AD$1005:$AU$1005,1,MATCH(COLUMNS($AD$1006:AR1006),$AD$1006:$AU$1006,0))&gt;=100000), " ",IF(INDEX($AD$2:$AU$1001,MATCH(ROWS($W$2:W457),$W$2:$W$1001,0),MATCH(COLUMNS($AD$1006:AR1006),$AD$1006:$AU$1006,0)), HYPERLINK("#",""), HYPERLINK(CONCATENATE("#metadata!", ADDRESS(INDEX($Y$2:$Y$1001,MATCH(ROWS($W$2:W457),$W$2:$W$1001,0),0), INDEX($AD$1004:$AU$1004,1,MATCH(COLUMNS($AD$1006:AR1006),$AD$1006:$AU$1006,0)))),"Fix")))</f>
        <v xml:space="preserve"> </v>
      </c>
      <c r="Q457" s="4" t="str">
        <f ca="1">IF(OR(INDEX($X$2:$X$1001,MATCH(ROWS($W$2:W457),$W$2:$W$1001,0),1)&gt;=100000,INDEX($AD$1005:$AU$1005,1,MATCH(COLUMNS($AD$1006:AS1006),$AD$1006:$AU$1006,0))&gt;=100000), " ",IF(INDEX($AD$2:$AU$1001,MATCH(ROWS($W$2:W457),$W$2:$W$1001,0),MATCH(COLUMNS($AD$1006:AS1006),$AD$1006:$AU$1006,0)), HYPERLINK("#",""), HYPERLINK(CONCATENATE("#metadata!", ADDRESS(INDEX($Y$2:$Y$1001,MATCH(ROWS($W$2:W457),$W$2:$W$1001,0),0), INDEX($AD$1004:$AU$1004,1,MATCH(COLUMNS($AD$1006:AS1006),$AD$1006:$AU$1006,0)))),"Fix")))</f>
        <v xml:space="preserve"> </v>
      </c>
      <c r="R457" s="4" t="str">
        <f ca="1">IF(OR(INDEX($X$2:$X$1001,MATCH(ROWS($W$2:W457),$W$2:$W$1001,0),1)&gt;=100000,INDEX($AD$1005:$AU$1005,1,MATCH(COLUMNS($AD$1006:AT1006),$AD$1006:$AU$1006,0))&gt;=100000), " ",IF(INDEX($AD$2:$AU$1001,MATCH(ROWS($W$2:W457),$W$2:$W$1001,0),MATCH(COLUMNS($AD$1006:AT1006),$AD$1006:$AU$1006,0)), HYPERLINK("#",""), HYPERLINK(CONCATENATE("#metadata!", ADDRESS(INDEX($Y$2:$Y$1001,MATCH(ROWS($W$2:W457),$W$2:$W$1001,0),0), INDEX($AD$1004:$AU$1004,1,MATCH(COLUMNS($AD$1006:AT1006),$AD$1006:$AU$1006,0)))),"Fix")))</f>
        <v xml:space="preserve"> </v>
      </c>
      <c r="S457" s="4" t="str">
        <f ca="1">IF(OR(INDEX($X$2:$X$1001,MATCH(ROWS($W$2:W457),$W$2:$W$1001,0),1)&gt;=100000,INDEX($AD$1005:$AU$1005,1,MATCH(COLUMNS($AD$1006:AU1006),$AD$1006:$AU$1006,0))&gt;=100000), " ",IF(INDEX($AD$2:$AU$1001,MATCH(ROWS($W$2:W457),$W$2:$W$1001,0),MATCH(COLUMNS($AD$1006:AU1006),$AD$1006:$AU$1006,0)), HYPERLINK("#",""), HYPERLINK(CONCATENATE("#metadata!", ADDRESS(INDEX($Y$2:$Y$1001,MATCH(ROWS($W$2:W457),$W$2:$W$1001,0),0), INDEX($AD$1004:$AU$1004,1,MATCH(COLUMNS($AD$1006:AU1006),$AD$1006:$AU$1006,0)))),"Fix")))</f>
        <v xml:space="preserve"> </v>
      </c>
      <c r="W457">
        <v>456</v>
      </c>
      <c r="X457">
        <v>100457</v>
      </c>
      <c r="Y457">
        <v>457</v>
      </c>
      <c r="Z457" t="b">
        <f t="shared" si="7"/>
        <v>1</v>
      </c>
      <c r="AA457" t="b">
        <f>COUNTBLANK(metadata!B457:S457)=COLUMNS(metadata!B457:S457)</f>
        <v>1</v>
      </c>
      <c r="AB457" t="str">
        <v/>
      </c>
      <c r="AD457" t="b">
        <f ca="1">AND(IF(metadata!B457="",FALSE,TRUE),COUNTIF(metadata!B:B, metadata!B457) = 1,NOT(ISERROR(SUMPRODUCT(SEARCH(MID(metadata!B457,ROW(INDIRECT("1:"&amp;LEN(metadata!B457))), 1),"0123456789abcdefghijklmnopqrstuvwxyzABCDEFGHIJKLMNOPQRSTUVWXYZ.")))))</f>
        <v>0</v>
      </c>
      <c r="AE457" t="b">
        <f>OR(AND(IF(metadata!C457="",FALSE,TRUE),OR(EXACT(metadata!C457,"not applicable"),EXACT(metadata!C457,"missing: not collected"),EXACT(metadata!C457,"missing: not provided"),EXACT(metadata!C457,"missing: restricted access"))),AND(IF(metadata!C457="",FALSE,ISNUMBER(VALUE(metadata!C457))),metadata!C457&gt;0))</f>
        <v>0</v>
      </c>
      <c r="AF457" t="b">
        <f>AND(IF(metadata!D457="",FALSE,TRUE),EXACT(metadata!D457,"missing: not provided"))</f>
        <v>0</v>
      </c>
      <c r="AG457" t="b">
        <f>AND(IF(metadata!E457="",FALSE,TRUE),EXACT(metadata!E457,"Host-associated"))</f>
        <v>0</v>
      </c>
      <c r="AH457" t="b">
        <f>AND(IF(metadata!F457="",FALSE,TRUE),OR(EXACT(metadata!F457,"Animal"),EXACT(metadata!F457,"Fungus"),EXACT(metadata!F457,"Plant")))</f>
        <v>0</v>
      </c>
      <c r="AI457" t="b">
        <f>AND(IF(metadata!G457="",FALSE,TRUE),OR(EXACT(metadata!G457,"Plant secretion"),EXACT(metadata!G457,"Plant rhizosphere"),EXACT(metadata!G457,"Plant surface"),EXACT(metadata!G457,"Plant corpus"),EXACT(metadata!G457,"Fungus surface"),EXACT(metadata!G457,"Fungus corpus"),EXACT(metadata!G457,"Animal surface"),EXACT(metadata!G457,"Animal proximal gut"),EXACT(metadata!G457,"Animal corpus"),EXACT(metadata!G457,"Animal distal gut"),EXACT(metadata!G457,"Animal secretion")))</f>
        <v>0</v>
      </c>
      <c r="AJ457" t="b">
        <f>OR(AND(IF(metadata!H457="",FALSE,TRUE),OR(EXACT(metadata!H457,"missing: not collected"),EXACT(metadata!H457,"missing: not provided"),EXACT(metadata!H457,"missing: restricted access"))),AND(IF(metadata!H457="",FALSE,TRUE),OR(EXACT(metadata!H457,"organism-associated habitat"),EXACT(metadata!H457,"plant-associated habitat"),EXACT(metadata!H457,"animal-associated habitat"),EXACT(metadata!H457,"insecta-associated habitat"),EXACT(metadata!H457,"mammalia-associated habitat"),EXACT(metadata!H457,"human-associated habitat"),EXACT(metadata!H457,"livestock-associated habitat"))))</f>
        <v>0</v>
      </c>
      <c r="AK457" t="b">
        <f>AND(IF(metadata!I457="",FALSE,TRUE),EXACT(metadata!I457,"host-associated"))</f>
        <v>0</v>
      </c>
      <c r="AL457" t="b">
        <f>OR(AND(IF(metadata!J457="",FALSE,TRUE),OR(EXACT(metadata!J457,"not applicable"),EXACT(metadata!J457,"missing: not collected"),EXACT(metadata!J457,"missing: not provided"),EXACT(metadata!J457,"missing: restricted access"))),AND(IF(metadata!J457="",FALSE,ISNUMBER(VALUE(metadata!J457))),metadata!J457&gt;0))</f>
        <v>0</v>
      </c>
      <c r="AM457" t="b">
        <f>AND(IF(metadata!K457="",FALSE,TRUE),EXACT(metadata!K457,"missing: not provided"))</f>
        <v>0</v>
      </c>
      <c r="AN457" t="b">
        <f>IF(metadata!L457="",FALSE,TRUE)</f>
        <v>0</v>
      </c>
      <c r="AO457" t="b">
        <f>IF(metadata!M457="",FALSE,TRUE)</f>
        <v>0</v>
      </c>
      <c r="AP457" t="b">
        <f>OR(AND(IF(metadata!N457="",FALSE,TRUE),OR(EXACT(metadata!N457,"not applicable"),EXACT(metadata!N457,"missing: not collected"),EXACT(metadata!N457,"missing: not provided"))),AND(IF(metadata!N457="",FALSE,IF(ISERROR(INT(metadata!N457)),FALSE,INT(metadata!N457)=metadata!N457)),metadata!N457&gt;0))</f>
        <v>0</v>
      </c>
      <c r="AQ457" t="b">
        <f>AND(IF(metadata!O457="",FALSE,TRUE),EXACT(metadata!O457,"Not applicable"))</f>
        <v>0</v>
      </c>
      <c r="AR457" t="b">
        <f>OR(AND(IF(metadata!P457="",FALSE,TRUE),OR(EXACT(metadata!P457,"not applicable"),EXACT(metadata!P457,"missing: not collected"),EXACT(metadata!P457,"missing: not provided"),EXACT(metadata!P457,"missing: restricted access"))),IF(metadata!P457="",FALSE,IF(ISERROR(INT(metadata!P457)),FALSE,INT(metadata!P457)=metadata!P457)))</f>
        <v>0</v>
      </c>
      <c r="AS457" t="b">
        <f>AND(IF(metadata!Q457="",FALSE,TRUE),EXACT(metadata!Q457,"Not applicable"))</f>
        <v>0</v>
      </c>
      <c r="AT457" t="b">
        <f>OR(AND(IF(metadata!R457="",FALSE,TRUE),OR(EXACT(metadata!R457,"not applicable"),EXACT(metadata!R457,"missing: not collected"),EXACT(metadata!R457,"missing: not provided"),EXACT(metadata!R457,"missing: restricted access"))),AND(IF(metadata!R457="",FALSE,ISNUMBER(VALUE(metadata!R457))),metadata!R457&gt;0))</f>
        <v>0</v>
      </c>
      <c r="AU457" t="b">
        <f>AND(IF(metadata!S457="",FALSE,TRUE),EXACT(metadata!S457,"missing: not provided"))</f>
        <v>0</v>
      </c>
    </row>
    <row r="458" spans="1:47" x14ac:dyDescent="0.2">
      <c r="A458" s="5" t="str">
        <f ca="1">IF(B458=" "," ",HYPERLINK(CONCATENATE("#metadata!",ADDRESS(INDEX($Y$2:$Y$1001,MATCH(ROWS($W$2:W458),$W$2:$W$1001,0),0),1)),INDEX($AB$2:$AB$1001,MATCH(ROWS($W$2:W458),$W$2:$W$1001,0),0)))</f>
        <v xml:space="preserve"> </v>
      </c>
      <c r="B458" s="4" t="str">
        <f ca="1">IF(OR(INDEX($X$2:$X$1001,MATCH(ROWS($W$2:W458),$W$2:$W$1001,0),1)&gt;=100000,INDEX($AD$1005:$AU$1005,1,MATCH(COLUMNS($AD$1006:AD1006),$AD$1006:$AU$1006,0))&gt;=100000), " ",IF(INDEX($AD$2:$AU$1001,MATCH(ROWS($W$2:W458),$W$2:$W$1001,0),MATCH(COLUMNS($AD$1006:AD1006),$AD$1006:$AU$1006,0)), HYPERLINK("#",""), HYPERLINK(CONCATENATE("#metadata!", ADDRESS(INDEX($Y$2:$Y$1001,MATCH(ROWS($W$2:W458),$W$2:$W$1001,0),0), INDEX($AD$1004:$AU$1004,1,MATCH(COLUMNS($AD$1006:AD1006),$AD$1006:$AU$1006,0)))),"Fix")))</f>
        <v xml:space="preserve"> </v>
      </c>
      <c r="C458" s="4" t="str">
        <f ca="1">IF(OR(INDEX($X$2:$X$1001,MATCH(ROWS($W$2:W458),$W$2:$W$1001,0),1)&gt;=100000,INDEX($AD$1005:$AU$1005,1,MATCH(COLUMNS($AD$1006:AE1006),$AD$1006:$AU$1006,0))&gt;=100000), " ",IF(INDEX($AD$2:$AU$1001,MATCH(ROWS($W$2:W458),$W$2:$W$1001,0),MATCH(COLUMNS($AD$1006:AE1006),$AD$1006:$AU$1006,0)), HYPERLINK("#",""), HYPERLINK(CONCATENATE("#metadata!", ADDRESS(INDEX($Y$2:$Y$1001,MATCH(ROWS($W$2:W458),$W$2:$W$1001,0),0), INDEX($AD$1004:$AU$1004,1,MATCH(COLUMNS($AD$1006:AE1006),$AD$1006:$AU$1006,0)))),"Fix")))</f>
        <v xml:space="preserve"> </v>
      </c>
      <c r="D458" s="4" t="str">
        <f ca="1">IF(OR(INDEX($X$2:$X$1001,MATCH(ROWS($W$2:W458),$W$2:$W$1001,0),1)&gt;=100000,INDEX($AD$1005:$AU$1005,1,MATCH(COLUMNS($AD$1006:AF1006),$AD$1006:$AU$1006,0))&gt;=100000), " ",IF(INDEX($AD$2:$AU$1001,MATCH(ROWS($W$2:W458),$W$2:$W$1001,0),MATCH(COLUMNS($AD$1006:AF1006),$AD$1006:$AU$1006,0)), HYPERLINK("#",""), HYPERLINK(CONCATENATE("#metadata!", ADDRESS(INDEX($Y$2:$Y$1001,MATCH(ROWS($W$2:W458),$W$2:$W$1001,0),0), INDEX($AD$1004:$AU$1004,1,MATCH(COLUMNS($AD$1006:AF1006),$AD$1006:$AU$1006,0)))),"Fix")))</f>
        <v xml:space="preserve"> </v>
      </c>
      <c r="E458" s="4" t="str">
        <f ca="1">IF(OR(INDEX($X$2:$X$1001,MATCH(ROWS($W$2:W458),$W$2:$W$1001,0),1)&gt;=100000,INDEX($AD$1005:$AU$1005,1,MATCH(COLUMNS($AD$1006:AG1006),$AD$1006:$AU$1006,0))&gt;=100000), " ",IF(INDEX($AD$2:$AU$1001,MATCH(ROWS($W$2:W458),$W$2:$W$1001,0),MATCH(COLUMNS($AD$1006:AG1006),$AD$1006:$AU$1006,0)), HYPERLINK("#",""), HYPERLINK(CONCATENATE("#metadata!", ADDRESS(INDEX($Y$2:$Y$1001,MATCH(ROWS($W$2:W458),$W$2:$W$1001,0),0), INDEX($AD$1004:$AU$1004,1,MATCH(COLUMNS($AD$1006:AG1006),$AD$1006:$AU$1006,0)))),"Fix")))</f>
        <v xml:space="preserve"> </v>
      </c>
      <c r="F458" s="4" t="str">
        <f ca="1">IF(OR(INDEX($X$2:$X$1001,MATCH(ROWS($W$2:W458),$W$2:$W$1001,0),1)&gt;=100000,INDEX($AD$1005:$AU$1005,1,MATCH(COLUMNS($AD$1006:AH1006),$AD$1006:$AU$1006,0))&gt;=100000), " ",IF(INDEX($AD$2:$AU$1001,MATCH(ROWS($W$2:W458),$W$2:$W$1001,0),MATCH(COLUMNS($AD$1006:AH1006),$AD$1006:$AU$1006,0)), HYPERLINK("#",""), HYPERLINK(CONCATENATE("#metadata!", ADDRESS(INDEX($Y$2:$Y$1001,MATCH(ROWS($W$2:W458),$W$2:$W$1001,0),0), INDEX($AD$1004:$AU$1004,1,MATCH(COLUMNS($AD$1006:AH1006),$AD$1006:$AU$1006,0)))),"Fix")))</f>
        <v xml:space="preserve"> </v>
      </c>
      <c r="G458" s="4" t="str">
        <f ca="1">IF(OR(INDEX($X$2:$X$1001,MATCH(ROWS($W$2:W458),$W$2:$W$1001,0),1)&gt;=100000,INDEX($AD$1005:$AU$1005,1,MATCH(COLUMNS($AD$1006:AI1006),$AD$1006:$AU$1006,0))&gt;=100000), " ",IF(INDEX($AD$2:$AU$1001,MATCH(ROWS($W$2:W458),$W$2:$W$1001,0),MATCH(COLUMNS($AD$1006:AI1006),$AD$1006:$AU$1006,0)), HYPERLINK("#",""), HYPERLINK(CONCATENATE("#metadata!", ADDRESS(INDEX($Y$2:$Y$1001,MATCH(ROWS($W$2:W458),$W$2:$W$1001,0),0), INDEX($AD$1004:$AU$1004,1,MATCH(COLUMNS($AD$1006:AI1006),$AD$1006:$AU$1006,0)))),"Fix")))</f>
        <v xml:space="preserve"> </v>
      </c>
      <c r="H458" s="4" t="str">
        <f ca="1">IF(OR(INDEX($X$2:$X$1001,MATCH(ROWS($W$2:W458),$W$2:$W$1001,0),1)&gt;=100000,INDEX($AD$1005:$AU$1005,1,MATCH(COLUMNS($AD$1006:AJ1006),$AD$1006:$AU$1006,0))&gt;=100000), " ",IF(INDEX($AD$2:$AU$1001,MATCH(ROWS($W$2:W458),$W$2:$W$1001,0),MATCH(COLUMNS($AD$1006:AJ1006),$AD$1006:$AU$1006,0)), HYPERLINK("#",""), HYPERLINK(CONCATENATE("#metadata!", ADDRESS(INDEX($Y$2:$Y$1001,MATCH(ROWS($W$2:W458),$W$2:$W$1001,0),0), INDEX($AD$1004:$AU$1004,1,MATCH(COLUMNS($AD$1006:AJ1006),$AD$1006:$AU$1006,0)))),"Fix")))</f>
        <v xml:space="preserve"> </v>
      </c>
      <c r="I458" s="4" t="str">
        <f ca="1">IF(OR(INDEX($X$2:$X$1001,MATCH(ROWS($W$2:W458),$W$2:$W$1001,0),1)&gt;=100000,INDEX($AD$1005:$AU$1005,1,MATCH(COLUMNS($AD$1006:AK1006),$AD$1006:$AU$1006,0))&gt;=100000), " ",IF(INDEX($AD$2:$AU$1001,MATCH(ROWS($W$2:W458),$W$2:$W$1001,0),MATCH(COLUMNS($AD$1006:AK1006),$AD$1006:$AU$1006,0)), HYPERLINK("#",""), HYPERLINK(CONCATENATE("#metadata!", ADDRESS(INDEX($Y$2:$Y$1001,MATCH(ROWS($W$2:W458),$W$2:$W$1001,0),0), INDEX($AD$1004:$AU$1004,1,MATCH(COLUMNS($AD$1006:AK1006),$AD$1006:$AU$1006,0)))),"Fix")))</f>
        <v xml:space="preserve"> </v>
      </c>
      <c r="J458" s="4" t="str">
        <f ca="1">IF(OR(INDEX($X$2:$X$1001,MATCH(ROWS($W$2:W458),$W$2:$W$1001,0),1)&gt;=100000,INDEX($AD$1005:$AU$1005,1,MATCH(COLUMNS($AD$1006:AL1006),$AD$1006:$AU$1006,0))&gt;=100000), " ",IF(INDEX($AD$2:$AU$1001,MATCH(ROWS($W$2:W458),$W$2:$W$1001,0),MATCH(COLUMNS($AD$1006:AL1006),$AD$1006:$AU$1006,0)), HYPERLINK("#",""), HYPERLINK(CONCATENATE("#metadata!", ADDRESS(INDEX($Y$2:$Y$1001,MATCH(ROWS($W$2:W458),$W$2:$W$1001,0),0), INDEX($AD$1004:$AU$1004,1,MATCH(COLUMNS($AD$1006:AL1006),$AD$1006:$AU$1006,0)))),"Fix")))</f>
        <v xml:space="preserve"> </v>
      </c>
      <c r="K458" s="4" t="str">
        <f ca="1">IF(OR(INDEX($X$2:$X$1001,MATCH(ROWS($W$2:W458),$W$2:$W$1001,0),1)&gt;=100000,INDEX($AD$1005:$AU$1005,1,MATCH(COLUMNS($AD$1006:AM1006),$AD$1006:$AU$1006,0))&gt;=100000), " ",IF(INDEX($AD$2:$AU$1001,MATCH(ROWS($W$2:W458),$W$2:$W$1001,0),MATCH(COLUMNS($AD$1006:AM1006),$AD$1006:$AU$1006,0)), HYPERLINK("#",""), HYPERLINK(CONCATENATE("#metadata!", ADDRESS(INDEX($Y$2:$Y$1001,MATCH(ROWS($W$2:W458),$W$2:$W$1001,0),0), INDEX($AD$1004:$AU$1004,1,MATCH(COLUMNS($AD$1006:AM1006),$AD$1006:$AU$1006,0)))),"Fix")))</f>
        <v xml:space="preserve"> </v>
      </c>
      <c r="L458" s="4" t="str">
        <f ca="1">IF(OR(INDEX($X$2:$X$1001,MATCH(ROWS($W$2:W458),$W$2:$W$1001,0),1)&gt;=100000,INDEX($AD$1005:$AU$1005,1,MATCH(COLUMNS($AD$1006:AN1006),$AD$1006:$AU$1006,0))&gt;=100000), " ",IF(INDEX($AD$2:$AU$1001,MATCH(ROWS($W$2:W458),$W$2:$W$1001,0),MATCH(COLUMNS($AD$1006:AN1006),$AD$1006:$AU$1006,0)), HYPERLINK("#",""), HYPERLINK(CONCATENATE("#metadata!", ADDRESS(INDEX($Y$2:$Y$1001,MATCH(ROWS($W$2:W458),$W$2:$W$1001,0),0), INDEX($AD$1004:$AU$1004,1,MATCH(COLUMNS($AD$1006:AN1006),$AD$1006:$AU$1006,0)))),"Fix")))</f>
        <v xml:space="preserve"> </v>
      </c>
      <c r="M458" s="4" t="str">
        <f ca="1">IF(OR(INDEX($X$2:$X$1001,MATCH(ROWS($W$2:W458),$W$2:$W$1001,0),1)&gt;=100000,INDEX($AD$1005:$AU$1005,1,MATCH(COLUMNS($AD$1006:AO1006),$AD$1006:$AU$1006,0))&gt;=100000), " ",IF(INDEX($AD$2:$AU$1001,MATCH(ROWS($W$2:W458),$W$2:$W$1001,0),MATCH(COLUMNS($AD$1006:AO1006),$AD$1006:$AU$1006,0)), HYPERLINK("#",""), HYPERLINK(CONCATENATE("#metadata!", ADDRESS(INDEX($Y$2:$Y$1001,MATCH(ROWS($W$2:W458),$W$2:$W$1001,0),0), INDEX($AD$1004:$AU$1004,1,MATCH(COLUMNS($AD$1006:AO1006),$AD$1006:$AU$1006,0)))),"Fix")))</f>
        <v xml:space="preserve"> </v>
      </c>
      <c r="N458" s="4" t="str">
        <f ca="1">IF(OR(INDEX($X$2:$X$1001,MATCH(ROWS($W$2:W458),$W$2:$W$1001,0),1)&gt;=100000,INDEX($AD$1005:$AU$1005,1,MATCH(COLUMNS($AD$1006:AP1006),$AD$1006:$AU$1006,0))&gt;=100000), " ",IF(INDEX($AD$2:$AU$1001,MATCH(ROWS($W$2:W458),$W$2:$W$1001,0),MATCH(COLUMNS($AD$1006:AP1006),$AD$1006:$AU$1006,0)), HYPERLINK("#",""), HYPERLINK(CONCATENATE("#metadata!", ADDRESS(INDEX($Y$2:$Y$1001,MATCH(ROWS($W$2:W458),$W$2:$W$1001,0),0), INDEX($AD$1004:$AU$1004,1,MATCH(COLUMNS($AD$1006:AP1006),$AD$1006:$AU$1006,0)))),"Fix")))</f>
        <v xml:space="preserve"> </v>
      </c>
      <c r="O458" s="4" t="str">
        <f ca="1">IF(OR(INDEX($X$2:$X$1001,MATCH(ROWS($W$2:W458),$W$2:$W$1001,0),1)&gt;=100000,INDEX($AD$1005:$AU$1005,1,MATCH(COLUMNS($AD$1006:AQ1006),$AD$1006:$AU$1006,0))&gt;=100000), " ",IF(INDEX($AD$2:$AU$1001,MATCH(ROWS($W$2:W458),$W$2:$W$1001,0),MATCH(COLUMNS($AD$1006:AQ1006),$AD$1006:$AU$1006,0)), HYPERLINK("#",""), HYPERLINK(CONCATENATE("#metadata!", ADDRESS(INDEX($Y$2:$Y$1001,MATCH(ROWS($W$2:W458),$W$2:$W$1001,0),0), INDEX($AD$1004:$AU$1004,1,MATCH(COLUMNS($AD$1006:AQ1006),$AD$1006:$AU$1006,0)))),"Fix")))</f>
        <v xml:space="preserve"> </v>
      </c>
      <c r="P458" s="4" t="str">
        <f ca="1">IF(OR(INDEX($X$2:$X$1001,MATCH(ROWS($W$2:W458),$W$2:$W$1001,0),1)&gt;=100000,INDEX($AD$1005:$AU$1005,1,MATCH(COLUMNS($AD$1006:AR1006),$AD$1006:$AU$1006,0))&gt;=100000), " ",IF(INDEX($AD$2:$AU$1001,MATCH(ROWS($W$2:W458),$W$2:$W$1001,0),MATCH(COLUMNS($AD$1006:AR1006),$AD$1006:$AU$1006,0)), HYPERLINK("#",""), HYPERLINK(CONCATENATE("#metadata!", ADDRESS(INDEX($Y$2:$Y$1001,MATCH(ROWS($W$2:W458),$W$2:$W$1001,0),0), INDEX($AD$1004:$AU$1004,1,MATCH(COLUMNS($AD$1006:AR1006),$AD$1006:$AU$1006,0)))),"Fix")))</f>
        <v xml:space="preserve"> </v>
      </c>
      <c r="Q458" s="4" t="str">
        <f ca="1">IF(OR(INDEX($X$2:$X$1001,MATCH(ROWS($W$2:W458),$W$2:$W$1001,0),1)&gt;=100000,INDEX($AD$1005:$AU$1005,1,MATCH(COLUMNS($AD$1006:AS1006),$AD$1006:$AU$1006,0))&gt;=100000), " ",IF(INDEX($AD$2:$AU$1001,MATCH(ROWS($W$2:W458),$W$2:$W$1001,0),MATCH(COLUMNS($AD$1006:AS1006),$AD$1006:$AU$1006,0)), HYPERLINK("#",""), HYPERLINK(CONCATENATE("#metadata!", ADDRESS(INDEX($Y$2:$Y$1001,MATCH(ROWS($W$2:W458),$W$2:$W$1001,0),0), INDEX($AD$1004:$AU$1004,1,MATCH(COLUMNS($AD$1006:AS1006),$AD$1006:$AU$1006,0)))),"Fix")))</f>
        <v xml:space="preserve"> </v>
      </c>
      <c r="R458" s="4" t="str">
        <f ca="1">IF(OR(INDEX($X$2:$X$1001,MATCH(ROWS($W$2:W458),$W$2:$W$1001,0),1)&gt;=100000,INDEX($AD$1005:$AU$1005,1,MATCH(COLUMNS($AD$1006:AT1006),$AD$1006:$AU$1006,0))&gt;=100000), " ",IF(INDEX($AD$2:$AU$1001,MATCH(ROWS($W$2:W458),$W$2:$W$1001,0),MATCH(COLUMNS($AD$1006:AT1006),$AD$1006:$AU$1006,0)), HYPERLINK("#",""), HYPERLINK(CONCATENATE("#metadata!", ADDRESS(INDEX($Y$2:$Y$1001,MATCH(ROWS($W$2:W458),$W$2:$W$1001,0),0), INDEX($AD$1004:$AU$1004,1,MATCH(COLUMNS($AD$1006:AT1006),$AD$1006:$AU$1006,0)))),"Fix")))</f>
        <v xml:space="preserve"> </v>
      </c>
      <c r="S458" s="4" t="str">
        <f ca="1">IF(OR(INDEX($X$2:$X$1001,MATCH(ROWS($W$2:W458),$W$2:$W$1001,0),1)&gt;=100000,INDEX($AD$1005:$AU$1005,1,MATCH(COLUMNS($AD$1006:AU1006),$AD$1006:$AU$1006,0))&gt;=100000), " ",IF(INDEX($AD$2:$AU$1001,MATCH(ROWS($W$2:W458),$W$2:$W$1001,0),MATCH(COLUMNS($AD$1006:AU1006),$AD$1006:$AU$1006,0)), HYPERLINK("#",""), HYPERLINK(CONCATENATE("#metadata!", ADDRESS(INDEX($Y$2:$Y$1001,MATCH(ROWS($W$2:W458),$W$2:$W$1001,0),0), INDEX($AD$1004:$AU$1004,1,MATCH(COLUMNS($AD$1006:AU1006),$AD$1006:$AU$1006,0)))),"Fix")))</f>
        <v xml:space="preserve"> </v>
      </c>
      <c r="W458">
        <v>457</v>
      </c>
      <c r="X458">
        <v>100458</v>
      </c>
      <c r="Y458">
        <v>458</v>
      </c>
      <c r="Z458" t="b">
        <f t="shared" si="7"/>
        <v>1</v>
      </c>
      <c r="AA458" t="b">
        <f>COUNTBLANK(metadata!B458:S458)=COLUMNS(metadata!B458:S458)</f>
        <v>1</v>
      </c>
      <c r="AB458" t="str">
        <v/>
      </c>
      <c r="AD458" t="b">
        <f ca="1">AND(IF(metadata!B458="",FALSE,TRUE),COUNTIF(metadata!B:B, metadata!B458) = 1,NOT(ISERROR(SUMPRODUCT(SEARCH(MID(metadata!B458,ROW(INDIRECT("1:"&amp;LEN(metadata!B458))), 1),"0123456789abcdefghijklmnopqrstuvwxyzABCDEFGHIJKLMNOPQRSTUVWXYZ.")))))</f>
        <v>0</v>
      </c>
      <c r="AE458" t="b">
        <f>OR(AND(IF(metadata!C458="",FALSE,TRUE),OR(EXACT(metadata!C458,"not applicable"),EXACT(metadata!C458,"missing: not collected"),EXACT(metadata!C458,"missing: not provided"),EXACT(metadata!C458,"missing: restricted access"))),AND(IF(metadata!C458="",FALSE,ISNUMBER(VALUE(metadata!C458))),metadata!C458&gt;0))</f>
        <v>0</v>
      </c>
      <c r="AF458" t="b">
        <f>AND(IF(metadata!D458="",FALSE,TRUE),EXACT(metadata!D458,"missing: not provided"))</f>
        <v>0</v>
      </c>
      <c r="AG458" t="b">
        <f>AND(IF(metadata!E458="",FALSE,TRUE),EXACT(metadata!E458,"Host-associated"))</f>
        <v>0</v>
      </c>
      <c r="AH458" t="b">
        <f>AND(IF(metadata!F458="",FALSE,TRUE),OR(EXACT(metadata!F458,"Animal"),EXACT(metadata!F458,"Fungus"),EXACT(metadata!F458,"Plant")))</f>
        <v>0</v>
      </c>
      <c r="AI458" t="b">
        <f>AND(IF(metadata!G458="",FALSE,TRUE),OR(EXACT(metadata!G458,"Plant secretion"),EXACT(metadata!G458,"Plant rhizosphere"),EXACT(metadata!G458,"Plant surface"),EXACT(metadata!G458,"Plant corpus"),EXACT(metadata!G458,"Fungus surface"),EXACT(metadata!G458,"Fungus corpus"),EXACT(metadata!G458,"Animal surface"),EXACT(metadata!G458,"Animal proximal gut"),EXACT(metadata!G458,"Animal corpus"),EXACT(metadata!G458,"Animal distal gut"),EXACT(metadata!G458,"Animal secretion")))</f>
        <v>0</v>
      </c>
      <c r="AJ458" t="b">
        <f>OR(AND(IF(metadata!H458="",FALSE,TRUE),OR(EXACT(metadata!H458,"missing: not collected"),EXACT(metadata!H458,"missing: not provided"),EXACT(metadata!H458,"missing: restricted access"))),AND(IF(metadata!H458="",FALSE,TRUE),OR(EXACT(metadata!H458,"organism-associated habitat"),EXACT(metadata!H458,"plant-associated habitat"),EXACT(metadata!H458,"animal-associated habitat"),EXACT(metadata!H458,"insecta-associated habitat"),EXACT(metadata!H458,"mammalia-associated habitat"),EXACT(metadata!H458,"human-associated habitat"),EXACT(metadata!H458,"livestock-associated habitat"))))</f>
        <v>0</v>
      </c>
      <c r="AK458" t="b">
        <f>AND(IF(metadata!I458="",FALSE,TRUE),EXACT(metadata!I458,"host-associated"))</f>
        <v>0</v>
      </c>
      <c r="AL458" t="b">
        <f>OR(AND(IF(metadata!J458="",FALSE,TRUE),OR(EXACT(metadata!J458,"not applicable"),EXACT(metadata!J458,"missing: not collected"),EXACT(metadata!J458,"missing: not provided"),EXACT(metadata!J458,"missing: restricted access"))),AND(IF(metadata!J458="",FALSE,ISNUMBER(VALUE(metadata!J458))),metadata!J458&gt;0))</f>
        <v>0</v>
      </c>
      <c r="AM458" t="b">
        <f>AND(IF(metadata!K458="",FALSE,TRUE),EXACT(metadata!K458,"missing: not provided"))</f>
        <v>0</v>
      </c>
      <c r="AN458" t="b">
        <f>IF(metadata!L458="",FALSE,TRUE)</f>
        <v>0</v>
      </c>
      <c r="AO458" t="b">
        <f>IF(metadata!M458="",FALSE,TRUE)</f>
        <v>0</v>
      </c>
      <c r="AP458" t="b">
        <f>OR(AND(IF(metadata!N458="",FALSE,TRUE),OR(EXACT(metadata!N458,"not applicable"),EXACT(metadata!N458,"missing: not collected"),EXACT(metadata!N458,"missing: not provided"))),AND(IF(metadata!N458="",FALSE,IF(ISERROR(INT(metadata!N458)),FALSE,INT(metadata!N458)=metadata!N458)),metadata!N458&gt;0))</f>
        <v>0</v>
      </c>
      <c r="AQ458" t="b">
        <f>AND(IF(metadata!O458="",FALSE,TRUE),EXACT(metadata!O458,"Not applicable"))</f>
        <v>0</v>
      </c>
      <c r="AR458" t="b">
        <f>OR(AND(IF(metadata!P458="",FALSE,TRUE),OR(EXACT(metadata!P458,"not applicable"),EXACT(metadata!P458,"missing: not collected"),EXACT(metadata!P458,"missing: not provided"),EXACT(metadata!P458,"missing: restricted access"))),IF(metadata!P458="",FALSE,IF(ISERROR(INT(metadata!P458)),FALSE,INT(metadata!P458)=metadata!P458)))</f>
        <v>0</v>
      </c>
      <c r="AS458" t="b">
        <f>AND(IF(metadata!Q458="",FALSE,TRUE),EXACT(metadata!Q458,"Not applicable"))</f>
        <v>0</v>
      </c>
      <c r="AT458" t="b">
        <f>OR(AND(IF(metadata!R458="",FALSE,TRUE),OR(EXACT(metadata!R458,"not applicable"),EXACT(metadata!R458,"missing: not collected"),EXACT(metadata!R458,"missing: not provided"),EXACT(metadata!R458,"missing: restricted access"))),AND(IF(metadata!R458="",FALSE,ISNUMBER(VALUE(metadata!R458))),metadata!R458&gt;0))</f>
        <v>0</v>
      </c>
      <c r="AU458" t="b">
        <f>AND(IF(metadata!S458="",FALSE,TRUE),EXACT(metadata!S458,"missing: not provided"))</f>
        <v>0</v>
      </c>
    </row>
    <row r="459" spans="1:47" x14ac:dyDescent="0.2">
      <c r="A459" s="5" t="str">
        <f ca="1">IF(B459=" "," ",HYPERLINK(CONCATENATE("#metadata!",ADDRESS(INDEX($Y$2:$Y$1001,MATCH(ROWS($W$2:W459),$W$2:$W$1001,0),0),1)),INDEX($AB$2:$AB$1001,MATCH(ROWS($W$2:W459),$W$2:$W$1001,0),0)))</f>
        <v xml:space="preserve"> </v>
      </c>
      <c r="B459" s="4" t="str">
        <f ca="1">IF(OR(INDEX($X$2:$X$1001,MATCH(ROWS($W$2:W459),$W$2:$W$1001,0),1)&gt;=100000,INDEX($AD$1005:$AU$1005,1,MATCH(COLUMNS($AD$1006:AD1006),$AD$1006:$AU$1006,0))&gt;=100000), " ",IF(INDEX($AD$2:$AU$1001,MATCH(ROWS($W$2:W459),$W$2:$W$1001,0),MATCH(COLUMNS($AD$1006:AD1006),$AD$1006:$AU$1006,0)), HYPERLINK("#",""), HYPERLINK(CONCATENATE("#metadata!", ADDRESS(INDEX($Y$2:$Y$1001,MATCH(ROWS($W$2:W459),$W$2:$W$1001,0),0), INDEX($AD$1004:$AU$1004,1,MATCH(COLUMNS($AD$1006:AD1006),$AD$1006:$AU$1006,0)))),"Fix")))</f>
        <v xml:space="preserve"> </v>
      </c>
      <c r="C459" s="4" t="str">
        <f ca="1">IF(OR(INDEX($X$2:$X$1001,MATCH(ROWS($W$2:W459),$W$2:$W$1001,0),1)&gt;=100000,INDEX($AD$1005:$AU$1005,1,MATCH(COLUMNS($AD$1006:AE1006),$AD$1006:$AU$1006,0))&gt;=100000), " ",IF(INDEX($AD$2:$AU$1001,MATCH(ROWS($W$2:W459),$W$2:$W$1001,0),MATCH(COLUMNS($AD$1006:AE1006),$AD$1006:$AU$1006,0)), HYPERLINK("#",""), HYPERLINK(CONCATENATE("#metadata!", ADDRESS(INDEX($Y$2:$Y$1001,MATCH(ROWS($W$2:W459),$W$2:$W$1001,0),0), INDEX($AD$1004:$AU$1004,1,MATCH(COLUMNS($AD$1006:AE1006),$AD$1006:$AU$1006,0)))),"Fix")))</f>
        <v xml:space="preserve"> </v>
      </c>
      <c r="D459" s="4" t="str">
        <f ca="1">IF(OR(INDEX($X$2:$X$1001,MATCH(ROWS($W$2:W459),$W$2:$W$1001,0),1)&gt;=100000,INDEX($AD$1005:$AU$1005,1,MATCH(COLUMNS($AD$1006:AF1006),$AD$1006:$AU$1006,0))&gt;=100000), " ",IF(INDEX($AD$2:$AU$1001,MATCH(ROWS($W$2:W459),$W$2:$W$1001,0),MATCH(COLUMNS($AD$1006:AF1006),$AD$1006:$AU$1006,0)), HYPERLINK("#",""), HYPERLINK(CONCATENATE("#metadata!", ADDRESS(INDEX($Y$2:$Y$1001,MATCH(ROWS($W$2:W459),$W$2:$W$1001,0),0), INDEX($AD$1004:$AU$1004,1,MATCH(COLUMNS($AD$1006:AF1006),$AD$1006:$AU$1006,0)))),"Fix")))</f>
        <v xml:space="preserve"> </v>
      </c>
      <c r="E459" s="4" t="str">
        <f ca="1">IF(OR(INDEX($X$2:$X$1001,MATCH(ROWS($W$2:W459),$W$2:$W$1001,0),1)&gt;=100000,INDEX($AD$1005:$AU$1005,1,MATCH(COLUMNS($AD$1006:AG1006),$AD$1006:$AU$1006,0))&gt;=100000), " ",IF(INDEX($AD$2:$AU$1001,MATCH(ROWS($W$2:W459),$W$2:$W$1001,0),MATCH(COLUMNS($AD$1006:AG1006),$AD$1006:$AU$1006,0)), HYPERLINK("#",""), HYPERLINK(CONCATENATE("#metadata!", ADDRESS(INDEX($Y$2:$Y$1001,MATCH(ROWS($W$2:W459),$W$2:$W$1001,0),0), INDEX($AD$1004:$AU$1004,1,MATCH(COLUMNS($AD$1006:AG1006),$AD$1006:$AU$1006,0)))),"Fix")))</f>
        <v xml:space="preserve"> </v>
      </c>
      <c r="F459" s="4" t="str">
        <f ca="1">IF(OR(INDEX($X$2:$X$1001,MATCH(ROWS($W$2:W459),$W$2:$W$1001,0),1)&gt;=100000,INDEX($AD$1005:$AU$1005,1,MATCH(COLUMNS($AD$1006:AH1006),$AD$1006:$AU$1006,0))&gt;=100000), " ",IF(INDEX($AD$2:$AU$1001,MATCH(ROWS($W$2:W459),$W$2:$W$1001,0),MATCH(COLUMNS($AD$1006:AH1006),$AD$1006:$AU$1006,0)), HYPERLINK("#",""), HYPERLINK(CONCATENATE("#metadata!", ADDRESS(INDEX($Y$2:$Y$1001,MATCH(ROWS($W$2:W459),$W$2:$W$1001,0),0), INDEX($AD$1004:$AU$1004,1,MATCH(COLUMNS($AD$1006:AH1006),$AD$1006:$AU$1006,0)))),"Fix")))</f>
        <v xml:space="preserve"> </v>
      </c>
      <c r="G459" s="4" t="str">
        <f ca="1">IF(OR(INDEX($X$2:$X$1001,MATCH(ROWS($W$2:W459),$W$2:$W$1001,0),1)&gt;=100000,INDEX($AD$1005:$AU$1005,1,MATCH(COLUMNS($AD$1006:AI1006),$AD$1006:$AU$1006,0))&gt;=100000), " ",IF(INDEX($AD$2:$AU$1001,MATCH(ROWS($W$2:W459),$W$2:$W$1001,0),MATCH(COLUMNS($AD$1006:AI1006),$AD$1006:$AU$1006,0)), HYPERLINK("#",""), HYPERLINK(CONCATENATE("#metadata!", ADDRESS(INDEX($Y$2:$Y$1001,MATCH(ROWS($W$2:W459),$W$2:$W$1001,0),0), INDEX($AD$1004:$AU$1004,1,MATCH(COLUMNS($AD$1006:AI1006),$AD$1006:$AU$1006,0)))),"Fix")))</f>
        <v xml:space="preserve"> </v>
      </c>
      <c r="H459" s="4" t="str">
        <f ca="1">IF(OR(INDEX($X$2:$X$1001,MATCH(ROWS($W$2:W459),$W$2:$W$1001,0),1)&gt;=100000,INDEX($AD$1005:$AU$1005,1,MATCH(COLUMNS($AD$1006:AJ1006),$AD$1006:$AU$1006,0))&gt;=100000), " ",IF(INDEX($AD$2:$AU$1001,MATCH(ROWS($W$2:W459),$W$2:$W$1001,0),MATCH(COLUMNS($AD$1006:AJ1006),$AD$1006:$AU$1006,0)), HYPERLINK("#",""), HYPERLINK(CONCATENATE("#metadata!", ADDRESS(INDEX($Y$2:$Y$1001,MATCH(ROWS($W$2:W459),$W$2:$W$1001,0),0), INDEX($AD$1004:$AU$1004,1,MATCH(COLUMNS($AD$1006:AJ1006),$AD$1006:$AU$1006,0)))),"Fix")))</f>
        <v xml:space="preserve"> </v>
      </c>
      <c r="I459" s="4" t="str">
        <f ca="1">IF(OR(INDEX($X$2:$X$1001,MATCH(ROWS($W$2:W459),$W$2:$W$1001,0),1)&gt;=100000,INDEX($AD$1005:$AU$1005,1,MATCH(COLUMNS($AD$1006:AK1006),$AD$1006:$AU$1006,0))&gt;=100000), " ",IF(INDEX($AD$2:$AU$1001,MATCH(ROWS($W$2:W459),$W$2:$W$1001,0),MATCH(COLUMNS($AD$1006:AK1006),$AD$1006:$AU$1006,0)), HYPERLINK("#",""), HYPERLINK(CONCATENATE("#metadata!", ADDRESS(INDEX($Y$2:$Y$1001,MATCH(ROWS($W$2:W459),$W$2:$W$1001,0),0), INDEX($AD$1004:$AU$1004,1,MATCH(COLUMNS($AD$1006:AK1006),$AD$1006:$AU$1006,0)))),"Fix")))</f>
        <v xml:space="preserve"> </v>
      </c>
      <c r="J459" s="4" t="str">
        <f ca="1">IF(OR(INDEX($X$2:$X$1001,MATCH(ROWS($W$2:W459),$W$2:$W$1001,0),1)&gt;=100000,INDEX($AD$1005:$AU$1005,1,MATCH(COLUMNS($AD$1006:AL1006),$AD$1006:$AU$1006,0))&gt;=100000), " ",IF(INDEX($AD$2:$AU$1001,MATCH(ROWS($W$2:W459),$W$2:$W$1001,0),MATCH(COLUMNS($AD$1006:AL1006),$AD$1006:$AU$1006,0)), HYPERLINK("#",""), HYPERLINK(CONCATENATE("#metadata!", ADDRESS(INDEX($Y$2:$Y$1001,MATCH(ROWS($W$2:W459),$W$2:$W$1001,0),0), INDEX($AD$1004:$AU$1004,1,MATCH(COLUMNS($AD$1006:AL1006),$AD$1006:$AU$1006,0)))),"Fix")))</f>
        <v xml:space="preserve"> </v>
      </c>
      <c r="K459" s="4" t="str">
        <f ca="1">IF(OR(INDEX($X$2:$X$1001,MATCH(ROWS($W$2:W459),$W$2:$W$1001,0),1)&gt;=100000,INDEX($AD$1005:$AU$1005,1,MATCH(COLUMNS($AD$1006:AM1006),$AD$1006:$AU$1006,0))&gt;=100000), " ",IF(INDEX($AD$2:$AU$1001,MATCH(ROWS($W$2:W459),$W$2:$W$1001,0),MATCH(COLUMNS($AD$1006:AM1006),$AD$1006:$AU$1006,0)), HYPERLINK("#",""), HYPERLINK(CONCATENATE("#metadata!", ADDRESS(INDEX($Y$2:$Y$1001,MATCH(ROWS($W$2:W459),$W$2:$W$1001,0),0), INDEX($AD$1004:$AU$1004,1,MATCH(COLUMNS($AD$1006:AM1006),$AD$1006:$AU$1006,0)))),"Fix")))</f>
        <v xml:space="preserve"> </v>
      </c>
      <c r="L459" s="4" t="str">
        <f ca="1">IF(OR(INDEX($X$2:$X$1001,MATCH(ROWS($W$2:W459),$W$2:$W$1001,0),1)&gt;=100000,INDEX($AD$1005:$AU$1005,1,MATCH(COLUMNS($AD$1006:AN1006),$AD$1006:$AU$1006,0))&gt;=100000), " ",IF(INDEX($AD$2:$AU$1001,MATCH(ROWS($W$2:W459),$W$2:$W$1001,0),MATCH(COLUMNS($AD$1006:AN1006),$AD$1006:$AU$1006,0)), HYPERLINK("#",""), HYPERLINK(CONCATENATE("#metadata!", ADDRESS(INDEX($Y$2:$Y$1001,MATCH(ROWS($W$2:W459),$W$2:$W$1001,0),0), INDEX($AD$1004:$AU$1004,1,MATCH(COLUMNS($AD$1006:AN1006),$AD$1006:$AU$1006,0)))),"Fix")))</f>
        <v xml:space="preserve"> </v>
      </c>
      <c r="M459" s="4" t="str">
        <f ca="1">IF(OR(INDEX($X$2:$X$1001,MATCH(ROWS($W$2:W459),$W$2:$W$1001,0),1)&gt;=100000,INDEX($AD$1005:$AU$1005,1,MATCH(COLUMNS($AD$1006:AO1006),$AD$1006:$AU$1006,0))&gt;=100000), " ",IF(INDEX($AD$2:$AU$1001,MATCH(ROWS($W$2:W459),$W$2:$W$1001,0),MATCH(COLUMNS($AD$1006:AO1006),$AD$1006:$AU$1006,0)), HYPERLINK("#",""), HYPERLINK(CONCATENATE("#metadata!", ADDRESS(INDEX($Y$2:$Y$1001,MATCH(ROWS($W$2:W459),$W$2:$W$1001,0),0), INDEX($AD$1004:$AU$1004,1,MATCH(COLUMNS($AD$1006:AO1006),$AD$1006:$AU$1006,0)))),"Fix")))</f>
        <v xml:space="preserve"> </v>
      </c>
      <c r="N459" s="4" t="str">
        <f ca="1">IF(OR(INDEX($X$2:$X$1001,MATCH(ROWS($W$2:W459),$W$2:$W$1001,0),1)&gt;=100000,INDEX($AD$1005:$AU$1005,1,MATCH(COLUMNS($AD$1006:AP1006),$AD$1006:$AU$1006,0))&gt;=100000), " ",IF(INDEX($AD$2:$AU$1001,MATCH(ROWS($W$2:W459),$W$2:$W$1001,0),MATCH(COLUMNS($AD$1006:AP1006),$AD$1006:$AU$1006,0)), HYPERLINK("#",""), HYPERLINK(CONCATENATE("#metadata!", ADDRESS(INDEX($Y$2:$Y$1001,MATCH(ROWS($W$2:W459),$W$2:$W$1001,0),0), INDEX($AD$1004:$AU$1004,1,MATCH(COLUMNS($AD$1006:AP1006),$AD$1006:$AU$1006,0)))),"Fix")))</f>
        <v xml:space="preserve"> </v>
      </c>
      <c r="O459" s="4" t="str">
        <f ca="1">IF(OR(INDEX($X$2:$X$1001,MATCH(ROWS($W$2:W459),$W$2:$W$1001,0),1)&gt;=100000,INDEX($AD$1005:$AU$1005,1,MATCH(COLUMNS($AD$1006:AQ1006),$AD$1006:$AU$1006,0))&gt;=100000), " ",IF(INDEX($AD$2:$AU$1001,MATCH(ROWS($W$2:W459),$W$2:$W$1001,0),MATCH(COLUMNS($AD$1006:AQ1006),$AD$1006:$AU$1006,0)), HYPERLINK("#",""), HYPERLINK(CONCATENATE("#metadata!", ADDRESS(INDEX($Y$2:$Y$1001,MATCH(ROWS($W$2:W459),$W$2:$W$1001,0),0), INDEX($AD$1004:$AU$1004,1,MATCH(COLUMNS($AD$1006:AQ1006),$AD$1006:$AU$1006,0)))),"Fix")))</f>
        <v xml:space="preserve"> </v>
      </c>
      <c r="P459" s="4" t="str">
        <f ca="1">IF(OR(INDEX($X$2:$X$1001,MATCH(ROWS($W$2:W459),$W$2:$W$1001,0),1)&gt;=100000,INDEX($AD$1005:$AU$1005,1,MATCH(COLUMNS($AD$1006:AR1006),$AD$1006:$AU$1006,0))&gt;=100000), " ",IF(INDEX($AD$2:$AU$1001,MATCH(ROWS($W$2:W459),$W$2:$W$1001,0),MATCH(COLUMNS($AD$1006:AR1006),$AD$1006:$AU$1006,0)), HYPERLINK("#",""), HYPERLINK(CONCATENATE("#metadata!", ADDRESS(INDEX($Y$2:$Y$1001,MATCH(ROWS($W$2:W459),$W$2:$W$1001,0),0), INDEX($AD$1004:$AU$1004,1,MATCH(COLUMNS($AD$1006:AR1006),$AD$1006:$AU$1006,0)))),"Fix")))</f>
        <v xml:space="preserve"> </v>
      </c>
      <c r="Q459" s="4" t="str">
        <f ca="1">IF(OR(INDEX($X$2:$X$1001,MATCH(ROWS($W$2:W459),$W$2:$W$1001,0),1)&gt;=100000,INDEX($AD$1005:$AU$1005,1,MATCH(COLUMNS($AD$1006:AS1006),$AD$1006:$AU$1006,0))&gt;=100000), " ",IF(INDEX($AD$2:$AU$1001,MATCH(ROWS($W$2:W459),$W$2:$W$1001,0),MATCH(COLUMNS($AD$1006:AS1006),$AD$1006:$AU$1006,0)), HYPERLINK("#",""), HYPERLINK(CONCATENATE("#metadata!", ADDRESS(INDEX($Y$2:$Y$1001,MATCH(ROWS($W$2:W459),$W$2:$W$1001,0),0), INDEX($AD$1004:$AU$1004,1,MATCH(COLUMNS($AD$1006:AS1006),$AD$1006:$AU$1006,0)))),"Fix")))</f>
        <v xml:space="preserve"> </v>
      </c>
      <c r="R459" s="4" t="str">
        <f ca="1">IF(OR(INDEX($X$2:$X$1001,MATCH(ROWS($W$2:W459),$W$2:$W$1001,0),1)&gt;=100000,INDEX($AD$1005:$AU$1005,1,MATCH(COLUMNS($AD$1006:AT1006),$AD$1006:$AU$1006,0))&gt;=100000), " ",IF(INDEX($AD$2:$AU$1001,MATCH(ROWS($W$2:W459),$W$2:$W$1001,0),MATCH(COLUMNS($AD$1006:AT1006),$AD$1006:$AU$1006,0)), HYPERLINK("#",""), HYPERLINK(CONCATENATE("#metadata!", ADDRESS(INDEX($Y$2:$Y$1001,MATCH(ROWS($W$2:W459),$W$2:$W$1001,0),0), INDEX($AD$1004:$AU$1004,1,MATCH(COLUMNS($AD$1006:AT1006),$AD$1006:$AU$1006,0)))),"Fix")))</f>
        <v xml:space="preserve"> </v>
      </c>
      <c r="S459" s="4" t="str">
        <f ca="1">IF(OR(INDEX($X$2:$X$1001,MATCH(ROWS($W$2:W459),$W$2:$W$1001,0),1)&gt;=100000,INDEX($AD$1005:$AU$1005,1,MATCH(COLUMNS($AD$1006:AU1006),$AD$1006:$AU$1006,0))&gt;=100000), " ",IF(INDEX($AD$2:$AU$1001,MATCH(ROWS($W$2:W459),$W$2:$W$1001,0),MATCH(COLUMNS($AD$1006:AU1006),$AD$1006:$AU$1006,0)), HYPERLINK("#",""), HYPERLINK(CONCATENATE("#metadata!", ADDRESS(INDEX($Y$2:$Y$1001,MATCH(ROWS($W$2:W459),$W$2:$W$1001,0),0), INDEX($AD$1004:$AU$1004,1,MATCH(COLUMNS($AD$1006:AU1006),$AD$1006:$AU$1006,0)))),"Fix")))</f>
        <v xml:space="preserve"> </v>
      </c>
      <c r="W459">
        <v>458</v>
      </c>
      <c r="X459">
        <v>100459</v>
      </c>
      <c r="Y459">
        <v>459</v>
      </c>
      <c r="Z459" t="b">
        <f t="shared" si="7"/>
        <v>1</v>
      </c>
      <c r="AA459" t="b">
        <f>COUNTBLANK(metadata!B459:S459)=COLUMNS(metadata!B459:S459)</f>
        <v>1</v>
      </c>
      <c r="AB459" t="str">
        <v/>
      </c>
      <c r="AD459" t="b">
        <f ca="1">AND(IF(metadata!B459="",FALSE,TRUE),COUNTIF(metadata!B:B, metadata!B459) = 1,NOT(ISERROR(SUMPRODUCT(SEARCH(MID(metadata!B459,ROW(INDIRECT("1:"&amp;LEN(metadata!B459))), 1),"0123456789abcdefghijklmnopqrstuvwxyzABCDEFGHIJKLMNOPQRSTUVWXYZ.")))))</f>
        <v>0</v>
      </c>
      <c r="AE459" t="b">
        <f>OR(AND(IF(metadata!C459="",FALSE,TRUE),OR(EXACT(metadata!C459,"not applicable"),EXACT(metadata!C459,"missing: not collected"),EXACT(metadata!C459,"missing: not provided"),EXACT(metadata!C459,"missing: restricted access"))),AND(IF(metadata!C459="",FALSE,ISNUMBER(VALUE(metadata!C459))),metadata!C459&gt;0))</f>
        <v>0</v>
      </c>
      <c r="AF459" t="b">
        <f>AND(IF(metadata!D459="",FALSE,TRUE),EXACT(metadata!D459,"missing: not provided"))</f>
        <v>0</v>
      </c>
      <c r="AG459" t="b">
        <f>AND(IF(metadata!E459="",FALSE,TRUE),EXACT(metadata!E459,"Host-associated"))</f>
        <v>0</v>
      </c>
      <c r="AH459" t="b">
        <f>AND(IF(metadata!F459="",FALSE,TRUE),OR(EXACT(metadata!F459,"Animal"),EXACT(metadata!F459,"Fungus"),EXACT(metadata!F459,"Plant")))</f>
        <v>0</v>
      </c>
      <c r="AI459" t="b">
        <f>AND(IF(metadata!G459="",FALSE,TRUE),OR(EXACT(metadata!G459,"Plant secretion"),EXACT(metadata!G459,"Plant rhizosphere"),EXACT(metadata!G459,"Plant surface"),EXACT(metadata!G459,"Plant corpus"),EXACT(metadata!G459,"Fungus surface"),EXACT(metadata!G459,"Fungus corpus"),EXACT(metadata!G459,"Animal surface"),EXACT(metadata!G459,"Animal proximal gut"),EXACT(metadata!G459,"Animal corpus"),EXACT(metadata!G459,"Animal distal gut"),EXACT(metadata!G459,"Animal secretion")))</f>
        <v>0</v>
      </c>
      <c r="AJ459" t="b">
        <f>OR(AND(IF(metadata!H459="",FALSE,TRUE),OR(EXACT(metadata!H459,"missing: not collected"),EXACT(metadata!H459,"missing: not provided"),EXACT(metadata!H459,"missing: restricted access"))),AND(IF(metadata!H459="",FALSE,TRUE),OR(EXACT(metadata!H459,"organism-associated habitat"),EXACT(metadata!H459,"plant-associated habitat"),EXACT(metadata!H459,"animal-associated habitat"),EXACT(metadata!H459,"insecta-associated habitat"),EXACT(metadata!H459,"mammalia-associated habitat"),EXACT(metadata!H459,"human-associated habitat"),EXACT(metadata!H459,"livestock-associated habitat"))))</f>
        <v>0</v>
      </c>
      <c r="AK459" t="b">
        <f>AND(IF(metadata!I459="",FALSE,TRUE),EXACT(metadata!I459,"host-associated"))</f>
        <v>0</v>
      </c>
      <c r="AL459" t="b">
        <f>OR(AND(IF(metadata!J459="",FALSE,TRUE),OR(EXACT(metadata!J459,"not applicable"),EXACT(metadata!J459,"missing: not collected"),EXACT(metadata!J459,"missing: not provided"),EXACT(metadata!J459,"missing: restricted access"))),AND(IF(metadata!J459="",FALSE,ISNUMBER(VALUE(metadata!J459))),metadata!J459&gt;0))</f>
        <v>0</v>
      </c>
      <c r="AM459" t="b">
        <f>AND(IF(metadata!K459="",FALSE,TRUE),EXACT(metadata!K459,"missing: not provided"))</f>
        <v>0</v>
      </c>
      <c r="AN459" t="b">
        <f>IF(metadata!L459="",FALSE,TRUE)</f>
        <v>0</v>
      </c>
      <c r="AO459" t="b">
        <f>IF(metadata!M459="",FALSE,TRUE)</f>
        <v>0</v>
      </c>
      <c r="AP459" t="b">
        <f>OR(AND(IF(metadata!N459="",FALSE,TRUE),OR(EXACT(metadata!N459,"not applicable"),EXACT(metadata!N459,"missing: not collected"),EXACT(metadata!N459,"missing: not provided"))),AND(IF(metadata!N459="",FALSE,IF(ISERROR(INT(metadata!N459)),FALSE,INT(metadata!N459)=metadata!N459)),metadata!N459&gt;0))</f>
        <v>0</v>
      </c>
      <c r="AQ459" t="b">
        <f>AND(IF(metadata!O459="",FALSE,TRUE),EXACT(metadata!O459,"Not applicable"))</f>
        <v>0</v>
      </c>
      <c r="AR459" t="b">
        <f>OR(AND(IF(metadata!P459="",FALSE,TRUE),OR(EXACT(metadata!P459,"not applicable"),EXACT(metadata!P459,"missing: not collected"),EXACT(metadata!P459,"missing: not provided"),EXACT(metadata!P459,"missing: restricted access"))),IF(metadata!P459="",FALSE,IF(ISERROR(INT(metadata!P459)),FALSE,INT(metadata!P459)=metadata!P459)))</f>
        <v>0</v>
      </c>
      <c r="AS459" t="b">
        <f>AND(IF(metadata!Q459="",FALSE,TRUE),EXACT(metadata!Q459,"Not applicable"))</f>
        <v>0</v>
      </c>
      <c r="AT459" t="b">
        <f>OR(AND(IF(metadata!R459="",FALSE,TRUE),OR(EXACT(metadata!R459,"not applicable"),EXACT(metadata!R459,"missing: not collected"),EXACT(metadata!R459,"missing: not provided"),EXACT(metadata!R459,"missing: restricted access"))),AND(IF(metadata!R459="",FALSE,ISNUMBER(VALUE(metadata!R459))),metadata!R459&gt;0))</f>
        <v>0</v>
      </c>
      <c r="AU459" t="b">
        <f>AND(IF(metadata!S459="",FALSE,TRUE),EXACT(metadata!S459,"missing: not provided"))</f>
        <v>0</v>
      </c>
    </row>
    <row r="460" spans="1:47" x14ac:dyDescent="0.2">
      <c r="A460" s="5" t="str">
        <f ca="1">IF(B460=" "," ",HYPERLINK(CONCATENATE("#metadata!",ADDRESS(INDEX($Y$2:$Y$1001,MATCH(ROWS($W$2:W460),$W$2:$W$1001,0),0),1)),INDEX($AB$2:$AB$1001,MATCH(ROWS($W$2:W460),$W$2:$W$1001,0),0)))</f>
        <v xml:space="preserve"> </v>
      </c>
      <c r="B460" s="4" t="str">
        <f ca="1">IF(OR(INDEX($X$2:$X$1001,MATCH(ROWS($W$2:W460),$W$2:$W$1001,0),1)&gt;=100000,INDEX($AD$1005:$AU$1005,1,MATCH(COLUMNS($AD$1006:AD1006),$AD$1006:$AU$1006,0))&gt;=100000), " ",IF(INDEX($AD$2:$AU$1001,MATCH(ROWS($W$2:W460),$W$2:$W$1001,0),MATCH(COLUMNS($AD$1006:AD1006),$AD$1006:$AU$1006,0)), HYPERLINK("#",""), HYPERLINK(CONCATENATE("#metadata!", ADDRESS(INDEX($Y$2:$Y$1001,MATCH(ROWS($W$2:W460),$W$2:$W$1001,0),0), INDEX($AD$1004:$AU$1004,1,MATCH(COLUMNS($AD$1006:AD1006),$AD$1006:$AU$1006,0)))),"Fix")))</f>
        <v xml:space="preserve"> </v>
      </c>
      <c r="C460" s="4" t="str">
        <f ca="1">IF(OR(INDEX($X$2:$X$1001,MATCH(ROWS($W$2:W460),$W$2:$W$1001,0),1)&gt;=100000,INDEX($AD$1005:$AU$1005,1,MATCH(COLUMNS($AD$1006:AE1006),$AD$1006:$AU$1006,0))&gt;=100000), " ",IF(INDEX($AD$2:$AU$1001,MATCH(ROWS($W$2:W460),$W$2:$W$1001,0),MATCH(COLUMNS($AD$1006:AE1006),$AD$1006:$AU$1006,0)), HYPERLINK("#",""), HYPERLINK(CONCATENATE("#metadata!", ADDRESS(INDEX($Y$2:$Y$1001,MATCH(ROWS($W$2:W460),$W$2:$W$1001,0),0), INDEX($AD$1004:$AU$1004,1,MATCH(COLUMNS($AD$1006:AE1006),$AD$1006:$AU$1006,0)))),"Fix")))</f>
        <v xml:space="preserve"> </v>
      </c>
      <c r="D460" s="4" t="str">
        <f ca="1">IF(OR(INDEX($X$2:$X$1001,MATCH(ROWS($W$2:W460),$W$2:$W$1001,0),1)&gt;=100000,INDEX($AD$1005:$AU$1005,1,MATCH(COLUMNS($AD$1006:AF1006),$AD$1006:$AU$1006,0))&gt;=100000), " ",IF(INDEX($AD$2:$AU$1001,MATCH(ROWS($W$2:W460),$W$2:$W$1001,0),MATCH(COLUMNS($AD$1006:AF1006),$AD$1006:$AU$1006,0)), HYPERLINK("#",""), HYPERLINK(CONCATENATE("#metadata!", ADDRESS(INDEX($Y$2:$Y$1001,MATCH(ROWS($W$2:W460),$W$2:$W$1001,0),0), INDEX($AD$1004:$AU$1004,1,MATCH(COLUMNS($AD$1006:AF1006),$AD$1006:$AU$1006,0)))),"Fix")))</f>
        <v xml:space="preserve"> </v>
      </c>
      <c r="E460" s="4" t="str">
        <f ca="1">IF(OR(INDEX($X$2:$X$1001,MATCH(ROWS($W$2:W460),$W$2:$W$1001,0),1)&gt;=100000,INDEX($AD$1005:$AU$1005,1,MATCH(COLUMNS($AD$1006:AG1006),$AD$1006:$AU$1006,0))&gt;=100000), " ",IF(INDEX($AD$2:$AU$1001,MATCH(ROWS($W$2:W460),$W$2:$W$1001,0),MATCH(COLUMNS($AD$1006:AG1006),$AD$1006:$AU$1006,0)), HYPERLINK("#",""), HYPERLINK(CONCATENATE("#metadata!", ADDRESS(INDEX($Y$2:$Y$1001,MATCH(ROWS($W$2:W460),$W$2:$W$1001,0),0), INDEX($AD$1004:$AU$1004,1,MATCH(COLUMNS($AD$1006:AG1006),$AD$1006:$AU$1006,0)))),"Fix")))</f>
        <v xml:space="preserve"> </v>
      </c>
      <c r="F460" s="4" t="str">
        <f ca="1">IF(OR(INDEX($X$2:$X$1001,MATCH(ROWS($W$2:W460),$W$2:$W$1001,0),1)&gt;=100000,INDEX($AD$1005:$AU$1005,1,MATCH(COLUMNS($AD$1006:AH1006),$AD$1006:$AU$1006,0))&gt;=100000), " ",IF(INDEX($AD$2:$AU$1001,MATCH(ROWS($W$2:W460),$W$2:$W$1001,0),MATCH(COLUMNS($AD$1006:AH1006),$AD$1006:$AU$1006,0)), HYPERLINK("#",""), HYPERLINK(CONCATENATE("#metadata!", ADDRESS(INDEX($Y$2:$Y$1001,MATCH(ROWS($W$2:W460),$W$2:$W$1001,0),0), INDEX($AD$1004:$AU$1004,1,MATCH(COLUMNS($AD$1006:AH1006),$AD$1006:$AU$1006,0)))),"Fix")))</f>
        <v xml:space="preserve"> </v>
      </c>
      <c r="G460" s="4" t="str">
        <f ca="1">IF(OR(INDEX($X$2:$X$1001,MATCH(ROWS($W$2:W460),$W$2:$W$1001,0),1)&gt;=100000,INDEX($AD$1005:$AU$1005,1,MATCH(COLUMNS($AD$1006:AI1006),$AD$1006:$AU$1006,0))&gt;=100000), " ",IF(INDEX($AD$2:$AU$1001,MATCH(ROWS($W$2:W460),$W$2:$W$1001,0),MATCH(COLUMNS($AD$1006:AI1006),$AD$1006:$AU$1006,0)), HYPERLINK("#",""), HYPERLINK(CONCATENATE("#metadata!", ADDRESS(INDEX($Y$2:$Y$1001,MATCH(ROWS($W$2:W460),$W$2:$W$1001,0),0), INDEX($AD$1004:$AU$1004,1,MATCH(COLUMNS($AD$1006:AI1006),$AD$1006:$AU$1006,0)))),"Fix")))</f>
        <v xml:space="preserve"> </v>
      </c>
      <c r="H460" s="4" t="str">
        <f ca="1">IF(OR(INDEX($X$2:$X$1001,MATCH(ROWS($W$2:W460),$W$2:$W$1001,0),1)&gt;=100000,INDEX($AD$1005:$AU$1005,1,MATCH(COLUMNS($AD$1006:AJ1006),$AD$1006:$AU$1006,0))&gt;=100000), " ",IF(INDEX($AD$2:$AU$1001,MATCH(ROWS($W$2:W460),$W$2:$W$1001,0),MATCH(COLUMNS($AD$1006:AJ1006),$AD$1006:$AU$1006,0)), HYPERLINK("#",""), HYPERLINK(CONCATENATE("#metadata!", ADDRESS(INDEX($Y$2:$Y$1001,MATCH(ROWS($W$2:W460),$W$2:$W$1001,0),0), INDEX($AD$1004:$AU$1004,1,MATCH(COLUMNS($AD$1006:AJ1006),$AD$1006:$AU$1006,0)))),"Fix")))</f>
        <v xml:space="preserve"> </v>
      </c>
      <c r="I460" s="4" t="str">
        <f ca="1">IF(OR(INDEX($X$2:$X$1001,MATCH(ROWS($W$2:W460),$W$2:$W$1001,0),1)&gt;=100000,INDEX($AD$1005:$AU$1005,1,MATCH(COLUMNS($AD$1006:AK1006),$AD$1006:$AU$1006,0))&gt;=100000), " ",IF(INDEX($AD$2:$AU$1001,MATCH(ROWS($W$2:W460),$W$2:$W$1001,0),MATCH(COLUMNS($AD$1006:AK1006),$AD$1006:$AU$1006,0)), HYPERLINK("#",""), HYPERLINK(CONCATENATE("#metadata!", ADDRESS(INDEX($Y$2:$Y$1001,MATCH(ROWS($W$2:W460),$W$2:$W$1001,0),0), INDEX($AD$1004:$AU$1004,1,MATCH(COLUMNS($AD$1006:AK1006),$AD$1006:$AU$1006,0)))),"Fix")))</f>
        <v xml:space="preserve"> </v>
      </c>
      <c r="J460" s="4" t="str">
        <f ca="1">IF(OR(INDEX($X$2:$X$1001,MATCH(ROWS($W$2:W460),$W$2:$W$1001,0),1)&gt;=100000,INDEX($AD$1005:$AU$1005,1,MATCH(COLUMNS($AD$1006:AL1006),$AD$1006:$AU$1006,0))&gt;=100000), " ",IF(INDEX($AD$2:$AU$1001,MATCH(ROWS($W$2:W460),$W$2:$W$1001,0),MATCH(COLUMNS($AD$1006:AL1006),$AD$1006:$AU$1006,0)), HYPERLINK("#",""), HYPERLINK(CONCATENATE("#metadata!", ADDRESS(INDEX($Y$2:$Y$1001,MATCH(ROWS($W$2:W460),$W$2:$W$1001,0),0), INDEX($AD$1004:$AU$1004,1,MATCH(COLUMNS($AD$1006:AL1006),$AD$1006:$AU$1006,0)))),"Fix")))</f>
        <v xml:space="preserve"> </v>
      </c>
      <c r="K460" s="4" t="str">
        <f ca="1">IF(OR(INDEX($X$2:$X$1001,MATCH(ROWS($W$2:W460),$W$2:$W$1001,0),1)&gt;=100000,INDEX($AD$1005:$AU$1005,1,MATCH(COLUMNS($AD$1006:AM1006),$AD$1006:$AU$1006,0))&gt;=100000), " ",IF(INDEX($AD$2:$AU$1001,MATCH(ROWS($W$2:W460),$W$2:$W$1001,0),MATCH(COLUMNS($AD$1006:AM1006),$AD$1006:$AU$1006,0)), HYPERLINK("#",""), HYPERLINK(CONCATENATE("#metadata!", ADDRESS(INDEX($Y$2:$Y$1001,MATCH(ROWS($W$2:W460),$W$2:$W$1001,0),0), INDEX($AD$1004:$AU$1004,1,MATCH(COLUMNS($AD$1006:AM1006),$AD$1006:$AU$1006,0)))),"Fix")))</f>
        <v xml:space="preserve"> </v>
      </c>
      <c r="L460" s="4" t="str">
        <f ca="1">IF(OR(INDEX($X$2:$X$1001,MATCH(ROWS($W$2:W460),$W$2:$W$1001,0),1)&gt;=100000,INDEX($AD$1005:$AU$1005,1,MATCH(COLUMNS($AD$1006:AN1006),$AD$1006:$AU$1006,0))&gt;=100000), " ",IF(INDEX($AD$2:$AU$1001,MATCH(ROWS($W$2:W460),$W$2:$W$1001,0),MATCH(COLUMNS($AD$1006:AN1006),$AD$1006:$AU$1006,0)), HYPERLINK("#",""), HYPERLINK(CONCATENATE("#metadata!", ADDRESS(INDEX($Y$2:$Y$1001,MATCH(ROWS($W$2:W460),$W$2:$W$1001,0),0), INDEX($AD$1004:$AU$1004,1,MATCH(COLUMNS($AD$1006:AN1006),$AD$1006:$AU$1006,0)))),"Fix")))</f>
        <v xml:space="preserve"> </v>
      </c>
      <c r="M460" s="4" t="str">
        <f ca="1">IF(OR(INDEX($X$2:$X$1001,MATCH(ROWS($W$2:W460),$W$2:$W$1001,0),1)&gt;=100000,INDEX($AD$1005:$AU$1005,1,MATCH(COLUMNS($AD$1006:AO1006),$AD$1006:$AU$1006,0))&gt;=100000), " ",IF(INDEX($AD$2:$AU$1001,MATCH(ROWS($W$2:W460),$W$2:$W$1001,0),MATCH(COLUMNS($AD$1006:AO1006),$AD$1006:$AU$1006,0)), HYPERLINK("#",""), HYPERLINK(CONCATENATE("#metadata!", ADDRESS(INDEX($Y$2:$Y$1001,MATCH(ROWS($W$2:W460),$W$2:$W$1001,0),0), INDEX($AD$1004:$AU$1004,1,MATCH(COLUMNS($AD$1006:AO1006),$AD$1006:$AU$1006,0)))),"Fix")))</f>
        <v xml:space="preserve"> </v>
      </c>
      <c r="N460" s="4" t="str">
        <f ca="1">IF(OR(INDEX($X$2:$X$1001,MATCH(ROWS($W$2:W460),$W$2:$W$1001,0),1)&gt;=100000,INDEX($AD$1005:$AU$1005,1,MATCH(COLUMNS($AD$1006:AP1006),$AD$1006:$AU$1006,0))&gt;=100000), " ",IF(INDEX($AD$2:$AU$1001,MATCH(ROWS($W$2:W460),$W$2:$W$1001,0),MATCH(COLUMNS($AD$1006:AP1006),$AD$1006:$AU$1006,0)), HYPERLINK("#",""), HYPERLINK(CONCATENATE("#metadata!", ADDRESS(INDEX($Y$2:$Y$1001,MATCH(ROWS($W$2:W460),$W$2:$W$1001,0),0), INDEX($AD$1004:$AU$1004,1,MATCH(COLUMNS($AD$1006:AP1006),$AD$1006:$AU$1006,0)))),"Fix")))</f>
        <v xml:space="preserve"> </v>
      </c>
      <c r="O460" s="4" t="str">
        <f ca="1">IF(OR(INDEX($X$2:$X$1001,MATCH(ROWS($W$2:W460),$W$2:$W$1001,0),1)&gt;=100000,INDEX($AD$1005:$AU$1005,1,MATCH(COLUMNS($AD$1006:AQ1006),$AD$1006:$AU$1006,0))&gt;=100000), " ",IF(INDEX($AD$2:$AU$1001,MATCH(ROWS($W$2:W460),$W$2:$W$1001,0),MATCH(COLUMNS($AD$1006:AQ1006),$AD$1006:$AU$1006,0)), HYPERLINK("#",""), HYPERLINK(CONCATENATE("#metadata!", ADDRESS(INDEX($Y$2:$Y$1001,MATCH(ROWS($W$2:W460),$W$2:$W$1001,0),0), INDEX($AD$1004:$AU$1004,1,MATCH(COLUMNS($AD$1006:AQ1006),$AD$1006:$AU$1006,0)))),"Fix")))</f>
        <v xml:space="preserve"> </v>
      </c>
      <c r="P460" s="4" t="str">
        <f ca="1">IF(OR(INDEX($X$2:$X$1001,MATCH(ROWS($W$2:W460),$W$2:$W$1001,0),1)&gt;=100000,INDEX($AD$1005:$AU$1005,1,MATCH(COLUMNS($AD$1006:AR1006),$AD$1006:$AU$1006,0))&gt;=100000), " ",IF(INDEX($AD$2:$AU$1001,MATCH(ROWS($W$2:W460),$W$2:$W$1001,0),MATCH(COLUMNS($AD$1006:AR1006),$AD$1006:$AU$1006,0)), HYPERLINK("#",""), HYPERLINK(CONCATENATE("#metadata!", ADDRESS(INDEX($Y$2:$Y$1001,MATCH(ROWS($W$2:W460),$W$2:$W$1001,0),0), INDEX($AD$1004:$AU$1004,1,MATCH(COLUMNS($AD$1006:AR1006),$AD$1006:$AU$1006,0)))),"Fix")))</f>
        <v xml:space="preserve"> </v>
      </c>
      <c r="Q460" s="4" t="str">
        <f ca="1">IF(OR(INDEX($X$2:$X$1001,MATCH(ROWS($W$2:W460),$W$2:$W$1001,0),1)&gt;=100000,INDEX($AD$1005:$AU$1005,1,MATCH(COLUMNS($AD$1006:AS1006),$AD$1006:$AU$1006,0))&gt;=100000), " ",IF(INDEX($AD$2:$AU$1001,MATCH(ROWS($W$2:W460),$W$2:$W$1001,0),MATCH(COLUMNS($AD$1006:AS1006),$AD$1006:$AU$1006,0)), HYPERLINK("#",""), HYPERLINK(CONCATENATE("#metadata!", ADDRESS(INDEX($Y$2:$Y$1001,MATCH(ROWS($W$2:W460),$W$2:$W$1001,0),0), INDEX($AD$1004:$AU$1004,1,MATCH(COLUMNS($AD$1006:AS1006),$AD$1006:$AU$1006,0)))),"Fix")))</f>
        <v xml:space="preserve"> </v>
      </c>
      <c r="R460" s="4" t="str">
        <f ca="1">IF(OR(INDEX($X$2:$X$1001,MATCH(ROWS($W$2:W460),$W$2:$W$1001,0),1)&gt;=100000,INDEX($AD$1005:$AU$1005,1,MATCH(COLUMNS($AD$1006:AT1006),$AD$1006:$AU$1006,0))&gt;=100000), " ",IF(INDEX($AD$2:$AU$1001,MATCH(ROWS($W$2:W460),$W$2:$W$1001,0),MATCH(COLUMNS($AD$1006:AT1006),$AD$1006:$AU$1006,0)), HYPERLINK("#",""), HYPERLINK(CONCATENATE("#metadata!", ADDRESS(INDEX($Y$2:$Y$1001,MATCH(ROWS($W$2:W460),$W$2:$W$1001,0),0), INDEX($AD$1004:$AU$1004,1,MATCH(COLUMNS($AD$1006:AT1006),$AD$1006:$AU$1006,0)))),"Fix")))</f>
        <v xml:space="preserve"> </v>
      </c>
      <c r="S460" s="4" t="str">
        <f ca="1">IF(OR(INDEX($X$2:$X$1001,MATCH(ROWS($W$2:W460),$W$2:$W$1001,0),1)&gt;=100000,INDEX($AD$1005:$AU$1005,1,MATCH(COLUMNS($AD$1006:AU1006),$AD$1006:$AU$1006,0))&gt;=100000), " ",IF(INDEX($AD$2:$AU$1001,MATCH(ROWS($W$2:W460),$W$2:$W$1001,0),MATCH(COLUMNS($AD$1006:AU1006),$AD$1006:$AU$1006,0)), HYPERLINK("#",""), HYPERLINK(CONCATENATE("#metadata!", ADDRESS(INDEX($Y$2:$Y$1001,MATCH(ROWS($W$2:W460),$W$2:$W$1001,0),0), INDEX($AD$1004:$AU$1004,1,MATCH(COLUMNS($AD$1006:AU1006),$AD$1006:$AU$1006,0)))),"Fix")))</f>
        <v xml:space="preserve"> </v>
      </c>
      <c r="W460">
        <v>459</v>
      </c>
      <c r="X460">
        <v>100460</v>
      </c>
      <c r="Y460">
        <v>460</v>
      </c>
      <c r="Z460" t="b">
        <f t="shared" si="7"/>
        <v>1</v>
      </c>
      <c r="AA460" t="b">
        <f>COUNTBLANK(metadata!B460:S460)=COLUMNS(metadata!B460:S460)</f>
        <v>1</v>
      </c>
      <c r="AB460" t="str">
        <v/>
      </c>
      <c r="AD460" t="b">
        <f ca="1">AND(IF(metadata!B460="",FALSE,TRUE),COUNTIF(metadata!B:B, metadata!B460) = 1,NOT(ISERROR(SUMPRODUCT(SEARCH(MID(metadata!B460,ROW(INDIRECT("1:"&amp;LEN(metadata!B460))), 1),"0123456789abcdefghijklmnopqrstuvwxyzABCDEFGHIJKLMNOPQRSTUVWXYZ.")))))</f>
        <v>0</v>
      </c>
      <c r="AE460" t="b">
        <f>OR(AND(IF(metadata!C460="",FALSE,TRUE),OR(EXACT(metadata!C460,"not applicable"),EXACT(metadata!C460,"missing: not collected"),EXACT(metadata!C460,"missing: not provided"),EXACT(metadata!C460,"missing: restricted access"))),AND(IF(metadata!C460="",FALSE,ISNUMBER(VALUE(metadata!C460))),metadata!C460&gt;0))</f>
        <v>0</v>
      </c>
      <c r="AF460" t="b">
        <f>AND(IF(metadata!D460="",FALSE,TRUE),EXACT(metadata!D460,"missing: not provided"))</f>
        <v>0</v>
      </c>
      <c r="AG460" t="b">
        <f>AND(IF(metadata!E460="",FALSE,TRUE),EXACT(metadata!E460,"Host-associated"))</f>
        <v>0</v>
      </c>
      <c r="AH460" t="b">
        <f>AND(IF(metadata!F460="",FALSE,TRUE),OR(EXACT(metadata!F460,"Animal"),EXACT(metadata!F460,"Fungus"),EXACT(metadata!F460,"Plant")))</f>
        <v>0</v>
      </c>
      <c r="AI460" t="b">
        <f>AND(IF(metadata!G460="",FALSE,TRUE),OR(EXACT(metadata!G460,"Plant secretion"),EXACT(metadata!G460,"Plant rhizosphere"),EXACT(metadata!G460,"Plant surface"),EXACT(metadata!G460,"Plant corpus"),EXACT(metadata!G460,"Fungus surface"),EXACT(metadata!G460,"Fungus corpus"),EXACT(metadata!G460,"Animal surface"),EXACT(metadata!G460,"Animal proximal gut"),EXACT(metadata!G460,"Animal corpus"),EXACT(metadata!G460,"Animal distal gut"),EXACT(metadata!G460,"Animal secretion")))</f>
        <v>0</v>
      </c>
      <c r="AJ460" t="b">
        <f>OR(AND(IF(metadata!H460="",FALSE,TRUE),OR(EXACT(metadata!H460,"missing: not collected"),EXACT(metadata!H460,"missing: not provided"),EXACT(metadata!H460,"missing: restricted access"))),AND(IF(metadata!H460="",FALSE,TRUE),OR(EXACT(metadata!H460,"organism-associated habitat"),EXACT(metadata!H460,"plant-associated habitat"),EXACT(metadata!H460,"animal-associated habitat"),EXACT(metadata!H460,"insecta-associated habitat"),EXACT(metadata!H460,"mammalia-associated habitat"),EXACT(metadata!H460,"human-associated habitat"),EXACT(metadata!H460,"livestock-associated habitat"))))</f>
        <v>0</v>
      </c>
      <c r="AK460" t="b">
        <f>AND(IF(metadata!I460="",FALSE,TRUE),EXACT(metadata!I460,"host-associated"))</f>
        <v>0</v>
      </c>
      <c r="AL460" t="b">
        <f>OR(AND(IF(metadata!J460="",FALSE,TRUE),OR(EXACT(metadata!J460,"not applicable"),EXACT(metadata!J460,"missing: not collected"),EXACT(metadata!J460,"missing: not provided"),EXACT(metadata!J460,"missing: restricted access"))),AND(IF(metadata!J460="",FALSE,ISNUMBER(VALUE(metadata!J460))),metadata!J460&gt;0))</f>
        <v>0</v>
      </c>
      <c r="AM460" t="b">
        <f>AND(IF(metadata!K460="",FALSE,TRUE),EXACT(metadata!K460,"missing: not provided"))</f>
        <v>0</v>
      </c>
      <c r="AN460" t="b">
        <f>IF(metadata!L460="",FALSE,TRUE)</f>
        <v>0</v>
      </c>
      <c r="AO460" t="b">
        <f>IF(metadata!M460="",FALSE,TRUE)</f>
        <v>0</v>
      </c>
      <c r="AP460" t="b">
        <f>OR(AND(IF(metadata!N460="",FALSE,TRUE),OR(EXACT(metadata!N460,"not applicable"),EXACT(metadata!N460,"missing: not collected"),EXACT(metadata!N460,"missing: not provided"))),AND(IF(metadata!N460="",FALSE,IF(ISERROR(INT(metadata!N460)),FALSE,INT(metadata!N460)=metadata!N460)),metadata!N460&gt;0))</f>
        <v>0</v>
      </c>
      <c r="AQ460" t="b">
        <f>AND(IF(metadata!O460="",FALSE,TRUE),EXACT(metadata!O460,"Not applicable"))</f>
        <v>0</v>
      </c>
      <c r="AR460" t="b">
        <f>OR(AND(IF(metadata!P460="",FALSE,TRUE),OR(EXACT(metadata!P460,"not applicable"),EXACT(metadata!P460,"missing: not collected"),EXACT(metadata!P460,"missing: not provided"),EXACT(metadata!P460,"missing: restricted access"))),IF(metadata!P460="",FALSE,IF(ISERROR(INT(metadata!P460)),FALSE,INT(metadata!P460)=metadata!P460)))</f>
        <v>0</v>
      </c>
      <c r="AS460" t="b">
        <f>AND(IF(metadata!Q460="",FALSE,TRUE),EXACT(metadata!Q460,"Not applicable"))</f>
        <v>0</v>
      </c>
      <c r="AT460" t="b">
        <f>OR(AND(IF(metadata!R460="",FALSE,TRUE),OR(EXACT(metadata!R460,"not applicable"),EXACT(metadata!R460,"missing: not collected"),EXACT(metadata!R460,"missing: not provided"),EXACT(metadata!R460,"missing: restricted access"))),AND(IF(metadata!R460="",FALSE,ISNUMBER(VALUE(metadata!R460))),metadata!R460&gt;0))</f>
        <v>0</v>
      </c>
      <c r="AU460" t="b">
        <f>AND(IF(metadata!S460="",FALSE,TRUE),EXACT(metadata!S460,"missing: not provided"))</f>
        <v>0</v>
      </c>
    </row>
    <row r="461" spans="1:47" x14ac:dyDescent="0.2">
      <c r="A461" s="5" t="str">
        <f ca="1">IF(B461=" "," ",HYPERLINK(CONCATENATE("#metadata!",ADDRESS(INDEX($Y$2:$Y$1001,MATCH(ROWS($W$2:W461),$W$2:$W$1001,0),0),1)),INDEX($AB$2:$AB$1001,MATCH(ROWS($W$2:W461),$W$2:$W$1001,0),0)))</f>
        <v xml:space="preserve"> </v>
      </c>
      <c r="B461" s="4" t="str">
        <f ca="1">IF(OR(INDEX($X$2:$X$1001,MATCH(ROWS($W$2:W461),$W$2:$W$1001,0),1)&gt;=100000,INDEX($AD$1005:$AU$1005,1,MATCH(COLUMNS($AD$1006:AD1006),$AD$1006:$AU$1006,0))&gt;=100000), " ",IF(INDEX($AD$2:$AU$1001,MATCH(ROWS($W$2:W461),$W$2:$W$1001,0),MATCH(COLUMNS($AD$1006:AD1006),$AD$1006:$AU$1006,0)), HYPERLINK("#",""), HYPERLINK(CONCATENATE("#metadata!", ADDRESS(INDEX($Y$2:$Y$1001,MATCH(ROWS($W$2:W461),$W$2:$W$1001,0),0), INDEX($AD$1004:$AU$1004,1,MATCH(COLUMNS($AD$1006:AD1006),$AD$1006:$AU$1006,0)))),"Fix")))</f>
        <v xml:space="preserve"> </v>
      </c>
      <c r="C461" s="4" t="str">
        <f ca="1">IF(OR(INDEX($X$2:$X$1001,MATCH(ROWS($W$2:W461),$W$2:$W$1001,0),1)&gt;=100000,INDEX($AD$1005:$AU$1005,1,MATCH(COLUMNS($AD$1006:AE1006),$AD$1006:$AU$1006,0))&gt;=100000), " ",IF(INDEX($AD$2:$AU$1001,MATCH(ROWS($W$2:W461),$W$2:$W$1001,0),MATCH(COLUMNS($AD$1006:AE1006),$AD$1006:$AU$1006,0)), HYPERLINK("#",""), HYPERLINK(CONCATENATE("#metadata!", ADDRESS(INDEX($Y$2:$Y$1001,MATCH(ROWS($W$2:W461),$W$2:$W$1001,0),0), INDEX($AD$1004:$AU$1004,1,MATCH(COLUMNS($AD$1006:AE1006),$AD$1006:$AU$1006,0)))),"Fix")))</f>
        <v xml:space="preserve"> </v>
      </c>
      <c r="D461" s="4" t="str">
        <f ca="1">IF(OR(INDEX($X$2:$X$1001,MATCH(ROWS($W$2:W461),$W$2:$W$1001,0),1)&gt;=100000,INDEX($AD$1005:$AU$1005,1,MATCH(COLUMNS($AD$1006:AF1006),$AD$1006:$AU$1006,0))&gt;=100000), " ",IF(INDEX($AD$2:$AU$1001,MATCH(ROWS($W$2:W461),$W$2:$W$1001,0),MATCH(COLUMNS($AD$1006:AF1006),$AD$1006:$AU$1006,0)), HYPERLINK("#",""), HYPERLINK(CONCATENATE("#metadata!", ADDRESS(INDEX($Y$2:$Y$1001,MATCH(ROWS($W$2:W461),$W$2:$W$1001,0),0), INDEX($AD$1004:$AU$1004,1,MATCH(COLUMNS($AD$1006:AF1006),$AD$1006:$AU$1006,0)))),"Fix")))</f>
        <v xml:space="preserve"> </v>
      </c>
      <c r="E461" s="4" t="str">
        <f ca="1">IF(OR(INDEX($X$2:$X$1001,MATCH(ROWS($W$2:W461),$W$2:$W$1001,0),1)&gt;=100000,INDEX($AD$1005:$AU$1005,1,MATCH(COLUMNS($AD$1006:AG1006),$AD$1006:$AU$1006,0))&gt;=100000), " ",IF(INDEX($AD$2:$AU$1001,MATCH(ROWS($W$2:W461),$W$2:$W$1001,0),MATCH(COLUMNS($AD$1006:AG1006),$AD$1006:$AU$1006,0)), HYPERLINK("#",""), HYPERLINK(CONCATENATE("#metadata!", ADDRESS(INDEX($Y$2:$Y$1001,MATCH(ROWS($W$2:W461),$W$2:$W$1001,0),0), INDEX($AD$1004:$AU$1004,1,MATCH(COLUMNS($AD$1006:AG1006),$AD$1006:$AU$1006,0)))),"Fix")))</f>
        <v xml:space="preserve"> </v>
      </c>
      <c r="F461" s="4" t="str">
        <f ca="1">IF(OR(INDEX($X$2:$X$1001,MATCH(ROWS($W$2:W461),$W$2:$W$1001,0),1)&gt;=100000,INDEX($AD$1005:$AU$1005,1,MATCH(COLUMNS($AD$1006:AH1006),$AD$1006:$AU$1006,0))&gt;=100000), " ",IF(INDEX($AD$2:$AU$1001,MATCH(ROWS($W$2:W461),$W$2:$W$1001,0),MATCH(COLUMNS($AD$1006:AH1006),$AD$1006:$AU$1006,0)), HYPERLINK("#",""), HYPERLINK(CONCATENATE("#metadata!", ADDRESS(INDEX($Y$2:$Y$1001,MATCH(ROWS($W$2:W461),$W$2:$W$1001,0),0), INDEX($AD$1004:$AU$1004,1,MATCH(COLUMNS($AD$1006:AH1006),$AD$1006:$AU$1006,0)))),"Fix")))</f>
        <v xml:space="preserve"> </v>
      </c>
      <c r="G461" s="4" t="str">
        <f ca="1">IF(OR(INDEX($X$2:$X$1001,MATCH(ROWS($W$2:W461),$W$2:$W$1001,0),1)&gt;=100000,INDEX($AD$1005:$AU$1005,1,MATCH(COLUMNS($AD$1006:AI1006),$AD$1006:$AU$1006,0))&gt;=100000), " ",IF(INDEX($AD$2:$AU$1001,MATCH(ROWS($W$2:W461),$W$2:$W$1001,0),MATCH(COLUMNS($AD$1006:AI1006),$AD$1006:$AU$1006,0)), HYPERLINK("#",""), HYPERLINK(CONCATENATE("#metadata!", ADDRESS(INDEX($Y$2:$Y$1001,MATCH(ROWS($W$2:W461),$W$2:$W$1001,0),0), INDEX($AD$1004:$AU$1004,1,MATCH(COLUMNS($AD$1006:AI1006),$AD$1006:$AU$1006,0)))),"Fix")))</f>
        <v xml:space="preserve"> </v>
      </c>
      <c r="H461" s="4" t="str">
        <f ca="1">IF(OR(INDEX($X$2:$X$1001,MATCH(ROWS($W$2:W461),$W$2:$W$1001,0),1)&gt;=100000,INDEX($AD$1005:$AU$1005,1,MATCH(COLUMNS($AD$1006:AJ1006),$AD$1006:$AU$1006,0))&gt;=100000), " ",IF(INDEX($AD$2:$AU$1001,MATCH(ROWS($W$2:W461),$W$2:$W$1001,0),MATCH(COLUMNS($AD$1006:AJ1006),$AD$1006:$AU$1006,0)), HYPERLINK("#",""), HYPERLINK(CONCATENATE("#metadata!", ADDRESS(INDEX($Y$2:$Y$1001,MATCH(ROWS($W$2:W461),$W$2:$W$1001,0),0), INDEX($AD$1004:$AU$1004,1,MATCH(COLUMNS($AD$1006:AJ1006),$AD$1006:$AU$1006,0)))),"Fix")))</f>
        <v xml:space="preserve"> </v>
      </c>
      <c r="I461" s="4" t="str">
        <f ca="1">IF(OR(INDEX($X$2:$X$1001,MATCH(ROWS($W$2:W461),$W$2:$W$1001,0),1)&gt;=100000,INDEX($AD$1005:$AU$1005,1,MATCH(COLUMNS($AD$1006:AK1006),$AD$1006:$AU$1006,0))&gt;=100000), " ",IF(INDEX($AD$2:$AU$1001,MATCH(ROWS($W$2:W461),$W$2:$W$1001,0),MATCH(COLUMNS($AD$1006:AK1006),$AD$1006:$AU$1006,0)), HYPERLINK("#",""), HYPERLINK(CONCATENATE("#metadata!", ADDRESS(INDEX($Y$2:$Y$1001,MATCH(ROWS($W$2:W461),$W$2:$W$1001,0),0), INDEX($AD$1004:$AU$1004,1,MATCH(COLUMNS($AD$1006:AK1006),$AD$1006:$AU$1006,0)))),"Fix")))</f>
        <v xml:space="preserve"> </v>
      </c>
      <c r="J461" s="4" t="str">
        <f ca="1">IF(OR(INDEX($X$2:$X$1001,MATCH(ROWS($W$2:W461),$W$2:$W$1001,0),1)&gt;=100000,INDEX($AD$1005:$AU$1005,1,MATCH(COLUMNS($AD$1006:AL1006),$AD$1006:$AU$1006,0))&gt;=100000), " ",IF(INDEX($AD$2:$AU$1001,MATCH(ROWS($W$2:W461),$W$2:$W$1001,0),MATCH(COLUMNS($AD$1006:AL1006),$AD$1006:$AU$1006,0)), HYPERLINK("#",""), HYPERLINK(CONCATENATE("#metadata!", ADDRESS(INDEX($Y$2:$Y$1001,MATCH(ROWS($W$2:W461),$W$2:$W$1001,0),0), INDEX($AD$1004:$AU$1004,1,MATCH(COLUMNS($AD$1006:AL1006),$AD$1006:$AU$1006,0)))),"Fix")))</f>
        <v xml:space="preserve"> </v>
      </c>
      <c r="K461" s="4" t="str">
        <f ca="1">IF(OR(INDEX($X$2:$X$1001,MATCH(ROWS($W$2:W461),$W$2:$W$1001,0),1)&gt;=100000,INDEX($AD$1005:$AU$1005,1,MATCH(COLUMNS($AD$1006:AM1006),$AD$1006:$AU$1006,0))&gt;=100000), " ",IF(INDEX($AD$2:$AU$1001,MATCH(ROWS($W$2:W461),$W$2:$W$1001,0),MATCH(COLUMNS($AD$1006:AM1006),$AD$1006:$AU$1006,0)), HYPERLINK("#",""), HYPERLINK(CONCATENATE("#metadata!", ADDRESS(INDEX($Y$2:$Y$1001,MATCH(ROWS($W$2:W461),$W$2:$W$1001,0),0), INDEX($AD$1004:$AU$1004,1,MATCH(COLUMNS($AD$1006:AM1006),$AD$1006:$AU$1006,0)))),"Fix")))</f>
        <v xml:space="preserve"> </v>
      </c>
      <c r="L461" s="4" t="str">
        <f ca="1">IF(OR(INDEX($X$2:$X$1001,MATCH(ROWS($W$2:W461),$W$2:$W$1001,0),1)&gt;=100000,INDEX($AD$1005:$AU$1005,1,MATCH(COLUMNS($AD$1006:AN1006),$AD$1006:$AU$1006,0))&gt;=100000), " ",IF(INDEX($AD$2:$AU$1001,MATCH(ROWS($W$2:W461),$W$2:$W$1001,0),MATCH(COLUMNS($AD$1006:AN1006),$AD$1006:$AU$1006,0)), HYPERLINK("#",""), HYPERLINK(CONCATENATE("#metadata!", ADDRESS(INDEX($Y$2:$Y$1001,MATCH(ROWS($W$2:W461),$W$2:$W$1001,0),0), INDEX($AD$1004:$AU$1004,1,MATCH(COLUMNS($AD$1006:AN1006),$AD$1006:$AU$1006,0)))),"Fix")))</f>
        <v xml:space="preserve"> </v>
      </c>
      <c r="M461" s="4" t="str">
        <f ca="1">IF(OR(INDEX($X$2:$X$1001,MATCH(ROWS($W$2:W461),$W$2:$W$1001,0),1)&gt;=100000,INDEX($AD$1005:$AU$1005,1,MATCH(COLUMNS($AD$1006:AO1006),$AD$1006:$AU$1006,0))&gt;=100000), " ",IF(INDEX($AD$2:$AU$1001,MATCH(ROWS($W$2:W461),$W$2:$W$1001,0),MATCH(COLUMNS($AD$1006:AO1006),$AD$1006:$AU$1006,0)), HYPERLINK("#",""), HYPERLINK(CONCATENATE("#metadata!", ADDRESS(INDEX($Y$2:$Y$1001,MATCH(ROWS($W$2:W461),$W$2:$W$1001,0),0), INDEX($AD$1004:$AU$1004,1,MATCH(COLUMNS($AD$1006:AO1006),$AD$1006:$AU$1006,0)))),"Fix")))</f>
        <v xml:space="preserve"> </v>
      </c>
      <c r="N461" s="4" t="str">
        <f ca="1">IF(OR(INDEX($X$2:$X$1001,MATCH(ROWS($W$2:W461),$W$2:$W$1001,0),1)&gt;=100000,INDEX($AD$1005:$AU$1005,1,MATCH(COLUMNS($AD$1006:AP1006),$AD$1006:$AU$1006,0))&gt;=100000), " ",IF(INDEX($AD$2:$AU$1001,MATCH(ROWS($W$2:W461),$W$2:$W$1001,0),MATCH(COLUMNS($AD$1006:AP1006),$AD$1006:$AU$1006,0)), HYPERLINK("#",""), HYPERLINK(CONCATENATE("#metadata!", ADDRESS(INDEX($Y$2:$Y$1001,MATCH(ROWS($W$2:W461),$W$2:$W$1001,0),0), INDEX($AD$1004:$AU$1004,1,MATCH(COLUMNS($AD$1006:AP1006),$AD$1006:$AU$1006,0)))),"Fix")))</f>
        <v xml:space="preserve"> </v>
      </c>
      <c r="O461" s="4" t="str">
        <f ca="1">IF(OR(INDEX($X$2:$X$1001,MATCH(ROWS($W$2:W461),$W$2:$W$1001,0),1)&gt;=100000,INDEX($AD$1005:$AU$1005,1,MATCH(COLUMNS($AD$1006:AQ1006),$AD$1006:$AU$1006,0))&gt;=100000), " ",IF(INDEX($AD$2:$AU$1001,MATCH(ROWS($W$2:W461),$W$2:$W$1001,0),MATCH(COLUMNS($AD$1006:AQ1006),$AD$1006:$AU$1006,0)), HYPERLINK("#",""), HYPERLINK(CONCATENATE("#metadata!", ADDRESS(INDEX($Y$2:$Y$1001,MATCH(ROWS($W$2:W461),$W$2:$W$1001,0),0), INDEX($AD$1004:$AU$1004,1,MATCH(COLUMNS($AD$1006:AQ1006),$AD$1006:$AU$1006,0)))),"Fix")))</f>
        <v xml:space="preserve"> </v>
      </c>
      <c r="P461" s="4" t="str">
        <f ca="1">IF(OR(INDEX($X$2:$X$1001,MATCH(ROWS($W$2:W461),$W$2:$W$1001,0),1)&gt;=100000,INDEX($AD$1005:$AU$1005,1,MATCH(COLUMNS($AD$1006:AR1006),$AD$1006:$AU$1006,0))&gt;=100000), " ",IF(INDEX($AD$2:$AU$1001,MATCH(ROWS($W$2:W461),$W$2:$W$1001,0),MATCH(COLUMNS($AD$1006:AR1006),$AD$1006:$AU$1006,0)), HYPERLINK("#",""), HYPERLINK(CONCATENATE("#metadata!", ADDRESS(INDEX($Y$2:$Y$1001,MATCH(ROWS($W$2:W461),$W$2:$W$1001,0),0), INDEX($AD$1004:$AU$1004,1,MATCH(COLUMNS($AD$1006:AR1006),$AD$1006:$AU$1006,0)))),"Fix")))</f>
        <v xml:space="preserve"> </v>
      </c>
      <c r="Q461" s="4" t="str">
        <f ca="1">IF(OR(INDEX($X$2:$X$1001,MATCH(ROWS($W$2:W461),$W$2:$W$1001,0),1)&gt;=100000,INDEX($AD$1005:$AU$1005,1,MATCH(COLUMNS($AD$1006:AS1006),$AD$1006:$AU$1006,0))&gt;=100000), " ",IF(INDEX($AD$2:$AU$1001,MATCH(ROWS($W$2:W461),$W$2:$W$1001,0),MATCH(COLUMNS($AD$1006:AS1006),$AD$1006:$AU$1006,0)), HYPERLINK("#",""), HYPERLINK(CONCATENATE("#metadata!", ADDRESS(INDEX($Y$2:$Y$1001,MATCH(ROWS($W$2:W461),$W$2:$W$1001,0),0), INDEX($AD$1004:$AU$1004,1,MATCH(COLUMNS($AD$1006:AS1006),$AD$1006:$AU$1006,0)))),"Fix")))</f>
        <v xml:space="preserve"> </v>
      </c>
      <c r="R461" s="4" t="str">
        <f ca="1">IF(OR(INDEX($X$2:$X$1001,MATCH(ROWS($W$2:W461),$W$2:$W$1001,0),1)&gt;=100000,INDEX($AD$1005:$AU$1005,1,MATCH(COLUMNS($AD$1006:AT1006),$AD$1006:$AU$1006,0))&gt;=100000), " ",IF(INDEX($AD$2:$AU$1001,MATCH(ROWS($W$2:W461),$W$2:$W$1001,0),MATCH(COLUMNS($AD$1006:AT1006),$AD$1006:$AU$1006,0)), HYPERLINK("#",""), HYPERLINK(CONCATENATE("#metadata!", ADDRESS(INDEX($Y$2:$Y$1001,MATCH(ROWS($W$2:W461),$W$2:$W$1001,0),0), INDEX($AD$1004:$AU$1004,1,MATCH(COLUMNS($AD$1006:AT1006),$AD$1006:$AU$1006,0)))),"Fix")))</f>
        <v xml:space="preserve"> </v>
      </c>
      <c r="S461" s="4" t="str">
        <f ca="1">IF(OR(INDEX($X$2:$X$1001,MATCH(ROWS($W$2:W461),$W$2:$W$1001,0),1)&gt;=100000,INDEX($AD$1005:$AU$1005,1,MATCH(COLUMNS($AD$1006:AU1006),$AD$1006:$AU$1006,0))&gt;=100000), " ",IF(INDEX($AD$2:$AU$1001,MATCH(ROWS($W$2:W461),$W$2:$W$1001,0),MATCH(COLUMNS($AD$1006:AU1006),$AD$1006:$AU$1006,0)), HYPERLINK("#",""), HYPERLINK(CONCATENATE("#metadata!", ADDRESS(INDEX($Y$2:$Y$1001,MATCH(ROWS($W$2:W461),$W$2:$W$1001,0),0), INDEX($AD$1004:$AU$1004,1,MATCH(COLUMNS($AD$1006:AU1006),$AD$1006:$AU$1006,0)))),"Fix")))</f>
        <v xml:space="preserve"> </v>
      </c>
      <c r="W461">
        <v>460</v>
      </c>
      <c r="X461">
        <v>100461</v>
      </c>
      <c r="Y461">
        <v>461</v>
      </c>
      <c r="Z461" t="b">
        <f t="shared" si="7"/>
        <v>1</v>
      </c>
      <c r="AA461" t="b">
        <f>COUNTBLANK(metadata!B461:S461)=COLUMNS(metadata!B461:S461)</f>
        <v>1</v>
      </c>
      <c r="AB461" t="str">
        <v/>
      </c>
      <c r="AD461" t="b">
        <f ca="1">AND(IF(metadata!B461="",FALSE,TRUE),COUNTIF(metadata!B:B, metadata!B461) = 1,NOT(ISERROR(SUMPRODUCT(SEARCH(MID(metadata!B461,ROW(INDIRECT("1:"&amp;LEN(metadata!B461))), 1),"0123456789abcdefghijklmnopqrstuvwxyzABCDEFGHIJKLMNOPQRSTUVWXYZ.")))))</f>
        <v>0</v>
      </c>
      <c r="AE461" t="b">
        <f>OR(AND(IF(metadata!C461="",FALSE,TRUE),OR(EXACT(metadata!C461,"not applicable"),EXACT(metadata!C461,"missing: not collected"),EXACT(metadata!C461,"missing: not provided"),EXACT(metadata!C461,"missing: restricted access"))),AND(IF(metadata!C461="",FALSE,ISNUMBER(VALUE(metadata!C461))),metadata!C461&gt;0))</f>
        <v>0</v>
      </c>
      <c r="AF461" t="b">
        <f>AND(IF(metadata!D461="",FALSE,TRUE),EXACT(metadata!D461,"missing: not provided"))</f>
        <v>0</v>
      </c>
      <c r="AG461" t="b">
        <f>AND(IF(metadata!E461="",FALSE,TRUE),EXACT(metadata!E461,"Host-associated"))</f>
        <v>0</v>
      </c>
      <c r="AH461" t="b">
        <f>AND(IF(metadata!F461="",FALSE,TRUE),OR(EXACT(metadata!F461,"Animal"),EXACT(metadata!F461,"Fungus"),EXACT(metadata!F461,"Plant")))</f>
        <v>0</v>
      </c>
      <c r="AI461" t="b">
        <f>AND(IF(metadata!G461="",FALSE,TRUE),OR(EXACT(metadata!G461,"Plant secretion"),EXACT(metadata!G461,"Plant rhizosphere"),EXACT(metadata!G461,"Plant surface"),EXACT(metadata!G461,"Plant corpus"),EXACT(metadata!G461,"Fungus surface"),EXACT(metadata!G461,"Fungus corpus"),EXACT(metadata!G461,"Animal surface"),EXACT(metadata!G461,"Animal proximal gut"),EXACT(metadata!G461,"Animal corpus"),EXACT(metadata!G461,"Animal distal gut"),EXACT(metadata!G461,"Animal secretion")))</f>
        <v>0</v>
      </c>
      <c r="AJ461" t="b">
        <f>OR(AND(IF(metadata!H461="",FALSE,TRUE),OR(EXACT(metadata!H461,"missing: not collected"),EXACT(metadata!H461,"missing: not provided"),EXACT(metadata!H461,"missing: restricted access"))),AND(IF(metadata!H461="",FALSE,TRUE),OR(EXACT(metadata!H461,"organism-associated habitat"),EXACT(metadata!H461,"plant-associated habitat"),EXACT(metadata!H461,"animal-associated habitat"),EXACT(metadata!H461,"insecta-associated habitat"),EXACT(metadata!H461,"mammalia-associated habitat"),EXACT(metadata!H461,"human-associated habitat"),EXACT(metadata!H461,"livestock-associated habitat"))))</f>
        <v>0</v>
      </c>
      <c r="AK461" t="b">
        <f>AND(IF(metadata!I461="",FALSE,TRUE),EXACT(metadata!I461,"host-associated"))</f>
        <v>0</v>
      </c>
      <c r="AL461" t="b">
        <f>OR(AND(IF(metadata!J461="",FALSE,TRUE),OR(EXACT(metadata!J461,"not applicable"),EXACT(metadata!J461,"missing: not collected"),EXACT(metadata!J461,"missing: not provided"),EXACT(metadata!J461,"missing: restricted access"))),AND(IF(metadata!J461="",FALSE,ISNUMBER(VALUE(metadata!J461))),metadata!J461&gt;0))</f>
        <v>0</v>
      </c>
      <c r="AM461" t="b">
        <f>AND(IF(metadata!K461="",FALSE,TRUE),EXACT(metadata!K461,"missing: not provided"))</f>
        <v>0</v>
      </c>
      <c r="AN461" t="b">
        <f>IF(metadata!L461="",FALSE,TRUE)</f>
        <v>0</v>
      </c>
      <c r="AO461" t="b">
        <f>IF(metadata!M461="",FALSE,TRUE)</f>
        <v>0</v>
      </c>
      <c r="AP461" t="b">
        <f>OR(AND(IF(metadata!N461="",FALSE,TRUE),OR(EXACT(metadata!N461,"not applicable"),EXACT(metadata!N461,"missing: not collected"),EXACT(metadata!N461,"missing: not provided"))),AND(IF(metadata!N461="",FALSE,IF(ISERROR(INT(metadata!N461)),FALSE,INT(metadata!N461)=metadata!N461)),metadata!N461&gt;0))</f>
        <v>0</v>
      </c>
      <c r="AQ461" t="b">
        <f>AND(IF(metadata!O461="",FALSE,TRUE),EXACT(metadata!O461,"Not applicable"))</f>
        <v>0</v>
      </c>
      <c r="AR461" t="b">
        <f>OR(AND(IF(metadata!P461="",FALSE,TRUE),OR(EXACT(metadata!P461,"not applicable"),EXACT(metadata!P461,"missing: not collected"),EXACT(metadata!P461,"missing: not provided"),EXACT(metadata!P461,"missing: restricted access"))),IF(metadata!P461="",FALSE,IF(ISERROR(INT(metadata!P461)),FALSE,INT(metadata!P461)=metadata!P461)))</f>
        <v>0</v>
      </c>
      <c r="AS461" t="b">
        <f>AND(IF(metadata!Q461="",FALSE,TRUE),EXACT(metadata!Q461,"Not applicable"))</f>
        <v>0</v>
      </c>
      <c r="AT461" t="b">
        <f>OR(AND(IF(metadata!R461="",FALSE,TRUE),OR(EXACT(metadata!R461,"not applicable"),EXACT(metadata!R461,"missing: not collected"),EXACT(metadata!R461,"missing: not provided"),EXACT(metadata!R461,"missing: restricted access"))),AND(IF(metadata!R461="",FALSE,ISNUMBER(VALUE(metadata!R461))),metadata!R461&gt;0))</f>
        <v>0</v>
      </c>
      <c r="AU461" t="b">
        <f>AND(IF(metadata!S461="",FALSE,TRUE),EXACT(metadata!S461,"missing: not provided"))</f>
        <v>0</v>
      </c>
    </row>
    <row r="462" spans="1:47" x14ac:dyDescent="0.2">
      <c r="A462" s="5" t="str">
        <f ca="1">IF(B462=" "," ",HYPERLINK(CONCATENATE("#metadata!",ADDRESS(INDEX($Y$2:$Y$1001,MATCH(ROWS($W$2:W462),$W$2:$W$1001,0),0),1)),INDEX($AB$2:$AB$1001,MATCH(ROWS($W$2:W462),$W$2:$W$1001,0),0)))</f>
        <v xml:space="preserve"> </v>
      </c>
      <c r="B462" s="4" t="str">
        <f ca="1">IF(OR(INDEX($X$2:$X$1001,MATCH(ROWS($W$2:W462),$W$2:$W$1001,0),1)&gt;=100000,INDEX($AD$1005:$AU$1005,1,MATCH(COLUMNS($AD$1006:AD1006),$AD$1006:$AU$1006,0))&gt;=100000), " ",IF(INDEX($AD$2:$AU$1001,MATCH(ROWS($W$2:W462),$W$2:$W$1001,0),MATCH(COLUMNS($AD$1006:AD1006),$AD$1006:$AU$1006,0)), HYPERLINK("#",""), HYPERLINK(CONCATENATE("#metadata!", ADDRESS(INDEX($Y$2:$Y$1001,MATCH(ROWS($W$2:W462),$W$2:$W$1001,0),0), INDEX($AD$1004:$AU$1004,1,MATCH(COLUMNS($AD$1006:AD1006),$AD$1006:$AU$1006,0)))),"Fix")))</f>
        <v xml:space="preserve"> </v>
      </c>
      <c r="C462" s="4" t="str">
        <f ca="1">IF(OR(INDEX($X$2:$X$1001,MATCH(ROWS($W$2:W462),$W$2:$W$1001,0),1)&gt;=100000,INDEX($AD$1005:$AU$1005,1,MATCH(COLUMNS($AD$1006:AE1006),$AD$1006:$AU$1006,0))&gt;=100000), " ",IF(INDEX($AD$2:$AU$1001,MATCH(ROWS($W$2:W462),$W$2:$W$1001,0),MATCH(COLUMNS($AD$1006:AE1006),$AD$1006:$AU$1006,0)), HYPERLINK("#",""), HYPERLINK(CONCATENATE("#metadata!", ADDRESS(INDEX($Y$2:$Y$1001,MATCH(ROWS($W$2:W462),$W$2:$W$1001,0),0), INDEX($AD$1004:$AU$1004,1,MATCH(COLUMNS($AD$1006:AE1006),$AD$1006:$AU$1006,0)))),"Fix")))</f>
        <v xml:space="preserve"> </v>
      </c>
      <c r="D462" s="4" t="str">
        <f ca="1">IF(OR(INDEX($X$2:$X$1001,MATCH(ROWS($W$2:W462),$W$2:$W$1001,0),1)&gt;=100000,INDEX($AD$1005:$AU$1005,1,MATCH(COLUMNS($AD$1006:AF1006),$AD$1006:$AU$1006,0))&gt;=100000), " ",IF(INDEX($AD$2:$AU$1001,MATCH(ROWS($W$2:W462),$W$2:$W$1001,0),MATCH(COLUMNS($AD$1006:AF1006),$AD$1006:$AU$1006,0)), HYPERLINK("#",""), HYPERLINK(CONCATENATE("#metadata!", ADDRESS(INDEX($Y$2:$Y$1001,MATCH(ROWS($W$2:W462),$W$2:$W$1001,0),0), INDEX($AD$1004:$AU$1004,1,MATCH(COLUMNS($AD$1006:AF1006),$AD$1006:$AU$1006,0)))),"Fix")))</f>
        <v xml:space="preserve"> </v>
      </c>
      <c r="E462" s="4" t="str">
        <f ca="1">IF(OR(INDEX($X$2:$X$1001,MATCH(ROWS($W$2:W462),$W$2:$W$1001,0),1)&gt;=100000,INDEX($AD$1005:$AU$1005,1,MATCH(COLUMNS($AD$1006:AG1006),$AD$1006:$AU$1006,0))&gt;=100000), " ",IF(INDEX($AD$2:$AU$1001,MATCH(ROWS($W$2:W462),$W$2:$W$1001,0),MATCH(COLUMNS($AD$1006:AG1006),$AD$1006:$AU$1006,0)), HYPERLINK("#",""), HYPERLINK(CONCATENATE("#metadata!", ADDRESS(INDEX($Y$2:$Y$1001,MATCH(ROWS($W$2:W462),$W$2:$W$1001,0),0), INDEX($AD$1004:$AU$1004,1,MATCH(COLUMNS($AD$1006:AG1006),$AD$1006:$AU$1006,0)))),"Fix")))</f>
        <v xml:space="preserve"> </v>
      </c>
      <c r="F462" s="4" t="str">
        <f ca="1">IF(OR(INDEX($X$2:$X$1001,MATCH(ROWS($W$2:W462),$W$2:$W$1001,0),1)&gt;=100000,INDEX($AD$1005:$AU$1005,1,MATCH(COLUMNS($AD$1006:AH1006),$AD$1006:$AU$1006,0))&gt;=100000), " ",IF(INDEX($AD$2:$AU$1001,MATCH(ROWS($W$2:W462),$W$2:$W$1001,0),MATCH(COLUMNS($AD$1006:AH1006),$AD$1006:$AU$1006,0)), HYPERLINK("#",""), HYPERLINK(CONCATENATE("#metadata!", ADDRESS(INDEX($Y$2:$Y$1001,MATCH(ROWS($W$2:W462),$W$2:$W$1001,0),0), INDEX($AD$1004:$AU$1004,1,MATCH(COLUMNS($AD$1006:AH1006),$AD$1006:$AU$1006,0)))),"Fix")))</f>
        <v xml:space="preserve"> </v>
      </c>
      <c r="G462" s="4" t="str">
        <f ca="1">IF(OR(INDEX($X$2:$X$1001,MATCH(ROWS($W$2:W462),$W$2:$W$1001,0),1)&gt;=100000,INDEX($AD$1005:$AU$1005,1,MATCH(COLUMNS($AD$1006:AI1006),$AD$1006:$AU$1006,0))&gt;=100000), " ",IF(INDEX($AD$2:$AU$1001,MATCH(ROWS($W$2:W462),$W$2:$W$1001,0),MATCH(COLUMNS($AD$1006:AI1006),$AD$1006:$AU$1006,0)), HYPERLINK("#",""), HYPERLINK(CONCATENATE("#metadata!", ADDRESS(INDEX($Y$2:$Y$1001,MATCH(ROWS($W$2:W462),$W$2:$W$1001,0),0), INDEX($AD$1004:$AU$1004,1,MATCH(COLUMNS($AD$1006:AI1006),$AD$1006:$AU$1006,0)))),"Fix")))</f>
        <v xml:space="preserve"> </v>
      </c>
      <c r="H462" s="4" t="str">
        <f ca="1">IF(OR(INDEX($X$2:$X$1001,MATCH(ROWS($W$2:W462),$W$2:$W$1001,0),1)&gt;=100000,INDEX($AD$1005:$AU$1005,1,MATCH(COLUMNS($AD$1006:AJ1006),$AD$1006:$AU$1006,0))&gt;=100000), " ",IF(INDEX($AD$2:$AU$1001,MATCH(ROWS($W$2:W462),$W$2:$W$1001,0),MATCH(COLUMNS($AD$1006:AJ1006),$AD$1006:$AU$1006,0)), HYPERLINK("#",""), HYPERLINK(CONCATENATE("#metadata!", ADDRESS(INDEX($Y$2:$Y$1001,MATCH(ROWS($W$2:W462),$W$2:$W$1001,0),0), INDEX($AD$1004:$AU$1004,1,MATCH(COLUMNS($AD$1006:AJ1006),$AD$1006:$AU$1006,0)))),"Fix")))</f>
        <v xml:space="preserve"> </v>
      </c>
      <c r="I462" s="4" t="str">
        <f ca="1">IF(OR(INDEX($X$2:$X$1001,MATCH(ROWS($W$2:W462),$W$2:$W$1001,0),1)&gt;=100000,INDEX($AD$1005:$AU$1005,1,MATCH(COLUMNS($AD$1006:AK1006),$AD$1006:$AU$1006,0))&gt;=100000), " ",IF(INDEX($AD$2:$AU$1001,MATCH(ROWS($W$2:W462),$W$2:$W$1001,0),MATCH(COLUMNS($AD$1006:AK1006),$AD$1006:$AU$1006,0)), HYPERLINK("#",""), HYPERLINK(CONCATENATE("#metadata!", ADDRESS(INDEX($Y$2:$Y$1001,MATCH(ROWS($W$2:W462),$W$2:$W$1001,0),0), INDEX($AD$1004:$AU$1004,1,MATCH(COLUMNS($AD$1006:AK1006),$AD$1006:$AU$1006,0)))),"Fix")))</f>
        <v xml:space="preserve"> </v>
      </c>
      <c r="J462" s="4" t="str">
        <f ca="1">IF(OR(INDEX($X$2:$X$1001,MATCH(ROWS($W$2:W462),$W$2:$W$1001,0),1)&gt;=100000,INDEX($AD$1005:$AU$1005,1,MATCH(COLUMNS($AD$1006:AL1006),$AD$1006:$AU$1006,0))&gt;=100000), " ",IF(INDEX($AD$2:$AU$1001,MATCH(ROWS($W$2:W462),$W$2:$W$1001,0),MATCH(COLUMNS($AD$1006:AL1006),$AD$1006:$AU$1006,0)), HYPERLINK("#",""), HYPERLINK(CONCATENATE("#metadata!", ADDRESS(INDEX($Y$2:$Y$1001,MATCH(ROWS($W$2:W462),$W$2:$W$1001,0),0), INDEX($AD$1004:$AU$1004,1,MATCH(COLUMNS($AD$1006:AL1006),$AD$1006:$AU$1006,0)))),"Fix")))</f>
        <v xml:space="preserve"> </v>
      </c>
      <c r="K462" s="4" t="str">
        <f ca="1">IF(OR(INDEX($X$2:$X$1001,MATCH(ROWS($W$2:W462),$W$2:$W$1001,0),1)&gt;=100000,INDEX($AD$1005:$AU$1005,1,MATCH(COLUMNS($AD$1006:AM1006),$AD$1006:$AU$1006,0))&gt;=100000), " ",IF(INDEX($AD$2:$AU$1001,MATCH(ROWS($W$2:W462),$W$2:$W$1001,0),MATCH(COLUMNS($AD$1006:AM1006),$AD$1006:$AU$1006,0)), HYPERLINK("#",""), HYPERLINK(CONCATENATE("#metadata!", ADDRESS(INDEX($Y$2:$Y$1001,MATCH(ROWS($W$2:W462),$W$2:$W$1001,0),0), INDEX($AD$1004:$AU$1004,1,MATCH(COLUMNS($AD$1006:AM1006),$AD$1006:$AU$1006,0)))),"Fix")))</f>
        <v xml:space="preserve"> </v>
      </c>
      <c r="L462" s="4" t="str">
        <f ca="1">IF(OR(INDEX($X$2:$X$1001,MATCH(ROWS($W$2:W462),$W$2:$W$1001,0),1)&gt;=100000,INDEX($AD$1005:$AU$1005,1,MATCH(COLUMNS($AD$1006:AN1006),$AD$1006:$AU$1006,0))&gt;=100000), " ",IF(INDEX($AD$2:$AU$1001,MATCH(ROWS($W$2:W462),$W$2:$W$1001,0),MATCH(COLUMNS($AD$1006:AN1006),$AD$1006:$AU$1006,0)), HYPERLINK("#",""), HYPERLINK(CONCATENATE("#metadata!", ADDRESS(INDEX($Y$2:$Y$1001,MATCH(ROWS($W$2:W462),$W$2:$W$1001,0),0), INDEX($AD$1004:$AU$1004,1,MATCH(COLUMNS($AD$1006:AN1006),$AD$1006:$AU$1006,0)))),"Fix")))</f>
        <v xml:space="preserve"> </v>
      </c>
      <c r="M462" s="4" t="str">
        <f ca="1">IF(OR(INDEX($X$2:$X$1001,MATCH(ROWS($W$2:W462),$W$2:$W$1001,0),1)&gt;=100000,INDEX($AD$1005:$AU$1005,1,MATCH(COLUMNS($AD$1006:AO1006),$AD$1006:$AU$1006,0))&gt;=100000), " ",IF(INDEX($AD$2:$AU$1001,MATCH(ROWS($W$2:W462),$W$2:$W$1001,0),MATCH(COLUMNS($AD$1006:AO1006),$AD$1006:$AU$1006,0)), HYPERLINK("#",""), HYPERLINK(CONCATENATE("#metadata!", ADDRESS(INDEX($Y$2:$Y$1001,MATCH(ROWS($W$2:W462),$W$2:$W$1001,0),0), INDEX($AD$1004:$AU$1004,1,MATCH(COLUMNS($AD$1006:AO1006),$AD$1006:$AU$1006,0)))),"Fix")))</f>
        <v xml:space="preserve"> </v>
      </c>
      <c r="N462" s="4" t="str">
        <f ca="1">IF(OR(INDEX($X$2:$X$1001,MATCH(ROWS($W$2:W462),$W$2:$W$1001,0),1)&gt;=100000,INDEX($AD$1005:$AU$1005,1,MATCH(COLUMNS($AD$1006:AP1006),$AD$1006:$AU$1006,0))&gt;=100000), " ",IF(INDEX($AD$2:$AU$1001,MATCH(ROWS($W$2:W462),$W$2:$W$1001,0),MATCH(COLUMNS($AD$1006:AP1006),$AD$1006:$AU$1006,0)), HYPERLINK("#",""), HYPERLINK(CONCATENATE("#metadata!", ADDRESS(INDEX($Y$2:$Y$1001,MATCH(ROWS($W$2:W462),$W$2:$W$1001,0),0), INDEX($AD$1004:$AU$1004,1,MATCH(COLUMNS($AD$1006:AP1006),$AD$1006:$AU$1006,0)))),"Fix")))</f>
        <v xml:space="preserve"> </v>
      </c>
      <c r="O462" s="4" t="str">
        <f ca="1">IF(OR(INDEX($X$2:$X$1001,MATCH(ROWS($W$2:W462),$W$2:$W$1001,0),1)&gt;=100000,INDEX($AD$1005:$AU$1005,1,MATCH(COLUMNS($AD$1006:AQ1006),$AD$1006:$AU$1006,0))&gt;=100000), " ",IF(INDEX($AD$2:$AU$1001,MATCH(ROWS($W$2:W462),$W$2:$W$1001,0),MATCH(COLUMNS($AD$1006:AQ1006),$AD$1006:$AU$1006,0)), HYPERLINK("#",""), HYPERLINK(CONCATENATE("#metadata!", ADDRESS(INDEX($Y$2:$Y$1001,MATCH(ROWS($W$2:W462),$W$2:$W$1001,0),0), INDEX($AD$1004:$AU$1004,1,MATCH(COLUMNS($AD$1006:AQ1006),$AD$1006:$AU$1006,0)))),"Fix")))</f>
        <v xml:space="preserve"> </v>
      </c>
      <c r="P462" s="4" t="str">
        <f ca="1">IF(OR(INDEX($X$2:$X$1001,MATCH(ROWS($W$2:W462),$W$2:$W$1001,0),1)&gt;=100000,INDEX($AD$1005:$AU$1005,1,MATCH(COLUMNS($AD$1006:AR1006),$AD$1006:$AU$1006,0))&gt;=100000), " ",IF(INDEX($AD$2:$AU$1001,MATCH(ROWS($W$2:W462),$W$2:$W$1001,0),MATCH(COLUMNS($AD$1006:AR1006),$AD$1006:$AU$1006,0)), HYPERLINK("#",""), HYPERLINK(CONCATENATE("#metadata!", ADDRESS(INDEX($Y$2:$Y$1001,MATCH(ROWS($W$2:W462),$W$2:$W$1001,0),0), INDEX($AD$1004:$AU$1004,1,MATCH(COLUMNS($AD$1006:AR1006),$AD$1006:$AU$1006,0)))),"Fix")))</f>
        <v xml:space="preserve"> </v>
      </c>
      <c r="Q462" s="4" t="str">
        <f ca="1">IF(OR(INDEX($X$2:$X$1001,MATCH(ROWS($W$2:W462),$W$2:$W$1001,0),1)&gt;=100000,INDEX($AD$1005:$AU$1005,1,MATCH(COLUMNS($AD$1006:AS1006),$AD$1006:$AU$1006,0))&gt;=100000), " ",IF(INDEX($AD$2:$AU$1001,MATCH(ROWS($W$2:W462),$W$2:$W$1001,0),MATCH(COLUMNS($AD$1006:AS1006),$AD$1006:$AU$1006,0)), HYPERLINK("#",""), HYPERLINK(CONCATENATE("#metadata!", ADDRESS(INDEX($Y$2:$Y$1001,MATCH(ROWS($W$2:W462),$W$2:$W$1001,0),0), INDEX($AD$1004:$AU$1004,1,MATCH(COLUMNS($AD$1006:AS1006),$AD$1006:$AU$1006,0)))),"Fix")))</f>
        <v xml:space="preserve"> </v>
      </c>
      <c r="R462" s="4" t="str">
        <f ca="1">IF(OR(INDEX($X$2:$X$1001,MATCH(ROWS($W$2:W462),$W$2:$W$1001,0),1)&gt;=100000,INDEX($AD$1005:$AU$1005,1,MATCH(COLUMNS($AD$1006:AT1006),$AD$1006:$AU$1006,0))&gt;=100000), " ",IF(INDEX($AD$2:$AU$1001,MATCH(ROWS($W$2:W462),$W$2:$W$1001,0),MATCH(COLUMNS($AD$1006:AT1006),$AD$1006:$AU$1006,0)), HYPERLINK("#",""), HYPERLINK(CONCATENATE("#metadata!", ADDRESS(INDEX($Y$2:$Y$1001,MATCH(ROWS($W$2:W462),$W$2:$W$1001,0),0), INDEX($AD$1004:$AU$1004,1,MATCH(COLUMNS($AD$1006:AT1006),$AD$1006:$AU$1006,0)))),"Fix")))</f>
        <v xml:space="preserve"> </v>
      </c>
      <c r="S462" s="4" t="str">
        <f ca="1">IF(OR(INDEX($X$2:$X$1001,MATCH(ROWS($W$2:W462),$W$2:$W$1001,0),1)&gt;=100000,INDEX($AD$1005:$AU$1005,1,MATCH(COLUMNS($AD$1006:AU1006),$AD$1006:$AU$1006,0))&gt;=100000), " ",IF(INDEX($AD$2:$AU$1001,MATCH(ROWS($W$2:W462),$W$2:$W$1001,0),MATCH(COLUMNS($AD$1006:AU1006),$AD$1006:$AU$1006,0)), HYPERLINK("#",""), HYPERLINK(CONCATENATE("#metadata!", ADDRESS(INDEX($Y$2:$Y$1001,MATCH(ROWS($W$2:W462),$W$2:$W$1001,0),0), INDEX($AD$1004:$AU$1004,1,MATCH(COLUMNS($AD$1006:AU1006),$AD$1006:$AU$1006,0)))),"Fix")))</f>
        <v xml:space="preserve"> </v>
      </c>
      <c r="W462">
        <v>461</v>
      </c>
      <c r="X462">
        <v>100462</v>
      </c>
      <c r="Y462">
        <v>462</v>
      </c>
      <c r="Z462" t="b">
        <f t="shared" si="7"/>
        <v>1</v>
      </c>
      <c r="AA462" t="b">
        <f>COUNTBLANK(metadata!B462:S462)=COLUMNS(metadata!B462:S462)</f>
        <v>1</v>
      </c>
      <c r="AB462" t="str">
        <v/>
      </c>
      <c r="AD462" t="b">
        <f ca="1">AND(IF(metadata!B462="",FALSE,TRUE),COUNTIF(metadata!B:B, metadata!B462) = 1,NOT(ISERROR(SUMPRODUCT(SEARCH(MID(metadata!B462,ROW(INDIRECT("1:"&amp;LEN(metadata!B462))), 1),"0123456789abcdefghijklmnopqrstuvwxyzABCDEFGHIJKLMNOPQRSTUVWXYZ.")))))</f>
        <v>0</v>
      </c>
      <c r="AE462" t="b">
        <f>OR(AND(IF(metadata!C462="",FALSE,TRUE),OR(EXACT(metadata!C462,"not applicable"),EXACT(metadata!C462,"missing: not collected"),EXACT(metadata!C462,"missing: not provided"),EXACT(metadata!C462,"missing: restricted access"))),AND(IF(metadata!C462="",FALSE,ISNUMBER(VALUE(metadata!C462))),metadata!C462&gt;0))</f>
        <v>0</v>
      </c>
      <c r="AF462" t="b">
        <f>AND(IF(metadata!D462="",FALSE,TRUE),EXACT(metadata!D462,"missing: not provided"))</f>
        <v>0</v>
      </c>
      <c r="AG462" t="b">
        <f>AND(IF(metadata!E462="",FALSE,TRUE),EXACT(metadata!E462,"Host-associated"))</f>
        <v>0</v>
      </c>
      <c r="AH462" t="b">
        <f>AND(IF(metadata!F462="",FALSE,TRUE),OR(EXACT(metadata!F462,"Animal"),EXACT(metadata!F462,"Fungus"),EXACT(metadata!F462,"Plant")))</f>
        <v>0</v>
      </c>
      <c r="AI462" t="b">
        <f>AND(IF(metadata!G462="",FALSE,TRUE),OR(EXACT(metadata!G462,"Plant secretion"),EXACT(metadata!G462,"Plant rhizosphere"),EXACT(metadata!G462,"Plant surface"),EXACT(metadata!G462,"Plant corpus"),EXACT(metadata!G462,"Fungus surface"),EXACT(metadata!G462,"Fungus corpus"),EXACT(metadata!G462,"Animal surface"),EXACT(metadata!G462,"Animal proximal gut"),EXACT(metadata!G462,"Animal corpus"),EXACT(metadata!G462,"Animal distal gut"),EXACT(metadata!G462,"Animal secretion")))</f>
        <v>0</v>
      </c>
      <c r="AJ462" t="b">
        <f>OR(AND(IF(metadata!H462="",FALSE,TRUE),OR(EXACT(metadata!H462,"missing: not collected"),EXACT(metadata!H462,"missing: not provided"),EXACT(metadata!H462,"missing: restricted access"))),AND(IF(metadata!H462="",FALSE,TRUE),OR(EXACT(metadata!H462,"organism-associated habitat"),EXACT(metadata!H462,"plant-associated habitat"),EXACT(metadata!H462,"animal-associated habitat"),EXACT(metadata!H462,"insecta-associated habitat"),EXACT(metadata!H462,"mammalia-associated habitat"),EXACT(metadata!H462,"human-associated habitat"),EXACT(metadata!H462,"livestock-associated habitat"))))</f>
        <v>0</v>
      </c>
      <c r="AK462" t="b">
        <f>AND(IF(metadata!I462="",FALSE,TRUE),EXACT(metadata!I462,"host-associated"))</f>
        <v>0</v>
      </c>
      <c r="AL462" t="b">
        <f>OR(AND(IF(metadata!J462="",FALSE,TRUE),OR(EXACT(metadata!J462,"not applicable"),EXACT(metadata!J462,"missing: not collected"),EXACT(metadata!J462,"missing: not provided"),EXACT(metadata!J462,"missing: restricted access"))),AND(IF(metadata!J462="",FALSE,ISNUMBER(VALUE(metadata!J462))),metadata!J462&gt;0))</f>
        <v>0</v>
      </c>
      <c r="AM462" t="b">
        <f>AND(IF(metadata!K462="",FALSE,TRUE),EXACT(metadata!K462,"missing: not provided"))</f>
        <v>0</v>
      </c>
      <c r="AN462" t="b">
        <f>IF(metadata!L462="",FALSE,TRUE)</f>
        <v>0</v>
      </c>
      <c r="AO462" t="b">
        <f>IF(metadata!M462="",FALSE,TRUE)</f>
        <v>0</v>
      </c>
      <c r="AP462" t="b">
        <f>OR(AND(IF(metadata!N462="",FALSE,TRUE),OR(EXACT(metadata!N462,"not applicable"),EXACT(metadata!N462,"missing: not collected"),EXACT(metadata!N462,"missing: not provided"))),AND(IF(metadata!N462="",FALSE,IF(ISERROR(INT(metadata!N462)),FALSE,INT(metadata!N462)=metadata!N462)),metadata!N462&gt;0))</f>
        <v>0</v>
      </c>
      <c r="AQ462" t="b">
        <f>AND(IF(metadata!O462="",FALSE,TRUE),EXACT(metadata!O462,"Not applicable"))</f>
        <v>0</v>
      </c>
      <c r="AR462" t="b">
        <f>OR(AND(IF(metadata!P462="",FALSE,TRUE),OR(EXACT(metadata!P462,"not applicable"),EXACT(metadata!P462,"missing: not collected"),EXACT(metadata!P462,"missing: not provided"),EXACT(metadata!P462,"missing: restricted access"))),IF(metadata!P462="",FALSE,IF(ISERROR(INT(metadata!P462)),FALSE,INT(metadata!P462)=metadata!P462)))</f>
        <v>0</v>
      </c>
      <c r="AS462" t="b">
        <f>AND(IF(metadata!Q462="",FALSE,TRUE),EXACT(metadata!Q462,"Not applicable"))</f>
        <v>0</v>
      </c>
      <c r="AT462" t="b">
        <f>OR(AND(IF(metadata!R462="",FALSE,TRUE),OR(EXACT(metadata!R462,"not applicable"),EXACT(metadata!R462,"missing: not collected"),EXACT(metadata!R462,"missing: not provided"),EXACT(metadata!R462,"missing: restricted access"))),AND(IF(metadata!R462="",FALSE,ISNUMBER(VALUE(metadata!R462))),metadata!R462&gt;0))</f>
        <v>0</v>
      </c>
      <c r="AU462" t="b">
        <f>AND(IF(metadata!S462="",FALSE,TRUE),EXACT(metadata!S462,"missing: not provided"))</f>
        <v>0</v>
      </c>
    </row>
    <row r="463" spans="1:47" x14ac:dyDescent="0.2">
      <c r="A463" s="5" t="str">
        <f ca="1">IF(B463=" "," ",HYPERLINK(CONCATENATE("#metadata!",ADDRESS(INDEX($Y$2:$Y$1001,MATCH(ROWS($W$2:W463),$W$2:$W$1001,0),0),1)),INDEX($AB$2:$AB$1001,MATCH(ROWS($W$2:W463),$W$2:$W$1001,0),0)))</f>
        <v xml:space="preserve"> </v>
      </c>
      <c r="B463" s="4" t="str">
        <f ca="1">IF(OR(INDEX($X$2:$X$1001,MATCH(ROWS($W$2:W463),$W$2:$W$1001,0),1)&gt;=100000,INDEX($AD$1005:$AU$1005,1,MATCH(COLUMNS($AD$1006:AD1006),$AD$1006:$AU$1006,0))&gt;=100000), " ",IF(INDEX($AD$2:$AU$1001,MATCH(ROWS($W$2:W463),$W$2:$W$1001,0),MATCH(COLUMNS($AD$1006:AD1006),$AD$1006:$AU$1006,0)), HYPERLINK("#",""), HYPERLINK(CONCATENATE("#metadata!", ADDRESS(INDEX($Y$2:$Y$1001,MATCH(ROWS($W$2:W463),$W$2:$W$1001,0),0), INDEX($AD$1004:$AU$1004,1,MATCH(COLUMNS($AD$1006:AD1006),$AD$1006:$AU$1006,0)))),"Fix")))</f>
        <v xml:space="preserve"> </v>
      </c>
      <c r="C463" s="4" t="str">
        <f ca="1">IF(OR(INDEX($X$2:$X$1001,MATCH(ROWS($W$2:W463),$W$2:$W$1001,0),1)&gt;=100000,INDEX($AD$1005:$AU$1005,1,MATCH(COLUMNS($AD$1006:AE1006),$AD$1006:$AU$1006,0))&gt;=100000), " ",IF(INDEX($AD$2:$AU$1001,MATCH(ROWS($W$2:W463),$W$2:$W$1001,0),MATCH(COLUMNS($AD$1006:AE1006),$AD$1006:$AU$1006,0)), HYPERLINK("#",""), HYPERLINK(CONCATENATE("#metadata!", ADDRESS(INDEX($Y$2:$Y$1001,MATCH(ROWS($W$2:W463),$W$2:$W$1001,0),0), INDEX($AD$1004:$AU$1004,1,MATCH(COLUMNS($AD$1006:AE1006),$AD$1006:$AU$1006,0)))),"Fix")))</f>
        <v xml:space="preserve"> </v>
      </c>
      <c r="D463" s="4" t="str">
        <f ca="1">IF(OR(INDEX($X$2:$X$1001,MATCH(ROWS($W$2:W463),$W$2:$W$1001,0),1)&gt;=100000,INDEX($AD$1005:$AU$1005,1,MATCH(COLUMNS($AD$1006:AF1006),$AD$1006:$AU$1006,0))&gt;=100000), " ",IF(INDEX($AD$2:$AU$1001,MATCH(ROWS($W$2:W463),$W$2:$W$1001,0),MATCH(COLUMNS($AD$1006:AF1006),$AD$1006:$AU$1006,0)), HYPERLINK("#",""), HYPERLINK(CONCATENATE("#metadata!", ADDRESS(INDEX($Y$2:$Y$1001,MATCH(ROWS($W$2:W463),$W$2:$W$1001,0),0), INDEX($AD$1004:$AU$1004,1,MATCH(COLUMNS($AD$1006:AF1006),$AD$1006:$AU$1006,0)))),"Fix")))</f>
        <v xml:space="preserve"> </v>
      </c>
      <c r="E463" s="4" t="str">
        <f ca="1">IF(OR(INDEX($X$2:$X$1001,MATCH(ROWS($W$2:W463),$W$2:$W$1001,0),1)&gt;=100000,INDEX($AD$1005:$AU$1005,1,MATCH(COLUMNS($AD$1006:AG1006),$AD$1006:$AU$1006,0))&gt;=100000), " ",IF(INDEX($AD$2:$AU$1001,MATCH(ROWS($W$2:W463),$W$2:$W$1001,0),MATCH(COLUMNS($AD$1006:AG1006),$AD$1006:$AU$1006,0)), HYPERLINK("#",""), HYPERLINK(CONCATENATE("#metadata!", ADDRESS(INDEX($Y$2:$Y$1001,MATCH(ROWS($W$2:W463),$W$2:$W$1001,0),0), INDEX($AD$1004:$AU$1004,1,MATCH(COLUMNS($AD$1006:AG1006),$AD$1006:$AU$1006,0)))),"Fix")))</f>
        <v xml:space="preserve"> </v>
      </c>
      <c r="F463" s="4" t="str">
        <f ca="1">IF(OR(INDEX($X$2:$X$1001,MATCH(ROWS($W$2:W463),$W$2:$W$1001,0),1)&gt;=100000,INDEX($AD$1005:$AU$1005,1,MATCH(COLUMNS($AD$1006:AH1006),$AD$1006:$AU$1006,0))&gt;=100000), " ",IF(INDEX($AD$2:$AU$1001,MATCH(ROWS($W$2:W463),$W$2:$W$1001,0),MATCH(COLUMNS($AD$1006:AH1006),$AD$1006:$AU$1006,0)), HYPERLINK("#",""), HYPERLINK(CONCATENATE("#metadata!", ADDRESS(INDEX($Y$2:$Y$1001,MATCH(ROWS($W$2:W463),$W$2:$W$1001,0),0), INDEX($AD$1004:$AU$1004,1,MATCH(COLUMNS($AD$1006:AH1006),$AD$1006:$AU$1006,0)))),"Fix")))</f>
        <v xml:space="preserve"> </v>
      </c>
      <c r="G463" s="4" t="str">
        <f ca="1">IF(OR(INDEX($X$2:$X$1001,MATCH(ROWS($W$2:W463),$W$2:$W$1001,0),1)&gt;=100000,INDEX($AD$1005:$AU$1005,1,MATCH(COLUMNS($AD$1006:AI1006),$AD$1006:$AU$1006,0))&gt;=100000), " ",IF(INDEX($AD$2:$AU$1001,MATCH(ROWS($W$2:W463),$W$2:$W$1001,0),MATCH(COLUMNS($AD$1006:AI1006),$AD$1006:$AU$1006,0)), HYPERLINK("#",""), HYPERLINK(CONCATENATE("#metadata!", ADDRESS(INDEX($Y$2:$Y$1001,MATCH(ROWS($W$2:W463),$W$2:$W$1001,0),0), INDEX($AD$1004:$AU$1004,1,MATCH(COLUMNS($AD$1006:AI1006),$AD$1006:$AU$1006,0)))),"Fix")))</f>
        <v xml:space="preserve"> </v>
      </c>
      <c r="H463" s="4" t="str">
        <f ca="1">IF(OR(INDEX($X$2:$X$1001,MATCH(ROWS($W$2:W463),$W$2:$W$1001,0),1)&gt;=100000,INDEX($AD$1005:$AU$1005,1,MATCH(COLUMNS($AD$1006:AJ1006),$AD$1006:$AU$1006,0))&gt;=100000), " ",IF(INDEX($AD$2:$AU$1001,MATCH(ROWS($W$2:W463),$W$2:$W$1001,0),MATCH(COLUMNS($AD$1006:AJ1006),$AD$1006:$AU$1006,0)), HYPERLINK("#",""), HYPERLINK(CONCATENATE("#metadata!", ADDRESS(INDEX($Y$2:$Y$1001,MATCH(ROWS($W$2:W463),$W$2:$W$1001,0),0), INDEX($AD$1004:$AU$1004,1,MATCH(COLUMNS($AD$1006:AJ1006),$AD$1006:$AU$1006,0)))),"Fix")))</f>
        <v xml:space="preserve"> </v>
      </c>
      <c r="I463" s="4" t="str">
        <f ca="1">IF(OR(INDEX($X$2:$X$1001,MATCH(ROWS($W$2:W463),$W$2:$W$1001,0),1)&gt;=100000,INDEX($AD$1005:$AU$1005,1,MATCH(COLUMNS($AD$1006:AK1006),$AD$1006:$AU$1006,0))&gt;=100000), " ",IF(INDEX($AD$2:$AU$1001,MATCH(ROWS($W$2:W463),$W$2:$W$1001,0),MATCH(COLUMNS($AD$1006:AK1006),$AD$1006:$AU$1006,0)), HYPERLINK("#",""), HYPERLINK(CONCATENATE("#metadata!", ADDRESS(INDEX($Y$2:$Y$1001,MATCH(ROWS($W$2:W463),$W$2:$W$1001,0),0), INDEX($AD$1004:$AU$1004,1,MATCH(COLUMNS($AD$1006:AK1006),$AD$1006:$AU$1006,0)))),"Fix")))</f>
        <v xml:space="preserve"> </v>
      </c>
      <c r="J463" s="4" t="str">
        <f ca="1">IF(OR(INDEX($X$2:$X$1001,MATCH(ROWS($W$2:W463),$W$2:$W$1001,0),1)&gt;=100000,INDEX($AD$1005:$AU$1005,1,MATCH(COLUMNS($AD$1006:AL1006),$AD$1006:$AU$1006,0))&gt;=100000), " ",IF(INDEX($AD$2:$AU$1001,MATCH(ROWS($W$2:W463),$W$2:$W$1001,0),MATCH(COLUMNS($AD$1006:AL1006),$AD$1006:$AU$1006,0)), HYPERLINK("#",""), HYPERLINK(CONCATENATE("#metadata!", ADDRESS(INDEX($Y$2:$Y$1001,MATCH(ROWS($W$2:W463),$W$2:$W$1001,0),0), INDEX($AD$1004:$AU$1004,1,MATCH(COLUMNS($AD$1006:AL1006),$AD$1006:$AU$1006,0)))),"Fix")))</f>
        <v xml:space="preserve"> </v>
      </c>
      <c r="K463" s="4" t="str">
        <f ca="1">IF(OR(INDEX($X$2:$X$1001,MATCH(ROWS($W$2:W463),$W$2:$W$1001,0),1)&gt;=100000,INDEX($AD$1005:$AU$1005,1,MATCH(COLUMNS($AD$1006:AM1006),$AD$1006:$AU$1006,0))&gt;=100000), " ",IF(INDEX($AD$2:$AU$1001,MATCH(ROWS($W$2:W463),$W$2:$W$1001,0),MATCH(COLUMNS($AD$1006:AM1006),$AD$1006:$AU$1006,0)), HYPERLINK("#",""), HYPERLINK(CONCATENATE("#metadata!", ADDRESS(INDEX($Y$2:$Y$1001,MATCH(ROWS($W$2:W463),$W$2:$W$1001,0),0), INDEX($AD$1004:$AU$1004,1,MATCH(COLUMNS($AD$1006:AM1006),$AD$1006:$AU$1006,0)))),"Fix")))</f>
        <v xml:space="preserve"> </v>
      </c>
      <c r="L463" s="4" t="str">
        <f ca="1">IF(OR(INDEX($X$2:$X$1001,MATCH(ROWS($W$2:W463),$W$2:$W$1001,0),1)&gt;=100000,INDEX($AD$1005:$AU$1005,1,MATCH(COLUMNS($AD$1006:AN1006),$AD$1006:$AU$1006,0))&gt;=100000), " ",IF(INDEX($AD$2:$AU$1001,MATCH(ROWS($W$2:W463),$W$2:$W$1001,0),MATCH(COLUMNS($AD$1006:AN1006),$AD$1006:$AU$1006,0)), HYPERLINK("#",""), HYPERLINK(CONCATENATE("#metadata!", ADDRESS(INDEX($Y$2:$Y$1001,MATCH(ROWS($W$2:W463),$W$2:$W$1001,0),0), INDEX($AD$1004:$AU$1004,1,MATCH(COLUMNS($AD$1006:AN1006),$AD$1006:$AU$1006,0)))),"Fix")))</f>
        <v xml:space="preserve"> </v>
      </c>
      <c r="M463" s="4" t="str">
        <f ca="1">IF(OR(INDEX($X$2:$X$1001,MATCH(ROWS($W$2:W463),$W$2:$W$1001,0),1)&gt;=100000,INDEX($AD$1005:$AU$1005,1,MATCH(COLUMNS($AD$1006:AO1006),$AD$1006:$AU$1006,0))&gt;=100000), " ",IF(INDEX($AD$2:$AU$1001,MATCH(ROWS($W$2:W463),$W$2:$W$1001,0),MATCH(COLUMNS($AD$1006:AO1006),$AD$1006:$AU$1006,0)), HYPERLINK("#",""), HYPERLINK(CONCATENATE("#metadata!", ADDRESS(INDEX($Y$2:$Y$1001,MATCH(ROWS($W$2:W463),$W$2:$W$1001,0),0), INDEX($AD$1004:$AU$1004,1,MATCH(COLUMNS($AD$1006:AO1006),$AD$1006:$AU$1006,0)))),"Fix")))</f>
        <v xml:space="preserve"> </v>
      </c>
      <c r="N463" s="4" t="str">
        <f ca="1">IF(OR(INDEX($X$2:$X$1001,MATCH(ROWS($W$2:W463),$W$2:$W$1001,0),1)&gt;=100000,INDEX($AD$1005:$AU$1005,1,MATCH(COLUMNS($AD$1006:AP1006),$AD$1006:$AU$1006,0))&gt;=100000), " ",IF(INDEX($AD$2:$AU$1001,MATCH(ROWS($W$2:W463),$W$2:$W$1001,0),MATCH(COLUMNS($AD$1006:AP1006),$AD$1006:$AU$1006,0)), HYPERLINK("#",""), HYPERLINK(CONCATENATE("#metadata!", ADDRESS(INDEX($Y$2:$Y$1001,MATCH(ROWS($W$2:W463),$W$2:$W$1001,0),0), INDEX($AD$1004:$AU$1004,1,MATCH(COLUMNS($AD$1006:AP1006),$AD$1006:$AU$1006,0)))),"Fix")))</f>
        <v xml:space="preserve"> </v>
      </c>
      <c r="O463" s="4" t="str">
        <f ca="1">IF(OR(INDEX($X$2:$X$1001,MATCH(ROWS($W$2:W463),$W$2:$W$1001,0),1)&gt;=100000,INDEX($AD$1005:$AU$1005,1,MATCH(COLUMNS($AD$1006:AQ1006),$AD$1006:$AU$1006,0))&gt;=100000), " ",IF(INDEX($AD$2:$AU$1001,MATCH(ROWS($W$2:W463),$W$2:$W$1001,0),MATCH(COLUMNS($AD$1006:AQ1006),$AD$1006:$AU$1006,0)), HYPERLINK("#",""), HYPERLINK(CONCATENATE("#metadata!", ADDRESS(INDEX($Y$2:$Y$1001,MATCH(ROWS($W$2:W463),$W$2:$W$1001,0),0), INDEX($AD$1004:$AU$1004,1,MATCH(COLUMNS($AD$1006:AQ1006),$AD$1006:$AU$1006,0)))),"Fix")))</f>
        <v xml:space="preserve"> </v>
      </c>
      <c r="P463" s="4" t="str">
        <f ca="1">IF(OR(INDEX($X$2:$X$1001,MATCH(ROWS($W$2:W463),$W$2:$W$1001,0),1)&gt;=100000,INDEX($AD$1005:$AU$1005,1,MATCH(COLUMNS($AD$1006:AR1006),$AD$1006:$AU$1006,0))&gt;=100000), " ",IF(INDEX($AD$2:$AU$1001,MATCH(ROWS($W$2:W463),$W$2:$W$1001,0),MATCH(COLUMNS($AD$1006:AR1006),$AD$1006:$AU$1006,0)), HYPERLINK("#",""), HYPERLINK(CONCATENATE("#metadata!", ADDRESS(INDEX($Y$2:$Y$1001,MATCH(ROWS($W$2:W463),$W$2:$W$1001,0),0), INDEX($AD$1004:$AU$1004,1,MATCH(COLUMNS($AD$1006:AR1006),$AD$1006:$AU$1006,0)))),"Fix")))</f>
        <v xml:space="preserve"> </v>
      </c>
      <c r="Q463" s="4" t="str">
        <f ca="1">IF(OR(INDEX($X$2:$X$1001,MATCH(ROWS($W$2:W463),$W$2:$W$1001,0),1)&gt;=100000,INDEX($AD$1005:$AU$1005,1,MATCH(COLUMNS($AD$1006:AS1006),$AD$1006:$AU$1006,0))&gt;=100000), " ",IF(INDEX($AD$2:$AU$1001,MATCH(ROWS($W$2:W463),$W$2:$W$1001,0),MATCH(COLUMNS($AD$1006:AS1006),$AD$1006:$AU$1006,0)), HYPERLINK("#",""), HYPERLINK(CONCATENATE("#metadata!", ADDRESS(INDEX($Y$2:$Y$1001,MATCH(ROWS($W$2:W463),$W$2:$W$1001,0),0), INDEX($AD$1004:$AU$1004,1,MATCH(COLUMNS($AD$1006:AS1006),$AD$1006:$AU$1006,0)))),"Fix")))</f>
        <v xml:space="preserve"> </v>
      </c>
      <c r="R463" s="4" t="str">
        <f ca="1">IF(OR(INDEX($X$2:$X$1001,MATCH(ROWS($W$2:W463),$W$2:$W$1001,0),1)&gt;=100000,INDEX($AD$1005:$AU$1005,1,MATCH(COLUMNS($AD$1006:AT1006),$AD$1006:$AU$1006,0))&gt;=100000), " ",IF(INDEX($AD$2:$AU$1001,MATCH(ROWS($W$2:W463),$W$2:$W$1001,0),MATCH(COLUMNS($AD$1006:AT1006),$AD$1006:$AU$1006,0)), HYPERLINK("#",""), HYPERLINK(CONCATENATE("#metadata!", ADDRESS(INDEX($Y$2:$Y$1001,MATCH(ROWS($W$2:W463),$W$2:$W$1001,0),0), INDEX($AD$1004:$AU$1004,1,MATCH(COLUMNS($AD$1006:AT1006),$AD$1006:$AU$1006,0)))),"Fix")))</f>
        <v xml:space="preserve"> </v>
      </c>
      <c r="S463" s="4" t="str">
        <f ca="1">IF(OR(INDEX($X$2:$X$1001,MATCH(ROWS($W$2:W463),$W$2:$W$1001,0),1)&gt;=100000,INDEX($AD$1005:$AU$1005,1,MATCH(COLUMNS($AD$1006:AU1006),$AD$1006:$AU$1006,0))&gt;=100000), " ",IF(INDEX($AD$2:$AU$1001,MATCH(ROWS($W$2:W463),$W$2:$W$1001,0),MATCH(COLUMNS($AD$1006:AU1006),$AD$1006:$AU$1006,0)), HYPERLINK("#",""), HYPERLINK(CONCATENATE("#metadata!", ADDRESS(INDEX($Y$2:$Y$1001,MATCH(ROWS($W$2:W463),$W$2:$W$1001,0),0), INDEX($AD$1004:$AU$1004,1,MATCH(COLUMNS($AD$1006:AU1006),$AD$1006:$AU$1006,0)))),"Fix")))</f>
        <v xml:space="preserve"> </v>
      </c>
      <c r="W463">
        <v>462</v>
      </c>
      <c r="X463">
        <v>100463</v>
      </c>
      <c r="Y463">
        <v>463</v>
      </c>
      <c r="Z463" t="b">
        <f t="shared" si="7"/>
        <v>1</v>
      </c>
      <c r="AA463" t="b">
        <f>COUNTBLANK(metadata!B463:S463)=COLUMNS(metadata!B463:S463)</f>
        <v>1</v>
      </c>
      <c r="AB463" t="str">
        <v/>
      </c>
      <c r="AD463" t="b">
        <f ca="1">AND(IF(metadata!B463="",FALSE,TRUE),COUNTIF(metadata!B:B, metadata!B463) = 1,NOT(ISERROR(SUMPRODUCT(SEARCH(MID(metadata!B463,ROW(INDIRECT("1:"&amp;LEN(metadata!B463))), 1),"0123456789abcdefghijklmnopqrstuvwxyzABCDEFGHIJKLMNOPQRSTUVWXYZ.")))))</f>
        <v>0</v>
      </c>
      <c r="AE463" t="b">
        <f>OR(AND(IF(metadata!C463="",FALSE,TRUE),OR(EXACT(metadata!C463,"not applicable"),EXACT(metadata!C463,"missing: not collected"),EXACT(metadata!C463,"missing: not provided"),EXACT(metadata!C463,"missing: restricted access"))),AND(IF(metadata!C463="",FALSE,ISNUMBER(VALUE(metadata!C463))),metadata!C463&gt;0))</f>
        <v>0</v>
      </c>
      <c r="AF463" t="b">
        <f>AND(IF(metadata!D463="",FALSE,TRUE),EXACT(metadata!D463,"missing: not provided"))</f>
        <v>0</v>
      </c>
      <c r="AG463" t="b">
        <f>AND(IF(metadata!E463="",FALSE,TRUE),EXACT(metadata!E463,"Host-associated"))</f>
        <v>0</v>
      </c>
      <c r="AH463" t="b">
        <f>AND(IF(metadata!F463="",FALSE,TRUE),OR(EXACT(metadata!F463,"Animal"),EXACT(metadata!F463,"Fungus"),EXACT(metadata!F463,"Plant")))</f>
        <v>0</v>
      </c>
      <c r="AI463" t="b">
        <f>AND(IF(metadata!G463="",FALSE,TRUE),OR(EXACT(metadata!G463,"Plant secretion"),EXACT(metadata!G463,"Plant rhizosphere"),EXACT(metadata!G463,"Plant surface"),EXACT(metadata!G463,"Plant corpus"),EXACT(metadata!G463,"Fungus surface"),EXACT(metadata!G463,"Fungus corpus"),EXACT(metadata!G463,"Animal surface"),EXACT(metadata!G463,"Animal proximal gut"),EXACT(metadata!G463,"Animal corpus"),EXACT(metadata!G463,"Animal distal gut"),EXACT(metadata!G463,"Animal secretion")))</f>
        <v>0</v>
      </c>
      <c r="AJ463" t="b">
        <f>OR(AND(IF(metadata!H463="",FALSE,TRUE),OR(EXACT(metadata!H463,"missing: not collected"),EXACT(metadata!H463,"missing: not provided"),EXACT(metadata!H463,"missing: restricted access"))),AND(IF(metadata!H463="",FALSE,TRUE),OR(EXACT(metadata!H463,"organism-associated habitat"),EXACT(metadata!H463,"plant-associated habitat"),EXACT(metadata!H463,"animal-associated habitat"),EXACT(metadata!H463,"insecta-associated habitat"),EXACT(metadata!H463,"mammalia-associated habitat"),EXACT(metadata!H463,"human-associated habitat"),EXACT(metadata!H463,"livestock-associated habitat"))))</f>
        <v>0</v>
      </c>
      <c r="AK463" t="b">
        <f>AND(IF(metadata!I463="",FALSE,TRUE),EXACT(metadata!I463,"host-associated"))</f>
        <v>0</v>
      </c>
      <c r="AL463" t="b">
        <f>OR(AND(IF(metadata!J463="",FALSE,TRUE),OR(EXACT(metadata!J463,"not applicable"),EXACT(metadata!J463,"missing: not collected"),EXACT(metadata!J463,"missing: not provided"),EXACT(metadata!J463,"missing: restricted access"))),AND(IF(metadata!J463="",FALSE,ISNUMBER(VALUE(metadata!J463))),metadata!J463&gt;0))</f>
        <v>0</v>
      </c>
      <c r="AM463" t="b">
        <f>AND(IF(metadata!K463="",FALSE,TRUE),EXACT(metadata!K463,"missing: not provided"))</f>
        <v>0</v>
      </c>
      <c r="AN463" t="b">
        <f>IF(metadata!L463="",FALSE,TRUE)</f>
        <v>0</v>
      </c>
      <c r="AO463" t="b">
        <f>IF(metadata!M463="",FALSE,TRUE)</f>
        <v>0</v>
      </c>
      <c r="AP463" t="b">
        <f>OR(AND(IF(metadata!N463="",FALSE,TRUE),OR(EXACT(metadata!N463,"not applicable"),EXACT(metadata!N463,"missing: not collected"),EXACT(metadata!N463,"missing: not provided"))),AND(IF(metadata!N463="",FALSE,IF(ISERROR(INT(metadata!N463)),FALSE,INT(metadata!N463)=metadata!N463)),metadata!N463&gt;0))</f>
        <v>0</v>
      </c>
      <c r="AQ463" t="b">
        <f>AND(IF(metadata!O463="",FALSE,TRUE),EXACT(metadata!O463,"Not applicable"))</f>
        <v>0</v>
      </c>
      <c r="AR463" t="b">
        <f>OR(AND(IF(metadata!P463="",FALSE,TRUE),OR(EXACT(metadata!P463,"not applicable"),EXACT(metadata!P463,"missing: not collected"),EXACT(metadata!P463,"missing: not provided"),EXACT(metadata!P463,"missing: restricted access"))),IF(metadata!P463="",FALSE,IF(ISERROR(INT(metadata!P463)),FALSE,INT(metadata!P463)=metadata!P463)))</f>
        <v>0</v>
      </c>
      <c r="AS463" t="b">
        <f>AND(IF(metadata!Q463="",FALSE,TRUE),EXACT(metadata!Q463,"Not applicable"))</f>
        <v>0</v>
      </c>
      <c r="AT463" t="b">
        <f>OR(AND(IF(metadata!R463="",FALSE,TRUE),OR(EXACT(metadata!R463,"not applicable"),EXACT(metadata!R463,"missing: not collected"),EXACT(metadata!R463,"missing: not provided"),EXACT(metadata!R463,"missing: restricted access"))),AND(IF(metadata!R463="",FALSE,ISNUMBER(VALUE(metadata!R463))),metadata!R463&gt;0))</f>
        <v>0</v>
      </c>
      <c r="AU463" t="b">
        <f>AND(IF(metadata!S463="",FALSE,TRUE),EXACT(metadata!S463,"missing: not provided"))</f>
        <v>0</v>
      </c>
    </row>
    <row r="464" spans="1:47" x14ac:dyDescent="0.2">
      <c r="A464" s="5" t="str">
        <f ca="1">IF(B464=" "," ",HYPERLINK(CONCATENATE("#metadata!",ADDRESS(INDEX($Y$2:$Y$1001,MATCH(ROWS($W$2:W464),$W$2:$W$1001,0),0),1)),INDEX($AB$2:$AB$1001,MATCH(ROWS($W$2:W464),$W$2:$W$1001,0),0)))</f>
        <v xml:space="preserve"> </v>
      </c>
      <c r="B464" s="4" t="str">
        <f ca="1">IF(OR(INDEX($X$2:$X$1001,MATCH(ROWS($W$2:W464),$W$2:$W$1001,0),1)&gt;=100000,INDEX($AD$1005:$AU$1005,1,MATCH(COLUMNS($AD$1006:AD1006),$AD$1006:$AU$1006,0))&gt;=100000), " ",IF(INDEX($AD$2:$AU$1001,MATCH(ROWS($W$2:W464),$W$2:$W$1001,0),MATCH(COLUMNS($AD$1006:AD1006),$AD$1006:$AU$1006,0)), HYPERLINK("#",""), HYPERLINK(CONCATENATE("#metadata!", ADDRESS(INDEX($Y$2:$Y$1001,MATCH(ROWS($W$2:W464),$W$2:$W$1001,0),0), INDEX($AD$1004:$AU$1004,1,MATCH(COLUMNS($AD$1006:AD1006),$AD$1006:$AU$1006,0)))),"Fix")))</f>
        <v xml:space="preserve"> </v>
      </c>
      <c r="C464" s="4" t="str">
        <f ca="1">IF(OR(INDEX($X$2:$X$1001,MATCH(ROWS($W$2:W464),$W$2:$W$1001,0),1)&gt;=100000,INDEX($AD$1005:$AU$1005,1,MATCH(COLUMNS($AD$1006:AE1006),$AD$1006:$AU$1006,0))&gt;=100000), " ",IF(INDEX($AD$2:$AU$1001,MATCH(ROWS($W$2:W464),$W$2:$W$1001,0),MATCH(COLUMNS($AD$1006:AE1006),$AD$1006:$AU$1006,0)), HYPERLINK("#",""), HYPERLINK(CONCATENATE("#metadata!", ADDRESS(INDEX($Y$2:$Y$1001,MATCH(ROWS($W$2:W464),$W$2:$W$1001,0),0), INDEX($AD$1004:$AU$1004,1,MATCH(COLUMNS($AD$1006:AE1006),$AD$1006:$AU$1006,0)))),"Fix")))</f>
        <v xml:space="preserve"> </v>
      </c>
      <c r="D464" s="4" t="str">
        <f ca="1">IF(OR(INDEX($X$2:$X$1001,MATCH(ROWS($W$2:W464),$W$2:$W$1001,0),1)&gt;=100000,INDEX($AD$1005:$AU$1005,1,MATCH(COLUMNS($AD$1006:AF1006),$AD$1006:$AU$1006,0))&gt;=100000), " ",IF(INDEX($AD$2:$AU$1001,MATCH(ROWS($W$2:W464),$W$2:$W$1001,0),MATCH(COLUMNS($AD$1006:AF1006),$AD$1006:$AU$1006,0)), HYPERLINK("#",""), HYPERLINK(CONCATENATE("#metadata!", ADDRESS(INDEX($Y$2:$Y$1001,MATCH(ROWS($W$2:W464),$W$2:$W$1001,0),0), INDEX($AD$1004:$AU$1004,1,MATCH(COLUMNS($AD$1006:AF1006),$AD$1006:$AU$1006,0)))),"Fix")))</f>
        <v xml:space="preserve"> </v>
      </c>
      <c r="E464" s="4" t="str">
        <f ca="1">IF(OR(INDEX($X$2:$X$1001,MATCH(ROWS($W$2:W464),$W$2:$W$1001,0),1)&gt;=100000,INDEX($AD$1005:$AU$1005,1,MATCH(COLUMNS($AD$1006:AG1006),$AD$1006:$AU$1006,0))&gt;=100000), " ",IF(INDEX($AD$2:$AU$1001,MATCH(ROWS($W$2:W464),$W$2:$W$1001,0),MATCH(COLUMNS($AD$1006:AG1006),$AD$1006:$AU$1006,0)), HYPERLINK("#",""), HYPERLINK(CONCATENATE("#metadata!", ADDRESS(INDEX($Y$2:$Y$1001,MATCH(ROWS($W$2:W464),$W$2:$W$1001,0),0), INDEX($AD$1004:$AU$1004,1,MATCH(COLUMNS($AD$1006:AG1006),$AD$1006:$AU$1006,0)))),"Fix")))</f>
        <v xml:space="preserve"> </v>
      </c>
      <c r="F464" s="4" t="str">
        <f ca="1">IF(OR(INDEX($X$2:$X$1001,MATCH(ROWS($W$2:W464),$W$2:$W$1001,0),1)&gt;=100000,INDEX($AD$1005:$AU$1005,1,MATCH(COLUMNS($AD$1006:AH1006),$AD$1006:$AU$1006,0))&gt;=100000), " ",IF(INDEX($AD$2:$AU$1001,MATCH(ROWS($W$2:W464),$W$2:$W$1001,0),MATCH(COLUMNS($AD$1006:AH1006),$AD$1006:$AU$1006,0)), HYPERLINK("#",""), HYPERLINK(CONCATENATE("#metadata!", ADDRESS(INDEX($Y$2:$Y$1001,MATCH(ROWS($W$2:W464),$W$2:$W$1001,0),0), INDEX($AD$1004:$AU$1004,1,MATCH(COLUMNS($AD$1006:AH1006),$AD$1006:$AU$1006,0)))),"Fix")))</f>
        <v xml:space="preserve"> </v>
      </c>
      <c r="G464" s="4" t="str">
        <f ca="1">IF(OR(INDEX($X$2:$X$1001,MATCH(ROWS($W$2:W464),$W$2:$W$1001,0),1)&gt;=100000,INDEX($AD$1005:$AU$1005,1,MATCH(COLUMNS($AD$1006:AI1006),$AD$1006:$AU$1006,0))&gt;=100000), " ",IF(INDEX($AD$2:$AU$1001,MATCH(ROWS($W$2:W464),$W$2:$W$1001,0),MATCH(COLUMNS($AD$1006:AI1006),$AD$1006:$AU$1006,0)), HYPERLINK("#",""), HYPERLINK(CONCATENATE("#metadata!", ADDRESS(INDEX($Y$2:$Y$1001,MATCH(ROWS($W$2:W464),$W$2:$W$1001,0),0), INDEX($AD$1004:$AU$1004,1,MATCH(COLUMNS($AD$1006:AI1006),$AD$1006:$AU$1006,0)))),"Fix")))</f>
        <v xml:space="preserve"> </v>
      </c>
      <c r="H464" s="4" t="str">
        <f ca="1">IF(OR(INDEX($X$2:$X$1001,MATCH(ROWS($W$2:W464),$W$2:$W$1001,0),1)&gt;=100000,INDEX($AD$1005:$AU$1005,1,MATCH(COLUMNS($AD$1006:AJ1006),$AD$1006:$AU$1006,0))&gt;=100000), " ",IF(INDEX($AD$2:$AU$1001,MATCH(ROWS($W$2:W464),$W$2:$W$1001,0),MATCH(COLUMNS($AD$1006:AJ1006),$AD$1006:$AU$1006,0)), HYPERLINK("#",""), HYPERLINK(CONCATENATE("#metadata!", ADDRESS(INDEX($Y$2:$Y$1001,MATCH(ROWS($W$2:W464),$W$2:$W$1001,0),0), INDEX($AD$1004:$AU$1004,1,MATCH(COLUMNS($AD$1006:AJ1006),$AD$1006:$AU$1006,0)))),"Fix")))</f>
        <v xml:space="preserve"> </v>
      </c>
      <c r="I464" s="4" t="str">
        <f ca="1">IF(OR(INDEX($X$2:$X$1001,MATCH(ROWS($W$2:W464),$W$2:$W$1001,0),1)&gt;=100000,INDEX($AD$1005:$AU$1005,1,MATCH(COLUMNS($AD$1006:AK1006),$AD$1006:$AU$1006,0))&gt;=100000), " ",IF(INDEX($AD$2:$AU$1001,MATCH(ROWS($W$2:W464),$W$2:$W$1001,0),MATCH(COLUMNS($AD$1006:AK1006),$AD$1006:$AU$1006,0)), HYPERLINK("#",""), HYPERLINK(CONCATENATE("#metadata!", ADDRESS(INDEX($Y$2:$Y$1001,MATCH(ROWS($W$2:W464),$W$2:$W$1001,0),0), INDEX($AD$1004:$AU$1004,1,MATCH(COLUMNS($AD$1006:AK1006),$AD$1006:$AU$1006,0)))),"Fix")))</f>
        <v xml:space="preserve"> </v>
      </c>
      <c r="J464" s="4" t="str">
        <f ca="1">IF(OR(INDEX($X$2:$X$1001,MATCH(ROWS($W$2:W464),$W$2:$W$1001,0),1)&gt;=100000,INDEX($AD$1005:$AU$1005,1,MATCH(COLUMNS($AD$1006:AL1006),$AD$1006:$AU$1006,0))&gt;=100000), " ",IF(INDEX($AD$2:$AU$1001,MATCH(ROWS($W$2:W464),$W$2:$W$1001,0),MATCH(COLUMNS($AD$1006:AL1006),$AD$1006:$AU$1006,0)), HYPERLINK("#",""), HYPERLINK(CONCATENATE("#metadata!", ADDRESS(INDEX($Y$2:$Y$1001,MATCH(ROWS($W$2:W464),$W$2:$W$1001,0),0), INDEX($AD$1004:$AU$1004,1,MATCH(COLUMNS($AD$1006:AL1006),$AD$1006:$AU$1006,0)))),"Fix")))</f>
        <v xml:space="preserve"> </v>
      </c>
      <c r="K464" s="4" t="str">
        <f ca="1">IF(OR(INDEX($X$2:$X$1001,MATCH(ROWS($W$2:W464),$W$2:$W$1001,0),1)&gt;=100000,INDEX($AD$1005:$AU$1005,1,MATCH(COLUMNS($AD$1006:AM1006),$AD$1006:$AU$1006,0))&gt;=100000), " ",IF(INDEX($AD$2:$AU$1001,MATCH(ROWS($W$2:W464),$W$2:$W$1001,0),MATCH(COLUMNS($AD$1006:AM1006),$AD$1006:$AU$1006,0)), HYPERLINK("#",""), HYPERLINK(CONCATENATE("#metadata!", ADDRESS(INDEX($Y$2:$Y$1001,MATCH(ROWS($W$2:W464),$W$2:$W$1001,0),0), INDEX($AD$1004:$AU$1004,1,MATCH(COLUMNS($AD$1006:AM1006),$AD$1006:$AU$1006,0)))),"Fix")))</f>
        <v xml:space="preserve"> </v>
      </c>
      <c r="L464" s="4" t="str">
        <f ca="1">IF(OR(INDEX($X$2:$X$1001,MATCH(ROWS($W$2:W464),$W$2:$W$1001,0),1)&gt;=100000,INDEX($AD$1005:$AU$1005,1,MATCH(COLUMNS($AD$1006:AN1006),$AD$1006:$AU$1006,0))&gt;=100000), " ",IF(INDEX($AD$2:$AU$1001,MATCH(ROWS($W$2:W464),$W$2:$W$1001,0),MATCH(COLUMNS($AD$1006:AN1006),$AD$1006:$AU$1006,0)), HYPERLINK("#",""), HYPERLINK(CONCATENATE("#metadata!", ADDRESS(INDEX($Y$2:$Y$1001,MATCH(ROWS($W$2:W464),$W$2:$W$1001,0),0), INDEX($AD$1004:$AU$1004,1,MATCH(COLUMNS($AD$1006:AN1006),$AD$1006:$AU$1006,0)))),"Fix")))</f>
        <v xml:space="preserve"> </v>
      </c>
      <c r="M464" s="4" t="str">
        <f ca="1">IF(OR(INDEX($X$2:$X$1001,MATCH(ROWS($W$2:W464),$W$2:$W$1001,0),1)&gt;=100000,INDEX($AD$1005:$AU$1005,1,MATCH(COLUMNS($AD$1006:AO1006),$AD$1006:$AU$1006,0))&gt;=100000), " ",IF(INDEX($AD$2:$AU$1001,MATCH(ROWS($W$2:W464),$W$2:$W$1001,0),MATCH(COLUMNS($AD$1006:AO1006),$AD$1006:$AU$1006,0)), HYPERLINK("#",""), HYPERLINK(CONCATENATE("#metadata!", ADDRESS(INDEX($Y$2:$Y$1001,MATCH(ROWS($W$2:W464),$W$2:$W$1001,0),0), INDEX($AD$1004:$AU$1004,1,MATCH(COLUMNS($AD$1006:AO1006),$AD$1006:$AU$1006,0)))),"Fix")))</f>
        <v xml:space="preserve"> </v>
      </c>
      <c r="N464" s="4" t="str">
        <f ca="1">IF(OR(INDEX($X$2:$X$1001,MATCH(ROWS($W$2:W464),$W$2:$W$1001,0),1)&gt;=100000,INDEX($AD$1005:$AU$1005,1,MATCH(COLUMNS($AD$1006:AP1006),$AD$1006:$AU$1006,0))&gt;=100000), " ",IF(INDEX($AD$2:$AU$1001,MATCH(ROWS($W$2:W464),$W$2:$W$1001,0),MATCH(COLUMNS($AD$1006:AP1006),$AD$1006:$AU$1006,0)), HYPERLINK("#",""), HYPERLINK(CONCATENATE("#metadata!", ADDRESS(INDEX($Y$2:$Y$1001,MATCH(ROWS($W$2:W464),$W$2:$W$1001,0),0), INDEX($AD$1004:$AU$1004,1,MATCH(COLUMNS($AD$1006:AP1006),$AD$1006:$AU$1006,0)))),"Fix")))</f>
        <v xml:space="preserve"> </v>
      </c>
      <c r="O464" s="4" t="str">
        <f ca="1">IF(OR(INDEX($X$2:$X$1001,MATCH(ROWS($W$2:W464),$W$2:$W$1001,0),1)&gt;=100000,INDEX($AD$1005:$AU$1005,1,MATCH(COLUMNS($AD$1006:AQ1006),$AD$1006:$AU$1006,0))&gt;=100000), " ",IF(INDEX($AD$2:$AU$1001,MATCH(ROWS($W$2:W464),$W$2:$W$1001,0),MATCH(COLUMNS($AD$1006:AQ1006),$AD$1006:$AU$1006,0)), HYPERLINK("#",""), HYPERLINK(CONCATENATE("#metadata!", ADDRESS(INDEX($Y$2:$Y$1001,MATCH(ROWS($W$2:W464),$W$2:$W$1001,0),0), INDEX($AD$1004:$AU$1004,1,MATCH(COLUMNS($AD$1006:AQ1006),$AD$1006:$AU$1006,0)))),"Fix")))</f>
        <v xml:space="preserve"> </v>
      </c>
      <c r="P464" s="4" t="str">
        <f ca="1">IF(OR(INDEX($X$2:$X$1001,MATCH(ROWS($W$2:W464),$W$2:$W$1001,0),1)&gt;=100000,INDEX($AD$1005:$AU$1005,1,MATCH(COLUMNS($AD$1006:AR1006),$AD$1006:$AU$1006,0))&gt;=100000), " ",IF(INDEX($AD$2:$AU$1001,MATCH(ROWS($W$2:W464),$W$2:$W$1001,0),MATCH(COLUMNS($AD$1006:AR1006),$AD$1006:$AU$1006,0)), HYPERLINK("#",""), HYPERLINK(CONCATENATE("#metadata!", ADDRESS(INDEX($Y$2:$Y$1001,MATCH(ROWS($W$2:W464),$W$2:$W$1001,0),0), INDEX($AD$1004:$AU$1004,1,MATCH(COLUMNS($AD$1006:AR1006),$AD$1006:$AU$1006,0)))),"Fix")))</f>
        <v xml:space="preserve"> </v>
      </c>
      <c r="Q464" s="4" t="str">
        <f ca="1">IF(OR(INDEX($X$2:$X$1001,MATCH(ROWS($W$2:W464),$W$2:$W$1001,0),1)&gt;=100000,INDEX($AD$1005:$AU$1005,1,MATCH(COLUMNS($AD$1006:AS1006),$AD$1006:$AU$1006,0))&gt;=100000), " ",IF(INDEX($AD$2:$AU$1001,MATCH(ROWS($W$2:W464),$W$2:$W$1001,0),MATCH(COLUMNS($AD$1006:AS1006),$AD$1006:$AU$1006,0)), HYPERLINK("#",""), HYPERLINK(CONCATENATE("#metadata!", ADDRESS(INDEX($Y$2:$Y$1001,MATCH(ROWS($W$2:W464),$W$2:$W$1001,0),0), INDEX($AD$1004:$AU$1004,1,MATCH(COLUMNS($AD$1006:AS1006),$AD$1006:$AU$1006,0)))),"Fix")))</f>
        <v xml:space="preserve"> </v>
      </c>
      <c r="R464" s="4" t="str">
        <f ca="1">IF(OR(INDEX($X$2:$X$1001,MATCH(ROWS($W$2:W464),$W$2:$W$1001,0),1)&gt;=100000,INDEX($AD$1005:$AU$1005,1,MATCH(COLUMNS($AD$1006:AT1006),$AD$1006:$AU$1006,0))&gt;=100000), " ",IF(INDEX($AD$2:$AU$1001,MATCH(ROWS($W$2:W464),$W$2:$W$1001,0),MATCH(COLUMNS($AD$1006:AT1006),$AD$1006:$AU$1006,0)), HYPERLINK("#",""), HYPERLINK(CONCATENATE("#metadata!", ADDRESS(INDEX($Y$2:$Y$1001,MATCH(ROWS($W$2:W464),$W$2:$W$1001,0),0), INDEX($AD$1004:$AU$1004,1,MATCH(COLUMNS($AD$1006:AT1006),$AD$1006:$AU$1006,0)))),"Fix")))</f>
        <v xml:space="preserve"> </v>
      </c>
      <c r="S464" s="4" t="str">
        <f ca="1">IF(OR(INDEX($X$2:$X$1001,MATCH(ROWS($W$2:W464),$W$2:$W$1001,0),1)&gt;=100000,INDEX($AD$1005:$AU$1005,1,MATCH(COLUMNS($AD$1006:AU1006),$AD$1006:$AU$1006,0))&gt;=100000), " ",IF(INDEX($AD$2:$AU$1001,MATCH(ROWS($W$2:W464),$W$2:$W$1001,0),MATCH(COLUMNS($AD$1006:AU1006),$AD$1006:$AU$1006,0)), HYPERLINK("#",""), HYPERLINK(CONCATENATE("#metadata!", ADDRESS(INDEX($Y$2:$Y$1001,MATCH(ROWS($W$2:W464),$W$2:$W$1001,0),0), INDEX($AD$1004:$AU$1004,1,MATCH(COLUMNS($AD$1006:AU1006),$AD$1006:$AU$1006,0)))),"Fix")))</f>
        <v xml:space="preserve"> </v>
      </c>
      <c r="W464">
        <v>463</v>
      </c>
      <c r="X464">
        <v>100464</v>
      </c>
      <c r="Y464">
        <v>464</v>
      </c>
      <c r="Z464" t="b">
        <f t="shared" si="7"/>
        <v>1</v>
      </c>
      <c r="AA464" t="b">
        <f>COUNTBLANK(metadata!B464:S464)=COLUMNS(metadata!B464:S464)</f>
        <v>1</v>
      </c>
      <c r="AB464" t="str">
        <v/>
      </c>
      <c r="AD464" t="b">
        <f ca="1">AND(IF(metadata!B464="",FALSE,TRUE),COUNTIF(metadata!B:B, metadata!B464) = 1,NOT(ISERROR(SUMPRODUCT(SEARCH(MID(metadata!B464,ROW(INDIRECT("1:"&amp;LEN(metadata!B464))), 1),"0123456789abcdefghijklmnopqrstuvwxyzABCDEFGHIJKLMNOPQRSTUVWXYZ.")))))</f>
        <v>0</v>
      </c>
      <c r="AE464" t="b">
        <f>OR(AND(IF(metadata!C464="",FALSE,TRUE),OR(EXACT(metadata!C464,"not applicable"),EXACT(metadata!C464,"missing: not collected"),EXACT(metadata!C464,"missing: not provided"),EXACT(metadata!C464,"missing: restricted access"))),AND(IF(metadata!C464="",FALSE,ISNUMBER(VALUE(metadata!C464))),metadata!C464&gt;0))</f>
        <v>0</v>
      </c>
      <c r="AF464" t="b">
        <f>AND(IF(metadata!D464="",FALSE,TRUE),EXACT(metadata!D464,"missing: not provided"))</f>
        <v>0</v>
      </c>
      <c r="AG464" t="b">
        <f>AND(IF(metadata!E464="",FALSE,TRUE),EXACT(metadata!E464,"Host-associated"))</f>
        <v>0</v>
      </c>
      <c r="AH464" t="b">
        <f>AND(IF(metadata!F464="",FALSE,TRUE),OR(EXACT(metadata!F464,"Animal"),EXACT(metadata!F464,"Fungus"),EXACT(metadata!F464,"Plant")))</f>
        <v>0</v>
      </c>
      <c r="AI464" t="b">
        <f>AND(IF(metadata!G464="",FALSE,TRUE),OR(EXACT(metadata!G464,"Plant secretion"),EXACT(metadata!G464,"Plant rhizosphere"),EXACT(metadata!G464,"Plant surface"),EXACT(metadata!G464,"Plant corpus"),EXACT(metadata!G464,"Fungus surface"),EXACT(metadata!G464,"Fungus corpus"),EXACT(metadata!G464,"Animal surface"),EXACT(metadata!G464,"Animal proximal gut"),EXACT(metadata!G464,"Animal corpus"),EXACT(metadata!G464,"Animal distal gut"),EXACT(metadata!G464,"Animal secretion")))</f>
        <v>0</v>
      </c>
      <c r="AJ464" t="b">
        <f>OR(AND(IF(metadata!H464="",FALSE,TRUE),OR(EXACT(metadata!H464,"missing: not collected"),EXACT(metadata!H464,"missing: not provided"),EXACT(metadata!H464,"missing: restricted access"))),AND(IF(metadata!H464="",FALSE,TRUE),OR(EXACT(metadata!H464,"organism-associated habitat"),EXACT(metadata!H464,"plant-associated habitat"),EXACT(metadata!H464,"animal-associated habitat"),EXACT(metadata!H464,"insecta-associated habitat"),EXACT(metadata!H464,"mammalia-associated habitat"),EXACT(metadata!H464,"human-associated habitat"),EXACT(metadata!H464,"livestock-associated habitat"))))</f>
        <v>0</v>
      </c>
      <c r="AK464" t="b">
        <f>AND(IF(metadata!I464="",FALSE,TRUE),EXACT(metadata!I464,"host-associated"))</f>
        <v>0</v>
      </c>
      <c r="AL464" t="b">
        <f>OR(AND(IF(metadata!J464="",FALSE,TRUE),OR(EXACT(metadata!J464,"not applicable"),EXACT(metadata!J464,"missing: not collected"),EXACT(metadata!J464,"missing: not provided"),EXACT(metadata!J464,"missing: restricted access"))),AND(IF(metadata!J464="",FALSE,ISNUMBER(VALUE(metadata!J464))),metadata!J464&gt;0))</f>
        <v>0</v>
      </c>
      <c r="AM464" t="b">
        <f>AND(IF(metadata!K464="",FALSE,TRUE),EXACT(metadata!K464,"missing: not provided"))</f>
        <v>0</v>
      </c>
      <c r="AN464" t="b">
        <f>IF(metadata!L464="",FALSE,TRUE)</f>
        <v>0</v>
      </c>
      <c r="AO464" t="b">
        <f>IF(metadata!M464="",FALSE,TRUE)</f>
        <v>0</v>
      </c>
      <c r="AP464" t="b">
        <f>OR(AND(IF(metadata!N464="",FALSE,TRUE),OR(EXACT(metadata!N464,"not applicable"),EXACT(metadata!N464,"missing: not collected"),EXACT(metadata!N464,"missing: not provided"))),AND(IF(metadata!N464="",FALSE,IF(ISERROR(INT(metadata!N464)),FALSE,INT(metadata!N464)=metadata!N464)),metadata!N464&gt;0))</f>
        <v>0</v>
      </c>
      <c r="AQ464" t="b">
        <f>AND(IF(metadata!O464="",FALSE,TRUE),EXACT(metadata!O464,"Not applicable"))</f>
        <v>0</v>
      </c>
      <c r="AR464" t="b">
        <f>OR(AND(IF(metadata!P464="",FALSE,TRUE),OR(EXACT(metadata!P464,"not applicable"),EXACT(metadata!P464,"missing: not collected"),EXACT(metadata!P464,"missing: not provided"),EXACT(metadata!P464,"missing: restricted access"))),IF(metadata!P464="",FALSE,IF(ISERROR(INT(metadata!P464)),FALSE,INT(metadata!P464)=metadata!P464)))</f>
        <v>0</v>
      </c>
      <c r="AS464" t="b">
        <f>AND(IF(metadata!Q464="",FALSE,TRUE),EXACT(metadata!Q464,"Not applicable"))</f>
        <v>0</v>
      </c>
      <c r="AT464" t="b">
        <f>OR(AND(IF(metadata!R464="",FALSE,TRUE),OR(EXACT(metadata!R464,"not applicable"),EXACT(metadata!R464,"missing: not collected"),EXACT(metadata!R464,"missing: not provided"),EXACT(metadata!R464,"missing: restricted access"))),AND(IF(metadata!R464="",FALSE,ISNUMBER(VALUE(metadata!R464))),metadata!R464&gt;0))</f>
        <v>0</v>
      </c>
      <c r="AU464" t="b">
        <f>AND(IF(metadata!S464="",FALSE,TRUE),EXACT(metadata!S464,"missing: not provided"))</f>
        <v>0</v>
      </c>
    </row>
    <row r="465" spans="1:47" x14ac:dyDescent="0.2">
      <c r="A465" s="5" t="str">
        <f ca="1">IF(B465=" "," ",HYPERLINK(CONCATENATE("#metadata!",ADDRESS(INDEX($Y$2:$Y$1001,MATCH(ROWS($W$2:W465),$W$2:$W$1001,0),0),1)),INDEX($AB$2:$AB$1001,MATCH(ROWS($W$2:W465),$W$2:$W$1001,0),0)))</f>
        <v xml:space="preserve"> </v>
      </c>
      <c r="B465" s="4" t="str">
        <f ca="1">IF(OR(INDEX($X$2:$X$1001,MATCH(ROWS($W$2:W465),$W$2:$W$1001,0),1)&gt;=100000,INDEX($AD$1005:$AU$1005,1,MATCH(COLUMNS($AD$1006:AD1006),$AD$1006:$AU$1006,0))&gt;=100000), " ",IF(INDEX($AD$2:$AU$1001,MATCH(ROWS($W$2:W465),$W$2:$W$1001,0),MATCH(COLUMNS($AD$1006:AD1006),$AD$1006:$AU$1006,0)), HYPERLINK("#",""), HYPERLINK(CONCATENATE("#metadata!", ADDRESS(INDEX($Y$2:$Y$1001,MATCH(ROWS($W$2:W465),$W$2:$W$1001,0),0), INDEX($AD$1004:$AU$1004,1,MATCH(COLUMNS($AD$1006:AD1006),$AD$1006:$AU$1006,0)))),"Fix")))</f>
        <v xml:space="preserve"> </v>
      </c>
      <c r="C465" s="4" t="str">
        <f ca="1">IF(OR(INDEX($X$2:$X$1001,MATCH(ROWS($W$2:W465),$W$2:$W$1001,0),1)&gt;=100000,INDEX($AD$1005:$AU$1005,1,MATCH(COLUMNS($AD$1006:AE1006),$AD$1006:$AU$1006,0))&gt;=100000), " ",IF(INDEX($AD$2:$AU$1001,MATCH(ROWS($W$2:W465),$W$2:$W$1001,0),MATCH(COLUMNS($AD$1006:AE1006),$AD$1006:$AU$1006,0)), HYPERLINK("#",""), HYPERLINK(CONCATENATE("#metadata!", ADDRESS(INDEX($Y$2:$Y$1001,MATCH(ROWS($W$2:W465),$W$2:$W$1001,0),0), INDEX($AD$1004:$AU$1004,1,MATCH(COLUMNS($AD$1006:AE1006),$AD$1006:$AU$1006,0)))),"Fix")))</f>
        <v xml:space="preserve"> </v>
      </c>
      <c r="D465" s="4" t="str">
        <f ca="1">IF(OR(INDEX($X$2:$X$1001,MATCH(ROWS($W$2:W465),$W$2:$W$1001,0),1)&gt;=100000,INDEX($AD$1005:$AU$1005,1,MATCH(COLUMNS($AD$1006:AF1006),$AD$1006:$AU$1006,0))&gt;=100000), " ",IF(INDEX($AD$2:$AU$1001,MATCH(ROWS($W$2:W465),$W$2:$W$1001,0),MATCH(COLUMNS($AD$1006:AF1006),$AD$1006:$AU$1006,0)), HYPERLINK("#",""), HYPERLINK(CONCATENATE("#metadata!", ADDRESS(INDEX($Y$2:$Y$1001,MATCH(ROWS($W$2:W465),$W$2:$W$1001,0),0), INDEX($AD$1004:$AU$1004,1,MATCH(COLUMNS($AD$1006:AF1006),$AD$1006:$AU$1006,0)))),"Fix")))</f>
        <v xml:space="preserve"> </v>
      </c>
      <c r="E465" s="4" t="str">
        <f ca="1">IF(OR(INDEX($X$2:$X$1001,MATCH(ROWS($W$2:W465),$W$2:$W$1001,0),1)&gt;=100000,INDEX($AD$1005:$AU$1005,1,MATCH(COLUMNS($AD$1006:AG1006),$AD$1006:$AU$1006,0))&gt;=100000), " ",IF(INDEX($AD$2:$AU$1001,MATCH(ROWS($W$2:W465),$W$2:$W$1001,0),MATCH(COLUMNS($AD$1006:AG1006),$AD$1006:$AU$1006,0)), HYPERLINK("#",""), HYPERLINK(CONCATENATE("#metadata!", ADDRESS(INDEX($Y$2:$Y$1001,MATCH(ROWS($W$2:W465),$W$2:$W$1001,0),0), INDEX($AD$1004:$AU$1004,1,MATCH(COLUMNS($AD$1006:AG1006),$AD$1006:$AU$1006,0)))),"Fix")))</f>
        <v xml:space="preserve"> </v>
      </c>
      <c r="F465" s="4" t="str">
        <f ca="1">IF(OR(INDEX($X$2:$X$1001,MATCH(ROWS($W$2:W465),$W$2:$W$1001,0),1)&gt;=100000,INDEX($AD$1005:$AU$1005,1,MATCH(COLUMNS($AD$1006:AH1006),$AD$1006:$AU$1006,0))&gt;=100000), " ",IF(INDEX($AD$2:$AU$1001,MATCH(ROWS($W$2:W465),$W$2:$W$1001,0),MATCH(COLUMNS($AD$1006:AH1006),$AD$1006:$AU$1006,0)), HYPERLINK("#",""), HYPERLINK(CONCATENATE("#metadata!", ADDRESS(INDEX($Y$2:$Y$1001,MATCH(ROWS($W$2:W465),$W$2:$W$1001,0),0), INDEX($AD$1004:$AU$1004,1,MATCH(COLUMNS($AD$1006:AH1006),$AD$1006:$AU$1006,0)))),"Fix")))</f>
        <v xml:space="preserve"> </v>
      </c>
      <c r="G465" s="4" t="str">
        <f ca="1">IF(OR(INDEX($X$2:$X$1001,MATCH(ROWS($W$2:W465),$W$2:$W$1001,0),1)&gt;=100000,INDEX($AD$1005:$AU$1005,1,MATCH(COLUMNS($AD$1006:AI1006),$AD$1006:$AU$1006,0))&gt;=100000), " ",IF(INDEX($AD$2:$AU$1001,MATCH(ROWS($W$2:W465),$W$2:$W$1001,0),MATCH(COLUMNS($AD$1006:AI1006),$AD$1006:$AU$1006,0)), HYPERLINK("#",""), HYPERLINK(CONCATENATE("#metadata!", ADDRESS(INDEX($Y$2:$Y$1001,MATCH(ROWS($W$2:W465),$W$2:$W$1001,0),0), INDEX($AD$1004:$AU$1004,1,MATCH(COLUMNS($AD$1006:AI1006),$AD$1006:$AU$1006,0)))),"Fix")))</f>
        <v xml:space="preserve"> </v>
      </c>
      <c r="H465" s="4" t="str">
        <f ca="1">IF(OR(INDEX($X$2:$X$1001,MATCH(ROWS($W$2:W465),$W$2:$W$1001,0),1)&gt;=100000,INDEX($AD$1005:$AU$1005,1,MATCH(COLUMNS($AD$1006:AJ1006),$AD$1006:$AU$1006,0))&gt;=100000), " ",IF(INDEX($AD$2:$AU$1001,MATCH(ROWS($W$2:W465),$W$2:$W$1001,0),MATCH(COLUMNS($AD$1006:AJ1006),$AD$1006:$AU$1006,0)), HYPERLINK("#",""), HYPERLINK(CONCATENATE("#metadata!", ADDRESS(INDEX($Y$2:$Y$1001,MATCH(ROWS($W$2:W465),$W$2:$W$1001,0),0), INDEX($AD$1004:$AU$1004,1,MATCH(COLUMNS($AD$1006:AJ1006),$AD$1006:$AU$1006,0)))),"Fix")))</f>
        <v xml:space="preserve"> </v>
      </c>
      <c r="I465" s="4" t="str">
        <f ca="1">IF(OR(INDEX($X$2:$X$1001,MATCH(ROWS($W$2:W465),$W$2:$W$1001,0),1)&gt;=100000,INDEX($AD$1005:$AU$1005,1,MATCH(COLUMNS($AD$1006:AK1006),$AD$1006:$AU$1006,0))&gt;=100000), " ",IF(INDEX($AD$2:$AU$1001,MATCH(ROWS($W$2:W465),$W$2:$W$1001,0),MATCH(COLUMNS($AD$1006:AK1006),$AD$1006:$AU$1006,0)), HYPERLINK("#",""), HYPERLINK(CONCATENATE("#metadata!", ADDRESS(INDEX($Y$2:$Y$1001,MATCH(ROWS($W$2:W465),$W$2:$W$1001,0),0), INDEX($AD$1004:$AU$1004,1,MATCH(COLUMNS($AD$1006:AK1006),$AD$1006:$AU$1006,0)))),"Fix")))</f>
        <v xml:space="preserve"> </v>
      </c>
      <c r="J465" s="4" t="str">
        <f ca="1">IF(OR(INDEX($X$2:$X$1001,MATCH(ROWS($W$2:W465),$W$2:$W$1001,0),1)&gt;=100000,INDEX($AD$1005:$AU$1005,1,MATCH(COLUMNS($AD$1006:AL1006),$AD$1006:$AU$1006,0))&gt;=100000), " ",IF(INDEX($AD$2:$AU$1001,MATCH(ROWS($W$2:W465),$W$2:$W$1001,0),MATCH(COLUMNS($AD$1006:AL1006),$AD$1006:$AU$1006,0)), HYPERLINK("#",""), HYPERLINK(CONCATENATE("#metadata!", ADDRESS(INDEX($Y$2:$Y$1001,MATCH(ROWS($W$2:W465),$W$2:$W$1001,0),0), INDEX($AD$1004:$AU$1004,1,MATCH(COLUMNS($AD$1006:AL1006),$AD$1006:$AU$1006,0)))),"Fix")))</f>
        <v xml:space="preserve"> </v>
      </c>
      <c r="K465" s="4" t="str">
        <f ca="1">IF(OR(INDEX($X$2:$X$1001,MATCH(ROWS($W$2:W465),$W$2:$W$1001,0),1)&gt;=100000,INDEX($AD$1005:$AU$1005,1,MATCH(COLUMNS($AD$1006:AM1006),$AD$1006:$AU$1006,0))&gt;=100000), " ",IF(INDEX($AD$2:$AU$1001,MATCH(ROWS($W$2:W465),$W$2:$W$1001,0),MATCH(COLUMNS($AD$1006:AM1006),$AD$1006:$AU$1006,0)), HYPERLINK("#",""), HYPERLINK(CONCATENATE("#metadata!", ADDRESS(INDEX($Y$2:$Y$1001,MATCH(ROWS($W$2:W465),$W$2:$W$1001,0),0), INDEX($AD$1004:$AU$1004,1,MATCH(COLUMNS($AD$1006:AM1006),$AD$1006:$AU$1006,0)))),"Fix")))</f>
        <v xml:space="preserve"> </v>
      </c>
      <c r="L465" s="4" t="str">
        <f ca="1">IF(OR(INDEX($X$2:$X$1001,MATCH(ROWS($W$2:W465),$W$2:$W$1001,0),1)&gt;=100000,INDEX($AD$1005:$AU$1005,1,MATCH(COLUMNS($AD$1006:AN1006),$AD$1006:$AU$1006,0))&gt;=100000), " ",IF(INDEX($AD$2:$AU$1001,MATCH(ROWS($W$2:W465),$W$2:$W$1001,0),MATCH(COLUMNS($AD$1006:AN1006),$AD$1006:$AU$1006,0)), HYPERLINK("#",""), HYPERLINK(CONCATENATE("#metadata!", ADDRESS(INDEX($Y$2:$Y$1001,MATCH(ROWS($W$2:W465),$W$2:$W$1001,0),0), INDEX($AD$1004:$AU$1004,1,MATCH(COLUMNS($AD$1006:AN1006),$AD$1006:$AU$1006,0)))),"Fix")))</f>
        <v xml:space="preserve"> </v>
      </c>
      <c r="M465" s="4" t="str">
        <f ca="1">IF(OR(INDEX($X$2:$X$1001,MATCH(ROWS($W$2:W465),$W$2:$W$1001,0),1)&gt;=100000,INDEX($AD$1005:$AU$1005,1,MATCH(COLUMNS($AD$1006:AO1006),$AD$1006:$AU$1006,0))&gt;=100000), " ",IF(INDEX($AD$2:$AU$1001,MATCH(ROWS($W$2:W465),$W$2:$W$1001,0),MATCH(COLUMNS($AD$1006:AO1006),$AD$1006:$AU$1006,0)), HYPERLINK("#",""), HYPERLINK(CONCATENATE("#metadata!", ADDRESS(INDEX($Y$2:$Y$1001,MATCH(ROWS($W$2:W465),$W$2:$W$1001,0),0), INDEX($AD$1004:$AU$1004,1,MATCH(COLUMNS($AD$1006:AO1006),$AD$1006:$AU$1006,0)))),"Fix")))</f>
        <v xml:space="preserve"> </v>
      </c>
      <c r="N465" s="4" t="str">
        <f ca="1">IF(OR(INDEX($X$2:$X$1001,MATCH(ROWS($W$2:W465),$W$2:$W$1001,0),1)&gt;=100000,INDEX($AD$1005:$AU$1005,1,MATCH(COLUMNS($AD$1006:AP1006),$AD$1006:$AU$1006,0))&gt;=100000), " ",IF(INDEX($AD$2:$AU$1001,MATCH(ROWS($W$2:W465),$W$2:$W$1001,0),MATCH(COLUMNS($AD$1006:AP1006),$AD$1006:$AU$1006,0)), HYPERLINK("#",""), HYPERLINK(CONCATENATE("#metadata!", ADDRESS(INDEX($Y$2:$Y$1001,MATCH(ROWS($W$2:W465),$W$2:$W$1001,0),0), INDEX($AD$1004:$AU$1004,1,MATCH(COLUMNS($AD$1006:AP1006),$AD$1006:$AU$1006,0)))),"Fix")))</f>
        <v xml:space="preserve"> </v>
      </c>
      <c r="O465" s="4" t="str">
        <f ca="1">IF(OR(INDEX($X$2:$X$1001,MATCH(ROWS($W$2:W465),$W$2:$W$1001,0),1)&gt;=100000,INDEX($AD$1005:$AU$1005,1,MATCH(COLUMNS($AD$1006:AQ1006),$AD$1006:$AU$1006,0))&gt;=100000), " ",IF(INDEX($AD$2:$AU$1001,MATCH(ROWS($W$2:W465),$W$2:$W$1001,0),MATCH(COLUMNS($AD$1006:AQ1006),$AD$1006:$AU$1006,0)), HYPERLINK("#",""), HYPERLINK(CONCATENATE("#metadata!", ADDRESS(INDEX($Y$2:$Y$1001,MATCH(ROWS($W$2:W465),$W$2:$W$1001,0),0), INDEX($AD$1004:$AU$1004,1,MATCH(COLUMNS($AD$1006:AQ1006),$AD$1006:$AU$1006,0)))),"Fix")))</f>
        <v xml:space="preserve"> </v>
      </c>
      <c r="P465" s="4" t="str">
        <f ca="1">IF(OR(INDEX($X$2:$X$1001,MATCH(ROWS($W$2:W465),$W$2:$W$1001,0),1)&gt;=100000,INDEX($AD$1005:$AU$1005,1,MATCH(COLUMNS($AD$1006:AR1006),$AD$1006:$AU$1006,0))&gt;=100000), " ",IF(INDEX($AD$2:$AU$1001,MATCH(ROWS($W$2:W465),$W$2:$W$1001,0),MATCH(COLUMNS($AD$1006:AR1006),$AD$1006:$AU$1006,0)), HYPERLINK("#",""), HYPERLINK(CONCATENATE("#metadata!", ADDRESS(INDEX($Y$2:$Y$1001,MATCH(ROWS($W$2:W465),$W$2:$W$1001,0),0), INDEX($AD$1004:$AU$1004,1,MATCH(COLUMNS($AD$1006:AR1006),$AD$1006:$AU$1006,0)))),"Fix")))</f>
        <v xml:space="preserve"> </v>
      </c>
      <c r="Q465" s="4" t="str">
        <f ca="1">IF(OR(INDEX($X$2:$X$1001,MATCH(ROWS($W$2:W465),$W$2:$W$1001,0),1)&gt;=100000,INDEX($AD$1005:$AU$1005,1,MATCH(COLUMNS($AD$1006:AS1006),$AD$1006:$AU$1006,0))&gt;=100000), " ",IF(INDEX($AD$2:$AU$1001,MATCH(ROWS($W$2:W465),$W$2:$W$1001,0),MATCH(COLUMNS($AD$1006:AS1006),$AD$1006:$AU$1006,0)), HYPERLINK("#",""), HYPERLINK(CONCATENATE("#metadata!", ADDRESS(INDEX($Y$2:$Y$1001,MATCH(ROWS($W$2:W465),$W$2:$W$1001,0),0), INDEX($AD$1004:$AU$1004,1,MATCH(COLUMNS($AD$1006:AS1006),$AD$1006:$AU$1006,0)))),"Fix")))</f>
        <v xml:space="preserve"> </v>
      </c>
      <c r="R465" s="4" t="str">
        <f ca="1">IF(OR(INDEX($X$2:$X$1001,MATCH(ROWS($W$2:W465),$W$2:$W$1001,0),1)&gt;=100000,INDEX($AD$1005:$AU$1005,1,MATCH(COLUMNS($AD$1006:AT1006),$AD$1006:$AU$1006,0))&gt;=100000), " ",IF(INDEX($AD$2:$AU$1001,MATCH(ROWS($W$2:W465),$W$2:$W$1001,0),MATCH(COLUMNS($AD$1006:AT1006),$AD$1006:$AU$1006,0)), HYPERLINK("#",""), HYPERLINK(CONCATENATE("#metadata!", ADDRESS(INDEX($Y$2:$Y$1001,MATCH(ROWS($W$2:W465),$W$2:$W$1001,0),0), INDEX($AD$1004:$AU$1004,1,MATCH(COLUMNS($AD$1006:AT1006),$AD$1006:$AU$1006,0)))),"Fix")))</f>
        <v xml:space="preserve"> </v>
      </c>
      <c r="S465" s="4" t="str">
        <f ca="1">IF(OR(INDEX($X$2:$X$1001,MATCH(ROWS($W$2:W465),$W$2:$W$1001,0),1)&gt;=100000,INDEX($AD$1005:$AU$1005,1,MATCH(COLUMNS($AD$1006:AU1006),$AD$1006:$AU$1006,0))&gt;=100000), " ",IF(INDEX($AD$2:$AU$1001,MATCH(ROWS($W$2:W465),$W$2:$W$1001,0),MATCH(COLUMNS($AD$1006:AU1006),$AD$1006:$AU$1006,0)), HYPERLINK("#",""), HYPERLINK(CONCATENATE("#metadata!", ADDRESS(INDEX($Y$2:$Y$1001,MATCH(ROWS($W$2:W465),$W$2:$W$1001,0),0), INDEX($AD$1004:$AU$1004,1,MATCH(COLUMNS($AD$1006:AU1006),$AD$1006:$AU$1006,0)))),"Fix")))</f>
        <v xml:space="preserve"> </v>
      </c>
      <c r="W465">
        <v>464</v>
      </c>
      <c r="X465">
        <v>100465</v>
      </c>
      <c r="Y465">
        <v>465</v>
      </c>
      <c r="Z465" t="b">
        <f t="shared" si="7"/>
        <v>1</v>
      </c>
      <c r="AA465" t="b">
        <f>COUNTBLANK(metadata!B465:S465)=COLUMNS(metadata!B465:S465)</f>
        <v>1</v>
      </c>
      <c r="AB465" t="str">
        <v/>
      </c>
      <c r="AD465" t="b">
        <f ca="1">AND(IF(metadata!B465="",FALSE,TRUE),COUNTIF(metadata!B:B, metadata!B465) = 1,NOT(ISERROR(SUMPRODUCT(SEARCH(MID(metadata!B465,ROW(INDIRECT("1:"&amp;LEN(metadata!B465))), 1),"0123456789abcdefghijklmnopqrstuvwxyzABCDEFGHIJKLMNOPQRSTUVWXYZ.")))))</f>
        <v>0</v>
      </c>
      <c r="AE465" t="b">
        <f>OR(AND(IF(metadata!C465="",FALSE,TRUE),OR(EXACT(metadata!C465,"not applicable"),EXACT(metadata!C465,"missing: not collected"),EXACT(metadata!C465,"missing: not provided"),EXACT(metadata!C465,"missing: restricted access"))),AND(IF(metadata!C465="",FALSE,ISNUMBER(VALUE(metadata!C465))),metadata!C465&gt;0))</f>
        <v>0</v>
      </c>
      <c r="AF465" t="b">
        <f>AND(IF(metadata!D465="",FALSE,TRUE),EXACT(metadata!D465,"missing: not provided"))</f>
        <v>0</v>
      </c>
      <c r="AG465" t="b">
        <f>AND(IF(metadata!E465="",FALSE,TRUE),EXACT(metadata!E465,"Host-associated"))</f>
        <v>0</v>
      </c>
      <c r="AH465" t="b">
        <f>AND(IF(metadata!F465="",FALSE,TRUE),OR(EXACT(metadata!F465,"Animal"),EXACT(metadata!F465,"Fungus"),EXACT(metadata!F465,"Plant")))</f>
        <v>0</v>
      </c>
      <c r="AI465" t="b">
        <f>AND(IF(metadata!G465="",FALSE,TRUE),OR(EXACT(metadata!G465,"Plant secretion"),EXACT(metadata!G465,"Plant rhizosphere"),EXACT(metadata!G465,"Plant surface"),EXACT(metadata!G465,"Plant corpus"),EXACT(metadata!G465,"Fungus surface"),EXACT(metadata!G465,"Fungus corpus"),EXACT(metadata!G465,"Animal surface"),EXACT(metadata!G465,"Animal proximal gut"),EXACT(metadata!G465,"Animal corpus"),EXACT(metadata!G465,"Animal distal gut"),EXACT(metadata!G465,"Animal secretion")))</f>
        <v>0</v>
      </c>
      <c r="AJ465" t="b">
        <f>OR(AND(IF(metadata!H465="",FALSE,TRUE),OR(EXACT(metadata!H465,"missing: not collected"),EXACT(metadata!H465,"missing: not provided"),EXACT(metadata!H465,"missing: restricted access"))),AND(IF(metadata!H465="",FALSE,TRUE),OR(EXACT(metadata!H465,"organism-associated habitat"),EXACT(metadata!H465,"plant-associated habitat"),EXACT(metadata!H465,"animal-associated habitat"),EXACT(metadata!H465,"insecta-associated habitat"),EXACT(metadata!H465,"mammalia-associated habitat"),EXACT(metadata!H465,"human-associated habitat"),EXACT(metadata!H465,"livestock-associated habitat"))))</f>
        <v>0</v>
      </c>
      <c r="AK465" t="b">
        <f>AND(IF(metadata!I465="",FALSE,TRUE),EXACT(metadata!I465,"host-associated"))</f>
        <v>0</v>
      </c>
      <c r="AL465" t="b">
        <f>OR(AND(IF(metadata!J465="",FALSE,TRUE),OR(EXACT(metadata!J465,"not applicable"),EXACT(metadata!J465,"missing: not collected"),EXACT(metadata!J465,"missing: not provided"),EXACT(metadata!J465,"missing: restricted access"))),AND(IF(metadata!J465="",FALSE,ISNUMBER(VALUE(metadata!J465))),metadata!J465&gt;0))</f>
        <v>0</v>
      </c>
      <c r="AM465" t="b">
        <f>AND(IF(metadata!K465="",FALSE,TRUE),EXACT(metadata!K465,"missing: not provided"))</f>
        <v>0</v>
      </c>
      <c r="AN465" t="b">
        <f>IF(metadata!L465="",FALSE,TRUE)</f>
        <v>0</v>
      </c>
      <c r="AO465" t="b">
        <f>IF(metadata!M465="",FALSE,TRUE)</f>
        <v>0</v>
      </c>
      <c r="AP465" t="b">
        <f>OR(AND(IF(metadata!N465="",FALSE,TRUE),OR(EXACT(metadata!N465,"not applicable"),EXACT(metadata!N465,"missing: not collected"),EXACT(metadata!N465,"missing: not provided"))),AND(IF(metadata!N465="",FALSE,IF(ISERROR(INT(metadata!N465)),FALSE,INT(metadata!N465)=metadata!N465)),metadata!N465&gt;0))</f>
        <v>0</v>
      </c>
      <c r="AQ465" t="b">
        <f>AND(IF(metadata!O465="",FALSE,TRUE),EXACT(metadata!O465,"Not applicable"))</f>
        <v>0</v>
      </c>
      <c r="AR465" t="b">
        <f>OR(AND(IF(metadata!P465="",FALSE,TRUE),OR(EXACT(metadata!P465,"not applicable"),EXACT(metadata!P465,"missing: not collected"),EXACT(metadata!P465,"missing: not provided"),EXACT(metadata!P465,"missing: restricted access"))),IF(metadata!P465="",FALSE,IF(ISERROR(INT(metadata!P465)),FALSE,INT(metadata!P465)=metadata!P465)))</f>
        <v>0</v>
      </c>
      <c r="AS465" t="b">
        <f>AND(IF(metadata!Q465="",FALSE,TRUE),EXACT(metadata!Q465,"Not applicable"))</f>
        <v>0</v>
      </c>
      <c r="AT465" t="b">
        <f>OR(AND(IF(metadata!R465="",FALSE,TRUE),OR(EXACT(metadata!R465,"not applicable"),EXACT(metadata!R465,"missing: not collected"),EXACT(metadata!R465,"missing: not provided"),EXACT(metadata!R465,"missing: restricted access"))),AND(IF(metadata!R465="",FALSE,ISNUMBER(VALUE(metadata!R465))),metadata!R465&gt;0))</f>
        <v>0</v>
      </c>
      <c r="AU465" t="b">
        <f>AND(IF(metadata!S465="",FALSE,TRUE),EXACT(metadata!S465,"missing: not provided"))</f>
        <v>0</v>
      </c>
    </row>
    <row r="466" spans="1:47" x14ac:dyDescent="0.2">
      <c r="A466" s="5" t="str">
        <f ca="1">IF(B466=" "," ",HYPERLINK(CONCATENATE("#metadata!",ADDRESS(INDEX($Y$2:$Y$1001,MATCH(ROWS($W$2:W466),$W$2:$W$1001,0),0),1)),INDEX($AB$2:$AB$1001,MATCH(ROWS($W$2:W466),$W$2:$W$1001,0),0)))</f>
        <v xml:space="preserve"> </v>
      </c>
      <c r="B466" s="4" t="str">
        <f ca="1">IF(OR(INDEX($X$2:$X$1001,MATCH(ROWS($W$2:W466),$W$2:$W$1001,0),1)&gt;=100000,INDEX($AD$1005:$AU$1005,1,MATCH(COLUMNS($AD$1006:AD1006),$AD$1006:$AU$1006,0))&gt;=100000), " ",IF(INDEX($AD$2:$AU$1001,MATCH(ROWS($W$2:W466),$W$2:$W$1001,0),MATCH(COLUMNS($AD$1006:AD1006),$AD$1006:$AU$1006,0)), HYPERLINK("#",""), HYPERLINK(CONCATENATE("#metadata!", ADDRESS(INDEX($Y$2:$Y$1001,MATCH(ROWS($W$2:W466),$W$2:$W$1001,0),0), INDEX($AD$1004:$AU$1004,1,MATCH(COLUMNS($AD$1006:AD1006),$AD$1006:$AU$1006,0)))),"Fix")))</f>
        <v xml:space="preserve"> </v>
      </c>
      <c r="C466" s="4" t="str">
        <f ca="1">IF(OR(INDEX($X$2:$X$1001,MATCH(ROWS($W$2:W466),$W$2:$W$1001,0),1)&gt;=100000,INDEX($AD$1005:$AU$1005,1,MATCH(COLUMNS($AD$1006:AE1006),$AD$1006:$AU$1006,0))&gt;=100000), " ",IF(INDEX($AD$2:$AU$1001,MATCH(ROWS($W$2:W466),$W$2:$W$1001,0),MATCH(COLUMNS($AD$1006:AE1006),$AD$1006:$AU$1006,0)), HYPERLINK("#",""), HYPERLINK(CONCATENATE("#metadata!", ADDRESS(INDEX($Y$2:$Y$1001,MATCH(ROWS($W$2:W466),$W$2:$W$1001,0),0), INDEX($AD$1004:$AU$1004,1,MATCH(COLUMNS($AD$1006:AE1006),$AD$1006:$AU$1006,0)))),"Fix")))</f>
        <v xml:space="preserve"> </v>
      </c>
      <c r="D466" s="4" t="str">
        <f ca="1">IF(OR(INDEX($X$2:$X$1001,MATCH(ROWS($W$2:W466),$W$2:$W$1001,0),1)&gt;=100000,INDEX($AD$1005:$AU$1005,1,MATCH(COLUMNS($AD$1006:AF1006),$AD$1006:$AU$1006,0))&gt;=100000), " ",IF(INDEX($AD$2:$AU$1001,MATCH(ROWS($W$2:W466),$W$2:$W$1001,0),MATCH(COLUMNS($AD$1006:AF1006),$AD$1006:$AU$1006,0)), HYPERLINK("#",""), HYPERLINK(CONCATENATE("#metadata!", ADDRESS(INDEX($Y$2:$Y$1001,MATCH(ROWS($W$2:W466),$W$2:$W$1001,0),0), INDEX($AD$1004:$AU$1004,1,MATCH(COLUMNS($AD$1006:AF1006),$AD$1006:$AU$1006,0)))),"Fix")))</f>
        <v xml:space="preserve"> </v>
      </c>
      <c r="E466" s="4" t="str">
        <f ca="1">IF(OR(INDEX($X$2:$X$1001,MATCH(ROWS($W$2:W466),$W$2:$W$1001,0),1)&gt;=100000,INDEX($AD$1005:$AU$1005,1,MATCH(COLUMNS($AD$1006:AG1006),$AD$1006:$AU$1006,0))&gt;=100000), " ",IF(INDEX($AD$2:$AU$1001,MATCH(ROWS($W$2:W466),$W$2:$W$1001,0),MATCH(COLUMNS($AD$1006:AG1006),$AD$1006:$AU$1006,0)), HYPERLINK("#",""), HYPERLINK(CONCATENATE("#metadata!", ADDRESS(INDEX($Y$2:$Y$1001,MATCH(ROWS($W$2:W466),$W$2:$W$1001,0),0), INDEX($AD$1004:$AU$1004,1,MATCH(COLUMNS($AD$1006:AG1006),$AD$1006:$AU$1006,0)))),"Fix")))</f>
        <v xml:space="preserve"> </v>
      </c>
      <c r="F466" s="4" t="str">
        <f ca="1">IF(OR(INDEX($X$2:$X$1001,MATCH(ROWS($W$2:W466),$W$2:$W$1001,0),1)&gt;=100000,INDEX($AD$1005:$AU$1005,1,MATCH(COLUMNS($AD$1006:AH1006),$AD$1006:$AU$1006,0))&gt;=100000), " ",IF(INDEX($AD$2:$AU$1001,MATCH(ROWS($W$2:W466),$W$2:$W$1001,0),MATCH(COLUMNS($AD$1006:AH1006),$AD$1006:$AU$1006,0)), HYPERLINK("#",""), HYPERLINK(CONCATENATE("#metadata!", ADDRESS(INDEX($Y$2:$Y$1001,MATCH(ROWS($W$2:W466),$W$2:$W$1001,0),0), INDEX($AD$1004:$AU$1004,1,MATCH(COLUMNS($AD$1006:AH1006),$AD$1006:$AU$1006,0)))),"Fix")))</f>
        <v xml:space="preserve"> </v>
      </c>
      <c r="G466" s="4" t="str">
        <f ca="1">IF(OR(INDEX($X$2:$X$1001,MATCH(ROWS($W$2:W466),$W$2:$W$1001,0),1)&gt;=100000,INDEX($AD$1005:$AU$1005,1,MATCH(COLUMNS($AD$1006:AI1006),$AD$1006:$AU$1006,0))&gt;=100000), " ",IF(INDEX($AD$2:$AU$1001,MATCH(ROWS($W$2:W466),$W$2:$W$1001,0),MATCH(COLUMNS($AD$1006:AI1006),$AD$1006:$AU$1006,0)), HYPERLINK("#",""), HYPERLINK(CONCATENATE("#metadata!", ADDRESS(INDEX($Y$2:$Y$1001,MATCH(ROWS($W$2:W466),$W$2:$W$1001,0),0), INDEX($AD$1004:$AU$1004,1,MATCH(COLUMNS($AD$1006:AI1006),$AD$1006:$AU$1006,0)))),"Fix")))</f>
        <v xml:space="preserve"> </v>
      </c>
      <c r="H466" s="4" t="str">
        <f ca="1">IF(OR(INDEX($X$2:$X$1001,MATCH(ROWS($W$2:W466),$W$2:$W$1001,0),1)&gt;=100000,INDEX($AD$1005:$AU$1005,1,MATCH(COLUMNS($AD$1006:AJ1006),$AD$1006:$AU$1006,0))&gt;=100000), " ",IF(INDEX($AD$2:$AU$1001,MATCH(ROWS($W$2:W466),$W$2:$W$1001,0),MATCH(COLUMNS($AD$1006:AJ1006),$AD$1006:$AU$1006,0)), HYPERLINK("#",""), HYPERLINK(CONCATENATE("#metadata!", ADDRESS(INDEX($Y$2:$Y$1001,MATCH(ROWS($W$2:W466),$W$2:$W$1001,0),0), INDEX($AD$1004:$AU$1004,1,MATCH(COLUMNS($AD$1006:AJ1006),$AD$1006:$AU$1006,0)))),"Fix")))</f>
        <v xml:space="preserve"> </v>
      </c>
      <c r="I466" s="4" t="str">
        <f ca="1">IF(OR(INDEX($X$2:$X$1001,MATCH(ROWS($W$2:W466),$W$2:$W$1001,0),1)&gt;=100000,INDEX($AD$1005:$AU$1005,1,MATCH(COLUMNS($AD$1006:AK1006),$AD$1006:$AU$1006,0))&gt;=100000), " ",IF(INDEX($AD$2:$AU$1001,MATCH(ROWS($W$2:W466),$W$2:$W$1001,0),MATCH(COLUMNS($AD$1006:AK1006),$AD$1006:$AU$1006,0)), HYPERLINK("#",""), HYPERLINK(CONCATENATE("#metadata!", ADDRESS(INDEX($Y$2:$Y$1001,MATCH(ROWS($W$2:W466),$W$2:$W$1001,0),0), INDEX($AD$1004:$AU$1004,1,MATCH(COLUMNS($AD$1006:AK1006),$AD$1006:$AU$1006,0)))),"Fix")))</f>
        <v xml:space="preserve"> </v>
      </c>
      <c r="J466" s="4" t="str">
        <f ca="1">IF(OR(INDEX($X$2:$X$1001,MATCH(ROWS($W$2:W466),$W$2:$W$1001,0),1)&gt;=100000,INDEX($AD$1005:$AU$1005,1,MATCH(COLUMNS($AD$1006:AL1006),$AD$1006:$AU$1006,0))&gt;=100000), " ",IF(INDEX($AD$2:$AU$1001,MATCH(ROWS($W$2:W466),$W$2:$W$1001,0),MATCH(COLUMNS($AD$1006:AL1006),$AD$1006:$AU$1006,0)), HYPERLINK("#",""), HYPERLINK(CONCATENATE("#metadata!", ADDRESS(INDEX($Y$2:$Y$1001,MATCH(ROWS($W$2:W466),$W$2:$W$1001,0),0), INDEX($AD$1004:$AU$1004,1,MATCH(COLUMNS($AD$1006:AL1006),$AD$1006:$AU$1006,0)))),"Fix")))</f>
        <v xml:space="preserve"> </v>
      </c>
      <c r="K466" s="4" t="str">
        <f ca="1">IF(OR(INDEX($X$2:$X$1001,MATCH(ROWS($W$2:W466),$W$2:$W$1001,0),1)&gt;=100000,INDEX($AD$1005:$AU$1005,1,MATCH(COLUMNS($AD$1006:AM1006),$AD$1006:$AU$1006,0))&gt;=100000), " ",IF(INDEX($AD$2:$AU$1001,MATCH(ROWS($W$2:W466),$W$2:$W$1001,0),MATCH(COLUMNS($AD$1006:AM1006),$AD$1006:$AU$1006,0)), HYPERLINK("#",""), HYPERLINK(CONCATENATE("#metadata!", ADDRESS(INDEX($Y$2:$Y$1001,MATCH(ROWS($W$2:W466),$W$2:$W$1001,0),0), INDEX($AD$1004:$AU$1004,1,MATCH(COLUMNS($AD$1006:AM1006),$AD$1006:$AU$1006,0)))),"Fix")))</f>
        <v xml:space="preserve"> </v>
      </c>
      <c r="L466" s="4" t="str">
        <f ca="1">IF(OR(INDEX($X$2:$X$1001,MATCH(ROWS($W$2:W466),$W$2:$W$1001,0),1)&gt;=100000,INDEX($AD$1005:$AU$1005,1,MATCH(COLUMNS($AD$1006:AN1006),$AD$1006:$AU$1006,0))&gt;=100000), " ",IF(INDEX($AD$2:$AU$1001,MATCH(ROWS($W$2:W466),$W$2:$W$1001,0),MATCH(COLUMNS($AD$1006:AN1006),$AD$1006:$AU$1006,0)), HYPERLINK("#",""), HYPERLINK(CONCATENATE("#metadata!", ADDRESS(INDEX($Y$2:$Y$1001,MATCH(ROWS($W$2:W466),$W$2:$W$1001,0),0), INDEX($AD$1004:$AU$1004,1,MATCH(COLUMNS($AD$1006:AN1006),$AD$1006:$AU$1006,0)))),"Fix")))</f>
        <v xml:space="preserve"> </v>
      </c>
      <c r="M466" s="4" t="str">
        <f ca="1">IF(OR(INDEX($X$2:$X$1001,MATCH(ROWS($W$2:W466),$W$2:$W$1001,0),1)&gt;=100000,INDEX($AD$1005:$AU$1005,1,MATCH(COLUMNS($AD$1006:AO1006),$AD$1006:$AU$1006,0))&gt;=100000), " ",IF(INDEX($AD$2:$AU$1001,MATCH(ROWS($W$2:W466),$W$2:$W$1001,0),MATCH(COLUMNS($AD$1006:AO1006),$AD$1006:$AU$1006,0)), HYPERLINK("#",""), HYPERLINK(CONCATENATE("#metadata!", ADDRESS(INDEX($Y$2:$Y$1001,MATCH(ROWS($W$2:W466),$W$2:$W$1001,0),0), INDEX($AD$1004:$AU$1004,1,MATCH(COLUMNS($AD$1006:AO1006),$AD$1006:$AU$1006,0)))),"Fix")))</f>
        <v xml:space="preserve"> </v>
      </c>
      <c r="N466" s="4" t="str">
        <f ca="1">IF(OR(INDEX($X$2:$X$1001,MATCH(ROWS($W$2:W466),$W$2:$W$1001,0),1)&gt;=100000,INDEX($AD$1005:$AU$1005,1,MATCH(COLUMNS($AD$1006:AP1006),$AD$1006:$AU$1006,0))&gt;=100000), " ",IF(INDEX($AD$2:$AU$1001,MATCH(ROWS($W$2:W466),$W$2:$W$1001,0),MATCH(COLUMNS($AD$1006:AP1006),$AD$1006:$AU$1006,0)), HYPERLINK("#",""), HYPERLINK(CONCATENATE("#metadata!", ADDRESS(INDEX($Y$2:$Y$1001,MATCH(ROWS($W$2:W466),$W$2:$W$1001,0),0), INDEX($AD$1004:$AU$1004,1,MATCH(COLUMNS($AD$1006:AP1006),$AD$1006:$AU$1006,0)))),"Fix")))</f>
        <v xml:space="preserve"> </v>
      </c>
      <c r="O466" s="4" t="str">
        <f ca="1">IF(OR(INDEX($X$2:$X$1001,MATCH(ROWS($W$2:W466),$W$2:$W$1001,0),1)&gt;=100000,INDEX($AD$1005:$AU$1005,1,MATCH(COLUMNS($AD$1006:AQ1006),$AD$1006:$AU$1006,0))&gt;=100000), " ",IF(INDEX($AD$2:$AU$1001,MATCH(ROWS($W$2:W466),$W$2:$W$1001,0),MATCH(COLUMNS($AD$1006:AQ1006),$AD$1006:$AU$1006,0)), HYPERLINK("#",""), HYPERLINK(CONCATENATE("#metadata!", ADDRESS(INDEX($Y$2:$Y$1001,MATCH(ROWS($W$2:W466),$W$2:$W$1001,0),0), INDEX($AD$1004:$AU$1004,1,MATCH(COLUMNS($AD$1006:AQ1006),$AD$1006:$AU$1006,0)))),"Fix")))</f>
        <v xml:space="preserve"> </v>
      </c>
      <c r="P466" s="4" t="str">
        <f ca="1">IF(OR(INDEX($X$2:$X$1001,MATCH(ROWS($W$2:W466),$W$2:$W$1001,0),1)&gt;=100000,INDEX($AD$1005:$AU$1005,1,MATCH(COLUMNS($AD$1006:AR1006),$AD$1006:$AU$1006,0))&gt;=100000), " ",IF(INDEX($AD$2:$AU$1001,MATCH(ROWS($W$2:W466),$W$2:$W$1001,0),MATCH(COLUMNS($AD$1006:AR1006),$AD$1006:$AU$1006,0)), HYPERLINK("#",""), HYPERLINK(CONCATENATE("#metadata!", ADDRESS(INDEX($Y$2:$Y$1001,MATCH(ROWS($W$2:W466),$W$2:$W$1001,0),0), INDEX($AD$1004:$AU$1004,1,MATCH(COLUMNS($AD$1006:AR1006),$AD$1006:$AU$1006,0)))),"Fix")))</f>
        <v xml:space="preserve"> </v>
      </c>
      <c r="Q466" s="4" t="str">
        <f ca="1">IF(OR(INDEX($X$2:$X$1001,MATCH(ROWS($W$2:W466),$W$2:$W$1001,0),1)&gt;=100000,INDEX($AD$1005:$AU$1005,1,MATCH(COLUMNS($AD$1006:AS1006),$AD$1006:$AU$1006,0))&gt;=100000), " ",IF(INDEX($AD$2:$AU$1001,MATCH(ROWS($W$2:W466),$W$2:$W$1001,0),MATCH(COLUMNS($AD$1006:AS1006),$AD$1006:$AU$1006,0)), HYPERLINK("#",""), HYPERLINK(CONCATENATE("#metadata!", ADDRESS(INDEX($Y$2:$Y$1001,MATCH(ROWS($W$2:W466),$W$2:$W$1001,0),0), INDEX($AD$1004:$AU$1004,1,MATCH(COLUMNS($AD$1006:AS1006),$AD$1006:$AU$1006,0)))),"Fix")))</f>
        <v xml:space="preserve"> </v>
      </c>
      <c r="R466" s="4" t="str">
        <f ca="1">IF(OR(INDEX($X$2:$X$1001,MATCH(ROWS($W$2:W466),$W$2:$W$1001,0),1)&gt;=100000,INDEX($AD$1005:$AU$1005,1,MATCH(COLUMNS($AD$1006:AT1006),$AD$1006:$AU$1006,0))&gt;=100000), " ",IF(INDEX($AD$2:$AU$1001,MATCH(ROWS($W$2:W466),$W$2:$W$1001,0),MATCH(COLUMNS($AD$1006:AT1006),$AD$1006:$AU$1006,0)), HYPERLINK("#",""), HYPERLINK(CONCATENATE("#metadata!", ADDRESS(INDEX($Y$2:$Y$1001,MATCH(ROWS($W$2:W466),$W$2:$W$1001,0),0), INDEX($AD$1004:$AU$1004,1,MATCH(COLUMNS($AD$1006:AT1006),$AD$1006:$AU$1006,0)))),"Fix")))</f>
        <v xml:space="preserve"> </v>
      </c>
      <c r="S466" s="4" t="str">
        <f ca="1">IF(OR(INDEX($X$2:$X$1001,MATCH(ROWS($W$2:W466),$W$2:$W$1001,0),1)&gt;=100000,INDEX($AD$1005:$AU$1005,1,MATCH(COLUMNS($AD$1006:AU1006),$AD$1006:$AU$1006,0))&gt;=100000), " ",IF(INDEX($AD$2:$AU$1001,MATCH(ROWS($W$2:W466),$W$2:$W$1001,0),MATCH(COLUMNS($AD$1006:AU1006),$AD$1006:$AU$1006,0)), HYPERLINK("#",""), HYPERLINK(CONCATENATE("#metadata!", ADDRESS(INDEX($Y$2:$Y$1001,MATCH(ROWS($W$2:W466),$W$2:$W$1001,0),0), INDEX($AD$1004:$AU$1004,1,MATCH(COLUMNS($AD$1006:AU1006),$AD$1006:$AU$1006,0)))),"Fix")))</f>
        <v xml:space="preserve"> </v>
      </c>
      <c r="W466">
        <v>465</v>
      </c>
      <c r="X466">
        <v>100466</v>
      </c>
      <c r="Y466">
        <v>466</v>
      </c>
      <c r="Z466" t="b">
        <f t="shared" si="7"/>
        <v>1</v>
      </c>
      <c r="AA466" t="b">
        <f>COUNTBLANK(metadata!B466:S466)=COLUMNS(metadata!B466:S466)</f>
        <v>1</v>
      </c>
      <c r="AB466" t="str">
        <v/>
      </c>
      <c r="AD466" t="b">
        <f ca="1">AND(IF(metadata!B466="",FALSE,TRUE),COUNTIF(metadata!B:B, metadata!B466) = 1,NOT(ISERROR(SUMPRODUCT(SEARCH(MID(metadata!B466,ROW(INDIRECT("1:"&amp;LEN(metadata!B466))), 1),"0123456789abcdefghijklmnopqrstuvwxyzABCDEFGHIJKLMNOPQRSTUVWXYZ.")))))</f>
        <v>0</v>
      </c>
      <c r="AE466" t="b">
        <f>OR(AND(IF(metadata!C466="",FALSE,TRUE),OR(EXACT(metadata!C466,"not applicable"),EXACT(metadata!C466,"missing: not collected"),EXACT(metadata!C466,"missing: not provided"),EXACT(metadata!C466,"missing: restricted access"))),AND(IF(metadata!C466="",FALSE,ISNUMBER(VALUE(metadata!C466))),metadata!C466&gt;0))</f>
        <v>0</v>
      </c>
      <c r="AF466" t="b">
        <f>AND(IF(metadata!D466="",FALSE,TRUE),EXACT(metadata!D466,"missing: not provided"))</f>
        <v>0</v>
      </c>
      <c r="AG466" t="b">
        <f>AND(IF(metadata!E466="",FALSE,TRUE),EXACT(metadata!E466,"Host-associated"))</f>
        <v>0</v>
      </c>
      <c r="AH466" t="b">
        <f>AND(IF(metadata!F466="",FALSE,TRUE),OR(EXACT(metadata!F466,"Animal"),EXACT(metadata!F466,"Fungus"),EXACT(metadata!F466,"Plant")))</f>
        <v>0</v>
      </c>
      <c r="AI466" t="b">
        <f>AND(IF(metadata!G466="",FALSE,TRUE),OR(EXACT(metadata!G466,"Plant secretion"),EXACT(metadata!G466,"Plant rhizosphere"),EXACT(metadata!G466,"Plant surface"),EXACT(metadata!G466,"Plant corpus"),EXACT(metadata!G466,"Fungus surface"),EXACT(metadata!G466,"Fungus corpus"),EXACT(metadata!G466,"Animal surface"),EXACT(metadata!G466,"Animal proximal gut"),EXACT(metadata!G466,"Animal corpus"),EXACT(metadata!G466,"Animal distal gut"),EXACT(metadata!G466,"Animal secretion")))</f>
        <v>0</v>
      </c>
      <c r="AJ466" t="b">
        <f>OR(AND(IF(metadata!H466="",FALSE,TRUE),OR(EXACT(metadata!H466,"missing: not collected"),EXACT(metadata!H466,"missing: not provided"),EXACT(metadata!H466,"missing: restricted access"))),AND(IF(metadata!H466="",FALSE,TRUE),OR(EXACT(metadata!H466,"organism-associated habitat"),EXACT(metadata!H466,"plant-associated habitat"),EXACT(metadata!H466,"animal-associated habitat"),EXACT(metadata!H466,"insecta-associated habitat"),EXACT(metadata!H466,"mammalia-associated habitat"),EXACT(metadata!H466,"human-associated habitat"),EXACT(metadata!H466,"livestock-associated habitat"))))</f>
        <v>0</v>
      </c>
      <c r="AK466" t="b">
        <f>AND(IF(metadata!I466="",FALSE,TRUE),EXACT(metadata!I466,"host-associated"))</f>
        <v>0</v>
      </c>
      <c r="AL466" t="b">
        <f>OR(AND(IF(metadata!J466="",FALSE,TRUE),OR(EXACT(metadata!J466,"not applicable"),EXACT(metadata!J466,"missing: not collected"),EXACT(metadata!J466,"missing: not provided"),EXACT(metadata!J466,"missing: restricted access"))),AND(IF(metadata!J466="",FALSE,ISNUMBER(VALUE(metadata!J466))),metadata!J466&gt;0))</f>
        <v>0</v>
      </c>
      <c r="AM466" t="b">
        <f>AND(IF(metadata!K466="",FALSE,TRUE),EXACT(metadata!K466,"missing: not provided"))</f>
        <v>0</v>
      </c>
      <c r="AN466" t="b">
        <f>IF(metadata!L466="",FALSE,TRUE)</f>
        <v>0</v>
      </c>
      <c r="AO466" t="b">
        <f>IF(metadata!M466="",FALSE,TRUE)</f>
        <v>0</v>
      </c>
      <c r="AP466" t="b">
        <f>OR(AND(IF(metadata!N466="",FALSE,TRUE),OR(EXACT(metadata!N466,"not applicable"),EXACT(metadata!N466,"missing: not collected"),EXACT(metadata!N466,"missing: not provided"))),AND(IF(metadata!N466="",FALSE,IF(ISERROR(INT(metadata!N466)),FALSE,INT(metadata!N466)=metadata!N466)),metadata!N466&gt;0))</f>
        <v>0</v>
      </c>
      <c r="AQ466" t="b">
        <f>AND(IF(metadata!O466="",FALSE,TRUE),EXACT(metadata!O466,"Not applicable"))</f>
        <v>0</v>
      </c>
      <c r="AR466" t="b">
        <f>OR(AND(IF(metadata!P466="",FALSE,TRUE),OR(EXACT(metadata!P466,"not applicable"),EXACT(metadata!P466,"missing: not collected"),EXACT(metadata!P466,"missing: not provided"),EXACT(metadata!P466,"missing: restricted access"))),IF(metadata!P466="",FALSE,IF(ISERROR(INT(metadata!P466)),FALSE,INT(metadata!P466)=metadata!P466)))</f>
        <v>0</v>
      </c>
      <c r="AS466" t="b">
        <f>AND(IF(metadata!Q466="",FALSE,TRUE),EXACT(metadata!Q466,"Not applicable"))</f>
        <v>0</v>
      </c>
      <c r="AT466" t="b">
        <f>OR(AND(IF(metadata!R466="",FALSE,TRUE),OR(EXACT(metadata!R466,"not applicable"),EXACT(metadata!R466,"missing: not collected"),EXACT(metadata!R466,"missing: not provided"),EXACT(metadata!R466,"missing: restricted access"))),AND(IF(metadata!R466="",FALSE,ISNUMBER(VALUE(metadata!R466))),metadata!R466&gt;0))</f>
        <v>0</v>
      </c>
      <c r="AU466" t="b">
        <f>AND(IF(metadata!S466="",FALSE,TRUE),EXACT(metadata!S466,"missing: not provided"))</f>
        <v>0</v>
      </c>
    </row>
    <row r="467" spans="1:47" x14ac:dyDescent="0.2">
      <c r="A467" s="5" t="str">
        <f ca="1">IF(B467=" "," ",HYPERLINK(CONCATENATE("#metadata!",ADDRESS(INDEX($Y$2:$Y$1001,MATCH(ROWS($W$2:W467),$W$2:$W$1001,0),0),1)),INDEX($AB$2:$AB$1001,MATCH(ROWS($W$2:W467),$W$2:$W$1001,0),0)))</f>
        <v xml:space="preserve"> </v>
      </c>
      <c r="B467" s="4" t="str">
        <f ca="1">IF(OR(INDEX($X$2:$X$1001,MATCH(ROWS($W$2:W467),$W$2:$W$1001,0),1)&gt;=100000,INDEX($AD$1005:$AU$1005,1,MATCH(COLUMNS($AD$1006:AD1006),$AD$1006:$AU$1006,0))&gt;=100000), " ",IF(INDEX($AD$2:$AU$1001,MATCH(ROWS($W$2:W467),$W$2:$W$1001,0),MATCH(COLUMNS($AD$1006:AD1006),$AD$1006:$AU$1006,0)), HYPERLINK("#",""), HYPERLINK(CONCATENATE("#metadata!", ADDRESS(INDEX($Y$2:$Y$1001,MATCH(ROWS($W$2:W467),$W$2:$W$1001,0),0), INDEX($AD$1004:$AU$1004,1,MATCH(COLUMNS($AD$1006:AD1006),$AD$1006:$AU$1006,0)))),"Fix")))</f>
        <v xml:space="preserve"> </v>
      </c>
      <c r="C467" s="4" t="str">
        <f ca="1">IF(OR(INDEX($X$2:$X$1001,MATCH(ROWS($W$2:W467),$W$2:$W$1001,0),1)&gt;=100000,INDEX($AD$1005:$AU$1005,1,MATCH(COLUMNS($AD$1006:AE1006),$AD$1006:$AU$1006,0))&gt;=100000), " ",IF(INDEX($AD$2:$AU$1001,MATCH(ROWS($W$2:W467),$W$2:$W$1001,0),MATCH(COLUMNS($AD$1006:AE1006),$AD$1006:$AU$1006,0)), HYPERLINK("#",""), HYPERLINK(CONCATENATE("#metadata!", ADDRESS(INDEX($Y$2:$Y$1001,MATCH(ROWS($W$2:W467),$W$2:$W$1001,0),0), INDEX($AD$1004:$AU$1004,1,MATCH(COLUMNS($AD$1006:AE1006),$AD$1006:$AU$1006,0)))),"Fix")))</f>
        <v xml:space="preserve"> </v>
      </c>
      <c r="D467" s="4" t="str">
        <f ca="1">IF(OR(INDEX($X$2:$X$1001,MATCH(ROWS($W$2:W467),$W$2:$W$1001,0),1)&gt;=100000,INDEX($AD$1005:$AU$1005,1,MATCH(COLUMNS($AD$1006:AF1006),$AD$1006:$AU$1006,0))&gt;=100000), " ",IF(INDEX($AD$2:$AU$1001,MATCH(ROWS($W$2:W467),$W$2:$W$1001,0),MATCH(COLUMNS($AD$1006:AF1006),$AD$1006:$AU$1006,0)), HYPERLINK("#",""), HYPERLINK(CONCATENATE("#metadata!", ADDRESS(INDEX($Y$2:$Y$1001,MATCH(ROWS($W$2:W467),$W$2:$W$1001,0),0), INDEX($AD$1004:$AU$1004,1,MATCH(COLUMNS($AD$1006:AF1006),$AD$1006:$AU$1006,0)))),"Fix")))</f>
        <v xml:space="preserve"> </v>
      </c>
      <c r="E467" s="4" t="str">
        <f ca="1">IF(OR(INDEX($X$2:$X$1001,MATCH(ROWS($W$2:W467),$W$2:$W$1001,0),1)&gt;=100000,INDEX($AD$1005:$AU$1005,1,MATCH(COLUMNS($AD$1006:AG1006),$AD$1006:$AU$1006,0))&gt;=100000), " ",IF(INDEX($AD$2:$AU$1001,MATCH(ROWS($W$2:W467),$W$2:$W$1001,0),MATCH(COLUMNS($AD$1006:AG1006),$AD$1006:$AU$1006,0)), HYPERLINK("#",""), HYPERLINK(CONCATENATE("#metadata!", ADDRESS(INDEX($Y$2:$Y$1001,MATCH(ROWS($W$2:W467),$W$2:$W$1001,0),0), INDEX($AD$1004:$AU$1004,1,MATCH(COLUMNS($AD$1006:AG1006),$AD$1006:$AU$1006,0)))),"Fix")))</f>
        <v xml:space="preserve"> </v>
      </c>
      <c r="F467" s="4" t="str">
        <f ca="1">IF(OR(INDEX($X$2:$X$1001,MATCH(ROWS($W$2:W467),$W$2:$W$1001,0),1)&gt;=100000,INDEX($AD$1005:$AU$1005,1,MATCH(COLUMNS($AD$1006:AH1006),$AD$1006:$AU$1006,0))&gt;=100000), " ",IF(INDEX($AD$2:$AU$1001,MATCH(ROWS($W$2:W467),$W$2:$W$1001,0),MATCH(COLUMNS($AD$1006:AH1006),$AD$1006:$AU$1006,0)), HYPERLINK("#",""), HYPERLINK(CONCATENATE("#metadata!", ADDRESS(INDEX($Y$2:$Y$1001,MATCH(ROWS($W$2:W467),$W$2:$W$1001,0),0), INDEX($AD$1004:$AU$1004,1,MATCH(COLUMNS($AD$1006:AH1006),$AD$1006:$AU$1006,0)))),"Fix")))</f>
        <v xml:space="preserve"> </v>
      </c>
      <c r="G467" s="4" t="str">
        <f ca="1">IF(OR(INDEX($X$2:$X$1001,MATCH(ROWS($W$2:W467),$W$2:$W$1001,0),1)&gt;=100000,INDEX($AD$1005:$AU$1005,1,MATCH(COLUMNS($AD$1006:AI1006),$AD$1006:$AU$1006,0))&gt;=100000), " ",IF(INDEX($AD$2:$AU$1001,MATCH(ROWS($W$2:W467),$W$2:$W$1001,0),MATCH(COLUMNS($AD$1006:AI1006),$AD$1006:$AU$1006,0)), HYPERLINK("#",""), HYPERLINK(CONCATENATE("#metadata!", ADDRESS(INDEX($Y$2:$Y$1001,MATCH(ROWS($W$2:W467),$W$2:$W$1001,0),0), INDEX($AD$1004:$AU$1004,1,MATCH(COLUMNS($AD$1006:AI1006),$AD$1006:$AU$1006,0)))),"Fix")))</f>
        <v xml:space="preserve"> </v>
      </c>
      <c r="H467" s="4" t="str">
        <f ca="1">IF(OR(INDEX($X$2:$X$1001,MATCH(ROWS($W$2:W467),$W$2:$W$1001,0),1)&gt;=100000,INDEX($AD$1005:$AU$1005,1,MATCH(COLUMNS($AD$1006:AJ1006),$AD$1006:$AU$1006,0))&gt;=100000), " ",IF(INDEX($AD$2:$AU$1001,MATCH(ROWS($W$2:W467),$W$2:$W$1001,0),MATCH(COLUMNS($AD$1006:AJ1006),$AD$1006:$AU$1006,0)), HYPERLINK("#",""), HYPERLINK(CONCATENATE("#metadata!", ADDRESS(INDEX($Y$2:$Y$1001,MATCH(ROWS($W$2:W467),$W$2:$W$1001,0),0), INDEX($AD$1004:$AU$1004,1,MATCH(COLUMNS($AD$1006:AJ1006),$AD$1006:$AU$1006,0)))),"Fix")))</f>
        <v xml:space="preserve"> </v>
      </c>
      <c r="I467" s="4" t="str">
        <f ca="1">IF(OR(INDEX($X$2:$X$1001,MATCH(ROWS($W$2:W467),$W$2:$W$1001,0),1)&gt;=100000,INDEX($AD$1005:$AU$1005,1,MATCH(COLUMNS($AD$1006:AK1006),$AD$1006:$AU$1006,0))&gt;=100000), " ",IF(INDEX($AD$2:$AU$1001,MATCH(ROWS($W$2:W467),$W$2:$W$1001,0),MATCH(COLUMNS($AD$1006:AK1006),$AD$1006:$AU$1006,0)), HYPERLINK("#",""), HYPERLINK(CONCATENATE("#metadata!", ADDRESS(INDEX($Y$2:$Y$1001,MATCH(ROWS($W$2:W467),$W$2:$W$1001,0),0), INDEX($AD$1004:$AU$1004,1,MATCH(COLUMNS($AD$1006:AK1006),$AD$1006:$AU$1006,0)))),"Fix")))</f>
        <v xml:space="preserve"> </v>
      </c>
      <c r="J467" s="4" t="str">
        <f ca="1">IF(OR(INDEX($X$2:$X$1001,MATCH(ROWS($W$2:W467),$W$2:$W$1001,0),1)&gt;=100000,INDEX($AD$1005:$AU$1005,1,MATCH(COLUMNS($AD$1006:AL1006),$AD$1006:$AU$1006,0))&gt;=100000), " ",IF(INDEX($AD$2:$AU$1001,MATCH(ROWS($W$2:W467),$W$2:$W$1001,0),MATCH(COLUMNS($AD$1006:AL1006),$AD$1006:$AU$1006,0)), HYPERLINK("#",""), HYPERLINK(CONCATENATE("#metadata!", ADDRESS(INDEX($Y$2:$Y$1001,MATCH(ROWS($W$2:W467),$W$2:$W$1001,0),0), INDEX($AD$1004:$AU$1004,1,MATCH(COLUMNS($AD$1006:AL1006),$AD$1006:$AU$1006,0)))),"Fix")))</f>
        <v xml:space="preserve"> </v>
      </c>
      <c r="K467" s="4" t="str">
        <f ca="1">IF(OR(INDEX($X$2:$X$1001,MATCH(ROWS($W$2:W467),$W$2:$W$1001,0),1)&gt;=100000,INDEX($AD$1005:$AU$1005,1,MATCH(COLUMNS($AD$1006:AM1006),$AD$1006:$AU$1006,0))&gt;=100000), " ",IF(INDEX($AD$2:$AU$1001,MATCH(ROWS($W$2:W467),$W$2:$W$1001,0),MATCH(COLUMNS($AD$1006:AM1006),$AD$1006:$AU$1006,0)), HYPERLINK("#",""), HYPERLINK(CONCATENATE("#metadata!", ADDRESS(INDEX($Y$2:$Y$1001,MATCH(ROWS($W$2:W467),$W$2:$W$1001,0),0), INDEX($AD$1004:$AU$1004,1,MATCH(COLUMNS($AD$1006:AM1006),$AD$1006:$AU$1006,0)))),"Fix")))</f>
        <v xml:space="preserve"> </v>
      </c>
      <c r="L467" s="4" t="str">
        <f ca="1">IF(OR(INDEX($X$2:$X$1001,MATCH(ROWS($W$2:W467),$W$2:$W$1001,0),1)&gt;=100000,INDEX($AD$1005:$AU$1005,1,MATCH(COLUMNS($AD$1006:AN1006),$AD$1006:$AU$1006,0))&gt;=100000), " ",IF(INDEX($AD$2:$AU$1001,MATCH(ROWS($W$2:W467),$W$2:$W$1001,0),MATCH(COLUMNS($AD$1006:AN1006),$AD$1006:$AU$1006,0)), HYPERLINK("#",""), HYPERLINK(CONCATENATE("#metadata!", ADDRESS(INDEX($Y$2:$Y$1001,MATCH(ROWS($W$2:W467),$W$2:$W$1001,0),0), INDEX($AD$1004:$AU$1004,1,MATCH(COLUMNS($AD$1006:AN1006),$AD$1006:$AU$1006,0)))),"Fix")))</f>
        <v xml:space="preserve"> </v>
      </c>
      <c r="M467" s="4" t="str">
        <f ca="1">IF(OR(INDEX($X$2:$X$1001,MATCH(ROWS($W$2:W467),$W$2:$W$1001,0),1)&gt;=100000,INDEX($AD$1005:$AU$1005,1,MATCH(COLUMNS($AD$1006:AO1006),$AD$1006:$AU$1006,0))&gt;=100000), " ",IF(INDEX($AD$2:$AU$1001,MATCH(ROWS($W$2:W467),$W$2:$W$1001,0),MATCH(COLUMNS($AD$1006:AO1006),$AD$1006:$AU$1006,0)), HYPERLINK("#",""), HYPERLINK(CONCATENATE("#metadata!", ADDRESS(INDEX($Y$2:$Y$1001,MATCH(ROWS($W$2:W467),$W$2:$W$1001,0),0), INDEX($AD$1004:$AU$1004,1,MATCH(COLUMNS($AD$1006:AO1006),$AD$1006:$AU$1006,0)))),"Fix")))</f>
        <v xml:space="preserve"> </v>
      </c>
      <c r="N467" s="4" t="str">
        <f ca="1">IF(OR(INDEX($X$2:$X$1001,MATCH(ROWS($W$2:W467),$W$2:$W$1001,0),1)&gt;=100000,INDEX($AD$1005:$AU$1005,1,MATCH(COLUMNS($AD$1006:AP1006),$AD$1006:$AU$1006,0))&gt;=100000), " ",IF(INDEX($AD$2:$AU$1001,MATCH(ROWS($W$2:W467),$W$2:$W$1001,0),MATCH(COLUMNS($AD$1006:AP1006),$AD$1006:$AU$1006,0)), HYPERLINK("#",""), HYPERLINK(CONCATENATE("#metadata!", ADDRESS(INDEX($Y$2:$Y$1001,MATCH(ROWS($W$2:W467),$W$2:$W$1001,0),0), INDEX($AD$1004:$AU$1004,1,MATCH(COLUMNS($AD$1006:AP1006),$AD$1006:$AU$1006,0)))),"Fix")))</f>
        <v xml:space="preserve"> </v>
      </c>
      <c r="O467" s="4" t="str">
        <f ca="1">IF(OR(INDEX($X$2:$X$1001,MATCH(ROWS($W$2:W467),$W$2:$W$1001,0),1)&gt;=100000,INDEX($AD$1005:$AU$1005,1,MATCH(COLUMNS($AD$1006:AQ1006),$AD$1006:$AU$1006,0))&gt;=100000), " ",IF(INDEX($AD$2:$AU$1001,MATCH(ROWS($W$2:W467),$W$2:$W$1001,0),MATCH(COLUMNS($AD$1006:AQ1006),$AD$1006:$AU$1006,0)), HYPERLINK("#",""), HYPERLINK(CONCATENATE("#metadata!", ADDRESS(INDEX($Y$2:$Y$1001,MATCH(ROWS($W$2:W467),$W$2:$W$1001,0),0), INDEX($AD$1004:$AU$1004,1,MATCH(COLUMNS($AD$1006:AQ1006),$AD$1006:$AU$1006,0)))),"Fix")))</f>
        <v xml:space="preserve"> </v>
      </c>
      <c r="P467" s="4" t="str">
        <f ca="1">IF(OR(INDEX($X$2:$X$1001,MATCH(ROWS($W$2:W467),$W$2:$W$1001,0),1)&gt;=100000,INDEX($AD$1005:$AU$1005,1,MATCH(COLUMNS($AD$1006:AR1006),$AD$1006:$AU$1006,0))&gt;=100000), " ",IF(INDEX($AD$2:$AU$1001,MATCH(ROWS($W$2:W467),$W$2:$W$1001,0),MATCH(COLUMNS($AD$1006:AR1006),$AD$1006:$AU$1006,0)), HYPERLINK("#",""), HYPERLINK(CONCATENATE("#metadata!", ADDRESS(INDEX($Y$2:$Y$1001,MATCH(ROWS($W$2:W467),$W$2:$W$1001,0),0), INDEX($AD$1004:$AU$1004,1,MATCH(COLUMNS($AD$1006:AR1006),$AD$1006:$AU$1006,0)))),"Fix")))</f>
        <v xml:space="preserve"> </v>
      </c>
      <c r="Q467" s="4" t="str">
        <f ca="1">IF(OR(INDEX($X$2:$X$1001,MATCH(ROWS($W$2:W467),$W$2:$W$1001,0),1)&gt;=100000,INDEX($AD$1005:$AU$1005,1,MATCH(COLUMNS($AD$1006:AS1006),$AD$1006:$AU$1006,0))&gt;=100000), " ",IF(INDEX($AD$2:$AU$1001,MATCH(ROWS($W$2:W467),$W$2:$W$1001,0),MATCH(COLUMNS($AD$1006:AS1006),$AD$1006:$AU$1006,0)), HYPERLINK("#",""), HYPERLINK(CONCATENATE("#metadata!", ADDRESS(INDEX($Y$2:$Y$1001,MATCH(ROWS($W$2:W467),$W$2:$W$1001,0),0), INDEX($AD$1004:$AU$1004,1,MATCH(COLUMNS($AD$1006:AS1006),$AD$1006:$AU$1006,0)))),"Fix")))</f>
        <v xml:space="preserve"> </v>
      </c>
      <c r="R467" s="4" t="str">
        <f ca="1">IF(OR(INDEX($X$2:$X$1001,MATCH(ROWS($W$2:W467),$W$2:$W$1001,0),1)&gt;=100000,INDEX($AD$1005:$AU$1005,1,MATCH(COLUMNS($AD$1006:AT1006),$AD$1006:$AU$1006,0))&gt;=100000), " ",IF(INDEX($AD$2:$AU$1001,MATCH(ROWS($W$2:W467),$W$2:$W$1001,0),MATCH(COLUMNS($AD$1006:AT1006),$AD$1006:$AU$1006,0)), HYPERLINK("#",""), HYPERLINK(CONCATENATE("#metadata!", ADDRESS(INDEX($Y$2:$Y$1001,MATCH(ROWS($W$2:W467),$W$2:$W$1001,0),0), INDEX($AD$1004:$AU$1004,1,MATCH(COLUMNS($AD$1006:AT1006),$AD$1006:$AU$1006,0)))),"Fix")))</f>
        <v xml:space="preserve"> </v>
      </c>
      <c r="S467" s="4" t="str">
        <f ca="1">IF(OR(INDEX($X$2:$X$1001,MATCH(ROWS($W$2:W467),$W$2:$W$1001,0),1)&gt;=100000,INDEX($AD$1005:$AU$1005,1,MATCH(COLUMNS($AD$1006:AU1006),$AD$1006:$AU$1006,0))&gt;=100000), " ",IF(INDEX($AD$2:$AU$1001,MATCH(ROWS($W$2:W467),$W$2:$W$1001,0),MATCH(COLUMNS($AD$1006:AU1006),$AD$1006:$AU$1006,0)), HYPERLINK("#",""), HYPERLINK(CONCATENATE("#metadata!", ADDRESS(INDEX($Y$2:$Y$1001,MATCH(ROWS($W$2:W467),$W$2:$W$1001,0),0), INDEX($AD$1004:$AU$1004,1,MATCH(COLUMNS($AD$1006:AU1006),$AD$1006:$AU$1006,0)))),"Fix")))</f>
        <v xml:space="preserve"> </v>
      </c>
      <c r="W467">
        <v>466</v>
      </c>
      <c r="X467">
        <v>100467</v>
      </c>
      <c r="Y467">
        <v>467</v>
      </c>
      <c r="Z467" t="b">
        <f t="shared" si="7"/>
        <v>1</v>
      </c>
      <c r="AA467" t="b">
        <f>COUNTBLANK(metadata!B467:S467)=COLUMNS(metadata!B467:S467)</f>
        <v>1</v>
      </c>
      <c r="AB467" t="str">
        <v/>
      </c>
      <c r="AD467" t="b">
        <f ca="1">AND(IF(metadata!B467="",FALSE,TRUE),COUNTIF(metadata!B:B, metadata!B467) = 1,NOT(ISERROR(SUMPRODUCT(SEARCH(MID(metadata!B467,ROW(INDIRECT("1:"&amp;LEN(metadata!B467))), 1),"0123456789abcdefghijklmnopqrstuvwxyzABCDEFGHIJKLMNOPQRSTUVWXYZ.")))))</f>
        <v>0</v>
      </c>
      <c r="AE467" t="b">
        <f>OR(AND(IF(metadata!C467="",FALSE,TRUE),OR(EXACT(metadata!C467,"not applicable"),EXACT(metadata!C467,"missing: not collected"),EXACT(metadata!C467,"missing: not provided"),EXACT(metadata!C467,"missing: restricted access"))),AND(IF(metadata!C467="",FALSE,ISNUMBER(VALUE(metadata!C467))),metadata!C467&gt;0))</f>
        <v>0</v>
      </c>
      <c r="AF467" t="b">
        <f>AND(IF(metadata!D467="",FALSE,TRUE),EXACT(metadata!D467,"missing: not provided"))</f>
        <v>0</v>
      </c>
      <c r="AG467" t="b">
        <f>AND(IF(metadata!E467="",FALSE,TRUE),EXACT(metadata!E467,"Host-associated"))</f>
        <v>0</v>
      </c>
      <c r="AH467" t="b">
        <f>AND(IF(metadata!F467="",FALSE,TRUE),OR(EXACT(metadata!F467,"Animal"),EXACT(metadata!F467,"Fungus"),EXACT(metadata!F467,"Plant")))</f>
        <v>0</v>
      </c>
      <c r="AI467" t="b">
        <f>AND(IF(metadata!G467="",FALSE,TRUE),OR(EXACT(metadata!G467,"Plant secretion"),EXACT(metadata!G467,"Plant rhizosphere"),EXACT(metadata!G467,"Plant surface"),EXACT(metadata!G467,"Plant corpus"),EXACT(metadata!G467,"Fungus surface"),EXACT(metadata!G467,"Fungus corpus"),EXACT(metadata!G467,"Animal surface"),EXACT(metadata!G467,"Animal proximal gut"),EXACT(metadata!G467,"Animal corpus"),EXACT(metadata!G467,"Animal distal gut"),EXACT(metadata!G467,"Animal secretion")))</f>
        <v>0</v>
      </c>
      <c r="AJ467" t="b">
        <f>OR(AND(IF(metadata!H467="",FALSE,TRUE),OR(EXACT(metadata!H467,"missing: not collected"),EXACT(metadata!H467,"missing: not provided"),EXACT(metadata!H467,"missing: restricted access"))),AND(IF(metadata!H467="",FALSE,TRUE),OR(EXACT(metadata!H467,"organism-associated habitat"),EXACT(metadata!H467,"plant-associated habitat"),EXACT(metadata!H467,"animal-associated habitat"),EXACT(metadata!H467,"insecta-associated habitat"),EXACT(metadata!H467,"mammalia-associated habitat"),EXACT(metadata!H467,"human-associated habitat"),EXACT(metadata!H467,"livestock-associated habitat"))))</f>
        <v>0</v>
      </c>
      <c r="AK467" t="b">
        <f>AND(IF(metadata!I467="",FALSE,TRUE),EXACT(metadata!I467,"host-associated"))</f>
        <v>0</v>
      </c>
      <c r="AL467" t="b">
        <f>OR(AND(IF(metadata!J467="",FALSE,TRUE),OR(EXACT(metadata!J467,"not applicable"),EXACT(metadata!J467,"missing: not collected"),EXACT(metadata!J467,"missing: not provided"),EXACT(metadata!J467,"missing: restricted access"))),AND(IF(metadata!J467="",FALSE,ISNUMBER(VALUE(metadata!J467))),metadata!J467&gt;0))</f>
        <v>0</v>
      </c>
      <c r="AM467" t="b">
        <f>AND(IF(metadata!K467="",FALSE,TRUE),EXACT(metadata!K467,"missing: not provided"))</f>
        <v>0</v>
      </c>
      <c r="AN467" t="b">
        <f>IF(metadata!L467="",FALSE,TRUE)</f>
        <v>0</v>
      </c>
      <c r="AO467" t="b">
        <f>IF(metadata!M467="",FALSE,TRUE)</f>
        <v>0</v>
      </c>
      <c r="AP467" t="b">
        <f>OR(AND(IF(metadata!N467="",FALSE,TRUE),OR(EXACT(metadata!N467,"not applicable"),EXACT(metadata!N467,"missing: not collected"),EXACT(metadata!N467,"missing: not provided"))),AND(IF(metadata!N467="",FALSE,IF(ISERROR(INT(metadata!N467)),FALSE,INT(metadata!N467)=metadata!N467)),metadata!N467&gt;0))</f>
        <v>0</v>
      </c>
      <c r="AQ467" t="b">
        <f>AND(IF(metadata!O467="",FALSE,TRUE),EXACT(metadata!O467,"Not applicable"))</f>
        <v>0</v>
      </c>
      <c r="AR467" t="b">
        <f>OR(AND(IF(metadata!P467="",FALSE,TRUE),OR(EXACT(metadata!P467,"not applicable"),EXACT(metadata!P467,"missing: not collected"),EXACT(metadata!P467,"missing: not provided"),EXACT(metadata!P467,"missing: restricted access"))),IF(metadata!P467="",FALSE,IF(ISERROR(INT(metadata!P467)),FALSE,INT(metadata!P467)=metadata!P467)))</f>
        <v>0</v>
      </c>
      <c r="AS467" t="b">
        <f>AND(IF(metadata!Q467="",FALSE,TRUE),EXACT(metadata!Q467,"Not applicable"))</f>
        <v>0</v>
      </c>
      <c r="AT467" t="b">
        <f>OR(AND(IF(metadata!R467="",FALSE,TRUE),OR(EXACT(metadata!R467,"not applicable"),EXACT(metadata!R467,"missing: not collected"),EXACT(metadata!R467,"missing: not provided"),EXACT(metadata!R467,"missing: restricted access"))),AND(IF(metadata!R467="",FALSE,ISNUMBER(VALUE(metadata!R467))),metadata!R467&gt;0))</f>
        <v>0</v>
      </c>
      <c r="AU467" t="b">
        <f>AND(IF(metadata!S467="",FALSE,TRUE),EXACT(metadata!S467,"missing: not provided"))</f>
        <v>0</v>
      </c>
    </row>
    <row r="468" spans="1:47" x14ac:dyDescent="0.2">
      <c r="A468" s="5" t="str">
        <f ca="1">IF(B468=" "," ",HYPERLINK(CONCATENATE("#metadata!",ADDRESS(INDEX($Y$2:$Y$1001,MATCH(ROWS($W$2:W468),$W$2:$W$1001,0),0),1)),INDEX($AB$2:$AB$1001,MATCH(ROWS($W$2:W468),$W$2:$W$1001,0),0)))</f>
        <v xml:space="preserve"> </v>
      </c>
      <c r="B468" s="4" t="str">
        <f ca="1">IF(OR(INDEX($X$2:$X$1001,MATCH(ROWS($W$2:W468),$W$2:$W$1001,0),1)&gt;=100000,INDEX($AD$1005:$AU$1005,1,MATCH(COLUMNS($AD$1006:AD1006),$AD$1006:$AU$1006,0))&gt;=100000), " ",IF(INDEX($AD$2:$AU$1001,MATCH(ROWS($W$2:W468),$W$2:$W$1001,0),MATCH(COLUMNS($AD$1006:AD1006),$AD$1006:$AU$1006,0)), HYPERLINK("#",""), HYPERLINK(CONCATENATE("#metadata!", ADDRESS(INDEX($Y$2:$Y$1001,MATCH(ROWS($W$2:W468),$W$2:$W$1001,0),0), INDEX($AD$1004:$AU$1004,1,MATCH(COLUMNS($AD$1006:AD1006),$AD$1006:$AU$1006,0)))),"Fix")))</f>
        <v xml:space="preserve"> </v>
      </c>
      <c r="C468" s="4" t="str">
        <f ca="1">IF(OR(INDEX($X$2:$X$1001,MATCH(ROWS($W$2:W468),$W$2:$W$1001,0),1)&gt;=100000,INDEX($AD$1005:$AU$1005,1,MATCH(COLUMNS($AD$1006:AE1006),$AD$1006:$AU$1006,0))&gt;=100000), " ",IF(INDEX($AD$2:$AU$1001,MATCH(ROWS($W$2:W468),$W$2:$W$1001,0),MATCH(COLUMNS($AD$1006:AE1006),$AD$1006:$AU$1006,0)), HYPERLINK("#",""), HYPERLINK(CONCATENATE("#metadata!", ADDRESS(INDEX($Y$2:$Y$1001,MATCH(ROWS($W$2:W468),$W$2:$W$1001,0),0), INDEX($AD$1004:$AU$1004,1,MATCH(COLUMNS($AD$1006:AE1006),$AD$1006:$AU$1006,0)))),"Fix")))</f>
        <v xml:space="preserve"> </v>
      </c>
      <c r="D468" s="4" t="str">
        <f ca="1">IF(OR(INDEX($X$2:$X$1001,MATCH(ROWS($W$2:W468),$W$2:$W$1001,0),1)&gt;=100000,INDEX($AD$1005:$AU$1005,1,MATCH(COLUMNS($AD$1006:AF1006),$AD$1006:$AU$1006,0))&gt;=100000), " ",IF(INDEX($AD$2:$AU$1001,MATCH(ROWS($W$2:W468),$W$2:$W$1001,0),MATCH(COLUMNS($AD$1006:AF1006),$AD$1006:$AU$1006,0)), HYPERLINK("#",""), HYPERLINK(CONCATENATE("#metadata!", ADDRESS(INDEX($Y$2:$Y$1001,MATCH(ROWS($W$2:W468),$W$2:$W$1001,0),0), INDEX($AD$1004:$AU$1004,1,MATCH(COLUMNS($AD$1006:AF1006),$AD$1006:$AU$1006,0)))),"Fix")))</f>
        <v xml:space="preserve"> </v>
      </c>
      <c r="E468" s="4" t="str">
        <f ca="1">IF(OR(INDEX($X$2:$X$1001,MATCH(ROWS($W$2:W468),$W$2:$W$1001,0),1)&gt;=100000,INDEX($AD$1005:$AU$1005,1,MATCH(COLUMNS($AD$1006:AG1006),$AD$1006:$AU$1006,0))&gt;=100000), " ",IF(INDEX($AD$2:$AU$1001,MATCH(ROWS($W$2:W468),$W$2:$W$1001,0),MATCH(COLUMNS($AD$1006:AG1006),$AD$1006:$AU$1006,0)), HYPERLINK("#",""), HYPERLINK(CONCATENATE("#metadata!", ADDRESS(INDEX($Y$2:$Y$1001,MATCH(ROWS($W$2:W468),$W$2:$W$1001,0),0), INDEX($AD$1004:$AU$1004,1,MATCH(COLUMNS($AD$1006:AG1006),$AD$1006:$AU$1006,0)))),"Fix")))</f>
        <v xml:space="preserve"> </v>
      </c>
      <c r="F468" s="4" t="str">
        <f ca="1">IF(OR(INDEX($X$2:$X$1001,MATCH(ROWS($W$2:W468),$W$2:$W$1001,0),1)&gt;=100000,INDEX($AD$1005:$AU$1005,1,MATCH(COLUMNS($AD$1006:AH1006),$AD$1006:$AU$1006,0))&gt;=100000), " ",IF(INDEX($AD$2:$AU$1001,MATCH(ROWS($W$2:W468),$W$2:$W$1001,0),MATCH(COLUMNS($AD$1006:AH1006),$AD$1006:$AU$1006,0)), HYPERLINK("#",""), HYPERLINK(CONCATENATE("#metadata!", ADDRESS(INDEX($Y$2:$Y$1001,MATCH(ROWS($W$2:W468),$W$2:$W$1001,0),0), INDEX($AD$1004:$AU$1004,1,MATCH(COLUMNS($AD$1006:AH1006),$AD$1006:$AU$1006,0)))),"Fix")))</f>
        <v xml:space="preserve"> </v>
      </c>
      <c r="G468" s="4" t="str">
        <f ca="1">IF(OR(INDEX($X$2:$X$1001,MATCH(ROWS($W$2:W468),$W$2:$W$1001,0),1)&gt;=100000,INDEX($AD$1005:$AU$1005,1,MATCH(COLUMNS($AD$1006:AI1006),$AD$1006:$AU$1006,0))&gt;=100000), " ",IF(INDEX($AD$2:$AU$1001,MATCH(ROWS($W$2:W468),$W$2:$W$1001,0),MATCH(COLUMNS($AD$1006:AI1006),$AD$1006:$AU$1006,0)), HYPERLINK("#",""), HYPERLINK(CONCATENATE("#metadata!", ADDRESS(INDEX($Y$2:$Y$1001,MATCH(ROWS($W$2:W468),$W$2:$W$1001,0),0), INDEX($AD$1004:$AU$1004,1,MATCH(COLUMNS($AD$1006:AI1006),$AD$1006:$AU$1006,0)))),"Fix")))</f>
        <v xml:space="preserve"> </v>
      </c>
      <c r="H468" s="4" t="str">
        <f ca="1">IF(OR(INDEX($X$2:$X$1001,MATCH(ROWS($W$2:W468),$W$2:$W$1001,0),1)&gt;=100000,INDEX($AD$1005:$AU$1005,1,MATCH(COLUMNS($AD$1006:AJ1006),$AD$1006:$AU$1006,0))&gt;=100000), " ",IF(INDEX($AD$2:$AU$1001,MATCH(ROWS($W$2:W468),$W$2:$W$1001,0),MATCH(COLUMNS($AD$1006:AJ1006),$AD$1006:$AU$1006,0)), HYPERLINK("#",""), HYPERLINK(CONCATENATE("#metadata!", ADDRESS(INDEX($Y$2:$Y$1001,MATCH(ROWS($W$2:W468),$W$2:$W$1001,0),0), INDEX($AD$1004:$AU$1004,1,MATCH(COLUMNS($AD$1006:AJ1006),$AD$1006:$AU$1006,0)))),"Fix")))</f>
        <v xml:space="preserve"> </v>
      </c>
      <c r="I468" s="4" t="str">
        <f ca="1">IF(OR(INDEX($X$2:$X$1001,MATCH(ROWS($W$2:W468),$W$2:$W$1001,0),1)&gt;=100000,INDEX($AD$1005:$AU$1005,1,MATCH(COLUMNS($AD$1006:AK1006),$AD$1006:$AU$1006,0))&gt;=100000), " ",IF(INDEX($AD$2:$AU$1001,MATCH(ROWS($W$2:W468),$W$2:$W$1001,0),MATCH(COLUMNS($AD$1006:AK1006),$AD$1006:$AU$1006,0)), HYPERLINK("#",""), HYPERLINK(CONCATENATE("#metadata!", ADDRESS(INDEX($Y$2:$Y$1001,MATCH(ROWS($W$2:W468),$W$2:$W$1001,0),0), INDEX($AD$1004:$AU$1004,1,MATCH(COLUMNS($AD$1006:AK1006),$AD$1006:$AU$1006,0)))),"Fix")))</f>
        <v xml:space="preserve"> </v>
      </c>
      <c r="J468" s="4" t="str">
        <f ca="1">IF(OR(INDEX($X$2:$X$1001,MATCH(ROWS($W$2:W468),$W$2:$W$1001,0),1)&gt;=100000,INDEX($AD$1005:$AU$1005,1,MATCH(COLUMNS($AD$1006:AL1006),$AD$1006:$AU$1006,0))&gt;=100000), " ",IF(INDEX($AD$2:$AU$1001,MATCH(ROWS($W$2:W468),$W$2:$W$1001,0),MATCH(COLUMNS($AD$1006:AL1006),$AD$1006:$AU$1006,0)), HYPERLINK("#",""), HYPERLINK(CONCATENATE("#metadata!", ADDRESS(INDEX($Y$2:$Y$1001,MATCH(ROWS($W$2:W468),$W$2:$W$1001,0),0), INDEX($AD$1004:$AU$1004,1,MATCH(COLUMNS($AD$1006:AL1006),$AD$1006:$AU$1006,0)))),"Fix")))</f>
        <v xml:space="preserve"> </v>
      </c>
      <c r="K468" s="4" t="str">
        <f ca="1">IF(OR(INDEX($X$2:$X$1001,MATCH(ROWS($W$2:W468),$W$2:$W$1001,0),1)&gt;=100000,INDEX($AD$1005:$AU$1005,1,MATCH(COLUMNS($AD$1006:AM1006),$AD$1006:$AU$1006,0))&gt;=100000), " ",IF(INDEX($AD$2:$AU$1001,MATCH(ROWS($W$2:W468),$W$2:$W$1001,0),MATCH(COLUMNS($AD$1006:AM1006),$AD$1006:$AU$1006,0)), HYPERLINK("#",""), HYPERLINK(CONCATENATE("#metadata!", ADDRESS(INDEX($Y$2:$Y$1001,MATCH(ROWS($W$2:W468),$W$2:$W$1001,0),0), INDEX($AD$1004:$AU$1004,1,MATCH(COLUMNS($AD$1006:AM1006),$AD$1006:$AU$1006,0)))),"Fix")))</f>
        <v xml:space="preserve"> </v>
      </c>
      <c r="L468" s="4" t="str">
        <f ca="1">IF(OR(INDEX($X$2:$X$1001,MATCH(ROWS($W$2:W468),$W$2:$W$1001,0),1)&gt;=100000,INDEX($AD$1005:$AU$1005,1,MATCH(COLUMNS($AD$1006:AN1006),$AD$1006:$AU$1006,0))&gt;=100000), " ",IF(INDEX($AD$2:$AU$1001,MATCH(ROWS($W$2:W468),$W$2:$W$1001,0),MATCH(COLUMNS($AD$1006:AN1006),$AD$1006:$AU$1006,0)), HYPERLINK("#",""), HYPERLINK(CONCATENATE("#metadata!", ADDRESS(INDEX($Y$2:$Y$1001,MATCH(ROWS($W$2:W468),$W$2:$W$1001,0),0), INDEX($AD$1004:$AU$1004,1,MATCH(COLUMNS($AD$1006:AN1006),$AD$1006:$AU$1006,0)))),"Fix")))</f>
        <v xml:space="preserve"> </v>
      </c>
      <c r="M468" s="4" t="str">
        <f ca="1">IF(OR(INDEX($X$2:$X$1001,MATCH(ROWS($W$2:W468),$W$2:$W$1001,0),1)&gt;=100000,INDEX($AD$1005:$AU$1005,1,MATCH(COLUMNS($AD$1006:AO1006),$AD$1006:$AU$1006,0))&gt;=100000), " ",IF(INDEX($AD$2:$AU$1001,MATCH(ROWS($W$2:W468),$W$2:$W$1001,0),MATCH(COLUMNS($AD$1006:AO1006),$AD$1006:$AU$1006,0)), HYPERLINK("#",""), HYPERLINK(CONCATENATE("#metadata!", ADDRESS(INDEX($Y$2:$Y$1001,MATCH(ROWS($W$2:W468),$W$2:$W$1001,0),0), INDEX($AD$1004:$AU$1004,1,MATCH(COLUMNS($AD$1006:AO1006),$AD$1006:$AU$1006,0)))),"Fix")))</f>
        <v xml:space="preserve"> </v>
      </c>
      <c r="N468" s="4" t="str">
        <f ca="1">IF(OR(INDEX($X$2:$X$1001,MATCH(ROWS($W$2:W468),$W$2:$W$1001,0),1)&gt;=100000,INDEX($AD$1005:$AU$1005,1,MATCH(COLUMNS($AD$1006:AP1006),$AD$1006:$AU$1006,0))&gt;=100000), " ",IF(INDEX($AD$2:$AU$1001,MATCH(ROWS($W$2:W468),$W$2:$W$1001,0),MATCH(COLUMNS($AD$1006:AP1006),$AD$1006:$AU$1006,0)), HYPERLINK("#",""), HYPERLINK(CONCATENATE("#metadata!", ADDRESS(INDEX($Y$2:$Y$1001,MATCH(ROWS($W$2:W468),$W$2:$W$1001,0),0), INDEX($AD$1004:$AU$1004,1,MATCH(COLUMNS($AD$1006:AP1006),$AD$1006:$AU$1006,0)))),"Fix")))</f>
        <v xml:space="preserve"> </v>
      </c>
      <c r="O468" s="4" t="str">
        <f ca="1">IF(OR(INDEX($X$2:$X$1001,MATCH(ROWS($W$2:W468),$W$2:$W$1001,0),1)&gt;=100000,INDEX($AD$1005:$AU$1005,1,MATCH(COLUMNS($AD$1006:AQ1006),$AD$1006:$AU$1006,0))&gt;=100000), " ",IF(INDEX($AD$2:$AU$1001,MATCH(ROWS($W$2:W468),$W$2:$W$1001,0),MATCH(COLUMNS($AD$1006:AQ1006),$AD$1006:$AU$1006,0)), HYPERLINK("#",""), HYPERLINK(CONCATENATE("#metadata!", ADDRESS(INDEX($Y$2:$Y$1001,MATCH(ROWS($W$2:W468),$W$2:$W$1001,0),0), INDEX($AD$1004:$AU$1004,1,MATCH(COLUMNS($AD$1006:AQ1006),$AD$1006:$AU$1006,0)))),"Fix")))</f>
        <v xml:space="preserve"> </v>
      </c>
      <c r="P468" s="4" t="str">
        <f ca="1">IF(OR(INDEX($X$2:$X$1001,MATCH(ROWS($W$2:W468),$W$2:$W$1001,0),1)&gt;=100000,INDEX($AD$1005:$AU$1005,1,MATCH(COLUMNS($AD$1006:AR1006),$AD$1006:$AU$1006,0))&gt;=100000), " ",IF(INDEX($AD$2:$AU$1001,MATCH(ROWS($W$2:W468),$W$2:$W$1001,0),MATCH(COLUMNS($AD$1006:AR1006),$AD$1006:$AU$1006,0)), HYPERLINK("#",""), HYPERLINK(CONCATENATE("#metadata!", ADDRESS(INDEX($Y$2:$Y$1001,MATCH(ROWS($W$2:W468),$W$2:$W$1001,0),0), INDEX($AD$1004:$AU$1004,1,MATCH(COLUMNS($AD$1006:AR1006),$AD$1006:$AU$1006,0)))),"Fix")))</f>
        <v xml:space="preserve"> </v>
      </c>
      <c r="Q468" s="4" t="str">
        <f ca="1">IF(OR(INDEX($X$2:$X$1001,MATCH(ROWS($W$2:W468),$W$2:$W$1001,0),1)&gt;=100000,INDEX($AD$1005:$AU$1005,1,MATCH(COLUMNS($AD$1006:AS1006),$AD$1006:$AU$1006,0))&gt;=100000), " ",IF(INDEX($AD$2:$AU$1001,MATCH(ROWS($W$2:W468),$W$2:$W$1001,0),MATCH(COLUMNS($AD$1006:AS1006),$AD$1006:$AU$1006,0)), HYPERLINK("#",""), HYPERLINK(CONCATENATE("#metadata!", ADDRESS(INDEX($Y$2:$Y$1001,MATCH(ROWS($W$2:W468),$W$2:$W$1001,0),0), INDEX($AD$1004:$AU$1004,1,MATCH(COLUMNS($AD$1006:AS1006),$AD$1006:$AU$1006,0)))),"Fix")))</f>
        <v xml:space="preserve"> </v>
      </c>
      <c r="R468" s="4" t="str">
        <f ca="1">IF(OR(INDEX($X$2:$X$1001,MATCH(ROWS($W$2:W468),$W$2:$W$1001,0),1)&gt;=100000,INDEX($AD$1005:$AU$1005,1,MATCH(COLUMNS($AD$1006:AT1006),$AD$1006:$AU$1006,0))&gt;=100000), " ",IF(INDEX($AD$2:$AU$1001,MATCH(ROWS($W$2:W468),$W$2:$W$1001,0),MATCH(COLUMNS($AD$1006:AT1006),$AD$1006:$AU$1006,0)), HYPERLINK("#",""), HYPERLINK(CONCATENATE("#metadata!", ADDRESS(INDEX($Y$2:$Y$1001,MATCH(ROWS($W$2:W468),$W$2:$W$1001,0),0), INDEX($AD$1004:$AU$1004,1,MATCH(COLUMNS($AD$1006:AT1006),$AD$1006:$AU$1006,0)))),"Fix")))</f>
        <v xml:space="preserve"> </v>
      </c>
      <c r="S468" s="4" t="str">
        <f ca="1">IF(OR(INDEX($X$2:$X$1001,MATCH(ROWS($W$2:W468),$W$2:$W$1001,0),1)&gt;=100000,INDEX($AD$1005:$AU$1005,1,MATCH(COLUMNS($AD$1006:AU1006),$AD$1006:$AU$1006,0))&gt;=100000), " ",IF(INDEX($AD$2:$AU$1001,MATCH(ROWS($W$2:W468),$W$2:$W$1001,0),MATCH(COLUMNS($AD$1006:AU1006),$AD$1006:$AU$1006,0)), HYPERLINK("#",""), HYPERLINK(CONCATENATE("#metadata!", ADDRESS(INDEX($Y$2:$Y$1001,MATCH(ROWS($W$2:W468),$W$2:$W$1001,0),0), INDEX($AD$1004:$AU$1004,1,MATCH(COLUMNS($AD$1006:AU1006),$AD$1006:$AU$1006,0)))),"Fix")))</f>
        <v xml:space="preserve"> </v>
      </c>
      <c r="W468">
        <v>467</v>
      </c>
      <c r="X468">
        <v>100468</v>
      </c>
      <c r="Y468">
        <v>468</v>
      </c>
      <c r="Z468" t="b">
        <f t="shared" si="7"/>
        <v>1</v>
      </c>
      <c r="AA468" t="b">
        <f>COUNTBLANK(metadata!B468:S468)=COLUMNS(metadata!B468:S468)</f>
        <v>1</v>
      </c>
      <c r="AB468" t="str">
        <v/>
      </c>
      <c r="AD468" t="b">
        <f ca="1">AND(IF(metadata!B468="",FALSE,TRUE),COUNTIF(metadata!B:B, metadata!B468) = 1,NOT(ISERROR(SUMPRODUCT(SEARCH(MID(metadata!B468,ROW(INDIRECT("1:"&amp;LEN(metadata!B468))), 1),"0123456789abcdefghijklmnopqrstuvwxyzABCDEFGHIJKLMNOPQRSTUVWXYZ.")))))</f>
        <v>0</v>
      </c>
      <c r="AE468" t="b">
        <f>OR(AND(IF(metadata!C468="",FALSE,TRUE),OR(EXACT(metadata!C468,"not applicable"),EXACT(metadata!C468,"missing: not collected"),EXACT(metadata!C468,"missing: not provided"),EXACT(metadata!C468,"missing: restricted access"))),AND(IF(metadata!C468="",FALSE,ISNUMBER(VALUE(metadata!C468))),metadata!C468&gt;0))</f>
        <v>0</v>
      </c>
      <c r="AF468" t="b">
        <f>AND(IF(metadata!D468="",FALSE,TRUE),EXACT(metadata!D468,"missing: not provided"))</f>
        <v>0</v>
      </c>
      <c r="AG468" t="b">
        <f>AND(IF(metadata!E468="",FALSE,TRUE),EXACT(metadata!E468,"Host-associated"))</f>
        <v>0</v>
      </c>
      <c r="AH468" t="b">
        <f>AND(IF(metadata!F468="",FALSE,TRUE),OR(EXACT(metadata!F468,"Animal"),EXACT(metadata!F468,"Fungus"),EXACT(metadata!F468,"Plant")))</f>
        <v>0</v>
      </c>
      <c r="AI468" t="b">
        <f>AND(IF(metadata!G468="",FALSE,TRUE),OR(EXACT(metadata!G468,"Plant secretion"),EXACT(metadata!G468,"Plant rhizosphere"),EXACT(metadata!G468,"Plant surface"),EXACT(metadata!G468,"Plant corpus"),EXACT(metadata!G468,"Fungus surface"),EXACT(metadata!G468,"Fungus corpus"),EXACT(metadata!G468,"Animal surface"),EXACT(metadata!G468,"Animal proximal gut"),EXACT(metadata!G468,"Animal corpus"),EXACT(metadata!G468,"Animal distal gut"),EXACT(metadata!G468,"Animal secretion")))</f>
        <v>0</v>
      </c>
      <c r="AJ468" t="b">
        <f>OR(AND(IF(metadata!H468="",FALSE,TRUE),OR(EXACT(metadata!H468,"missing: not collected"),EXACT(metadata!H468,"missing: not provided"),EXACT(metadata!H468,"missing: restricted access"))),AND(IF(metadata!H468="",FALSE,TRUE),OR(EXACT(metadata!H468,"organism-associated habitat"),EXACT(metadata!H468,"plant-associated habitat"),EXACT(metadata!H468,"animal-associated habitat"),EXACT(metadata!H468,"insecta-associated habitat"),EXACT(metadata!H468,"mammalia-associated habitat"),EXACT(metadata!H468,"human-associated habitat"),EXACT(metadata!H468,"livestock-associated habitat"))))</f>
        <v>0</v>
      </c>
      <c r="AK468" t="b">
        <f>AND(IF(metadata!I468="",FALSE,TRUE),EXACT(metadata!I468,"host-associated"))</f>
        <v>0</v>
      </c>
      <c r="AL468" t="b">
        <f>OR(AND(IF(metadata!J468="",FALSE,TRUE),OR(EXACT(metadata!J468,"not applicable"),EXACT(metadata!J468,"missing: not collected"),EXACT(metadata!J468,"missing: not provided"),EXACT(metadata!J468,"missing: restricted access"))),AND(IF(metadata!J468="",FALSE,ISNUMBER(VALUE(metadata!J468))),metadata!J468&gt;0))</f>
        <v>0</v>
      </c>
      <c r="AM468" t="b">
        <f>AND(IF(metadata!K468="",FALSE,TRUE),EXACT(metadata!K468,"missing: not provided"))</f>
        <v>0</v>
      </c>
      <c r="AN468" t="b">
        <f>IF(metadata!L468="",FALSE,TRUE)</f>
        <v>0</v>
      </c>
      <c r="AO468" t="b">
        <f>IF(metadata!M468="",FALSE,TRUE)</f>
        <v>0</v>
      </c>
      <c r="AP468" t="b">
        <f>OR(AND(IF(metadata!N468="",FALSE,TRUE),OR(EXACT(metadata!N468,"not applicable"),EXACT(metadata!N468,"missing: not collected"),EXACT(metadata!N468,"missing: not provided"))),AND(IF(metadata!N468="",FALSE,IF(ISERROR(INT(metadata!N468)),FALSE,INT(metadata!N468)=metadata!N468)),metadata!N468&gt;0))</f>
        <v>0</v>
      </c>
      <c r="AQ468" t="b">
        <f>AND(IF(metadata!O468="",FALSE,TRUE),EXACT(metadata!O468,"Not applicable"))</f>
        <v>0</v>
      </c>
      <c r="AR468" t="b">
        <f>OR(AND(IF(metadata!P468="",FALSE,TRUE),OR(EXACT(metadata!P468,"not applicable"),EXACT(metadata!P468,"missing: not collected"),EXACT(metadata!P468,"missing: not provided"),EXACT(metadata!P468,"missing: restricted access"))),IF(metadata!P468="",FALSE,IF(ISERROR(INT(metadata!P468)),FALSE,INT(metadata!P468)=metadata!P468)))</f>
        <v>0</v>
      </c>
      <c r="AS468" t="b">
        <f>AND(IF(metadata!Q468="",FALSE,TRUE),EXACT(metadata!Q468,"Not applicable"))</f>
        <v>0</v>
      </c>
      <c r="AT468" t="b">
        <f>OR(AND(IF(metadata!R468="",FALSE,TRUE),OR(EXACT(metadata!R468,"not applicable"),EXACT(metadata!R468,"missing: not collected"),EXACT(metadata!R468,"missing: not provided"),EXACT(metadata!R468,"missing: restricted access"))),AND(IF(metadata!R468="",FALSE,ISNUMBER(VALUE(metadata!R468))),metadata!R468&gt;0))</f>
        <v>0</v>
      </c>
      <c r="AU468" t="b">
        <f>AND(IF(metadata!S468="",FALSE,TRUE),EXACT(metadata!S468,"missing: not provided"))</f>
        <v>0</v>
      </c>
    </row>
    <row r="469" spans="1:47" x14ac:dyDescent="0.2">
      <c r="A469" s="5" t="str">
        <f ca="1">IF(B469=" "," ",HYPERLINK(CONCATENATE("#metadata!",ADDRESS(INDEX($Y$2:$Y$1001,MATCH(ROWS($W$2:W469),$W$2:$W$1001,0),0),1)),INDEX($AB$2:$AB$1001,MATCH(ROWS($W$2:W469),$W$2:$W$1001,0),0)))</f>
        <v xml:space="preserve"> </v>
      </c>
      <c r="B469" s="4" t="str">
        <f ca="1">IF(OR(INDEX($X$2:$X$1001,MATCH(ROWS($W$2:W469),$W$2:$W$1001,0),1)&gt;=100000,INDEX($AD$1005:$AU$1005,1,MATCH(COLUMNS($AD$1006:AD1006),$AD$1006:$AU$1006,0))&gt;=100000), " ",IF(INDEX($AD$2:$AU$1001,MATCH(ROWS($W$2:W469),$W$2:$W$1001,0),MATCH(COLUMNS($AD$1006:AD1006),$AD$1006:$AU$1006,0)), HYPERLINK("#",""), HYPERLINK(CONCATENATE("#metadata!", ADDRESS(INDEX($Y$2:$Y$1001,MATCH(ROWS($W$2:W469),$W$2:$W$1001,0),0), INDEX($AD$1004:$AU$1004,1,MATCH(COLUMNS($AD$1006:AD1006),$AD$1006:$AU$1006,0)))),"Fix")))</f>
        <v xml:space="preserve"> </v>
      </c>
      <c r="C469" s="4" t="str">
        <f ca="1">IF(OR(INDEX($X$2:$X$1001,MATCH(ROWS($W$2:W469),$W$2:$W$1001,0),1)&gt;=100000,INDEX($AD$1005:$AU$1005,1,MATCH(COLUMNS($AD$1006:AE1006),$AD$1006:$AU$1006,0))&gt;=100000), " ",IF(INDEX($AD$2:$AU$1001,MATCH(ROWS($W$2:W469),$W$2:$W$1001,0),MATCH(COLUMNS($AD$1006:AE1006),$AD$1006:$AU$1006,0)), HYPERLINK("#",""), HYPERLINK(CONCATENATE("#metadata!", ADDRESS(INDEX($Y$2:$Y$1001,MATCH(ROWS($W$2:W469),$W$2:$W$1001,0),0), INDEX($AD$1004:$AU$1004,1,MATCH(COLUMNS($AD$1006:AE1006),$AD$1006:$AU$1006,0)))),"Fix")))</f>
        <v xml:space="preserve"> </v>
      </c>
      <c r="D469" s="4" t="str">
        <f ca="1">IF(OR(INDEX($X$2:$X$1001,MATCH(ROWS($W$2:W469),$W$2:$W$1001,0),1)&gt;=100000,INDEX($AD$1005:$AU$1005,1,MATCH(COLUMNS($AD$1006:AF1006),$AD$1006:$AU$1006,0))&gt;=100000), " ",IF(INDEX($AD$2:$AU$1001,MATCH(ROWS($W$2:W469),$W$2:$W$1001,0),MATCH(COLUMNS($AD$1006:AF1006),$AD$1006:$AU$1006,0)), HYPERLINK("#",""), HYPERLINK(CONCATENATE("#metadata!", ADDRESS(INDEX($Y$2:$Y$1001,MATCH(ROWS($W$2:W469),$W$2:$W$1001,0),0), INDEX($AD$1004:$AU$1004,1,MATCH(COLUMNS($AD$1006:AF1006),$AD$1006:$AU$1006,0)))),"Fix")))</f>
        <v xml:space="preserve"> </v>
      </c>
      <c r="E469" s="4" t="str">
        <f ca="1">IF(OR(INDEX($X$2:$X$1001,MATCH(ROWS($W$2:W469),$W$2:$W$1001,0),1)&gt;=100000,INDEX($AD$1005:$AU$1005,1,MATCH(COLUMNS($AD$1006:AG1006),$AD$1006:$AU$1006,0))&gt;=100000), " ",IF(INDEX($AD$2:$AU$1001,MATCH(ROWS($W$2:W469),$W$2:$W$1001,0),MATCH(COLUMNS($AD$1006:AG1006),$AD$1006:$AU$1006,0)), HYPERLINK("#",""), HYPERLINK(CONCATENATE("#metadata!", ADDRESS(INDEX($Y$2:$Y$1001,MATCH(ROWS($W$2:W469),$W$2:$W$1001,0),0), INDEX($AD$1004:$AU$1004,1,MATCH(COLUMNS($AD$1006:AG1006),$AD$1006:$AU$1006,0)))),"Fix")))</f>
        <v xml:space="preserve"> </v>
      </c>
      <c r="F469" s="4" t="str">
        <f ca="1">IF(OR(INDEX($X$2:$X$1001,MATCH(ROWS($W$2:W469),$W$2:$W$1001,0),1)&gt;=100000,INDEX($AD$1005:$AU$1005,1,MATCH(COLUMNS($AD$1006:AH1006),$AD$1006:$AU$1006,0))&gt;=100000), " ",IF(INDEX($AD$2:$AU$1001,MATCH(ROWS($W$2:W469),$W$2:$W$1001,0),MATCH(COLUMNS($AD$1006:AH1006),$AD$1006:$AU$1006,0)), HYPERLINK("#",""), HYPERLINK(CONCATENATE("#metadata!", ADDRESS(INDEX($Y$2:$Y$1001,MATCH(ROWS($W$2:W469),$W$2:$W$1001,0),0), INDEX($AD$1004:$AU$1004,1,MATCH(COLUMNS($AD$1006:AH1006),$AD$1006:$AU$1006,0)))),"Fix")))</f>
        <v xml:space="preserve"> </v>
      </c>
      <c r="G469" s="4" t="str">
        <f ca="1">IF(OR(INDEX($X$2:$X$1001,MATCH(ROWS($W$2:W469),$W$2:$W$1001,0),1)&gt;=100000,INDEX($AD$1005:$AU$1005,1,MATCH(COLUMNS($AD$1006:AI1006),$AD$1006:$AU$1006,0))&gt;=100000), " ",IF(INDEX($AD$2:$AU$1001,MATCH(ROWS($W$2:W469),$W$2:$W$1001,0),MATCH(COLUMNS($AD$1006:AI1006),$AD$1006:$AU$1006,0)), HYPERLINK("#",""), HYPERLINK(CONCATENATE("#metadata!", ADDRESS(INDEX($Y$2:$Y$1001,MATCH(ROWS($W$2:W469),$W$2:$W$1001,0),0), INDEX($AD$1004:$AU$1004,1,MATCH(COLUMNS($AD$1006:AI1006),$AD$1006:$AU$1006,0)))),"Fix")))</f>
        <v xml:space="preserve"> </v>
      </c>
      <c r="H469" s="4" t="str">
        <f ca="1">IF(OR(INDEX($X$2:$X$1001,MATCH(ROWS($W$2:W469),$W$2:$W$1001,0),1)&gt;=100000,INDEX($AD$1005:$AU$1005,1,MATCH(COLUMNS($AD$1006:AJ1006),$AD$1006:$AU$1006,0))&gt;=100000), " ",IF(INDEX($AD$2:$AU$1001,MATCH(ROWS($W$2:W469),$W$2:$W$1001,0),MATCH(COLUMNS($AD$1006:AJ1006),$AD$1006:$AU$1006,0)), HYPERLINK("#",""), HYPERLINK(CONCATENATE("#metadata!", ADDRESS(INDEX($Y$2:$Y$1001,MATCH(ROWS($W$2:W469),$W$2:$W$1001,0),0), INDEX($AD$1004:$AU$1004,1,MATCH(COLUMNS($AD$1006:AJ1006),$AD$1006:$AU$1006,0)))),"Fix")))</f>
        <v xml:space="preserve"> </v>
      </c>
      <c r="I469" s="4" t="str">
        <f ca="1">IF(OR(INDEX($X$2:$X$1001,MATCH(ROWS($W$2:W469),$W$2:$W$1001,0),1)&gt;=100000,INDEX($AD$1005:$AU$1005,1,MATCH(COLUMNS($AD$1006:AK1006),$AD$1006:$AU$1006,0))&gt;=100000), " ",IF(INDEX($AD$2:$AU$1001,MATCH(ROWS($W$2:W469),$W$2:$W$1001,0),MATCH(COLUMNS($AD$1006:AK1006),$AD$1006:$AU$1006,0)), HYPERLINK("#",""), HYPERLINK(CONCATENATE("#metadata!", ADDRESS(INDEX($Y$2:$Y$1001,MATCH(ROWS($W$2:W469),$W$2:$W$1001,0),0), INDEX($AD$1004:$AU$1004,1,MATCH(COLUMNS($AD$1006:AK1006),$AD$1006:$AU$1006,0)))),"Fix")))</f>
        <v xml:space="preserve"> </v>
      </c>
      <c r="J469" s="4" t="str">
        <f ca="1">IF(OR(INDEX($X$2:$X$1001,MATCH(ROWS($W$2:W469),$W$2:$W$1001,0),1)&gt;=100000,INDEX($AD$1005:$AU$1005,1,MATCH(COLUMNS($AD$1006:AL1006),$AD$1006:$AU$1006,0))&gt;=100000), " ",IF(INDEX($AD$2:$AU$1001,MATCH(ROWS($W$2:W469),$W$2:$W$1001,0),MATCH(COLUMNS($AD$1006:AL1006),$AD$1006:$AU$1006,0)), HYPERLINK("#",""), HYPERLINK(CONCATENATE("#metadata!", ADDRESS(INDEX($Y$2:$Y$1001,MATCH(ROWS($W$2:W469),$W$2:$W$1001,0),0), INDEX($AD$1004:$AU$1004,1,MATCH(COLUMNS($AD$1006:AL1006),$AD$1006:$AU$1006,0)))),"Fix")))</f>
        <v xml:space="preserve"> </v>
      </c>
      <c r="K469" s="4" t="str">
        <f ca="1">IF(OR(INDEX($X$2:$X$1001,MATCH(ROWS($W$2:W469),$W$2:$W$1001,0),1)&gt;=100000,INDEX($AD$1005:$AU$1005,1,MATCH(COLUMNS($AD$1006:AM1006),$AD$1006:$AU$1006,0))&gt;=100000), " ",IF(INDEX($AD$2:$AU$1001,MATCH(ROWS($W$2:W469),$W$2:$W$1001,0),MATCH(COLUMNS($AD$1006:AM1006),$AD$1006:$AU$1006,0)), HYPERLINK("#",""), HYPERLINK(CONCATENATE("#metadata!", ADDRESS(INDEX($Y$2:$Y$1001,MATCH(ROWS($W$2:W469),$W$2:$W$1001,0),0), INDEX($AD$1004:$AU$1004,1,MATCH(COLUMNS($AD$1006:AM1006),$AD$1006:$AU$1006,0)))),"Fix")))</f>
        <v xml:space="preserve"> </v>
      </c>
      <c r="L469" s="4" t="str">
        <f ca="1">IF(OR(INDEX($X$2:$X$1001,MATCH(ROWS($W$2:W469),$W$2:$W$1001,0),1)&gt;=100000,INDEX($AD$1005:$AU$1005,1,MATCH(COLUMNS($AD$1006:AN1006),$AD$1006:$AU$1006,0))&gt;=100000), " ",IF(INDEX($AD$2:$AU$1001,MATCH(ROWS($W$2:W469),$W$2:$W$1001,0),MATCH(COLUMNS($AD$1006:AN1006),$AD$1006:$AU$1006,0)), HYPERLINK("#",""), HYPERLINK(CONCATENATE("#metadata!", ADDRESS(INDEX($Y$2:$Y$1001,MATCH(ROWS($W$2:W469),$W$2:$W$1001,0),0), INDEX($AD$1004:$AU$1004,1,MATCH(COLUMNS($AD$1006:AN1006),$AD$1006:$AU$1006,0)))),"Fix")))</f>
        <v xml:space="preserve"> </v>
      </c>
      <c r="M469" s="4" t="str">
        <f ca="1">IF(OR(INDEX($X$2:$X$1001,MATCH(ROWS($W$2:W469),$W$2:$W$1001,0),1)&gt;=100000,INDEX($AD$1005:$AU$1005,1,MATCH(COLUMNS($AD$1006:AO1006),$AD$1006:$AU$1006,0))&gt;=100000), " ",IF(INDEX($AD$2:$AU$1001,MATCH(ROWS($W$2:W469),$W$2:$W$1001,0),MATCH(COLUMNS($AD$1006:AO1006),$AD$1006:$AU$1006,0)), HYPERLINK("#",""), HYPERLINK(CONCATENATE("#metadata!", ADDRESS(INDEX($Y$2:$Y$1001,MATCH(ROWS($W$2:W469),$W$2:$W$1001,0),0), INDEX($AD$1004:$AU$1004,1,MATCH(COLUMNS($AD$1006:AO1006),$AD$1006:$AU$1006,0)))),"Fix")))</f>
        <v xml:space="preserve"> </v>
      </c>
      <c r="N469" s="4" t="str">
        <f ca="1">IF(OR(INDEX($X$2:$X$1001,MATCH(ROWS($W$2:W469),$W$2:$W$1001,0),1)&gt;=100000,INDEX($AD$1005:$AU$1005,1,MATCH(COLUMNS($AD$1006:AP1006),$AD$1006:$AU$1006,0))&gt;=100000), " ",IF(INDEX($AD$2:$AU$1001,MATCH(ROWS($W$2:W469),$W$2:$W$1001,0),MATCH(COLUMNS($AD$1006:AP1006),$AD$1006:$AU$1006,0)), HYPERLINK("#",""), HYPERLINK(CONCATENATE("#metadata!", ADDRESS(INDEX($Y$2:$Y$1001,MATCH(ROWS($W$2:W469),$W$2:$W$1001,0),0), INDEX($AD$1004:$AU$1004,1,MATCH(COLUMNS($AD$1006:AP1006),$AD$1006:$AU$1006,0)))),"Fix")))</f>
        <v xml:space="preserve"> </v>
      </c>
      <c r="O469" s="4" t="str">
        <f ca="1">IF(OR(INDEX($X$2:$X$1001,MATCH(ROWS($W$2:W469),$W$2:$W$1001,0),1)&gt;=100000,INDEX($AD$1005:$AU$1005,1,MATCH(COLUMNS($AD$1006:AQ1006),$AD$1006:$AU$1006,0))&gt;=100000), " ",IF(INDEX($AD$2:$AU$1001,MATCH(ROWS($W$2:W469),$W$2:$W$1001,0),MATCH(COLUMNS($AD$1006:AQ1006),$AD$1006:$AU$1006,0)), HYPERLINK("#",""), HYPERLINK(CONCATENATE("#metadata!", ADDRESS(INDEX($Y$2:$Y$1001,MATCH(ROWS($W$2:W469),$W$2:$W$1001,0),0), INDEX($AD$1004:$AU$1004,1,MATCH(COLUMNS($AD$1006:AQ1006),$AD$1006:$AU$1006,0)))),"Fix")))</f>
        <v xml:space="preserve"> </v>
      </c>
      <c r="P469" s="4" t="str">
        <f ca="1">IF(OR(INDEX($X$2:$X$1001,MATCH(ROWS($W$2:W469),$W$2:$W$1001,0),1)&gt;=100000,INDEX($AD$1005:$AU$1005,1,MATCH(COLUMNS($AD$1006:AR1006),$AD$1006:$AU$1006,0))&gt;=100000), " ",IF(INDEX($AD$2:$AU$1001,MATCH(ROWS($W$2:W469),$W$2:$W$1001,0),MATCH(COLUMNS($AD$1006:AR1006),$AD$1006:$AU$1006,0)), HYPERLINK("#",""), HYPERLINK(CONCATENATE("#metadata!", ADDRESS(INDEX($Y$2:$Y$1001,MATCH(ROWS($W$2:W469),$W$2:$W$1001,0),0), INDEX($AD$1004:$AU$1004,1,MATCH(COLUMNS($AD$1006:AR1006),$AD$1006:$AU$1006,0)))),"Fix")))</f>
        <v xml:space="preserve"> </v>
      </c>
      <c r="Q469" s="4" t="str">
        <f ca="1">IF(OR(INDEX($X$2:$X$1001,MATCH(ROWS($W$2:W469),$W$2:$W$1001,0),1)&gt;=100000,INDEX($AD$1005:$AU$1005,1,MATCH(COLUMNS($AD$1006:AS1006),$AD$1006:$AU$1006,0))&gt;=100000), " ",IF(INDEX($AD$2:$AU$1001,MATCH(ROWS($W$2:W469),$W$2:$W$1001,0),MATCH(COLUMNS($AD$1006:AS1006),$AD$1006:$AU$1006,0)), HYPERLINK("#",""), HYPERLINK(CONCATENATE("#metadata!", ADDRESS(INDEX($Y$2:$Y$1001,MATCH(ROWS($W$2:W469),$W$2:$W$1001,0),0), INDEX($AD$1004:$AU$1004,1,MATCH(COLUMNS($AD$1006:AS1006),$AD$1006:$AU$1006,0)))),"Fix")))</f>
        <v xml:space="preserve"> </v>
      </c>
      <c r="R469" s="4" t="str">
        <f ca="1">IF(OR(INDEX($X$2:$X$1001,MATCH(ROWS($W$2:W469),$W$2:$W$1001,0),1)&gt;=100000,INDEX($AD$1005:$AU$1005,1,MATCH(COLUMNS($AD$1006:AT1006),$AD$1006:$AU$1006,0))&gt;=100000), " ",IF(INDEX($AD$2:$AU$1001,MATCH(ROWS($W$2:W469),$W$2:$W$1001,0),MATCH(COLUMNS($AD$1006:AT1006),$AD$1006:$AU$1006,0)), HYPERLINK("#",""), HYPERLINK(CONCATENATE("#metadata!", ADDRESS(INDEX($Y$2:$Y$1001,MATCH(ROWS($W$2:W469),$W$2:$W$1001,0),0), INDEX($AD$1004:$AU$1004,1,MATCH(COLUMNS($AD$1006:AT1006),$AD$1006:$AU$1006,0)))),"Fix")))</f>
        <v xml:space="preserve"> </v>
      </c>
      <c r="S469" s="4" t="str">
        <f ca="1">IF(OR(INDEX($X$2:$X$1001,MATCH(ROWS($W$2:W469),$W$2:$W$1001,0),1)&gt;=100000,INDEX($AD$1005:$AU$1005,1,MATCH(COLUMNS($AD$1006:AU1006),$AD$1006:$AU$1006,0))&gt;=100000), " ",IF(INDEX($AD$2:$AU$1001,MATCH(ROWS($W$2:W469),$W$2:$W$1001,0),MATCH(COLUMNS($AD$1006:AU1006),$AD$1006:$AU$1006,0)), HYPERLINK("#",""), HYPERLINK(CONCATENATE("#metadata!", ADDRESS(INDEX($Y$2:$Y$1001,MATCH(ROWS($W$2:W469),$W$2:$W$1001,0),0), INDEX($AD$1004:$AU$1004,1,MATCH(COLUMNS($AD$1006:AU1006),$AD$1006:$AU$1006,0)))),"Fix")))</f>
        <v xml:space="preserve"> </v>
      </c>
      <c r="W469">
        <v>468</v>
      </c>
      <c r="X469">
        <v>100469</v>
      </c>
      <c r="Y469">
        <v>469</v>
      </c>
      <c r="Z469" t="b">
        <f t="shared" si="7"/>
        <v>1</v>
      </c>
      <c r="AA469" t="b">
        <f>COUNTBLANK(metadata!B469:S469)=COLUMNS(metadata!B469:S469)</f>
        <v>1</v>
      </c>
      <c r="AB469" t="str">
        <v/>
      </c>
      <c r="AD469" t="b">
        <f ca="1">AND(IF(metadata!B469="",FALSE,TRUE),COUNTIF(metadata!B:B, metadata!B469) = 1,NOT(ISERROR(SUMPRODUCT(SEARCH(MID(metadata!B469,ROW(INDIRECT("1:"&amp;LEN(metadata!B469))), 1),"0123456789abcdefghijklmnopqrstuvwxyzABCDEFGHIJKLMNOPQRSTUVWXYZ.")))))</f>
        <v>0</v>
      </c>
      <c r="AE469" t="b">
        <f>OR(AND(IF(metadata!C469="",FALSE,TRUE),OR(EXACT(metadata!C469,"not applicable"),EXACT(metadata!C469,"missing: not collected"),EXACT(metadata!C469,"missing: not provided"),EXACT(metadata!C469,"missing: restricted access"))),AND(IF(metadata!C469="",FALSE,ISNUMBER(VALUE(metadata!C469))),metadata!C469&gt;0))</f>
        <v>0</v>
      </c>
      <c r="AF469" t="b">
        <f>AND(IF(metadata!D469="",FALSE,TRUE),EXACT(metadata!D469,"missing: not provided"))</f>
        <v>0</v>
      </c>
      <c r="AG469" t="b">
        <f>AND(IF(metadata!E469="",FALSE,TRUE),EXACT(metadata!E469,"Host-associated"))</f>
        <v>0</v>
      </c>
      <c r="AH469" t="b">
        <f>AND(IF(metadata!F469="",FALSE,TRUE),OR(EXACT(metadata!F469,"Animal"),EXACT(metadata!F469,"Fungus"),EXACT(metadata!F469,"Plant")))</f>
        <v>0</v>
      </c>
      <c r="AI469" t="b">
        <f>AND(IF(metadata!G469="",FALSE,TRUE),OR(EXACT(metadata!G469,"Plant secretion"),EXACT(metadata!G469,"Plant rhizosphere"),EXACT(metadata!G469,"Plant surface"),EXACT(metadata!G469,"Plant corpus"),EXACT(metadata!G469,"Fungus surface"),EXACT(metadata!G469,"Fungus corpus"),EXACT(metadata!G469,"Animal surface"),EXACT(metadata!G469,"Animal proximal gut"),EXACT(metadata!G469,"Animal corpus"),EXACT(metadata!G469,"Animal distal gut"),EXACT(metadata!G469,"Animal secretion")))</f>
        <v>0</v>
      </c>
      <c r="AJ469" t="b">
        <f>OR(AND(IF(metadata!H469="",FALSE,TRUE),OR(EXACT(metadata!H469,"missing: not collected"),EXACT(metadata!H469,"missing: not provided"),EXACT(metadata!H469,"missing: restricted access"))),AND(IF(metadata!H469="",FALSE,TRUE),OR(EXACT(metadata!H469,"organism-associated habitat"),EXACT(metadata!H469,"plant-associated habitat"),EXACT(metadata!H469,"animal-associated habitat"),EXACT(metadata!H469,"insecta-associated habitat"),EXACT(metadata!H469,"mammalia-associated habitat"),EXACT(metadata!H469,"human-associated habitat"),EXACT(metadata!H469,"livestock-associated habitat"))))</f>
        <v>0</v>
      </c>
      <c r="AK469" t="b">
        <f>AND(IF(metadata!I469="",FALSE,TRUE),EXACT(metadata!I469,"host-associated"))</f>
        <v>0</v>
      </c>
      <c r="AL469" t="b">
        <f>OR(AND(IF(metadata!J469="",FALSE,TRUE),OR(EXACT(metadata!J469,"not applicable"),EXACT(metadata!J469,"missing: not collected"),EXACT(metadata!J469,"missing: not provided"),EXACT(metadata!J469,"missing: restricted access"))),AND(IF(metadata!J469="",FALSE,ISNUMBER(VALUE(metadata!J469))),metadata!J469&gt;0))</f>
        <v>0</v>
      </c>
      <c r="AM469" t="b">
        <f>AND(IF(metadata!K469="",FALSE,TRUE),EXACT(metadata!K469,"missing: not provided"))</f>
        <v>0</v>
      </c>
      <c r="AN469" t="b">
        <f>IF(metadata!L469="",FALSE,TRUE)</f>
        <v>0</v>
      </c>
      <c r="AO469" t="b">
        <f>IF(metadata!M469="",FALSE,TRUE)</f>
        <v>0</v>
      </c>
      <c r="AP469" t="b">
        <f>OR(AND(IF(metadata!N469="",FALSE,TRUE),OR(EXACT(metadata!N469,"not applicable"),EXACT(metadata!N469,"missing: not collected"),EXACT(metadata!N469,"missing: not provided"))),AND(IF(metadata!N469="",FALSE,IF(ISERROR(INT(metadata!N469)),FALSE,INT(metadata!N469)=metadata!N469)),metadata!N469&gt;0))</f>
        <v>0</v>
      </c>
      <c r="AQ469" t="b">
        <f>AND(IF(metadata!O469="",FALSE,TRUE),EXACT(metadata!O469,"Not applicable"))</f>
        <v>0</v>
      </c>
      <c r="AR469" t="b">
        <f>OR(AND(IF(metadata!P469="",FALSE,TRUE),OR(EXACT(metadata!P469,"not applicable"),EXACT(metadata!P469,"missing: not collected"),EXACT(metadata!P469,"missing: not provided"),EXACT(metadata!P469,"missing: restricted access"))),IF(metadata!P469="",FALSE,IF(ISERROR(INT(metadata!P469)),FALSE,INT(metadata!P469)=metadata!P469)))</f>
        <v>0</v>
      </c>
      <c r="AS469" t="b">
        <f>AND(IF(metadata!Q469="",FALSE,TRUE),EXACT(metadata!Q469,"Not applicable"))</f>
        <v>0</v>
      </c>
      <c r="AT469" t="b">
        <f>OR(AND(IF(metadata!R469="",FALSE,TRUE),OR(EXACT(metadata!R469,"not applicable"),EXACT(metadata!R469,"missing: not collected"),EXACT(metadata!R469,"missing: not provided"),EXACT(metadata!R469,"missing: restricted access"))),AND(IF(metadata!R469="",FALSE,ISNUMBER(VALUE(metadata!R469))),metadata!R469&gt;0))</f>
        <v>0</v>
      </c>
      <c r="AU469" t="b">
        <f>AND(IF(metadata!S469="",FALSE,TRUE),EXACT(metadata!S469,"missing: not provided"))</f>
        <v>0</v>
      </c>
    </row>
    <row r="470" spans="1:47" x14ac:dyDescent="0.2">
      <c r="A470" s="5" t="str">
        <f ca="1">IF(B470=" "," ",HYPERLINK(CONCATENATE("#metadata!",ADDRESS(INDEX($Y$2:$Y$1001,MATCH(ROWS($W$2:W470),$W$2:$W$1001,0),0),1)),INDEX($AB$2:$AB$1001,MATCH(ROWS($W$2:W470),$W$2:$W$1001,0),0)))</f>
        <v xml:space="preserve"> </v>
      </c>
      <c r="B470" s="4" t="str">
        <f ca="1">IF(OR(INDEX($X$2:$X$1001,MATCH(ROWS($W$2:W470),$W$2:$W$1001,0),1)&gt;=100000,INDEX($AD$1005:$AU$1005,1,MATCH(COLUMNS($AD$1006:AD1006),$AD$1006:$AU$1006,0))&gt;=100000), " ",IF(INDEX($AD$2:$AU$1001,MATCH(ROWS($W$2:W470),$W$2:$W$1001,0),MATCH(COLUMNS($AD$1006:AD1006),$AD$1006:$AU$1006,0)), HYPERLINK("#",""), HYPERLINK(CONCATENATE("#metadata!", ADDRESS(INDEX($Y$2:$Y$1001,MATCH(ROWS($W$2:W470),$W$2:$W$1001,0),0), INDEX($AD$1004:$AU$1004,1,MATCH(COLUMNS($AD$1006:AD1006),$AD$1006:$AU$1006,0)))),"Fix")))</f>
        <v xml:space="preserve"> </v>
      </c>
      <c r="C470" s="4" t="str">
        <f ca="1">IF(OR(INDEX($X$2:$X$1001,MATCH(ROWS($W$2:W470),$W$2:$W$1001,0),1)&gt;=100000,INDEX($AD$1005:$AU$1005,1,MATCH(COLUMNS($AD$1006:AE1006),$AD$1006:$AU$1006,0))&gt;=100000), " ",IF(INDEX($AD$2:$AU$1001,MATCH(ROWS($W$2:W470),$W$2:$W$1001,0),MATCH(COLUMNS($AD$1006:AE1006),$AD$1006:$AU$1006,0)), HYPERLINK("#",""), HYPERLINK(CONCATENATE("#metadata!", ADDRESS(INDEX($Y$2:$Y$1001,MATCH(ROWS($W$2:W470),$W$2:$W$1001,0),0), INDEX($AD$1004:$AU$1004,1,MATCH(COLUMNS($AD$1006:AE1006),$AD$1006:$AU$1006,0)))),"Fix")))</f>
        <v xml:space="preserve"> </v>
      </c>
      <c r="D470" s="4" t="str">
        <f ca="1">IF(OR(INDEX($X$2:$X$1001,MATCH(ROWS($W$2:W470),$W$2:$W$1001,0),1)&gt;=100000,INDEX($AD$1005:$AU$1005,1,MATCH(COLUMNS($AD$1006:AF1006),$AD$1006:$AU$1006,0))&gt;=100000), " ",IF(INDEX($AD$2:$AU$1001,MATCH(ROWS($W$2:W470),$W$2:$W$1001,0),MATCH(COLUMNS($AD$1006:AF1006),$AD$1006:$AU$1006,0)), HYPERLINK("#",""), HYPERLINK(CONCATENATE("#metadata!", ADDRESS(INDEX($Y$2:$Y$1001,MATCH(ROWS($W$2:W470),$W$2:$W$1001,0),0), INDEX($AD$1004:$AU$1004,1,MATCH(COLUMNS($AD$1006:AF1006),$AD$1006:$AU$1006,0)))),"Fix")))</f>
        <v xml:space="preserve"> </v>
      </c>
      <c r="E470" s="4" t="str">
        <f ca="1">IF(OR(INDEX($X$2:$X$1001,MATCH(ROWS($W$2:W470),$W$2:$W$1001,0),1)&gt;=100000,INDEX($AD$1005:$AU$1005,1,MATCH(COLUMNS($AD$1006:AG1006),$AD$1006:$AU$1006,0))&gt;=100000), " ",IF(INDEX($AD$2:$AU$1001,MATCH(ROWS($W$2:W470),$W$2:$W$1001,0),MATCH(COLUMNS($AD$1006:AG1006),$AD$1006:$AU$1006,0)), HYPERLINK("#",""), HYPERLINK(CONCATENATE("#metadata!", ADDRESS(INDEX($Y$2:$Y$1001,MATCH(ROWS($W$2:W470),$W$2:$W$1001,0),0), INDEX($AD$1004:$AU$1004,1,MATCH(COLUMNS($AD$1006:AG1006),$AD$1006:$AU$1006,0)))),"Fix")))</f>
        <v xml:space="preserve"> </v>
      </c>
      <c r="F470" s="4" t="str">
        <f ca="1">IF(OR(INDEX($X$2:$X$1001,MATCH(ROWS($W$2:W470),$W$2:$W$1001,0),1)&gt;=100000,INDEX($AD$1005:$AU$1005,1,MATCH(COLUMNS($AD$1006:AH1006),$AD$1006:$AU$1006,0))&gt;=100000), " ",IF(INDEX($AD$2:$AU$1001,MATCH(ROWS($W$2:W470),$W$2:$W$1001,0),MATCH(COLUMNS($AD$1006:AH1006),$AD$1006:$AU$1006,0)), HYPERLINK("#",""), HYPERLINK(CONCATENATE("#metadata!", ADDRESS(INDEX($Y$2:$Y$1001,MATCH(ROWS($W$2:W470),$W$2:$W$1001,0),0), INDEX($AD$1004:$AU$1004,1,MATCH(COLUMNS($AD$1006:AH1006),$AD$1006:$AU$1006,0)))),"Fix")))</f>
        <v xml:space="preserve"> </v>
      </c>
      <c r="G470" s="4" t="str">
        <f ca="1">IF(OR(INDEX($X$2:$X$1001,MATCH(ROWS($W$2:W470),$W$2:$W$1001,0),1)&gt;=100000,INDEX($AD$1005:$AU$1005,1,MATCH(COLUMNS($AD$1006:AI1006),$AD$1006:$AU$1006,0))&gt;=100000), " ",IF(INDEX($AD$2:$AU$1001,MATCH(ROWS($W$2:W470),$W$2:$W$1001,0),MATCH(COLUMNS($AD$1006:AI1006),$AD$1006:$AU$1006,0)), HYPERLINK("#",""), HYPERLINK(CONCATENATE("#metadata!", ADDRESS(INDEX($Y$2:$Y$1001,MATCH(ROWS($W$2:W470),$W$2:$W$1001,0),0), INDEX($AD$1004:$AU$1004,1,MATCH(COLUMNS($AD$1006:AI1006),$AD$1006:$AU$1006,0)))),"Fix")))</f>
        <v xml:space="preserve"> </v>
      </c>
      <c r="H470" s="4" t="str">
        <f ca="1">IF(OR(INDEX($X$2:$X$1001,MATCH(ROWS($W$2:W470),$W$2:$W$1001,0),1)&gt;=100000,INDEX($AD$1005:$AU$1005,1,MATCH(COLUMNS($AD$1006:AJ1006),$AD$1006:$AU$1006,0))&gt;=100000), " ",IF(INDEX($AD$2:$AU$1001,MATCH(ROWS($W$2:W470),$W$2:$W$1001,0),MATCH(COLUMNS($AD$1006:AJ1006),$AD$1006:$AU$1006,0)), HYPERLINK("#",""), HYPERLINK(CONCATENATE("#metadata!", ADDRESS(INDEX($Y$2:$Y$1001,MATCH(ROWS($W$2:W470),$W$2:$W$1001,0),0), INDEX($AD$1004:$AU$1004,1,MATCH(COLUMNS($AD$1006:AJ1006),$AD$1006:$AU$1006,0)))),"Fix")))</f>
        <v xml:space="preserve"> </v>
      </c>
      <c r="I470" s="4" t="str">
        <f ca="1">IF(OR(INDEX($X$2:$X$1001,MATCH(ROWS($W$2:W470),$W$2:$W$1001,0),1)&gt;=100000,INDEX($AD$1005:$AU$1005,1,MATCH(COLUMNS($AD$1006:AK1006),$AD$1006:$AU$1006,0))&gt;=100000), " ",IF(INDEX($AD$2:$AU$1001,MATCH(ROWS($W$2:W470),$W$2:$W$1001,0),MATCH(COLUMNS($AD$1006:AK1006),$AD$1006:$AU$1006,0)), HYPERLINK("#",""), HYPERLINK(CONCATENATE("#metadata!", ADDRESS(INDEX($Y$2:$Y$1001,MATCH(ROWS($W$2:W470),$W$2:$W$1001,0),0), INDEX($AD$1004:$AU$1004,1,MATCH(COLUMNS($AD$1006:AK1006),$AD$1006:$AU$1006,0)))),"Fix")))</f>
        <v xml:space="preserve"> </v>
      </c>
      <c r="J470" s="4" t="str">
        <f ca="1">IF(OR(INDEX($X$2:$X$1001,MATCH(ROWS($W$2:W470),$W$2:$W$1001,0),1)&gt;=100000,INDEX($AD$1005:$AU$1005,1,MATCH(COLUMNS($AD$1006:AL1006),$AD$1006:$AU$1006,0))&gt;=100000), " ",IF(INDEX($AD$2:$AU$1001,MATCH(ROWS($W$2:W470),$W$2:$W$1001,0),MATCH(COLUMNS($AD$1006:AL1006),$AD$1006:$AU$1006,0)), HYPERLINK("#",""), HYPERLINK(CONCATENATE("#metadata!", ADDRESS(INDEX($Y$2:$Y$1001,MATCH(ROWS($W$2:W470),$W$2:$W$1001,0),0), INDEX($AD$1004:$AU$1004,1,MATCH(COLUMNS($AD$1006:AL1006),$AD$1006:$AU$1006,0)))),"Fix")))</f>
        <v xml:space="preserve"> </v>
      </c>
      <c r="K470" s="4" t="str">
        <f ca="1">IF(OR(INDEX($X$2:$X$1001,MATCH(ROWS($W$2:W470),$W$2:$W$1001,0),1)&gt;=100000,INDEX($AD$1005:$AU$1005,1,MATCH(COLUMNS($AD$1006:AM1006),$AD$1006:$AU$1006,0))&gt;=100000), " ",IF(INDEX($AD$2:$AU$1001,MATCH(ROWS($W$2:W470),$W$2:$W$1001,0),MATCH(COLUMNS($AD$1006:AM1006),$AD$1006:$AU$1006,0)), HYPERLINK("#",""), HYPERLINK(CONCATENATE("#metadata!", ADDRESS(INDEX($Y$2:$Y$1001,MATCH(ROWS($W$2:W470),$W$2:$W$1001,0),0), INDEX($AD$1004:$AU$1004,1,MATCH(COLUMNS($AD$1006:AM1006),$AD$1006:$AU$1006,0)))),"Fix")))</f>
        <v xml:space="preserve"> </v>
      </c>
      <c r="L470" s="4" t="str">
        <f ca="1">IF(OR(INDEX($X$2:$X$1001,MATCH(ROWS($W$2:W470),$W$2:$W$1001,0),1)&gt;=100000,INDEX($AD$1005:$AU$1005,1,MATCH(COLUMNS($AD$1006:AN1006),$AD$1006:$AU$1006,0))&gt;=100000), " ",IF(INDEX($AD$2:$AU$1001,MATCH(ROWS($W$2:W470),$W$2:$W$1001,0),MATCH(COLUMNS($AD$1006:AN1006),$AD$1006:$AU$1006,0)), HYPERLINK("#",""), HYPERLINK(CONCATENATE("#metadata!", ADDRESS(INDEX($Y$2:$Y$1001,MATCH(ROWS($W$2:W470),$W$2:$W$1001,0),0), INDEX($AD$1004:$AU$1004,1,MATCH(COLUMNS($AD$1006:AN1006),$AD$1006:$AU$1006,0)))),"Fix")))</f>
        <v xml:space="preserve"> </v>
      </c>
      <c r="M470" s="4" t="str">
        <f ca="1">IF(OR(INDEX($X$2:$X$1001,MATCH(ROWS($W$2:W470),$W$2:$W$1001,0),1)&gt;=100000,INDEX($AD$1005:$AU$1005,1,MATCH(COLUMNS($AD$1006:AO1006),$AD$1006:$AU$1006,0))&gt;=100000), " ",IF(INDEX($AD$2:$AU$1001,MATCH(ROWS($W$2:W470),$W$2:$W$1001,0),MATCH(COLUMNS($AD$1006:AO1006),$AD$1006:$AU$1006,0)), HYPERLINK("#",""), HYPERLINK(CONCATENATE("#metadata!", ADDRESS(INDEX($Y$2:$Y$1001,MATCH(ROWS($W$2:W470),$W$2:$W$1001,0),0), INDEX($AD$1004:$AU$1004,1,MATCH(COLUMNS($AD$1006:AO1006),$AD$1006:$AU$1006,0)))),"Fix")))</f>
        <v xml:space="preserve"> </v>
      </c>
      <c r="N470" s="4" t="str">
        <f ca="1">IF(OR(INDEX($X$2:$X$1001,MATCH(ROWS($W$2:W470),$W$2:$W$1001,0),1)&gt;=100000,INDEX($AD$1005:$AU$1005,1,MATCH(COLUMNS($AD$1006:AP1006),$AD$1006:$AU$1006,0))&gt;=100000), " ",IF(INDEX($AD$2:$AU$1001,MATCH(ROWS($W$2:W470),$W$2:$W$1001,0),MATCH(COLUMNS($AD$1006:AP1006),$AD$1006:$AU$1006,0)), HYPERLINK("#",""), HYPERLINK(CONCATENATE("#metadata!", ADDRESS(INDEX($Y$2:$Y$1001,MATCH(ROWS($W$2:W470),$W$2:$W$1001,0),0), INDEX($AD$1004:$AU$1004,1,MATCH(COLUMNS($AD$1006:AP1006),$AD$1006:$AU$1006,0)))),"Fix")))</f>
        <v xml:space="preserve"> </v>
      </c>
      <c r="O470" s="4" t="str">
        <f ca="1">IF(OR(INDEX($X$2:$X$1001,MATCH(ROWS($W$2:W470),$W$2:$W$1001,0),1)&gt;=100000,INDEX($AD$1005:$AU$1005,1,MATCH(COLUMNS($AD$1006:AQ1006),$AD$1006:$AU$1006,0))&gt;=100000), " ",IF(INDEX($AD$2:$AU$1001,MATCH(ROWS($W$2:W470),$W$2:$W$1001,0),MATCH(COLUMNS($AD$1006:AQ1006),$AD$1006:$AU$1006,0)), HYPERLINK("#",""), HYPERLINK(CONCATENATE("#metadata!", ADDRESS(INDEX($Y$2:$Y$1001,MATCH(ROWS($W$2:W470),$W$2:$W$1001,0),0), INDEX($AD$1004:$AU$1004,1,MATCH(COLUMNS($AD$1006:AQ1006),$AD$1006:$AU$1006,0)))),"Fix")))</f>
        <v xml:space="preserve"> </v>
      </c>
      <c r="P470" s="4" t="str">
        <f ca="1">IF(OR(INDEX($X$2:$X$1001,MATCH(ROWS($W$2:W470),$W$2:$W$1001,0),1)&gt;=100000,INDEX($AD$1005:$AU$1005,1,MATCH(COLUMNS($AD$1006:AR1006),$AD$1006:$AU$1006,0))&gt;=100000), " ",IF(INDEX($AD$2:$AU$1001,MATCH(ROWS($W$2:W470),$W$2:$W$1001,0),MATCH(COLUMNS($AD$1006:AR1006),$AD$1006:$AU$1006,0)), HYPERLINK("#",""), HYPERLINK(CONCATENATE("#metadata!", ADDRESS(INDEX($Y$2:$Y$1001,MATCH(ROWS($W$2:W470),$W$2:$W$1001,0),0), INDEX($AD$1004:$AU$1004,1,MATCH(COLUMNS($AD$1006:AR1006),$AD$1006:$AU$1006,0)))),"Fix")))</f>
        <v xml:space="preserve"> </v>
      </c>
      <c r="Q470" s="4" t="str">
        <f ca="1">IF(OR(INDEX($X$2:$X$1001,MATCH(ROWS($W$2:W470),$W$2:$W$1001,0),1)&gt;=100000,INDEX($AD$1005:$AU$1005,1,MATCH(COLUMNS($AD$1006:AS1006),$AD$1006:$AU$1006,0))&gt;=100000), " ",IF(INDEX($AD$2:$AU$1001,MATCH(ROWS($W$2:W470),$W$2:$W$1001,0),MATCH(COLUMNS($AD$1006:AS1006),$AD$1006:$AU$1006,0)), HYPERLINK("#",""), HYPERLINK(CONCATENATE("#metadata!", ADDRESS(INDEX($Y$2:$Y$1001,MATCH(ROWS($W$2:W470),$W$2:$W$1001,0),0), INDEX($AD$1004:$AU$1004,1,MATCH(COLUMNS($AD$1006:AS1006),$AD$1006:$AU$1006,0)))),"Fix")))</f>
        <v xml:space="preserve"> </v>
      </c>
      <c r="R470" s="4" t="str">
        <f ca="1">IF(OR(INDEX($X$2:$X$1001,MATCH(ROWS($W$2:W470),$W$2:$W$1001,0),1)&gt;=100000,INDEX($AD$1005:$AU$1005,1,MATCH(COLUMNS($AD$1006:AT1006),$AD$1006:$AU$1006,0))&gt;=100000), " ",IF(INDEX($AD$2:$AU$1001,MATCH(ROWS($W$2:W470),$W$2:$W$1001,0),MATCH(COLUMNS($AD$1006:AT1006),$AD$1006:$AU$1006,0)), HYPERLINK("#",""), HYPERLINK(CONCATENATE("#metadata!", ADDRESS(INDEX($Y$2:$Y$1001,MATCH(ROWS($W$2:W470),$W$2:$W$1001,0),0), INDEX($AD$1004:$AU$1004,1,MATCH(COLUMNS($AD$1006:AT1006),$AD$1006:$AU$1006,0)))),"Fix")))</f>
        <v xml:space="preserve"> </v>
      </c>
      <c r="S470" s="4" t="str">
        <f ca="1">IF(OR(INDEX($X$2:$X$1001,MATCH(ROWS($W$2:W470),$W$2:$W$1001,0),1)&gt;=100000,INDEX($AD$1005:$AU$1005,1,MATCH(COLUMNS($AD$1006:AU1006),$AD$1006:$AU$1006,0))&gt;=100000), " ",IF(INDEX($AD$2:$AU$1001,MATCH(ROWS($W$2:W470),$W$2:$W$1001,0),MATCH(COLUMNS($AD$1006:AU1006),$AD$1006:$AU$1006,0)), HYPERLINK("#",""), HYPERLINK(CONCATENATE("#metadata!", ADDRESS(INDEX($Y$2:$Y$1001,MATCH(ROWS($W$2:W470),$W$2:$W$1001,0),0), INDEX($AD$1004:$AU$1004,1,MATCH(COLUMNS($AD$1006:AU1006),$AD$1006:$AU$1006,0)))),"Fix")))</f>
        <v xml:space="preserve"> </v>
      </c>
      <c r="W470">
        <v>469</v>
      </c>
      <c r="X470">
        <v>100470</v>
      </c>
      <c r="Y470">
        <v>470</v>
      </c>
      <c r="Z470" t="b">
        <f t="shared" si="7"/>
        <v>1</v>
      </c>
      <c r="AA470" t="b">
        <f>COUNTBLANK(metadata!B470:S470)=COLUMNS(metadata!B470:S470)</f>
        <v>1</v>
      </c>
      <c r="AB470" t="str">
        <v/>
      </c>
      <c r="AD470" t="b">
        <f ca="1">AND(IF(metadata!B470="",FALSE,TRUE),COUNTIF(metadata!B:B, metadata!B470) = 1,NOT(ISERROR(SUMPRODUCT(SEARCH(MID(metadata!B470,ROW(INDIRECT("1:"&amp;LEN(metadata!B470))), 1),"0123456789abcdefghijklmnopqrstuvwxyzABCDEFGHIJKLMNOPQRSTUVWXYZ.")))))</f>
        <v>0</v>
      </c>
      <c r="AE470" t="b">
        <f>OR(AND(IF(metadata!C470="",FALSE,TRUE),OR(EXACT(metadata!C470,"not applicable"),EXACT(metadata!C470,"missing: not collected"),EXACT(metadata!C470,"missing: not provided"),EXACT(metadata!C470,"missing: restricted access"))),AND(IF(metadata!C470="",FALSE,ISNUMBER(VALUE(metadata!C470))),metadata!C470&gt;0))</f>
        <v>0</v>
      </c>
      <c r="AF470" t="b">
        <f>AND(IF(metadata!D470="",FALSE,TRUE),EXACT(metadata!D470,"missing: not provided"))</f>
        <v>0</v>
      </c>
      <c r="AG470" t="b">
        <f>AND(IF(metadata!E470="",FALSE,TRUE),EXACT(metadata!E470,"Host-associated"))</f>
        <v>0</v>
      </c>
      <c r="AH470" t="b">
        <f>AND(IF(metadata!F470="",FALSE,TRUE),OR(EXACT(metadata!F470,"Animal"),EXACT(metadata!F470,"Fungus"),EXACT(metadata!F470,"Plant")))</f>
        <v>0</v>
      </c>
      <c r="AI470" t="b">
        <f>AND(IF(metadata!G470="",FALSE,TRUE),OR(EXACT(metadata!G470,"Plant secretion"),EXACT(metadata!G470,"Plant rhizosphere"),EXACT(metadata!G470,"Plant surface"),EXACT(metadata!G470,"Plant corpus"),EXACT(metadata!G470,"Fungus surface"),EXACT(metadata!G470,"Fungus corpus"),EXACT(metadata!G470,"Animal surface"),EXACT(metadata!G470,"Animal proximal gut"),EXACT(metadata!G470,"Animal corpus"),EXACT(metadata!G470,"Animal distal gut"),EXACT(metadata!G470,"Animal secretion")))</f>
        <v>0</v>
      </c>
      <c r="AJ470" t="b">
        <f>OR(AND(IF(metadata!H470="",FALSE,TRUE),OR(EXACT(metadata!H470,"missing: not collected"),EXACT(metadata!H470,"missing: not provided"),EXACT(metadata!H470,"missing: restricted access"))),AND(IF(metadata!H470="",FALSE,TRUE),OR(EXACT(metadata!H470,"organism-associated habitat"),EXACT(metadata!H470,"plant-associated habitat"),EXACT(metadata!H470,"animal-associated habitat"),EXACT(metadata!H470,"insecta-associated habitat"),EXACT(metadata!H470,"mammalia-associated habitat"),EXACT(metadata!H470,"human-associated habitat"),EXACT(metadata!H470,"livestock-associated habitat"))))</f>
        <v>0</v>
      </c>
      <c r="AK470" t="b">
        <f>AND(IF(metadata!I470="",FALSE,TRUE),EXACT(metadata!I470,"host-associated"))</f>
        <v>0</v>
      </c>
      <c r="AL470" t="b">
        <f>OR(AND(IF(metadata!J470="",FALSE,TRUE),OR(EXACT(metadata!J470,"not applicable"),EXACT(metadata!J470,"missing: not collected"),EXACT(metadata!J470,"missing: not provided"),EXACT(metadata!J470,"missing: restricted access"))),AND(IF(metadata!J470="",FALSE,ISNUMBER(VALUE(metadata!J470))),metadata!J470&gt;0))</f>
        <v>0</v>
      </c>
      <c r="AM470" t="b">
        <f>AND(IF(metadata!K470="",FALSE,TRUE),EXACT(metadata!K470,"missing: not provided"))</f>
        <v>0</v>
      </c>
      <c r="AN470" t="b">
        <f>IF(metadata!L470="",FALSE,TRUE)</f>
        <v>0</v>
      </c>
      <c r="AO470" t="b">
        <f>IF(metadata!M470="",FALSE,TRUE)</f>
        <v>0</v>
      </c>
      <c r="AP470" t="b">
        <f>OR(AND(IF(metadata!N470="",FALSE,TRUE),OR(EXACT(metadata!N470,"not applicable"),EXACT(metadata!N470,"missing: not collected"),EXACT(metadata!N470,"missing: not provided"))),AND(IF(metadata!N470="",FALSE,IF(ISERROR(INT(metadata!N470)),FALSE,INT(metadata!N470)=metadata!N470)),metadata!N470&gt;0))</f>
        <v>0</v>
      </c>
      <c r="AQ470" t="b">
        <f>AND(IF(metadata!O470="",FALSE,TRUE),EXACT(metadata!O470,"Not applicable"))</f>
        <v>0</v>
      </c>
      <c r="AR470" t="b">
        <f>OR(AND(IF(metadata!P470="",FALSE,TRUE),OR(EXACT(metadata!P470,"not applicable"),EXACT(metadata!P470,"missing: not collected"),EXACT(metadata!P470,"missing: not provided"),EXACT(metadata!P470,"missing: restricted access"))),IF(metadata!P470="",FALSE,IF(ISERROR(INT(metadata!P470)),FALSE,INT(metadata!P470)=metadata!P470)))</f>
        <v>0</v>
      </c>
      <c r="AS470" t="b">
        <f>AND(IF(metadata!Q470="",FALSE,TRUE),EXACT(metadata!Q470,"Not applicable"))</f>
        <v>0</v>
      </c>
      <c r="AT470" t="b">
        <f>OR(AND(IF(metadata!R470="",FALSE,TRUE),OR(EXACT(metadata!R470,"not applicable"),EXACT(metadata!R470,"missing: not collected"),EXACT(metadata!R470,"missing: not provided"),EXACT(metadata!R470,"missing: restricted access"))),AND(IF(metadata!R470="",FALSE,ISNUMBER(VALUE(metadata!R470))),metadata!R470&gt;0))</f>
        <v>0</v>
      </c>
      <c r="AU470" t="b">
        <f>AND(IF(metadata!S470="",FALSE,TRUE),EXACT(metadata!S470,"missing: not provided"))</f>
        <v>0</v>
      </c>
    </row>
    <row r="471" spans="1:47" x14ac:dyDescent="0.2">
      <c r="A471" s="5" t="str">
        <f ca="1">IF(B471=" "," ",HYPERLINK(CONCATENATE("#metadata!",ADDRESS(INDEX($Y$2:$Y$1001,MATCH(ROWS($W$2:W471),$W$2:$W$1001,0),0),1)),INDEX($AB$2:$AB$1001,MATCH(ROWS($W$2:W471),$W$2:$W$1001,0),0)))</f>
        <v xml:space="preserve"> </v>
      </c>
      <c r="B471" s="4" t="str">
        <f ca="1">IF(OR(INDEX($X$2:$X$1001,MATCH(ROWS($W$2:W471),$W$2:$W$1001,0),1)&gt;=100000,INDEX($AD$1005:$AU$1005,1,MATCH(COLUMNS($AD$1006:AD1006),$AD$1006:$AU$1006,0))&gt;=100000), " ",IF(INDEX($AD$2:$AU$1001,MATCH(ROWS($W$2:W471),$W$2:$W$1001,0),MATCH(COLUMNS($AD$1006:AD1006),$AD$1006:$AU$1006,0)), HYPERLINK("#",""), HYPERLINK(CONCATENATE("#metadata!", ADDRESS(INDEX($Y$2:$Y$1001,MATCH(ROWS($W$2:W471),$W$2:$W$1001,0),0), INDEX($AD$1004:$AU$1004,1,MATCH(COLUMNS($AD$1006:AD1006),$AD$1006:$AU$1006,0)))),"Fix")))</f>
        <v xml:space="preserve"> </v>
      </c>
      <c r="C471" s="4" t="str">
        <f ca="1">IF(OR(INDEX($X$2:$X$1001,MATCH(ROWS($W$2:W471),$W$2:$W$1001,0),1)&gt;=100000,INDEX($AD$1005:$AU$1005,1,MATCH(COLUMNS($AD$1006:AE1006),$AD$1006:$AU$1006,0))&gt;=100000), " ",IF(INDEX($AD$2:$AU$1001,MATCH(ROWS($W$2:W471),$W$2:$W$1001,0),MATCH(COLUMNS($AD$1006:AE1006),$AD$1006:$AU$1006,0)), HYPERLINK("#",""), HYPERLINK(CONCATENATE("#metadata!", ADDRESS(INDEX($Y$2:$Y$1001,MATCH(ROWS($W$2:W471),$W$2:$W$1001,0),0), INDEX($AD$1004:$AU$1004,1,MATCH(COLUMNS($AD$1006:AE1006),$AD$1006:$AU$1006,0)))),"Fix")))</f>
        <v xml:space="preserve"> </v>
      </c>
      <c r="D471" s="4" t="str">
        <f ca="1">IF(OR(INDEX($X$2:$X$1001,MATCH(ROWS($W$2:W471),$W$2:$W$1001,0),1)&gt;=100000,INDEX($AD$1005:$AU$1005,1,MATCH(COLUMNS($AD$1006:AF1006),$AD$1006:$AU$1006,0))&gt;=100000), " ",IF(INDEX($AD$2:$AU$1001,MATCH(ROWS($W$2:W471),$W$2:$W$1001,0),MATCH(COLUMNS($AD$1006:AF1006),$AD$1006:$AU$1006,0)), HYPERLINK("#",""), HYPERLINK(CONCATENATE("#metadata!", ADDRESS(INDEX($Y$2:$Y$1001,MATCH(ROWS($W$2:W471),$W$2:$W$1001,0),0), INDEX($AD$1004:$AU$1004,1,MATCH(COLUMNS($AD$1006:AF1006),$AD$1006:$AU$1006,0)))),"Fix")))</f>
        <v xml:space="preserve"> </v>
      </c>
      <c r="E471" s="4" t="str">
        <f ca="1">IF(OR(INDEX($X$2:$X$1001,MATCH(ROWS($W$2:W471),$W$2:$W$1001,0),1)&gt;=100000,INDEX($AD$1005:$AU$1005,1,MATCH(COLUMNS($AD$1006:AG1006),$AD$1006:$AU$1006,0))&gt;=100000), " ",IF(INDEX($AD$2:$AU$1001,MATCH(ROWS($W$2:W471),$W$2:$W$1001,0),MATCH(COLUMNS($AD$1006:AG1006),$AD$1006:$AU$1006,0)), HYPERLINK("#",""), HYPERLINK(CONCATENATE("#metadata!", ADDRESS(INDEX($Y$2:$Y$1001,MATCH(ROWS($W$2:W471),$W$2:$W$1001,0),0), INDEX($AD$1004:$AU$1004,1,MATCH(COLUMNS($AD$1006:AG1006),$AD$1006:$AU$1006,0)))),"Fix")))</f>
        <v xml:space="preserve"> </v>
      </c>
      <c r="F471" s="4" t="str">
        <f ca="1">IF(OR(INDEX($X$2:$X$1001,MATCH(ROWS($W$2:W471),$W$2:$W$1001,0),1)&gt;=100000,INDEX($AD$1005:$AU$1005,1,MATCH(COLUMNS($AD$1006:AH1006),$AD$1006:$AU$1006,0))&gt;=100000), " ",IF(INDEX($AD$2:$AU$1001,MATCH(ROWS($W$2:W471),$W$2:$W$1001,0),MATCH(COLUMNS($AD$1006:AH1006),$AD$1006:$AU$1006,0)), HYPERLINK("#",""), HYPERLINK(CONCATENATE("#metadata!", ADDRESS(INDEX($Y$2:$Y$1001,MATCH(ROWS($W$2:W471),$W$2:$W$1001,0),0), INDEX($AD$1004:$AU$1004,1,MATCH(COLUMNS($AD$1006:AH1006),$AD$1006:$AU$1006,0)))),"Fix")))</f>
        <v xml:space="preserve"> </v>
      </c>
      <c r="G471" s="4" t="str">
        <f ca="1">IF(OR(INDEX($X$2:$X$1001,MATCH(ROWS($W$2:W471),$W$2:$W$1001,0),1)&gt;=100000,INDEX($AD$1005:$AU$1005,1,MATCH(COLUMNS($AD$1006:AI1006),$AD$1006:$AU$1006,0))&gt;=100000), " ",IF(INDEX($AD$2:$AU$1001,MATCH(ROWS($W$2:W471),$W$2:$W$1001,0),MATCH(COLUMNS($AD$1006:AI1006),$AD$1006:$AU$1006,0)), HYPERLINK("#",""), HYPERLINK(CONCATENATE("#metadata!", ADDRESS(INDEX($Y$2:$Y$1001,MATCH(ROWS($W$2:W471),$W$2:$W$1001,0),0), INDEX($AD$1004:$AU$1004,1,MATCH(COLUMNS($AD$1006:AI1006),$AD$1006:$AU$1006,0)))),"Fix")))</f>
        <v xml:space="preserve"> </v>
      </c>
      <c r="H471" s="4" t="str">
        <f ca="1">IF(OR(INDEX($X$2:$X$1001,MATCH(ROWS($W$2:W471),$W$2:$W$1001,0),1)&gt;=100000,INDEX($AD$1005:$AU$1005,1,MATCH(COLUMNS($AD$1006:AJ1006),$AD$1006:$AU$1006,0))&gt;=100000), " ",IF(INDEX($AD$2:$AU$1001,MATCH(ROWS($W$2:W471),$W$2:$W$1001,0),MATCH(COLUMNS($AD$1006:AJ1006),$AD$1006:$AU$1006,0)), HYPERLINK("#",""), HYPERLINK(CONCATENATE("#metadata!", ADDRESS(INDEX($Y$2:$Y$1001,MATCH(ROWS($W$2:W471),$W$2:$W$1001,0),0), INDEX($AD$1004:$AU$1004,1,MATCH(COLUMNS($AD$1006:AJ1006),$AD$1006:$AU$1006,0)))),"Fix")))</f>
        <v xml:space="preserve"> </v>
      </c>
      <c r="I471" s="4" t="str">
        <f ca="1">IF(OR(INDEX($X$2:$X$1001,MATCH(ROWS($W$2:W471),$W$2:$W$1001,0),1)&gt;=100000,INDEX($AD$1005:$AU$1005,1,MATCH(COLUMNS($AD$1006:AK1006),$AD$1006:$AU$1006,0))&gt;=100000), " ",IF(INDEX($AD$2:$AU$1001,MATCH(ROWS($W$2:W471),$W$2:$W$1001,0),MATCH(COLUMNS($AD$1006:AK1006),$AD$1006:$AU$1006,0)), HYPERLINK("#",""), HYPERLINK(CONCATENATE("#metadata!", ADDRESS(INDEX($Y$2:$Y$1001,MATCH(ROWS($W$2:W471),$W$2:$W$1001,0),0), INDEX($AD$1004:$AU$1004,1,MATCH(COLUMNS($AD$1006:AK1006),$AD$1006:$AU$1006,0)))),"Fix")))</f>
        <v xml:space="preserve"> </v>
      </c>
      <c r="J471" s="4" t="str">
        <f ca="1">IF(OR(INDEX($X$2:$X$1001,MATCH(ROWS($W$2:W471),$W$2:$W$1001,0),1)&gt;=100000,INDEX($AD$1005:$AU$1005,1,MATCH(COLUMNS($AD$1006:AL1006),$AD$1006:$AU$1006,0))&gt;=100000), " ",IF(INDEX($AD$2:$AU$1001,MATCH(ROWS($W$2:W471),$W$2:$W$1001,0),MATCH(COLUMNS($AD$1006:AL1006),$AD$1006:$AU$1006,0)), HYPERLINK("#",""), HYPERLINK(CONCATENATE("#metadata!", ADDRESS(INDEX($Y$2:$Y$1001,MATCH(ROWS($W$2:W471),$W$2:$W$1001,0),0), INDEX($AD$1004:$AU$1004,1,MATCH(COLUMNS($AD$1006:AL1006),$AD$1006:$AU$1006,0)))),"Fix")))</f>
        <v xml:space="preserve"> </v>
      </c>
      <c r="K471" s="4" t="str">
        <f ca="1">IF(OR(INDEX($X$2:$X$1001,MATCH(ROWS($W$2:W471),$W$2:$W$1001,0),1)&gt;=100000,INDEX($AD$1005:$AU$1005,1,MATCH(COLUMNS($AD$1006:AM1006),$AD$1006:$AU$1006,0))&gt;=100000), " ",IF(INDEX($AD$2:$AU$1001,MATCH(ROWS($W$2:W471),$W$2:$W$1001,0),MATCH(COLUMNS($AD$1006:AM1006),$AD$1006:$AU$1006,0)), HYPERLINK("#",""), HYPERLINK(CONCATENATE("#metadata!", ADDRESS(INDEX($Y$2:$Y$1001,MATCH(ROWS($W$2:W471),$W$2:$W$1001,0),0), INDEX($AD$1004:$AU$1004,1,MATCH(COLUMNS($AD$1006:AM1006),$AD$1006:$AU$1006,0)))),"Fix")))</f>
        <v xml:space="preserve"> </v>
      </c>
      <c r="L471" s="4" t="str">
        <f ca="1">IF(OR(INDEX($X$2:$X$1001,MATCH(ROWS($W$2:W471),$W$2:$W$1001,0),1)&gt;=100000,INDEX($AD$1005:$AU$1005,1,MATCH(COLUMNS($AD$1006:AN1006),$AD$1006:$AU$1006,0))&gt;=100000), " ",IF(INDEX($AD$2:$AU$1001,MATCH(ROWS($W$2:W471),$W$2:$W$1001,0),MATCH(COLUMNS($AD$1006:AN1006),$AD$1006:$AU$1006,0)), HYPERLINK("#",""), HYPERLINK(CONCATENATE("#metadata!", ADDRESS(INDEX($Y$2:$Y$1001,MATCH(ROWS($W$2:W471),$W$2:$W$1001,0),0), INDEX($AD$1004:$AU$1004,1,MATCH(COLUMNS($AD$1006:AN1006),$AD$1006:$AU$1006,0)))),"Fix")))</f>
        <v xml:space="preserve"> </v>
      </c>
      <c r="M471" s="4" t="str">
        <f ca="1">IF(OR(INDEX($X$2:$X$1001,MATCH(ROWS($W$2:W471),$W$2:$W$1001,0),1)&gt;=100000,INDEX($AD$1005:$AU$1005,1,MATCH(COLUMNS($AD$1006:AO1006),$AD$1006:$AU$1006,0))&gt;=100000), " ",IF(INDEX($AD$2:$AU$1001,MATCH(ROWS($W$2:W471),$W$2:$W$1001,0),MATCH(COLUMNS($AD$1006:AO1006),$AD$1006:$AU$1006,0)), HYPERLINK("#",""), HYPERLINK(CONCATENATE("#metadata!", ADDRESS(INDEX($Y$2:$Y$1001,MATCH(ROWS($W$2:W471),$W$2:$W$1001,0),0), INDEX($AD$1004:$AU$1004,1,MATCH(COLUMNS($AD$1006:AO1006),$AD$1006:$AU$1006,0)))),"Fix")))</f>
        <v xml:space="preserve"> </v>
      </c>
      <c r="N471" s="4" t="str">
        <f ca="1">IF(OR(INDEX($X$2:$X$1001,MATCH(ROWS($W$2:W471),$W$2:$W$1001,0),1)&gt;=100000,INDEX($AD$1005:$AU$1005,1,MATCH(COLUMNS($AD$1006:AP1006),$AD$1006:$AU$1006,0))&gt;=100000), " ",IF(INDEX($AD$2:$AU$1001,MATCH(ROWS($W$2:W471),$W$2:$W$1001,0),MATCH(COLUMNS($AD$1006:AP1006),$AD$1006:$AU$1006,0)), HYPERLINK("#",""), HYPERLINK(CONCATENATE("#metadata!", ADDRESS(INDEX($Y$2:$Y$1001,MATCH(ROWS($W$2:W471),$W$2:$W$1001,0),0), INDEX($AD$1004:$AU$1004,1,MATCH(COLUMNS($AD$1006:AP1006),$AD$1006:$AU$1006,0)))),"Fix")))</f>
        <v xml:space="preserve"> </v>
      </c>
      <c r="O471" s="4" t="str">
        <f ca="1">IF(OR(INDEX($X$2:$X$1001,MATCH(ROWS($W$2:W471),$W$2:$W$1001,0),1)&gt;=100000,INDEX($AD$1005:$AU$1005,1,MATCH(COLUMNS($AD$1006:AQ1006),$AD$1006:$AU$1006,0))&gt;=100000), " ",IF(INDEX($AD$2:$AU$1001,MATCH(ROWS($W$2:W471),$W$2:$W$1001,0),MATCH(COLUMNS($AD$1006:AQ1006),$AD$1006:$AU$1006,0)), HYPERLINK("#",""), HYPERLINK(CONCATENATE("#metadata!", ADDRESS(INDEX($Y$2:$Y$1001,MATCH(ROWS($W$2:W471),$W$2:$W$1001,0),0), INDEX($AD$1004:$AU$1004,1,MATCH(COLUMNS($AD$1006:AQ1006),$AD$1006:$AU$1006,0)))),"Fix")))</f>
        <v xml:space="preserve"> </v>
      </c>
      <c r="P471" s="4" t="str">
        <f ca="1">IF(OR(INDEX($X$2:$X$1001,MATCH(ROWS($W$2:W471),$W$2:$W$1001,0),1)&gt;=100000,INDEX($AD$1005:$AU$1005,1,MATCH(COLUMNS($AD$1006:AR1006),$AD$1006:$AU$1006,0))&gt;=100000), " ",IF(INDEX($AD$2:$AU$1001,MATCH(ROWS($W$2:W471),$W$2:$W$1001,0),MATCH(COLUMNS($AD$1006:AR1006),$AD$1006:$AU$1006,0)), HYPERLINK("#",""), HYPERLINK(CONCATENATE("#metadata!", ADDRESS(INDEX($Y$2:$Y$1001,MATCH(ROWS($W$2:W471),$W$2:$W$1001,0),0), INDEX($AD$1004:$AU$1004,1,MATCH(COLUMNS($AD$1006:AR1006),$AD$1006:$AU$1006,0)))),"Fix")))</f>
        <v xml:space="preserve"> </v>
      </c>
      <c r="Q471" s="4" t="str">
        <f ca="1">IF(OR(INDEX($X$2:$X$1001,MATCH(ROWS($W$2:W471),$W$2:$W$1001,0),1)&gt;=100000,INDEX($AD$1005:$AU$1005,1,MATCH(COLUMNS($AD$1006:AS1006),$AD$1006:$AU$1006,0))&gt;=100000), " ",IF(INDEX($AD$2:$AU$1001,MATCH(ROWS($W$2:W471),$W$2:$W$1001,0),MATCH(COLUMNS($AD$1006:AS1006),$AD$1006:$AU$1006,0)), HYPERLINK("#",""), HYPERLINK(CONCATENATE("#metadata!", ADDRESS(INDEX($Y$2:$Y$1001,MATCH(ROWS($W$2:W471),$W$2:$W$1001,0),0), INDEX($AD$1004:$AU$1004,1,MATCH(COLUMNS($AD$1006:AS1006),$AD$1006:$AU$1006,0)))),"Fix")))</f>
        <v xml:space="preserve"> </v>
      </c>
      <c r="R471" s="4" t="str">
        <f ca="1">IF(OR(INDEX($X$2:$X$1001,MATCH(ROWS($W$2:W471),$W$2:$W$1001,0),1)&gt;=100000,INDEX($AD$1005:$AU$1005,1,MATCH(COLUMNS($AD$1006:AT1006),$AD$1006:$AU$1006,0))&gt;=100000), " ",IF(INDEX($AD$2:$AU$1001,MATCH(ROWS($W$2:W471),$W$2:$W$1001,0),MATCH(COLUMNS($AD$1006:AT1006),$AD$1006:$AU$1006,0)), HYPERLINK("#",""), HYPERLINK(CONCATENATE("#metadata!", ADDRESS(INDEX($Y$2:$Y$1001,MATCH(ROWS($W$2:W471),$W$2:$W$1001,0),0), INDEX($AD$1004:$AU$1004,1,MATCH(COLUMNS($AD$1006:AT1006),$AD$1006:$AU$1006,0)))),"Fix")))</f>
        <v xml:space="preserve"> </v>
      </c>
      <c r="S471" s="4" t="str">
        <f ca="1">IF(OR(INDEX($X$2:$X$1001,MATCH(ROWS($W$2:W471),$W$2:$W$1001,0),1)&gt;=100000,INDEX($AD$1005:$AU$1005,1,MATCH(COLUMNS($AD$1006:AU1006),$AD$1006:$AU$1006,0))&gt;=100000), " ",IF(INDEX($AD$2:$AU$1001,MATCH(ROWS($W$2:W471),$W$2:$W$1001,0),MATCH(COLUMNS($AD$1006:AU1006),$AD$1006:$AU$1006,0)), HYPERLINK("#",""), HYPERLINK(CONCATENATE("#metadata!", ADDRESS(INDEX($Y$2:$Y$1001,MATCH(ROWS($W$2:W471),$W$2:$W$1001,0),0), INDEX($AD$1004:$AU$1004,1,MATCH(COLUMNS($AD$1006:AU1006),$AD$1006:$AU$1006,0)))),"Fix")))</f>
        <v xml:space="preserve"> </v>
      </c>
      <c r="W471">
        <v>470</v>
      </c>
      <c r="X471">
        <v>100471</v>
      </c>
      <c r="Y471">
        <v>471</v>
      </c>
      <c r="Z471" t="b">
        <f t="shared" si="7"/>
        <v>1</v>
      </c>
      <c r="AA471" t="b">
        <f>COUNTBLANK(metadata!B471:S471)=COLUMNS(metadata!B471:S471)</f>
        <v>1</v>
      </c>
      <c r="AB471" t="str">
        <v/>
      </c>
      <c r="AD471" t="b">
        <f ca="1">AND(IF(metadata!B471="",FALSE,TRUE),COUNTIF(metadata!B:B, metadata!B471) = 1,NOT(ISERROR(SUMPRODUCT(SEARCH(MID(metadata!B471,ROW(INDIRECT("1:"&amp;LEN(metadata!B471))), 1),"0123456789abcdefghijklmnopqrstuvwxyzABCDEFGHIJKLMNOPQRSTUVWXYZ.")))))</f>
        <v>0</v>
      </c>
      <c r="AE471" t="b">
        <f>OR(AND(IF(metadata!C471="",FALSE,TRUE),OR(EXACT(metadata!C471,"not applicable"),EXACT(metadata!C471,"missing: not collected"),EXACT(metadata!C471,"missing: not provided"),EXACT(metadata!C471,"missing: restricted access"))),AND(IF(metadata!C471="",FALSE,ISNUMBER(VALUE(metadata!C471))),metadata!C471&gt;0))</f>
        <v>0</v>
      </c>
      <c r="AF471" t="b">
        <f>AND(IF(metadata!D471="",FALSE,TRUE),EXACT(metadata!D471,"missing: not provided"))</f>
        <v>0</v>
      </c>
      <c r="AG471" t="b">
        <f>AND(IF(metadata!E471="",FALSE,TRUE),EXACT(metadata!E471,"Host-associated"))</f>
        <v>0</v>
      </c>
      <c r="AH471" t="b">
        <f>AND(IF(metadata!F471="",FALSE,TRUE),OR(EXACT(metadata!F471,"Animal"),EXACT(metadata!F471,"Fungus"),EXACT(metadata!F471,"Plant")))</f>
        <v>0</v>
      </c>
      <c r="AI471" t="b">
        <f>AND(IF(metadata!G471="",FALSE,TRUE),OR(EXACT(metadata!G471,"Plant secretion"),EXACT(metadata!G471,"Plant rhizosphere"),EXACT(metadata!G471,"Plant surface"),EXACT(metadata!G471,"Plant corpus"),EXACT(metadata!G471,"Fungus surface"),EXACT(metadata!G471,"Fungus corpus"),EXACT(metadata!G471,"Animal surface"),EXACT(metadata!G471,"Animal proximal gut"),EXACT(metadata!G471,"Animal corpus"),EXACT(metadata!G471,"Animal distal gut"),EXACT(metadata!G471,"Animal secretion")))</f>
        <v>0</v>
      </c>
      <c r="AJ471" t="b">
        <f>OR(AND(IF(metadata!H471="",FALSE,TRUE),OR(EXACT(metadata!H471,"missing: not collected"),EXACT(metadata!H471,"missing: not provided"),EXACT(metadata!H471,"missing: restricted access"))),AND(IF(metadata!H471="",FALSE,TRUE),OR(EXACT(metadata!H471,"organism-associated habitat"),EXACT(metadata!H471,"plant-associated habitat"),EXACT(metadata!H471,"animal-associated habitat"),EXACT(metadata!H471,"insecta-associated habitat"),EXACT(metadata!H471,"mammalia-associated habitat"),EXACT(metadata!H471,"human-associated habitat"),EXACT(metadata!H471,"livestock-associated habitat"))))</f>
        <v>0</v>
      </c>
      <c r="AK471" t="b">
        <f>AND(IF(metadata!I471="",FALSE,TRUE),EXACT(metadata!I471,"host-associated"))</f>
        <v>0</v>
      </c>
      <c r="AL471" t="b">
        <f>OR(AND(IF(metadata!J471="",FALSE,TRUE),OR(EXACT(metadata!J471,"not applicable"),EXACT(metadata!J471,"missing: not collected"),EXACT(metadata!J471,"missing: not provided"),EXACT(metadata!J471,"missing: restricted access"))),AND(IF(metadata!J471="",FALSE,ISNUMBER(VALUE(metadata!J471))),metadata!J471&gt;0))</f>
        <v>0</v>
      </c>
      <c r="AM471" t="b">
        <f>AND(IF(metadata!K471="",FALSE,TRUE),EXACT(metadata!K471,"missing: not provided"))</f>
        <v>0</v>
      </c>
      <c r="AN471" t="b">
        <f>IF(metadata!L471="",FALSE,TRUE)</f>
        <v>0</v>
      </c>
      <c r="AO471" t="b">
        <f>IF(metadata!M471="",FALSE,TRUE)</f>
        <v>0</v>
      </c>
      <c r="AP471" t="b">
        <f>OR(AND(IF(metadata!N471="",FALSE,TRUE),OR(EXACT(metadata!N471,"not applicable"),EXACT(metadata!N471,"missing: not collected"),EXACT(metadata!N471,"missing: not provided"))),AND(IF(metadata!N471="",FALSE,IF(ISERROR(INT(metadata!N471)),FALSE,INT(metadata!N471)=metadata!N471)),metadata!N471&gt;0))</f>
        <v>0</v>
      </c>
      <c r="AQ471" t="b">
        <f>AND(IF(metadata!O471="",FALSE,TRUE),EXACT(metadata!O471,"Not applicable"))</f>
        <v>0</v>
      </c>
      <c r="AR471" t="b">
        <f>OR(AND(IF(metadata!P471="",FALSE,TRUE),OR(EXACT(metadata!P471,"not applicable"),EXACT(metadata!P471,"missing: not collected"),EXACT(metadata!P471,"missing: not provided"),EXACT(metadata!P471,"missing: restricted access"))),IF(metadata!P471="",FALSE,IF(ISERROR(INT(metadata!P471)),FALSE,INT(metadata!P471)=metadata!P471)))</f>
        <v>0</v>
      </c>
      <c r="AS471" t="b">
        <f>AND(IF(metadata!Q471="",FALSE,TRUE),EXACT(metadata!Q471,"Not applicable"))</f>
        <v>0</v>
      </c>
      <c r="AT471" t="b">
        <f>OR(AND(IF(metadata!R471="",FALSE,TRUE),OR(EXACT(metadata!R471,"not applicable"),EXACT(metadata!R471,"missing: not collected"),EXACT(metadata!R471,"missing: not provided"),EXACT(metadata!R471,"missing: restricted access"))),AND(IF(metadata!R471="",FALSE,ISNUMBER(VALUE(metadata!R471))),metadata!R471&gt;0))</f>
        <v>0</v>
      </c>
      <c r="AU471" t="b">
        <f>AND(IF(metadata!S471="",FALSE,TRUE),EXACT(metadata!S471,"missing: not provided"))</f>
        <v>0</v>
      </c>
    </row>
    <row r="472" spans="1:47" x14ac:dyDescent="0.2">
      <c r="A472" s="5" t="str">
        <f ca="1">IF(B472=" "," ",HYPERLINK(CONCATENATE("#metadata!",ADDRESS(INDEX($Y$2:$Y$1001,MATCH(ROWS($W$2:W472),$W$2:$W$1001,0),0),1)),INDEX($AB$2:$AB$1001,MATCH(ROWS($W$2:W472),$W$2:$W$1001,0),0)))</f>
        <v xml:space="preserve"> </v>
      </c>
      <c r="B472" s="4" t="str">
        <f ca="1">IF(OR(INDEX($X$2:$X$1001,MATCH(ROWS($W$2:W472),$W$2:$W$1001,0),1)&gt;=100000,INDEX($AD$1005:$AU$1005,1,MATCH(COLUMNS($AD$1006:AD1006),$AD$1006:$AU$1006,0))&gt;=100000), " ",IF(INDEX($AD$2:$AU$1001,MATCH(ROWS($W$2:W472),$W$2:$W$1001,0),MATCH(COLUMNS($AD$1006:AD1006),$AD$1006:$AU$1006,0)), HYPERLINK("#",""), HYPERLINK(CONCATENATE("#metadata!", ADDRESS(INDEX($Y$2:$Y$1001,MATCH(ROWS($W$2:W472),$W$2:$W$1001,0),0), INDEX($AD$1004:$AU$1004,1,MATCH(COLUMNS($AD$1006:AD1006),$AD$1006:$AU$1006,0)))),"Fix")))</f>
        <v xml:space="preserve"> </v>
      </c>
      <c r="C472" s="4" t="str">
        <f ca="1">IF(OR(INDEX($X$2:$X$1001,MATCH(ROWS($W$2:W472),$W$2:$W$1001,0),1)&gt;=100000,INDEX($AD$1005:$AU$1005,1,MATCH(COLUMNS($AD$1006:AE1006),$AD$1006:$AU$1006,0))&gt;=100000), " ",IF(INDEX($AD$2:$AU$1001,MATCH(ROWS($W$2:W472),$W$2:$W$1001,0),MATCH(COLUMNS($AD$1006:AE1006),$AD$1006:$AU$1006,0)), HYPERLINK("#",""), HYPERLINK(CONCATENATE("#metadata!", ADDRESS(INDEX($Y$2:$Y$1001,MATCH(ROWS($W$2:W472),$W$2:$W$1001,0),0), INDEX($AD$1004:$AU$1004,1,MATCH(COLUMNS($AD$1006:AE1006),$AD$1006:$AU$1006,0)))),"Fix")))</f>
        <v xml:space="preserve"> </v>
      </c>
      <c r="D472" s="4" t="str">
        <f ca="1">IF(OR(INDEX($X$2:$X$1001,MATCH(ROWS($W$2:W472),$W$2:$W$1001,0),1)&gt;=100000,INDEX($AD$1005:$AU$1005,1,MATCH(COLUMNS($AD$1006:AF1006),$AD$1006:$AU$1006,0))&gt;=100000), " ",IF(INDEX($AD$2:$AU$1001,MATCH(ROWS($W$2:W472),$W$2:$W$1001,0),MATCH(COLUMNS($AD$1006:AF1006),$AD$1006:$AU$1006,0)), HYPERLINK("#",""), HYPERLINK(CONCATENATE("#metadata!", ADDRESS(INDEX($Y$2:$Y$1001,MATCH(ROWS($W$2:W472),$W$2:$W$1001,0),0), INDEX($AD$1004:$AU$1004,1,MATCH(COLUMNS($AD$1006:AF1006),$AD$1006:$AU$1006,0)))),"Fix")))</f>
        <v xml:space="preserve"> </v>
      </c>
      <c r="E472" s="4" t="str">
        <f ca="1">IF(OR(INDEX($X$2:$X$1001,MATCH(ROWS($W$2:W472),$W$2:$W$1001,0),1)&gt;=100000,INDEX($AD$1005:$AU$1005,1,MATCH(COLUMNS($AD$1006:AG1006),$AD$1006:$AU$1006,0))&gt;=100000), " ",IF(INDEX($AD$2:$AU$1001,MATCH(ROWS($W$2:W472),$W$2:$W$1001,0),MATCH(COLUMNS($AD$1006:AG1006),$AD$1006:$AU$1006,0)), HYPERLINK("#",""), HYPERLINK(CONCATENATE("#metadata!", ADDRESS(INDEX($Y$2:$Y$1001,MATCH(ROWS($W$2:W472),$W$2:$W$1001,0),0), INDEX($AD$1004:$AU$1004,1,MATCH(COLUMNS($AD$1006:AG1006),$AD$1006:$AU$1006,0)))),"Fix")))</f>
        <v xml:space="preserve"> </v>
      </c>
      <c r="F472" s="4" t="str">
        <f ca="1">IF(OR(INDEX($X$2:$X$1001,MATCH(ROWS($W$2:W472),$W$2:$W$1001,0),1)&gt;=100000,INDEX($AD$1005:$AU$1005,1,MATCH(COLUMNS($AD$1006:AH1006),$AD$1006:$AU$1006,0))&gt;=100000), " ",IF(INDEX($AD$2:$AU$1001,MATCH(ROWS($W$2:W472),$W$2:$W$1001,0),MATCH(COLUMNS($AD$1006:AH1006),$AD$1006:$AU$1006,0)), HYPERLINK("#",""), HYPERLINK(CONCATENATE("#metadata!", ADDRESS(INDEX($Y$2:$Y$1001,MATCH(ROWS($W$2:W472),$W$2:$W$1001,0),0), INDEX($AD$1004:$AU$1004,1,MATCH(COLUMNS($AD$1006:AH1006),$AD$1006:$AU$1006,0)))),"Fix")))</f>
        <v xml:space="preserve"> </v>
      </c>
      <c r="G472" s="4" t="str">
        <f ca="1">IF(OR(INDEX($X$2:$X$1001,MATCH(ROWS($W$2:W472),$W$2:$W$1001,0),1)&gt;=100000,INDEX($AD$1005:$AU$1005,1,MATCH(COLUMNS($AD$1006:AI1006),$AD$1006:$AU$1006,0))&gt;=100000), " ",IF(INDEX($AD$2:$AU$1001,MATCH(ROWS($W$2:W472),$W$2:$W$1001,0),MATCH(COLUMNS($AD$1006:AI1006),$AD$1006:$AU$1006,0)), HYPERLINK("#",""), HYPERLINK(CONCATENATE("#metadata!", ADDRESS(INDEX($Y$2:$Y$1001,MATCH(ROWS($W$2:W472),$W$2:$W$1001,0),0), INDEX($AD$1004:$AU$1004,1,MATCH(COLUMNS($AD$1006:AI1006),$AD$1006:$AU$1006,0)))),"Fix")))</f>
        <v xml:space="preserve"> </v>
      </c>
      <c r="H472" s="4" t="str">
        <f ca="1">IF(OR(INDEX($X$2:$X$1001,MATCH(ROWS($W$2:W472),$W$2:$W$1001,0),1)&gt;=100000,INDEX($AD$1005:$AU$1005,1,MATCH(COLUMNS($AD$1006:AJ1006),$AD$1006:$AU$1006,0))&gt;=100000), " ",IF(INDEX($AD$2:$AU$1001,MATCH(ROWS($W$2:W472),$W$2:$W$1001,0),MATCH(COLUMNS($AD$1006:AJ1006),$AD$1006:$AU$1006,0)), HYPERLINK("#",""), HYPERLINK(CONCATENATE("#metadata!", ADDRESS(INDEX($Y$2:$Y$1001,MATCH(ROWS($W$2:W472),$W$2:$W$1001,0),0), INDEX($AD$1004:$AU$1004,1,MATCH(COLUMNS($AD$1006:AJ1006),$AD$1006:$AU$1006,0)))),"Fix")))</f>
        <v xml:space="preserve"> </v>
      </c>
      <c r="I472" s="4" t="str">
        <f ca="1">IF(OR(INDEX($X$2:$X$1001,MATCH(ROWS($W$2:W472),$W$2:$W$1001,0),1)&gt;=100000,INDEX($AD$1005:$AU$1005,1,MATCH(COLUMNS($AD$1006:AK1006),$AD$1006:$AU$1006,0))&gt;=100000), " ",IF(INDEX($AD$2:$AU$1001,MATCH(ROWS($W$2:W472),$W$2:$W$1001,0),MATCH(COLUMNS($AD$1006:AK1006),$AD$1006:$AU$1006,0)), HYPERLINK("#",""), HYPERLINK(CONCATENATE("#metadata!", ADDRESS(INDEX($Y$2:$Y$1001,MATCH(ROWS($W$2:W472),$W$2:$W$1001,0),0), INDEX($AD$1004:$AU$1004,1,MATCH(COLUMNS($AD$1006:AK1006),$AD$1006:$AU$1006,0)))),"Fix")))</f>
        <v xml:space="preserve"> </v>
      </c>
      <c r="J472" s="4" t="str">
        <f ca="1">IF(OR(INDEX($X$2:$X$1001,MATCH(ROWS($W$2:W472),$W$2:$W$1001,0),1)&gt;=100000,INDEX($AD$1005:$AU$1005,1,MATCH(COLUMNS($AD$1006:AL1006),$AD$1006:$AU$1006,0))&gt;=100000), " ",IF(INDEX($AD$2:$AU$1001,MATCH(ROWS($W$2:W472),$W$2:$W$1001,0),MATCH(COLUMNS($AD$1006:AL1006),$AD$1006:$AU$1006,0)), HYPERLINK("#",""), HYPERLINK(CONCATENATE("#metadata!", ADDRESS(INDEX($Y$2:$Y$1001,MATCH(ROWS($W$2:W472),$W$2:$W$1001,0),0), INDEX($AD$1004:$AU$1004,1,MATCH(COLUMNS($AD$1006:AL1006),$AD$1006:$AU$1006,0)))),"Fix")))</f>
        <v xml:space="preserve"> </v>
      </c>
      <c r="K472" s="4" t="str">
        <f ca="1">IF(OR(INDEX($X$2:$X$1001,MATCH(ROWS($W$2:W472),$W$2:$W$1001,0),1)&gt;=100000,INDEX($AD$1005:$AU$1005,1,MATCH(COLUMNS($AD$1006:AM1006),$AD$1006:$AU$1006,0))&gt;=100000), " ",IF(INDEX($AD$2:$AU$1001,MATCH(ROWS($W$2:W472),$W$2:$W$1001,0),MATCH(COLUMNS($AD$1006:AM1006),$AD$1006:$AU$1006,0)), HYPERLINK("#",""), HYPERLINK(CONCATENATE("#metadata!", ADDRESS(INDEX($Y$2:$Y$1001,MATCH(ROWS($W$2:W472),$W$2:$W$1001,0),0), INDEX($AD$1004:$AU$1004,1,MATCH(COLUMNS($AD$1006:AM1006),$AD$1006:$AU$1006,0)))),"Fix")))</f>
        <v xml:space="preserve"> </v>
      </c>
      <c r="L472" s="4" t="str">
        <f ca="1">IF(OR(INDEX($X$2:$X$1001,MATCH(ROWS($W$2:W472),$W$2:$W$1001,0),1)&gt;=100000,INDEX($AD$1005:$AU$1005,1,MATCH(COLUMNS($AD$1006:AN1006),$AD$1006:$AU$1006,0))&gt;=100000), " ",IF(INDEX($AD$2:$AU$1001,MATCH(ROWS($W$2:W472),$W$2:$W$1001,0),MATCH(COLUMNS($AD$1006:AN1006),$AD$1006:$AU$1006,0)), HYPERLINK("#",""), HYPERLINK(CONCATENATE("#metadata!", ADDRESS(INDEX($Y$2:$Y$1001,MATCH(ROWS($W$2:W472),$W$2:$W$1001,0),0), INDEX($AD$1004:$AU$1004,1,MATCH(COLUMNS($AD$1006:AN1006),$AD$1006:$AU$1006,0)))),"Fix")))</f>
        <v xml:space="preserve"> </v>
      </c>
      <c r="M472" s="4" t="str">
        <f ca="1">IF(OR(INDEX($X$2:$X$1001,MATCH(ROWS($W$2:W472),$W$2:$W$1001,0),1)&gt;=100000,INDEX($AD$1005:$AU$1005,1,MATCH(COLUMNS($AD$1006:AO1006),$AD$1006:$AU$1006,0))&gt;=100000), " ",IF(INDEX($AD$2:$AU$1001,MATCH(ROWS($W$2:W472),$W$2:$W$1001,0),MATCH(COLUMNS($AD$1006:AO1006),$AD$1006:$AU$1006,0)), HYPERLINK("#",""), HYPERLINK(CONCATENATE("#metadata!", ADDRESS(INDEX($Y$2:$Y$1001,MATCH(ROWS($W$2:W472),$W$2:$W$1001,0),0), INDEX($AD$1004:$AU$1004,1,MATCH(COLUMNS($AD$1006:AO1006),$AD$1006:$AU$1006,0)))),"Fix")))</f>
        <v xml:space="preserve"> </v>
      </c>
      <c r="N472" s="4" t="str">
        <f ca="1">IF(OR(INDEX($X$2:$X$1001,MATCH(ROWS($W$2:W472),$W$2:$W$1001,0),1)&gt;=100000,INDEX($AD$1005:$AU$1005,1,MATCH(COLUMNS($AD$1006:AP1006),$AD$1006:$AU$1006,0))&gt;=100000), " ",IF(INDEX($AD$2:$AU$1001,MATCH(ROWS($W$2:W472),$W$2:$W$1001,0),MATCH(COLUMNS($AD$1006:AP1006),$AD$1006:$AU$1006,0)), HYPERLINK("#",""), HYPERLINK(CONCATENATE("#metadata!", ADDRESS(INDEX($Y$2:$Y$1001,MATCH(ROWS($W$2:W472),$W$2:$W$1001,0),0), INDEX($AD$1004:$AU$1004,1,MATCH(COLUMNS($AD$1006:AP1006),$AD$1006:$AU$1006,0)))),"Fix")))</f>
        <v xml:space="preserve"> </v>
      </c>
      <c r="O472" s="4" t="str">
        <f ca="1">IF(OR(INDEX($X$2:$X$1001,MATCH(ROWS($W$2:W472),$W$2:$W$1001,0),1)&gt;=100000,INDEX($AD$1005:$AU$1005,1,MATCH(COLUMNS($AD$1006:AQ1006),$AD$1006:$AU$1006,0))&gt;=100000), " ",IF(INDEX($AD$2:$AU$1001,MATCH(ROWS($W$2:W472),$W$2:$W$1001,0),MATCH(COLUMNS($AD$1006:AQ1006),$AD$1006:$AU$1006,0)), HYPERLINK("#",""), HYPERLINK(CONCATENATE("#metadata!", ADDRESS(INDEX($Y$2:$Y$1001,MATCH(ROWS($W$2:W472),$W$2:$W$1001,0),0), INDEX($AD$1004:$AU$1004,1,MATCH(COLUMNS($AD$1006:AQ1006),$AD$1006:$AU$1006,0)))),"Fix")))</f>
        <v xml:space="preserve"> </v>
      </c>
      <c r="P472" s="4" t="str">
        <f ca="1">IF(OR(INDEX($X$2:$X$1001,MATCH(ROWS($W$2:W472),$W$2:$W$1001,0),1)&gt;=100000,INDEX($AD$1005:$AU$1005,1,MATCH(COLUMNS($AD$1006:AR1006),$AD$1006:$AU$1006,0))&gt;=100000), " ",IF(INDEX($AD$2:$AU$1001,MATCH(ROWS($W$2:W472),$W$2:$W$1001,0),MATCH(COLUMNS($AD$1006:AR1006),$AD$1006:$AU$1006,0)), HYPERLINK("#",""), HYPERLINK(CONCATENATE("#metadata!", ADDRESS(INDEX($Y$2:$Y$1001,MATCH(ROWS($W$2:W472),$W$2:$W$1001,0),0), INDEX($AD$1004:$AU$1004,1,MATCH(COLUMNS($AD$1006:AR1006),$AD$1006:$AU$1006,0)))),"Fix")))</f>
        <v xml:space="preserve"> </v>
      </c>
      <c r="Q472" s="4" t="str">
        <f ca="1">IF(OR(INDEX($X$2:$X$1001,MATCH(ROWS($W$2:W472),$W$2:$W$1001,0),1)&gt;=100000,INDEX($AD$1005:$AU$1005,1,MATCH(COLUMNS($AD$1006:AS1006),$AD$1006:$AU$1006,0))&gt;=100000), " ",IF(INDEX($AD$2:$AU$1001,MATCH(ROWS($W$2:W472),$W$2:$W$1001,0),MATCH(COLUMNS($AD$1006:AS1006),$AD$1006:$AU$1006,0)), HYPERLINK("#",""), HYPERLINK(CONCATENATE("#metadata!", ADDRESS(INDEX($Y$2:$Y$1001,MATCH(ROWS($W$2:W472),$W$2:$W$1001,0),0), INDEX($AD$1004:$AU$1004,1,MATCH(COLUMNS($AD$1006:AS1006),$AD$1006:$AU$1006,0)))),"Fix")))</f>
        <v xml:space="preserve"> </v>
      </c>
      <c r="R472" s="4" t="str">
        <f ca="1">IF(OR(INDEX($X$2:$X$1001,MATCH(ROWS($W$2:W472),$W$2:$W$1001,0),1)&gt;=100000,INDEX($AD$1005:$AU$1005,1,MATCH(COLUMNS($AD$1006:AT1006),$AD$1006:$AU$1006,0))&gt;=100000), " ",IF(INDEX($AD$2:$AU$1001,MATCH(ROWS($W$2:W472),$W$2:$W$1001,0),MATCH(COLUMNS($AD$1006:AT1006),$AD$1006:$AU$1006,0)), HYPERLINK("#",""), HYPERLINK(CONCATENATE("#metadata!", ADDRESS(INDEX($Y$2:$Y$1001,MATCH(ROWS($W$2:W472),$W$2:$W$1001,0),0), INDEX($AD$1004:$AU$1004,1,MATCH(COLUMNS($AD$1006:AT1006),$AD$1006:$AU$1006,0)))),"Fix")))</f>
        <v xml:space="preserve"> </v>
      </c>
      <c r="S472" s="4" t="str">
        <f ca="1">IF(OR(INDEX($X$2:$X$1001,MATCH(ROWS($W$2:W472),$W$2:$W$1001,0),1)&gt;=100000,INDEX($AD$1005:$AU$1005,1,MATCH(COLUMNS($AD$1006:AU1006),$AD$1006:$AU$1006,0))&gt;=100000), " ",IF(INDEX($AD$2:$AU$1001,MATCH(ROWS($W$2:W472),$W$2:$W$1001,0),MATCH(COLUMNS($AD$1006:AU1006),$AD$1006:$AU$1006,0)), HYPERLINK("#",""), HYPERLINK(CONCATENATE("#metadata!", ADDRESS(INDEX($Y$2:$Y$1001,MATCH(ROWS($W$2:W472),$W$2:$W$1001,0),0), INDEX($AD$1004:$AU$1004,1,MATCH(COLUMNS($AD$1006:AU1006),$AD$1006:$AU$1006,0)))),"Fix")))</f>
        <v xml:space="preserve"> </v>
      </c>
      <c r="W472">
        <v>471</v>
      </c>
      <c r="X472">
        <v>100472</v>
      </c>
      <c r="Y472">
        <v>472</v>
      </c>
      <c r="Z472" t="b">
        <f t="shared" si="7"/>
        <v>1</v>
      </c>
      <c r="AA472" t="b">
        <f>COUNTBLANK(metadata!B472:S472)=COLUMNS(metadata!B472:S472)</f>
        <v>1</v>
      </c>
      <c r="AB472" t="str">
        <v/>
      </c>
      <c r="AD472" t="b">
        <f ca="1">AND(IF(metadata!B472="",FALSE,TRUE),COUNTIF(metadata!B:B, metadata!B472) = 1,NOT(ISERROR(SUMPRODUCT(SEARCH(MID(metadata!B472,ROW(INDIRECT("1:"&amp;LEN(metadata!B472))), 1),"0123456789abcdefghijklmnopqrstuvwxyzABCDEFGHIJKLMNOPQRSTUVWXYZ.")))))</f>
        <v>0</v>
      </c>
      <c r="AE472" t="b">
        <f>OR(AND(IF(metadata!C472="",FALSE,TRUE),OR(EXACT(metadata!C472,"not applicable"),EXACT(metadata!C472,"missing: not collected"),EXACT(metadata!C472,"missing: not provided"),EXACT(metadata!C472,"missing: restricted access"))),AND(IF(metadata!C472="",FALSE,ISNUMBER(VALUE(metadata!C472))),metadata!C472&gt;0))</f>
        <v>0</v>
      </c>
      <c r="AF472" t="b">
        <f>AND(IF(metadata!D472="",FALSE,TRUE),EXACT(metadata!D472,"missing: not provided"))</f>
        <v>0</v>
      </c>
      <c r="AG472" t="b">
        <f>AND(IF(metadata!E472="",FALSE,TRUE),EXACT(metadata!E472,"Host-associated"))</f>
        <v>0</v>
      </c>
      <c r="AH472" t="b">
        <f>AND(IF(metadata!F472="",FALSE,TRUE),OR(EXACT(metadata!F472,"Animal"),EXACT(metadata!F472,"Fungus"),EXACT(metadata!F472,"Plant")))</f>
        <v>0</v>
      </c>
      <c r="AI472" t="b">
        <f>AND(IF(metadata!G472="",FALSE,TRUE),OR(EXACT(metadata!G472,"Plant secretion"),EXACT(metadata!G472,"Plant rhizosphere"),EXACT(metadata!G472,"Plant surface"),EXACT(metadata!G472,"Plant corpus"),EXACT(metadata!G472,"Fungus surface"),EXACT(metadata!G472,"Fungus corpus"),EXACT(metadata!G472,"Animal surface"),EXACT(metadata!G472,"Animal proximal gut"),EXACT(metadata!G472,"Animal corpus"),EXACT(metadata!G472,"Animal distal gut"),EXACT(metadata!G472,"Animal secretion")))</f>
        <v>0</v>
      </c>
      <c r="AJ472" t="b">
        <f>OR(AND(IF(metadata!H472="",FALSE,TRUE),OR(EXACT(metadata!H472,"missing: not collected"),EXACT(metadata!H472,"missing: not provided"),EXACT(metadata!H472,"missing: restricted access"))),AND(IF(metadata!H472="",FALSE,TRUE),OR(EXACT(metadata!H472,"organism-associated habitat"),EXACT(metadata!H472,"plant-associated habitat"),EXACT(metadata!H472,"animal-associated habitat"),EXACT(metadata!H472,"insecta-associated habitat"),EXACT(metadata!H472,"mammalia-associated habitat"),EXACT(metadata!H472,"human-associated habitat"),EXACT(metadata!H472,"livestock-associated habitat"))))</f>
        <v>0</v>
      </c>
      <c r="AK472" t="b">
        <f>AND(IF(metadata!I472="",FALSE,TRUE),EXACT(metadata!I472,"host-associated"))</f>
        <v>0</v>
      </c>
      <c r="AL472" t="b">
        <f>OR(AND(IF(metadata!J472="",FALSE,TRUE),OR(EXACT(metadata!J472,"not applicable"),EXACT(metadata!J472,"missing: not collected"),EXACT(metadata!J472,"missing: not provided"),EXACT(metadata!J472,"missing: restricted access"))),AND(IF(metadata!J472="",FALSE,ISNUMBER(VALUE(metadata!J472))),metadata!J472&gt;0))</f>
        <v>0</v>
      </c>
      <c r="AM472" t="b">
        <f>AND(IF(metadata!K472="",FALSE,TRUE),EXACT(metadata!K472,"missing: not provided"))</f>
        <v>0</v>
      </c>
      <c r="AN472" t="b">
        <f>IF(metadata!L472="",FALSE,TRUE)</f>
        <v>0</v>
      </c>
      <c r="AO472" t="b">
        <f>IF(metadata!M472="",FALSE,TRUE)</f>
        <v>0</v>
      </c>
      <c r="AP472" t="b">
        <f>OR(AND(IF(metadata!N472="",FALSE,TRUE),OR(EXACT(metadata!N472,"not applicable"),EXACT(metadata!N472,"missing: not collected"),EXACT(metadata!N472,"missing: not provided"))),AND(IF(metadata!N472="",FALSE,IF(ISERROR(INT(metadata!N472)),FALSE,INT(metadata!N472)=metadata!N472)),metadata!N472&gt;0))</f>
        <v>0</v>
      </c>
      <c r="AQ472" t="b">
        <f>AND(IF(metadata!O472="",FALSE,TRUE),EXACT(metadata!O472,"Not applicable"))</f>
        <v>0</v>
      </c>
      <c r="AR472" t="b">
        <f>OR(AND(IF(metadata!P472="",FALSE,TRUE),OR(EXACT(metadata!P472,"not applicable"),EXACT(metadata!P472,"missing: not collected"),EXACT(metadata!P472,"missing: not provided"),EXACT(metadata!P472,"missing: restricted access"))),IF(metadata!P472="",FALSE,IF(ISERROR(INT(metadata!P472)),FALSE,INT(metadata!P472)=metadata!P472)))</f>
        <v>0</v>
      </c>
      <c r="AS472" t="b">
        <f>AND(IF(metadata!Q472="",FALSE,TRUE),EXACT(metadata!Q472,"Not applicable"))</f>
        <v>0</v>
      </c>
      <c r="AT472" t="b">
        <f>OR(AND(IF(metadata!R472="",FALSE,TRUE),OR(EXACT(metadata!R472,"not applicable"),EXACT(metadata!R472,"missing: not collected"),EXACT(metadata!R472,"missing: not provided"),EXACT(metadata!R472,"missing: restricted access"))),AND(IF(metadata!R472="",FALSE,ISNUMBER(VALUE(metadata!R472))),metadata!R472&gt;0))</f>
        <v>0</v>
      </c>
      <c r="AU472" t="b">
        <f>AND(IF(metadata!S472="",FALSE,TRUE),EXACT(metadata!S472,"missing: not provided"))</f>
        <v>0</v>
      </c>
    </row>
    <row r="473" spans="1:47" x14ac:dyDescent="0.2">
      <c r="A473" s="5" t="str">
        <f ca="1">IF(B473=" "," ",HYPERLINK(CONCATENATE("#metadata!",ADDRESS(INDEX($Y$2:$Y$1001,MATCH(ROWS($W$2:W473),$W$2:$W$1001,0),0),1)),INDEX($AB$2:$AB$1001,MATCH(ROWS($W$2:W473),$W$2:$W$1001,0),0)))</f>
        <v xml:space="preserve"> </v>
      </c>
      <c r="B473" s="4" t="str">
        <f ca="1">IF(OR(INDEX($X$2:$X$1001,MATCH(ROWS($W$2:W473),$W$2:$W$1001,0),1)&gt;=100000,INDEX($AD$1005:$AU$1005,1,MATCH(COLUMNS($AD$1006:AD1006),$AD$1006:$AU$1006,0))&gt;=100000), " ",IF(INDEX($AD$2:$AU$1001,MATCH(ROWS($W$2:W473),$W$2:$W$1001,0),MATCH(COLUMNS($AD$1006:AD1006),$AD$1006:$AU$1006,0)), HYPERLINK("#",""), HYPERLINK(CONCATENATE("#metadata!", ADDRESS(INDEX($Y$2:$Y$1001,MATCH(ROWS($W$2:W473),$W$2:$W$1001,0),0), INDEX($AD$1004:$AU$1004,1,MATCH(COLUMNS($AD$1006:AD1006),$AD$1006:$AU$1006,0)))),"Fix")))</f>
        <v xml:space="preserve"> </v>
      </c>
      <c r="C473" s="4" t="str">
        <f ca="1">IF(OR(INDEX($X$2:$X$1001,MATCH(ROWS($W$2:W473),$W$2:$W$1001,0),1)&gt;=100000,INDEX($AD$1005:$AU$1005,1,MATCH(COLUMNS($AD$1006:AE1006),$AD$1006:$AU$1006,0))&gt;=100000), " ",IF(INDEX($AD$2:$AU$1001,MATCH(ROWS($W$2:W473),$W$2:$W$1001,0),MATCH(COLUMNS($AD$1006:AE1006),$AD$1006:$AU$1006,0)), HYPERLINK("#",""), HYPERLINK(CONCATENATE("#metadata!", ADDRESS(INDEX($Y$2:$Y$1001,MATCH(ROWS($W$2:W473),$W$2:$W$1001,0),0), INDEX($AD$1004:$AU$1004,1,MATCH(COLUMNS($AD$1006:AE1006),$AD$1006:$AU$1006,0)))),"Fix")))</f>
        <v xml:space="preserve"> </v>
      </c>
      <c r="D473" s="4" t="str">
        <f ca="1">IF(OR(INDEX($X$2:$X$1001,MATCH(ROWS($W$2:W473),$W$2:$W$1001,0),1)&gt;=100000,INDEX($AD$1005:$AU$1005,1,MATCH(COLUMNS($AD$1006:AF1006),$AD$1006:$AU$1006,0))&gt;=100000), " ",IF(INDEX($AD$2:$AU$1001,MATCH(ROWS($W$2:W473),$W$2:$W$1001,0),MATCH(COLUMNS($AD$1006:AF1006),$AD$1006:$AU$1006,0)), HYPERLINK("#",""), HYPERLINK(CONCATENATE("#metadata!", ADDRESS(INDEX($Y$2:$Y$1001,MATCH(ROWS($W$2:W473),$W$2:$W$1001,0),0), INDEX($AD$1004:$AU$1004,1,MATCH(COLUMNS($AD$1006:AF1006),$AD$1006:$AU$1006,0)))),"Fix")))</f>
        <v xml:space="preserve"> </v>
      </c>
      <c r="E473" s="4" t="str">
        <f ca="1">IF(OR(INDEX($X$2:$X$1001,MATCH(ROWS($W$2:W473),$W$2:$W$1001,0),1)&gt;=100000,INDEX($AD$1005:$AU$1005,1,MATCH(COLUMNS($AD$1006:AG1006),$AD$1006:$AU$1006,0))&gt;=100000), " ",IF(INDEX($AD$2:$AU$1001,MATCH(ROWS($W$2:W473),$W$2:$W$1001,0),MATCH(COLUMNS($AD$1006:AG1006),$AD$1006:$AU$1006,0)), HYPERLINK("#",""), HYPERLINK(CONCATENATE("#metadata!", ADDRESS(INDEX($Y$2:$Y$1001,MATCH(ROWS($W$2:W473),$W$2:$W$1001,0),0), INDEX($AD$1004:$AU$1004,1,MATCH(COLUMNS($AD$1006:AG1006),$AD$1006:$AU$1006,0)))),"Fix")))</f>
        <v xml:space="preserve"> </v>
      </c>
      <c r="F473" s="4" t="str">
        <f ca="1">IF(OR(INDEX($X$2:$X$1001,MATCH(ROWS($W$2:W473),$W$2:$W$1001,0),1)&gt;=100000,INDEX($AD$1005:$AU$1005,1,MATCH(COLUMNS($AD$1006:AH1006),$AD$1006:$AU$1006,0))&gt;=100000), " ",IF(INDEX($AD$2:$AU$1001,MATCH(ROWS($W$2:W473),$W$2:$W$1001,0),MATCH(COLUMNS($AD$1006:AH1006),$AD$1006:$AU$1006,0)), HYPERLINK("#",""), HYPERLINK(CONCATENATE("#metadata!", ADDRESS(INDEX($Y$2:$Y$1001,MATCH(ROWS($W$2:W473),$W$2:$W$1001,0),0), INDEX($AD$1004:$AU$1004,1,MATCH(COLUMNS($AD$1006:AH1006),$AD$1006:$AU$1006,0)))),"Fix")))</f>
        <v xml:space="preserve"> </v>
      </c>
      <c r="G473" s="4" t="str">
        <f ca="1">IF(OR(INDEX($X$2:$X$1001,MATCH(ROWS($W$2:W473),$W$2:$W$1001,0),1)&gt;=100000,INDEX($AD$1005:$AU$1005,1,MATCH(COLUMNS($AD$1006:AI1006),$AD$1006:$AU$1006,0))&gt;=100000), " ",IF(INDEX($AD$2:$AU$1001,MATCH(ROWS($W$2:W473),$W$2:$W$1001,0),MATCH(COLUMNS($AD$1006:AI1006),$AD$1006:$AU$1006,0)), HYPERLINK("#",""), HYPERLINK(CONCATENATE("#metadata!", ADDRESS(INDEX($Y$2:$Y$1001,MATCH(ROWS($W$2:W473),$W$2:$W$1001,0),0), INDEX($AD$1004:$AU$1004,1,MATCH(COLUMNS($AD$1006:AI1006),$AD$1006:$AU$1006,0)))),"Fix")))</f>
        <v xml:space="preserve"> </v>
      </c>
      <c r="H473" s="4" t="str">
        <f ca="1">IF(OR(INDEX($X$2:$X$1001,MATCH(ROWS($W$2:W473),$W$2:$W$1001,0),1)&gt;=100000,INDEX($AD$1005:$AU$1005,1,MATCH(COLUMNS($AD$1006:AJ1006),$AD$1006:$AU$1006,0))&gt;=100000), " ",IF(INDEX($AD$2:$AU$1001,MATCH(ROWS($W$2:W473),$W$2:$W$1001,0),MATCH(COLUMNS($AD$1006:AJ1006),$AD$1006:$AU$1006,0)), HYPERLINK("#",""), HYPERLINK(CONCATENATE("#metadata!", ADDRESS(INDEX($Y$2:$Y$1001,MATCH(ROWS($W$2:W473),$W$2:$W$1001,0),0), INDEX($AD$1004:$AU$1004,1,MATCH(COLUMNS($AD$1006:AJ1006),$AD$1006:$AU$1006,0)))),"Fix")))</f>
        <v xml:space="preserve"> </v>
      </c>
      <c r="I473" s="4" t="str">
        <f ca="1">IF(OR(INDEX($X$2:$X$1001,MATCH(ROWS($W$2:W473),$W$2:$W$1001,0),1)&gt;=100000,INDEX($AD$1005:$AU$1005,1,MATCH(COLUMNS($AD$1006:AK1006),$AD$1006:$AU$1006,0))&gt;=100000), " ",IF(INDEX($AD$2:$AU$1001,MATCH(ROWS($W$2:W473),$W$2:$W$1001,0),MATCH(COLUMNS($AD$1006:AK1006),$AD$1006:$AU$1006,0)), HYPERLINK("#",""), HYPERLINK(CONCATENATE("#metadata!", ADDRESS(INDEX($Y$2:$Y$1001,MATCH(ROWS($W$2:W473),$W$2:$W$1001,0),0), INDEX($AD$1004:$AU$1004,1,MATCH(COLUMNS($AD$1006:AK1006),$AD$1006:$AU$1006,0)))),"Fix")))</f>
        <v xml:space="preserve"> </v>
      </c>
      <c r="J473" s="4" t="str">
        <f ca="1">IF(OR(INDEX($X$2:$X$1001,MATCH(ROWS($W$2:W473),$W$2:$W$1001,0),1)&gt;=100000,INDEX($AD$1005:$AU$1005,1,MATCH(COLUMNS($AD$1006:AL1006),$AD$1006:$AU$1006,0))&gt;=100000), " ",IF(INDEX($AD$2:$AU$1001,MATCH(ROWS($W$2:W473),$W$2:$W$1001,0),MATCH(COLUMNS($AD$1006:AL1006),$AD$1006:$AU$1006,0)), HYPERLINK("#",""), HYPERLINK(CONCATENATE("#metadata!", ADDRESS(INDEX($Y$2:$Y$1001,MATCH(ROWS($W$2:W473),$W$2:$W$1001,0),0), INDEX($AD$1004:$AU$1004,1,MATCH(COLUMNS($AD$1006:AL1006),$AD$1006:$AU$1006,0)))),"Fix")))</f>
        <v xml:space="preserve"> </v>
      </c>
      <c r="K473" s="4" t="str">
        <f ca="1">IF(OR(INDEX($X$2:$X$1001,MATCH(ROWS($W$2:W473),$W$2:$W$1001,0),1)&gt;=100000,INDEX($AD$1005:$AU$1005,1,MATCH(COLUMNS($AD$1006:AM1006),$AD$1006:$AU$1006,0))&gt;=100000), " ",IF(INDEX($AD$2:$AU$1001,MATCH(ROWS($W$2:W473),$W$2:$W$1001,0),MATCH(COLUMNS($AD$1006:AM1006),$AD$1006:$AU$1006,0)), HYPERLINK("#",""), HYPERLINK(CONCATENATE("#metadata!", ADDRESS(INDEX($Y$2:$Y$1001,MATCH(ROWS($W$2:W473),$W$2:$W$1001,0),0), INDEX($AD$1004:$AU$1004,1,MATCH(COLUMNS($AD$1006:AM1006),$AD$1006:$AU$1006,0)))),"Fix")))</f>
        <v xml:space="preserve"> </v>
      </c>
      <c r="L473" s="4" t="str">
        <f ca="1">IF(OR(INDEX($X$2:$X$1001,MATCH(ROWS($W$2:W473),$W$2:$W$1001,0),1)&gt;=100000,INDEX($AD$1005:$AU$1005,1,MATCH(COLUMNS($AD$1006:AN1006),$AD$1006:$AU$1006,0))&gt;=100000), " ",IF(INDEX($AD$2:$AU$1001,MATCH(ROWS($W$2:W473),$W$2:$W$1001,0),MATCH(COLUMNS($AD$1006:AN1006),$AD$1006:$AU$1006,0)), HYPERLINK("#",""), HYPERLINK(CONCATENATE("#metadata!", ADDRESS(INDEX($Y$2:$Y$1001,MATCH(ROWS($W$2:W473),$W$2:$W$1001,0),0), INDEX($AD$1004:$AU$1004,1,MATCH(COLUMNS($AD$1006:AN1006),$AD$1006:$AU$1006,0)))),"Fix")))</f>
        <v xml:space="preserve"> </v>
      </c>
      <c r="M473" s="4" t="str">
        <f ca="1">IF(OR(INDEX($X$2:$X$1001,MATCH(ROWS($W$2:W473),$W$2:$W$1001,0),1)&gt;=100000,INDEX($AD$1005:$AU$1005,1,MATCH(COLUMNS($AD$1006:AO1006),$AD$1006:$AU$1006,0))&gt;=100000), " ",IF(INDEX($AD$2:$AU$1001,MATCH(ROWS($W$2:W473),$W$2:$W$1001,0),MATCH(COLUMNS($AD$1006:AO1006),$AD$1006:$AU$1006,0)), HYPERLINK("#",""), HYPERLINK(CONCATENATE("#metadata!", ADDRESS(INDEX($Y$2:$Y$1001,MATCH(ROWS($W$2:W473),$W$2:$W$1001,0),0), INDEX($AD$1004:$AU$1004,1,MATCH(COLUMNS($AD$1006:AO1006),$AD$1006:$AU$1006,0)))),"Fix")))</f>
        <v xml:space="preserve"> </v>
      </c>
      <c r="N473" s="4" t="str">
        <f ca="1">IF(OR(INDEX($X$2:$X$1001,MATCH(ROWS($W$2:W473),$W$2:$W$1001,0),1)&gt;=100000,INDEX($AD$1005:$AU$1005,1,MATCH(COLUMNS($AD$1006:AP1006),$AD$1006:$AU$1006,0))&gt;=100000), " ",IF(INDEX($AD$2:$AU$1001,MATCH(ROWS($W$2:W473),$W$2:$W$1001,0),MATCH(COLUMNS($AD$1006:AP1006),$AD$1006:$AU$1006,0)), HYPERLINK("#",""), HYPERLINK(CONCATENATE("#metadata!", ADDRESS(INDEX($Y$2:$Y$1001,MATCH(ROWS($W$2:W473),$W$2:$W$1001,0),0), INDEX($AD$1004:$AU$1004,1,MATCH(COLUMNS($AD$1006:AP1006),$AD$1006:$AU$1006,0)))),"Fix")))</f>
        <v xml:space="preserve"> </v>
      </c>
      <c r="O473" s="4" t="str">
        <f ca="1">IF(OR(INDEX($X$2:$X$1001,MATCH(ROWS($W$2:W473),$W$2:$W$1001,0),1)&gt;=100000,INDEX($AD$1005:$AU$1005,1,MATCH(COLUMNS($AD$1006:AQ1006),$AD$1006:$AU$1006,0))&gt;=100000), " ",IF(INDEX($AD$2:$AU$1001,MATCH(ROWS($W$2:W473),$W$2:$W$1001,0),MATCH(COLUMNS($AD$1006:AQ1006),$AD$1006:$AU$1006,0)), HYPERLINK("#",""), HYPERLINK(CONCATENATE("#metadata!", ADDRESS(INDEX($Y$2:$Y$1001,MATCH(ROWS($W$2:W473),$W$2:$W$1001,0),0), INDEX($AD$1004:$AU$1004,1,MATCH(COLUMNS($AD$1006:AQ1006),$AD$1006:$AU$1006,0)))),"Fix")))</f>
        <v xml:space="preserve"> </v>
      </c>
      <c r="P473" s="4" t="str">
        <f ca="1">IF(OR(INDEX($X$2:$X$1001,MATCH(ROWS($W$2:W473),$W$2:$W$1001,0),1)&gt;=100000,INDEX($AD$1005:$AU$1005,1,MATCH(COLUMNS($AD$1006:AR1006),$AD$1006:$AU$1006,0))&gt;=100000), " ",IF(INDEX($AD$2:$AU$1001,MATCH(ROWS($W$2:W473),$W$2:$W$1001,0),MATCH(COLUMNS($AD$1006:AR1006),$AD$1006:$AU$1006,0)), HYPERLINK("#",""), HYPERLINK(CONCATENATE("#metadata!", ADDRESS(INDEX($Y$2:$Y$1001,MATCH(ROWS($W$2:W473),$W$2:$W$1001,0),0), INDEX($AD$1004:$AU$1004,1,MATCH(COLUMNS($AD$1006:AR1006),$AD$1006:$AU$1006,0)))),"Fix")))</f>
        <v xml:space="preserve"> </v>
      </c>
      <c r="Q473" s="4" t="str">
        <f ca="1">IF(OR(INDEX($X$2:$X$1001,MATCH(ROWS($W$2:W473),$W$2:$W$1001,0),1)&gt;=100000,INDEX($AD$1005:$AU$1005,1,MATCH(COLUMNS($AD$1006:AS1006),$AD$1006:$AU$1006,0))&gt;=100000), " ",IF(INDEX($AD$2:$AU$1001,MATCH(ROWS($W$2:W473),$W$2:$W$1001,0),MATCH(COLUMNS($AD$1006:AS1006),$AD$1006:$AU$1006,0)), HYPERLINK("#",""), HYPERLINK(CONCATENATE("#metadata!", ADDRESS(INDEX($Y$2:$Y$1001,MATCH(ROWS($W$2:W473),$W$2:$W$1001,0),0), INDEX($AD$1004:$AU$1004,1,MATCH(COLUMNS($AD$1006:AS1006),$AD$1006:$AU$1006,0)))),"Fix")))</f>
        <v xml:space="preserve"> </v>
      </c>
      <c r="R473" s="4" t="str">
        <f ca="1">IF(OR(INDEX($X$2:$X$1001,MATCH(ROWS($W$2:W473),$W$2:$W$1001,0),1)&gt;=100000,INDEX($AD$1005:$AU$1005,1,MATCH(COLUMNS($AD$1006:AT1006),$AD$1006:$AU$1006,0))&gt;=100000), " ",IF(INDEX($AD$2:$AU$1001,MATCH(ROWS($W$2:W473),$W$2:$W$1001,0),MATCH(COLUMNS($AD$1006:AT1006),$AD$1006:$AU$1006,0)), HYPERLINK("#",""), HYPERLINK(CONCATENATE("#metadata!", ADDRESS(INDEX($Y$2:$Y$1001,MATCH(ROWS($W$2:W473),$W$2:$W$1001,0),0), INDEX($AD$1004:$AU$1004,1,MATCH(COLUMNS($AD$1006:AT1006),$AD$1006:$AU$1006,0)))),"Fix")))</f>
        <v xml:space="preserve"> </v>
      </c>
      <c r="S473" s="4" t="str">
        <f ca="1">IF(OR(INDEX($X$2:$X$1001,MATCH(ROWS($W$2:W473),$W$2:$W$1001,0),1)&gt;=100000,INDEX($AD$1005:$AU$1005,1,MATCH(COLUMNS($AD$1006:AU1006),$AD$1006:$AU$1006,0))&gt;=100000), " ",IF(INDEX($AD$2:$AU$1001,MATCH(ROWS($W$2:W473),$W$2:$W$1001,0),MATCH(COLUMNS($AD$1006:AU1006),$AD$1006:$AU$1006,0)), HYPERLINK("#",""), HYPERLINK(CONCATENATE("#metadata!", ADDRESS(INDEX($Y$2:$Y$1001,MATCH(ROWS($W$2:W473),$W$2:$W$1001,0),0), INDEX($AD$1004:$AU$1004,1,MATCH(COLUMNS($AD$1006:AU1006),$AD$1006:$AU$1006,0)))),"Fix")))</f>
        <v xml:space="preserve"> </v>
      </c>
      <c r="W473">
        <v>472</v>
      </c>
      <c r="X473">
        <v>100473</v>
      </c>
      <c r="Y473">
        <v>473</v>
      </c>
      <c r="Z473" t="b">
        <f t="shared" si="7"/>
        <v>1</v>
      </c>
      <c r="AA473" t="b">
        <f>COUNTBLANK(metadata!B473:S473)=COLUMNS(metadata!B473:S473)</f>
        <v>1</v>
      </c>
      <c r="AB473" t="str">
        <v/>
      </c>
      <c r="AD473" t="b">
        <f ca="1">AND(IF(metadata!B473="",FALSE,TRUE),COUNTIF(metadata!B:B, metadata!B473) = 1,NOT(ISERROR(SUMPRODUCT(SEARCH(MID(metadata!B473,ROW(INDIRECT("1:"&amp;LEN(metadata!B473))), 1),"0123456789abcdefghijklmnopqrstuvwxyzABCDEFGHIJKLMNOPQRSTUVWXYZ.")))))</f>
        <v>0</v>
      </c>
      <c r="AE473" t="b">
        <f>OR(AND(IF(metadata!C473="",FALSE,TRUE),OR(EXACT(metadata!C473,"not applicable"),EXACT(metadata!C473,"missing: not collected"),EXACT(metadata!C473,"missing: not provided"),EXACT(metadata!C473,"missing: restricted access"))),AND(IF(metadata!C473="",FALSE,ISNUMBER(VALUE(metadata!C473))),metadata!C473&gt;0))</f>
        <v>0</v>
      </c>
      <c r="AF473" t="b">
        <f>AND(IF(metadata!D473="",FALSE,TRUE),EXACT(metadata!D473,"missing: not provided"))</f>
        <v>0</v>
      </c>
      <c r="AG473" t="b">
        <f>AND(IF(metadata!E473="",FALSE,TRUE),EXACT(metadata!E473,"Host-associated"))</f>
        <v>0</v>
      </c>
      <c r="AH473" t="b">
        <f>AND(IF(metadata!F473="",FALSE,TRUE),OR(EXACT(metadata!F473,"Animal"),EXACT(metadata!F473,"Fungus"),EXACT(metadata!F473,"Plant")))</f>
        <v>0</v>
      </c>
      <c r="AI473" t="b">
        <f>AND(IF(metadata!G473="",FALSE,TRUE),OR(EXACT(metadata!G473,"Plant secretion"),EXACT(metadata!G473,"Plant rhizosphere"),EXACT(metadata!G473,"Plant surface"),EXACT(metadata!G473,"Plant corpus"),EXACT(metadata!G473,"Fungus surface"),EXACT(metadata!G473,"Fungus corpus"),EXACT(metadata!G473,"Animal surface"),EXACT(metadata!G473,"Animal proximal gut"),EXACT(metadata!G473,"Animal corpus"),EXACT(metadata!G473,"Animal distal gut"),EXACT(metadata!G473,"Animal secretion")))</f>
        <v>0</v>
      </c>
      <c r="AJ473" t="b">
        <f>OR(AND(IF(metadata!H473="",FALSE,TRUE),OR(EXACT(metadata!H473,"missing: not collected"),EXACT(metadata!H473,"missing: not provided"),EXACT(metadata!H473,"missing: restricted access"))),AND(IF(metadata!H473="",FALSE,TRUE),OR(EXACT(metadata!H473,"organism-associated habitat"),EXACT(metadata!H473,"plant-associated habitat"),EXACT(metadata!H473,"animal-associated habitat"),EXACT(metadata!H473,"insecta-associated habitat"),EXACT(metadata!H473,"mammalia-associated habitat"),EXACT(metadata!H473,"human-associated habitat"),EXACT(metadata!H473,"livestock-associated habitat"))))</f>
        <v>0</v>
      </c>
      <c r="AK473" t="b">
        <f>AND(IF(metadata!I473="",FALSE,TRUE),EXACT(metadata!I473,"host-associated"))</f>
        <v>0</v>
      </c>
      <c r="AL473" t="b">
        <f>OR(AND(IF(metadata!J473="",FALSE,TRUE),OR(EXACT(metadata!J473,"not applicable"),EXACT(metadata!J473,"missing: not collected"),EXACT(metadata!J473,"missing: not provided"),EXACT(metadata!J473,"missing: restricted access"))),AND(IF(metadata!J473="",FALSE,ISNUMBER(VALUE(metadata!J473))),metadata!J473&gt;0))</f>
        <v>0</v>
      </c>
      <c r="AM473" t="b">
        <f>AND(IF(metadata!K473="",FALSE,TRUE),EXACT(metadata!K473,"missing: not provided"))</f>
        <v>0</v>
      </c>
      <c r="AN473" t="b">
        <f>IF(metadata!L473="",FALSE,TRUE)</f>
        <v>0</v>
      </c>
      <c r="AO473" t="b">
        <f>IF(metadata!M473="",FALSE,TRUE)</f>
        <v>0</v>
      </c>
      <c r="AP473" t="b">
        <f>OR(AND(IF(metadata!N473="",FALSE,TRUE),OR(EXACT(metadata!N473,"not applicable"),EXACT(metadata!N473,"missing: not collected"),EXACT(metadata!N473,"missing: not provided"))),AND(IF(metadata!N473="",FALSE,IF(ISERROR(INT(metadata!N473)),FALSE,INT(metadata!N473)=metadata!N473)),metadata!N473&gt;0))</f>
        <v>0</v>
      </c>
      <c r="AQ473" t="b">
        <f>AND(IF(metadata!O473="",FALSE,TRUE),EXACT(metadata!O473,"Not applicable"))</f>
        <v>0</v>
      </c>
      <c r="AR473" t="b">
        <f>OR(AND(IF(metadata!P473="",FALSE,TRUE),OR(EXACT(metadata!P473,"not applicable"),EXACT(metadata!P473,"missing: not collected"),EXACT(metadata!P473,"missing: not provided"),EXACT(metadata!P473,"missing: restricted access"))),IF(metadata!P473="",FALSE,IF(ISERROR(INT(metadata!P473)),FALSE,INT(metadata!P473)=metadata!P473)))</f>
        <v>0</v>
      </c>
      <c r="AS473" t="b">
        <f>AND(IF(metadata!Q473="",FALSE,TRUE),EXACT(metadata!Q473,"Not applicable"))</f>
        <v>0</v>
      </c>
      <c r="AT473" t="b">
        <f>OR(AND(IF(metadata!R473="",FALSE,TRUE),OR(EXACT(metadata!R473,"not applicable"),EXACT(metadata!R473,"missing: not collected"),EXACT(metadata!R473,"missing: not provided"),EXACT(metadata!R473,"missing: restricted access"))),AND(IF(metadata!R473="",FALSE,ISNUMBER(VALUE(metadata!R473))),metadata!R473&gt;0))</f>
        <v>0</v>
      </c>
      <c r="AU473" t="b">
        <f>AND(IF(metadata!S473="",FALSE,TRUE),EXACT(metadata!S473,"missing: not provided"))</f>
        <v>0</v>
      </c>
    </row>
    <row r="474" spans="1:47" x14ac:dyDescent="0.2">
      <c r="A474" s="5" t="str">
        <f ca="1">IF(B474=" "," ",HYPERLINK(CONCATENATE("#metadata!",ADDRESS(INDEX($Y$2:$Y$1001,MATCH(ROWS($W$2:W474),$W$2:$W$1001,0),0),1)),INDEX($AB$2:$AB$1001,MATCH(ROWS($W$2:W474),$W$2:$W$1001,0),0)))</f>
        <v xml:space="preserve"> </v>
      </c>
      <c r="B474" s="4" t="str">
        <f ca="1">IF(OR(INDEX($X$2:$X$1001,MATCH(ROWS($W$2:W474),$W$2:$W$1001,0),1)&gt;=100000,INDEX($AD$1005:$AU$1005,1,MATCH(COLUMNS($AD$1006:AD1006),$AD$1006:$AU$1006,0))&gt;=100000), " ",IF(INDEX($AD$2:$AU$1001,MATCH(ROWS($W$2:W474),$W$2:$W$1001,0),MATCH(COLUMNS($AD$1006:AD1006),$AD$1006:$AU$1006,0)), HYPERLINK("#",""), HYPERLINK(CONCATENATE("#metadata!", ADDRESS(INDEX($Y$2:$Y$1001,MATCH(ROWS($W$2:W474),$W$2:$W$1001,0),0), INDEX($AD$1004:$AU$1004,1,MATCH(COLUMNS($AD$1006:AD1006),$AD$1006:$AU$1006,0)))),"Fix")))</f>
        <v xml:space="preserve"> </v>
      </c>
      <c r="C474" s="4" t="str">
        <f ca="1">IF(OR(INDEX($X$2:$X$1001,MATCH(ROWS($W$2:W474),$W$2:$W$1001,0),1)&gt;=100000,INDEX($AD$1005:$AU$1005,1,MATCH(COLUMNS($AD$1006:AE1006),$AD$1006:$AU$1006,0))&gt;=100000), " ",IF(INDEX($AD$2:$AU$1001,MATCH(ROWS($W$2:W474),$W$2:$W$1001,0),MATCH(COLUMNS($AD$1006:AE1006),$AD$1006:$AU$1006,0)), HYPERLINK("#",""), HYPERLINK(CONCATENATE("#metadata!", ADDRESS(INDEX($Y$2:$Y$1001,MATCH(ROWS($W$2:W474),$W$2:$W$1001,0),0), INDEX($AD$1004:$AU$1004,1,MATCH(COLUMNS($AD$1006:AE1006),$AD$1006:$AU$1006,0)))),"Fix")))</f>
        <v xml:space="preserve"> </v>
      </c>
      <c r="D474" s="4" t="str">
        <f ca="1">IF(OR(INDEX($X$2:$X$1001,MATCH(ROWS($W$2:W474),$W$2:$W$1001,0),1)&gt;=100000,INDEX($AD$1005:$AU$1005,1,MATCH(COLUMNS($AD$1006:AF1006),$AD$1006:$AU$1006,0))&gt;=100000), " ",IF(INDEX($AD$2:$AU$1001,MATCH(ROWS($W$2:W474),$W$2:$W$1001,0),MATCH(COLUMNS($AD$1006:AF1006),$AD$1006:$AU$1006,0)), HYPERLINK("#",""), HYPERLINK(CONCATENATE("#metadata!", ADDRESS(INDEX($Y$2:$Y$1001,MATCH(ROWS($W$2:W474),$W$2:$W$1001,0),0), INDEX($AD$1004:$AU$1004,1,MATCH(COLUMNS($AD$1006:AF1006),$AD$1006:$AU$1006,0)))),"Fix")))</f>
        <v xml:space="preserve"> </v>
      </c>
      <c r="E474" s="4" t="str">
        <f ca="1">IF(OR(INDEX($X$2:$X$1001,MATCH(ROWS($W$2:W474),$W$2:$W$1001,0),1)&gt;=100000,INDEX($AD$1005:$AU$1005,1,MATCH(COLUMNS($AD$1006:AG1006),$AD$1006:$AU$1006,0))&gt;=100000), " ",IF(INDEX($AD$2:$AU$1001,MATCH(ROWS($W$2:W474),$W$2:$W$1001,0),MATCH(COLUMNS($AD$1006:AG1006),$AD$1006:$AU$1006,0)), HYPERLINK("#",""), HYPERLINK(CONCATENATE("#metadata!", ADDRESS(INDEX($Y$2:$Y$1001,MATCH(ROWS($W$2:W474),$W$2:$W$1001,0),0), INDEX($AD$1004:$AU$1004,1,MATCH(COLUMNS($AD$1006:AG1006),$AD$1006:$AU$1006,0)))),"Fix")))</f>
        <v xml:space="preserve"> </v>
      </c>
      <c r="F474" s="4" t="str">
        <f ca="1">IF(OR(INDEX($X$2:$X$1001,MATCH(ROWS($W$2:W474),$W$2:$W$1001,0),1)&gt;=100000,INDEX($AD$1005:$AU$1005,1,MATCH(COLUMNS($AD$1006:AH1006),$AD$1006:$AU$1006,0))&gt;=100000), " ",IF(INDEX($AD$2:$AU$1001,MATCH(ROWS($W$2:W474),$W$2:$W$1001,0),MATCH(COLUMNS($AD$1006:AH1006),$AD$1006:$AU$1006,0)), HYPERLINK("#",""), HYPERLINK(CONCATENATE("#metadata!", ADDRESS(INDEX($Y$2:$Y$1001,MATCH(ROWS($W$2:W474),$W$2:$W$1001,0),0), INDEX($AD$1004:$AU$1004,1,MATCH(COLUMNS($AD$1006:AH1006),$AD$1006:$AU$1006,0)))),"Fix")))</f>
        <v xml:space="preserve"> </v>
      </c>
      <c r="G474" s="4" t="str">
        <f ca="1">IF(OR(INDEX($X$2:$X$1001,MATCH(ROWS($W$2:W474),$W$2:$W$1001,0),1)&gt;=100000,INDEX($AD$1005:$AU$1005,1,MATCH(COLUMNS($AD$1006:AI1006),$AD$1006:$AU$1006,0))&gt;=100000), " ",IF(INDEX($AD$2:$AU$1001,MATCH(ROWS($W$2:W474),$W$2:$W$1001,0),MATCH(COLUMNS($AD$1006:AI1006),$AD$1006:$AU$1006,0)), HYPERLINK("#",""), HYPERLINK(CONCATENATE("#metadata!", ADDRESS(INDEX($Y$2:$Y$1001,MATCH(ROWS($W$2:W474),$W$2:$W$1001,0),0), INDEX($AD$1004:$AU$1004,1,MATCH(COLUMNS($AD$1006:AI1006),$AD$1006:$AU$1006,0)))),"Fix")))</f>
        <v xml:space="preserve"> </v>
      </c>
      <c r="H474" s="4" t="str">
        <f ca="1">IF(OR(INDEX($X$2:$X$1001,MATCH(ROWS($W$2:W474),$W$2:$W$1001,0),1)&gt;=100000,INDEX($AD$1005:$AU$1005,1,MATCH(COLUMNS($AD$1006:AJ1006),$AD$1006:$AU$1006,0))&gt;=100000), " ",IF(INDEX($AD$2:$AU$1001,MATCH(ROWS($W$2:W474),$W$2:$W$1001,0),MATCH(COLUMNS($AD$1006:AJ1006),$AD$1006:$AU$1006,0)), HYPERLINK("#",""), HYPERLINK(CONCATENATE("#metadata!", ADDRESS(INDEX($Y$2:$Y$1001,MATCH(ROWS($W$2:W474),$W$2:$W$1001,0),0), INDEX($AD$1004:$AU$1004,1,MATCH(COLUMNS($AD$1006:AJ1006),$AD$1006:$AU$1006,0)))),"Fix")))</f>
        <v xml:space="preserve"> </v>
      </c>
      <c r="I474" s="4" t="str">
        <f ca="1">IF(OR(INDEX($X$2:$X$1001,MATCH(ROWS($W$2:W474),$W$2:$W$1001,0),1)&gt;=100000,INDEX($AD$1005:$AU$1005,1,MATCH(COLUMNS($AD$1006:AK1006),$AD$1006:$AU$1006,0))&gt;=100000), " ",IF(INDEX($AD$2:$AU$1001,MATCH(ROWS($W$2:W474),$W$2:$W$1001,0),MATCH(COLUMNS($AD$1006:AK1006),$AD$1006:$AU$1006,0)), HYPERLINK("#",""), HYPERLINK(CONCATENATE("#metadata!", ADDRESS(INDEX($Y$2:$Y$1001,MATCH(ROWS($W$2:W474),$W$2:$W$1001,0),0), INDEX($AD$1004:$AU$1004,1,MATCH(COLUMNS($AD$1006:AK1006),$AD$1006:$AU$1006,0)))),"Fix")))</f>
        <v xml:space="preserve"> </v>
      </c>
      <c r="J474" s="4" t="str">
        <f ca="1">IF(OR(INDEX($X$2:$X$1001,MATCH(ROWS($W$2:W474),$W$2:$W$1001,0),1)&gt;=100000,INDEX($AD$1005:$AU$1005,1,MATCH(COLUMNS($AD$1006:AL1006),$AD$1006:$AU$1006,0))&gt;=100000), " ",IF(INDEX($AD$2:$AU$1001,MATCH(ROWS($W$2:W474),$W$2:$W$1001,0),MATCH(COLUMNS($AD$1006:AL1006),$AD$1006:$AU$1006,0)), HYPERLINK("#",""), HYPERLINK(CONCATENATE("#metadata!", ADDRESS(INDEX($Y$2:$Y$1001,MATCH(ROWS($W$2:W474),$W$2:$W$1001,0),0), INDEX($AD$1004:$AU$1004,1,MATCH(COLUMNS($AD$1006:AL1006),$AD$1006:$AU$1006,0)))),"Fix")))</f>
        <v xml:space="preserve"> </v>
      </c>
      <c r="K474" s="4" t="str">
        <f ca="1">IF(OR(INDEX($X$2:$X$1001,MATCH(ROWS($W$2:W474),$W$2:$W$1001,0),1)&gt;=100000,INDEX($AD$1005:$AU$1005,1,MATCH(COLUMNS($AD$1006:AM1006),$AD$1006:$AU$1006,0))&gt;=100000), " ",IF(INDEX($AD$2:$AU$1001,MATCH(ROWS($W$2:W474),$W$2:$W$1001,0),MATCH(COLUMNS($AD$1006:AM1006),$AD$1006:$AU$1006,0)), HYPERLINK("#",""), HYPERLINK(CONCATENATE("#metadata!", ADDRESS(INDEX($Y$2:$Y$1001,MATCH(ROWS($W$2:W474),$W$2:$W$1001,0),0), INDEX($AD$1004:$AU$1004,1,MATCH(COLUMNS($AD$1006:AM1006),$AD$1006:$AU$1006,0)))),"Fix")))</f>
        <v xml:space="preserve"> </v>
      </c>
      <c r="L474" s="4" t="str">
        <f ca="1">IF(OR(INDEX($X$2:$X$1001,MATCH(ROWS($W$2:W474),$W$2:$W$1001,0),1)&gt;=100000,INDEX($AD$1005:$AU$1005,1,MATCH(COLUMNS($AD$1006:AN1006),$AD$1006:$AU$1006,0))&gt;=100000), " ",IF(INDEX($AD$2:$AU$1001,MATCH(ROWS($W$2:W474),$W$2:$W$1001,0),MATCH(COLUMNS($AD$1006:AN1006),$AD$1006:$AU$1006,0)), HYPERLINK("#",""), HYPERLINK(CONCATENATE("#metadata!", ADDRESS(INDEX($Y$2:$Y$1001,MATCH(ROWS($W$2:W474),$W$2:$W$1001,0),0), INDEX($AD$1004:$AU$1004,1,MATCH(COLUMNS($AD$1006:AN1006),$AD$1006:$AU$1006,0)))),"Fix")))</f>
        <v xml:space="preserve"> </v>
      </c>
      <c r="M474" s="4" t="str">
        <f ca="1">IF(OR(INDEX($X$2:$X$1001,MATCH(ROWS($W$2:W474),$W$2:$W$1001,0),1)&gt;=100000,INDEX($AD$1005:$AU$1005,1,MATCH(COLUMNS($AD$1006:AO1006),$AD$1006:$AU$1006,0))&gt;=100000), " ",IF(INDEX($AD$2:$AU$1001,MATCH(ROWS($W$2:W474),$W$2:$W$1001,0),MATCH(COLUMNS($AD$1006:AO1006),$AD$1006:$AU$1006,0)), HYPERLINK("#",""), HYPERLINK(CONCATENATE("#metadata!", ADDRESS(INDEX($Y$2:$Y$1001,MATCH(ROWS($W$2:W474),$W$2:$W$1001,0),0), INDEX($AD$1004:$AU$1004,1,MATCH(COLUMNS($AD$1006:AO1006),$AD$1006:$AU$1006,0)))),"Fix")))</f>
        <v xml:space="preserve"> </v>
      </c>
      <c r="N474" s="4" t="str">
        <f ca="1">IF(OR(INDEX($X$2:$X$1001,MATCH(ROWS($W$2:W474),$W$2:$W$1001,0),1)&gt;=100000,INDEX($AD$1005:$AU$1005,1,MATCH(COLUMNS($AD$1006:AP1006),$AD$1006:$AU$1006,0))&gt;=100000), " ",IF(INDEX($AD$2:$AU$1001,MATCH(ROWS($W$2:W474),$W$2:$W$1001,0),MATCH(COLUMNS($AD$1006:AP1006),$AD$1006:$AU$1006,0)), HYPERLINK("#",""), HYPERLINK(CONCATENATE("#metadata!", ADDRESS(INDEX($Y$2:$Y$1001,MATCH(ROWS($W$2:W474),$W$2:$W$1001,0),0), INDEX($AD$1004:$AU$1004,1,MATCH(COLUMNS($AD$1006:AP1006),$AD$1006:$AU$1006,0)))),"Fix")))</f>
        <v xml:space="preserve"> </v>
      </c>
      <c r="O474" s="4" t="str">
        <f ca="1">IF(OR(INDEX($X$2:$X$1001,MATCH(ROWS($W$2:W474),$W$2:$W$1001,0),1)&gt;=100000,INDEX($AD$1005:$AU$1005,1,MATCH(COLUMNS($AD$1006:AQ1006),$AD$1006:$AU$1006,0))&gt;=100000), " ",IF(INDEX($AD$2:$AU$1001,MATCH(ROWS($W$2:W474),$W$2:$W$1001,0),MATCH(COLUMNS($AD$1006:AQ1006),$AD$1006:$AU$1006,0)), HYPERLINK("#",""), HYPERLINK(CONCATENATE("#metadata!", ADDRESS(INDEX($Y$2:$Y$1001,MATCH(ROWS($W$2:W474),$W$2:$W$1001,0),0), INDEX($AD$1004:$AU$1004,1,MATCH(COLUMNS($AD$1006:AQ1006),$AD$1006:$AU$1006,0)))),"Fix")))</f>
        <v xml:space="preserve"> </v>
      </c>
      <c r="P474" s="4" t="str">
        <f ca="1">IF(OR(INDEX($X$2:$X$1001,MATCH(ROWS($W$2:W474),$W$2:$W$1001,0),1)&gt;=100000,INDEX($AD$1005:$AU$1005,1,MATCH(COLUMNS($AD$1006:AR1006),$AD$1006:$AU$1006,0))&gt;=100000), " ",IF(INDEX($AD$2:$AU$1001,MATCH(ROWS($W$2:W474),$W$2:$W$1001,0),MATCH(COLUMNS($AD$1006:AR1006),$AD$1006:$AU$1006,0)), HYPERLINK("#",""), HYPERLINK(CONCATENATE("#metadata!", ADDRESS(INDEX($Y$2:$Y$1001,MATCH(ROWS($W$2:W474),$W$2:$W$1001,0),0), INDEX($AD$1004:$AU$1004,1,MATCH(COLUMNS($AD$1006:AR1006),$AD$1006:$AU$1006,0)))),"Fix")))</f>
        <v xml:space="preserve"> </v>
      </c>
      <c r="Q474" s="4" t="str">
        <f ca="1">IF(OR(INDEX($X$2:$X$1001,MATCH(ROWS($W$2:W474),$W$2:$W$1001,0),1)&gt;=100000,INDEX($AD$1005:$AU$1005,1,MATCH(COLUMNS($AD$1006:AS1006),$AD$1006:$AU$1006,0))&gt;=100000), " ",IF(INDEX($AD$2:$AU$1001,MATCH(ROWS($W$2:W474),$W$2:$W$1001,0),MATCH(COLUMNS($AD$1006:AS1006),$AD$1006:$AU$1006,0)), HYPERLINK("#",""), HYPERLINK(CONCATENATE("#metadata!", ADDRESS(INDEX($Y$2:$Y$1001,MATCH(ROWS($W$2:W474),$W$2:$W$1001,0),0), INDEX($AD$1004:$AU$1004,1,MATCH(COLUMNS($AD$1006:AS1006),$AD$1006:$AU$1006,0)))),"Fix")))</f>
        <v xml:space="preserve"> </v>
      </c>
      <c r="R474" s="4" t="str">
        <f ca="1">IF(OR(INDEX($X$2:$X$1001,MATCH(ROWS($W$2:W474),$W$2:$W$1001,0),1)&gt;=100000,INDEX($AD$1005:$AU$1005,1,MATCH(COLUMNS($AD$1006:AT1006),$AD$1006:$AU$1006,0))&gt;=100000), " ",IF(INDEX($AD$2:$AU$1001,MATCH(ROWS($W$2:W474),$W$2:$W$1001,0),MATCH(COLUMNS($AD$1006:AT1006),$AD$1006:$AU$1006,0)), HYPERLINK("#",""), HYPERLINK(CONCATENATE("#metadata!", ADDRESS(INDEX($Y$2:$Y$1001,MATCH(ROWS($W$2:W474),$W$2:$W$1001,0),0), INDEX($AD$1004:$AU$1004,1,MATCH(COLUMNS($AD$1006:AT1006),$AD$1006:$AU$1006,0)))),"Fix")))</f>
        <v xml:space="preserve"> </v>
      </c>
      <c r="S474" s="4" t="str">
        <f ca="1">IF(OR(INDEX($X$2:$X$1001,MATCH(ROWS($W$2:W474),$W$2:$W$1001,0),1)&gt;=100000,INDEX($AD$1005:$AU$1005,1,MATCH(COLUMNS($AD$1006:AU1006),$AD$1006:$AU$1006,0))&gt;=100000), " ",IF(INDEX($AD$2:$AU$1001,MATCH(ROWS($W$2:W474),$W$2:$W$1001,0),MATCH(COLUMNS($AD$1006:AU1006),$AD$1006:$AU$1006,0)), HYPERLINK("#",""), HYPERLINK(CONCATENATE("#metadata!", ADDRESS(INDEX($Y$2:$Y$1001,MATCH(ROWS($W$2:W474),$W$2:$W$1001,0),0), INDEX($AD$1004:$AU$1004,1,MATCH(COLUMNS($AD$1006:AU1006),$AD$1006:$AU$1006,0)))),"Fix")))</f>
        <v xml:space="preserve"> </v>
      </c>
      <c r="W474">
        <v>473</v>
      </c>
      <c r="X474">
        <v>100474</v>
      </c>
      <c r="Y474">
        <v>474</v>
      </c>
      <c r="Z474" t="b">
        <f t="shared" si="7"/>
        <v>1</v>
      </c>
      <c r="AA474" t="b">
        <f>COUNTBLANK(metadata!B474:S474)=COLUMNS(metadata!B474:S474)</f>
        <v>1</v>
      </c>
      <c r="AB474" t="str">
        <v/>
      </c>
      <c r="AD474" t="b">
        <f ca="1">AND(IF(metadata!B474="",FALSE,TRUE),COUNTIF(metadata!B:B, metadata!B474) = 1,NOT(ISERROR(SUMPRODUCT(SEARCH(MID(metadata!B474,ROW(INDIRECT("1:"&amp;LEN(metadata!B474))), 1),"0123456789abcdefghijklmnopqrstuvwxyzABCDEFGHIJKLMNOPQRSTUVWXYZ.")))))</f>
        <v>0</v>
      </c>
      <c r="AE474" t="b">
        <f>OR(AND(IF(metadata!C474="",FALSE,TRUE),OR(EXACT(metadata!C474,"not applicable"),EXACT(metadata!C474,"missing: not collected"),EXACT(metadata!C474,"missing: not provided"),EXACT(metadata!C474,"missing: restricted access"))),AND(IF(metadata!C474="",FALSE,ISNUMBER(VALUE(metadata!C474))),metadata!C474&gt;0))</f>
        <v>0</v>
      </c>
      <c r="AF474" t="b">
        <f>AND(IF(metadata!D474="",FALSE,TRUE),EXACT(metadata!D474,"missing: not provided"))</f>
        <v>0</v>
      </c>
      <c r="AG474" t="b">
        <f>AND(IF(metadata!E474="",FALSE,TRUE),EXACT(metadata!E474,"Host-associated"))</f>
        <v>0</v>
      </c>
      <c r="AH474" t="b">
        <f>AND(IF(metadata!F474="",FALSE,TRUE),OR(EXACT(metadata!F474,"Animal"),EXACT(metadata!F474,"Fungus"),EXACT(metadata!F474,"Plant")))</f>
        <v>0</v>
      </c>
      <c r="AI474" t="b">
        <f>AND(IF(metadata!G474="",FALSE,TRUE),OR(EXACT(metadata!G474,"Plant secretion"),EXACT(metadata!G474,"Plant rhizosphere"),EXACT(metadata!G474,"Plant surface"),EXACT(metadata!G474,"Plant corpus"),EXACT(metadata!G474,"Fungus surface"),EXACT(metadata!G474,"Fungus corpus"),EXACT(metadata!G474,"Animal surface"),EXACT(metadata!G474,"Animal proximal gut"),EXACT(metadata!G474,"Animal corpus"),EXACT(metadata!G474,"Animal distal gut"),EXACT(metadata!G474,"Animal secretion")))</f>
        <v>0</v>
      </c>
      <c r="AJ474" t="b">
        <f>OR(AND(IF(metadata!H474="",FALSE,TRUE),OR(EXACT(metadata!H474,"missing: not collected"),EXACT(metadata!H474,"missing: not provided"),EXACT(metadata!H474,"missing: restricted access"))),AND(IF(metadata!H474="",FALSE,TRUE),OR(EXACT(metadata!H474,"organism-associated habitat"),EXACT(metadata!H474,"plant-associated habitat"),EXACT(metadata!H474,"animal-associated habitat"),EXACT(metadata!H474,"insecta-associated habitat"),EXACT(metadata!H474,"mammalia-associated habitat"),EXACT(metadata!H474,"human-associated habitat"),EXACT(metadata!H474,"livestock-associated habitat"))))</f>
        <v>0</v>
      </c>
      <c r="AK474" t="b">
        <f>AND(IF(metadata!I474="",FALSE,TRUE),EXACT(metadata!I474,"host-associated"))</f>
        <v>0</v>
      </c>
      <c r="AL474" t="b">
        <f>OR(AND(IF(metadata!J474="",FALSE,TRUE),OR(EXACT(metadata!J474,"not applicable"),EXACT(metadata!J474,"missing: not collected"),EXACT(metadata!J474,"missing: not provided"),EXACT(metadata!J474,"missing: restricted access"))),AND(IF(metadata!J474="",FALSE,ISNUMBER(VALUE(metadata!J474))),metadata!J474&gt;0))</f>
        <v>0</v>
      </c>
      <c r="AM474" t="b">
        <f>AND(IF(metadata!K474="",FALSE,TRUE),EXACT(metadata!K474,"missing: not provided"))</f>
        <v>0</v>
      </c>
      <c r="AN474" t="b">
        <f>IF(metadata!L474="",FALSE,TRUE)</f>
        <v>0</v>
      </c>
      <c r="AO474" t="b">
        <f>IF(metadata!M474="",FALSE,TRUE)</f>
        <v>0</v>
      </c>
      <c r="AP474" t="b">
        <f>OR(AND(IF(metadata!N474="",FALSE,TRUE),OR(EXACT(metadata!N474,"not applicable"),EXACT(metadata!N474,"missing: not collected"),EXACT(metadata!N474,"missing: not provided"))),AND(IF(metadata!N474="",FALSE,IF(ISERROR(INT(metadata!N474)),FALSE,INT(metadata!N474)=metadata!N474)),metadata!N474&gt;0))</f>
        <v>0</v>
      </c>
      <c r="AQ474" t="b">
        <f>AND(IF(metadata!O474="",FALSE,TRUE),EXACT(metadata!O474,"Not applicable"))</f>
        <v>0</v>
      </c>
      <c r="AR474" t="b">
        <f>OR(AND(IF(metadata!P474="",FALSE,TRUE),OR(EXACT(metadata!P474,"not applicable"),EXACT(metadata!P474,"missing: not collected"),EXACT(metadata!P474,"missing: not provided"),EXACT(metadata!P474,"missing: restricted access"))),IF(metadata!P474="",FALSE,IF(ISERROR(INT(metadata!P474)),FALSE,INT(metadata!P474)=metadata!P474)))</f>
        <v>0</v>
      </c>
      <c r="AS474" t="b">
        <f>AND(IF(metadata!Q474="",FALSE,TRUE),EXACT(metadata!Q474,"Not applicable"))</f>
        <v>0</v>
      </c>
      <c r="AT474" t="b">
        <f>OR(AND(IF(metadata!R474="",FALSE,TRUE),OR(EXACT(metadata!R474,"not applicable"),EXACT(metadata!R474,"missing: not collected"),EXACT(metadata!R474,"missing: not provided"),EXACT(metadata!R474,"missing: restricted access"))),AND(IF(metadata!R474="",FALSE,ISNUMBER(VALUE(metadata!R474))),metadata!R474&gt;0))</f>
        <v>0</v>
      </c>
      <c r="AU474" t="b">
        <f>AND(IF(metadata!S474="",FALSE,TRUE),EXACT(metadata!S474,"missing: not provided"))</f>
        <v>0</v>
      </c>
    </row>
    <row r="475" spans="1:47" x14ac:dyDescent="0.2">
      <c r="A475" s="5" t="str">
        <f ca="1">IF(B475=" "," ",HYPERLINK(CONCATENATE("#metadata!",ADDRESS(INDEX($Y$2:$Y$1001,MATCH(ROWS($W$2:W475),$W$2:$W$1001,0),0),1)),INDEX($AB$2:$AB$1001,MATCH(ROWS($W$2:W475),$W$2:$W$1001,0),0)))</f>
        <v xml:space="preserve"> </v>
      </c>
      <c r="B475" s="4" t="str">
        <f ca="1">IF(OR(INDEX($X$2:$X$1001,MATCH(ROWS($W$2:W475),$W$2:$W$1001,0),1)&gt;=100000,INDEX($AD$1005:$AU$1005,1,MATCH(COLUMNS($AD$1006:AD1006),$AD$1006:$AU$1006,0))&gt;=100000), " ",IF(INDEX($AD$2:$AU$1001,MATCH(ROWS($W$2:W475),$W$2:$W$1001,0),MATCH(COLUMNS($AD$1006:AD1006),$AD$1006:$AU$1006,0)), HYPERLINK("#",""), HYPERLINK(CONCATENATE("#metadata!", ADDRESS(INDEX($Y$2:$Y$1001,MATCH(ROWS($W$2:W475),$W$2:$W$1001,0),0), INDEX($AD$1004:$AU$1004,1,MATCH(COLUMNS($AD$1006:AD1006),$AD$1006:$AU$1006,0)))),"Fix")))</f>
        <v xml:space="preserve"> </v>
      </c>
      <c r="C475" s="4" t="str">
        <f ca="1">IF(OR(INDEX($X$2:$X$1001,MATCH(ROWS($W$2:W475),$W$2:$W$1001,0),1)&gt;=100000,INDEX($AD$1005:$AU$1005,1,MATCH(COLUMNS($AD$1006:AE1006),$AD$1006:$AU$1006,0))&gt;=100000), " ",IF(INDEX($AD$2:$AU$1001,MATCH(ROWS($W$2:W475),$W$2:$W$1001,0),MATCH(COLUMNS($AD$1006:AE1006),$AD$1006:$AU$1006,0)), HYPERLINK("#",""), HYPERLINK(CONCATENATE("#metadata!", ADDRESS(INDEX($Y$2:$Y$1001,MATCH(ROWS($W$2:W475),$W$2:$W$1001,0),0), INDEX($AD$1004:$AU$1004,1,MATCH(COLUMNS($AD$1006:AE1006),$AD$1006:$AU$1006,0)))),"Fix")))</f>
        <v xml:space="preserve"> </v>
      </c>
      <c r="D475" s="4" t="str">
        <f ca="1">IF(OR(INDEX($X$2:$X$1001,MATCH(ROWS($W$2:W475),$W$2:$W$1001,0),1)&gt;=100000,INDEX($AD$1005:$AU$1005,1,MATCH(COLUMNS($AD$1006:AF1006),$AD$1006:$AU$1006,0))&gt;=100000), " ",IF(INDEX($AD$2:$AU$1001,MATCH(ROWS($W$2:W475),$W$2:$W$1001,0),MATCH(COLUMNS($AD$1006:AF1006),$AD$1006:$AU$1006,0)), HYPERLINK("#",""), HYPERLINK(CONCATENATE("#metadata!", ADDRESS(INDEX($Y$2:$Y$1001,MATCH(ROWS($W$2:W475),$W$2:$W$1001,0),0), INDEX($AD$1004:$AU$1004,1,MATCH(COLUMNS($AD$1006:AF1006),$AD$1006:$AU$1006,0)))),"Fix")))</f>
        <v xml:space="preserve"> </v>
      </c>
      <c r="E475" s="4" t="str">
        <f ca="1">IF(OR(INDEX($X$2:$X$1001,MATCH(ROWS($W$2:W475),$W$2:$W$1001,0),1)&gt;=100000,INDEX($AD$1005:$AU$1005,1,MATCH(COLUMNS($AD$1006:AG1006),$AD$1006:$AU$1006,0))&gt;=100000), " ",IF(INDEX($AD$2:$AU$1001,MATCH(ROWS($W$2:W475),$W$2:$W$1001,0),MATCH(COLUMNS($AD$1006:AG1006),$AD$1006:$AU$1006,0)), HYPERLINK("#",""), HYPERLINK(CONCATENATE("#metadata!", ADDRESS(INDEX($Y$2:$Y$1001,MATCH(ROWS($W$2:W475),$W$2:$W$1001,0),0), INDEX($AD$1004:$AU$1004,1,MATCH(COLUMNS($AD$1006:AG1006),$AD$1006:$AU$1006,0)))),"Fix")))</f>
        <v xml:space="preserve"> </v>
      </c>
      <c r="F475" s="4" t="str">
        <f ca="1">IF(OR(INDEX($X$2:$X$1001,MATCH(ROWS($W$2:W475),$W$2:$W$1001,0),1)&gt;=100000,INDEX($AD$1005:$AU$1005,1,MATCH(COLUMNS($AD$1006:AH1006),$AD$1006:$AU$1006,0))&gt;=100000), " ",IF(INDEX($AD$2:$AU$1001,MATCH(ROWS($W$2:W475),$W$2:$W$1001,0),MATCH(COLUMNS($AD$1006:AH1006),$AD$1006:$AU$1006,0)), HYPERLINK("#",""), HYPERLINK(CONCATENATE("#metadata!", ADDRESS(INDEX($Y$2:$Y$1001,MATCH(ROWS($W$2:W475),$W$2:$W$1001,0),0), INDEX($AD$1004:$AU$1004,1,MATCH(COLUMNS($AD$1006:AH1006),$AD$1006:$AU$1006,0)))),"Fix")))</f>
        <v xml:space="preserve"> </v>
      </c>
      <c r="G475" s="4" t="str">
        <f ca="1">IF(OR(INDEX($X$2:$X$1001,MATCH(ROWS($W$2:W475),$W$2:$W$1001,0),1)&gt;=100000,INDEX($AD$1005:$AU$1005,1,MATCH(COLUMNS($AD$1006:AI1006),$AD$1006:$AU$1006,0))&gt;=100000), " ",IF(INDEX($AD$2:$AU$1001,MATCH(ROWS($W$2:W475),$W$2:$W$1001,0),MATCH(COLUMNS($AD$1006:AI1006),$AD$1006:$AU$1006,0)), HYPERLINK("#",""), HYPERLINK(CONCATENATE("#metadata!", ADDRESS(INDEX($Y$2:$Y$1001,MATCH(ROWS($W$2:W475),$W$2:$W$1001,0),0), INDEX($AD$1004:$AU$1004,1,MATCH(COLUMNS($AD$1006:AI1006),$AD$1006:$AU$1006,0)))),"Fix")))</f>
        <v xml:space="preserve"> </v>
      </c>
      <c r="H475" s="4" t="str">
        <f ca="1">IF(OR(INDEX($X$2:$X$1001,MATCH(ROWS($W$2:W475),$W$2:$W$1001,0),1)&gt;=100000,INDEX($AD$1005:$AU$1005,1,MATCH(COLUMNS($AD$1006:AJ1006),$AD$1006:$AU$1006,0))&gt;=100000), " ",IF(INDEX($AD$2:$AU$1001,MATCH(ROWS($W$2:W475),$W$2:$W$1001,0),MATCH(COLUMNS($AD$1006:AJ1006),$AD$1006:$AU$1006,0)), HYPERLINK("#",""), HYPERLINK(CONCATENATE("#metadata!", ADDRESS(INDEX($Y$2:$Y$1001,MATCH(ROWS($W$2:W475),$W$2:$W$1001,0),0), INDEX($AD$1004:$AU$1004,1,MATCH(COLUMNS($AD$1006:AJ1006),$AD$1006:$AU$1006,0)))),"Fix")))</f>
        <v xml:space="preserve"> </v>
      </c>
      <c r="I475" s="4" t="str">
        <f ca="1">IF(OR(INDEX($X$2:$X$1001,MATCH(ROWS($W$2:W475),$W$2:$W$1001,0),1)&gt;=100000,INDEX($AD$1005:$AU$1005,1,MATCH(COLUMNS($AD$1006:AK1006),$AD$1006:$AU$1006,0))&gt;=100000), " ",IF(INDEX($AD$2:$AU$1001,MATCH(ROWS($W$2:W475),$W$2:$W$1001,0),MATCH(COLUMNS($AD$1006:AK1006),$AD$1006:$AU$1006,0)), HYPERLINK("#",""), HYPERLINK(CONCATENATE("#metadata!", ADDRESS(INDEX($Y$2:$Y$1001,MATCH(ROWS($W$2:W475),$W$2:$W$1001,0),0), INDEX($AD$1004:$AU$1004,1,MATCH(COLUMNS($AD$1006:AK1006),$AD$1006:$AU$1006,0)))),"Fix")))</f>
        <v xml:space="preserve"> </v>
      </c>
      <c r="J475" s="4" t="str">
        <f ca="1">IF(OR(INDEX($X$2:$X$1001,MATCH(ROWS($W$2:W475),$W$2:$W$1001,0),1)&gt;=100000,INDEX($AD$1005:$AU$1005,1,MATCH(COLUMNS($AD$1006:AL1006),$AD$1006:$AU$1006,0))&gt;=100000), " ",IF(INDEX($AD$2:$AU$1001,MATCH(ROWS($W$2:W475),$W$2:$W$1001,0),MATCH(COLUMNS($AD$1006:AL1006),$AD$1006:$AU$1006,0)), HYPERLINK("#",""), HYPERLINK(CONCATENATE("#metadata!", ADDRESS(INDEX($Y$2:$Y$1001,MATCH(ROWS($W$2:W475),$W$2:$W$1001,0),0), INDEX($AD$1004:$AU$1004,1,MATCH(COLUMNS($AD$1006:AL1006),$AD$1006:$AU$1006,0)))),"Fix")))</f>
        <v xml:space="preserve"> </v>
      </c>
      <c r="K475" s="4" t="str">
        <f ca="1">IF(OR(INDEX($X$2:$X$1001,MATCH(ROWS($W$2:W475),$W$2:$W$1001,0),1)&gt;=100000,INDEX($AD$1005:$AU$1005,1,MATCH(COLUMNS($AD$1006:AM1006),$AD$1006:$AU$1006,0))&gt;=100000), " ",IF(INDEX($AD$2:$AU$1001,MATCH(ROWS($W$2:W475),$W$2:$W$1001,0),MATCH(COLUMNS($AD$1006:AM1006),$AD$1006:$AU$1006,0)), HYPERLINK("#",""), HYPERLINK(CONCATENATE("#metadata!", ADDRESS(INDEX($Y$2:$Y$1001,MATCH(ROWS($W$2:W475),$W$2:$W$1001,0),0), INDEX($AD$1004:$AU$1004,1,MATCH(COLUMNS($AD$1006:AM1006),$AD$1006:$AU$1006,0)))),"Fix")))</f>
        <v xml:space="preserve"> </v>
      </c>
      <c r="L475" s="4" t="str">
        <f ca="1">IF(OR(INDEX($X$2:$X$1001,MATCH(ROWS($W$2:W475),$W$2:$W$1001,0),1)&gt;=100000,INDEX($AD$1005:$AU$1005,1,MATCH(COLUMNS($AD$1006:AN1006),$AD$1006:$AU$1006,0))&gt;=100000), " ",IF(INDEX($AD$2:$AU$1001,MATCH(ROWS($W$2:W475),$W$2:$W$1001,0),MATCH(COLUMNS($AD$1006:AN1006),$AD$1006:$AU$1006,0)), HYPERLINK("#",""), HYPERLINK(CONCATENATE("#metadata!", ADDRESS(INDEX($Y$2:$Y$1001,MATCH(ROWS($W$2:W475),$W$2:$W$1001,0),0), INDEX($AD$1004:$AU$1004,1,MATCH(COLUMNS($AD$1006:AN1006),$AD$1006:$AU$1006,0)))),"Fix")))</f>
        <v xml:space="preserve"> </v>
      </c>
      <c r="M475" s="4" t="str">
        <f ca="1">IF(OR(INDEX($X$2:$X$1001,MATCH(ROWS($W$2:W475),$W$2:$W$1001,0),1)&gt;=100000,INDEX($AD$1005:$AU$1005,1,MATCH(COLUMNS($AD$1006:AO1006),$AD$1006:$AU$1006,0))&gt;=100000), " ",IF(INDEX($AD$2:$AU$1001,MATCH(ROWS($W$2:W475),$W$2:$W$1001,0),MATCH(COLUMNS($AD$1006:AO1006),$AD$1006:$AU$1006,0)), HYPERLINK("#",""), HYPERLINK(CONCATENATE("#metadata!", ADDRESS(INDEX($Y$2:$Y$1001,MATCH(ROWS($W$2:W475),$W$2:$W$1001,0),0), INDEX($AD$1004:$AU$1004,1,MATCH(COLUMNS($AD$1006:AO1006),$AD$1006:$AU$1006,0)))),"Fix")))</f>
        <v xml:space="preserve"> </v>
      </c>
      <c r="N475" s="4" t="str">
        <f ca="1">IF(OR(INDEX($X$2:$X$1001,MATCH(ROWS($W$2:W475),$W$2:$W$1001,0),1)&gt;=100000,INDEX($AD$1005:$AU$1005,1,MATCH(COLUMNS($AD$1006:AP1006),$AD$1006:$AU$1006,0))&gt;=100000), " ",IF(INDEX($AD$2:$AU$1001,MATCH(ROWS($W$2:W475),$W$2:$W$1001,0),MATCH(COLUMNS($AD$1006:AP1006),$AD$1006:$AU$1006,0)), HYPERLINK("#",""), HYPERLINK(CONCATENATE("#metadata!", ADDRESS(INDEX($Y$2:$Y$1001,MATCH(ROWS($W$2:W475),$W$2:$W$1001,0),0), INDEX($AD$1004:$AU$1004,1,MATCH(COLUMNS($AD$1006:AP1006),$AD$1006:$AU$1006,0)))),"Fix")))</f>
        <v xml:space="preserve"> </v>
      </c>
      <c r="O475" s="4" t="str">
        <f ca="1">IF(OR(INDEX($X$2:$X$1001,MATCH(ROWS($W$2:W475),$W$2:$W$1001,0),1)&gt;=100000,INDEX($AD$1005:$AU$1005,1,MATCH(COLUMNS($AD$1006:AQ1006),$AD$1006:$AU$1006,0))&gt;=100000), " ",IF(INDEX($AD$2:$AU$1001,MATCH(ROWS($W$2:W475),$W$2:$W$1001,0),MATCH(COLUMNS($AD$1006:AQ1006),$AD$1006:$AU$1006,0)), HYPERLINK("#",""), HYPERLINK(CONCATENATE("#metadata!", ADDRESS(INDEX($Y$2:$Y$1001,MATCH(ROWS($W$2:W475),$W$2:$W$1001,0),0), INDEX($AD$1004:$AU$1004,1,MATCH(COLUMNS($AD$1006:AQ1006),$AD$1006:$AU$1006,0)))),"Fix")))</f>
        <v xml:space="preserve"> </v>
      </c>
      <c r="P475" s="4" t="str">
        <f ca="1">IF(OR(INDEX($X$2:$X$1001,MATCH(ROWS($W$2:W475),$W$2:$W$1001,0),1)&gt;=100000,INDEX($AD$1005:$AU$1005,1,MATCH(COLUMNS($AD$1006:AR1006),$AD$1006:$AU$1006,0))&gt;=100000), " ",IF(INDEX($AD$2:$AU$1001,MATCH(ROWS($W$2:W475),$W$2:$W$1001,0),MATCH(COLUMNS($AD$1006:AR1006),$AD$1006:$AU$1006,0)), HYPERLINK("#",""), HYPERLINK(CONCATENATE("#metadata!", ADDRESS(INDEX($Y$2:$Y$1001,MATCH(ROWS($W$2:W475),$W$2:$W$1001,0),0), INDEX($AD$1004:$AU$1004,1,MATCH(COLUMNS($AD$1006:AR1006),$AD$1006:$AU$1006,0)))),"Fix")))</f>
        <v xml:space="preserve"> </v>
      </c>
      <c r="Q475" s="4" t="str">
        <f ca="1">IF(OR(INDEX($X$2:$X$1001,MATCH(ROWS($W$2:W475),$W$2:$W$1001,0),1)&gt;=100000,INDEX($AD$1005:$AU$1005,1,MATCH(COLUMNS($AD$1006:AS1006),$AD$1006:$AU$1006,0))&gt;=100000), " ",IF(INDEX($AD$2:$AU$1001,MATCH(ROWS($W$2:W475),$W$2:$W$1001,0),MATCH(COLUMNS($AD$1006:AS1006),$AD$1006:$AU$1006,0)), HYPERLINK("#",""), HYPERLINK(CONCATENATE("#metadata!", ADDRESS(INDEX($Y$2:$Y$1001,MATCH(ROWS($W$2:W475),$W$2:$W$1001,0),0), INDEX($AD$1004:$AU$1004,1,MATCH(COLUMNS($AD$1006:AS1006),$AD$1006:$AU$1006,0)))),"Fix")))</f>
        <v xml:space="preserve"> </v>
      </c>
      <c r="R475" s="4" t="str">
        <f ca="1">IF(OR(INDEX($X$2:$X$1001,MATCH(ROWS($W$2:W475),$W$2:$W$1001,0),1)&gt;=100000,INDEX($AD$1005:$AU$1005,1,MATCH(COLUMNS($AD$1006:AT1006),$AD$1006:$AU$1006,0))&gt;=100000), " ",IF(INDEX($AD$2:$AU$1001,MATCH(ROWS($W$2:W475),$W$2:$W$1001,0),MATCH(COLUMNS($AD$1006:AT1006),$AD$1006:$AU$1006,0)), HYPERLINK("#",""), HYPERLINK(CONCATENATE("#metadata!", ADDRESS(INDEX($Y$2:$Y$1001,MATCH(ROWS($W$2:W475),$W$2:$W$1001,0),0), INDEX($AD$1004:$AU$1004,1,MATCH(COLUMNS($AD$1006:AT1006),$AD$1006:$AU$1006,0)))),"Fix")))</f>
        <v xml:space="preserve"> </v>
      </c>
      <c r="S475" s="4" t="str">
        <f ca="1">IF(OR(INDEX($X$2:$X$1001,MATCH(ROWS($W$2:W475),$W$2:$W$1001,0),1)&gt;=100000,INDEX($AD$1005:$AU$1005,1,MATCH(COLUMNS($AD$1006:AU1006),$AD$1006:$AU$1006,0))&gt;=100000), " ",IF(INDEX($AD$2:$AU$1001,MATCH(ROWS($W$2:W475),$W$2:$W$1001,0),MATCH(COLUMNS($AD$1006:AU1006),$AD$1006:$AU$1006,0)), HYPERLINK("#",""), HYPERLINK(CONCATENATE("#metadata!", ADDRESS(INDEX($Y$2:$Y$1001,MATCH(ROWS($W$2:W475),$W$2:$W$1001,0),0), INDEX($AD$1004:$AU$1004,1,MATCH(COLUMNS($AD$1006:AU1006),$AD$1006:$AU$1006,0)))),"Fix")))</f>
        <v xml:space="preserve"> </v>
      </c>
      <c r="W475">
        <v>474</v>
      </c>
      <c r="X475">
        <v>100475</v>
      </c>
      <c r="Y475">
        <v>475</v>
      </c>
      <c r="Z475" t="b">
        <f t="shared" si="7"/>
        <v>1</v>
      </c>
      <c r="AA475" t="b">
        <f>COUNTBLANK(metadata!B475:S475)=COLUMNS(metadata!B475:S475)</f>
        <v>1</v>
      </c>
      <c r="AB475" t="str">
        <v/>
      </c>
      <c r="AD475" t="b">
        <f ca="1">AND(IF(metadata!B475="",FALSE,TRUE),COUNTIF(metadata!B:B, metadata!B475) = 1,NOT(ISERROR(SUMPRODUCT(SEARCH(MID(metadata!B475,ROW(INDIRECT("1:"&amp;LEN(metadata!B475))), 1),"0123456789abcdefghijklmnopqrstuvwxyzABCDEFGHIJKLMNOPQRSTUVWXYZ.")))))</f>
        <v>0</v>
      </c>
      <c r="AE475" t="b">
        <f>OR(AND(IF(metadata!C475="",FALSE,TRUE),OR(EXACT(metadata!C475,"not applicable"),EXACT(metadata!C475,"missing: not collected"),EXACT(metadata!C475,"missing: not provided"),EXACT(metadata!C475,"missing: restricted access"))),AND(IF(metadata!C475="",FALSE,ISNUMBER(VALUE(metadata!C475))),metadata!C475&gt;0))</f>
        <v>0</v>
      </c>
      <c r="AF475" t="b">
        <f>AND(IF(metadata!D475="",FALSE,TRUE),EXACT(metadata!D475,"missing: not provided"))</f>
        <v>0</v>
      </c>
      <c r="AG475" t="b">
        <f>AND(IF(metadata!E475="",FALSE,TRUE),EXACT(metadata!E475,"Host-associated"))</f>
        <v>0</v>
      </c>
      <c r="AH475" t="b">
        <f>AND(IF(metadata!F475="",FALSE,TRUE),OR(EXACT(metadata!F475,"Animal"),EXACT(metadata!F475,"Fungus"),EXACT(metadata!F475,"Plant")))</f>
        <v>0</v>
      </c>
      <c r="AI475" t="b">
        <f>AND(IF(metadata!G475="",FALSE,TRUE),OR(EXACT(metadata!G475,"Plant secretion"),EXACT(metadata!G475,"Plant rhizosphere"),EXACT(metadata!G475,"Plant surface"),EXACT(metadata!G475,"Plant corpus"),EXACT(metadata!G475,"Fungus surface"),EXACT(metadata!G475,"Fungus corpus"),EXACT(metadata!G475,"Animal surface"),EXACT(metadata!G475,"Animal proximal gut"),EXACT(metadata!G475,"Animal corpus"),EXACT(metadata!G475,"Animal distal gut"),EXACT(metadata!G475,"Animal secretion")))</f>
        <v>0</v>
      </c>
      <c r="AJ475" t="b">
        <f>OR(AND(IF(metadata!H475="",FALSE,TRUE),OR(EXACT(metadata!H475,"missing: not collected"),EXACT(metadata!H475,"missing: not provided"),EXACT(metadata!H475,"missing: restricted access"))),AND(IF(metadata!H475="",FALSE,TRUE),OR(EXACT(metadata!H475,"organism-associated habitat"),EXACT(metadata!H475,"plant-associated habitat"),EXACT(metadata!H475,"animal-associated habitat"),EXACT(metadata!H475,"insecta-associated habitat"),EXACT(metadata!H475,"mammalia-associated habitat"),EXACT(metadata!H475,"human-associated habitat"),EXACT(metadata!H475,"livestock-associated habitat"))))</f>
        <v>0</v>
      </c>
      <c r="AK475" t="b">
        <f>AND(IF(metadata!I475="",FALSE,TRUE),EXACT(metadata!I475,"host-associated"))</f>
        <v>0</v>
      </c>
      <c r="AL475" t="b">
        <f>OR(AND(IF(metadata!J475="",FALSE,TRUE),OR(EXACT(metadata!J475,"not applicable"),EXACT(metadata!J475,"missing: not collected"),EXACT(metadata!J475,"missing: not provided"),EXACT(metadata!J475,"missing: restricted access"))),AND(IF(metadata!J475="",FALSE,ISNUMBER(VALUE(metadata!J475))),metadata!J475&gt;0))</f>
        <v>0</v>
      </c>
      <c r="AM475" t="b">
        <f>AND(IF(metadata!K475="",FALSE,TRUE),EXACT(metadata!K475,"missing: not provided"))</f>
        <v>0</v>
      </c>
      <c r="AN475" t="b">
        <f>IF(metadata!L475="",FALSE,TRUE)</f>
        <v>0</v>
      </c>
      <c r="AO475" t="b">
        <f>IF(metadata!M475="",FALSE,TRUE)</f>
        <v>0</v>
      </c>
      <c r="AP475" t="b">
        <f>OR(AND(IF(metadata!N475="",FALSE,TRUE),OR(EXACT(metadata!N475,"not applicable"),EXACT(metadata!N475,"missing: not collected"),EXACT(metadata!N475,"missing: not provided"))),AND(IF(metadata!N475="",FALSE,IF(ISERROR(INT(metadata!N475)),FALSE,INT(metadata!N475)=metadata!N475)),metadata!N475&gt;0))</f>
        <v>0</v>
      </c>
      <c r="AQ475" t="b">
        <f>AND(IF(metadata!O475="",FALSE,TRUE),EXACT(metadata!O475,"Not applicable"))</f>
        <v>0</v>
      </c>
      <c r="AR475" t="b">
        <f>OR(AND(IF(metadata!P475="",FALSE,TRUE),OR(EXACT(metadata!P475,"not applicable"),EXACT(metadata!P475,"missing: not collected"),EXACT(metadata!P475,"missing: not provided"),EXACT(metadata!P475,"missing: restricted access"))),IF(metadata!P475="",FALSE,IF(ISERROR(INT(metadata!P475)),FALSE,INT(metadata!P475)=metadata!P475)))</f>
        <v>0</v>
      </c>
      <c r="AS475" t="b">
        <f>AND(IF(metadata!Q475="",FALSE,TRUE),EXACT(metadata!Q475,"Not applicable"))</f>
        <v>0</v>
      </c>
      <c r="AT475" t="b">
        <f>OR(AND(IF(metadata!R475="",FALSE,TRUE),OR(EXACT(metadata!R475,"not applicable"),EXACT(metadata!R475,"missing: not collected"),EXACT(metadata!R475,"missing: not provided"),EXACT(metadata!R475,"missing: restricted access"))),AND(IF(metadata!R475="",FALSE,ISNUMBER(VALUE(metadata!R475))),metadata!R475&gt;0))</f>
        <v>0</v>
      </c>
      <c r="AU475" t="b">
        <f>AND(IF(metadata!S475="",FALSE,TRUE),EXACT(metadata!S475,"missing: not provided"))</f>
        <v>0</v>
      </c>
    </row>
    <row r="476" spans="1:47" x14ac:dyDescent="0.2">
      <c r="A476" s="5" t="str">
        <f ca="1">IF(B476=" "," ",HYPERLINK(CONCATENATE("#metadata!",ADDRESS(INDEX($Y$2:$Y$1001,MATCH(ROWS($W$2:W476),$W$2:$W$1001,0),0),1)),INDEX($AB$2:$AB$1001,MATCH(ROWS($W$2:W476),$W$2:$W$1001,0),0)))</f>
        <v xml:space="preserve"> </v>
      </c>
      <c r="B476" s="4" t="str">
        <f ca="1">IF(OR(INDEX($X$2:$X$1001,MATCH(ROWS($W$2:W476),$W$2:$W$1001,0),1)&gt;=100000,INDEX($AD$1005:$AU$1005,1,MATCH(COLUMNS($AD$1006:AD1006),$AD$1006:$AU$1006,0))&gt;=100000), " ",IF(INDEX($AD$2:$AU$1001,MATCH(ROWS($W$2:W476),$W$2:$W$1001,0),MATCH(COLUMNS($AD$1006:AD1006),$AD$1006:$AU$1006,0)), HYPERLINK("#",""), HYPERLINK(CONCATENATE("#metadata!", ADDRESS(INDEX($Y$2:$Y$1001,MATCH(ROWS($W$2:W476),$W$2:$W$1001,0),0), INDEX($AD$1004:$AU$1004,1,MATCH(COLUMNS($AD$1006:AD1006),$AD$1006:$AU$1006,0)))),"Fix")))</f>
        <v xml:space="preserve"> </v>
      </c>
      <c r="C476" s="4" t="str">
        <f ca="1">IF(OR(INDEX($X$2:$X$1001,MATCH(ROWS($W$2:W476),$W$2:$W$1001,0),1)&gt;=100000,INDEX($AD$1005:$AU$1005,1,MATCH(COLUMNS($AD$1006:AE1006),$AD$1006:$AU$1006,0))&gt;=100000), " ",IF(INDEX($AD$2:$AU$1001,MATCH(ROWS($W$2:W476),$W$2:$W$1001,0),MATCH(COLUMNS($AD$1006:AE1006),$AD$1006:$AU$1006,0)), HYPERLINK("#",""), HYPERLINK(CONCATENATE("#metadata!", ADDRESS(INDEX($Y$2:$Y$1001,MATCH(ROWS($W$2:W476),$W$2:$W$1001,0),0), INDEX($AD$1004:$AU$1004,1,MATCH(COLUMNS($AD$1006:AE1006),$AD$1006:$AU$1006,0)))),"Fix")))</f>
        <v xml:space="preserve"> </v>
      </c>
      <c r="D476" s="4" t="str">
        <f ca="1">IF(OR(INDEX($X$2:$X$1001,MATCH(ROWS($W$2:W476),$W$2:$W$1001,0),1)&gt;=100000,INDEX($AD$1005:$AU$1005,1,MATCH(COLUMNS($AD$1006:AF1006),$AD$1006:$AU$1006,0))&gt;=100000), " ",IF(INDEX($AD$2:$AU$1001,MATCH(ROWS($W$2:W476),$W$2:$W$1001,0),MATCH(COLUMNS($AD$1006:AF1006),$AD$1006:$AU$1006,0)), HYPERLINK("#",""), HYPERLINK(CONCATENATE("#metadata!", ADDRESS(INDEX($Y$2:$Y$1001,MATCH(ROWS($W$2:W476),$W$2:$W$1001,0),0), INDEX($AD$1004:$AU$1004,1,MATCH(COLUMNS($AD$1006:AF1006),$AD$1006:$AU$1006,0)))),"Fix")))</f>
        <v xml:space="preserve"> </v>
      </c>
      <c r="E476" s="4" t="str">
        <f ca="1">IF(OR(INDEX($X$2:$X$1001,MATCH(ROWS($W$2:W476),$W$2:$W$1001,0),1)&gt;=100000,INDEX($AD$1005:$AU$1005,1,MATCH(COLUMNS($AD$1006:AG1006),$AD$1006:$AU$1006,0))&gt;=100000), " ",IF(INDEX($AD$2:$AU$1001,MATCH(ROWS($W$2:W476),$W$2:$W$1001,0),MATCH(COLUMNS($AD$1006:AG1006),$AD$1006:$AU$1006,0)), HYPERLINK("#",""), HYPERLINK(CONCATENATE("#metadata!", ADDRESS(INDEX($Y$2:$Y$1001,MATCH(ROWS($W$2:W476),$W$2:$W$1001,0),0), INDEX($AD$1004:$AU$1004,1,MATCH(COLUMNS($AD$1006:AG1006),$AD$1006:$AU$1006,0)))),"Fix")))</f>
        <v xml:space="preserve"> </v>
      </c>
      <c r="F476" s="4" t="str">
        <f ca="1">IF(OR(INDEX($X$2:$X$1001,MATCH(ROWS($W$2:W476),$W$2:$W$1001,0),1)&gt;=100000,INDEX($AD$1005:$AU$1005,1,MATCH(COLUMNS($AD$1006:AH1006),$AD$1006:$AU$1006,0))&gt;=100000), " ",IF(INDEX($AD$2:$AU$1001,MATCH(ROWS($W$2:W476),$W$2:$W$1001,0),MATCH(COLUMNS($AD$1006:AH1006),$AD$1006:$AU$1006,0)), HYPERLINK("#",""), HYPERLINK(CONCATENATE("#metadata!", ADDRESS(INDEX($Y$2:$Y$1001,MATCH(ROWS($W$2:W476),$W$2:$W$1001,0),0), INDEX($AD$1004:$AU$1004,1,MATCH(COLUMNS($AD$1006:AH1006),$AD$1006:$AU$1006,0)))),"Fix")))</f>
        <v xml:space="preserve"> </v>
      </c>
      <c r="G476" s="4" t="str">
        <f ca="1">IF(OR(INDEX($X$2:$X$1001,MATCH(ROWS($W$2:W476),$W$2:$W$1001,0),1)&gt;=100000,INDEX($AD$1005:$AU$1005,1,MATCH(COLUMNS($AD$1006:AI1006),$AD$1006:$AU$1006,0))&gt;=100000), " ",IF(INDEX($AD$2:$AU$1001,MATCH(ROWS($W$2:W476),$W$2:$W$1001,0),MATCH(COLUMNS($AD$1006:AI1006),$AD$1006:$AU$1006,0)), HYPERLINK("#",""), HYPERLINK(CONCATENATE("#metadata!", ADDRESS(INDEX($Y$2:$Y$1001,MATCH(ROWS($W$2:W476),$W$2:$W$1001,0),0), INDEX($AD$1004:$AU$1004,1,MATCH(COLUMNS($AD$1006:AI1006),$AD$1006:$AU$1006,0)))),"Fix")))</f>
        <v xml:space="preserve"> </v>
      </c>
      <c r="H476" s="4" t="str">
        <f ca="1">IF(OR(INDEX($X$2:$X$1001,MATCH(ROWS($W$2:W476),$W$2:$W$1001,0),1)&gt;=100000,INDEX($AD$1005:$AU$1005,1,MATCH(COLUMNS($AD$1006:AJ1006),$AD$1006:$AU$1006,0))&gt;=100000), " ",IF(INDEX($AD$2:$AU$1001,MATCH(ROWS($W$2:W476),$W$2:$W$1001,0),MATCH(COLUMNS($AD$1006:AJ1006),$AD$1006:$AU$1006,0)), HYPERLINK("#",""), HYPERLINK(CONCATENATE("#metadata!", ADDRESS(INDEX($Y$2:$Y$1001,MATCH(ROWS($W$2:W476),$W$2:$W$1001,0),0), INDEX($AD$1004:$AU$1004,1,MATCH(COLUMNS($AD$1006:AJ1006),$AD$1006:$AU$1006,0)))),"Fix")))</f>
        <v xml:space="preserve"> </v>
      </c>
      <c r="I476" s="4" t="str">
        <f ca="1">IF(OR(INDEX($X$2:$X$1001,MATCH(ROWS($W$2:W476),$W$2:$W$1001,0),1)&gt;=100000,INDEX($AD$1005:$AU$1005,1,MATCH(COLUMNS($AD$1006:AK1006),$AD$1006:$AU$1006,0))&gt;=100000), " ",IF(INDEX($AD$2:$AU$1001,MATCH(ROWS($W$2:W476),$W$2:$W$1001,0),MATCH(COLUMNS($AD$1006:AK1006),$AD$1006:$AU$1006,0)), HYPERLINK("#",""), HYPERLINK(CONCATENATE("#metadata!", ADDRESS(INDEX($Y$2:$Y$1001,MATCH(ROWS($W$2:W476),$W$2:$W$1001,0),0), INDEX($AD$1004:$AU$1004,1,MATCH(COLUMNS($AD$1006:AK1006),$AD$1006:$AU$1006,0)))),"Fix")))</f>
        <v xml:space="preserve"> </v>
      </c>
      <c r="J476" s="4" t="str">
        <f ca="1">IF(OR(INDEX($X$2:$X$1001,MATCH(ROWS($W$2:W476),$W$2:$W$1001,0),1)&gt;=100000,INDEX($AD$1005:$AU$1005,1,MATCH(COLUMNS($AD$1006:AL1006),$AD$1006:$AU$1006,0))&gt;=100000), " ",IF(INDEX($AD$2:$AU$1001,MATCH(ROWS($W$2:W476),$W$2:$W$1001,0),MATCH(COLUMNS($AD$1006:AL1006),$AD$1006:$AU$1006,0)), HYPERLINK("#",""), HYPERLINK(CONCATENATE("#metadata!", ADDRESS(INDEX($Y$2:$Y$1001,MATCH(ROWS($W$2:W476),$W$2:$W$1001,0),0), INDEX($AD$1004:$AU$1004,1,MATCH(COLUMNS($AD$1006:AL1006),$AD$1006:$AU$1006,0)))),"Fix")))</f>
        <v xml:space="preserve"> </v>
      </c>
      <c r="K476" s="4" t="str">
        <f ca="1">IF(OR(INDEX($X$2:$X$1001,MATCH(ROWS($W$2:W476),$W$2:$W$1001,0),1)&gt;=100000,INDEX($AD$1005:$AU$1005,1,MATCH(COLUMNS($AD$1006:AM1006),$AD$1006:$AU$1006,0))&gt;=100000), " ",IF(INDEX($AD$2:$AU$1001,MATCH(ROWS($W$2:W476),$W$2:$W$1001,0),MATCH(COLUMNS($AD$1006:AM1006),$AD$1006:$AU$1006,0)), HYPERLINK("#",""), HYPERLINK(CONCATENATE("#metadata!", ADDRESS(INDEX($Y$2:$Y$1001,MATCH(ROWS($W$2:W476),$W$2:$W$1001,0),0), INDEX($AD$1004:$AU$1004,1,MATCH(COLUMNS($AD$1006:AM1006),$AD$1006:$AU$1006,0)))),"Fix")))</f>
        <v xml:space="preserve"> </v>
      </c>
      <c r="L476" s="4" t="str">
        <f ca="1">IF(OR(INDEX($X$2:$X$1001,MATCH(ROWS($W$2:W476),$W$2:$W$1001,0),1)&gt;=100000,INDEX($AD$1005:$AU$1005,1,MATCH(COLUMNS($AD$1006:AN1006),$AD$1006:$AU$1006,0))&gt;=100000), " ",IF(INDEX($AD$2:$AU$1001,MATCH(ROWS($W$2:W476),$W$2:$W$1001,0),MATCH(COLUMNS($AD$1006:AN1006),$AD$1006:$AU$1006,0)), HYPERLINK("#",""), HYPERLINK(CONCATENATE("#metadata!", ADDRESS(INDEX($Y$2:$Y$1001,MATCH(ROWS($W$2:W476),$W$2:$W$1001,0),0), INDEX($AD$1004:$AU$1004,1,MATCH(COLUMNS($AD$1006:AN1006),$AD$1006:$AU$1006,0)))),"Fix")))</f>
        <v xml:space="preserve"> </v>
      </c>
      <c r="M476" s="4" t="str">
        <f ca="1">IF(OR(INDEX($X$2:$X$1001,MATCH(ROWS($W$2:W476),$W$2:$W$1001,0),1)&gt;=100000,INDEX($AD$1005:$AU$1005,1,MATCH(COLUMNS($AD$1006:AO1006),$AD$1006:$AU$1006,0))&gt;=100000), " ",IF(INDEX($AD$2:$AU$1001,MATCH(ROWS($W$2:W476),$W$2:$W$1001,0),MATCH(COLUMNS($AD$1006:AO1006),$AD$1006:$AU$1006,0)), HYPERLINK("#",""), HYPERLINK(CONCATENATE("#metadata!", ADDRESS(INDEX($Y$2:$Y$1001,MATCH(ROWS($W$2:W476),$W$2:$W$1001,0),0), INDEX($AD$1004:$AU$1004,1,MATCH(COLUMNS($AD$1006:AO1006),$AD$1006:$AU$1006,0)))),"Fix")))</f>
        <v xml:space="preserve"> </v>
      </c>
      <c r="N476" s="4" t="str">
        <f ca="1">IF(OR(INDEX($X$2:$X$1001,MATCH(ROWS($W$2:W476),$W$2:$W$1001,0),1)&gt;=100000,INDEX($AD$1005:$AU$1005,1,MATCH(COLUMNS($AD$1006:AP1006),$AD$1006:$AU$1006,0))&gt;=100000), " ",IF(INDEX($AD$2:$AU$1001,MATCH(ROWS($W$2:W476),$W$2:$W$1001,0),MATCH(COLUMNS($AD$1006:AP1006),$AD$1006:$AU$1006,0)), HYPERLINK("#",""), HYPERLINK(CONCATENATE("#metadata!", ADDRESS(INDEX($Y$2:$Y$1001,MATCH(ROWS($W$2:W476),$W$2:$W$1001,0),0), INDEX($AD$1004:$AU$1004,1,MATCH(COLUMNS($AD$1006:AP1006),$AD$1006:$AU$1006,0)))),"Fix")))</f>
        <v xml:space="preserve"> </v>
      </c>
      <c r="O476" s="4" t="str">
        <f ca="1">IF(OR(INDEX($X$2:$X$1001,MATCH(ROWS($W$2:W476),$W$2:$W$1001,0),1)&gt;=100000,INDEX($AD$1005:$AU$1005,1,MATCH(COLUMNS($AD$1006:AQ1006),$AD$1006:$AU$1006,0))&gt;=100000), " ",IF(INDEX($AD$2:$AU$1001,MATCH(ROWS($W$2:W476),$W$2:$W$1001,0),MATCH(COLUMNS($AD$1006:AQ1006),$AD$1006:$AU$1006,0)), HYPERLINK("#",""), HYPERLINK(CONCATENATE("#metadata!", ADDRESS(INDEX($Y$2:$Y$1001,MATCH(ROWS($W$2:W476),$W$2:$W$1001,0),0), INDEX($AD$1004:$AU$1004,1,MATCH(COLUMNS($AD$1006:AQ1006),$AD$1006:$AU$1006,0)))),"Fix")))</f>
        <v xml:space="preserve"> </v>
      </c>
      <c r="P476" s="4" t="str">
        <f ca="1">IF(OR(INDEX($X$2:$X$1001,MATCH(ROWS($W$2:W476),$W$2:$W$1001,0),1)&gt;=100000,INDEX($AD$1005:$AU$1005,1,MATCH(COLUMNS($AD$1006:AR1006),$AD$1006:$AU$1006,0))&gt;=100000), " ",IF(INDEX($AD$2:$AU$1001,MATCH(ROWS($W$2:W476),$W$2:$W$1001,0),MATCH(COLUMNS($AD$1006:AR1006),$AD$1006:$AU$1006,0)), HYPERLINK("#",""), HYPERLINK(CONCATENATE("#metadata!", ADDRESS(INDEX($Y$2:$Y$1001,MATCH(ROWS($W$2:W476),$W$2:$W$1001,0),0), INDEX($AD$1004:$AU$1004,1,MATCH(COLUMNS($AD$1006:AR1006),$AD$1006:$AU$1006,0)))),"Fix")))</f>
        <v xml:space="preserve"> </v>
      </c>
      <c r="Q476" s="4" t="str">
        <f ca="1">IF(OR(INDEX($X$2:$X$1001,MATCH(ROWS($W$2:W476),$W$2:$W$1001,0),1)&gt;=100000,INDEX($AD$1005:$AU$1005,1,MATCH(COLUMNS($AD$1006:AS1006),$AD$1006:$AU$1006,0))&gt;=100000), " ",IF(INDEX($AD$2:$AU$1001,MATCH(ROWS($W$2:W476),$W$2:$W$1001,0),MATCH(COLUMNS($AD$1006:AS1006),$AD$1006:$AU$1006,0)), HYPERLINK("#",""), HYPERLINK(CONCATENATE("#metadata!", ADDRESS(INDEX($Y$2:$Y$1001,MATCH(ROWS($W$2:W476),$W$2:$W$1001,0),0), INDEX($AD$1004:$AU$1004,1,MATCH(COLUMNS($AD$1006:AS1006),$AD$1006:$AU$1006,0)))),"Fix")))</f>
        <v xml:space="preserve"> </v>
      </c>
      <c r="R476" s="4" t="str">
        <f ca="1">IF(OR(INDEX($X$2:$X$1001,MATCH(ROWS($W$2:W476),$W$2:$W$1001,0),1)&gt;=100000,INDEX($AD$1005:$AU$1005,1,MATCH(COLUMNS($AD$1006:AT1006),$AD$1006:$AU$1006,0))&gt;=100000), " ",IF(INDEX($AD$2:$AU$1001,MATCH(ROWS($W$2:W476),$W$2:$W$1001,0),MATCH(COLUMNS($AD$1006:AT1006),$AD$1006:$AU$1006,0)), HYPERLINK("#",""), HYPERLINK(CONCATENATE("#metadata!", ADDRESS(INDEX($Y$2:$Y$1001,MATCH(ROWS($W$2:W476),$W$2:$W$1001,0),0), INDEX($AD$1004:$AU$1004,1,MATCH(COLUMNS($AD$1006:AT1006),$AD$1006:$AU$1006,0)))),"Fix")))</f>
        <v xml:space="preserve"> </v>
      </c>
      <c r="S476" s="4" t="str">
        <f ca="1">IF(OR(INDEX($X$2:$X$1001,MATCH(ROWS($W$2:W476),$W$2:$W$1001,0),1)&gt;=100000,INDEX($AD$1005:$AU$1005,1,MATCH(COLUMNS($AD$1006:AU1006),$AD$1006:$AU$1006,0))&gt;=100000), " ",IF(INDEX($AD$2:$AU$1001,MATCH(ROWS($W$2:W476),$W$2:$W$1001,0),MATCH(COLUMNS($AD$1006:AU1006),$AD$1006:$AU$1006,0)), HYPERLINK("#",""), HYPERLINK(CONCATENATE("#metadata!", ADDRESS(INDEX($Y$2:$Y$1001,MATCH(ROWS($W$2:W476),$W$2:$W$1001,0),0), INDEX($AD$1004:$AU$1004,1,MATCH(COLUMNS($AD$1006:AU1006),$AD$1006:$AU$1006,0)))),"Fix")))</f>
        <v xml:space="preserve"> </v>
      </c>
      <c r="W476">
        <v>475</v>
      </c>
      <c r="X476">
        <v>100476</v>
      </c>
      <c r="Y476">
        <v>476</v>
      </c>
      <c r="Z476" t="b">
        <f t="shared" si="7"/>
        <v>1</v>
      </c>
      <c r="AA476" t="b">
        <f>COUNTBLANK(metadata!B476:S476)=COLUMNS(metadata!B476:S476)</f>
        <v>1</v>
      </c>
      <c r="AB476" t="str">
        <v/>
      </c>
      <c r="AD476" t="b">
        <f ca="1">AND(IF(metadata!B476="",FALSE,TRUE),COUNTIF(metadata!B:B, metadata!B476) = 1,NOT(ISERROR(SUMPRODUCT(SEARCH(MID(metadata!B476,ROW(INDIRECT("1:"&amp;LEN(metadata!B476))), 1),"0123456789abcdefghijklmnopqrstuvwxyzABCDEFGHIJKLMNOPQRSTUVWXYZ.")))))</f>
        <v>0</v>
      </c>
      <c r="AE476" t="b">
        <f>OR(AND(IF(metadata!C476="",FALSE,TRUE),OR(EXACT(metadata!C476,"not applicable"),EXACT(metadata!C476,"missing: not collected"),EXACT(metadata!C476,"missing: not provided"),EXACT(metadata!C476,"missing: restricted access"))),AND(IF(metadata!C476="",FALSE,ISNUMBER(VALUE(metadata!C476))),metadata!C476&gt;0))</f>
        <v>0</v>
      </c>
      <c r="AF476" t="b">
        <f>AND(IF(metadata!D476="",FALSE,TRUE),EXACT(metadata!D476,"missing: not provided"))</f>
        <v>0</v>
      </c>
      <c r="AG476" t="b">
        <f>AND(IF(metadata!E476="",FALSE,TRUE),EXACT(metadata!E476,"Host-associated"))</f>
        <v>0</v>
      </c>
      <c r="AH476" t="b">
        <f>AND(IF(metadata!F476="",FALSE,TRUE),OR(EXACT(metadata!F476,"Animal"),EXACT(metadata!F476,"Fungus"),EXACT(metadata!F476,"Plant")))</f>
        <v>0</v>
      </c>
      <c r="AI476" t="b">
        <f>AND(IF(metadata!G476="",FALSE,TRUE),OR(EXACT(metadata!G476,"Plant secretion"),EXACT(metadata!G476,"Plant rhizosphere"),EXACT(metadata!G476,"Plant surface"),EXACT(metadata!G476,"Plant corpus"),EXACT(metadata!G476,"Fungus surface"),EXACT(metadata!G476,"Fungus corpus"),EXACT(metadata!G476,"Animal surface"),EXACT(metadata!G476,"Animal proximal gut"),EXACT(metadata!G476,"Animal corpus"),EXACT(metadata!G476,"Animal distal gut"),EXACT(metadata!G476,"Animal secretion")))</f>
        <v>0</v>
      </c>
      <c r="AJ476" t="b">
        <f>OR(AND(IF(metadata!H476="",FALSE,TRUE),OR(EXACT(metadata!H476,"missing: not collected"),EXACT(metadata!H476,"missing: not provided"),EXACT(metadata!H476,"missing: restricted access"))),AND(IF(metadata!H476="",FALSE,TRUE),OR(EXACT(metadata!H476,"organism-associated habitat"),EXACT(metadata!H476,"plant-associated habitat"),EXACT(metadata!H476,"animal-associated habitat"),EXACT(metadata!H476,"insecta-associated habitat"),EXACT(metadata!H476,"mammalia-associated habitat"),EXACT(metadata!H476,"human-associated habitat"),EXACT(metadata!H476,"livestock-associated habitat"))))</f>
        <v>0</v>
      </c>
      <c r="AK476" t="b">
        <f>AND(IF(metadata!I476="",FALSE,TRUE),EXACT(metadata!I476,"host-associated"))</f>
        <v>0</v>
      </c>
      <c r="AL476" t="b">
        <f>OR(AND(IF(metadata!J476="",FALSE,TRUE),OR(EXACT(metadata!J476,"not applicable"),EXACT(metadata!J476,"missing: not collected"),EXACT(metadata!J476,"missing: not provided"),EXACT(metadata!J476,"missing: restricted access"))),AND(IF(metadata!J476="",FALSE,ISNUMBER(VALUE(metadata!J476))),metadata!J476&gt;0))</f>
        <v>0</v>
      </c>
      <c r="AM476" t="b">
        <f>AND(IF(metadata!K476="",FALSE,TRUE),EXACT(metadata!K476,"missing: not provided"))</f>
        <v>0</v>
      </c>
      <c r="AN476" t="b">
        <f>IF(metadata!L476="",FALSE,TRUE)</f>
        <v>0</v>
      </c>
      <c r="AO476" t="b">
        <f>IF(metadata!M476="",FALSE,TRUE)</f>
        <v>0</v>
      </c>
      <c r="AP476" t="b">
        <f>OR(AND(IF(metadata!N476="",FALSE,TRUE),OR(EXACT(metadata!N476,"not applicable"),EXACT(metadata!N476,"missing: not collected"),EXACT(metadata!N476,"missing: not provided"))),AND(IF(metadata!N476="",FALSE,IF(ISERROR(INT(metadata!N476)),FALSE,INT(metadata!N476)=metadata!N476)),metadata!N476&gt;0))</f>
        <v>0</v>
      </c>
      <c r="AQ476" t="b">
        <f>AND(IF(metadata!O476="",FALSE,TRUE),EXACT(metadata!O476,"Not applicable"))</f>
        <v>0</v>
      </c>
      <c r="AR476" t="b">
        <f>OR(AND(IF(metadata!P476="",FALSE,TRUE),OR(EXACT(metadata!P476,"not applicable"),EXACT(metadata!P476,"missing: not collected"),EXACT(metadata!P476,"missing: not provided"),EXACT(metadata!P476,"missing: restricted access"))),IF(metadata!P476="",FALSE,IF(ISERROR(INT(metadata!P476)),FALSE,INT(metadata!P476)=metadata!P476)))</f>
        <v>0</v>
      </c>
      <c r="AS476" t="b">
        <f>AND(IF(metadata!Q476="",FALSE,TRUE),EXACT(metadata!Q476,"Not applicable"))</f>
        <v>0</v>
      </c>
      <c r="AT476" t="b">
        <f>OR(AND(IF(metadata!R476="",FALSE,TRUE),OR(EXACT(metadata!R476,"not applicable"),EXACT(metadata!R476,"missing: not collected"),EXACT(metadata!R476,"missing: not provided"),EXACT(metadata!R476,"missing: restricted access"))),AND(IF(metadata!R476="",FALSE,ISNUMBER(VALUE(metadata!R476))),metadata!R476&gt;0))</f>
        <v>0</v>
      </c>
      <c r="AU476" t="b">
        <f>AND(IF(metadata!S476="",FALSE,TRUE),EXACT(metadata!S476,"missing: not provided"))</f>
        <v>0</v>
      </c>
    </row>
    <row r="477" spans="1:47" x14ac:dyDescent="0.2">
      <c r="A477" s="5" t="str">
        <f ca="1">IF(B477=" "," ",HYPERLINK(CONCATENATE("#metadata!",ADDRESS(INDEX($Y$2:$Y$1001,MATCH(ROWS($W$2:W477),$W$2:$W$1001,0),0),1)),INDEX($AB$2:$AB$1001,MATCH(ROWS($W$2:W477),$W$2:$W$1001,0),0)))</f>
        <v xml:space="preserve"> </v>
      </c>
      <c r="B477" s="4" t="str">
        <f ca="1">IF(OR(INDEX($X$2:$X$1001,MATCH(ROWS($W$2:W477),$W$2:$W$1001,0),1)&gt;=100000,INDEX($AD$1005:$AU$1005,1,MATCH(COLUMNS($AD$1006:AD1006),$AD$1006:$AU$1006,0))&gt;=100000), " ",IF(INDEX($AD$2:$AU$1001,MATCH(ROWS($W$2:W477),$W$2:$W$1001,0),MATCH(COLUMNS($AD$1006:AD1006),$AD$1006:$AU$1006,0)), HYPERLINK("#",""), HYPERLINK(CONCATENATE("#metadata!", ADDRESS(INDEX($Y$2:$Y$1001,MATCH(ROWS($W$2:W477),$W$2:$W$1001,0),0), INDEX($AD$1004:$AU$1004,1,MATCH(COLUMNS($AD$1006:AD1006),$AD$1006:$AU$1006,0)))),"Fix")))</f>
        <v xml:space="preserve"> </v>
      </c>
      <c r="C477" s="4" t="str">
        <f ca="1">IF(OR(INDEX($X$2:$X$1001,MATCH(ROWS($W$2:W477),$W$2:$W$1001,0),1)&gt;=100000,INDEX($AD$1005:$AU$1005,1,MATCH(COLUMNS($AD$1006:AE1006),$AD$1006:$AU$1006,0))&gt;=100000), " ",IF(INDEX($AD$2:$AU$1001,MATCH(ROWS($W$2:W477),$W$2:$W$1001,0),MATCH(COLUMNS($AD$1006:AE1006),$AD$1006:$AU$1006,0)), HYPERLINK("#",""), HYPERLINK(CONCATENATE("#metadata!", ADDRESS(INDEX($Y$2:$Y$1001,MATCH(ROWS($W$2:W477),$W$2:$W$1001,0),0), INDEX($AD$1004:$AU$1004,1,MATCH(COLUMNS($AD$1006:AE1006),$AD$1006:$AU$1006,0)))),"Fix")))</f>
        <v xml:space="preserve"> </v>
      </c>
      <c r="D477" s="4" t="str">
        <f ca="1">IF(OR(INDEX($X$2:$X$1001,MATCH(ROWS($W$2:W477),$W$2:$W$1001,0),1)&gt;=100000,INDEX($AD$1005:$AU$1005,1,MATCH(COLUMNS($AD$1006:AF1006),$AD$1006:$AU$1006,0))&gt;=100000), " ",IF(INDEX($AD$2:$AU$1001,MATCH(ROWS($W$2:W477),$W$2:$W$1001,0),MATCH(COLUMNS($AD$1006:AF1006),$AD$1006:$AU$1006,0)), HYPERLINK("#",""), HYPERLINK(CONCATENATE("#metadata!", ADDRESS(INDEX($Y$2:$Y$1001,MATCH(ROWS($W$2:W477),$W$2:$W$1001,0),0), INDEX($AD$1004:$AU$1004,1,MATCH(COLUMNS($AD$1006:AF1006),$AD$1006:$AU$1006,0)))),"Fix")))</f>
        <v xml:space="preserve"> </v>
      </c>
      <c r="E477" s="4" t="str">
        <f ca="1">IF(OR(INDEX($X$2:$X$1001,MATCH(ROWS($W$2:W477),$W$2:$W$1001,0),1)&gt;=100000,INDEX($AD$1005:$AU$1005,1,MATCH(COLUMNS($AD$1006:AG1006),$AD$1006:$AU$1006,0))&gt;=100000), " ",IF(INDEX($AD$2:$AU$1001,MATCH(ROWS($W$2:W477),$W$2:$W$1001,0),MATCH(COLUMNS($AD$1006:AG1006),$AD$1006:$AU$1006,0)), HYPERLINK("#",""), HYPERLINK(CONCATENATE("#metadata!", ADDRESS(INDEX($Y$2:$Y$1001,MATCH(ROWS($W$2:W477),$W$2:$W$1001,0),0), INDEX($AD$1004:$AU$1004,1,MATCH(COLUMNS($AD$1006:AG1006),$AD$1006:$AU$1006,0)))),"Fix")))</f>
        <v xml:space="preserve"> </v>
      </c>
      <c r="F477" s="4" t="str">
        <f ca="1">IF(OR(INDEX($X$2:$X$1001,MATCH(ROWS($W$2:W477),$W$2:$W$1001,0),1)&gt;=100000,INDEX($AD$1005:$AU$1005,1,MATCH(COLUMNS($AD$1006:AH1006),$AD$1006:$AU$1006,0))&gt;=100000), " ",IF(INDEX($AD$2:$AU$1001,MATCH(ROWS($W$2:W477),$W$2:$W$1001,0),MATCH(COLUMNS($AD$1006:AH1006),$AD$1006:$AU$1006,0)), HYPERLINK("#",""), HYPERLINK(CONCATENATE("#metadata!", ADDRESS(INDEX($Y$2:$Y$1001,MATCH(ROWS($W$2:W477),$W$2:$W$1001,0),0), INDEX($AD$1004:$AU$1004,1,MATCH(COLUMNS($AD$1006:AH1006),$AD$1006:$AU$1006,0)))),"Fix")))</f>
        <v xml:space="preserve"> </v>
      </c>
      <c r="G477" s="4" t="str">
        <f ca="1">IF(OR(INDEX($X$2:$X$1001,MATCH(ROWS($W$2:W477),$W$2:$W$1001,0),1)&gt;=100000,INDEX($AD$1005:$AU$1005,1,MATCH(COLUMNS($AD$1006:AI1006),$AD$1006:$AU$1006,0))&gt;=100000), " ",IF(INDEX($AD$2:$AU$1001,MATCH(ROWS($W$2:W477),$W$2:$W$1001,0),MATCH(COLUMNS($AD$1006:AI1006),$AD$1006:$AU$1006,0)), HYPERLINK("#",""), HYPERLINK(CONCATENATE("#metadata!", ADDRESS(INDEX($Y$2:$Y$1001,MATCH(ROWS($W$2:W477),$W$2:$W$1001,0),0), INDEX($AD$1004:$AU$1004,1,MATCH(COLUMNS($AD$1006:AI1006),$AD$1006:$AU$1006,0)))),"Fix")))</f>
        <v xml:space="preserve"> </v>
      </c>
      <c r="H477" s="4" t="str">
        <f ca="1">IF(OR(INDEX($X$2:$X$1001,MATCH(ROWS($W$2:W477),$W$2:$W$1001,0),1)&gt;=100000,INDEX($AD$1005:$AU$1005,1,MATCH(COLUMNS($AD$1006:AJ1006),$AD$1006:$AU$1006,0))&gt;=100000), " ",IF(INDEX($AD$2:$AU$1001,MATCH(ROWS($W$2:W477),$W$2:$W$1001,0),MATCH(COLUMNS($AD$1006:AJ1006),$AD$1006:$AU$1006,0)), HYPERLINK("#",""), HYPERLINK(CONCATENATE("#metadata!", ADDRESS(INDEX($Y$2:$Y$1001,MATCH(ROWS($W$2:W477),$W$2:$W$1001,0),0), INDEX($AD$1004:$AU$1004,1,MATCH(COLUMNS($AD$1006:AJ1006),$AD$1006:$AU$1006,0)))),"Fix")))</f>
        <v xml:space="preserve"> </v>
      </c>
      <c r="I477" s="4" t="str">
        <f ca="1">IF(OR(INDEX($X$2:$X$1001,MATCH(ROWS($W$2:W477),$W$2:$W$1001,0),1)&gt;=100000,INDEX($AD$1005:$AU$1005,1,MATCH(COLUMNS($AD$1006:AK1006),$AD$1006:$AU$1006,0))&gt;=100000), " ",IF(INDEX($AD$2:$AU$1001,MATCH(ROWS($W$2:W477),$W$2:$W$1001,0),MATCH(COLUMNS($AD$1006:AK1006),$AD$1006:$AU$1006,0)), HYPERLINK("#",""), HYPERLINK(CONCATENATE("#metadata!", ADDRESS(INDEX($Y$2:$Y$1001,MATCH(ROWS($W$2:W477),$W$2:$W$1001,0),0), INDEX($AD$1004:$AU$1004,1,MATCH(COLUMNS($AD$1006:AK1006),$AD$1006:$AU$1006,0)))),"Fix")))</f>
        <v xml:space="preserve"> </v>
      </c>
      <c r="J477" s="4" t="str">
        <f ca="1">IF(OR(INDEX($X$2:$X$1001,MATCH(ROWS($W$2:W477),$W$2:$W$1001,0),1)&gt;=100000,INDEX($AD$1005:$AU$1005,1,MATCH(COLUMNS($AD$1006:AL1006),$AD$1006:$AU$1006,0))&gt;=100000), " ",IF(INDEX($AD$2:$AU$1001,MATCH(ROWS($W$2:W477),$W$2:$W$1001,0),MATCH(COLUMNS($AD$1006:AL1006),$AD$1006:$AU$1006,0)), HYPERLINK("#",""), HYPERLINK(CONCATENATE("#metadata!", ADDRESS(INDEX($Y$2:$Y$1001,MATCH(ROWS($W$2:W477),$W$2:$W$1001,0),0), INDEX($AD$1004:$AU$1004,1,MATCH(COLUMNS($AD$1006:AL1006),$AD$1006:$AU$1006,0)))),"Fix")))</f>
        <v xml:space="preserve"> </v>
      </c>
      <c r="K477" s="4" t="str">
        <f ca="1">IF(OR(INDEX($X$2:$X$1001,MATCH(ROWS($W$2:W477),$W$2:$W$1001,0),1)&gt;=100000,INDEX($AD$1005:$AU$1005,1,MATCH(COLUMNS($AD$1006:AM1006),$AD$1006:$AU$1006,0))&gt;=100000), " ",IF(INDEX($AD$2:$AU$1001,MATCH(ROWS($W$2:W477),$W$2:$W$1001,0),MATCH(COLUMNS($AD$1006:AM1006),$AD$1006:$AU$1006,0)), HYPERLINK("#",""), HYPERLINK(CONCATENATE("#metadata!", ADDRESS(INDEX($Y$2:$Y$1001,MATCH(ROWS($W$2:W477),$W$2:$W$1001,0),0), INDEX($AD$1004:$AU$1004,1,MATCH(COLUMNS($AD$1006:AM1006),$AD$1006:$AU$1006,0)))),"Fix")))</f>
        <v xml:space="preserve"> </v>
      </c>
      <c r="L477" s="4" t="str">
        <f ca="1">IF(OR(INDEX($X$2:$X$1001,MATCH(ROWS($W$2:W477),$W$2:$W$1001,0),1)&gt;=100000,INDEX($AD$1005:$AU$1005,1,MATCH(COLUMNS($AD$1006:AN1006),$AD$1006:$AU$1006,0))&gt;=100000), " ",IF(INDEX($AD$2:$AU$1001,MATCH(ROWS($W$2:W477),$W$2:$W$1001,0),MATCH(COLUMNS($AD$1006:AN1006),$AD$1006:$AU$1006,0)), HYPERLINK("#",""), HYPERLINK(CONCATENATE("#metadata!", ADDRESS(INDEX($Y$2:$Y$1001,MATCH(ROWS($W$2:W477),$W$2:$W$1001,0),0), INDEX($AD$1004:$AU$1004,1,MATCH(COLUMNS($AD$1006:AN1006),$AD$1006:$AU$1006,0)))),"Fix")))</f>
        <v xml:space="preserve"> </v>
      </c>
      <c r="M477" s="4" t="str">
        <f ca="1">IF(OR(INDEX($X$2:$X$1001,MATCH(ROWS($W$2:W477),$W$2:$W$1001,0),1)&gt;=100000,INDEX($AD$1005:$AU$1005,1,MATCH(COLUMNS($AD$1006:AO1006),$AD$1006:$AU$1006,0))&gt;=100000), " ",IF(INDEX($AD$2:$AU$1001,MATCH(ROWS($W$2:W477),$W$2:$W$1001,0),MATCH(COLUMNS($AD$1006:AO1006),$AD$1006:$AU$1006,0)), HYPERLINK("#",""), HYPERLINK(CONCATENATE("#metadata!", ADDRESS(INDEX($Y$2:$Y$1001,MATCH(ROWS($W$2:W477),$W$2:$W$1001,0),0), INDEX($AD$1004:$AU$1004,1,MATCH(COLUMNS($AD$1006:AO1006),$AD$1006:$AU$1006,0)))),"Fix")))</f>
        <v xml:space="preserve"> </v>
      </c>
      <c r="N477" s="4" t="str">
        <f ca="1">IF(OR(INDEX($X$2:$X$1001,MATCH(ROWS($W$2:W477),$W$2:$W$1001,0),1)&gt;=100000,INDEX($AD$1005:$AU$1005,1,MATCH(COLUMNS($AD$1006:AP1006),$AD$1006:$AU$1006,0))&gt;=100000), " ",IF(INDEX($AD$2:$AU$1001,MATCH(ROWS($W$2:W477),$W$2:$W$1001,0),MATCH(COLUMNS($AD$1006:AP1006),$AD$1006:$AU$1006,0)), HYPERLINK("#",""), HYPERLINK(CONCATENATE("#metadata!", ADDRESS(INDEX($Y$2:$Y$1001,MATCH(ROWS($W$2:W477),$W$2:$W$1001,0),0), INDEX($AD$1004:$AU$1004,1,MATCH(COLUMNS($AD$1006:AP1006),$AD$1006:$AU$1006,0)))),"Fix")))</f>
        <v xml:space="preserve"> </v>
      </c>
      <c r="O477" s="4" t="str">
        <f ca="1">IF(OR(INDEX($X$2:$X$1001,MATCH(ROWS($W$2:W477),$W$2:$W$1001,0),1)&gt;=100000,INDEX($AD$1005:$AU$1005,1,MATCH(COLUMNS($AD$1006:AQ1006),$AD$1006:$AU$1006,0))&gt;=100000), " ",IF(INDEX($AD$2:$AU$1001,MATCH(ROWS($W$2:W477),$W$2:$W$1001,0),MATCH(COLUMNS($AD$1006:AQ1006),$AD$1006:$AU$1006,0)), HYPERLINK("#",""), HYPERLINK(CONCATENATE("#metadata!", ADDRESS(INDEX($Y$2:$Y$1001,MATCH(ROWS($W$2:W477),$W$2:$W$1001,0),0), INDEX($AD$1004:$AU$1004,1,MATCH(COLUMNS($AD$1006:AQ1006),$AD$1006:$AU$1006,0)))),"Fix")))</f>
        <v xml:space="preserve"> </v>
      </c>
      <c r="P477" s="4" t="str">
        <f ca="1">IF(OR(INDEX($X$2:$X$1001,MATCH(ROWS($W$2:W477),$W$2:$W$1001,0),1)&gt;=100000,INDEX($AD$1005:$AU$1005,1,MATCH(COLUMNS($AD$1006:AR1006),$AD$1006:$AU$1006,0))&gt;=100000), " ",IF(INDEX($AD$2:$AU$1001,MATCH(ROWS($W$2:W477),$W$2:$W$1001,0),MATCH(COLUMNS($AD$1006:AR1006),$AD$1006:$AU$1006,0)), HYPERLINK("#",""), HYPERLINK(CONCATENATE("#metadata!", ADDRESS(INDEX($Y$2:$Y$1001,MATCH(ROWS($W$2:W477),$W$2:$W$1001,0),0), INDEX($AD$1004:$AU$1004,1,MATCH(COLUMNS($AD$1006:AR1006),$AD$1006:$AU$1006,0)))),"Fix")))</f>
        <v xml:space="preserve"> </v>
      </c>
      <c r="Q477" s="4" t="str">
        <f ca="1">IF(OR(INDEX($X$2:$X$1001,MATCH(ROWS($W$2:W477),$W$2:$W$1001,0),1)&gt;=100000,INDEX($AD$1005:$AU$1005,1,MATCH(COLUMNS($AD$1006:AS1006),$AD$1006:$AU$1006,0))&gt;=100000), " ",IF(INDEX($AD$2:$AU$1001,MATCH(ROWS($W$2:W477),$W$2:$W$1001,0),MATCH(COLUMNS($AD$1006:AS1006),$AD$1006:$AU$1006,0)), HYPERLINK("#",""), HYPERLINK(CONCATENATE("#metadata!", ADDRESS(INDEX($Y$2:$Y$1001,MATCH(ROWS($W$2:W477),$W$2:$W$1001,0),0), INDEX($AD$1004:$AU$1004,1,MATCH(COLUMNS($AD$1006:AS1006),$AD$1006:$AU$1006,0)))),"Fix")))</f>
        <v xml:space="preserve"> </v>
      </c>
      <c r="R477" s="4" t="str">
        <f ca="1">IF(OR(INDEX($X$2:$X$1001,MATCH(ROWS($W$2:W477),$W$2:$W$1001,0),1)&gt;=100000,INDEX($AD$1005:$AU$1005,1,MATCH(COLUMNS($AD$1006:AT1006),$AD$1006:$AU$1006,0))&gt;=100000), " ",IF(INDEX($AD$2:$AU$1001,MATCH(ROWS($W$2:W477),$W$2:$W$1001,0),MATCH(COLUMNS($AD$1006:AT1006),$AD$1006:$AU$1006,0)), HYPERLINK("#",""), HYPERLINK(CONCATENATE("#metadata!", ADDRESS(INDEX($Y$2:$Y$1001,MATCH(ROWS($W$2:W477),$W$2:$W$1001,0),0), INDEX($AD$1004:$AU$1004,1,MATCH(COLUMNS($AD$1006:AT1006),$AD$1006:$AU$1006,0)))),"Fix")))</f>
        <v xml:space="preserve"> </v>
      </c>
      <c r="S477" s="4" t="str">
        <f ca="1">IF(OR(INDEX($X$2:$X$1001,MATCH(ROWS($W$2:W477),$W$2:$W$1001,0),1)&gt;=100000,INDEX($AD$1005:$AU$1005,1,MATCH(COLUMNS($AD$1006:AU1006),$AD$1006:$AU$1006,0))&gt;=100000), " ",IF(INDEX($AD$2:$AU$1001,MATCH(ROWS($W$2:W477),$W$2:$W$1001,0),MATCH(COLUMNS($AD$1006:AU1006),$AD$1006:$AU$1006,0)), HYPERLINK("#",""), HYPERLINK(CONCATENATE("#metadata!", ADDRESS(INDEX($Y$2:$Y$1001,MATCH(ROWS($W$2:W477),$W$2:$W$1001,0),0), INDEX($AD$1004:$AU$1004,1,MATCH(COLUMNS($AD$1006:AU1006),$AD$1006:$AU$1006,0)))),"Fix")))</f>
        <v xml:space="preserve"> </v>
      </c>
      <c r="W477">
        <v>476</v>
      </c>
      <c r="X477">
        <v>100477</v>
      </c>
      <c r="Y477">
        <v>477</v>
      </c>
      <c r="Z477" t="b">
        <f t="shared" si="7"/>
        <v>1</v>
      </c>
      <c r="AA477" t="b">
        <f>COUNTBLANK(metadata!B477:S477)=COLUMNS(metadata!B477:S477)</f>
        <v>1</v>
      </c>
      <c r="AB477" t="str">
        <v/>
      </c>
      <c r="AD477" t="b">
        <f ca="1">AND(IF(metadata!B477="",FALSE,TRUE),COUNTIF(metadata!B:B, metadata!B477) = 1,NOT(ISERROR(SUMPRODUCT(SEARCH(MID(metadata!B477,ROW(INDIRECT("1:"&amp;LEN(metadata!B477))), 1),"0123456789abcdefghijklmnopqrstuvwxyzABCDEFGHIJKLMNOPQRSTUVWXYZ.")))))</f>
        <v>0</v>
      </c>
      <c r="AE477" t="b">
        <f>OR(AND(IF(metadata!C477="",FALSE,TRUE),OR(EXACT(metadata!C477,"not applicable"),EXACT(metadata!C477,"missing: not collected"),EXACT(metadata!C477,"missing: not provided"),EXACT(metadata!C477,"missing: restricted access"))),AND(IF(metadata!C477="",FALSE,ISNUMBER(VALUE(metadata!C477))),metadata!C477&gt;0))</f>
        <v>0</v>
      </c>
      <c r="AF477" t="b">
        <f>AND(IF(metadata!D477="",FALSE,TRUE),EXACT(metadata!D477,"missing: not provided"))</f>
        <v>0</v>
      </c>
      <c r="AG477" t="b">
        <f>AND(IF(metadata!E477="",FALSE,TRUE),EXACT(metadata!E477,"Host-associated"))</f>
        <v>0</v>
      </c>
      <c r="AH477" t="b">
        <f>AND(IF(metadata!F477="",FALSE,TRUE),OR(EXACT(metadata!F477,"Animal"),EXACT(metadata!F477,"Fungus"),EXACT(metadata!F477,"Plant")))</f>
        <v>0</v>
      </c>
      <c r="AI477" t="b">
        <f>AND(IF(metadata!G477="",FALSE,TRUE),OR(EXACT(metadata!G477,"Plant secretion"),EXACT(metadata!G477,"Plant rhizosphere"),EXACT(metadata!G477,"Plant surface"),EXACT(metadata!G477,"Plant corpus"),EXACT(metadata!G477,"Fungus surface"),EXACT(metadata!G477,"Fungus corpus"),EXACT(metadata!G477,"Animal surface"),EXACT(metadata!G477,"Animal proximal gut"),EXACT(metadata!G477,"Animal corpus"),EXACT(metadata!G477,"Animal distal gut"),EXACT(metadata!G477,"Animal secretion")))</f>
        <v>0</v>
      </c>
      <c r="AJ477" t="b">
        <f>OR(AND(IF(metadata!H477="",FALSE,TRUE),OR(EXACT(metadata!H477,"missing: not collected"),EXACT(metadata!H477,"missing: not provided"),EXACT(metadata!H477,"missing: restricted access"))),AND(IF(metadata!H477="",FALSE,TRUE),OR(EXACT(metadata!H477,"organism-associated habitat"),EXACT(metadata!H477,"plant-associated habitat"),EXACT(metadata!H477,"animal-associated habitat"),EXACT(metadata!H477,"insecta-associated habitat"),EXACT(metadata!H477,"mammalia-associated habitat"),EXACT(metadata!H477,"human-associated habitat"),EXACT(metadata!H477,"livestock-associated habitat"))))</f>
        <v>0</v>
      </c>
      <c r="AK477" t="b">
        <f>AND(IF(metadata!I477="",FALSE,TRUE),EXACT(metadata!I477,"host-associated"))</f>
        <v>0</v>
      </c>
      <c r="AL477" t="b">
        <f>OR(AND(IF(metadata!J477="",FALSE,TRUE),OR(EXACT(metadata!J477,"not applicable"),EXACT(metadata!J477,"missing: not collected"),EXACT(metadata!J477,"missing: not provided"),EXACT(metadata!J477,"missing: restricted access"))),AND(IF(metadata!J477="",FALSE,ISNUMBER(VALUE(metadata!J477))),metadata!J477&gt;0))</f>
        <v>0</v>
      </c>
      <c r="AM477" t="b">
        <f>AND(IF(metadata!K477="",FALSE,TRUE),EXACT(metadata!K477,"missing: not provided"))</f>
        <v>0</v>
      </c>
      <c r="AN477" t="b">
        <f>IF(metadata!L477="",FALSE,TRUE)</f>
        <v>0</v>
      </c>
      <c r="AO477" t="b">
        <f>IF(metadata!M477="",FALSE,TRUE)</f>
        <v>0</v>
      </c>
      <c r="AP477" t="b">
        <f>OR(AND(IF(metadata!N477="",FALSE,TRUE),OR(EXACT(metadata!N477,"not applicable"),EXACT(metadata!N477,"missing: not collected"),EXACT(metadata!N477,"missing: not provided"))),AND(IF(metadata!N477="",FALSE,IF(ISERROR(INT(metadata!N477)),FALSE,INT(metadata!N477)=metadata!N477)),metadata!N477&gt;0))</f>
        <v>0</v>
      </c>
      <c r="AQ477" t="b">
        <f>AND(IF(metadata!O477="",FALSE,TRUE),EXACT(metadata!O477,"Not applicable"))</f>
        <v>0</v>
      </c>
      <c r="AR477" t="b">
        <f>OR(AND(IF(metadata!P477="",FALSE,TRUE),OR(EXACT(metadata!P477,"not applicable"),EXACT(metadata!P477,"missing: not collected"),EXACT(metadata!P477,"missing: not provided"),EXACT(metadata!P477,"missing: restricted access"))),IF(metadata!P477="",FALSE,IF(ISERROR(INT(metadata!P477)),FALSE,INT(metadata!P477)=metadata!P477)))</f>
        <v>0</v>
      </c>
      <c r="AS477" t="b">
        <f>AND(IF(metadata!Q477="",FALSE,TRUE),EXACT(metadata!Q477,"Not applicable"))</f>
        <v>0</v>
      </c>
      <c r="AT477" t="b">
        <f>OR(AND(IF(metadata!R477="",FALSE,TRUE),OR(EXACT(metadata!R477,"not applicable"),EXACT(metadata!R477,"missing: not collected"),EXACT(metadata!R477,"missing: not provided"),EXACT(metadata!R477,"missing: restricted access"))),AND(IF(metadata!R477="",FALSE,ISNUMBER(VALUE(metadata!R477))),metadata!R477&gt;0))</f>
        <v>0</v>
      </c>
      <c r="AU477" t="b">
        <f>AND(IF(metadata!S477="",FALSE,TRUE),EXACT(metadata!S477,"missing: not provided"))</f>
        <v>0</v>
      </c>
    </row>
    <row r="478" spans="1:47" x14ac:dyDescent="0.2">
      <c r="A478" s="5" t="str">
        <f ca="1">IF(B478=" "," ",HYPERLINK(CONCATENATE("#metadata!",ADDRESS(INDEX($Y$2:$Y$1001,MATCH(ROWS($W$2:W478),$W$2:$W$1001,0),0),1)),INDEX($AB$2:$AB$1001,MATCH(ROWS($W$2:W478),$W$2:$W$1001,0),0)))</f>
        <v xml:space="preserve"> </v>
      </c>
      <c r="B478" s="4" t="str">
        <f ca="1">IF(OR(INDEX($X$2:$X$1001,MATCH(ROWS($W$2:W478),$W$2:$W$1001,0),1)&gt;=100000,INDEX($AD$1005:$AU$1005,1,MATCH(COLUMNS($AD$1006:AD1006),$AD$1006:$AU$1006,0))&gt;=100000), " ",IF(INDEX($AD$2:$AU$1001,MATCH(ROWS($W$2:W478),$W$2:$W$1001,0),MATCH(COLUMNS($AD$1006:AD1006),$AD$1006:$AU$1006,0)), HYPERLINK("#",""), HYPERLINK(CONCATENATE("#metadata!", ADDRESS(INDEX($Y$2:$Y$1001,MATCH(ROWS($W$2:W478),$W$2:$W$1001,0),0), INDEX($AD$1004:$AU$1004,1,MATCH(COLUMNS($AD$1006:AD1006),$AD$1006:$AU$1006,0)))),"Fix")))</f>
        <v xml:space="preserve"> </v>
      </c>
      <c r="C478" s="4" t="str">
        <f ca="1">IF(OR(INDEX($X$2:$X$1001,MATCH(ROWS($W$2:W478),$W$2:$W$1001,0),1)&gt;=100000,INDEX($AD$1005:$AU$1005,1,MATCH(COLUMNS($AD$1006:AE1006),$AD$1006:$AU$1006,0))&gt;=100000), " ",IF(INDEX($AD$2:$AU$1001,MATCH(ROWS($W$2:W478),$W$2:$W$1001,0),MATCH(COLUMNS($AD$1006:AE1006),$AD$1006:$AU$1006,0)), HYPERLINK("#",""), HYPERLINK(CONCATENATE("#metadata!", ADDRESS(INDEX($Y$2:$Y$1001,MATCH(ROWS($W$2:W478),$W$2:$W$1001,0),0), INDEX($AD$1004:$AU$1004,1,MATCH(COLUMNS($AD$1006:AE1006),$AD$1006:$AU$1006,0)))),"Fix")))</f>
        <v xml:space="preserve"> </v>
      </c>
      <c r="D478" s="4" t="str">
        <f ca="1">IF(OR(INDEX($X$2:$X$1001,MATCH(ROWS($W$2:W478),$W$2:$W$1001,0),1)&gt;=100000,INDEX($AD$1005:$AU$1005,1,MATCH(COLUMNS($AD$1006:AF1006),$AD$1006:$AU$1006,0))&gt;=100000), " ",IF(INDEX($AD$2:$AU$1001,MATCH(ROWS($W$2:W478),$W$2:$W$1001,0),MATCH(COLUMNS($AD$1006:AF1006),$AD$1006:$AU$1006,0)), HYPERLINK("#",""), HYPERLINK(CONCATENATE("#metadata!", ADDRESS(INDEX($Y$2:$Y$1001,MATCH(ROWS($W$2:W478),$W$2:$W$1001,0),0), INDEX($AD$1004:$AU$1004,1,MATCH(COLUMNS($AD$1006:AF1006),$AD$1006:$AU$1006,0)))),"Fix")))</f>
        <v xml:space="preserve"> </v>
      </c>
      <c r="E478" s="4" t="str">
        <f ca="1">IF(OR(INDEX($X$2:$X$1001,MATCH(ROWS($W$2:W478),$W$2:$W$1001,0),1)&gt;=100000,INDEX($AD$1005:$AU$1005,1,MATCH(COLUMNS($AD$1006:AG1006),$AD$1006:$AU$1006,0))&gt;=100000), " ",IF(INDEX($AD$2:$AU$1001,MATCH(ROWS($W$2:W478),$W$2:$W$1001,0),MATCH(COLUMNS($AD$1006:AG1006),$AD$1006:$AU$1006,0)), HYPERLINK("#",""), HYPERLINK(CONCATENATE("#metadata!", ADDRESS(INDEX($Y$2:$Y$1001,MATCH(ROWS($W$2:W478),$W$2:$W$1001,0),0), INDEX($AD$1004:$AU$1004,1,MATCH(COLUMNS($AD$1006:AG1006),$AD$1006:$AU$1006,0)))),"Fix")))</f>
        <v xml:space="preserve"> </v>
      </c>
      <c r="F478" s="4" t="str">
        <f ca="1">IF(OR(INDEX($X$2:$X$1001,MATCH(ROWS($W$2:W478),$W$2:$W$1001,0),1)&gt;=100000,INDEX($AD$1005:$AU$1005,1,MATCH(COLUMNS($AD$1006:AH1006),$AD$1006:$AU$1006,0))&gt;=100000), " ",IF(INDEX($AD$2:$AU$1001,MATCH(ROWS($W$2:W478),$W$2:$W$1001,0),MATCH(COLUMNS($AD$1006:AH1006),$AD$1006:$AU$1006,0)), HYPERLINK("#",""), HYPERLINK(CONCATENATE("#metadata!", ADDRESS(INDEX($Y$2:$Y$1001,MATCH(ROWS($W$2:W478),$W$2:$W$1001,0),0), INDEX($AD$1004:$AU$1004,1,MATCH(COLUMNS($AD$1006:AH1006),$AD$1006:$AU$1006,0)))),"Fix")))</f>
        <v xml:space="preserve"> </v>
      </c>
      <c r="G478" s="4" t="str">
        <f ca="1">IF(OR(INDEX($X$2:$X$1001,MATCH(ROWS($W$2:W478),$W$2:$W$1001,0),1)&gt;=100000,INDEX($AD$1005:$AU$1005,1,MATCH(COLUMNS($AD$1006:AI1006),$AD$1006:$AU$1006,0))&gt;=100000), " ",IF(INDEX($AD$2:$AU$1001,MATCH(ROWS($W$2:W478),$W$2:$W$1001,0),MATCH(COLUMNS($AD$1006:AI1006),$AD$1006:$AU$1006,0)), HYPERLINK("#",""), HYPERLINK(CONCATENATE("#metadata!", ADDRESS(INDEX($Y$2:$Y$1001,MATCH(ROWS($W$2:W478),$W$2:$W$1001,0),0), INDEX($AD$1004:$AU$1004,1,MATCH(COLUMNS($AD$1006:AI1006),$AD$1006:$AU$1006,0)))),"Fix")))</f>
        <v xml:space="preserve"> </v>
      </c>
      <c r="H478" s="4" t="str">
        <f ca="1">IF(OR(INDEX($X$2:$X$1001,MATCH(ROWS($W$2:W478),$W$2:$W$1001,0),1)&gt;=100000,INDEX($AD$1005:$AU$1005,1,MATCH(COLUMNS($AD$1006:AJ1006),$AD$1006:$AU$1006,0))&gt;=100000), " ",IF(INDEX($AD$2:$AU$1001,MATCH(ROWS($W$2:W478),$W$2:$W$1001,0),MATCH(COLUMNS($AD$1006:AJ1006),$AD$1006:$AU$1006,0)), HYPERLINK("#",""), HYPERLINK(CONCATENATE("#metadata!", ADDRESS(INDEX($Y$2:$Y$1001,MATCH(ROWS($W$2:W478),$W$2:$W$1001,0),0), INDEX($AD$1004:$AU$1004,1,MATCH(COLUMNS($AD$1006:AJ1006),$AD$1006:$AU$1006,0)))),"Fix")))</f>
        <v xml:space="preserve"> </v>
      </c>
      <c r="I478" s="4" t="str">
        <f ca="1">IF(OR(INDEX($X$2:$X$1001,MATCH(ROWS($W$2:W478),$W$2:$W$1001,0),1)&gt;=100000,INDEX($AD$1005:$AU$1005,1,MATCH(COLUMNS($AD$1006:AK1006),$AD$1006:$AU$1006,0))&gt;=100000), " ",IF(INDEX($AD$2:$AU$1001,MATCH(ROWS($W$2:W478),$W$2:$W$1001,0),MATCH(COLUMNS($AD$1006:AK1006),$AD$1006:$AU$1006,0)), HYPERLINK("#",""), HYPERLINK(CONCATENATE("#metadata!", ADDRESS(INDEX($Y$2:$Y$1001,MATCH(ROWS($W$2:W478),$W$2:$W$1001,0),0), INDEX($AD$1004:$AU$1004,1,MATCH(COLUMNS($AD$1006:AK1006),$AD$1006:$AU$1006,0)))),"Fix")))</f>
        <v xml:space="preserve"> </v>
      </c>
      <c r="J478" s="4" t="str">
        <f ca="1">IF(OR(INDEX($X$2:$X$1001,MATCH(ROWS($W$2:W478),$W$2:$W$1001,0),1)&gt;=100000,INDEX($AD$1005:$AU$1005,1,MATCH(COLUMNS($AD$1006:AL1006),$AD$1006:$AU$1006,0))&gt;=100000), " ",IF(INDEX($AD$2:$AU$1001,MATCH(ROWS($W$2:W478),$W$2:$W$1001,0),MATCH(COLUMNS($AD$1006:AL1006),$AD$1006:$AU$1006,0)), HYPERLINK("#",""), HYPERLINK(CONCATENATE("#metadata!", ADDRESS(INDEX($Y$2:$Y$1001,MATCH(ROWS($W$2:W478),$W$2:$W$1001,0),0), INDEX($AD$1004:$AU$1004,1,MATCH(COLUMNS($AD$1006:AL1006),$AD$1006:$AU$1006,0)))),"Fix")))</f>
        <v xml:space="preserve"> </v>
      </c>
      <c r="K478" s="4" t="str">
        <f ca="1">IF(OR(INDEX($X$2:$X$1001,MATCH(ROWS($W$2:W478),$W$2:$W$1001,0),1)&gt;=100000,INDEX($AD$1005:$AU$1005,1,MATCH(COLUMNS($AD$1006:AM1006),$AD$1006:$AU$1006,0))&gt;=100000), " ",IF(INDEX($AD$2:$AU$1001,MATCH(ROWS($W$2:W478),$W$2:$W$1001,0),MATCH(COLUMNS($AD$1006:AM1006),$AD$1006:$AU$1006,0)), HYPERLINK("#",""), HYPERLINK(CONCATENATE("#metadata!", ADDRESS(INDEX($Y$2:$Y$1001,MATCH(ROWS($W$2:W478),$W$2:$W$1001,0),0), INDEX($AD$1004:$AU$1004,1,MATCH(COLUMNS($AD$1006:AM1006),$AD$1006:$AU$1006,0)))),"Fix")))</f>
        <v xml:space="preserve"> </v>
      </c>
      <c r="L478" s="4" t="str">
        <f ca="1">IF(OR(INDEX($X$2:$X$1001,MATCH(ROWS($W$2:W478),$W$2:$W$1001,0),1)&gt;=100000,INDEX($AD$1005:$AU$1005,1,MATCH(COLUMNS($AD$1006:AN1006),$AD$1006:$AU$1006,0))&gt;=100000), " ",IF(INDEX($AD$2:$AU$1001,MATCH(ROWS($W$2:W478),$W$2:$W$1001,0),MATCH(COLUMNS($AD$1006:AN1006),$AD$1006:$AU$1006,0)), HYPERLINK("#",""), HYPERLINK(CONCATENATE("#metadata!", ADDRESS(INDEX($Y$2:$Y$1001,MATCH(ROWS($W$2:W478),$W$2:$W$1001,0),0), INDEX($AD$1004:$AU$1004,1,MATCH(COLUMNS($AD$1006:AN1006),$AD$1006:$AU$1006,0)))),"Fix")))</f>
        <v xml:space="preserve"> </v>
      </c>
      <c r="M478" s="4" t="str">
        <f ca="1">IF(OR(INDEX($X$2:$X$1001,MATCH(ROWS($W$2:W478),$W$2:$W$1001,0),1)&gt;=100000,INDEX($AD$1005:$AU$1005,1,MATCH(COLUMNS($AD$1006:AO1006),$AD$1006:$AU$1006,0))&gt;=100000), " ",IF(INDEX($AD$2:$AU$1001,MATCH(ROWS($W$2:W478),$W$2:$W$1001,0),MATCH(COLUMNS($AD$1006:AO1006),$AD$1006:$AU$1006,0)), HYPERLINK("#",""), HYPERLINK(CONCATENATE("#metadata!", ADDRESS(INDEX($Y$2:$Y$1001,MATCH(ROWS($W$2:W478),$W$2:$W$1001,0),0), INDEX($AD$1004:$AU$1004,1,MATCH(COLUMNS($AD$1006:AO1006),$AD$1006:$AU$1006,0)))),"Fix")))</f>
        <v xml:space="preserve"> </v>
      </c>
      <c r="N478" s="4" t="str">
        <f ca="1">IF(OR(INDEX($X$2:$X$1001,MATCH(ROWS($W$2:W478),$W$2:$W$1001,0),1)&gt;=100000,INDEX($AD$1005:$AU$1005,1,MATCH(COLUMNS($AD$1006:AP1006),$AD$1006:$AU$1006,0))&gt;=100000), " ",IF(INDEX($AD$2:$AU$1001,MATCH(ROWS($W$2:W478),$W$2:$W$1001,0),MATCH(COLUMNS($AD$1006:AP1006),$AD$1006:$AU$1006,0)), HYPERLINK("#",""), HYPERLINK(CONCATENATE("#metadata!", ADDRESS(INDEX($Y$2:$Y$1001,MATCH(ROWS($W$2:W478),$W$2:$W$1001,0),0), INDEX($AD$1004:$AU$1004,1,MATCH(COLUMNS($AD$1006:AP1006),$AD$1006:$AU$1006,0)))),"Fix")))</f>
        <v xml:space="preserve"> </v>
      </c>
      <c r="O478" s="4" t="str">
        <f ca="1">IF(OR(INDEX($X$2:$X$1001,MATCH(ROWS($W$2:W478),$W$2:$W$1001,0),1)&gt;=100000,INDEX($AD$1005:$AU$1005,1,MATCH(COLUMNS($AD$1006:AQ1006),$AD$1006:$AU$1006,0))&gt;=100000), " ",IF(INDEX($AD$2:$AU$1001,MATCH(ROWS($W$2:W478),$W$2:$W$1001,0),MATCH(COLUMNS($AD$1006:AQ1006),$AD$1006:$AU$1006,0)), HYPERLINK("#",""), HYPERLINK(CONCATENATE("#metadata!", ADDRESS(INDEX($Y$2:$Y$1001,MATCH(ROWS($W$2:W478),$W$2:$W$1001,0),0), INDEX($AD$1004:$AU$1004,1,MATCH(COLUMNS($AD$1006:AQ1006),$AD$1006:$AU$1006,0)))),"Fix")))</f>
        <v xml:space="preserve"> </v>
      </c>
      <c r="P478" s="4" t="str">
        <f ca="1">IF(OR(INDEX($X$2:$X$1001,MATCH(ROWS($W$2:W478),$W$2:$W$1001,0),1)&gt;=100000,INDEX($AD$1005:$AU$1005,1,MATCH(COLUMNS($AD$1006:AR1006),$AD$1006:$AU$1006,0))&gt;=100000), " ",IF(INDEX($AD$2:$AU$1001,MATCH(ROWS($W$2:W478),$W$2:$W$1001,0),MATCH(COLUMNS($AD$1006:AR1006),$AD$1006:$AU$1006,0)), HYPERLINK("#",""), HYPERLINK(CONCATENATE("#metadata!", ADDRESS(INDEX($Y$2:$Y$1001,MATCH(ROWS($W$2:W478),$W$2:$W$1001,0),0), INDEX($AD$1004:$AU$1004,1,MATCH(COLUMNS($AD$1006:AR1006),$AD$1006:$AU$1006,0)))),"Fix")))</f>
        <v xml:space="preserve"> </v>
      </c>
      <c r="Q478" s="4" t="str">
        <f ca="1">IF(OR(INDEX($X$2:$X$1001,MATCH(ROWS($W$2:W478),$W$2:$W$1001,0),1)&gt;=100000,INDEX($AD$1005:$AU$1005,1,MATCH(COLUMNS($AD$1006:AS1006),$AD$1006:$AU$1006,0))&gt;=100000), " ",IF(INDEX($AD$2:$AU$1001,MATCH(ROWS($W$2:W478),$W$2:$W$1001,0),MATCH(COLUMNS($AD$1006:AS1006),$AD$1006:$AU$1006,0)), HYPERLINK("#",""), HYPERLINK(CONCATENATE("#metadata!", ADDRESS(INDEX($Y$2:$Y$1001,MATCH(ROWS($W$2:W478),$W$2:$W$1001,0),0), INDEX($AD$1004:$AU$1004,1,MATCH(COLUMNS($AD$1006:AS1006),$AD$1006:$AU$1006,0)))),"Fix")))</f>
        <v xml:space="preserve"> </v>
      </c>
      <c r="R478" s="4" t="str">
        <f ca="1">IF(OR(INDEX($X$2:$X$1001,MATCH(ROWS($W$2:W478),$W$2:$W$1001,0),1)&gt;=100000,INDEX($AD$1005:$AU$1005,1,MATCH(COLUMNS($AD$1006:AT1006),$AD$1006:$AU$1006,0))&gt;=100000), " ",IF(INDEX($AD$2:$AU$1001,MATCH(ROWS($W$2:W478),$W$2:$W$1001,0),MATCH(COLUMNS($AD$1006:AT1006),$AD$1006:$AU$1006,0)), HYPERLINK("#",""), HYPERLINK(CONCATENATE("#metadata!", ADDRESS(INDEX($Y$2:$Y$1001,MATCH(ROWS($W$2:W478),$W$2:$W$1001,0),0), INDEX($AD$1004:$AU$1004,1,MATCH(COLUMNS($AD$1006:AT1006),$AD$1006:$AU$1006,0)))),"Fix")))</f>
        <v xml:space="preserve"> </v>
      </c>
      <c r="S478" s="4" t="str">
        <f ca="1">IF(OR(INDEX($X$2:$X$1001,MATCH(ROWS($W$2:W478),$W$2:$W$1001,0),1)&gt;=100000,INDEX($AD$1005:$AU$1005,1,MATCH(COLUMNS($AD$1006:AU1006),$AD$1006:$AU$1006,0))&gt;=100000), " ",IF(INDEX($AD$2:$AU$1001,MATCH(ROWS($W$2:W478),$W$2:$W$1001,0),MATCH(COLUMNS($AD$1006:AU1006),$AD$1006:$AU$1006,0)), HYPERLINK("#",""), HYPERLINK(CONCATENATE("#metadata!", ADDRESS(INDEX($Y$2:$Y$1001,MATCH(ROWS($W$2:W478),$W$2:$W$1001,0),0), INDEX($AD$1004:$AU$1004,1,MATCH(COLUMNS($AD$1006:AU1006),$AD$1006:$AU$1006,0)))),"Fix")))</f>
        <v xml:space="preserve"> </v>
      </c>
      <c r="W478">
        <v>477</v>
      </c>
      <c r="X478">
        <v>100478</v>
      </c>
      <c r="Y478">
        <v>478</v>
      </c>
      <c r="Z478" t="b">
        <f t="shared" si="7"/>
        <v>1</v>
      </c>
      <c r="AA478" t="b">
        <f>COUNTBLANK(metadata!B478:S478)=COLUMNS(metadata!B478:S478)</f>
        <v>1</v>
      </c>
      <c r="AB478" t="str">
        <v/>
      </c>
      <c r="AD478" t="b">
        <f ca="1">AND(IF(metadata!B478="",FALSE,TRUE),COUNTIF(metadata!B:B, metadata!B478) = 1,NOT(ISERROR(SUMPRODUCT(SEARCH(MID(metadata!B478,ROW(INDIRECT("1:"&amp;LEN(metadata!B478))), 1),"0123456789abcdefghijklmnopqrstuvwxyzABCDEFGHIJKLMNOPQRSTUVWXYZ.")))))</f>
        <v>0</v>
      </c>
      <c r="AE478" t="b">
        <f>OR(AND(IF(metadata!C478="",FALSE,TRUE),OR(EXACT(metadata!C478,"not applicable"),EXACT(metadata!C478,"missing: not collected"),EXACT(metadata!C478,"missing: not provided"),EXACT(metadata!C478,"missing: restricted access"))),AND(IF(metadata!C478="",FALSE,ISNUMBER(VALUE(metadata!C478))),metadata!C478&gt;0))</f>
        <v>0</v>
      </c>
      <c r="AF478" t="b">
        <f>AND(IF(metadata!D478="",FALSE,TRUE),EXACT(metadata!D478,"missing: not provided"))</f>
        <v>0</v>
      </c>
      <c r="AG478" t="b">
        <f>AND(IF(metadata!E478="",FALSE,TRUE),EXACT(metadata!E478,"Host-associated"))</f>
        <v>0</v>
      </c>
      <c r="AH478" t="b">
        <f>AND(IF(metadata!F478="",FALSE,TRUE),OR(EXACT(metadata!F478,"Animal"),EXACT(metadata!F478,"Fungus"),EXACT(metadata!F478,"Plant")))</f>
        <v>0</v>
      </c>
      <c r="AI478" t="b">
        <f>AND(IF(metadata!G478="",FALSE,TRUE),OR(EXACT(metadata!G478,"Plant secretion"),EXACT(metadata!G478,"Plant rhizosphere"),EXACT(metadata!G478,"Plant surface"),EXACT(metadata!G478,"Plant corpus"),EXACT(metadata!G478,"Fungus surface"),EXACT(metadata!G478,"Fungus corpus"),EXACT(metadata!G478,"Animal surface"),EXACT(metadata!G478,"Animal proximal gut"),EXACT(metadata!G478,"Animal corpus"),EXACT(metadata!G478,"Animal distal gut"),EXACT(metadata!G478,"Animal secretion")))</f>
        <v>0</v>
      </c>
      <c r="AJ478" t="b">
        <f>OR(AND(IF(metadata!H478="",FALSE,TRUE),OR(EXACT(metadata!H478,"missing: not collected"),EXACT(metadata!H478,"missing: not provided"),EXACT(metadata!H478,"missing: restricted access"))),AND(IF(metadata!H478="",FALSE,TRUE),OR(EXACT(metadata!H478,"organism-associated habitat"),EXACT(metadata!H478,"plant-associated habitat"),EXACT(metadata!H478,"animal-associated habitat"),EXACT(metadata!H478,"insecta-associated habitat"),EXACT(metadata!H478,"mammalia-associated habitat"),EXACT(metadata!H478,"human-associated habitat"),EXACT(metadata!H478,"livestock-associated habitat"))))</f>
        <v>0</v>
      </c>
      <c r="AK478" t="b">
        <f>AND(IF(metadata!I478="",FALSE,TRUE),EXACT(metadata!I478,"host-associated"))</f>
        <v>0</v>
      </c>
      <c r="AL478" t="b">
        <f>OR(AND(IF(metadata!J478="",FALSE,TRUE),OR(EXACT(metadata!J478,"not applicable"),EXACT(metadata!J478,"missing: not collected"),EXACT(metadata!J478,"missing: not provided"),EXACT(metadata!J478,"missing: restricted access"))),AND(IF(metadata!J478="",FALSE,ISNUMBER(VALUE(metadata!J478))),metadata!J478&gt;0))</f>
        <v>0</v>
      </c>
      <c r="AM478" t="b">
        <f>AND(IF(metadata!K478="",FALSE,TRUE),EXACT(metadata!K478,"missing: not provided"))</f>
        <v>0</v>
      </c>
      <c r="AN478" t="b">
        <f>IF(metadata!L478="",FALSE,TRUE)</f>
        <v>0</v>
      </c>
      <c r="AO478" t="b">
        <f>IF(metadata!M478="",FALSE,TRUE)</f>
        <v>0</v>
      </c>
      <c r="AP478" t="b">
        <f>OR(AND(IF(metadata!N478="",FALSE,TRUE),OR(EXACT(metadata!N478,"not applicable"),EXACT(metadata!N478,"missing: not collected"),EXACT(metadata!N478,"missing: not provided"))),AND(IF(metadata!N478="",FALSE,IF(ISERROR(INT(metadata!N478)),FALSE,INT(metadata!N478)=metadata!N478)),metadata!N478&gt;0))</f>
        <v>0</v>
      </c>
      <c r="AQ478" t="b">
        <f>AND(IF(metadata!O478="",FALSE,TRUE),EXACT(metadata!O478,"Not applicable"))</f>
        <v>0</v>
      </c>
      <c r="AR478" t="b">
        <f>OR(AND(IF(metadata!P478="",FALSE,TRUE),OR(EXACT(metadata!P478,"not applicable"),EXACT(metadata!P478,"missing: not collected"),EXACT(metadata!P478,"missing: not provided"),EXACT(metadata!P478,"missing: restricted access"))),IF(metadata!P478="",FALSE,IF(ISERROR(INT(metadata!P478)),FALSE,INT(metadata!P478)=metadata!P478)))</f>
        <v>0</v>
      </c>
      <c r="AS478" t="b">
        <f>AND(IF(metadata!Q478="",FALSE,TRUE),EXACT(metadata!Q478,"Not applicable"))</f>
        <v>0</v>
      </c>
      <c r="AT478" t="b">
        <f>OR(AND(IF(metadata!R478="",FALSE,TRUE),OR(EXACT(metadata!R478,"not applicable"),EXACT(metadata!R478,"missing: not collected"),EXACT(metadata!R478,"missing: not provided"),EXACT(metadata!R478,"missing: restricted access"))),AND(IF(metadata!R478="",FALSE,ISNUMBER(VALUE(metadata!R478))),metadata!R478&gt;0))</f>
        <v>0</v>
      </c>
      <c r="AU478" t="b">
        <f>AND(IF(metadata!S478="",FALSE,TRUE),EXACT(metadata!S478,"missing: not provided"))</f>
        <v>0</v>
      </c>
    </row>
    <row r="479" spans="1:47" x14ac:dyDescent="0.2">
      <c r="A479" s="5" t="str">
        <f ca="1">IF(B479=" "," ",HYPERLINK(CONCATENATE("#metadata!",ADDRESS(INDEX($Y$2:$Y$1001,MATCH(ROWS($W$2:W479),$W$2:$W$1001,0),0),1)),INDEX($AB$2:$AB$1001,MATCH(ROWS($W$2:W479),$W$2:$W$1001,0),0)))</f>
        <v xml:space="preserve"> </v>
      </c>
      <c r="B479" s="4" t="str">
        <f ca="1">IF(OR(INDEX($X$2:$X$1001,MATCH(ROWS($W$2:W479),$W$2:$W$1001,0),1)&gt;=100000,INDEX($AD$1005:$AU$1005,1,MATCH(COLUMNS($AD$1006:AD1006),$AD$1006:$AU$1006,0))&gt;=100000), " ",IF(INDEX($AD$2:$AU$1001,MATCH(ROWS($W$2:W479),$W$2:$W$1001,0),MATCH(COLUMNS($AD$1006:AD1006),$AD$1006:$AU$1006,0)), HYPERLINK("#",""), HYPERLINK(CONCATENATE("#metadata!", ADDRESS(INDEX($Y$2:$Y$1001,MATCH(ROWS($W$2:W479),$W$2:$W$1001,0),0), INDEX($AD$1004:$AU$1004,1,MATCH(COLUMNS($AD$1006:AD1006),$AD$1006:$AU$1006,0)))),"Fix")))</f>
        <v xml:space="preserve"> </v>
      </c>
      <c r="C479" s="4" t="str">
        <f ca="1">IF(OR(INDEX($X$2:$X$1001,MATCH(ROWS($W$2:W479),$W$2:$W$1001,0),1)&gt;=100000,INDEX($AD$1005:$AU$1005,1,MATCH(COLUMNS($AD$1006:AE1006),$AD$1006:$AU$1006,0))&gt;=100000), " ",IF(INDEX($AD$2:$AU$1001,MATCH(ROWS($W$2:W479),$W$2:$W$1001,0),MATCH(COLUMNS($AD$1006:AE1006),$AD$1006:$AU$1006,0)), HYPERLINK("#",""), HYPERLINK(CONCATENATE("#metadata!", ADDRESS(INDEX($Y$2:$Y$1001,MATCH(ROWS($W$2:W479),$W$2:$W$1001,0),0), INDEX($AD$1004:$AU$1004,1,MATCH(COLUMNS($AD$1006:AE1006),$AD$1006:$AU$1006,0)))),"Fix")))</f>
        <v xml:space="preserve"> </v>
      </c>
      <c r="D479" s="4" t="str">
        <f ca="1">IF(OR(INDEX($X$2:$X$1001,MATCH(ROWS($W$2:W479),$W$2:$W$1001,0),1)&gt;=100000,INDEX($AD$1005:$AU$1005,1,MATCH(COLUMNS($AD$1006:AF1006),$AD$1006:$AU$1006,0))&gt;=100000), " ",IF(INDEX($AD$2:$AU$1001,MATCH(ROWS($W$2:W479),$W$2:$W$1001,0),MATCH(COLUMNS($AD$1006:AF1006),$AD$1006:$AU$1006,0)), HYPERLINK("#",""), HYPERLINK(CONCATENATE("#metadata!", ADDRESS(INDEX($Y$2:$Y$1001,MATCH(ROWS($W$2:W479),$W$2:$W$1001,0),0), INDEX($AD$1004:$AU$1004,1,MATCH(COLUMNS($AD$1006:AF1006),$AD$1006:$AU$1006,0)))),"Fix")))</f>
        <v xml:space="preserve"> </v>
      </c>
      <c r="E479" s="4" t="str">
        <f ca="1">IF(OR(INDEX($X$2:$X$1001,MATCH(ROWS($W$2:W479),$W$2:$W$1001,0),1)&gt;=100000,INDEX($AD$1005:$AU$1005,1,MATCH(COLUMNS($AD$1006:AG1006),$AD$1006:$AU$1006,0))&gt;=100000), " ",IF(INDEX($AD$2:$AU$1001,MATCH(ROWS($W$2:W479),$W$2:$W$1001,0),MATCH(COLUMNS($AD$1006:AG1006),$AD$1006:$AU$1006,0)), HYPERLINK("#",""), HYPERLINK(CONCATENATE("#metadata!", ADDRESS(INDEX($Y$2:$Y$1001,MATCH(ROWS($W$2:W479),$W$2:$W$1001,0),0), INDEX($AD$1004:$AU$1004,1,MATCH(COLUMNS($AD$1006:AG1006),$AD$1006:$AU$1006,0)))),"Fix")))</f>
        <v xml:space="preserve"> </v>
      </c>
      <c r="F479" s="4" t="str">
        <f ca="1">IF(OR(INDEX($X$2:$X$1001,MATCH(ROWS($W$2:W479),$W$2:$W$1001,0),1)&gt;=100000,INDEX($AD$1005:$AU$1005,1,MATCH(COLUMNS($AD$1006:AH1006),$AD$1006:$AU$1006,0))&gt;=100000), " ",IF(INDEX($AD$2:$AU$1001,MATCH(ROWS($W$2:W479),$W$2:$W$1001,0),MATCH(COLUMNS($AD$1006:AH1006),$AD$1006:$AU$1006,0)), HYPERLINK("#",""), HYPERLINK(CONCATENATE("#metadata!", ADDRESS(INDEX($Y$2:$Y$1001,MATCH(ROWS($W$2:W479),$W$2:$W$1001,0),0), INDEX($AD$1004:$AU$1004,1,MATCH(COLUMNS($AD$1006:AH1006),$AD$1006:$AU$1006,0)))),"Fix")))</f>
        <v xml:space="preserve"> </v>
      </c>
      <c r="G479" s="4" t="str">
        <f ca="1">IF(OR(INDEX($X$2:$X$1001,MATCH(ROWS($W$2:W479),$W$2:$W$1001,0),1)&gt;=100000,INDEX($AD$1005:$AU$1005,1,MATCH(COLUMNS($AD$1006:AI1006),$AD$1006:$AU$1006,0))&gt;=100000), " ",IF(INDEX($AD$2:$AU$1001,MATCH(ROWS($W$2:W479),$W$2:$W$1001,0),MATCH(COLUMNS($AD$1006:AI1006),$AD$1006:$AU$1006,0)), HYPERLINK("#",""), HYPERLINK(CONCATENATE("#metadata!", ADDRESS(INDEX($Y$2:$Y$1001,MATCH(ROWS($W$2:W479),$W$2:$W$1001,0),0), INDEX($AD$1004:$AU$1004,1,MATCH(COLUMNS($AD$1006:AI1006),$AD$1006:$AU$1006,0)))),"Fix")))</f>
        <v xml:space="preserve"> </v>
      </c>
      <c r="H479" s="4" t="str">
        <f ca="1">IF(OR(INDEX($X$2:$X$1001,MATCH(ROWS($W$2:W479),$W$2:$W$1001,0),1)&gt;=100000,INDEX($AD$1005:$AU$1005,1,MATCH(COLUMNS($AD$1006:AJ1006),$AD$1006:$AU$1006,0))&gt;=100000), " ",IF(INDEX($AD$2:$AU$1001,MATCH(ROWS($W$2:W479),$W$2:$W$1001,0),MATCH(COLUMNS($AD$1006:AJ1006),$AD$1006:$AU$1006,0)), HYPERLINK("#",""), HYPERLINK(CONCATENATE("#metadata!", ADDRESS(INDEX($Y$2:$Y$1001,MATCH(ROWS($W$2:W479),$W$2:$W$1001,0),0), INDEX($AD$1004:$AU$1004,1,MATCH(COLUMNS($AD$1006:AJ1006),$AD$1006:$AU$1006,0)))),"Fix")))</f>
        <v xml:space="preserve"> </v>
      </c>
      <c r="I479" s="4" t="str">
        <f ca="1">IF(OR(INDEX($X$2:$X$1001,MATCH(ROWS($W$2:W479),$W$2:$W$1001,0),1)&gt;=100000,INDEX($AD$1005:$AU$1005,1,MATCH(COLUMNS($AD$1006:AK1006),$AD$1006:$AU$1006,0))&gt;=100000), " ",IF(INDEX($AD$2:$AU$1001,MATCH(ROWS($W$2:W479),$W$2:$W$1001,0),MATCH(COLUMNS($AD$1006:AK1006),$AD$1006:$AU$1006,0)), HYPERLINK("#",""), HYPERLINK(CONCATENATE("#metadata!", ADDRESS(INDEX($Y$2:$Y$1001,MATCH(ROWS($W$2:W479),$W$2:$W$1001,0),0), INDEX($AD$1004:$AU$1004,1,MATCH(COLUMNS($AD$1006:AK1006),$AD$1006:$AU$1006,0)))),"Fix")))</f>
        <v xml:space="preserve"> </v>
      </c>
      <c r="J479" s="4" t="str">
        <f ca="1">IF(OR(INDEX($X$2:$X$1001,MATCH(ROWS($W$2:W479),$W$2:$W$1001,0),1)&gt;=100000,INDEX($AD$1005:$AU$1005,1,MATCH(COLUMNS($AD$1006:AL1006),$AD$1006:$AU$1006,0))&gt;=100000), " ",IF(INDEX($AD$2:$AU$1001,MATCH(ROWS($W$2:W479),$W$2:$W$1001,0),MATCH(COLUMNS($AD$1006:AL1006),$AD$1006:$AU$1006,0)), HYPERLINK("#",""), HYPERLINK(CONCATENATE("#metadata!", ADDRESS(INDEX($Y$2:$Y$1001,MATCH(ROWS($W$2:W479),$W$2:$W$1001,0),0), INDEX($AD$1004:$AU$1004,1,MATCH(COLUMNS($AD$1006:AL1006),$AD$1006:$AU$1006,0)))),"Fix")))</f>
        <v xml:space="preserve"> </v>
      </c>
      <c r="K479" s="4" t="str">
        <f ca="1">IF(OR(INDEX($X$2:$X$1001,MATCH(ROWS($W$2:W479),$W$2:$W$1001,0),1)&gt;=100000,INDEX($AD$1005:$AU$1005,1,MATCH(COLUMNS($AD$1006:AM1006),$AD$1006:$AU$1006,0))&gt;=100000), " ",IF(INDEX($AD$2:$AU$1001,MATCH(ROWS($W$2:W479),$W$2:$W$1001,0),MATCH(COLUMNS($AD$1006:AM1006),$AD$1006:$AU$1006,0)), HYPERLINK("#",""), HYPERLINK(CONCATENATE("#metadata!", ADDRESS(INDEX($Y$2:$Y$1001,MATCH(ROWS($W$2:W479),$W$2:$W$1001,0),0), INDEX($AD$1004:$AU$1004,1,MATCH(COLUMNS($AD$1006:AM1006),$AD$1006:$AU$1006,0)))),"Fix")))</f>
        <v xml:space="preserve"> </v>
      </c>
      <c r="L479" s="4" t="str">
        <f ca="1">IF(OR(INDEX($X$2:$X$1001,MATCH(ROWS($W$2:W479),$W$2:$W$1001,0),1)&gt;=100000,INDEX($AD$1005:$AU$1005,1,MATCH(COLUMNS($AD$1006:AN1006),$AD$1006:$AU$1006,0))&gt;=100000), " ",IF(INDEX($AD$2:$AU$1001,MATCH(ROWS($W$2:W479),$W$2:$W$1001,0),MATCH(COLUMNS($AD$1006:AN1006),$AD$1006:$AU$1006,0)), HYPERLINK("#",""), HYPERLINK(CONCATENATE("#metadata!", ADDRESS(INDEX($Y$2:$Y$1001,MATCH(ROWS($W$2:W479),$W$2:$W$1001,0),0), INDEX($AD$1004:$AU$1004,1,MATCH(COLUMNS($AD$1006:AN1006),$AD$1006:$AU$1006,0)))),"Fix")))</f>
        <v xml:space="preserve"> </v>
      </c>
      <c r="M479" s="4" t="str">
        <f ca="1">IF(OR(INDEX($X$2:$X$1001,MATCH(ROWS($W$2:W479),$W$2:$W$1001,0),1)&gt;=100000,INDEX($AD$1005:$AU$1005,1,MATCH(COLUMNS($AD$1006:AO1006),$AD$1006:$AU$1006,0))&gt;=100000), " ",IF(INDEX($AD$2:$AU$1001,MATCH(ROWS($W$2:W479),$W$2:$W$1001,0),MATCH(COLUMNS($AD$1006:AO1006),$AD$1006:$AU$1006,0)), HYPERLINK("#",""), HYPERLINK(CONCATENATE("#metadata!", ADDRESS(INDEX($Y$2:$Y$1001,MATCH(ROWS($W$2:W479),$W$2:$W$1001,0),0), INDEX($AD$1004:$AU$1004,1,MATCH(COLUMNS($AD$1006:AO1006),$AD$1006:$AU$1006,0)))),"Fix")))</f>
        <v xml:space="preserve"> </v>
      </c>
      <c r="N479" s="4" t="str">
        <f ca="1">IF(OR(INDEX($X$2:$X$1001,MATCH(ROWS($W$2:W479),$W$2:$W$1001,0),1)&gt;=100000,INDEX($AD$1005:$AU$1005,1,MATCH(COLUMNS($AD$1006:AP1006),$AD$1006:$AU$1006,0))&gt;=100000), " ",IF(INDEX($AD$2:$AU$1001,MATCH(ROWS($W$2:W479),$W$2:$W$1001,0),MATCH(COLUMNS($AD$1006:AP1006),$AD$1006:$AU$1006,0)), HYPERLINK("#",""), HYPERLINK(CONCATENATE("#metadata!", ADDRESS(INDEX($Y$2:$Y$1001,MATCH(ROWS($W$2:W479),$W$2:$W$1001,0),0), INDEX($AD$1004:$AU$1004,1,MATCH(COLUMNS($AD$1006:AP1006),$AD$1006:$AU$1006,0)))),"Fix")))</f>
        <v xml:space="preserve"> </v>
      </c>
      <c r="O479" s="4" t="str">
        <f ca="1">IF(OR(INDEX($X$2:$X$1001,MATCH(ROWS($W$2:W479),$W$2:$W$1001,0),1)&gt;=100000,INDEX($AD$1005:$AU$1005,1,MATCH(COLUMNS($AD$1006:AQ1006),$AD$1006:$AU$1006,0))&gt;=100000), " ",IF(INDEX($AD$2:$AU$1001,MATCH(ROWS($W$2:W479),$W$2:$W$1001,0),MATCH(COLUMNS($AD$1006:AQ1006),$AD$1006:$AU$1006,0)), HYPERLINK("#",""), HYPERLINK(CONCATENATE("#metadata!", ADDRESS(INDEX($Y$2:$Y$1001,MATCH(ROWS($W$2:W479),$W$2:$W$1001,0),0), INDEX($AD$1004:$AU$1004,1,MATCH(COLUMNS($AD$1006:AQ1006),$AD$1006:$AU$1006,0)))),"Fix")))</f>
        <v xml:space="preserve"> </v>
      </c>
      <c r="P479" s="4" t="str">
        <f ca="1">IF(OR(INDEX($X$2:$X$1001,MATCH(ROWS($W$2:W479),$W$2:$W$1001,0),1)&gt;=100000,INDEX($AD$1005:$AU$1005,1,MATCH(COLUMNS($AD$1006:AR1006),$AD$1006:$AU$1006,0))&gt;=100000), " ",IF(INDEX($AD$2:$AU$1001,MATCH(ROWS($W$2:W479),$W$2:$W$1001,0),MATCH(COLUMNS($AD$1006:AR1006),$AD$1006:$AU$1006,0)), HYPERLINK("#",""), HYPERLINK(CONCATENATE("#metadata!", ADDRESS(INDEX($Y$2:$Y$1001,MATCH(ROWS($W$2:W479),$W$2:$W$1001,0),0), INDEX($AD$1004:$AU$1004,1,MATCH(COLUMNS($AD$1006:AR1006),$AD$1006:$AU$1006,0)))),"Fix")))</f>
        <v xml:space="preserve"> </v>
      </c>
      <c r="Q479" s="4" t="str">
        <f ca="1">IF(OR(INDEX($X$2:$X$1001,MATCH(ROWS($W$2:W479),$W$2:$W$1001,0),1)&gt;=100000,INDEX($AD$1005:$AU$1005,1,MATCH(COLUMNS($AD$1006:AS1006),$AD$1006:$AU$1006,0))&gt;=100000), " ",IF(INDEX($AD$2:$AU$1001,MATCH(ROWS($W$2:W479),$W$2:$W$1001,0),MATCH(COLUMNS($AD$1006:AS1006),$AD$1006:$AU$1006,0)), HYPERLINK("#",""), HYPERLINK(CONCATENATE("#metadata!", ADDRESS(INDEX($Y$2:$Y$1001,MATCH(ROWS($W$2:W479),$W$2:$W$1001,0),0), INDEX($AD$1004:$AU$1004,1,MATCH(COLUMNS($AD$1006:AS1006),$AD$1006:$AU$1006,0)))),"Fix")))</f>
        <v xml:space="preserve"> </v>
      </c>
      <c r="R479" s="4" t="str">
        <f ca="1">IF(OR(INDEX($X$2:$X$1001,MATCH(ROWS($W$2:W479),$W$2:$W$1001,0),1)&gt;=100000,INDEX($AD$1005:$AU$1005,1,MATCH(COLUMNS($AD$1006:AT1006),$AD$1006:$AU$1006,0))&gt;=100000), " ",IF(INDEX($AD$2:$AU$1001,MATCH(ROWS($W$2:W479),$W$2:$W$1001,0),MATCH(COLUMNS($AD$1006:AT1006),$AD$1006:$AU$1006,0)), HYPERLINK("#",""), HYPERLINK(CONCATENATE("#metadata!", ADDRESS(INDEX($Y$2:$Y$1001,MATCH(ROWS($W$2:W479),$W$2:$W$1001,0),0), INDEX($AD$1004:$AU$1004,1,MATCH(COLUMNS($AD$1006:AT1006),$AD$1006:$AU$1006,0)))),"Fix")))</f>
        <v xml:space="preserve"> </v>
      </c>
      <c r="S479" s="4" t="str">
        <f ca="1">IF(OR(INDEX($X$2:$X$1001,MATCH(ROWS($W$2:W479),$W$2:$W$1001,0),1)&gt;=100000,INDEX($AD$1005:$AU$1005,1,MATCH(COLUMNS($AD$1006:AU1006),$AD$1006:$AU$1006,0))&gt;=100000), " ",IF(INDEX($AD$2:$AU$1001,MATCH(ROWS($W$2:W479),$W$2:$W$1001,0),MATCH(COLUMNS($AD$1006:AU1006),$AD$1006:$AU$1006,0)), HYPERLINK("#",""), HYPERLINK(CONCATENATE("#metadata!", ADDRESS(INDEX($Y$2:$Y$1001,MATCH(ROWS($W$2:W479),$W$2:$W$1001,0),0), INDEX($AD$1004:$AU$1004,1,MATCH(COLUMNS($AD$1006:AU1006),$AD$1006:$AU$1006,0)))),"Fix")))</f>
        <v xml:space="preserve"> </v>
      </c>
      <c r="W479">
        <v>478</v>
      </c>
      <c r="X479">
        <v>100479</v>
      </c>
      <c r="Y479">
        <v>479</v>
      </c>
      <c r="Z479" t="b">
        <f t="shared" si="7"/>
        <v>1</v>
      </c>
      <c r="AA479" t="b">
        <f>COUNTBLANK(metadata!B479:S479)=COLUMNS(metadata!B479:S479)</f>
        <v>1</v>
      </c>
      <c r="AB479" t="str">
        <v/>
      </c>
      <c r="AD479" t="b">
        <f ca="1">AND(IF(metadata!B479="",FALSE,TRUE),COUNTIF(metadata!B:B, metadata!B479) = 1,NOT(ISERROR(SUMPRODUCT(SEARCH(MID(metadata!B479,ROW(INDIRECT("1:"&amp;LEN(metadata!B479))), 1),"0123456789abcdefghijklmnopqrstuvwxyzABCDEFGHIJKLMNOPQRSTUVWXYZ.")))))</f>
        <v>0</v>
      </c>
      <c r="AE479" t="b">
        <f>OR(AND(IF(metadata!C479="",FALSE,TRUE),OR(EXACT(metadata!C479,"not applicable"),EXACT(metadata!C479,"missing: not collected"),EXACT(metadata!C479,"missing: not provided"),EXACT(metadata!C479,"missing: restricted access"))),AND(IF(metadata!C479="",FALSE,ISNUMBER(VALUE(metadata!C479))),metadata!C479&gt;0))</f>
        <v>0</v>
      </c>
      <c r="AF479" t="b">
        <f>AND(IF(metadata!D479="",FALSE,TRUE),EXACT(metadata!D479,"missing: not provided"))</f>
        <v>0</v>
      </c>
      <c r="AG479" t="b">
        <f>AND(IF(metadata!E479="",FALSE,TRUE),EXACT(metadata!E479,"Host-associated"))</f>
        <v>0</v>
      </c>
      <c r="AH479" t="b">
        <f>AND(IF(metadata!F479="",FALSE,TRUE),OR(EXACT(metadata!F479,"Animal"),EXACT(metadata!F479,"Fungus"),EXACT(metadata!F479,"Plant")))</f>
        <v>0</v>
      </c>
      <c r="AI479" t="b">
        <f>AND(IF(metadata!G479="",FALSE,TRUE),OR(EXACT(metadata!G479,"Plant secretion"),EXACT(metadata!G479,"Plant rhizosphere"),EXACT(metadata!G479,"Plant surface"),EXACT(metadata!G479,"Plant corpus"),EXACT(metadata!G479,"Fungus surface"),EXACT(metadata!G479,"Fungus corpus"),EXACT(metadata!G479,"Animal surface"),EXACT(metadata!G479,"Animal proximal gut"),EXACT(metadata!G479,"Animal corpus"),EXACT(metadata!G479,"Animal distal gut"),EXACT(metadata!G479,"Animal secretion")))</f>
        <v>0</v>
      </c>
      <c r="AJ479" t="b">
        <f>OR(AND(IF(metadata!H479="",FALSE,TRUE),OR(EXACT(metadata!H479,"missing: not collected"),EXACT(metadata!H479,"missing: not provided"),EXACT(metadata!H479,"missing: restricted access"))),AND(IF(metadata!H479="",FALSE,TRUE),OR(EXACT(metadata!H479,"organism-associated habitat"),EXACT(metadata!H479,"plant-associated habitat"),EXACT(metadata!H479,"animal-associated habitat"),EXACT(metadata!H479,"insecta-associated habitat"),EXACT(metadata!H479,"mammalia-associated habitat"),EXACT(metadata!H479,"human-associated habitat"),EXACT(metadata!H479,"livestock-associated habitat"))))</f>
        <v>0</v>
      </c>
      <c r="AK479" t="b">
        <f>AND(IF(metadata!I479="",FALSE,TRUE),EXACT(metadata!I479,"host-associated"))</f>
        <v>0</v>
      </c>
      <c r="AL479" t="b">
        <f>OR(AND(IF(metadata!J479="",FALSE,TRUE),OR(EXACT(metadata!J479,"not applicable"),EXACT(metadata!J479,"missing: not collected"),EXACT(metadata!J479,"missing: not provided"),EXACT(metadata!J479,"missing: restricted access"))),AND(IF(metadata!J479="",FALSE,ISNUMBER(VALUE(metadata!J479))),metadata!J479&gt;0))</f>
        <v>0</v>
      </c>
      <c r="AM479" t="b">
        <f>AND(IF(metadata!K479="",FALSE,TRUE),EXACT(metadata!K479,"missing: not provided"))</f>
        <v>0</v>
      </c>
      <c r="AN479" t="b">
        <f>IF(metadata!L479="",FALSE,TRUE)</f>
        <v>0</v>
      </c>
      <c r="AO479" t="b">
        <f>IF(metadata!M479="",FALSE,TRUE)</f>
        <v>0</v>
      </c>
      <c r="AP479" t="b">
        <f>OR(AND(IF(metadata!N479="",FALSE,TRUE),OR(EXACT(metadata!N479,"not applicable"),EXACT(metadata!N479,"missing: not collected"),EXACT(metadata!N479,"missing: not provided"))),AND(IF(metadata!N479="",FALSE,IF(ISERROR(INT(metadata!N479)),FALSE,INT(metadata!N479)=metadata!N479)),metadata!N479&gt;0))</f>
        <v>0</v>
      </c>
      <c r="AQ479" t="b">
        <f>AND(IF(metadata!O479="",FALSE,TRUE),EXACT(metadata!O479,"Not applicable"))</f>
        <v>0</v>
      </c>
      <c r="AR479" t="b">
        <f>OR(AND(IF(metadata!P479="",FALSE,TRUE),OR(EXACT(metadata!P479,"not applicable"),EXACT(metadata!P479,"missing: not collected"),EXACT(metadata!P479,"missing: not provided"),EXACT(metadata!P479,"missing: restricted access"))),IF(metadata!P479="",FALSE,IF(ISERROR(INT(metadata!P479)),FALSE,INT(metadata!P479)=metadata!P479)))</f>
        <v>0</v>
      </c>
      <c r="AS479" t="b">
        <f>AND(IF(metadata!Q479="",FALSE,TRUE),EXACT(metadata!Q479,"Not applicable"))</f>
        <v>0</v>
      </c>
      <c r="AT479" t="b">
        <f>OR(AND(IF(metadata!R479="",FALSE,TRUE),OR(EXACT(metadata!R479,"not applicable"),EXACT(metadata!R479,"missing: not collected"),EXACT(metadata!R479,"missing: not provided"),EXACT(metadata!R479,"missing: restricted access"))),AND(IF(metadata!R479="",FALSE,ISNUMBER(VALUE(metadata!R479))),metadata!R479&gt;0))</f>
        <v>0</v>
      </c>
      <c r="AU479" t="b">
        <f>AND(IF(metadata!S479="",FALSE,TRUE),EXACT(metadata!S479,"missing: not provided"))</f>
        <v>0</v>
      </c>
    </row>
    <row r="480" spans="1:47" x14ac:dyDescent="0.2">
      <c r="A480" s="5" t="str">
        <f ca="1">IF(B480=" "," ",HYPERLINK(CONCATENATE("#metadata!",ADDRESS(INDEX($Y$2:$Y$1001,MATCH(ROWS($W$2:W480),$W$2:$W$1001,0),0),1)),INDEX($AB$2:$AB$1001,MATCH(ROWS($W$2:W480),$W$2:$W$1001,0),0)))</f>
        <v xml:space="preserve"> </v>
      </c>
      <c r="B480" s="4" t="str">
        <f ca="1">IF(OR(INDEX($X$2:$X$1001,MATCH(ROWS($W$2:W480),$W$2:$W$1001,0),1)&gt;=100000,INDEX($AD$1005:$AU$1005,1,MATCH(COLUMNS($AD$1006:AD1006),$AD$1006:$AU$1006,0))&gt;=100000), " ",IF(INDEX($AD$2:$AU$1001,MATCH(ROWS($W$2:W480),$W$2:$W$1001,0),MATCH(COLUMNS($AD$1006:AD1006),$AD$1006:$AU$1006,0)), HYPERLINK("#",""), HYPERLINK(CONCATENATE("#metadata!", ADDRESS(INDEX($Y$2:$Y$1001,MATCH(ROWS($W$2:W480),$W$2:$W$1001,0),0), INDEX($AD$1004:$AU$1004,1,MATCH(COLUMNS($AD$1006:AD1006),$AD$1006:$AU$1006,0)))),"Fix")))</f>
        <v xml:space="preserve"> </v>
      </c>
      <c r="C480" s="4" t="str">
        <f ca="1">IF(OR(INDEX($X$2:$X$1001,MATCH(ROWS($W$2:W480),$W$2:$W$1001,0),1)&gt;=100000,INDEX($AD$1005:$AU$1005,1,MATCH(COLUMNS($AD$1006:AE1006),$AD$1006:$AU$1006,0))&gt;=100000), " ",IF(INDEX($AD$2:$AU$1001,MATCH(ROWS($W$2:W480),$W$2:$W$1001,0),MATCH(COLUMNS($AD$1006:AE1006),$AD$1006:$AU$1006,0)), HYPERLINK("#",""), HYPERLINK(CONCATENATE("#metadata!", ADDRESS(INDEX($Y$2:$Y$1001,MATCH(ROWS($W$2:W480),$W$2:$W$1001,0),0), INDEX($AD$1004:$AU$1004,1,MATCH(COLUMNS($AD$1006:AE1006),$AD$1006:$AU$1006,0)))),"Fix")))</f>
        <v xml:space="preserve"> </v>
      </c>
      <c r="D480" s="4" t="str">
        <f ca="1">IF(OR(INDEX($X$2:$X$1001,MATCH(ROWS($W$2:W480),$W$2:$W$1001,0),1)&gt;=100000,INDEX($AD$1005:$AU$1005,1,MATCH(COLUMNS($AD$1006:AF1006),$AD$1006:$AU$1006,0))&gt;=100000), " ",IF(INDEX($AD$2:$AU$1001,MATCH(ROWS($W$2:W480),$W$2:$W$1001,0),MATCH(COLUMNS($AD$1006:AF1006),$AD$1006:$AU$1006,0)), HYPERLINK("#",""), HYPERLINK(CONCATENATE("#metadata!", ADDRESS(INDEX($Y$2:$Y$1001,MATCH(ROWS($W$2:W480),$W$2:$W$1001,0),0), INDEX($AD$1004:$AU$1004,1,MATCH(COLUMNS($AD$1006:AF1006),$AD$1006:$AU$1006,0)))),"Fix")))</f>
        <v xml:space="preserve"> </v>
      </c>
      <c r="E480" s="4" t="str">
        <f ca="1">IF(OR(INDEX($X$2:$X$1001,MATCH(ROWS($W$2:W480),$W$2:$W$1001,0),1)&gt;=100000,INDEX($AD$1005:$AU$1005,1,MATCH(COLUMNS($AD$1006:AG1006),$AD$1006:$AU$1006,0))&gt;=100000), " ",IF(INDEX($AD$2:$AU$1001,MATCH(ROWS($W$2:W480),$W$2:$W$1001,0),MATCH(COLUMNS($AD$1006:AG1006),$AD$1006:$AU$1006,0)), HYPERLINK("#",""), HYPERLINK(CONCATENATE("#metadata!", ADDRESS(INDEX($Y$2:$Y$1001,MATCH(ROWS($W$2:W480),$W$2:$W$1001,0),0), INDEX($AD$1004:$AU$1004,1,MATCH(COLUMNS($AD$1006:AG1006),$AD$1006:$AU$1006,0)))),"Fix")))</f>
        <v xml:space="preserve"> </v>
      </c>
      <c r="F480" s="4" t="str">
        <f ca="1">IF(OR(INDEX($X$2:$X$1001,MATCH(ROWS($W$2:W480),$W$2:$W$1001,0),1)&gt;=100000,INDEX($AD$1005:$AU$1005,1,MATCH(COLUMNS($AD$1006:AH1006),$AD$1006:$AU$1006,0))&gt;=100000), " ",IF(INDEX($AD$2:$AU$1001,MATCH(ROWS($W$2:W480),$W$2:$W$1001,0),MATCH(COLUMNS($AD$1006:AH1006),$AD$1006:$AU$1006,0)), HYPERLINK("#",""), HYPERLINK(CONCATENATE("#metadata!", ADDRESS(INDEX($Y$2:$Y$1001,MATCH(ROWS($W$2:W480),$W$2:$W$1001,0),0), INDEX($AD$1004:$AU$1004,1,MATCH(COLUMNS($AD$1006:AH1006),$AD$1006:$AU$1006,0)))),"Fix")))</f>
        <v xml:space="preserve"> </v>
      </c>
      <c r="G480" s="4" t="str">
        <f ca="1">IF(OR(INDEX($X$2:$X$1001,MATCH(ROWS($W$2:W480),$W$2:$W$1001,0),1)&gt;=100000,INDEX($AD$1005:$AU$1005,1,MATCH(COLUMNS($AD$1006:AI1006),$AD$1006:$AU$1006,0))&gt;=100000), " ",IF(INDEX($AD$2:$AU$1001,MATCH(ROWS($W$2:W480),$W$2:$W$1001,0),MATCH(COLUMNS($AD$1006:AI1006),$AD$1006:$AU$1006,0)), HYPERLINK("#",""), HYPERLINK(CONCATENATE("#metadata!", ADDRESS(INDEX($Y$2:$Y$1001,MATCH(ROWS($W$2:W480),$W$2:$W$1001,0),0), INDEX($AD$1004:$AU$1004,1,MATCH(COLUMNS($AD$1006:AI1006),$AD$1006:$AU$1006,0)))),"Fix")))</f>
        <v xml:space="preserve"> </v>
      </c>
      <c r="H480" s="4" t="str">
        <f ca="1">IF(OR(INDEX($X$2:$X$1001,MATCH(ROWS($W$2:W480),$W$2:$W$1001,0),1)&gt;=100000,INDEX($AD$1005:$AU$1005,1,MATCH(COLUMNS($AD$1006:AJ1006),$AD$1006:$AU$1006,0))&gt;=100000), " ",IF(INDEX($AD$2:$AU$1001,MATCH(ROWS($W$2:W480),$W$2:$W$1001,0),MATCH(COLUMNS($AD$1006:AJ1006),$AD$1006:$AU$1006,0)), HYPERLINK("#",""), HYPERLINK(CONCATENATE("#metadata!", ADDRESS(INDEX($Y$2:$Y$1001,MATCH(ROWS($W$2:W480),$W$2:$W$1001,0),0), INDEX($AD$1004:$AU$1004,1,MATCH(COLUMNS($AD$1006:AJ1006),$AD$1006:$AU$1006,0)))),"Fix")))</f>
        <v xml:space="preserve"> </v>
      </c>
      <c r="I480" s="4" t="str">
        <f ca="1">IF(OR(INDEX($X$2:$X$1001,MATCH(ROWS($W$2:W480),$W$2:$W$1001,0),1)&gt;=100000,INDEX($AD$1005:$AU$1005,1,MATCH(COLUMNS($AD$1006:AK1006),$AD$1006:$AU$1006,0))&gt;=100000), " ",IF(INDEX($AD$2:$AU$1001,MATCH(ROWS($W$2:W480),$W$2:$W$1001,0),MATCH(COLUMNS($AD$1006:AK1006),$AD$1006:$AU$1006,0)), HYPERLINK("#",""), HYPERLINK(CONCATENATE("#metadata!", ADDRESS(INDEX($Y$2:$Y$1001,MATCH(ROWS($W$2:W480),$W$2:$W$1001,0),0), INDEX($AD$1004:$AU$1004,1,MATCH(COLUMNS($AD$1006:AK1006),$AD$1006:$AU$1006,0)))),"Fix")))</f>
        <v xml:space="preserve"> </v>
      </c>
      <c r="J480" s="4" t="str">
        <f ca="1">IF(OR(INDEX($X$2:$X$1001,MATCH(ROWS($W$2:W480),$W$2:$W$1001,0),1)&gt;=100000,INDEX($AD$1005:$AU$1005,1,MATCH(COLUMNS($AD$1006:AL1006),$AD$1006:$AU$1006,0))&gt;=100000), " ",IF(INDEX($AD$2:$AU$1001,MATCH(ROWS($W$2:W480),$W$2:$W$1001,0),MATCH(COLUMNS($AD$1006:AL1006),$AD$1006:$AU$1006,0)), HYPERLINK("#",""), HYPERLINK(CONCATENATE("#metadata!", ADDRESS(INDEX($Y$2:$Y$1001,MATCH(ROWS($W$2:W480),$W$2:$W$1001,0),0), INDEX($AD$1004:$AU$1004,1,MATCH(COLUMNS($AD$1006:AL1006),$AD$1006:$AU$1006,0)))),"Fix")))</f>
        <v xml:space="preserve"> </v>
      </c>
      <c r="K480" s="4" t="str">
        <f ca="1">IF(OR(INDEX($X$2:$X$1001,MATCH(ROWS($W$2:W480),$W$2:$W$1001,0),1)&gt;=100000,INDEX($AD$1005:$AU$1005,1,MATCH(COLUMNS($AD$1006:AM1006),$AD$1006:$AU$1006,0))&gt;=100000), " ",IF(INDEX($AD$2:$AU$1001,MATCH(ROWS($W$2:W480),$W$2:$W$1001,0),MATCH(COLUMNS($AD$1006:AM1006),$AD$1006:$AU$1006,0)), HYPERLINK("#",""), HYPERLINK(CONCATENATE("#metadata!", ADDRESS(INDEX($Y$2:$Y$1001,MATCH(ROWS($W$2:W480),$W$2:$W$1001,0),0), INDEX($AD$1004:$AU$1004,1,MATCH(COLUMNS($AD$1006:AM1006),$AD$1006:$AU$1006,0)))),"Fix")))</f>
        <v xml:space="preserve"> </v>
      </c>
      <c r="L480" s="4" t="str">
        <f ca="1">IF(OR(INDEX($X$2:$X$1001,MATCH(ROWS($W$2:W480),$W$2:$W$1001,0),1)&gt;=100000,INDEX($AD$1005:$AU$1005,1,MATCH(COLUMNS($AD$1006:AN1006),$AD$1006:$AU$1006,0))&gt;=100000), " ",IF(INDEX($AD$2:$AU$1001,MATCH(ROWS($W$2:W480),$W$2:$W$1001,0),MATCH(COLUMNS($AD$1006:AN1006),$AD$1006:$AU$1006,0)), HYPERLINK("#",""), HYPERLINK(CONCATENATE("#metadata!", ADDRESS(INDEX($Y$2:$Y$1001,MATCH(ROWS($W$2:W480),$W$2:$W$1001,0),0), INDEX($AD$1004:$AU$1004,1,MATCH(COLUMNS($AD$1006:AN1006),$AD$1006:$AU$1006,0)))),"Fix")))</f>
        <v xml:space="preserve"> </v>
      </c>
      <c r="M480" s="4" t="str">
        <f ca="1">IF(OR(INDEX($X$2:$X$1001,MATCH(ROWS($W$2:W480),$W$2:$W$1001,0),1)&gt;=100000,INDEX($AD$1005:$AU$1005,1,MATCH(COLUMNS($AD$1006:AO1006),$AD$1006:$AU$1006,0))&gt;=100000), " ",IF(INDEX($AD$2:$AU$1001,MATCH(ROWS($W$2:W480),$W$2:$W$1001,0),MATCH(COLUMNS($AD$1006:AO1006),$AD$1006:$AU$1006,0)), HYPERLINK("#",""), HYPERLINK(CONCATENATE("#metadata!", ADDRESS(INDEX($Y$2:$Y$1001,MATCH(ROWS($W$2:W480),$W$2:$W$1001,0),0), INDEX($AD$1004:$AU$1004,1,MATCH(COLUMNS($AD$1006:AO1006),$AD$1006:$AU$1006,0)))),"Fix")))</f>
        <v xml:space="preserve"> </v>
      </c>
      <c r="N480" s="4" t="str">
        <f ca="1">IF(OR(INDEX($X$2:$X$1001,MATCH(ROWS($W$2:W480),$W$2:$W$1001,0),1)&gt;=100000,INDEX($AD$1005:$AU$1005,1,MATCH(COLUMNS($AD$1006:AP1006),$AD$1006:$AU$1006,0))&gt;=100000), " ",IF(INDEX($AD$2:$AU$1001,MATCH(ROWS($W$2:W480),$W$2:$W$1001,0),MATCH(COLUMNS($AD$1006:AP1006),$AD$1006:$AU$1006,0)), HYPERLINK("#",""), HYPERLINK(CONCATENATE("#metadata!", ADDRESS(INDEX($Y$2:$Y$1001,MATCH(ROWS($W$2:W480),$W$2:$W$1001,0),0), INDEX($AD$1004:$AU$1004,1,MATCH(COLUMNS($AD$1006:AP1006),$AD$1006:$AU$1006,0)))),"Fix")))</f>
        <v xml:space="preserve"> </v>
      </c>
      <c r="O480" s="4" t="str">
        <f ca="1">IF(OR(INDEX($X$2:$X$1001,MATCH(ROWS($W$2:W480),$W$2:$W$1001,0),1)&gt;=100000,INDEX($AD$1005:$AU$1005,1,MATCH(COLUMNS($AD$1006:AQ1006),$AD$1006:$AU$1006,0))&gt;=100000), " ",IF(INDEX($AD$2:$AU$1001,MATCH(ROWS($W$2:W480),$W$2:$W$1001,0),MATCH(COLUMNS($AD$1006:AQ1006),$AD$1006:$AU$1006,0)), HYPERLINK("#",""), HYPERLINK(CONCATENATE("#metadata!", ADDRESS(INDEX($Y$2:$Y$1001,MATCH(ROWS($W$2:W480),$W$2:$W$1001,0),0), INDEX($AD$1004:$AU$1004,1,MATCH(COLUMNS($AD$1006:AQ1006),$AD$1006:$AU$1006,0)))),"Fix")))</f>
        <v xml:space="preserve"> </v>
      </c>
      <c r="P480" s="4" t="str">
        <f ca="1">IF(OR(INDEX($X$2:$X$1001,MATCH(ROWS($W$2:W480),$W$2:$W$1001,0),1)&gt;=100000,INDEX($AD$1005:$AU$1005,1,MATCH(COLUMNS($AD$1006:AR1006),$AD$1006:$AU$1006,0))&gt;=100000), " ",IF(INDEX($AD$2:$AU$1001,MATCH(ROWS($W$2:W480),$W$2:$W$1001,0),MATCH(COLUMNS($AD$1006:AR1006),$AD$1006:$AU$1006,0)), HYPERLINK("#",""), HYPERLINK(CONCATENATE("#metadata!", ADDRESS(INDEX($Y$2:$Y$1001,MATCH(ROWS($W$2:W480),$W$2:$W$1001,0),0), INDEX($AD$1004:$AU$1004,1,MATCH(COLUMNS($AD$1006:AR1006),$AD$1006:$AU$1006,0)))),"Fix")))</f>
        <v xml:space="preserve"> </v>
      </c>
      <c r="Q480" s="4" t="str">
        <f ca="1">IF(OR(INDEX($X$2:$X$1001,MATCH(ROWS($W$2:W480),$W$2:$W$1001,0),1)&gt;=100000,INDEX($AD$1005:$AU$1005,1,MATCH(COLUMNS($AD$1006:AS1006),$AD$1006:$AU$1006,0))&gt;=100000), " ",IF(INDEX($AD$2:$AU$1001,MATCH(ROWS($W$2:W480),$W$2:$W$1001,0),MATCH(COLUMNS($AD$1006:AS1006),$AD$1006:$AU$1006,0)), HYPERLINK("#",""), HYPERLINK(CONCATENATE("#metadata!", ADDRESS(INDEX($Y$2:$Y$1001,MATCH(ROWS($W$2:W480),$W$2:$W$1001,0),0), INDEX($AD$1004:$AU$1004,1,MATCH(COLUMNS($AD$1006:AS1006),$AD$1006:$AU$1006,0)))),"Fix")))</f>
        <v xml:space="preserve"> </v>
      </c>
      <c r="R480" s="4" t="str">
        <f ca="1">IF(OR(INDEX($X$2:$X$1001,MATCH(ROWS($W$2:W480),$W$2:$W$1001,0),1)&gt;=100000,INDEX($AD$1005:$AU$1005,1,MATCH(COLUMNS($AD$1006:AT1006),$AD$1006:$AU$1006,0))&gt;=100000), " ",IF(INDEX($AD$2:$AU$1001,MATCH(ROWS($W$2:W480),$W$2:$W$1001,0),MATCH(COLUMNS($AD$1006:AT1006),$AD$1006:$AU$1006,0)), HYPERLINK("#",""), HYPERLINK(CONCATENATE("#metadata!", ADDRESS(INDEX($Y$2:$Y$1001,MATCH(ROWS($W$2:W480),$W$2:$W$1001,0),0), INDEX($AD$1004:$AU$1004,1,MATCH(COLUMNS($AD$1006:AT1006),$AD$1006:$AU$1006,0)))),"Fix")))</f>
        <v xml:space="preserve"> </v>
      </c>
      <c r="S480" s="4" t="str">
        <f ca="1">IF(OR(INDEX($X$2:$X$1001,MATCH(ROWS($W$2:W480),$W$2:$W$1001,0),1)&gt;=100000,INDEX($AD$1005:$AU$1005,1,MATCH(COLUMNS($AD$1006:AU1006),$AD$1006:$AU$1006,0))&gt;=100000), " ",IF(INDEX($AD$2:$AU$1001,MATCH(ROWS($W$2:W480),$W$2:$W$1001,0),MATCH(COLUMNS($AD$1006:AU1006),$AD$1006:$AU$1006,0)), HYPERLINK("#",""), HYPERLINK(CONCATENATE("#metadata!", ADDRESS(INDEX($Y$2:$Y$1001,MATCH(ROWS($W$2:W480),$W$2:$W$1001,0),0), INDEX($AD$1004:$AU$1004,1,MATCH(COLUMNS($AD$1006:AU1006),$AD$1006:$AU$1006,0)))),"Fix")))</f>
        <v xml:space="preserve"> </v>
      </c>
      <c r="W480">
        <v>479</v>
      </c>
      <c r="X480">
        <v>100480</v>
      </c>
      <c r="Y480">
        <v>480</v>
      </c>
      <c r="Z480" t="b">
        <f t="shared" si="7"/>
        <v>1</v>
      </c>
      <c r="AA480" t="b">
        <f>COUNTBLANK(metadata!B480:S480)=COLUMNS(metadata!B480:S480)</f>
        <v>1</v>
      </c>
      <c r="AB480" t="str">
        <v/>
      </c>
      <c r="AD480" t="b">
        <f ca="1">AND(IF(metadata!B480="",FALSE,TRUE),COUNTIF(metadata!B:B, metadata!B480) = 1,NOT(ISERROR(SUMPRODUCT(SEARCH(MID(metadata!B480,ROW(INDIRECT("1:"&amp;LEN(metadata!B480))), 1),"0123456789abcdefghijklmnopqrstuvwxyzABCDEFGHIJKLMNOPQRSTUVWXYZ.")))))</f>
        <v>0</v>
      </c>
      <c r="AE480" t="b">
        <f>OR(AND(IF(metadata!C480="",FALSE,TRUE),OR(EXACT(metadata!C480,"not applicable"),EXACT(metadata!C480,"missing: not collected"),EXACT(metadata!C480,"missing: not provided"),EXACT(metadata!C480,"missing: restricted access"))),AND(IF(metadata!C480="",FALSE,ISNUMBER(VALUE(metadata!C480))),metadata!C480&gt;0))</f>
        <v>0</v>
      </c>
      <c r="AF480" t="b">
        <f>AND(IF(metadata!D480="",FALSE,TRUE),EXACT(metadata!D480,"missing: not provided"))</f>
        <v>0</v>
      </c>
      <c r="AG480" t="b">
        <f>AND(IF(metadata!E480="",FALSE,TRUE),EXACT(metadata!E480,"Host-associated"))</f>
        <v>0</v>
      </c>
      <c r="AH480" t="b">
        <f>AND(IF(metadata!F480="",FALSE,TRUE),OR(EXACT(metadata!F480,"Animal"),EXACT(metadata!F480,"Fungus"),EXACT(metadata!F480,"Plant")))</f>
        <v>0</v>
      </c>
      <c r="AI480" t="b">
        <f>AND(IF(metadata!G480="",FALSE,TRUE),OR(EXACT(metadata!G480,"Plant secretion"),EXACT(metadata!G480,"Plant rhizosphere"),EXACT(metadata!G480,"Plant surface"),EXACT(metadata!G480,"Plant corpus"),EXACT(metadata!G480,"Fungus surface"),EXACT(metadata!G480,"Fungus corpus"),EXACT(metadata!G480,"Animal surface"),EXACT(metadata!G480,"Animal proximal gut"),EXACT(metadata!G480,"Animal corpus"),EXACT(metadata!G480,"Animal distal gut"),EXACT(metadata!G480,"Animal secretion")))</f>
        <v>0</v>
      </c>
      <c r="AJ480" t="b">
        <f>OR(AND(IF(metadata!H480="",FALSE,TRUE),OR(EXACT(metadata!H480,"missing: not collected"),EXACT(metadata!H480,"missing: not provided"),EXACT(metadata!H480,"missing: restricted access"))),AND(IF(metadata!H480="",FALSE,TRUE),OR(EXACT(metadata!H480,"organism-associated habitat"),EXACT(metadata!H480,"plant-associated habitat"),EXACT(metadata!H480,"animal-associated habitat"),EXACT(metadata!H480,"insecta-associated habitat"),EXACT(metadata!H480,"mammalia-associated habitat"),EXACT(metadata!H480,"human-associated habitat"),EXACT(metadata!H480,"livestock-associated habitat"))))</f>
        <v>0</v>
      </c>
      <c r="AK480" t="b">
        <f>AND(IF(metadata!I480="",FALSE,TRUE),EXACT(metadata!I480,"host-associated"))</f>
        <v>0</v>
      </c>
      <c r="AL480" t="b">
        <f>OR(AND(IF(metadata!J480="",FALSE,TRUE),OR(EXACT(metadata!J480,"not applicable"),EXACT(metadata!J480,"missing: not collected"),EXACT(metadata!J480,"missing: not provided"),EXACT(metadata!J480,"missing: restricted access"))),AND(IF(metadata!J480="",FALSE,ISNUMBER(VALUE(metadata!J480))),metadata!J480&gt;0))</f>
        <v>0</v>
      </c>
      <c r="AM480" t="b">
        <f>AND(IF(metadata!K480="",FALSE,TRUE),EXACT(metadata!K480,"missing: not provided"))</f>
        <v>0</v>
      </c>
      <c r="AN480" t="b">
        <f>IF(metadata!L480="",FALSE,TRUE)</f>
        <v>0</v>
      </c>
      <c r="AO480" t="b">
        <f>IF(metadata!M480="",FALSE,TRUE)</f>
        <v>0</v>
      </c>
      <c r="AP480" t="b">
        <f>OR(AND(IF(metadata!N480="",FALSE,TRUE),OR(EXACT(metadata!N480,"not applicable"),EXACT(metadata!N480,"missing: not collected"),EXACT(metadata!N480,"missing: not provided"))),AND(IF(metadata!N480="",FALSE,IF(ISERROR(INT(metadata!N480)),FALSE,INT(metadata!N480)=metadata!N480)),metadata!N480&gt;0))</f>
        <v>0</v>
      </c>
      <c r="AQ480" t="b">
        <f>AND(IF(metadata!O480="",FALSE,TRUE),EXACT(metadata!O480,"Not applicable"))</f>
        <v>0</v>
      </c>
      <c r="AR480" t="b">
        <f>OR(AND(IF(metadata!P480="",FALSE,TRUE),OR(EXACT(metadata!P480,"not applicable"),EXACT(metadata!P480,"missing: not collected"),EXACT(metadata!P480,"missing: not provided"),EXACT(metadata!P480,"missing: restricted access"))),IF(metadata!P480="",FALSE,IF(ISERROR(INT(metadata!P480)),FALSE,INT(metadata!P480)=metadata!P480)))</f>
        <v>0</v>
      </c>
      <c r="AS480" t="b">
        <f>AND(IF(metadata!Q480="",FALSE,TRUE),EXACT(metadata!Q480,"Not applicable"))</f>
        <v>0</v>
      </c>
      <c r="AT480" t="b">
        <f>OR(AND(IF(metadata!R480="",FALSE,TRUE),OR(EXACT(metadata!R480,"not applicable"),EXACT(metadata!R480,"missing: not collected"),EXACT(metadata!R480,"missing: not provided"),EXACT(metadata!R480,"missing: restricted access"))),AND(IF(metadata!R480="",FALSE,ISNUMBER(VALUE(metadata!R480))),metadata!R480&gt;0))</f>
        <v>0</v>
      </c>
      <c r="AU480" t="b">
        <f>AND(IF(metadata!S480="",FALSE,TRUE),EXACT(metadata!S480,"missing: not provided"))</f>
        <v>0</v>
      </c>
    </row>
    <row r="481" spans="1:47" x14ac:dyDescent="0.2">
      <c r="A481" s="5" t="str">
        <f ca="1">IF(B481=" "," ",HYPERLINK(CONCATENATE("#metadata!",ADDRESS(INDEX($Y$2:$Y$1001,MATCH(ROWS($W$2:W481),$W$2:$W$1001,0),0),1)),INDEX($AB$2:$AB$1001,MATCH(ROWS($W$2:W481),$W$2:$W$1001,0),0)))</f>
        <v xml:space="preserve"> </v>
      </c>
      <c r="B481" s="4" t="str">
        <f ca="1">IF(OR(INDEX($X$2:$X$1001,MATCH(ROWS($W$2:W481),$W$2:$W$1001,0),1)&gt;=100000,INDEX($AD$1005:$AU$1005,1,MATCH(COLUMNS($AD$1006:AD1006),$AD$1006:$AU$1006,0))&gt;=100000), " ",IF(INDEX($AD$2:$AU$1001,MATCH(ROWS($W$2:W481),$W$2:$W$1001,0),MATCH(COLUMNS($AD$1006:AD1006),$AD$1006:$AU$1006,0)), HYPERLINK("#",""), HYPERLINK(CONCATENATE("#metadata!", ADDRESS(INDEX($Y$2:$Y$1001,MATCH(ROWS($W$2:W481),$W$2:$W$1001,0),0), INDEX($AD$1004:$AU$1004,1,MATCH(COLUMNS($AD$1006:AD1006),$AD$1006:$AU$1006,0)))),"Fix")))</f>
        <v xml:space="preserve"> </v>
      </c>
      <c r="C481" s="4" t="str">
        <f ca="1">IF(OR(INDEX($X$2:$X$1001,MATCH(ROWS($W$2:W481),$W$2:$W$1001,0),1)&gt;=100000,INDEX($AD$1005:$AU$1005,1,MATCH(COLUMNS($AD$1006:AE1006),$AD$1006:$AU$1006,0))&gt;=100000), " ",IF(INDEX($AD$2:$AU$1001,MATCH(ROWS($W$2:W481),$W$2:$W$1001,0),MATCH(COLUMNS($AD$1006:AE1006),$AD$1006:$AU$1006,0)), HYPERLINK("#",""), HYPERLINK(CONCATENATE("#metadata!", ADDRESS(INDEX($Y$2:$Y$1001,MATCH(ROWS($W$2:W481),$W$2:$W$1001,0),0), INDEX($AD$1004:$AU$1004,1,MATCH(COLUMNS($AD$1006:AE1006),$AD$1006:$AU$1006,0)))),"Fix")))</f>
        <v xml:space="preserve"> </v>
      </c>
      <c r="D481" s="4" t="str">
        <f ca="1">IF(OR(INDEX($X$2:$X$1001,MATCH(ROWS($W$2:W481),$W$2:$W$1001,0),1)&gt;=100000,INDEX($AD$1005:$AU$1005,1,MATCH(COLUMNS($AD$1006:AF1006),$AD$1006:$AU$1006,0))&gt;=100000), " ",IF(INDEX($AD$2:$AU$1001,MATCH(ROWS($W$2:W481),$W$2:$W$1001,0),MATCH(COLUMNS($AD$1006:AF1006),$AD$1006:$AU$1006,0)), HYPERLINK("#",""), HYPERLINK(CONCATENATE("#metadata!", ADDRESS(INDEX($Y$2:$Y$1001,MATCH(ROWS($W$2:W481),$W$2:$W$1001,0),0), INDEX($AD$1004:$AU$1004,1,MATCH(COLUMNS($AD$1006:AF1006),$AD$1006:$AU$1006,0)))),"Fix")))</f>
        <v xml:space="preserve"> </v>
      </c>
      <c r="E481" s="4" t="str">
        <f ca="1">IF(OR(INDEX($X$2:$X$1001,MATCH(ROWS($W$2:W481),$W$2:$W$1001,0),1)&gt;=100000,INDEX($AD$1005:$AU$1005,1,MATCH(COLUMNS($AD$1006:AG1006),$AD$1006:$AU$1006,0))&gt;=100000), " ",IF(INDEX($AD$2:$AU$1001,MATCH(ROWS($W$2:W481),$W$2:$W$1001,0),MATCH(COLUMNS($AD$1006:AG1006),$AD$1006:$AU$1006,0)), HYPERLINK("#",""), HYPERLINK(CONCATENATE("#metadata!", ADDRESS(INDEX($Y$2:$Y$1001,MATCH(ROWS($W$2:W481),$W$2:$W$1001,0),0), INDEX($AD$1004:$AU$1004,1,MATCH(COLUMNS($AD$1006:AG1006),$AD$1006:$AU$1006,0)))),"Fix")))</f>
        <v xml:space="preserve"> </v>
      </c>
      <c r="F481" s="4" t="str">
        <f ca="1">IF(OR(INDEX($X$2:$X$1001,MATCH(ROWS($W$2:W481),$W$2:$W$1001,0),1)&gt;=100000,INDEX($AD$1005:$AU$1005,1,MATCH(COLUMNS($AD$1006:AH1006),$AD$1006:$AU$1006,0))&gt;=100000), " ",IF(INDEX($AD$2:$AU$1001,MATCH(ROWS($W$2:W481),$W$2:$W$1001,0),MATCH(COLUMNS($AD$1006:AH1006),$AD$1006:$AU$1006,0)), HYPERLINK("#",""), HYPERLINK(CONCATENATE("#metadata!", ADDRESS(INDEX($Y$2:$Y$1001,MATCH(ROWS($W$2:W481),$W$2:$W$1001,0),0), INDEX($AD$1004:$AU$1004,1,MATCH(COLUMNS($AD$1006:AH1006),$AD$1006:$AU$1006,0)))),"Fix")))</f>
        <v xml:space="preserve"> </v>
      </c>
      <c r="G481" s="4" t="str">
        <f ca="1">IF(OR(INDEX($X$2:$X$1001,MATCH(ROWS($W$2:W481),$W$2:$W$1001,0),1)&gt;=100000,INDEX($AD$1005:$AU$1005,1,MATCH(COLUMNS($AD$1006:AI1006),$AD$1006:$AU$1006,0))&gt;=100000), " ",IF(INDEX($AD$2:$AU$1001,MATCH(ROWS($W$2:W481),$W$2:$W$1001,0),MATCH(COLUMNS($AD$1006:AI1006),$AD$1006:$AU$1006,0)), HYPERLINK("#",""), HYPERLINK(CONCATENATE("#metadata!", ADDRESS(INDEX($Y$2:$Y$1001,MATCH(ROWS($W$2:W481),$W$2:$W$1001,0),0), INDEX($AD$1004:$AU$1004,1,MATCH(COLUMNS($AD$1006:AI1006),$AD$1006:$AU$1006,0)))),"Fix")))</f>
        <v xml:space="preserve"> </v>
      </c>
      <c r="H481" s="4" t="str">
        <f ca="1">IF(OR(INDEX($X$2:$X$1001,MATCH(ROWS($W$2:W481),$W$2:$W$1001,0),1)&gt;=100000,INDEX($AD$1005:$AU$1005,1,MATCH(COLUMNS($AD$1006:AJ1006),$AD$1006:$AU$1006,0))&gt;=100000), " ",IF(INDEX($AD$2:$AU$1001,MATCH(ROWS($W$2:W481),$W$2:$W$1001,0),MATCH(COLUMNS($AD$1006:AJ1006),$AD$1006:$AU$1006,0)), HYPERLINK("#",""), HYPERLINK(CONCATENATE("#metadata!", ADDRESS(INDEX($Y$2:$Y$1001,MATCH(ROWS($W$2:W481),$W$2:$W$1001,0),0), INDEX($AD$1004:$AU$1004,1,MATCH(COLUMNS($AD$1006:AJ1006),$AD$1006:$AU$1006,0)))),"Fix")))</f>
        <v xml:space="preserve"> </v>
      </c>
      <c r="I481" s="4" t="str">
        <f ca="1">IF(OR(INDEX($X$2:$X$1001,MATCH(ROWS($W$2:W481),$W$2:$W$1001,0),1)&gt;=100000,INDEX($AD$1005:$AU$1005,1,MATCH(COLUMNS($AD$1006:AK1006),$AD$1006:$AU$1006,0))&gt;=100000), " ",IF(INDEX($AD$2:$AU$1001,MATCH(ROWS($W$2:W481),$W$2:$W$1001,0),MATCH(COLUMNS($AD$1006:AK1006),$AD$1006:$AU$1006,0)), HYPERLINK("#",""), HYPERLINK(CONCATENATE("#metadata!", ADDRESS(INDEX($Y$2:$Y$1001,MATCH(ROWS($W$2:W481),$W$2:$W$1001,0),0), INDEX($AD$1004:$AU$1004,1,MATCH(COLUMNS($AD$1006:AK1006),$AD$1006:$AU$1006,0)))),"Fix")))</f>
        <v xml:space="preserve"> </v>
      </c>
      <c r="J481" s="4" t="str">
        <f ca="1">IF(OR(INDEX($X$2:$X$1001,MATCH(ROWS($W$2:W481),$W$2:$W$1001,0),1)&gt;=100000,INDEX($AD$1005:$AU$1005,1,MATCH(COLUMNS($AD$1006:AL1006),$AD$1006:$AU$1006,0))&gt;=100000), " ",IF(INDEX($AD$2:$AU$1001,MATCH(ROWS($W$2:W481),$W$2:$W$1001,0),MATCH(COLUMNS($AD$1006:AL1006),$AD$1006:$AU$1006,0)), HYPERLINK("#",""), HYPERLINK(CONCATENATE("#metadata!", ADDRESS(INDEX($Y$2:$Y$1001,MATCH(ROWS($W$2:W481),$W$2:$W$1001,0),0), INDEX($AD$1004:$AU$1004,1,MATCH(COLUMNS($AD$1006:AL1006),$AD$1006:$AU$1006,0)))),"Fix")))</f>
        <v xml:space="preserve"> </v>
      </c>
      <c r="K481" s="4" t="str">
        <f ca="1">IF(OR(INDEX($X$2:$X$1001,MATCH(ROWS($W$2:W481),$W$2:$W$1001,0),1)&gt;=100000,INDEX($AD$1005:$AU$1005,1,MATCH(COLUMNS($AD$1006:AM1006),$AD$1006:$AU$1006,0))&gt;=100000), " ",IF(INDEX($AD$2:$AU$1001,MATCH(ROWS($W$2:W481),$W$2:$W$1001,0),MATCH(COLUMNS($AD$1006:AM1006),$AD$1006:$AU$1006,0)), HYPERLINK("#",""), HYPERLINK(CONCATENATE("#metadata!", ADDRESS(INDEX($Y$2:$Y$1001,MATCH(ROWS($W$2:W481),$W$2:$W$1001,0),0), INDEX($AD$1004:$AU$1004,1,MATCH(COLUMNS($AD$1006:AM1006),$AD$1006:$AU$1006,0)))),"Fix")))</f>
        <v xml:space="preserve"> </v>
      </c>
      <c r="L481" s="4" t="str">
        <f ca="1">IF(OR(INDEX($X$2:$X$1001,MATCH(ROWS($W$2:W481),$W$2:$W$1001,0),1)&gt;=100000,INDEX($AD$1005:$AU$1005,1,MATCH(COLUMNS($AD$1006:AN1006),$AD$1006:$AU$1006,0))&gt;=100000), " ",IF(INDEX($AD$2:$AU$1001,MATCH(ROWS($W$2:W481),$W$2:$W$1001,0),MATCH(COLUMNS($AD$1006:AN1006),$AD$1006:$AU$1006,0)), HYPERLINK("#",""), HYPERLINK(CONCATENATE("#metadata!", ADDRESS(INDEX($Y$2:$Y$1001,MATCH(ROWS($W$2:W481),$W$2:$W$1001,0),0), INDEX($AD$1004:$AU$1004,1,MATCH(COLUMNS($AD$1006:AN1006),$AD$1006:$AU$1006,0)))),"Fix")))</f>
        <v xml:space="preserve"> </v>
      </c>
      <c r="M481" s="4" t="str">
        <f ca="1">IF(OR(INDEX($X$2:$X$1001,MATCH(ROWS($W$2:W481),$W$2:$W$1001,0),1)&gt;=100000,INDEX($AD$1005:$AU$1005,1,MATCH(COLUMNS($AD$1006:AO1006),$AD$1006:$AU$1006,0))&gt;=100000), " ",IF(INDEX($AD$2:$AU$1001,MATCH(ROWS($W$2:W481),$W$2:$W$1001,0),MATCH(COLUMNS($AD$1006:AO1006),$AD$1006:$AU$1006,0)), HYPERLINK("#",""), HYPERLINK(CONCATENATE("#metadata!", ADDRESS(INDEX($Y$2:$Y$1001,MATCH(ROWS($W$2:W481),$W$2:$W$1001,0),0), INDEX($AD$1004:$AU$1004,1,MATCH(COLUMNS($AD$1006:AO1006),$AD$1006:$AU$1006,0)))),"Fix")))</f>
        <v xml:space="preserve"> </v>
      </c>
      <c r="N481" s="4" t="str">
        <f ca="1">IF(OR(INDEX($X$2:$X$1001,MATCH(ROWS($W$2:W481),$W$2:$W$1001,0),1)&gt;=100000,INDEX($AD$1005:$AU$1005,1,MATCH(COLUMNS($AD$1006:AP1006),$AD$1006:$AU$1006,0))&gt;=100000), " ",IF(INDEX($AD$2:$AU$1001,MATCH(ROWS($W$2:W481),$W$2:$W$1001,0),MATCH(COLUMNS($AD$1006:AP1006),$AD$1006:$AU$1006,0)), HYPERLINK("#",""), HYPERLINK(CONCATENATE("#metadata!", ADDRESS(INDEX($Y$2:$Y$1001,MATCH(ROWS($W$2:W481),$W$2:$W$1001,0),0), INDEX($AD$1004:$AU$1004,1,MATCH(COLUMNS($AD$1006:AP1006),$AD$1006:$AU$1006,0)))),"Fix")))</f>
        <v xml:space="preserve"> </v>
      </c>
      <c r="O481" s="4" t="str">
        <f ca="1">IF(OR(INDEX($X$2:$X$1001,MATCH(ROWS($W$2:W481),$W$2:$W$1001,0),1)&gt;=100000,INDEX($AD$1005:$AU$1005,1,MATCH(COLUMNS($AD$1006:AQ1006),$AD$1006:$AU$1006,0))&gt;=100000), " ",IF(INDEX($AD$2:$AU$1001,MATCH(ROWS($W$2:W481),$W$2:$W$1001,0),MATCH(COLUMNS($AD$1006:AQ1006),$AD$1006:$AU$1006,0)), HYPERLINK("#",""), HYPERLINK(CONCATENATE("#metadata!", ADDRESS(INDEX($Y$2:$Y$1001,MATCH(ROWS($W$2:W481),$W$2:$W$1001,0),0), INDEX($AD$1004:$AU$1004,1,MATCH(COLUMNS($AD$1006:AQ1006),$AD$1006:$AU$1006,0)))),"Fix")))</f>
        <v xml:space="preserve"> </v>
      </c>
      <c r="P481" s="4" t="str">
        <f ca="1">IF(OR(INDEX($X$2:$X$1001,MATCH(ROWS($W$2:W481),$W$2:$W$1001,0),1)&gt;=100000,INDEX($AD$1005:$AU$1005,1,MATCH(COLUMNS($AD$1006:AR1006),$AD$1006:$AU$1006,0))&gt;=100000), " ",IF(INDEX($AD$2:$AU$1001,MATCH(ROWS($W$2:W481),$W$2:$W$1001,0),MATCH(COLUMNS($AD$1006:AR1006),$AD$1006:$AU$1006,0)), HYPERLINK("#",""), HYPERLINK(CONCATENATE("#metadata!", ADDRESS(INDEX($Y$2:$Y$1001,MATCH(ROWS($W$2:W481),$W$2:$W$1001,0),0), INDEX($AD$1004:$AU$1004,1,MATCH(COLUMNS($AD$1006:AR1006),$AD$1006:$AU$1006,0)))),"Fix")))</f>
        <v xml:space="preserve"> </v>
      </c>
      <c r="Q481" s="4" t="str">
        <f ca="1">IF(OR(INDEX($X$2:$X$1001,MATCH(ROWS($W$2:W481),$W$2:$W$1001,0),1)&gt;=100000,INDEX($AD$1005:$AU$1005,1,MATCH(COLUMNS($AD$1006:AS1006),$AD$1006:$AU$1006,0))&gt;=100000), " ",IF(INDEX($AD$2:$AU$1001,MATCH(ROWS($W$2:W481),$W$2:$W$1001,0),MATCH(COLUMNS($AD$1006:AS1006),$AD$1006:$AU$1006,0)), HYPERLINK("#",""), HYPERLINK(CONCATENATE("#metadata!", ADDRESS(INDEX($Y$2:$Y$1001,MATCH(ROWS($W$2:W481),$W$2:$W$1001,0),0), INDEX($AD$1004:$AU$1004,1,MATCH(COLUMNS($AD$1006:AS1006),$AD$1006:$AU$1006,0)))),"Fix")))</f>
        <v xml:space="preserve"> </v>
      </c>
      <c r="R481" s="4" t="str">
        <f ca="1">IF(OR(INDEX($X$2:$X$1001,MATCH(ROWS($W$2:W481),$W$2:$W$1001,0),1)&gt;=100000,INDEX($AD$1005:$AU$1005,1,MATCH(COLUMNS($AD$1006:AT1006),$AD$1006:$AU$1006,0))&gt;=100000), " ",IF(INDEX($AD$2:$AU$1001,MATCH(ROWS($W$2:W481),$W$2:$W$1001,0),MATCH(COLUMNS($AD$1006:AT1006),$AD$1006:$AU$1006,0)), HYPERLINK("#",""), HYPERLINK(CONCATENATE("#metadata!", ADDRESS(INDEX($Y$2:$Y$1001,MATCH(ROWS($W$2:W481),$W$2:$W$1001,0),0), INDEX($AD$1004:$AU$1004,1,MATCH(COLUMNS($AD$1006:AT1006),$AD$1006:$AU$1006,0)))),"Fix")))</f>
        <v xml:space="preserve"> </v>
      </c>
      <c r="S481" s="4" t="str">
        <f ca="1">IF(OR(INDEX($X$2:$X$1001,MATCH(ROWS($W$2:W481),$W$2:$W$1001,0),1)&gt;=100000,INDEX($AD$1005:$AU$1005,1,MATCH(COLUMNS($AD$1006:AU1006),$AD$1006:$AU$1006,0))&gt;=100000), " ",IF(INDEX($AD$2:$AU$1001,MATCH(ROWS($W$2:W481),$W$2:$W$1001,0),MATCH(COLUMNS($AD$1006:AU1006),$AD$1006:$AU$1006,0)), HYPERLINK("#",""), HYPERLINK(CONCATENATE("#metadata!", ADDRESS(INDEX($Y$2:$Y$1001,MATCH(ROWS($W$2:W481),$W$2:$W$1001,0),0), INDEX($AD$1004:$AU$1004,1,MATCH(COLUMNS($AD$1006:AU1006),$AD$1006:$AU$1006,0)))),"Fix")))</f>
        <v xml:space="preserve"> </v>
      </c>
      <c r="W481">
        <v>480</v>
      </c>
      <c r="X481">
        <v>100481</v>
      </c>
      <c r="Y481">
        <v>481</v>
      </c>
      <c r="Z481" t="b">
        <f t="shared" si="7"/>
        <v>1</v>
      </c>
      <c r="AA481" t="b">
        <f>COUNTBLANK(metadata!B481:S481)=COLUMNS(metadata!B481:S481)</f>
        <v>1</v>
      </c>
      <c r="AB481" t="str">
        <v/>
      </c>
      <c r="AD481" t="b">
        <f ca="1">AND(IF(metadata!B481="",FALSE,TRUE),COUNTIF(metadata!B:B, metadata!B481) = 1,NOT(ISERROR(SUMPRODUCT(SEARCH(MID(metadata!B481,ROW(INDIRECT("1:"&amp;LEN(metadata!B481))), 1),"0123456789abcdefghijklmnopqrstuvwxyzABCDEFGHIJKLMNOPQRSTUVWXYZ.")))))</f>
        <v>0</v>
      </c>
      <c r="AE481" t="b">
        <f>OR(AND(IF(metadata!C481="",FALSE,TRUE),OR(EXACT(metadata!C481,"not applicable"),EXACT(metadata!C481,"missing: not collected"),EXACT(metadata!C481,"missing: not provided"),EXACT(metadata!C481,"missing: restricted access"))),AND(IF(metadata!C481="",FALSE,ISNUMBER(VALUE(metadata!C481))),metadata!C481&gt;0))</f>
        <v>0</v>
      </c>
      <c r="AF481" t="b">
        <f>AND(IF(metadata!D481="",FALSE,TRUE),EXACT(metadata!D481,"missing: not provided"))</f>
        <v>0</v>
      </c>
      <c r="AG481" t="b">
        <f>AND(IF(metadata!E481="",FALSE,TRUE),EXACT(metadata!E481,"Host-associated"))</f>
        <v>0</v>
      </c>
      <c r="AH481" t="b">
        <f>AND(IF(metadata!F481="",FALSE,TRUE),OR(EXACT(metadata!F481,"Animal"),EXACT(metadata!F481,"Fungus"),EXACT(metadata!F481,"Plant")))</f>
        <v>0</v>
      </c>
      <c r="AI481" t="b">
        <f>AND(IF(metadata!G481="",FALSE,TRUE),OR(EXACT(metadata!G481,"Plant secretion"),EXACT(metadata!G481,"Plant rhizosphere"),EXACT(metadata!G481,"Plant surface"),EXACT(metadata!G481,"Plant corpus"),EXACT(metadata!G481,"Fungus surface"),EXACT(metadata!G481,"Fungus corpus"),EXACT(metadata!G481,"Animal surface"),EXACT(metadata!G481,"Animal proximal gut"),EXACT(metadata!G481,"Animal corpus"),EXACT(metadata!G481,"Animal distal gut"),EXACT(metadata!G481,"Animal secretion")))</f>
        <v>0</v>
      </c>
      <c r="AJ481" t="b">
        <f>OR(AND(IF(metadata!H481="",FALSE,TRUE),OR(EXACT(metadata!H481,"missing: not collected"),EXACT(metadata!H481,"missing: not provided"),EXACT(metadata!H481,"missing: restricted access"))),AND(IF(metadata!H481="",FALSE,TRUE),OR(EXACT(metadata!H481,"organism-associated habitat"),EXACT(metadata!H481,"plant-associated habitat"),EXACT(metadata!H481,"animal-associated habitat"),EXACT(metadata!H481,"insecta-associated habitat"),EXACT(metadata!H481,"mammalia-associated habitat"),EXACT(metadata!H481,"human-associated habitat"),EXACT(metadata!H481,"livestock-associated habitat"))))</f>
        <v>0</v>
      </c>
      <c r="AK481" t="b">
        <f>AND(IF(metadata!I481="",FALSE,TRUE),EXACT(metadata!I481,"host-associated"))</f>
        <v>0</v>
      </c>
      <c r="AL481" t="b">
        <f>OR(AND(IF(metadata!J481="",FALSE,TRUE),OR(EXACT(metadata!J481,"not applicable"),EXACT(metadata!J481,"missing: not collected"),EXACT(metadata!J481,"missing: not provided"),EXACT(metadata!J481,"missing: restricted access"))),AND(IF(metadata!J481="",FALSE,ISNUMBER(VALUE(metadata!J481))),metadata!J481&gt;0))</f>
        <v>0</v>
      </c>
      <c r="AM481" t="b">
        <f>AND(IF(metadata!K481="",FALSE,TRUE),EXACT(metadata!K481,"missing: not provided"))</f>
        <v>0</v>
      </c>
      <c r="AN481" t="b">
        <f>IF(metadata!L481="",FALSE,TRUE)</f>
        <v>0</v>
      </c>
      <c r="AO481" t="b">
        <f>IF(metadata!M481="",FALSE,TRUE)</f>
        <v>0</v>
      </c>
      <c r="AP481" t="b">
        <f>OR(AND(IF(metadata!N481="",FALSE,TRUE),OR(EXACT(metadata!N481,"not applicable"),EXACT(metadata!N481,"missing: not collected"),EXACT(metadata!N481,"missing: not provided"))),AND(IF(metadata!N481="",FALSE,IF(ISERROR(INT(metadata!N481)),FALSE,INT(metadata!N481)=metadata!N481)),metadata!N481&gt;0))</f>
        <v>0</v>
      </c>
      <c r="AQ481" t="b">
        <f>AND(IF(metadata!O481="",FALSE,TRUE),EXACT(metadata!O481,"Not applicable"))</f>
        <v>0</v>
      </c>
      <c r="AR481" t="b">
        <f>OR(AND(IF(metadata!P481="",FALSE,TRUE),OR(EXACT(metadata!P481,"not applicable"),EXACT(metadata!P481,"missing: not collected"),EXACT(metadata!P481,"missing: not provided"),EXACT(metadata!P481,"missing: restricted access"))),IF(metadata!P481="",FALSE,IF(ISERROR(INT(metadata!P481)),FALSE,INT(metadata!P481)=metadata!P481)))</f>
        <v>0</v>
      </c>
      <c r="AS481" t="b">
        <f>AND(IF(metadata!Q481="",FALSE,TRUE),EXACT(metadata!Q481,"Not applicable"))</f>
        <v>0</v>
      </c>
      <c r="AT481" t="b">
        <f>OR(AND(IF(metadata!R481="",FALSE,TRUE),OR(EXACT(metadata!R481,"not applicable"),EXACT(metadata!R481,"missing: not collected"),EXACT(metadata!R481,"missing: not provided"),EXACT(metadata!R481,"missing: restricted access"))),AND(IF(metadata!R481="",FALSE,ISNUMBER(VALUE(metadata!R481))),metadata!R481&gt;0))</f>
        <v>0</v>
      </c>
      <c r="AU481" t="b">
        <f>AND(IF(metadata!S481="",FALSE,TRUE),EXACT(metadata!S481,"missing: not provided"))</f>
        <v>0</v>
      </c>
    </row>
    <row r="482" spans="1:47" x14ac:dyDescent="0.2">
      <c r="A482" s="5" t="str">
        <f ca="1">IF(B482=" "," ",HYPERLINK(CONCATENATE("#metadata!",ADDRESS(INDEX($Y$2:$Y$1001,MATCH(ROWS($W$2:W482),$W$2:$W$1001,0),0),1)),INDEX($AB$2:$AB$1001,MATCH(ROWS($W$2:W482),$W$2:$W$1001,0),0)))</f>
        <v xml:space="preserve"> </v>
      </c>
      <c r="B482" s="4" t="str">
        <f ca="1">IF(OR(INDEX($X$2:$X$1001,MATCH(ROWS($W$2:W482),$W$2:$W$1001,0),1)&gt;=100000,INDEX($AD$1005:$AU$1005,1,MATCH(COLUMNS($AD$1006:AD1006),$AD$1006:$AU$1006,0))&gt;=100000), " ",IF(INDEX($AD$2:$AU$1001,MATCH(ROWS($W$2:W482),$W$2:$W$1001,0),MATCH(COLUMNS($AD$1006:AD1006),$AD$1006:$AU$1006,0)), HYPERLINK("#",""), HYPERLINK(CONCATENATE("#metadata!", ADDRESS(INDEX($Y$2:$Y$1001,MATCH(ROWS($W$2:W482),$W$2:$W$1001,0),0), INDEX($AD$1004:$AU$1004,1,MATCH(COLUMNS($AD$1006:AD1006),$AD$1006:$AU$1006,0)))),"Fix")))</f>
        <v xml:space="preserve"> </v>
      </c>
      <c r="C482" s="4" t="str">
        <f ca="1">IF(OR(INDEX($X$2:$X$1001,MATCH(ROWS($W$2:W482),$W$2:$W$1001,0),1)&gt;=100000,INDEX($AD$1005:$AU$1005,1,MATCH(COLUMNS($AD$1006:AE1006),$AD$1006:$AU$1006,0))&gt;=100000), " ",IF(INDEX($AD$2:$AU$1001,MATCH(ROWS($W$2:W482),$W$2:$W$1001,0),MATCH(COLUMNS($AD$1006:AE1006),$AD$1006:$AU$1006,0)), HYPERLINK("#",""), HYPERLINK(CONCATENATE("#metadata!", ADDRESS(INDEX($Y$2:$Y$1001,MATCH(ROWS($W$2:W482),$W$2:$W$1001,0),0), INDEX($AD$1004:$AU$1004,1,MATCH(COLUMNS($AD$1006:AE1006),$AD$1006:$AU$1006,0)))),"Fix")))</f>
        <v xml:space="preserve"> </v>
      </c>
      <c r="D482" s="4" t="str">
        <f ca="1">IF(OR(INDEX($X$2:$X$1001,MATCH(ROWS($W$2:W482),$W$2:$W$1001,0),1)&gt;=100000,INDEX($AD$1005:$AU$1005,1,MATCH(COLUMNS($AD$1006:AF1006),$AD$1006:$AU$1006,0))&gt;=100000), " ",IF(INDEX($AD$2:$AU$1001,MATCH(ROWS($W$2:W482),$W$2:$W$1001,0),MATCH(COLUMNS($AD$1006:AF1006),$AD$1006:$AU$1006,0)), HYPERLINK("#",""), HYPERLINK(CONCATENATE("#metadata!", ADDRESS(INDEX($Y$2:$Y$1001,MATCH(ROWS($W$2:W482),$W$2:$W$1001,0),0), INDEX($AD$1004:$AU$1004,1,MATCH(COLUMNS($AD$1006:AF1006),$AD$1006:$AU$1006,0)))),"Fix")))</f>
        <v xml:space="preserve"> </v>
      </c>
      <c r="E482" s="4" t="str">
        <f ca="1">IF(OR(INDEX($X$2:$X$1001,MATCH(ROWS($W$2:W482),$W$2:$W$1001,0),1)&gt;=100000,INDEX($AD$1005:$AU$1005,1,MATCH(COLUMNS($AD$1006:AG1006),$AD$1006:$AU$1006,0))&gt;=100000), " ",IF(INDEX($AD$2:$AU$1001,MATCH(ROWS($W$2:W482),$W$2:$W$1001,0),MATCH(COLUMNS($AD$1006:AG1006),$AD$1006:$AU$1006,0)), HYPERLINK("#",""), HYPERLINK(CONCATENATE("#metadata!", ADDRESS(INDEX($Y$2:$Y$1001,MATCH(ROWS($W$2:W482),$W$2:$W$1001,0),0), INDEX($AD$1004:$AU$1004,1,MATCH(COLUMNS($AD$1006:AG1006),$AD$1006:$AU$1006,0)))),"Fix")))</f>
        <v xml:space="preserve"> </v>
      </c>
      <c r="F482" s="4" t="str">
        <f ca="1">IF(OR(INDEX($X$2:$X$1001,MATCH(ROWS($W$2:W482),$W$2:$W$1001,0),1)&gt;=100000,INDEX($AD$1005:$AU$1005,1,MATCH(COLUMNS($AD$1006:AH1006),$AD$1006:$AU$1006,0))&gt;=100000), " ",IF(INDEX($AD$2:$AU$1001,MATCH(ROWS($W$2:W482),$W$2:$W$1001,0),MATCH(COLUMNS($AD$1006:AH1006),$AD$1006:$AU$1006,0)), HYPERLINK("#",""), HYPERLINK(CONCATENATE("#metadata!", ADDRESS(INDEX($Y$2:$Y$1001,MATCH(ROWS($W$2:W482),$W$2:$W$1001,0),0), INDEX($AD$1004:$AU$1004,1,MATCH(COLUMNS($AD$1006:AH1006),$AD$1006:$AU$1006,0)))),"Fix")))</f>
        <v xml:space="preserve"> </v>
      </c>
      <c r="G482" s="4" t="str">
        <f ca="1">IF(OR(INDEX($X$2:$X$1001,MATCH(ROWS($W$2:W482),$W$2:$W$1001,0),1)&gt;=100000,INDEX($AD$1005:$AU$1005,1,MATCH(COLUMNS($AD$1006:AI1006),$AD$1006:$AU$1006,0))&gt;=100000), " ",IF(INDEX($AD$2:$AU$1001,MATCH(ROWS($W$2:W482),$W$2:$W$1001,0),MATCH(COLUMNS($AD$1006:AI1006),$AD$1006:$AU$1006,0)), HYPERLINK("#",""), HYPERLINK(CONCATENATE("#metadata!", ADDRESS(INDEX($Y$2:$Y$1001,MATCH(ROWS($W$2:W482),$W$2:$W$1001,0),0), INDEX($AD$1004:$AU$1004,1,MATCH(COLUMNS($AD$1006:AI1006),$AD$1006:$AU$1006,0)))),"Fix")))</f>
        <v xml:space="preserve"> </v>
      </c>
      <c r="H482" s="4" t="str">
        <f ca="1">IF(OR(INDEX($X$2:$X$1001,MATCH(ROWS($W$2:W482),$W$2:$W$1001,0),1)&gt;=100000,INDEX($AD$1005:$AU$1005,1,MATCH(COLUMNS($AD$1006:AJ1006),$AD$1006:$AU$1006,0))&gt;=100000), " ",IF(INDEX($AD$2:$AU$1001,MATCH(ROWS($W$2:W482),$W$2:$W$1001,0),MATCH(COLUMNS($AD$1006:AJ1006),$AD$1006:$AU$1006,0)), HYPERLINK("#",""), HYPERLINK(CONCATENATE("#metadata!", ADDRESS(INDEX($Y$2:$Y$1001,MATCH(ROWS($W$2:W482),$W$2:$W$1001,0),0), INDEX($AD$1004:$AU$1004,1,MATCH(COLUMNS($AD$1006:AJ1006),$AD$1006:$AU$1006,0)))),"Fix")))</f>
        <v xml:space="preserve"> </v>
      </c>
      <c r="I482" s="4" t="str">
        <f ca="1">IF(OR(INDEX($X$2:$X$1001,MATCH(ROWS($W$2:W482),$W$2:$W$1001,0),1)&gt;=100000,INDEX($AD$1005:$AU$1005,1,MATCH(COLUMNS($AD$1006:AK1006),$AD$1006:$AU$1006,0))&gt;=100000), " ",IF(INDEX($AD$2:$AU$1001,MATCH(ROWS($W$2:W482),$W$2:$W$1001,0),MATCH(COLUMNS($AD$1006:AK1006),$AD$1006:$AU$1006,0)), HYPERLINK("#",""), HYPERLINK(CONCATENATE("#metadata!", ADDRESS(INDEX($Y$2:$Y$1001,MATCH(ROWS($W$2:W482),$W$2:$W$1001,0),0), INDEX($AD$1004:$AU$1004,1,MATCH(COLUMNS($AD$1006:AK1006),$AD$1006:$AU$1006,0)))),"Fix")))</f>
        <v xml:space="preserve"> </v>
      </c>
      <c r="J482" s="4" t="str">
        <f ca="1">IF(OR(INDEX($X$2:$X$1001,MATCH(ROWS($W$2:W482),$W$2:$W$1001,0),1)&gt;=100000,INDEX($AD$1005:$AU$1005,1,MATCH(COLUMNS($AD$1006:AL1006),$AD$1006:$AU$1006,0))&gt;=100000), " ",IF(INDEX($AD$2:$AU$1001,MATCH(ROWS($W$2:W482),$W$2:$W$1001,0),MATCH(COLUMNS($AD$1006:AL1006),$AD$1006:$AU$1006,0)), HYPERLINK("#",""), HYPERLINK(CONCATENATE("#metadata!", ADDRESS(INDEX($Y$2:$Y$1001,MATCH(ROWS($W$2:W482),$W$2:$W$1001,0),0), INDEX($AD$1004:$AU$1004,1,MATCH(COLUMNS($AD$1006:AL1006),$AD$1006:$AU$1006,0)))),"Fix")))</f>
        <v xml:space="preserve"> </v>
      </c>
      <c r="K482" s="4" t="str">
        <f ca="1">IF(OR(INDEX($X$2:$X$1001,MATCH(ROWS($W$2:W482),$W$2:$W$1001,0),1)&gt;=100000,INDEX($AD$1005:$AU$1005,1,MATCH(COLUMNS($AD$1006:AM1006),$AD$1006:$AU$1006,0))&gt;=100000), " ",IF(INDEX($AD$2:$AU$1001,MATCH(ROWS($W$2:W482),$W$2:$W$1001,0),MATCH(COLUMNS($AD$1006:AM1006),$AD$1006:$AU$1006,0)), HYPERLINK("#",""), HYPERLINK(CONCATENATE("#metadata!", ADDRESS(INDEX($Y$2:$Y$1001,MATCH(ROWS($W$2:W482),$W$2:$W$1001,0),0), INDEX($AD$1004:$AU$1004,1,MATCH(COLUMNS($AD$1006:AM1006),$AD$1006:$AU$1006,0)))),"Fix")))</f>
        <v xml:space="preserve"> </v>
      </c>
      <c r="L482" s="4" t="str">
        <f ca="1">IF(OR(INDEX($X$2:$X$1001,MATCH(ROWS($W$2:W482),$W$2:$W$1001,0),1)&gt;=100000,INDEX($AD$1005:$AU$1005,1,MATCH(COLUMNS($AD$1006:AN1006),$AD$1006:$AU$1006,0))&gt;=100000), " ",IF(INDEX($AD$2:$AU$1001,MATCH(ROWS($W$2:W482),$W$2:$W$1001,0),MATCH(COLUMNS($AD$1006:AN1006),$AD$1006:$AU$1006,0)), HYPERLINK("#",""), HYPERLINK(CONCATENATE("#metadata!", ADDRESS(INDEX($Y$2:$Y$1001,MATCH(ROWS($W$2:W482),$W$2:$W$1001,0),0), INDEX($AD$1004:$AU$1004,1,MATCH(COLUMNS($AD$1006:AN1006),$AD$1006:$AU$1006,0)))),"Fix")))</f>
        <v xml:space="preserve"> </v>
      </c>
      <c r="M482" s="4" t="str">
        <f ca="1">IF(OR(INDEX($X$2:$X$1001,MATCH(ROWS($W$2:W482),$W$2:$W$1001,0),1)&gt;=100000,INDEX($AD$1005:$AU$1005,1,MATCH(COLUMNS($AD$1006:AO1006),$AD$1006:$AU$1006,0))&gt;=100000), " ",IF(INDEX($AD$2:$AU$1001,MATCH(ROWS($W$2:W482),$W$2:$W$1001,0),MATCH(COLUMNS($AD$1006:AO1006),$AD$1006:$AU$1006,0)), HYPERLINK("#",""), HYPERLINK(CONCATENATE("#metadata!", ADDRESS(INDEX($Y$2:$Y$1001,MATCH(ROWS($W$2:W482),$W$2:$W$1001,0),0), INDEX($AD$1004:$AU$1004,1,MATCH(COLUMNS($AD$1006:AO1006),$AD$1006:$AU$1006,0)))),"Fix")))</f>
        <v xml:space="preserve"> </v>
      </c>
      <c r="N482" s="4" t="str">
        <f ca="1">IF(OR(INDEX($X$2:$X$1001,MATCH(ROWS($W$2:W482),$W$2:$W$1001,0),1)&gt;=100000,INDEX($AD$1005:$AU$1005,1,MATCH(COLUMNS($AD$1006:AP1006),$AD$1006:$AU$1006,0))&gt;=100000), " ",IF(INDEX($AD$2:$AU$1001,MATCH(ROWS($W$2:W482),$W$2:$W$1001,0),MATCH(COLUMNS($AD$1006:AP1006),$AD$1006:$AU$1006,0)), HYPERLINK("#",""), HYPERLINK(CONCATENATE("#metadata!", ADDRESS(INDEX($Y$2:$Y$1001,MATCH(ROWS($W$2:W482),$W$2:$W$1001,0),0), INDEX($AD$1004:$AU$1004,1,MATCH(COLUMNS($AD$1006:AP1006),$AD$1006:$AU$1006,0)))),"Fix")))</f>
        <v xml:space="preserve"> </v>
      </c>
      <c r="O482" s="4" t="str">
        <f ca="1">IF(OR(INDEX($X$2:$X$1001,MATCH(ROWS($W$2:W482),$W$2:$W$1001,0),1)&gt;=100000,INDEX($AD$1005:$AU$1005,1,MATCH(COLUMNS($AD$1006:AQ1006),$AD$1006:$AU$1006,0))&gt;=100000), " ",IF(INDEX($AD$2:$AU$1001,MATCH(ROWS($W$2:W482),$W$2:$W$1001,0),MATCH(COLUMNS($AD$1006:AQ1006),$AD$1006:$AU$1006,0)), HYPERLINK("#",""), HYPERLINK(CONCATENATE("#metadata!", ADDRESS(INDEX($Y$2:$Y$1001,MATCH(ROWS($W$2:W482),$W$2:$W$1001,0),0), INDEX($AD$1004:$AU$1004,1,MATCH(COLUMNS($AD$1006:AQ1006),$AD$1006:$AU$1006,0)))),"Fix")))</f>
        <v xml:space="preserve"> </v>
      </c>
      <c r="P482" s="4" t="str">
        <f ca="1">IF(OR(INDEX($X$2:$X$1001,MATCH(ROWS($W$2:W482),$W$2:$W$1001,0),1)&gt;=100000,INDEX($AD$1005:$AU$1005,1,MATCH(COLUMNS($AD$1006:AR1006),$AD$1006:$AU$1006,0))&gt;=100000), " ",IF(INDEX($AD$2:$AU$1001,MATCH(ROWS($W$2:W482),$W$2:$W$1001,0),MATCH(COLUMNS($AD$1006:AR1006),$AD$1006:$AU$1006,0)), HYPERLINK("#",""), HYPERLINK(CONCATENATE("#metadata!", ADDRESS(INDEX($Y$2:$Y$1001,MATCH(ROWS($W$2:W482),$W$2:$W$1001,0),0), INDEX($AD$1004:$AU$1004,1,MATCH(COLUMNS($AD$1006:AR1006),$AD$1006:$AU$1006,0)))),"Fix")))</f>
        <v xml:space="preserve"> </v>
      </c>
      <c r="Q482" s="4" t="str">
        <f ca="1">IF(OR(INDEX($X$2:$X$1001,MATCH(ROWS($W$2:W482),$W$2:$W$1001,0),1)&gt;=100000,INDEX($AD$1005:$AU$1005,1,MATCH(COLUMNS($AD$1006:AS1006),$AD$1006:$AU$1006,0))&gt;=100000), " ",IF(INDEX($AD$2:$AU$1001,MATCH(ROWS($W$2:W482),$W$2:$W$1001,0),MATCH(COLUMNS($AD$1006:AS1006),$AD$1006:$AU$1006,0)), HYPERLINK("#",""), HYPERLINK(CONCATENATE("#metadata!", ADDRESS(INDEX($Y$2:$Y$1001,MATCH(ROWS($W$2:W482),$W$2:$W$1001,0),0), INDEX($AD$1004:$AU$1004,1,MATCH(COLUMNS($AD$1006:AS1006),$AD$1006:$AU$1006,0)))),"Fix")))</f>
        <v xml:space="preserve"> </v>
      </c>
      <c r="R482" s="4" t="str">
        <f ca="1">IF(OR(INDEX($X$2:$X$1001,MATCH(ROWS($W$2:W482),$W$2:$W$1001,0),1)&gt;=100000,INDEX($AD$1005:$AU$1005,1,MATCH(COLUMNS($AD$1006:AT1006),$AD$1006:$AU$1006,0))&gt;=100000), " ",IF(INDEX($AD$2:$AU$1001,MATCH(ROWS($W$2:W482),$W$2:$W$1001,0),MATCH(COLUMNS($AD$1006:AT1006),$AD$1006:$AU$1006,0)), HYPERLINK("#",""), HYPERLINK(CONCATENATE("#metadata!", ADDRESS(INDEX($Y$2:$Y$1001,MATCH(ROWS($W$2:W482),$W$2:$W$1001,0),0), INDEX($AD$1004:$AU$1004,1,MATCH(COLUMNS($AD$1006:AT1006),$AD$1006:$AU$1006,0)))),"Fix")))</f>
        <v xml:space="preserve"> </v>
      </c>
      <c r="S482" s="4" t="str">
        <f ca="1">IF(OR(INDEX($X$2:$X$1001,MATCH(ROWS($W$2:W482),$W$2:$W$1001,0),1)&gt;=100000,INDEX($AD$1005:$AU$1005,1,MATCH(COLUMNS($AD$1006:AU1006),$AD$1006:$AU$1006,0))&gt;=100000), " ",IF(INDEX($AD$2:$AU$1001,MATCH(ROWS($W$2:W482),$W$2:$W$1001,0),MATCH(COLUMNS($AD$1006:AU1006),$AD$1006:$AU$1006,0)), HYPERLINK("#",""), HYPERLINK(CONCATENATE("#metadata!", ADDRESS(INDEX($Y$2:$Y$1001,MATCH(ROWS($W$2:W482),$W$2:$W$1001,0),0), INDEX($AD$1004:$AU$1004,1,MATCH(COLUMNS($AD$1006:AU1006),$AD$1006:$AU$1006,0)))),"Fix")))</f>
        <v xml:space="preserve"> </v>
      </c>
      <c r="W482">
        <v>481</v>
      </c>
      <c r="X482">
        <v>100482</v>
      </c>
      <c r="Y482">
        <v>482</v>
      </c>
      <c r="Z482" t="b">
        <f t="shared" si="7"/>
        <v>1</v>
      </c>
      <c r="AA482" t="b">
        <f>COUNTBLANK(metadata!B482:S482)=COLUMNS(metadata!B482:S482)</f>
        <v>1</v>
      </c>
      <c r="AB482" t="str">
        <v/>
      </c>
      <c r="AD482" t="b">
        <f ca="1">AND(IF(metadata!B482="",FALSE,TRUE),COUNTIF(metadata!B:B, metadata!B482) = 1,NOT(ISERROR(SUMPRODUCT(SEARCH(MID(metadata!B482,ROW(INDIRECT("1:"&amp;LEN(metadata!B482))), 1),"0123456789abcdefghijklmnopqrstuvwxyzABCDEFGHIJKLMNOPQRSTUVWXYZ.")))))</f>
        <v>0</v>
      </c>
      <c r="AE482" t="b">
        <f>OR(AND(IF(metadata!C482="",FALSE,TRUE),OR(EXACT(metadata!C482,"not applicable"),EXACT(metadata!C482,"missing: not collected"),EXACT(metadata!C482,"missing: not provided"),EXACT(metadata!C482,"missing: restricted access"))),AND(IF(metadata!C482="",FALSE,ISNUMBER(VALUE(metadata!C482))),metadata!C482&gt;0))</f>
        <v>0</v>
      </c>
      <c r="AF482" t="b">
        <f>AND(IF(metadata!D482="",FALSE,TRUE),EXACT(metadata!D482,"missing: not provided"))</f>
        <v>0</v>
      </c>
      <c r="AG482" t="b">
        <f>AND(IF(metadata!E482="",FALSE,TRUE),EXACT(metadata!E482,"Host-associated"))</f>
        <v>0</v>
      </c>
      <c r="AH482" t="b">
        <f>AND(IF(metadata!F482="",FALSE,TRUE),OR(EXACT(metadata!F482,"Animal"),EXACT(metadata!F482,"Fungus"),EXACT(metadata!F482,"Plant")))</f>
        <v>0</v>
      </c>
      <c r="AI482" t="b">
        <f>AND(IF(metadata!G482="",FALSE,TRUE),OR(EXACT(metadata!G482,"Plant secretion"),EXACT(metadata!G482,"Plant rhizosphere"),EXACT(metadata!G482,"Plant surface"),EXACT(metadata!G482,"Plant corpus"),EXACT(metadata!G482,"Fungus surface"),EXACT(metadata!G482,"Fungus corpus"),EXACT(metadata!G482,"Animal surface"),EXACT(metadata!G482,"Animal proximal gut"),EXACT(metadata!G482,"Animal corpus"),EXACT(metadata!G482,"Animal distal gut"),EXACT(metadata!G482,"Animal secretion")))</f>
        <v>0</v>
      </c>
      <c r="AJ482" t="b">
        <f>OR(AND(IF(metadata!H482="",FALSE,TRUE),OR(EXACT(metadata!H482,"missing: not collected"),EXACT(metadata!H482,"missing: not provided"),EXACT(metadata!H482,"missing: restricted access"))),AND(IF(metadata!H482="",FALSE,TRUE),OR(EXACT(metadata!H482,"organism-associated habitat"),EXACT(metadata!H482,"plant-associated habitat"),EXACT(metadata!H482,"animal-associated habitat"),EXACT(metadata!H482,"insecta-associated habitat"),EXACT(metadata!H482,"mammalia-associated habitat"),EXACT(metadata!H482,"human-associated habitat"),EXACT(metadata!H482,"livestock-associated habitat"))))</f>
        <v>0</v>
      </c>
      <c r="AK482" t="b">
        <f>AND(IF(metadata!I482="",FALSE,TRUE),EXACT(metadata!I482,"host-associated"))</f>
        <v>0</v>
      </c>
      <c r="AL482" t="b">
        <f>OR(AND(IF(metadata!J482="",FALSE,TRUE),OR(EXACT(metadata!J482,"not applicable"),EXACT(metadata!J482,"missing: not collected"),EXACT(metadata!J482,"missing: not provided"),EXACT(metadata!J482,"missing: restricted access"))),AND(IF(metadata!J482="",FALSE,ISNUMBER(VALUE(metadata!J482))),metadata!J482&gt;0))</f>
        <v>0</v>
      </c>
      <c r="AM482" t="b">
        <f>AND(IF(metadata!K482="",FALSE,TRUE),EXACT(metadata!K482,"missing: not provided"))</f>
        <v>0</v>
      </c>
      <c r="AN482" t="b">
        <f>IF(metadata!L482="",FALSE,TRUE)</f>
        <v>0</v>
      </c>
      <c r="AO482" t="b">
        <f>IF(metadata!M482="",FALSE,TRUE)</f>
        <v>0</v>
      </c>
      <c r="AP482" t="b">
        <f>OR(AND(IF(metadata!N482="",FALSE,TRUE),OR(EXACT(metadata!N482,"not applicable"),EXACT(metadata!N482,"missing: not collected"),EXACT(metadata!N482,"missing: not provided"))),AND(IF(metadata!N482="",FALSE,IF(ISERROR(INT(metadata!N482)),FALSE,INT(metadata!N482)=metadata!N482)),metadata!N482&gt;0))</f>
        <v>0</v>
      </c>
      <c r="AQ482" t="b">
        <f>AND(IF(metadata!O482="",FALSE,TRUE),EXACT(metadata!O482,"Not applicable"))</f>
        <v>0</v>
      </c>
      <c r="AR482" t="b">
        <f>OR(AND(IF(metadata!P482="",FALSE,TRUE),OR(EXACT(metadata!P482,"not applicable"),EXACT(metadata!P482,"missing: not collected"),EXACT(metadata!P482,"missing: not provided"),EXACT(metadata!P482,"missing: restricted access"))),IF(metadata!P482="",FALSE,IF(ISERROR(INT(metadata!P482)),FALSE,INT(metadata!P482)=metadata!P482)))</f>
        <v>0</v>
      </c>
      <c r="AS482" t="b">
        <f>AND(IF(metadata!Q482="",FALSE,TRUE),EXACT(metadata!Q482,"Not applicable"))</f>
        <v>0</v>
      </c>
      <c r="AT482" t="b">
        <f>OR(AND(IF(metadata!R482="",FALSE,TRUE),OR(EXACT(metadata!R482,"not applicable"),EXACT(metadata!R482,"missing: not collected"),EXACT(metadata!R482,"missing: not provided"),EXACT(metadata!R482,"missing: restricted access"))),AND(IF(metadata!R482="",FALSE,ISNUMBER(VALUE(metadata!R482))),metadata!R482&gt;0))</f>
        <v>0</v>
      </c>
      <c r="AU482" t="b">
        <f>AND(IF(metadata!S482="",FALSE,TRUE),EXACT(metadata!S482,"missing: not provided"))</f>
        <v>0</v>
      </c>
    </row>
    <row r="483" spans="1:47" x14ac:dyDescent="0.2">
      <c r="A483" s="5" t="str">
        <f ca="1">IF(B483=" "," ",HYPERLINK(CONCATENATE("#metadata!",ADDRESS(INDEX($Y$2:$Y$1001,MATCH(ROWS($W$2:W483),$W$2:$W$1001,0),0),1)),INDEX($AB$2:$AB$1001,MATCH(ROWS($W$2:W483),$W$2:$W$1001,0),0)))</f>
        <v xml:space="preserve"> </v>
      </c>
      <c r="B483" s="4" t="str">
        <f ca="1">IF(OR(INDEX($X$2:$X$1001,MATCH(ROWS($W$2:W483),$W$2:$W$1001,0),1)&gt;=100000,INDEX($AD$1005:$AU$1005,1,MATCH(COLUMNS($AD$1006:AD1006),$AD$1006:$AU$1006,0))&gt;=100000), " ",IF(INDEX($AD$2:$AU$1001,MATCH(ROWS($W$2:W483),$W$2:$W$1001,0),MATCH(COLUMNS($AD$1006:AD1006),$AD$1006:$AU$1006,0)), HYPERLINK("#",""), HYPERLINK(CONCATENATE("#metadata!", ADDRESS(INDEX($Y$2:$Y$1001,MATCH(ROWS($W$2:W483),$W$2:$W$1001,0),0), INDEX($AD$1004:$AU$1004,1,MATCH(COLUMNS($AD$1006:AD1006),$AD$1006:$AU$1006,0)))),"Fix")))</f>
        <v xml:space="preserve"> </v>
      </c>
      <c r="C483" s="4" t="str">
        <f ca="1">IF(OR(INDEX($X$2:$X$1001,MATCH(ROWS($W$2:W483),$W$2:$W$1001,0),1)&gt;=100000,INDEX($AD$1005:$AU$1005,1,MATCH(COLUMNS($AD$1006:AE1006),$AD$1006:$AU$1006,0))&gt;=100000), " ",IF(INDEX($AD$2:$AU$1001,MATCH(ROWS($W$2:W483),$W$2:$W$1001,0),MATCH(COLUMNS($AD$1006:AE1006),$AD$1006:$AU$1006,0)), HYPERLINK("#",""), HYPERLINK(CONCATENATE("#metadata!", ADDRESS(INDEX($Y$2:$Y$1001,MATCH(ROWS($W$2:W483),$W$2:$W$1001,0),0), INDEX($AD$1004:$AU$1004,1,MATCH(COLUMNS($AD$1006:AE1006),$AD$1006:$AU$1006,0)))),"Fix")))</f>
        <v xml:space="preserve"> </v>
      </c>
      <c r="D483" s="4" t="str">
        <f ca="1">IF(OR(INDEX($X$2:$X$1001,MATCH(ROWS($W$2:W483),$W$2:$W$1001,0),1)&gt;=100000,INDEX($AD$1005:$AU$1005,1,MATCH(COLUMNS($AD$1006:AF1006),$AD$1006:$AU$1006,0))&gt;=100000), " ",IF(INDEX($AD$2:$AU$1001,MATCH(ROWS($W$2:W483),$W$2:$W$1001,0),MATCH(COLUMNS($AD$1006:AF1006),$AD$1006:$AU$1006,0)), HYPERLINK("#",""), HYPERLINK(CONCATENATE("#metadata!", ADDRESS(INDEX($Y$2:$Y$1001,MATCH(ROWS($W$2:W483),$W$2:$W$1001,0),0), INDEX($AD$1004:$AU$1004,1,MATCH(COLUMNS($AD$1006:AF1006),$AD$1006:$AU$1006,0)))),"Fix")))</f>
        <v xml:space="preserve"> </v>
      </c>
      <c r="E483" s="4" t="str">
        <f ca="1">IF(OR(INDEX($X$2:$X$1001,MATCH(ROWS($W$2:W483),$W$2:$W$1001,0),1)&gt;=100000,INDEX($AD$1005:$AU$1005,1,MATCH(COLUMNS($AD$1006:AG1006),$AD$1006:$AU$1006,0))&gt;=100000), " ",IF(INDEX($AD$2:$AU$1001,MATCH(ROWS($W$2:W483),$W$2:$W$1001,0),MATCH(COLUMNS($AD$1006:AG1006),$AD$1006:$AU$1006,0)), HYPERLINK("#",""), HYPERLINK(CONCATENATE("#metadata!", ADDRESS(INDEX($Y$2:$Y$1001,MATCH(ROWS($W$2:W483),$W$2:$W$1001,0),0), INDEX($AD$1004:$AU$1004,1,MATCH(COLUMNS($AD$1006:AG1006),$AD$1006:$AU$1006,0)))),"Fix")))</f>
        <v xml:space="preserve"> </v>
      </c>
      <c r="F483" s="4" t="str">
        <f ca="1">IF(OR(INDEX($X$2:$X$1001,MATCH(ROWS($W$2:W483),$W$2:$W$1001,0),1)&gt;=100000,INDEX($AD$1005:$AU$1005,1,MATCH(COLUMNS($AD$1006:AH1006),$AD$1006:$AU$1006,0))&gt;=100000), " ",IF(INDEX($AD$2:$AU$1001,MATCH(ROWS($W$2:W483),$W$2:$W$1001,0),MATCH(COLUMNS($AD$1006:AH1006),$AD$1006:$AU$1006,0)), HYPERLINK("#",""), HYPERLINK(CONCATENATE("#metadata!", ADDRESS(INDEX($Y$2:$Y$1001,MATCH(ROWS($W$2:W483),$W$2:$W$1001,0),0), INDEX($AD$1004:$AU$1004,1,MATCH(COLUMNS($AD$1006:AH1006),$AD$1006:$AU$1006,0)))),"Fix")))</f>
        <v xml:space="preserve"> </v>
      </c>
      <c r="G483" s="4" t="str">
        <f ca="1">IF(OR(INDEX($X$2:$X$1001,MATCH(ROWS($W$2:W483),$W$2:$W$1001,0),1)&gt;=100000,INDEX($AD$1005:$AU$1005,1,MATCH(COLUMNS($AD$1006:AI1006),$AD$1006:$AU$1006,0))&gt;=100000), " ",IF(INDEX($AD$2:$AU$1001,MATCH(ROWS($W$2:W483),$W$2:$W$1001,0),MATCH(COLUMNS($AD$1006:AI1006),$AD$1006:$AU$1006,0)), HYPERLINK("#",""), HYPERLINK(CONCATENATE("#metadata!", ADDRESS(INDEX($Y$2:$Y$1001,MATCH(ROWS($W$2:W483),$W$2:$W$1001,0),0), INDEX($AD$1004:$AU$1004,1,MATCH(COLUMNS($AD$1006:AI1006),$AD$1006:$AU$1006,0)))),"Fix")))</f>
        <v xml:space="preserve"> </v>
      </c>
      <c r="H483" s="4" t="str">
        <f ca="1">IF(OR(INDEX($X$2:$X$1001,MATCH(ROWS($W$2:W483),$W$2:$W$1001,0),1)&gt;=100000,INDEX($AD$1005:$AU$1005,1,MATCH(COLUMNS($AD$1006:AJ1006),$AD$1006:$AU$1006,0))&gt;=100000), " ",IF(INDEX($AD$2:$AU$1001,MATCH(ROWS($W$2:W483),$W$2:$W$1001,0),MATCH(COLUMNS($AD$1006:AJ1006),$AD$1006:$AU$1006,0)), HYPERLINK("#",""), HYPERLINK(CONCATENATE("#metadata!", ADDRESS(INDEX($Y$2:$Y$1001,MATCH(ROWS($W$2:W483),$W$2:$W$1001,0),0), INDEX($AD$1004:$AU$1004,1,MATCH(COLUMNS($AD$1006:AJ1006),$AD$1006:$AU$1006,0)))),"Fix")))</f>
        <v xml:space="preserve"> </v>
      </c>
      <c r="I483" s="4" t="str">
        <f ca="1">IF(OR(INDEX($X$2:$X$1001,MATCH(ROWS($W$2:W483),$W$2:$W$1001,0),1)&gt;=100000,INDEX($AD$1005:$AU$1005,1,MATCH(COLUMNS($AD$1006:AK1006),$AD$1006:$AU$1006,0))&gt;=100000), " ",IF(INDEX($AD$2:$AU$1001,MATCH(ROWS($W$2:W483),$W$2:$W$1001,0),MATCH(COLUMNS($AD$1006:AK1006),$AD$1006:$AU$1006,0)), HYPERLINK("#",""), HYPERLINK(CONCATENATE("#metadata!", ADDRESS(INDEX($Y$2:$Y$1001,MATCH(ROWS($W$2:W483),$W$2:$W$1001,0),0), INDEX($AD$1004:$AU$1004,1,MATCH(COLUMNS($AD$1006:AK1006),$AD$1006:$AU$1006,0)))),"Fix")))</f>
        <v xml:space="preserve"> </v>
      </c>
      <c r="J483" s="4" t="str">
        <f ca="1">IF(OR(INDEX($X$2:$X$1001,MATCH(ROWS($W$2:W483),$W$2:$W$1001,0),1)&gt;=100000,INDEX($AD$1005:$AU$1005,1,MATCH(COLUMNS($AD$1006:AL1006),$AD$1006:$AU$1006,0))&gt;=100000), " ",IF(INDEX($AD$2:$AU$1001,MATCH(ROWS($W$2:W483),$W$2:$W$1001,0),MATCH(COLUMNS($AD$1006:AL1006),$AD$1006:$AU$1006,0)), HYPERLINK("#",""), HYPERLINK(CONCATENATE("#metadata!", ADDRESS(INDEX($Y$2:$Y$1001,MATCH(ROWS($W$2:W483),$W$2:$W$1001,0),0), INDEX($AD$1004:$AU$1004,1,MATCH(COLUMNS($AD$1006:AL1006),$AD$1006:$AU$1006,0)))),"Fix")))</f>
        <v xml:space="preserve"> </v>
      </c>
      <c r="K483" s="4" t="str">
        <f ca="1">IF(OR(INDEX($X$2:$X$1001,MATCH(ROWS($W$2:W483),$W$2:$W$1001,0),1)&gt;=100000,INDEX($AD$1005:$AU$1005,1,MATCH(COLUMNS($AD$1006:AM1006),$AD$1006:$AU$1006,0))&gt;=100000), " ",IF(INDEX($AD$2:$AU$1001,MATCH(ROWS($W$2:W483),$W$2:$W$1001,0),MATCH(COLUMNS($AD$1006:AM1006),$AD$1006:$AU$1006,0)), HYPERLINK("#",""), HYPERLINK(CONCATENATE("#metadata!", ADDRESS(INDEX($Y$2:$Y$1001,MATCH(ROWS($W$2:W483),$W$2:$W$1001,0),0), INDEX($AD$1004:$AU$1004,1,MATCH(COLUMNS($AD$1006:AM1006),$AD$1006:$AU$1006,0)))),"Fix")))</f>
        <v xml:space="preserve"> </v>
      </c>
      <c r="L483" s="4" t="str">
        <f ca="1">IF(OR(INDEX($X$2:$X$1001,MATCH(ROWS($W$2:W483),$W$2:$W$1001,0),1)&gt;=100000,INDEX($AD$1005:$AU$1005,1,MATCH(COLUMNS($AD$1006:AN1006),$AD$1006:$AU$1006,0))&gt;=100000), " ",IF(INDEX($AD$2:$AU$1001,MATCH(ROWS($W$2:W483),$W$2:$W$1001,0),MATCH(COLUMNS($AD$1006:AN1006),$AD$1006:$AU$1006,0)), HYPERLINK("#",""), HYPERLINK(CONCATENATE("#metadata!", ADDRESS(INDEX($Y$2:$Y$1001,MATCH(ROWS($W$2:W483),$W$2:$W$1001,0),0), INDEX($AD$1004:$AU$1004,1,MATCH(COLUMNS($AD$1006:AN1006),$AD$1006:$AU$1006,0)))),"Fix")))</f>
        <v xml:space="preserve"> </v>
      </c>
      <c r="M483" s="4" t="str">
        <f ca="1">IF(OR(INDEX($X$2:$X$1001,MATCH(ROWS($W$2:W483),$W$2:$W$1001,0),1)&gt;=100000,INDEX($AD$1005:$AU$1005,1,MATCH(COLUMNS($AD$1006:AO1006),$AD$1006:$AU$1006,0))&gt;=100000), " ",IF(INDEX($AD$2:$AU$1001,MATCH(ROWS($W$2:W483),$W$2:$W$1001,0),MATCH(COLUMNS($AD$1006:AO1006),$AD$1006:$AU$1006,0)), HYPERLINK("#",""), HYPERLINK(CONCATENATE("#metadata!", ADDRESS(INDEX($Y$2:$Y$1001,MATCH(ROWS($W$2:W483),$W$2:$W$1001,0),0), INDEX($AD$1004:$AU$1004,1,MATCH(COLUMNS($AD$1006:AO1006),$AD$1006:$AU$1006,0)))),"Fix")))</f>
        <v xml:space="preserve"> </v>
      </c>
      <c r="N483" s="4" t="str">
        <f ca="1">IF(OR(INDEX($X$2:$X$1001,MATCH(ROWS($W$2:W483),$W$2:$W$1001,0),1)&gt;=100000,INDEX($AD$1005:$AU$1005,1,MATCH(COLUMNS($AD$1006:AP1006),$AD$1006:$AU$1006,0))&gt;=100000), " ",IF(INDEX($AD$2:$AU$1001,MATCH(ROWS($W$2:W483),$W$2:$W$1001,0),MATCH(COLUMNS($AD$1006:AP1006),$AD$1006:$AU$1006,0)), HYPERLINK("#",""), HYPERLINK(CONCATENATE("#metadata!", ADDRESS(INDEX($Y$2:$Y$1001,MATCH(ROWS($W$2:W483),$W$2:$W$1001,0),0), INDEX($AD$1004:$AU$1004,1,MATCH(COLUMNS($AD$1006:AP1006),$AD$1006:$AU$1006,0)))),"Fix")))</f>
        <v xml:space="preserve"> </v>
      </c>
      <c r="O483" s="4" t="str">
        <f ca="1">IF(OR(INDEX($X$2:$X$1001,MATCH(ROWS($W$2:W483),$W$2:$W$1001,0),1)&gt;=100000,INDEX($AD$1005:$AU$1005,1,MATCH(COLUMNS($AD$1006:AQ1006),$AD$1006:$AU$1006,0))&gt;=100000), " ",IF(INDEX($AD$2:$AU$1001,MATCH(ROWS($W$2:W483),$W$2:$W$1001,0),MATCH(COLUMNS($AD$1006:AQ1006),$AD$1006:$AU$1006,0)), HYPERLINK("#",""), HYPERLINK(CONCATENATE("#metadata!", ADDRESS(INDEX($Y$2:$Y$1001,MATCH(ROWS($W$2:W483),$W$2:$W$1001,0),0), INDEX($AD$1004:$AU$1004,1,MATCH(COLUMNS($AD$1006:AQ1006),$AD$1006:$AU$1006,0)))),"Fix")))</f>
        <v xml:space="preserve"> </v>
      </c>
      <c r="P483" s="4" t="str">
        <f ca="1">IF(OR(INDEX($X$2:$X$1001,MATCH(ROWS($W$2:W483),$W$2:$W$1001,0),1)&gt;=100000,INDEX($AD$1005:$AU$1005,1,MATCH(COLUMNS($AD$1006:AR1006),$AD$1006:$AU$1006,0))&gt;=100000), " ",IF(INDEX($AD$2:$AU$1001,MATCH(ROWS($W$2:W483),$W$2:$W$1001,0),MATCH(COLUMNS($AD$1006:AR1006),$AD$1006:$AU$1006,0)), HYPERLINK("#",""), HYPERLINK(CONCATENATE("#metadata!", ADDRESS(INDEX($Y$2:$Y$1001,MATCH(ROWS($W$2:W483),$W$2:$W$1001,0),0), INDEX($AD$1004:$AU$1004,1,MATCH(COLUMNS($AD$1006:AR1006),$AD$1006:$AU$1006,0)))),"Fix")))</f>
        <v xml:space="preserve"> </v>
      </c>
      <c r="Q483" s="4" t="str">
        <f ca="1">IF(OR(INDEX($X$2:$X$1001,MATCH(ROWS($W$2:W483),$W$2:$W$1001,0),1)&gt;=100000,INDEX($AD$1005:$AU$1005,1,MATCH(COLUMNS($AD$1006:AS1006),$AD$1006:$AU$1006,0))&gt;=100000), " ",IF(INDEX($AD$2:$AU$1001,MATCH(ROWS($W$2:W483),$W$2:$W$1001,0),MATCH(COLUMNS($AD$1006:AS1006),$AD$1006:$AU$1006,0)), HYPERLINK("#",""), HYPERLINK(CONCATENATE("#metadata!", ADDRESS(INDEX($Y$2:$Y$1001,MATCH(ROWS($W$2:W483),$W$2:$W$1001,0),0), INDEX($AD$1004:$AU$1004,1,MATCH(COLUMNS($AD$1006:AS1006),$AD$1006:$AU$1006,0)))),"Fix")))</f>
        <v xml:space="preserve"> </v>
      </c>
      <c r="R483" s="4" t="str">
        <f ca="1">IF(OR(INDEX($X$2:$X$1001,MATCH(ROWS($W$2:W483),$W$2:$W$1001,0),1)&gt;=100000,INDEX($AD$1005:$AU$1005,1,MATCH(COLUMNS($AD$1006:AT1006),$AD$1006:$AU$1006,0))&gt;=100000), " ",IF(INDEX($AD$2:$AU$1001,MATCH(ROWS($W$2:W483),$W$2:$W$1001,0),MATCH(COLUMNS($AD$1006:AT1006),$AD$1006:$AU$1006,0)), HYPERLINK("#",""), HYPERLINK(CONCATENATE("#metadata!", ADDRESS(INDEX($Y$2:$Y$1001,MATCH(ROWS($W$2:W483),$W$2:$W$1001,0),0), INDEX($AD$1004:$AU$1004,1,MATCH(COLUMNS($AD$1006:AT1006),$AD$1006:$AU$1006,0)))),"Fix")))</f>
        <v xml:space="preserve"> </v>
      </c>
      <c r="S483" s="4" t="str">
        <f ca="1">IF(OR(INDEX($X$2:$X$1001,MATCH(ROWS($W$2:W483),$W$2:$W$1001,0),1)&gt;=100000,INDEX($AD$1005:$AU$1005,1,MATCH(COLUMNS($AD$1006:AU1006),$AD$1006:$AU$1006,0))&gt;=100000), " ",IF(INDEX($AD$2:$AU$1001,MATCH(ROWS($W$2:W483),$W$2:$W$1001,0),MATCH(COLUMNS($AD$1006:AU1006),$AD$1006:$AU$1006,0)), HYPERLINK("#",""), HYPERLINK(CONCATENATE("#metadata!", ADDRESS(INDEX($Y$2:$Y$1001,MATCH(ROWS($W$2:W483),$W$2:$W$1001,0),0), INDEX($AD$1004:$AU$1004,1,MATCH(COLUMNS($AD$1006:AU1006),$AD$1006:$AU$1006,0)))),"Fix")))</f>
        <v xml:space="preserve"> </v>
      </c>
      <c r="W483">
        <v>482</v>
      </c>
      <c r="X483">
        <v>100483</v>
      </c>
      <c r="Y483">
        <v>483</v>
      </c>
      <c r="Z483" t="b">
        <f t="shared" si="7"/>
        <v>1</v>
      </c>
      <c r="AA483" t="b">
        <f>COUNTBLANK(metadata!B483:S483)=COLUMNS(metadata!B483:S483)</f>
        <v>1</v>
      </c>
      <c r="AB483" t="str">
        <v/>
      </c>
      <c r="AD483" t="b">
        <f ca="1">AND(IF(metadata!B483="",FALSE,TRUE),COUNTIF(metadata!B:B, metadata!B483) = 1,NOT(ISERROR(SUMPRODUCT(SEARCH(MID(metadata!B483,ROW(INDIRECT("1:"&amp;LEN(metadata!B483))), 1),"0123456789abcdefghijklmnopqrstuvwxyzABCDEFGHIJKLMNOPQRSTUVWXYZ.")))))</f>
        <v>0</v>
      </c>
      <c r="AE483" t="b">
        <f>OR(AND(IF(metadata!C483="",FALSE,TRUE),OR(EXACT(metadata!C483,"not applicable"),EXACT(metadata!C483,"missing: not collected"),EXACT(metadata!C483,"missing: not provided"),EXACT(metadata!C483,"missing: restricted access"))),AND(IF(metadata!C483="",FALSE,ISNUMBER(VALUE(metadata!C483))),metadata!C483&gt;0))</f>
        <v>0</v>
      </c>
      <c r="AF483" t="b">
        <f>AND(IF(metadata!D483="",FALSE,TRUE),EXACT(metadata!D483,"missing: not provided"))</f>
        <v>0</v>
      </c>
      <c r="AG483" t="b">
        <f>AND(IF(metadata!E483="",FALSE,TRUE),EXACT(metadata!E483,"Host-associated"))</f>
        <v>0</v>
      </c>
      <c r="AH483" t="b">
        <f>AND(IF(metadata!F483="",FALSE,TRUE),OR(EXACT(metadata!F483,"Animal"),EXACT(metadata!F483,"Fungus"),EXACT(metadata!F483,"Plant")))</f>
        <v>0</v>
      </c>
      <c r="AI483" t="b">
        <f>AND(IF(metadata!G483="",FALSE,TRUE),OR(EXACT(metadata!G483,"Plant secretion"),EXACT(metadata!G483,"Plant rhizosphere"),EXACT(metadata!G483,"Plant surface"),EXACT(metadata!G483,"Plant corpus"),EXACT(metadata!G483,"Fungus surface"),EXACT(metadata!G483,"Fungus corpus"),EXACT(metadata!G483,"Animal surface"),EXACT(metadata!G483,"Animal proximal gut"),EXACT(metadata!G483,"Animal corpus"),EXACT(metadata!G483,"Animal distal gut"),EXACT(metadata!G483,"Animal secretion")))</f>
        <v>0</v>
      </c>
      <c r="AJ483" t="b">
        <f>OR(AND(IF(metadata!H483="",FALSE,TRUE),OR(EXACT(metadata!H483,"missing: not collected"),EXACT(metadata!H483,"missing: not provided"),EXACT(metadata!H483,"missing: restricted access"))),AND(IF(metadata!H483="",FALSE,TRUE),OR(EXACT(metadata!H483,"organism-associated habitat"),EXACT(metadata!H483,"plant-associated habitat"),EXACT(metadata!H483,"animal-associated habitat"),EXACT(metadata!H483,"insecta-associated habitat"),EXACT(metadata!H483,"mammalia-associated habitat"),EXACT(metadata!H483,"human-associated habitat"),EXACT(metadata!H483,"livestock-associated habitat"))))</f>
        <v>0</v>
      </c>
      <c r="AK483" t="b">
        <f>AND(IF(metadata!I483="",FALSE,TRUE),EXACT(metadata!I483,"host-associated"))</f>
        <v>0</v>
      </c>
      <c r="AL483" t="b">
        <f>OR(AND(IF(metadata!J483="",FALSE,TRUE),OR(EXACT(metadata!J483,"not applicable"),EXACT(metadata!J483,"missing: not collected"),EXACT(metadata!J483,"missing: not provided"),EXACT(metadata!J483,"missing: restricted access"))),AND(IF(metadata!J483="",FALSE,ISNUMBER(VALUE(metadata!J483))),metadata!J483&gt;0))</f>
        <v>0</v>
      </c>
      <c r="AM483" t="b">
        <f>AND(IF(metadata!K483="",FALSE,TRUE),EXACT(metadata!K483,"missing: not provided"))</f>
        <v>0</v>
      </c>
      <c r="AN483" t="b">
        <f>IF(metadata!L483="",FALSE,TRUE)</f>
        <v>0</v>
      </c>
      <c r="AO483" t="b">
        <f>IF(metadata!M483="",FALSE,TRUE)</f>
        <v>0</v>
      </c>
      <c r="AP483" t="b">
        <f>OR(AND(IF(metadata!N483="",FALSE,TRUE),OR(EXACT(metadata!N483,"not applicable"),EXACT(metadata!N483,"missing: not collected"),EXACT(metadata!N483,"missing: not provided"))),AND(IF(metadata!N483="",FALSE,IF(ISERROR(INT(metadata!N483)),FALSE,INT(metadata!N483)=metadata!N483)),metadata!N483&gt;0))</f>
        <v>0</v>
      </c>
      <c r="AQ483" t="b">
        <f>AND(IF(metadata!O483="",FALSE,TRUE),EXACT(metadata!O483,"Not applicable"))</f>
        <v>0</v>
      </c>
      <c r="AR483" t="b">
        <f>OR(AND(IF(metadata!P483="",FALSE,TRUE),OR(EXACT(metadata!P483,"not applicable"),EXACT(metadata!P483,"missing: not collected"),EXACT(metadata!P483,"missing: not provided"),EXACT(metadata!P483,"missing: restricted access"))),IF(metadata!P483="",FALSE,IF(ISERROR(INT(metadata!P483)),FALSE,INT(metadata!P483)=metadata!P483)))</f>
        <v>0</v>
      </c>
      <c r="AS483" t="b">
        <f>AND(IF(metadata!Q483="",FALSE,TRUE),EXACT(metadata!Q483,"Not applicable"))</f>
        <v>0</v>
      </c>
      <c r="AT483" t="b">
        <f>OR(AND(IF(metadata!R483="",FALSE,TRUE),OR(EXACT(metadata!R483,"not applicable"),EXACT(metadata!R483,"missing: not collected"),EXACT(metadata!R483,"missing: not provided"),EXACT(metadata!R483,"missing: restricted access"))),AND(IF(metadata!R483="",FALSE,ISNUMBER(VALUE(metadata!R483))),metadata!R483&gt;0))</f>
        <v>0</v>
      </c>
      <c r="AU483" t="b">
        <f>AND(IF(metadata!S483="",FALSE,TRUE),EXACT(metadata!S483,"missing: not provided"))</f>
        <v>0</v>
      </c>
    </row>
    <row r="484" spans="1:47" x14ac:dyDescent="0.2">
      <c r="A484" s="5" t="str">
        <f ca="1">IF(B484=" "," ",HYPERLINK(CONCATENATE("#metadata!",ADDRESS(INDEX($Y$2:$Y$1001,MATCH(ROWS($W$2:W484),$W$2:$W$1001,0),0),1)),INDEX($AB$2:$AB$1001,MATCH(ROWS($W$2:W484),$W$2:$W$1001,0),0)))</f>
        <v xml:space="preserve"> </v>
      </c>
      <c r="B484" s="4" t="str">
        <f ca="1">IF(OR(INDEX($X$2:$X$1001,MATCH(ROWS($W$2:W484),$W$2:$W$1001,0),1)&gt;=100000,INDEX($AD$1005:$AU$1005,1,MATCH(COLUMNS($AD$1006:AD1006),$AD$1006:$AU$1006,0))&gt;=100000), " ",IF(INDEX($AD$2:$AU$1001,MATCH(ROWS($W$2:W484),$W$2:$W$1001,0),MATCH(COLUMNS($AD$1006:AD1006),$AD$1006:$AU$1006,0)), HYPERLINK("#",""), HYPERLINK(CONCATENATE("#metadata!", ADDRESS(INDEX($Y$2:$Y$1001,MATCH(ROWS($W$2:W484),$W$2:$W$1001,0),0), INDEX($AD$1004:$AU$1004,1,MATCH(COLUMNS($AD$1006:AD1006),$AD$1006:$AU$1006,0)))),"Fix")))</f>
        <v xml:space="preserve"> </v>
      </c>
      <c r="C484" s="4" t="str">
        <f ca="1">IF(OR(INDEX($X$2:$X$1001,MATCH(ROWS($W$2:W484),$W$2:$W$1001,0),1)&gt;=100000,INDEX($AD$1005:$AU$1005,1,MATCH(COLUMNS($AD$1006:AE1006),$AD$1006:$AU$1006,0))&gt;=100000), " ",IF(INDEX($AD$2:$AU$1001,MATCH(ROWS($W$2:W484),$W$2:$W$1001,0),MATCH(COLUMNS($AD$1006:AE1006),$AD$1006:$AU$1006,0)), HYPERLINK("#",""), HYPERLINK(CONCATENATE("#metadata!", ADDRESS(INDEX($Y$2:$Y$1001,MATCH(ROWS($W$2:W484),$W$2:$W$1001,0),0), INDEX($AD$1004:$AU$1004,1,MATCH(COLUMNS($AD$1006:AE1006),$AD$1006:$AU$1006,0)))),"Fix")))</f>
        <v xml:space="preserve"> </v>
      </c>
      <c r="D484" s="4" t="str">
        <f ca="1">IF(OR(INDEX($X$2:$X$1001,MATCH(ROWS($W$2:W484),$W$2:$W$1001,0),1)&gt;=100000,INDEX($AD$1005:$AU$1005,1,MATCH(COLUMNS($AD$1006:AF1006),$AD$1006:$AU$1006,0))&gt;=100000), " ",IF(INDEX($AD$2:$AU$1001,MATCH(ROWS($W$2:W484),$W$2:$W$1001,0),MATCH(COLUMNS($AD$1006:AF1006),$AD$1006:$AU$1006,0)), HYPERLINK("#",""), HYPERLINK(CONCATENATE("#metadata!", ADDRESS(INDEX($Y$2:$Y$1001,MATCH(ROWS($W$2:W484),$W$2:$W$1001,0),0), INDEX($AD$1004:$AU$1004,1,MATCH(COLUMNS($AD$1006:AF1006),$AD$1006:$AU$1006,0)))),"Fix")))</f>
        <v xml:space="preserve"> </v>
      </c>
      <c r="E484" s="4" t="str">
        <f ca="1">IF(OR(INDEX($X$2:$X$1001,MATCH(ROWS($W$2:W484),$W$2:$W$1001,0),1)&gt;=100000,INDEX($AD$1005:$AU$1005,1,MATCH(COLUMNS($AD$1006:AG1006),$AD$1006:$AU$1006,0))&gt;=100000), " ",IF(INDEX($AD$2:$AU$1001,MATCH(ROWS($W$2:W484),$W$2:$W$1001,0),MATCH(COLUMNS($AD$1006:AG1006),$AD$1006:$AU$1006,0)), HYPERLINK("#",""), HYPERLINK(CONCATENATE("#metadata!", ADDRESS(INDEX($Y$2:$Y$1001,MATCH(ROWS($W$2:W484),$W$2:$W$1001,0),0), INDEX($AD$1004:$AU$1004,1,MATCH(COLUMNS($AD$1006:AG1006),$AD$1006:$AU$1006,0)))),"Fix")))</f>
        <v xml:space="preserve"> </v>
      </c>
      <c r="F484" s="4" t="str">
        <f ca="1">IF(OR(INDEX($X$2:$X$1001,MATCH(ROWS($W$2:W484),$W$2:$W$1001,0),1)&gt;=100000,INDEX($AD$1005:$AU$1005,1,MATCH(COLUMNS($AD$1006:AH1006),$AD$1006:$AU$1006,0))&gt;=100000), " ",IF(INDEX($AD$2:$AU$1001,MATCH(ROWS($W$2:W484),$W$2:$W$1001,0),MATCH(COLUMNS($AD$1006:AH1006),$AD$1006:$AU$1006,0)), HYPERLINK("#",""), HYPERLINK(CONCATENATE("#metadata!", ADDRESS(INDEX($Y$2:$Y$1001,MATCH(ROWS($W$2:W484),$W$2:$W$1001,0),0), INDEX($AD$1004:$AU$1004,1,MATCH(COLUMNS($AD$1006:AH1006),$AD$1006:$AU$1006,0)))),"Fix")))</f>
        <v xml:space="preserve"> </v>
      </c>
      <c r="G484" s="4" t="str">
        <f ca="1">IF(OR(INDEX($X$2:$X$1001,MATCH(ROWS($W$2:W484),$W$2:$W$1001,0),1)&gt;=100000,INDEX($AD$1005:$AU$1005,1,MATCH(COLUMNS($AD$1006:AI1006),$AD$1006:$AU$1006,0))&gt;=100000), " ",IF(INDEX($AD$2:$AU$1001,MATCH(ROWS($W$2:W484),$W$2:$W$1001,0),MATCH(COLUMNS($AD$1006:AI1006),$AD$1006:$AU$1006,0)), HYPERLINK("#",""), HYPERLINK(CONCATENATE("#metadata!", ADDRESS(INDEX($Y$2:$Y$1001,MATCH(ROWS($W$2:W484),$W$2:$W$1001,0),0), INDEX($AD$1004:$AU$1004,1,MATCH(COLUMNS($AD$1006:AI1006),$AD$1006:$AU$1006,0)))),"Fix")))</f>
        <v xml:space="preserve"> </v>
      </c>
      <c r="H484" s="4" t="str">
        <f ca="1">IF(OR(INDEX($X$2:$X$1001,MATCH(ROWS($W$2:W484),$W$2:$W$1001,0),1)&gt;=100000,INDEX($AD$1005:$AU$1005,1,MATCH(COLUMNS($AD$1006:AJ1006),$AD$1006:$AU$1006,0))&gt;=100000), " ",IF(INDEX($AD$2:$AU$1001,MATCH(ROWS($W$2:W484),$W$2:$W$1001,0),MATCH(COLUMNS($AD$1006:AJ1006),$AD$1006:$AU$1006,0)), HYPERLINK("#",""), HYPERLINK(CONCATENATE("#metadata!", ADDRESS(INDEX($Y$2:$Y$1001,MATCH(ROWS($W$2:W484),$W$2:$W$1001,0),0), INDEX($AD$1004:$AU$1004,1,MATCH(COLUMNS($AD$1006:AJ1006),$AD$1006:$AU$1006,0)))),"Fix")))</f>
        <v xml:space="preserve"> </v>
      </c>
      <c r="I484" s="4" t="str">
        <f ca="1">IF(OR(INDEX($X$2:$X$1001,MATCH(ROWS($W$2:W484),$W$2:$W$1001,0),1)&gt;=100000,INDEX($AD$1005:$AU$1005,1,MATCH(COLUMNS($AD$1006:AK1006),$AD$1006:$AU$1006,0))&gt;=100000), " ",IF(INDEX($AD$2:$AU$1001,MATCH(ROWS($W$2:W484),$W$2:$W$1001,0),MATCH(COLUMNS($AD$1006:AK1006),$AD$1006:$AU$1006,0)), HYPERLINK("#",""), HYPERLINK(CONCATENATE("#metadata!", ADDRESS(INDEX($Y$2:$Y$1001,MATCH(ROWS($W$2:W484),$W$2:$W$1001,0),0), INDEX($AD$1004:$AU$1004,1,MATCH(COLUMNS($AD$1006:AK1006),$AD$1006:$AU$1006,0)))),"Fix")))</f>
        <v xml:space="preserve"> </v>
      </c>
      <c r="J484" s="4" t="str">
        <f ca="1">IF(OR(INDEX($X$2:$X$1001,MATCH(ROWS($W$2:W484),$W$2:$W$1001,0),1)&gt;=100000,INDEX($AD$1005:$AU$1005,1,MATCH(COLUMNS($AD$1006:AL1006),$AD$1006:$AU$1006,0))&gt;=100000), " ",IF(INDEX($AD$2:$AU$1001,MATCH(ROWS($W$2:W484),$W$2:$W$1001,0),MATCH(COLUMNS($AD$1006:AL1006),$AD$1006:$AU$1006,0)), HYPERLINK("#",""), HYPERLINK(CONCATENATE("#metadata!", ADDRESS(INDEX($Y$2:$Y$1001,MATCH(ROWS($W$2:W484),$W$2:$W$1001,0),0), INDEX($AD$1004:$AU$1004,1,MATCH(COLUMNS($AD$1006:AL1006),$AD$1006:$AU$1006,0)))),"Fix")))</f>
        <v xml:space="preserve"> </v>
      </c>
      <c r="K484" s="4" t="str">
        <f ca="1">IF(OR(INDEX($X$2:$X$1001,MATCH(ROWS($W$2:W484),$W$2:$W$1001,0),1)&gt;=100000,INDEX($AD$1005:$AU$1005,1,MATCH(COLUMNS($AD$1006:AM1006),$AD$1006:$AU$1006,0))&gt;=100000), " ",IF(INDEX($AD$2:$AU$1001,MATCH(ROWS($W$2:W484),$W$2:$W$1001,0),MATCH(COLUMNS($AD$1006:AM1006),$AD$1006:$AU$1006,0)), HYPERLINK("#",""), HYPERLINK(CONCATENATE("#metadata!", ADDRESS(INDEX($Y$2:$Y$1001,MATCH(ROWS($W$2:W484),$W$2:$W$1001,0),0), INDEX($AD$1004:$AU$1004,1,MATCH(COLUMNS($AD$1006:AM1006),$AD$1006:$AU$1006,0)))),"Fix")))</f>
        <v xml:space="preserve"> </v>
      </c>
      <c r="L484" s="4" t="str">
        <f ca="1">IF(OR(INDEX($X$2:$X$1001,MATCH(ROWS($W$2:W484),$W$2:$W$1001,0),1)&gt;=100000,INDEX($AD$1005:$AU$1005,1,MATCH(COLUMNS($AD$1006:AN1006),$AD$1006:$AU$1006,0))&gt;=100000), " ",IF(INDEX($AD$2:$AU$1001,MATCH(ROWS($W$2:W484),$W$2:$W$1001,0),MATCH(COLUMNS($AD$1006:AN1006),$AD$1006:$AU$1006,0)), HYPERLINK("#",""), HYPERLINK(CONCATENATE("#metadata!", ADDRESS(INDEX($Y$2:$Y$1001,MATCH(ROWS($W$2:W484),$W$2:$W$1001,0),0), INDEX($AD$1004:$AU$1004,1,MATCH(COLUMNS($AD$1006:AN1006),$AD$1006:$AU$1006,0)))),"Fix")))</f>
        <v xml:space="preserve"> </v>
      </c>
      <c r="M484" s="4" t="str">
        <f ca="1">IF(OR(INDEX($X$2:$X$1001,MATCH(ROWS($W$2:W484),$W$2:$W$1001,0),1)&gt;=100000,INDEX($AD$1005:$AU$1005,1,MATCH(COLUMNS($AD$1006:AO1006),$AD$1006:$AU$1006,0))&gt;=100000), " ",IF(INDEX($AD$2:$AU$1001,MATCH(ROWS($W$2:W484),$W$2:$W$1001,0),MATCH(COLUMNS($AD$1006:AO1006),$AD$1006:$AU$1006,0)), HYPERLINK("#",""), HYPERLINK(CONCATENATE("#metadata!", ADDRESS(INDEX($Y$2:$Y$1001,MATCH(ROWS($W$2:W484),$W$2:$W$1001,0),0), INDEX($AD$1004:$AU$1004,1,MATCH(COLUMNS($AD$1006:AO1006),$AD$1006:$AU$1006,0)))),"Fix")))</f>
        <v xml:space="preserve"> </v>
      </c>
      <c r="N484" s="4" t="str">
        <f ca="1">IF(OR(INDEX($X$2:$X$1001,MATCH(ROWS($W$2:W484),$W$2:$W$1001,0),1)&gt;=100000,INDEX($AD$1005:$AU$1005,1,MATCH(COLUMNS($AD$1006:AP1006),$AD$1006:$AU$1006,0))&gt;=100000), " ",IF(INDEX($AD$2:$AU$1001,MATCH(ROWS($W$2:W484),$W$2:$W$1001,0),MATCH(COLUMNS($AD$1006:AP1006),$AD$1006:$AU$1006,0)), HYPERLINK("#",""), HYPERLINK(CONCATENATE("#metadata!", ADDRESS(INDEX($Y$2:$Y$1001,MATCH(ROWS($W$2:W484),$W$2:$W$1001,0),0), INDEX($AD$1004:$AU$1004,1,MATCH(COLUMNS($AD$1006:AP1006),$AD$1006:$AU$1006,0)))),"Fix")))</f>
        <v xml:space="preserve"> </v>
      </c>
      <c r="O484" s="4" t="str">
        <f ca="1">IF(OR(INDEX($X$2:$X$1001,MATCH(ROWS($W$2:W484),$W$2:$W$1001,0),1)&gt;=100000,INDEX($AD$1005:$AU$1005,1,MATCH(COLUMNS($AD$1006:AQ1006),$AD$1006:$AU$1006,0))&gt;=100000), " ",IF(INDEX($AD$2:$AU$1001,MATCH(ROWS($W$2:W484),$W$2:$W$1001,0),MATCH(COLUMNS($AD$1006:AQ1006),$AD$1006:$AU$1006,0)), HYPERLINK("#",""), HYPERLINK(CONCATENATE("#metadata!", ADDRESS(INDEX($Y$2:$Y$1001,MATCH(ROWS($W$2:W484),$W$2:$W$1001,0),0), INDEX($AD$1004:$AU$1004,1,MATCH(COLUMNS($AD$1006:AQ1006),$AD$1006:$AU$1006,0)))),"Fix")))</f>
        <v xml:space="preserve"> </v>
      </c>
      <c r="P484" s="4" t="str">
        <f ca="1">IF(OR(INDEX($X$2:$X$1001,MATCH(ROWS($W$2:W484),$W$2:$W$1001,0),1)&gt;=100000,INDEX($AD$1005:$AU$1005,1,MATCH(COLUMNS($AD$1006:AR1006),$AD$1006:$AU$1006,0))&gt;=100000), " ",IF(INDEX($AD$2:$AU$1001,MATCH(ROWS($W$2:W484),$W$2:$W$1001,0),MATCH(COLUMNS($AD$1006:AR1006),$AD$1006:$AU$1006,0)), HYPERLINK("#",""), HYPERLINK(CONCATENATE("#metadata!", ADDRESS(INDEX($Y$2:$Y$1001,MATCH(ROWS($W$2:W484),$W$2:$W$1001,0),0), INDEX($AD$1004:$AU$1004,1,MATCH(COLUMNS($AD$1006:AR1006),$AD$1006:$AU$1006,0)))),"Fix")))</f>
        <v xml:space="preserve"> </v>
      </c>
      <c r="Q484" s="4" t="str">
        <f ca="1">IF(OR(INDEX($X$2:$X$1001,MATCH(ROWS($W$2:W484),$W$2:$W$1001,0),1)&gt;=100000,INDEX($AD$1005:$AU$1005,1,MATCH(COLUMNS($AD$1006:AS1006),$AD$1006:$AU$1006,0))&gt;=100000), " ",IF(INDEX($AD$2:$AU$1001,MATCH(ROWS($W$2:W484),$W$2:$W$1001,0),MATCH(COLUMNS($AD$1006:AS1006),$AD$1006:$AU$1006,0)), HYPERLINK("#",""), HYPERLINK(CONCATENATE("#metadata!", ADDRESS(INDEX($Y$2:$Y$1001,MATCH(ROWS($W$2:W484),$W$2:$W$1001,0),0), INDEX($AD$1004:$AU$1004,1,MATCH(COLUMNS($AD$1006:AS1006),$AD$1006:$AU$1006,0)))),"Fix")))</f>
        <v xml:space="preserve"> </v>
      </c>
      <c r="R484" s="4" t="str">
        <f ca="1">IF(OR(INDEX($X$2:$X$1001,MATCH(ROWS($W$2:W484),$W$2:$W$1001,0),1)&gt;=100000,INDEX($AD$1005:$AU$1005,1,MATCH(COLUMNS($AD$1006:AT1006),$AD$1006:$AU$1006,0))&gt;=100000), " ",IF(INDEX($AD$2:$AU$1001,MATCH(ROWS($W$2:W484),$W$2:$W$1001,0),MATCH(COLUMNS($AD$1006:AT1006),$AD$1006:$AU$1006,0)), HYPERLINK("#",""), HYPERLINK(CONCATENATE("#metadata!", ADDRESS(INDEX($Y$2:$Y$1001,MATCH(ROWS($W$2:W484),$W$2:$W$1001,0),0), INDEX($AD$1004:$AU$1004,1,MATCH(COLUMNS($AD$1006:AT1006),$AD$1006:$AU$1006,0)))),"Fix")))</f>
        <v xml:space="preserve"> </v>
      </c>
      <c r="S484" s="4" t="str">
        <f ca="1">IF(OR(INDEX($X$2:$X$1001,MATCH(ROWS($W$2:W484),$W$2:$W$1001,0),1)&gt;=100000,INDEX($AD$1005:$AU$1005,1,MATCH(COLUMNS($AD$1006:AU1006),$AD$1006:$AU$1006,0))&gt;=100000), " ",IF(INDEX($AD$2:$AU$1001,MATCH(ROWS($W$2:W484),$W$2:$W$1001,0),MATCH(COLUMNS($AD$1006:AU1006),$AD$1006:$AU$1006,0)), HYPERLINK("#",""), HYPERLINK(CONCATENATE("#metadata!", ADDRESS(INDEX($Y$2:$Y$1001,MATCH(ROWS($W$2:W484),$W$2:$W$1001,0),0), INDEX($AD$1004:$AU$1004,1,MATCH(COLUMNS($AD$1006:AU1006),$AD$1006:$AU$1006,0)))),"Fix")))</f>
        <v xml:space="preserve"> </v>
      </c>
      <c r="W484">
        <v>483</v>
      </c>
      <c r="X484">
        <v>100484</v>
      </c>
      <c r="Y484">
        <v>484</v>
      </c>
      <c r="Z484" t="b">
        <f t="shared" si="7"/>
        <v>1</v>
      </c>
      <c r="AA484" t="b">
        <f>COUNTBLANK(metadata!B484:S484)=COLUMNS(metadata!B484:S484)</f>
        <v>1</v>
      </c>
      <c r="AB484" t="str">
        <v/>
      </c>
      <c r="AD484" t="b">
        <f ca="1">AND(IF(metadata!B484="",FALSE,TRUE),COUNTIF(metadata!B:B, metadata!B484) = 1,NOT(ISERROR(SUMPRODUCT(SEARCH(MID(metadata!B484,ROW(INDIRECT("1:"&amp;LEN(metadata!B484))), 1),"0123456789abcdefghijklmnopqrstuvwxyzABCDEFGHIJKLMNOPQRSTUVWXYZ.")))))</f>
        <v>0</v>
      </c>
      <c r="AE484" t="b">
        <f>OR(AND(IF(metadata!C484="",FALSE,TRUE),OR(EXACT(metadata!C484,"not applicable"),EXACT(metadata!C484,"missing: not collected"),EXACT(metadata!C484,"missing: not provided"),EXACT(metadata!C484,"missing: restricted access"))),AND(IF(metadata!C484="",FALSE,ISNUMBER(VALUE(metadata!C484))),metadata!C484&gt;0))</f>
        <v>0</v>
      </c>
      <c r="AF484" t="b">
        <f>AND(IF(metadata!D484="",FALSE,TRUE),EXACT(metadata!D484,"missing: not provided"))</f>
        <v>0</v>
      </c>
      <c r="AG484" t="b">
        <f>AND(IF(metadata!E484="",FALSE,TRUE),EXACT(metadata!E484,"Host-associated"))</f>
        <v>0</v>
      </c>
      <c r="AH484" t="b">
        <f>AND(IF(metadata!F484="",FALSE,TRUE),OR(EXACT(metadata!F484,"Animal"),EXACT(metadata!F484,"Fungus"),EXACT(metadata!F484,"Plant")))</f>
        <v>0</v>
      </c>
      <c r="AI484" t="b">
        <f>AND(IF(metadata!G484="",FALSE,TRUE),OR(EXACT(metadata!G484,"Plant secretion"),EXACT(metadata!G484,"Plant rhizosphere"),EXACT(metadata!G484,"Plant surface"),EXACT(metadata!G484,"Plant corpus"),EXACT(metadata!G484,"Fungus surface"),EXACT(metadata!G484,"Fungus corpus"),EXACT(metadata!G484,"Animal surface"),EXACT(metadata!G484,"Animal proximal gut"),EXACT(metadata!G484,"Animal corpus"),EXACT(metadata!G484,"Animal distal gut"),EXACT(metadata!G484,"Animal secretion")))</f>
        <v>0</v>
      </c>
      <c r="AJ484" t="b">
        <f>OR(AND(IF(metadata!H484="",FALSE,TRUE),OR(EXACT(metadata!H484,"missing: not collected"),EXACT(metadata!H484,"missing: not provided"),EXACT(metadata!H484,"missing: restricted access"))),AND(IF(metadata!H484="",FALSE,TRUE),OR(EXACT(metadata!H484,"organism-associated habitat"),EXACT(metadata!H484,"plant-associated habitat"),EXACT(metadata!H484,"animal-associated habitat"),EXACT(metadata!H484,"insecta-associated habitat"),EXACT(metadata!H484,"mammalia-associated habitat"),EXACT(metadata!H484,"human-associated habitat"),EXACT(metadata!H484,"livestock-associated habitat"))))</f>
        <v>0</v>
      </c>
      <c r="AK484" t="b">
        <f>AND(IF(metadata!I484="",FALSE,TRUE),EXACT(metadata!I484,"host-associated"))</f>
        <v>0</v>
      </c>
      <c r="AL484" t="b">
        <f>OR(AND(IF(metadata!J484="",FALSE,TRUE),OR(EXACT(metadata!J484,"not applicable"),EXACT(metadata!J484,"missing: not collected"),EXACT(metadata!J484,"missing: not provided"),EXACT(metadata!J484,"missing: restricted access"))),AND(IF(metadata!J484="",FALSE,ISNUMBER(VALUE(metadata!J484))),metadata!J484&gt;0))</f>
        <v>0</v>
      </c>
      <c r="AM484" t="b">
        <f>AND(IF(metadata!K484="",FALSE,TRUE),EXACT(metadata!K484,"missing: not provided"))</f>
        <v>0</v>
      </c>
      <c r="AN484" t="b">
        <f>IF(metadata!L484="",FALSE,TRUE)</f>
        <v>0</v>
      </c>
      <c r="AO484" t="b">
        <f>IF(metadata!M484="",FALSE,TRUE)</f>
        <v>0</v>
      </c>
      <c r="AP484" t="b">
        <f>OR(AND(IF(metadata!N484="",FALSE,TRUE),OR(EXACT(metadata!N484,"not applicable"),EXACT(metadata!N484,"missing: not collected"),EXACT(metadata!N484,"missing: not provided"))),AND(IF(metadata!N484="",FALSE,IF(ISERROR(INT(metadata!N484)),FALSE,INT(metadata!N484)=metadata!N484)),metadata!N484&gt;0))</f>
        <v>0</v>
      </c>
      <c r="AQ484" t="b">
        <f>AND(IF(metadata!O484="",FALSE,TRUE),EXACT(metadata!O484,"Not applicable"))</f>
        <v>0</v>
      </c>
      <c r="AR484" t="b">
        <f>OR(AND(IF(metadata!P484="",FALSE,TRUE),OR(EXACT(metadata!P484,"not applicable"),EXACT(metadata!P484,"missing: not collected"),EXACT(metadata!P484,"missing: not provided"),EXACT(metadata!P484,"missing: restricted access"))),IF(metadata!P484="",FALSE,IF(ISERROR(INT(metadata!P484)),FALSE,INT(metadata!P484)=metadata!P484)))</f>
        <v>0</v>
      </c>
      <c r="AS484" t="b">
        <f>AND(IF(metadata!Q484="",FALSE,TRUE),EXACT(metadata!Q484,"Not applicable"))</f>
        <v>0</v>
      </c>
      <c r="AT484" t="b">
        <f>OR(AND(IF(metadata!R484="",FALSE,TRUE),OR(EXACT(metadata!R484,"not applicable"),EXACT(metadata!R484,"missing: not collected"),EXACT(metadata!R484,"missing: not provided"),EXACT(metadata!R484,"missing: restricted access"))),AND(IF(metadata!R484="",FALSE,ISNUMBER(VALUE(metadata!R484))),metadata!R484&gt;0))</f>
        <v>0</v>
      </c>
      <c r="AU484" t="b">
        <f>AND(IF(metadata!S484="",FALSE,TRUE),EXACT(metadata!S484,"missing: not provided"))</f>
        <v>0</v>
      </c>
    </row>
    <row r="485" spans="1:47" x14ac:dyDescent="0.2">
      <c r="A485" s="5" t="str">
        <f ca="1">IF(B485=" "," ",HYPERLINK(CONCATENATE("#metadata!",ADDRESS(INDEX($Y$2:$Y$1001,MATCH(ROWS($W$2:W485),$W$2:$W$1001,0),0),1)),INDEX($AB$2:$AB$1001,MATCH(ROWS($W$2:W485),$W$2:$W$1001,0),0)))</f>
        <v xml:space="preserve"> </v>
      </c>
      <c r="B485" s="4" t="str">
        <f ca="1">IF(OR(INDEX($X$2:$X$1001,MATCH(ROWS($W$2:W485),$W$2:$W$1001,0),1)&gt;=100000,INDEX($AD$1005:$AU$1005,1,MATCH(COLUMNS($AD$1006:AD1006),$AD$1006:$AU$1006,0))&gt;=100000), " ",IF(INDEX($AD$2:$AU$1001,MATCH(ROWS($W$2:W485),$W$2:$W$1001,0),MATCH(COLUMNS($AD$1006:AD1006),$AD$1006:$AU$1006,0)), HYPERLINK("#",""), HYPERLINK(CONCATENATE("#metadata!", ADDRESS(INDEX($Y$2:$Y$1001,MATCH(ROWS($W$2:W485),$W$2:$W$1001,0),0), INDEX($AD$1004:$AU$1004,1,MATCH(COLUMNS($AD$1006:AD1006),$AD$1006:$AU$1006,0)))),"Fix")))</f>
        <v xml:space="preserve"> </v>
      </c>
      <c r="C485" s="4" t="str">
        <f ca="1">IF(OR(INDEX($X$2:$X$1001,MATCH(ROWS($W$2:W485),$W$2:$W$1001,0),1)&gt;=100000,INDEX($AD$1005:$AU$1005,1,MATCH(COLUMNS($AD$1006:AE1006),$AD$1006:$AU$1006,0))&gt;=100000), " ",IF(INDEX($AD$2:$AU$1001,MATCH(ROWS($W$2:W485),$W$2:$W$1001,0),MATCH(COLUMNS($AD$1006:AE1006),$AD$1006:$AU$1006,0)), HYPERLINK("#",""), HYPERLINK(CONCATENATE("#metadata!", ADDRESS(INDEX($Y$2:$Y$1001,MATCH(ROWS($W$2:W485),$W$2:$W$1001,0),0), INDEX($AD$1004:$AU$1004,1,MATCH(COLUMNS($AD$1006:AE1006),$AD$1006:$AU$1006,0)))),"Fix")))</f>
        <v xml:space="preserve"> </v>
      </c>
      <c r="D485" s="4" t="str">
        <f ca="1">IF(OR(INDEX($X$2:$X$1001,MATCH(ROWS($W$2:W485),$W$2:$W$1001,0),1)&gt;=100000,INDEX($AD$1005:$AU$1005,1,MATCH(COLUMNS($AD$1006:AF1006),$AD$1006:$AU$1006,0))&gt;=100000), " ",IF(INDEX($AD$2:$AU$1001,MATCH(ROWS($W$2:W485),$W$2:$W$1001,0),MATCH(COLUMNS($AD$1006:AF1006),$AD$1006:$AU$1006,0)), HYPERLINK("#",""), HYPERLINK(CONCATENATE("#metadata!", ADDRESS(INDEX($Y$2:$Y$1001,MATCH(ROWS($W$2:W485),$W$2:$W$1001,0),0), INDEX($AD$1004:$AU$1004,1,MATCH(COLUMNS($AD$1006:AF1006),$AD$1006:$AU$1006,0)))),"Fix")))</f>
        <v xml:space="preserve"> </v>
      </c>
      <c r="E485" s="4" t="str">
        <f ca="1">IF(OR(INDEX($X$2:$X$1001,MATCH(ROWS($W$2:W485),$W$2:$W$1001,0),1)&gt;=100000,INDEX($AD$1005:$AU$1005,1,MATCH(COLUMNS($AD$1006:AG1006),$AD$1006:$AU$1006,0))&gt;=100000), " ",IF(INDEX($AD$2:$AU$1001,MATCH(ROWS($W$2:W485),$W$2:$W$1001,0),MATCH(COLUMNS($AD$1006:AG1006),$AD$1006:$AU$1006,0)), HYPERLINK("#",""), HYPERLINK(CONCATENATE("#metadata!", ADDRESS(INDEX($Y$2:$Y$1001,MATCH(ROWS($W$2:W485),$W$2:$W$1001,0),0), INDEX($AD$1004:$AU$1004,1,MATCH(COLUMNS($AD$1006:AG1006),$AD$1006:$AU$1006,0)))),"Fix")))</f>
        <v xml:space="preserve"> </v>
      </c>
      <c r="F485" s="4" t="str">
        <f ca="1">IF(OR(INDEX($X$2:$X$1001,MATCH(ROWS($W$2:W485),$W$2:$W$1001,0),1)&gt;=100000,INDEX($AD$1005:$AU$1005,1,MATCH(COLUMNS($AD$1006:AH1006),$AD$1006:$AU$1006,0))&gt;=100000), " ",IF(INDEX($AD$2:$AU$1001,MATCH(ROWS($W$2:W485),$W$2:$W$1001,0),MATCH(COLUMNS($AD$1006:AH1006),$AD$1006:$AU$1006,0)), HYPERLINK("#",""), HYPERLINK(CONCATENATE("#metadata!", ADDRESS(INDEX($Y$2:$Y$1001,MATCH(ROWS($W$2:W485),$W$2:$W$1001,0),0), INDEX($AD$1004:$AU$1004,1,MATCH(COLUMNS($AD$1006:AH1006),$AD$1006:$AU$1006,0)))),"Fix")))</f>
        <v xml:space="preserve"> </v>
      </c>
      <c r="G485" s="4" t="str">
        <f ca="1">IF(OR(INDEX($X$2:$X$1001,MATCH(ROWS($W$2:W485),$W$2:$W$1001,0),1)&gt;=100000,INDEX($AD$1005:$AU$1005,1,MATCH(COLUMNS($AD$1006:AI1006),$AD$1006:$AU$1006,0))&gt;=100000), " ",IF(INDEX($AD$2:$AU$1001,MATCH(ROWS($W$2:W485),$W$2:$W$1001,0),MATCH(COLUMNS($AD$1006:AI1006),$AD$1006:$AU$1006,0)), HYPERLINK("#",""), HYPERLINK(CONCATENATE("#metadata!", ADDRESS(INDEX($Y$2:$Y$1001,MATCH(ROWS($W$2:W485),$W$2:$W$1001,0),0), INDEX($AD$1004:$AU$1004,1,MATCH(COLUMNS($AD$1006:AI1006),$AD$1006:$AU$1006,0)))),"Fix")))</f>
        <v xml:space="preserve"> </v>
      </c>
      <c r="H485" s="4" t="str">
        <f ca="1">IF(OR(INDEX($X$2:$X$1001,MATCH(ROWS($W$2:W485),$W$2:$W$1001,0),1)&gt;=100000,INDEX($AD$1005:$AU$1005,1,MATCH(COLUMNS($AD$1006:AJ1006),$AD$1006:$AU$1006,0))&gt;=100000), " ",IF(INDEX($AD$2:$AU$1001,MATCH(ROWS($W$2:W485),$W$2:$W$1001,0),MATCH(COLUMNS($AD$1006:AJ1006),$AD$1006:$AU$1006,0)), HYPERLINK("#",""), HYPERLINK(CONCATENATE("#metadata!", ADDRESS(INDEX($Y$2:$Y$1001,MATCH(ROWS($W$2:W485),$W$2:$W$1001,0),0), INDEX($AD$1004:$AU$1004,1,MATCH(COLUMNS($AD$1006:AJ1006),$AD$1006:$AU$1006,0)))),"Fix")))</f>
        <v xml:space="preserve"> </v>
      </c>
      <c r="I485" s="4" t="str">
        <f ca="1">IF(OR(INDEX($X$2:$X$1001,MATCH(ROWS($W$2:W485),$W$2:$W$1001,0),1)&gt;=100000,INDEX($AD$1005:$AU$1005,1,MATCH(COLUMNS($AD$1006:AK1006),$AD$1006:$AU$1006,0))&gt;=100000), " ",IF(INDEX($AD$2:$AU$1001,MATCH(ROWS($W$2:W485),$W$2:$W$1001,0),MATCH(COLUMNS($AD$1006:AK1006),$AD$1006:$AU$1006,0)), HYPERLINK("#",""), HYPERLINK(CONCATENATE("#metadata!", ADDRESS(INDEX($Y$2:$Y$1001,MATCH(ROWS($W$2:W485),$W$2:$W$1001,0),0), INDEX($AD$1004:$AU$1004,1,MATCH(COLUMNS($AD$1006:AK1006),$AD$1006:$AU$1006,0)))),"Fix")))</f>
        <v xml:space="preserve"> </v>
      </c>
      <c r="J485" s="4" t="str">
        <f ca="1">IF(OR(INDEX($X$2:$X$1001,MATCH(ROWS($W$2:W485),$W$2:$W$1001,0),1)&gt;=100000,INDEX($AD$1005:$AU$1005,1,MATCH(COLUMNS($AD$1006:AL1006),$AD$1006:$AU$1006,0))&gt;=100000), " ",IF(INDEX($AD$2:$AU$1001,MATCH(ROWS($W$2:W485),$W$2:$W$1001,0),MATCH(COLUMNS($AD$1006:AL1006),$AD$1006:$AU$1006,0)), HYPERLINK("#",""), HYPERLINK(CONCATENATE("#metadata!", ADDRESS(INDEX($Y$2:$Y$1001,MATCH(ROWS($W$2:W485),$W$2:$W$1001,0),0), INDEX($AD$1004:$AU$1004,1,MATCH(COLUMNS($AD$1006:AL1006),$AD$1006:$AU$1006,0)))),"Fix")))</f>
        <v xml:space="preserve"> </v>
      </c>
      <c r="K485" s="4" t="str">
        <f ca="1">IF(OR(INDEX($X$2:$X$1001,MATCH(ROWS($W$2:W485),$W$2:$W$1001,0),1)&gt;=100000,INDEX($AD$1005:$AU$1005,1,MATCH(COLUMNS($AD$1006:AM1006),$AD$1006:$AU$1006,0))&gt;=100000), " ",IF(INDEX($AD$2:$AU$1001,MATCH(ROWS($W$2:W485),$W$2:$W$1001,0),MATCH(COLUMNS($AD$1006:AM1006),$AD$1006:$AU$1006,0)), HYPERLINK("#",""), HYPERLINK(CONCATENATE("#metadata!", ADDRESS(INDEX($Y$2:$Y$1001,MATCH(ROWS($W$2:W485),$W$2:$W$1001,0),0), INDEX($AD$1004:$AU$1004,1,MATCH(COLUMNS($AD$1006:AM1006),$AD$1006:$AU$1006,0)))),"Fix")))</f>
        <v xml:space="preserve"> </v>
      </c>
      <c r="L485" s="4" t="str">
        <f ca="1">IF(OR(INDEX($X$2:$X$1001,MATCH(ROWS($W$2:W485),$W$2:$W$1001,0),1)&gt;=100000,INDEX($AD$1005:$AU$1005,1,MATCH(COLUMNS($AD$1006:AN1006),$AD$1006:$AU$1006,0))&gt;=100000), " ",IF(INDEX($AD$2:$AU$1001,MATCH(ROWS($W$2:W485),$W$2:$W$1001,0),MATCH(COLUMNS($AD$1006:AN1006),$AD$1006:$AU$1006,0)), HYPERLINK("#",""), HYPERLINK(CONCATENATE("#metadata!", ADDRESS(INDEX($Y$2:$Y$1001,MATCH(ROWS($W$2:W485),$W$2:$W$1001,0),0), INDEX($AD$1004:$AU$1004,1,MATCH(COLUMNS($AD$1006:AN1006),$AD$1006:$AU$1006,0)))),"Fix")))</f>
        <v xml:space="preserve"> </v>
      </c>
      <c r="M485" s="4" t="str">
        <f ca="1">IF(OR(INDEX($X$2:$X$1001,MATCH(ROWS($W$2:W485),$W$2:$W$1001,0),1)&gt;=100000,INDEX($AD$1005:$AU$1005,1,MATCH(COLUMNS($AD$1006:AO1006),$AD$1006:$AU$1006,0))&gt;=100000), " ",IF(INDEX($AD$2:$AU$1001,MATCH(ROWS($W$2:W485),$W$2:$W$1001,0),MATCH(COLUMNS($AD$1006:AO1006),$AD$1006:$AU$1006,0)), HYPERLINK("#",""), HYPERLINK(CONCATENATE("#metadata!", ADDRESS(INDEX($Y$2:$Y$1001,MATCH(ROWS($W$2:W485),$W$2:$W$1001,0),0), INDEX($AD$1004:$AU$1004,1,MATCH(COLUMNS($AD$1006:AO1006),$AD$1006:$AU$1006,0)))),"Fix")))</f>
        <v xml:space="preserve"> </v>
      </c>
      <c r="N485" s="4" t="str">
        <f ca="1">IF(OR(INDEX($X$2:$X$1001,MATCH(ROWS($W$2:W485),$W$2:$W$1001,0),1)&gt;=100000,INDEX($AD$1005:$AU$1005,1,MATCH(COLUMNS($AD$1006:AP1006),$AD$1006:$AU$1006,0))&gt;=100000), " ",IF(INDEX($AD$2:$AU$1001,MATCH(ROWS($W$2:W485),$W$2:$W$1001,0),MATCH(COLUMNS($AD$1006:AP1006),$AD$1006:$AU$1006,0)), HYPERLINK("#",""), HYPERLINK(CONCATENATE("#metadata!", ADDRESS(INDEX($Y$2:$Y$1001,MATCH(ROWS($W$2:W485),$W$2:$W$1001,0),0), INDEX($AD$1004:$AU$1004,1,MATCH(COLUMNS($AD$1006:AP1006),$AD$1006:$AU$1006,0)))),"Fix")))</f>
        <v xml:space="preserve"> </v>
      </c>
      <c r="O485" s="4" t="str">
        <f ca="1">IF(OR(INDEX($X$2:$X$1001,MATCH(ROWS($W$2:W485),$W$2:$W$1001,0),1)&gt;=100000,INDEX($AD$1005:$AU$1005,1,MATCH(COLUMNS($AD$1006:AQ1006),$AD$1006:$AU$1006,0))&gt;=100000), " ",IF(INDEX($AD$2:$AU$1001,MATCH(ROWS($W$2:W485),$W$2:$W$1001,0),MATCH(COLUMNS($AD$1006:AQ1006),$AD$1006:$AU$1006,0)), HYPERLINK("#",""), HYPERLINK(CONCATENATE("#metadata!", ADDRESS(INDEX($Y$2:$Y$1001,MATCH(ROWS($W$2:W485),$W$2:$W$1001,0),0), INDEX($AD$1004:$AU$1004,1,MATCH(COLUMNS($AD$1006:AQ1006),$AD$1006:$AU$1006,0)))),"Fix")))</f>
        <v xml:space="preserve"> </v>
      </c>
      <c r="P485" s="4" t="str">
        <f ca="1">IF(OR(INDEX($X$2:$X$1001,MATCH(ROWS($W$2:W485),$W$2:$W$1001,0),1)&gt;=100000,INDEX($AD$1005:$AU$1005,1,MATCH(COLUMNS($AD$1006:AR1006),$AD$1006:$AU$1006,0))&gt;=100000), " ",IF(INDEX($AD$2:$AU$1001,MATCH(ROWS($W$2:W485),$W$2:$W$1001,0),MATCH(COLUMNS($AD$1006:AR1006),$AD$1006:$AU$1006,0)), HYPERLINK("#",""), HYPERLINK(CONCATENATE("#metadata!", ADDRESS(INDEX($Y$2:$Y$1001,MATCH(ROWS($W$2:W485),$W$2:$W$1001,0),0), INDEX($AD$1004:$AU$1004,1,MATCH(COLUMNS($AD$1006:AR1006),$AD$1006:$AU$1006,0)))),"Fix")))</f>
        <v xml:space="preserve"> </v>
      </c>
      <c r="Q485" s="4" t="str">
        <f ca="1">IF(OR(INDEX($X$2:$X$1001,MATCH(ROWS($W$2:W485),$W$2:$W$1001,0),1)&gt;=100000,INDEX($AD$1005:$AU$1005,1,MATCH(COLUMNS($AD$1006:AS1006),$AD$1006:$AU$1006,0))&gt;=100000), " ",IF(INDEX($AD$2:$AU$1001,MATCH(ROWS($W$2:W485),$W$2:$W$1001,0),MATCH(COLUMNS($AD$1006:AS1006),$AD$1006:$AU$1006,0)), HYPERLINK("#",""), HYPERLINK(CONCATENATE("#metadata!", ADDRESS(INDEX($Y$2:$Y$1001,MATCH(ROWS($W$2:W485),$W$2:$W$1001,0),0), INDEX($AD$1004:$AU$1004,1,MATCH(COLUMNS($AD$1006:AS1006),$AD$1006:$AU$1006,0)))),"Fix")))</f>
        <v xml:space="preserve"> </v>
      </c>
      <c r="R485" s="4" t="str">
        <f ca="1">IF(OR(INDEX($X$2:$X$1001,MATCH(ROWS($W$2:W485),$W$2:$W$1001,0),1)&gt;=100000,INDEX($AD$1005:$AU$1005,1,MATCH(COLUMNS($AD$1006:AT1006),$AD$1006:$AU$1006,0))&gt;=100000), " ",IF(INDEX($AD$2:$AU$1001,MATCH(ROWS($W$2:W485),$W$2:$W$1001,0),MATCH(COLUMNS($AD$1006:AT1006),$AD$1006:$AU$1006,0)), HYPERLINK("#",""), HYPERLINK(CONCATENATE("#metadata!", ADDRESS(INDEX($Y$2:$Y$1001,MATCH(ROWS($W$2:W485),$W$2:$W$1001,0),0), INDEX($AD$1004:$AU$1004,1,MATCH(COLUMNS($AD$1006:AT1006),$AD$1006:$AU$1006,0)))),"Fix")))</f>
        <v xml:space="preserve"> </v>
      </c>
      <c r="S485" s="4" t="str">
        <f ca="1">IF(OR(INDEX($X$2:$X$1001,MATCH(ROWS($W$2:W485),$W$2:$W$1001,0),1)&gt;=100000,INDEX($AD$1005:$AU$1005,1,MATCH(COLUMNS($AD$1006:AU1006),$AD$1006:$AU$1006,0))&gt;=100000), " ",IF(INDEX($AD$2:$AU$1001,MATCH(ROWS($W$2:W485),$W$2:$W$1001,0),MATCH(COLUMNS($AD$1006:AU1006),$AD$1006:$AU$1006,0)), HYPERLINK("#",""), HYPERLINK(CONCATENATE("#metadata!", ADDRESS(INDEX($Y$2:$Y$1001,MATCH(ROWS($W$2:W485),$W$2:$W$1001,0),0), INDEX($AD$1004:$AU$1004,1,MATCH(COLUMNS($AD$1006:AU1006),$AD$1006:$AU$1006,0)))),"Fix")))</f>
        <v xml:space="preserve"> </v>
      </c>
      <c r="W485">
        <v>484</v>
      </c>
      <c r="X485">
        <v>100485</v>
      </c>
      <c r="Y485">
        <v>485</v>
      </c>
      <c r="Z485" t="b">
        <f t="shared" si="7"/>
        <v>1</v>
      </c>
      <c r="AA485" t="b">
        <f>COUNTBLANK(metadata!B485:S485)=COLUMNS(metadata!B485:S485)</f>
        <v>1</v>
      </c>
      <c r="AB485" t="str">
        <v/>
      </c>
      <c r="AD485" t="b">
        <f ca="1">AND(IF(metadata!B485="",FALSE,TRUE),COUNTIF(metadata!B:B, metadata!B485) = 1,NOT(ISERROR(SUMPRODUCT(SEARCH(MID(metadata!B485,ROW(INDIRECT("1:"&amp;LEN(metadata!B485))), 1),"0123456789abcdefghijklmnopqrstuvwxyzABCDEFGHIJKLMNOPQRSTUVWXYZ.")))))</f>
        <v>0</v>
      </c>
      <c r="AE485" t="b">
        <f>OR(AND(IF(metadata!C485="",FALSE,TRUE),OR(EXACT(metadata!C485,"not applicable"),EXACT(metadata!C485,"missing: not collected"),EXACT(metadata!C485,"missing: not provided"),EXACT(metadata!C485,"missing: restricted access"))),AND(IF(metadata!C485="",FALSE,ISNUMBER(VALUE(metadata!C485))),metadata!C485&gt;0))</f>
        <v>0</v>
      </c>
      <c r="AF485" t="b">
        <f>AND(IF(metadata!D485="",FALSE,TRUE),EXACT(metadata!D485,"missing: not provided"))</f>
        <v>0</v>
      </c>
      <c r="AG485" t="b">
        <f>AND(IF(metadata!E485="",FALSE,TRUE),EXACT(metadata!E485,"Host-associated"))</f>
        <v>0</v>
      </c>
      <c r="AH485" t="b">
        <f>AND(IF(metadata!F485="",FALSE,TRUE),OR(EXACT(metadata!F485,"Animal"),EXACT(metadata!F485,"Fungus"),EXACT(metadata!F485,"Plant")))</f>
        <v>0</v>
      </c>
      <c r="AI485" t="b">
        <f>AND(IF(metadata!G485="",FALSE,TRUE),OR(EXACT(metadata!G485,"Plant secretion"),EXACT(metadata!G485,"Plant rhizosphere"),EXACT(metadata!G485,"Plant surface"),EXACT(metadata!G485,"Plant corpus"),EXACT(metadata!G485,"Fungus surface"),EXACT(metadata!G485,"Fungus corpus"),EXACT(metadata!G485,"Animal surface"),EXACT(metadata!G485,"Animal proximal gut"),EXACT(metadata!G485,"Animal corpus"),EXACT(metadata!G485,"Animal distal gut"),EXACT(metadata!G485,"Animal secretion")))</f>
        <v>0</v>
      </c>
      <c r="AJ485" t="b">
        <f>OR(AND(IF(metadata!H485="",FALSE,TRUE),OR(EXACT(metadata!H485,"missing: not collected"),EXACT(metadata!H485,"missing: not provided"),EXACT(metadata!H485,"missing: restricted access"))),AND(IF(metadata!H485="",FALSE,TRUE),OR(EXACT(metadata!H485,"organism-associated habitat"),EXACT(metadata!H485,"plant-associated habitat"),EXACT(metadata!H485,"animal-associated habitat"),EXACT(metadata!H485,"insecta-associated habitat"),EXACT(metadata!H485,"mammalia-associated habitat"),EXACT(metadata!H485,"human-associated habitat"),EXACT(metadata!H485,"livestock-associated habitat"))))</f>
        <v>0</v>
      </c>
      <c r="AK485" t="b">
        <f>AND(IF(metadata!I485="",FALSE,TRUE),EXACT(metadata!I485,"host-associated"))</f>
        <v>0</v>
      </c>
      <c r="AL485" t="b">
        <f>OR(AND(IF(metadata!J485="",FALSE,TRUE),OR(EXACT(metadata!J485,"not applicable"),EXACT(metadata!J485,"missing: not collected"),EXACT(metadata!J485,"missing: not provided"),EXACT(metadata!J485,"missing: restricted access"))),AND(IF(metadata!J485="",FALSE,ISNUMBER(VALUE(metadata!J485))),metadata!J485&gt;0))</f>
        <v>0</v>
      </c>
      <c r="AM485" t="b">
        <f>AND(IF(metadata!K485="",FALSE,TRUE),EXACT(metadata!K485,"missing: not provided"))</f>
        <v>0</v>
      </c>
      <c r="AN485" t="b">
        <f>IF(metadata!L485="",FALSE,TRUE)</f>
        <v>0</v>
      </c>
      <c r="AO485" t="b">
        <f>IF(metadata!M485="",FALSE,TRUE)</f>
        <v>0</v>
      </c>
      <c r="AP485" t="b">
        <f>OR(AND(IF(metadata!N485="",FALSE,TRUE),OR(EXACT(metadata!N485,"not applicable"),EXACT(metadata!N485,"missing: not collected"),EXACT(metadata!N485,"missing: not provided"))),AND(IF(metadata!N485="",FALSE,IF(ISERROR(INT(metadata!N485)),FALSE,INT(metadata!N485)=metadata!N485)),metadata!N485&gt;0))</f>
        <v>0</v>
      </c>
      <c r="AQ485" t="b">
        <f>AND(IF(metadata!O485="",FALSE,TRUE),EXACT(metadata!O485,"Not applicable"))</f>
        <v>0</v>
      </c>
      <c r="AR485" t="b">
        <f>OR(AND(IF(metadata!P485="",FALSE,TRUE),OR(EXACT(metadata!P485,"not applicable"),EXACT(metadata!P485,"missing: not collected"),EXACT(metadata!P485,"missing: not provided"),EXACT(metadata!P485,"missing: restricted access"))),IF(metadata!P485="",FALSE,IF(ISERROR(INT(metadata!P485)),FALSE,INT(metadata!P485)=metadata!P485)))</f>
        <v>0</v>
      </c>
      <c r="AS485" t="b">
        <f>AND(IF(metadata!Q485="",FALSE,TRUE),EXACT(metadata!Q485,"Not applicable"))</f>
        <v>0</v>
      </c>
      <c r="AT485" t="b">
        <f>OR(AND(IF(metadata!R485="",FALSE,TRUE),OR(EXACT(metadata!R485,"not applicable"),EXACT(metadata!R485,"missing: not collected"),EXACT(metadata!R485,"missing: not provided"),EXACT(metadata!R485,"missing: restricted access"))),AND(IF(metadata!R485="",FALSE,ISNUMBER(VALUE(metadata!R485))),metadata!R485&gt;0))</f>
        <v>0</v>
      </c>
      <c r="AU485" t="b">
        <f>AND(IF(metadata!S485="",FALSE,TRUE),EXACT(metadata!S485,"missing: not provided"))</f>
        <v>0</v>
      </c>
    </row>
    <row r="486" spans="1:47" x14ac:dyDescent="0.2">
      <c r="A486" s="5" t="str">
        <f ca="1">IF(B486=" "," ",HYPERLINK(CONCATENATE("#metadata!",ADDRESS(INDEX($Y$2:$Y$1001,MATCH(ROWS($W$2:W486),$W$2:$W$1001,0),0),1)),INDEX($AB$2:$AB$1001,MATCH(ROWS($W$2:W486),$W$2:$W$1001,0),0)))</f>
        <v xml:space="preserve"> </v>
      </c>
      <c r="B486" s="4" t="str">
        <f ca="1">IF(OR(INDEX($X$2:$X$1001,MATCH(ROWS($W$2:W486),$W$2:$W$1001,0),1)&gt;=100000,INDEX($AD$1005:$AU$1005,1,MATCH(COLUMNS($AD$1006:AD1006),$AD$1006:$AU$1006,0))&gt;=100000), " ",IF(INDEX($AD$2:$AU$1001,MATCH(ROWS($W$2:W486),$W$2:$W$1001,0),MATCH(COLUMNS($AD$1006:AD1006),$AD$1006:$AU$1006,0)), HYPERLINK("#",""), HYPERLINK(CONCATENATE("#metadata!", ADDRESS(INDEX($Y$2:$Y$1001,MATCH(ROWS($W$2:W486),$W$2:$W$1001,0),0), INDEX($AD$1004:$AU$1004,1,MATCH(COLUMNS($AD$1006:AD1006),$AD$1006:$AU$1006,0)))),"Fix")))</f>
        <v xml:space="preserve"> </v>
      </c>
      <c r="C486" s="4" t="str">
        <f ca="1">IF(OR(INDEX($X$2:$X$1001,MATCH(ROWS($W$2:W486),$W$2:$W$1001,0),1)&gt;=100000,INDEX($AD$1005:$AU$1005,1,MATCH(COLUMNS($AD$1006:AE1006),$AD$1006:$AU$1006,0))&gt;=100000), " ",IF(INDEX($AD$2:$AU$1001,MATCH(ROWS($W$2:W486),$W$2:$W$1001,0),MATCH(COLUMNS($AD$1006:AE1006),$AD$1006:$AU$1006,0)), HYPERLINK("#",""), HYPERLINK(CONCATENATE("#metadata!", ADDRESS(INDEX($Y$2:$Y$1001,MATCH(ROWS($W$2:W486),$W$2:$W$1001,0),0), INDEX($AD$1004:$AU$1004,1,MATCH(COLUMNS($AD$1006:AE1006),$AD$1006:$AU$1006,0)))),"Fix")))</f>
        <v xml:space="preserve"> </v>
      </c>
      <c r="D486" s="4" t="str">
        <f ca="1">IF(OR(INDEX($X$2:$X$1001,MATCH(ROWS($W$2:W486),$W$2:$W$1001,0),1)&gt;=100000,INDEX($AD$1005:$AU$1005,1,MATCH(COLUMNS($AD$1006:AF1006),$AD$1006:$AU$1006,0))&gt;=100000), " ",IF(INDEX($AD$2:$AU$1001,MATCH(ROWS($W$2:W486),$W$2:$W$1001,0),MATCH(COLUMNS($AD$1006:AF1006),$AD$1006:$AU$1006,0)), HYPERLINK("#",""), HYPERLINK(CONCATENATE("#metadata!", ADDRESS(INDEX($Y$2:$Y$1001,MATCH(ROWS($W$2:W486),$W$2:$W$1001,0),0), INDEX($AD$1004:$AU$1004,1,MATCH(COLUMNS($AD$1006:AF1006),$AD$1006:$AU$1006,0)))),"Fix")))</f>
        <v xml:space="preserve"> </v>
      </c>
      <c r="E486" s="4" t="str">
        <f ca="1">IF(OR(INDEX($X$2:$X$1001,MATCH(ROWS($W$2:W486),$W$2:$W$1001,0),1)&gt;=100000,INDEX($AD$1005:$AU$1005,1,MATCH(COLUMNS($AD$1006:AG1006),$AD$1006:$AU$1006,0))&gt;=100000), " ",IF(INDEX($AD$2:$AU$1001,MATCH(ROWS($W$2:W486),$W$2:$W$1001,0),MATCH(COLUMNS($AD$1006:AG1006),$AD$1006:$AU$1006,0)), HYPERLINK("#",""), HYPERLINK(CONCATENATE("#metadata!", ADDRESS(INDEX($Y$2:$Y$1001,MATCH(ROWS($W$2:W486),$W$2:$W$1001,0),0), INDEX($AD$1004:$AU$1004,1,MATCH(COLUMNS($AD$1006:AG1006),$AD$1006:$AU$1006,0)))),"Fix")))</f>
        <v xml:space="preserve"> </v>
      </c>
      <c r="F486" s="4" t="str">
        <f ca="1">IF(OR(INDEX($X$2:$X$1001,MATCH(ROWS($W$2:W486),$W$2:$W$1001,0),1)&gt;=100000,INDEX($AD$1005:$AU$1005,1,MATCH(COLUMNS($AD$1006:AH1006),$AD$1006:$AU$1006,0))&gt;=100000), " ",IF(INDEX($AD$2:$AU$1001,MATCH(ROWS($W$2:W486),$W$2:$W$1001,0),MATCH(COLUMNS($AD$1006:AH1006),$AD$1006:$AU$1006,0)), HYPERLINK("#",""), HYPERLINK(CONCATENATE("#metadata!", ADDRESS(INDEX($Y$2:$Y$1001,MATCH(ROWS($W$2:W486),$W$2:$W$1001,0),0), INDEX($AD$1004:$AU$1004,1,MATCH(COLUMNS($AD$1006:AH1006),$AD$1006:$AU$1006,0)))),"Fix")))</f>
        <v xml:space="preserve"> </v>
      </c>
      <c r="G486" s="4" t="str">
        <f ca="1">IF(OR(INDEX($X$2:$X$1001,MATCH(ROWS($W$2:W486),$W$2:$W$1001,0),1)&gt;=100000,INDEX($AD$1005:$AU$1005,1,MATCH(COLUMNS($AD$1006:AI1006),$AD$1006:$AU$1006,0))&gt;=100000), " ",IF(INDEX($AD$2:$AU$1001,MATCH(ROWS($W$2:W486),$W$2:$W$1001,0),MATCH(COLUMNS($AD$1006:AI1006),$AD$1006:$AU$1006,0)), HYPERLINK("#",""), HYPERLINK(CONCATENATE("#metadata!", ADDRESS(INDEX($Y$2:$Y$1001,MATCH(ROWS($W$2:W486),$W$2:$W$1001,0),0), INDEX($AD$1004:$AU$1004,1,MATCH(COLUMNS($AD$1006:AI1006),$AD$1006:$AU$1006,0)))),"Fix")))</f>
        <v xml:space="preserve"> </v>
      </c>
      <c r="H486" s="4" t="str">
        <f ca="1">IF(OR(INDEX($X$2:$X$1001,MATCH(ROWS($W$2:W486),$W$2:$W$1001,0),1)&gt;=100000,INDEX($AD$1005:$AU$1005,1,MATCH(COLUMNS($AD$1006:AJ1006),$AD$1006:$AU$1006,0))&gt;=100000), " ",IF(INDEX($AD$2:$AU$1001,MATCH(ROWS($W$2:W486),$W$2:$W$1001,0),MATCH(COLUMNS($AD$1006:AJ1006),$AD$1006:$AU$1006,0)), HYPERLINK("#",""), HYPERLINK(CONCATENATE("#metadata!", ADDRESS(INDEX($Y$2:$Y$1001,MATCH(ROWS($W$2:W486),$W$2:$W$1001,0),0), INDEX($AD$1004:$AU$1004,1,MATCH(COLUMNS($AD$1006:AJ1006),$AD$1006:$AU$1006,0)))),"Fix")))</f>
        <v xml:space="preserve"> </v>
      </c>
      <c r="I486" s="4" t="str">
        <f ca="1">IF(OR(INDEX($X$2:$X$1001,MATCH(ROWS($W$2:W486),$W$2:$W$1001,0),1)&gt;=100000,INDEX($AD$1005:$AU$1005,1,MATCH(COLUMNS($AD$1006:AK1006),$AD$1006:$AU$1006,0))&gt;=100000), " ",IF(INDEX($AD$2:$AU$1001,MATCH(ROWS($W$2:W486),$W$2:$W$1001,0),MATCH(COLUMNS($AD$1006:AK1006),$AD$1006:$AU$1006,0)), HYPERLINK("#",""), HYPERLINK(CONCATENATE("#metadata!", ADDRESS(INDEX($Y$2:$Y$1001,MATCH(ROWS($W$2:W486),$W$2:$W$1001,0),0), INDEX($AD$1004:$AU$1004,1,MATCH(COLUMNS($AD$1006:AK1006),$AD$1006:$AU$1006,0)))),"Fix")))</f>
        <v xml:space="preserve"> </v>
      </c>
      <c r="J486" s="4" t="str">
        <f ca="1">IF(OR(INDEX($X$2:$X$1001,MATCH(ROWS($W$2:W486),$W$2:$W$1001,0),1)&gt;=100000,INDEX($AD$1005:$AU$1005,1,MATCH(COLUMNS($AD$1006:AL1006),$AD$1006:$AU$1006,0))&gt;=100000), " ",IF(INDEX($AD$2:$AU$1001,MATCH(ROWS($W$2:W486),$W$2:$W$1001,0),MATCH(COLUMNS($AD$1006:AL1006),$AD$1006:$AU$1006,0)), HYPERLINK("#",""), HYPERLINK(CONCATENATE("#metadata!", ADDRESS(INDEX($Y$2:$Y$1001,MATCH(ROWS($W$2:W486),$W$2:$W$1001,0),0), INDEX($AD$1004:$AU$1004,1,MATCH(COLUMNS($AD$1006:AL1006),$AD$1006:$AU$1006,0)))),"Fix")))</f>
        <v xml:space="preserve"> </v>
      </c>
      <c r="K486" s="4" t="str">
        <f ca="1">IF(OR(INDEX($X$2:$X$1001,MATCH(ROWS($W$2:W486),$W$2:$W$1001,0),1)&gt;=100000,INDEX($AD$1005:$AU$1005,1,MATCH(COLUMNS($AD$1006:AM1006),$AD$1006:$AU$1006,0))&gt;=100000), " ",IF(INDEX($AD$2:$AU$1001,MATCH(ROWS($W$2:W486),$W$2:$W$1001,0),MATCH(COLUMNS($AD$1006:AM1006),$AD$1006:$AU$1006,0)), HYPERLINK("#",""), HYPERLINK(CONCATENATE("#metadata!", ADDRESS(INDEX($Y$2:$Y$1001,MATCH(ROWS($W$2:W486),$W$2:$W$1001,0),0), INDEX($AD$1004:$AU$1004,1,MATCH(COLUMNS($AD$1006:AM1006),$AD$1006:$AU$1006,0)))),"Fix")))</f>
        <v xml:space="preserve"> </v>
      </c>
      <c r="L486" s="4" t="str">
        <f ca="1">IF(OR(INDEX($X$2:$X$1001,MATCH(ROWS($W$2:W486),$W$2:$W$1001,0),1)&gt;=100000,INDEX($AD$1005:$AU$1005,1,MATCH(COLUMNS($AD$1006:AN1006),$AD$1006:$AU$1006,0))&gt;=100000), " ",IF(INDEX($AD$2:$AU$1001,MATCH(ROWS($W$2:W486),$W$2:$W$1001,0),MATCH(COLUMNS($AD$1006:AN1006),$AD$1006:$AU$1006,0)), HYPERLINK("#",""), HYPERLINK(CONCATENATE("#metadata!", ADDRESS(INDEX($Y$2:$Y$1001,MATCH(ROWS($W$2:W486),$W$2:$W$1001,0),0), INDEX($AD$1004:$AU$1004,1,MATCH(COLUMNS($AD$1006:AN1006),$AD$1006:$AU$1006,0)))),"Fix")))</f>
        <v xml:space="preserve"> </v>
      </c>
      <c r="M486" s="4" t="str">
        <f ca="1">IF(OR(INDEX($X$2:$X$1001,MATCH(ROWS($W$2:W486),$W$2:$W$1001,0),1)&gt;=100000,INDEX($AD$1005:$AU$1005,1,MATCH(COLUMNS($AD$1006:AO1006),$AD$1006:$AU$1006,0))&gt;=100000), " ",IF(INDEX($AD$2:$AU$1001,MATCH(ROWS($W$2:W486),$W$2:$W$1001,0),MATCH(COLUMNS($AD$1006:AO1006),$AD$1006:$AU$1006,0)), HYPERLINK("#",""), HYPERLINK(CONCATENATE("#metadata!", ADDRESS(INDEX($Y$2:$Y$1001,MATCH(ROWS($W$2:W486),$W$2:$W$1001,0),0), INDEX($AD$1004:$AU$1004,1,MATCH(COLUMNS($AD$1006:AO1006),$AD$1006:$AU$1006,0)))),"Fix")))</f>
        <v xml:space="preserve"> </v>
      </c>
      <c r="N486" s="4" t="str">
        <f ca="1">IF(OR(INDEX($X$2:$X$1001,MATCH(ROWS($W$2:W486),$W$2:$W$1001,0),1)&gt;=100000,INDEX($AD$1005:$AU$1005,1,MATCH(COLUMNS($AD$1006:AP1006),$AD$1006:$AU$1006,0))&gt;=100000), " ",IF(INDEX($AD$2:$AU$1001,MATCH(ROWS($W$2:W486),$W$2:$W$1001,0),MATCH(COLUMNS($AD$1006:AP1006),$AD$1006:$AU$1006,0)), HYPERLINK("#",""), HYPERLINK(CONCATENATE("#metadata!", ADDRESS(INDEX($Y$2:$Y$1001,MATCH(ROWS($W$2:W486),$W$2:$W$1001,0),0), INDEX($AD$1004:$AU$1004,1,MATCH(COLUMNS($AD$1006:AP1006),$AD$1006:$AU$1006,0)))),"Fix")))</f>
        <v xml:space="preserve"> </v>
      </c>
      <c r="O486" s="4" t="str">
        <f ca="1">IF(OR(INDEX($X$2:$X$1001,MATCH(ROWS($W$2:W486),$W$2:$W$1001,0),1)&gt;=100000,INDEX($AD$1005:$AU$1005,1,MATCH(COLUMNS($AD$1006:AQ1006),$AD$1006:$AU$1006,0))&gt;=100000), " ",IF(INDEX($AD$2:$AU$1001,MATCH(ROWS($W$2:W486),$W$2:$W$1001,0),MATCH(COLUMNS($AD$1006:AQ1006),$AD$1006:$AU$1006,0)), HYPERLINK("#",""), HYPERLINK(CONCATENATE("#metadata!", ADDRESS(INDEX($Y$2:$Y$1001,MATCH(ROWS($W$2:W486),$W$2:$W$1001,0),0), INDEX($AD$1004:$AU$1004,1,MATCH(COLUMNS($AD$1006:AQ1006),$AD$1006:$AU$1006,0)))),"Fix")))</f>
        <v xml:space="preserve"> </v>
      </c>
      <c r="P486" s="4" t="str">
        <f ca="1">IF(OR(INDEX($X$2:$X$1001,MATCH(ROWS($W$2:W486),$W$2:$W$1001,0),1)&gt;=100000,INDEX($AD$1005:$AU$1005,1,MATCH(COLUMNS($AD$1006:AR1006),$AD$1006:$AU$1006,0))&gt;=100000), " ",IF(INDEX($AD$2:$AU$1001,MATCH(ROWS($W$2:W486),$W$2:$W$1001,0),MATCH(COLUMNS($AD$1006:AR1006),$AD$1006:$AU$1006,0)), HYPERLINK("#",""), HYPERLINK(CONCATENATE("#metadata!", ADDRESS(INDEX($Y$2:$Y$1001,MATCH(ROWS($W$2:W486),$W$2:$W$1001,0),0), INDEX($AD$1004:$AU$1004,1,MATCH(COLUMNS($AD$1006:AR1006),$AD$1006:$AU$1006,0)))),"Fix")))</f>
        <v xml:space="preserve"> </v>
      </c>
      <c r="Q486" s="4" t="str">
        <f ca="1">IF(OR(INDEX($X$2:$X$1001,MATCH(ROWS($W$2:W486),$W$2:$W$1001,0),1)&gt;=100000,INDEX($AD$1005:$AU$1005,1,MATCH(COLUMNS($AD$1006:AS1006),$AD$1006:$AU$1006,0))&gt;=100000), " ",IF(INDEX($AD$2:$AU$1001,MATCH(ROWS($W$2:W486),$W$2:$W$1001,0),MATCH(COLUMNS($AD$1006:AS1006),$AD$1006:$AU$1006,0)), HYPERLINK("#",""), HYPERLINK(CONCATENATE("#metadata!", ADDRESS(INDEX($Y$2:$Y$1001,MATCH(ROWS($W$2:W486),$W$2:$W$1001,0),0), INDEX($AD$1004:$AU$1004,1,MATCH(COLUMNS($AD$1006:AS1006),$AD$1006:$AU$1006,0)))),"Fix")))</f>
        <v xml:space="preserve"> </v>
      </c>
      <c r="R486" s="4" t="str">
        <f ca="1">IF(OR(INDEX($X$2:$X$1001,MATCH(ROWS($W$2:W486),$W$2:$W$1001,0),1)&gt;=100000,INDEX($AD$1005:$AU$1005,1,MATCH(COLUMNS($AD$1006:AT1006),$AD$1006:$AU$1006,0))&gt;=100000), " ",IF(INDEX($AD$2:$AU$1001,MATCH(ROWS($W$2:W486),$W$2:$W$1001,0),MATCH(COLUMNS($AD$1006:AT1006),$AD$1006:$AU$1006,0)), HYPERLINK("#",""), HYPERLINK(CONCATENATE("#metadata!", ADDRESS(INDEX($Y$2:$Y$1001,MATCH(ROWS($W$2:W486),$W$2:$W$1001,0),0), INDEX($AD$1004:$AU$1004,1,MATCH(COLUMNS($AD$1006:AT1006),$AD$1006:$AU$1006,0)))),"Fix")))</f>
        <v xml:space="preserve"> </v>
      </c>
      <c r="S486" s="4" t="str">
        <f ca="1">IF(OR(INDEX($X$2:$X$1001,MATCH(ROWS($W$2:W486),$W$2:$W$1001,0),1)&gt;=100000,INDEX($AD$1005:$AU$1005,1,MATCH(COLUMNS($AD$1006:AU1006),$AD$1006:$AU$1006,0))&gt;=100000), " ",IF(INDEX($AD$2:$AU$1001,MATCH(ROWS($W$2:W486),$W$2:$W$1001,0),MATCH(COLUMNS($AD$1006:AU1006),$AD$1006:$AU$1006,0)), HYPERLINK("#",""), HYPERLINK(CONCATENATE("#metadata!", ADDRESS(INDEX($Y$2:$Y$1001,MATCH(ROWS($W$2:W486),$W$2:$W$1001,0),0), INDEX($AD$1004:$AU$1004,1,MATCH(COLUMNS($AD$1006:AU1006),$AD$1006:$AU$1006,0)))),"Fix")))</f>
        <v xml:space="preserve"> </v>
      </c>
      <c r="W486">
        <v>485</v>
      </c>
      <c r="X486">
        <v>100486</v>
      </c>
      <c r="Y486">
        <v>486</v>
      </c>
      <c r="Z486" t="b">
        <f t="shared" si="7"/>
        <v>1</v>
      </c>
      <c r="AA486" t="b">
        <f>COUNTBLANK(metadata!B486:S486)=COLUMNS(metadata!B486:S486)</f>
        <v>1</v>
      </c>
      <c r="AB486" t="str">
        <v/>
      </c>
      <c r="AD486" t="b">
        <f ca="1">AND(IF(metadata!B486="",FALSE,TRUE),COUNTIF(metadata!B:B, metadata!B486) = 1,NOT(ISERROR(SUMPRODUCT(SEARCH(MID(metadata!B486,ROW(INDIRECT("1:"&amp;LEN(metadata!B486))), 1),"0123456789abcdefghijklmnopqrstuvwxyzABCDEFGHIJKLMNOPQRSTUVWXYZ.")))))</f>
        <v>0</v>
      </c>
      <c r="AE486" t="b">
        <f>OR(AND(IF(metadata!C486="",FALSE,TRUE),OR(EXACT(metadata!C486,"not applicable"),EXACT(metadata!C486,"missing: not collected"),EXACT(metadata!C486,"missing: not provided"),EXACT(metadata!C486,"missing: restricted access"))),AND(IF(metadata!C486="",FALSE,ISNUMBER(VALUE(metadata!C486))),metadata!C486&gt;0))</f>
        <v>0</v>
      </c>
      <c r="AF486" t="b">
        <f>AND(IF(metadata!D486="",FALSE,TRUE),EXACT(metadata!D486,"missing: not provided"))</f>
        <v>0</v>
      </c>
      <c r="AG486" t="b">
        <f>AND(IF(metadata!E486="",FALSE,TRUE),EXACT(metadata!E486,"Host-associated"))</f>
        <v>0</v>
      </c>
      <c r="AH486" t="b">
        <f>AND(IF(metadata!F486="",FALSE,TRUE),OR(EXACT(metadata!F486,"Animal"),EXACT(metadata!F486,"Fungus"),EXACT(metadata!F486,"Plant")))</f>
        <v>0</v>
      </c>
      <c r="AI486" t="b">
        <f>AND(IF(metadata!G486="",FALSE,TRUE),OR(EXACT(metadata!G486,"Plant secretion"),EXACT(metadata!G486,"Plant rhizosphere"),EXACT(metadata!G486,"Plant surface"),EXACT(metadata!G486,"Plant corpus"),EXACT(metadata!G486,"Fungus surface"),EXACT(metadata!G486,"Fungus corpus"),EXACT(metadata!G486,"Animal surface"),EXACT(metadata!G486,"Animal proximal gut"),EXACT(metadata!G486,"Animal corpus"),EXACT(metadata!G486,"Animal distal gut"),EXACT(metadata!G486,"Animal secretion")))</f>
        <v>0</v>
      </c>
      <c r="AJ486" t="b">
        <f>OR(AND(IF(metadata!H486="",FALSE,TRUE),OR(EXACT(metadata!H486,"missing: not collected"),EXACT(metadata!H486,"missing: not provided"),EXACT(metadata!H486,"missing: restricted access"))),AND(IF(metadata!H486="",FALSE,TRUE),OR(EXACT(metadata!H486,"organism-associated habitat"),EXACT(metadata!H486,"plant-associated habitat"),EXACT(metadata!H486,"animal-associated habitat"),EXACT(metadata!H486,"insecta-associated habitat"),EXACT(metadata!H486,"mammalia-associated habitat"),EXACT(metadata!H486,"human-associated habitat"),EXACT(metadata!H486,"livestock-associated habitat"))))</f>
        <v>0</v>
      </c>
      <c r="AK486" t="b">
        <f>AND(IF(metadata!I486="",FALSE,TRUE),EXACT(metadata!I486,"host-associated"))</f>
        <v>0</v>
      </c>
      <c r="AL486" t="b">
        <f>OR(AND(IF(metadata!J486="",FALSE,TRUE),OR(EXACT(metadata!J486,"not applicable"),EXACT(metadata!J486,"missing: not collected"),EXACT(metadata!J486,"missing: not provided"),EXACT(metadata!J486,"missing: restricted access"))),AND(IF(metadata!J486="",FALSE,ISNUMBER(VALUE(metadata!J486))),metadata!J486&gt;0))</f>
        <v>0</v>
      </c>
      <c r="AM486" t="b">
        <f>AND(IF(metadata!K486="",FALSE,TRUE),EXACT(metadata!K486,"missing: not provided"))</f>
        <v>0</v>
      </c>
      <c r="AN486" t="b">
        <f>IF(metadata!L486="",FALSE,TRUE)</f>
        <v>0</v>
      </c>
      <c r="AO486" t="b">
        <f>IF(metadata!M486="",FALSE,TRUE)</f>
        <v>0</v>
      </c>
      <c r="AP486" t="b">
        <f>OR(AND(IF(metadata!N486="",FALSE,TRUE),OR(EXACT(metadata!N486,"not applicable"),EXACT(metadata!N486,"missing: not collected"),EXACT(metadata!N486,"missing: not provided"))),AND(IF(metadata!N486="",FALSE,IF(ISERROR(INT(metadata!N486)),FALSE,INT(metadata!N486)=metadata!N486)),metadata!N486&gt;0))</f>
        <v>0</v>
      </c>
      <c r="AQ486" t="b">
        <f>AND(IF(metadata!O486="",FALSE,TRUE),EXACT(metadata!O486,"Not applicable"))</f>
        <v>0</v>
      </c>
      <c r="AR486" t="b">
        <f>OR(AND(IF(metadata!P486="",FALSE,TRUE),OR(EXACT(metadata!P486,"not applicable"),EXACT(metadata!P486,"missing: not collected"),EXACT(metadata!P486,"missing: not provided"),EXACT(metadata!P486,"missing: restricted access"))),IF(metadata!P486="",FALSE,IF(ISERROR(INT(metadata!P486)),FALSE,INT(metadata!P486)=metadata!P486)))</f>
        <v>0</v>
      </c>
      <c r="AS486" t="b">
        <f>AND(IF(metadata!Q486="",FALSE,TRUE),EXACT(metadata!Q486,"Not applicable"))</f>
        <v>0</v>
      </c>
      <c r="AT486" t="b">
        <f>OR(AND(IF(metadata!R486="",FALSE,TRUE),OR(EXACT(metadata!R486,"not applicable"),EXACT(metadata!R486,"missing: not collected"),EXACT(metadata!R486,"missing: not provided"),EXACT(metadata!R486,"missing: restricted access"))),AND(IF(metadata!R486="",FALSE,ISNUMBER(VALUE(metadata!R486))),metadata!R486&gt;0))</f>
        <v>0</v>
      </c>
      <c r="AU486" t="b">
        <f>AND(IF(metadata!S486="",FALSE,TRUE),EXACT(metadata!S486,"missing: not provided"))</f>
        <v>0</v>
      </c>
    </row>
    <row r="487" spans="1:47" x14ac:dyDescent="0.2">
      <c r="A487" s="5" t="str">
        <f ca="1">IF(B487=" "," ",HYPERLINK(CONCATENATE("#metadata!",ADDRESS(INDEX($Y$2:$Y$1001,MATCH(ROWS($W$2:W487),$W$2:$W$1001,0),0),1)),INDEX($AB$2:$AB$1001,MATCH(ROWS($W$2:W487),$W$2:$W$1001,0),0)))</f>
        <v xml:space="preserve"> </v>
      </c>
      <c r="B487" s="4" t="str">
        <f ca="1">IF(OR(INDEX($X$2:$X$1001,MATCH(ROWS($W$2:W487),$W$2:$W$1001,0),1)&gt;=100000,INDEX($AD$1005:$AU$1005,1,MATCH(COLUMNS($AD$1006:AD1006),$AD$1006:$AU$1006,0))&gt;=100000), " ",IF(INDEX($AD$2:$AU$1001,MATCH(ROWS($W$2:W487),$W$2:$W$1001,0),MATCH(COLUMNS($AD$1006:AD1006),$AD$1006:$AU$1006,0)), HYPERLINK("#",""), HYPERLINK(CONCATENATE("#metadata!", ADDRESS(INDEX($Y$2:$Y$1001,MATCH(ROWS($W$2:W487),$W$2:$W$1001,0),0), INDEX($AD$1004:$AU$1004,1,MATCH(COLUMNS($AD$1006:AD1006),$AD$1006:$AU$1006,0)))),"Fix")))</f>
        <v xml:space="preserve"> </v>
      </c>
      <c r="C487" s="4" t="str">
        <f ca="1">IF(OR(INDEX($X$2:$X$1001,MATCH(ROWS($W$2:W487),$W$2:$W$1001,0),1)&gt;=100000,INDEX($AD$1005:$AU$1005,1,MATCH(COLUMNS($AD$1006:AE1006),$AD$1006:$AU$1006,0))&gt;=100000), " ",IF(INDEX($AD$2:$AU$1001,MATCH(ROWS($W$2:W487),$W$2:$W$1001,0),MATCH(COLUMNS($AD$1006:AE1006),$AD$1006:$AU$1006,0)), HYPERLINK("#",""), HYPERLINK(CONCATENATE("#metadata!", ADDRESS(INDEX($Y$2:$Y$1001,MATCH(ROWS($W$2:W487),$W$2:$W$1001,0),0), INDEX($AD$1004:$AU$1004,1,MATCH(COLUMNS($AD$1006:AE1006),$AD$1006:$AU$1006,0)))),"Fix")))</f>
        <v xml:space="preserve"> </v>
      </c>
      <c r="D487" s="4" t="str">
        <f ca="1">IF(OR(INDEX($X$2:$X$1001,MATCH(ROWS($W$2:W487),$W$2:$W$1001,0),1)&gt;=100000,INDEX($AD$1005:$AU$1005,1,MATCH(COLUMNS($AD$1006:AF1006),$AD$1006:$AU$1006,0))&gt;=100000), " ",IF(INDEX($AD$2:$AU$1001,MATCH(ROWS($W$2:W487),$W$2:$W$1001,0),MATCH(COLUMNS($AD$1006:AF1006),$AD$1006:$AU$1006,0)), HYPERLINK("#",""), HYPERLINK(CONCATENATE("#metadata!", ADDRESS(INDEX($Y$2:$Y$1001,MATCH(ROWS($W$2:W487),$W$2:$W$1001,0),0), INDEX($AD$1004:$AU$1004,1,MATCH(COLUMNS($AD$1006:AF1006),$AD$1006:$AU$1006,0)))),"Fix")))</f>
        <v xml:space="preserve"> </v>
      </c>
      <c r="E487" s="4" t="str">
        <f ca="1">IF(OR(INDEX($X$2:$X$1001,MATCH(ROWS($W$2:W487),$W$2:$W$1001,0),1)&gt;=100000,INDEX($AD$1005:$AU$1005,1,MATCH(COLUMNS($AD$1006:AG1006),$AD$1006:$AU$1006,0))&gt;=100000), " ",IF(INDEX($AD$2:$AU$1001,MATCH(ROWS($W$2:W487),$W$2:$W$1001,0),MATCH(COLUMNS($AD$1006:AG1006),$AD$1006:$AU$1006,0)), HYPERLINK("#",""), HYPERLINK(CONCATENATE("#metadata!", ADDRESS(INDEX($Y$2:$Y$1001,MATCH(ROWS($W$2:W487),$W$2:$W$1001,0),0), INDEX($AD$1004:$AU$1004,1,MATCH(COLUMNS($AD$1006:AG1006),$AD$1006:$AU$1006,0)))),"Fix")))</f>
        <v xml:space="preserve"> </v>
      </c>
      <c r="F487" s="4" t="str">
        <f ca="1">IF(OR(INDEX($X$2:$X$1001,MATCH(ROWS($W$2:W487),$W$2:$W$1001,0),1)&gt;=100000,INDEX($AD$1005:$AU$1005,1,MATCH(COLUMNS($AD$1006:AH1006),$AD$1006:$AU$1006,0))&gt;=100000), " ",IF(INDEX($AD$2:$AU$1001,MATCH(ROWS($W$2:W487),$W$2:$W$1001,0),MATCH(COLUMNS($AD$1006:AH1006),$AD$1006:$AU$1006,0)), HYPERLINK("#",""), HYPERLINK(CONCATENATE("#metadata!", ADDRESS(INDEX($Y$2:$Y$1001,MATCH(ROWS($W$2:W487),$W$2:$W$1001,0),0), INDEX($AD$1004:$AU$1004,1,MATCH(COLUMNS($AD$1006:AH1006),$AD$1006:$AU$1006,0)))),"Fix")))</f>
        <v xml:space="preserve"> </v>
      </c>
      <c r="G487" s="4" t="str">
        <f ca="1">IF(OR(INDEX($X$2:$X$1001,MATCH(ROWS($W$2:W487),$W$2:$W$1001,0),1)&gt;=100000,INDEX($AD$1005:$AU$1005,1,MATCH(COLUMNS($AD$1006:AI1006),$AD$1006:$AU$1006,0))&gt;=100000), " ",IF(INDEX($AD$2:$AU$1001,MATCH(ROWS($W$2:W487),$W$2:$W$1001,0),MATCH(COLUMNS($AD$1006:AI1006),$AD$1006:$AU$1006,0)), HYPERLINK("#",""), HYPERLINK(CONCATENATE("#metadata!", ADDRESS(INDEX($Y$2:$Y$1001,MATCH(ROWS($W$2:W487),$W$2:$W$1001,0),0), INDEX($AD$1004:$AU$1004,1,MATCH(COLUMNS($AD$1006:AI1006),$AD$1006:$AU$1006,0)))),"Fix")))</f>
        <v xml:space="preserve"> </v>
      </c>
      <c r="H487" s="4" t="str">
        <f ca="1">IF(OR(INDEX($X$2:$X$1001,MATCH(ROWS($W$2:W487),$W$2:$W$1001,0),1)&gt;=100000,INDEX($AD$1005:$AU$1005,1,MATCH(COLUMNS($AD$1006:AJ1006),$AD$1006:$AU$1006,0))&gt;=100000), " ",IF(INDEX($AD$2:$AU$1001,MATCH(ROWS($W$2:W487),$W$2:$W$1001,0),MATCH(COLUMNS($AD$1006:AJ1006),$AD$1006:$AU$1006,0)), HYPERLINK("#",""), HYPERLINK(CONCATENATE("#metadata!", ADDRESS(INDEX($Y$2:$Y$1001,MATCH(ROWS($W$2:W487),$W$2:$W$1001,0),0), INDEX($AD$1004:$AU$1004,1,MATCH(COLUMNS($AD$1006:AJ1006),$AD$1006:$AU$1006,0)))),"Fix")))</f>
        <v xml:space="preserve"> </v>
      </c>
      <c r="I487" s="4" t="str">
        <f ca="1">IF(OR(INDEX($X$2:$X$1001,MATCH(ROWS($W$2:W487),$W$2:$W$1001,0),1)&gt;=100000,INDEX($AD$1005:$AU$1005,1,MATCH(COLUMNS($AD$1006:AK1006),$AD$1006:$AU$1006,0))&gt;=100000), " ",IF(INDEX($AD$2:$AU$1001,MATCH(ROWS($W$2:W487),$W$2:$W$1001,0),MATCH(COLUMNS($AD$1006:AK1006),$AD$1006:$AU$1006,0)), HYPERLINK("#",""), HYPERLINK(CONCATENATE("#metadata!", ADDRESS(INDEX($Y$2:$Y$1001,MATCH(ROWS($W$2:W487),$W$2:$W$1001,0),0), INDEX($AD$1004:$AU$1004,1,MATCH(COLUMNS($AD$1006:AK1006),$AD$1006:$AU$1006,0)))),"Fix")))</f>
        <v xml:space="preserve"> </v>
      </c>
      <c r="J487" s="4" t="str">
        <f ca="1">IF(OR(INDEX($X$2:$X$1001,MATCH(ROWS($W$2:W487),$W$2:$W$1001,0),1)&gt;=100000,INDEX($AD$1005:$AU$1005,1,MATCH(COLUMNS($AD$1006:AL1006),$AD$1006:$AU$1006,0))&gt;=100000), " ",IF(INDEX($AD$2:$AU$1001,MATCH(ROWS($W$2:W487),$W$2:$W$1001,0),MATCH(COLUMNS($AD$1006:AL1006),$AD$1006:$AU$1006,0)), HYPERLINK("#",""), HYPERLINK(CONCATENATE("#metadata!", ADDRESS(INDEX($Y$2:$Y$1001,MATCH(ROWS($W$2:W487),$W$2:$W$1001,0),0), INDEX($AD$1004:$AU$1004,1,MATCH(COLUMNS($AD$1006:AL1006),$AD$1006:$AU$1006,0)))),"Fix")))</f>
        <v xml:space="preserve"> </v>
      </c>
      <c r="K487" s="4" t="str">
        <f ca="1">IF(OR(INDEX($X$2:$X$1001,MATCH(ROWS($W$2:W487),$W$2:$W$1001,0),1)&gt;=100000,INDEX($AD$1005:$AU$1005,1,MATCH(COLUMNS($AD$1006:AM1006),$AD$1006:$AU$1006,0))&gt;=100000), " ",IF(INDEX($AD$2:$AU$1001,MATCH(ROWS($W$2:W487),$W$2:$W$1001,0),MATCH(COLUMNS($AD$1006:AM1006),$AD$1006:$AU$1006,0)), HYPERLINK("#",""), HYPERLINK(CONCATENATE("#metadata!", ADDRESS(INDEX($Y$2:$Y$1001,MATCH(ROWS($W$2:W487),$W$2:$W$1001,0),0), INDEX($AD$1004:$AU$1004,1,MATCH(COLUMNS($AD$1006:AM1006),$AD$1006:$AU$1006,0)))),"Fix")))</f>
        <v xml:space="preserve"> </v>
      </c>
      <c r="L487" s="4" t="str">
        <f ca="1">IF(OR(INDEX($X$2:$X$1001,MATCH(ROWS($W$2:W487),$W$2:$W$1001,0),1)&gt;=100000,INDEX($AD$1005:$AU$1005,1,MATCH(COLUMNS($AD$1006:AN1006),$AD$1006:$AU$1006,0))&gt;=100000), " ",IF(INDEX($AD$2:$AU$1001,MATCH(ROWS($W$2:W487),$W$2:$W$1001,0),MATCH(COLUMNS($AD$1006:AN1006),$AD$1006:$AU$1006,0)), HYPERLINK("#",""), HYPERLINK(CONCATENATE("#metadata!", ADDRESS(INDEX($Y$2:$Y$1001,MATCH(ROWS($W$2:W487),$W$2:$W$1001,0),0), INDEX($AD$1004:$AU$1004,1,MATCH(COLUMNS($AD$1006:AN1006),$AD$1006:$AU$1006,0)))),"Fix")))</f>
        <v xml:space="preserve"> </v>
      </c>
      <c r="M487" s="4" t="str">
        <f ca="1">IF(OR(INDEX($X$2:$X$1001,MATCH(ROWS($W$2:W487),$W$2:$W$1001,0),1)&gt;=100000,INDEX($AD$1005:$AU$1005,1,MATCH(COLUMNS($AD$1006:AO1006),$AD$1006:$AU$1006,0))&gt;=100000), " ",IF(INDEX($AD$2:$AU$1001,MATCH(ROWS($W$2:W487),$W$2:$W$1001,0),MATCH(COLUMNS($AD$1006:AO1006),$AD$1006:$AU$1006,0)), HYPERLINK("#",""), HYPERLINK(CONCATENATE("#metadata!", ADDRESS(INDEX($Y$2:$Y$1001,MATCH(ROWS($W$2:W487),$W$2:$W$1001,0),0), INDEX($AD$1004:$AU$1004,1,MATCH(COLUMNS($AD$1006:AO1006),$AD$1006:$AU$1006,0)))),"Fix")))</f>
        <v xml:space="preserve"> </v>
      </c>
      <c r="N487" s="4" t="str">
        <f ca="1">IF(OR(INDEX($X$2:$X$1001,MATCH(ROWS($W$2:W487),$W$2:$W$1001,0),1)&gt;=100000,INDEX($AD$1005:$AU$1005,1,MATCH(COLUMNS($AD$1006:AP1006),$AD$1006:$AU$1006,0))&gt;=100000), " ",IF(INDEX($AD$2:$AU$1001,MATCH(ROWS($W$2:W487),$W$2:$W$1001,0),MATCH(COLUMNS($AD$1006:AP1006),$AD$1006:$AU$1006,0)), HYPERLINK("#",""), HYPERLINK(CONCATENATE("#metadata!", ADDRESS(INDEX($Y$2:$Y$1001,MATCH(ROWS($W$2:W487),$W$2:$W$1001,0),0), INDEX($AD$1004:$AU$1004,1,MATCH(COLUMNS($AD$1006:AP1006),$AD$1006:$AU$1006,0)))),"Fix")))</f>
        <v xml:space="preserve"> </v>
      </c>
      <c r="O487" s="4" t="str">
        <f ca="1">IF(OR(INDEX($X$2:$X$1001,MATCH(ROWS($W$2:W487),$W$2:$W$1001,0),1)&gt;=100000,INDEX($AD$1005:$AU$1005,1,MATCH(COLUMNS($AD$1006:AQ1006),$AD$1006:$AU$1006,0))&gt;=100000), " ",IF(INDEX($AD$2:$AU$1001,MATCH(ROWS($W$2:W487),$W$2:$W$1001,0),MATCH(COLUMNS($AD$1006:AQ1006),$AD$1006:$AU$1006,0)), HYPERLINK("#",""), HYPERLINK(CONCATENATE("#metadata!", ADDRESS(INDEX($Y$2:$Y$1001,MATCH(ROWS($W$2:W487),$W$2:$W$1001,0),0), INDEX($AD$1004:$AU$1004,1,MATCH(COLUMNS($AD$1006:AQ1006),$AD$1006:$AU$1006,0)))),"Fix")))</f>
        <v xml:space="preserve"> </v>
      </c>
      <c r="P487" s="4" t="str">
        <f ca="1">IF(OR(INDEX($X$2:$X$1001,MATCH(ROWS($W$2:W487),$W$2:$W$1001,0),1)&gt;=100000,INDEX($AD$1005:$AU$1005,1,MATCH(COLUMNS($AD$1006:AR1006),$AD$1006:$AU$1006,0))&gt;=100000), " ",IF(INDEX($AD$2:$AU$1001,MATCH(ROWS($W$2:W487),$W$2:$W$1001,0),MATCH(COLUMNS($AD$1006:AR1006),$AD$1006:$AU$1006,0)), HYPERLINK("#",""), HYPERLINK(CONCATENATE("#metadata!", ADDRESS(INDEX($Y$2:$Y$1001,MATCH(ROWS($W$2:W487),$W$2:$W$1001,0),0), INDEX($AD$1004:$AU$1004,1,MATCH(COLUMNS($AD$1006:AR1006),$AD$1006:$AU$1006,0)))),"Fix")))</f>
        <v xml:space="preserve"> </v>
      </c>
      <c r="Q487" s="4" t="str">
        <f ca="1">IF(OR(INDEX($X$2:$X$1001,MATCH(ROWS($W$2:W487),$W$2:$W$1001,0),1)&gt;=100000,INDEX($AD$1005:$AU$1005,1,MATCH(COLUMNS($AD$1006:AS1006),$AD$1006:$AU$1006,0))&gt;=100000), " ",IF(INDEX($AD$2:$AU$1001,MATCH(ROWS($W$2:W487),$W$2:$W$1001,0),MATCH(COLUMNS($AD$1006:AS1006),$AD$1006:$AU$1006,0)), HYPERLINK("#",""), HYPERLINK(CONCATENATE("#metadata!", ADDRESS(INDEX($Y$2:$Y$1001,MATCH(ROWS($W$2:W487),$W$2:$W$1001,0),0), INDEX($AD$1004:$AU$1004,1,MATCH(COLUMNS($AD$1006:AS1006),$AD$1006:$AU$1006,0)))),"Fix")))</f>
        <v xml:space="preserve"> </v>
      </c>
      <c r="R487" s="4" t="str">
        <f ca="1">IF(OR(INDEX($X$2:$X$1001,MATCH(ROWS($W$2:W487),$W$2:$W$1001,0),1)&gt;=100000,INDEX($AD$1005:$AU$1005,1,MATCH(COLUMNS($AD$1006:AT1006),$AD$1006:$AU$1006,0))&gt;=100000), " ",IF(INDEX($AD$2:$AU$1001,MATCH(ROWS($W$2:W487),$W$2:$W$1001,0),MATCH(COLUMNS($AD$1006:AT1006),$AD$1006:$AU$1006,0)), HYPERLINK("#",""), HYPERLINK(CONCATENATE("#metadata!", ADDRESS(INDEX($Y$2:$Y$1001,MATCH(ROWS($W$2:W487),$W$2:$W$1001,0),0), INDEX($AD$1004:$AU$1004,1,MATCH(COLUMNS($AD$1006:AT1006),$AD$1006:$AU$1006,0)))),"Fix")))</f>
        <v xml:space="preserve"> </v>
      </c>
      <c r="S487" s="4" t="str">
        <f ca="1">IF(OR(INDEX($X$2:$X$1001,MATCH(ROWS($W$2:W487),$W$2:$W$1001,0),1)&gt;=100000,INDEX($AD$1005:$AU$1005,1,MATCH(COLUMNS($AD$1006:AU1006),$AD$1006:$AU$1006,0))&gt;=100000), " ",IF(INDEX($AD$2:$AU$1001,MATCH(ROWS($W$2:W487),$W$2:$W$1001,0),MATCH(COLUMNS($AD$1006:AU1006),$AD$1006:$AU$1006,0)), HYPERLINK("#",""), HYPERLINK(CONCATENATE("#metadata!", ADDRESS(INDEX($Y$2:$Y$1001,MATCH(ROWS($W$2:W487),$W$2:$W$1001,0),0), INDEX($AD$1004:$AU$1004,1,MATCH(COLUMNS($AD$1006:AU1006),$AD$1006:$AU$1006,0)))),"Fix")))</f>
        <v xml:space="preserve"> </v>
      </c>
      <c r="W487">
        <v>486</v>
      </c>
      <c r="X487">
        <v>100487</v>
      </c>
      <c r="Y487">
        <v>487</v>
      </c>
      <c r="Z487" t="b">
        <f t="shared" si="7"/>
        <v>1</v>
      </c>
      <c r="AA487" t="b">
        <f>COUNTBLANK(metadata!B487:S487)=COLUMNS(metadata!B487:S487)</f>
        <v>1</v>
      </c>
      <c r="AB487" t="str">
        <v/>
      </c>
      <c r="AD487" t="b">
        <f ca="1">AND(IF(metadata!B487="",FALSE,TRUE),COUNTIF(metadata!B:B, metadata!B487) = 1,NOT(ISERROR(SUMPRODUCT(SEARCH(MID(metadata!B487,ROW(INDIRECT("1:"&amp;LEN(metadata!B487))), 1),"0123456789abcdefghijklmnopqrstuvwxyzABCDEFGHIJKLMNOPQRSTUVWXYZ.")))))</f>
        <v>0</v>
      </c>
      <c r="AE487" t="b">
        <f>OR(AND(IF(metadata!C487="",FALSE,TRUE),OR(EXACT(metadata!C487,"not applicable"),EXACT(metadata!C487,"missing: not collected"),EXACT(metadata!C487,"missing: not provided"),EXACT(metadata!C487,"missing: restricted access"))),AND(IF(metadata!C487="",FALSE,ISNUMBER(VALUE(metadata!C487))),metadata!C487&gt;0))</f>
        <v>0</v>
      </c>
      <c r="AF487" t="b">
        <f>AND(IF(metadata!D487="",FALSE,TRUE),EXACT(metadata!D487,"missing: not provided"))</f>
        <v>0</v>
      </c>
      <c r="AG487" t="b">
        <f>AND(IF(metadata!E487="",FALSE,TRUE),EXACT(metadata!E487,"Host-associated"))</f>
        <v>0</v>
      </c>
      <c r="AH487" t="b">
        <f>AND(IF(metadata!F487="",FALSE,TRUE),OR(EXACT(metadata!F487,"Animal"),EXACT(metadata!F487,"Fungus"),EXACT(metadata!F487,"Plant")))</f>
        <v>0</v>
      </c>
      <c r="AI487" t="b">
        <f>AND(IF(metadata!G487="",FALSE,TRUE),OR(EXACT(metadata!G487,"Plant secretion"),EXACT(metadata!G487,"Plant rhizosphere"),EXACT(metadata!G487,"Plant surface"),EXACT(metadata!G487,"Plant corpus"),EXACT(metadata!G487,"Fungus surface"),EXACT(metadata!G487,"Fungus corpus"),EXACT(metadata!G487,"Animal surface"),EXACT(metadata!G487,"Animal proximal gut"),EXACT(metadata!G487,"Animal corpus"),EXACT(metadata!G487,"Animal distal gut"),EXACT(metadata!G487,"Animal secretion")))</f>
        <v>0</v>
      </c>
      <c r="AJ487" t="b">
        <f>OR(AND(IF(metadata!H487="",FALSE,TRUE),OR(EXACT(metadata!H487,"missing: not collected"),EXACT(metadata!H487,"missing: not provided"),EXACT(metadata!H487,"missing: restricted access"))),AND(IF(metadata!H487="",FALSE,TRUE),OR(EXACT(metadata!H487,"organism-associated habitat"),EXACT(metadata!H487,"plant-associated habitat"),EXACT(metadata!H487,"animal-associated habitat"),EXACT(metadata!H487,"insecta-associated habitat"),EXACT(metadata!H487,"mammalia-associated habitat"),EXACT(metadata!H487,"human-associated habitat"),EXACT(metadata!H487,"livestock-associated habitat"))))</f>
        <v>0</v>
      </c>
      <c r="AK487" t="b">
        <f>AND(IF(metadata!I487="",FALSE,TRUE),EXACT(metadata!I487,"host-associated"))</f>
        <v>0</v>
      </c>
      <c r="AL487" t="b">
        <f>OR(AND(IF(metadata!J487="",FALSE,TRUE),OR(EXACT(metadata!J487,"not applicable"),EXACT(metadata!J487,"missing: not collected"),EXACT(metadata!J487,"missing: not provided"),EXACT(metadata!J487,"missing: restricted access"))),AND(IF(metadata!J487="",FALSE,ISNUMBER(VALUE(metadata!J487))),metadata!J487&gt;0))</f>
        <v>0</v>
      </c>
      <c r="AM487" t="b">
        <f>AND(IF(metadata!K487="",FALSE,TRUE),EXACT(metadata!K487,"missing: not provided"))</f>
        <v>0</v>
      </c>
      <c r="AN487" t="b">
        <f>IF(metadata!L487="",FALSE,TRUE)</f>
        <v>0</v>
      </c>
      <c r="AO487" t="b">
        <f>IF(metadata!M487="",FALSE,TRUE)</f>
        <v>0</v>
      </c>
      <c r="AP487" t="b">
        <f>OR(AND(IF(metadata!N487="",FALSE,TRUE),OR(EXACT(metadata!N487,"not applicable"),EXACT(metadata!N487,"missing: not collected"),EXACT(metadata!N487,"missing: not provided"))),AND(IF(metadata!N487="",FALSE,IF(ISERROR(INT(metadata!N487)),FALSE,INT(metadata!N487)=metadata!N487)),metadata!N487&gt;0))</f>
        <v>0</v>
      </c>
      <c r="AQ487" t="b">
        <f>AND(IF(metadata!O487="",FALSE,TRUE),EXACT(metadata!O487,"Not applicable"))</f>
        <v>0</v>
      </c>
      <c r="AR487" t="b">
        <f>OR(AND(IF(metadata!P487="",FALSE,TRUE),OR(EXACT(metadata!P487,"not applicable"),EXACT(metadata!P487,"missing: not collected"),EXACT(metadata!P487,"missing: not provided"),EXACT(metadata!P487,"missing: restricted access"))),IF(metadata!P487="",FALSE,IF(ISERROR(INT(metadata!P487)),FALSE,INT(metadata!P487)=metadata!P487)))</f>
        <v>0</v>
      </c>
      <c r="AS487" t="b">
        <f>AND(IF(metadata!Q487="",FALSE,TRUE),EXACT(metadata!Q487,"Not applicable"))</f>
        <v>0</v>
      </c>
      <c r="AT487" t="b">
        <f>OR(AND(IF(metadata!R487="",FALSE,TRUE),OR(EXACT(metadata!R487,"not applicable"),EXACT(metadata!R487,"missing: not collected"),EXACT(metadata!R487,"missing: not provided"),EXACT(metadata!R487,"missing: restricted access"))),AND(IF(metadata!R487="",FALSE,ISNUMBER(VALUE(metadata!R487))),metadata!R487&gt;0))</f>
        <v>0</v>
      </c>
      <c r="AU487" t="b">
        <f>AND(IF(metadata!S487="",FALSE,TRUE),EXACT(metadata!S487,"missing: not provided"))</f>
        <v>0</v>
      </c>
    </row>
    <row r="488" spans="1:47" x14ac:dyDescent="0.2">
      <c r="A488" s="5" t="str">
        <f ca="1">IF(B488=" "," ",HYPERLINK(CONCATENATE("#metadata!",ADDRESS(INDEX($Y$2:$Y$1001,MATCH(ROWS($W$2:W488),$W$2:$W$1001,0),0),1)),INDEX($AB$2:$AB$1001,MATCH(ROWS($W$2:W488),$W$2:$W$1001,0),0)))</f>
        <v xml:space="preserve"> </v>
      </c>
      <c r="B488" s="4" t="str">
        <f ca="1">IF(OR(INDEX($X$2:$X$1001,MATCH(ROWS($W$2:W488),$W$2:$W$1001,0),1)&gt;=100000,INDEX($AD$1005:$AU$1005,1,MATCH(COLUMNS($AD$1006:AD1006),$AD$1006:$AU$1006,0))&gt;=100000), " ",IF(INDEX($AD$2:$AU$1001,MATCH(ROWS($W$2:W488),$W$2:$W$1001,0),MATCH(COLUMNS($AD$1006:AD1006),$AD$1006:$AU$1006,0)), HYPERLINK("#",""), HYPERLINK(CONCATENATE("#metadata!", ADDRESS(INDEX($Y$2:$Y$1001,MATCH(ROWS($W$2:W488),$W$2:$W$1001,0),0), INDEX($AD$1004:$AU$1004,1,MATCH(COLUMNS($AD$1006:AD1006),$AD$1006:$AU$1006,0)))),"Fix")))</f>
        <v xml:space="preserve"> </v>
      </c>
      <c r="C488" s="4" t="str">
        <f ca="1">IF(OR(INDEX($X$2:$X$1001,MATCH(ROWS($W$2:W488),$W$2:$W$1001,0),1)&gt;=100000,INDEX($AD$1005:$AU$1005,1,MATCH(COLUMNS($AD$1006:AE1006),$AD$1006:$AU$1006,0))&gt;=100000), " ",IF(INDEX($AD$2:$AU$1001,MATCH(ROWS($W$2:W488),$W$2:$W$1001,0),MATCH(COLUMNS($AD$1006:AE1006),$AD$1006:$AU$1006,0)), HYPERLINK("#",""), HYPERLINK(CONCATENATE("#metadata!", ADDRESS(INDEX($Y$2:$Y$1001,MATCH(ROWS($W$2:W488),$W$2:$W$1001,0),0), INDEX($AD$1004:$AU$1004,1,MATCH(COLUMNS($AD$1006:AE1006),$AD$1006:$AU$1006,0)))),"Fix")))</f>
        <v xml:space="preserve"> </v>
      </c>
      <c r="D488" s="4" t="str">
        <f ca="1">IF(OR(INDEX($X$2:$X$1001,MATCH(ROWS($W$2:W488),$W$2:$W$1001,0),1)&gt;=100000,INDEX($AD$1005:$AU$1005,1,MATCH(COLUMNS($AD$1006:AF1006),$AD$1006:$AU$1006,0))&gt;=100000), " ",IF(INDEX($AD$2:$AU$1001,MATCH(ROWS($W$2:W488),$W$2:$W$1001,0),MATCH(COLUMNS($AD$1006:AF1006),$AD$1006:$AU$1006,0)), HYPERLINK("#",""), HYPERLINK(CONCATENATE("#metadata!", ADDRESS(INDEX($Y$2:$Y$1001,MATCH(ROWS($W$2:W488),$W$2:$W$1001,0),0), INDEX($AD$1004:$AU$1004,1,MATCH(COLUMNS($AD$1006:AF1006),$AD$1006:$AU$1006,0)))),"Fix")))</f>
        <v xml:space="preserve"> </v>
      </c>
      <c r="E488" s="4" t="str">
        <f ca="1">IF(OR(INDEX($X$2:$X$1001,MATCH(ROWS($W$2:W488),$W$2:$W$1001,0),1)&gt;=100000,INDEX($AD$1005:$AU$1005,1,MATCH(COLUMNS($AD$1006:AG1006),$AD$1006:$AU$1006,0))&gt;=100000), " ",IF(INDEX($AD$2:$AU$1001,MATCH(ROWS($W$2:W488),$W$2:$W$1001,0),MATCH(COLUMNS($AD$1006:AG1006),$AD$1006:$AU$1006,0)), HYPERLINK("#",""), HYPERLINK(CONCATENATE("#metadata!", ADDRESS(INDEX($Y$2:$Y$1001,MATCH(ROWS($W$2:W488),$W$2:$W$1001,0),0), INDEX($AD$1004:$AU$1004,1,MATCH(COLUMNS($AD$1006:AG1006),$AD$1006:$AU$1006,0)))),"Fix")))</f>
        <v xml:space="preserve"> </v>
      </c>
      <c r="F488" s="4" t="str">
        <f ca="1">IF(OR(INDEX($X$2:$X$1001,MATCH(ROWS($W$2:W488),$W$2:$W$1001,0),1)&gt;=100000,INDEX($AD$1005:$AU$1005,1,MATCH(COLUMNS($AD$1006:AH1006),$AD$1006:$AU$1006,0))&gt;=100000), " ",IF(INDEX($AD$2:$AU$1001,MATCH(ROWS($W$2:W488),$W$2:$W$1001,0),MATCH(COLUMNS($AD$1006:AH1006),$AD$1006:$AU$1006,0)), HYPERLINK("#",""), HYPERLINK(CONCATENATE("#metadata!", ADDRESS(INDEX($Y$2:$Y$1001,MATCH(ROWS($W$2:W488),$W$2:$W$1001,0),0), INDEX($AD$1004:$AU$1004,1,MATCH(COLUMNS($AD$1006:AH1006),$AD$1006:$AU$1006,0)))),"Fix")))</f>
        <v xml:space="preserve"> </v>
      </c>
      <c r="G488" s="4" t="str">
        <f ca="1">IF(OR(INDEX($X$2:$X$1001,MATCH(ROWS($W$2:W488),$W$2:$W$1001,0),1)&gt;=100000,INDEX($AD$1005:$AU$1005,1,MATCH(COLUMNS($AD$1006:AI1006),$AD$1006:$AU$1006,0))&gt;=100000), " ",IF(INDEX($AD$2:$AU$1001,MATCH(ROWS($W$2:W488),$W$2:$W$1001,0),MATCH(COLUMNS($AD$1006:AI1006),$AD$1006:$AU$1006,0)), HYPERLINK("#",""), HYPERLINK(CONCATENATE("#metadata!", ADDRESS(INDEX($Y$2:$Y$1001,MATCH(ROWS($W$2:W488),$W$2:$W$1001,0),0), INDEX($AD$1004:$AU$1004,1,MATCH(COLUMNS($AD$1006:AI1006),$AD$1006:$AU$1006,0)))),"Fix")))</f>
        <v xml:space="preserve"> </v>
      </c>
      <c r="H488" s="4" t="str">
        <f ca="1">IF(OR(INDEX($X$2:$X$1001,MATCH(ROWS($W$2:W488),$W$2:$W$1001,0),1)&gt;=100000,INDEX($AD$1005:$AU$1005,1,MATCH(COLUMNS($AD$1006:AJ1006),$AD$1006:$AU$1006,0))&gt;=100000), " ",IF(INDEX($AD$2:$AU$1001,MATCH(ROWS($W$2:W488),$W$2:$W$1001,0),MATCH(COLUMNS($AD$1006:AJ1006),$AD$1006:$AU$1006,0)), HYPERLINK("#",""), HYPERLINK(CONCATENATE("#metadata!", ADDRESS(INDEX($Y$2:$Y$1001,MATCH(ROWS($W$2:W488),$W$2:$W$1001,0),0), INDEX($AD$1004:$AU$1004,1,MATCH(COLUMNS($AD$1006:AJ1006),$AD$1006:$AU$1006,0)))),"Fix")))</f>
        <v xml:space="preserve"> </v>
      </c>
      <c r="I488" s="4" t="str">
        <f ca="1">IF(OR(INDEX($X$2:$X$1001,MATCH(ROWS($W$2:W488),$W$2:$W$1001,0),1)&gt;=100000,INDEX($AD$1005:$AU$1005,1,MATCH(COLUMNS($AD$1006:AK1006),$AD$1006:$AU$1006,0))&gt;=100000), " ",IF(INDEX($AD$2:$AU$1001,MATCH(ROWS($W$2:W488),$W$2:$W$1001,0),MATCH(COLUMNS($AD$1006:AK1006),$AD$1006:$AU$1006,0)), HYPERLINK("#",""), HYPERLINK(CONCATENATE("#metadata!", ADDRESS(INDEX($Y$2:$Y$1001,MATCH(ROWS($W$2:W488),$W$2:$W$1001,0),0), INDEX($AD$1004:$AU$1004,1,MATCH(COLUMNS($AD$1006:AK1006),$AD$1006:$AU$1006,0)))),"Fix")))</f>
        <v xml:space="preserve"> </v>
      </c>
      <c r="J488" s="4" t="str">
        <f ca="1">IF(OR(INDEX($X$2:$X$1001,MATCH(ROWS($W$2:W488),$W$2:$W$1001,0),1)&gt;=100000,INDEX($AD$1005:$AU$1005,1,MATCH(COLUMNS($AD$1006:AL1006),$AD$1006:$AU$1006,0))&gt;=100000), " ",IF(INDEX($AD$2:$AU$1001,MATCH(ROWS($W$2:W488),$W$2:$W$1001,0),MATCH(COLUMNS($AD$1006:AL1006),$AD$1006:$AU$1006,0)), HYPERLINK("#",""), HYPERLINK(CONCATENATE("#metadata!", ADDRESS(INDEX($Y$2:$Y$1001,MATCH(ROWS($W$2:W488),$W$2:$W$1001,0),0), INDEX($AD$1004:$AU$1004,1,MATCH(COLUMNS($AD$1006:AL1006),$AD$1006:$AU$1006,0)))),"Fix")))</f>
        <v xml:space="preserve"> </v>
      </c>
      <c r="K488" s="4" t="str">
        <f ca="1">IF(OR(INDEX($X$2:$X$1001,MATCH(ROWS($W$2:W488),$W$2:$W$1001,0),1)&gt;=100000,INDEX($AD$1005:$AU$1005,1,MATCH(COLUMNS($AD$1006:AM1006),$AD$1006:$AU$1006,0))&gt;=100000), " ",IF(INDEX($AD$2:$AU$1001,MATCH(ROWS($W$2:W488),$W$2:$W$1001,0),MATCH(COLUMNS($AD$1006:AM1006),$AD$1006:$AU$1006,0)), HYPERLINK("#",""), HYPERLINK(CONCATENATE("#metadata!", ADDRESS(INDEX($Y$2:$Y$1001,MATCH(ROWS($W$2:W488),$W$2:$W$1001,0),0), INDEX($AD$1004:$AU$1004,1,MATCH(COLUMNS($AD$1006:AM1006),$AD$1006:$AU$1006,0)))),"Fix")))</f>
        <v xml:space="preserve"> </v>
      </c>
      <c r="L488" s="4" t="str">
        <f ca="1">IF(OR(INDEX($X$2:$X$1001,MATCH(ROWS($W$2:W488),$W$2:$W$1001,0),1)&gt;=100000,INDEX($AD$1005:$AU$1005,1,MATCH(COLUMNS($AD$1006:AN1006),$AD$1006:$AU$1006,0))&gt;=100000), " ",IF(INDEX($AD$2:$AU$1001,MATCH(ROWS($W$2:W488),$W$2:$W$1001,0),MATCH(COLUMNS($AD$1006:AN1006),$AD$1006:$AU$1006,0)), HYPERLINK("#",""), HYPERLINK(CONCATENATE("#metadata!", ADDRESS(INDEX($Y$2:$Y$1001,MATCH(ROWS($W$2:W488),$W$2:$W$1001,0),0), INDEX($AD$1004:$AU$1004,1,MATCH(COLUMNS($AD$1006:AN1006),$AD$1006:$AU$1006,0)))),"Fix")))</f>
        <v xml:space="preserve"> </v>
      </c>
      <c r="M488" s="4" t="str">
        <f ca="1">IF(OR(INDEX($X$2:$X$1001,MATCH(ROWS($W$2:W488),$W$2:$W$1001,0),1)&gt;=100000,INDEX($AD$1005:$AU$1005,1,MATCH(COLUMNS($AD$1006:AO1006),$AD$1006:$AU$1006,0))&gt;=100000), " ",IF(INDEX($AD$2:$AU$1001,MATCH(ROWS($W$2:W488),$W$2:$W$1001,0),MATCH(COLUMNS($AD$1006:AO1006),$AD$1006:$AU$1006,0)), HYPERLINK("#",""), HYPERLINK(CONCATENATE("#metadata!", ADDRESS(INDEX($Y$2:$Y$1001,MATCH(ROWS($W$2:W488),$W$2:$W$1001,0),0), INDEX($AD$1004:$AU$1004,1,MATCH(COLUMNS($AD$1006:AO1006),$AD$1006:$AU$1006,0)))),"Fix")))</f>
        <v xml:space="preserve"> </v>
      </c>
      <c r="N488" s="4" t="str">
        <f ca="1">IF(OR(INDEX($X$2:$X$1001,MATCH(ROWS($W$2:W488),$W$2:$W$1001,0),1)&gt;=100000,INDEX($AD$1005:$AU$1005,1,MATCH(COLUMNS($AD$1006:AP1006),$AD$1006:$AU$1006,0))&gt;=100000), " ",IF(INDEX($AD$2:$AU$1001,MATCH(ROWS($W$2:W488),$W$2:$W$1001,0),MATCH(COLUMNS($AD$1006:AP1006),$AD$1006:$AU$1006,0)), HYPERLINK("#",""), HYPERLINK(CONCATENATE("#metadata!", ADDRESS(INDEX($Y$2:$Y$1001,MATCH(ROWS($W$2:W488),$W$2:$W$1001,0),0), INDEX($AD$1004:$AU$1004,1,MATCH(COLUMNS($AD$1006:AP1006),$AD$1006:$AU$1006,0)))),"Fix")))</f>
        <v xml:space="preserve"> </v>
      </c>
      <c r="O488" s="4" t="str">
        <f ca="1">IF(OR(INDEX($X$2:$X$1001,MATCH(ROWS($W$2:W488),$W$2:$W$1001,0),1)&gt;=100000,INDEX($AD$1005:$AU$1005,1,MATCH(COLUMNS($AD$1006:AQ1006),$AD$1006:$AU$1006,0))&gt;=100000), " ",IF(INDEX($AD$2:$AU$1001,MATCH(ROWS($W$2:W488),$W$2:$W$1001,0),MATCH(COLUMNS($AD$1006:AQ1006),$AD$1006:$AU$1006,0)), HYPERLINK("#",""), HYPERLINK(CONCATENATE("#metadata!", ADDRESS(INDEX($Y$2:$Y$1001,MATCH(ROWS($W$2:W488),$W$2:$W$1001,0),0), INDEX($AD$1004:$AU$1004,1,MATCH(COLUMNS($AD$1006:AQ1006),$AD$1006:$AU$1006,0)))),"Fix")))</f>
        <v xml:space="preserve"> </v>
      </c>
      <c r="P488" s="4" t="str">
        <f ca="1">IF(OR(INDEX($X$2:$X$1001,MATCH(ROWS($W$2:W488),$W$2:$W$1001,0),1)&gt;=100000,INDEX($AD$1005:$AU$1005,1,MATCH(COLUMNS($AD$1006:AR1006),$AD$1006:$AU$1006,0))&gt;=100000), " ",IF(INDEX($AD$2:$AU$1001,MATCH(ROWS($W$2:W488),$W$2:$W$1001,0),MATCH(COLUMNS($AD$1006:AR1006),$AD$1006:$AU$1006,0)), HYPERLINK("#",""), HYPERLINK(CONCATENATE("#metadata!", ADDRESS(INDEX($Y$2:$Y$1001,MATCH(ROWS($W$2:W488),$W$2:$W$1001,0),0), INDEX($AD$1004:$AU$1004,1,MATCH(COLUMNS($AD$1006:AR1006),$AD$1006:$AU$1006,0)))),"Fix")))</f>
        <v xml:space="preserve"> </v>
      </c>
      <c r="Q488" s="4" t="str">
        <f ca="1">IF(OR(INDEX($X$2:$X$1001,MATCH(ROWS($W$2:W488),$W$2:$W$1001,0),1)&gt;=100000,INDEX($AD$1005:$AU$1005,1,MATCH(COLUMNS($AD$1006:AS1006),$AD$1006:$AU$1006,0))&gt;=100000), " ",IF(INDEX($AD$2:$AU$1001,MATCH(ROWS($W$2:W488),$W$2:$W$1001,0),MATCH(COLUMNS($AD$1006:AS1006),$AD$1006:$AU$1006,0)), HYPERLINK("#",""), HYPERLINK(CONCATENATE("#metadata!", ADDRESS(INDEX($Y$2:$Y$1001,MATCH(ROWS($W$2:W488),$W$2:$W$1001,0),0), INDEX($AD$1004:$AU$1004,1,MATCH(COLUMNS($AD$1006:AS1006),$AD$1006:$AU$1006,0)))),"Fix")))</f>
        <v xml:space="preserve"> </v>
      </c>
      <c r="R488" s="4" t="str">
        <f ca="1">IF(OR(INDEX($X$2:$X$1001,MATCH(ROWS($W$2:W488),$W$2:$W$1001,0),1)&gt;=100000,INDEX($AD$1005:$AU$1005,1,MATCH(COLUMNS($AD$1006:AT1006),$AD$1006:$AU$1006,0))&gt;=100000), " ",IF(INDEX($AD$2:$AU$1001,MATCH(ROWS($W$2:W488),$W$2:$W$1001,0),MATCH(COLUMNS($AD$1006:AT1006),$AD$1006:$AU$1006,0)), HYPERLINK("#",""), HYPERLINK(CONCATENATE("#metadata!", ADDRESS(INDEX($Y$2:$Y$1001,MATCH(ROWS($W$2:W488),$W$2:$W$1001,0),0), INDEX($AD$1004:$AU$1004,1,MATCH(COLUMNS($AD$1006:AT1006),$AD$1006:$AU$1006,0)))),"Fix")))</f>
        <v xml:space="preserve"> </v>
      </c>
      <c r="S488" s="4" t="str">
        <f ca="1">IF(OR(INDEX($X$2:$X$1001,MATCH(ROWS($W$2:W488),$W$2:$W$1001,0),1)&gt;=100000,INDEX($AD$1005:$AU$1005,1,MATCH(COLUMNS($AD$1006:AU1006),$AD$1006:$AU$1006,0))&gt;=100000), " ",IF(INDEX($AD$2:$AU$1001,MATCH(ROWS($W$2:W488),$W$2:$W$1001,0),MATCH(COLUMNS($AD$1006:AU1006),$AD$1006:$AU$1006,0)), HYPERLINK("#",""), HYPERLINK(CONCATENATE("#metadata!", ADDRESS(INDEX($Y$2:$Y$1001,MATCH(ROWS($W$2:W488),$W$2:$W$1001,0),0), INDEX($AD$1004:$AU$1004,1,MATCH(COLUMNS($AD$1006:AU1006),$AD$1006:$AU$1006,0)))),"Fix")))</f>
        <v xml:space="preserve"> </v>
      </c>
      <c r="W488">
        <v>487</v>
      </c>
      <c r="X488">
        <v>100488</v>
      </c>
      <c r="Y488">
        <v>488</v>
      </c>
      <c r="Z488" t="b">
        <f t="shared" si="7"/>
        <v>1</v>
      </c>
      <c r="AA488" t="b">
        <f>COUNTBLANK(metadata!B488:S488)=COLUMNS(metadata!B488:S488)</f>
        <v>1</v>
      </c>
      <c r="AB488" t="str">
        <v/>
      </c>
      <c r="AD488" t="b">
        <f ca="1">AND(IF(metadata!B488="",FALSE,TRUE),COUNTIF(metadata!B:B, metadata!B488) = 1,NOT(ISERROR(SUMPRODUCT(SEARCH(MID(metadata!B488,ROW(INDIRECT("1:"&amp;LEN(metadata!B488))), 1),"0123456789abcdefghijklmnopqrstuvwxyzABCDEFGHIJKLMNOPQRSTUVWXYZ.")))))</f>
        <v>0</v>
      </c>
      <c r="AE488" t="b">
        <f>OR(AND(IF(metadata!C488="",FALSE,TRUE),OR(EXACT(metadata!C488,"not applicable"),EXACT(metadata!C488,"missing: not collected"),EXACT(metadata!C488,"missing: not provided"),EXACT(metadata!C488,"missing: restricted access"))),AND(IF(metadata!C488="",FALSE,ISNUMBER(VALUE(metadata!C488))),metadata!C488&gt;0))</f>
        <v>0</v>
      </c>
      <c r="AF488" t="b">
        <f>AND(IF(metadata!D488="",FALSE,TRUE),EXACT(metadata!D488,"missing: not provided"))</f>
        <v>0</v>
      </c>
      <c r="AG488" t="b">
        <f>AND(IF(metadata!E488="",FALSE,TRUE),EXACT(metadata!E488,"Host-associated"))</f>
        <v>0</v>
      </c>
      <c r="AH488" t="b">
        <f>AND(IF(metadata!F488="",FALSE,TRUE),OR(EXACT(metadata!F488,"Animal"),EXACT(metadata!F488,"Fungus"),EXACT(metadata!F488,"Plant")))</f>
        <v>0</v>
      </c>
      <c r="AI488" t="b">
        <f>AND(IF(metadata!G488="",FALSE,TRUE),OR(EXACT(metadata!G488,"Plant secretion"),EXACT(metadata!G488,"Plant rhizosphere"),EXACT(metadata!G488,"Plant surface"),EXACT(metadata!G488,"Plant corpus"),EXACT(metadata!G488,"Fungus surface"),EXACT(metadata!G488,"Fungus corpus"),EXACT(metadata!G488,"Animal surface"),EXACT(metadata!G488,"Animal proximal gut"),EXACT(metadata!G488,"Animal corpus"),EXACT(metadata!G488,"Animal distal gut"),EXACT(metadata!G488,"Animal secretion")))</f>
        <v>0</v>
      </c>
      <c r="AJ488" t="b">
        <f>OR(AND(IF(metadata!H488="",FALSE,TRUE),OR(EXACT(metadata!H488,"missing: not collected"),EXACT(metadata!H488,"missing: not provided"),EXACT(metadata!H488,"missing: restricted access"))),AND(IF(metadata!H488="",FALSE,TRUE),OR(EXACT(metadata!H488,"organism-associated habitat"),EXACT(metadata!H488,"plant-associated habitat"),EXACT(metadata!H488,"animal-associated habitat"),EXACT(metadata!H488,"insecta-associated habitat"),EXACT(metadata!H488,"mammalia-associated habitat"),EXACT(metadata!H488,"human-associated habitat"),EXACT(metadata!H488,"livestock-associated habitat"))))</f>
        <v>0</v>
      </c>
      <c r="AK488" t="b">
        <f>AND(IF(metadata!I488="",FALSE,TRUE),EXACT(metadata!I488,"host-associated"))</f>
        <v>0</v>
      </c>
      <c r="AL488" t="b">
        <f>OR(AND(IF(metadata!J488="",FALSE,TRUE),OR(EXACT(metadata!J488,"not applicable"),EXACT(metadata!J488,"missing: not collected"),EXACT(metadata!J488,"missing: not provided"),EXACT(metadata!J488,"missing: restricted access"))),AND(IF(metadata!J488="",FALSE,ISNUMBER(VALUE(metadata!J488))),metadata!J488&gt;0))</f>
        <v>0</v>
      </c>
      <c r="AM488" t="b">
        <f>AND(IF(metadata!K488="",FALSE,TRUE),EXACT(metadata!K488,"missing: not provided"))</f>
        <v>0</v>
      </c>
      <c r="AN488" t="b">
        <f>IF(metadata!L488="",FALSE,TRUE)</f>
        <v>0</v>
      </c>
      <c r="AO488" t="b">
        <f>IF(metadata!M488="",FALSE,TRUE)</f>
        <v>0</v>
      </c>
      <c r="AP488" t="b">
        <f>OR(AND(IF(metadata!N488="",FALSE,TRUE),OR(EXACT(metadata!N488,"not applicable"),EXACT(metadata!N488,"missing: not collected"),EXACT(metadata!N488,"missing: not provided"))),AND(IF(metadata!N488="",FALSE,IF(ISERROR(INT(metadata!N488)),FALSE,INT(metadata!N488)=metadata!N488)),metadata!N488&gt;0))</f>
        <v>0</v>
      </c>
      <c r="AQ488" t="b">
        <f>AND(IF(metadata!O488="",FALSE,TRUE),EXACT(metadata!O488,"Not applicable"))</f>
        <v>0</v>
      </c>
      <c r="AR488" t="b">
        <f>OR(AND(IF(metadata!P488="",FALSE,TRUE),OR(EXACT(metadata!P488,"not applicable"),EXACT(metadata!P488,"missing: not collected"),EXACT(metadata!P488,"missing: not provided"),EXACT(metadata!P488,"missing: restricted access"))),IF(metadata!P488="",FALSE,IF(ISERROR(INT(metadata!P488)),FALSE,INT(metadata!P488)=metadata!P488)))</f>
        <v>0</v>
      </c>
      <c r="AS488" t="b">
        <f>AND(IF(metadata!Q488="",FALSE,TRUE),EXACT(metadata!Q488,"Not applicable"))</f>
        <v>0</v>
      </c>
      <c r="AT488" t="b">
        <f>OR(AND(IF(metadata!R488="",FALSE,TRUE),OR(EXACT(metadata!R488,"not applicable"),EXACT(metadata!R488,"missing: not collected"),EXACT(metadata!R488,"missing: not provided"),EXACT(metadata!R488,"missing: restricted access"))),AND(IF(metadata!R488="",FALSE,ISNUMBER(VALUE(metadata!R488))),metadata!R488&gt;0))</f>
        <v>0</v>
      </c>
      <c r="AU488" t="b">
        <f>AND(IF(metadata!S488="",FALSE,TRUE),EXACT(metadata!S488,"missing: not provided"))</f>
        <v>0</v>
      </c>
    </row>
    <row r="489" spans="1:47" x14ac:dyDescent="0.2">
      <c r="A489" s="5" t="str">
        <f ca="1">IF(B489=" "," ",HYPERLINK(CONCATENATE("#metadata!",ADDRESS(INDEX($Y$2:$Y$1001,MATCH(ROWS($W$2:W489),$W$2:$W$1001,0),0),1)),INDEX($AB$2:$AB$1001,MATCH(ROWS($W$2:W489),$W$2:$W$1001,0),0)))</f>
        <v xml:space="preserve"> </v>
      </c>
      <c r="B489" s="4" t="str">
        <f ca="1">IF(OR(INDEX($X$2:$X$1001,MATCH(ROWS($W$2:W489),$W$2:$W$1001,0),1)&gt;=100000,INDEX($AD$1005:$AU$1005,1,MATCH(COLUMNS($AD$1006:AD1006),$AD$1006:$AU$1006,0))&gt;=100000), " ",IF(INDEX($AD$2:$AU$1001,MATCH(ROWS($W$2:W489),$W$2:$W$1001,0),MATCH(COLUMNS($AD$1006:AD1006),$AD$1006:$AU$1006,0)), HYPERLINK("#",""), HYPERLINK(CONCATENATE("#metadata!", ADDRESS(INDEX($Y$2:$Y$1001,MATCH(ROWS($W$2:W489),$W$2:$W$1001,0),0), INDEX($AD$1004:$AU$1004,1,MATCH(COLUMNS($AD$1006:AD1006),$AD$1006:$AU$1006,0)))),"Fix")))</f>
        <v xml:space="preserve"> </v>
      </c>
      <c r="C489" s="4" t="str">
        <f ca="1">IF(OR(INDEX($X$2:$X$1001,MATCH(ROWS($W$2:W489),$W$2:$W$1001,0),1)&gt;=100000,INDEX($AD$1005:$AU$1005,1,MATCH(COLUMNS($AD$1006:AE1006),$AD$1006:$AU$1006,0))&gt;=100000), " ",IF(INDEX($AD$2:$AU$1001,MATCH(ROWS($W$2:W489),$W$2:$W$1001,0),MATCH(COLUMNS($AD$1006:AE1006),$AD$1006:$AU$1006,0)), HYPERLINK("#",""), HYPERLINK(CONCATENATE("#metadata!", ADDRESS(INDEX($Y$2:$Y$1001,MATCH(ROWS($W$2:W489),$W$2:$W$1001,0),0), INDEX($AD$1004:$AU$1004,1,MATCH(COLUMNS($AD$1006:AE1006),$AD$1006:$AU$1006,0)))),"Fix")))</f>
        <v xml:space="preserve"> </v>
      </c>
      <c r="D489" s="4" t="str">
        <f ca="1">IF(OR(INDEX($X$2:$X$1001,MATCH(ROWS($W$2:W489),$W$2:$W$1001,0),1)&gt;=100000,INDEX($AD$1005:$AU$1005,1,MATCH(COLUMNS($AD$1006:AF1006),$AD$1006:$AU$1006,0))&gt;=100000), " ",IF(INDEX($AD$2:$AU$1001,MATCH(ROWS($W$2:W489),$W$2:$W$1001,0),MATCH(COLUMNS($AD$1006:AF1006),$AD$1006:$AU$1006,0)), HYPERLINK("#",""), HYPERLINK(CONCATENATE("#metadata!", ADDRESS(INDEX($Y$2:$Y$1001,MATCH(ROWS($W$2:W489),$W$2:$W$1001,0),0), INDEX($AD$1004:$AU$1004,1,MATCH(COLUMNS($AD$1006:AF1006),$AD$1006:$AU$1006,0)))),"Fix")))</f>
        <v xml:space="preserve"> </v>
      </c>
      <c r="E489" s="4" t="str">
        <f ca="1">IF(OR(INDEX($X$2:$X$1001,MATCH(ROWS($W$2:W489),$W$2:$W$1001,0),1)&gt;=100000,INDEX($AD$1005:$AU$1005,1,MATCH(COLUMNS($AD$1006:AG1006),$AD$1006:$AU$1006,0))&gt;=100000), " ",IF(INDEX($AD$2:$AU$1001,MATCH(ROWS($W$2:W489),$W$2:$W$1001,0),MATCH(COLUMNS($AD$1006:AG1006),$AD$1006:$AU$1006,0)), HYPERLINK("#",""), HYPERLINK(CONCATENATE("#metadata!", ADDRESS(INDEX($Y$2:$Y$1001,MATCH(ROWS($W$2:W489),$W$2:$W$1001,0),0), INDEX($AD$1004:$AU$1004,1,MATCH(COLUMNS($AD$1006:AG1006),$AD$1006:$AU$1006,0)))),"Fix")))</f>
        <v xml:space="preserve"> </v>
      </c>
      <c r="F489" s="4" t="str">
        <f ca="1">IF(OR(INDEX($X$2:$X$1001,MATCH(ROWS($W$2:W489),$W$2:$W$1001,0),1)&gt;=100000,INDEX($AD$1005:$AU$1005,1,MATCH(COLUMNS($AD$1006:AH1006),$AD$1006:$AU$1006,0))&gt;=100000), " ",IF(INDEX($AD$2:$AU$1001,MATCH(ROWS($W$2:W489),$W$2:$W$1001,0),MATCH(COLUMNS($AD$1006:AH1006),$AD$1006:$AU$1006,0)), HYPERLINK("#",""), HYPERLINK(CONCATENATE("#metadata!", ADDRESS(INDEX($Y$2:$Y$1001,MATCH(ROWS($W$2:W489),$W$2:$W$1001,0),0), INDEX($AD$1004:$AU$1004,1,MATCH(COLUMNS($AD$1006:AH1006),$AD$1006:$AU$1006,0)))),"Fix")))</f>
        <v xml:space="preserve"> </v>
      </c>
      <c r="G489" s="4" t="str">
        <f ca="1">IF(OR(INDEX($X$2:$X$1001,MATCH(ROWS($W$2:W489),$W$2:$W$1001,0),1)&gt;=100000,INDEX($AD$1005:$AU$1005,1,MATCH(COLUMNS($AD$1006:AI1006),$AD$1006:$AU$1006,0))&gt;=100000), " ",IF(INDEX($AD$2:$AU$1001,MATCH(ROWS($W$2:W489),$W$2:$W$1001,0),MATCH(COLUMNS($AD$1006:AI1006),$AD$1006:$AU$1006,0)), HYPERLINK("#",""), HYPERLINK(CONCATENATE("#metadata!", ADDRESS(INDEX($Y$2:$Y$1001,MATCH(ROWS($W$2:W489),$W$2:$W$1001,0),0), INDEX($AD$1004:$AU$1004,1,MATCH(COLUMNS($AD$1006:AI1006),$AD$1006:$AU$1006,0)))),"Fix")))</f>
        <v xml:space="preserve"> </v>
      </c>
      <c r="H489" s="4" t="str">
        <f ca="1">IF(OR(INDEX($X$2:$X$1001,MATCH(ROWS($W$2:W489),$W$2:$W$1001,0),1)&gt;=100000,INDEX($AD$1005:$AU$1005,1,MATCH(COLUMNS($AD$1006:AJ1006),$AD$1006:$AU$1006,0))&gt;=100000), " ",IF(INDEX($AD$2:$AU$1001,MATCH(ROWS($W$2:W489),$W$2:$W$1001,0),MATCH(COLUMNS($AD$1006:AJ1006),$AD$1006:$AU$1006,0)), HYPERLINK("#",""), HYPERLINK(CONCATENATE("#metadata!", ADDRESS(INDEX($Y$2:$Y$1001,MATCH(ROWS($W$2:W489),$W$2:$W$1001,0),0), INDEX($AD$1004:$AU$1004,1,MATCH(COLUMNS($AD$1006:AJ1006),$AD$1006:$AU$1006,0)))),"Fix")))</f>
        <v xml:space="preserve"> </v>
      </c>
      <c r="I489" s="4" t="str">
        <f ca="1">IF(OR(INDEX($X$2:$X$1001,MATCH(ROWS($W$2:W489),$W$2:$W$1001,0),1)&gt;=100000,INDEX($AD$1005:$AU$1005,1,MATCH(COLUMNS($AD$1006:AK1006),$AD$1006:$AU$1006,0))&gt;=100000), " ",IF(INDEX($AD$2:$AU$1001,MATCH(ROWS($W$2:W489),$W$2:$W$1001,0),MATCH(COLUMNS($AD$1006:AK1006),$AD$1006:$AU$1006,0)), HYPERLINK("#",""), HYPERLINK(CONCATENATE("#metadata!", ADDRESS(INDEX($Y$2:$Y$1001,MATCH(ROWS($W$2:W489),$W$2:$W$1001,0),0), INDEX($AD$1004:$AU$1004,1,MATCH(COLUMNS($AD$1006:AK1006),$AD$1006:$AU$1006,0)))),"Fix")))</f>
        <v xml:space="preserve"> </v>
      </c>
      <c r="J489" s="4" t="str">
        <f ca="1">IF(OR(INDEX($X$2:$X$1001,MATCH(ROWS($W$2:W489),$W$2:$W$1001,0),1)&gt;=100000,INDEX($AD$1005:$AU$1005,1,MATCH(COLUMNS($AD$1006:AL1006),$AD$1006:$AU$1006,0))&gt;=100000), " ",IF(INDEX($AD$2:$AU$1001,MATCH(ROWS($W$2:W489),$W$2:$W$1001,0),MATCH(COLUMNS($AD$1006:AL1006),$AD$1006:$AU$1006,0)), HYPERLINK("#",""), HYPERLINK(CONCATENATE("#metadata!", ADDRESS(INDEX($Y$2:$Y$1001,MATCH(ROWS($W$2:W489),$W$2:$W$1001,0),0), INDEX($AD$1004:$AU$1004,1,MATCH(COLUMNS($AD$1006:AL1006),$AD$1006:$AU$1006,0)))),"Fix")))</f>
        <v xml:space="preserve"> </v>
      </c>
      <c r="K489" s="4" t="str">
        <f ca="1">IF(OR(INDEX($X$2:$X$1001,MATCH(ROWS($W$2:W489),$W$2:$W$1001,0),1)&gt;=100000,INDEX($AD$1005:$AU$1005,1,MATCH(COLUMNS($AD$1006:AM1006),$AD$1006:$AU$1006,0))&gt;=100000), " ",IF(INDEX($AD$2:$AU$1001,MATCH(ROWS($W$2:W489),$W$2:$W$1001,0),MATCH(COLUMNS($AD$1006:AM1006),$AD$1006:$AU$1006,0)), HYPERLINK("#",""), HYPERLINK(CONCATENATE("#metadata!", ADDRESS(INDEX($Y$2:$Y$1001,MATCH(ROWS($W$2:W489),$W$2:$W$1001,0),0), INDEX($AD$1004:$AU$1004,1,MATCH(COLUMNS($AD$1006:AM1006),$AD$1006:$AU$1006,0)))),"Fix")))</f>
        <v xml:space="preserve"> </v>
      </c>
      <c r="L489" s="4" t="str">
        <f ca="1">IF(OR(INDEX($X$2:$X$1001,MATCH(ROWS($W$2:W489),$W$2:$W$1001,0),1)&gt;=100000,INDEX($AD$1005:$AU$1005,1,MATCH(COLUMNS($AD$1006:AN1006),$AD$1006:$AU$1006,0))&gt;=100000), " ",IF(INDEX($AD$2:$AU$1001,MATCH(ROWS($W$2:W489),$W$2:$W$1001,0),MATCH(COLUMNS($AD$1006:AN1006),$AD$1006:$AU$1006,0)), HYPERLINK("#",""), HYPERLINK(CONCATENATE("#metadata!", ADDRESS(INDEX($Y$2:$Y$1001,MATCH(ROWS($W$2:W489),$W$2:$W$1001,0),0), INDEX($AD$1004:$AU$1004,1,MATCH(COLUMNS($AD$1006:AN1006),$AD$1006:$AU$1006,0)))),"Fix")))</f>
        <v xml:space="preserve"> </v>
      </c>
      <c r="M489" s="4" t="str">
        <f ca="1">IF(OR(INDEX($X$2:$X$1001,MATCH(ROWS($W$2:W489),$W$2:$W$1001,0),1)&gt;=100000,INDEX($AD$1005:$AU$1005,1,MATCH(COLUMNS($AD$1006:AO1006),$AD$1006:$AU$1006,0))&gt;=100000), " ",IF(INDEX($AD$2:$AU$1001,MATCH(ROWS($W$2:W489),$W$2:$W$1001,0),MATCH(COLUMNS($AD$1006:AO1006),$AD$1006:$AU$1006,0)), HYPERLINK("#",""), HYPERLINK(CONCATENATE("#metadata!", ADDRESS(INDEX($Y$2:$Y$1001,MATCH(ROWS($W$2:W489),$W$2:$W$1001,0),0), INDEX($AD$1004:$AU$1004,1,MATCH(COLUMNS($AD$1006:AO1006),$AD$1006:$AU$1006,0)))),"Fix")))</f>
        <v xml:space="preserve"> </v>
      </c>
      <c r="N489" s="4" t="str">
        <f ca="1">IF(OR(INDEX($X$2:$X$1001,MATCH(ROWS($W$2:W489),$W$2:$W$1001,0),1)&gt;=100000,INDEX($AD$1005:$AU$1005,1,MATCH(COLUMNS($AD$1006:AP1006),$AD$1006:$AU$1006,0))&gt;=100000), " ",IF(INDEX($AD$2:$AU$1001,MATCH(ROWS($W$2:W489),$W$2:$W$1001,0),MATCH(COLUMNS($AD$1006:AP1006),$AD$1006:$AU$1006,0)), HYPERLINK("#",""), HYPERLINK(CONCATENATE("#metadata!", ADDRESS(INDEX($Y$2:$Y$1001,MATCH(ROWS($W$2:W489),$W$2:$W$1001,0),0), INDEX($AD$1004:$AU$1004,1,MATCH(COLUMNS($AD$1006:AP1006),$AD$1006:$AU$1006,0)))),"Fix")))</f>
        <v xml:space="preserve"> </v>
      </c>
      <c r="O489" s="4" t="str">
        <f ca="1">IF(OR(INDEX($X$2:$X$1001,MATCH(ROWS($W$2:W489),$W$2:$W$1001,0),1)&gt;=100000,INDEX($AD$1005:$AU$1005,1,MATCH(COLUMNS($AD$1006:AQ1006),$AD$1006:$AU$1006,0))&gt;=100000), " ",IF(INDEX($AD$2:$AU$1001,MATCH(ROWS($W$2:W489),$W$2:$W$1001,0),MATCH(COLUMNS($AD$1006:AQ1006),$AD$1006:$AU$1006,0)), HYPERLINK("#",""), HYPERLINK(CONCATENATE("#metadata!", ADDRESS(INDEX($Y$2:$Y$1001,MATCH(ROWS($W$2:W489),$W$2:$W$1001,0),0), INDEX($AD$1004:$AU$1004,1,MATCH(COLUMNS($AD$1006:AQ1006),$AD$1006:$AU$1006,0)))),"Fix")))</f>
        <v xml:space="preserve"> </v>
      </c>
      <c r="P489" s="4" t="str">
        <f ca="1">IF(OR(INDEX($X$2:$X$1001,MATCH(ROWS($W$2:W489),$W$2:$W$1001,0),1)&gt;=100000,INDEX($AD$1005:$AU$1005,1,MATCH(COLUMNS($AD$1006:AR1006),$AD$1006:$AU$1006,0))&gt;=100000), " ",IF(INDEX($AD$2:$AU$1001,MATCH(ROWS($W$2:W489),$W$2:$W$1001,0),MATCH(COLUMNS($AD$1006:AR1006),$AD$1006:$AU$1006,0)), HYPERLINK("#",""), HYPERLINK(CONCATENATE("#metadata!", ADDRESS(INDEX($Y$2:$Y$1001,MATCH(ROWS($W$2:W489),$W$2:$W$1001,0),0), INDEX($AD$1004:$AU$1004,1,MATCH(COLUMNS($AD$1006:AR1006),$AD$1006:$AU$1006,0)))),"Fix")))</f>
        <v xml:space="preserve"> </v>
      </c>
      <c r="Q489" s="4" t="str">
        <f ca="1">IF(OR(INDEX($X$2:$X$1001,MATCH(ROWS($W$2:W489),$W$2:$W$1001,0),1)&gt;=100000,INDEX($AD$1005:$AU$1005,1,MATCH(COLUMNS($AD$1006:AS1006),$AD$1006:$AU$1006,0))&gt;=100000), " ",IF(INDEX($AD$2:$AU$1001,MATCH(ROWS($W$2:W489),$W$2:$W$1001,0),MATCH(COLUMNS($AD$1006:AS1006),$AD$1006:$AU$1006,0)), HYPERLINK("#",""), HYPERLINK(CONCATENATE("#metadata!", ADDRESS(INDEX($Y$2:$Y$1001,MATCH(ROWS($W$2:W489),$W$2:$W$1001,0),0), INDEX($AD$1004:$AU$1004,1,MATCH(COLUMNS($AD$1006:AS1006),$AD$1006:$AU$1006,0)))),"Fix")))</f>
        <v xml:space="preserve"> </v>
      </c>
      <c r="R489" s="4" t="str">
        <f ca="1">IF(OR(INDEX($X$2:$X$1001,MATCH(ROWS($W$2:W489),$W$2:$W$1001,0),1)&gt;=100000,INDEX($AD$1005:$AU$1005,1,MATCH(COLUMNS($AD$1006:AT1006),$AD$1006:$AU$1006,0))&gt;=100000), " ",IF(INDEX($AD$2:$AU$1001,MATCH(ROWS($W$2:W489),$W$2:$W$1001,0),MATCH(COLUMNS($AD$1006:AT1006),$AD$1006:$AU$1006,0)), HYPERLINK("#",""), HYPERLINK(CONCATENATE("#metadata!", ADDRESS(INDEX($Y$2:$Y$1001,MATCH(ROWS($W$2:W489),$W$2:$W$1001,0),0), INDEX($AD$1004:$AU$1004,1,MATCH(COLUMNS($AD$1006:AT1006),$AD$1006:$AU$1006,0)))),"Fix")))</f>
        <v xml:space="preserve"> </v>
      </c>
      <c r="S489" s="4" t="str">
        <f ca="1">IF(OR(INDEX($X$2:$X$1001,MATCH(ROWS($W$2:W489),$W$2:$W$1001,0),1)&gt;=100000,INDEX($AD$1005:$AU$1005,1,MATCH(COLUMNS($AD$1006:AU1006),$AD$1006:$AU$1006,0))&gt;=100000), " ",IF(INDEX($AD$2:$AU$1001,MATCH(ROWS($W$2:W489),$W$2:$W$1001,0),MATCH(COLUMNS($AD$1006:AU1006),$AD$1006:$AU$1006,0)), HYPERLINK("#",""), HYPERLINK(CONCATENATE("#metadata!", ADDRESS(INDEX($Y$2:$Y$1001,MATCH(ROWS($W$2:W489),$W$2:$W$1001,0),0), INDEX($AD$1004:$AU$1004,1,MATCH(COLUMNS($AD$1006:AU1006),$AD$1006:$AU$1006,0)))),"Fix")))</f>
        <v xml:space="preserve"> </v>
      </c>
      <c r="W489">
        <v>488</v>
      </c>
      <c r="X489">
        <v>100489</v>
      </c>
      <c r="Y489">
        <v>489</v>
      </c>
      <c r="Z489" t="b">
        <f t="shared" si="7"/>
        <v>1</v>
      </c>
      <c r="AA489" t="b">
        <f>COUNTBLANK(metadata!B489:S489)=COLUMNS(metadata!B489:S489)</f>
        <v>1</v>
      </c>
      <c r="AB489" t="str">
        <v/>
      </c>
      <c r="AD489" t="b">
        <f ca="1">AND(IF(metadata!B489="",FALSE,TRUE),COUNTIF(metadata!B:B, metadata!B489) = 1,NOT(ISERROR(SUMPRODUCT(SEARCH(MID(metadata!B489,ROW(INDIRECT("1:"&amp;LEN(metadata!B489))), 1),"0123456789abcdefghijklmnopqrstuvwxyzABCDEFGHIJKLMNOPQRSTUVWXYZ.")))))</f>
        <v>0</v>
      </c>
      <c r="AE489" t="b">
        <f>OR(AND(IF(metadata!C489="",FALSE,TRUE),OR(EXACT(metadata!C489,"not applicable"),EXACT(metadata!C489,"missing: not collected"),EXACT(metadata!C489,"missing: not provided"),EXACT(metadata!C489,"missing: restricted access"))),AND(IF(metadata!C489="",FALSE,ISNUMBER(VALUE(metadata!C489))),metadata!C489&gt;0))</f>
        <v>0</v>
      </c>
      <c r="AF489" t="b">
        <f>AND(IF(metadata!D489="",FALSE,TRUE),EXACT(metadata!D489,"missing: not provided"))</f>
        <v>0</v>
      </c>
      <c r="AG489" t="b">
        <f>AND(IF(metadata!E489="",FALSE,TRUE),EXACT(metadata!E489,"Host-associated"))</f>
        <v>0</v>
      </c>
      <c r="AH489" t="b">
        <f>AND(IF(metadata!F489="",FALSE,TRUE),OR(EXACT(metadata!F489,"Animal"),EXACT(metadata!F489,"Fungus"),EXACT(metadata!F489,"Plant")))</f>
        <v>0</v>
      </c>
      <c r="AI489" t="b">
        <f>AND(IF(metadata!G489="",FALSE,TRUE),OR(EXACT(metadata!G489,"Plant secretion"),EXACT(metadata!G489,"Plant rhizosphere"),EXACT(metadata!G489,"Plant surface"),EXACT(metadata!G489,"Plant corpus"),EXACT(metadata!G489,"Fungus surface"),EXACT(metadata!G489,"Fungus corpus"),EXACT(metadata!G489,"Animal surface"),EXACT(metadata!G489,"Animal proximal gut"),EXACT(metadata!G489,"Animal corpus"),EXACT(metadata!G489,"Animal distal gut"),EXACT(metadata!G489,"Animal secretion")))</f>
        <v>0</v>
      </c>
      <c r="AJ489" t="b">
        <f>OR(AND(IF(metadata!H489="",FALSE,TRUE),OR(EXACT(metadata!H489,"missing: not collected"),EXACT(metadata!H489,"missing: not provided"),EXACT(metadata!H489,"missing: restricted access"))),AND(IF(metadata!H489="",FALSE,TRUE),OR(EXACT(metadata!H489,"organism-associated habitat"),EXACT(metadata!H489,"plant-associated habitat"),EXACT(metadata!H489,"animal-associated habitat"),EXACT(metadata!H489,"insecta-associated habitat"),EXACT(metadata!H489,"mammalia-associated habitat"),EXACT(metadata!H489,"human-associated habitat"),EXACT(metadata!H489,"livestock-associated habitat"))))</f>
        <v>0</v>
      </c>
      <c r="AK489" t="b">
        <f>AND(IF(metadata!I489="",FALSE,TRUE),EXACT(metadata!I489,"host-associated"))</f>
        <v>0</v>
      </c>
      <c r="AL489" t="b">
        <f>OR(AND(IF(metadata!J489="",FALSE,TRUE),OR(EXACT(metadata!J489,"not applicable"),EXACT(metadata!J489,"missing: not collected"),EXACT(metadata!J489,"missing: not provided"),EXACT(metadata!J489,"missing: restricted access"))),AND(IF(metadata!J489="",FALSE,ISNUMBER(VALUE(metadata!J489))),metadata!J489&gt;0))</f>
        <v>0</v>
      </c>
      <c r="AM489" t="b">
        <f>AND(IF(metadata!K489="",FALSE,TRUE),EXACT(metadata!K489,"missing: not provided"))</f>
        <v>0</v>
      </c>
      <c r="AN489" t="b">
        <f>IF(metadata!L489="",FALSE,TRUE)</f>
        <v>0</v>
      </c>
      <c r="AO489" t="b">
        <f>IF(metadata!M489="",FALSE,TRUE)</f>
        <v>0</v>
      </c>
      <c r="AP489" t="b">
        <f>OR(AND(IF(metadata!N489="",FALSE,TRUE),OR(EXACT(metadata!N489,"not applicable"),EXACT(metadata!N489,"missing: not collected"),EXACT(metadata!N489,"missing: not provided"))),AND(IF(metadata!N489="",FALSE,IF(ISERROR(INT(metadata!N489)),FALSE,INT(metadata!N489)=metadata!N489)),metadata!N489&gt;0))</f>
        <v>0</v>
      </c>
      <c r="AQ489" t="b">
        <f>AND(IF(metadata!O489="",FALSE,TRUE),EXACT(metadata!O489,"Not applicable"))</f>
        <v>0</v>
      </c>
      <c r="AR489" t="b">
        <f>OR(AND(IF(metadata!P489="",FALSE,TRUE),OR(EXACT(metadata!P489,"not applicable"),EXACT(metadata!P489,"missing: not collected"),EXACT(metadata!P489,"missing: not provided"),EXACT(metadata!P489,"missing: restricted access"))),IF(metadata!P489="",FALSE,IF(ISERROR(INT(metadata!P489)),FALSE,INT(metadata!P489)=metadata!P489)))</f>
        <v>0</v>
      </c>
      <c r="AS489" t="b">
        <f>AND(IF(metadata!Q489="",FALSE,TRUE),EXACT(metadata!Q489,"Not applicable"))</f>
        <v>0</v>
      </c>
      <c r="AT489" t="b">
        <f>OR(AND(IF(metadata!R489="",FALSE,TRUE),OR(EXACT(metadata!R489,"not applicable"),EXACT(metadata!R489,"missing: not collected"),EXACT(metadata!R489,"missing: not provided"),EXACT(metadata!R489,"missing: restricted access"))),AND(IF(metadata!R489="",FALSE,ISNUMBER(VALUE(metadata!R489))),metadata!R489&gt;0))</f>
        <v>0</v>
      </c>
      <c r="AU489" t="b">
        <f>AND(IF(metadata!S489="",FALSE,TRUE),EXACT(metadata!S489,"missing: not provided"))</f>
        <v>0</v>
      </c>
    </row>
    <row r="490" spans="1:47" x14ac:dyDescent="0.2">
      <c r="A490" s="5" t="str">
        <f ca="1">IF(B490=" "," ",HYPERLINK(CONCATENATE("#metadata!",ADDRESS(INDEX($Y$2:$Y$1001,MATCH(ROWS($W$2:W490),$W$2:$W$1001,0),0),1)),INDEX($AB$2:$AB$1001,MATCH(ROWS($W$2:W490),$W$2:$W$1001,0),0)))</f>
        <v xml:space="preserve"> </v>
      </c>
      <c r="B490" s="4" t="str">
        <f ca="1">IF(OR(INDEX($X$2:$X$1001,MATCH(ROWS($W$2:W490),$W$2:$W$1001,0),1)&gt;=100000,INDEX($AD$1005:$AU$1005,1,MATCH(COLUMNS($AD$1006:AD1006),$AD$1006:$AU$1006,0))&gt;=100000), " ",IF(INDEX($AD$2:$AU$1001,MATCH(ROWS($W$2:W490),$W$2:$W$1001,0),MATCH(COLUMNS($AD$1006:AD1006),$AD$1006:$AU$1006,0)), HYPERLINK("#",""), HYPERLINK(CONCATENATE("#metadata!", ADDRESS(INDEX($Y$2:$Y$1001,MATCH(ROWS($W$2:W490),$W$2:$W$1001,0),0), INDEX($AD$1004:$AU$1004,1,MATCH(COLUMNS($AD$1006:AD1006),$AD$1006:$AU$1006,0)))),"Fix")))</f>
        <v xml:space="preserve"> </v>
      </c>
      <c r="C490" s="4" t="str">
        <f ca="1">IF(OR(INDEX($X$2:$X$1001,MATCH(ROWS($W$2:W490),$W$2:$W$1001,0),1)&gt;=100000,INDEX($AD$1005:$AU$1005,1,MATCH(COLUMNS($AD$1006:AE1006),$AD$1006:$AU$1006,0))&gt;=100000), " ",IF(INDEX($AD$2:$AU$1001,MATCH(ROWS($W$2:W490),$W$2:$W$1001,0),MATCH(COLUMNS($AD$1006:AE1006),$AD$1006:$AU$1006,0)), HYPERLINK("#",""), HYPERLINK(CONCATENATE("#metadata!", ADDRESS(INDEX($Y$2:$Y$1001,MATCH(ROWS($W$2:W490),$W$2:$W$1001,0),0), INDEX($AD$1004:$AU$1004,1,MATCH(COLUMNS($AD$1006:AE1006),$AD$1006:$AU$1006,0)))),"Fix")))</f>
        <v xml:space="preserve"> </v>
      </c>
      <c r="D490" s="4" t="str">
        <f ca="1">IF(OR(INDEX($X$2:$X$1001,MATCH(ROWS($W$2:W490),$W$2:$W$1001,0),1)&gt;=100000,INDEX($AD$1005:$AU$1005,1,MATCH(COLUMNS($AD$1006:AF1006),$AD$1006:$AU$1006,0))&gt;=100000), " ",IF(INDEX($AD$2:$AU$1001,MATCH(ROWS($W$2:W490),$W$2:$W$1001,0),MATCH(COLUMNS($AD$1006:AF1006),$AD$1006:$AU$1006,0)), HYPERLINK("#",""), HYPERLINK(CONCATENATE("#metadata!", ADDRESS(INDEX($Y$2:$Y$1001,MATCH(ROWS($W$2:W490),$W$2:$W$1001,0),0), INDEX($AD$1004:$AU$1004,1,MATCH(COLUMNS($AD$1006:AF1006),$AD$1006:$AU$1006,0)))),"Fix")))</f>
        <v xml:space="preserve"> </v>
      </c>
      <c r="E490" s="4" t="str">
        <f ca="1">IF(OR(INDEX($X$2:$X$1001,MATCH(ROWS($W$2:W490),$W$2:$W$1001,0),1)&gt;=100000,INDEX($AD$1005:$AU$1005,1,MATCH(COLUMNS($AD$1006:AG1006),$AD$1006:$AU$1006,0))&gt;=100000), " ",IF(INDEX($AD$2:$AU$1001,MATCH(ROWS($W$2:W490),$W$2:$W$1001,0),MATCH(COLUMNS($AD$1006:AG1006),$AD$1006:$AU$1006,0)), HYPERLINK("#",""), HYPERLINK(CONCATENATE("#metadata!", ADDRESS(INDEX($Y$2:$Y$1001,MATCH(ROWS($W$2:W490),$W$2:$W$1001,0),0), INDEX($AD$1004:$AU$1004,1,MATCH(COLUMNS($AD$1006:AG1006),$AD$1006:$AU$1006,0)))),"Fix")))</f>
        <v xml:space="preserve"> </v>
      </c>
      <c r="F490" s="4" t="str">
        <f ca="1">IF(OR(INDEX($X$2:$X$1001,MATCH(ROWS($W$2:W490),$W$2:$W$1001,0),1)&gt;=100000,INDEX($AD$1005:$AU$1005,1,MATCH(COLUMNS($AD$1006:AH1006),$AD$1006:$AU$1006,0))&gt;=100000), " ",IF(INDEX($AD$2:$AU$1001,MATCH(ROWS($W$2:W490),$W$2:$W$1001,0),MATCH(COLUMNS($AD$1006:AH1006),$AD$1006:$AU$1006,0)), HYPERLINK("#",""), HYPERLINK(CONCATENATE("#metadata!", ADDRESS(INDEX($Y$2:$Y$1001,MATCH(ROWS($W$2:W490),$W$2:$W$1001,0),0), INDEX($AD$1004:$AU$1004,1,MATCH(COLUMNS($AD$1006:AH1006),$AD$1006:$AU$1006,0)))),"Fix")))</f>
        <v xml:space="preserve"> </v>
      </c>
      <c r="G490" s="4" t="str">
        <f ca="1">IF(OR(INDEX($X$2:$X$1001,MATCH(ROWS($W$2:W490),$W$2:$W$1001,0),1)&gt;=100000,INDEX($AD$1005:$AU$1005,1,MATCH(COLUMNS($AD$1006:AI1006),$AD$1006:$AU$1006,0))&gt;=100000), " ",IF(INDEX($AD$2:$AU$1001,MATCH(ROWS($W$2:W490),$W$2:$W$1001,0),MATCH(COLUMNS($AD$1006:AI1006),$AD$1006:$AU$1006,0)), HYPERLINK("#",""), HYPERLINK(CONCATENATE("#metadata!", ADDRESS(INDEX($Y$2:$Y$1001,MATCH(ROWS($W$2:W490),$W$2:$W$1001,0),0), INDEX($AD$1004:$AU$1004,1,MATCH(COLUMNS($AD$1006:AI1006),$AD$1006:$AU$1006,0)))),"Fix")))</f>
        <v xml:space="preserve"> </v>
      </c>
      <c r="H490" s="4" t="str">
        <f ca="1">IF(OR(INDEX($X$2:$X$1001,MATCH(ROWS($W$2:W490),$W$2:$W$1001,0),1)&gt;=100000,INDEX($AD$1005:$AU$1005,1,MATCH(COLUMNS($AD$1006:AJ1006),$AD$1006:$AU$1006,0))&gt;=100000), " ",IF(INDEX($AD$2:$AU$1001,MATCH(ROWS($W$2:W490),$W$2:$W$1001,0),MATCH(COLUMNS($AD$1006:AJ1006),$AD$1006:$AU$1006,0)), HYPERLINK("#",""), HYPERLINK(CONCATENATE("#metadata!", ADDRESS(INDEX($Y$2:$Y$1001,MATCH(ROWS($W$2:W490),$W$2:$W$1001,0),0), INDEX($AD$1004:$AU$1004,1,MATCH(COLUMNS($AD$1006:AJ1006),$AD$1006:$AU$1006,0)))),"Fix")))</f>
        <v xml:space="preserve"> </v>
      </c>
      <c r="I490" s="4" t="str">
        <f ca="1">IF(OR(INDEX($X$2:$X$1001,MATCH(ROWS($W$2:W490),$W$2:$W$1001,0),1)&gt;=100000,INDEX($AD$1005:$AU$1005,1,MATCH(COLUMNS($AD$1006:AK1006),$AD$1006:$AU$1006,0))&gt;=100000), " ",IF(INDEX($AD$2:$AU$1001,MATCH(ROWS($W$2:W490),$W$2:$W$1001,0),MATCH(COLUMNS($AD$1006:AK1006),$AD$1006:$AU$1006,0)), HYPERLINK("#",""), HYPERLINK(CONCATENATE("#metadata!", ADDRESS(INDEX($Y$2:$Y$1001,MATCH(ROWS($W$2:W490),$W$2:$W$1001,0),0), INDEX($AD$1004:$AU$1004,1,MATCH(COLUMNS($AD$1006:AK1006),$AD$1006:$AU$1006,0)))),"Fix")))</f>
        <v xml:space="preserve"> </v>
      </c>
      <c r="J490" s="4" t="str">
        <f ca="1">IF(OR(INDEX($X$2:$X$1001,MATCH(ROWS($W$2:W490),$W$2:$W$1001,0),1)&gt;=100000,INDEX($AD$1005:$AU$1005,1,MATCH(COLUMNS($AD$1006:AL1006),$AD$1006:$AU$1006,0))&gt;=100000), " ",IF(INDEX($AD$2:$AU$1001,MATCH(ROWS($W$2:W490),$W$2:$W$1001,0),MATCH(COLUMNS($AD$1006:AL1006),$AD$1006:$AU$1006,0)), HYPERLINK("#",""), HYPERLINK(CONCATENATE("#metadata!", ADDRESS(INDEX($Y$2:$Y$1001,MATCH(ROWS($W$2:W490),$W$2:$W$1001,0),0), INDEX($AD$1004:$AU$1004,1,MATCH(COLUMNS($AD$1006:AL1006),$AD$1006:$AU$1006,0)))),"Fix")))</f>
        <v xml:space="preserve"> </v>
      </c>
      <c r="K490" s="4" t="str">
        <f ca="1">IF(OR(INDEX($X$2:$X$1001,MATCH(ROWS($W$2:W490),$W$2:$W$1001,0),1)&gt;=100000,INDEX($AD$1005:$AU$1005,1,MATCH(COLUMNS($AD$1006:AM1006),$AD$1006:$AU$1006,0))&gt;=100000), " ",IF(INDEX($AD$2:$AU$1001,MATCH(ROWS($W$2:W490),$W$2:$W$1001,0),MATCH(COLUMNS($AD$1006:AM1006),$AD$1006:$AU$1006,0)), HYPERLINK("#",""), HYPERLINK(CONCATENATE("#metadata!", ADDRESS(INDEX($Y$2:$Y$1001,MATCH(ROWS($W$2:W490),$W$2:$W$1001,0),0), INDEX($AD$1004:$AU$1004,1,MATCH(COLUMNS($AD$1006:AM1006),$AD$1006:$AU$1006,0)))),"Fix")))</f>
        <v xml:space="preserve"> </v>
      </c>
      <c r="L490" s="4" t="str">
        <f ca="1">IF(OR(INDEX($X$2:$X$1001,MATCH(ROWS($W$2:W490),$W$2:$W$1001,0),1)&gt;=100000,INDEX($AD$1005:$AU$1005,1,MATCH(COLUMNS($AD$1006:AN1006),$AD$1006:$AU$1006,0))&gt;=100000), " ",IF(INDEX($AD$2:$AU$1001,MATCH(ROWS($W$2:W490),$W$2:$W$1001,0),MATCH(COLUMNS($AD$1006:AN1006),$AD$1006:$AU$1006,0)), HYPERLINK("#",""), HYPERLINK(CONCATENATE("#metadata!", ADDRESS(INDEX($Y$2:$Y$1001,MATCH(ROWS($W$2:W490),$W$2:$W$1001,0),0), INDEX($AD$1004:$AU$1004,1,MATCH(COLUMNS($AD$1006:AN1006),$AD$1006:$AU$1006,0)))),"Fix")))</f>
        <v xml:space="preserve"> </v>
      </c>
      <c r="M490" s="4" t="str">
        <f ca="1">IF(OR(INDEX($X$2:$X$1001,MATCH(ROWS($W$2:W490),$W$2:$W$1001,0),1)&gt;=100000,INDEX($AD$1005:$AU$1005,1,MATCH(COLUMNS($AD$1006:AO1006),$AD$1006:$AU$1006,0))&gt;=100000), " ",IF(INDEX($AD$2:$AU$1001,MATCH(ROWS($W$2:W490),$W$2:$W$1001,0),MATCH(COLUMNS($AD$1006:AO1006),$AD$1006:$AU$1006,0)), HYPERLINK("#",""), HYPERLINK(CONCATENATE("#metadata!", ADDRESS(INDEX($Y$2:$Y$1001,MATCH(ROWS($W$2:W490),$W$2:$W$1001,0),0), INDEX($AD$1004:$AU$1004,1,MATCH(COLUMNS($AD$1006:AO1006),$AD$1006:$AU$1006,0)))),"Fix")))</f>
        <v xml:space="preserve"> </v>
      </c>
      <c r="N490" s="4" t="str">
        <f ca="1">IF(OR(INDEX($X$2:$X$1001,MATCH(ROWS($W$2:W490),$W$2:$W$1001,0),1)&gt;=100000,INDEX($AD$1005:$AU$1005,1,MATCH(COLUMNS($AD$1006:AP1006),$AD$1006:$AU$1006,0))&gt;=100000), " ",IF(INDEX($AD$2:$AU$1001,MATCH(ROWS($W$2:W490),$W$2:$W$1001,0),MATCH(COLUMNS($AD$1006:AP1006),$AD$1006:$AU$1006,0)), HYPERLINK("#",""), HYPERLINK(CONCATENATE("#metadata!", ADDRESS(INDEX($Y$2:$Y$1001,MATCH(ROWS($W$2:W490),$W$2:$W$1001,0),0), INDEX($AD$1004:$AU$1004,1,MATCH(COLUMNS($AD$1006:AP1006),$AD$1006:$AU$1006,0)))),"Fix")))</f>
        <v xml:space="preserve"> </v>
      </c>
      <c r="O490" s="4" t="str">
        <f ca="1">IF(OR(INDEX($X$2:$X$1001,MATCH(ROWS($W$2:W490),$W$2:$W$1001,0),1)&gt;=100000,INDEX($AD$1005:$AU$1005,1,MATCH(COLUMNS($AD$1006:AQ1006),$AD$1006:$AU$1006,0))&gt;=100000), " ",IF(INDEX($AD$2:$AU$1001,MATCH(ROWS($W$2:W490),$W$2:$W$1001,0),MATCH(COLUMNS($AD$1006:AQ1006),$AD$1006:$AU$1006,0)), HYPERLINK("#",""), HYPERLINK(CONCATENATE("#metadata!", ADDRESS(INDEX($Y$2:$Y$1001,MATCH(ROWS($W$2:W490),$W$2:$W$1001,0),0), INDEX($AD$1004:$AU$1004,1,MATCH(COLUMNS($AD$1006:AQ1006),$AD$1006:$AU$1006,0)))),"Fix")))</f>
        <v xml:space="preserve"> </v>
      </c>
      <c r="P490" s="4" t="str">
        <f ca="1">IF(OR(INDEX($X$2:$X$1001,MATCH(ROWS($W$2:W490),$W$2:$W$1001,0),1)&gt;=100000,INDEX($AD$1005:$AU$1005,1,MATCH(COLUMNS($AD$1006:AR1006),$AD$1006:$AU$1006,0))&gt;=100000), " ",IF(INDEX($AD$2:$AU$1001,MATCH(ROWS($W$2:W490),$W$2:$W$1001,0),MATCH(COLUMNS($AD$1006:AR1006),$AD$1006:$AU$1006,0)), HYPERLINK("#",""), HYPERLINK(CONCATENATE("#metadata!", ADDRESS(INDEX($Y$2:$Y$1001,MATCH(ROWS($W$2:W490),$W$2:$W$1001,0),0), INDEX($AD$1004:$AU$1004,1,MATCH(COLUMNS($AD$1006:AR1006),$AD$1006:$AU$1006,0)))),"Fix")))</f>
        <v xml:space="preserve"> </v>
      </c>
      <c r="Q490" s="4" t="str">
        <f ca="1">IF(OR(INDEX($X$2:$X$1001,MATCH(ROWS($W$2:W490),$W$2:$W$1001,0),1)&gt;=100000,INDEX($AD$1005:$AU$1005,1,MATCH(COLUMNS($AD$1006:AS1006),$AD$1006:$AU$1006,0))&gt;=100000), " ",IF(INDEX($AD$2:$AU$1001,MATCH(ROWS($W$2:W490),$W$2:$W$1001,0),MATCH(COLUMNS($AD$1006:AS1006),$AD$1006:$AU$1006,0)), HYPERLINK("#",""), HYPERLINK(CONCATENATE("#metadata!", ADDRESS(INDEX($Y$2:$Y$1001,MATCH(ROWS($W$2:W490),$W$2:$W$1001,0),0), INDEX($AD$1004:$AU$1004,1,MATCH(COLUMNS($AD$1006:AS1006),$AD$1006:$AU$1006,0)))),"Fix")))</f>
        <v xml:space="preserve"> </v>
      </c>
      <c r="R490" s="4" t="str">
        <f ca="1">IF(OR(INDEX($X$2:$X$1001,MATCH(ROWS($W$2:W490),$W$2:$W$1001,0),1)&gt;=100000,INDEX($AD$1005:$AU$1005,1,MATCH(COLUMNS($AD$1006:AT1006),$AD$1006:$AU$1006,0))&gt;=100000), " ",IF(INDEX($AD$2:$AU$1001,MATCH(ROWS($W$2:W490),$W$2:$W$1001,0),MATCH(COLUMNS($AD$1006:AT1006),$AD$1006:$AU$1006,0)), HYPERLINK("#",""), HYPERLINK(CONCATENATE("#metadata!", ADDRESS(INDEX($Y$2:$Y$1001,MATCH(ROWS($W$2:W490),$W$2:$W$1001,0),0), INDEX($AD$1004:$AU$1004,1,MATCH(COLUMNS($AD$1006:AT1006),$AD$1006:$AU$1006,0)))),"Fix")))</f>
        <v xml:space="preserve"> </v>
      </c>
      <c r="S490" s="4" t="str">
        <f ca="1">IF(OR(INDEX($X$2:$X$1001,MATCH(ROWS($W$2:W490),$W$2:$W$1001,0),1)&gt;=100000,INDEX($AD$1005:$AU$1005,1,MATCH(COLUMNS($AD$1006:AU1006),$AD$1006:$AU$1006,0))&gt;=100000), " ",IF(INDEX($AD$2:$AU$1001,MATCH(ROWS($W$2:W490),$W$2:$W$1001,0),MATCH(COLUMNS($AD$1006:AU1006),$AD$1006:$AU$1006,0)), HYPERLINK("#",""), HYPERLINK(CONCATENATE("#metadata!", ADDRESS(INDEX($Y$2:$Y$1001,MATCH(ROWS($W$2:W490),$W$2:$W$1001,0),0), INDEX($AD$1004:$AU$1004,1,MATCH(COLUMNS($AD$1006:AU1006),$AD$1006:$AU$1006,0)))),"Fix")))</f>
        <v xml:space="preserve"> </v>
      </c>
      <c r="W490">
        <v>489</v>
      </c>
      <c r="X490">
        <v>100490</v>
      </c>
      <c r="Y490">
        <v>490</v>
      </c>
      <c r="Z490" t="b">
        <f t="shared" si="7"/>
        <v>1</v>
      </c>
      <c r="AA490" t="b">
        <f>COUNTBLANK(metadata!B490:S490)=COLUMNS(metadata!B490:S490)</f>
        <v>1</v>
      </c>
      <c r="AB490" t="str">
        <v/>
      </c>
      <c r="AD490" t="b">
        <f ca="1">AND(IF(metadata!B490="",FALSE,TRUE),COUNTIF(metadata!B:B, metadata!B490) = 1,NOT(ISERROR(SUMPRODUCT(SEARCH(MID(metadata!B490,ROW(INDIRECT("1:"&amp;LEN(metadata!B490))), 1),"0123456789abcdefghijklmnopqrstuvwxyzABCDEFGHIJKLMNOPQRSTUVWXYZ.")))))</f>
        <v>0</v>
      </c>
      <c r="AE490" t="b">
        <f>OR(AND(IF(metadata!C490="",FALSE,TRUE),OR(EXACT(metadata!C490,"not applicable"),EXACT(metadata!C490,"missing: not collected"),EXACT(metadata!C490,"missing: not provided"),EXACT(metadata!C490,"missing: restricted access"))),AND(IF(metadata!C490="",FALSE,ISNUMBER(VALUE(metadata!C490))),metadata!C490&gt;0))</f>
        <v>0</v>
      </c>
      <c r="AF490" t="b">
        <f>AND(IF(metadata!D490="",FALSE,TRUE),EXACT(metadata!D490,"missing: not provided"))</f>
        <v>0</v>
      </c>
      <c r="AG490" t="b">
        <f>AND(IF(metadata!E490="",FALSE,TRUE),EXACT(metadata!E490,"Host-associated"))</f>
        <v>0</v>
      </c>
      <c r="AH490" t="b">
        <f>AND(IF(metadata!F490="",FALSE,TRUE),OR(EXACT(metadata!F490,"Animal"),EXACT(metadata!F490,"Fungus"),EXACT(metadata!F490,"Plant")))</f>
        <v>0</v>
      </c>
      <c r="AI490" t="b">
        <f>AND(IF(metadata!G490="",FALSE,TRUE),OR(EXACT(metadata!G490,"Plant secretion"),EXACT(metadata!G490,"Plant rhizosphere"),EXACT(metadata!G490,"Plant surface"),EXACT(metadata!G490,"Plant corpus"),EXACT(metadata!G490,"Fungus surface"),EXACT(metadata!G490,"Fungus corpus"),EXACT(metadata!G490,"Animal surface"),EXACT(metadata!G490,"Animal proximal gut"),EXACT(metadata!G490,"Animal corpus"),EXACT(metadata!G490,"Animal distal gut"),EXACT(metadata!G490,"Animal secretion")))</f>
        <v>0</v>
      </c>
      <c r="AJ490" t="b">
        <f>OR(AND(IF(metadata!H490="",FALSE,TRUE),OR(EXACT(metadata!H490,"missing: not collected"),EXACT(metadata!H490,"missing: not provided"),EXACT(metadata!H490,"missing: restricted access"))),AND(IF(metadata!H490="",FALSE,TRUE),OR(EXACT(metadata!H490,"organism-associated habitat"),EXACT(metadata!H490,"plant-associated habitat"),EXACT(metadata!H490,"animal-associated habitat"),EXACT(metadata!H490,"insecta-associated habitat"),EXACT(metadata!H490,"mammalia-associated habitat"),EXACT(metadata!H490,"human-associated habitat"),EXACT(metadata!H490,"livestock-associated habitat"))))</f>
        <v>0</v>
      </c>
      <c r="AK490" t="b">
        <f>AND(IF(metadata!I490="",FALSE,TRUE),EXACT(metadata!I490,"host-associated"))</f>
        <v>0</v>
      </c>
      <c r="AL490" t="b">
        <f>OR(AND(IF(metadata!J490="",FALSE,TRUE),OR(EXACT(metadata!J490,"not applicable"),EXACT(metadata!J490,"missing: not collected"),EXACT(metadata!J490,"missing: not provided"),EXACT(metadata!J490,"missing: restricted access"))),AND(IF(metadata!J490="",FALSE,ISNUMBER(VALUE(metadata!J490))),metadata!J490&gt;0))</f>
        <v>0</v>
      </c>
      <c r="AM490" t="b">
        <f>AND(IF(metadata!K490="",FALSE,TRUE),EXACT(metadata!K490,"missing: not provided"))</f>
        <v>0</v>
      </c>
      <c r="AN490" t="b">
        <f>IF(metadata!L490="",FALSE,TRUE)</f>
        <v>0</v>
      </c>
      <c r="AO490" t="b">
        <f>IF(metadata!M490="",FALSE,TRUE)</f>
        <v>0</v>
      </c>
      <c r="AP490" t="b">
        <f>OR(AND(IF(metadata!N490="",FALSE,TRUE),OR(EXACT(metadata!N490,"not applicable"),EXACT(metadata!N490,"missing: not collected"),EXACT(metadata!N490,"missing: not provided"))),AND(IF(metadata!N490="",FALSE,IF(ISERROR(INT(metadata!N490)),FALSE,INT(metadata!N490)=metadata!N490)),metadata!N490&gt;0))</f>
        <v>0</v>
      </c>
      <c r="AQ490" t="b">
        <f>AND(IF(metadata!O490="",FALSE,TRUE),EXACT(metadata!O490,"Not applicable"))</f>
        <v>0</v>
      </c>
      <c r="AR490" t="b">
        <f>OR(AND(IF(metadata!P490="",FALSE,TRUE),OR(EXACT(metadata!P490,"not applicable"),EXACT(metadata!P490,"missing: not collected"),EXACT(metadata!P490,"missing: not provided"),EXACT(metadata!P490,"missing: restricted access"))),IF(metadata!P490="",FALSE,IF(ISERROR(INT(metadata!P490)),FALSE,INT(metadata!P490)=metadata!P490)))</f>
        <v>0</v>
      </c>
      <c r="AS490" t="b">
        <f>AND(IF(metadata!Q490="",FALSE,TRUE),EXACT(metadata!Q490,"Not applicable"))</f>
        <v>0</v>
      </c>
      <c r="AT490" t="b">
        <f>OR(AND(IF(metadata!R490="",FALSE,TRUE),OR(EXACT(metadata!R490,"not applicable"),EXACT(metadata!R490,"missing: not collected"),EXACT(metadata!R490,"missing: not provided"),EXACT(metadata!R490,"missing: restricted access"))),AND(IF(metadata!R490="",FALSE,ISNUMBER(VALUE(metadata!R490))),metadata!R490&gt;0))</f>
        <v>0</v>
      </c>
      <c r="AU490" t="b">
        <f>AND(IF(metadata!S490="",FALSE,TRUE),EXACT(metadata!S490,"missing: not provided"))</f>
        <v>0</v>
      </c>
    </row>
    <row r="491" spans="1:47" x14ac:dyDescent="0.2">
      <c r="A491" s="5" t="str">
        <f ca="1">IF(B491=" "," ",HYPERLINK(CONCATENATE("#metadata!",ADDRESS(INDEX($Y$2:$Y$1001,MATCH(ROWS($W$2:W491),$W$2:$W$1001,0),0),1)),INDEX($AB$2:$AB$1001,MATCH(ROWS($W$2:W491),$W$2:$W$1001,0),0)))</f>
        <v xml:space="preserve"> </v>
      </c>
      <c r="B491" s="4" t="str">
        <f ca="1">IF(OR(INDEX($X$2:$X$1001,MATCH(ROWS($W$2:W491),$W$2:$W$1001,0),1)&gt;=100000,INDEX($AD$1005:$AU$1005,1,MATCH(COLUMNS($AD$1006:AD1006),$AD$1006:$AU$1006,0))&gt;=100000), " ",IF(INDEX($AD$2:$AU$1001,MATCH(ROWS($W$2:W491),$W$2:$W$1001,0),MATCH(COLUMNS($AD$1006:AD1006),$AD$1006:$AU$1006,0)), HYPERLINK("#",""), HYPERLINK(CONCATENATE("#metadata!", ADDRESS(INDEX($Y$2:$Y$1001,MATCH(ROWS($W$2:W491),$W$2:$W$1001,0),0), INDEX($AD$1004:$AU$1004,1,MATCH(COLUMNS($AD$1006:AD1006),$AD$1006:$AU$1006,0)))),"Fix")))</f>
        <v xml:space="preserve"> </v>
      </c>
      <c r="C491" s="4" t="str">
        <f ca="1">IF(OR(INDEX($X$2:$X$1001,MATCH(ROWS($W$2:W491),$W$2:$W$1001,0),1)&gt;=100000,INDEX($AD$1005:$AU$1005,1,MATCH(COLUMNS($AD$1006:AE1006),$AD$1006:$AU$1006,0))&gt;=100000), " ",IF(INDEX($AD$2:$AU$1001,MATCH(ROWS($W$2:W491),$W$2:$W$1001,0),MATCH(COLUMNS($AD$1006:AE1006),$AD$1006:$AU$1006,0)), HYPERLINK("#",""), HYPERLINK(CONCATENATE("#metadata!", ADDRESS(INDEX($Y$2:$Y$1001,MATCH(ROWS($W$2:W491),$W$2:$W$1001,0),0), INDEX($AD$1004:$AU$1004,1,MATCH(COLUMNS($AD$1006:AE1006),$AD$1006:$AU$1006,0)))),"Fix")))</f>
        <v xml:space="preserve"> </v>
      </c>
      <c r="D491" s="4" t="str">
        <f ca="1">IF(OR(INDEX($X$2:$X$1001,MATCH(ROWS($W$2:W491),$W$2:$W$1001,0),1)&gt;=100000,INDEX($AD$1005:$AU$1005,1,MATCH(COLUMNS($AD$1006:AF1006),$AD$1006:$AU$1006,0))&gt;=100000), " ",IF(INDEX($AD$2:$AU$1001,MATCH(ROWS($W$2:W491),$W$2:$W$1001,0),MATCH(COLUMNS($AD$1006:AF1006),$AD$1006:$AU$1006,0)), HYPERLINK("#",""), HYPERLINK(CONCATENATE("#metadata!", ADDRESS(INDEX($Y$2:$Y$1001,MATCH(ROWS($W$2:W491),$W$2:$W$1001,0),0), INDEX($AD$1004:$AU$1004,1,MATCH(COLUMNS($AD$1006:AF1006),$AD$1006:$AU$1006,0)))),"Fix")))</f>
        <v xml:space="preserve"> </v>
      </c>
      <c r="E491" s="4" t="str">
        <f ca="1">IF(OR(INDEX($X$2:$X$1001,MATCH(ROWS($W$2:W491),$W$2:$W$1001,0),1)&gt;=100000,INDEX($AD$1005:$AU$1005,1,MATCH(COLUMNS($AD$1006:AG1006),$AD$1006:$AU$1006,0))&gt;=100000), " ",IF(INDEX($AD$2:$AU$1001,MATCH(ROWS($W$2:W491),$W$2:$W$1001,0),MATCH(COLUMNS($AD$1006:AG1006),$AD$1006:$AU$1006,0)), HYPERLINK("#",""), HYPERLINK(CONCATENATE("#metadata!", ADDRESS(INDEX($Y$2:$Y$1001,MATCH(ROWS($W$2:W491),$W$2:$W$1001,0),0), INDEX($AD$1004:$AU$1004,1,MATCH(COLUMNS($AD$1006:AG1006),$AD$1006:$AU$1006,0)))),"Fix")))</f>
        <v xml:space="preserve"> </v>
      </c>
      <c r="F491" s="4" t="str">
        <f ca="1">IF(OR(INDEX($X$2:$X$1001,MATCH(ROWS($W$2:W491),$W$2:$W$1001,0),1)&gt;=100000,INDEX($AD$1005:$AU$1005,1,MATCH(COLUMNS($AD$1006:AH1006),$AD$1006:$AU$1006,0))&gt;=100000), " ",IF(INDEX($AD$2:$AU$1001,MATCH(ROWS($W$2:W491),$W$2:$W$1001,0),MATCH(COLUMNS($AD$1006:AH1006),$AD$1006:$AU$1006,0)), HYPERLINK("#",""), HYPERLINK(CONCATENATE("#metadata!", ADDRESS(INDEX($Y$2:$Y$1001,MATCH(ROWS($W$2:W491),$W$2:$W$1001,0),0), INDEX($AD$1004:$AU$1004,1,MATCH(COLUMNS($AD$1006:AH1006),$AD$1006:$AU$1006,0)))),"Fix")))</f>
        <v xml:space="preserve"> </v>
      </c>
      <c r="G491" s="4" t="str">
        <f ca="1">IF(OR(INDEX($X$2:$X$1001,MATCH(ROWS($W$2:W491),$W$2:$W$1001,0),1)&gt;=100000,INDEX($AD$1005:$AU$1005,1,MATCH(COLUMNS($AD$1006:AI1006),$AD$1006:$AU$1006,0))&gt;=100000), " ",IF(INDEX($AD$2:$AU$1001,MATCH(ROWS($W$2:W491),$W$2:$W$1001,0),MATCH(COLUMNS($AD$1006:AI1006),$AD$1006:$AU$1006,0)), HYPERLINK("#",""), HYPERLINK(CONCATENATE("#metadata!", ADDRESS(INDEX($Y$2:$Y$1001,MATCH(ROWS($W$2:W491),$W$2:$W$1001,0),0), INDEX($AD$1004:$AU$1004,1,MATCH(COLUMNS($AD$1006:AI1006),$AD$1006:$AU$1006,0)))),"Fix")))</f>
        <v xml:space="preserve"> </v>
      </c>
      <c r="H491" s="4" t="str">
        <f ca="1">IF(OR(INDEX($X$2:$X$1001,MATCH(ROWS($W$2:W491),$W$2:$W$1001,0),1)&gt;=100000,INDEX($AD$1005:$AU$1005,1,MATCH(COLUMNS($AD$1006:AJ1006),$AD$1006:$AU$1006,0))&gt;=100000), " ",IF(INDEX($AD$2:$AU$1001,MATCH(ROWS($W$2:W491),$W$2:$W$1001,0),MATCH(COLUMNS($AD$1006:AJ1006),$AD$1006:$AU$1006,0)), HYPERLINK("#",""), HYPERLINK(CONCATENATE("#metadata!", ADDRESS(INDEX($Y$2:$Y$1001,MATCH(ROWS($W$2:W491),$W$2:$W$1001,0),0), INDEX($AD$1004:$AU$1004,1,MATCH(COLUMNS($AD$1006:AJ1006),$AD$1006:$AU$1006,0)))),"Fix")))</f>
        <v xml:space="preserve"> </v>
      </c>
      <c r="I491" s="4" t="str">
        <f ca="1">IF(OR(INDEX($X$2:$X$1001,MATCH(ROWS($W$2:W491),$W$2:$W$1001,0),1)&gt;=100000,INDEX($AD$1005:$AU$1005,1,MATCH(COLUMNS($AD$1006:AK1006),$AD$1006:$AU$1006,0))&gt;=100000), " ",IF(INDEX($AD$2:$AU$1001,MATCH(ROWS($W$2:W491),$W$2:$W$1001,0),MATCH(COLUMNS($AD$1006:AK1006),$AD$1006:$AU$1006,0)), HYPERLINK("#",""), HYPERLINK(CONCATENATE("#metadata!", ADDRESS(INDEX($Y$2:$Y$1001,MATCH(ROWS($W$2:W491),$W$2:$W$1001,0),0), INDEX($AD$1004:$AU$1004,1,MATCH(COLUMNS($AD$1006:AK1006),$AD$1006:$AU$1006,0)))),"Fix")))</f>
        <v xml:space="preserve"> </v>
      </c>
      <c r="J491" s="4" t="str">
        <f ca="1">IF(OR(INDEX($X$2:$X$1001,MATCH(ROWS($W$2:W491),$W$2:$W$1001,0),1)&gt;=100000,INDEX($AD$1005:$AU$1005,1,MATCH(COLUMNS($AD$1006:AL1006),$AD$1006:$AU$1006,0))&gt;=100000), " ",IF(INDEX($AD$2:$AU$1001,MATCH(ROWS($W$2:W491),$W$2:$W$1001,0),MATCH(COLUMNS($AD$1006:AL1006),$AD$1006:$AU$1006,0)), HYPERLINK("#",""), HYPERLINK(CONCATENATE("#metadata!", ADDRESS(INDEX($Y$2:$Y$1001,MATCH(ROWS($W$2:W491),$W$2:$W$1001,0),0), INDEX($AD$1004:$AU$1004,1,MATCH(COLUMNS($AD$1006:AL1006),$AD$1006:$AU$1006,0)))),"Fix")))</f>
        <v xml:space="preserve"> </v>
      </c>
      <c r="K491" s="4" t="str">
        <f ca="1">IF(OR(INDEX($X$2:$X$1001,MATCH(ROWS($W$2:W491),$W$2:$W$1001,0),1)&gt;=100000,INDEX($AD$1005:$AU$1005,1,MATCH(COLUMNS($AD$1006:AM1006),$AD$1006:$AU$1006,0))&gt;=100000), " ",IF(INDEX($AD$2:$AU$1001,MATCH(ROWS($W$2:W491),$W$2:$W$1001,0),MATCH(COLUMNS($AD$1006:AM1006),$AD$1006:$AU$1006,0)), HYPERLINK("#",""), HYPERLINK(CONCATENATE("#metadata!", ADDRESS(INDEX($Y$2:$Y$1001,MATCH(ROWS($W$2:W491),$W$2:$W$1001,0),0), INDEX($AD$1004:$AU$1004,1,MATCH(COLUMNS($AD$1006:AM1006),$AD$1006:$AU$1006,0)))),"Fix")))</f>
        <v xml:space="preserve"> </v>
      </c>
      <c r="L491" s="4" t="str">
        <f ca="1">IF(OR(INDEX($X$2:$X$1001,MATCH(ROWS($W$2:W491),$W$2:$W$1001,0),1)&gt;=100000,INDEX($AD$1005:$AU$1005,1,MATCH(COLUMNS($AD$1006:AN1006),$AD$1006:$AU$1006,0))&gt;=100000), " ",IF(INDEX($AD$2:$AU$1001,MATCH(ROWS($W$2:W491),$W$2:$W$1001,0),MATCH(COLUMNS($AD$1006:AN1006),$AD$1006:$AU$1006,0)), HYPERLINK("#",""), HYPERLINK(CONCATENATE("#metadata!", ADDRESS(INDEX($Y$2:$Y$1001,MATCH(ROWS($W$2:W491),$W$2:$W$1001,0),0), INDEX($AD$1004:$AU$1004,1,MATCH(COLUMNS($AD$1006:AN1006),$AD$1006:$AU$1006,0)))),"Fix")))</f>
        <v xml:space="preserve"> </v>
      </c>
      <c r="M491" s="4" t="str">
        <f ca="1">IF(OR(INDEX($X$2:$X$1001,MATCH(ROWS($W$2:W491),$W$2:$W$1001,0),1)&gt;=100000,INDEX($AD$1005:$AU$1005,1,MATCH(COLUMNS($AD$1006:AO1006),$AD$1006:$AU$1006,0))&gt;=100000), " ",IF(INDEX($AD$2:$AU$1001,MATCH(ROWS($W$2:W491),$W$2:$W$1001,0),MATCH(COLUMNS($AD$1006:AO1006),$AD$1006:$AU$1006,0)), HYPERLINK("#",""), HYPERLINK(CONCATENATE("#metadata!", ADDRESS(INDEX($Y$2:$Y$1001,MATCH(ROWS($W$2:W491),$W$2:$W$1001,0),0), INDEX($AD$1004:$AU$1004,1,MATCH(COLUMNS($AD$1006:AO1006),$AD$1006:$AU$1006,0)))),"Fix")))</f>
        <v xml:space="preserve"> </v>
      </c>
      <c r="N491" s="4" t="str">
        <f ca="1">IF(OR(INDEX($X$2:$X$1001,MATCH(ROWS($W$2:W491),$W$2:$W$1001,0),1)&gt;=100000,INDEX($AD$1005:$AU$1005,1,MATCH(COLUMNS($AD$1006:AP1006),$AD$1006:$AU$1006,0))&gt;=100000), " ",IF(INDEX($AD$2:$AU$1001,MATCH(ROWS($W$2:W491),$W$2:$W$1001,0),MATCH(COLUMNS($AD$1006:AP1006),$AD$1006:$AU$1006,0)), HYPERLINK("#",""), HYPERLINK(CONCATENATE("#metadata!", ADDRESS(INDEX($Y$2:$Y$1001,MATCH(ROWS($W$2:W491),$W$2:$W$1001,0),0), INDEX($AD$1004:$AU$1004,1,MATCH(COLUMNS($AD$1006:AP1006),$AD$1006:$AU$1006,0)))),"Fix")))</f>
        <v xml:space="preserve"> </v>
      </c>
      <c r="O491" s="4" t="str">
        <f ca="1">IF(OR(INDEX($X$2:$X$1001,MATCH(ROWS($W$2:W491),$W$2:$W$1001,0),1)&gt;=100000,INDEX($AD$1005:$AU$1005,1,MATCH(COLUMNS($AD$1006:AQ1006),$AD$1006:$AU$1006,0))&gt;=100000), " ",IF(INDEX($AD$2:$AU$1001,MATCH(ROWS($W$2:W491),$W$2:$W$1001,0),MATCH(COLUMNS($AD$1006:AQ1006),$AD$1006:$AU$1006,0)), HYPERLINK("#",""), HYPERLINK(CONCATENATE("#metadata!", ADDRESS(INDEX($Y$2:$Y$1001,MATCH(ROWS($W$2:W491),$W$2:$W$1001,0),0), INDEX($AD$1004:$AU$1004,1,MATCH(COLUMNS($AD$1006:AQ1006),$AD$1006:$AU$1006,0)))),"Fix")))</f>
        <v xml:space="preserve"> </v>
      </c>
      <c r="P491" s="4" t="str">
        <f ca="1">IF(OR(INDEX($X$2:$X$1001,MATCH(ROWS($W$2:W491),$W$2:$W$1001,0),1)&gt;=100000,INDEX($AD$1005:$AU$1005,1,MATCH(COLUMNS($AD$1006:AR1006),$AD$1006:$AU$1006,0))&gt;=100000), " ",IF(INDEX($AD$2:$AU$1001,MATCH(ROWS($W$2:W491),$W$2:$W$1001,0),MATCH(COLUMNS($AD$1006:AR1006),$AD$1006:$AU$1006,0)), HYPERLINK("#",""), HYPERLINK(CONCATENATE("#metadata!", ADDRESS(INDEX($Y$2:$Y$1001,MATCH(ROWS($W$2:W491),$W$2:$W$1001,0),0), INDEX($AD$1004:$AU$1004,1,MATCH(COLUMNS($AD$1006:AR1006),$AD$1006:$AU$1006,0)))),"Fix")))</f>
        <v xml:space="preserve"> </v>
      </c>
      <c r="Q491" s="4" t="str">
        <f ca="1">IF(OR(INDEX($X$2:$X$1001,MATCH(ROWS($W$2:W491),$W$2:$W$1001,0),1)&gt;=100000,INDEX($AD$1005:$AU$1005,1,MATCH(COLUMNS($AD$1006:AS1006),$AD$1006:$AU$1006,0))&gt;=100000), " ",IF(INDEX($AD$2:$AU$1001,MATCH(ROWS($W$2:W491),$W$2:$W$1001,0),MATCH(COLUMNS($AD$1006:AS1006),$AD$1006:$AU$1006,0)), HYPERLINK("#",""), HYPERLINK(CONCATENATE("#metadata!", ADDRESS(INDEX($Y$2:$Y$1001,MATCH(ROWS($W$2:W491),$W$2:$W$1001,0),0), INDEX($AD$1004:$AU$1004,1,MATCH(COLUMNS($AD$1006:AS1006),$AD$1006:$AU$1006,0)))),"Fix")))</f>
        <v xml:space="preserve"> </v>
      </c>
      <c r="R491" s="4" t="str">
        <f ca="1">IF(OR(INDEX($X$2:$X$1001,MATCH(ROWS($W$2:W491),$W$2:$W$1001,0),1)&gt;=100000,INDEX($AD$1005:$AU$1005,1,MATCH(COLUMNS($AD$1006:AT1006),$AD$1006:$AU$1006,0))&gt;=100000), " ",IF(INDEX($AD$2:$AU$1001,MATCH(ROWS($W$2:W491),$W$2:$W$1001,0),MATCH(COLUMNS($AD$1006:AT1006),$AD$1006:$AU$1006,0)), HYPERLINK("#",""), HYPERLINK(CONCATENATE("#metadata!", ADDRESS(INDEX($Y$2:$Y$1001,MATCH(ROWS($W$2:W491),$W$2:$W$1001,0),0), INDEX($AD$1004:$AU$1004,1,MATCH(COLUMNS($AD$1006:AT1006),$AD$1006:$AU$1006,0)))),"Fix")))</f>
        <v xml:space="preserve"> </v>
      </c>
      <c r="S491" s="4" t="str">
        <f ca="1">IF(OR(INDEX($X$2:$X$1001,MATCH(ROWS($W$2:W491),$W$2:$W$1001,0),1)&gt;=100000,INDEX($AD$1005:$AU$1005,1,MATCH(COLUMNS($AD$1006:AU1006),$AD$1006:$AU$1006,0))&gt;=100000), " ",IF(INDEX($AD$2:$AU$1001,MATCH(ROWS($W$2:W491),$W$2:$W$1001,0),MATCH(COLUMNS($AD$1006:AU1006),$AD$1006:$AU$1006,0)), HYPERLINK("#",""), HYPERLINK(CONCATENATE("#metadata!", ADDRESS(INDEX($Y$2:$Y$1001,MATCH(ROWS($W$2:W491),$W$2:$W$1001,0),0), INDEX($AD$1004:$AU$1004,1,MATCH(COLUMNS($AD$1006:AU1006),$AD$1006:$AU$1006,0)))),"Fix")))</f>
        <v xml:space="preserve"> </v>
      </c>
      <c r="W491">
        <v>490</v>
      </c>
      <c r="X491">
        <v>100491</v>
      </c>
      <c r="Y491">
        <v>491</v>
      </c>
      <c r="Z491" t="b">
        <f t="shared" si="7"/>
        <v>1</v>
      </c>
      <c r="AA491" t="b">
        <f>COUNTBLANK(metadata!B491:S491)=COLUMNS(metadata!B491:S491)</f>
        <v>1</v>
      </c>
      <c r="AB491" t="str">
        <v/>
      </c>
      <c r="AD491" t="b">
        <f ca="1">AND(IF(metadata!B491="",FALSE,TRUE),COUNTIF(metadata!B:B, metadata!B491) = 1,NOT(ISERROR(SUMPRODUCT(SEARCH(MID(metadata!B491,ROW(INDIRECT("1:"&amp;LEN(metadata!B491))), 1),"0123456789abcdefghijklmnopqrstuvwxyzABCDEFGHIJKLMNOPQRSTUVWXYZ.")))))</f>
        <v>0</v>
      </c>
      <c r="AE491" t="b">
        <f>OR(AND(IF(metadata!C491="",FALSE,TRUE),OR(EXACT(metadata!C491,"not applicable"),EXACT(metadata!C491,"missing: not collected"),EXACT(metadata!C491,"missing: not provided"),EXACT(metadata!C491,"missing: restricted access"))),AND(IF(metadata!C491="",FALSE,ISNUMBER(VALUE(metadata!C491))),metadata!C491&gt;0))</f>
        <v>0</v>
      </c>
      <c r="AF491" t="b">
        <f>AND(IF(metadata!D491="",FALSE,TRUE),EXACT(metadata!D491,"missing: not provided"))</f>
        <v>0</v>
      </c>
      <c r="AG491" t="b">
        <f>AND(IF(metadata!E491="",FALSE,TRUE),EXACT(metadata!E491,"Host-associated"))</f>
        <v>0</v>
      </c>
      <c r="AH491" t="b">
        <f>AND(IF(metadata!F491="",FALSE,TRUE),OR(EXACT(metadata!F491,"Animal"),EXACT(metadata!F491,"Fungus"),EXACT(metadata!F491,"Plant")))</f>
        <v>0</v>
      </c>
      <c r="AI491" t="b">
        <f>AND(IF(metadata!G491="",FALSE,TRUE),OR(EXACT(metadata!G491,"Plant secretion"),EXACT(metadata!G491,"Plant rhizosphere"),EXACT(metadata!G491,"Plant surface"),EXACT(metadata!G491,"Plant corpus"),EXACT(metadata!G491,"Fungus surface"),EXACT(metadata!G491,"Fungus corpus"),EXACT(metadata!G491,"Animal surface"),EXACT(metadata!G491,"Animal proximal gut"),EXACT(metadata!G491,"Animal corpus"),EXACT(metadata!G491,"Animal distal gut"),EXACT(metadata!G491,"Animal secretion")))</f>
        <v>0</v>
      </c>
      <c r="AJ491" t="b">
        <f>OR(AND(IF(metadata!H491="",FALSE,TRUE),OR(EXACT(metadata!H491,"missing: not collected"),EXACT(metadata!H491,"missing: not provided"),EXACT(metadata!H491,"missing: restricted access"))),AND(IF(metadata!H491="",FALSE,TRUE),OR(EXACT(metadata!H491,"organism-associated habitat"),EXACT(metadata!H491,"plant-associated habitat"),EXACT(metadata!H491,"animal-associated habitat"),EXACT(metadata!H491,"insecta-associated habitat"),EXACT(metadata!H491,"mammalia-associated habitat"),EXACT(metadata!H491,"human-associated habitat"),EXACT(metadata!H491,"livestock-associated habitat"))))</f>
        <v>0</v>
      </c>
      <c r="AK491" t="b">
        <f>AND(IF(metadata!I491="",FALSE,TRUE),EXACT(metadata!I491,"host-associated"))</f>
        <v>0</v>
      </c>
      <c r="AL491" t="b">
        <f>OR(AND(IF(metadata!J491="",FALSE,TRUE),OR(EXACT(metadata!J491,"not applicable"),EXACT(metadata!J491,"missing: not collected"),EXACT(metadata!J491,"missing: not provided"),EXACT(metadata!J491,"missing: restricted access"))),AND(IF(metadata!J491="",FALSE,ISNUMBER(VALUE(metadata!J491))),metadata!J491&gt;0))</f>
        <v>0</v>
      </c>
      <c r="AM491" t="b">
        <f>AND(IF(metadata!K491="",FALSE,TRUE),EXACT(metadata!K491,"missing: not provided"))</f>
        <v>0</v>
      </c>
      <c r="AN491" t="b">
        <f>IF(metadata!L491="",FALSE,TRUE)</f>
        <v>0</v>
      </c>
      <c r="AO491" t="b">
        <f>IF(metadata!M491="",FALSE,TRUE)</f>
        <v>0</v>
      </c>
      <c r="AP491" t="b">
        <f>OR(AND(IF(metadata!N491="",FALSE,TRUE),OR(EXACT(metadata!N491,"not applicable"),EXACT(metadata!N491,"missing: not collected"),EXACT(metadata!N491,"missing: not provided"))),AND(IF(metadata!N491="",FALSE,IF(ISERROR(INT(metadata!N491)),FALSE,INT(metadata!N491)=metadata!N491)),metadata!N491&gt;0))</f>
        <v>0</v>
      </c>
      <c r="AQ491" t="b">
        <f>AND(IF(metadata!O491="",FALSE,TRUE),EXACT(metadata!O491,"Not applicable"))</f>
        <v>0</v>
      </c>
      <c r="AR491" t="b">
        <f>OR(AND(IF(metadata!P491="",FALSE,TRUE),OR(EXACT(metadata!P491,"not applicable"),EXACT(metadata!P491,"missing: not collected"),EXACT(metadata!P491,"missing: not provided"),EXACT(metadata!P491,"missing: restricted access"))),IF(metadata!P491="",FALSE,IF(ISERROR(INT(metadata!P491)),FALSE,INT(metadata!P491)=metadata!P491)))</f>
        <v>0</v>
      </c>
      <c r="AS491" t="b">
        <f>AND(IF(metadata!Q491="",FALSE,TRUE),EXACT(metadata!Q491,"Not applicable"))</f>
        <v>0</v>
      </c>
      <c r="AT491" t="b">
        <f>OR(AND(IF(metadata!R491="",FALSE,TRUE),OR(EXACT(metadata!R491,"not applicable"),EXACT(metadata!R491,"missing: not collected"),EXACT(metadata!R491,"missing: not provided"),EXACT(metadata!R491,"missing: restricted access"))),AND(IF(metadata!R491="",FALSE,ISNUMBER(VALUE(metadata!R491))),metadata!R491&gt;0))</f>
        <v>0</v>
      </c>
      <c r="AU491" t="b">
        <f>AND(IF(metadata!S491="",FALSE,TRUE),EXACT(metadata!S491,"missing: not provided"))</f>
        <v>0</v>
      </c>
    </row>
    <row r="492" spans="1:47" x14ac:dyDescent="0.2">
      <c r="A492" s="5" t="str">
        <f ca="1">IF(B492=" "," ",HYPERLINK(CONCATENATE("#metadata!",ADDRESS(INDEX($Y$2:$Y$1001,MATCH(ROWS($W$2:W492),$W$2:$W$1001,0),0),1)),INDEX($AB$2:$AB$1001,MATCH(ROWS($W$2:W492),$W$2:$W$1001,0),0)))</f>
        <v xml:space="preserve"> </v>
      </c>
      <c r="B492" s="4" t="str">
        <f ca="1">IF(OR(INDEX($X$2:$X$1001,MATCH(ROWS($W$2:W492),$W$2:$W$1001,0),1)&gt;=100000,INDEX($AD$1005:$AU$1005,1,MATCH(COLUMNS($AD$1006:AD1006),$AD$1006:$AU$1006,0))&gt;=100000), " ",IF(INDEX($AD$2:$AU$1001,MATCH(ROWS($W$2:W492),$W$2:$W$1001,0),MATCH(COLUMNS($AD$1006:AD1006),$AD$1006:$AU$1006,0)), HYPERLINK("#",""), HYPERLINK(CONCATENATE("#metadata!", ADDRESS(INDEX($Y$2:$Y$1001,MATCH(ROWS($W$2:W492),$W$2:$W$1001,0),0), INDEX($AD$1004:$AU$1004,1,MATCH(COLUMNS($AD$1006:AD1006),$AD$1006:$AU$1006,0)))),"Fix")))</f>
        <v xml:space="preserve"> </v>
      </c>
      <c r="C492" s="4" t="str">
        <f ca="1">IF(OR(INDEX($X$2:$X$1001,MATCH(ROWS($W$2:W492),$W$2:$W$1001,0),1)&gt;=100000,INDEX($AD$1005:$AU$1005,1,MATCH(COLUMNS($AD$1006:AE1006),$AD$1006:$AU$1006,0))&gt;=100000), " ",IF(INDEX($AD$2:$AU$1001,MATCH(ROWS($W$2:W492),$W$2:$W$1001,0),MATCH(COLUMNS($AD$1006:AE1006),$AD$1006:$AU$1006,0)), HYPERLINK("#",""), HYPERLINK(CONCATENATE("#metadata!", ADDRESS(INDEX($Y$2:$Y$1001,MATCH(ROWS($W$2:W492),$W$2:$W$1001,0),0), INDEX($AD$1004:$AU$1004,1,MATCH(COLUMNS($AD$1006:AE1006),$AD$1006:$AU$1006,0)))),"Fix")))</f>
        <v xml:space="preserve"> </v>
      </c>
      <c r="D492" s="4" t="str">
        <f ca="1">IF(OR(INDEX($X$2:$X$1001,MATCH(ROWS($W$2:W492),$W$2:$W$1001,0),1)&gt;=100000,INDEX($AD$1005:$AU$1005,1,MATCH(COLUMNS($AD$1006:AF1006),$AD$1006:$AU$1006,0))&gt;=100000), " ",IF(INDEX($AD$2:$AU$1001,MATCH(ROWS($W$2:W492),$W$2:$W$1001,0),MATCH(COLUMNS($AD$1006:AF1006),$AD$1006:$AU$1006,0)), HYPERLINK("#",""), HYPERLINK(CONCATENATE("#metadata!", ADDRESS(INDEX($Y$2:$Y$1001,MATCH(ROWS($W$2:W492),$W$2:$W$1001,0),0), INDEX($AD$1004:$AU$1004,1,MATCH(COLUMNS($AD$1006:AF1006),$AD$1006:$AU$1006,0)))),"Fix")))</f>
        <v xml:space="preserve"> </v>
      </c>
      <c r="E492" s="4" t="str">
        <f ca="1">IF(OR(INDEX($X$2:$X$1001,MATCH(ROWS($W$2:W492),$W$2:$W$1001,0),1)&gt;=100000,INDEX($AD$1005:$AU$1005,1,MATCH(COLUMNS($AD$1006:AG1006),$AD$1006:$AU$1006,0))&gt;=100000), " ",IF(INDEX($AD$2:$AU$1001,MATCH(ROWS($W$2:W492),$W$2:$W$1001,0),MATCH(COLUMNS($AD$1006:AG1006),$AD$1006:$AU$1006,0)), HYPERLINK("#",""), HYPERLINK(CONCATENATE("#metadata!", ADDRESS(INDEX($Y$2:$Y$1001,MATCH(ROWS($W$2:W492),$W$2:$W$1001,0),0), INDEX($AD$1004:$AU$1004,1,MATCH(COLUMNS($AD$1006:AG1006),$AD$1006:$AU$1006,0)))),"Fix")))</f>
        <v xml:space="preserve"> </v>
      </c>
      <c r="F492" s="4" t="str">
        <f ca="1">IF(OR(INDEX($X$2:$X$1001,MATCH(ROWS($W$2:W492),$W$2:$W$1001,0),1)&gt;=100000,INDEX($AD$1005:$AU$1005,1,MATCH(COLUMNS($AD$1006:AH1006),$AD$1006:$AU$1006,0))&gt;=100000), " ",IF(INDEX($AD$2:$AU$1001,MATCH(ROWS($W$2:W492),$W$2:$W$1001,0),MATCH(COLUMNS($AD$1006:AH1006),$AD$1006:$AU$1006,0)), HYPERLINK("#",""), HYPERLINK(CONCATENATE("#metadata!", ADDRESS(INDEX($Y$2:$Y$1001,MATCH(ROWS($W$2:W492),$W$2:$W$1001,0),0), INDEX($AD$1004:$AU$1004,1,MATCH(COLUMNS($AD$1006:AH1006),$AD$1006:$AU$1006,0)))),"Fix")))</f>
        <v xml:space="preserve"> </v>
      </c>
      <c r="G492" s="4" t="str">
        <f ca="1">IF(OR(INDEX($X$2:$X$1001,MATCH(ROWS($W$2:W492),$W$2:$W$1001,0),1)&gt;=100000,INDEX($AD$1005:$AU$1005,1,MATCH(COLUMNS($AD$1006:AI1006),$AD$1006:$AU$1006,0))&gt;=100000), " ",IF(INDEX($AD$2:$AU$1001,MATCH(ROWS($W$2:W492),$W$2:$W$1001,0),MATCH(COLUMNS($AD$1006:AI1006),$AD$1006:$AU$1006,0)), HYPERLINK("#",""), HYPERLINK(CONCATENATE("#metadata!", ADDRESS(INDEX($Y$2:$Y$1001,MATCH(ROWS($W$2:W492),$W$2:$W$1001,0),0), INDEX($AD$1004:$AU$1004,1,MATCH(COLUMNS($AD$1006:AI1006),$AD$1006:$AU$1006,0)))),"Fix")))</f>
        <v xml:space="preserve"> </v>
      </c>
      <c r="H492" s="4" t="str">
        <f ca="1">IF(OR(INDEX($X$2:$X$1001,MATCH(ROWS($W$2:W492),$W$2:$W$1001,0),1)&gt;=100000,INDEX($AD$1005:$AU$1005,1,MATCH(COLUMNS($AD$1006:AJ1006),$AD$1006:$AU$1006,0))&gt;=100000), " ",IF(INDEX($AD$2:$AU$1001,MATCH(ROWS($W$2:W492),$W$2:$W$1001,0),MATCH(COLUMNS($AD$1006:AJ1006),$AD$1006:$AU$1006,0)), HYPERLINK("#",""), HYPERLINK(CONCATENATE("#metadata!", ADDRESS(INDEX($Y$2:$Y$1001,MATCH(ROWS($W$2:W492),$W$2:$W$1001,0),0), INDEX($AD$1004:$AU$1004,1,MATCH(COLUMNS($AD$1006:AJ1006),$AD$1006:$AU$1006,0)))),"Fix")))</f>
        <v xml:space="preserve"> </v>
      </c>
      <c r="I492" s="4" t="str">
        <f ca="1">IF(OR(INDEX($X$2:$X$1001,MATCH(ROWS($W$2:W492),$W$2:$W$1001,0),1)&gt;=100000,INDEX($AD$1005:$AU$1005,1,MATCH(COLUMNS($AD$1006:AK1006),$AD$1006:$AU$1006,0))&gt;=100000), " ",IF(INDEX($AD$2:$AU$1001,MATCH(ROWS($W$2:W492),$W$2:$W$1001,0),MATCH(COLUMNS($AD$1006:AK1006),$AD$1006:$AU$1006,0)), HYPERLINK("#",""), HYPERLINK(CONCATENATE("#metadata!", ADDRESS(INDEX($Y$2:$Y$1001,MATCH(ROWS($W$2:W492),$W$2:$W$1001,0),0), INDEX($AD$1004:$AU$1004,1,MATCH(COLUMNS($AD$1006:AK1006),$AD$1006:$AU$1006,0)))),"Fix")))</f>
        <v xml:space="preserve"> </v>
      </c>
      <c r="J492" s="4" t="str">
        <f ca="1">IF(OR(INDEX($X$2:$X$1001,MATCH(ROWS($W$2:W492),$W$2:$W$1001,0),1)&gt;=100000,INDEX($AD$1005:$AU$1005,1,MATCH(COLUMNS($AD$1006:AL1006),$AD$1006:$AU$1006,0))&gt;=100000), " ",IF(INDEX($AD$2:$AU$1001,MATCH(ROWS($W$2:W492),$W$2:$W$1001,0),MATCH(COLUMNS($AD$1006:AL1006),$AD$1006:$AU$1006,0)), HYPERLINK("#",""), HYPERLINK(CONCATENATE("#metadata!", ADDRESS(INDEX($Y$2:$Y$1001,MATCH(ROWS($W$2:W492),$W$2:$W$1001,0),0), INDEX($AD$1004:$AU$1004,1,MATCH(COLUMNS($AD$1006:AL1006),$AD$1006:$AU$1006,0)))),"Fix")))</f>
        <v xml:space="preserve"> </v>
      </c>
      <c r="K492" s="4" t="str">
        <f ca="1">IF(OR(INDEX($X$2:$X$1001,MATCH(ROWS($W$2:W492),$W$2:$W$1001,0),1)&gt;=100000,INDEX($AD$1005:$AU$1005,1,MATCH(COLUMNS($AD$1006:AM1006),$AD$1006:$AU$1006,0))&gt;=100000), " ",IF(INDEX($AD$2:$AU$1001,MATCH(ROWS($W$2:W492),$W$2:$W$1001,0),MATCH(COLUMNS($AD$1006:AM1006),$AD$1006:$AU$1006,0)), HYPERLINK("#",""), HYPERLINK(CONCATENATE("#metadata!", ADDRESS(INDEX($Y$2:$Y$1001,MATCH(ROWS($W$2:W492),$W$2:$W$1001,0),0), INDEX($AD$1004:$AU$1004,1,MATCH(COLUMNS($AD$1006:AM1006),$AD$1006:$AU$1006,0)))),"Fix")))</f>
        <v xml:space="preserve"> </v>
      </c>
      <c r="L492" s="4" t="str">
        <f ca="1">IF(OR(INDEX($X$2:$X$1001,MATCH(ROWS($W$2:W492),$W$2:$W$1001,0),1)&gt;=100000,INDEX($AD$1005:$AU$1005,1,MATCH(COLUMNS($AD$1006:AN1006),$AD$1006:$AU$1006,0))&gt;=100000), " ",IF(INDEX($AD$2:$AU$1001,MATCH(ROWS($W$2:W492),$W$2:$W$1001,0),MATCH(COLUMNS($AD$1006:AN1006),$AD$1006:$AU$1006,0)), HYPERLINK("#",""), HYPERLINK(CONCATENATE("#metadata!", ADDRESS(INDEX($Y$2:$Y$1001,MATCH(ROWS($W$2:W492),$W$2:$W$1001,0),0), INDEX($AD$1004:$AU$1004,1,MATCH(COLUMNS($AD$1006:AN1006),$AD$1006:$AU$1006,0)))),"Fix")))</f>
        <v xml:space="preserve"> </v>
      </c>
      <c r="M492" s="4" t="str">
        <f ca="1">IF(OR(INDEX($X$2:$X$1001,MATCH(ROWS($W$2:W492),$W$2:$W$1001,0),1)&gt;=100000,INDEX($AD$1005:$AU$1005,1,MATCH(COLUMNS($AD$1006:AO1006),$AD$1006:$AU$1006,0))&gt;=100000), " ",IF(INDEX($AD$2:$AU$1001,MATCH(ROWS($W$2:W492),$W$2:$W$1001,0),MATCH(COLUMNS($AD$1006:AO1006),$AD$1006:$AU$1006,0)), HYPERLINK("#",""), HYPERLINK(CONCATENATE("#metadata!", ADDRESS(INDEX($Y$2:$Y$1001,MATCH(ROWS($W$2:W492),$W$2:$W$1001,0),0), INDEX($AD$1004:$AU$1004,1,MATCH(COLUMNS($AD$1006:AO1006),$AD$1006:$AU$1006,0)))),"Fix")))</f>
        <v xml:space="preserve"> </v>
      </c>
      <c r="N492" s="4" t="str">
        <f ca="1">IF(OR(INDEX($X$2:$X$1001,MATCH(ROWS($W$2:W492),$W$2:$W$1001,0),1)&gt;=100000,INDEX($AD$1005:$AU$1005,1,MATCH(COLUMNS($AD$1006:AP1006),$AD$1006:$AU$1006,0))&gt;=100000), " ",IF(INDEX($AD$2:$AU$1001,MATCH(ROWS($W$2:W492),$W$2:$W$1001,0),MATCH(COLUMNS($AD$1006:AP1006),$AD$1006:$AU$1006,0)), HYPERLINK("#",""), HYPERLINK(CONCATENATE("#metadata!", ADDRESS(INDEX($Y$2:$Y$1001,MATCH(ROWS($W$2:W492),$W$2:$W$1001,0),0), INDEX($AD$1004:$AU$1004,1,MATCH(COLUMNS($AD$1006:AP1006),$AD$1006:$AU$1006,0)))),"Fix")))</f>
        <v xml:space="preserve"> </v>
      </c>
      <c r="O492" s="4" t="str">
        <f ca="1">IF(OR(INDEX($X$2:$X$1001,MATCH(ROWS($W$2:W492),$W$2:$W$1001,0),1)&gt;=100000,INDEX($AD$1005:$AU$1005,1,MATCH(COLUMNS($AD$1006:AQ1006),$AD$1006:$AU$1006,0))&gt;=100000), " ",IF(INDEX($AD$2:$AU$1001,MATCH(ROWS($W$2:W492),$W$2:$W$1001,0),MATCH(COLUMNS($AD$1006:AQ1006),$AD$1006:$AU$1006,0)), HYPERLINK("#",""), HYPERLINK(CONCATENATE("#metadata!", ADDRESS(INDEX($Y$2:$Y$1001,MATCH(ROWS($W$2:W492),$W$2:$W$1001,0),0), INDEX($AD$1004:$AU$1004,1,MATCH(COLUMNS($AD$1006:AQ1006),$AD$1006:$AU$1006,0)))),"Fix")))</f>
        <v xml:space="preserve"> </v>
      </c>
      <c r="P492" s="4" t="str">
        <f ca="1">IF(OR(INDEX($X$2:$X$1001,MATCH(ROWS($W$2:W492),$W$2:$W$1001,0),1)&gt;=100000,INDEX($AD$1005:$AU$1005,1,MATCH(COLUMNS($AD$1006:AR1006),$AD$1006:$AU$1006,0))&gt;=100000), " ",IF(INDEX($AD$2:$AU$1001,MATCH(ROWS($W$2:W492),$W$2:$W$1001,0),MATCH(COLUMNS($AD$1006:AR1006),$AD$1006:$AU$1006,0)), HYPERLINK("#",""), HYPERLINK(CONCATENATE("#metadata!", ADDRESS(INDEX($Y$2:$Y$1001,MATCH(ROWS($W$2:W492),$W$2:$W$1001,0),0), INDEX($AD$1004:$AU$1004,1,MATCH(COLUMNS($AD$1006:AR1006),$AD$1006:$AU$1006,0)))),"Fix")))</f>
        <v xml:space="preserve"> </v>
      </c>
      <c r="Q492" s="4" t="str">
        <f ca="1">IF(OR(INDEX($X$2:$X$1001,MATCH(ROWS($W$2:W492),$W$2:$W$1001,0),1)&gt;=100000,INDEX($AD$1005:$AU$1005,1,MATCH(COLUMNS($AD$1006:AS1006),$AD$1006:$AU$1006,0))&gt;=100000), " ",IF(INDEX($AD$2:$AU$1001,MATCH(ROWS($W$2:W492),$W$2:$W$1001,0),MATCH(COLUMNS($AD$1006:AS1006),$AD$1006:$AU$1006,0)), HYPERLINK("#",""), HYPERLINK(CONCATENATE("#metadata!", ADDRESS(INDEX($Y$2:$Y$1001,MATCH(ROWS($W$2:W492),$W$2:$W$1001,0),0), INDEX($AD$1004:$AU$1004,1,MATCH(COLUMNS($AD$1006:AS1006),$AD$1006:$AU$1006,0)))),"Fix")))</f>
        <v xml:space="preserve"> </v>
      </c>
      <c r="R492" s="4" t="str">
        <f ca="1">IF(OR(INDEX($X$2:$X$1001,MATCH(ROWS($W$2:W492),$W$2:$W$1001,0),1)&gt;=100000,INDEX($AD$1005:$AU$1005,1,MATCH(COLUMNS($AD$1006:AT1006),$AD$1006:$AU$1006,0))&gt;=100000), " ",IF(INDEX($AD$2:$AU$1001,MATCH(ROWS($W$2:W492),$W$2:$W$1001,0),MATCH(COLUMNS($AD$1006:AT1006),$AD$1006:$AU$1006,0)), HYPERLINK("#",""), HYPERLINK(CONCATENATE("#metadata!", ADDRESS(INDEX($Y$2:$Y$1001,MATCH(ROWS($W$2:W492),$W$2:$W$1001,0),0), INDEX($AD$1004:$AU$1004,1,MATCH(COLUMNS($AD$1006:AT1006),$AD$1006:$AU$1006,0)))),"Fix")))</f>
        <v xml:space="preserve"> </v>
      </c>
      <c r="S492" s="4" t="str">
        <f ca="1">IF(OR(INDEX($X$2:$X$1001,MATCH(ROWS($W$2:W492),$W$2:$W$1001,0),1)&gt;=100000,INDEX($AD$1005:$AU$1005,1,MATCH(COLUMNS($AD$1006:AU1006),$AD$1006:$AU$1006,0))&gt;=100000), " ",IF(INDEX($AD$2:$AU$1001,MATCH(ROWS($W$2:W492),$W$2:$W$1001,0),MATCH(COLUMNS($AD$1006:AU1006),$AD$1006:$AU$1006,0)), HYPERLINK("#",""), HYPERLINK(CONCATENATE("#metadata!", ADDRESS(INDEX($Y$2:$Y$1001,MATCH(ROWS($W$2:W492),$W$2:$W$1001,0),0), INDEX($AD$1004:$AU$1004,1,MATCH(COLUMNS($AD$1006:AU1006),$AD$1006:$AU$1006,0)))),"Fix")))</f>
        <v xml:space="preserve"> </v>
      </c>
      <c r="W492">
        <v>491</v>
      </c>
      <c r="X492">
        <v>100492</v>
      </c>
      <c r="Y492">
        <v>492</v>
      </c>
      <c r="Z492" t="b">
        <f t="shared" si="7"/>
        <v>1</v>
      </c>
      <c r="AA492" t="b">
        <f>COUNTBLANK(metadata!B492:S492)=COLUMNS(metadata!B492:S492)</f>
        <v>1</v>
      </c>
      <c r="AB492" t="str">
        <v/>
      </c>
      <c r="AD492" t="b">
        <f ca="1">AND(IF(metadata!B492="",FALSE,TRUE),COUNTIF(metadata!B:B, metadata!B492) = 1,NOT(ISERROR(SUMPRODUCT(SEARCH(MID(metadata!B492,ROW(INDIRECT("1:"&amp;LEN(metadata!B492))), 1),"0123456789abcdefghijklmnopqrstuvwxyzABCDEFGHIJKLMNOPQRSTUVWXYZ.")))))</f>
        <v>0</v>
      </c>
      <c r="AE492" t="b">
        <f>OR(AND(IF(metadata!C492="",FALSE,TRUE),OR(EXACT(metadata!C492,"not applicable"),EXACT(metadata!C492,"missing: not collected"),EXACT(metadata!C492,"missing: not provided"),EXACT(metadata!C492,"missing: restricted access"))),AND(IF(metadata!C492="",FALSE,ISNUMBER(VALUE(metadata!C492))),metadata!C492&gt;0))</f>
        <v>0</v>
      </c>
      <c r="AF492" t="b">
        <f>AND(IF(metadata!D492="",FALSE,TRUE),EXACT(metadata!D492,"missing: not provided"))</f>
        <v>0</v>
      </c>
      <c r="AG492" t="b">
        <f>AND(IF(metadata!E492="",FALSE,TRUE),EXACT(metadata!E492,"Host-associated"))</f>
        <v>0</v>
      </c>
      <c r="AH492" t="b">
        <f>AND(IF(metadata!F492="",FALSE,TRUE),OR(EXACT(metadata!F492,"Animal"),EXACT(metadata!F492,"Fungus"),EXACT(metadata!F492,"Plant")))</f>
        <v>0</v>
      </c>
      <c r="AI492" t="b">
        <f>AND(IF(metadata!G492="",FALSE,TRUE),OR(EXACT(metadata!G492,"Plant secretion"),EXACT(metadata!G492,"Plant rhizosphere"),EXACT(metadata!G492,"Plant surface"),EXACT(metadata!G492,"Plant corpus"),EXACT(metadata!G492,"Fungus surface"),EXACT(metadata!G492,"Fungus corpus"),EXACT(metadata!G492,"Animal surface"),EXACT(metadata!G492,"Animal proximal gut"),EXACT(metadata!G492,"Animal corpus"),EXACT(metadata!G492,"Animal distal gut"),EXACT(metadata!G492,"Animal secretion")))</f>
        <v>0</v>
      </c>
      <c r="AJ492" t="b">
        <f>OR(AND(IF(metadata!H492="",FALSE,TRUE),OR(EXACT(metadata!H492,"missing: not collected"),EXACT(metadata!H492,"missing: not provided"),EXACT(metadata!H492,"missing: restricted access"))),AND(IF(metadata!H492="",FALSE,TRUE),OR(EXACT(metadata!H492,"organism-associated habitat"),EXACT(metadata!H492,"plant-associated habitat"),EXACT(metadata!H492,"animal-associated habitat"),EXACT(metadata!H492,"insecta-associated habitat"),EXACT(metadata!H492,"mammalia-associated habitat"),EXACT(metadata!H492,"human-associated habitat"),EXACT(metadata!H492,"livestock-associated habitat"))))</f>
        <v>0</v>
      </c>
      <c r="AK492" t="b">
        <f>AND(IF(metadata!I492="",FALSE,TRUE),EXACT(metadata!I492,"host-associated"))</f>
        <v>0</v>
      </c>
      <c r="AL492" t="b">
        <f>OR(AND(IF(metadata!J492="",FALSE,TRUE),OR(EXACT(metadata!J492,"not applicable"),EXACT(metadata!J492,"missing: not collected"),EXACT(metadata!J492,"missing: not provided"),EXACT(metadata!J492,"missing: restricted access"))),AND(IF(metadata!J492="",FALSE,ISNUMBER(VALUE(metadata!J492))),metadata!J492&gt;0))</f>
        <v>0</v>
      </c>
      <c r="AM492" t="b">
        <f>AND(IF(metadata!K492="",FALSE,TRUE),EXACT(metadata!K492,"missing: not provided"))</f>
        <v>0</v>
      </c>
      <c r="AN492" t="b">
        <f>IF(metadata!L492="",FALSE,TRUE)</f>
        <v>0</v>
      </c>
      <c r="AO492" t="b">
        <f>IF(metadata!M492="",FALSE,TRUE)</f>
        <v>0</v>
      </c>
      <c r="AP492" t="b">
        <f>OR(AND(IF(metadata!N492="",FALSE,TRUE),OR(EXACT(metadata!N492,"not applicable"),EXACT(metadata!N492,"missing: not collected"),EXACT(metadata!N492,"missing: not provided"))),AND(IF(metadata!N492="",FALSE,IF(ISERROR(INT(metadata!N492)),FALSE,INT(metadata!N492)=metadata!N492)),metadata!N492&gt;0))</f>
        <v>0</v>
      </c>
      <c r="AQ492" t="b">
        <f>AND(IF(metadata!O492="",FALSE,TRUE),EXACT(metadata!O492,"Not applicable"))</f>
        <v>0</v>
      </c>
      <c r="AR492" t="b">
        <f>OR(AND(IF(metadata!P492="",FALSE,TRUE),OR(EXACT(metadata!P492,"not applicable"),EXACT(metadata!P492,"missing: not collected"),EXACT(metadata!P492,"missing: not provided"),EXACT(metadata!P492,"missing: restricted access"))),IF(metadata!P492="",FALSE,IF(ISERROR(INT(metadata!P492)),FALSE,INT(metadata!P492)=metadata!P492)))</f>
        <v>0</v>
      </c>
      <c r="AS492" t="b">
        <f>AND(IF(metadata!Q492="",FALSE,TRUE),EXACT(metadata!Q492,"Not applicable"))</f>
        <v>0</v>
      </c>
      <c r="AT492" t="b">
        <f>OR(AND(IF(metadata!R492="",FALSE,TRUE),OR(EXACT(metadata!R492,"not applicable"),EXACT(metadata!R492,"missing: not collected"),EXACT(metadata!R492,"missing: not provided"),EXACT(metadata!R492,"missing: restricted access"))),AND(IF(metadata!R492="",FALSE,ISNUMBER(VALUE(metadata!R492))),metadata!R492&gt;0))</f>
        <v>0</v>
      </c>
      <c r="AU492" t="b">
        <f>AND(IF(metadata!S492="",FALSE,TRUE),EXACT(metadata!S492,"missing: not provided"))</f>
        <v>0</v>
      </c>
    </row>
    <row r="493" spans="1:47" x14ac:dyDescent="0.2">
      <c r="A493" s="5" t="str">
        <f ca="1">IF(B493=" "," ",HYPERLINK(CONCATENATE("#metadata!",ADDRESS(INDEX($Y$2:$Y$1001,MATCH(ROWS($W$2:W493),$W$2:$W$1001,0),0),1)),INDEX($AB$2:$AB$1001,MATCH(ROWS($W$2:W493),$W$2:$W$1001,0),0)))</f>
        <v xml:space="preserve"> </v>
      </c>
      <c r="B493" s="4" t="str">
        <f ca="1">IF(OR(INDEX($X$2:$X$1001,MATCH(ROWS($W$2:W493),$W$2:$W$1001,0),1)&gt;=100000,INDEX($AD$1005:$AU$1005,1,MATCH(COLUMNS($AD$1006:AD1006),$AD$1006:$AU$1006,0))&gt;=100000), " ",IF(INDEX($AD$2:$AU$1001,MATCH(ROWS($W$2:W493),$W$2:$W$1001,0),MATCH(COLUMNS($AD$1006:AD1006),$AD$1006:$AU$1006,0)), HYPERLINK("#",""), HYPERLINK(CONCATENATE("#metadata!", ADDRESS(INDEX($Y$2:$Y$1001,MATCH(ROWS($W$2:W493),$W$2:$W$1001,0),0), INDEX($AD$1004:$AU$1004,1,MATCH(COLUMNS($AD$1006:AD1006),$AD$1006:$AU$1006,0)))),"Fix")))</f>
        <v xml:space="preserve"> </v>
      </c>
      <c r="C493" s="4" t="str">
        <f ca="1">IF(OR(INDEX($X$2:$X$1001,MATCH(ROWS($W$2:W493),$W$2:$W$1001,0),1)&gt;=100000,INDEX($AD$1005:$AU$1005,1,MATCH(COLUMNS($AD$1006:AE1006),$AD$1006:$AU$1006,0))&gt;=100000), " ",IF(INDEX($AD$2:$AU$1001,MATCH(ROWS($W$2:W493),$W$2:$W$1001,0),MATCH(COLUMNS($AD$1006:AE1006),$AD$1006:$AU$1006,0)), HYPERLINK("#",""), HYPERLINK(CONCATENATE("#metadata!", ADDRESS(INDEX($Y$2:$Y$1001,MATCH(ROWS($W$2:W493),$W$2:$W$1001,0),0), INDEX($AD$1004:$AU$1004,1,MATCH(COLUMNS($AD$1006:AE1006),$AD$1006:$AU$1006,0)))),"Fix")))</f>
        <v xml:space="preserve"> </v>
      </c>
      <c r="D493" s="4" t="str">
        <f ca="1">IF(OR(INDEX($X$2:$X$1001,MATCH(ROWS($W$2:W493),$W$2:$W$1001,0),1)&gt;=100000,INDEX($AD$1005:$AU$1005,1,MATCH(COLUMNS($AD$1006:AF1006),$AD$1006:$AU$1006,0))&gt;=100000), " ",IF(INDEX($AD$2:$AU$1001,MATCH(ROWS($W$2:W493),$W$2:$W$1001,0),MATCH(COLUMNS($AD$1006:AF1006),$AD$1006:$AU$1006,0)), HYPERLINK("#",""), HYPERLINK(CONCATENATE("#metadata!", ADDRESS(INDEX($Y$2:$Y$1001,MATCH(ROWS($W$2:W493),$W$2:$W$1001,0),0), INDEX($AD$1004:$AU$1004,1,MATCH(COLUMNS($AD$1006:AF1006),$AD$1006:$AU$1006,0)))),"Fix")))</f>
        <v xml:space="preserve"> </v>
      </c>
      <c r="E493" s="4" t="str">
        <f ca="1">IF(OR(INDEX($X$2:$X$1001,MATCH(ROWS($W$2:W493),$W$2:$W$1001,0),1)&gt;=100000,INDEX($AD$1005:$AU$1005,1,MATCH(COLUMNS($AD$1006:AG1006),$AD$1006:$AU$1006,0))&gt;=100000), " ",IF(INDEX($AD$2:$AU$1001,MATCH(ROWS($W$2:W493),$W$2:$W$1001,0),MATCH(COLUMNS($AD$1006:AG1006),$AD$1006:$AU$1006,0)), HYPERLINK("#",""), HYPERLINK(CONCATENATE("#metadata!", ADDRESS(INDEX($Y$2:$Y$1001,MATCH(ROWS($W$2:W493),$W$2:$W$1001,0),0), INDEX($AD$1004:$AU$1004,1,MATCH(COLUMNS($AD$1006:AG1006),$AD$1006:$AU$1006,0)))),"Fix")))</f>
        <v xml:space="preserve"> </v>
      </c>
      <c r="F493" s="4" t="str">
        <f ca="1">IF(OR(INDEX($X$2:$X$1001,MATCH(ROWS($W$2:W493),$W$2:$W$1001,0),1)&gt;=100000,INDEX($AD$1005:$AU$1005,1,MATCH(COLUMNS($AD$1006:AH1006),$AD$1006:$AU$1006,0))&gt;=100000), " ",IF(INDEX($AD$2:$AU$1001,MATCH(ROWS($W$2:W493),$W$2:$W$1001,0),MATCH(COLUMNS($AD$1006:AH1006),$AD$1006:$AU$1006,0)), HYPERLINK("#",""), HYPERLINK(CONCATENATE("#metadata!", ADDRESS(INDEX($Y$2:$Y$1001,MATCH(ROWS($W$2:W493),$W$2:$W$1001,0),0), INDEX($AD$1004:$AU$1004,1,MATCH(COLUMNS($AD$1006:AH1006),$AD$1006:$AU$1006,0)))),"Fix")))</f>
        <v xml:space="preserve"> </v>
      </c>
      <c r="G493" s="4" t="str">
        <f ca="1">IF(OR(INDEX($X$2:$X$1001,MATCH(ROWS($W$2:W493),$W$2:$W$1001,0),1)&gt;=100000,INDEX($AD$1005:$AU$1005,1,MATCH(COLUMNS($AD$1006:AI1006),$AD$1006:$AU$1006,0))&gt;=100000), " ",IF(INDEX($AD$2:$AU$1001,MATCH(ROWS($W$2:W493),$W$2:$W$1001,0),MATCH(COLUMNS($AD$1006:AI1006),$AD$1006:$AU$1006,0)), HYPERLINK("#",""), HYPERLINK(CONCATENATE("#metadata!", ADDRESS(INDEX($Y$2:$Y$1001,MATCH(ROWS($W$2:W493),$W$2:$W$1001,0),0), INDEX($AD$1004:$AU$1004,1,MATCH(COLUMNS($AD$1006:AI1006),$AD$1006:$AU$1006,0)))),"Fix")))</f>
        <v xml:space="preserve"> </v>
      </c>
      <c r="H493" s="4" t="str">
        <f ca="1">IF(OR(INDEX($X$2:$X$1001,MATCH(ROWS($W$2:W493),$W$2:$W$1001,0),1)&gt;=100000,INDEX($AD$1005:$AU$1005,1,MATCH(COLUMNS($AD$1006:AJ1006),$AD$1006:$AU$1006,0))&gt;=100000), " ",IF(INDEX($AD$2:$AU$1001,MATCH(ROWS($W$2:W493),$W$2:$W$1001,0),MATCH(COLUMNS($AD$1006:AJ1006),$AD$1006:$AU$1006,0)), HYPERLINK("#",""), HYPERLINK(CONCATENATE("#metadata!", ADDRESS(INDEX($Y$2:$Y$1001,MATCH(ROWS($W$2:W493),$W$2:$W$1001,0),0), INDEX($AD$1004:$AU$1004,1,MATCH(COLUMNS($AD$1006:AJ1006),$AD$1006:$AU$1006,0)))),"Fix")))</f>
        <v xml:space="preserve"> </v>
      </c>
      <c r="I493" s="4" t="str">
        <f ca="1">IF(OR(INDEX($X$2:$X$1001,MATCH(ROWS($W$2:W493),$W$2:$W$1001,0),1)&gt;=100000,INDEX($AD$1005:$AU$1005,1,MATCH(COLUMNS($AD$1006:AK1006),$AD$1006:$AU$1006,0))&gt;=100000), " ",IF(INDEX($AD$2:$AU$1001,MATCH(ROWS($W$2:W493),$W$2:$W$1001,0),MATCH(COLUMNS($AD$1006:AK1006),$AD$1006:$AU$1006,0)), HYPERLINK("#",""), HYPERLINK(CONCATENATE("#metadata!", ADDRESS(INDEX($Y$2:$Y$1001,MATCH(ROWS($W$2:W493),$W$2:$W$1001,0),0), INDEX($AD$1004:$AU$1004,1,MATCH(COLUMNS($AD$1006:AK1006),$AD$1006:$AU$1006,0)))),"Fix")))</f>
        <v xml:space="preserve"> </v>
      </c>
      <c r="J493" s="4" t="str">
        <f ca="1">IF(OR(INDEX($X$2:$X$1001,MATCH(ROWS($W$2:W493),$W$2:$W$1001,0),1)&gt;=100000,INDEX($AD$1005:$AU$1005,1,MATCH(COLUMNS($AD$1006:AL1006),$AD$1006:$AU$1006,0))&gt;=100000), " ",IF(INDEX($AD$2:$AU$1001,MATCH(ROWS($W$2:W493),$W$2:$W$1001,0),MATCH(COLUMNS($AD$1006:AL1006),$AD$1006:$AU$1006,0)), HYPERLINK("#",""), HYPERLINK(CONCATENATE("#metadata!", ADDRESS(INDEX($Y$2:$Y$1001,MATCH(ROWS($W$2:W493),$W$2:$W$1001,0),0), INDEX($AD$1004:$AU$1004,1,MATCH(COLUMNS($AD$1006:AL1006),$AD$1006:$AU$1006,0)))),"Fix")))</f>
        <v xml:space="preserve"> </v>
      </c>
      <c r="K493" s="4" t="str">
        <f ca="1">IF(OR(INDEX($X$2:$X$1001,MATCH(ROWS($W$2:W493),$W$2:$W$1001,0),1)&gt;=100000,INDEX($AD$1005:$AU$1005,1,MATCH(COLUMNS($AD$1006:AM1006),$AD$1006:$AU$1006,0))&gt;=100000), " ",IF(INDEX($AD$2:$AU$1001,MATCH(ROWS($W$2:W493),$W$2:$W$1001,0),MATCH(COLUMNS($AD$1006:AM1006),$AD$1006:$AU$1006,0)), HYPERLINK("#",""), HYPERLINK(CONCATENATE("#metadata!", ADDRESS(INDEX($Y$2:$Y$1001,MATCH(ROWS($W$2:W493),$W$2:$W$1001,0),0), INDEX($AD$1004:$AU$1004,1,MATCH(COLUMNS($AD$1006:AM1006),$AD$1006:$AU$1006,0)))),"Fix")))</f>
        <v xml:space="preserve"> </v>
      </c>
      <c r="L493" s="4" t="str">
        <f ca="1">IF(OR(INDEX($X$2:$X$1001,MATCH(ROWS($W$2:W493),$W$2:$W$1001,0),1)&gt;=100000,INDEX($AD$1005:$AU$1005,1,MATCH(COLUMNS($AD$1006:AN1006),$AD$1006:$AU$1006,0))&gt;=100000), " ",IF(INDEX($AD$2:$AU$1001,MATCH(ROWS($W$2:W493),$W$2:$W$1001,0),MATCH(COLUMNS($AD$1006:AN1006),$AD$1006:$AU$1006,0)), HYPERLINK("#",""), HYPERLINK(CONCATENATE("#metadata!", ADDRESS(INDEX($Y$2:$Y$1001,MATCH(ROWS($W$2:W493),$W$2:$W$1001,0),0), INDEX($AD$1004:$AU$1004,1,MATCH(COLUMNS($AD$1006:AN1006),$AD$1006:$AU$1006,0)))),"Fix")))</f>
        <v xml:space="preserve"> </v>
      </c>
      <c r="M493" s="4" t="str">
        <f ca="1">IF(OR(INDEX($X$2:$X$1001,MATCH(ROWS($W$2:W493),$W$2:$W$1001,0),1)&gt;=100000,INDEX($AD$1005:$AU$1005,1,MATCH(COLUMNS($AD$1006:AO1006),$AD$1006:$AU$1006,0))&gt;=100000), " ",IF(INDEX($AD$2:$AU$1001,MATCH(ROWS($W$2:W493),$W$2:$W$1001,0),MATCH(COLUMNS($AD$1006:AO1006),$AD$1006:$AU$1006,0)), HYPERLINK("#",""), HYPERLINK(CONCATENATE("#metadata!", ADDRESS(INDEX($Y$2:$Y$1001,MATCH(ROWS($W$2:W493),$W$2:$W$1001,0),0), INDEX($AD$1004:$AU$1004,1,MATCH(COLUMNS($AD$1006:AO1006),$AD$1006:$AU$1006,0)))),"Fix")))</f>
        <v xml:space="preserve"> </v>
      </c>
      <c r="N493" s="4" t="str">
        <f ca="1">IF(OR(INDEX($X$2:$X$1001,MATCH(ROWS($W$2:W493),$W$2:$W$1001,0),1)&gt;=100000,INDEX($AD$1005:$AU$1005,1,MATCH(COLUMNS($AD$1006:AP1006),$AD$1006:$AU$1006,0))&gt;=100000), " ",IF(INDEX($AD$2:$AU$1001,MATCH(ROWS($W$2:W493),$W$2:$W$1001,0),MATCH(COLUMNS($AD$1006:AP1006),$AD$1006:$AU$1006,0)), HYPERLINK("#",""), HYPERLINK(CONCATENATE("#metadata!", ADDRESS(INDEX($Y$2:$Y$1001,MATCH(ROWS($W$2:W493),$W$2:$W$1001,0),0), INDEX($AD$1004:$AU$1004,1,MATCH(COLUMNS($AD$1006:AP1006),$AD$1006:$AU$1006,0)))),"Fix")))</f>
        <v xml:space="preserve"> </v>
      </c>
      <c r="O493" s="4" t="str">
        <f ca="1">IF(OR(INDEX($X$2:$X$1001,MATCH(ROWS($W$2:W493),$W$2:$W$1001,0),1)&gt;=100000,INDEX($AD$1005:$AU$1005,1,MATCH(COLUMNS($AD$1006:AQ1006),$AD$1006:$AU$1006,0))&gt;=100000), " ",IF(INDEX($AD$2:$AU$1001,MATCH(ROWS($W$2:W493),$W$2:$W$1001,0),MATCH(COLUMNS($AD$1006:AQ1006),$AD$1006:$AU$1006,0)), HYPERLINK("#",""), HYPERLINK(CONCATENATE("#metadata!", ADDRESS(INDEX($Y$2:$Y$1001,MATCH(ROWS($W$2:W493),$W$2:$W$1001,0),0), INDEX($AD$1004:$AU$1004,1,MATCH(COLUMNS($AD$1006:AQ1006),$AD$1006:$AU$1006,0)))),"Fix")))</f>
        <v xml:space="preserve"> </v>
      </c>
      <c r="P493" s="4" t="str">
        <f ca="1">IF(OR(INDEX($X$2:$X$1001,MATCH(ROWS($W$2:W493),$W$2:$W$1001,0),1)&gt;=100000,INDEX($AD$1005:$AU$1005,1,MATCH(COLUMNS($AD$1006:AR1006),$AD$1006:$AU$1006,0))&gt;=100000), " ",IF(INDEX($AD$2:$AU$1001,MATCH(ROWS($W$2:W493),$W$2:$W$1001,0),MATCH(COLUMNS($AD$1006:AR1006),$AD$1006:$AU$1006,0)), HYPERLINK("#",""), HYPERLINK(CONCATENATE("#metadata!", ADDRESS(INDEX($Y$2:$Y$1001,MATCH(ROWS($W$2:W493),$W$2:$W$1001,0),0), INDEX($AD$1004:$AU$1004,1,MATCH(COLUMNS($AD$1006:AR1006),$AD$1006:$AU$1006,0)))),"Fix")))</f>
        <v xml:space="preserve"> </v>
      </c>
      <c r="Q493" s="4" t="str">
        <f ca="1">IF(OR(INDEX($X$2:$X$1001,MATCH(ROWS($W$2:W493),$W$2:$W$1001,0),1)&gt;=100000,INDEX($AD$1005:$AU$1005,1,MATCH(COLUMNS($AD$1006:AS1006),$AD$1006:$AU$1006,0))&gt;=100000), " ",IF(INDEX($AD$2:$AU$1001,MATCH(ROWS($W$2:W493),$W$2:$W$1001,0),MATCH(COLUMNS($AD$1006:AS1006),$AD$1006:$AU$1006,0)), HYPERLINK("#",""), HYPERLINK(CONCATENATE("#metadata!", ADDRESS(INDEX($Y$2:$Y$1001,MATCH(ROWS($W$2:W493),$W$2:$W$1001,0),0), INDEX($AD$1004:$AU$1004,1,MATCH(COLUMNS($AD$1006:AS1006),$AD$1006:$AU$1006,0)))),"Fix")))</f>
        <v xml:space="preserve"> </v>
      </c>
      <c r="R493" s="4" t="str">
        <f ca="1">IF(OR(INDEX($X$2:$X$1001,MATCH(ROWS($W$2:W493),$W$2:$W$1001,0),1)&gt;=100000,INDEX($AD$1005:$AU$1005,1,MATCH(COLUMNS($AD$1006:AT1006),$AD$1006:$AU$1006,0))&gt;=100000), " ",IF(INDEX($AD$2:$AU$1001,MATCH(ROWS($W$2:W493),$W$2:$W$1001,0),MATCH(COLUMNS($AD$1006:AT1006),$AD$1006:$AU$1006,0)), HYPERLINK("#",""), HYPERLINK(CONCATENATE("#metadata!", ADDRESS(INDEX($Y$2:$Y$1001,MATCH(ROWS($W$2:W493),$W$2:$W$1001,0),0), INDEX($AD$1004:$AU$1004,1,MATCH(COLUMNS($AD$1006:AT1006),$AD$1006:$AU$1006,0)))),"Fix")))</f>
        <v xml:space="preserve"> </v>
      </c>
      <c r="S493" s="4" t="str">
        <f ca="1">IF(OR(INDEX($X$2:$X$1001,MATCH(ROWS($W$2:W493),$W$2:$W$1001,0),1)&gt;=100000,INDEX($AD$1005:$AU$1005,1,MATCH(COLUMNS($AD$1006:AU1006),$AD$1006:$AU$1006,0))&gt;=100000), " ",IF(INDEX($AD$2:$AU$1001,MATCH(ROWS($W$2:W493),$W$2:$W$1001,0),MATCH(COLUMNS($AD$1006:AU1006),$AD$1006:$AU$1006,0)), HYPERLINK("#",""), HYPERLINK(CONCATENATE("#metadata!", ADDRESS(INDEX($Y$2:$Y$1001,MATCH(ROWS($W$2:W493),$W$2:$W$1001,0),0), INDEX($AD$1004:$AU$1004,1,MATCH(COLUMNS($AD$1006:AU1006),$AD$1006:$AU$1006,0)))),"Fix")))</f>
        <v xml:space="preserve"> </v>
      </c>
      <c r="W493">
        <v>492</v>
      </c>
      <c r="X493">
        <v>100493</v>
      </c>
      <c r="Y493">
        <v>493</v>
      </c>
      <c r="Z493" t="b">
        <f t="shared" si="7"/>
        <v>1</v>
      </c>
      <c r="AA493" t="b">
        <f>COUNTBLANK(metadata!B493:S493)=COLUMNS(metadata!B493:S493)</f>
        <v>1</v>
      </c>
      <c r="AB493" t="str">
        <v/>
      </c>
      <c r="AD493" t="b">
        <f ca="1">AND(IF(metadata!B493="",FALSE,TRUE),COUNTIF(metadata!B:B, metadata!B493) = 1,NOT(ISERROR(SUMPRODUCT(SEARCH(MID(metadata!B493,ROW(INDIRECT("1:"&amp;LEN(metadata!B493))), 1),"0123456789abcdefghijklmnopqrstuvwxyzABCDEFGHIJKLMNOPQRSTUVWXYZ.")))))</f>
        <v>0</v>
      </c>
      <c r="AE493" t="b">
        <f>OR(AND(IF(metadata!C493="",FALSE,TRUE),OR(EXACT(metadata!C493,"not applicable"),EXACT(metadata!C493,"missing: not collected"),EXACT(metadata!C493,"missing: not provided"),EXACT(metadata!C493,"missing: restricted access"))),AND(IF(metadata!C493="",FALSE,ISNUMBER(VALUE(metadata!C493))),metadata!C493&gt;0))</f>
        <v>0</v>
      </c>
      <c r="AF493" t="b">
        <f>AND(IF(metadata!D493="",FALSE,TRUE),EXACT(metadata!D493,"missing: not provided"))</f>
        <v>0</v>
      </c>
      <c r="AG493" t="b">
        <f>AND(IF(metadata!E493="",FALSE,TRUE),EXACT(metadata!E493,"Host-associated"))</f>
        <v>0</v>
      </c>
      <c r="AH493" t="b">
        <f>AND(IF(metadata!F493="",FALSE,TRUE),OR(EXACT(metadata!F493,"Animal"),EXACT(metadata!F493,"Fungus"),EXACT(metadata!F493,"Plant")))</f>
        <v>0</v>
      </c>
      <c r="AI493" t="b">
        <f>AND(IF(metadata!G493="",FALSE,TRUE),OR(EXACT(metadata!G493,"Plant secretion"),EXACT(metadata!G493,"Plant rhizosphere"),EXACT(metadata!G493,"Plant surface"),EXACT(metadata!G493,"Plant corpus"),EXACT(metadata!G493,"Fungus surface"),EXACT(metadata!G493,"Fungus corpus"),EXACT(metadata!G493,"Animal surface"),EXACT(metadata!G493,"Animal proximal gut"),EXACT(metadata!G493,"Animal corpus"),EXACT(metadata!G493,"Animal distal gut"),EXACT(metadata!G493,"Animal secretion")))</f>
        <v>0</v>
      </c>
      <c r="AJ493" t="b">
        <f>OR(AND(IF(metadata!H493="",FALSE,TRUE),OR(EXACT(metadata!H493,"missing: not collected"),EXACT(metadata!H493,"missing: not provided"),EXACT(metadata!H493,"missing: restricted access"))),AND(IF(metadata!H493="",FALSE,TRUE),OR(EXACT(metadata!H493,"organism-associated habitat"),EXACT(metadata!H493,"plant-associated habitat"),EXACT(metadata!H493,"animal-associated habitat"),EXACT(metadata!H493,"insecta-associated habitat"),EXACT(metadata!H493,"mammalia-associated habitat"),EXACT(metadata!H493,"human-associated habitat"),EXACT(metadata!H493,"livestock-associated habitat"))))</f>
        <v>0</v>
      </c>
      <c r="AK493" t="b">
        <f>AND(IF(metadata!I493="",FALSE,TRUE),EXACT(metadata!I493,"host-associated"))</f>
        <v>0</v>
      </c>
      <c r="AL493" t="b">
        <f>OR(AND(IF(metadata!J493="",FALSE,TRUE),OR(EXACT(metadata!J493,"not applicable"),EXACT(metadata!J493,"missing: not collected"),EXACT(metadata!J493,"missing: not provided"),EXACT(metadata!J493,"missing: restricted access"))),AND(IF(metadata!J493="",FALSE,ISNUMBER(VALUE(metadata!J493))),metadata!J493&gt;0))</f>
        <v>0</v>
      </c>
      <c r="AM493" t="b">
        <f>AND(IF(metadata!K493="",FALSE,TRUE),EXACT(metadata!K493,"missing: not provided"))</f>
        <v>0</v>
      </c>
      <c r="AN493" t="b">
        <f>IF(metadata!L493="",FALSE,TRUE)</f>
        <v>0</v>
      </c>
      <c r="AO493" t="b">
        <f>IF(metadata!M493="",FALSE,TRUE)</f>
        <v>0</v>
      </c>
      <c r="AP493" t="b">
        <f>OR(AND(IF(metadata!N493="",FALSE,TRUE),OR(EXACT(metadata!N493,"not applicable"),EXACT(metadata!N493,"missing: not collected"),EXACT(metadata!N493,"missing: not provided"))),AND(IF(metadata!N493="",FALSE,IF(ISERROR(INT(metadata!N493)),FALSE,INT(metadata!N493)=metadata!N493)),metadata!N493&gt;0))</f>
        <v>0</v>
      </c>
      <c r="AQ493" t="b">
        <f>AND(IF(metadata!O493="",FALSE,TRUE),EXACT(metadata!O493,"Not applicable"))</f>
        <v>0</v>
      </c>
      <c r="AR493" t="b">
        <f>OR(AND(IF(metadata!P493="",FALSE,TRUE),OR(EXACT(metadata!P493,"not applicable"),EXACT(metadata!P493,"missing: not collected"),EXACT(metadata!P493,"missing: not provided"),EXACT(metadata!P493,"missing: restricted access"))),IF(metadata!P493="",FALSE,IF(ISERROR(INT(metadata!P493)),FALSE,INT(metadata!P493)=metadata!P493)))</f>
        <v>0</v>
      </c>
      <c r="AS493" t="b">
        <f>AND(IF(metadata!Q493="",FALSE,TRUE),EXACT(metadata!Q493,"Not applicable"))</f>
        <v>0</v>
      </c>
      <c r="AT493" t="b">
        <f>OR(AND(IF(metadata!R493="",FALSE,TRUE),OR(EXACT(metadata!R493,"not applicable"),EXACT(metadata!R493,"missing: not collected"),EXACT(metadata!R493,"missing: not provided"),EXACT(metadata!R493,"missing: restricted access"))),AND(IF(metadata!R493="",FALSE,ISNUMBER(VALUE(metadata!R493))),metadata!R493&gt;0))</f>
        <v>0</v>
      </c>
      <c r="AU493" t="b">
        <f>AND(IF(metadata!S493="",FALSE,TRUE),EXACT(metadata!S493,"missing: not provided"))</f>
        <v>0</v>
      </c>
    </row>
    <row r="494" spans="1:47" x14ac:dyDescent="0.2">
      <c r="A494" s="5" t="str">
        <f ca="1">IF(B494=" "," ",HYPERLINK(CONCATENATE("#metadata!",ADDRESS(INDEX($Y$2:$Y$1001,MATCH(ROWS($W$2:W494),$W$2:$W$1001,0),0),1)),INDEX($AB$2:$AB$1001,MATCH(ROWS($W$2:W494),$W$2:$W$1001,0),0)))</f>
        <v xml:space="preserve"> </v>
      </c>
      <c r="B494" s="4" t="str">
        <f ca="1">IF(OR(INDEX($X$2:$X$1001,MATCH(ROWS($W$2:W494),$W$2:$W$1001,0),1)&gt;=100000,INDEX($AD$1005:$AU$1005,1,MATCH(COLUMNS($AD$1006:AD1006),$AD$1006:$AU$1006,0))&gt;=100000), " ",IF(INDEX($AD$2:$AU$1001,MATCH(ROWS($W$2:W494),$W$2:$W$1001,0),MATCH(COLUMNS($AD$1006:AD1006),$AD$1006:$AU$1006,0)), HYPERLINK("#",""), HYPERLINK(CONCATENATE("#metadata!", ADDRESS(INDEX($Y$2:$Y$1001,MATCH(ROWS($W$2:W494),$W$2:$W$1001,0),0), INDEX($AD$1004:$AU$1004,1,MATCH(COLUMNS($AD$1006:AD1006),$AD$1006:$AU$1006,0)))),"Fix")))</f>
        <v xml:space="preserve"> </v>
      </c>
      <c r="C494" s="4" t="str">
        <f ca="1">IF(OR(INDEX($X$2:$X$1001,MATCH(ROWS($W$2:W494),$W$2:$W$1001,0),1)&gt;=100000,INDEX($AD$1005:$AU$1005,1,MATCH(COLUMNS($AD$1006:AE1006),$AD$1006:$AU$1006,0))&gt;=100000), " ",IF(INDEX($AD$2:$AU$1001,MATCH(ROWS($W$2:W494),$W$2:$W$1001,0),MATCH(COLUMNS($AD$1006:AE1006),$AD$1006:$AU$1006,0)), HYPERLINK("#",""), HYPERLINK(CONCATENATE("#metadata!", ADDRESS(INDEX($Y$2:$Y$1001,MATCH(ROWS($W$2:W494),$W$2:$W$1001,0),0), INDEX($AD$1004:$AU$1004,1,MATCH(COLUMNS($AD$1006:AE1006),$AD$1006:$AU$1006,0)))),"Fix")))</f>
        <v xml:space="preserve"> </v>
      </c>
      <c r="D494" s="4" t="str">
        <f ca="1">IF(OR(INDEX($X$2:$X$1001,MATCH(ROWS($W$2:W494),$W$2:$W$1001,0),1)&gt;=100000,INDEX($AD$1005:$AU$1005,1,MATCH(COLUMNS($AD$1006:AF1006),$AD$1006:$AU$1006,0))&gt;=100000), " ",IF(INDEX($AD$2:$AU$1001,MATCH(ROWS($W$2:W494),$W$2:$W$1001,0),MATCH(COLUMNS($AD$1006:AF1006),$AD$1006:$AU$1006,0)), HYPERLINK("#",""), HYPERLINK(CONCATENATE("#metadata!", ADDRESS(INDEX($Y$2:$Y$1001,MATCH(ROWS($W$2:W494),$W$2:$W$1001,0),0), INDEX($AD$1004:$AU$1004,1,MATCH(COLUMNS($AD$1006:AF1006),$AD$1006:$AU$1006,0)))),"Fix")))</f>
        <v xml:space="preserve"> </v>
      </c>
      <c r="E494" s="4" t="str">
        <f ca="1">IF(OR(INDEX($X$2:$X$1001,MATCH(ROWS($W$2:W494),$W$2:$W$1001,0),1)&gt;=100000,INDEX($AD$1005:$AU$1005,1,MATCH(COLUMNS($AD$1006:AG1006),$AD$1006:$AU$1006,0))&gt;=100000), " ",IF(INDEX($AD$2:$AU$1001,MATCH(ROWS($W$2:W494),$W$2:$W$1001,0),MATCH(COLUMNS($AD$1006:AG1006),$AD$1006:$AU$1006,0)), HYPERLINK("#",""), HYPERLINK(CONCATENATE("#metadata!", ADDRESS(INDEX($Y$2:$Y$1001,MATCH(ROWS($W$2:W494),$W$2:$W$1001,0),0), INDEX($AD$1004:$AU$1004,1,MATCH(COLUMNS($AD$1006:AG1006),$AD$1006:$AU$1006,0)))),"Fix")))</f>
        <v xml:space="preserve"> </v>
      </c>
      <c r="F494" s="4" t="str">
        <f ca="1">IF(OR(INDEX($X$2:$X$1001,MATCH(ROWS($W$2:W494),$W$2:$W$1001,0),1)&gt;=100000,INDEX($AD$1005:$AU$1005,1,MATCH(COLUMNS($AD$1006:AH1006),$AD$1006:$AU$1006,0))&gt;=100000), " ",IF(INDEX($AD$2:$AU$1001,MATCH(ROWS($W$2:W494),$W$2:$W$1001,0),MATCH(COLUMNS($AD$1006:AH1006),$AD$1006:$AU$1006,0)), HYPERLINK("#",""), HYPERLINK(CONCATENATE("#metadata!", ADDRESS(INDEX($Y$2:$Y$1001,MATCH(ROWS($W$2:W494),$W$2:$W$1001,0),0), INDEX($AD$1004:$AU$1004,1,MATCH(COLUMNS($AD$1006:AH1006),$AD$1006:$AU$1006,0)))),"Fix")))</f>
        <v xml:space="preserve"> </v>
      </c>
      <c r="G494" s="4" t="str">
        <f ca="1">IF(OR(INDEX($X$2:$X$1001,MATCH(ROWS($W$2:W494),$W$2:$W$1001,0),1)&gt;=100000,INDEX($AD$1005:$AU$1005,1,MATCH(COLUMNS($AD$1006:AI1006),$AD$1006:$AU$1006,0))&gt;=100000), " ",IF(INDEX($AD$2:$AU$1001,MATCH(ROWS($W$2:W494),$W$2:$W$1001,0),MATCH(COLUMNS($AD$1006:AI1006),$AD$1006:$AU$1006,0)), HYPERLINK("#",""), HYPERLINK(CONCATENATE("#metadata!", ADDRESS(INDEX($Y$2:$Y$1001,MATCH(ROWS($W$2:W494),$W$2:$W$1001,0),0), INDEX($AD$1004:$AU$1004,1,MATCH(COLUMNS($AD$1006:AI1006),$AD$1006:$AU$1006,0)))),"Fix")))</f>
        <v xml:space="preserve"> </v>
      </c>
      <c r="H494" s="4" t="str">
        <f ca="1">IF(OR(INDEX($X$2:$X$1001,MATCH(ROWS($W$2:W494),$W$2:$W$1001,0),1)&gt;=100000,INDEX($AD$1005:$AU$1005,1,MATCH(COLUMNS($AD$1006:AJ1006),$AD$1006:$AU$1006,0))&gt;=100000), " ",IF(INDEX($AD$2:$AU$1001,MATCH(ROWS($W$2:W494),$W$2:$W$1001,0),MATCH(COLUMNS($AD$1006:AJ1006),$AD$1006:$AU$1006,0)), HYPERLINK("#",""), HYPERLINK(CONCATENATE("#metadata!", ADDRESS(INDEX($Y$2:$Y$1001,MATCH(ROWS($W$2:W494),$W$2:$W$1001,0),0), INDEX($AD$1004:$AU$1004,1,MATCH(COLUMNS($AD$1006:AJ1006),$AD$1006:$AU$1006,0)))),"Fix")))</f>
        <v xml:space="preserve"> </v>
      </c>
      <c r="I494" s="4" t="str">
        <f ca="1">IF(OR(INDEX($X$2:$X$1001,MATCH(ROWS($W$2:W494),$W$2:$W$1001,0),1)&gt;=100000,INDEX($AD$1005:$AU$1005,1,MATCH(COLUMNS($AD$1006:AK1006),$AD$1006:$AU$1006,0))&gt;=100000), " ",IF(INDEX($AD$2:$AU$1001,MATCH(ROWS($W$2:W494),$W$2:$W$1001,0),MATCH(COLUMNS($AD$1006:AK1006),$AD$1006:$AU$1006,0)), HYPERLINK("#",""), HYPERLINK(CONCATENATE("#metadata!", ADDRESS(INDEX($Y$2:$Y$1001,MATCH(ROWS($W$2:W494),$W$2:$W$1001,0),0), INDEX($AD$1004:$AU$1004,1,MATCH(COLUMNS($AD$1006:AK1006),$AD$1006:$AU$1006,0)))),"Fix")))</f>
        <v xml:space="preserve"> </v>
      </c>
      <c r="J494" s="4" t="str">
        <f ca="1">IF(OR(INDEX($X$2:$X$1001,MATCH(ROWS($W$2:W494),$W$2:$W$1001,0),1)&gt;=100000,INDEX($AD$1005:$AU$1005,1,MATCH(COLUMNS($AD$1006:AL1006),$AD$1006:$AU$1006,0))&gt;=100000), " ",IF(INDEX($AD$2:$AU$1001,MATCH(ROWS($W$2:W494),$W$2:$W$1001,0),MATCH(COLUMNS($AD$1006:AL1006),$AD$1006:$AU$1006,0)), HYPERLINK("#",""), HYPERLINK(CONCATENATE("#metadata!", ADDRESS(INDEX($Y$2:$Y$1001,MATCH(ROWS($W$2:W494),$W$2:$W$1001,0),0), INDEX($AD$1004:$AU$1004,1,MATCH(COLUMNS($AD$1006:AL1006),$AD$1006:$AU$1006,0)))),"Fix")))</f>
        <v xml:space="preserve"> </v>
      </c>
      <c r="K494" s="4" t="str">
        <f ca="1">IF(OR(INDEX($X$2:$X$1001,MATCH(ROWS($W$2:W494),$W$2:$W$1001,0),1)&gt;=100000,INDEX($AD$1005:$AU$1005,1,MATCH(COLUMNS($AD$1006:AM1006),$AD$1006:$AU$1006,0))&gt;=100000), " ",IF(INDEX($AD$2:$AU$1001,MATCH(ROWS($W$2:W494),$W$2:$W$1001,0),MATCH(COLUMNS($AD$1006:AM1006),$AD$1006:$AU$1006,0)), HYPERLINK("#",""), HYPERLINK(CONCATENATE("#metadata!", ADDRESS(INDEX($Y$2:$Y$1001,MATCH(ROWS($W$2:W494),$W$2:$W$1001,0),0), INDEX($AD$1004:$AU$1004,1,MATCH(COLUMNS($AD$1006:AM1006),$AD$1006:$AU$1006,0)))),"Fix")))</f>
        <v xml:space="preserve"> </v>
      </c>
      <c r="L494" s="4" t="str">
        <f ca="1">IF(OR(INDEX($X$2:$X$1001,MATCH(ROWS($W$2:W494),$W$2:$W$1001,0),1)&gt;=100000,INDEX($AD$1005:$AU$1005,1,MATCH(COLUMNS($AD$1006:AN1006),$AD$1006:$AU$1006,0))&gt;=100000), " ",IF(INDEX($AD$2:$AU$1001,MATCH(ROWS($W$2:W494),$W$2:$W$1001,0),MATCH(COLUMNS($AD$1006:AN1006),$AD$1006:$AU$1006,0)), HYPERLINK("#",""), HYPERLINK(CONCATENATE("#metadata!", ADDRESS(INDEX($Y$2:$Y$1001,MATCH(ROWS($W$2:W494),$W$2:$W$1001,0),0), INDEX($AD$1004:$AU$1004,1,MATCH(COLUMNS($AD$1006:AN1006),$AD$1006:$AU$1006,0)))),"Fix")))</f>
        <v xml:space="preserve"> </v>
      </c>
      <c r="M494" s="4" t="str">
        <f ca="1">IF(OR(INDEX($X$2:$X$1001,MATCH(ROWS($W$2:W494),$W$2:$W$1001,0),1)&gt;=100000,INDEX($AD$1005:$AU$1005,1,MATCH(COLUMNS($AD$1006:AO1006),$AD$1006:$AU$1006,0))&gt;=100000), " ",IF(INDEX($AD$2:$AU$1001,MATCH(ROWS($W$2:W494),$W$2:$W$1001,0),MATCH(COLUMNS($AD$1006:AO1006),$AD$1006:$AU$1006,0)), HYPERLINK("#",""), HYPERLINK(CONCATENATE("#metadata!", ADDRESS(INDEX($Y$2:$Y$1001,MATCH(ROWS($W$2:W494),$W$2:$W$1001,0),0), INDEX($AD$1004:$AU$1004,1,MATCH(COLUMNS($AD$1006:AO1006),$AD$1006:$AU$1006,0)))),"Fix")))</f>
        <v xml:space="preserve"> </v>
      </c>
      <c r="N494" s="4" t="str">
        <f ca="1">IF(OR(INDEX($X$2:$X$1001,MATCH(ROWS($W$2:W494),$W$2:$W$1001,0),1)&gt;=100000,INDEX($AD$1005:$AU$1005,1,MATCH(COLUMNS($AD$1006:AP1006),$AD$1006:$AU$1006,0))&gt;=100000), " ",IF(INDEX($AD$2:$AU$1001,MATCH(ROWS($W$2:W494),$W$2:$W$1001,0),MATCH(COLUMNS($AD$1006:AP1006),$AD$1006:$AU$1006,0)), HYPERLINK("#",""), HYPERLINK(CONCATENATE("#metadata!", ADDRESS(INDEX($Y$2:$Y$1001,MATCH(ROWS($W$2:W494),$W$2:$W$1001,0),0), INDEX($AD$1004:$AU$1004,1,MATCH(COLUMNS($AD$1006:AP1006),$AD$1006:$AU$1006,0)))),"Fix")))</f>
        <v xml:space="preserve"> </v>
      </c>
      <c r="O494" s="4" t="str">
        <f ca="1">IF(OR(INDEX($X$2:$X$1001,MATCH(ROWS($W$2:W494),$W$2:$W$1001,0),1)&gt;=100000,INDEX($AD$1005:$AU$1005,1,MATCH(COLUMNS($AD$1006:AQ1006),$AD$1006:$AU$1006,0))&gt;=100000), " ",IF(INDEX($AD$2:$AU$1001,MATCH(ROWS($W$2:W494),$W$2:$W$1001,0),MATCH(COLUMNS($AD$1006:AQ1006),$AD$1006:$AU$1006,0)), HYPERLINK("#",""), HYPERLINK(CONCATENATE("#metadata!", ADDRESS(INDEX($Y$2:$Y$1001,MATCH(ROWS($W$2:W494),$W$2:$W$1001,0),0), INDEX($AD$1004:$AU$1004,1,MATCH(COLUMNS($AD$1006:AQ1006),$AD$1006:$AU$1006,0)))),"Fix")))</f>
        <v xml:space="preserve"> </v>
      </c>
      <c r="P494" s="4" t="str">
        <f ca="1">IF(OR(INDEX($X$2:$X$1001,MATCH(ROWS($W$2:W494),$W$2:$W$1001,0),1)&gt;=100000,INDEX($AD$1005:$AU$1005,1,MATCH(COLUMNS($AD$1006:AR1006),$AD$1006:$AU$1006,0))&gt;=100000), " ",IF(INDEX($AD$2:$AU$1001,MATCH(ROWS($W$2:W494),$W$2:$W$1001,0),MATCH(COLUMNS($AD$1006:AR1006),$AD$1006:$AU$1006,0)), HYPERLINK("#",""), HYPERLINK(CONCATENATE("#metadata!", ADDRESS(INDEX($Y$2:$Y$1001,MATCH(ROWS($W$2:W494),$W$2:$W$1001,0),0), INDEX($AD$1004:$AU$1004,1,MATCH(COLUMNS($AD$1006:AR1006),$AD$1006:$AU$1006,0)))),"Fix")))</f>
        <v xml:space="preserve"> </v>
      </c>
      <c r="Q494" s="4" t="str">
        <f ca="1">IF(OR(INDEX($X$2:$X$1001,MATCH(ROWS($W$2:W494),$W$2:$W$1001,0),1)&gt;=100000,INDEX($AD$1005:$AU$1005,1,MATCH(COLUMNS($AD$1006:AS1006),$AD$1006:$AU$1006,0))&gt;=100000), " ",IF(INDEX($AD$2:$AU$1001,MATCH(ROWS($W$2:W494),$W$2:$W$1001,0),MATCH(COLUMNS($AD$1006:AS1006),$AD$1006:$AU$1006,0)), HYPERLINK("#",""), HYPERLINK(CONCATENATE("#metadata!", ADDRESS(INDEX($Y$2:$Y$1001,MATCH(ROWS($W$2:W494),$W$2:$W$1001,0),0), INDEX($AD$1004:$AU$1004,1,MATCH(COLUMNS($AD$1006:AS1006),$AD$1006:$AU$1006,0)))),"Fix")))</f>
        <v xml:space="preserve"> </v>
      </c>
      <c r="R494" s="4" t="str">
        <f ca="1">IF(OR(INDEX($X$2:$X$1001,MATCH(ROWS($W$2:W494),$W$2:$W$1001,0),1)&gt;=100000,INDEX($AD$1005:$AU$1005,1,MATCH(COLUMNS($AD$1006:AT1006),$AD$1006:$AU$1006,0))&gt;=100000), " ",IF(INDEX($AD$2:$AU$1001,MATCH(ROWS($W$2:W494),$W$2:$W$1001,0),MATCH(COLUMNS($AD$1006:AT1006),$AD$1006:$AU$1006,0)), HYPERLINK("#",""), HYPERLINK(CONCATENATE("#metadata!", ADDRESS(INDEX($Y$2:$Y$1001,MATCH(ROWS($W$2:W494),$W$2:$W$1001,0),0), INDEX($AD$1004:$AU$1004,1,MATCH(COLUMNS($AD$1006:AT1006),$AD$1006:$AU$1006,0)))),"Fix")))</f>
        <v xml:space="preserve"> </v>
      </c>
      <c r="S494" s="4" t="str">
        <f ca="1">IF(OR(INDEX($X$2:$X$1001,MATCH(ROWS($W$2:W494),$W$2:$W$1001,0),1)&gt;=100000,INDEX($AD$1005:$AU$1005,1,MATCH(COLUMNS($AD$1006:AU1006),$AD$1006:$AU$1006,0))&gt;=100000), " ",IF(INDEX($AD$2:$AU$1001,MATCH(ROWS($W$2:W494),$W$2:$W$1001,0),MATCH(COLUMNS($AD$1006:AU1006),$AD$1006:$AU$1006,0)), HYPERLINK("#",""), HYPERLINK(CONCATENATE("#metadata!", ADDRESS(INDEX($Y$2:$Y$1001,MATCH(ROWS($W$2:W494),$W$2:$W$1001,0),0), INDEX($AD$1004:$AU$1004,1,MATCH(COLUMNS($AD$1006:AU1006),$AD$1006:$AU$1006,0)))),"Fix")))</f>
        <v xml:space="preserve"> </v>
      </c>
      <c r="W494">
        <v>493</v>
      </c>
      <c r="X494">
        <v>100494</v>
      </c>
      <c r="Y494">
        <v>494</v>
      </c>
      <c r="Z494" t="b">
        <f t="shared" si="7"/>
        <v>1</v>
      </c>
      <c r="AA494" t="b">
        <f>COUNTBLANK(metadata!B494:S494)=COLUMNS(metadata!B494:S494)</f>
        <v>1</v>
      </c>
      <c r="AB494" t="str">
        <v/>
      </c>
      <c r="AD494" t="b">
        <f ca="1">AND(IF(metadata!B494="",FALSE,TRUE),COUNTIF(metadata!B:B, metadata!B494) = 1,NOT(ISERROR(SUMPRODUCT(SEARCH(MID(metadata!B494,ROW(INDIRECT("1:"&amp;LEN(metadata!B494))), 1),"0123456789abcdefghijklmnopqrstuvwxyzABCDEFGHIJKLMNOPQRSTUVWXYZ.")))))</f>
        <v>0</v>
      </c>
      <c r="AE494" t="b">
        <f>OR(AND(IF(metadata!C494="",FALSE,TRUE),OR(EXACT(metadata!C494,"not applicable"),EXACT(metadata!C494,"missing: not collected"),EXACT(metadata!C494,"missing: not provided"),EXACT(metadata!C494,"missing: restricted access"))),AND(IF(metadata!C494="",FALSE,ISNUMBER(VALUE(metadata!C494))),metadata!C494&gt;0))</f>
        <v>0</v>
      </c>
      <c r="AF494" t="b">
        <f>AND(IF(metadata!D494="",FALSE,TRUE),EXACT(metadata!D494,"missing: not provided"))</f>
        <v>0</v>
      </c>
      <c r="AG494" t="b">
        <f>AND(IF(metadata!E494="",FALSE,TRUE),EXACT(metadata!E494,"Host-associated"))</f>
        <v>0</v>
      </c>
      <c r="AH494" t="b">
        <f>AND(IF(metadata!F494="",FALSE,TRUE),OR(EXACT(metadata!F494,"Animal"),EXACT(metadata!F494,"Fungus"),EXACT(metadata!F494,"Plant")))</f>
        <v>0</v>
      </c>
      <c r="AI494" t="b">
        <f>AND(IF(metadata!G494="",FALSE,TRUE),OR(EXACT(metadata!G494,"Plant secretion"),EXACT(metadata!G494,"Plant rhizosphere"),EXACT(metadata!G494,"Plant surface"),EXACT(metadata!G494,"Plant corpus"),EXACT(metadata!G494,"Fungus surface"),EXACT(metadata!G494,"Fungus corpus"),EXACT(metadata!G494,"Animal surface"),EXACT(metadata!G494,"Animal proximal gut"),EXACT(metadata!G494,"Animal corpus"),EXACT(metadata!G494,"Animal distal gut"),EXACT(metadata!G494,"Animal secretion")))</f>
        <v>0</v>
      </c>
      <c r="AJ494" t="b">
        <f>OR(AND(IF(metadata!H494="",FALSE,TRUE),OR(EXACT(metadata!H494,"missing: not collected"),EXACT(metadata!H494,"missing: not provided"),EXACT(metadata!H494,"missing: restricted access"))),AND(IF(metadata!H494="",FALSE,TRUE),OR(EXACT(metadata!H494,"organism-associated habitat"),EXACT(metadata!H494,"plant-associated habitat"),EXACT(metadata!H494,"animal-associated habitat"),EXACT(metadata!H494,"insecta-associated habitat"),EXACT(metadata!H494,"mammalia-associated habitat"),EXACT(metadata!H494,"human-associated habitat"),EXACT(metadata!H494,"livestock-associated habitat"))))</f>
        <v>0</v>
      </c>
      <c r="AK494" t="b">
        <f>AND(IF(metadata!I494="",FALSE,TRUE),EXACT(metadata!I494,"host-associated"))</f>
        <v>0</v>
      </c>
      <c r="AL494" t="b">
        <f>OR(AND(IF(metadata!J494="",FALSE,TRUE),OR(EXACT(metadata!J494,"not applicable"),EXACT(metadata!J494,"missing: not collected"),EXACT(metadata!J494,"missing: not provided"),EXACT(metadata!J494,"missing: restricted access"))),AND(IF(metadata!J494="",FALSE,ISNUMBER(VALUE(metadata!J494))),metadata!J494&gt;0))</f>
        <v>0</v>
      </c>
      <c r="AM494" t="b">
        <f>AND(IF(metadata!K494="",FALSE,TRUE),EXACT(metadata!K494,"missing: not provided"))</f>
        <v>0</v>
      </c>
      <c r="AN494" t="b">
        <f>IF(metadata!L494="",FALSE,TRUE)</f>
        <v>0</v>
      </c>
      <c r="AO494" t="b">
        <f>IF(metadata!M494="",FALSE,TRUE)</f>
        <v>0</v>
      </c>
      <c r="AP494" t="b">
        <f>OR(AND(IF(metadata!N494="",FALSE,TRUE),OR(EXACT(metadata!N494,"not applicable"),EXACT(metadata!N494,"missing: not collected"),EXACT(metadata!N494,"missing: not provided"))),AND(IF(metadata!N494="",FALSE,IF(ISERROR(INT(metadata!N494)),FALSE,INT(metadata!N494)=metadata!N494)),metadata!N494&gt;0))</f>
        <v>0</v>
      </c>
      <c r="AQ494" t="b">
        <f>AND(IF(metadata!O494="",FALSE,TRUE),EXACT(metadata!O494,"Not applicable"))</f>
        <v>0</v>
      </c>
      <c r="AR494" t="b">
        <f>OR(AND(IF(metadata!P494="",FALSE,TRUE),OR(EXACT(metadata!P494,"not applicable"),EXACT(metadata!P494,"missing: not collected"),EXACT(metadata!P494,"missing: not provided"),EXACT(metadata!P494,"missing: restricted access"))),IF(metadata!P494="",FALSE,IF(ISERROR(INT(metadata!P494)),FALSE,INT(metadata!P494)=metadata!P494)))</f>
        <v>0</v>
      </c>
      <c r="AS494" t="b">
        <f>AND(IF(metadata!Q494="",FALSE,TRUE),EXACT(metadata!Q494,"Not applicable"))</f>
        <v>0</v>
      </c>
      <c r="AT494" t="b">
        <f>OR(AND(IF(metadata!R494="",FALSE,TRUE),OR(EXACT(metadata!R494,"not applicable"),EXACT(metadata!R494,"missing: not collected"),EXACT(metadata!R494,"missing: not provided"),EXACT(metadata!R494,"missing: restricted access"))),AND(IF(metadata!R494="",FALSE,ISNUMBER(VALUE(metadata!R494))),metadata!R494&gt;0))</f>
        <v>0</v>
      </c>
      <c r="AU494" t="b">
        <f>AND(IF(metadata!S494="",FALSE,TRUE),EXACT(metadata!S494,"missing: not provided"))</f>
        <v>0</v>
      </c>
    </row>
    <row r="495" spans="1:47" x14ac:dyDescent="0.2">
      <c r="A495" s="5" t="str">
        <f ca="1">IF(B495=" "," ",HYPERLINK(CONCATENATE("#metadata!",ADDRESS(INDEX($Y$2:$Y$1001,MATCH(ROWS($W$2:W495),$W$2:$W$1001,0),0),1)),INDEX($AB$2:$AB$1001,MATCH(ROWS($W$2:W495),$W$2:$W$1001,0),0)))</f>
        <v xml:space="preserve"> </v>
      </c>
      <c r="B495" s="4" t="str">
        <f ca="1">IF(OR(INDEX($X$2:$X$1001,MATCH(ROWS($W$2:W495),$W$2:$W$1001,0),1)&gt;=100000,INDEX($AD$1005:$AU$1005,1,MATCH(COLUMNS($AD$1006:AD1006),$AD$1006:$AU$1006,0))&gt;=100000), " ",IF(INDEX($AD$2:$AU$1001,MATCH(ROWS($W$2:W495),$W$2:$W$1001,0),MATCH(COLUMNS($AD$1006:AD1006),$AD$1006:$AU$1006,0)), HYPERLINK("#",""), HYPERLINK(CONCATENATE("#metadata!", ADDRESS(INDEX($Y$2:$Y$1001,MATCH(ROWS($W$2:W495),$W$2:$W$1001,0),0), INDEX($AD$1004:$AU$1004,1,MATCH(COLUMNS($AD$1006:AD1006),$AD$1006:$AU$1006,0)))),"Fix")))</f>
        <v xml:space="preserve"> </v>
      </c>
      <c r="C495" s="4" t="str">
        <f ca="1">IF(OR(INDEX($X$2:$X$1001,MATCH(ROWS($W$2:W495),$W$2:$W$1001,0),1)&gt;=100000,INDEX($AD$1005:$AU$1005,1,MATCH(COLUMNS($AD$1006:AE1006),$AD$1006:$AU$1006,0))&gt;=100000), " ",IF(INDEX($AD$2:$AU$1001,MATCH(ROWS($W$2:W495),$W$2:$W$1001,0),MATCH(COLUMNS($AD$1006:AE1006),$AD$1006:$AU$1006,0)), HYPERLINK("#",""), HYPERLINK(CONCATENATE("#metadata!", ADDRESS(INDEX($Y$2:$Y$1001,MATCH(ROWS($W$2:W495),$W$2:$W$1001,0),0), INDEX($AD$1004:$AU$1004,1,MATCH(COLUMNS($AD$1006:AE1006),$AD$1006:$AU$1006,0)))),"Fix")))</f>
        <v xml:space="preserve"> </v>
      </c>
      <c r="D495" s="4" t="str">
        <f ca="1">IF(OR(INDEX($X$2:$X$1001,MATCH(ROWS($W$2:W495),$W$2:$W$1001,0),1)&gt;=100000,INDEX($AD$1005:$AU$1005,1,MATCH(COLUMNS($AD$1006:AF1006),$AD$1006:$AU$1006,0))&gt;=100000), " ",IF(INDEX($AD$2:$AU$1001,MATCH(ROWS($W$2:W495),$W$2:$W$1001,0),MATCH(COLUMNS($AD$1006:AF1006),$AD$1006:$AU$1006,0)), HYPERLINK("#",""), HYPERLINK(CONCATENATE("#metadata!", ADDRESS(INDEX($Y$2:$Y$1001,MATCH(ROWS($W$2:W495),$W$2:$W$1001,0),0), INDEX($AD$1004:$AU$1004,1,MATCH(COLUMNS($AD$1006:AF1006),$AD$1006:$AU$1006,0)))),"Fix")))</f>
        <v xml:space="preserve"> </v>
      </c>
      <c r="E495" s="4" t="str">
        <f ca="1">IF(OR(INDEX($X$2:$X$1001,MATCH(ROWS($W$2:W495),$W$2:$W$1001,0),1)&gt;=100000,INDEX($AD$1005:$AU$1005,1,MATCH(COLUMNS($AD$1006:AG1006),$AD$1006:$AU$1006,0))&gt;=100000), " ",IF(INDEX($AD$2:$AU$1001,MATCH(ROWS($W$2:W495),$W$2:$W$1001,0),MATCH(COLUMNS($AD$1006:AG1006),$AD$1006:$AU$1006,0)), HYPERLINK("#",""), HYPERLINK(CONCATENATE("#metadata!", ADDRESS(INDEX($Y$2:$Y$1001,MATCH(ROWS($W$2:W495),$W$2:$W$1001,0),0), INDEX($AD$1004:$AU$1004,1,MATCH(COLUMNS($AD$1006:AG1006),$AD$1006:$AU$1006,0)))),"Fix")))</f>
        <v xml:space="preserve"> </v>
      </c>
      <c r="F495" s="4" t="str">
        <f ca="1">IF(OR(INDEX($X$2:$X$1001,MATCH(ROWS($W$2:W495),$W$2:$W$1001,0),1)&gt;=100000,INDEX($AD$1005:$AU$1005,1,MATCH(COLUMNS($AD$1006:AH1006),$AD$1006:$AU$1006,0))&gt;=100000), " ",IF(INDEX($AD$2:$AU$1001,MATCH(ROWS($W$2:W495),$W$2:$W$1001,0),MATCH(COLUMNS($AD$1006:AH1006),$AD$1006:$AU$1006,0)), HYPERLINK("#",""), HYPERLINK(CONCATENATE("#metadata!", ADDRESS(INDEX($Y$2:$Y$1001,MATCH(ROWS($W$2:W495),$W$2:$W$1001,0),0), INDEX($AD$1004:$AU$1004,1,MATCH(COLUMNS($AD$1006:AH1006),$AD$1006:$AU$1006,0)))),"Fix")))</f>
        <v xml:space="preserve"> </v>
      </c>
      <c r="G495" s="4" t="str">
        <f ca="1">IF(OR(INDEX($X$2:$X$1001,MATCH(ROWS($W$2:W495),$W$2:$W$1001,0),1)&gt;=100000,INDEX($AD$1005:$AU$1005,1,MATCH(COLUMNS($AD$1006:AI1006),$AD$1006:$AU$1006,0))&gt;=100000), " ",IF(INDEX($AD$2:$AU$1001,MATCH(ROWS($W$2:W495),$W$2:$W$1001,0),MATCH(COLUMNS($AD$1006:AI1006),$AD$1006:$AU$1006,0)), HYPERLINK("#",""), HYPERLINK(CONCATENATE("#metadata!", ADDRESS(INDEX($Y$2:$Y$1001,MATCH(ROWS($W$2:W495),$W$2:$W$1001,0),0), INDEX($AD$1004:$AU$1004,1,MATCH(COLUMNS($AD$1006:AI1006),$AD$1006:$AU$1006,0)))),"Fix")))</f>
        <v xml:space="preserve"> </v>
      </c>
      <c r="H495" s="4" t="str">
        <f ca="1">IF(OR(INDEX($X$2:$X$1001,MATCH(ROWS($W$2:W495),$W$2:$W$1001,0),1)&gt;=100000,INDEX($AD$1005:$AU$1005,1,MATCH(COLUMNS($AD$1006:AJ1006),$AD$1006:$AU$1006,0))&gt;=100000), " ",IF(INDEX($AD$2:$AU$1001,MATCH(ROWS($W$2:W495),$W$2:$W$1001,0),MATCH(COLUMNS($AD$1006:AJ1006),$AD$1006:$AU$1006,0)), HYPERLINK("#",""), HYPERLINK(CONCATENATE("#metadata!", ADDRESS(INDEX($Y$2:$Y$1001,MATCH(ROWS($W$2:W495),$W$2:$W$1001,0),0), INDEX($AD$1004:$AU$1004,1,MATCH(COLUMNS($AD$1006:AJ1006),$AD$1006:$AU$1006,0)))),"Fix")))</f>
        <v xml:space="preserve"> </v>
      </c>
      <c r="I495" s="4" t="str">
        <f ca="1">IF(OR(INDEX($X$2:$X$1001,MATCH(ROWS($W$2:W495),$W$2:$W$1001,0),1)&gt;=100000,INDEX($AD$1005:$AU$1005,1,MATCH(COLUMNS($AD$1006:AK1006),$AD$1006:$AU$1006,0))&gt;=100000), " ",IF(INDEX($AD$2:$AU$1001,MATCH(ROWS($W$2:W495),$W$2:$W$1001,0),MATCH(COLUMNS($AD$1006:AK1006),$AD$1006:$AU$1006,0)), HYPERLINK("#",""), HYPERLINK(CONCATENATE("#metadata!", ADDRESS(INDEX($Y$2:$Y$1001,MATCH(ROWS($W$2:W495),$W$2:$W$1001,0),0), INDEX($AD$1004:$AU$1004,1,MATCH(COLUMNS($AD$1006:AK1006),$AD$1006:$AU$1006,0)))),"Fix")))</f>
        <v xml:space="preserve"> </v>
      </c>
      <c r="J495" s="4" t="str">
        <f ca="1">IF(OR(INDEX($X$2:$X$1001,MATCH(ROWS($W$2:W495),$W$2:$W$1001,0),1)&gt;=100000,INDEX($AD$1005:$AU$1005,1,MATCH(COLUMNS($AD$1006:AL1006),$AD$1006:$AU$1006,0))&gt;=100000), " ",IF(INDEX($AD$2:$AU$1001,MATCH(ROWS($W$2:W495),$W$2:$W$1001,0),MATCH(COLUMNS($AD$1006:AL1006),$AD$1006:$AU$1006,0)), HYPERLINK("#",""), HYPERLINK(CONCATENATE("#metadata!", ADDRESS(INDEX($Y$2:$Y$1001,MATCH(ROWS($W$2:W495),$W$2:$W$1001,0),0), INDEX($AD$1004:$AU$1004,1,MATCH(COLUMNS($AD$1006:AL1006),$AD$1006:$AU$1006,0)))),"Fix")))</f>
        <v xml:space="preserve"> </v>
      </c>
      <c r="K495" s="4" t="str">
        <f ca="1">IF(OR(INDEX($X$2:$X$1001,MATCH(ROWS($W$2:W495),$W$2:$W$1001,0),1)&gt;=100000,INDEX($AD$1005:$AU$1005,1,MATCH(COLUMNS($AD$1006:AM1006),$AD$1006:$AU$1006,0))&gt;=100000), " ",IF(INDEX($AD$2:$AU$1001,MATCH(ROWS($W$2:W495),$W$2:$W$1001,0),MATCH(COLUMNS($AD$1006:AM1006),$AD$1006:$AU$1006,0)), HYPERLINK("#",""), HYPERLINK(CONCATENATE("#metadata!", ADDRESS(INDEX($Y$2:$Y$1001,MATCH(ROWS($W$2:W495),$W$2:$W$1001,0),0), INDEX($AD$1004:$AU$1004,1,MATCH(COLUMNS($AD$1006:AM1006),$AD$1006:$AU$1006,0)))),"Fix")))</f>
        <v xml:space="preserve"> </v>
      </c>
      <c r="L495" s="4" t="str">
        <f ca="1">IF(OR(INDEX($X$2:$X$1001,MATCH(ROWS($W$2:W495),$W$2:$W$1001,0),1)&gt;=100000,INDEX($AD$1005:$AU$1005,1,MATCH(COLUMNS($AD$1006:AN1006),$AD$1006:$AU$1006,0))&gt;=100000), " ",IF(INDEX($AD$2:$AU$1001,MATCH(ROWS($W$2:W495),$W$2:$W$1001,0),MATCH(COLUMNS($AD$1006:AN1006),$AD$1006:$AU$1006,0)), HYPERLINK("#",""), HYPERLINK(CONCATENATE("#metadata!", ADDRESS(INDEX($Y$2:$Y$1001,MATCH(ROWS($W$2:W495),$W$2:$W$1001,0),0), INDEX($AD$1004:$AU$1004,1,MATCH(COLUMNS($AD$1006:AN1006),$AD$1006:$AU$1006,0)))),"Fix")))</f>
        <v xml:space="preserve"> </v>
      </c>
      <c r="M495" s="4" t="str">
        <f ca="1">IF(OR(INDEX($X$2:$X$1001,MATCH(ROWS($W$2:W495),$W$2:$W$1001,0),1)&gt;=100000,INDEX($AD$1005:$AU$1005,1,MATCH(COLUMNS($AD$1006:AO1006),$AD$1006:$AU$1006,0))&gt;=100000), " ",IF(INDEX($AD$2:$AU$1001,MATCH(ROWS($W$2:W495),$W$2:$W$1001,0),MATCH(COLUMNS($AD$1006:AO1006),$AD$1006:$AU$1006,0)), HYPERLINK("#",""), HYPERLINK(CONCATENATE("#metadata!", ADDRESS(INDEX($Y$2:$Y$1001,MATCH(ROWS($W$2:W495),$W$2:$W$1001,0),0), INDEX($AD$1004:$AU$1004,1,MATCH(COLUMNS($AD$1006:AO1006),$AD$1006:$AU$1006,0)))),"Fix")))</f>
        <v xml:space="preserve"> </v>
      </c>
      <c r="N495" s="4" t="str">
        <f ca="1">IF(OR(INDEX($X$2:$X$1001,MATCH(ROWS($W$2:W495),$W$2:$W$1001,0),1)&gt;=100000,INDEX($AD$1005:$AU$1005,1,MATCH(COLUMNS($AD$1006:AP1006),$AD$1006:$AU$1006,0))&gt;=100000), " ",IF(INDEX($AD$2:$AU$1001,MATCH(ROWS($W$2:W495),$W$2:$W$1001,0),MATCH(COLUMNS($AD$1006:AP1006),$AD$1006:$AU$1006,0)), HYPERLINK("#",""), HYPERLINK(CONCATENATE("#metadata!", ADDRESS(INDEX($Y$2:$Y$1001,MATCH(ROWS($W$2:W495),$W$2:$W$1001,0),0), INDEX($AD$1004:$AU$1004,1,MATCH(COLUMNS($AD$1006:AP1006),$AD$1006:$AU$1006,0)))),"Fix")))</f>
        <v xml:space="preserve"> </v>
      </c>
      <c r="O495" s="4" t="str">
        <f ca="1">IF(OR(INDEX($X$2:$X$1001,MATCH(ROWS($W$2:W495),$W$2:$W$1001,0),1)&gt;=100000,INDEX($AD$1005:$AU$1005,1,MATCH(COLUMNS($AD$1006:AQ1006),$AD$1006:$AU$1006,0))&gt;=100000), " ",IF(INDEX($AD$2:$AU$1001,MATCH(ROWS($W$2:W495),$W$2:$W$1001,0),MATCH(COLUMNS($AD$1006:AQ1006),$AD$1006:$AU$1006,0)), HYPERLINK("#",""), HYPERLINK(CONCATENATE("#metadata!", ADDRESS(INDEX($Y$2:$Y$1001,MATCH(ROWS($W$2:W495),$W$2:$W$1001,0),0), INDEX($AD$1004:$AU$1004,1,MATCH(COLUMNS($AD$1006:AQ1006),$AD$1006:$AU$1006,0)))),"Fix")))</f>
        <v xml:space="preserve"> </v>
      </c>
      <c r="P495" s="4" t="str">
        <f ca="1">IF(OR(INDEX($X$2:$X$1001,MATCH(ROWS($W$2:W495),$W$2:$W$1001,0),1)&gt;=100000,INDEX($AD$1005:$AU$1005,1,MATCH(COLUMNS($AD$1006:AR1006),$AD$1006:$AU$1006,0))&gt;=100000), " ",IF(INDEX($AD$2:$AU$1001,MATCH(ROWS($W$2:W495),$W$2:$W$1001,0),MATCH(COLUMNS($AD$1006:AR1006),$AD$1006:$AU$1006,0)), HYPERLINK("#",""), HYPERLINK(CONCATENATE("#metadata!", ADDRESS(INDEX($Y$2:$Y$1001,MATCH(ROWS($W$2:W495),$W$2:$W$1001,0),0), INDEX($AD$1004:$AU$1004,1,MATCH(COLUMNS($AD$1006:AR1006),$AD$1006:$AU$1006,0)))),"Fix")))</f>
        <v xml:space="preserve"> </v>
      </c>
      <c r="Q495" s="4" t="str">
        <f ca="1">IF(OR(INDEX($X$2:$X$1001,MATCH(ROWS($W$2:W495),$W$2:$W$1001,0),1)&gt;=100000,INDEX($AD$1005:$AU$1005,1,MATCH(COLUMNS($AD$1006:AS1006),$AD$1006:$AU$1006,0))&gt;=100000), " ",IF(INDEX($AD$2:$AU$1001,MATCH(ROWS($W$2:W495),$W$2:$W$1001,0),MATCH(COLUMNS($AD$1006:AS1006),$AD$1006:$AU$1006,0)), HYPERLINK("#",""), HYPERLINK(CONCATENATE("#metadata!", ADDRESS(INDEX($Y$2:$Y$1001,MATCH(ROWS($W$2:W495),$W$2:$W$1001,0),0), INDEX($AD$1004:$AU$1004,1,MATCH(COLUMNS($AD$1006:AS1006),$AD$1006:$AU$1006,0)))),"Fix")))</f>
        <v xml:space="preserve"> </v>
      </c>
      <c r="R495" s="4" t="str">
        <f ca="1">IF(OR(INDEX($X$2:$X$1001,MATCH(ROWS($W$2:W495),$W$2:$W$1001,0),1)&gt;=100000,INDEX($AD$1005:$AU$1005,1,MATCH(COLUMNS($AD$1006:AT1006),$AD$1006:$AU$1006,0))&gt;=100000), " ",IF(INDEX($AD$2:$AU$1001,MATCH(ROWS($W$2:W495),$W$2:$W$1001,0),MATCH(COLUMNS($AD$1006:AT1006),$AD$1006:$AU$1006,0)), HYPERLINK("#",""), HYPERLINK(CONCATENATE("#metadata!", ADDRESS(INDEX($Y$2:$Y$1001,MATCH(ROWS($W$2:W495),$W$2:$W$1001,0),0), INDEX($AD$1004:$AU$1004,1,MATCH(COLUMNS($AD$1006:AT1006),$AD$1006:$AU$1006,0)))),"Fix")))</f>
        <v xml:space="preserve"> </v>
      </c>
      <c r="S495" s="4" t="str">
        <f ca="1">IF(OR(INDEX($X$2:$X$1001,MATCH(ROWS($W$2:W495),$W$2:$W$1001,0),1)&gt;=100000,INDEX($AD$1005:$AU$1005,1,MATCH(COLUMNS($AD$1006:AU1006),$AD$1006:$AU$1006,0))&gt;=100000), " ",IF(INDEX($AD$2:$AU$1001,MATCH(ROWS($W$2:W495),$W$2:$W$1001,0),MATCH(COLUMNS($AD$1006:AU1006),$AD$1006:$AU$1006,0)), HYPERLINK("#",""), HYPERLINK(CONCATENATE("#metadata!", ADDRESS(INDEX($Y$2:$Y$1001,MATCH(ROWS($W$2:W495),$W$2:$W$1001,0),0), INDEX($AD$1004:$AU$1004,1,MATCH(COLUMNS($AD$1006:AU1006),$AD$1006:$AU$1006,0)))),"Fix")))</f>
        <v xml:space="preserve"> </v>
      </c>
      <c r="W495">
        <v>494</v>
      </c>
      <c r="X495">
        <v>100495</v>
      </c>
      <c r="Y495">
        <v>495</v>
      </c>
      <c r="Z495" t="b">
        <f t="shared" si="7"/>
        <v>1</v>
      </c>
      <c r="AA495" t="b">
        <f>COUNTBLANK(metadata!B495:S495)=COLUMNS(metadata!B495:S495)</f>
        <v>1</v>
      </c>
      <c r="AB495" t="str">
        <v/>
      </c>
      <c r="AD495" t="b">
        <f ca="1">AND(IF(metadata!B495="",FALSE,TRUE),COUNTIF(metadata!B:B, metadata!B495) = 1,NOT(ISERROR(SUMPRODUCT(SEARCH(MID(metadata!B495,ROW(INDIRECT("1:"&amp;LEN(metadata!B495))), 1),"0123456789abcdefghijklmnopqrstuvwxyzABCDEFGHIJKLMNOPQRSTUVWXYZ.")))))</f>
        <v>0</v>
      </c>
      <c r="AE495" t="b">
        <f>OR(AND(IF(metadata!C495="",FALSE,TRUE),OR(EXACT(metadata!C495,"not applicable"),EXACT(metadata!C495,"missing: not collected"),EXACT(metadata!C495,"missing: not provided"),EXACT(metadata!C495,"missing: restricted access"))),AND(IF(metadata!C495="",FALSE,ISNUMBER(VALUE(metadata!C495))),metadata!C495&gt;0))</f>
        <v>0</v>
      </c>
      <c r="AF495" t="b">
        <f>AND(IF(metadata!D495="",FALSE,TRUE),EXACT(metadata!D495,"missing: not provided"))</f>
        <v>0</v>
      </c>
      <c r="AG495" t="b">
        <f>AND(IF(metadata!E495="",FALSE,TRUE),EXACT(metadata!E495,"Host-associated"))</f>
        <v>0</v>
      </c>
      <c r="AH495" t="b">
        <f>AND(IF(metadata!F495="",FALSE,TRUE),OR(EXACT(metadata!F495,"Animal"),EXACT(metadata!F495,"Fungus"),EXACT(metadata!F495,"Plant")))</f>
        <v>0</v>
      </c>
      <c r="AI495" t="b">
        <f>AND(IF(metadata!G495="",FALSE,TRUE),OR(EXACT(metadata!G495,"Plant secretion"),EXACT(metadata!G495,"Plant rhizosphere"),EXACT(metadata!G495,"Plant surface"),EXACT(metadata!G495,"Plant corpus"),EXACT(metadata!G495,"Fungus surface"),EXACT(metadata!G495,"Fungus corpus"),EXACT(metadata!G495,"Animal surface"),EXACT(metadata!G495,"Animal proximal gut"),EXACT(metadata!G495,"Animal corpus"),EXACT(metadata!G495,"Animal distal gut"),EXACT(metadata!G495,"Animal secretion")))</f>
        <v>0</v>
      </c>
      <c r="AJ495" t="b">
        <f>OR(AND(IF(metadata!H495="",FALSE,TRUE),OR(EXACT(metadata!H495,"missing: not collected"),EXACT(metadata!H495,"missing: not provided"),EXACT(metadata!H495,"missing: restricted access"))),AND(IF(metadata!H495="",FALSE,TRUE),OR(EXACT(metadata!H495,"organism-associated habitat"),EXACT(metadata!H495,"plant-associated habitat"),EXACT(metadata!H495,"animal-associated habitat"),EXACT(metadata!H495,"insecta-associated habitat"),EXACT(metadata!H495,"mammalia-associated habitat"),EXACT(metadata!H495,"human-associated habitat"),EXACT(metadata!H495,"livestock-associated habitat"))))</f>
        <v>0</v>
      </c>
      <c r="AK495" t="b">
        <f>AND(IF(metadata!I495="",FALSE,TRUE),EXACT(metadata!I495,"host-associated"))</f>
        <v>0</v>
      </c>
      <c r="AL495" t="b">
        <f>OR(AND(IF(metadata!J495="",FALSE,TRUE),OR(EXACT(metadata!J495,"not applicable"),EXACT(metadata!J495,"missing: not collected"),EXACT(metadata!J495,"missing: not provided"),EXACT(metadata!J495,"missing: restricted access"))),AND(IF(metadata!J495="",FALSE,ISNUMBER(VALUE(metadata!J495))),metadata!J495&gt;0))</f>
        <v>0</v>
      </c>
      <c r="AM495" t="b">
        <f>AND(IF(metadata!K495="",FALSE,TRUE),EXACT(metadata!K495,"missing: not provided"))</f>
        <v>0</v>
      </c>
      <c r="AN495" t="b">
        <f>IF(metadata!L495="",FALSE,TRUE)</f>
        <v>0</v>
      </c>
      <c r="AO495" t="b">
        <f>IF(metadata!M495="",FALSE,TRUE)</f>
        <v>0</v>
      </c>
      <c r="AP495" t="b">
        <f>OR(AND(IF(metadata!N495="",FALSE,TRUE),OR(EXACT(metadata!N495,"not applicable"),EXACT(metadata!N495,"missing: not collected"),EXACT(metadata!N495,"missing: not provided"))),AND(IF(metadata!N495="",FALSE,IF(ISERROR(INT(metadata!N495)),FALSE,INT(metadata!N495)=metadata!N495)),metadata!N495&gt;0))</f>
        <v>0</v>
      </c>
      <c r="AQ495" t="b">
        <f>AND(IF(metadata!O495="",FALSE,TRUE),EXACT(metadata!O495,"Not applicable"))</f>
        <v>0</v>
      </c>
      <c r="AR495" t="b">
        <f>OR(AND(IF(metadata!P495="",FALSE,TRUE),OR(EXACT(metadata!P495,"not applicable"),EXACT(metadata!P495,"missing: not collected"),EXACT(metadata!P495,"missing: not provided"),EXACT(metadata!P495,"missing: restricted access"))),IF(metadata!P495="",FALSE,IF(ISERROR(INT(metadata!P495)),FALSE,INT(metadata!P495)=metadata!P495)))</f>
        <v>0</v>
      </c>
      <c r="AS495" t="b">
        <f>AND(IF(metadata!Q495="",FALSE,TRUE),EXACT(metadata!Q495,"Not applicable"))</f>
        <v>0</v>
      </c>
      <c r="AT495" t="b">
        <f>OR(AND(IF(metadata!R495="",FALSE,TRUE),OR(EXACT(metadata!R495,"not applicable"),EXACT(metadata!R495,"missing: not collected"),EXACT(metadata!R495,"missing: not provided"),EXACT(metadata!R495,"missing: restricted access"))),AND(IF(metadata!R495="",FALSE,ISNUMBER(VALUE(metadata!R495))),metadata!R495&gt;0))</f>
        <v>0</v>
      </c>
      <c r="AU495" t="b">
        <f>AND(IF(metadata!S495="",FALSE,TRUE),EXACT(metadata!S495,"missing: not provided"))</f>
        <v>0</v>
      </c>
    </row>
    <row r="496" spans="1:47" x14ac:dyDescent="0.2">
      <c r="A496" s="5" t="str">
        <f ca="1">IF(B496=" "," ",HYPERLINK(CONCATENATE("#metadata!",ADDRESS(INDEX($Y$2:$Y$1001,MATCH(ROWS($W$2:W496),$W$2:$W$1001,0),0),1)),INDEX($AB$2:$AB$1001,MATCH(ROWS($W$2:W496),$W$2:$W$1001,0),0)))</f>
        <v xml:space="preserve"> </v>
      </c>
      <c r="B496" s="4" t="str">
        <f ca="1">IF(OR(INDEX($X$2:$X$1001,MATCH(ROWS($W$2:W496),$W$2:$W$1001,0),1)&gt;=100000,INDEX($AD$1005:$AU$1005,1,MATCH(COLUMNS($AD$1006:AD1006),$AD$1006:$AU$1006,0))&gt;=100000), " ",IF(INDEX($AD$2:$AU$1001,MATCH(ROWS($W$2:W496),$W$2:$W$1001,0),MATCH(COLUMNS($AD$1006:AD1006),$AD$1006:$AU$1006,0)), HYPERLINK("#",""), HYPERLINK(CONCATENATE("#metadata!", ADDRESS(INDEX($Y$2:$Y$1001,MATCH(ROWS($W$2:W496),$W$2:$W$1001,0),0), INDEX($AD$1004:$AU$1004,1,MATCH(COLUMNS($AD$1006:AD1006),$AD$1006:$AU$1006,0)))),"Fix")))</f>
        <v xml:space="preserve"> </v>
      </c>
      <c r="C496" s="4" t="str">
        <f ca="1">IF(OR(INDEX($X$2:$X$1001,MATCH(ROWS($W$2:W496),$W$2:$W$1001,0),1)&gt;=100000,INDEX($AD$1005:$AU$1005,1,MATCH(COLUMNS($AD$1006:AE1006),$AD$1006:$AU$1006,0))&gt;=100000), " ",IF(INDEX($AD$2:$AU$1001,MATCH(ROWS($W$2:W496),$W$2:$W$1001,0),MATCH(COLUMNS($AD$1006:AE1006),$AD$1006:$AU$1006,0)), HYPERLINK("#",""), HYPERLINK(CONCATENATE("#metadata!", ADDRESS(INDEX($Y$2:$Y$1001,MATCH(ROWS($W$2:W496),$W$2:$W$1001,0),0), INDEX($AD$1004:$AU$1004,1,MATCH(COLUMNS($AD$1006:AE1006),$AD$1006:$AU$1006,0)))),"Fix")))</f>
        <v xml:space="preserve"> </v>
      </c>
      <c r="D496" s="4" t="str">
        <f ca="1">IF(OR(INDEX($X$2:$X$1001,MATCH(ROWS($W$2:W496),$W$2:$W$1001,0),1)&gt;=100000,INDEX($AD$1005:$AU$1005,1,MATCH(COLUMNS($AD$1006:AF1006),$AD$1006:$AU$1006,0))&gt;=100000), " ",IF(INDEX($AD$2:$AU$1001,MATCH(ROWS($W$2:W496),$W$2:$W$1001,0),MATCH(COLUMNS($AD$1006:AF1006),$AD$1006:$AU$1006,0)), HYPERLINK("#",""), HYPERLINK(CONCATENATE("#metadata!", ADDRESS(INDEX($Y$2:$Y$1001,MATCH(ROWS($W$2:W496),$W$2:$W$1001,0),0), INDEX($AD$1004:$AU$1004,1,MATCH(COLUMNS($AD$1006:AF1006),$AD$1006:$AU$1006,0)))),"Fix")))</f>
        <v xml:space="preserve"> </v>
      </c>
      <c r="E496" s="4" t="str">
        <f ca="1">IF(OR(INDEX($X$2:$X$1001,MATCH(ROWS($W$2:W496),$W$2:$W$1001,0),1)&gt;=100000,INDEX($AD$1005:$AU$1005,1,MATCH(COLUMNS($AD$1006:AG1006),$AD$1006:$AU$1006,0))&gt;=100000), " ",IF(INDEX($AD$2:$AU$1001,MATCH(ROWS($W$2:W496),$W$2:$W$1001,0),MATCH(COLUMNS($AD$1006:AG1006),$AD$1006:$AU$1006,0)), HYPERLINK("#",""), HYPERLINK(CONCATENATE("#metadata!", ADDRESS(INDEX($Y$2:$Y$1001,MATCH(ROWS($W$2:W496),$W$2:$W$1001,0),0), INDEX($AD$1004:$AU$1004,1,MATCH(COLUMNS($AD$1006:AG1006),$AD$1006:$AU$1006,0)))),"Fix")))</f>
        <v xml:space="preserve"> </v>
      </c>
      <c r="F496" s="4" t="str">
        <f ca="1">IF(OR(INDEX($X$2:$X$1001,MATCH(ROWS($W$2:W496),$W$2:$W$1001,0),1)&gt;=100000,INDEX($AD$1005:$AU$1005,1,MATCH(COLUMNS($AD$1006:AH1006),$AD$1006:$AU$1006,0))&gt;=100000), " ",IF(INDEX($AD$2:$AU$1001,MATCH(ROWS($W$2:W496),$W$2:$W$1001,0),MATCH(COLUMNS($AD$1006:AH1006),$AD$1006:$AU$1006,0)), HYPERLINK("#",""), HYPERLINK(CONCATENATE("#metadata!", ADDRESS(INDEX($Y$2:$Y$1001,MATCH(ROWS($W$2:W496),$W$2:$W$1001,0),0), INDEX($AD$1004:$AU$1004,1,MATCH(COLUMNS($AD$1006:AH1006),$AD$1006:$AU$1006,0)))),"Fix")))</f>
        <v xml:space="preserve"> </v>
      </c>
      <c r="G496" s="4" t="str">
        <f ca="1">IF(OR(INDEX($X$2:$X$1001,MATCH(ROWS($W$2:W496),$W$2:$W$1001,0),1)&gt;=100000,INDEX($AD$1005:$AU$1005,1,MATCH(COLUMNS($AD$1006:AI1006),$AD$1006:$AU$1006,0))&gt;=100000), " ",IF(INDEX($AD$2:$AU$1001,MATCH(ROWS($W$2:W496),$W$2:$W$1001,0),MATCH(COLUMNS($AD$1006:AI1006),$AD$1006:$AU$1006,0)), HYPERLINK("#",""), HYPERLINK(CONCATENATE("#metadata!", ADDRESS(INDEX($Y$2:$Y$1001,MATCH(ROWS($W$2:W496),$W$2:$W$1001,0),0), INDEX($AD$1004:$AU$1004,1,MATCH(COLUMNS($AD$1006:AI1006),$AD$1006:$AU$1006,0)))),"Fix")))</f>
        <v xml:space="preserve"> </v>
      </c>
      <c r="H496" s="4" t="str">
        <f ca="1">IF(OR(INDEX($X$2:$X$1001,MATCH(ROWS($W$2:W496),$W$2:$W$1001,0),1)&gt;=100000,INDEX($AD$1005:$AU$1005,1,MATCH(COLUMNS($AD$1006:AJ1006),$AD$1006:$AU$1006,0))&gt;=100000), " ",IF(INDEX($AD$2:$AU$1001,MATCH(ROWS($W$2:W496),$W$2:$W$1001,0),MATCH(COLUMNS($AD$1006:AJ1006),$AD$1006:$AU$1006,0)), HYPERLINK("#",""), HYPERLINK(CONCATENATE("#metadata!", ADDRESS(INDEX($Y$2:$Y$1001,MATCH(ROWS($W$2:W496),$W$2:$W$1001,0),0), INDEX($AD$1004:$AU$1004,1,MATCH(COLUMNS($AD$1006:AJ1006),$AD$1006:$AU$1006,0)))),"Fix")))</f>
        <v xml:space="preserve"> </v>
      </c>
      <c r="I496" s="4" t="str">
        <f ca="1">IF(OR(INDEX($X$2:$X$1001,MATCH(ROWS($W$2:W496),$W$2:$W$1001,0),1)&gt;=100000,INDEX($AD$1005:$AU$1005,1,MATCH(COLUMNS($AD$1006:AK1006),$AD$1006:$AU$1006,0))&gt;=100000), " ",IF(INDEX($AD$2:$AU$1001,MATCH(ROWS($W$2:W496),$W$2:$W$1001,0),MATCH(COLUMNS($AD$1006:AK1006),$AD$1006:$AU$1006,0)), HYPERLINK("#",""), HYPERLINK(CONCATENATE("#metadata!", ADDRESS(INDEX($Y$2:$Y$1001,MATCH(ROWS($W$2:W496),$W$2:$W$1001,0),0), INDEX($AD$1004:$AU$1004,1,MATCH(COLUMNS($AD$1006:AK1006),$AD$1006:$AU$1006,0)))),"Fix")))</f>
        <v xml:space="preserve"> </v>
      </c>
      <c r="J496" s="4" t="str">
        <f ca="1">IF(OR(INDEX($X$2:$X$1001,MATCH(ROWS($W$2:W496),$W$2:$W$1001,0),1)&gt;=100000,INDEX($AD$1005:$AU$1005,1,MATCH(COLUMNS($AD$1006:AL1006),$AD$1006:$AU$1006,0))&gt;=100000), " ",IF(INDEX($AD$2:$AU$1001,MATCH(ROWS($W$2:W496),$W$2:$W$1001,0),MATCH(COLUMNS($AD$1006:AL1006),$AD$1006:$AU$1006,0)), HYPERLINK("#",""), HYPERLINK(CONCATENATE("#metadata!", ADDRESS(INDEX($Y$2:$Y$1001,MATCH(ROWS($W$2:W496),$W$2:$W$1001,0),0), INDEX($AD$1004:$AU$1004,1,MATCH(COLUMNS($AD$1006:AL1006),$AD$1006:$AU$1006,0)))),"Fix")))</f>
        <v xml:space="preserve"> </v>
      </c>
      <c r="K496" s="4" t="str">
        <f ca="1">IF(OR(INDEX($X$2:$X$1001,MATCH(ROWS($W$2:W496),$W$2:$W$1001,0),1)&gt;=100000,INDEX($AD$1005:$AU$1005,1,MATCH(COLUMNS($AD$1006:AM1006),$AD$1006:$AU$1006,0))&gt;=100000), " ",IF(INDEX($AD$2:$AU$1001,MATCH(ROWS($W$2:W496),$W$2:$W$1001,0),MATCH(COLUMNS($AD$1006:AM1006),$AD$1006:$AU$1006,0)), HYPERLINK("#",""), HYPERLINK(CONCATENATE("#metadata!", ADDRESS(INDEX($Y$2:$Y$1001,MATCH(ROWS($W$2:W496),$W$2:$W$1001,0),0), INDEX($AD$1004:$AU$1004,1,MATCH(COLUMNS($AD$1006:AM1006),$AD$1006:$AU$1006,0)))),"Fix")))</f>
        <v xml:space="preserve"> </v>
      </c>
      <c r="L496" s="4" t="str">
        <f ca="1">IF(OR(INDEX($X$2:$X$1001,MATCH(ROWS($W$2:W496),$W$2:$W$1001,0),1)&gt;=100000,INDEX($AD$1005:$AU$1005,1,MATCH(COLUMNS($AD$1006:AN1006),$AD$1006:$AU$1006,0))&gt;=100000), " ",IF(INDEX($AD$2:$AU$1001,MATCH(ROWS($W$2:W496),$W$2:$W$1001,0),MATCH(COLUMNS($AD$1006:AN1006),$AD$1006:$AU$1006,0)), HYPERLINK("#",""), HYPERLINK(CONCATENATE("#metadata!", ADDRESS(INDEX($Y$2:$Y$1001,MATCH(ROWS($W$2:W496),$W$2:$W$1001,0),0), INDEX($AD$1004:$AU$1004,1,MATCH(COLUMNS($AD$1006:AN1006),$AD$1006:$AU$1006,0)))),"Fix")))</f>
        <v xml:space="preserve"> </v>
      </c>
      <c r="M496" s="4" t="str">
        <f ca="1">IF(OR(INDEX($X$2:$X$1001,MATCH(ROWS($W$2:W496),$W$2:$W$1001,0),1)&gt;=100000,INDEX($AD$1005:$AU$1005,1,MATCH(COLUMNS($AD$1006:AO1006),$AD$1006:$AU$1006,0))&gt;=100000), " ",IF(INDEX($AD$2:$AU$1001,MATCH(ROWS($W$2:W496),$W$2:$W$1001,0),MATCH(COLUMNS($AD$1006:AO1006),$AD$1006:$AU$1006,0)), HYPERLINK("#",""), HYPERLINK(CONCATENATE("#metadata!", ADDRESS(INDEX($Y$2:$Y$1001,MATCH(ROWS($W$2:W496),$W$2:$W$1001,0),0), INDEX($AD$1004:$AU$1004,1,MATCH(COLUMNS($AD$1006:AO1006),$AD$1006:$AU$1006,0)))),"Fix")))</f>
        <v xml:space="preserve"> </v>
      </c>
      <c r="N496" s="4" t="str">
        <f ca="1">IF(OR(INDEX($X$2:$X$1001,MATCH(ROWS($W$2:W496),$W$2:$W$1001,0),1)&gt;=100000,INDEX($AD$1005:$AU$1005,1,MATCH(COLUMNS($AD$1006:AP1006),$AD$1006:$AU$1006,0))&gt;=100000), " ",IF(INDEX($AD$2:$AU$1001,MATCH(ROWS($W$2:W496),$W$2:$W$1001,0),MATCH(COLUMNS($AD$1006:AP1006),$AD$1006:$AU$1006,0)), HYPERLINK("#",""), HYPERLINK(CONCATENATE("#metadata!", ADDRESS(INDEX($Y$2:$Y$1001,MATCH(ROWS($W$2:W496),$W$2:$W$1001,0),0), INDEX($AD$1004:$AU$1004,1,MATCH(COLUMNS($AD$1006:AP1006),$AD$1006:$AU$1006,0)))),"Fix")))</f>
        <v xml:space="preserve"> </v>
      </c>
      <c r="O496" s="4" t="str">
        <f ca="1">IF(OR(INDEX($X$2:$X$1001,MATCH(ROWS($W$2:W496),$W$2:$W$1001,0),1)&gt;=100000,INDEX($AD$1005:$AU$1005,1,MATCH(COLUMNS($AD$1006:AQ1006),$AD$1006:$AU$1006,0))&gt;=100000), " ",IF(INDEX($AD$2:$AU$1001,MATCH(ROWS($W$2:W496),$W$2:$W$1001,0),MATCH(COLUMNS($AD$1006:AQ1006),$AD$1006:$AU$1006,0)), HYPERLINK("#",""), HYPERLINK(CONCATENATE("#metadata!", ADDRESS(INDEX($Y$2:$Y$1001,MATCH(ROWS($W$2:W496),$W$2:$W$1001,0),0), INDEX($AD$1004:$AU$1004,1,MATCH(COLUMNS($AD$1006:AQ1006),$AD$1006:$AU$1006,0)))),"Fix")))</f>
        <v xml:space="preserve"> </v>
      </c>
      <c r="P496" s="4" t="str">
        <f ca="1">IF(OR(INDEX($X$2:$X$1001,MATCH(ROWS($W$2:W496),$W$2:$W$1001,0),1)&gt;=100000,INDEX($AD$1005:$AU$1005,1,MATCH(COLUMNS($AD$1006:AR1006),$AD$1006:$AU$1006,0))&gt;=100000), " ",IF(INDEX($AD$2:$AU$1001,MATCH(ROWS($W$2:W496),$W$2:$W$1001,0),MATCH(COLUMNS($AD$1006:AR1006),$AD$1006:$AU$1006,0)), HYPERLINK("#",""), HYPERLINK(CONCATENATE("#metadata!", ADDRESS(INDEX($Y$2:$Y$1001,MATCH(ROWS($W$2:W496),$W$2:$W$1001,0),0), INDEX($AD$1004:$AU$1004,1,MATCH(COLUMNS($AD$1006:AR1006),$AD$1006:$AU$1006,0)))),"Fix")))</f>
        <v xml:space="preserve"> </v>
      </c>
      <c r="Q496" s="4" t="str">
        <f ca="1">IF(OR(INDEX($X$2:$X$1001,MATCH(ROWS($W$2:W496),$W$2:$W$1001,0),1)&gt;=100000,INDEX($AD$1005:$AU$1005,1,MATCH(COLUMNS($AD$1006:AS1006),$AD$1006:$AU$1006,0))&gt;=100000), " ",IF(INDEX($AD$2:$AU$1001,MATCH(ROWS($W$2:W496),$W$2:$W$1001,0),MATCH(COLUMNS($AD$1006:AS1006),$AD$1006:$AU$1006,0)), HYPERLINK("#",""), HYPERLINK(CONCATENATE("#metadata!", ADDRESS(INDEX($Y$2:$Y$1001,MATCH(ROWS($W$2:W496),$W$2:$W$1001,0),0), INDEX($AD$1004:$AU$1004,1,MATCH(COLUMNS($AD$1006:AS1006),$AD$1006:$AU$1006,0)))),"Fix")))</f>
        <v xml:space="preserve"> </v>
      </c>
      <c r="R496" s="4" t="str">
        <f ca="1">IF(OR(INDEX($X$2:$X$1001,MATCH(ROWS($W$2:W496),$W$2:$W$1001,0),1)&gt;=100000,INDEX($AD$1005:$AU$1005,1,MATCH(COLUMNS($AD$1006:AT1006),$AD$1006:$AU$1006,0))&gt;=100000), " ",IF(INDEX($AD$2:$AU$1001,MATCH(ROWS($W$2:W496),$W$2:$W$1001,0),MATCH(COLUMNS($AD$1006:AT1006),$AD$1006:$AU$1006,0)), HYPERLINK("#",""), HYPERLINK(CONCATENATE("#metadata!", ADDRESS(INDEX($Y$2:$Y$1001,MATCH(ROWS($W$2:W496),$W$2:$W$1001,0),0), INDEX($AD$1004:$AU$1004,1,MATCH(COLUMNS($AD$1006:AT1006),$AD$1006:$AU$1006,0)))),"Fix")))</f>
        <v xml:space="preserve"> </v>
      </c>
      <c r="S496" s="4" t="str">
        <f ca="1">IF(OR(INDEX($X$2:$X$1001,MATCH(ROWS($W$2:W496),$W$2:$W$1001,0),1)&gt;=100000,INDEX($AD$1005:$AU$1005,1,MATCH(COLUMNS($AD$1006:AU1006),$AD$1006:$AU$1006,0))&gt;=100000), " ",IF(INDEX($AD$2:$AU$1001,MATCH(ROWS($W$2:W496),$W$2:$W$1001,0),MATCH(COLUMNS($AD$1006:AU1006),$AD$1006:$AU$1006,0)), HYPERLINK("#",""), HYPERLINK(CONCATENATE("#metadata!", ADDRESS(INDEX($Y$2:$Y$1001,MATCH(ROWS($W$2:W496),$W$2:$W$1001,0),0), INDEX($AD$1004:$AU$1004,1,MATCH(COLUMNS($AD$1006:AU1006),$AD$1006:$AU$1006,0)))),"Fix")))</f>
        <v xml:space="preserve"> </v>
      </c>
      <c r="W496">
        <v>495</v>
      </c>
      <c r="X496">
        <v>100496</v>
      </c>
      <c r="Y496">
        <v>496</v>
      </c>
      <c r="Z496" t="b">
        <f t="shared" si="7"/>
        <v>1</v>
      </c>
      <c r="AA496" t="b">
        <f>COUNTBLANK(metadata!B496:S496)=COLUMNS(metadata!B496:S496)</f>
        <v>1</v>
      </c>
      <c r="AB496" t="str">
        <v/>
      </c>
      <c r="AD496" t="b">
        <f ca="1">AND(IF(metadata!B496="",FALSE,TRUE),COUNTIF(metadata!B:B, metadata!B496) = 1,NOT(ISERROR(SUMPRODUCT(SEARCH(MID(metadata!B496,ROW(INDIRECT("1:"&amp;LEN(metadata!B496))), 1),"0123456789abcdefghijklmnopqrstuvwxyzABCDEFGHIJKLMNOPQRSTUVWXYZ.")))))</f>
        <v>0</v>
      </c>
      <c r="AE496" t="b">
        <f>OR(AND(IF(metadata!C496="",FALSE,TRUE),OR(EXACT(metadata!C496,"not applicable"),EXACT(metadata!C496,"missing: not collected"),EXACT(metadata!C496,"missing: not provided"),EXACT(metadata!C496,"missing: restricted access"))),AND(IF(metadata!C496="",FALSE,ISNUMBER(VALUE(metadata!C496))),metadata!C496&gt;0))</f>
        <v>0</v>
      </c>
      <c r="AF496" t="b">
        <f>AND(IF(metadata!D496="",FALSE,TRUE),EXACT(metadata!D496,"missing: not provided"))</f>
        <v>0</v>
      </c>
      <c r="AG496" t="b">
        <f>AND(IF(metadata!E496="",FALSE,TRUE),EXACT(metadata!E496,"Host-associated"))</f>
        <v>0</v>
      </c>
      <c r="AH496" t="b">
        <f>AND(IF(metadata!F496="",FALSE,TRUE),OR(EXACT(metadata!F496,"Animal"),EXACT(metadata!F496,"Fungus"),EXACT(metadata!F496,"Plant")))</f>
        <v>0</v>
      </c>
      <c r="AI496" t="b">
        <f>AND(IF(metadata!G496="",FALSE,TRUE),OR(EXACT(metadata!G496,"Plant secretion"),EXACT(metadata!G496,"Plant rhizosphere"),EXACT(metadata!G496,"Plant surface"),EXACT(metadata!G496,"Plant corpus"),EXACT(metadata!G496,"Fungus surface"),EXACT(metadata!G496,"Fungus corpus"),EXACT(metadata!G496,"Animal surface"),EXACT(metadata!G496,"Animal proximal gut"),EXACT(metadata!G496,"Animal corpus"),EXACT(metadata!G496,"Animal distal gut"),EXACT(metadata!G496,"Animal secretion")))</f>
        <v>0</v>
      </c>
      <c r="AJ496" t="b">
        <f>OR(AND(IF(metadata!H496="",FALSE,TRUE),OR(EXACT(metadata!H496,"missing: not collected"),EXACT(metadata!H496,"missing: not provided"),EXACT(metadata!H496,"missing: restricted access"))),AND(IF(metadata!H496="",FALSE,TRUE),OR(EXACT(metadata!H496,"organism-associated habitat"),EXACT(metadata!H496,"plant-associated habitat"),EXACT(metadata!H496,"animal-associated habitat"),EXACT(metadata!H496,"insecta-associated habitat"),EXACT(metadata!H496,"mammalia-associated habitat"),EXACT(metadata!H496,"human-associated habitat"),EXACT(metadata!H496,"livestock-associated habitat"))))</f>
        <v>0</v>
      </c>
      <c r="AK496" t="b">
        <f>AND(IF(metadata!I496="",FALSE,TRUE),EXACT(metadata!I496,"host-associated"))</f>
        <v>0</v>
      </c>
      <c r="AL496" t="b">
        <f>OR(AND(IF(metadata!J496="",FALSE,TRUE),OR(EXACT(metadata!J496,"not applicable"),EXACT(metadata!J496,"missing: not collected"),EXACT(metadata!J496,"missing: not provided"),EXACT(metadata!J496,"missing: restricted access"))),AND(IF(metadata!J496="",FALSE,ISNUMBER(VALUE(metadata!J496))),metadata!J496&gt;0))</f>
        <v>0</v>
      </c>
      <c r="AM496" t="b">
        <f>AND(IF(metadata!K496="",FALSE,TRUE),EXACT(metadata!K496,"missing: not provided"))</f>
        <v>0</v>
      </c>
      <c r="AN496" t="b">
        <f>IF(metadata!L496="",FALSE,TRUE)</f>
        <v>0</v>
      </c>
      <c r="AO496" t="b">
        <f>IF(metadata!M496="",FALSE,TRUE)</f>
        <v>0</v>
      </c>
      <c r="AP496" t="b">
        <f>OR(AND(IF(metadata!N496="",FALSE,TRUE),OR(EXACT(metadata!N496,"not applicable"),EXACT(metadata!N496,"missing: not collected"),EXACT(metadata!N496,"missing: not provided"))),AND(IF(metadata!N496="",FALSE,IF(ISERROR(INT(metadata!N496)),FALSE,INT(metadata!N496)=metadata!N496)),metadata!N496&gt;0))</f>
        <v>0</v>
      </c>
      <c r="AQ496" t="b">
        <f>AND(IF(metadata!O496="",FALSE,TRUE),EXACT(metadata!O496,"Not applicable"))</f>
        <v>0</v>
      </c>
      <c r="AR496" t="b">
        <f>OR(AND(IF(metadata!P496="",FALSE,TRUE),OR(EXACT(metadata!P496,"not applicable"),EXACT(metadata!P496,"missing: not collected"),EXACT(metadata!P496,"missing: not provided"),EXACT(metadata!P496,"missing: restricted access"))),IF(metadata!P496="",FALSE,IF(ISERROR(INT(metadata!P496)),FALSE,INT(metadata!P496)=metadata!P496)))</f>
        <v>0</v>
      </c>
      <c r="AS496" t="b">
        <f>AND(IF(metadata!Q496="",FALSE,TRUE),EXACT(metadata!Q496,"Not applicable"))</f>
        <v>0</v>
      </c>
      <c r="AT496" t="b">
        <f>OR(AND(IF(metadata!R496="",FALSE,TRUE),OR(EXACT(metadata!R496,"not applicable"),EXACT(metadata!R496,"missing: not collected"),EXACT(metadata!R496,"missing: not provided"),EXACT(metadata!R496,"missing: restricted access"))),AND(IF(metadata!R496="",FALSE,ISNUMBER(VALUE(metadata!R496))),metadata!R496&gt;0))</f>
        <v>0</v>
      </c>
      <c r="AU496" t="b">
        <f>AND(IF(metadata!S496="",FALSE,TRUE),EXACT(metadata!S496,"missing: not provided"))</f>
        <v>0</v>
      </c>
    </row>
    <row r="497" spans="1:47" x14ac:dyDescent="0.2">
      <c r="A497" s="5" t="str">
        <f ca="1">IF(B497=" "," ",HYPERLINK(CONCATENATE("#metadata!",ADDRESS(INDEX($Y$2:$Y$1001,MATCH(ROWS($W$2:W497),$W$2:$W$1001,0),0),1)),INDEX($AB$2:$AB$1001,MATCH(ROWS($W$2:W497),$W$2:$W$1001,0),0)))</f>
        <v xml:space="preserve"> </v>
      </c>
      <c r="B497" s="4" t="str">
        <f ca="1">IF(OR(INDEX($X$2:$X$1001,MATCH(ROWS($W$2:W497),$W$2:$W$1001,0),1)&gt;=100000,INDEX($AD$1005:$AU$1005,1,MATCH(COLUMNS($AD$1006:AD1006),$AD$1006:$AU$1006,0))&gt;=100000), " ",IF(INDEX($AD$2:$AU$1001,MATCH(ROWS($W$2:W497),$W$2:$W$1001,0),MATCH(COLUMNS($AD$1006:AD1006),$AD$1006:$AU$1006,0)), HYPERLINK("#",""), HYPERLINK(CONCATENATE("#metadata!", ADDRESS(INDEX($Y$2:$Y$1001,MATCH(ROWS($W$2:W497),$W$2:$W$1001,0),0), INDEX($AD$1004:$AU$1004,1,MATCH(COLUMNS($AD$1006:AD1006),$AD$1006:$AU$1006,0)))),"Fix")))</f>
        <v xml:space="preserve"> </v>
      </c>
      <c r="C497" s="4" t="str">
        <f ca="1">IF(OR(INDEX($X$2:$X$1001,MATCH(ROWS($W$2:W497),$W$2:$W$1001,0),1)&gt;=100000,INDEX($AD$1005:$AU$1005,1,MATCH(COLUMNS($AD$1006:AE1006),$AD$1006:$AU$1006,0))&gt;=100000), " ",IF(INDEX($AD$2:$AU$1001,MATCH(ROWS($W$2:W497),$W$2:$W$1001,0),MATCH(COLUMNS($AD$1006:AE1006),$AD$1006:$AU$1006,0)), HYPERLINK("#",""), HYPERLINK(CONCATENATE("#metadata!", ADDRESS(INDEX($Y$2:$Y$1001,MATCH(ROWS($W$2:W497),$W$2:$W$1001,0),0), INDEX($AD$1004:$AU$1004,1,MATCH(COLUMNS($AD$1006:AE1006),$AD$1006:$AU$1006,0)))),"Fix")))</f>
        <v xml:space="preserve"> </v>
      </c>
      <c r="D497" s="4" t="str">
        <f ca="1">IF(OR(INDEX($X$2:$X$1001,MATCH(ROWS($W$2:W497),$W$2:$W$1001,0),1)&gt;=100000,INDEX($AD$1005:$AU$1005,1,MATCH(COLUMNS($AD$1006:AF1006),$AD$1006:$AU$1006,0))&gt;=100000), " ",IF(INDEX($AD$2:$AU$1001,MATCH(ROWS($W$2:W497),$W$2:$W$1001,0),MATCH(COLUMNS($AD$1006:AF1006),$AD$1006:$AU$1006,0)), HYPERLINK("#",""), HYPERLINK(CONCATENATE("#metadata!", ADDRESS(INDEX($Y$2:$Y$1001,MATCH(ROWS($W$2:W497),$W$2:$W$1001,0),0), INDEX($AD$1004:$AU$1004,1,MATCH(COLUMNS($AD$1006:AF1006),$AD$1006:$AU$1006,0)))),"Fix")))</f>
        <v xml:space="preserve"> </v>
      </c>
      <c r="E497" s="4" t="str">
        <f ca="1">IF(OR(INDEX($X$2:$X$1001,MATCH(ROWS($W$2:W497),$W$2:$W$1001,0),1)&gt;=100000,INDEX($AD$1005:$AU$1005,1,MATCH(COLUMNS($AD$1006:AG1006),$AD$1006:$AU$1006,0))&gt;=100000), " ",IF(INDEX($AD$2:$AU$1001,MATCH(ROWS($W$2:W497),$W$2:$W$1001,0),MATCH(COLUMNS($AD$1006:AG1006),$AD$1006:$AU$1006,0)), HYPERLINK("#",""), HYPERLINK(CONCATENATE("#metadata!", ADDRESS(INDEX($Y$2:$Y$1001,MATCH(ROWS($W$2:W497),$W$2:$W$1001,0),0), INDEX($AD$1004:$AU$1004,1,MATCH(COLUMNS($AD$1006:AG1006),$AD$1006:$AU$1006,0)))),"Fix")))</f>
        <v xml:space="preserve"> </v>
      </c>
      <c r="F497" s="4" t="str">
        <f ca="1">IF(OR(INDEX($X$2:$X$1001,MATCH(ROWS($W$2:W497),$W$2:$W$1001,0),1)&gt;=100000,INDEX($AD$1005:$AU$1005,1,MATCH(COLUMNS($AD$1006:AH1006),$AD$1006:$AU$1006,0))&gt;=100000), " ",IF(INDEX($AD$2:$AU$1001,MATCH(ROWS($W$2:W497),$W$2:$W$1001,0),MATCH(COLUMNS($AD$1006:AH1006),$AD$1006:$AU$1006,0)), HYPERLINK("#",""), HYPERLINK(CONCATENATE("#metadata!", ADDRESS(INDEX($Y$2:$Y$1001,MATCH(ROWS($W$2:W497),$W$2:$W$1001,0),0), INDEX($AD$1004:$AU$1004,1,MATCH(COLUMNS($AD$1006:AH1006),$AD$1006:$AU$1006,0)))),"Fix")))</f>
        <v xml:space="preserve"> </v>
      </c>
      <c r="G497" s="4" t="str">
        <f ca="1">IF(OR(INDEX($X$2:$X$1001,MATCH(ROWS($W$2:W497),$W$2:$W$1001,0),1)&gt;=100000,INDEX($AD$1005:$AU$1005,1,MATCH(COLUMNS($AD$1006:AI1006),$AD$1006:$AU$1006,0))&gt;=100000), " ",IF(INDEX($AD$2:$AU$1001,MATCH(ROWS($W$2:W497),$W$2:$W$1001,0),MATCH(COLUMNS($AD$1006:AI1006),$AD$1006:$AU$1006,0)), HYPERLINK("#",""), HYPERLINK(CONCATENATE("#metadata!", ADDRESS(INDEX($Y$2:$Y$1001,MATCH(ROWS($W$2:W497),$W$2:$W$1001,0),0), INDEX($AD$1004:$AU$1004,1,MATCH(COLUMNS($AD$1006:AI1006),$AD$1006:$AU$1006,0)))),"Fix")))</f>
        <v xml:space="preserve"> </v>
      </c>
      <c r="H497" s="4" t="str">
        <f ca="1">IF(OR(INDEX($X$2:$X$1001,MATCH(ROWS($W$2:W497),$W$2:$W$1001,0),1)&gt;=100000,INDEX($AD$1005:$AU$1005,1,MATCH(COLUMNS($AD$1006:AJ1006),$AD$1006:$AU$1006,0))&gt;=100000), " ",IF(INDEX($AD$2:$AU$1001,MATCH(ROWS($W$2:W497),$W$2:$W$1001,0),MATCH(COLUMNS($AD$1006:AJ1006),$AD$1006:$AU$1006,0)), HYPERLINK("#",""), HYPERLINK(CONCATENATE("#metadata!", ADDRESS(INDEX($Y$2:$Y$1001,MATCH(ROWS($W$2:W497),$W$2:$W$1001,0),0), INDEX($AD$1004:$AU$1004,1,MATCH(COLUMNS($AD$1006:AJ1006),$AD$1006:$AU$1006,0)))),"Fix")))</f>
        <v xml:space="preserve"> </v>
      </c>
      <c r="I497" s="4" t="str">
        <f ca="1">IF(OR(INDEX($X$2:$X$1001,MATCH(ROWS($W$2:W497),$W$2:$W$1001,0),1)&gt;=100000,INDEX($AD$1005:$AU$1005,1,MATCH(COLUMNS($AD$1006:AK1006),$AD$1006:$AU$1006,0))&gt;=100000), " ",IF(INDEX($AD$2:$AU$1001,MATCH(ROWS($W$2:W497),$W$2:$W$1001,0),MATCH(COLUMNS($AD$1006:AK1006),$AD$1006:$AU$1006,0)), HYPERLINK("#",""), HYPERLINK(CONCATENATE("#metadata!", ADDRESS(INDEX($Y$2:$Y$1001,MATCH(ROWS($W$2:W497),$W$2:$W$1001,0),0), INDEX($AD$1004:$AU$1004,1,MATCH(COLUMNS($AD$1006:AK1006),$AD$1006:$AU$1006,0)))),"Fix")))</f>
        <v xml:space="preserve"> </v>
      </c>
      <c r="J497" s="4" t="str">
        <f ca="1">IF(OR(INDEX($X$2:$X$1001,MATCH(ROWS($W$2:W497),$W$2:$W$1001,0),1)&gt;=100000,INDEX($AD$1005:$AU$1005,1,MATCH(COLUMNS($AD$1006:AL1006),$AD$1006:$AU$1006,0))&gt;=100000), " ",IF(INDEX($AD$2:$AU$1001,MATCH(ROWS($W$2:W497),$W$2:$W$1001,0),MATCH(COLUMNS($AD$1006:AL1006),$AD$1006:$AU$1006,0)), HYPERLINK("#",""), HYPERLINK(CONCATENATE("#metadata!", ADDRESS(INDEX($Y$2:$Y$1001,MATCH(ROWS($W$2:W497),$W$2:$W$1001,0),0), INDEX($AD$1004:$AU$1004,1,MATCH(COLUMNS($AD$1006:AL1006),$AD$1006:$AU$1006,0)))),"Fix")))</f>
        <v xml:space="preserve"> </v>
      </c>
      <c r="K497" s="4" t="str">
        <f ca="1">IF(OR(INDEX($X$2:$X$1001,MATCH(ROWS($W$2:W497),$W$2:$W$1001,0),1)&gt;=100000,INDEX($AD$1005:$AU$1005,1,MATCH(COLUMNS($AD$1006:AM1006),$AD$1006:$AU$1006,0))&gt;=100000), " ",IF(INDEX($AD$2:$AU$1001,MATCH(ROWS($W$2:W497),$W$2:$W$1001,0),MATCH(COLUMNS($AD$1006:AM1006),$AD$1006:$AU$1006,0)), HYPERLINK("#",""), HYPERLINK(CONCATENATE("#metadata!", ADDRESS(INDEX($Y$2:$Y$1001,MATCH(ROWS($W$2:W497),$W$2:$W$1001,0),0), INDEX($AD$1004:$AU$1004,1,MATCH(COLUMNS($AD$1006:AM1006),$AD$1006:$AU$1006,0)))),"Fix")))</f>
        <v xml:space="preserve"> </v>
      </c>
      <c r="L497" s="4" t="str">
        <f ca="1">IF(OR(INDEX($X$2:$X$1001,MATCH(ROWS($W$2:W497),$W$2:$W$1001,0),1)&gt;=100000,INDEX($AD$1005:$AU$1005,1,MATCH(COLUMNS($AD$1006:AN1006),$AD$1006:$AU$1006,0))&gt;=100000), " ",IF(INDEX($AD$2:$AU$1001,MATCH(ROWS($W$2:W497),$W$2:$W$1001,0),MATCH(COLUMNS($AD$1006:AN1006),$AD$1006:$AU$1006,0)), HYPERLINK("#",""), HYPERLINK(CONCATENATE("#metadata!", ADDRESS(INDEX($Y$2:$Y$1001,MATCH(ROWS($W$2:W497),$W$2:$W$1001,0),0), INDEX($AD$1004:$AU$1004,1,MATCH(COLUMNS($AD$1006:AN1006),$AD$1006:$AU$1006,0)))),"Fix")))</f>
        <v xml:space="preserve"> </v>
      </c>
      <c r="M497" s="4" t="str">
        <f ca="1">IF(OR(INDEX($X$2:$X$1001,MATCH(ROWS($W$2:W497),$W$2:$W$1001,0),1)&gt;=100000,INDEX($AD$1005:$AU$1005,1,MATCH(COLUMNS($AD$1006:AO1006),$AD$1006:$AU$1006,0))&gt;=100000), " ",IF(INDEX($AD$2:$AU$1001,MATCH(ROWS($W$2:W497),$W$2:$W$1001,0),MATCH(COLUMNS($AD$1006:AO1006),$AD$1006:$AU$1006,0)), HYPERLINK("#",""), HYPERLINK(CONCATENATE("#metadata!", ADDRESS(INDEX($Y$2:$Y$1001,MATCH(ROWS($W$2:W497),$W$2:$W$1001,0),0), INDEX($AD$1004:$AU$1004,1,MATCH(COLUMNS($AD$1006:AO1006),$AD$1006:$AU$1006,0)))),"Fix")))</f>
        <v xml:space="preserve"> </v>
      </c>
      <c r="N497" s="4" t="str">
        <f ca="1">IF(OR(INDEX($X$2:$X$1001,MATCH(ROWS($W$2:W497),$W$2:$W$1001,0),1)&gt;=100000,INDEX($AD$1005:$AU$1005,1,MATCH(COLUMNS($AD$1006:AP1006),$AD$1006:$AU$1006,0))&gt;=100000), " ",IF(INDEX($AD$2:$AU$1001,MATCH(ROWS($W$2:W497),$W$2:$W$1001,0),MATCH(COLUMNS($AD$1006:AP1006),$AD$1006:$AU$1006,0)), HYPERLINK("#",""), HYPERLINK(CONCATENATE("#metadata!", ADDRESS(INDEX($Y$2:$Y$1001,MATCH(ROWS($W$2:W497),$W$2:$W$1001,0),0), INDEX($AD$1004:$AU$1004,1,MATCH(COLUMNS($AD$1006:AP1006),$AD$1006:$AU$1006,0)))),"Fix")))</f>
        <v xml:space="preserve"> </v>
      </c>
      <c r="O497" s="4" t="str">
        <f ca="1">IF(OR(INDEX($X$2:$X$1001,MATCH(ROWS($W$2:W497),$W$2:$W$1001,0),1)&gt;=100000,INDEX($AD$1005:$AU$1005,1,MATCH(COLUMNS($AD$1006:AQ1006),$AD$1006:$AU$1006,0))&gt;=100000), " ",IF(INDEX($AD$2:$AU$1001,MATCH(ROWS($W$2:W497),$W$2:$W$1001,0),MATCH(COLUMNS($AD$1006:AQ1006),$AD$1006:$AU$1006,0)), HYPERLINK("#",""), HYPERLINK(CONCATENATE("#metadata!", ADDRESS(INDEX($Y$2:$Y$1001,MATCH(ROWS($W$2:W497),$W$2:$W$1001,0),0), INDEX($AD$1004:$AU$1004,1,MATCH(COLUMNS($AD$1006:AQ1006),$AD$1006:$AU$1006,0)))),"Fix")))</f>
        <v xml:space="preserve"> </v>
      </c>
      <c r="P497" s="4" t="str">
        <f ca="1">IF(OR(INDEX($X$2:$X$1001,MATCH(ROWS($W$2:W497),$W$2:$W$1001,0),1)&gt;=100000,INDEX($AD$1005:$AU$1005,1,MATCH(COLUMNS($AD$1006:AR1006),$AD$1006:$AU$1006,0))&gt;=100000), " ",IF(INDEX($AD$2:$AU$1001,MATCH(ROWS($W$2:W497),$W$2:$W$1001,0),MATCH(COLUMNS($AD$1006:AR1006),$AD$1006:$AU$1006,0)), HYPERLINK("#",""), HYPERLINK(CONCATENATE("#metadata!", ADDRESS(INDEX($Y$2:$Y$1001,MATCH(ROWS($W$2:W497),$W$2:$W$1001,0),0), INDEX($AD$1004:$AU$1004,1,MATCH(COLUMNS($AD$1006:AR1006),$AD$1006:$AU$1006,0)))),"Fix")))</f>
        <v xml:space="preserve"> </v>
      </c>
      <c r="Q497" s="4" t="str">
        <f ca="1">IF(OR(INDEX($X$2:$X$1001,MATCH(ROWS($W$2:W497),$W$2:$W$1001,0),1)&gt;=100000,INDEX($AD$1005:$AU$1005,1,MATCH(COLUMNS($AD$1006:AS1006),$AD$1006:$AU$1006,0))&gt;=100000), " ",IF(INDEX($AD$2:$AU$1001,MATCH(ROWS($W$2:W497),$W$2:$W$1001,0),MATCH(COLUMNS($AD$1006:AS1006),$AD$1006:$AU$1006,0)), HYPERLINK("#",""), HYPERLINK(CONCATENATE("#metadata!", ADDRESS(INDEX($Y$2:$Y$1001,MATCH(ROWS($W$2:W497),$W$2:$W$1001,0),0), INDEX($AD$1004:$AU$1004,1,MATCH(COLUMNS($AD$1006:AS1006),$AD$1006:$AU$1006,0)))),"Fix")))</f>
        <v xml:space="preserve"> </v>
      </c>
      <c r="R497" s="4" t="str">
        <f ca="1">IF(OR(INDEX($X$2:$X$1001,MATCH(ROWS($W$2:W497),$W$2:$W$1001,0),1)&gt;=100000,INDEX($AD$1005:$AU$1005,1,MATCH(COLUMNS($AD$1006:AT1006),$AD$1006:$AU$1006,0))&gt;=100000), " ",IF(INDEX($AD$2:$AU$1001,MATCH(ROWS($W$2:W497),$W$2:$W$1001,0),MATCH(COLUMNS($AD$1006:AT1006),$AD$1006:$AU$1006,0)), HYPERLINK("#",""), HYPERLINK(CONCATENATE("#metadata!", ADDRESS(INDEX($Y$2:$Y$1001,MATCH(ROWS($W$2:W497),$W$2:$W$1001,0),0), INDEX($AD$1004:$AU$1004,1,MATCH(COLUMNS($AD$1006:AT1006),$AD$1006:$AU$1006,0)))),"Fix")))</f>
        <v xml:space="preserve"> </v>
      </c>
      <c r="S497" s="4" t="str">
        <f ca="1">IF(OR(INDEX($X$2:$X$1001,MATCH(ROWS($W$2:W497),$W$2:$W$1001,0),1)&gt;=100000,INDEX($AD$1005:$AU$1005,1,MATCH(COLUMNS($AD$1006:AU1006),$AD$1006:$AU$1006,0))&gt;=100000), " ",IF(INDEX($AD$2:$AU$1001,MATCH(ROWS($W$2:W497),$W$2:$W$1001,0),MATCH(COLUMNS($AD$1006:AU1006),$AD$1006:$AU$1006,0)), HYPERLINK("#",""), HYPERLINK(CONCATENATE("#metadata!", ADDRESS(INDEX($Y$2:$Y$1001,MATCH(ROWS($W$2:W497),$W$2:$W$1001,0),0), INDEX($AD$1004:$AU$1004,1,MATCH(COLUMNS($AD$1006:AU1006),$AD$1006:$AU$1006,0)))),"Fix")))</f>
        <v xml:space="preserve"> </v>
      </c>
      <c r="W497">
        <v>496</v>
      </c>
      <c r="X497">
        <v>100497</v>
      </c>
      <c r="Y497">
        <v>497</v>
      </c>
      <c r="Z497" t="b">
        <f t="shared" si="7"/>
        <v>1</v>
      </c>
      <c r="AA497" t="b">
        <f>COUNTBLANK(metadata!B497:S497)=COLUMNS(metadata!B497:S497)</f>
        <v>1</v>
      </c>
      <c r="AB497" t="str">
        <v/>
      </c>
      <c r="AD497" t="b">
        <f ca="1">AND(IF(metadata!B497="",FALSE,TRUE),COUNTIF(metadata!B:B, metadata!B497) = 1,NOT(ISERROR(SUMPRODUCT(SEARCH(MID(metadata!B497,ROW(INDIRECT("1:"&amp;LEN(metadata!B497))), 1),"0123456789abcdefghijklmnopqrstuvwxyzABCDEFGHIJKLMNOPQRSTUVWXYZ.")))))</f>
        <v>0</v>
      </c>
      <c r="AE497" t="b">
        <f>OR(AND(IF(metadata!C497="",FALSE,TRUE),OR(EXACT(metadata!C497,"not applicable"),EXACT(metadata!C497,"missing: not collected"),EXACT(metadata!C497,"missing: not provided"),EXACT(metadata!C497,"missing: restricted access"))),AND(IF(metadata!C497="",FALSE,ISNUMBER(VALUE(metadata!C497))),metadata!C497&gt;0))</f>
        <v>0</v>
      </c>
      <c r="AF497" t="b">
        <f>AND(IF(metadata!D497="",FALSE,TRUE),EXACT(metadata!D497,"missing: not provided"))</f>
        <v>0</v>
      </c>
      <c r="AG497" t="b">
        <f>AND(IF(metadata!E497="",FALSE,TRUE),EXACT(metadata!E497,"Host-associated"))</f>
        <v>0</v>
      </c>
      <c r="AH497" t="b">
        <f>AND(IF(metadata!F497="",FALSE,TRUE),OR(EXACT(metadata!F497,"Animal"),EXACT(metadata!F497,"Fungus"),EXACT(metadata!F497,"Plant")))</f>
        <v>0</v>
      </c>
      <c r="AI497" t="b">
        <f>AND(IF(metadata!G497="",FALSE,TRUE),OR(EXACT(metadata!G497,"Plant secretion"),EXACT(metadata!G497,"Plant rhizosphere"),EXACT(metadata!G497,"Plant surface"),EXACT(metadata!G497,"Plant corpus"),EXACT(metadata!G497,"Fungus surface"),EXACT(metadata!G497,"Fungus corpus"),EXACT(metadata!G497,"Animal surface"),EXACT(metadata!G497,"Animal proximal gut"),EXACT(metadata!G497,"Animal corpus"),EXACT(metadata!G497,"Animal distal gut"),EXACT(metadata!G497,"Animal secretion")))</f>
        <v>0</v>
      </c>
      <c r="AJ497" t="b">
        <f>OR(AND(IF(metadata!H497="",FALSE,TRUE),OR(EXACT(metadata!H497,"missing: not collected"),EXACT(metadata!H497,"missing: not provided"),EXACT(metadata!H497,"missing: restricted access"))),AND(IF(metadata!H497="",FALSE,TRUE),OR(EXACT(metadata!H497,"organism-associated habitat"),EXACT(metadata!H497,"plant-associated habitat"),EXACT(metadata!H497,"animal-associated habitat"),EXACT(metadata!H497,"insecta-associated habitat"),EXACT(metadata!H497,"mammalia-associated habitat"),EXACT(metadata!H497,"human-associated habitat"),EXACT(metadata!H497,"livestock-associated habitat"))))</f>
        <v>0</v>
      </c>
      <c r="AK497" t="b">
        <f>AND(IF(metadata!I497="",FALSE,TRUE),EXACT(metadata!I497,"host-associated"))</f>
        <v>0</v>
      </c>
      <c r="AL497" t="b">
        <f>OR(AND(IF(metadata!J497="",FALSE,TRUE),OR(EXACT(metadata!J497,"not applicable"),EXACT(metadata!J497,"missing: not collected"),EXACT(metadata!J497,"missing: not provided"),EXACT(metadata!J497,"missing: restricted access"))),AND(IF(metadata!J497="",FALSE,ISNUMBER(VALUE(metadata!J497))),metadata!J497&gt;0))</f>
        <v>0</v>
      </c>
      <c r="AM497" t="b">
        <f>AND(IF(metadata!K497="",FALSE,TRUE),EXACT(metadata!K497,"missing: not provided"))</f>
        <v>0</v>
      </c>
      <c r="AN497" t="b">
        <f>IF(metadata!L497="",FALSE,TRUE)</f>
        <v>0</v>
      </c>
      <c r="AO497" t="b">
        <f>IF(metadata!M497="",FALSE,TRUE)</f>
        <v>0</v>
      </c>
      <c r="AP497" t="b">
        <f>OR(AND(IF(metadata!N497="",FALSE,TRUE),OR(EXACT(metadata!N497,"not applicable"),EXACT(metadata!N497,"missing: not collected"),EXACT(metadata!N497,"missing: not provided"))),AND(IF(metadata!N497="",FALSE,IF(ISERROR(INT(metadata!N497)),FALSE,INT(metadata!N497)=metadata!N497)),metadata!N497&gt;0))</f>
        <v>0</v>
      </c>
      <c r="AQ497" t="b">
        <f>AND(IF(metadata!O497="",FALSE,TRUE),EXACT(metadata!O497,"Not applicable"))</f>
        <v>0</v>
      </c>
      <c r="AR497" t="b">
        <f>OR(AND(IF(metadata!P497="",FALSE,TRUE),OR(EXACT(metadata!P497,"not applicable"),EXACT(metadata!P497,"missing: not collected"),EXACT(metadata!P497,"missing: not provided"),EXACT(metadata!P497,"missing: restricted access"))),IF(metadata!P497="",FALSE,IF(ISERROR(INT(metadata!P497)),FALSE,INT(metadata!P497)=metadata!P497)))</f>
        <v>0</v>
      </c>
      <c r="AS497" t="b">
        <f>AND(IF(metadata!Q497="",FALSE,TRUE),EXACT(metadata!Q497,"Not applicable"))</f>
        <v>0</v>
      </c>
      <c r="AT497" t="b">
        <f>OR(AND(IF(metadata!R497="",FALSE,TRUE),OR(EXACT(metadata!R497,"not applicable"),EXACT(metadata!R497,"missing: not collected"),EXACT(metadata!R497,"missing: not provided"),EXACT(metadata!R497,"missing: restricted access"))),AND(IF(metadata!R497="",FALSE,ISNUMBER(VALUE(metadata!R497))),metadata!R497&gt;0))</f>
        <v>0</v>
      </c>
      <c r="AU497" t="b">
        <f>AND(IF(metadata!S497="",FALSE,TRUE),EXACT(metadata!S497,"missing: not provided"))</f>
        <v>0</v>
      </c>
    </row>
    <row r="498" spans="1:47" x14ac:dyDescent="0.2">
      <c r="A498" s="5" t="str">
        <f ca="1">IF(B498=" "," ",HYPERLINK(CONCATENATE("#metadata!",ADDRESS(INDEX($Y$2:$Y$1001,MATCH(ROWS($W$2:W498),$W$2:$W$1001,0),0),1)),INDEX($AB$2:$AB$1001,MATCH(ROWS($W$2:W498),$W$2:$W$1001,0),0)))</f>
        <v xml:space="preserve"> </v>
      </c>
      <c r="B498" s="4" t="str">
        <f ca="1">IF(OR(INDEX($X$2:$X$1001,MATCH(ROWS($W$2:W498),$W$2:$W$1001,0),1)&gt;=100000,INDEX($AD$1005:$AU$1005,1,MATCH(COLUMNS($AD$1006:AD1006),$AD$1006:$AU$1006,0))&gt;=100000), " ",IF(INDEX($AD$2:$AU$1001,MATCH(ROWS($W$2:W498),$W$2:$W$1001,0),MATCH(COLUMNS($AD$1006:AD1006),$AD$1006:$AU$1006,0)), HYPERLINK("#",""), HYPERLINK(CONCATENATE("#metadata!", ADDRESS(INDEX($Y$2:$Y$1001,MATCH(ROWS($W$2:W498),$W$2:$W$1001,0),0), INDEX($AD$1004:$AU$1004,1,MATCH(COLUMNS($AD$1006:AD1006),$AD$1006:$AU$1006,0)))),"Fix")))</f>
        <v xml:space="preserve"> </v>
      </c>
      <c r="C498" s="4" t="str">
        <f ca="1">IF(OR(INDEX($X$2:$X$1001,MATCH(ROWS($W$2:W498),$W$2:$W$1001,0),1)&gt;=100000,INDEX($AD$1005:$AU$1005,1,MATCH(COLUMNS($AD$1006:AE1006),$AD$1006:$AU$1006,0))&gt;=100000), " ",IF(INDEX($AD$2:$AU$1001,MATCH(ROWS($W$2:W498),$W$2:$W$1001,0),MATCH(COLUMNS($AD$1006:AE1006),$AD$1006:$AU$1006,0)), HYPERLINK("#",""), HYPERLINK(CONCATENATE("#metadata!", ADDRESS(INDEX($Y$2:$Y$1001,MATCH(ROWS($W$2:W498),$W$2:$W$1001,0),0), INDEX($AD$1004:$AU$1004,1,MATCH(COLUMNS($AD$1006:AE1006),$AD$1006:$AU$1006,0)))),"Fix")))</f>
        <v xml:space="preserve"> </v>
      </c>
      <c r="D498" s="4" t="str">
        <f ca="1">IF(OR(INDEX($X$2:$X$1001,MATCH(ROWS($W$2:W498),$W$2:$W$1001,0),1)&gt;=100000,INDEX($AD$1005:$AU$1005,1,MATCH(COLUMNS($AD$1006:AF1006),$AD$1006:$AU$1006,0))&gt;=100000), " ",IF(INDEX($AD$2:$AU$1001,MATCH(ROWS($W$2:W498),$W$2:$W$1001,0),MATCH(COLUMNS($AD$1006:AF1006),$AD$1006:$AU$1006,0)), HYPERLINK("#",""), HYPERLINK(CONCATENATE("#metadata!", ADDRESS(INDEX($Y$2:$Y$1001,MATCH(ROWS($W$2:W498),$W$2:$W$1001,0),0), INDEX($AD$1004:$AU$1004,1,MATCH(COLUMNS($AD$1006:AF1006),$AD$1006:$AU$1006,0)))),"Fix")))</f>
        <v xml:space="preserve"> </v>
      </c>
      <c r="E498" s="4" t="str">
        <f ca="1">IF(OR(INDEX($X$2:$X$1001,MATCH(ROWS($W$2:W498),$W$2:$W$1001,0),1)&gt;=100000,INDEX($AD$1005:$AU$1005,1,MATCH(COLUMNS($AD$1006:AG1006),$AD$1006:$AU$1006,0))&gt;=100000), " ",IF(INDEX($AD$2:$AU$1001,MATCH(ROWS($W$2:W498),$W$2:$W$1001,0),MATCH(COLUMNS($AD$1006:AG1006),$AD$1006:$AU$1006,0)), HYPERLINK("#",""), HYPERLINK(CONCATENATE("#metadata!", ADDRESS(INDEX($Y$2:$Y$1001,MATCH(ROWS($W$2:W498),$W$2:$W$1001,0),0), INDEX($AD$1004:$AU$1004,1,MATCH(COLUMNS($AD$1006:AG1006),$AD$1006:$AU$1006,0)))),"Fix")))</f>
        <v xml:space="preserve"> </v>
      </c>
      <c r="F498" s="4" t="str">
        <f ca="1">IF(OR(INDEX($X$2:$X$1001,MATCH(ROWS($W$2:W498),$W$2:$W$1001,0),1)&gt;=100000,INDEX($AD$1005:$AU$1005,1,MATCH(COLUMNS($AD$1006:AH1006),$AD$1006:$AU$1006,0))&gt;=100000), " ",IF(INDEX($AD$2:$AU$1001,MATCH(ROWS($W$2:W498),$W$2:$W$1001,0),MATCH(COLUMNS($AD$1006:AH1006),$AD$1006:$AU$1006,0)), HYPERLINK("#",""), HYPERLINK(CONCATENATE("#metadata!", ADDRESS(INDEX($Y$2:$Y$1001,MATCH(ROWS($W$2:W498),$W$2:$W$1001,0),0), INDEX($AD$1004:$AU$1004,1,MATCH(COLUMNS($AD$1006:AH1006),$AD$1006:$AU$1006,0)))),"Fix")))</f>
        <v xml:space="preserve"> </v>
      </c>
      <c r="G498" s="4" t="str">
        <f ca="1">IF(OR(INDEX($X$2:$X$1001,MATCH(ROWS($W$2:W498),$W$2:$W$1001,0),1)&gt;=100000,INDEX($AD$1005:$AU$1005,1,MATCH(COLUMNS($AD$1006:AI1006),$AD$1006:$AU$1006,0))&gt;=100000), " ",IF(INDEX($AD$2:$AU$1001,MATCH(ROWS($W$2:W498),$W$2:$W$1001,0),MATCH(COLUMNS($AD$1006:AI1006),$AD$1006:$AU$1006,0)), HYPERLINK("#",""), HYPERLINK(CONCATENATE("#metadata!", ADDRESS(INDEX($Y$2:$Y$1001,MATCH(ROWS($W$2:W498),$W$2:$W$1001,0),0), INDEX($AD$1004:$AU$1004,1,MATCH(COLUMNS($AD$1006:AI1006),$AD$1006:$AU$1006,0)))),"Fix")))</f>
        <v xml:space="preserve"> </v>
      </c>
      <c r="H498" s="4" t="str">
        <f ca="1">IF(OR(INDEX($X$2:$X$1001,MATCH(ROWS($W$2:W498),$W$2:$W$1001,0),1)&gt;=100000,INDEX($AD$1005:$AU$1005,1,MATCH(COLUMNS($AD$1006:AJ1006),$AD$1006:$AU$1006,0))&gt;=100000), " ",IF(INDEX($AD$2:$AU$1001,MATCH(ROWS($W$2:W498),$W$2:$W$1001,0),MATCH(COLUMNS($AD$1006:AJ1006),$AD$1006:$AU$1006,0)), HYPERLINK("#",""), HYPERLINK(CONCATENATE("#metadata!", ADDRESS(INDEX($Y$2:$Y$1001,MATCH(ROWS($W$2:W498),$W$2:$W$1001,0),0), INDEX($AD$1004:$AU$1004,1,MATCH(COLUMNS($AD$1006:AJ1006),$AD$1006:$AU$1006,0)))),"Fix")))</f>
        <v xml:space="preserve"> </v>
      </c>
      <c r="I498" s="4" t="str">
        <f ca="1">IF(OR(INDEX($X$2:$X$1001,MATCH(ROWS($W$2:W498),$W$2:$W$1001,0),1)&gt;=100000,INDEX($AD$1005:$AU$1005,1,MATCH(COLUMNS($AD$1006:AK1006),$AD$1006:$AU$1006,0))&gt;=100000), " ",IF(INDEX($AD$2:$AU$1001,MATCH(ROWS($W$2:W498),$W$2:$W$1001,0),MATCH(COLUMNS($AD$1006:AK1006),$AD$1006:$AU$1006,0)), HYPERLINK("#",""), HYPERLINK(CONCATENATE("#metadata!", ADDRESS(INDEX($Y$2:$Y$1001,MATCH(ROWS($W$2:W498),$W$2:$W$1001,0),0), INDEX($AD$1004:$AU$1004,1,MATCH(COLUMNS($AD$1006:AK1006),$AD$1006:$AU$1006,0)))),"Fix")))</f>
        <v xml:space="preserve"> </v>
      </c>
      <c r="J498" s="4" t="str">
        <f ca="1">IF(OR(INDEX($X$2:$X$1001,MATCH(ROWS($W$2:W498),$W$2:$W$1001,0),1)&gt;=100000,INDEX($AD$1005:$AU$1005,1,MATCH(COLUMNS($AD$1006:AL1006),$AD$1006:$AU$1006,0))&gt;=100000), " ",IF(INDEX($AD$2:$AU$1001,MATCH(ROWS($W$2:W498),$W$2:$W$1001,0),MATCH(COLUMNS($AD$1006:AL1006),$AD$1006:$AU$1006,0)), HYPERLINK("#",""), HYPERLINK(CONCATENATE("#metadata!", ADDRESS(INDEX($Y$2:$Y$1001,MATCH(ROWS($W$2:W498),$W$2:$W$1001,0),0), INDEX($AD$1004:$AU$1004,1,MATCH(COLUMNS($AD$1006:AL1006),$AD$1006:$AU$1006,0)))),"Fix")))</f>
        <v xml:space="preserve"> </v>
      </c>
      <c r="K498" s="4" t="str">
        <f ca="1">IF(OR(INDEX($X$2:$X$1001,MATCH(ROWS($W$2:W498),$W$2:$W$1001,0),1)&gt;=100000,INDEX($AD$1005:$AU$1005,1,MATCH(COLUMNS($AD$1006:AM1006),$AD$1006:$AU$1006,0))&gt;=100000), " ",IF(INDEX($AD$2:$AU$1001,MATCH(ROWS($W$2:W498),$W$2:$W$1001,0),MATCH(COLUMNS($AD$1006:AM1006),$AD$1006:$AU$1006,0)), HYPERLINK("#",""), HYPERLINK(CONCATENATE("#metadata!", ADDRESS(INDEX($Y$2:$Y$1001,MATCH(ROWS($W$2:W498),$W$2:$W$1001,0),0), INDEX($AD$1004:$AU$1004,1,MATCH(COLUMNS($AD$1006:AM1006),$AD$1006:$AU$1006,0)))),"Fix")))</f>
        <v xml:space="preserve"> </v>
      </c>
      <c r="L498" s="4" t="str">
        <f ca="1">IF(OR(INDEX($X$2:$X$1001,MATCH(ROWS($W$2:W498),$W$2:$W$1001,0),1)&gt;=100000,INDEX($AD$1005:$AU$1005,1,MATCH(COLUMNS($AD$1006:AN1006),$AD$1006:$AU$1006,0))&gt;=100000), " ",IF(INDEX($AD$2:$AU$1001,MATCH(ROWS($W$2:W498),$W$2:$W$1001,0),MATCH(COLUMNS($AD$1006:AN1006),$AD$1006:$AU$1006,0)), HYPERLINK("#",""), HYPERLINK(CONCATENATE("#metadata!", ADDRESS(INDEX($Y$2:$Y$1001,MATCH(ROWS($W$2:W498),$W$2:$W$1001,0),0), INDEX($AD$1004:$AU$1004,1,MATCH(COLUMNS($AD$1006:AN1006),$AD$1006:$AU$1006,0)))),"Fix")))</f>
        <v xml:space="preserve"> </v>
      </c>
      <c r="M498" s="4" t="str">
        <f ca="1">IF(OR(INDEX($X$2:$X$1001,MATCH(ROWS($W$2:W498),$W$2:$W$1001,0),1)&gt;=100000,INDEX($AD$1005:$AU$1005,1,MATCH(COLUMNS($AD$1006:AO1006),$AD$1006:$AU$1006,0))&gt;=100000), " ",IF(INDEX($AD$2:$AU$1001,MATCH(ROWS($W$2:W498),$W$2:$W$1001,0),MATCH(COLUMNS($AD$1006:AO1006),$AD$1006:$AU$1006,0)), HYPERLINK("#",""), HYPERLINK(CONCATENATE("#metadata!", ADDRESS(INDEX($Y$2:$Y$1001,MATCH(ROWS($W$2:W498),$W$2:$W$1001,0),0), INDEX($AD$1004:$AU$1004,1,MATCH(COLUMNS($AD$1006:AO1006),$AD$1006:$AU$1006,0)))),"Fix")))</f>
        <v xml:space="preserve"> </v>
      </c>
      <c r="N498" s="4" t="str">
        <f ca="1">IF(OR(INDEX($X$2:$X$1001,MATCH(ROWS($W$2:W498),$W$2:$W$1001,0),1)&gt;=100000,INDEX($AD$1005:$AU$1005,1,MATCH(COLUMNS($AD$1006:AP1006),$AD$1006:$AU$1006,0))&gt;=100000), " ",IF(INDEX($AD$2:$AU$1001,MATCH(ROWS($W$2:W498),$W$2:$W$1001,0),MATCH(COLUMNS($AD$1006:AP1006),$AD$1006:$AU$1006,0)), HYPERLINK("#",""), HYPERLINK(CONCATENATE("#metadata!", ADDRESS(INDEX($Y$2:$Y$1001,MATCH(ROWS($W$2:W498),$W$2:$W$1001,0),0), INDEX($AD$1004:$AU$1004,1,MATCH(COLUMNS($AD$1006:AP1006),$AD$1006:$AU$1006,0)))),"Fix")))</f>
        <v xml:space="preserve"> </v>
      </c>
      <c r="O498" s="4" t="str">
        <f ca="1">IF(OR(INDEX($X$2:$X$1001,MATCH(ROWS($W$2:W498),$W$2:$W$1001,0),1)&gt;=100000,INDEX($AD$1005:$AU$1005,1,MATCH(COLUMNS($AD$1006:AQ1006),$AD$1006:$AU$1006,0))&gt;=100000), " ",IF(INDEX($AD$2:$AU$1001,MATCH(ROWS($W$2:W498),$W$2:$W$1001,0),MATCH(COLUMNS($AD$1006:AQ1006),$AD$1006:$AU$1006,0)), HYPERLINK("#",""), HYPERLINK(CONCATENATE("#metadata!", ADDRESS(INDEX($Y$2:$Y$1001,MATCH(ROWS($W$2:W498),$W$2:$W$1001,0),0), INDEX($AD$1004:$AU$1004,1,MATCH(COLUMNS($AD$1006:AQ1006),$AD$1006:$AU$1006,0)))),"Fix")))</f>
        <v xml:space="preserve"> </v>
      </c>
      <c r="P498" s="4" t="str">
        <f ca="1">IF(OR(INDEX($X$2:$X$1001,MATCH(ROWS($W$2:W498),$W$2:$W$1001,0),1)&gt;=100000,INDEX($AD$1005:$AU$1005,1,MATCH(COLUMNS($AD$1006:AR1006),$AD$1006:$AU$1006,0))&gt;=100000), " ",IF(INDEX($AD$2:$AU$1001,MATCH(ROWS($W$2:W498),$W$2:$W$1001,0),MATCH(COLUMNS($AD$1006:AR1006),$AD$1006:$AU$1006,0)), HYPERLINK("#",""), HYPERLINK(CONCATENATE("#metadata!", ADDRESS(INDEX($Y$2:$Y$1001,MATCH(ROWS($W$2:W498),$W$2:$W$1001,0),0), INDEX($AD$1004:$AU$1004,1,MATCH(COLUMNS($AD$1006:AR1006),$AD$1006:$AU$1006,0)))),"Fix")))</f>
        <v xml:space="preserve"> </v>
      </c>
      <c r="Q498" s="4" t="str">
        <f ca="1">IF(OR(INDEX($X$2:$X$1001,MATCH(ROWS($W$2:W498),$W$2:$W$1001,0),1)&gt;=100000,INDEX($AD$1005:$AU$1005,1,MATCH(COLUMNS($AD$1006:AS1006),$AD$1006:$AU$1006,0))&gt;=100000), " ",IF(INDEX($AD$2:$AU$1001,MATCH(ROWS($W$2:W498),$W$2:$W$1001,0),MATCH(COLUMNS($AD$1006:AS1006),$AD$1006:$AU$1006,0)), HYPERLINK("#",""), HYPERLINK(CONCATENATE("#metadata!", ADDRESS(INDEX($Y$2:$Y$1001,MATCH(ROWS($W$2:W498),$W$2:$W$1001,0),0), INDEX($AD$1004:$AU$1004,1,MATCH(COLUMNS($AD$1006:AS1006),$AD$1006:$AU$1006,0)))),"Fix")))</f>
        <v xml:space="preserve"> </v>
      </c>
      <c r="R498" s="4" t="str">
        <f ca="1">IF(OR(INDEX($X$2:$X$1001,MATCH(ROWS($W$2:W498),$W$2:$W$1001,0),1)&gt;=100000,INDEX($AD$1005:$AU$1005,1,MATCH(COLUMNS($AD$1006:AT1006),$AD$1006:$AU$1006,0))&gt;=100000), " ",IF(INDEX($AD$2:$AU$1001,MATCH(ROWS($W$2:W498),$W$2:$W$1001,0),MATCH(COLUMNS($AD$1006:AT1006),$AD$1006:$AU$1006,0)), HYPERLINK("#",""), HYPERLINK(CONCATENATE("#metadata!", ADDRESS(INDEX($Y$2:$Y$1001,MATCH(ROWS($W$2:W498),$W$2:$W$1001,0),0), INDEX($AD$1004:$AU$1004,1,MATCH(COLUMNS($AD$1006:AT1006),$AD$1006:$AU$1006,0)))),"Fix")))</f>
        <v xml:space="preserve"> </v>
      </c>
      <c r="S498" s="4" t="str">
        <f ca="1">IF(OR(INDEX($X$2:$X$1001,MATCH(ROWS($W$2:W498),$W$2:$W$1001,0),1)&gt;=100000,INDEX($AD$1005:$AU$1005,1,MATCH(COLUMNS($AD$1006:AU1006),$AD$1006:$AU$1006,0))&gt;=100000), " ",IF(INDEX($AD$2:$AU$1001,MATCH(ROWS($W$2:W498),$W$2:$W$1001,0),MATCH(COLUMNS($AD$1006:AU1006),$AD$1006:$AU$1006,0)), HYPERLINK("#",""), HYPERLINK(CONCATENATE("#metadata!", ADDRESS(INDEX($Y$2:$Y$1001,MATCH(ROWS($W$2:W498),$W$2:$W$1001,0),0), INDEX($AD$1004:$AU$1004,1,MATCH(COLUMNS($AD$1006:AU1006),$AD$1006:$AU$1006,0)))),"Fix")))</f>
        <v xml:space="preserve"> </v>
      </c>
      <c r="W498">
        <v>497</v>
      </c>
      <c r="X498">
        <v>100498</v>
      </c>
      <c r="Y498">
        <v>498</v>
      </c>
      <c r="Z498" t="b">
        <f t="shared" si="7"/>
        <v>1</v>
      </c>
      <c r="AA498" t="b">
        <f>COUNTBLANK(metadata!B498:S498)=COLUMNS(metadata!B498:S498)</f>
        <v>1</v>
      </c>
      <c r="AB498" t="str">
        <v/>
      </c>
      <c r="AD498" t="b">
        <f ca="1">AND(IF(metadata!B498="",FALSE,TRUE),COUNTIF(metadata!B:B, metadata!B498) = 1,NOT(ISERROR(SUMPRODUCT(SEARCH(MID(metadata!B498,ROW(INDIRECT("1:"&amp;LEN(metadata!B498))), 1),"0123456789abcdefghijklmnopqrstuvwxyzABCDEFGHIJKLMNOPQRSTUVWXYZ.")))))</f>
        <v>0</v>
      </c>
      <c r="AE498" t="b">
        <f>OR(AND(IF(metadata!C498="",FALSE,TRUE),OR(EXACT(metadata!C498,"not applicable"),EXACT(metadata!C498,"missing: not collected"),EXACT(metadata!C498,"missing: not provided"),EXACT(metadata!C498,"missing: restricted access"))),AND(IF(metadata!C498="",FALSE,ISNUMBER(VALUE(metadata!C498))),metadata!C498&gt;0))</f>
        <v>0</v>
      </c>
      <c r="AF498" t="b">
        <f>AND(IF(metadata!D498="",FALSE,TRUE),EXACT(metadata!D498,"missing: not provided"))</f>
        <v>0</v>
      </c>
      <c r="AG498" t="b">
        <f>AND(IF(metadata!E498="",FALSE,TRUE),EXACT(metadata!E498,"Host-associated"))</f>
        <v>0</v>
      </c>
      <c r="AH498" t="b">
        <f>AND(IF(metadata!F498="",FALSE,TRUE),OR(EXACT(metadata!F498,"Animal"),EXACT(metadata!F498,"Fungus"),EXACT(metadata!F498,"Plant")))</f>
        <v>0</v>
      </c>
      <c r="AI498" t="b">
        <f>AND(IF(metadata!G498="",FALSE,TRUE),OR(EXACT(metadata!G498,"Plant secretion"),EXACT(metadata!G498,"Plant rhizosphere"),EXACT(metadata!G498,"Plant surface"),EXACT(metadata!G498,"Plant corpus"),EXACT(metadata!G498,"Fungus surface"),EXACT(metadata!G498,"Fungus corpus"),EXACT(metadata!G498,"Animal surface"),EXACT(metadata!G498,"Animal proximal gut"),EXACT(metadata!G498,"Animal corpus"),EXACT(metadata!G498,"Animal distal gut"),EXACT(metadata!G498,"Animal secretion")))</f>
        <v>0</v>
      </c>
      <c r="AJ498" t="b">
        <f>OR(AND(IF(metadata!H498="",FALSE,TRUE),OR(EXACT(metadata!H498,"missing: not collected"),EXACT(metadata!H498,"missing: not provided"),EXACT(metadata!H498,"missing: restricted access"))),AND(IF(metadata!H498="",FALSE,TRUE),OR(EXACT(metadata!H498,"organism-associated habitat"),EXACT(metadata!H498,"plant-associated habitat"),EXACT(metadata!H498,"animal-associated habitat"),EXACT(metadata!H498,"insecta-associated habitat"),EXACT(metadata!H498,"mammalia-associated habitat"),EXACT(metadata!H498,"human-associated habitat"),EXACT(metadata!H498,"livestock-associated habitat"))))</f>
        <v>0</v>
      </c>
      <c r="AK498" t="b">
        <f>AND(IF(metadata!I498="",FALSE,TRUE),EXACT(metadata!I498,"host-associated"))</f>
        <v>0</v>
      </c>
      <c r="AL498" t="b">
        <f>OR(AND(IF(metadata!J498="",FALSE,TRUE),OR(EXACT(metadata!J498,"not applicable"),EXACT(metadata!J498,"missing: not collected"),EXACT(metadata!J498,"missing: not provided"),EXACT(metadata!J498,"missing: restricted access"))),AND(IF(metadata!J498="",FALSE,ISNUMBER(VALUE(metadata!J498))),metadata!J498&gt;0))</f>
        <v>0</v>
      </c>
      <c r="AM498" t="b">
        <f>AND(IF(metadata!K498="",FALSE,TRUE),EXACT(metadata!K498,"missing: not provided"))</f>
        <v>0</v>
      </c>
      <c r="AN498" t="b">
        <f>IF(metadata!L498="",FALSE,TRUE)</f>
        <v>0</v>
      </c>
      <c r="AO498" t="b">
        <f>IF(metadata!M498="",FALSE,TRUE)</f>
        <v>0</v>
      </c>
      <c r="AP498" t="b">
        <f>OR(AND(IF(metadata!N498="",FALSE,TRUE),OR(EXACT(metadata!N498,"not applicable"),EXACT(metadata!N498,"missing: not collected"),EXACT(metadata!N498,"missing: not provided"))),AND(IF(metadata!N498="",FALSE,IF(ISERROR(INT(metadata!N498)),FALSE,INT(metadata!N498)=metadata!N498)),metadata!N498&gt;0))</f>
        <v>0</v>
      </c>
      <c r="AQ498" t="b">
        <f>AND(IF(metadata!O498="",FALSE,TRUE),EXACT(metadata!O498,"Not applicable"))</f>
        <v>0</v>
      </c>
      <c r="AR498" t="b">
        <f>OR(AND(IF(metadata!P498="",FALSE,TRUE),OR(EXACT(metadata!P498,"not applicable"),EXACT(metadata!P498,"missing: not collected"),EXACT(metadata!P498,"missing: not provided"),EXACT(metadata!P498,"missing: restricted access"))),IF(metadata!P498="",FALSE,IF(ISERROR(INT(metadata!P498)),FALSE,INT(metadata!P498)=metadata!P498)))</f>
        <v>0</v>
      </c>
      <c r="AS498" t="b">
        <f>AND(IF(metadata!Q498="",FALSE,TRUE),EXACT(metadata!Q498,"Not applicable"))</f>
        <v>0</v>
      </c>
      <c r="AT498" t="b">
        <f>OR(AND(IF(metadata!R498="",FALSE,TRUE),OR(EXACT(metadata!R498,"not applicable"),EXACT(metadata!R498,"missing: not collected"),EXACT(metadata!R498,"missing: not provided"),EXACT(metadata!R498,"missing: restricted access"))),AND(IF(metadata!R498="",FALSE,ISNUMBER(VALUE(metadata!R498))),metadata!R498&gt;0))</f>
        <v>0</v>
      </c>
      <c r="AU498" t="b">
        <f>AND(IF(metadata!S498="",FALSE,TRUE),EXACT(metadata!S498,"missing: not provided"))</f>
        <v>0</v>
      </c>
    </row>
    <row r="499" spans="1:47" x14ac:dyDescent="0.2">
      <c r="A499" s="5" t="str">
        <f ca="1">IF(B499=" "," ",HYPERLINK(CONCATENATE("#metadata!",ADDRESS(INDEX($Y$2:$Y$1001,MATCH(ROWS($W$2:W499),$W$2:$W$1001,0),0),1)),INDEX($AB$2:$AB$1001,MATCH(ROWS($W$2:W499),$W$2:$W$1001,0),0)))</f>
        <v xml:space="preserve"> </v>
      </c>
      <c r="B499" s="4" t="str">
        <f ca="1">IF(OR(INDEX($X$2:$X$1001,MATCH(ROWS($W$2:W499),$W$2:$W$1001,0),1)&gt;=100000,INDEX($AD$1005:$AU$1005,1,MATCH(COLUMNS($AD$1006:AD1006),$AD$1006:$AU$1006,0))&gt;=100000), " ",IF(INDEX($AD$2:$AU$1001,MATCH(ROWS($W$2:W499),$W$2:$W$1001,0),MATCH(COLUMNS($AD$1006:AD1006),$AD$1006:$AU$1006,0)), HYPERLINK("#",""), HYPERLINK(CONCATENATE("#metadata!", ADDRESS(INDEX($Y$2:$Y$1001,MATCH(ROWS($W$2:W499),$W$2:$W$1001,0),0), INDEX($AD$1004:$AU$1004,1,MATCH(COLUMNS($AD$1006:AD1006),$AD$1006:$AU$1006,0)))),"Fix")))</f>
        <v xml:space="preserve"> </v>
      </c>
      <c r="C499" s="4" t="str">
        <f ca="1">IF(OR(INDEX($X$2:$X$1001,MATCH(ROWS($W$2:W499),$W$2:$W$1001,0),1)&gt;=100000,INDEX($AD$1005:$AU$1005,1,MATCH(COLUMNS($AD$1006:AE1006),$AD$1006:$AU$1006,0))&gt;=100000), " ",IF(INDEX($AD$2:$AU$1001,MATCH(ROWS($W$2:W499),$W$2:$W$1001,0),MATCH(COLUMNS($AD$1006:AE1006),$AD$1006:$AU$1006,0)), HYPERLINK("#",""), HYPERLINK(CONCATENATE("#metadata!", ADDRESS(INDEX($Y$2:$Y$1001,MATCH(ROWS($W$2:W499),$W$2:$W$1001,0),0), INDEX($AD$1004:$AU$1004,1,MATCH(COLUMNS($AD$1006:AE1006),$AD$1006:$AU$1006,0)))),"Fix")))</f>
        <v xml:space="preserve"> </v>
      </c>
      <c r="D499" s="4" t="str">
        <f ca="1">IF(OR(INDEX($X$2:$X$1001,MATCH(ROWS($W$2:W499),$W$2:$W$1001,0),1)&gt;=100000,INDEX($AD$1005:$AU$1005,1,MATCH(COLUMNS($AD$1006:AF1006),$AD$1006:$AU$1006,0))&gt;=100000), " ",IF(INDEX($AD$2:$AU$1001,MATCH(ROWS($W$2:W499),$W$2:$W$1001,0),MATCH(COLUMNS($AD$1006:AF1006),$AD$1006:$AU$1006,0)), HYPERLINK("#",""), HYPERLINK(CONCATENATE("#metadata!", ADDRESS(INDEX($Y$2:$Y$1001,MATCH(ROWS($W$2:W499),$W$2:$W$1001,0),0), INDEX($AD$1004:$AU$1004,1,MATCH(COLUMNS($AD$1006:AF1006),$AD$1006:$AU$1006,0)))),"Fix")))</f>
        <v xml:space="preserve"> </v>
      </c>
      <c r="E499" s="4" t="str">
        <f ca="1">IF(OR(INDEX($X$2:$X$1001,MATCH(ROWS($W$2:W499),$W$2:$W$1001,0),1)&gt;=100000,INDEX($AD$1005:$AU$1005,1,MATCH(COLUMNS($AD$1006:AG1006),$AD$1006:$AU$1006,0))&gt;=100000), " ",IF(INDEX($AD$2:$AU$1001,MATCH(ROWS($W$2:W499),$W$2:$W$1001,0),MATCH(COLUMNS($AD$1006:AG1006),$AD$1006:$AU$1006,0)), HYPERLINK("#",""), HYPERLINK(CONCATENATE("#metadata!", ADDRESS(INDEX($Y$2:$Y$1001,MATCH(ROWS($W$2:W499),$W$2:$W$1001,0),0), INDEX($AD$1004:$AU$1004,1,MATCH(COLUMNS($AD$1006:AG1006),$AD$1006:$AU$1006,0)))),"Fix")))</f>
        <v xml:space="preserve"> </v>
      </c>
      <c r="F499" s="4" t="str">
        <f ca="1">IF(OR(INDEX($X$2:$X$1001,MATCH(ROWS($W$2:W499),$W$2:$W$1001,0),1)&gt;=100000,INDEX($AD$1005:$AU$1005,1,MATCH(COLUMNS($AD$1006:AH1006),$AD$1006:$AU$1006,0))&gt;=100000), " ",IF(INDEX($AD$2:$AU$1001,MATCH(ROWS($W$2:W499),$W$2:$W$1001,0),MATCH(COLUMNS($AD$1006:AH1006),$AD$1006:$AU$1006,0)), HYPERLINK("#",""), HYPERLINK(CONCATENATE("#metadata!", ADDRESS(INDEX($Y$2:$Y$1001,MATCH(ROWS($W$2:W499),$W$2:$W$1001,0),0), INDEX($AD$1004:$AU$1004,1,MATCH(COLUMNS($AD$1006:AH1006),$AD$1006:$AU$1006,0)))),"Fix")))</f>
        <v xml:space="preserve"> </v>
      </c>
      <c r="G499" s="4" t="str">
        <f ca="1">IF(OR(INDEX($X$2:$X$1001,MATCH(ROWS($W$2:W499),$W$2:$W$1001,0),1)&gt;=100000,INDEX($AD$1005:$AU$1005,1,MATCH(COLUMNS($AD$1006:AI1006),$AD$1006:$AU$1006,0))&gt;=100000), " ",IF(INDEX($AD$2:$AU$1001,MATCH(ROWS($W$2:W499),$W$2:$W$1001,0),MATCH(COLUMNS($AD$1006:AI1006),$AD$1006:$AU$1006,0)), HYPERLINK("#",""), HYPERLINK(CONCATENATE("#metadata!", ADDRESS(INDEX($Y$2:$Y$1001,MATCH(ROWS($W$2:W499),$W$2:$W$1001,0),0), INDEX($AD$1004:$AU$1004,1,MATCH(COLUMNS($AD$1006:AI1006),$AD$1006:$AU$1006,0)))),"Fix")))</f>
        <v xml:space="preserve"> </v>
      </c>
      <c r="H499" s="4" t="str">
        <f ca="1">IF(OR(INDEX($X$2:$X$1001,MATCH(ROWS($W$2:W499),$W$2:$W$1001,0),1)&gt;=100000,INDEX($AD$1005:$AU$1005,1,MATCH(COLUMNS($AD$1006:AJ1006),$AD$1006:$AU$1006,0))&gt;=100000), " ",IF(INDEX($AD$2:$AU$1001,MATCH(ROWS($W$2:W499),$W$2:$W$1001,0),MATCH(COLUMNS($AD$1006:AJ1006),$AD$1006:$AU$1006,0)), HYPERLINK("#",""), HYPERLINK(CONCATENATE("#metadata!", ADDRESS(INDEX($Y$2:$Y$1001,MATCH(ROWS($W$2:W499),$W$2:$W$1001,0),0), INDEX($AD$1004:$AU$1004,1,MATCH(COLUMNS($AD$1006:AJ1006),$AD$1006:$AU$1006,0)))),"Fix")))</f>
        <v xml:space="preserve"> </v>
      </c>
      <c r="I499" s="4" t="str">
        <f ca="1">IF(OR(INDEX($X$2:$X$1001,MATCH(ROWS($W$2:W499),$W$2:$W$1001,0),1)&gt;=100000,INDEX($AD$1005:$AU$1005,1,MATCH(COLUMNS($AD$1006:AK1006),$AD$1006:$AU$1006,0))&gt;=100000), " ",IF(INDEX($AD$2:$AU$1001,MATCH(ROWS($W$2:W499),$W$2:$W$1001,0),MATCH(COLUMNS($AD$1006:AK1006),$AD$1006:$AU$1006,0)), HYPERLINK("#",""), HYPERLINK(CONCATENATE("#metadata!", ADDRESS(INDEX($Y$2:$Y$1001,MATCH(ROWS($W$2:W499),$W$2:$W$1001,0),0), INDEX($AD$1004:$AU$1004,1,MATCH(COLUMNS($AD$1006:AK1006),$AD$1006:$AU$1006,0)))),"Fix")))</f>
        <v xml:space="preserve"> </v>
      </c>
      <c r="J499" s="4" t="str">
        <f ca="1">IF(OR(INDEX($X$2:$X$1001,MATCH(ROWS($W$2:W499),$W$2:$W$1001,0),1)&gt;=100000,INDEX($AD$1005:$AU$1005,1,MATCH(COLUMNS($AD$1006:AL1006),$AD$1006:$AU$1006,0))&gt;=100000), " ",IF(INDEX($AD$2:$AU$1001,MATCH(ROWS($W$2:W499),$W$2:$W$1001,0),MATCH(COLUMNS($AD$1006:AL1006),$AD$1006:$AU$1006,0)), HYPERLINK("#",""), HYPERLINK(CONCATENATE("#metadata!", ADDRESS(INDEX($Y$2:$Y$1001,MATCH(ROWS($W$2:W499),$W$2:$W$1001,0),0), INDEX($AD$1004:$AU$1004,1,MATCH(COLUMNS($AD$1006:AL1006),$AD$1006:$AU$1006,0)))),"Fix")))</f>
        <v xml:space="preserve"> </v>
      </c>
      <c r="K499" s="4" t="str">
        <f ca="1">IF(OR(INDEX($X$2:$X$1001,MATCH(ROWS($W$2:W499),$W$2:$W$1001,0),1)&gt;=100000,INDEX($AD$1005:$AU$1005,1,MATCH(COLUMNS($AD$1006:AM1006),$AD$1006:$AU$1006,0))&gt;=100000), " ",IF(INDEX($AD$2:$AU$1001,MATCH(ROWS($W$2:W499),$W$2:$W$1001,0),MATCH(COLUMNS($AD$1006:AM1006),$AD$1006:$AU$1006,0)), HYPERLINK("#",""), HYPERLINK(CONCATENATE("#metadata!", ADDRESS(INDEX($Y$2:$Y$1001,MATCH(ROWS($W$2:W499),$W$2:$W$1001,0),0), INDEX($AD$1004:$AU$1004,1,MATCH(COLUMNS($AD$1006:AM1006),$AD$1006:$AU$1006,0)))),"Fix")))</f>
        <v xml:space="preserve"> </v>
      </c>
      <c r="L499" s="4" t="str">
        <f ca="1">IF(OR(INDEX($X$2:$X$1001,MATCH(ROWS($W$2:W499),$W$2:$W$1001,0),1)&gt;=100000,INDEX($AD$1005:$AU$1005,1,MATCH(COLUMNS($AD$1006:AN1006),$AD$1006:$AU$1006,0))&gt;=100000), " ",IF(INDEX($AD$2:$AU$1001,MATCH(ROWS($W$2:W499),$W$2:$W$1001,0),MATCH(COLUMNS($AD$1006:AN1006),$AD$1006:$AU$1006,0)), HYPERLINK("#",""), HYPERLINK(CONCATENATE("#metadata!", ADDRESS(INDEX($Y$2:$Y$1001,MATCH(ROWS($W$2:W499),$W$2:$W$1001,0),0), INDEX($AD$1004:$AU$1004,1,MATCH(COLUMNS($AD$1006:AN1006),$AD$1006:$AU$1006,0)))),"Fix")))</f>
        <v xml:space="preserve"> </v>
      </c>
      <c r="M499" s="4" t="str">
        <f ca="1">IF(OR(INDEX($X$2:$X$1001,MATCH(ROWS($W$2:W499),$W$2:$W$1001,0),1)&gt;=100000,INDEX($AD$1005:$AU$1005,1,MATCH(COLUMNS($AD$1006:AO1006),$AD$1006:$AU$1006,0))&gt;=100000), " ",IF(INDEX($AD$2:$AU$1001,MATCH(ROWS($W$2:W499),$W$2:$W$1001,0),MATCH(COLUMNS($AD$1006:AO1006),$AD$1006:$AU$1006,0)), HYPERLINK("#",""), HYPERLINK(CONCATENATE("#metadata!", ADDRESS(INDEX($Y$2:$Y$1001,MATCH(ROWS($W$2:W499),$W$2:$W$1001,0),0), INDEX($AD$1004:$AU$1004,1,MATCH(COLUMNS($AD$1006:AO1006),$AD$1006:$AU$1006,0)))),"Fix")))</f>
        <v xml:space="preserve"> </v>
      </c>
      <c r="N499" s="4" t="str">
        <f ca="1">IF(OR(INDEX($X$2:$X$1001,MATCH(ROWS($W$2:W499),$W$2:$W$1001,0),1)&gt;=100000,INDEX($AD$1005:$AU$1005,1,MATCH(COLUMNS($AD$1006:AP1006),$AD$1006:$AU$1006,0))&gt;=100000), " ",IF(INDEX($AD$2:$AU$1001,MATCH(ROWS($W$2:W499),$W$2:$W$1001,0),MATCH(COLUMNS($AD$1006:AP1006),$AD$1006:$AU$1006,0)), HYPERLINK("#",""), HYPERLINK(CONCATENATE("#metadata!", ADDRESS(INDEX($Y$2:$Y$1001,MATCH(ROWS($W$2:W499),$W$2:$W$1001,0),0), INDEX($AD$1004:$AU$1004,1,MATCH(COLUMNS($AD$1006:AP1006),$AD$1006:$AU$1006,0)))),"Fix")))</f>
        <v xml:space="preserve"> </v>
      </c>
      <c r="O499" s="4" t="str">
        <f ca="1">IF(OR(INDEX($X$2:$X$1001,MATCH(ROWS($W$2:W499),$W$2:$W$1001,0),1)&gt;=100000,INDEX($AD$1005:$AU$1005,1,MATCH(COLUMNS($AD$1006:AQ1006),$AD$1006:$AU$1006,0))&gt;=100000), " ",IF(INDEX($AD$2:$AU$1001,MATCH(ROWS($W$2:W499),$W$2:$W$1001,0),MATCH(COLUMNS($AD$1006:AQ1006),$AD$1006:$AU$1006,0)), HYPERLINK("#",""), HYPERLINK(CONCATENATE("#metadata!", ADDRESS(INDEX($Y$2:$Y$1001,MATCH(ROWS($W$2:W499),$W$2:$W$1001,0),0), INDEX($AD$1004:$AU$1004,1,MATCH(COLUMNS($AD$1006:AQ1006),$AD$1006:$AU$1006,0)))),"Fix")))</f>
        <v xml:space="preserve"> </v>
      </c>
      <c r="P499" s="4" t="str">
        <f ca="1">IF(OR(INDEX($X$2:$X$1001,MATCH(ROWS($W$2:W499),$W$2:$W$1001,0),1)&gt;=100000,INDEX($AD$1005:$AU$1005,1,MATCH(COLUMNS($AD$1006:AR1006),$AD$1006:$AU$1006,0))&gt;=100000), " ",IF(INDEX($AD$2:$AU$1001,MATCH(ROWS($W$2:W499),$W$2:$W$1001,0),MATCH(COLUMNS($AD$1006:AR1006),$AD$1006:$AU$1006,0)), HYPERLINK("#",""), HYPERLINK(CONCATENATE("#metadata!", ADDRESS(INDEX($Y$2:$Y$1001,MATCH(ROWS($W$2:W499),$W$2:$W$1001,0),0), INDEX($AD$1004:$AU$1004,1,MATCH(COLUMNS($AD$1006:AR1006),$AD$1006:$AU$1006,0)))),"Fix")))</f>
        <v xml:space="preserve"> </v>
      </c>
      <c r="Q499" s="4" t="str">
        <f ca="1">IF(OR(INDEX($X$2:$X$1001,MATCH(ROWS($W$2:W499),$W$2:$W$1001,0),1)&gt;=100000,INDEX($AD$1005:$AU$1005,1,MATCH(COLUMNS($AD$1006:AS1006),$AD$1006:$AU$1006,0))&gt;=100000), " ",IF(INDEX($AD$2:$AU$1001,MATCH(ROWS($W$2:W499),$W$2:$W$1001,0),MATCH(COLUMNS($AD$1006:AS1006),$AD$1006:$AU$1006,0)), HYPERLINK("#",""), HYPERLINK(CONCATENATE("#metadata!", ADDRESS(INDEX($Y$2:$Y$1001,MATCH(ROWS($W$2:W499),$W$2:$W$1001,0),0), INDEX($AD$1004:$AU$1004,1,MATCH(COLUMNS($AD$1006:AS1006),$AD$1006:$AU$1006,0)))),"Fix")))</f>
        <v xml:space="preserve"> </v>
      </c>
      <c r="R499" s="4" t="str">
        <f ca="1">IF(OR(INDEX($X$2:$X$1001,MATCH(ROWS($W$2:W499),$W$2:$W$1001,0),1)&gt;=100000,INDEX($AD$1005:$AU$1005,1,MATCH(COLUMNS($AD$1006:AT1006),$AD$1006:$AU$1006,0))&gt;=100000), " ",IF(INDEX($AD$2:$AU$1001,MATCH(ROWS($W$2:W499),$W$2:$W$1001,0),MATCH(COLUMNS($AD$1006:AT1006),$AD$1006:$AU$1006,0)), HYPERLINK("#",""), HYPERLINK(CONCATENATE("#metadata!", ADDRESS(INDEX($Y$2:$Y$1001,MATCH(ROWS($W$2:W499),$W$2:$W$1001,0),0), INDEX($AD$1004:$AU$1004,1,MATCH(COLUMNS($AD$1006:AT1006),$AD$1006:$AU$1006,0)))),"Fix")))</f>
        <v xml:space="preserve"> </v>
      </c>
      <c r="S499" s="4" t="str">
        <f ca="1">IF(OR(INDEX($X$2:$X$1001,MATCH(ROWS($W$2:W499),$W$2:$W$1001,0),1)&gt;=100000,INDEX($AD$1005:$AU$1005,1,MATCH(COLUMNS($AD$1006:AU1006),$AD$1006:$AU$1006,0))&gt;=100000), " ",IF(INDEX($AD$2:$AU$1001,MATCH(ROWS($W$2:W499),$W$2:$W$1001,0),MATCH(COLUMNS($AD$1006:AU1006),$AD$1006:$AU$1006,0)), HYPERLINK("#",""), HYPERLINK(CONCATENATE("#metadata!", ADDRESS(INDEX($Y$2:$Y$1001,MATCH(ROWS($W$2:W499),$W$2:$W$1001,0),0), INDEX($AD$1004:$AU$1004,1,MATCH(COLUMNS($AD$1006:AU1006),$AD$1006:$AU$1006,0)))),"Fix")))</f>
        <v xml:space="preserve"> </v>
      </c>
      <c r="W499">
        <v>498</v>
      </c>
      <c r="X499">
        <v>100499</v>
      </c>
      <c r="Y499">
        <v>499</v>
      </c>
      <c r="Z499" t="b">
        <f t="shared" si="7"/>
        <v>1</v>
      </c>
      <c r="AA499" t="b">
        <f>COUNTBLANK(metadata!B499:S499)=COLUMNS(metadata!B499:S499)</f>
        <v>1</v>
      </c>
      <c r="AB499" t="str">
        <v/>
      </c>
      <c r="AD499" t="b">
        <f ca="1">AND(IF(metadata!B499="",FALSE,TRUE),COUNTIF(metadata!B:B, metadata!B499) = 1,NOT(ISERROR(SUMPRODUCT(SEARCH(MID(metadata!B499,ROW(INDIRECT("1:"&amp;LEN(metadata!B499))), 1),"0123456789abcdefghijklmnopqrstuvwxyzABCDEFGHIJKLMNOPQRSTUVWXYZ.")))))</f>
        <v>0</v>
      </c>
      <c r="AE499" t="b">
        <f>OR(AND(IF(metadata!C499="",FALSE,TRUE),OR(EXACT(metadata!C499,"not applicable"),EXACT(metadata!C499,"missing: not collected"),EXACT(metadata!C499,"missing: not provided"),EXACT(metadata!C499,"missing: restricted access"))),AND(IF(metadata!C499="",FALSE,ISNUMBER(VALUE(metadata!C499))),metadata!C499&gt;0))</f>
        <v>0</v>
      </c>
      <c r="AF499" t="b">
        <f>AND(IF(metadata!D499="",FALSE,TRUE),EXACT(metadata!D499,"missing: not provided"))</f>
        <v>0</v>
      </c>
      <c r="AG499" t="b">
        <f>AND(IF(metadata!E499="",FALSE,TRUE),EXACT(metadata!E499,"Host-associated"))</f>
        <v>0</v>
      </c>
      <c r="AH499" t="b">
        <f>AND(IF(metadata!F499="",FALSE,TRUE),OR(EXACT(metadata!F499,"Animal"),EXACT(metadata!F499,"Fungus"),EXACT(metadata!F499,"Plant")))</f>
        <v>0</v>
      </c>
      <c r="AI499" t="b">
        <f>AND(IF(metadata!G499="",FALSE,TRUE),OR(EXACT(metadata!G499,"Plant secretion"),EXACT(metadata!G499,"Plant rhizosphere"),EXACT(metadata!G499,"Plant surface"),EXACT(metadata!G499,"Plant corpus"),EXACT(metadata!G499,"Fungus surface"),EXACT(metadata!G499,"Fungus corpus"),EXACT(metadata!G499,"Animal surface"),EXACT(metadata!G499,"Animal proximal gut"),EXACT(metadata!G499,"Animal corpus"),EXACT(metadata!G499,"Animal distal gut"),EXACT(metadata!G499,"Animal secretion")))</f>
        <v>0</v>
      </c>
      <c r="AJ499" t="b">
        <f>OR(AND(IF(metadata!H499="",FALSE,TRUE),OR(EXACT(metadata!H499,"missing: not collected"),EXACT(metadata!H499,"missing: not provided"),EXACT(metadata!H499,"missing: restricted access"))),AND(IF(metadata!H499="",FALSE,TRUE),OR(EXACT(metadata!H499,"organism-associated habitat"),EXACT(metadata!H499,"plant-associated habitat"),EXACT(metadata!H499,"animal-associated habitat"),EXACT(metadata!H499,"insecta-associated habitat"),EXACT(metadata!H499,"mammalia-associated habitat"),EXACT(metadata!H499,"human-associated habitat"),EXACT(metadata!H499,"livestock-associated habitat"))))</f>
        <v>0</v>
      </c>
      <c r="AK499" t="b">
        <f>AND(IF(metadata!I499="",FALSE,TRUE),EXACT(metadata!I499,"host-associated"))</f>
        <v>0</v>
      </c>
      <c r="AL499" t="b">
        <f>OR(AND(IF(metadata!J499="",FALSE,TRUE),OR(EXACT(metadata!J499,"not applicable"),EXACT(metadata!J499,"missing: not collected"),EXACT(metadata!J499,"missing: not provided"),EXACT(metadata!J499,"missing: restricted access"))),AND(IF(metadata!J499="",FALSE,ISNUMBER(VALUE(metadata!J499))),metadata!J499&gt;0))</f>
        <v>0</v>
      </c>
      <c r="AM499" t="b">
        <f>AND(IF(metadata!K499="",FALSE,TRUE),EXACT(metadata!K499,"missing: not provided"))</f>
        <v>0</v>
      </c>
      <c r="AN499" t="b">
        <f>IF(metadata!L499="",FALSE,TRUE)</f>
        <v>0</v>
      </c>
      <c r="AO499" t="b">
        <f>IF(metadata!M499="",FALSE,TRUE)</f>
        <v>0</v>
      </c>
      <c r="AP499" t="b">
        <f>OR(AND(IF(metadata!N499="",FALSE,TRUE),OR(EXACT(metadata!N499,"not applicable"),EXACT(metadata!N499,"missing: not collected"),EXACT(metadata!N499,"missing: not provided"))),AND(IF(metadata!N499="",FALSE,IF(ISERROR(INT(metadata!N499)),FALSE,INT(metadata!N499)=metadata!N499)),metadata!N499&gt;0))</f>
        <v>0</v>
      </c>
      <c r="AQ499" t="b">
        <f>AND(IF(metadata!O499="",FALSE,TRUE),EXACT(metadata!O499,"Not applicable"))</f>
        <v>0</v>
      </c>
      <c r="AR499" t="b">
        <f>OR(AND(IF(metadata!P499="",FALSE,TRUE),OR(EXACT(metadata!P499,"not applicable"),EXACT(metadata!P499,"missing: not collected"),EXACT(metadata!P499,"missing: not provided"),EXACT(metadata!P499,"missing: restricted access"))),IF(metadata!P499="",FALSE,IF(ISERROR(INT(metadata!P499)),FALSE,INT(metadata!P499)=metadata!P499)))</f>
        <v>0</v>
      </c>
      <c r="AS499" t="b">
        <f>AND(IF(metadata!Q499="",FALSE,TRUE),EXACT(metadata!Q499,"Not applicable"))</f>
        <v>0</v>
      </c>
      <c r="AT499" t="b">
        <f>OR(AND(IF(metadata!R499="",FALSE,TRUE),OR(EXACT(metadata!R499,"not applicable"),EXACT(metadata!R499,"missing: not collected"),EXACT(metadata!R499,"missing: not provided"),EXACT(metadata!R499,"missing: restricted access"))),AND(IF(metadata!R499="",FALSE,ISNUMBER(VALUE(metadata!R499))),metadata!R499&gt;0))</f>
        <v>0</v>
      </c>
      <c r="AU499" t="b">
        <f>AND(IF(metadata!S499="",FALSE,TRUE),EXACT(metadata!S499,"missing: not provided"))</f>
        <v>0</v>
      </c>
    </row>
    <row r="500" spans="1:47" x14ac:dyDescent="0.2">
      <c r="A500" s="5" t="str">
        <f ca="1">IF(B500=" "," ",HYPERLINK(CONCATENATE("#metadata!",ADDRESS(INDEX($Y$2:$Y$1001,MATCH(ROWS($W$2:W500),$W$2:$W$1001,0),0),1)),INDEX($AB$2:$AB$1001,MATCH(ROWS($W$2:W500),$W$2:$W$1001,0),0)))</f>
        <v xml:space="preserve"> </v>
      </c>
      <c r="B500" s="4" t="str">
        <f ca="1">IF(OR(INDEX($X$2:$X$1001,MATCH(ROWS($W$2:W500),$W$2:$W$1001,0),1)&gt;=100000,INDEX($AD$1005:$AU$1005,1,MATCH(COLUMNS($AD$1006:AD1006),$AD$1006:$AU$1006,0))&gt;=100000), " ",IF(INDEX($AD$2:$AU$1001,MATCH(ROWS($W$2:W500),$W$2:$W$1001,0),MATCH(COLUMNS($AD$1006:AD1006),$AD$1006:$AU$1006,0)), HYPERLINK("#",""), HYPERLINK(CONCATENATE("#metadata!", ADDRESS(INDEX($Y$2:$Y$1001,MATCH(ROWS($W$2:W500),$W$2:$W$1001,0),0), INDEX($AD$1004:$AU$1004,1,MATCH(COLUMNS($AD$1006:AD1006),$AD$1006:$AU$1006,0)))),"Fix")))</f>
        <v xml:space="preserve"> </v>
      </c>
      <c r="C500" s="4" t="str">
        <f ca="1">IF(OR(INDEX($X$2:$X$1001,MATCH(ROWS($W$2:W500),$W$2:$W$1001,0),1)&gt;=100000,INDEX($AD$1005:$AU$1005,1,MATCH(COLUMNS($AD$1006:AE1006),$AD$1006:$AU$1006,0))&gt;=100000), " ",IF(INDEX($AD$2:$AU$1001,MATCH(ROWS($W$2:W500),$W$2:$W$1001,0),MATCH(COLUMNS($AD$1006:AE1006),$AD$1006:$AU$1006,0)), HYPERLINK("#",""), HYPERLINK(CONCATENATE("#metadata!", ADDRESS(INDEX($Y$2:$Y$1001,MATCH(ROWS($W$2:W500),$W$2:$W$1001,0),0), INDEX($AD$1004:$AU$1004,1,MATCH(COLUMNS($AD$1006:AE1006),$AD$1006:$AU$1006,0)))),"Fix")))</f>
        <v xml:space="preserve"> </v>
      </c>
      <c r="D500" s="4" t="str">
        <f ca="1">IF(OR(INDEX($X$2:$X$1001,MATCH(ROWS($W$2:W500),$W$2:$W$1001,0),1)&gt;=100000,INDEX($AD$1005:$AU$1005,1,MATCH(COLUMNS($AD$1006:AF1006),$AD$1006:$AU$1006,0))&gt;=100000), " ",IF(INDEX($AD$2:$AU$1001,MATCH(ROWS($W$2:W500),$W$2:$W$1001,0),MATCH(COLUMNS($AD$1006:AF1006),$AD$1006:$AU$1006,0)), HYPERLINK("#",""), HYPERLINK(CONCATENATE("#metadata!", ADDRESS(INDEX($Y$2:$Y$1001,MATCH(ROWS($W$2:W500),$W$2:$W$1001,0),0), INDEX($AD$1004:$AU$1004,1,MATCH(COLUMNS($AD$1006:AF1006),$AD$1006:$AU$1006,0)))),"Fix")))</f>
        <v xml:space="preserve"> </v>
      </c>
      <c r="E500" s="4" t="str">
        <f ca="1">IF(OR(INDEX($X$2:$X$1001,MATCH(ROWS($W$2:W500),$W$2:$W$1001,0),1)&gt;=100000,INDEX($AD$1005:$AU$1005,1,MATCH(COLUMNS($AD$1006:AG1006),$AD$1006:$AU$1006,0))&gt;=100000), " ",IF(INDEX($AD$2:$AU$1001,MATCH(ROWS($W$2:W500),$W$2:$W$1001,0),MATCH(COLUMNS($AD$1006:AG1006),$AD$1006:$AU$1006,0)), HYPERLINK("#",""), HYPERLINK(CONCATENATE("#metadata!", ADDRESS(INDEX($Y$2:$Y$1001,MATCH(ROWS($W$2:W500),$W$2:$W$1001,0),0), INDEX($AD$1004:$AU$1004,1,MATCH(COLUMNS($AD$1006:AG1006),$AD$1006:$AU$1006,0)))),"Fix")))</f>
        <v xml:space="preserve"> </v>
      </c>
      <c r="F500" s="4" t="str">
        <f ca="1">IF(OR(INDEX($X$2:$X$1001,MATCH(ROWS($W$2:W500),$W$2:$W$1001,0),1)&gt;=100000,INDEX($AD$1005:$AU$1005,1,MATCH(COLUMNS($AD$1006:AH1006),$AD$1006:$AU$1006,0))&gt;=100000), " ",IF(INDEX($AD$2:$AU$1001,MATCH(ROWS($W$2:W500),$W$2:$W$1001,0),MATCH(COLUMNS($AD$1006:AH1006),$AD$1006:$AU$1006,0)), HYPERLINK("#",""), HYPERLINK(CONCATENATE("#metadata!", ADDRESS(INDEX($Y$2:$Y$1001,MATCH(ROWS($W$2:W500),$W$2:$W$1001,0),0), INDEX($AD$1004:$AU$1004,1,MATCH(COLUMNS($AD$1006:AH1006),$AD$1006:$AU$1006,0)))),"Fix")))</f>
        <v xml:space="preserve"> </v>
      </c>
      <c r="G500" s="4" t="str">
        <f ca="1">IF(OR(INDEX($X$2:$X$1001,MATCH(ROWS($W$2:W500),$W$2:$W$1001,0),1)&gt;=100000,INDEX($AD$1005:$AU$1005,1,MATCH(COLUMNS($AD$1006:AI1006),$AD$1006:$AU$1006,0))&gt;=100000), " ",IF(INDEX($AD$2:$AU$1001,MATCH(ROWS($W$2:W500),$W$2:$W$1001,0),MATCH(COLUMNS($AD$1006:AI1006),$AD$1006:$AU$1006,0)), HYPERLINK("#",""), HYPERLINK(CONCATENATE("#metadata!", ADDRESS(INDEX($Y$2:$Y$1001,MATCH(ROWS($W$2:W500),$W$2:$W$1001,0),0), INDEX($AD$1004:$AU$1004,1,MATCH(COLUMNS($AD$1006:AI1006),$AD$1006:$AU$1006,0)))),"Fix")))</f>
        <v xml:space="preserve"> </v>
      </c>
      <c r="H500" s="4" t="str">
        <f ca="1">IF(OR(INDEX($X$2:$X$1001,MATCH(ROWS($W$2:W500),$W$2:$W$1001,0),1)&gt;=100000,INDEX($AD$1005:$AU$1005,1,MATCH(COLUMNS($AD$1006:AJ1006),$AD$1006:$AU$1006,0))&gt;=100000), " ",IF(INDEX($AD$2:$AU$1001,MATCH(ROWS($W$2:W500),$W$2:$W$1001,0),MATCH(COLUMNS($AD$1006:AJ1006),$AD$1006:$AU$1006,0)), HYPERLINK("#",""), HYPERLINK(CONCATENATE("#metadata!", ADDRESS(INDEX($Y$2:$Y$1001,MATCH(ROWS($W$2:W500),$W$2:$W$1001,0),0), INDEX($AD$1004:$AU$1004,1,MATCH(COLUMNS($AD$1006:AJ1006),$AD$1006:$AU$1006,0)))),"Fix")))</f>
        <v xml:space="preserve"> </v>
      </c>
      <c r="I500" s="4" t="str">
        <f ca="1">IF(OR(INDEX($X$2:$X$1001,MATCH(ROWS($W$2:W500),$W$2:$W$1001,0),1)&gt;=100000,INDEX($AD$1005:$AU$1005,1,MATCH(COLUMNS($AD$1006:AK1006),$AD$1006:$AU$1006,0))&gt;=100000), " ",IF(INDEX($AD$2:$AU$1001,MATCH(ROWS($W$2:W500),$W$2:$W$1001,0),MATCH(COLUMNS($AD$1006:AK1006),$AD$1006:$AU$1006,0)), HYPERLINK("#",""), HYPERLINK(CONCATENATE("#metadata!", ADDRESS(INDEX($Y$2:$Y$1001,MATCH(ROWS($W$2:W500),$W$2:$W$1001,0),0), INDEX($AD$1004:$AU$1004,1,MATCH(COLUMNS($AD$1006:AK1006),$AD$1006:$AU$1006,0)))),"Fix")))</f>
        <v xml:space="preserve"> </v>
      </c>
      <c r="J500" s="4" t="str">
        <f ca="1">IF(OR(INDEX($X$2:$X$1001,MATCH(ROWS($W$2:W500),$W$2:$W$1001,0),1)&gt;=100000,INDEX($AD$1005:$AU$1005,1,MATCH(COLUMNS($AD$1006:AL1006),$AD$1006:$AU$1006,0))&gt;=100000), " ",IF(INDEX($AD$2:$AU$1001,MATCH(ROWS($W$2:W500),$W$2:$W$1001,0),MATCH(COLUMNS($AD$1006:AL1006),$AD$1006:$AU$1006,0)), HYPERLINK("#",""), HYPERLINK(CONCATENATE("#metadata!", ADDRESS(INDEX($Y$2:$Y$1001,MATCH(ROWS($W$2:W500),$W$2:$W$1001,0),0), INDEX($AD$1004:$AU$1004,1,MATCH(COLUMNS($AD$1006:AL1006),$AD$1006:$AU$1006,0)))),"Fix")))</f>
        <v xml:space="preserve"> </v>
      </c>
      <c r="K500" s="4" t="str">
        <f ca="1">IF(OR(INDEX($X$2:$X$1001,MATCH(ROWS($W$2:W500),$W$2:$W$1001,0),1)&gt;=100000,INDEX($AD$1005:$AU$1005,1,MATCH(COLUMNS($AD$1006:AM1006),$AD$1006:$AU$1006,0))&gt;=100000), " ",IF(INDEX($AD$2:$AU$1001,MATCH(ROWS($W$2:W500),$W$2:$W$1001,0),MATCH(COLUMNS($AD$1006:AM1006),$AD$1006:$AU$1006,0)), HYPERLINK("#",""), HYPERLINK(CONCATENATE("#metadata!", ADDRESS(INDEX($Y$2:$Y$1001,MATCH(ROWS($W$2:W500),$W$2:$W$1001,0),0), INDEX($AD$1004:$AU$1004,1,MATCH(COLUMNS($AD$1006:AM1006),$AD$1006:$AU$1006,0)))),"Fix")))</f>
        <v xml:space="preserve"> </v>
      </c>
      <c r="L500" s="4" t="str">
        <f ca="1">IF(OR(INDEX($X$2:$X$1001,MATCH(ROWS($W$2:W500),$W$2:$W$1001,0),1)&gt;=100000,INDEX($AD$1005:$AU$1005,1,MATCH(COLUMNS($AD$1006:AN1006),$AD$1006:$AU$1006,0))&gt;=100000), " ",IF(INDEX($AD$2:$AU$1001,MATCH(ROWS($W$2:W500),$W$2:$W$1001,0),MATCH(COLUMNS($AD$1006:AN1006),$AD$1006:$AU$1006,0)), HYPERLINK("#",""), HYPERLINK(CONCATENATE("#metadata!", ADDRESS(INDEX($Y$2:$Y$1001,MATCH(ROWS($W$2:W500),$W$2:$W$1001,0),0), INDEX($AD$1004:$AU$1004,1,MATCH(COLUMNS($AD$1006:AN1006),$AD$1006:$AU$1006,0)))),"Fix")))</f>
        <v xml:space="preserve"> </v>
      </c>
      <c r="M500" s="4" t="str">
        <f ca="1">IF(OR(INDEX($X$2:$X$1001,MATCH(ROWS($W$2:W500),$W$2:$W$1001,0),1)&gt;=100000,INDEX($AD$1005:$AU$1005,1,MATCH(COLUMNS($AD$1006:AO1006),$AD$1006:$AU$1006,0))&gt;=100000), " ",IF(INDEX($AD$2:$AU$1001,MATCH(ROWS($W$2:W500),$W$2:$W$1001,0),MATCH(COLUMNS($AD$1006:AO1006),$AD$1006:$AU$1006,0)), HYPERLINK("#",""), HYPERLINK(CONCATENATE("#metadata!", ADDRESS(INDEX($Y$2:$Y$1001,MATCH(ROWS($W$2:W500),$W$2:$W$1001,0),0), INDEX($AD$1004:$AU$1004,1,MATCH(COLUMNS($AD$1006:AO1006),$AD$1006:$AU$1006,0)))),"Fix")))</f>
        <v xml:space="preserve"> </v>
      </c>
      <c r="N500" s="4" t="str">
        <f ca="1">IF(OR(INDEX($X$2:$X$1001,MATCH(ROWS($W$2:W500),$W$2:$W$1001,0),1)&gt;=100000,INDEX($AD$1005:$AU$1005,1,MATCH(COLUMNS($AD$1006:AP1006),$AD$1006:$AU$1006,0))&gt;=100000), " ",IF(INDEX($AD$2:$AU$1001,MATCH(ROWS($W$2:W500),$W$2:$W$1001,0),MATCH(COLUMNS($AD$1006:AP1006),$AD$1006:$AU$1006,0)), HYPERLINK("#",""), HYPERLINK(CONCATENATE("#metadata!", ADDRESS(INDEX($Y$2:$Y$1001,MATCH(ROWS($W$2:W500),$W$2:$W$1001,0),0), INDEX($AD$1004:$AU$1004,1,MATCH(COLUMNS($AD$1006:AP1006),$AD$1006:$AU$1006,0)))),"Fix")))</f>
        <v xml:space="preserve"> </v>
      </c>
      <c r="O500" s="4" t="str">
        <f ca="1">IF(OR(INDEX($X$2:$X$1001,MATCH(ROWS($W$2:W500),$W$2:$W$1001,0),1)&gt;=100000,INDEX($AD$1005:$AU$1005,1,MATCH(COLUMNS($AD$1006:AQ1006),$AD$1006:$AU$1006,0))&gt;=100000), " ",IF(INDEX($AD$2:$AU$1001,MATCH(ROWS($W$2:W500),$W$2:$W$1001,0),MATCH(COLUMNS($AD$1006:AQ1006),$AD$1006:$AU$1006,0)), HYPERLINK("#",""), HYPERLINK(CONCATENATE("#metadata!", ADDRESS(INDEX($Y$2:$Y$1001,MATCH(ROWS($W$2:W500),$W$2:$W$1001,0),0), INDEX($AD$1004:$AU$1004,1,MATCH(COLUMNS($AD$1006:AQ1006),$AD$1006:$AU$1006,0)))),"Fix")))</f>
        <v xml:space="preserve"> </v>
      </c>
      <c r="P500" s="4" t="str">
        <f ca="1">IF(OR(INDEX($X$2:$X$1001,MATCH(ROWS($W$2:W500),$W$2:$W$1001,0),1)&gt;=100000,INDEX($AD$1005:$AU$1005,1,MATCH(COLUMNS($AD$1006:AR1006),$AD$1006:$AU$1006,0))&gt;=100000), " ",IF(INDEX($AD$2:$AU$1001,MATCH(ROWS($W$2:W500),$W$2:$W$1001,0),MATCH(COLUMNS($AD$1006:AR1006),$AD$1006:$AU$1006,0)), HYPERLINK("#",""), HYPERLINK(CONCATENATE("#metadata!", ADDRESS(INDEX($Y$2:$Y$1001,MATCH(ROWS($W$2:W500),$W$2:$W$1001,0),0), INDEX($AD$1004:$AU$1004,1,MATCH(COLUMNS($AD$1006:AR1006),$AD$1006:$AU$1006,0)))),"Fix")))</f>
        <v xml:space="preserve"> </v>
      </c>
      <c r="Q500" s="4" t="str">
        <f ca="1">IF(OR(INDEX($X$2:$X$1001,MATCH(ROWS($W$2:W500),$W$2:$W$1001,0),1)&gt;=100000,INDEX($AD$1005:$AU$1005,1,MATCH(COLUMNS($AD$1006:AS1006),$AD$1006:$AU$1006,0))&gt;=100000), " ",IF(INDEX($AD$2:$AU$1001,MATCH(ROWS($W$2:W500),$W$2:$W$1001,0),MATCH(COLUMNS($AD$1006:AS1006),$AD$1006:$AU$1006,0)), HYPERLINK("#",""), HYPERLINK(CONCATENATE("#metadata!", ADDRESS(INDEX($Y$2:$Y$1001,MATCH(ROWS($W$2:W500),$W$2:$W$1001,0),0), INDEX($AD$1004:$AU$1004,1,MATCH(COLUMNS($AD$1006:AS1006),$AD$1006:$AU$1006,0)))),"Fix")))</f>
        <v xml:space="preserve"> </v>
      </c>
      <c r="R500" s="4" t="str">
        <f ca="1">IF(OR(INDEX($X$2:$X$1001,MATCH(ROWS($W$2:W500),$W$2:$W$1001,0),1)&gt;=100000,INDEX($AD$1005:$AU$1005,1,MATCH(COLUMNS($AD$1006:AT1006),$AD$1006:$AU$1006,0))&gt;=100000), " ",IF(INDEX($AD$2:$AU$1001,MATCH(ROWS($W$2:W500),$W$2:$W$1001,0),MATCH(COLUMNS($AD$1006:AT1006),$AD$1006:$AU$1006,0)), HYPERLINK("#",""), HYPERLINK(CONCATENATE("#metadata!", ADDRESS(INDEX($Y$2:$Y$1001,MATCH(ROWS($W$2:W500),$W$2:$W$1001,0),0), INDEX($AD$1004:$AU$1004,1,MATCH(COLUMNS($AD$1006:AT1006),$AD$1006:$AU$1006,0)))),"Fix")))</f>
        <v xml:space="preserve"> </v>
      </c>
      <c r="S500" s="4" t="str">
        <f ca="1">IF(OR(INDEX($X$2:$X$1001,MATCH(ROWS($W$2:W500),$W$2:$W$1001,0),1)&gt;=100000,INDEX($AD$1005:$AU$1005,1,MATCH(COLUMNS($AD$1006:AU1006),$AD$1006:$AU$1006,0))&gt;=100000), " ",IF(INDEX($AD$2:$AU$1001,MATCH(ROWS($W$2:W500),$W$2:$W$1001,0),MATCH(COLUMNS($AD$1006:AU1006),$AD$1006:$AU$1006,0)), HYPERLINK("#",""), HYPERLINK(CONCATENATE("#metadata!", ADDRESS(INDEX($Y$2:$Y$1001,MATCH(ROWS($W$2:W500),$W$2:$W$1001,0),0), INDEX($AD$1004:$AU$1004,1,MATCH(COLUMNS($AD$1006:AU1006),$AD$1006:$AU$1006,0)))),"Fix")))</f>
        <v xml:space="preserve"> </v>
      </c>
      <c r="W500">
        <v>499</v>
      </c>
      <c r="X500">
        <v>100500</v>
      </c>
      <c r="Y500">
        <v>500</v>
      </c>
      <c r="Z500" t="b">
        <f t="shared" si="7"/>
        <v>1</v>
      </c>
      <c r="AA500" t="b">
        <f>COUNTBLANK(metadata!B500:S500)=COLUMNS(metadata!B500:S500)</f>
        <v>1</v>
      </c>
      <c r="AB500" t="str">
        <v/>
      </c>
      <c r="AD500" t="b">
        <f ca="1">AND(IF(metadata!B500="",FALSE,TRUE),COUNTIF(metadata!B:B, metadata!B500) = 1,NOT(ISERROR(SUMPRODUCT(SEARCH(MID(metadata!B500,ROW(INDIRECT("1:"&amp;LEN(metadata!B500))), 1),"0123456789abcdefghijklmnopqrstuvwxyzABCDEFGHIJKLMNOPQRSTUVWXYZ.")))))</f>
        <v>0</v>
      </c>
      <c r="AE500" t="b">
        <f>OR(AND(IF(metadata!C500="",FALSE,TRUE),OR(EXACT(metadata!C500,"not applicable"),EXACT(metadata!C500,"missing: not collected"),EXACT(metadata!C500,"missing: not provided"),EXACT(metadata!C500,"missing: restricted access"))),AND(IF(metadata!C500="",FALSE,ISNUMBER(VALUE(metadata!C500))),metadata!C500&gt;0))</f>
        <v>0</v>
      </c>
      <c r="AF500" t="b">
        <f>AND(IF(metadata!D500="",FALSE,TRUE),EXACT(metadata!D500,"missing: not provided"))</f>
        <v>0</v>
      </c>
      <c r="AG500" t="b">
        <f>AND(IF(metadata!E500="",FALSE,TRUE),EXACT(metadata!E500,"Host-associated"))</f>
        <v>0</v>
      </c>
      <c r="AH500" t="b">
        <f>AND(IF(metadata!F500="",FALSE,TRUE),OR(EXACT(metadata!F500,"Animal"),EXACT(metadata!F500,"Fungus"),EXACT(metadata!F500,"Plant")))</f>
        <v>0</v>
      </c>
      <c r="AI500" t="b">
        <f>AND(IF(metadata!G500="",FALSE,TRUE),OR(EXACT(metadata!G500,"Plant secretion"),EXACT(metadata!G500,"Plant rhizosphere"),EXACT(metadata!G500,"Plant surface"),EXACT(metadata!G500,"Plant corpus"),EXACT(metadata!G500,"Fungus surface"),EXACT(metadata!G500,"Fungus corpus"),EXACT(metadata!G500,"Animal surface"),EXACT(metadata!G500,"Animal proximal gut"),EXACT(metadata!G500,"Animal corpus"),EXACT(metadata!G500,"Animal distal gut"),EXACT(metadata!G500,"Animal secretion")))</f>
        <v>0</v>
      </c>
      <c r="AJ500" t="b">
        <f>OR(AND(IF(metadata!H500="",FALSE,TRUE),OR(EXACT(metadata!H500,"missing: not collected"),EXACT(metadata!H500,"missing: not provided"),EXACT(metadata!H500,"missing: restricted access"))),AND(IF(metadata!H500="",FALSE,TRUE),OR(EXACT(metadata!H500,"organism-associated habitat"),EXACT(metadata!H500,"plant-associated habitat"),EXACT(metadata!H500,"animal-associated habitat"),EXACT(metadata!H500,"insecta-associated habitat"),EXACT(metadata!H500,"mammalia-associated habitat"),EXACT(metadata!H500,"human-associated habitat"),EXACT(metadata!H500,"livestock-associated habitat"))))</f>
        <v>0</v>
      </c>
      <c r="AK500" t="b">
        <f>AND(IF(metadata!I500="",FALSE,TRUE),EXACT(metadata!I500,"host-associated"))</f>
        <v>0</v>
      </c>
      <c r="AL500" t="b">
        <f>OR(AND(IF(metadata!J500="",FALSE,TRUE),OR(EXACT(metadata!J500,"not applicable"),EXACT(metadata!J500,"missing: not collected"),EXACT(metadata!J500,"missing: not provided"),EXACT(metadata!J500,"missing: restricted access"))),AND(IF(metadata!J500="",FALSE,ISNUMBER(VALUE(metadata!J500))),metadata!J500&gt;0))</f>
        <v>0</v>
      </c>
      <c r="AM500" t="b">
        <f>AND(IF(metadata!K500="",FALSE,TRUE),EXACT(metadata!K500,"missing: not provided"))</f>
        <v>0</v>
      </c>
      <c r="AN500" t="b">
        <f>IF(metadata!L500="",FALSE,TRUE)</f>
        <v>0</v>
      </c>
      <c r="AO500" t="b">
        <f>IF(metadata!M500="",FALSE,TRUE)</f>
        <v>0</v>
      </c>
      <c r="AP500" t="b">
        <f>OR(AND(IF(metadata!N500="",FALSE,TRUE),OR(EXACT(metadata!N500,"not applicable"),EXACT(metadata!N500,"missing: not collected"),EXACT(metadata!N500,"missing: not provided"))),AND(IF(metadata!N500="",FALSE,IF(ISERROR(INT(metadata!N500)),FALSE,INT(metadata!N500)=metadata!N500)),metadata!N500&gt;0))</f>
        <v>0</v>
      </c>
      <c r="AQ500" t="b">
        <f>AND(IF(metadata!O500="",FALSE,TRUE),EXACT(metadata!O500,"Not applicable"))</f>
        <v>0</v>
      </c>
      <c r="AR500" t="b">
        <f>OR(AND(IF(metadata!P500="",FALSE,TRUE),OR(EXACT(metadata!P500,"not applicable"),EXACT(metadata!P500,"missing: not collected"),EXACT(metadata!P500,"missing: not provided"),EXACT(metadata!P500,"missing: restricted access"))),IF(metadata!P500="",FALSE,IF(ISERROR(INT(metadata!P500)),FALSE,INT(metadata!P500)=metadata!P500)))</f>
        <v>0</v>
      </c>
      <c r="AS500" t="b">
        <f>AND(IF(metadata!Q500="",FALSE,TRUE),EXACT(metadata!Q500,"Not applicable"))</f>
        <v>0</v>
      </c>
      <c r="AT500" t="b">
        <f>OR(AND(IF(metadata!R500="",FALSE,TRUE),OR(EXACT(metadata!R500,"not applicable"),EXACT(metadata!R500,"missing: not collected"),EXACT(metadata!R500,"missing: not provided"),EXACT(metadata!R500,"missing: restricted access"))),AND(IF(metadata!R500="",FALSE,ISNUMBER(VALUE(metadata!R500))),metadata!R500&gt;0))</f>
        <v>0</v>
      </c>
      <c r="AU500" t="b">
        <f>AND(IF(metadata!S500="",FALSE,TRUE),EXACT(metadata!S500,"missing: not provided"))</f>
        <v>0</v>
      </c>
    </row>
    <row r="501" spans="1:47" x14ac:dyDescent="0.2">
      <c r="A501" s="5" t="str">
        <f ca="1">IF(B501=" "," ",HYPERLINK(CONCATENATE("#metadata!",ADDRESS(INDEX($Y$2:$Y$1001,MATCH(ROWS($W$2:W501),$W$2:$W$1001,0),0),1)),INDEX($AB$2:$AB$1001,MATCH(ROWS($W$2:W501),$W$2:$W$1001,0),0)))</f>
        <v xml:space="preserve"> </v>
      </c>
      <c r="B501" s="4" t="str">
        <f ca="1">IF(OR(INDEX($X$2:$X$1001,MATCH(ROWS($W$2:W501),$W$2:$W$1001,0),1)&gt;=100000,INDEX($AD$1005:$AU$1005,1,MATCH(COLUMNS($AD$1006:AD1006),$AD$1006:$AU$1006,0))&gt;=100000), " ",IF(INDEX($AD$2:$AU$1001,MATCH(ROWS($W$2:W501),$W$2:$W$1001,0),MATCH(COLUMNS($AD$1006:AD1006),$AD$1006:$AU$1006,0)), HYPERLINK("#",""), HYPERLINK(CONCATENATE("#metadata!", ADDRESS(INDEX($Y$2:$Y$1001,MATCH(ROWS($W$2:W501),$W$2:$W$1001,0),0), INDEX($AD$1004:$AU$1004,1,MATCH(COLUMNS($AD$1006:AD1006),$AD$1006:$AU$1006,0)))),"Fix")))</f>
        <v xml:space="preserve"> </v>
      </c>
      <c r="C501" s="4" t="str">
        <f ca="1">IF(OR(INDEX($X$2:$X$1001,MATCH(ROWS($W$2:W501),$W$2:$W$1001,0),1)&gt;=100000,INDEX($AD$1005:$AU$1005,1,MATCH(COLUMNS($AD$1006:AE1006),$AD$1006:$AU$1006,0))&gt;=100000), " ",IF(INDEX($AD$2:$AU$1001,MATCH(ROWS($W$2:W501),$W$2:$W$1001,0),MATCH(COLUMNS($AD$1006:AE1006),$AD$1006:$AU$1006,0)), HYPERLINK("#",""), HYPERLINK(CONCATENATE("#metadata!", ADDRESS(INDEX($Y$2:$Y$1001,MATCH(ROWS($W$2:W501),$W$2:$W$1001,0),0), INDEX($AD$1004:$AU$1004,1,MATCH(COLUMNS($AD$1006:AE1006),$AD$1006:$AU$1006,0)))),"Fix")))</f>
        <v xml:space="preserve"> </v>
      </c>
      <c r="D501" s="4" t="str">
        <f ca="1">IF(OR(INDEX($X$2:$X$1001,MATCH(ROWS($W$2:W501),$W$2:$W$1001,0),1)&gt;=100000,INDEX($AD$1005:$AU$1005,1,MATCH(COLUMNS($AD$1006:AF1006),$AD$1006:$AU$1006,0))&gt;=100000), " ",IF(INDEX($AD$2:$AU$1001,MATCH(ROWS($W$2:W501),$W$2:$W$1001,0),MATCH(COLUMNS($AD$1006:AF1006),$AD$1006:$AU$1006,0)), HYPERLINK("#",""), HYPERLINK(CONCATENATE("#metadata!", ADDRESS(INDEX($Y$2:$Y$1001,MATCH(ROWS($W$2:W501),$W$2:$W$1001,0),0), INDEX($AD$1004:$AU$1004,1,MATCH(COLUMNS($AD$1006:AF1006),$AD$1006:$AU$1006,0)))),"Fix")))</f>
        <v xml:space="preserve"> </v>
      </c>
      <c r="E501" s="4" t="str">
        <f ca="1">IF(OR(INDEX($X$2:$X$1001,MATCH(ROWS($W$2:W501),$W$2:$W$1001,0),1)&gt;=100000,INDEX($AD$1005:$AU$1005,1,MATCH(COLUMNS($AD$1006:AG1006),$AD$1006:$AU$1006,0))&gt;=100000), " ",IF(INDEX($AD$2:$AU$1001,MATCH(ROWS($W$2:W501),$W$2:$W$1001,0),MATCH(COLUMNS($AD$1006:AG1006),$AD$1006:$AU$1006,0)), HYPERLINK("#",""), HYPERLINK(CONCATENATE("#metadata!", ADDRESS(INDEX($Y$2:$Y$1001,MATCH(ROWS($W$2:W501),$W$2:$W$1001,0),0), INDEX($AD$1004:$AU$1004,1,MATCH(COLUMNS($AD$1006:AG1006),$AD$1006:$AU$1006,0)))),"Fix")))</f>
        <v xml:space="preserve"> </v>
      </c>
      <c r="F501" s="4" t="str">
        <f ca="1">IF(OR(INDEX($X$2:$X$1001,MATCH(ROWS($W$2:W501),$W$2:$W$1001,0),1)&gt;=100000,INDEX($AD$1005:$AU$1005,1,MATCH(COLUMNS($AD$1006:AH1006),$AD$1006:$AU$1006,0))&gt;=100000), " ",IF(INDEX($AD$2:$AU$1001,MATCH(ROWS($W$2:W501),$W$2:$W$1001,0),MATCH(COLUMNS($AD$1006:AH1006),$AD$1006:$AU$1006,0)), HYPERLINK("#",""), HYPERLINK(CONCATENATE("#metadata!", ADDRESS(INDEX($Y$2:$Y$1001,MATCH(ROWS($W$2:W501),$W$2:$W$1001,0),0), INDEX($AD$1004:$AU$1004,1,MATCH(COLUMNS($AD$1006:AH1006),$AD$1006:$AU$1006,0)))),"Fix")))</f>
        <v xml:space="preserve"> </v>
      </c>
      <c r="G501" s="4" t="str">
        <f ca="1">IF(OR(INDEX($X$2:$X$1001,MATCH(ROWS($W$2:W501),$W$2:$W$1001,0),1)&gt;=100000,INDEX($AD$1005:$AU$1005,1,MATCH(COLUMNS($AD$1006:AI1006),$AD$1006:$AU$1006,0))&gt;=100000), " ",IF(INDEX($AD$2:$AU$1001,MATCH(ROWS($W$2:W501),$W$2:$W$1001,0),MATCH(COLUMNS($AD$1006:AI1006),$AD$1006:$AU$1006,0)), HYPERLINK("#",""), HYPERLINK(CONCATENATE("#metadata!", ADDRESS(INDEX($Y$2:$Y$1001,MATCH(ROWS($W$2:W501),$W$2:$W$1001,0),0), INDEX($AD$1004:$AU$1004,1,MATCH(COLUMNS($AD$1006:AI1006),$AD$1006:$AU$1006,0)))),"Fix")))</f>
        <v xml:space="preserve"> </v>
      </c>
      <c r="H501" s="4" t="str">
        <f ca="1">IF(OR(INDEX($X$2:$X$1001,MATCH(ROWS($W$2:W501),$W$2:$W$1001,0),1)&gt;=100000,INDEX($AD$1005:$AU$1005,1,MATCH(COLUMNS($AD$1006:AJ1006),$AD$1006:$AU$1006,0))&gt;=100000), " ",IF(INDEX($AD$2:$AU$1001,MATCH(ROWS($W$2:W501),$W$2:$W$1001,0),MATCH(COLUMNS($AD$1006:AJ1006),$AD$1006:$AU$1006,0)), HYPERLINK("#",""), HYPERLINK(CONCATENATE("#metadata!", ADDRESS(INDEX($Y$2:$Y$1001,MATCH(ROWS($W$2:W501),$W$2:$W$1001,0),0), INDEX($AD$1004:$AU$1004,1,MATCH(COLUMNS($AD$1006:AJ1006),$AD$1006:$AU$1006,0)))),"Fix")))</f>
        <v xml:space="preserve"> </v>
      </c>
      <c r="I501" s="4" t="str">
        <f ca="1">IF(OR(INDEX($X$2:$X$1001,MATCH(ROWS($W$2:W501),$W$2:$W$1001,0),1)&gt;=100000,INDEX($AD$1005:$AU$1005,1,MATCH(COLUMNS($AD$1006:AK1006),$AD$1006:$AU$1006,0))&gt;=100000), " ",IF(INDEX($AD$2:$AU$1001,MATCH(ROWS($W$2:W501),$W$2:$W$1001,0),MATCH(COLUMNS($AD$1006:AK1006),$AD$1006:$AU$1006,0)), HYPERLINK("#",""), HYPERLINK(CONCATENATE("#metadata!", ADDRESS(INDEX($Y$2:$Y$1001,MATCH(ROWS($W$2:W501),$W$2:$W$1001,0),0), INDEX($AD$1004:$AU$1004,1,MATCH(COLUMNS($AD$1006:AK1006),$AD$1006:$AU$1006,0)))),"Fix")))</f>
        <v xml:space="preserve"> </v>
      </c>
      <c r="J501" s="4" t="str">
        <f ca="1">IF(OR(INDEX($X$2:$X$1001,MATCH(ROWS($W$2:W501),$W$2:$W$1001,0),1)&gt;=100000,INDEX($AD$1005:$AU$1005,1,MATCH(COLUMNS($AD$1006:AL1006),$AD$1006:$AU$1006,0))&gt;=100000), " ",IF(INDEX($AD$2:$AU$1001,MATCH(ROWS($W$2:W501),$W$2:$W$1001,0),MATCH(COLUMNS($AD$1006:AL1006),$AD$1006:$AU$1006,0)), HYPERLINK("#",""), HYPERLINK(CONCATENATE("#metadata!", ADDRESS(INDEX($Y$2:$Y$1001,MATCH(ROWS($W$2:W501),$W$2:$W$1001,0),0), INDEX($AD$1004:$AU$1004,1,MATCH(COLUMNS($AD$1006:AL1006),$AD$1006:$AU$1006,0)))),"Fix")))</f>
        <v xml:space="preserve"> </v>
      </c>
      <c r="K501" s="4" t="str">
        <f ca="1">IF(OR(INDEX($X$2:$X$1001,MATCH(ROWS($W$2:W501),$W$2:$W$1001,0),1)&gt;=100000,INDEX($AD$1005:$AU$1005,1,MATCH(COLUMNS($AD$1006:AM1006),$AD$1006:$AU$1006,0))&gt;=100000), " ",IF(INDEX($AD$2:$AU$1001,MATCH(ROWS($W$2:W501),$W$2:$W$1001,0),MATCH(COLUMNS($AD$1006:AM1006),$AD$1006:$AU$1006,0)), HYPERLINK("#",""), HYPERLINK(CONCATENATE("#metadata!", ADDRESS(INDEX($Y$2:$Y$1001,MATCH(ROWS($W$2:W501),$W$2:$W$1001,0),0), INDEX($AD$1004:$AU$1004,1,MATCH(COLUMNS($AD$1006:AM1006),$AD$1006:$AU$1006,0)))),"Fix")))</f>
        <v xml:space="preserve"> </v>
      </c>
      <c r="L501" s="4" t="str">
        <f ca="1">IF(OR(INDEX($X$2:$X$1001,MATCH(ROWS($W$2:W501),$W$2:$W$1001,0),1)&gt;=100000,INDEX($AD$1005:$AU$1005,1,MATCH(COLUMNS($AD$1006:AN1006),$AD$1006:$AU$1006,0))&gt;=100000), " ",IF(INDEX($AD$2:$AU$1001,MATCH(ROWS($W$2:W501),$W$2:$W$1001,0),MATCH(COLUMNS($AD$1006:AN1006),$AD$1006:$AU$1006,0)), HYPERLINK("#",""), HYPERLINK(CONCATENATE("#metadata!", ADDRESS(INDEX($Y$2:$Y$1001,MATCH(ROWS($W$2:W501),$W$2:$W$1001,0),0), INDEX($AD$1004:$AU$1004,1,MATCH(COLUMNS($AD$1006:AN1006),$AD$1006:$AU$1006,0)))),"Fix")))</f>
        <v xml:space="preserve"> </v>
      </c>
      <c r="M501" s="4" t="str">
        <f ca="1">IF(OR(INDEX($X$2:$X$1001,MATCH(ROWS($W$2:W501),$W$2:$W$1001,0),1)&gt;=100000,INDEX($AD$1005:$AU$1005,1,MATCH(COLUMNS($AD$1006:AO1006),$AD$1006:$AU$1006,0))&gt;=100000), " ",IF(INDEX($AD$2:$AU$1001,MATCH(ROWS($W$2:W501),$W$2:$W$1001,0),MATCH(COLUMNS($AD$1006:AO1006),$AD$1006:$AU$1006,0)), HYPERLINK("#",""), HYPERLINK(CONCATENATE("#metadata!", ADDRESS(INDEX($Y$2:$Y$1001,MATCH(ROWS($W$2:W501),$W$2:$W$1001,0),0), INDEX($AD$1004:$AU$1004,1,MATCH(COLUMNS($AD$1006:AO1006),$AD$1006:$AU$1006,0)))),"Fix")))</f>
        <v xml:space="preserve"> </v>
      </c>
      <c r="N501" s="4" t="str">
        <f ca="1">IF(OR(INDEX($X$2:$X$1001,MATCH(ROWS($W$2:W501),$W$2:$W$1001,0),1)&gt;=100000,INDEX($AD$1005:$AU$1005,1,MATCH(COLUMNS($AD$1006:AP1006),$AD$1006:$AU$1006,0))&gt;=100000), " ",IF(INDEX($AD$2:$AU$1001,MATCH(ROWS($W$2:W501),$W$2:$W$1001,0),MATCH(COLUMNS($AD$1006:AP1006),$AD$1006:$AU$1006,0)), HYPERLINK("#",""), HYPERLINK(CONCATENATE("#metadata!", ADDRESS(INDEX($Y$2:$Y$1001,MATCH(ROWS($W$2:W501),$W$2:$W$1001,0),0), INDEX($AD$1004:$AU$1004,1,MATCH(COLUMNS($AD$1006:AP1006),$AD$1006:$AU$1006,0)))),"Fix")))</f>
        <v xml:space="preserve"> </v>
      </c>
      <c r="O501" s="4" t="str">
        <f ca="1">IF(OR(INDEX($X$2:$X$1001,MATCH(ROWS($W$2:W501),$W$2:$W$1001,0),1)&gt;=100000,INDEX($AD$1005:$AU$1005,1,MATCH(COLUMNS($AD$1006:AQ1006),$AD$1006:$AU$1006,0))&gt;=100000), " ",IF(INDEX($AD$2:$AU$1001,MATCH(ROWS($W$2:W501),$W$2:$W$1001,0),MATCH(COLUMNS($AD$1006:AQ1006),$AD$1006:$AU$1006,0)), HYPERLINK("#",""), HYPERLINK(CONCATENATE("#metadata!", ADDRESS(INDEX($Y$2:$Y$1001,MATCH(ROWS($W$2:W501),$W$2:$W$1001,0),0), INDEX($AD$1004:$AU$1004,1,MATCH(COLUMNS($AD$1006:AQ1006),$AD$1006:$AU$1006,0)))),"Fix")))</f>
        <v xml:space="preserve"> </v>
      </c>
      <c r="P501" s="4" t="str">
        <f ca="1">IF(OR(INDEX($X$2:$X$1001,MATCH(ROWS($W$2:W501),$W$2:$W$1001,0),1)&gt;=100000,INDEX($AD$1005:$AU$1005,1,MATCH(COLUMNS($AD$1006:AR1006),$AD$1006:$AU$1006,0))&gt;=100000), " ",IF(INDEX($AD$2:$AU$1001,MATCH(ROWS($W$2:W501),$W$2:$W$1001,0),MATCH(COLUMNS($AD$1006:AR1006),$AD$1006:$AU$1006,0)), HYPERLINK("#",""), HYPERLINK(CONCATENATE("#metadata!", ADDRESS(INDEX($Y$2:$Y$1001,MATCH(ROWS($W$2:W501),$W$2:$W$1001,0),0), INDEX($AD$1004:$AU$1004,1,MATCH(COLUMNS($AD$1006:AR1006),$AD$1006:$AU$1006,0)))),"Fix")))</f>
        <v xml:space="preserve"> </v>
      </c>
      <c r="Q501" s="4" t="str">
        <f ca="1">IF(OR(INDEX($X$2:$X$1001,MATCH(ROWS($W$2:W501),$W$2:$W$1001,0),1)&gt;=100000,INDEX($AD$1005:$AU$1005,1,MATCH(COLUMNS($AD$1006:AS1006),$AD$1006:$AU$1006,0))&gt;=100000), " ",IF(INDEX($AD$2:$AU$1001,MATCH(ROWS($W$2:W501),$W$2:$W$1001,0),MATCH(COLUMNS($AD$1006:AS1006),$AD$1006:$AU$1006,0)), HYPERLINK("#",""), HYPERLINK(CONCATENATE("#metadata!", ADDRESS(INDEX($Y$2:$Y$1001,MATCH(ROWS($W$2:W501),$W$2:$W$1001,0),0), INDEX($AD$1004:$AU$1004,1,MATCH(COLUMNS($AD$1006:AS1006),$AD$1006:$AU$1006,0)))),"Fix")))</f>
        <v xml:space="preserve"> </v>
      </c>
      <c r="R501" s="4" t="str">
        <f ca="1">IF(OR(INDEX($X$2:$X$1001,MATCH(ROWS($W$2:W501),$W$2:$W$1001,0),1)&gt;=100000,INDEX($AD$1005:$AU$1005,1,MATCH(COLUMNS($AD$1006:AT1006),$AD$1006:$AU$1006,0))&gt;=100000), " ",IF(INDEX($AD$2:$AU$1001,MATCH(ROWS($W$2:W501),$W$2:$W$1001,0),MATCH(COLUMNS($AD$1006:AT1006),$AD$1006:$AU$1006,0)), HYPERLINK("#",""), HYPERLINK(CONCATENATE("#metadata!", ADDRESS(INDEX($Y$2:$Y$1001,MATCH(ROWS($W$2:W501),$W$2:$W$1001,0),0), INDEX($AD$1004:$AU$1004,1,MATCH(COLUMNS($AD$1006:AT1006),$AD$1006:$AU$1006,0)))),"Fix")))</f>
        <v xml:space="preserve"> </v>
      </c>
      <c r="S501" s="4" t="str">
        <f ca="1">IF(OR(INDEX($X$2:$X$1001,MATCH(ROWS($W$2:W501),$W$2:$W$1001,0),1)&gt;=100000,INDEX($AD$1005:$AU$1005,1,MATCH(COLUMNS($AD$1006:AU1006),$AD$1006:$AU$1006,0))&gt;=100000), " ",IF(INDEX($AD$2:$AU$1001,MATCH(ROWS($W$2:W501),$W$2:$W$1001,0),MATCH(COLUMNS($AD$1006:AU1006),$AD$1006:$AU$1006,0)), HYPERLINK("#",""), HYPERLINK(CONCATENATE("#metadata!", ADDRESS(INDEX($Y$2:$Y$1001,MATCH(ROWS($W$2:W501),$W$2:$W$1001,0),0), INDEX($AD$1004:$AU$1004,1,MATCH(COLUMNS($AD$1006:AU1006),$AD$1006:$AU$1006,0)))),"Fix")))</f>
        <v xml:space="preserve"> </v>
      </c>
      <c r="W501">
        <v>500</v>
      </c>
      <c r="X501">
        <v>100501</v>
      </c>
      <c r="Y501">
        <v>501</v>
      </c>
      <c r="Z501" t="b">
        <f t="shared" si="7"/>
        <v>1</v>
      </c>
      <c r="AA501" t="b">
        <f>COUNTBLANK(metadata!B501:S501)=COLUMNS(metadata!B501:S501)</f>
        <v>1</v>
      </c>
      <c r="AB501" t="str">
        <v/>
      </c>
      <c r="AD501" t="b">
        <f ca="1">AND(IF(metadata!B501="",FALSE,TRUE),COUNTIF(metadata!B:B, metadata!B501) = 1,NOT(ISERROR(SUMPRODUCT(SEARCH(MID(metadata!B501,ROW(INDIRECT("1:"&amp;LEN(metadata!B501))), 1),"0123456789abcdefghijklmnopqrstuvwxyzABCDEFGHIJKLMNOPQRSTUVWXYZ.")))))</f>
        <v>0</v>
      </c>
      <c r="AE501" t="b">
        <f>OR(AND(IF(metadata!C501="",FALSE,TRUE),OR(EXACT(metadata!C501,"not applicable"),EXACT(metadata!C501,"missing: not collected"),EXACT(metadata!C501,"missing: not provided"),EXACT(metadata!C501,"missing: restricted access"))),AND(IF(metadata!C501="",FALSE,ISNUMBER(VALUE(metadata!C501))),metadata!C501&gt;0))</f>
        <v>0</v>
      </c>
      <c r="AF501" t="b">
        <f>AND(IF(metadata!D501="",FALSE,TRUE),EXACT(metadata!D501,"missing: not provided"))</f>
        <v>0</v>
      </c>
      <c r="AG501" t="b">
        <f>AND(IF(metadata!E501="",FALSE,TRUE),EXACT(metadata!E501,"Host-associated"))</f>
        <v>0</v>
      </c>
      <c r="AH501" t="b">
        <f>AND(IF(metadata!F501="",FALSE,TRUE),OR(EXACT(metadata!F501,"Animal"),EXACT(metadata!F501,"Fungus"),EXACT(metadata!F501,"Plant")))</f>
        <v>0</v>
      </c>
      <c r="AI501" t="b">
        <f>AND(IF(metadata!G501="",FALSE,TRUE),OR(EXACT(metadata!G501,"Plant secretion"),EXACT(metadata!G501,"Plant rhizosphere"),EXACT(metadata!G501,"Plant surface"),EXACT(metadata!G501,"Plant corpus"),EXACT(metadata!G501,"Fungus surface"),EXACT(metadata!G501,"Fungus corpus"),EXACT(metadata!G501,"Animal surface"),EXACT(metadata!G501,"Animal proximal gut"),EXACT(metadata!G501,"Animal corpus"),EXACT(metadata!G501,"Animal distal gut"),EXACT(metadata!G501,"Animal secretion")))</f>
        <v>0</v>
      </c>
      <c r="AJ501" t="b">
        <f>OR(AND(IF(metadata!H501="",FALSE,TRUE),OR(EXACT(metadata!H501,"missing: not collected"),EXACT(metadata!H501,"missing: not provided"),EXACT(metadata!H501,"missing: restricted access"))),AND(IF(metadata!H501="",FALSE,TRUE),OR(EXACT(metadata!H501,"organism-associated habitat"),EXACT(metadata!H501,"plant-associated habitat"),EXACT(metadata!H501,"animal-associated habitat"),EXACT(metadata!H501,"insecta-associated habitat"),EXACT(metadata!H501,"mammalia-associated habitat"),EXACT(metadata!H501,"human-associated habitat"),EXACT(metadata!H501,"livestock-associated habitat"))))</f>
        <v>0</v>
      </c>
      <c r="AK501" t="b">
        <f>AND(IF(metadata!I501="",FALSE,TRUE),EXACT(metadata!I501,"host-associated"))</f>
        <v>0</v>
      </c>
      <c r="AL501" t="b">
        <f>OR(AND(IF(metadata!J501="",FALSE,TRUE),OR(EXACT(metadata!J501,"not applicable"),EXACT(metadata!J501,"missing: not collected"),EXACT(metadata!J501,"missing: not provided"),EXACT(metadata!J501,"missing: restricted access"))),AND(IF(metadata!J501="",FALSE,ISNUMBER(VALUE(metadata!J501))),metadata!J501&gt;0))</f>
        <v>0</v>
      </c>
      <c r="AM501" t="b">
        <f>AND(IF(metadata!K501="",FALSE,TRUE),EXACT(metadata!K501,"missing: not provided"))</f>
        <v>0</v>
      </c>
      <c r="AN501" t="b">
        <f>IF(metadata!L501="",FALSE,TRUE)</f>
        <v>0</v>
      </c>
      <c r="AO501" t="b">
        <f>IF(metadata!M501="",FALSE,TRUE)</f>
        <v>0</v>
      </c>
      <c r="AP501" t="b">
        <f>OR(AND(IF(metadata!N501="",FALSE,TRUE),OR(EXACT(metadata!N501,"not applicable"),EXACT(metadata!N501,"missing: not collected"),EXACT(metadata!N501,"missing: not provided"))),AND(IF(metadata!N501="",FALSE,IF(ISERROR(INT(metadata!N501)),FALSE,INT(metadata!N501)=metadata!N501)),metadata!N501&gt;0))</f>
        <v>0</v>
      </c>
      <c r="AQ501" t="b">
        <f>AND(IF(metadata!O501="",FALSE,TRUE),EXACT(metadata!O501,"Not applicable"))</f>
        <v>0</v>
      </c>
      <c r="AR501" t="b">
        <f>OR(AND(IF(metadata!P501="",FALSE,TRUE),OR(EXACT(metadata!P501,"not applicable"),EXACT(metadata!P501,"missing: not collected"),EXACT(metadata!P501,"missing: not provided"),EXACT(metadata!P501,"missing: restricted access"))),IF(metadata!P501="",FALSE,IF(ISERROR(INT(metadata!P501)),FALSE,INT(metadata!P501)=metadata!P501)))</f>
        <v>0</v>
      </c>
      <c r="AS501" t="b">
        <f>AND(IF(metadata!Q501="",FALSE,TRUE),EXACT(metadata!Q501,"Not applicable"))</f>
        <v>0</v>
      </c>
      <c r="AT501" t="b">
        <f>OR(AND(IF(metadata!R501="",FALSE,TRUE),OR(EXACT(metadata!R501,"not applicable"),EXACT(metadata!R501,"missing: not collected"),EXACT(metadata!R501,"missing: not provided"),EXACT(metadata!R501,"missing: restricted access"))),AND(IF(metadata!R501="",FALSE,ISNUMBER(VALUE(metadata!R501))),metadata!R501&gt;0))</f>
        <v>0</v>
      </c>
      <c r="AU501" t="b">
        <f>AND(IF(metadata!S501="",FALSE,TRUE),EXACT(metadata!S501,"missing: not provided"))</f>
        <v>0</v>
      </c>
    </row>
    <row r="502" spans="1:47" x14ac:dyDescent="0.2">
      <c r="A502" s="5" t="str">
        <f ca="1">IF(B502=" "," ",HYPERLINK(CONCATENATE("#metadata!",ADDRESS(INDEX($Y$2:$Y$1001,MATCH(ROWS($W$2:W502),$W$2:$W$1001,0),0),1)),INDEX($AB$2:$AB$1001,MATCH(ROWS($W$2:W502),$W$2:$W$1001,0),0)))</f>
        <v xml:space="preserve"> </v>
      </c>
      <c r="B502" s="4" t="str">
        <f ca="1">IF(OR(INDEX($X$2:$X$1001,MATCH(ROWS($W$2:W502),$W$2:$W$1001,0),1)&gt;=100000,INDEX($AD$1005:$AU$1005,1,MATCH(COLUMNS($AD$1006:AD1006),$AD$1006:$AU$1006,0))&gt;=100000), " ",IF(INDEX($AD$2:$AU$1001,MATCH(ROWS($W$2:W502),$W$2:$W$1001,0),MATCH(COLUMNS($AD$1006:AD1006),$AD$1006:$AU$1006,0)), HYPERLINK("#",""), HYPERLINK(CONCATENATE("#metadata!", ADDRESS(INDEX($Y$2:$Y$1001,MATCH(ROWS($W$2:W502),$W$2:$W$1001,0),0), INDEX($AD$1004:$AU$1004,1,MATCH(COLUMNS($AD$1006:AD1006),$AD$1006:$AU$1006,0)))),"Fix")))</f>
        <v xml:space="preserve"> </v>
      </c>
      <c r="C502" s="4" t="str">
        <f ca="1">IF(OR(INDEX($X$2:$X$1001,MATCH(ROWS($W$2:W502),$W$2:$W$1001,0),1)&gt;=100000,INDEX($AD$1005:$AU$1005,1,MATCH(COLUMNS($AD$1006:AE1006),$AD$1006:$AU$1006,0))&gt;=100000), " ",IF(INDEX($AD$2:$AU$1001,MATCH(ROWS($W$2:W502),$W$2:$W$1001,0),MATCH(COLUMNS($AD$1006:AE1006),$AD$1006:$AU$1006,0)), HYPERLINK("#",""), HYPERLINK(CONCATENATE("#metadata!", ADDRESS(INDEX($Y$2:$Y$1001,MATCH(ROWS($W$2:W502),$W$2:$W$1001,0),0), INDEX($AD$1004:$AU$1004,1,MATCH(COLUMNS($AD$1006:AE1006),$AD$1006:$AU$1006,0)))),"Fix")))</f>
        <v xml:space="preserve"> </v>
      </c>
      <c r="D502" s="4" t="str">
        <f ca="1">IF(OR(INDEX($X$2:$X$1001,MATCH(ROWS($W$2:W502),$W$2:$W$1001,0),1)&gt;=100000,INDEX($AD$1005:$AU$1005,1,MATCH(COLUMNS($AD$1006:AF1006),$AD$1006:$AU$1006,0))&gt;=100000), " ",IF(INDEX($AD$2:$AU$1001,MATCH(ROWS($W$2:W502),$W$2:$W$1001,0),MATCH(COLUMNS($AD$1006:AF1006),$AD$1006:$AU$1006,0)), HYPERLINK("#",""), HYPERLINK(CONCATENATE("#metadata!", ADDRESS(INDEX($Y$2:$Y$1001,MATCH(ROWS($W$2:W502),$W$2:$W$1001,0),0), INDEX($AD$1004:$AU$1004,1,MATCH(COLUMNS($AD$1006:AF1006),$AD$1006:$AU$1006,0)))),"Fix")))</f>
        <v xml:space="preserve"> </v>
      </c>
      <c r="E502" s="4" t="str">
        <f ca="1">IF(OR(INDEX($X$2:$X$1001,MATCH(ROWS($W$2:W502),$W$2:$W$1001,0),1)&gt;=100000,INDEX($AD$1005:$AU$1005,1,MATCH(COLUMNS($AD$1006:AG1006),$AD$1006:$AU$1006,0))&gt;=100000), " ",IF(INDEX($AD$2:$AU$1001,MATCH(ROWS($W$2:W502),$W$2:$W$1001,0),MATCH(COLUMNS($AD$1006:AG1006),$AD$1006:$AU$1006,0)), HYPERLINK("#",""), HYPERLINK(CONCATENATE("#metadata!", ADDRESS(INDEX($Y$2:$Y$1001,MATCH(ROWS($W$2:W502),$W$2:$W$1001,0),0), INDEX($AD$1004:$AU$1004,1,MATCH(COLUMNS($AD$1006:AG1006),$AD$1006:$AU$1006,0)))),"Fix")))</f>
        <v xml:space="preserve"> </v>
      </c>
      <c r="F502" s="4" t="str">
        <f ca="1">IF(OR(INDEX($X$2:$X$1001,MATCH(ROWS($W$2:W502),$W$2:$W$1001,0),1)&gt;=100000,INDEX($AD$1005:$AU$1005,1,MATCH(COLUMNS($AD$1006:AH1006),$AD$1006:$AU$1006,0))&gt;=100000), " ",IF(INDEX($AD$2:$AU$1001,MATCH(ROWS($W$2:W502),$W$2:$W$1001,0),MATCH(COLUMNS($AD$1006:AH1006),$AD$1006:$AU$1006,0)), HYPERLINK("#",""), HYPERLINK(CONCATENATE("#metadata!", ADDRESS(INDEX($Y$2:$Y$1001,MATCH(ROWS($W$2:W502),$W$2:$W$1001,0),0), INDEX($AD$1004:$AU$1004,1,MATCH(COLUMNS($AD$1006:AH1006),$AD$1006:$AU$1006,0)))),"Fix")))</f>
        <v xml:space="preserve"> </v>
      </c>
      <c r="G502" s="4" t="str">
        <f ca="1">IF(OR(INDEX($X$2:$X$1001,MATCH(ROWS($W$2:W502),$W$2:$W$1001,0),1)&gt;=100000,INDEX($AD$1005:$AU$1005,1,MATCH(COLUMNS($AD$1006:AI1006),$AD$1006:$AU$1006,0))&gt;=100000), " ",IF(INDEX($AD$2:$AU$1001,MATCH(ROWS($W$2:W502),$W$2:$W$1001,0),MATCH(COLUMNS($AD$1006:AI1006),$AD$1006:$AU$1006,0)), HYPERLINK("#",""), HYPERLINK(CONCATENATE("#metadata!", ADDRESS(INDEX($Y$2:$Y$1001,MATCH(ROWS($W$2:W502),$W$2:$W$1001,0),0), INDEX($AD$1004:$AU$1004,1,MATCH(COLUMNS($AD$1006:AI1006),$AD$1006:$AU$1006,0)))),"Fix")))</f>
        <v xml:space="preserve"> </v>
      </c>
      <c r="H502" s="4" t="str">
        <f ca="1">IF(OR(INDEX($X$2:$X$1001,MATCH(ROWS($W$2:W502),$W$2:$W$1001,0),1)&gt;=100000,INDEX($AD$1005:$AU$1005,1,MATCH(COLUMNS($AD$1006:AJ1006),$AD$1006:$AU$1006,0))&gt;=100000), " ",IF(INDEX($AD$2:$AU$1001,MATCH(ROWS($W$2:W502),$W$2:$W$1001,0),MATCH(COLUMNS($AD$1006:AJ1006),$AD$1006:$AU$1006,0)), HYPERLINK("#",""), HYPERLINK(CONCATENATE("#metadata!", ADDRESS(INDEX($Y$2:$Y$1001,MATCH(ROWS($W$2:W502),$W$2:$W$1001,0),0), INDEX($AD$1004:$AU$1004,1,MATCH(COLUMNS($AD$1006:AJ1006),$AD$1006:$AU$1006,0)))),"Fix")))</f>
        <v xml:space="preserve"> </v>
      </c>
      <c r="I502" s="4" t="str">
        <f ca="1">IF(OR(INDEX($X$2:$X$1001,MATCH(ROWS($W$2:W502),$W$2:$W$1001,0),1)&gt;=100000,INDEX($AD$1005:$AU$1005,1,MATCH(COLUMNS($AD$1006:AK1006),$AD$1006:$AU$1006,0))&gt;=100000), " ",IF(INDEX($AD$2:$AU$1001,MATCH(ROWS($W$2:W502),$W$2:$W$1001,0),MATCH(COLUMNS($AD$1006:AK1006),$AD$1006:$AU$1006,0)), HYPERLINK("#",""), HYPERLINK(CONCATENATE("#metadata!", ADDRESS(INDEX($Y$2:$Y$1001,MATCH(ROWS($W$2:W502),$W$2:$W$1001,0),0), INDEX($AD$1004:$AU$1004,1,MATCH(COLUMNS($AD$1006:AK1006),$AD$1006:$AU$1006,0)))),"Fix")))</f>
        <v xml:space="preserve"> </v>
      </c>
      <c r="J502" s="4" t="str">
        <f ca="1">IF(OR(INDEX($X$2:$X$1001,MATCH(ROWS($W$2:W502),$W$2:$W$1001,0),1)&gt;=100000,INDEX($AD$1005:$AU$1005,1,MATCH(COLUMNS($AD$1006:AL1006),$AD$1006:$AU$1006,0))&gt;=100000), " ",IF(INDEX($AD$2:$AU$1001,MATCH(ROWS($W$2:W502),$W$2:$W$1001,0),MATCH(COLUMNS($AD$1006:AL1006),$AD$1006:$AU$1006,0)), HYPERLINK("#",""), HYPERLINK(CONCATENATE("#metadata!", ADDRESS(INDEX($Y$2:$Y$1001,MATCH(ROWS($W$2:W502),$W$2:$W$1001,0),0), INDEX($AD$1004:$AU$1004,1,MATCH(COLUMNS($AD$1006:AL1006),$AD$1006:$AU$1006,0)))),"Fix")))</f>
        <v xml:space="preserve"> </v>
      </c>
      <c r="K502" s="4" t="str">
        <f ca="1">IF(OR(INDEX($X$2:$X$1001,MATCH(ROWS($W$2:W502),$W$2:$W$1001,0),1)&gt;=100000,INDEX($AD$1005:$AU$1005,1,MATCH(COLUMNS($AD$1006:AM1006),$AD$1006:$AU$1006,0))&gt;=100000), " ",IF(INDEX($AD$2:$AU$1001,MATCH(ROWS($W$2:W502),$W$2:$W$1001,0),MATCH(COLUMNS($AD$1006:AM1006),$AD$1006:$AU$1006,0)), HYPERLINK("#",""), HYPERLINK(CONCATENATE("#metadata!", ADDRESS(INDEX($Y$2:$Y$1001,MATCH(ROWS($W$2:W502),$W$2:$W$1001,0),0), INDEX($AD$1004:$AU$1004,1,MATCH(COLUMNS($AD$1006:AM1006),$AD$1006:$AU$1006,0)))),"Fix")))</f>
        <v xml:space="preserve"> </v>
      </c>
      <c r="L502" s="4" t="str">
        <f ca="1">IF(OR(INDEX($X$2:$X$1001,MATCH(ROWS($W$2:W502),$W$2:$W$1001,0),1)&gt;=100000,INDEX($AD$1005:$AU$1005,1,MATCH(COLUMNS($AD$1006:AN1006),$AD$1006:$AU$1006,0))&gt;=100000), " ",IF(INDEX($AD$2:$AU$1001,MATCH(ROWS($W$2:W502),$W$2:$W$1001,0),MATCH(COLUMNS($AD$1006:AN1006),$AD$1006:$AU$1006,0)), HYPERLINK("#",""), HYPERLINK(CONCATENATE("#metadata!", ADDRESS(INDEX($Y$2:$Y$1001,MATCH(ROWS($W$2:W502),$W$2:$W$1001,0),0), INDEX($AD$1004:$AU$1004,1,MATCH(COLUMNS($AD$1006:AN1006),$AD$1006:$AU$1006,0)))),"Fix")))</f>
        <v xml:space="preserve"> </v>
      </c>
      <c r="M502" s="4" t="str">
        <f ca="1">IF(OR(INDEX($X$2:$X$1001,MATCH(ROWS($W$2:W502),$W$2:$W$1001,0),1)&gt;=100000,INDEX($AD$1005:$AU$1005,1,MATCH(COLUMNS($AD$1006:AO1006),$AD$1006:$AU$1006,0))&gt;=100000), " ",IF(INDEX($AD$2:$AU$1001,MATCH(ROWS($W$2:W502),$W$2:$W$1001,0),MATCH(COLUMNS($AD$1006:AO1006),$AD$1006:$AU$1006,0)), HYPERLINK("#",""), HYPERLINK(CONCATENATE("#metadata!", ADDRESS(INDEX($Y$2:$Y$1001,MATCH(ROWS($W$2:W502),$W$2:$W$1001,0),0), INDEX($AD$1004:$AU$1004,1,MATCH(COLUMNS($AD$1006:AO1006),$AD$1006:$AU$1006,0)))),"Fix")))</f>
        <v xml:space="preserve"> </v>
      </c>
      <c r="N502" s="4" t="str">
        <f ca="1">IF(OR(INDEX($X$2:$X$1001,MATCH(ROWS($W$2:W502),$W$2:$W$1001,0),1)&gt;=100000,INDEX($AD$1005:$AU$1005,1,MATCH(COLUMNS($AD$1006:AP1006),$AD$1006:$AU$1006,0))&gt;=100000), " ",IF(INDEX($AD$2:$AU$1001,MATCH(ROWS($W$2:W502),$W$2:$W$1001,0),MATCH(COLUMNS($AD$1006:AP1006),$AD$1006:$AU$1006,0)), HYPERLINK("#",""), HYPERLINK(CONCATENATE("#metadata!", ADDRESS(INDEX($Y$2:$Y$1001,MATCH(ROWS($W$2:W502),$W$2:$W$1001,0),0), INDEX($AD$1004:$AU$1004,1,MATCH(COLUMNS($AD$1006:AP1006),$AD$1006:$AU$1006,0)))),"Fix")))</f>
        <v xml:space="preserve"> </v>
      </c>
      <c r="O502" s="4" t="str">
        <f ca="1">IF(OR(INDEX($X$2:$X$1001,MATCH(ROWS($W$2:W502),$W$2:$W$1001,0),1)&gt;=100000,INDEX($AD$1005:$AU$1005,1,MATCH(COLUMNS($AD$1006:AQ1006),$AD$1006:$AU$1006,0))&gt;=100000), " ",IF(INDEX($AD$2:$AU$1001,MATCH(ROWS($W$2:W502),$W$2:$W$1001,0),MATCH(COLUMNS($AD$1006:AQ1006),$AD$1006:$AU$1006,0)), HYPERLINK("#",""), HYPERLINK(CONCATENATE("#metadata!", ADDRESS(INDEX($Y$2:$Y$1001,MATCH(ROWS($W$2:W502),$W$2:$W$1001,0),0), INDEX($AD$1004:$AU$1004,1,MATCH(COLUMNS($AD$1006:AQ1006),$AD$1006:$AU$1006,0)))),"Fix")))</f>
        <v xml:space="preserve"> </v>
      </c>
      <c r="P502" s="4" t="str">
        <f ca="1">IF(OR(INDEX($X$2:$X$1001,MATCH(ROWS($W$2:W502),$W$2:$W$1001,0),1)&gt;=100000,INDEX($AD$1005:$AU$1005,1,MATCH(COLUMNS($AD$1006:AR1006),$AD$1006:$AU$1006,0))&gt;=100000), " ",IF(INDEX($AD$2:$AU$1001,MATCH(ROWS($W$2:W502),$W$2:$W$1001,0),MATCH(COLUMNS($AD$1006:AR1006),$AD$1006:$AU$1006,0)), HYPERLINK("#",""), HYPERLINK(CONCATENATE("#metadata!", ADDRESS(INDEX($Y$2:$Y$1001,MATCH(ROWS($W$2:W502),$W$2:$W$1001,0),0), INDEX($AD$1004:$AU$1004,1,MATCH(COLUMNS($AD$1006:AR1006),$AD$1006:$AU$1006,0)))),"Fix")))</f>
        <v xml:space="preserve"> </v>
      </c>
      <c r="Q502" s="4" t="str">
        <f ca="1">IF(OR(INDEX($X$2:$X$1001,MATCH(ROWS($W$2:W502),$W$2:$W$1001,0),1)&gt;=100000,INDEX($AD$1005:$AU$1005,1,MATCH(COLUMNS($AD$1006:AS1006),$AD$1006:$AU$1006,0))&gt;=100000), " ",IF(INDEX($AD$2:$AU$1001,MATCH(ROWS($W$2:W502),$W$2:$W$1001,0),MATCH(COLUMNS($AD$1006:AS1006),$AD$1006:$AU$1006,0)), HYPERLINK("#",""), HYPERLINK(CONCATENATE("#metadata!", ADDRESS(INDEX($Y$2:$Y$1001,MATCH(ROWS($W$2:W502),$W$2:$W$1001,0),0), INDEX($AD$1004:$AU$1004,1,MATCH(COLUMNS($AD$1006:AS1006),$AD$1006:$AU$1006,0)))),"Fix")))</f>
        <v xml:space="preserve"> </v>
      </c>
      <c r="R502" s="4" t="str">
        <f ca="1">IF(OR(INDEX($X$2:$X$1001,MATCH(ROWS($W$2:W502),$W$2:$W$1001,0),1)&gt;=100000,INDEX($AD$1005:$AU$1005,1,MATCH(COLUMNS($AD$1006:AT1006),$AD$1006:$AU$1006,0))&gt;=100000), " ",IF(INDEX($AD$2:$AU$1001,MATCH(ROWS($W$2:W502),$W$2:$W$1001,0),MATCH(COLUMNS($AD$1006:AT1006),$AD$1006:$AU$1006,0)), HYPERLINK("#",""), HYPERLINK(CONCATENATE("#metadata!", ADDRESS(INDEX($Y$2:$Y$1001,MATCH(ROWS($W$2:W502),$W$2:$W$1001,0),0), INDEX($AD$1004:$AU$1004,1,MATCH(COLUMNS($AD$1006:AT1006),$AD$1006:$AU$1006,0)))),"Fix")))</f>
        <v xml:space="preserve"> </v>
      </c>
      <c r="S502" s="4" t="str">
        <f ca="1">IF(OR(INDEX($X$2:$X$1001,MATCH(ROWS($W$2:W502),$W$2:$W$1001,0),1)&gt;=100000,INDEX($AD$1005:$AU$1005,1,MATCH(COLUMNS($AD$1006:AU1006),$AD$1006:$AU$1006,0))&gt;=100000), " ",IF(INDEX($AD$2:$AU$1001,MATCH(ROWS($W$2:W502),$W$2:$W$1001,0),MATCH(COLUMNS($AD$1006:AU1006),$AD$1006:$AU$1006,0)), HYPERLINK("#",""), HYPERLINK(CONCATENATE("#metadata!", ADDRESS(INDEX($Y$2:$Y$1001,MATCH(ROWS($W$2:W502),$W$2:$W$1001,0),0), INDEX($AD$1004:$AU$1004,1,MATCH(COLUMNS($AD$1006:AU1006),$AD$1006:$AU$1006,0)))),"Fix")))</f>
        <v xml:space="preserve"> </v>
      </c>
      <c r="W502">
        <v>501</v>
      </c>
      <c r="X502">
        <v>100502</v>
      </c>
      <c r="Y502">
        <v>502</v>
      </c>
      <c r="Z502" t="b">
        <f t="shared" si="7"/>
        <v>1</v>
      </c>
      <c r="AA502" t="b">
        <f>COUNTBLANK(metadata!B502:S502)=COLUMNS(metadata!B502:S502)</f>
        <v>1</v>
      </c>
      <c r="AB502" t="str">
        <v/>
      </c>
      <c r="AD502" t="b">
        <f ca="1">AND(IF(metadata!B502="",FALSE,TRUE),COUNTIF(metadata!B:B, metadata!B502) = 1,NOT(ISERROR(SUMPRODUCT(SEARCH(MID(metadata!B502,ROW(INDIRECT("1:"&amp;LEN(metadata!B502))), 1),"0123456789abcdefghijklmnopqrstuvwxyzABCDEFGHIJKLMNOPQRSTUVWXYZ.")))))</f>
        <v>0</v>
      </c>
      <c r="AE502" t="b">
        <f>OR(AND(IF(metadata!C502="",FALSE,TRUE),OR(EXACT(metadata!C502,"not applicable"),EXACT(metadata!C502,"missing: not collected"),EXACT(metadata!C502,"missing: not provided"),EXACT(metadata!C502,"missing: restricted access"))),AND(IF(metadata!C502="",FALSE,ISNUMBER(VALUE(metadata!C502))),metadata!C502&gt;0))</f>
        <v>0</v>
      </c>
      <c r="AF502" t="b">
        <f>AND(IF(metadata!D502="",FALSE,TRUE),EXACT(metadata!D502,"missing: not provided"))</f>
        <v>0</v>
      </c>
      <c r="AG502" t="b">
        <f>AND(IF(metadata!E502="",FALSE,TRUE),EXACT(metadata!E502,"Host-associated"))</f>
        <v>0</v>
      </c>
      <c r="AH502" t="b">
        <f>AND(IF(metadata!F502="",FALSE,TRUE),OR(EXACT(metadata!F502,"Animal"),EXACT(metadata!F502,"Fungus"),EXACT(metadata!F502,"Plant")))</f>
        <v>0</v>
      </c>
      <c r="AI502" t="b">
        <f>AND(IF(metadata!G502="",FALSE,TRUE),OR(EXACT(metadata!G502,"Plant secretion"),EXACT(metadata!G502,"Plant rhizosphere"),EXACT(metadata!G502,"Plant surface"),EXACT(metadata!G502,"Plant corpus"),EXACT(metadata!G502,"Fungus surface"),EXACT(metadata!G502,"Fungus corpus"),EXACT(metadata!G502,"Animal surface"),EXACT(metadata!G502,"Animal proximal gut"),EXACT(metadata!G502,"Animal corpus"),EXACT(metadata!G502,"Animal distal gut"),EXACT(metadata!G502,"Animal secretion")))</f>
        <v>0</v>
      </c>
      <c r="AJ502" t="b">
        <f>OR(AND(IF(metadata!H502="",FALSE,TRUE),OR(EXACT(metadata!H502,"missing: not collected"),EXACT(metadata!H502,"missing: not provided"),EXACT(metadata!H502,"missing: restricted access"))),AND(IF(metadata!H502="",FALSE,TRUE),OR(EXACT(metadata!H502,"organism-associated habitat"),EXACT(metadata!H502,"plant-associated habitat"),EXACT(metadata!H502,"animal-associated habitat"),EXACT(metadata!H502,"insecta-associated habitat"),EXACT(metadata!H502,"mammalia-associated habitat"),EXACT(metadata!H502,"human-associated habitat"),EXACT(metadata!H502,"livestock-associated habitat"))))</f>
        <v>0</v>
      </c>
      <c r="AK502" t="b">
        <f>AND(IF(metadata!I502="",FALSE,TRUE),EXACT(metadata!I502,"host-associated"))</f>
        <v>0</v>
      </c>
      <c r="AL502" t="b">
        <f>OR(AND(IF(metadata!J502="",FALSE,TRUE),OR(EXACT(metadata!J502,"not applicable"),EXACT(metadata!J502,"missing: not collected"),EXACT(metadata!J502,"missing: not provided"),EXACT(metadata!J502,"missing: restricted access"))),AND(IF(metadata!J502="",FALSE,ISNUMBER(VALUE(metadata!J502))),metadata!J502&gt;0))</f>
        <v>0</v>
      </c>
      <c r="AM502" t="b">
        <f>AND(IF(metadata!K502="",FALSE,TRUE),EXACT(metadata!K502,"missing: not provided"))</f>
        <v>0</v>
      </c>
      <c r="AN502" t="b">
        <f>IF(metadata!L502="",FALSE,TRUE)</f>
        <v>0</v>
      </c>
      <c r="AO502" t="b">
        <f>IF(metadata!M502="",FALSE,TRUE)</f>
        <v>0</v>
      </c>
      <c r="AP502" t="b">
        <f>OR(AND(IF(metadata!N502="",FALSE,TRUE),OR(EXACT(metadata!N502,"not applicable"),EXACT(metadata!N502,"missing: not collected"),EXACT(metadata!N502,"missing: not provided"))),AND(IF(metadata!N502="",FALSE,IF(ISERROR(INT(metadata!N502)),FALSE,INT(metadata!N502)=metadata!N502)),metadata!N502&gt;0))</f>
        <v>0</v>
      </c>
      <c r="AQ502" t="b">
        <f>AND(IF(metadata!O502="",FALSE,TRUE),EXACT(metadata!O502,"Not applicable"))</f>
        <v>0</v>
      </c>
      <c r="AR502" t="b">
        <f>OR(AND(IF(metadata!P502="",FALSE,TRUE),OR(EXACT(metadata!P502,"not applicable"),EXACT(metadata!P502,"missing: not collected"),EXACT(metadata!P502,"missing: not provided"),EXACT(metadata!P502,"missing: restricted access"))),IF(metadata!P502="",FALSE,IF(ISERROR(INT(metadata!P502)),FALSE,INT(metadata!P502)=metadata!P502)))</f>
        <v>0</v>
      </c>
      <c r="AS502" t="b">
        <f>AND(IF(metadata!Q502="",FALSE,TRUE),EXACT(metadata!Q502,"Not applicable"))</f>
        <v>0</v>
      </c>
      <c r="AT502" t="b">
        <f>OR(AND(IF(metadata!R502="",FALSE,TRUE),OR(EXACT(metadata!R502,"not applicable"),EXACT(metadata!R502,"missing: not collected"),EXACT(metadata!R502,"missing: not provided"),EXACT(metadata!R502,"missing: restricted access"))),AND(IF(metadata!R502="",FALSE,ISNUMBER(VALUE(metadata!R502))),metadata!R502&gt;0))</f>
        <v>0</v>
      </c>
      <c r="AU502" t="b">
        <f>AND(IF(metadata!S502="",FALSE,TRUE),EXACT(metadata!S502,"missing: not provided"))</f>
        <v>0</v>
      </c>
    </row>
    <row r="503" spans="1:47" x14ac:dyDescent="0.2">
      <c r="A503" s="5" t="str">
        <f ca="1">IF(B503=" "," ",HYPERLINK(CONCATENATE("#metadata!",ADDRESS(INDEX($Y$2:$Y$1001,MATCH(ROWS($W$2:W503),$W$2:$W$1001,0),0),1)),INDEX($AB$2:$AB$1001,MATCH(ROWS($W$2:W503),$W$2:$W$1001,0),0)))</f>
        <v xml:space="preserve"> </v>
      </c>
      <c r="B503" s="4" t="str">
        <f ca="1">IF(OR(INDEX($X$2:$X$1001,MATCH(ROWS($W$2:W503),$W$2:$W$1001,0),1)&gt;=100000,INDEX($AD$1005:$AU$1005,1,MATCH(COLUMNS($AD$1006:AD1006),$AD$1006:$AU$1006,0))&gt;=100000), " ",IF(INDEX($AD$2:$AU$1001,MATCH(ROWS($W$2:W503),$W$2:$W$1001,0),MATCH(COLUMNS($AD$1006:AD1006),$AD$1006:$AU$1006,0)), HYPERLINK("#",""), HYPERLINK(CONCATENATE("#metadata!", ADDRESS(INDEX($Y$2:$Y$1001,MATCH(ROWS($W$2:W503),$W$2:$W$1001,0),0), INDEX($AD$1004:$AU$1004,1,MATCH(COLUMNS($AD$1006:AD1006),$AD$1006:$AU$1006,0)))),"Fix")))</f>
        <v xml:space="preserve"> </v>
      </c>
      <c r="C503" s="4" t="str">
        <f ca="1">IF(OR(INDEX($X$2:$X$1001,MATCH(ROWS($W$2:W503),$W$2:$W$1001,0),1)&gt;=100000,INDEX($AD$1005:$AU$1005,1,MATCH(COLUMNS($AD$1006:AE1006),$AD$1006:$AU$1006,0))&gt;=100000), " ",IF(INDEX($AD$2:$AU$1001,MATCH(ROWS($W$2:W503),$W$2:$W$1001,0),MATCH(COLUMNS($AD$1006:AE1006),$AD$1006:$AU$1006,0)), HYPERLINK("#",""), HYPERLINK(CONCATENATE("#metadata!", ADDRESS(INDEX($Y$2:$Y$1001,MATCH(ROWS($W$2:W503),$W$2:$W$1001,0),0), INDEX($AD$1004:$AU$1004,1,MATCH(COLUMNS($AD$1006:AE1006),$AD$1006:$AU$1006,0)))),"Fix")))</f>
        <v xml:space="preserve"> </v>
      </c>
      <c r="D503" s="4" t="str">
        <f ca="1">IF(OR(INDEX($X$2:$X$1001,MATCH(ROWS($W$2:W503),$W$2:$W$1001,0),1)&gt;=100000,INDEX($AD$1005:$AU$1005,1,MATCH(COLUMNS($AD$1006:AF1006),$AD$1006:$AU$1006,0))&gt;=100000), " ",IF(INDEX($AD$2:$AU$1001,MATCH(ROWS($W$2:W503),$W$2:$W$1001,0),MATCH(COLUMNS($AD$1006:AF1006),$AD$1006:$AU$1006,0)), HYPERLINK("#",""), HYPERLINK(CONCATENATE("#metadata!", ADDRESS(INDEX($Y$2:$Y$1001,MATCH(ROWS($W$2:W503),$W$2:$W$1001,0),0), INDEX($AD$1004:$AU$1004,1,MATCH(COLUMNS($AD$1006:AF1006),$AD$1006:$AU$1006,0)))),"Fix")))</f>
        <v xml:space="preserve"> </v>
      </c>
      <c r="E503" s="4" t="str">
        <f ca="1">IF(OR(INDEX($X$2:$X$1001,MATCH(ROWS($W$2:W503),$W$2:$W$1001,0),1)&gt;=100000,INDEX($AD$1005:$AU$1005,1,MATCH(COLUMNS($AD$1006:AG1006),$AD$1006:$AU$1006,0))&gt;=100000), " ",IF(INDEX($AD$2:$AU$1001,MATCH(ROWS($W$2:W503),$W$2:$W$1001,0),MATCH(COLUMNS($AD$1006:AG1006),$AD$1006:$AU$1006,0)), HYPERLINK("#",""), HYPERLINK(CONCATENATE("#metadata!", ADDRESS(INDEX($Y$2:$Y$1001,MATCH(ROWS($W$2:W503),$W$2:$W$1001,0),0), INDEX($AD$1004:$AU$1004,1,MATCH(COLUMNS($AD$1006:AG1006),$AD$1006:$AU$1006,0)))),"Fix")))</f>
        <v xml:space="preserve"> </v>
      </c>
      <c r="F503" s="4" t="str">
        <f ca="1">IF(OR(INDEX($X$2:$X$1001,MATCH(ROWS($W$2:W503),$W$2:$W$1001,0),1)&gt;=100000,INDEX($AD$1005:$AU$1005,1,MATCH(COLUMNS($AD$1006:AH1006),$AD$1006:$AU$1006,0))&gt;=100000), " ",IF(INDEX($AD$2:$AU$1001,MATCH(ROWS($W$2:W503),$W$2:$W$1001,0),MATCH(COLUMNS($AD$1006:AH1006),$AD$1006:$AU$1006,0)), HYPERLINK("#",""), HYPERLINK(CONCATENATE("#metadata!", ADDRESS(INDEX($Y$2:$Y$1001,MATCH(ROWS($W$2:W503),$W$2:$W$1001,0),0), INDEX($AD$1004:$AU$1004,1,MATCH(COLUMNS($AD$1006:AH1006),$AD$1006:$AU$1006,0)))),"Fix")))</f>
        <v xml:space="preserve"> </v>
      </c>
      <c r="G503" s="4" t="str">
        <f ca="1">IF(OR(INDEX($X$2:$X$1001,MATCH(ROWS($W$2:W503),$W$2:$W$1001,0),1)&gt;=100000,INDEX($AD$1005:$AU$1005,1,MATCH(COLUMNS($AD$1006:AI1006),$AD$1006:$AU$1006,0))&gt;=100000), " ",IF(INDEX($AD$2:$AU$1001,MATCH(ROWS($W$2:W503),$W$2:$W$1001,0),MATCH(COLUMNS($AD$1006:AI1006),$AD$1006:$AU$1006,0)), HYPERLINK("#",""), HYPERLINK(CONCATENATE("#metadata!", ADDRESS(INDEX($Y$2:$Y$1001,MATCH(ROWS($W$2:W503),$W$2:$W$1001,0),0), INDEX($AD$1004:$AU$1004,1,MATCH(COLUMNS($AD$1006:AI1006),$AD$1006:$AU$1006,0)))),"Fix")))</f>
        <v xml:space="preserve"> </v>
      </c>
      <c r="H503" s="4" t="str">
        <f ca="1">IF(OR(INDEX($X$2:$X$1001,MATCH(ROWS($W$2:W503),$W$2:$W$1001,0),1)&gt;=100000,INDEX($AD$1005:$AU$1005,1,MATCH(COLUMNS($AD$1006:AJ1006),$AD$1006:$AU$1006,0))&gt;=100000), " ",IF(INDEX($AD$2:$AU$1001,MATCH(ROWS($W$2:W503),$W$2:$W$1001,0),MATCH(COLUMNS($AD$1006:AJ1006),$AD$1006:$AU$1006,0)), HYPERLINK("#",""), HYPERLINK(CONCATENATE("#metadata!", ADDRESS(INDEX($Y$2:$Y$1001,MATCH(ROWS($W$2:W503),$W$2:$W$1001,0),0), INDEX($AD$1004:$AU$1004,1,MATCH(COLUMNS($AD$1006:AJ1006),$AD$1006:$AU$1006,0)))),"Fix")))</f>
        <v xml:space="preserve"> </v>
      </c>
      <c r="I503" s="4" t="str">
        <f ca="1">IF(OR(INDEX($X$2:$X$1001,MATCH(ROWS($W$2:W503),$W$2:$W$1001,0),1)&gt;=100000,INDEX($AD$1005:$AU$1005,1,MATCH(COLUMNS($AD$1006:AK1006),$AD$1006:$AU$1006,0))&gt;=100000), " ",IF(INDEX($AD$2:$AU$1001,MATCH(ROWS($W$2:W503),$W$2:$W$1001,0),MATCH(COLUMNS($AD$1006:AK1006),$AD$1006:$AU$1006,0)), HYPERLINK("#",""), HYPERLINK(CONCATENATE("#metadata!", ADDRESS(INDEX($Y$2:$Y$1001,MATCH(ROWS($W$2:W503),$W$2:$W$1001,0),0), INDEX($AD$1004:$AU$1004,1,MATCH(COLUMNS($AD$1006:AK1006),$AD$1006:$AU$1006,0)))),"Fix")))</f>
        <v xml:space="preserve"> </v>
      </c>
      <c r="J503" s="4" t="str">
        <f ca="1">IF(OR(INDEX($X$2:$X$1001,MATCH(ROWS($W$2:W503),$W$2:$W$1001,0),1)&gt;=100000,INDEX($AD$1005:$AU$1005,1,MATCH(COLUMNS($AD$1006:AL1006),$AD$1006:$AU$1006,0))&gt;=100000), " ",IF(INDEX($AD$2:$AU$1001,MATCH(ROWS($W$2:W503),$W$2:$W$1001,0),MATCH(COLUMNS($AD$1006:AL1006),$AD$1006:$AU$1006,0)), HYPERLINK("#",""), HYPERLINK(CONCATENATE("#metadata!", ADDRESS(INDEX($Y$2:$Y$1001,MATCH(ROWS($W$2:W503),$W$2:$W$1001,0),0), INDEX($AD$1004:$AU$1004,1,MATCH(COLUMNS($AD$1006:AL1006),$AD$1006:$AU$1006,0)))),"Fix")))</f>
        <v xml:space="preserve"> </v>
      </c>
      <c r="K503" s="4" t="str">
        <f ca="1">IF(OR(INDEX($X$2:$X$1001,MATCH(ROWS($W$2:W503),$W$2:$W$1001,0),1)&gt;=100000,INDEX($AD$1005:$AU$1005,1,MATCH(COLUMNS($AD$1006:AM1006),$AD$1006:$AU$1006,0))&gt;=100000), " ",IF(INDEX($AD$2:$AU$1001,MATCH(ROWS($W$2:W503),$W$2:$W$1001,0),MATCH(COLUMNS($AD$1006:AM1006),$AD$1006:$AU$1006,0)), HYPERLINK("#",""), HYPERLINK(CONCATENATE("#metadata!", ADDRESS(INDEX($Y$2:$Y$1001,MATCH(ROWS($W$2:W503),$W$2:$W$1001,0),0), INDEX($AD$1004:$AU$1004,1,MATCH(COLUMNS($AD$1006:AM1006),$AD$1006:$AU$1006,0)))),"Fix")))</f>
        <v xml:space="preserve"> </v>
      </c>
      <c r="L503" s="4" t="str">
        <f ca="1">IF(OR(INDEX($X$2:$X$1001,MATCH(ROWS($W$2:W503),$W$2:$W$1001,0),1)&gt;=100000,INDEX($AD$1005:$AU$1005,1,MATCH(COLUMNS($AD$1006:AN1006),$AD$1006:$AU$1006,0))&gt;=100000), " ",IF(INDEX($AD$2:$AU$1001,MATCH(ROWS($W$2:W503),$W$2:$W$1001,0),MATCH(COLUMNS($AD$1006:AN1006),$AD$1006:$AU$1006,0)), HYPERLINK("#",""), HYPERLINK(CONCATENATE("#metadata!", ADDRESS(INDEX($Y$2:$Y$1001,MATCH(ROWS($W$2:W503),$W$2:$W$1001,0),0), INDEX($AD$1004:$AU$1004,1,MATCH(COLUMNS($AD$1006:AN1006),$AD$1006:$AU$1006,0)))),"Fix")))</f>
        <v xml:space="preserve"> </v>
      </c>
      <c r="M503" s="4" t="str">
        <f ca="1">IF(OR(INDEX($X$2:$X$1001,MATCH(ROWS($W$2:W503),$W$2:$W$1001,0),1)&gt;=100000,INDEX($AD$1005:$AU$1005,1,MATCH(COLUMNS($AD$1006:AO1006),$AD$1006:$AU$1006,0))&gt;=100000), " ",IF(INDEX($AD$2:$AU$1001,MATCH(ROWS($W$2:W503),$W$2:$W$1001,0),MATCH(COLUMNS($AD$1006:AO1006),$AD$1006:$AU$1006,0)), HYPERLINK("#",""), HYPERLINK(CONCATENATE("#metadata!", ADDRESS(INDEX($Y$2:$Y$1001,MATCH(ROWS($W$2:W503),$W$2:$W$1001,0),0), INDEX($AD$1004:$AU$1004,1,MATCH(COLUMNS($AD$1006:AO1006),$AD$1006:$AU$1006,0)))),"Fix")))</f>
        <v xml:space="preserve"> </v>
      </c>
      <c r="N503" s="4" t="str">
        <f ca="1">IF(OR(INDEX($X$2:$X$1001,MATCH(ROWS($W$2:W503),$W$2:$W$1001,0),1)&gt;=100000,INDEX($AD$1005:$AU$1005,1,MATCH(COLUMNS($AD$1006:AP1006),$AD$1006:$AU$1006,0))&gt;=100000), " ",IF(INDEX($AD$2:$AU$1001,MATCH(ROWS($W$2:W503),$W$2:$W$1001,0),MATCH(COLUMNS($AD$1006:AP1006),$AD$1006:$AU$1006,0)), HYPERLINK("#",""), HYPERLINK(CONCATENATE("#metadata!", ADDRESS(INDEX($Y$2:$Y$1001,MATCH(ROWS($W$2:W503),$W$2:$W$1001,0),0), INDEX($AD$1004:$AU$1004,1,MATCH(COLUMNS($AD$1006:AP1006),$AD$1006:$AU$1006,0)))),"Fix")))</f>
        <v xml:space="preserve"> </v>
      </c>
      <c r="O503" s="4" t="str">
        <f ca="1">IF(OR(INDEX($X$2:$X$1001,MATCH(ROWS($W$2:W503),$W$2:$W$1001,0),1)&gt;=100000,INDEX($AD$1005:$AU$1005,1,MATCH(COLUMNS($AD$1006:AQ1006),$AD$1006:$AU$1006,0))&gt;=100000), " ",IF(INDEX($AD$2:$AU$1001,MATCH(ROWS($W$2:W503),$W$2:$W$1001,0),MATCH(COLUMNS($AD$1006:AQ1006),$AD$1006:$AU$1006,0)), HYPERLINK("#",""), HYPERLINK(CONCATENATE("#metadata!", ADDRESS(INDEX($Y$2:$Y$1001,MATCH(ROWS($W$2:W503),$W$2:$W$1001,0),0), INDEX($AD$1004:$AU$1004,1,MATCH(COLUMNS($AD$1006:AQ1006),$AD$1006:$AU$1006,0)))),"Fix")))</f>
        <v xml:space="preserve"> </v>
      </c>
      <c r="P503" s="4" t="str">
        <f ca="1">IF(OR(INDEX($X$2:$X$1001,MATCH(ROWS($W$2:W503),$W$2:$W$1001,0),1)&gt;=100000,INDEX($AD$1005:$AU$1005,1,MATCH(COLUMNS($AD$1006:AR1006),$AD$1006:$AU$1006,0))&gt;=100000), " ",IF(INDEX($AD$2:$AU$1001,MATCH(ROWS($W$2:W503),$W$2:$W$1001,0),MATCH(COLUMNS($AD$1006:AR1006),$AD$1006:$AU$1006,0)), HYPERLINK("#",""), HYPERLINK(CONCATENATE("#metadata!", ADDRESS(INDEX($Y$2:$Y$1001,MATCH(ROWS($W$2:W503),$W$2:$W$1001,0),0), INDEX($AD$1004:$AU$1004,1,MATCH(COLUMNS($AD$1006:AR1006),$AD$1006:$AU$1006,0)))),"Fix")))</f>
        <v xml:space="preserve"> </v>
      </c>
      <c r="Q503" s="4" t="str">
        <f ca="1">IF(OR(INDEX($X$2:$X$1001,MATCH(ROWS($W$2:W503),$W$2:$W$1001,0),1)&gt;=100000,INDEX($AD$1005:$AU$1005,1,MATCH(COLUMNS($AD$1006:AS1006),$AD$1006:$AU$1006,0))&gt;=100000), " ",IF(INDEX($AD$2:$AU$1001,MATCH(ROWS($W$2:W503),$W$2:$W$1001,0),MATCH(COLUMNS($AD$1006:AS1006),$AD$1006:$AU$1006,0)), HYPERLINK("#",""), HYPERLINK(CONCATENATE("#metadata!", ADDRESS(INDEX($Y$2:$Y$1001,MATCH(ROWS($W$2:W503),$W$2:$W$1001,0),0), INDEX($AD$1004:$AU$1004,1,MATCH(COLUMNS($AD$1006:AS1006),$AD$1006:$AU$1006,0)))),"Fix")))</f>
        <v xml:space="preserve"> </v>
      </c>
      <c r="R503" s="4" t="str">
        <f ca="1">IF(OR(INDEX($X$2:$X$1001,MATCH(ROWS($W$2:W503),$W$2:$W$1001,0),1)&gt;=100000,INDEX($AD$1005:$AU$1005,1,MATCH(COLUMNS($AD$1006:AT1006),$AD$1006:$AU$1006,0))&gt;=100000), " ",IF(INDEX($AD$2:$AU$1001,MATCH(ROWS($W$2:W503),$W$2:$W$1001,0),MATCH(COLUMNS($AD$1006:AT1006),$AD$1006:$AU$1006,0)), HYPERLINK("#",""), HYPERLINK(CONCATENATE("#metadata!", ADDRESS(INDEX($Y$2:$Y$1001,MATCH(ROWS($W$2:W503),$W$2:$W$1001,0),0), INDEX($AD$1004:$AU$1004,1,MATCH(COLUMNS($AD$1006:AT1006),$AD$1006:$AU$1006,0)))),"Fix")))</f>
        <v xml:space="preserve"> </v>
      </c>
      <c r="S503" s="4" t="str">
        <f ca="1">IF(OR(INDEX($X$2:$X$1001,MATCH(ROWS($W$2:W503),$W$2:$W$1001,0),1)&gt;=100000,INDEX($AD$1005:$AU$1005,1,MATCH(COLUMNS($AD$1006:AU1006),$AD$1006:$AU$1006,0))&gt;=100000), " ",IF(INDEX($AD$2:$AU$1001,MATCH(ROWS($W$2:W503),$W$2:$W$1001,0),MATCH(COLUMNS($AD$1006:AU1006),$AD$1006:$AU$1006,0)), HYPERLINK("#",""), HYPERLINK(CONCATENATE("#metadata!", ADDRESS(INDEX($Y$2:$Y$1001,MATCH(ROWS($W$2:W503),$W$2:$W$1001,0),0), INDEX($AD$1004:$AU$1004,1,MATCH(COLUMNS($AD$1006:AU1006),$AD$1006:$AU$1006,0)))),"Fix")))</f>
        <v xml:space="preserve"> </v>
      </c>
      <c r="W503">
        <v>502</v>
      </c>
      <c r="X503">
        <v>100503</v>
      </c>
      <c r="Y503">
        <v>503</v>
      </c>
      <c r="Z503" t="b">
        <f t="shared" si="7"/>
        <v>1</v>
      </c>
      <c r="AA503" t="b">
        <f>COUNTBLANK(metadata!B503:S503)=COLUMNS(metadata!B503:S503)</f>
        <v>1</v>
      </c>
      <c r="AB503" t="str">
        <v/>
      </c>
      <c r="AD503" t="b">
        <f ca="1">AND(IF(metadata!B503="",FALSE,TRUE),COUNTIF(metadata!B:B, metadata!B503) = 1,NOT(ISERROR(SUMPRODUCT(SEARCH(MID(metadata!B503,ROW(INDIRECT("1:"&amp;LEN(metadata!B503))), 1),"0123456789abcdefghijklmnopqrstuvwxyzABCDEFGHIJKLMNOPQRSTUVWXYZ.")))))</f>
        <v>0</v>
      </c>
      <c r="AE503" t="b">
        <f>OR(AND(IF(metadata!C503="",FALSE,TRUE),OR(EXACT(metadata!C503,"not applicable"),EXACT(metadata!C503,"missing: not collected"),EXACT(metadata!C503,"missing: not provided"),EXACT(metadata!C503,"missing: restricted access"))),AND(IF(metadata!C503="",FALSE,ISNUMBER(VALUE(metadata!C503))),metadata!C503&gt;0))</f>
        <v>0</v>
      </c>
      <c r="AF503" t="b">
        <f>AND(IF(metadata!D503="",FALSE,TRUE),EXACT(metadata!D503,"missing: not provided"))</f>
        <v>0</v>
      </c>
      <c r="AG503" t="b">
        <f>AND(IF(metadata!E503="",FALSE,TRUE),EXACT(metadata!E503,"Host-associated"))</f>
        <v>0</v>
      </c>
      <c r="AH503" t="b">
        <f>AND(IF(metadata!F503="",FALSE,TRUE),OR(EXACT(metadata!F503,"Animal"),EXACT(metadata!F503,"Fungus"),EXACT(metadata!F503,"Plant")))</f>
        <v>0</v>
      </c>
      <c r="AI503" t="b">
        <f>AND(IF(metadata!G503="",FALSE,TRUE),OR(EXACT(metadata!G503,"Plant secretion"),EXACT(metadata!G503,"Plant rhizosphere"),EXACT(metadata!G503,"Plant surface"),EXACT(metadata!G503,"Plant corpus"),EXACT(metadata!G503,"Fungus surface"),EXACT(metadata!G503,"Fungus corpus"),EXACT(metadata!G503,"Animal surface"),EXACT(metadata!G503,"Animal proximal gut"),EXACT(metadata!G503,"Animal corpus"),EXACT(metadata!G503,"Animal distal gut"),EXACT(metadata!G503,"Animal secretion")))</f>
        <v>0</v>
      </c>
      <c r="AJ503" t="b">
        <f>OR(AND(IF(metadata!H503="",FALSE,TRUE),OR(EXACT(metadata!H503,"missing: not collected"),EXACT(metadata!H503,"missing: not provided"),EXACT(metadata!H503,"missing: restricted access"))),AND(IF(metadata!H503="",FALSE,TRUE),OR(EXACT(metadata!H503,"organism-associated habitat"),EXACT(metadata!H503,"plant-associated habitat"),EXACT(metadata!H503,"animal-associated habitat"),EXACT(metadata!H503,"insecta-associated habitat"),EXACT(metadata!H503,"mammalia-associated habitat"),EXACT(metadata!H503,"human-associated habitat"),EXACT(metadata!H503,"livestock-associated habitat"))))</f>
        <v>0</v>
      </c>
      <c r="AK503" t="b">
        <f>AND(IF(metadata!I503="",FALSE,TRUE),EXACT(metadata!I503,"host-associated"))</f>
        <v>0</v>
      </c>
      <c r="AL503" t="b">
        <f>OR(AND(IF(metadata!J503="",FALSE,TRUE),OR(EXACT(metadata!J503,"not applicable"),EXACT(metadata!J503,"missing: not collected"),EXACT(metadata!J503,"missing: not provided"),EXACT(metadata!J503,"missing: restricted access"))),AND(IF(metadata!J503="",FALSE,ISNUMBER(VALUE(metadata!J503))),metadata!J503&gt;0))</f>
        <v>0</v>
      </c>
      <c r="AM503" t="b">
        <f>AND(IF(metadata!K503="",FALSE,TRUE),EXACT(metadata!K503,"missing: not provided"))</f>
        <v>0</v>
      </c>
      <c r="AN503" t="b">
        <f>IF(metadata!L503="",FALSE,TRUE)</f>
        <v>0</v>
      </c>
      <c r="AO503" t="b">
        <f>IF(metadata!M503="",FALSE,TRUE)</f>
        <v>0</v>
      </c>
      <c r="AP503" t="b">
        <f>OR(AND(IF(metadata!N503="",FALSE,TRUE),OR(EXACT(metadata!N503,"not applicable"),EXACT(metadata!N503,"missing: not collected"),EXACT(metadata!N503,"missing: not provided"))),AND(IF(metadata!N503="",FALSE,IF(ISERROR(INT(metadata!N503)),FALSE,INT(metadata!N503)=metadata!N503)),metadata!N503&gt;0))</f>
        <v>0</v>
      </c>
      <c r="AQ503" t="b">
        <f>AND(IF(metadata!O503="",FALSE,TRUE),EXACT(metadata!O503,"Not applicable"))</f>
        <v>0</v>
      </c>
      <c r="AR503" t="b">
        <f>OR(AND(IF(metadata!P503="",FALSE,TRUE),OR(EXACT(metadata!P503,"not applicable"),EXACT(metadata!P503,"missing: not collected"),EXACT(metadata!P503,"missing: not provided"),EXACT(metadata!P503,"missing: restricted access"))),IF(metadata!P503="",FALSE,IF(ISERROR(INT(metadata!P503)),FALSE,INT(metadata!P503)=metadata!P503)))</f>
        <v>0</v>
      </c>
      <c r="AS503" t="b">
        <f>AND(IF(metadata!Q503="",FALSE,TRUE),EXACT(metadata!Q503,"Not applicable"))</f>
        <v>0</v>
      </c>
      <c r="AT503" t="b">
        <f>OR(AND(IF(metadata!R503="",FALSE,TRUE),OR(EXACT(metadata!R503,"not applicable"),EXACT(metadata!R503,"missing: not collected"),EXACT(metadata!R503,"missing: not provided"),EXACT(metadata!R503,"missing: restricted access"))),AND(IF(metadata!R503="",FALSE,ISNUMBER(VALUE(metadata!R503))),metadata!R503&gt;0))</f>
        <v>0</v>
      </c>
      <c r="AU503" t="b">
        <f>AND(IF(metadata!S503="",FALSE,TRUE),EXACT(metadata!S503,"missing: not provided"))</f>
        <v>0</v>
      </c>
    </row>
    <row r="504" spans="1:47" x14ac:dyDescent="0.2">
      <c r="A504" s="5" t="str">
        <f ca="1">IF(B504=" "," ",HYPERLINK(CONCATENATE("#metadata!",ADDRESS(INDEX($Y$2:$Y$1001,MATCH(ROWS($W$2:W504),$W$2:$W$1001,0),0),1)),INDEX($AB$2:$AB$1001,MATCH(ROWS($W$2:W504),$W$2:$W$1001,0),0)))</f>
        <v xml:space="preserve"> </v>
      </c>
      <c r="B504" s="4" t="str">
        <f ca="1">IF(OR(INDEX($X$2:$X$1001,MATCH(ROWS($W$2:W504),$W$2:$W$1001,0),1)&gt;=100000,INDEX($AD$1005:$AU$1005,1,MATCH(COLUMNS($AD$1006:AD1006),$AD$1006:$AU$1006,0))&gt;=100000), " ",IF(INDEX($AD$2:$AU$1001,MATCH(ROWS($W$2:W504),$W$2:$W$1001,0),MATCH(COLUMNS($AD$1006:AD1006),$AD$1006:$AU$1006,0)), HYPERLINK("#",""), HYPERLINK(CONCATENATE("#metadata!", ADDRESS(INDEX($Y$2:$Y$1001,MATCH(ROWS($W$2:W504),$W$2:$W$1001,0),0), INDEX($AD$1004:$AU$1004,1,MATCH(COLUMNS($AD$1006:AD1006),$AD$1006:$AU$1006,0)))),"Fix")))</f>
        <v xml:space="preserve"> </v>
      </c>
      <c r="C504" s="4" t="str">
        <f ca="1">IF(OR(INDEX($X$2:$X$1001,MATCH(ROWS($W$2:W504),$W$2:$W$1001,0),1)&gt;=100000,INDEX($AD$1005:$AU$1005,1,MATCH(COLUMNS($AD$1006:AE1006),$AD$1006:$AU$1006,0))&gt;=100000), " ",IF(INDEX($AD$2:$AU$1001,MATCH(ROWS($W$2:W504),$W$2:$W$1001,0),MATCH(COLUMNS($AD$1006:AE1006),$AD$1006:$AU$1006,0)), HYPERLINK("#",""), HYPERLINK(CONCATENATE("#metadata!", ADDRESS(INDEX($Y$2:$Y$1001,MATCH(ROWS($W$2:W504),$W$2:$W$1001,0),0), INDEX($AD$1004:$AU$1004,1,MATCH(COLUMNS($AD$1006:AE1006),$AD$1006:$AU$1006,0)))),"Fix")))</f>
        <v xml:space="preserve"> </v>
      </c>
      <c r="D504" s="4" t="str">
        <f ca="1">IF(OR(INDEX($X$2:$X$1001,MATCH(ROWS($W$2:W504),$W$2:$W$1001,0),1)&gt;=100000,INDEX($AD$1005:$AU$1005,1,MATCH(COLUMNS($AD$1006:AF1006),$AD$1006:$AU$1006,0))&gt;=100000), " ",IF(INDEX($AD$2:$AU$1001,MATCH(ROWS($W$2:W504),$W$2:$W$1001,0),MATCH(COLUMNS($AD$1006:AF1006),$AD$1006:$AU$1006,0)), HYPERLINK("#",""), HYPERLINK(CONCATENATE("#metadata!", ADDRESS(INDEX($Y$2:$Y$1001,MATCH(ROWS($W$2:W504),$W$2:$W$1001,0),0), INDEX($AD$1004:$AU$1004,1,MATCH(COLUMNS($AD$1006:AF1006),$AD$1006:$AU$1006,0)))),"Fix")))</f>
        <v xml:space="preserve"> </v>
      </c>
      <c r="E504" s="4" t="str">
        <f ca="1">IF(OR(INDEX($X$2:$X$1001,MATCH(ROWS($W$2:W504),$W$2:$W$1001,0),1)&gt;=100000,INDEX($AD$1005:$AU$1005,1,MATCH(COLUMNS($AD$1006:AG1006),$AD$1006:$AU$1006,0))&gt;=100000), " ",IF(INDEX($AD$2:$AU$1001,MATCH(ROWS($W$2:W504),$W$2:$W$1001,0),MATCH(COLUMNS($AD$1006:AG1006),$AD$1006:$AU$1006,0)), HYPERLINK("#",""), HYPERLINK(CONCATENATE("#metadata!", ADDRESS(INDEX($Y$2:$Y$1001,MATCH(ROWS($W$2:W504),$W$2:$W$1001,0),0), INDEX($AD$1004:$AU$1004,1,MATCH(COLUMNS($AD$1006:AG1006),$AD$1006:$AU$1006,0)))),"Fix")))</f>
        <v xml:space="preserve"> </v>
      </c>
      <c r="F504" s="4" t="str">
        <f ca="1">IF(OR(INDEX($X$2:$X$1001,MATCH(ROWS($W$2:W504),$W$2:$W$1001,0),1)&gt;=100000,INDEX($AD$1005:$AU$1005,1,MATCH(COLUMNS($AD$1006:AH1006),$AD$1006:$AU$1006,0))&gt;=100000), " ",IF(INDEX($AD$2:$AU$1001,MATCH(ROWS($W$2:W504),$W$2:$W$1001,0),MATCH(COLUMNS($AD$1006:AH1006),$AD$1006:$AU$1006,0)), HYPERLINK("#",""), HYPERLINK(CONCATENATE("#metadata!", ADDRESS(INDEX($Y$2:$Y$1001,MATCH(ROWS($W$2:W504),$W$2:$W$1001,0),0), INDEX($AD$1004:$AU$1004,1,MATCH(COLUMNS($AD$1006:AH1006),$AD$1006:$AU$1006,0)))),"Fix")))</f>
        <v xml:space="preserve"> </v>
      </c>
      <c r="G504" s="4" t="str">
        <f ca="1">IF(OR(INDEX($X$2:$X$1001,MATCH(ROWS($W$2:W504),$W$2:$W$1001,0),1)&gt;=100000,INDEX($AD$1005:$AU$1005,1,MATCH(COLUMNS($AD$1006:AI1006),$AD$1006:$AU$1006,0))&gt;=100000), " ",IF(INDEX($AD$2:$AU$1001,MATCH(ROWS($W$2:W504),$W$2:$W$1001,0),MATCH(COLUMNS($AD$1006:AI1006),$AD$1006:$AU$1006,0)), HYPERLINK("#",""), HYPERLINK(CONCATENATE("#metadata!", ADDRESS(INDEX($Y$2:$Y$1001,MATCH(ROWS($W$2:W504),$W$2:$W$1001,0),0), INDEX($AD$1004:$AU$1004,1,MATCH(COLUMNS($AD$1006:AI1006),$AD$1006:$AU$1006,0)))),"Fix")))</f>
        <v xml:space="preserve"> </v>
      </c>
      <c r="H504" s="4" t="str">
        <f ca="1">IF(OR(INDEX($X$2:$X$1001,MATCH(ROWS($W$2:W504),$W$2:$W$1001,0),1)&gt;=100000,INDEX($AD$1005:$AU$1005,1,MATCH(COLUMNS($AD$1006:AJ1006),$AD$1006:$AU$1006,0))&gt;=100000), " ",IF(INDEX($AD$2:$AU$1001,MATCH(ROWS($W$2:W504),$W$2:$W$1001,0),MATCH(COLUMNS($AD$1006:AJ1006),$AD$1006:$AU$1006,0)), HYPERLINK("#",""), HYPERLINK(CONCATENATE("#metadata!", ADDRESS(INDEX($Y$2:$Y$1001,MATCH(ROWS($W$2:W504),$W$2:$W$1001,0),0), INDEX($AD$1004:$AU$1004,1,MATCH(COLUMNS($AD$1006:AJ1006),$AD$1006:$AU$1006,0)))),"Fix")))</f>
        <v xml:space="preserve"> </v>
      </c>
      <c r="I504" s="4" t="str">
        <f ca="1">IF(OR(INDEX($X$2:$X$1001,MATCH(ROWS($W$2:W504),$W$2:$W$1001,0),1)&gt;=100000,INDEX($AD$1005:$AU$1005,1,MATCH(COLUMNS($AD$1006:AK1006),$AD$1006:$AU$1006,0))&gt;=100000), " ",IF(INDEX($AD$2:$AU$1001,MATCH(ROWS($W$2:W504),$W$2:$W$1001,0),MATCH(COLUMNS($AD$1006:AK1006),$AD$1006:$AU$1006,0)), HYPERLINK("#",""), HYPERLINK(CONCATENATE("#metadata!", ADDRESS(INDEX($Y$2:$Y$1001,MATCH(ROWS($W$2:W504),$W$2:$W$1001,0),0), INDEX($AD$1004:$AU$1004,1,MATCH(COLUMNS($AD$1006:AK1006),$AD$1006:$AU$1006,0)))),"Fix")))</f>
        <v xml:space="preserve"> </v>
      </c>
      <c r="J504" s="4" t="str">
        <f ca="1">IF(OR(INDEX($X$2:$X$1001,MATCH(ROWS($W$2:W504),$W$2:$W$1001,0),1)&gt;=100000,INDEX($AD$1005:$AU$1005,1,MATCH(COLUMNS($AD$1006:AL1006),$AD$1006:$AU$1006,0))&gt;=100000), " ",IF(INDEX($AD$2:$AU$1001,MATCH(ROWS($W$2:W504),$W$2:$W$1001,0),MATCH(COLUMNS($AD$1006:AL1006),$AD$1006:$AU$1006,0)), HYPERLINK("#",""), HYPERLINK(CONCATENATE("#metadata!", ADDRESS(INDEX($Y$2:$Y$1001,MATCH(ROWS($W$2:W504),$W$2:$W$1001,0),0), INDEX($AD$1004:$AU$1004,1,MATCH(COLUMNS($AD$1006:AL1006),$AD$1006:$AU$1006,0)))),"Fix")))</f>
        <v xml:space="preserve"> </v>
      </c>
      <c r="K504" s="4" t="str">
        <f ca="1">IF(OR(INDEX($X$2:$X$1001,MATCH(ROWS($W$2:W504),$W$2:$W$1001,0),1)&gt;=100000,INDEX($AD$1005:$AU$1005,1,MATCH(COLUMNS($AD$1006:AM1006),$AD$1006:$AU$1006,0))&gt;=100000), " ",IF(INDEX($AD$2:$AU$1001,MATCH(ROWS($W$2:W504),$W$2:$W$1001,0),MATCH(COLUMNS($AD$1006:AM1006),$AD$1006:$AU$1006,0)), HYPERLINK("#",""), HYPERLINK(CONCATENATE("#metadata!", ADDRESS(INDEX($Y$2:$Y$1001,MATCH(ROWS($W$2:W504),$W$2:$W$1001,0),0), INDEX($AD$1004:$AU$1004,1,MATCH(COLUMNS($AD$1006:AM1006),$AD$1006:$AU$1006,0)))),"Fix")))</f>
        <v xml:space="preserve"> </v>
      </c>
      <c r="L504" s="4" t="str">
        <f ca="1">IF(OR(INDEX($X$2:$X$1001,MATCH(ROWS($W$2:W504),$W$2:$W$1001,0),1)&gt;=100000,INDEX($AD$1005:$AU$1005,1,MATCH(COLUMNS($AD$1006:AN1006),$AD$1006:$AU$1006,0))&gt;=100000), " ",IF(INDEX($AD$2:$AU$1001,MATCH(ROWS($W$2:W504),$W$2:$W$1001,0),MATCH(COLUMNS($AD$1006:AN1006),$AD$1006:$AU$1006,0)), HYPERLINK("#",""), HYPERLINK(CONCATENATE("#metadata!", ADDRESS(INDEX($Y$2:$Y$1001,MATCH(ROWS($W$2:W504),$W$2:$W$1001,0),0), INDEX($AD$1004:$AU$1004,1,MATCH(COLUMNS($AD$1006:AN1006),$AD$1006:$AU$1006,0)))),"Fix")))</f>
        <v xml:space="preserve"> </v>
      </c>
      <c r="M504" s="4" t="str">
        <f ca="1">IF(OR(INDEX($X$2:$X$1001,MATCH(ROWS($W$2:W504),$W$2:$W$1001,0),1)&gt;=100000,INDEX($AD$1005:$AU$1005,1,MATCH(COLUMNS($AD$1006:AO1006),$AD$1006:$AU$1006,0))&gt;=100000), " ",IF(INDEX($AD$2:$AU$1001,MATCH(ROWS($W$2:W504),$W$2:$W$1001,0),MATCH(COLUMNS($AD$1006:AO1006),$AD$1006:$AU$1006,0)), HYPERLINK("#",""), HYPERLINK(CONCATENATE("#metadata!", ADDRESS(INDEX($Y$2:$Y$1001,MATCH(ROWS($W$2:W504),$W$2:$W$1001,0),0), INDEX($AD$1004:$AU$1004,1,MATCH(COLUMNS($AD$1006:AO1006),$AD$1006:$AU$1006,0)))),"Fix")))</f>
        <v xml:space="preserve"> </v>
      </c>
      <c r="N504" s="4" t="str">
        <f ca="1">IF(OR(INDEX($X$2:$X$1001,MATCH(ROWS($W$2:W504),$W$2:$W$1001,0),1)&gt;=100000,INDEX($AD$1005:$AU$1005,1,MATCH(COLUMNS($AD$1006:AP1006),$AD$1006:$AU$1006,0))&gt;=100000), " ",IF(INDEX($AD$2:$AU$1001,MATCH(ROWS($W$2:W504),$W$2:$W$1001,0),MATCH(COLUMNS($AD$1006:AP1006),$AD$1006:$AU$1006,0)), HYPERLINK("#",""), HYPERLINK(CONCATENATE("#metadata!", ADDRESS(INDEX($Y$2:$Y$1001,MATCH(ROWS($W$2:W504),$W$2:$W$1001,0),0), INDEX($AD$1004:$AU$1004,1,MATCH(COLUMNS($AD$1006:AP1006),$AD$1006:$AU$1006,0)))),"Fix")))</f>
        <v xml:space="preserve"> </v>
      </c>
      <c r="O504" s="4" t="str">
        <f ca="1">IF(OR(INDEX($X$2:$X$1001,MATCH(ROWS($W$2:W504),$W$2:$W$1001,0),1)&gt;=100000,INDEX($AD$1005:$AU$1005,1,MATCH(COLUMNS($AD$1006:AQ1006),$AD$1006:$AU$1006,0))&gt;=100000), " ",IF(INDEX($AD$2:$AU$1001,MATCH(ROWS($W$2:W504),$W$2:$W$1001,0),MATCH(COLUMNS($AD$1006:AQ1006),$AD$1006:$AU$1006,0)), HYPERLINK("#",""), HYPERLINK(CONCATENATE("#metadata!", ADDRESS(INDEX($Y$2:$Y$1001,MATCH(ROWS($W$2:W504),$W$2:$W$1001,0),0), INDEX($AD$1004:$AU$1004,1,MATCH(COLUMNS($AD$1006:AQ1006),$AD$1006:$AU$1006,0)))),"Fix")))</f>
        <v xml:space="preserve"> </v>
      </c>
      <c r="P504" s="4" t="str">
        <f ca="1">IF(OR(INDEX($X$2:$X$1001,MATCH(ROWS($W$2:W504),$W$2:$W$1001,0),1)&gt;=100000,INDEX($AD$1005:$AU$1005,1,MATCH(COLUMNS($AD$1006:AR1006),$AD$1006:$AU$1006,0))&gt;=100000), " ",IF(INDEX($AD$2:$AU$1001,MATCH(ROWS($W$2:W504),$W$2:$W$1001,0),MATCH(COLUMNS($AD$1006:AR1006),$AD$1006:$AU$1006,0)), HYPERLINK("#",""), HYPERLINK(CONCATENATE("#metadata!", ADDRESS(INDEX($Y$2:$Y$1001,MATCH(ROWS($W$2:W504),$W$2:$W$1001,0),0), INDEX($AD$1004:$AU$1004,1,MATCH(COLUMNS($AD$1006:AR1006),$AD$1006:$AU$1006,0)))),"Fix")))</f>
        <v xml:space="preserve"> </v>
      </c>
      <c r="Q504" s="4" t="str">
        <f ca="1">IF(OR(INDEX($X$2:$X$1001,MATCH(ROWS($W$2:W504),$W$2:$W$1001,0),1)&gt;=100000,INDEX($AD$1005:$AU$1005,1,MATCH(COLUMNS($AD$1006:AS1006),$AD$1006:$AU$1006,0))&gt;=100000), " ",IF(INDEX($AD$2:$AU$1001,MATCH(ROWS($W$2:W504),$W$2:$W$1001,0),MATCH(COLUMNS($AD$1006:AS1006),$AD$1006:$AU$1006,0)), HYPERLINK("#",""), HYPERLINK(CONCATENATE("#metadata!", ADDRESS(INDEX($Y$2:$Y$1001,MATCH(ROWS($W$2:W504),$W$2:$W$1001,0),0), INDEX($AD$1004:$AU$1004,1,MATCH(COLUMNS($AD$1006:AS1006),$AD$1006:$AU$1006,0)))),"Fix")))</f>
        <v xml:space="preserve"> </v>
      </c>
      <c r="R504" s="4" t="str">
        <f ca="1">IF(OR(INDEX($X$2:$X$1001,MATCH(ROWS($W$2:W504),$W$2:$W$1001,0),1)&gt;=100000,INDEX($AD$1005:$AU$1005,1,MATCH(COLUMNS($AD$1006:AT1006),$AD$1006:$AU$1006,0))&gt;=100000), " ",IF(INDEX($AD$2:$AU$1001,MATCH(ROWS($W$2:W504),$W$2:$W$1001,0),MATCH(COLUMNS($AD$1006:AT1006),$AD$1006:$AU$1006,0)), HYPERLINK("#",""), HYPERLINK(CONCATENATE("#metadata!", ADDRESS(INDEX($Y$2:$Y$1001,MATCH(ROWS($W$2:W504),$W$2:$W$1001,0),0), INDEX($AD$1004:$AU$1004,1,MATCH(COLUMNS($AD$1006:AT1006),$AD$1006:$AU$1006,0)))),"Fix")))</f>
        <v xml:space="preserve"> </v>
      </c>
      <c r="S504" s="4" t="str">
        <f ca="1">IF(OR(INDEX($X$2:$X$1001,MATCH(ROWS($W$2:W504),$W$2:$W$1001,0),1)&gt;=100000,INDEX($AD$1005:$AU$1005,1,MATCH(COLUMNS($AD$1006:AU1006),$AD$1006:$AU$1006,0))&gt;=100000), " ",IF(INDEX($AD$2:$AU$1001,MATCH(ROWS($W$2:W504),$W$2:$W$1001,0),MATCH(COLUMNS($AD$1006:AU1006),$AD$1006:$AU$1006,0)), HYPERLINK("#",""), HYPERLINK(CONCATENATE("#metadata!", ADDRESS(INDEX($Y$2:$Y$1001,MATCH(ROWS($W$2:W504),$W$2:$W$1001,0),0), INDEX($AD$1004:$AU$1004,1,MATCH(COLUMNS($AD$1006:AU1006),$AD$1006:$AU$1006,0)))),"Fix")))</f>
        <v xml:space="preserve"> </v>
      </c>
      <c r="W504">
        <v>503</v>
      </c>
      <c r="X504">
        <v>100504</v>
      </c>
      <c r="Y504">
        <v>504</v>
      </c>
      <c r="Z504" t="b">
        <f t="shared" si="7"/>
        <v>1</v>
      </c>
      <c r="AA504" t="b">
        <f>COUNTBLANK(metadata!B504:S504)=COLUMNS(metadata!B504:S504)</f>
        <v>1</v>
      </c>
      <c r="AB504" t="str">
        <v/>
      </c>
      <c r="AD504" t="b">
        <f ca="1">AND(IF(metadata!B504="",FALSE,TRUE),COUNTIF(metadata!B:B, metadata!B504) = 1,NOT(ISERROR(SUMPRODUCT(SEARCH(MID(metadata!B504,ROW(INDIRECT("1:"&amp;LEN(metadata!B504))), 1),"0123456789abcdefghijklmnopqrstuvwxyzABCDEFGHIJKLMNOPQRSTUVWXYZ.")))))</f>
        <v>0</v>
      </c>
      <c r="AE504" t="b">
        <f>OR(AND(IF(metadata!C504="",FALSE,TRUE),OR(EXACT(metadata!C504,"not applicable"),EXACT(metadata!C504,"missing: not collected"),EXACT(metadata!C504,"missing: not provided"),EXACT(metadata!C504,"missing: restricted access"))),AND(IF(metadata!C504="",FALSE,ISNUMBER(VALUE(metadata!C504))),metadata!C504&gt;0))</f>
        <v>0</v>
      </c>
      <c r="AF504" t="b">
        <f>AND(IF(metadata!D504="",FALSE,TRUE),EXACT(metadata!D504,"missing: not provided"))</f>
        <v>0</v>
      </c>
      <c r="AG504" t="b">
        <f>AND(IF(metadata!E504="",FALSE,TRUE),EXACT(metadata!E504,"Host-associated"))</f>
        <v>0</v>
      </c>
      <c r="AH504" t="b">
        <f>AND(IF(metadata!F504="",FALSE,TRUE),OR(EXACT(metadata!F504,"Animal"),EXACT(metadata!F504,"Fungus"),EXACT(metadata!F504,"Plant")))</f>
        <v>0</v>
      </c>
      <c r="AI504" t="b">
        <f>AND(IF(metadata!G504="",FALSE,TRUE),OR(EXACT(metadata!G504,"Plant secretion"),EXACT(metadata!G504,"Plant rhizosphere"),EXACT(metadata!G504,"Plant surface"),EXACT(metadata!G504,"Plant corpus"),EXACT(metadata!G504,"Fungus surface"),EXACT(metadata!G504,"Fungus corpus"),EXACT(metadata!G504,"Animal surface"),EXACT(metadata!G504,"Animal proximal gut"),EXACT(metadata!G504,"Animal corpus"),EXACT(metadata!G504,"Animal distal gut"),EXACT(metadata!G504,"Animal secretion")))</f>
        <v>0</v>
      </c>
      <c r="AJ504" t="b">
        <f>OR(AND(IF(metadata!H504="",FALSE,TRUE),OR(EXACT(metadata!H504,"missing: not collected"),EXACT(metadata!H504,"missing: not provided"),EXACT(metadata!H504,"missing: restricted access"))),AND(IF(metadata!H504="",FALSE,TRUE),OR(EXACT(metadata!H504,"organism-associated habitat"),EXACT(metadata!H504,"plant-associated habitat"),EXACT(metadata!H504,"animal-associated habitat"),EXACT(metadata!H504,"insecta-associated habitat"),EXACT(metadata!H504,"mammalia-associated habitat"),EXACT(metadata!H504,"human-associated habitat"),EXACT(metadata!H504,"livestock-associated habitat"))))</f>
        <v>0</v>
      </c>
      <c r="AK504" t="b">
        <f>AND(IF(metadata!I504="",FALSE,TRUE),EXACT(metadata!I504,"host-associated"))</f>
        <v>0</v>
      </c>
      <c r="AL504" t="b">
        <f>OR(AND(IF(metadata!J504="",FALSE,TRUE),OR(EXACT(metadata!J504,"not applicable"),EXACT(metadata!J504,"missing: not collected"),EXACT(metadata!J504,"missing: not provided"),EXACT(metadata!J504,"missing: restricted access"))),AND(IF(metadata!J504="",FALSE,ISNUMBER(VALUE(metadata!J504))),metadata!J504&gt;0))</f>
        <v>0</v>
      </c>
      <c r="AM504" t="b">
        <f>AND(IF(metadata!K504="",FALSE,TRUE),EXACT(metadata!K504,"missing: not provided"))</f>
        <v>0</v>
      </c>
      <c r="AN504" t="b">
        <f>IF(metadata!L504="",FALSE,TRUE)</f>
        <v>0</v>
      </c>
      <c r="AO504" t="b">
        <f>IF(metadata!M504="",FALSE,TRUE)</f>
        <v>0</v>
      </c>
      <c r="AP504" t="b">
        <f>OR(AND(IF(metadata!N504="",FALSE,TRUE),OR(EXACT(metadata!N504,"not applicable"),EXACT(metadata!N504,"missing: not collected"),EXACT(metadata!N504,"missing: not provided"))),AND(IF(metadata!N504="",FALSE,IF(ISERROR(INT(metadata!N504)),FALSE,INT(metadata!N504)=metadata!N504)),metadata!N504&gt;0))</f>
        <v>0</v>
      </c>
      <c r="AQ504" t="b">
        <f>AND(IF(metadata!O504="",FALSE,TRUE),EXACT(metadata!O504,"Not applicable"))</f>
        <v>0</v>
      </c>
      <c r="AR504" t="b">
        <f>OR(AND(IF(metadata!P504="",FALSE,TRUE),OR(EXACT(metadata!P504,"not applicable"),EXACT(metadata!P504,"missing: not collected"),EXACT(metadata!P504,"missing: not provided"),EXACT(metadata!P504,"missing: restricted access"))),IF(metadata!P504="",FALSE,IF(ISERROR(INT(metadata!P504)),FALSE,INT(metadata!P504)=metadata!P504)))</f>
        <v>0</v>
      </c>
      <c r="AS504" t="b">
        <f>AND(IF(metadata!Q504="",FALSE,TRUE),EXACT(metadata!Q504,"Not applicable"))</f>
        <v>0</v>
      </c>
      <c r="AT504" t="b">
        <f>OR(AND(IF(metadata!R504="",FALSE,TRUE),OR(EXACT(metadata!R504,"not applicable"),EXACT(metadata!R504,"missing: not collected"),EXACT(metadata!R504,"missing: not provided"),EXACT(metadata!R504,"missing: restricted access"))),AND(IF(metadata!R504="",FALSE,ISNUMBER(VALUE(metadata!R504))),metadata!R504&gt;0))</f>
        <v>0</v>
      </c>
      <c r="AU504" t="b">
        <f>AND(IF(metadata!S504="",FALSE,TRUE),EXACT(metadata!S504,"missing: not provided"))</f>
        <v>0</v>
      </c>
    </row>
    <row r="505" spans="1:47" x14ac:dyDescent="0.2">
      <c r="A505" s="5" t="str">
        <f ca="1">IF(B505=" "," ",HYPERLINK(CONCATENATE("#metadata!",ADDRESS(INDEX($Y$2:$Y$1001,MATCH(ROWS($W$2:W505),$W$2:$W$1001,0),0),1)),INDEX($AB$2:$AB$1001,MATCH(ROWS($W$2:W505),$W$2:$W$1001,0),0)))</f>
        <v xml:space="preserve"> </v>
      </c>
      <c r="B505" s="4" t="str">
        <f ca="1">IF(OR(INDEX($X$2:$X$1001,MATCH(ROWS($W$2:W505),$W$2:$W$1001,0),1)&gt;=100000,INDEX($AD$1005:$AU$1005,1,MATCH(COLUMNS($AD$1006:AD1006),$AD$1006:$AU$1006,0))&gt;=100000), " ",IF(INDEX($AD$2:$AU$1001,MATCH(ROWS($W$2:W505),$W$2:$W$1001,0),MATCH(COLUMNS($AD$1006:AD1006),$AD$1006:$AU$1006,0)), HYPERLINK("#",""), HYPERLINK(CONCATENATE("#metadata!", ADDRESS(INDEX($Y$2:$Y$1001,MATCH(ROWS($W$2:W505),$W$2:$W$1001,0),0), INDEX($AD$1004:$AU$1004,1,MATCH(COLUMNS($AD$1006:AD1006),$AD$1006:$AU$1006,0)))),"Fix")))</f>
        <v xml:space="preserve"> </v>
      </c>
      <c r="C505" s="4" t="str">
        <f ca="1">IF(OR(INDEX($X$2:$X$1001,MATCH(ROWS($W$2:W505),$W$2:$W$1001,0),1)&gt;=100000,INDEX($AD$1005:$AU$1005,1,MATCH(COLUMNS($AD$1006:AE1006),$AD$1006:$AU$1006,0))&gt;=100000), " ",IF(INDEX($AD$2:$AU$1001,MATCH(ROWS($W$2:W505),$W$2:$W$1001,0),MATCH(COLUMNS($AD$1006:AE1006),$AD$1006:$AU$1006,0)), HYPERLINK("#",""), HYPERLINK(CONCATENATE("#metadata!", ADDRESS(INDEX($Y$2:$Y$1001,MATCH(ROWS($W$2:W505),$W$2:$W$1001,0),0), INDEX($AD$1004:$AU$1004,1,MATCH(COLUMNS($AD$1006:AE1006),$AD$1006:$AU$1006,0)))),"Fix")))</f>
        <v xml:space="preserve"> </v>
      </c>
      <c r="D505" s="4" t="str">
        <f ca="1">IF(OR(INDEX($X$2:$X$1001,MATCH(ROWS($W$2:W505),$W$2:$W$1001,0),1)&gt;=100000,INDEX($AD$1005:$AU$1005,1,MATCH(COLUMNS($AD$1006:AF1006),$AD$1006:$AU$1006,0))&gt;=100000), " ",IF(INDEX($AD$2:$AU$1001,MATCH(ROWS($W$2:W505),$W$2:$W$1001,0),MATCH(COLUMNS($AD$1006:AF1006),$AD$1006:$AU$1006,0)), HYPERLINK("#",""), HYPERLINK(CONCATENATE("#metadata!", ADDRESS(INDEX($Y$2:$Y$1001,MATCH(ROWS($W$2:W505),$W$2:$W$1001,0),0), INDEX($AD$1004:$AU$1004,1,MATCH(COLUMNS($AD$1006:AF1006),$AD$1006:$AU$1006,0)))),"Fix")))</f>
        <v xml:space="preserve"> </v>
      </c>
      <c r="E505" s="4" t="str">
        <f ca="1">IF(OR(INDEX($X$2:$X$1001,MATCH(ROWS($W$2:W505),$W$2:$W$1001,0),1)&gt;=100000,INDEX($AD$1005:$AU$1005,1,MATCH(COLUMNS($AD$1006:AG1006),$AD$1006:$AU$1006,0))&gt;=100000), " ",IF(INDEX($AD$2:$AU$1001,MATCH(ROWS($W$2:W505),$W$2:$W$1001,0),MATCH(COLUMNS($AD$1006:AG1006),$AD$1006:$AU$1006,0)), HYPERLINK("#",""), HYPERLINK(CONCATENATE("#metadata!", ADDRESS(INDEX($Y$2:$Y$1001,MATCH(ROWS($W$2:W505),$W$2:$W$1001,0),0), INDEX($AD$1004:$AU$1004,1,MATCH(COLUMNS($AD$1006:AG1006),$AD$1006:$AU$1006,0)))),"Fix")))</f>
        <v xml:space="preserve"> </v>
      </c>
      <c r="F505" s="4" t="str">
        <f ca="1">IF(OR(INDEX($X$2:$X$1001,MATCH(ROWS($W$2:W505),$W$2:$W$1001,0),1)&gt;=100000,INDEX($AD$1005:$AU$1005,1,MATCH(COLUMNS($AD$1006:AH1006),$AD$1006:$AU$1006,0))&gt;=100000), " ",IF(INDEX($AD$2:$AU$1001,MATCH(ROWS($W$2:W505),$W$2:$W$1001,0),MATCH(COLUMNS($AD$1006:AH1006),$AD$1006:$AU$1006,0)), HYPERLINK("#",""), HYPERLINK(CONCATENATE("#metadata!", ADDRESS(INDEX($Y$2:$Y$1001,MATCH(ROWS($W$2:W505),$W$2:$W$1001,0),0), INDEX($AD$1004:$AU$1004,1,MATCH(COLUMNS($AD$1006:AH1006),$AD$1006:$AU$1006,0)))),"Fix")))</f>
        <v xml:space="preserve"> </v>
      </c>
      <c r="G505" s="4" t="str">
        <f ca="1">IF(OR(INDEX($X$2:$X$1001,MATCH(ROWS($W$2:W505),$W$2:$W$1001,0),1)&gt;=100000,INDEX($AD$1005:$AU$1005,1,MATCH(COLUMNS($AD$1006:AI1006),$AD$1006:$AU$1006,0))&gt;=100000), " ",IF(INDEX($AD$2:$AU$1001,MATCH(ROWS($W$2:W505),$W$2:$W$1001,0),MATCH(COLUMNS($AD$1006:AI1006),$AD$1006:$AU$1006,0)), HYPERLINK("#",""), HYPERLINK(CONCATENATE("#metadata!", ADDRESS(INDEX($Y$2:$Y$1001,MATCH(ROWS($W$2:W505),$W$2:$W$1001,0),0), INDEX($AD$1004:$AU$1004,1,MATCH(COLUMNS($AD$1006:AI1006),$AD$1006:$AU$1006,0)))),"Fix")))</f>
        <v xml:space="preserve"> </v>
      </c>
      <c r="H505" s="4" t="str">
        <f ca="1">IF(OR(INDEX($X$2:$X$1001,MATCH(ROWS($W$2:W505),$W$2:$W$1001,0),1)&gt;=100000,INDEX($AD$1005:$AU$1005,1,MATCH(COLUMNS($AD$1006:AJ1006),$AD$1006:$AU$1006,0))&gt;=100000), " ",IF(INDEX($AD$2:$AU$1001,MATCH(ROWS($W$2:W505),$W$2:$W$1001,0),MATCH(COLUMNS($AD$1006:AJ1006),$AD$1006:$AU$1006,0)), HYPERLINK("#",""), HYPERLINK(CONCATENATE("#metadata!", ADDRESS(INDEX($Y$2:$Y$1001,MATCH(ROWS($W$2:W505),$W$2:$W$1001,0),0), INDEX($AD$1004:$AU$1004,1,MATCH(COLUMNS($AD$1006:AJ1006),$AD$1006:$AU$1006,0)))),"Fix")))</f>
        <v xml:space="preserve"> </v>
      </c>
      <c r="I505" s="4" t="str">
        <f ca="1">IF(OR(INDEX($X$2:$X$1001,MATCH(ROWS($W$2:W505),$W$2:$W$1001,0),1)&gt;=100000,INDEX($AD$1005:$AU$1005,1,MATCH(COLUMNS($AD$1006:AK1006),$AD$1006:$AU$1006,0))&gt;=100000), " ",IF(INDEX($AD$2:$AU$1001,MATCH(ROWS($W$2:W505),$W$2:$W$1001,0),MATCH(COLUMNS($AD$1006:AK1006),$AD$1006:$AU$1006,0)), HYPERLINK("#",""), HYPERLINK(CONCATENATE("#metadata!", ADDRESS(INDEX($Y$2:$Y$1001,MATCH(ROWS($W$2:W505),$W$2:$W$1001,0),0), INDEX($AD$1004:$AU$1004,1,MATCH(COLUMNS($AD$1006:AK1006),$AD$1006:$AU$1006,0)))),"Fix")))</f>
        <v xml:space="preserve"> </v>
      </c>
      <c r="J505" s="4" t="str">
        <f ca="1">IF(OR(INDEX($X$2:$X$1001,MATCH(ROWS($W$2:W505),$W$2:$W$1001,0),1)&gt;=100000,INDEX($AD$1005:$AU$1005,1,MATCH(COLUMNS($AD$1006:AL1006),$AD$1006:$AU$1006,0))&gt;=100000), " ",IF(INDEX($AD$2:$AU$1001,MATCH(ROWS($W$2:W505),$W$2:$W$1001,0),MATCH(COLUMNS($AD$1006:AL1006),$AD$1006:$AU$1006,0)), HYPERLINK("#",""), HYPERLINK(CONCATENATE("#metadata!", ADDRESS(INDEX($Y$2:$Y$1001,MATCH(ROWS($W$2:W505),$W$2:$W$1001,0),0), INDEX($AD$1004:$AU$1004,1,MATCH(COLUMNS($AD$1006:AL1006),$AD$1006:$AU$1006,0)))),"Fix")))</f>
        <v xml:space="preserve"> </v>
      </c>
      <c r="K505" s="4" t="str">
        <f ca="1">IF(OR(INDEX($X$2:$X$1001,MATCH(ROWS($W$2:W505),$W$2:$W$1001,0),1)&gt;=100000,INDEX($AD$1005:$AU$1005,1,MATCH(COLUMNS($AD$1006:AM1006),$AD$1006:$AU$1006,0))&gt;=100000), " ",IF(INDEX($AD$2:$AU$1001,MATCH(ROWS($W$2:W505),$W$2:$W$1001,0),MATCH(COLUMNS($AD$1006:AM1006),$AD$1006:$AU$1006,0)), HYPERLINK("#",""), HYPERLINK(CONCATENATE("#metadata!", ADDRESS(INDEX($Y$2:$Y$1001,MATCH(ROWS($W$2:W505),$W$2:$W$1001,0),0), INDEX($AD$1004:$AU$1004,1,MATCH(COLUMNS($AD$1006:AM1006),$AD$1006:$AU$1006,0)))),"Fix")))</f>
        <v xml:space="preserve"> </v>
      </c>
      <c r="L505" s="4" t="str">
        <f ca="1">IF(OR(INDEX($X$2:$X$1001,MATCH(ROWS($W$2:W505),$W$2:$W$1001,0),1)&gt;=100000,INDEX($AD$1005:$AU$1005,1,MATCH(COLUMNS($AD$1006:AN1006),$AD$1006:$AU$1006,0))&gt;=100000), " ",IF(INDEX($AD$2:$AU$1001,MATCH(ROWS($W$2:W505),$W$2:$W$1001,0),MATCH(COLUMNS($AD$1006:AN1006),$AD$1006:$AU$1006,0)), HYPERLINK("#",""), HYPERLINK(CONCATENATE("#metadata!", ADDRESS(INDEX($Y$2:$Y$1001,MATCH(ROWS($W$2:W505),$W$2:$W$1001,0),0), INDEX($AD$1004:$AU$1004,1,MATCH(COLUMNS($AD$1006:AN1006),$AD$1006:$AU$1006,0)))),"Fix")))</f>
        <v xml:space="preserve"> </v>
      </c>
      <c r="M505" s="4" t="str">
        <f ca="1">IF(OR(INDEX($X$2:$X$1001,MATCH(ROWS($W$2:W505),$W$2:$W$1001,0),1)&gt;=100000,INDEX($AD$1005:$AU$1005,1,MATCH(COLUMNS($AD$1006:AO1006),$AD$1006:$AU$1006,0))&gt;=100000), " ",IF(INDEX($AD$2:$AU$1001,MATCH(ROWS($W$2:W505),$W$2:$W$1001,0),MATCH(COLUMNS($AD$1006:AO1006),$AD$1006:$AU$1006,0)), HYPERLINK("#",""), HYPERLINK(CONCATENATE("#metadata!", ADDRESS(INDEX($Y$2:$Y$1001,MATCH(ROWS($W$2:W505),$W$2:$W$1001,0),0), INDEX($AD$1004:$AU$1004,1,MATCH(COLUMNS($AD$1006:AO1006),$AD$1006:$AU$1006,0)))),"Fix")))</f>
        <v xml:space="preserve"> </v>
      </c>
      <c r="N505" s="4" t="str">
        <f ca="1">IF(OR(INDEX($X$2:$X$1001,MATCH(ROWS($W$2:W505),$W$2:$W$1001,0),1)&gt;=100000,INDEX($AD$1005:$AU$1005,1,MATCH(COLUMNS($AD$1006:AP1006),$AD$1006:$AU$1006,0))&gt;=100000), " ",IF(INDEX($AD$2:$AU$1001,MATCH(ROWS($W$2:W505),$W$2:$W$1001,0),MATCH(COLUMNS($AD$1006:AP1006),$AD$1006:$AU$1006,0)), HYPERLINK("#",""), HYPERLINK(CONCATENATE("#metadata!", ADDRESS(INDEX($Y$2:$Y$1001,MATCH(ROWS($W$2:W505),$W$2:$W$1001,0),0), INDEX($AD$1004:$AU$1004,1,MATCH(COLUMNS($AD$1006:AP1006),$AD$1006:$AU$1006,0)))),"Fix")))</f>
        <v xml:space="preserve"> </v>
      </c>
      <c r="O505" s="4" t="str">
        <f ca="1">IF(OR(INDEX($X$2:$X$1001,MATCH(ROWS($W$2:W505),$W$2:$W$1001,0),1)&gt;=100000,INDEX($AD$1005:$AU$1005,1,MATCH(COLUMNS($AD$1006:AQ1006),$AD$1006:$AU$1006,0))&gt;=100000), " ",IF(INDEX($AD$2:$AU$1001,MATCH(ROWS($W$2:W505),$W$2:$W$1001,0),MATCH(COLUMNS($AD$1006:AQ1006),$AD$1006:$AU$1006,0)), HYPERLINK("#",""), HYPERLINK(CONCATENATE("#metadata!", ADDRESS(INDEX($Y$2:$Y$1001,MATCH(ROWS($W$2:W505),$W$2:$W$1001,0),0), INDEX($AD$1004:$AU$1004,1,MATCH(COLUMNS($AD$1006:AQ1006),$AD$1006:$AU$1006,0)))),"Fix")))</f>
        <v xml:space="preserve"> </v>
      </c>
      <c r="P505" s="4" t="str">
        <f ca="1">IF(OR(INDEX($X$2:$X$1001,MATCH(ROWS($W$2:W505),$W$2:$W$1001,0),1)&gt;=100000,INDEX($AD$1005:$AU$1005,1,MATCH(COLUMNS($AD$1006:AR1006),$AD$1006:$AU$1006,0))&gt;=100000), " ",IF(INDEX($AD$2:$AU$1001,MATCH(ROWS($W$2:W505),$W$2:$W$1001,0),MATCH(COLUMNS($AD$1006:AR1006),$AD$1006:$AU$1006,0)), HYPERLINK("#",""), HYPERLINK(CONCATENATE("#metadata!", ADDRESS(INDEX($Y$2:$Y$1001,MATCH(ROWS($W$2:W505),$W$2:$W$1001,0),0), INDEX($AD$1004:$AU$1004,1,MATCH(COLUMNS($AD$1006:AR1006),$AD$1006:$AU$1006,0)))),"Fix")))</f>
        <v xml:space="preserve"> </v>
      </c>
      <c r="Q505" s="4" t="str">
        <f ca="1">IF(OR(INDEX($X$2:$X$1001,MATCH(ROWS($W$2:W505),$W$2:$W$1001,0),1)&gt;=100000,INDEX($AD$1005:$AU$1005,1,MATCH(COLUMNS($AD$1006:AS1006),$AD$1006:$AU$1006,0))&gt;=100000), " ",IF(INDEX($AD$2:$AU$1001,MATCH(ROWS($W$2:W505),$W$2:$W$1001,0),MATCH(COLUMNS($AD$1006:AS1006),$AD$1006:$AU$1006,0)), HYPERLINK("#",""), HYPERLINK(CONCATENATE("#metadata!", ADDRESS(INDEX($Y$2:$Y$1001,MATCH(ROWS($W$2:W505),$W$2:$W$1001,0),0), INDEX($AD$1004:$AU$1004,1,MATCH(COLUMNS($AD$1006:AS1006),$AD$1006:$AU$1006,0)))),"Fix")))</f>
        <v xml:space="preserve"> </v>
      </c>
      <c r="R505" s="4" t="str">
        <f ca="1">IF(OR(INDEX($X$2:$X$1001,MATCH(ROWS($W$2:W505),$W$2:$W$1001,0),1)&gt;=100000,INDEX($AD$1005:$AU$1005,1,MATCH(COLUMNS($AD$1006:AT1006),$AD$1006:$AU$1006,0))&gt;=100000), " ",IF(INDEX($AD$2:$AU$1001,MATCH(ROWS($W$2:W505),$W$2:$W$1001,0),MATCH(COLUMNS($AD$1006:AT1006),$AD$1006:$AU$1006,0)), HYPERLINK("#",""), HYPERLINK(CONCATENATE("#metadata!", ADDRESS(INDEX($Y$2:$Y$1001,MATCH(ROWS($W$2:W505),$W$2:$W$1001,0),0), INDEX($AD$1004:$AU$1004,1,MATCH(COLUMNS($AD$1006:AT1006),$AD$1006:$AU$1006,0)))),"Fix")))</f>
        <v xml:space="preserve"> </v>
      </c>
      <c r="S505" s="4" t="str">
        <f ca="1">IF(OR(INDEX($X$2:$X$1001,MATCH(ROWS($W$2:W505),$W$2:$W$1001,0),1)&gt;=100000,INDEX($AD$1005:$AU$1005,1,MATCH(COLUMNS($AD$1006:AU1006),$AD$1006:$AU$1006,0))&gt;=100000), " ",IF(INDEX($AD$2:$AU$1001,MATCH(ROWS($W$2:W505),$W$2:$W$1001,0),MATCH(COLUMNS($AD$1006:AU1006),$AD$1006:$AU$1006,0)), HYPERLINK("#",""), HYPERLINK(CONCATENATE("#metadata!", ADDRESS(INDEX($Y$2:$Y$1001,MATCH(ROWS($W$2:W505),$W$2:$W$1001,0),0), INDEX($AD$1004:$AU$1004,1,MATCH(COLUMNS($AD$1006:AU1006),$AD$1006:$AU$1006,0)))),"Fix")))</f>
        <v xml:space="preserve"> </v>
      </c>
      <c r="W505">
        <v>504</v>
      </c>
      <c r="X505">
        <v>100505</v>
      </c>
      <c r="Y505">
        <v>505</v>
      </c>
      <c r="Z505" t="b">
        <f t="shared" si="7"/>
        <v>1</v>
      </c>
      <c r="AA505" t="b">
        <f>COUNTBLANK(metadata!B505:S505)=COLUMNS(metadata!B505:S505)</f>
        <v>1</v>
      </c>
      <c r="AB505" t="str">
        <v/>
      </c>
      <c r="AD505" t="b">
        <f ca="1">AND(IF(metadata!B505="",FALSE,TRUE),COUNTIF(metadata!B:B, metadata!B505) = 1,NOT(ISERROR(SUMPRODUCT(SEARCH(MID(metadata!B505,ROW(INDIRECT("1:"&amp;LEN(metadata!B505))), 1),"0123456789abcdefghijklmnopqrstuvwxyzABCDEFGHIJKLMNOPQRSTUVWXYZ.")))))</f>
        <v>0</v>
      </c>
      <c r="AE505" t="b">
        <f>OR(AND(IF(metadata!C505="",FALSE,TRUE),OR(EXACT(metadata!C505,"not applicable"),EXACT(metadata!C505,"missing: not collected"),EXACT(metadata!C505,"missing: not provided"),EXACT(metadata!C505,"missing: restricted access"))),AND(IF(metadata!C505="",FALSE,ISNUMBER(VALUE(metadata!C505))),metadata!C505&gt;0))</f>
        <v>0</v>
      </c>
      <c r="AF505" t="b">
        <f>AND(IF(metadata!D505="",FALSE,TRUE),EXACT(metadata!D505,"missing: not provided"))</f>
        <v>0</v>
      </c>
      <c r="AG505" t="b">
        <f>AND(IF(metadata!E505="",FALSE,TRUE),EXACT(metadata!E505,"Host-associated"))</f>
        <v>0</v>
      </c>
      <c r="AH505" t="b">
        <f>AND(IF(metadata!F505="",FALSE,TRUE),OR(EXACT(metadata!F505,"Animal"),EXACT(metadata!F505,"Fungus"),EXACT(metadata!F505,"Plant")))</f>
        <v>0</v>
      </c>
      <c r="AI505" t="b">
        <f>AND(IF(metadata!G505="",FALSE,TRUE),OR(EXACT(metadata!G505,"Plant secretion"),EXACT(metadata!G505,"Plant rhizosphere"),EXACT(metadata!G505,"Plant surface"),EXACT(metadata!G505,"Plant corpus"),EXACT(metadata!G505,"Fungus surface"),EXACT(metadata!G505,"Fungus corpus"),EXACT(metadata!G505,"Animal surface"),EXACT(metadata!G505,"Animal proximal gut"),EXACT(metadata!G505,"Animal corpus"),EXACT(metadata!G505,"Animal distal gut"),EXACT(metadata!G505,"Animal secretion")))</f>
        <v>0</v>
      </c>
      <c r="AJ505" t="b">
        <f>OR(AND(IF(metadata!H505="",FALSE,TRUE),OR(EXACT(metadata!H505,"missing: not collected"),EXACT(metadata!H505,"missing: not provided"),EXACT(metadata!H505,"missing: restricted access"))),AND(IF(metadata!H505="",FALSE,TRUE),OR(EXACT(metadata!H505,"organism-associated habitat"),EXACT(metadata!H505,"plant-associated habitat"),EXACT(metadata!H505,"animal-associated habitat"),EXACT(metadata!H505,"insecta-associated habitat"),EXACT(metadata!H505,"mammalia-associated habitat"),EXACT(metadata!H505,"human-associated habitat"),EXACT(metadata!H505,"livestock-associated habitat"))))</f>
        <v>0</v>
      </c>
      <c r="AK505" t="b">
        <f>AND(IF(metadata!I505="",FALSE,TRUE),EXACT(metadata!I505,"host-associated"))</f>
        <v>0</v>
      </c>
      <c r="AL505" t="b">
        <f>OR(AND(IF(metadata!J505="",FALSE,TRUE),OR(EXACT(metadata!J505,"not applicable"),EXACT(metadata!J505,"missing: not collected"),EXACT(metadata!J505,"missing: not provided"),EXACT(metadata!J505,"missing: restricted access"))),AND(IF(metadata!J505="",FALSE,ISNUMBER(VALUE(metadata!J505))),metadata!J505&gt;0))</f>
        <v>0</v>
      </c>
      <c r="AM505" t="b">
        <f>AND(IF(metadata!K505="",FALSE,TRUE),EXACT(metadata!K505,"missing: not provided"))</f>
        <v>0</v>
      </c>
      <c r="AN505" t="b">
        <f>IF(metadata!L505="",FALSE,TRUE)</f>
        <v>0</v>
      </c>
      <c r="AO505" t="b">
        <f>IF(metadata!M505="",FALSE,TRUE)</f>
        <v>0</v>
      </c>
      <c r="AP505" t="b">
        <f>OR(AND(IF(metadata!N505="",FALSE,TRUE),OR(EXACT(metadata!N505,"not applicable"),EXACT(metadata!N505,"missing: not collected"),EXACT(metadata!N505,"missing: not provided"))),AND(IF(metadata!N505="",FALSE,IF(ISERROR(INT(metadata!N505)),FALSE,INT(metadata!N505)=metadata!N505)),metadata!N505&gt;0))</f>
        <v>0</v>
      </c>
      <c r="AQ505" t="b">
        <f>AND(IF(metadata!O505="",FALSE,TRUE),EXACT(metadata!O505,"Not applicable"))</f>
        <v>0</v>
      </c>
      <c r="AR505" t="b">
        <f>OR(AND(IF(metadata!P505="",FALSE,TRUE),OR(EXACT(metadata!P505,"not applicable"),EXACT(metadata!P505,"missing: not collected"),EXACT(metadata!P505,"missing: not provided"),EXACT(metadata!P505,"missing: restricted access"))),IF(metadata!P505="",FALSE,IF(ISERROR(INT(metadata!P505)),FALSE,INT(metadata!P505)=metadata!P505)))</f>
        <v>0</v>
      </c>
      <c r="AS505" t="b">
        <f>AND(IF(metadata!Q505="",FALSE,TRUE),EXACT(metadata!Q505,"Not applicable"))</f>
        <v>0</v>
      </c>
      <c r="AT505" t="b">
        <f>OR(AND(IF(metadata!R505="",FALSE,TRUE),OR(EXACT(metadata!R505,"not applicable"),EXACT(metadata!R505,"missing: not collected"),EXACT(metadata!R505,"missing: not provided"),EXACT(metadata!R505,"missing: restricted access"))),AND(IF(metadata!R505="",FALSE,ISNUMBER(VALUE(metadata!R505))),metadata!R505&gt;0))</f>
        <v>0</v>
      </c>
      <c r="AU505" t="b">
        <f>AND(IF(metadata!S505="",FALSE,TRUE),EXACT(metadata!S505,"missing: not provided"))</f>
        <v>0</v>
      </c>
    </row>
    <row r="506" spans="1:47" x14ac:dyDescent="0.2">
      <c r="A506" s="5" t="str">
        <f ca="1">IF(B506=" "," ",HYPERLINK(CONCATENATE("#metadata!",ADDRESS(INDEX($Y$2:$Y$1001,MATCH(ROWS($W$2:W506),$W$2:$W$1001,0),0),1)),INDEX($AB$2:$AB$1001,MATCH(ROWS($W$2:W506),$W$2:$W$1001,0),0)))</f>
        <v xml:space="preserve"> </v>
      </c>
      <c r="B506" s="4" t="str">
        <f ca="1">IF(OR(INDEX($X$2:$X$1001,MATCH(ROWS($W$2:W506),$W$2:$W$1001,0),1)&gt;=100000,INDEX($AD$1005:$AU$1005,1,MATCH(COLUMNS($AD$1006:AD1006),$AD$1006:$AU$1006,0))&gt;=100000), " ",IF(INDEX($AD$2:$AU$1001,MATCH(ROWS($W$2:W506),$W$2:$W$1001,0),MATCH(COLUMNS($AD$1006:AD1006),$AD$1006:$AU$1006,0)), HYPERLINK("#",""), HYPERLINK(CONCATENATE("#metadata!", ADDRESS(INDEX($Y$2:$Y$1001,MATCH(ROWS($W$2:W506),$W$2:$W$1001,0),0), INDEX($AD$1004:$AU$1004,1,MATCH(COLUMNS($AD$1006:AD1006),$AD$1006:$AU$1006,0)))),"Fix")))</f>
        <v xml:space="preserve"> </v>
      </c>
      <c r="C506" s="4" t="str">
        <f ca="1">IF(OR(INDEX($X$2:$X$1001,MATCH(ROWS($W$2:W506),$W$2:$W$1001,0),1)&gt;=100000,INDEX($AD$1005:$AU$1005,1,MATCH(COLUMNS($AD$1006:AE1006),$AD$1006:$AU$1006,0))&gt;=100000), " ",IF(INDEX($AD$2:$AU$1001,MATCH(ROWS($W$2:W506),$W$2:$W$1001,0),MATCH(COLUMNS($AD$1006:AE1006),$AD$1006:$AU$1006,0)), HYPERLINK("#",""), HYPERLINK(CONCATENATE("#metadata!", ADDRESS(INDEX($Y$2:$Y$1001,MATCH(ROWS($W$2:W506),$W$2:$W$1001,0),0), INDEX($AD$1004:$AU$1004,1,MATCH(COLUMNS($AD$1006:AE1006),$AD$1006:$AU$1006,0)))),"Fix")))</f>
        <v xml:space="preserve"> </v>
      </c>
      <c r="D506" s="4" t="str">
        <f ca="1">IF(OR(INDEX($X$2:$X$1001,MATCH(ROWS($W$2:W506),$W$2:$W$1001,0),1)&gt;=100000,INDEX($AD$1005:$AU$1005,1,MATCH(COLUMNS($AD$1006:AF1006),$AD$1006:$AU$1006,0))&gt;=100000), " ",IF(INDEX($AD$2:$AU$1001,MATCH(ROWS($W$2:W506),$W$2:$W$1001,0),MATCH(COLUMNS($AD$1006:AF1006),$AD$1006:$AU$1006,0)), HYPERLINK("#",""), HYPERLINK(CONCATENATE("#metadata!", ADDRESS(INDEX($Y$2:$Y$1001,MATCH(ROWS($W$2:W506),$W$2:$W$1001,0),0), INDEX($AD$1004:$AU$1004,1,MATCH(COLUMNS($AD$1006:AF1006),$AD$1006:$AU$1006,0)))),"Fix")))</f>
        <v xml:space="preserve"> </v>
      </c>
      <c r="E506" s="4" t="str">
        <f ca="1">IF(OR(INDEX($X$2:$X$1001,MATCH(ROWS($W$2:W506),$W$2:$W$1001,0),1)&gt;=100000,INDEX($AD$1005:$AU$1005,1,MATCH(COLUMNS($AD$1006:AG1006),$AD$1006:$AU$1006,0))&gt;=100000), " ",IF(INDEX($AD$2:$AU$1001,MATCH(ROWS($W$2:W506),$W$2:$W$1001,0),MATCH(COLUMNS($AD$1006:AG1006),$AD$1006:$AU$1006,0)), HYPERLINK("#",""), HYPERLINK(CONCATENATE("#metadata!", ADDRESS(INDEX($Y$2:$Y$1001,MATCH(ROWS($W$2:W506),$W$2:$W$1001,0),0), INDEX($AD$1004:$AU$1004,1,MATCH(COLUMNS($AD$1006:AG1006),$AD$1006:$AU$1006,0)))),"Fix")))</f>
        <v xml:space="preserve"> </v>
      </c>
      <c r="F506" s="4" t="str">
        <f ca="1">IF(OR(INDEX($X$2:$X$1001,MATCH(ROWS($W$2:W506),$W$2:$W$1001,0),1)&gt;=100000,INDEX($AD$1005:$AU$1005,1,MATCH(COLUMNS($AD$1006:AH1006),$AD$1006:$AU$1006,0))&gt;=100000), " ",IF(INDEX($AD$2:$AU$1001,MATCH(ROWS($W$2:W506),$W$2:$W$1001,0),MATCH(COLUMNS($AD$1006:AH1006),$AD$1006:$AU$1006,0)), HYPERLINK("#",""), HYPERLINK(CONCATENATE("#metadata!", ADDRESS(INDEX($Y$2:$Y$1001,MATCH(ROWS($W$2:W506),$W$2:$W$1001,0),0), INDEX($AD$1004:$AU$1004,1,MATCH(COLUMNS($AD$1006:AH1006),$AD$1006:$AU$1006,0)))),"Fix")))</f>
        <v xml:space="preserve"> </v>
      </c>
      <c r="G506" s="4" t="str">
        <f ca="1">IF(OR(INDEX($X$2:$X$1001,MATCH(ROWS($W$2:W506),$W$2:$W$1001,0),1)&gt;=100000,INDEX($AD$1005:$AU$1005,1,MATCH(COLUMNS($AD$1006:AI1006),$AD$1006:$AU$1006,0))&gt;=100000), " ",IF(INDEX($AD$2:$AU$1001,MATCH(ROWS($W$2:W506),$W$2:$W$1001,0),MATCH(COLUMNS($AD$1006:AI1006),$AD$1006:$AU$1006,0)), HYPERLINK("#",""), HYPERLINK(CONCATENATE("#metadata!", ADDRESS(INDEX($Y$2:$Y$1001,MATCH(ROWS($W$2:W506),$W$2:$W$1001,0),0), INDEX($AD$1004:$AU$1004,1,MATCH(COLUMNS($AD$1006:AI1006),$AD$1006:$AU$1006,0)))),"Fix")))</f>
        <v xml:space="preserve"> </v>
      </c>
      <c r="H506" s="4" t="str">
        <f ca="1">IF(OR(INDEX($X$2:$X$1001,MATCH(ROWS($W$2:W506),$W$2:$W$1001,0),1)&gt;=100000,INDEX($AD$1005:$AU$1005,1,MATCH(COLUMNS($AD$1006:AJ1006),$AD$1006:$AU$1006,0))&gt;=100000), " ",IF(INDEX($AD$2:$AU$1001,MATCH(ROWS($W$2:W506),$W$2:$W$1001,0),MATCH(COLUMNS($AD$1006:AJ1006),$AD$1006:$AU$1006,0)), HYPERLINK("#",""), HYPERLINK(CONCATENATE("#metadata!", ADDRESS(INDEX($Y$2:$Y$1001,MATCH(ROWS($W$2:W506),$W$2:$W$1001,0),0), INDEX($AD$1004:$AU$1004,1,MATCH(COLUMNS($AD$1006:AJ1006),$AD$1006:$AU$1006,0)))),"Fix")))</f>
        <v xml:space="preserve"> </v>
      </c>
      <c r="I506" s="4" t="str">
        <f ca="1">IF(OR(INDEX($X$2:$X$1001,MATCH(ROWS($W$2:W506),$W$2:$W$1001,0),1)&gt;=100000,INDEX($AD$1005:$AU$1005,1,MATCH(COLUMNS($AD$1006:AK1006),$AD$1006:$AU$1006,0))&gt;=100000), " ",IF(INDEX($AD$2:$AU$1001,MATCH(ROWS($W$2:W506),$W$2:$W$1001,0),MATCH(COLUMNS($AD$1006:AK1006),$AD$1006:$AU$1006,0)), HYPERLINK("#",""), HYPERLINK(CONCATENATE("#metadata!", ADDRESS(INDEX($Y$2:$Y$1001,MATCH(ROWS($W$2:W506),$W$2:$W$1001,0),0), INDEX($AD$1004:$AU$1004,1,MATCH(COLUMNS($AD$1006:AK1006),$AD$1006:$AU$1006,0)))),"Fix")))</f>
        <v xml:space="preserve"> </v>
      </c>
      <c r="J506" s="4" t="str">
        <f ca="1">IF(OR(INDEX($X$2:$X$1001,MATCH(ROWS($W$2:W506),$W$2:$W$1001,0),1)&gt;=100000,INDEX($AD$1005:$AU$1005,1,MATCH(COLUMNS($AD$1006:AL1006),$AD$1006:$AU$1006,0))&gt;=100000), " ",IF(INDEX($AD$2:$AU$1001,MATCH(ROWS($W$2:W506),$W$2:$W$1001,0),MATCH(COLUMNS($AD$1006:AL1006),$AD$1006:$AU$1006,0)), HYPERLINK("#",""), HYPERLINK(CONCATENATE("#metadata!", ADDRESS(INDEX($Y$2:$Y$1001,MATCH(ROWS($W$2:W506),$W$2:$W$1001,0),0), INDEX($AD$1004:$AU$1004,1,MATCH(COLUMNS($AD$1006:AL1006),$AD$1006:$AU$1006,0)))),"Fix")))</f>
        <v xml:space="preserve"> </v>
      </c>
      <c r="K506" s="4" t="str">
        <f ca="1">IF(OR(INDEX($X$2:$X$1001,MATCH(ROWS($W$2:W506),$W$2:$W$1001,0),1)&gt;=100000,INDEX($AD$1005:$AU$1005,1,MATCH(COLUMNS($AD$1006:AM1006),$AD$1006:$AU$1006,0))&gt;=100000), " ",IF(INDEX($AD$2:$AU$1001,MATCH(ROWS($W$2:W506),$W$2:$W$1001,0),MATCH(COLUMNS($AD$1006:AM1006),$AD$1006:$AU$1006,0)), HYPERLINK("#",""), HYPERLINK(CONCATENATE("#metadata!", ADDRESS(INDEX($Y$2:$Y$1001,MATCH(ROWS($W$2:W506),$W$2:$W$1001,0),0), INDEX($AD$1004:$AU$1004,1,MATCH(COLUMNS($AD$1006:AM1006),$AD$1006:$AU$1006,0)))),"Fix")))</f>
        <v xml:space="preserve"> </v>
      </c>
      <c r="L506" s="4" t="str">
        <f ca="1">IF(OR(INDEX($X$2:$X$1001,MATCH(ROWS($W$2:W506),$W$2:$W$1001,0),1)&gt;=100000,INDEX($AD$1005:$AU$1005,1,MATCH(COLUMNS($AD$1006:AN1006),$AD$1006:$AU$1006,0))&gt;=100000), " ",IF(INDEX($AD$2:$AU$1001,MATCH(ROWS($W$2:W506),$W$2:$W$1001,0),MATCH(COLUMNS($AD$1006:AN1006),$AD$1006:$AU$1006,0)), HYPERLINK("#",""), HYPERLINK(CONCATENATE("#metadata!", ADDRESS(INDEX($Y$2:$Y$1001,MATCH(ROWS($W$2:W506),$W$2:$W$1001,0),0), INDEX($AD$1004:$AU$1004,1,MATCH(COLUMNS($AD$1006:AN1006),$AD$1006:$AU$1006,0)))),"Fix")))</f>
        <v xml:space="preserve"> </v>
      </c>
      <c r="M506" s="4" t="str">
        <f ca="1">IF(OR(INDEX($X$2:$X$1001,MATCH(ROWS($W$2:W506),$W$2:$W$1001,0),1)&gt;=100000,INDEX($AD$1005:$AU$1005,1,MATCH(COLUMNS($AD$1006:AO1006),$AD$1006:$AU$1006,0))&gt;=100000), " ",IF(INDEX($AD$2:$AU$1001,MATCH(ROWS($W$2:W506),$W$2:$W$1001,0),MATCH(COLUMNS($AD$1006:AO1006),$AD$1006:$AU$1006,0)), HYPERLINK("#",""), HYPERLINK(CONCATENATE("#metadata!", ADDRESS(INDEX($Y$2:$Y$1001,MATCH(ROWS($W$2:W506),$W$2:$W$1001,0),0), INDEX($AD$1004:$AU$1004,1,MATCH(COLUMNS($AD$1006:AO1006),$AD$1006:$AU$1006,0)))),"Fix")))</f>
        <v xml:space="preserve"> </v>
      </c>
      <c r="N506" s="4" t="str">
        <f ca="1">IF(OR(INDEX($X$2:$X$1001,MATCH(ROWS($W$2:W506),$W$2:$W$1001,0),1)&gt;=100000,INDEX($AD$1005:$AU$1005,1,MATCH(COLUMNS($AD$1006:AP1006),$AD$1006:$AU$1006,0))&gt;=100000), " ",IF(INDEX($AD$2:$AU$1001,MATCH(ROWS($W$2:W506),$W$2:$W$1001,0),MATCH(COLUMNS($AD$1006:AP1006),$AD$1006:$AU$1006,0)), HYPERLINK("#",""), HYPERLINK(CONCATENATE("#metadata!", ADDRESS(INDEX($Y$2:$Y$1001,MATCH(ROWS($W$2:W506),$W$2:$W$1001,0),0), INDEX($AD$1004:$AU$1004,1,MATCH(COLUMNS($AD$1006:AP1006),$AD$1006:$AU$1006,0)))),"Fix")))</f>
        <v xml:space="preserve"> </v>
      </c>
      <c r="O506" s="4" t="str">
        <f ca="1">IF(OR(INDEX($X$2:$X$1001,MATCH(ROWS($W$2:W506),$W$2:$W$1001,0),1)&gt;=100000,INDEX($AD$1005:$AU$1005,1,MATCH(COLUMNS($AD$1006:AQ1006),$AD$1006:$AU$1006,0))&gt;=100000), " ",IF(INDEX($AD$2:$AU$1001,MATCH(ROWS($W$2:W506),$W$2:$W$1001,0),MATCH(COLUMNS($AD$1006:AQ1006),$AD$1006:$AU$1006,0)), HYPERLINK("#",""), HYPERLINK(CONCATENATE("#metadata!", ADDRESS(INDEX($Y$2:$Y$1001,MATCH(ROWS($W$2:W506),$W$2:$W$1001,0),0), INDEX($AD$1004:$AU$1004,1,MATCH(COLUMNS($AD$1006:AQ1006),$AD$1006:$AU$1006,0)))),"Fix")))</f>
        <v xml:space="preserve"> </v>
      </c>
      <c r="P506" s="4" t="str">
        <f ca="1">IF(OR(INDEX($X$2:$X$1001,MATCH(ROWS($W$2:W506),$W$2:$W$1001,0),1)&gt;=100000,INDEX($AD$1005:$AU$1005,1,MATCH(COLUMNS($AD$1006:AR1006),$AD$1006:$AU$1006,0))&gt;=100000), " ",IF(INDEX($AD$2:$AU$1001,MATCH(ROWS($W$2:W506),$W$2:$W$1001,0),MATCH(COLUMNS($AD$1006:AR1006),$AD$1006:$AU$1006,0)), HYPERLINK("#",""), HYPERLINK(CONCATENATE("#metadata!", ADDRESS(INDEX($Y$2:$Y$1001,MATCH(ROWS($W$2:W506),$W$2:$W$1001,0),0), INDEX($AD$1004:$AU$1004,1,MATCH(COLUMNS($AD$1006:AR1006),$AD$1006:$AU$1006,0)))),"Fix")))</f>
        <v xml:space="preserve"> </v>
      </c>
      <c r="Q506" s="4" t="str">
        <f ca="1">IF(OR(INDEX($X$2:$X$1001,MATCH(ROWS($W$2:W506),$W$2:$W$1001,0),1)&gt;=100000,INDEX($AD$1005:$AU$1005,1,MATCH(COLUMNS($AD$1006:AS1006),$AD$1006:$AU$1006,0))&gt;=100000), " ",IF(INDEX($AD$2:$AU$1001,MATCH(ROWS($W$2:W506),$W$2:$W$1001,0),MATCH(COLUMNS($AD$1006:AS1006),$AD$1006:$AU$1006,0)), HYPERLINK("#",""), HYPERLINK(CONCATENATE("#metadata!", ADDRESS(INDEX($Y$2:$Y$1001,MATCH(ROWS($W$2:W506),$W$2:$W$1001,0),0), INDEX($AD$1004:$AU$1004,1,MATCH(COLUMNS($AD$1006:AS1006),$AD$1006:$AU$1006,0)))),"Fix")))</f>
        <v xml:space="preserve"> </v>
      </c>
      <c r="R506" s="4" t="str">
        <f ca="1">IF(OR(INDEX($X$2:$X$1001,MATCH(ROWS($W$2:W506),$W$2:$W$1001,0),1)&gt;=100000,INDEX($AD$1005:$AU$1005,1,MATCH(COLUMNS($AD$1006:AT1006),$AD$1006:$AU$1006,0))&gt;=100000), " ",IF(INDEX($AD$2:$AU$1001,MATCH(ROWS($W$2:W506),$W$2:$W$1001,0),MATCH(COLUMNS($AD$1006:AT1006),$AD$1006:$AU$1006,0)), HYPERLINK("#",""), HYPERLINK(CONCATENATE("#metadata!", ADDRESS(INDEX($Y$2:$Y$1001,MATCH(ROWS($W$2:W506),$W$2:$W$1001,0),0), INDEX($AD$1004:$AU$1004,1,MATCH(COLUMNS($AD$1006:AT1006),$AD$1006:$AU$1006,0)))),"Fix")))</f>
        <v xml:space="preserve"> </v>
      </c>
      <c r="S506" s="4" t="str">
        <f ca="1">IF(OR(INDEX($X$2:$X$1001,MATCH(ROWS($W$2:W506),$W$2:$W$1001,0),1)&gt;=100000,INDEX($AD$1005:$AU$1005,1,MATCH(COLUMNS($AD$1006:AU1006),$AD$1006:$AU$1006,0))&gt;=100000), " ",IF(INDEX($AD$2:$AU$1001,MATCH(ROWS($W$2:W506),$W$2:$W$1001,0),MATCH(COLUMNS($AD$1006:AU1006),$AD$1006:$AU$1006,0)), HYPERLINK("#",""), HYPERLINK(CONCATENATE("#metadata!", ADDRESS(INDEX($Y$2:$Y$1001,MATCH(ROWS($W$2:W506),$W$2:$W$1001,0),0), INDEX($AD$1004:$AU$1004,1,MATCH(COLUMNS($AD$1006:AU1006),$AD$1006:$AU$1006,0)))),"Fix")))</f>
        <v xml:space="preserve"> </v>
      </c>
      <c r="W506">
        <v>505</v>
      </c>
      <c r="X506">
        <v>100506</v>
      </c>
      <c r="Y506">
        <v>506</v>
      </c>
      <c r="Z506" t="b">
        <f t="shared" si="7"/>
        <v>1</v>
      </c>
      <c r="AA506" t="b">
        <f>COUNTBLANK(metadata!B506:S506)=COLUMNS(metadata!B506:S506)</f>
        <v>1</v>
      </c>
      <c r="AB506" t="str">
        <v/>
      </c>
      <c r="AD506" t="b">
        <f ca="1">AND(IF(metadata!B506="",FALSE,TRUE),COUNTIF(metadata!B:B, metadata!B506) = 1,NOT(ISERROR(SUMPRODUCT(SEARCH(MID(metadata!B506,ROW(INDIRECT("1:"&amp;LEN(metadata!B506))), 1),"0123456789abcdefghijklmnopqrstuvwxyzABCDEFGHIJKLMNOPQRSTUVWXYZ.")))))</f>
        <v>0</v>
      </c>
      <c r="AE506" t="b">
        <f>OR(AND(IF(metadata!C506="",FALSE,TRUE),OR(EXACT(metadata!C506,"not applicable"),EXACT(metadata!C506,"missing: not collected"),EXACT(metadata!C506,"missing: not provided"),EXACT(metadata!C506,"missing: restricted access"))),AND(IF(metadata!C506="",FALSE,ISNUMBER(VALUE(metadata!C506))),metadata!C506&gt;0))</f>
        <v>0</v>
      </c>
      <c r="AF506" t="b">
        <f>AND(IF(metadata!D506="",FALSE,TRUE),EXACT(metadata!D506,"missing: not provided"))</f>
        <v>0</v>
      </c>
      <c r="AG506" t="b">
        <f>AND(IF(metadata!E506="",FALSE,TRUE),EXACT(metadata!E506,"Host-associated"))</f>
        <v>0</v>
      </c>
      <c r="AH506" t="b">
        <f>AND(IF(metadata!F506="",FALSE,TRUE),OR(EXACT(metadata!F506,"Animal"),EXACT(metadata!F506,"Fungus"),EXACT(metadata!F506,"Plant")))</f>
        <v>0</v>
      </c>
      <c r="AI506" t="b">
        <f>AND(IF(metadata!G506="",FALSE,TRUE),OR(EXACT(metadata!G506,"Plant secretion"),EXACT(metadata!G506,"Plant rhizosphere"),EXACT(metadata!G506,"Plant surface"),EXACT(metadata!G506,"Plant corpus"),EXACT(metadata!G506,"Fungus surface"),EXACT(metadata!G506,"Fungus corpus"),EXACT(metadata!G506,"Animal surface"),EXACT(metadata!G506,"Animal proximal gut"),EXACT(metadata!G506,"Animal corpus"),EXACT(metadata!G506,"Animal distal gut"),EXACT(metadata!G506,"Animal secretion")))</f>
        <v>0</v>
      </c>
      <c r="AJ506" t="b">
        <f>OR(AND(IF(metadata!H506="",FALSE,TRUE),OR(EXACT(metadata!H506,"missing: not collected"),EXACT(metadata!H506,"missing: not provided"),EXACT(metadata!H506,"missing: restricted access"))),AND(IF(metadata!H506="",FALSE,TRUE),OR(EXACT(metadata!H506,"organism-associated habitat"),EXACT(metadata!H506,"plant-associated habitat"),EXACT(metadata!H506,"animal-associated habitat"),EXACT(metadata!H506,"insecta-associated habitat"),EXACT(metadata!H506,"mammalia-associated habitat"),EXACT(metadata!H506,"human-associated habitat"),EXACT(metadata!H506,"livestock-associated habitat"))))</f>
        <v>0</v>
      </c>
      <c r="AK506" t="b">
        <f>AND(IF(metadata!I506="",FALSE,TRUE),EXACT(metadata!I506,"host-associated"))</f>
        <v>0</v>
      </c>
      <c r="AL506" t="b">
        <f>OR(AND(IF(metadata!J506="",FALSE,TRUE),OR(EXACT(metadata!J506,"not applicable"),EXACT(metadata!J506,"missing: not collected"),EXACT(metadata!J506,"missing: not provided"),EXACT(metadata!J506,"missing: restricted access"))),AND(IF(metadata!J506="",FALSE,ISNUMBER(VALUE(metadata!J506))),metadata!J506&gt;0))</f>
        <v>0</v>
      </c>
      <c r="AM506" t="b">
        <f>AND(IF(metadata!K506="",FALSE,TRUE),EXACT(metadata!K506,"missing: not provided"))</f>
        <v>0</v>
      </c>
      <c r="AN506" t="b">
        <f>IF(metadata!L506="",FALSE,TRUE)</f>
        <v>0</v>
      </c>
      <c r="AO506" t="b">
        <f>IF(metadata!M506="",FALSE,TRUE)</f>
        <v>0</v>
      </c>
      <c r="AP506" t="b">
        <f>OR(AND(IF(metadata!N506="",FALSE,TRUE),OR(EXACT(metadata!N506,"not applicable"),EXACT(metadata!N506,"missing: not collected"),EXACT(metadata!N506,"missing: not provided"))),AND(IF(metadata!N506="",FALSE,IF(ISERROR(INT(metadata!N506)),FALSE,INT(metadata!N506)=metadata!N506)),metadata!N506&gt;0))</f>
        <v>0</v>
      </c>
      <c r="AQ506" t="b">
        <f>AND(IF(metadata!O506="",FALSE,TRUE),EXACT(metadata!O506,"Not applicable"))</f>
        <v>0</v>
      </c>
      <c r="AR506" t="b">
        <f>OR(AND(IF(metadata!P506="",FALSE,TRUE),OR(EXACT(metadata!P506,"not applicable"),EXACT(metadata!P506,"missing: not collected"),EXACT(metadata!P506,"missing: not provided"),EXACT(metadata!P506,"missing: restricted access"))),IF(metadata!P506="",FALSE,IF(ISERROR(INT(metadata!P506)),FALSE,INT(metadata!P506)=metadata!P506)))</f>
        <v>0</v>
      </c>
      <c r="AS506" t="b">
        <f>AND(IF(metadata!Q506="",FALSE,TRUE),EXACT(metadata!Q506,"Not applicable"))</f>
        <v>0</v>
      </c>
      <c r="AT506" t="b">
        <f>OR(AND(IF(metadata!R506="",FALSE,TRUE),OR(EXACT(metadata!R506,"not applicable"),EXACT(metadata!R506,"missing: not collected"),EXACT(metadata!R506,"missing: not provided"),EXACT(metadata!R506,"missing: restricted access"))),AND(IF(metadata!R506="",FALSE,ISNUMBER(VALUE(metadata!R506))),metadata!R506&gt;0))</f>
        <v>0</v>
      </c>
      <c r="AU506" t="b">
        <f>AND(IF(metadata!S506="",FALSE,TRUE),EXACT(metadata!S506,"missing: not provided"))</f>
        <v>0</v>
      </c>
    </row>
    <row r="507" spans="1:47" x14ac:dyDescent="0.2">
      <c r="A507" s="5" t="str">
        <f ca="1">IF(B507=" "," ",HYPERLINK(CONCATENATE("#metadata!",ADDRESS(INDEX($Y$2:$Y$1001,MATCH(ROWS($W$2:W507),$W$2:$W$1001,0),0),1)),INDEX($AB$2:$AB$1001,MATCH(ROWS($W$2:W507),$W$2:$W$1001,0),0)))</f>
        <v xml:space="preserve"> </v>
      </c>
      <c r="B507" s="4" t="str">
        <f ca="1">IF(OR(INDEX($X$2:$X$1001,MATCH(ROWS($W$2:W507),$W$2:$W$1001,0),1)&gt;=100000,INDEX($AD$1005:$AU$1005,1,MATCH(COLUMNS($AD$1006:AD1006),$AD$1006:$AU$1006,0))&gt;=100000), " ",IF(INDEX($AD$2:$AU$1001,MATCH(ROWS($W$2:W507),$W$2:$W$1001,0),MATCH(COLUMNS($AD$1006:AD1006),$AD$1006:$AU$1006,0)), HYPERLINK("#",""), HYPERLINK(CONCATENATE("#metadata!", ADDRESS(INDEX($Y$2:$Y$1001,MATCH(ROWS($W$2:W507),$W$2:$W$1001,0),0), INDEX($AD$1004:$AU$1004,1,MATCH(COLUMNS($AD$1006:AD1006),$AD$1006:$AU$1006,0)))),"Fix")))</f>
        <v xml:space="preserve"> </v>
      </c>
      <c r="C507" s="4" t="str">
        <f ca="1">IF(OR(INDEX($X$2:$X$1001,MATCH(ROWS($W$2:W507),$W$2:$W$1001,0),1)&gt;=100000,INDEX($AD$1005:$AU$1005,1,MATCH(COLUMNS($AD$1006:AE1006),$AD$1006:$AU$1006,0))&gt;=100000), " ",IF(INDEX($AD$2:$AU$1001,MATCH(ROWS($W$2:W507),$W$2:$W$1001,0),MATCH(COLUMNS($AD$1006:AE1006),$AD$1006:$AU$1006,0)), HYPERLINK("#",""), HYPERLINK(CONCATENATE("#metadata!", ADDRESS(INDEX($Y$2:$Y$1001,MATCH(ROWS($W$2:W507),$W$2:$W$1001,0),0), INDEX($AD$1004:$AU$1004,1,MATCH(COLUMNS($AD$1006:AE1006),$AD$1006:$AU$1006,0)))),"Fix")))</f>
        <v xml:space="preserve"> </v>
      </c>
      <c r="D507" s="4" t="str">
        <f ca="1">IF(OR(INDEX($X$2:$X$1001,MATCH(ROWS($W$2:W507),$W$2:$W$1001,0),1)&gt;=100000,INDEX($AD$1005:$AU$1005,1,MATCH(COLUMNS($AD$1006:AF1006),$AD$1006:$AU$1006,0))&gt;=100000), " ",IF(INDEX($AD$2:$AU$1001,MATCH(ROWS($W$2:W507),$W$2:$W$1001,0),MATCH(COLUMNS($AD$1006:AF1006),$AD$1006:$AU$1006,0)), HYPERLINK("#",""), HYPERLINK(CONCATENATE("#metadata!", ADDRESS(INDEX($Y$2:$Y$1001,MATCH(ROWS($W$2:W507),$W$2:$W$1001,0),0), INDEX($AD$1004:$AU$1004,1,MATCH(COLUMNS($AD$1006:AF1006),$AD$1006:$AU$1006,0)))),"Fix")))</f>
        <v xml:space="preserve"> </v>
      </c>
      <c r="E507" s="4" t="str">
        <f ca="1">IF(OR(INDEX($X$2:$X$1001,MATCH(ROWS($W$2:W507),$W$2:$W$1001,0),1)&gt;=100000,INDEX($AD$1005:$AU$1005,1,MATCH(COLUMNS($AD$1006:AG1006),$AD$1006:$AU$1006,0))&gt;=100000), " ",IF(INDEX($AD$2:$AU$1001,MATCH(ROWS($W$2:W507),$W$2:$W$1001,0),MATCH(COLUMNS($AD$1006:AG1006),$AD$1006:$AU$1006,0)), HYPERLINK("#",""), HYPERLINK(CONCATENATE("#metadata!", ADDRESS(INDEX($Y$2:$Y$1001,MATCH(ROWS($W$2:W507),$W$2:$W$1001,0),0), INDEX($AD$1004:$AU$1004,1,MATCH(COLUMNS($AD$1006:AG1006),$AD$1006:$AU$1006,0)))),"Fix")))</f>
        <v xml:space="preserve"> </v>
      </c>
      <c r="F507" s="4" t="str">
        <f ca="1">IF(OR(INDEX($X$2:$X$1001,MATCH(ROWS($W$2:W507),$W$2:$W$1001,0),1)&gt;=100000,INDEX($AD$1005:$AU$1005,1,MATCH(COLUMNS($AD$1006:AH1006),$AD$1006:$AU$1006,0))&gt;=100000), " ",IF(INDEX($AD$2:$AU$1001,MATCH(ROWS($W$2:W507),$W$2:$W$1001,0),MATCH(COLUMNS($AD$1006:AH1006),$AD$1006:$AU$1006,0)), HYPERLINK("#",""), HYPERLINK(CONCATENATE("#metadata!", ADDRESS(INDEX($Y$2:$Y$1001,MATCH(ROWS($W$2:W507),$W$2:$W$1001,0),0), INDEX($AD$1004:$AU$1004,1,MATCH(COLUMNS($AD$1006:AH1006),$AD$1006:$AU$1006,0)))),"Fix")))</f>
        <v xml:space="preserve"> </v>
      </c>
      <c r="G507" s="4" t="str">
        <f ca="1">IF(OR(INDEX($X$2:$X$1001,MATCH(ROWS($W$2:W507),$W$2:$W$1001,0),1)&gt;=100000,INDEX($AD$1005:$AU$1005,1,MATCH(COLUMNS($AD$1006:AI1006),$AD$1006:$AU$1006,0))&gt;=100000), " ",IF(INDEX($AD$2:$AU$1001,MATCH(ROWS($W$2:W507),$W$2:$W$1001,0),MATCH(COLUMNS($AD$1006:AI1006),$AD$1006:$AU$1006,0)), HYPERLINK("#",""), HYPERLINK(CONCATENATE("#metadata!", ADDRESS(INDEX($Y$2:$Y$1001,MATCH(ROWS($W$2:W507),$W$2:$W$1001,0),0), INDEX($AD$1004:$AU$1004,1,MATCH(COLUMNS($AD$1006:AI1006),$AD$1006:$AU$1006,0)))),"Fix")))</f>
        <v xml:space="preserve"> </v>
      </c>
      <c r="H507" s="4" t="str">
        <f ca="1">IF(OR(INDEX($X$2:$X$1001,MATCH(ROWS($W$2:W507),$W$2:$W$1001,0),1)&gt;=100000,INDEX($AD$1005:$AU$1005,1,MATCH(COLUMNS($AD$1006:AJ1006),$AD$1006:$AU$1006,0))&gt;=100000), " ",IF(INDEX($AD$2:$AU$1001,MATCH(ROWS($W$2:W507),$W$2:$W$1001,0),MATCH(COLUMNS($AD$1006:AJ1006),$AD$1006:$AU$1006,0)), HYPERLINK("#",""), HYPERLINK(CONCATENATE("#metadata!", ADDRESS(INDEX($Y$2:$Y$1001,MATCH(ROWS($W$2:W507),$W$2:$W$1001,0),0), INDEX($AD$1004:$AU$1004,1,MATCH(COLUMNS($AD$1006:AJ1006),$AD$1006:$AU$1006,0)))),"Fix")))</f>
        <v xml:space="preserve"> </v>
      </c>
      <c r="I507" s="4" t="str">
        <f ca="1">IF(OR(INDEX($X$2:$X$1001,MATCH(ROWS($W$2:W507),$W$2:$W$1001,0),1)&gt;=100000,INDEX($AD$1005:$AU$1005,1,MATCH(COLUMNS($AD$1006:AK1006),$AD$1006:$AU$1006,0))&gt;=100000), " ",IF(INDEX($AD$2:$AU$1001,MATCH(ROWS($W$2:W507),$W$2:$W$1001,0),MATCH(COLUMNS($AD$1006:AK1006),$AD$1006:$AU$1006,0)), HYPERLINK("#",""), HYPERLINK(CONCATENATE("#metadata!", ADDRESS(INDEX($Y$2:$Y$1001,MATCH(ROWS($W$2:W507),$W$2:$W$1001,0),0), INDEX($AD$1004:$AU$1004,1,MATCH(COLUMNS($AD$1006:AK1006),$AD$1006:$AU$1006,0)))),"Fix")))</f>
        <v xml:space="preserve"> </v>
      </c>
      <c r="J507" s="4" t="str">
        <f ca="1">IF(OR(INDEX($X$2:$X$1001,MATCH(ROWS($W$2:W507),$W$2:$W$1001,0),1)&gt;=100000,INDEX($AD$1005:$AU$1005,1,MATCH(COLUMNS($AD$1006:AL1006),$AD$1006:$AU$1006,0))&gt;=100000), " ",IF(INDEX($AD$2:$AU$1001,MATCH(ROWS($W$2:W507),$W$2:$W$1001,0),MATCH(COLUMNS($AD$1006:AL1006),$AD$1006:$AU$1006,0)), HYPERLINK("#",""), HYPERLINK(CONCATENATE("#metadata!", ADDRESS(INDEX($Y$2:$Y$1001,MATCH(ROWS($W$2:W507),$W$2:$W$1001,0),0), INDEX($AD$1004:$AU$1004,1,MATCH(COLUMNS($AD$1006:AL1006),$AD$1006:$AU$1006,0)))),"Fix")))</f>
        <v xml:space="preserve"> </v>
      </c>
      <c r="K507" s="4" t="str">
        <f ca="1">IF(OR(INDEX($X$2:$X$1001,MATCH(ROWS($W$2:W507),$W$2:$W$1001,0),1)&gt;=100000,INDEX($AD$1005:$AU$1005,1,MATCH(COLUMNS($AD$1006:AM1006),$AD$1006:$AU$1006,0))&gt;=100000), " ",IF(INDEX($AD$2:$AU$1001,MATCH(ROWS($W$2:W507),$W$2:$W$1001,0),MATCH(COLUMNS($AD$1006:AM1006),$AD$1006:$AU$1006,0)), HYPERLINK("#",""), HYPERLINK(CONCATENATE("#metadata!", ADDRESS(INDEX($Y$2:$Y$1001,MATCH(ROWS($W$2:W507),$W$2:$W$1001,0),0), INDEX($AD$1004:$AU$1004,1,MATCH(COLUMNS($AD$1006:AM1006),$AD$1006:$AU$1006,0)))),"Fix")))</f>
        <v xml:space="preserve"> </v>
      </c>
      <c r="L507" s="4" t="str">
        <f ca="1">IF(OR(INDEX($X$2:$X$1001,MATCH(ROWS($W$2:W507),$W$2:$W$1001,0),1)&gt;=100000,INDEX($AD$1005:$AU$1005,1,MATCH(COLUMNS($AD$1006:AN1006),$AD$1006:$AU$1006,0))&gt;=100000), " ",IF(INDEX($AD$2:$AU$1001,MATCH(ROWS($W$2:W507),$W$2:$W$1001,0),MATCH(COLUMNS($AD$1006:AN1006),$AD$1006:$AU$1006,0)), HYPERLINK("#",""), HYPERLINK(CONCATENATE("#metadata!", ADDRESS(INDEX($Y$2:$Y$1001,MATCH(ROWS($W$2:W507),$W$2:$W$1001,0),0), INDEX($AD$1004:$AU$1004,1,MATCH(COLUMNS($AD$1006:AN1006),$AD$1006:$AU$1006,0)))),"Fix")))</f>
        <v xml:space="preserve"> </v>
      </c>
      <c r="M507" s="4" t="str">
        <f ca="1">IF(OR(INDEX($X$2:$X$1001,MATCH(ROWS($W$2:W507),$W$2:$W$1001,0),1)&gt;=100000,INDEX($AD$1005:$AU$1005,1,MATCH(COLUMNS($AD$1006:AO1006),$AD$1006:$AU$1006,0))&gt;=100000), " ",IF(INDEX($AD$2:$AU$1001,MATCH(ROWS($W$2:W507),$W$2:$W$1001,0),MATCH(COLUMNS($AD$1006:AO1006),$AD$1006:$AU$1006,0)), HYPERLINK("#",""), HYPERLINK(CONCATENATE("#metadata!", ADDRESS(INDEX($Y$2:$Y$1001,MATCH(ROWS($W$2:W507),$W$2:$W$1001,0),0), INDEX($AD$1004:$AU$1004,1,MATCH(COLUMNS($AD$1006:AO1006),$AD$1006:$AU$1006,0)))),"Fix")))</f>
        <v xml:space="preserve"> </v>
      </c>
      <c r="N507" s="4" t="str">
        <f ca="1">IF(OR(INDEX($X$2:$X$1001,MATCH(ROWS($W$2:W507),$W$2:$W$1001,0),1)&gt;=100000,INDEX($AD$1005:$AU$1005,1,MATCH(COLUMNS($AD$1006:AP1006),$AD$1006:$AU$1006,0))&gt;=100000), " ",IF(INDEX($AD$2:$AU$1001,MATCH(ROWS($W$2:W507),$W$2:$W$1001,0),MATCH(COLUMNS($AD$1006:AP1006),$AD$1006:$AU$1006,0)), HYPERLINK("#",""), HYPERLINK(CONCATENATE("#metadata!", ADDRESS(INDEX($Y$2:$Y$1001,MATCH(ROWS($W$2:W507),$W$2:$W$1001,0),0), INDEX($AD$1004:$AU$1004,1,MATCH(COLUMNS($AD$1006:AP1006),$AD$1006:$AU$1006,0)))),"Fix")))</f>
        <v xml:space="preserve"> </v>
      </c>
      <c r="O507" s="4" t="str">
        <f ca="1">IF(OR(INDEX($X$2:$X$1001,MATCH(ROWS($W$2:W507),$W$2:$W$1001,0),1)&gt;=100000,INDEX($AD$1005:$AU$1005,1,MATCH(COLUMNS($AD$1006:AQ1006),$AD$1006:$AU$1006,0))&gt;=100000), " ",IF(INDEX($AD$2:$AU$1001,MATCH(ROWS($W$2:W507),$W$2:$W$1001,0),MATCH(COLUMNS($AD$1006:AQ1006),$AD$1006:$AU$1006,0)), HYPERLINK("#",""), HYPERLINK(CONCATENATE("#metadata!", ADDRESS(INDEX($Y$2:$Y$1001,MATCH(ROWS($W$2:W507),$W$2:$W$1001,0),0), INDEX($AD$1004:$AU$1004,1,MATCH(COLUMNS($AD$1006:AQ1006),$AD$1006:$AU$1006,0)))),"Fix")))</f>
        <v xml:space="preserve"> </v>
      </c>
      <c r="P507" s="4" t="str">
        <f ca="1">IF(OR(INDEX($X$2:$X$1001,MATCH(ROWS($W$2:W507),$W$2:$W$1001,0),1)&gt;=100000,INDEX($AD$1005:$AU$1005,1,MATCH(COLUMNS($AD$1006:AR1006),$AD$1006:$AU$1006,0))&gt;=100000), " ",IF(INDEX($AD$2:$AU$1001,MATCH(ROWS($W$2:W507),$W$2:$W$1001,0),MATCH(COLUMNS($AD$1006:AR1006),$AD$1006:$AU$1006,0)), HYPERLINK("#",""), HYPERLINK(CONCATENATE("#metadata!", ADDRESS(INDEX($Y$2:$Y$1001,MATCH(ROWS($W$2:W507),$W$2:$W$1001,0),0), INDEX($AD$1004:$AU$1004,1,MATCH(COLUMNS($AD$1006:AR1006),$AD$1006:$AU$1006,0)))),"Fix")))</f>
        <v xml:space="preserve"> </v>
      </c>
      <c r="Q507" s="4" t="str">
        <f ca="1">IF(OR(INDEX($X$2:$X$1001,MATCH(ROWS($W$2:W507),$W$2:$W$1001,0),1)&gt;=100000,INDEX($AD$1005:$AU$1005,1,MATCH(COLUMNS($AD$1006:AS1006),$AD$1006:$AU$1006,0))&gt;=100000), " ",IF(INDEX($AD$2:$AU$1001,MATCH(ROWS($W$2:W507),$W$2:$W$1001,0),MATCH(COLUMNS($AD$1006:AS1006),$AD$1006:$AU$1006,0)), HYPERLINK("#",""), HYPERLINK(CONCATENATE("#metadata!", ADDRESS(INDEX($Y$2:$Y$1001,MATCH(ROWS($W$2:W507),$W$2:$W$1001,0),0), INDEX($AD$1004:$AU$1004,1,MATCH(COLUMNS($AD$1006:AS1006),$AD$1006:$AU$1006,0)))),"Fix")))</f>
        <v xml:space="preserve"> </v>
      </c>
      <c r="R507" s="4" t="str">
        <f ca="1">IF(OR(INDEX($X$2:$X$1001,MATCH(ROWS($W$2:W507),$W$2:$W$1001,0),1)&gt;=100000,INDEX($AD$1005:$AU$1005,1,MATCH(COLUMNS($AD$1006:AT1006),$AD$1006:$AU$1006,0))&gt;=100000), " ",IF(INDEX($AD$2:$AU$1001,MATCH(ROWS($W$2:W507),$W$2:$W$1001,0),MATCH(COLUMNS($AD$1006:AT1006),$AD$1006:$AU$1006,0)), HYPERLINK("#",""), HYPERLINK(CONCATENATE("#metadata!", ADDRESS(INDEX($Y$2:$Y$1001,MATCH(ROWS($W$2:W507),$W$2:$W$1001,0),0), INDEX($AD$1004:$AU$1004,1,MATCH(COLUMNS($AD$1006:AT1006),$AD$1006:$AU$1006,0)))),"Fix")))</f>
        <v xml:space="preserve"> </v>
      </c>
      <c r="S507" s="4" t="str">
        <f ca="1">IF(OR(INDEX($X$2:$X$1001,MATCH(ROWS($W$2:W507),$W$2:$W$1001,0),1)&gt;=100000,INDEX($AD$1005:$AU$1005,1,MATCH(COLUMNS($AD$1006:AU1006),$AD$1006:$AU$1006,0))&gt;=100000), " ",IF(INDEX($AD$2:$AU$1001,MATCH(ROWS($W$2:W507),$W$2:$W$1001,0),MATCH(COLUMNS($AD$1006:AU1006),$AD$1006:$AU$1006,0)), HYPERLINK("#",""), HYPERLINK(CONCATENATE("#metadata!", ADDRESS(INDEX($Y$2:$Y$1001,MATCH(ROWS($W$2:W507),$W$2:$W$1001,0),0), INDEX($AD$1004:$AU$1004,1,MATCH(COLUMNS($AD$1006:AU1006),$AD$1006:$AU$1006,0)))),"Fix")))</f>
        <v xml:space="preserve"> </v>
      </c>
      <c r="W507">
        <v>506</v>
      </c>
      <c r="X507">
        <v>100507</v>
      </c>
      <c r="Y507">
        <v>507</v>
      </c>
      <c r="Z507" t="b">
        <f t="shared" si="7"/>
        <v>1</v>
      </c>
      <c r="AA507" t="b">
        <f>COUNTBLANK(metadata!B507:S507)=COLUMNS(metadata!B507:S507)</f>
        <v>1</v>
      </c>
      <c r="AB507" t="str">
        <v/>
      </c>
      <c r="AD507" t="b">
        <f ca="1">AND(IF(metadata!B507="",FALSE,TRUE),COUNTIF(metadata!B:B, metadata!B507) = 1,NOT(ISERROR(SUMPRODUCT(SEARCH(MID(metadata!B507,ROW(INDIRECT("1:"&amp;LEN(metadata!B507))), 1),"0123456789abcdefghijklmnopqrstuvwxyzABCDEFGHIJKLMNOPQRSTUVWXYZ.")))))</f>
        <v>0</v>
      </c>
      <c r="AE507" t="b">
        <f>OR(AND(IF(metadata!C507="",FALSE,TRUE),OR(EXACT(metadata!C507,"not applicable"),EXACT(metadata!C507,"missing: not collected"),EXACT(metadata!C507,"missing: not provided"),EXACT(metadata!C507,"missing: restricted access"))),AND(IF(metadata!C507="",FALSE,ISNUMBER(VALUE(metadata!C507))),metadata!C507&gt;0))</f>
        <v>0</v>
      </c>
      <c r="AF507" t="b">
        <f>AND(IF(metadata!D507="",FALSE,TRUE),EXACT(metadata!D507,"missing: not provided"))</f>
        <v>0</v>
      </c>
      <c r="AG507" t="b">
        <f>AND(IF(metadata!E507="",FALSE,TRUE),EXACT(metadata!E507,"Host-associated"))</f>
        <v>0</v>
      </c>
      <c r="AH507" t="b">
        <f>AND(IF(metadata!F507="",FALSE,TRUE),OR(EXACT(metadata!F507,"Animal"),EXACT(metadata!F507,"Fungus"),EXACT(metadata!F507,"Plant")))</f>
        <v>0</v>
      </c>
      <c r="AI507" t="b">
        <f>AND(IF(metadata!G507="",FALSE,TRUE),OR(EXACT(metadata!G507,"Plant secretion"),EXACT(metadata!G507,"Plant rhizosphere"),EXACT(metadata!G507,"Plant surface"),EXACT(metadata!G507,"Plant corpus"),EXACT(metadata!G507,"Fungus surface"),EXACT(metadata!G507,"Fungus corpus"),EXACT(metadata!G507,"Animal surface"),EXACT(metadata!G507,"Animal proximal gut"),EXACT(metadata!G507,"Animal corpus"),EXACT(metadata!G507,"Animal distal gut"),EXACT(metadata!G507,"Animal secretion")))</f>
        <v>0</v>
      </c>
      <c r="AJ507" t="b">
        <f>OR(AND(IF(metadata!H507="",FALSE,TRUE),OR(EXACT(metadata!H507,"missing: not collected"),EXACT(metadata!H507,"missing: not provided"),EXACT(metadata!H507,"missing: restricted access"))),AND(IF(metadata!H507="",FALSE,TRUE),OR(EXACT(metadata!H507,"organism-associated habitat"),EXACT(metadata!H507,"plant-associated habitat"),EXACT(metadata!H507,"animal-associated habitat"),EXACT(metadata!H507,"insecta-associated habitat"),EXACT(metadata!H507,"mammalia-associated habitat"),EXACT(metadata!H507,"human-associated habitat"),EXACT(metadata!H507,"livestock-associated habitat"))))</f>
        <v>0</v>
      </c>
      <c r="AK507" t="b">
        <f>AND(IF(metadata!I507="",FALSE,TRUE),EXACT(metadata!I507,"host-associated"))</f>
        <v>0</v>
      </c>
      <c r="AL507" t="b">
        <f>OR(AND(IF(metadata!J507="",FALSE,TRUE),OR(EXACT(metadata!J507,"not applicable"),EXACT(metadata!J507,"missing: not collected"),EXACT(metadata!J507,"missing: not provided"),EXACT(metadata!J507,"missing: restricted access"))),AND(IF(metadata!J507="",FALSE,ISNUMBER(VALUE(metadata!J507))),metadata!J507&gt;0))</f>
        <v>0</v>
      </c>
      <c r="AM507" t="b">
        <f>AND(IF(metadata!K507="",FALSE,TRUE),EXACT(metadata!K507,"missing: not provided"))</f>
        <v>0</v>
      </c>
      <c r="AN507" t="b">
        <f>IF(metadata!L507="",FALSE,TRUE)</f>
        <v>0</v>
      </c>
      <c r="AO507" t="b">
        <f>IF(metadata!M507="",FALSE,TRUE)</f>
        <v>0</v>
      </c>
      <c r="AP507" t="b">
        <f>OR(AND(IF(metadata!N507="",FALSE,TRUE),OR(EXACT(metadata!N507,"not applicable"),EXACT(metadata!N507,"missing: not collected"),EXACT(metadata!N507,"missing: not provided"))),AND(IF(metadata!N507="",FALSE,IF(ISERROR(INT(metadata!N507)),FALSE,INT(metadata!N507)=metadata!N507)),metadata!N507&gt;0))</f>
        <v>0</v>
      </c>
      <c r="AQ507" t="b">
        <f>AND(IF(metadata!O507="",FALSE,TRUE),EXACT(metadata!O507,"Not applicable"))</f>
        <v>0</v>
      </c>
      <c r="AR507" t="b">
        <f>OR(AND(IF(metadata!P507="",FALSE,TRUE),OR(EXACT(metadata!P507,"not applicable"),EXACT(metadata!P507,"missing: not collected"),EXACT(metadata!P507,"missing: not provided"),EXACT(metadata!P507,"missing: restricted access"))),IF(metadata!P507="",FALSE,IF(ISERROR(INT(metadata!P507)),FALSE,INT(metadata!P507)=metadata!P507)))</f>
        <v>0</v>
      </c>
      <c r="AS507" t="b">
        <f>AND(IF(metadata!Q507="",FALSE,TRUE),EXACT(metadata!Q507,"Not applicable"))</f>
        <v>0</v>
      </c>
      <c r="AT507" t="b">
        <f>OR(AND(IF(metadata!R507="",FALSE,TRUE),OR(EXACT(metadata!R507,"not applicable"),EXACT(metadata!R507,"missing: not collected"),EXACT(metadata!R507,"missing: not provided"),EXACT(metadata!R507,"missing: restricted access"))),AND(IF(metadata!R507="",FALSE,ISNUMBER(VALUE(metadata!R507))),metadata!R507&gt;0))</f>
        <v>0</v>
      </c>
      <c r="AU507" t="b">
        <f>AND(IF(metadata!S507="",FALSE,TRUE),EXACT(metadata!S507,"missing: not provided"))</f>
        <v>0</v>
      </c>
    </row>
    <row r="508" spans="1:47" x14ac:dyDescent="0.2">
      <c r="A508" s="5" t="str">
        <f ca="1">IF(B508=" "," ",HYPERLINK(CONCATENATE("#metadata!",ADDRESS(INDEX($Y$2:$Y$1001,MATCH(ROWS($W$2:W508),$W$2:$W$1001,0),0),1)),INDEX($AB$2:$AB$1001,MATCH(ROWS($W$2:W508),$W$2:$W$1001,0),0)))</f>
        <v xml:space="preserve"> </v>
      </c>
      <c r="B508" s="4" t="str">
        <f ca="1">IF(OR(INDEX($X$2:$X$1001,MATCH(ROWS($W$2:W508),$W$2:$W$1001,0),1)&gt;=100000,INDEX($AD$1005:$AU$1005,1,MATCH(COLUMNS($AD$1006:AD1006),$AD$1006:$AU$1006,0))&gt;=100000), " ",IF(INDEX($AD$2:$AU$1001,MATCH(ROWS($W$2:W508),$W$2:$W$1001,0),MATCH(COLUMNS($AD$1006:AD1006),$AD$1006:$AU$1006,0)), HYPERLINK("#",""), HYPERLINK(CONCATENATE("#metadata!", ADDRESS(INDEX($Y$2:$Y$1001,MATCH(ROWS($W$2:W508),$W$2:$W$1001,0),0), INDEX($AD$1004:$AU$1004,1,MATCH(COLUMNS($AD$1006:AD1006),$AD$1006:$AU$1006,0)))),"Fix")))</f>
        <v xml:space="preserve"> </v>
      </c>
      <c r="C508" s="4" t="str">
        <f ca="1">IF(OR(INDEX($X$2:$X$1001,MATCH(ROWS($W$2:W508),$W$2:$W$1001,0),1)&gt;=100000,INDEX($AD$1005:$AU$1005,1,MATCH(COLUMNS($AD$1006:AE1006),$AD$1006:$AU$1006,0))&gt;=100000), " ",IF(INDEX($AD$2:$AU$1001,MATCH(ROWS($W$2:W508),$W$2:$W$1001,0),MATCH(COLUMNS($AD$1006:AE1006),$AD$1006:$AU$1006,0)), HYPERLINK("#",""), HYPERLINK(CONCATENATE("#metadata!", ADDRESS(INDEX($Y$2:$Y$1001,MATCH(ROWS($W$2:W508),$W$2:$W$1001,0),0), INDEX($AD$1004:$AU$1004,1,MATCH(COLUMNS($AD$1006:AE1006),$AD$1006:$AU$1006,0)))),"Fix")))</f>
        <v xml:space="preserve"> </v>
      </c>
      <c r="D508" s="4" t="str">
        <f ca="1">IF(OR(INDEX($X$2:$X$1001,MATCH(ROWS($W$2:W508),$W$2:$W$1001,0),1)&gt;=100000,INDEX($AD$1005:$AU$1005,1,MATCH(COLUMNS($AD$1006:AF1006),$AD$1006:$AU$1006,0))&gt;=100000), " ",IF(INDEX($AD$2:$AU$1001,MATCH(ROWS($W$2:W508),$W$2:$W$1001,0),MATCH(COLUMNS($AD$1006:AF1006),$AD$1006:$AU$1006,0)), HYPERLINK("#",""), HYPERLINK(CONCATENATE("#metadata!", ADDRESS(INDEX($Y$2:$Y$1001,MATCH(ROWS($W$2:W508),$W$2:$W$1001,0),0), INDEX($AD$1004:$AU$1004,1,MATCH(COLUMNS($AD$1006:AF1006),$AD$1006:$AU$1006,0)))),"Fix")))</f>
        <v xml:space="preserve"> </v>
      </c>
      <c r="E508" s="4" t="str">
        <f ca="1">IF(OR(INDEX($X$2:$X$1001,MATCH(ROWS($W$2:W508),$W$2:$W$1001,0),1)&gt;=100000,INDEX($AD$1005:$AU$1005,1,MATCH(COLUMNS($AD$1006:AG1006),$AD$1006:$AU$1006,0))&gt;=100000), " ",IF(INDEX($AD$2:$AU$1001,MATCH(ROWS($W$2:W508),$W$2:$W$1001,0),MATCH(COLUMNS($AD$1006:AG1006),$AD$1006:$AU$1006,0)), HYPERLINK("#",""), HYPERLINK(CONCATENATE("#metadata!", ADDRESS(INDEX($Y$2:$Y$1001,MATCH(ROWS($W$2:W508),$W$2:$W$1001,0),0), INDEX($AD$1004:$AU$1004,1,MATCH(COLUMNS($AD$1006:AG1006),$AD$1006:$AU$1006,0)))),"Fix")))</f>
        <v xml:space="preserve"> </v>
      </c>
      <c r="F508" s="4" t="str">
        <f ca="1">IF(OR(INDEX($X$2:$X$1001,MATCH(ROWS($W$2:W508),$W$2:$W$1001,0),1)&gt;=100000,INDEX($AD$1005:$AU$1005,1,MATCH(COLUMNS($AD$1006:AH1006),$AD$1006:$AU$1006,0))&gt;=100000), " ",IF(INDEX($AD$2:$AU$1001,MATCH(ROWS($W$2:W508),$W$2:$W$1001,0),MATCH(COLUMNS($AD$1006:AH1006),$AD$1006:$AU$1006,0)), HYPERLINK("#",""), HYPERLINK(CONCATENATE("#metadata!", ADDRESS(INDEX($Y$2:$Y$1001,MATCH(ROWS($W$2:W508),$W$2:$W$1001,0),0), INDEX($AD$1004:$AU$1004,1,MATCH(COLUMNS($AD$1006:AH1006),$AD$1006:$AU$1006,0)))),"Fix")))</f>
        <v xml:space="preserve"> </v>
      </c>
      <c r="G508" s="4" t="str">
        <f ca="1">IF(OR(INDEX($X$2:$X$1001,MATCH(ROWS($W$2:W508),$W$2:$W$1001,0),1)&gt;=100000,INDEX($AD$1005:$AU$1005,1,MATCH(COLUMNS($AD$1006:AI1006),$AD$1006:$AU$1006,0))&gt;=100000), " ",IF(INDEX($AD$2:$AU$1001,MATCH(ROWS($W$2:W508),$W$2:$W$1001,0),MATCH(COLUMNS($AD$1006:AI1006),$AD$1006:$AU$1006,0)), HYPERLINK("#",""), HYPERLINK(CONCATENATE("#metadata!", ADDRESS(INDEX($Y$2:$Y$1001,MATCH(ROWS($W$2:W508),$W$2:$W$1001,0),0), INDEX($AD$1004:$AU$1004,1,MATCH(COLUMNS($AD$1006:AI1006),$AD$1006:$AU$1006,0)))),"Fix")))</f>
        <v xml:space="preserve"> </v>
      </c>
      <c r="H508" s="4" t="str">
        <f ca="1">IF(OR(INDEX($X$2:$X$1001,MATCH(ROWS($W$2:W508),$W$2:$W$1001,0),1)&gt;=100000,INDEX($AD$1005:$AU$1005,1,MATCH(COLUMNS($AD$1006:AJ1006),$AD$1006:$AU$1006,0))&gt;=100000), " ",IF(INDEX($AD$2:$AU$1001,MATCH(ROWS($W$2:W508),$W$2:$W$1001,0),MATCH(COLUMNS($AD$1006:AJ1006),$AD$1006:$AU$1006,0)), HYPERLINK("#",""), HYPERLINK(CONCATENATE("#metadata!", ADDRESS(INDEX($Y$2:$Y$1001,MATCH(ROWS($W$2:W508),$W$2:$W$1001,0),0), INDEX($AD$1004:$AU$1004,1,MATCH(COLUMNS($AD$1006:AJ1006),$AD$1006:$AU$1006,0)))),"Fix")))</f>
        <v xml:space="preserve"> </v>
      </c>
      <c r="I508" s="4" t="str">
        <f ca="1">IF(OR(INDEX($X$2:$X$1001,MATCH(ROWS($W$2:W508),$W$2:$W$1001,0),1)&gt;=100000,INDEX($AD$1005:$AU$1005,1,MATCH(COLUMNS($AD$1006:AK1006),$AD$1006:$AU$1006,0))&gt;=100000), " ",IF(INDEX($AD$2:$AU$1001,MATCH(ROWS($W$2:W508),$W$2:$W$1001,0),MATCH(COLUMNS($AD$1006:AK1006),$AD$1006:$AU$1006,0)), HYPERLINK("#",""), HYPERLINK(CONCATENATE("#metadata!", ADDRESS(INDEX($Y$2:$Y$1001,MATCH(ROWS($W$2:W508),$W$2:$W$1001,0),0), INDEX($AD$1004:$AU$1004,1,MATCH(COLUMNS($AD$1006:AK1006),$AD$1006:$AU$1006,0)))),"Fix")))</f>
        <v xml:space="preserve"> </v>
      </c>
      <c r="J508" s="4" t="str">
        <f ca="1">IF(OR(INDEX($X$2:$X$1001,MATCH(ROWS($W$2:W508),$W$2:$W$1001,0),1)&gt;=100000,INDEX($AD$1005:$AU$1005,1,MATCH(COLUMNS($AD$1006:AL1006),$AD$1006:$AU$1006,0))&gt;=100000), " ",IF(INDEX($AD$2:$AU$1001,MATCH(ROWS($W$2:W508),$W$2:$W$1001,0),MATCH(COLUMNS($AD$1006:AL1006),$AD$1006:$AU$1006,0)), HYPERLINK("#",""), HYPERLINK(CONCATENATE("#metadata!", ADDRESS(INDEX($Y$2:$Y$1001,MATCH(ROWS($W$2:W508),$W$2:$W$1001,0),0), INDEX($AD$1004:$AU$1004,1,MATCH(COLUMNS($AD$1006:AL1006),$AD$1006:$AU$1006,0)))),"Fix")))</f>
        <v xml:space="preserve"> </v>
      </c>
      <c r="K508" s="4" t="str">
        <f ca="1">IF(OR(INDEX($X$2:$X$1001,MATCH(ROWS($W$2:W508),$W$2:$W$1001,0),1)&gt;=100000,INDEX($AD$1005:$AU$1005,1,MATCH(COLUMNS($AD$1006:AM1006),$AD$1006:$AU$1006,0))&gt;=100000), " ",IF(INDEX($AD$2:$AU$1001,MATCH(ROWS($W$2:W508),$W$2:$W$1001,0),MATCH(COLUMNS($AD$1006:AM1006),$AD$1006:$AU$1006,0)), HYPERLINK("#",""), HYPERLINK(CONCATENATE("#metadata!", ADDRESS(INDEX($Y$2:$Y$1001,MATCH(ROWS($W$2:W508),$W$2:$W$1001,0),0), INDEX($AD$1004:$AU$1004,1,MATCH(COLUMNS($AD$1006:AM1006),$AD$1006:$AU$1006,0)))),"Fix")))</f>
        <v xml:space="preserve"> </v>
      </c>
      <c r="L508" s="4" t="str">
        <f ca="1">IF(OR(INDEX($X$2:$X$1001,MATCH(ROWS($W$2:W508),$W$2:$W$1001,0),1)&gt;=100000,INDEX($AD$1005:$AU$1005,1,MATCH(COLUMNS($AD$1006:AN1006),$AD$1006:$AU$1006,0))&gt;=100000), " ",IF(INDEX($AD$2:$AU$1001,MATCH(ROWS($W$2:W508),$W$2:$W$1001,0),MATCH(COLUMNS($AD$1006:AN1006),$AD$1006:$AU$1006,0)), HYPERLINK("#",""), HYPERLINK(CONCATENATE("#metadata!", ADDRESS(INDEX($Y$2:$Y$1001,MATCH(ROWS($W$2:W508),$W$2:$W$1001,0),0), INDEX($AD$1004:$AU$1004,1,MATCH(COLUMNS($AD$1006:AN1006),$AD$1006:$AU$1006,0)))),"Fix")))</f>
        <v xml:space="preserve"> </v>
      </c>
      <c r="M508" s="4" t="str">
        <f ca="1">IF(OR(INDEX($X$2:$X$1001,MATCH(ROWS($W$2:W508),$W$2:$W$1001,0),1)&gt;=100000,INDEX($AD$1005:$AU$1005,1,MATCH(COLUMNS($AD$1006:AO1006),$AD$1006:$AU$1006,0))&gt;=100000), " ",IF(INDEX($AD$2:$AU$1001,MATCH(ROWS($W$2:W508),$W$2:$W$1001,0),MATCH(COLUMNS($AD$1006:AO1006),$AD$1006:$AU$1006,0)), HYPERLINK("#",""), HYPERLINK(CONCATENATE("#metadata!", ADDRESS(INDEX($Y$2:$Y$1001,MATCH(ROWS($W$2:W508),$W$2:$W$1001,0),0), INDEX($AD$1004:$AU$1004,1,MATCH(COLUMNS($AD$1006:AO1006),$AD$1006:$AU$1006,0)))),"Fix")))</f>
        <v xml:space="preserve"> </v>
      </c>
      <c r="N508" s="4" t="str">
        <f ca="1">IF(OR(INDEX($X$2:$X$1001,MATCH(ROWS($W$2:W508),$W$2:$W$1001,0),1)&gt;=100000,INDEX($AD$1005:$AU$1005,1,MATCH(COLUMNS($AD$1006:AP1006),$AD$1006:$AU$1006,0))&gt;=100000), " ",IF(INDEX($AD$2:$AU$1001,MATCH(ROWS($W$2:W508),$W$2:$W$1001,0),MATCH(COLUMNS($AD$1006:AP1006),$AD$1006:$AU$1006,0)), HYPERLINK("#",""), HYPERLINK(CONCATENATE("#metadata!", ADDRESS(INDEX($Y$2:$Y$1001,MATCH(ROWS($W$2:W508),$W$2:$W$1001,0),0), INDEX($AD$1004:$AU$1004,1,MATCH(COLUMNS($AD$1006:AP1006),$AD$1006:$AU$1006,0)))),"Fix")))</f>
        <v xml:space="preserve"> </v>
      </c>
      <c r="O508" s="4" t="str">
        <f ca="1">IF(OR(INDEX($X$2:$X$1001,MATCH(ROWS($W$2:W508),$W$2:$W$1001,0),1)&gt;=100000,INDEX($AD$1005:$AU$1005,1,MATCH(COLUMNS($AD$1006:AQ1006),$AD$1006:$AU$1006,0))&gt;=100000), " ",IF(INDEX($AD$2:$AU$1001,MATCH(ROWS($W$2:W508),$W$2:$W$1001,0),MATCH(COLUMNS($AD$1006:AQ1006),$AD$1006:$AU$1006,0)), HYPERLINK("#",""), HYPERLINK(CONCATENATE("#metadata!", ADDRESS(INDEX($Y$2:$Y$1001,MATCH(ROWS($W$2:W508),$W$2:$W$1001,0),0), INDEX($AD$1004:$AU$1004,1,MATCH(COLUMNS($AD$1006:AQ1006),$AD$1006:$AU$1006,0)))),"Fix")))</f>
        <v xml:space="preserve"> </v>
      </c>
      <c r="P508" s="4" t="str">
        <f ca="1">IF(OR(INDEX($X$2:$X$1001,MATCH(ROWS($W$2:W508),$W$2:$W$1001,0),1)&gt;=100000,INDEX($AD$1005:$AU$1005,1,MATCH(COLUMNS($AD$1006:AR1006),$AD$1006:$AU$1006,0))&gt;=100000), " ",IF(INDEX($AD$2:$AU$1001,MATCH(ROWS($W$2:W508),$W$2:$W$1001,0),MATCH(COLUMNS($AD$1006:AR1006),$AD$1006:$AU$1006,0)), HYPERLINK("#",""), HYPERLINK(CONCATENATE("#metadata!", ADDRESS(INDEX($Y$2:$Y$1001,MATCH(ROWS($W$2:W508),$W$2:$W$1001,0),0), INDEX($AD$1004:$AU$1004,1,MATCH(COLUMNS($AD$1006:AR1006),$AD$1006:$AU$1006,0)))),"Fix")))</f>
        <v xml:space="preserve"> </v>
      </c>
      <c r="Q508" s="4" t="str">
        <f ca="1">IF(OR(INDEX($X$2:$X$1001,MATCH(ROWS($W$2:W508),$W$2:$W$1001,0),1)&gt;=100000,INDEX($AD$1005:$AU$1005,1,MATCH(COLUMNS($AD$1006:AS1006),$AD$1006:$AU$1006,0))&gt;=100000), " ",IF(INDEX($AD$2:$AU$1001,MATCH(ROWS($W$2:W508),$W$2:$W$1001,0),MATCH(COLUMNS($AD$1006:AS1006),$AD$1006:$AU$1006,0)), HYPERLINK("#",""), HYPERLINK(CONCATENATE("#metadata!", ADDRESS(INDEX($Y$2:$Y$1001,MATCH(ROWS($W$2:W508),$W$2:$W$1001,0),0), INDEX($AD$1004:$AU$1004,1,MATCH(COLUMNS($AD$1006:AS1006),$AD$1006:$AU$1006,0)))),"Fix")))</f>
        <v xml:space="preserve"> </v>
      </c>
      <c r="R508" s="4" t="str">
        <f ca="1">IF(OR(INDEX($X$2:$X$1001,MATCH(ROWS($W$2:W508),$W$2:$W$1001,0),1)&gt;=100000,INDEX($AD$1005:$AU$1005,1,MATCH(COLUMNS($AD$1006:AT1006),$AD$1006:$AU$1006,0))&gt;=100000), " ",IF(INDEX($AD$2:$AU$1001,MATCH(ROWS($W$2:W508),$W$2:$W$1001,0),MATCH(COLUMNS($AD$1006:AT1006),$AD$1006:$AU$1006,0)), HYPERLINK("#",""), HYPERLINK(CONCATENATE("#metadata!", ADDRESS(INDEX($Y$2:$Y$1001,MATCH(ROWS($W$2:W508),$W$2:$W$1001,0),0), INDEX($AD$1004:$AU$1004,1,MATCH(COLUMNS($AD$1006:AT1006),$AD$1006:$AU$1006,0)))),"Fix")))</f>
        <v xml:space="preserve"> </v>
      </c>
      <c r="S508" s="4" t="str">
        <f ca="1">IF(OR(INDEX($X$2:$X$1001,MATCH(ROWS($W$2:W508),$W$2:$W$1001,0),1)&gt;=100000,INDEX($AD$1005:$AU$1005,1,MATCH(COLUMNS($AD$1006:AU1006),$AD$1006:$AU$1006,0))&gt;=100000), " ",IF(INDEX($AD$2:$AU$1001,MATCH(ROWS($W$2:W508),$W$2:$W$1001,0),MATCH(COLUMNS($AD$1006:AU1006),$AD$1006:$AU$1006,0)), HYPERLINK("#",""), HYPERLINK(CONCATENATE("#metadata!", ADDRESS(INDEX($Y$2:$Y$1001,MATCH(ROWS($W$2:W508),$W$2:$W$1001,0),0), INDEX($AD$1004:$AU$1004,1,MATCH(COLUMNS($AD$1006:AU1006),$AD$1006:$AU$1006,0)))),"Fix")))</f>
        <v xml:space="preserve"> </v>
      </c>
      <c r="W508">
        <v>507</v>
      </c>
      <c r="X508">
        <v>100508</v>
      </c>
      <c r="Y508">
        <v>508</v>
      </c>
      <c r="Z508" t="b">
        <f t="shared" si="7"/>
        <v>1</v>
      </c>
      <c r="AA508" t="b">
        <f>COUNTBLANK(metadata!B508:S508)=COLUMNS(metadata!B508:S508)</f>
        <v>1</v>
      </c>
      <c r="AB508" t="str">
        <v/>
      </c>
      <c r="AD508" t="b">
        <f ca="1">AND(IF(metadata!B508="",FALSE,TRUE),COUNTIF(metadata!B:B, metadata!B508) = 1,NOT(ISERROR(SUMPRODUCT(SEARCH(MID(metadata!B508,ROW(INDIRECT("1:"&amp;LEN(metadata!B508))), 1),"0123456789abcdefghijklmnopqrstuvwxyzABCDEFGHIJKLMNOPQRSTUVWXYZ.")))))</f>
        <v>0</v>
      </c>
      <c r="AE508" t="b">
        <f>OR(AND(IF(metadata!C508="",FALSE,TRUE),OR(EXACT(metadata!C508,"not applicable"),EXACT(metadata!C508,"missing: not collected"),EXACT(metadata!C508,"missing: not provided"),EXACT(metadata!C508,"missing: restricted access"))),AND(IF(metadata!C508="",FALSE,ISNUMBER(VALUE(metadata!C508))),metadata!C508&gt;0))</f>
        <v>0</v>
      </c>
      <c r="AF508" t="b">
        <f>AND(IF(metadata!D508="",FALSE,TRUE),EXACT(metadata!D508,"missing: not provided"))</f>
        <v>0</v>
      </c>
      <c r="AG508" t="b">
        <f>AND(IF(metadata!E508="",FALSE,TRUE),EXACT(metadata!E508,"Host-associated"))</f>
        <v>0</v>
      </c>
      <c r="AH508" t="b">
        <f>AND(IF(metadata!F508="",FALSE,TRUE),OR(EXACT(metadata!F508,"Animal"),EXACT(metadata!F508,"Fungus"),EXACT(metadata!F508,"Plant")))</f>
        <v>0</v>
      </c>
      <c r="AI508" t="b">
        <f>AND(IF(metadata!G508="",FALSE,TRUE),OR(EXACT(metadata!G508,"Plant secretion"),EXACT(metadata!G508,"Plant rhizosphere"),EXACT(metadata!G508,"Plant surface"),EXACT(metadata!G508,"Plant corpus"),EXACT(metadata!G508,"Fungus surface"),EXACT(metadata!G508,"Fungus corpus"),EXACT(metadata!G508,"Animal surface"),EXACT(metadata!G508,"Animal proximal gut"),EXACT(metadata!G508,"Animal corpus"),EXACT(metadata!G508,"Animal distal gut"),EXACT(metadata!G508,"Animal secretion")))</f>
        <v>0</v>
      </c>
      <c r="AJ508" t="b">
        <f>OR(AND(IF(metadata!H508="",FALSE,TRUE),OR(EXACT(metadata!H508,"missing: not collected"),EXACT(metadata!H508,"missing: not provided"),EXACT(metadata!H508,"missing: restricted access"))),AND(IF(metadata!H508="",FALSE,TRUE),OR(EXACT(metadata!H508,"organism-associated habitat"),EXACT(metadata!H508,"plant-associated habitat"),EXACT(metadata!H508,"animal-associated habitat"),EXACT(metadata!H508,"insecta-associated habitat"),EXACT(metadata!H508,"mammalia-associated habitat"),EXACT(metadata!H508,"human-associated habitat"),EXACT(metadata!H508,"livestock-associated habitat"))))</f>
        <v>0</v>
      </c>
      <c r="AK508" t="b">
        <f>AND(IF(metadata!I508="",FALSE,TRUE),EXACT(metadata!I508,"host-associated"))</f>
        <v>0</v>
      </c>
      <c r="AL508" t="b">
        <f>OR(AND(IF(metadata!J508="",FALSE,TRUE),OR(EXACT(metadata!J508,"not applicable"),EXACT(metadata!J508,"missing: not collected"),EXACT(metadata!J508,"missing: not provided"),EXACT(metadata!J508,"missing: restricted access"))),AND(IF(metadata!J508="",FALSE,ISNUMBER(VALUE(metadata!J508))),metadata!J508&gt;0))</f>
        <v>0</v>
      </c>
      <c r="AM508" t="b">
        <f>AND(IF(metadata!K508="",FALSE,TRUE),EXACT(metadata!K508,"missing: not provided"))</f>
        <v>0</v>
      </c>
      <c r="AN508" t="b">
        <f>IF(metadata!L508="",FALSE,TRUE)</f>
        <v>0</v>
      </c>
      <c r="AO508" t="b">
        <f>IF(metadata!M508="",FALSE,TRUE)</f>
        <v>0</v>
      </c>
      <c r="AP508" t="b">
        <f>OR(AND(IF(metadata!N508="",FALSE,TRUE),OR(EXACT(metadata!N508,"not applicable"),EXACT(metadata!N508,"missing: not collected"),EXACT(metadata!N508,"missing: not provided"))),AND(IF(metadata!N508="",FALSE,IF(ISERROR(INT(metadata!N508)),FALSE,INT(metadata!N508)=metadata!N508)),metadata!N508&gt;0))</f>
        <v>0</v>
      </c>
      <c r="AQ508" t="b">
        <f>AND(IF(metadata!O508="",FALSE,TRUE),EXACT(metadata!O508,"Not applicable"))</f>
        <v>0</v>
      </c>
      <c r="AR508" t="b">
        <f>OR(AND(IF(metadata!P508="",FALSE,TRUE),OR(EXACT(metadata!P508,"not applicable"),EXACT(metadata!P508,"missing: not collected"),EXACT(metadata!P508,"missing: not provided"),EXACT(metadata!P508,"missing: restricted access"))),IF(metadata!P508="",FALSE,IF(ISERROR(INT(metadata!P508)),FALSE,INT(metadata!P508)=metadata!P508)))</f>
        <v>0</v>
      </c>
      <c r="AS508" t="b">
        <f>AND(IF(metadata!Q508="",FALSE,TRUE),EXACT(metadata!Q508,"Not applicable"))</f>
        <v>0</v>
      </c>
      <c r="AT508" t="b">
        <f>OR(AND(IF(metadata!R508="",FALSE,TRUE),OR(EXACT(metadata!R508,"not applicable"),EXACT(metadata!R508,"missing: not collected"),EXACT(metadata!R508,"missing: not provided"),EXACT(metadata!R508,"missing: restricted access"))),AND(IF(metadata!R508="",FALSE,ISNUMBER(VALUE(metadata!R508))),metadata!R508&gt;0))</f>
        <v>0</v>
      </c>
      <c r="AU508" t="b">
        <f>AND(IF(metadata!S508="",FALSE,TRUE),EXACT(metadata!S508,"missing: not provided"))</f>
        <v>0</v>
      </c>
    </row>
    <row r="509" spans="1:47" x14ac:dyDescent="0.2">
      <c r="A509" s="5" t="str">
        <f ca="1">IF(B509=" "," ",HYPERLINK(CONCATENATE("#metadata!",ADDRESS(INDEX($Y$2:$Y$1001,MATCH(ROWS($W$2:W509),$W$2:$W$1001,0),0),1)),INDEX($AB$2:$AB$1001,MATCH(ROWS($W$2:W509),$W$2:$W$1001,0),0)))</f>
        <v xml:space="preserve"> </v>
      </c>
      <c r="B509" s="4" t="str">
        <f ca="1">IF(OR(INDEX($X$2:$X$1001,MATCH(ROWS($W$2:W509),$W$2:$W$1001,0),1)&gt;=100000,INDEX($AD$1005:$AU$1005,1,MATCH(COLUMNS($AD$1006:AD1006),$AD$1006:$AU$1006,0))&gt;=100000), " ",IF(INDEX($AD$2:$AU$1001,MATCH(ROWS($W$2:W509),$W$2:$W$1001,0),MATCH(COLUMNS($AD$1006:AD1006),$AD$1006:$AU$1006,0)), HYPERLINK("#",""), HYPERLINK(CONCATENATE("#metadata!", ADDRESS(INDEX($Y$2:$Y$1001,MATCH(ROWS($W$2:W509),$W$2:$W$1001,0),0), INDEX($AD$1004:$AU$1004,1,MATCH(COLUMNS($AD$1006:AD1006),$AD$1006:$AU$1006,0)))),"Fix")))</f>
        <v xml:space="preserve"> </v>
      </c>
      <c r="C509" s="4" t="str">
        <f ca="1">IF(OR(INDEX($X$2:$X$1001,MATCH(ROWS($W$2:W509),$W$2:$W$1001,0),1)&gt;=100000,INDEX($AD$1005:$AU$1005,1,MATCH(COLUMNS($AD$1006:AE1006),$AD$1006:$AU$1006,0))&gt;=100000), " ",IF(INDEX($AD$2:$AU$1001,MATCH(ROWS($W$2:W509),$W$2:$W$1001,0),MATCH(COLUMNS($AD$1006:AE1006),$AD$1006:$AU$1006,0)), HYPERLINK("#",""), HYPERLINK(CONCATENATE("#metadata!", ADDRESS(INDEX($Y$2:$Y$1001,MATCH(ROWS($W$2:W509),$W$2:$W$1001,0),0), INDEX($AD$1004:$AU$1004,1,MATCH(COLUMNS($AD$1006:AE1006),$AD$1006:$AU$1006,0)))),"Fix")))</f>
        <v xml:space="preserve"> </v>
      </c>
      <c r="D509" s="4" t="str">
        <f ca="1">IF(OR(INDEX($X$2:$X$1001,MATCH(ROWS($W$2:W509),$W$2:$W$1001,0),1)&gt;=100000,INDEX($AD$1005:$AU$1005,1,MATCH(COLUMNS($AD$1006:AF1006),$AD$1006:$AU$1006,0))&gt;=100000), " ",IF(INDEX($AD$2:$AU$1001,MATCH(ROWS($W$2:W509),$W$2:$W$1001,0),MATCH(COLUMNS($AD$1006:AF1006),$AD$1006:$AU$1006,0)), HYPERLINK("#",""), HYPERLINK(CONCATENATE("#metadata!", ADDRESS(INDEX($Y$2:$Y$1001,MATCH(ROWS($W$2:W509),$W$2:$W$1001,0),0), INDEX($AD$1004:$AU$1004,1,MATCH(COLUMNS($AD$1006:AF1006),$AD$1006:$AU$1006,0)))),"Fix")))</f>
        <v xml:space="preserve"> </v>
      </c>
      <c r="E509" s="4" t="str">
        <f ca="1">IF(OR(INDEX($X$2:$X$1001,MATCH(ROWS($W$2:W509),$W$2:$W$1001,0),1)&gt;=100000,INDEX($AD$1005:$AU$1005,1,MATCH(COLUMNS($AD$1006:AG1006),$AD$1006:$AU$1006,0))&gt;=100000), " ",IF(INDEX($AD$2:$AU$1001,MATCH(ROWS($W$2:W509),$W$2:$W$1001,0),MATCH(COLUMNS($AD$1006:AG1006),$AD$1006:$AU$1006,0)), HYPERLINK("#",""), HYPERLINK(CONCATENATE("#metadata!", ADDRESS(INDEX($Y$2:$Y$1001,MATCH(ROWS($W$2:W509),$W$2:$W$1001,0),0), INDEX($AD$1004:$AU$1004,1,MATCH(COLUMNS($AD$1006:AG1006),$AD$1006:$AU$1006,0)))),"Fix")))</f>
        <v xml:space="preserve"> </v>
      </c>
      <c r="F509" s="4" t="str">
        <f ca="1">IF(OR(INDEX($X$2:$X$1001,MATCH(ROWS($W$2:W509),$W$2:$W$1001,0),1)&gt;=100000,INDEX($AD$1005:$AU$1005,1,MATCH(COLUMNS($AD$1006:AH1006),$AD$1006:$AU$1006,0))&gt;=100000), " ",IF(INDEX($AD$2:$AU$1001,MATCH(ROWS($W$2:W509),$W$2:$W$1001,0),MATCH(COLUMNS($AD$1006:AH1006),$AD$1006:$AU$1006,0)), HYPERLINK("#",""), HYPERLINK(CONCATENATE("#metadata!", ADDRESS(INDEX($Y$2:$Y$1001,MATCH(ROWS($W$2:W509),$W$2:$W$1001,0),0), INDEX($AD$1004:$AU$1004,1,MATCH(COLUMNS($AD$1006:AH1006),$AD$1006:$AU$1006,0)))),"Fix")))</f>
        <v xml:space="preserve"> </v>
      </c>
      <c r="G509" s="4" t="str">
        <f ca="1">IF(OR(INDEX($X$2:$X$1001,MATCH(ROWS($W$2:W509),$W$2:$W$1001,0),1)&gt;=100000,INDEX($AD$1005:$AU$1005,1,MATCH(COLUMNS($AD$1006:AI1006),$AD$1006:$AU$1006,0))&gt;=100000), " ",IF(INDEX($AD$2:$AU$1001,MATCH(ROWS($W$2:W509),$W$2:$W$1001,0),MATCH(COLUMNS($AD$1006:AI1006),$AD$1006:$AU$1006,0)), HYPERLINK("#",""), HYPERLINK(CONCATENATE("#metadata!", ADDRESS(INDEX($Y$2:$Y$1001,MATCH(ROWS($W$2:W509),$W$2:$W$1001,0),0), INDEX($AD$1004:$AU$1004,1,MATCH(COLUMNS($AD$1006:AI1006),$AD$1006:$AU$1006,0)))),"Fix")))</f>
        <v xml:space="preserve"> </v>
      </c>
      <c r="H509" s="4" t="str">
        <f ca="1">IF(OR(INDEX($X$2:$X$1001,MATCH(ROWS($W$2:W509),$W$2:$W$1001,0),1)&gt;=100000,INDEX($AD$1005:$AU$1005,1,MATCH(COLUMNS($AD$1006:AJ1006),$AD$1006:$AU$1006,0))&gt;=100000), " ",IF(INDEX($AD$2:$AU$1001,MATCH(ROWS($W$2:W509),$W$2:$W$1001,0),MATCH(COLUMNS($AD$1006:AJ1006),$AD$1006:$AU$1006,0)), HYPERLINK("#",""), HYPERLINK(CONCATENATE("#metadata!", ADDRESS(INDEX($Y$2:$Y$1001,MATCH(ROWS($W$2:W509),$W$2:$W$1001,0),0), INDEX($AD$1004:$AU$1004,1,MATCH(COLUMNS($AD$1006:AJ1006),$AD$1006:$AU$1006,0)))),"Fix")))</f>
        <v xml:space="preserve"> </v>
      </c>
      <c r="I509" s="4" t="str">
        <f ca="1">IF(OR(INDEX($X$2:$X$1001,MATCH(ROWS($W$2:W509),$W$2:$W$1001,0),1)&gt;=100000,INDEX($AD$1005:$AU$1005,1,MATCH(COLUMNS($AD$1006:AK1006),$AD$1006:$AU$1006,0))&gt;=100000), " ",IF(INDEX($AD$2:$AU$1001,MATCH(ROWS($W$2:W509),$W$2:$W$1001,0),MATCH(COLUMNS($AD$1006:AK1006),$AD$1006:$AU$1006,0)), HYPERLINK("#",""), HYPERLINK(CONCATENATE("#metadata!", ADDRESS(INDEX($Y$2:$Y$1001,MATCH(ROWS($W$2:W509),$W$2:$W$1001,0),0), INDEX($AD$1004:$AU$1004,1,MATCH(COLUMNS($AD$1006:AK1006),$AD$1006:$AU$1006,0)))),"Fix")))</f>
        <v xml:space="preserve"> </v>
      </c>
      <c r="J509" s="4" t="str">
        <f ca="1">IF(OR(INDEX($X$2:$X$1001,MATCH(ROWS($W$2:W509),$W$2:$W$1001,0),1)&gt;=100000,INDEX($AD$1005:$AU$1005,1,MATCH(COLUMNS($AD$1006:AL1006),$AD$1006:$AU$1006,0))&gt;=100000), " ",IF(INDEX($AD$2:$AU$1001,MATCH(ROWS($W$2:W509),$W$2:$W$1001,0),MATCH(COLUMNS($AD$1006:AL1006),$AD$1006:$AU$1006,0)), HYPERLINK("#",""), HYPERLINK(CONCATENATE("#metadata!", ADDRESS(INDEX($Y$2:$Y$1001,MATCH(ROWS($W$2:W509),$W$2:$W$1001,0),0), INDEX($AD$1004:$AU$1004,1,MATCH(COLUMNS($AD$1006:AL1006),$AD$1006:$AU$1006,0)))),"Fix")))</f>
        <v xml:space="preserve"> </v>
      </c>
      <c r="K509" s="4" t="str">
        <f ca="1">IF(OR(INDEX($X$2:$X$1001,MATCH(ROWS($W$2:W509),$W$2:$W$1001,0),1)&gt;=100000,INDEX($AD$1005:$AU$1005,1,MATCH(COLUMNS($AD$1006:AM1006),$AD$1006:$AU$1006,0))&gt;=100000), " ",IF(INDEX($AD$2:$AU$1001,MATCH(ROWS($W$2:W509),$W$2:$W$1001,0),MATCH(COLUMNS($AD$1006:AM1006),$AD$1006:$AU$1006,0)), HYPERLINK("#",""), HYPERLINK(CONCATENATE("#metadata!", ADDRESS(INDEX($Y$2:$Y$1001,MATCH(ROWS($W$2:W509),$W$2:$W$1001,0),0), INDEX($AD$1004:$AU$1004,1,MATCH(COLUMNS($AD$1006:AM1006),$AD$1006:$AU$1006,0)))),"Fix")))</f>
        <v xml:space="preserve"> </v>
      </c>
      <c r="L509" s="4" t="str">
        <f ca="1">IF(OR(INDEX($X$2:$X$1001,MATCH(ROWS($W$2:W509),$W$2:$W$1001,0),1)&gt;=100000,INDEX($AD$1005:$AU$1005,1,MATCH(COLUMNS($AD$1006:AN1006),$AD$1006:$AU$1006,0))&gt;=100000), " ",IF(INDEX($AD$2:$AU$1001,MATCH(ROWS($W$2:W509),$W$2:$W$1001,0),MATCH(COLUMNS($AD$1006:AN1006),$AD$1006:$AU$1006,0)), HYPERLINK("#",""), HYPERLINK(CONCATENATE("#metadata!", ADDRESS(INDEX($Y$2:$Y$1001,MATCH(ROWS($W$2:W509),$W$2:$W$1001,0),0), INDEX($AD$1004:$AU$1004,1,MATCH(COLUMNS($AD$1006:AN1006),$AD$1006:$AU$1006,0)))),"Fix")))</f>
        <v xml:space="preserve"> </v>
      </c>
      <c r="M509" s="4" t="str">
        <f ca="1">IF(OR(INDEX($X$2:$X$1001,MATCH(ROWS($W$2:W509),$W$2:$W$1001,0),1)&gt;=100000,INDEX($AD$1005:$AU$1005,1,MATCH(COLUMNS($AD$1006:AO1006),$AD$1006:$AU$1006,0))&gt;=100000), " ",IF(INDEX($AD$2:$AU$1001,MATCH(ROWS($W$2:W509),$W$2:$W$1001,0),MATCH(COLUMNS($AD$1006:AO1006),$AD$1006:$AU$1006,0)), HYPERLINK("#",""), HYPERLINK(CONCATENATE("#metadata!", ADDRESS(INDEX($Y$2:$Y$1001,MATCH(ROWS($W$2:W509),$W$2:$W$1001,0),0), INDEX($AD$1004:$AU$1004,1,MATCH(COLUMNS($AD$1006:AO1006),$AD$1006:$AU$1006,0)))),"Fix")))</f>
        <v xml:space="preserve"> </v>
      </c>
      <c r="N509" s="4" t="str">
        <f ca="1">IF(OR(INDEX($X$2:$X$1001,MATCH(ROWS($W$2:W509),$W$2:$W$1001,0),1)&gt;=100000,INDEX($AD$1005:$AU$1005,1,MATCH(COLUMNS($AD$1006:AP1006),$AD$1006:$AU$1006,0))&gt;=100000), " ",IF(INDEX($AD$2:$AU$1001,MATCH(ROWS($W$2:W509),$W$2:$W$1001,0),MATCH(COLUMNS($AD$1006:AP1006),$AD$1006:$AU$1006,0)), HYPERLINK("#",""), HYPERLINK(CONCATENATE("#metadata!", ADDRESS(INDEX($Y$2:$Y$1001,MATCH(ROWS($W$2:W509),$W$2:$W$1001,0),0), INDEX($AD$1004:$AU$1004,1,MATCH(COLUMNS($AD$1006:AP1006),$AD$1006:$AU$1006,0)))),"Fix")))</f>
        <v xml:space="preserve"> </v>
      </c>
      <c r="O509" s="4" t="str">
        <f ca="1">IF(OR(INDEX($X$2:$X$1001,MATCH(ROWS($W$2:W509),$W$2:$W$1001,0),1)&gt;=100000,INDEX($AD$1005:$AU$1005,1,MATCH(COLUMNS($AD$1006:AQ1006),$AD$1006:$AU$1006,0))&gt;=100000), " ",IF(INDEX($AD$2:$AU$1001,MATCH(ROWS($W$2:W509),$W$2:$W$1001,0),MATCH(COLUMNS($AD$1006:AQ1006),$AD$1006:$AU$1006,0)), HYPERLINK("#",""), HYPERLINK(CONCATENATE("#metadata!", ADDRESS(INDEX($Y$2:$Y$1001,MATCH(ROWS($W$2:W509),$W$2:$W$1001,0),0), INDEX($AD$1004:$AU$1004,1,MATCH(COLUMNS($AD$1006:AQ1006),$AD$1006:$AU$1006,0)))),"Fix")))</f>
        <v xml:space="preserve"> </v>
      </c>
      <c r="P509" s="4" t="str">
        <f ca="1">IF(OR(INDEX($X$2:$X$1001,MATCH(ROWS($W$2:W509),$W$2:$W$1001,0),1)&gt;=100000,INDEX($AD$1005:$AU$1005,1,MATCH(COLUMNS($AD$1006:AR1006),$AD$1006:$AU$1006,0))&gt;=100000), " ",IF(INDEX($AD$2:$AU$1001,MATCH(ROWS($W$2:W509),$W$2:$W$1001,0),MATCH(COLUMNS($AD$1006:AR1006),$AD$1006:$AU$1006,0)), HYPERLINK("#",""), HYPERLINK(CONCATENATE("#metadata!", ADDRESS(INDEX($Y$2:$Y$1001,MATCH(ROWS($W$2:W509),$W$2:$W$1001,0),0), INDEX($AD$1004:$AU$1004,1,MATCH(COLUMNS($AD$1006:AR1006),$AD$1006:$AU$1006,0)))),"Fix")))</f>
        <v xml:space="preserve"> </v>
      </c>
      <c r="Q509" s="4" t="str">
        <f ca="1">IF(OR(INDEX($X$2:$X$1001,MATCH(ROWS($W$2:W509),$W$2:$W$1001,0),1)&gt;=100000,INDEX($AD$1005:$AU$1005,1,MATCH(COLUMNS($AD$1006:AS1006),$AD$1006:$AU$1006,0))&gt;=100000), " ",IF(INDEX($AD$2:$AU$1001,MATCH(ROWS($W$2:W509),$W$2:$W$1001,0),MATCH(COLUMNS($AD$1006:AS1006),$AD$1006:$AU$1006,0)), HYPERLINK("#",""), HYPERLINK(CONCATENATE("#metadata!", ADDRESS(INDEX($Y$2:$Y$1001,MATCH(ROWS($W$2:W509),$W$2:$W$1001,0),0), INDEX($AD$1004:$AU$1004,1,MATCH(COLUMNS($AD$1006:AS1006),$AD$1006:$AU$1006,0)))),"Fix")))</f>
        <v xml:space="preserve"> </v>
      </c>
      <c r="R509" s="4" t="str">
        <f ca="1">IF(OR(INDEX($X$2:$X$1001,MATCH(ROWS($W$2:W509),$W$2:$W$1001,0),1)&gt;=100000,INDEX($AD$1005:$AU$1005,1,MATCH(COLUMNS($AD$1006:AT1006),$AD$1006:$AU$1006,0))&gt;=100000), " ",IF(INDEX($AD$2:$AU$1001,MATCH(ROWS($W$2:W509),$W$2:$W$1001,0),MATCH(COLUMNS($AD$1006:AT1006),$AD$1006:$AU$1006,0)), HYPERLINK("#",""), HYPERLINK(CONCATENATE("#metadata!", ADDRESS(INDEX($Y$2:$Y$1001,MATCH(ROWS($W$2:W509),$W$2:$W$1001,0),0), INDEX($AD$1004:$AU$1004,1,MATCH(COLUMNS($AD$1006:AT1006),$AD$1006:$AU$1006,0)))),"Fix")))</f>
        <v xml:space="preserve"> </v>
      </c>
      <c r="S509" s="4" t="str">
        <f ca="1">IF(OR(INDEX($X$2:$X$1001,MATCH(ROWS($W$2:W509),$W$2:$W$1001,0),1)&gt;=100000,INDEX($AD$1005:$AU$1005,1,MATCH(COLUMNS($AD$1006:AU1006),$AD$1006:$AU$1006,0))&gt;=100000), " ",IF(INDEX($AD$2:$AU$1001,MATCH(ROWS($W$2:W509),$W$2:$W$1001,0),MATCH(COLUMNS($AD$1006:AU1006),$AD$1006:$AU$1006,0)), HYPERLINK("#",""), HYPERLINK(CONCATENATE("#metadata!", ADDRESS(INDEX($Y$2:$Y$1001,MATCH(ROWS($W$2:W509),$W$2:$W$1001,0),0), INDEX($AD$1004:$AU$1004,1,MATCH(COLUMNS($AD$1006:AU1006),$AD$1006:$AU$1006,0)))),"Fix")))</f>
        <v xml:space="preserve"> </v>
      </c>
      <c r="W509">
        <v>508</v>
      </c>
      <c r="X509">
        <v>100509</v>
      </c>
      <c r="Y509">
        <v>509</v>
      </c>
      <c r="Z509" t="b">
        <f t="shared" si="7"/>
        <v>1</v>
      </c>
      <c r="AA509" t="b">
        <f>COUNTBLANK(metadata!B509:S509)=COLUMNS(metadata!B509:S509)</f>
        <v>1</v>
      </c>
      <c r="AB509" t="str">
        <v/>
      </c>
      <c r="AD509" t="b">
        <f ca="1">AND(IF(metadata!B509="",FALSE,TRUE),COUNTIF(metadata!B:B, metadata!B509) = 1,NOT(ISERROR(SUMPRODUCT(SEARCH(MID(metadata!B509,ROW(INDIRECT("1:"&amp;LEN(metadata!B509))), 1),"0123456789abcdefghijklmnopqrstuvwxyzABCDEFGHIJKLMNOPQRSTUVWXYZ.")))))</f>
        <v>0</v>
      </c>
      <c r="AE509" t="b">
        <f>OR(AND(IF(metadata!C509="",FALSE,TRUE),OR(EXACT(metadata!C509,"not applicable"),EXACT(metadata!C509,"missing: not collected"),EXACT(metadata!C509,"missing: not provided"),EXACT(metadata!C509,"missing: restricted access"))),AND(IF(metadata!C509="",FALSE,ISNUMBER(VALUE(metadata!C509))),metadata!C509&gt;0))</f>
        <v>0</v>
      </c>
      <c r="AF509" t="b">
        <f>AND(IF(metadata!D509="",FALSE,TRUE),EXACT(metadata!D509,"missing: not provided"))</f>
        <v>0</v>
      </c>
      <c r="AG509" t="b">
        <f>AND(IF(metadata!E509="",FALSE,TRUE),EXACT(metadata!E509,"Host-associated"))</f>
        <v>0</v>
      </c>
      <c r="AH509" t="b">
        <f>AND(IF(metadata!F509="",FALSE,TRUE),OR(EXACT(metadata!F509,"Animal"),EXACT(metadata!F509,"Fungus"),EXACT(metadata!F509,"Plant")))</f>
        <v>0</v>
      </c>
      <c r="AI509" t="b">
        <f>AND(IF(metadata!G509="",FALSE,TRUE),OR(EXACT(metadata!G509,"Plant secretion"),EXACT(metadata!G509,"Plant rhizosphere"),EXACT(metadata!G509,"Plant surface"),EXACT(metadata!G509,"Plant corpus"),EXACT(metadata!G509,"Fungus surface"),EXACT(metadata!G509,"Fungus corpus"),EXACT(metadata!G509,"Animal surface"),EXACT(metadata!G509,"Animal proximal gut"),EXACT(metadata!G509,"Animal corpus"),EXACT(metadata!G509,"Animal distal gut"),EXACT(metadata!G509,"Animal secretion")))</f>
        <v>0</v>
      </c>
      <c r="AJ509" t="b">
        <f>OR(AND(IF(metadata!H509="",FALSE,TRUE),OR(EXACT(metadata!H509,"missing: not collected"),EXACT(metadata!H509,"missing: not provided"),EXACT(metadata!H509,"missing: restricted access"))),AND(IF(metadata!H509="",FALSE,TRUE),OR(EXACT(metadata!H509,"organism-associated habitat"),EXACT(metadata!H509,"plant-associated habitat"),EXACT(metadata!H509,"animal-associated habitat"),EXACT(metadata!H509,"insecta-associated habitat"),EXACT(metadata!H509,"mammalia-associated habitat"),EXACT(metadata!H509,"human-associated habitat"),EXACT(metadata!H509,"livestock-associated habitat"))))</f>
        <v>0</v>
      </c>
      <c r="AK509" t="b">
        <f>AND(IF(metadata!I509="",FALSE,TRUE),EXACT(metadata!I509,"host-associated"))</f>
        <v>0</v>
      </c>
      <c r="AL509" t="b">
        <f>OR(AND(IF(metadata!J509="",FALSE,TRUE),OR(EXACT(metadata!J509,"not applicable"),EXACT(metadata!J509,"missing: not collected"),EXACT(metadata!J509,"missing: not provided"),EXACT(metadata!J509,"missing: restricted access"))),AND(IF(metadata!J509="",FALSE,ISNUMBER(VALUE(metadata!J509))),metadata!J509&gt;0))</f>
        <v>0</v>
      </c>
      <c r="AM509" t="b">
        <f>AND(IF(metadata!K509="",FALSE,TRUE),EXACT(metadata!K509,"missing: not provided"))</f>
        <v>0</v>
      </c>
      <c r="AN509" t="b">
        <f>IF(metadata!L509="",FALSE,TRUE)</f>
        <v>0</v>
      </c>
      <c r="AO509" t="b">
        <f>IF(metadata!M509="",FALSE,TRUE)</f>
        <v>0</v>
      </c>
      <c r="AP509" t="b">
        <f>OR(AND(IF(metadata!N509="",FALSE,TRUE),OR(EXACT(metadata!N509,"not applicable"),EXACT(metadata!N509,"missing: not collected"),EXACT(metadata!N509,"missing: not provided"))),AND(IF(metadata!N509="",FALSE,IF(ISERROR(INT(metadata!N509)),FALSE,INT(metadata!N509)=metadata!N509)),metadata!N509&gt;0))</f>
        <v>0</v>
      </c>
      <c r="AQ509" t="b">
        <f>AND(IF(metadata!O509="",FALSE,TRUE),EXACT(metadata!O509,"Not applicable"))</f>
        <v>0</v>
      </c>
      <c r="AR509" t="b">
        <f>OR(AND(IF(metadata!P509="",FALSE,TRUE),OR(EXACT(metadata!P509,"not applicable"),EXACT(metadata!P509,"missing: not collected"),EXACT(metadata!P509,"missing: not provided"),EXACT(metadata!P509,"missing: restricted access"))),IF(metadata!P509="",FALSE,IF(ISERROR(INT(metadata!P509)),FALSE,INT(metadata!P509)=metadata!P509)))</f>
        <v>0</v>
      </c>
      <c r="AS509" t="b">
        <f>AND(IF(metadata!Q509="",FALSE,TRUE),EXACT(metadata!Q509,"Not applicable"))</f>
        <v>0</v>
      </c>
      <c r="AT509" t="b">
        <f>OR(AND(IF(metadata!R509="",FALSE,TRUE),OR(EXACT(metadata!R509,"not applicable"),EXACT(metadata!R509,"missing: not collected"),EXACT(metadata!R509,"missing: not provided"),EXACT(metadata!R509,"missing: restricted access"))),AND(IF(metadata!R509="",FALSE,ISNUMBER(VALUE(metadata!R509))),metadata!R509&gt;0))</f>
        <v>0</v>
      </c>
      <c r="AU509" t="b">
        <f>AND(IF(metadata!S509="",FALSE,TRUE),EXACT(metadata!S509,"missing: not provided"))</f>
        <v>0</v>
      </c>
    </row>
    <row r="510" spans="1:47" x14ac:dyDescent="0.2">
      <c r="A510" s="5" t="str">
        <f ca="1">IF(B510=" "," ",HYPERLINK(CONCATENATE("#metadata!",ADDRESS(INDEX($Y$2:$Y$1001,MATCH(ROWS($W$2:W510),$W$2:$W$1001,0),0),1)),INDEX($AB$2:$AB$1001,MATCH(ROWS($W$2:W510),$W$2:$W$1001,0),0)))</f>
        <v xml:space="preserve"> </v>
      </c>
      <c r="B510" s="4" t="str">
        <f ca="1">IF(OR(INDEX($X$2:$X$1001,MATCH(ROWS($W$2:W510),$W$2:$W$1001,0),1)&gt;=100000,INDEX($AD$1005:$AU$1005,1,MATCH(COLUMNS($AD$1006:AD1006),$AD$1006:$AU$1006,0))&gt;=100000), " ",IF(INDEX($AD$2:$AU$1001,MATCH(ROWS($W$2:W510),$W$2:$W$1001,0),MATCH(COLUMNS($AD$1006:AD1006),$AD$1006:$AU$1006,0)), HYPERLINK("#",""), HYPERLINK(CONCATENATE("#metadata!", ADDRESS(INDEX($Y$2:$Y$1001,MATCH(ROWS($W$2:W510),$W$2:$W$1001,0),0), INDEX($AD$1004:$AU$1004,1,MATCH(COLUMNS($AD$1006:AD1006),$AD$1006:$AU$1006,0)))),"Fix")))</f>
        <v xml:space="preserve"> </v>
      </c>
      <c r="C510" s="4" t="str">
        <f ca="1">IF(OR(INDEX($X$2:$X$1001,MATCH(ROWS($W$2:W510),$W$2:$W$1001,0),1)&gt;=100000,INDEX($AD$1005:$AU$1005,1,MATCH(COLUMNS($AD$1006:AE1006),$AD$1006:$AU$1006,0))&gt;=100000), " ",IF(INDEX($AD$2:$AU$1001,MATCH(ROWS($W$2:W510),$W$2:$W$1001,0),MATCH(COLUMNS($AD$1006:AE1006),$AD$1006:$AU$1006,0)), HYPERLINK("#",""), HYPERLINK(CONCATENATE("#metadata!", ADDRESS(INDEX($Y$2:$Y$1001,MATCH(ROWS($W$2:W510),$W$2:$W$1001,0),0), INDEX($AD$1004:$AU$1004,1,MATCH(COLUMNS($AD$1006:AE1006),$AD$1006:$AU$1006,0)))),"Fix")))</f>
        <v xml:space="preserve"> </v>
      </c>
      <c r="D510" s="4" t="str">
        <f ca="1">IF(OR(INDEX($X$2:$X$1001,MATCH(ROWS($W$2:W510),$W$2:$W$1001,0),1)&gt;=100000,INDEX($AD$1005:$AU$1005,1,MATCH(COLUMNS($AD$1006:AF1006),$AD$1006:$AU$1006,0))&gt;=100000), " ",IF(INDEX($AD$2:$AU$1001,MATCH(ROWS($W$2:W510),$W$2:$W$1001,0),MATCH(COLUMNS($AD$1006:AF1006),$AD$1006:$AU$1006,0)), HYPERLINK("#",""), HYPERLINK(CONCATENATE("#metadata!", ADDRESS(INDEX($Y$2:$Y$1001,MATCH(ROWS($W$2:W510),$W$2:$W$1001,0),0), INDEX($AD$1004:$AU$1004,1,MATCH(COLUMNS($AD$1006:AF1006),$AD$1006:$AU$1006,0)))),"Fix")))</f>
        <v xml:space="preserve"> </v>
      </c>
      <c r="E510" s="4" t="str">
        <f ca="1">IF(OR(INDEX($X$2:$X$1001,MATCH(ROWS($W$2:W510),$W$2:$W$1001,0),1)&gt;=100000,INDEX($AD$1005:$AU$1005,1,MATCH(COLUMNS($AD$1006:AG1006),$AD$1006:$AU$1006,0))&gt;=100000), " ",IF(INDEX($AD$2:$AU$1001,MATCH(ROWS($W$2:W510),$W$2:$W$1001,0),MATCH(COLUMNS($AD$1006:AG1006),$AD$1006:$AU$1006,0)), HYPERLINK("#",""), HYPERLINK(CONCATENATE("#metadata!", ADDRESS(INDEX($Y$2:$Y$1001,MATCH(ROWS($W$2:W510),$W$2:$W$1001,0),0), INDEX($AD$1004:$AU$1004,1,MATCH(COLUMNS($AD$1006:AG1006),$AD$1006:$AU$1006,0)))),"Fix")))</f>
        <v xml:space="preserve"> </v>
      </c>
      <c r="F510" s="4" t="str">
        <f ca="1">IF(OR(INDEX($X$2:$X$1001,MATCH(ROWS($W$2:W510),$W$2:$W$1001,0),1)&gt;=100000,INDEX($AD$1005:$AU$1005,1,MATCH(COLUMNS($AD$1006:AH1006),$AD$1006:$AU$1006,0))&gt;=100000), " ",IF(INDEX($AD$2:$AU$1001,MATCH(ROWS($W$2:W510),$W$2:$W$1001,0),MATCH(COLUMNS($AD$1006:AH1006),$AD$1006:$AU$1006,0)), HYPERLINK("#",""), HYPERLINK(CONCATENATE("#metadata!", ADDRESS(INDEX($Y$2:$Y$1001,MATCH(ROWS($W$2:W510),$W$2:$W$1001,0),0), INDEX($AD$1004:$AU$1004,1,MATCH(COLUMNS($AD$1006:AH1006),$AD$1006:$AU$1006,0)))),"Fix")))</f>
        <v xml:space="preserve"> </v>
      </c>
      <c r="G510" s="4" t="str">
        <f ca="1">IF(OR(INDEX($X$2:$X$1001,MATCH(ROWS($W$2:W510),$W$2:$W$1001,0),1)&gt;=100000,INDEX($AD$1005:$AU$1005,1,MATCH(COLUMNS($AD$1006:AI1006),$AD$1006:$AU$1006,0))&gt;=100000), " ",IF(INDEX($AD$2:$AU$1001,MATCH(ROWS($W$2:W510),$W$2:$W$1001,0),MATCH(COLUMNS($AD$1006:AI1006),$AD$1006:$AU$1006,0)), HYPERLINK("#",""), HYPERLINK(CONCATENATE("#metadata!", ADDRESS(INDEX($Y$2:$Y$1001,MATCH(ROWS($W$2:W510),$W$2:$W$1001,0),0), INDEX($AD$1004:$AU$1004,1,MATCH(COLUMNS($AD$1006:AI1006),$AD$1006:$AU$1006,0)))),"Fix")))</f>
        <v xml:space="preserve"> </v>
      </c>
      <c r="H510" s="4" t="str">
        <f ca="1">IF(OR(INDEX($X$2:$X$1001,MATCH(ROWS($W$2:W510),$W$2:$W$1001,0),1)&gt;=100000,INDEX($AD$1005:$AU$1005,1,MATCH(COLUMNS($AD$1006:AJ1006),$AD$1006:$AU$1006,0))&gt;=100000), " ",IF(INDEX($AD$2:$AU$1001,MATCH(ROWS($W$2:W510),$W$2:$W$1001,0),MATCH(COLUMNS($AD$1006:AJ1006),$AD$1006:$AU$1006,0)), HYPERLINK("#",""), HYPERLINK(CONCATENATE("#metadata!", ADDRESS(INDEX($Y$2:$Y$1001,MATCH(ROWS($W$2:W510),$W$2:$W$1001,0),0), INDEX($AD$1004:$AU$1004,1,MATCH(COLUMNS($AD$1006:AJ1006),$AD$1006:$AU$1006,0)))),"Fix")))</f>
        <v xml:space="preserve"> </v>
      </c>
      <c r="I510" s="4" t="str">
        <f ca="1">IF(OR(INDEX($X$2:$X$1001,MATCH(ROWS($W$2:W510),$W$2:$W$1001,0),1)&gt;=100000,INDEX($AD$1005:$AU$1005,1,MATCH(COLUMNS($AD$1006:AK1006),$AD$1006:$AU$1006,0))&gt;=100000), " ",IF(INDEX($AD$2:$AU$1001,MATCH(ROWS($W$2:W510),$W$2:$W$1001,0),MATCH(COLUMNS($AD$1006:AK1006),$AD$1006:$AU$1006,0)), HYPERLINK("#",""), HYPERLINK(CONCATENATE("#metadata!", ADDRESS(INDEX($Y$2:$Y$1001,MATCH(ROWS($W$2:W510),$W$2:$W$1001,0),0), INDEX($AD$1004:$AU$1004,1,MATCH(COLUMNS($AD$1006:AK1006),$AD$1006:$AU$1006,0)))),"Fix")))</f>
        <v xml:space="preserve"> </v>
      </c>
      <c r="J510" s="4" t="str">
        <f ca="1">IF(OR(INDEX($X$2:$X$1001,MATCH(ROWS($W$2:W510),$W$2:$W$1001,0),1)&gt;=100000,INDEX($AD$1005:$AU$1005,1,MATCH(COLUMNS($AD$1006:AL1006),$AD$1006:$AU$1006,0))&gt;=100000), " ",IF(INDEX($AD$2:$AU$1001,MATCH(ROWS($W$2:W510),$W$2:$W$1001,0),MATCH(COLUMNS($AD$1006:AL1006),$AD$1006:$AU$1006,0)), HYPERLINK("#",""), HYPERLINK(CONCATENATE("#metadata!", ADDRESS(INDEX($Y$2:$Y$1001,MATCH(ROWS($W$2:W510),$W$2:$W$1001,0),0), INDEX($AD$1004:$AU$1004,1,MATCH(COLUMNS($AD$1006:AL1006),$AD$1006:$AU$1006,0)))),"Fix")))</f>
        <v xml:space="preserve"> </v>
      </c>
      <c r="K510" s="4" t="str">
        <f ca="1">IF(OR(INDEX($X$2:$X$1001,MATCH(ROWS($W$2:W510),$W$2:$W$1001,0),1)&gt;=100000,INDEX($AD$1005:$AU$1005,1,MATCH(COLUMNS($AD$1006:AM1006),$AD$1006:$AU$1006,0))&gt;=100000), " ",IF(INDEX($AD$2:$AU$1001,MATCH(ROWS($W$2:W510),$W$2:$W$1001,0),MATCH(COLUMNS($AD$1006:AM1006),$AD$1006:$AU$1006,0)), HYPERLINK("#",""), HYPERLINK(CONCATENATE("#metadata!", ADDRESS(INDEX($Y$2:$Y$1001,MATCH(ROWS($W$2:W510),$W$2:$W$1001,0),0), INDEX($AD$1004:$AU$1004,1,MATCH(COLUMNS($AD$1006:AM1006),$AD$1006:$AU$1006,0)))),"Fix")))</f>
        <v xml:space="preserve"> </v>
      </c>
      <c r="L510" s="4" t="str">
        <f ca="1">IF(OR(INDEX($X$2:$X$1001,MATCH(ROWS($W$2:W510),$W$2:$W$1001,0),1)&gt;=100000,INDEX($AD$1005:$AU$1005,1,MATCH(COLUMNS($AD$1006:AN1006),$AD$1006:$AU$1006,0))&gt;=100000), " ",IF(INDEX($AD$2:$AU$1001,MATCH(ROWS($W$2:W510),$W$2:$W$1001,0),MATCH(COLUMNS($AD$1006:AN1006),$AD$1006:$AU$1006,0)), HYPERLINK("#",""), HYPERLINK(CONCATENATE("#metadata!", ADDRESS(INDEX($Y$2:$Y$1001,MATCH(ROWS($W$2:W510),$W$2:$W$1001,0),0), INDEX($AD$1004:$AU$1004,1,MATCH(COLUMNS($AD$1006:AN1006),$AD$1006:$AU$1006,0)))),"Fix")))</f>
        <v xml:space="preserve"> </v>
      </c>
      <c r="M510" s="4" t="str">
        <f ca="1">IF(OR(INDEX($X$2:$X$1001,MATCH(ROWS($W$2:W510),$W$2:$W$1001,0),1)&gt;=100000,INDEX($AD$1005:$AU$1005,1,MATCH(COLUMNS($AD$1006:AO1006),$AD$1006:$AU$1006,0))&gt;=100000), " ",IF(INDEX($AD$2:$AU$1001,MATCH(ROWS($W$2:W510),$W$2:$W$1001,0),MATCH(COLUMNS($AD$1006:AO1006),$AD$1006:$AU$1006,0)), HYPERLINK("#",""), HYPERLINK(CONCATENATE("#metadata!", ADDRESS(INDEX($Y$2:$Y$1001,MATCH(ROWS($W$2:W510),$W$2:$W$1001,0),0), INDEX($AD$1004:$AU$1004,1,MATCH(COLUMNS($AD$1006:AO1006),$AD$1006:$AU$1006,0)))),"Fix")))</f>
        <v xml:space="preserve"> </v>
      </c>
      <c r="N510" s="4" t="str">
        <f ca="1">IF(OR(INDEX($X$2:$X$1001,MATCH(ROWS($W$2:W510),$W$2:$W$1001,0),1)&gt;=100000,INDEX($AD$1005:$AU$1005,1,MATCH(COLUMNS($AD$1006:AP1006),$AD$1006:$AU$1006,0))&gt;=100000), " ",IF(INDEX($AD$2:$AU$1001,MATCH(ROWS($W$2:W510),$W$2:$W$1001,0),MATCH(COLUMNS($AD$1006:AP1006),$AD$1006:$AU$1006,0)), HYPERLINK("#",""), HYPERLINK(CONCATENATE("#metadata!", ADDRESS(INDEX($Y$2:$Y$1001,MATCH(ROWS($W$2:W510),$W$2:$W$1001,0),0), INDEX($AD$1004:$AU$1004,1,MATCH(COLUMNS($AD$1006:AP1006),$AD$1006:$AU$1006,0)))),"Fix")))</f>
        <v xml:space="preserve"> </v>
      </c>
      <c r="O510" s="4" t="str">
        <f ca="1">IF(OR(INDEX($X$2:$X$1001,MATCH(ROWS($W$2:W510),$W$2:$W$1001,0),1)&gt;=100000,INDEX($AD$1005:$AU$1005,1,MATCH(COLUMNS($AD$1006:AQ1006),$AD$1006:$AU$1006,0))&gt;=100000), " ",IF(INDEX($AD$2:$AU$1001,MATCH(ROWS($W$2:W510),$W$2:$W$1001,0),MATCH(COLUMNS($AD$1006:AQ1006),$AD$1006:$AU$1006,0)), HYPERLINK("#",""), HYPERLINK(CONCATENATE("#metadata!", ADDRESS(INDEX($Y$2:$Y$1001,MATCH(ROWS($W$2:W510),$W$2:$W$1001,0),0), INDEX($AD$1004:$AU$1004,1,MATCH(COLUMNS($AD$1006:AQ1006),$AD$1006:$AU$1006,0)))),"Fix")))</f>
        <v xml:space="preserve"> </v>
      </c>
      <c r="P510" s="4" t="str">
        <f ca="1">IF(OR(INDEX($X$2:$X$1001,MATCH(ROWS($W$2:W510),$W$2:$W$1001,0),1)&gt;=100000,INDEX($AD$1005:$AU$1005,1,MATCH(COLUMNS($AD$1006:AR1006),$AD$1006:$AU$1006,0))&gt;=100000), " ",IF(INDEX($AD$2:$AU$1001,MATCH(ROWS($W$2:W510),$W$2:$W$1001,0),MATCH(COLUMNS($AD$1006:AR1006),$AD$1006:$AU$1006,0)), HYPERLINK("#",""), HYPERLINK(CONCATENATE("#metadata!", ADDRESS(INDEX($Y$2:$Y$1001,MATCH(ROWS($W$2:W510),$W$2:$W$1001,0),0), INDEX($AD$1004:$AU$1004,1,MATCH(COLUMNS($AD$1006:AR1006),$AD$1006:$AU$1006,0)))),"Fix")))</f>
        <v xml:space="preserve"> </v>
      </c>
      <c r="Q510" s="4" t="str">
        <f ca="1">IF(OR(INDEX($X$2:$X$1001,MATCH(ROWS($W$2:W510),$W$2:$W$1001,0),1)&gt;=100000,INDEX($AD$1005:$AU$1005,1,MATCH(COLUMNS($AD$1006:AS1006),$AD$1006:$AU$1006,0))&gt;=100000), " ",IF(INDEX($AD$2:$AU$1001,MATCH(ROWS($W$2:W510),$W$2:$W$1001,0),MATCH(COLUMNS($AD$1006:AS1006),$AD$1006:$AU$1006,0)), HYPERLINK("#",""), HYPERLINK(CONCATENATE("#metadata!", ADDRESS(INDEX($Y$2:$Y$1001,MATCH(ROWS($W$2:W510),$W$2:$W$1001,0),0), INDEX($AD$1004:$AU$1004,1,MATCH(COLUMNS($AD$1006:AS1006),$AD$1006:$AU$1006,0)))),"Fix")))</f>
        <v xml:space="preserve"> </v>
      </c>
      <c r="R510" s="4" t="str">
        <f ca="1">IF(OR(INDEX($X$2:$X$1001,MATCH(ROWS($W$2:W510),$W$2:$W$1001,0),1)&gt;=100000,INDEX($AD$1005:$AU$1005,1,MATCH(COLUMNS($AD$1006:AT1006),$AD$1006:$AU$1006,0))&gt;=100000), " ",IF(INDEX($AD$2:$AU$1001,MATCH(ROWS($W$2:W510),$W$2:$W$1001,0),MATCH(COLUMNS($AD$1006:AT1006),$AD$1006:$AU$1006,0)), HYPERLINK("#",""), HYPERLINK(CONCATENATE("#metadata!", ADDRESS(INDEX($Y$2:$Y$1001,MATCH(ROWS($W$2:W510),$W$2:$W$1001,0),0), INDEX($AD$1004:$AU$1004,1,MATCH(COLUMNS($AD$1006:AT1006),$AD$1006:$AU$1006,0)))),"Fix")))</f>
        <v xml:space="preserve"> </v>
      </c>
      <c r="S510" s="4" t="str">
        <f ca="1">IF(OR(INDEX($X$2:$X$1001,MATCH(ROWS($W$2:W510),$W$2:$W$1001,0),1)&gt;=100000,INDEX($AD$1005:$AU$1005,1,MATCH(COLUMNS($AD$1006:AU1006),$AD$1006:$AU$1006,0))&gt;=100000), " ",IF(INDEX($AD$2:$AU$1001,MATCH(ROWS($W$2:W510),$W$2:$W$1001,0),MATCH(COLUMNS($AD$1006:AU1006),$AD$1006:$AU$1006,0)), HYPERLINK("#",""), HYPERLINK(CONCATENATE("#metadata!", ADDRESS(INDEX($Y$2:$Y$1001,MATCH(ROWS($W$2:W510),$W$2:$W$1001,0),0), INDEX($AD$1004:$AU$1004,1,MATCH(COLUMNS($AD$1006:AU1006),$AD$1006:$AU$1006,0)))),"Fix")))</f>
        <v xml:space="preserve"> </v>
      </c>
      <c r="W510">
        <v>509</v>
      </c>
      <c r="X510">
        <v>100510</v>
      </c>
      <c r="Y510">
        <v>510</v>
      </c>
      <c r="Z510" t="b">
        <f t="shared" si="7"/>
        <v>1</v>
      </c>
      <c r="AA510" t="b">
        <f>COUNTBLANK(metadata!B510:S510)=COLUMNS(metadata!B510:S510)</f>
        <v>1</v>
      </c>
      <c r="AB510" t="str">
        <v/>
      </c>
      <c r="AD510" t="b">
        <f ca="1">AND(IF(metadata!B510="",FALSE,TRUE),COUNTIF(metadata!B:B, metadata!B510) = 1,NOT(ISERROR(SUMPRODUCT(SEARCH(MID(metadata!B510,ROW(INDIRECT("1:"&amp;LEN(metadata!B510))), 1),"0123456789abcdefghijklmnopqrstuvwxyzABCDEFGHIJKLMNOPQRSTUVWXYZ.")))))</f>
        <v>0</v>
      </c>
      <c r="AE510" t="b">
        <f>OR(AND(IF(metadata!C510="",FALSE,TRUE),OR(EXACT(metadata!C510,"not applicable"),EXACT(metadata!C510,"missing: not collected"),EXACT(metadata!C510,"missing: not provided"),EXACT(metadata!C510,"missing: restricted access"))),AND(IF(metadata!C510="",FALSE,ISNUMBER(VALUE(metadata!C510))),metadata!C510&gt;0))</f>
        <v>0</v>
      </c>
      <c r="AF510" t="b">
        <f>AND(IF(metadata!D510="",FALSE,TRUE),EXACT(metadata!D510,"missing: not provided"))</f>
        <v>0</v>
      </c>
      <c r="AG510" t="b">
        <f>AND(IF(metadata!E510="",FALSE,TRUE),EXACT(metadata!E510,"Host-associated"))</f>
        <v>0</v>
      </c>
      <c r="AH510" t="b">
        <f>AND(IF(metadata!F510="",FALSE,TRUE),OR(EXACT(metadata!F510,"Animal"),EXACT(metadata!F510,"Fungus"),EXACT(metadata!F510,"Plant")))</f>
        <v>0</v>
      </c>
      <c r="AI510" t="b">
        <f>AND(IF(metadata!G510="",FALSE,TRUE),OR(EXACT(metadata!G510,"Plant secretion"),EXACT(metadata!G510,"Plant rhizosphere"),EXACT(metadata!G510,"Plant surface"),EXACT(metadata!G510,"Plant corpus"),EXACT(metadata!G510,"Fungus surface"),EXACT(metadata!G510,"Fungus corpus"),EXACT(metadata!G510,"Animal surface"),EXACT(metadata!G510,"Animal proximal gut"),EXACT(metadata!G510,"Animal corpus"),EXACT(metadata!G510,"Animal distal gut"),EXACT(metadata!G510,"Animal secretion")))</f>
        <v>0</v>
      </c>
      <c r="AJ510" t="b">
        <f>OR(AND(IF(metadata!H510="",FALSE,TRUE),OR(EXACT(metadata!H510,"missing: not collected"),EXACT(metadata!H510,"missing: not provided"),EXACT(metadata!H510,"missing: restricted access"))),AND(IF(metadata!H510="",FALSE,TRUE),OR(EXACT(metadata!H510,"organism-associated habitat"),EXACT(metadata!H510,"plant-associated habitat"),EXACT(metadata!H510,"animal-associated habitat"),EXACT(metadata!H510,"insecta-associated habitat"),EXACT(metadata!H510,"mammalia-associated habitat"),EXACT(metadata!H510,"human-associated habitat"),EXACT(metadata!H510,"livestock-associated habitat"))))</f>
        <v>0</v>
      </c>
      <c r="AK510" t="b">
        <f>AND(IF(metadata!I510="",FALSE,TRUE),EXACT(metadata!I510,"host-associated"))</f>
        <v>0</v>
      </c>
      <c r="AL510" t="b">
        <f>OR(AND(IF(metadata!J510="",FALSE,TRUE),OR(EXACT(metadata!J510,"not applicable"),EXACT(metadata!J510,"missing: not collected"),EXACT(metadata!J510,"missing: not provided"),EXACT(metadata!J510,"missing: restricted access"))),AND(IF(metadata!J510="",FALSE,ISNUMBER(VALUE(metadata!J510))),metadata!J510&gt;0))</f>
        <v>0</v>
      </c>
      <c r="AM510" t="b">
        <f>AND(IF(metadata!K510="",FALSE,TRUE),EXACT(metadata!K510,"missing: not provided"))</f>
        <v>0</v>
      </c>
      <c r="AN510" t="b">
        <f>IF(metadata!L510="",FALSE,TRUE)</f>
        <v>0</v>
      </c>
      <c r="AO510" t="b">
        <f>IF(metadata!M510="",FALSE,TRUE)</f>
        <v>0</v>
      </c>
      <c r="AP510" t="b">
        <f>OR(AND(IF(metadata!N510="",FALSE,TRUE),OR(EXACT(metadata!N510,"not applicable"),EXACT(metadata!N510,"missing: not collected"),EXACT(metadata!N510,"missing: not provided"))),AND(IF(metadata!N510="",FALSE,IF(ISERROR(INT(metadata!N510)),FALSE,INT(metadata!N510)=metadata!N510)),metadata!N510&gt;0))</f>
        <v>0</v>
      </c>
      <c r="AQ510" t="b">
        <f>AND(IF(metadata!O510="",FALSE,TRUE),EXACT(metadata!O510,"Not applicable"))</f>
        <v>0</v>
      </c>
      <c r="AR510" t="b">
        <f>OR(AND(IF(metadata!P510="",FALSE,TRUE),OR(EXACT(metadata!P510,"not applicable"),EXACT(metadata!P510,"missing: not collected"),EXACT(metadata!P510,"missing: not provided"),EXACT(metadata!P510,"missing: restricted access"))),IF(metadata!P510="",FALSE,IF(ISERROR(INT(metadata!P510)),FALSE,INT(metadata!P510)=metadata!P510)))</f>
        <v>0</v>
      </c>
      <c r="AS510" t="b">
        <f>AND(IF(metadata!Q510="",FALSE,TRUE),EXACT(metadata!Q510,"Not applicable"))</f>
        <v>0</v>
      </c>
      <c r="AT510" t="b">
        <f>OR(AND(IF(metadata!R510="",FALSE,TRUE),OR(EXACT(metadata!R510,"not applicable"),EXACT(metadata!R510,"missing: not collected"),EXACT(metadata!R510,"missing: not provided"),EXACT(metadata!R510,"missing: restricted access"))),AND(IF(metadata!R510="",FALSE,ISNUMBER(VALUE(metadata!R510))),metadata!R510&gt;0))</f>
        <v>0</v>
      </c>
      <c r="AU510" t="b">
        <f>AND(IF(metadata!S510="",FALSE,TRUE),EXACT(metadata!S510,"missing: not provided"))</f>
        <v>0</v>
      </c>
    </row>
    <row r="511" spans="1:47" x14ac:dyDescent="0.2">
      <c r="A511" s="5" t="str">
        <f ca="1">IF(B511=" "," ",HYPERLINK(CONCATENATE("#metadata!",ADDRESS(INDEX($Y$2:$Y$1001,MATCH(ROWS($W$2:W511),$W$2:$W$1001,0),0),1)),INDEX($AB$2:$AB$1001,MATCH(ROWS($W$2:W511),$W$2:$W$1001,0),0)))</f>
        <v xml:space="preserve"> </v>
      </c>
      <c r="B511" s="4" t="str">
        <f ca="1">IF(OR(INDEX($X$2:$X$1001,MATCH(ROWS($W$2:W511),$W$2:$W$1001,0),1)&gt;=100000,INDEX($AD$1005:$AU$1005,1,MATCH(COLUMNS($AD$1006:AD1006),$AD$1006:$AU$1006,0))&gt;=100000), " ",IF(INDEX($AD$2:$AU$1001,MATCH(ROWS($W$2:W511),$W$2:$W$1001,0),MATCH(COLUMNS($AD$1006:AD1006),$AD$1006:$AU$1006,0)), HYPERLINK("#",""), HYPERLINK(CONCATENATE("#metadata!", ADDRESS(INDEX($Y$2:$Y$1001,MATCH(ROWS($W$2:W511),$W$2:$W$1001,0),0), INDEX($AD$1004:$AU$1004,1,MATCH(COLUMNS($AD$1006:AD1006),$AD$1006:$AU$1006,0)))),"Fix")))</f>
        <v xml:space="preserve"> </v>
      </c>
      <c r="C511" s="4" t="str">
        <f ca="1">IF(OR(INDEX($X$2:$X$1001,MATCH(ROWS($W$2:W511),$W$2:$W$1001,0),1)&gt;=100000,INDEX($AD$1005:$AU$1005,1,MATCH(COLUMNS($AD$1006:AE1006),$AD$1006:$AU$1006,0))&gt;=100000), " ",IF(INDEX($AD$2:$AU$1001,MATCH(ROWS($W$2:W511),$W$2:$W$1001,0),MATCH(COLUMNS($AD$1006:AE1006),$AD$1006:$AU$1006,0)), HYPERLINK("#",""), HYPERLINK(CONCATENATE("#metadata!", ADDRESS(INDEX($Y$2:$Y$1001,MATCH(ROWS($W$2:W511),$W$2:$W$1001,0),0), INDEX($AD$1004:$AU$1004,1,MATCH(COLUMNS($AD$1006:AE1006),$AD$1006:$AU$1006,0)))),"Fix")))</f>
        <v xml:space="preserve"> </v>
      </c>
      <c r="D511" s="4" t="str">
        <f ca="1">IF(OR(INDEX($X$2:$X$1001,MATCH(ROWS($W$2:W511),$W$2:$W$1001,0),1)&gt;=100000,INDEX($AD$1005:$AU$1005,1,MATCH(COLUMNS($AD$1006:AF1006),$AD$1006:$AU$1006,0))&gt;=100000), " ",IF(INDEX($AD$2:$AU$1001,MATCH(ROWS($W$2:W511),$W$2:$W$1001,0),MATCH(COLUMNS($AD$1006:AF1006),$AD$1006:$AU$1006,0)), HYPERLINK("#",""), HYPERLINK(CONCATENATE("#metadata!", ADDRESS(INDEX($Y$2:$Y$1001,MATCH(ROWS($W$2:W511),$W$2:$W$1001,0),0), INDEX($AD$1004:$AU$1004,1,MATCH(COLUMNS($AD$1006:AF1006),$AD$1006:$AU$1006,0)))),"Fix")))</f>
        <v xml:space="preserve"> </v>
      </c>
      <c r="E511" s="4" t="str">
        <f ca="1">IF(OR(INDEX($X$2:$X$1001,MATCH(ROWS($W$2:W511),$W$2:$W$1001,0),1)&gt;=100000,INDEX($AD$1005:$AU$1005,1,MATCH(COLUMNS($AD$1006:AG1006),$AD$1006:$AU$1006,0))&gt;=100000), " ",IF(INDEX($AD$2:$AU$1001,MATCH(ROWS($W$2:W511),$W$2:$W$1001,0),MATCH(COLUMNS($AD$1006:AG1006),$AD$1006:$AU$1006,0)), HYPERLINK("#",""), HYPERLINK(CONCATENATE("#metadata!", ADDRESS(INDEX($Y$2:$Y$1001,MATCH(ROWS($W$2:W511),$W$2:$W$1001,0),0), INDEX($AD$1004:$AU$1004,1,MATCH(COLUMNS($AD$1006:AG1006),$AD$1006:$AU$1006,0)))),"Fix")))</f>
        <v xml:space="preserve"> </v>
      </c>
      <c r="F511" s="4" t="str">
        <f ca="1">IF(OR(INDEX($X$2:$X$1001,MATCH(ROWS($W$2:W511),$W$2:$W$1001,0),1)&gt;=100000,INDEX($AD$1005:$AU$1005,1,MATCH(COLUMNS($AD$1006:AH1006),$AD$1006:$AU$1006,0))&gt;=100000), " ",IF(INDEX($AD$2:$AU$1001,MATCH(ROWS($W$2:W511),$W$2:$W$1001,0),MATCH(COLUMNS($AD$1006:AH1006),$AD$1006:$AU$1006,0)), HYPERLINK("#",""), HYPERLINK(CONCATENATE("#metadata!", ADDRESS(INDEX($Y$2:$Y$1001,MATCH(ROWS($W$2:W511),$W$2:$W$1001,0),0), INDEX($AD$1004:$AU$1004,1,MATCH(COLUMNS($AD$1006:AH1006),$AD$1006:$AU$1006,0)))),"Fix")))</f>
        <v xml:space="preserve"> </v>
      </c>
      <c r="G511" s="4" t="str">
        <f ca="1">IF(OR(INDEX($X$2:$X$1001,MATCH(ROWS($W$2:W511),$W$2:$W$1001,0),1)&gt;=100000,INDEX($AD$1005:$AU$1005,1,MATCH(COLUMNS($AD$1006:AI1006),$AD$1006:$AU$1006,0))&gt;=100000), " ",IF(INDEX($AD$2:$AU$1001,MATCH(ROWS($W$2:W511),$W$2:$W$1001,0),MATCH(COLUMNS($AD$1006:AI1006),$AD$1006:$AU$1006,0)), HYPERLINK("#",""), HYPERLINK(CONCATENATE("#metadata!", ADDRESS(INDEX($Y$2:$Y$1001,MATCH(ROWS($W$2:W511),$W$2:$W$1001,0),0), INDEX($AD$1004:$AU$1004,1,MATCH(COLUMNS($AD$1006:AI1006),$AD$1006:$AU$1006,0)))),"Fix")))</f>
        <v xml:space="preserve"> </v>
      </c>
      <c r="H511" s="4" t="str">
        <f ca="1">IF(OR(INDEX($X$2:$X$1001,MATCH(ROWS($W$2:W511),$W$2:$W$1001,0),1)&gt;=100000,INDEX($AD$1005:$AU$1005,1,MATCH(COLUMNS($AD$1006:AJ1006),$AD$1006:$AU$1006,0))&gt;=100000), " ",IF(INDEX($AD$2:$AU$1001,MATCH(ROWS($W$2:W511),$W$2:$W$1001,0),MATCH(COLUMNS($AD$1006:AJ1006),$AD$1006:$AU$1006,0)), HYPERLINK("#",""), HYPERLINK(CONCATENATE("#metadata!", ADDRESS(INDEX($Y$2:$Y$1001,MATCH(ROWS($W$2:W511),$W$2:$W$1001,0),0), INDEX($AD$1004:$AU$1004,1,MATCH(COLUMNS($AD$1006:AJ1006),$AD$1006:$AU$1006,0)))),"Fix")))</f>
        <v xml:space="preserve"> </v>
      </c>
      <c r="I511" s="4" t="str">
        <f ca="1">IF(OR(INDEX($X$2:$X$1001,MATCH(ROWS($W$2:W511),$W$2:$W$1001,0),1)&gt;=100000,INDEX($AD$1005:$AU$1005,1,MATCH(COLUMNS($AD$1006:AK1006),$AD$1006:$AU$1006,0))&gt;=100000), " ",IF(INDEX($AD$2:$AU$1001,MATCH(ROWS($W$2:W511),$W$2:$W$1001,0),MATCH(COLUMNS($AD$1006:AK1006),$AD$1006:$AU$1006,0)), HYPERLINK("#",""), HYPERLINK(CONCATENATE("#metadata!", ADDRESS(INDEX($Y$2:$Y$1001,MATCH(ROWS($W$2:W511),$W$2:$W$1001,0),0), INDEX($AD$1004:$AU$1004,1,MATCH(COLUMNS($AD$1006:AK1006),$AD$1006:$AU$1006,0)))),"Fix")))</f>
        <v xml:space="preserve"> </v>
      </c>
      <c r="J511" s="4" t="str">
        <f ca="1">IF(OR(INDEX($X$2:$X$1001,MATCH(ROWS($W$2:W511),$W$2:$W$1001,0),1)&gt;=100000,INDEX($AD$1005:$AU$1005,1,MATCH(COLUMNS($AD$1006:AL1006),$AD$1006:$AU$1006,0))&gt;=100000), " ",IF(INDEX($AD$2:$AU$1001,MATCH(ROWS($W$2:W511),$W$2:$W$1001,0),MATCH(COLUMNS($AD$1006:AL1006),$AD$1006:$AU$1006,0)), HYPERLINK("#",""), HYPERLINK(CONCATENATE("#metadata!", ADDRESS(INDEX($Y$2:$Y$1001,MATCH(ROWS($W$2:W511),$W$2:$W$1001,0),0), INDEX($AD$1004:$AU$1004,1,MATCH(COLUMNS($AD$1006:AL1006),$AD$1006:$AU$1006,0)))),"Fix")))</f>
        <v xml:space="preserve"> </v>
      </c>
      <c r="K511" s="4" t="str">
        <f ca="1">IF(OR(INDEX($X$2:$X$1001,MATCH(ROWS($W$2:W511),$W$2:$W$1001,0),1)&gt;=100000,INDEX($AD$1005:$AU$1005,1,MATCH(COLUMNS($AD$1006:AM1006),$AD$1006:$AU$1006,0))&gt;=100000), " ",IF(INDEX($AD$2:$AU$1001,MATCH(ROWS($W$2:W511),$W$2:$W$1001,0),MATCH(COLUMNS($AD$1006:AM1006),$AD$1006:$AU$1006,0)), HYPERLINK("#",""), HYPERLINK(CONCATENATE("#metadata!", ADDRESS(INDEX($Y$2:$Y$1001,MATCH(ROWS($W$2:W511),$W$2:$W$1001,0),0), INDEX($AD$1004:$AU$1004,1,MATCH(COLUMNS($AD$1006:AM1006),$AD$1006:$AU$1006,0)))),"Fix")))</f>
        <v xml:space="preserve"> </v>
      </c>
      <c r="L511" s="4" t="str">
        <f ca="1">IF(OR(INDEX($X$2:$X$1001,MATCH(ROWS($W$2:W511),$W$2:$W$1001,0),1)&gt;=100000,INDEX($AD$1005:$AU$1005,1,MATCH(COLUMNS($AD$1006:AN1006),$AD$1006:$AU$1006,0))&gt;=100000), " ",IF(INDEX($AD$2:$AU$1001,MATCH(ROWS($W$2:W511),$W$2:$W$1001,0),MATCH(COLUMNS($AD$1006:AN1006),$AD$1006:$AU$1006,0)), HYPERLINK("#",""), HYPERLINK(CONCATENATE("#metadata!", ADDRESS(INDEX($Y$2:$Y$1001,MATCH(ROWS($W$2:W511),$W$2:$W$1001,0),0), INDEX($AD$1004:$AU$1004,1,MATCH(COLUMNS($AD$1006:AN1006),$AD$1006:$AU$1006,0)))),"Fix")))</f>
        <v xml:space="preserve"> </v>
      </c>
      <c r="M511" s="4" t="str">
        <f ca="1">IF(OR(INDEX($X$2:$X$1001,MATCH(ROWS($W$2:W511),$W$2:$W$1001,0),1)&gt;=100000,INDEX($AD$1005:$AU$1005,1,MATCH(COLUMNS($AD$1006:AO1006),$AD$1006:$AU$1006,0))&gt;=100000), " ",IF(INDEX($AD$2:$AU$1001,MATCH(ROWS($W$2:W511),$W$2:$W$1001,0),MATCH(COLUMNS($AD$1006:AO1006),$AD$1006:$AU$1006,0)), HYPERLINK("#",""), HYPERLINK(CONCATENATE("#metadata!", ADDRESS(INDEX($Y$2:$Y$1001,MATCH(ROWS($W$2:W511),$W$2:$W$1001,0),0), INDEX($AD$1004:$AU$1004,1,MATCH(COLUMNS($AD$1006:AO1006),$AD$1006:$AU$1006,0)))),"Fix")))</f>
        <v xml:space="preserve"> </v>
      </c>
      <c r="N511" s="4" t="str">
        <f ca="1">IF(OR(INDEX($X$2:$X$1001,MATCH(ROWS($W$2:W511),$W$2:$W$1001,0),1)&gt;=100000,INDEX($AD$1005:$AU$1005,1,MATCH(COLUMNS($AD$1006:AP1006),$AD$1006:$AU$1006,0))&gt;=100000), " ",IF(INDEX($AD$2:$AU$1001,MATCH(ROWS($W$2:W511),$W$2:$W$1001,0),MATCH(COLUMNS($AD$1006:AP1006),$AD$1006:$AU$1006,0)), HYPERLINK("#",""), HYPERLINK(CONCATENATE("#metadata!", ADDRESS(INDEX($Y$2:$Y$1001,MATCH(ROWS($W$2:W511),$W$2:$W$1001,0),0), INDEX($AD$1004:$AU$1004,1,MATCH(COLUMNS($AD$1006:AP1006),$AD$1006:$AU$1006,0)))),"Fix")))</f>
        <v xml:space="preserve"> </v>
      </c>
      <c r="O511" s="4" t="str">
        <f ca="1">IF(OR(INDEX($X$2:$X$1001,MATCH(ROWS($W$2:W511),$W$2:$W$1001,0),1)&gt;=100000,INDEX($AD$1005:$AU$1005,1,MATCH(COLUMNS($AD$1006:AQ1006),$AD$1006:$AU$1006,0))&gt;=100000), " ",IF(INDEX($AD$2:$AU$1001,MATCH(ROWS($W$2:W511),$W$2:$W$1001,0),MATCH(COLUMNS($AD$1006:AQ1006),$AD$1006:$AU$1006,0)), HYPERLINK("#",""), HYPERLINK(CONCATENATE("#metadata!", ADDRESS(INDEX($Y$2:$Y$1001,MATCH(ROWS($W$2:W511),$W$2:$W$1001,0),0), INDEX($AD$1004:$AU$1004,1,MATCH(COLUMNS($AD$1006:AQ1006),$AD$1006:$AU$1006,0)))),"Fix")))</f>
        <v xml:space="preserve"> </v>
      </c>
      <c r="P511" s="4" t="str">
        <f ca="1">IF(OR(INDEX($X$2:$X$1001,MATCH(ROWS($W$2:W511),$W$2:$W$1001,0),1)&gt;=100000,INDEX($AD$1005:$AU$1005,1,MATCH(COLUMNS($AD$1006:AR1006),$AD$1006:$AU$1006,0))&gt;=100000), " ",IF(INDEX($AD$2:$AU$1001,MATCH(ROWS($W$2:W511),$W$2:$W$1001,0),MATCH(COLUMNS($AD$1006:AR1006),$AD$1006:$AU$1006,0)), HYPERLINK("#",""), HYPERLINK(CONCATENATE("#metadata!", ADDRESS(INDEX($Y$2:$Y$1001,MATCH(ROWS($W$2:W511),$W$2:$W$1001,0),0), INDEX($AD$1004:$AU$1004,1,MATCH(COLUMNS($AD$1006:AR1006),$AD$1006:$AU$1006,0)))),"Fix")))</f>
        <v xml:space="preserve"> </v>
      </c>
      <c r="Q511" s="4" t="str">
        <f ca="1">IF(OR(INDEX($X$2:$X$1001,MATCH(ROWS($W$2:W511),$W$2:$W$1001,0),1)&gt;=100000,INDEX($AD$1005:$AU$1005,1,MATCH(COLUMNS($AD$1006:AS1006),$AD$1006:$AU$1006,0))&gt;=100000), " ",IF(INDEX($AD$2:$AU$1001,MATCH(ROWS($W$2:W511),$W$2:$W$1001,0),MATCH(COLUMNS($AD$1006:AS1006),$AD$1006:$AU$1006,0)), HYPERLINK("#",""), HYPERLINK(CONCATENATE("#metadata!", ADDRESS(INDEX($Y$2:$Y$1001,MATCH(ROWS($W$2:W511),$W$2:$W$1001,0),0), INDEX($AD$1004:$AU$1004,1,MATCH(COLUMNS($AD$1006:AS1006),$AD$1006:$AU$1006,0)))),"Fix")))</f>
        <v xml:space="preserve"> </v>
      </c>
      <c r="R511" s="4" t="str">
        <f ca="1">IF(OR(INDEX($X$2:$X$1001,MATCH(ROWS($W$2:W511),$W$2:$W$1001,0),1)&gt;=100000,INDEX($AD$1005:$AU$1005,1,MATCH(COLUMNS($AD$1006:AT1006),$AD$1006:$AU$1006,0))&gt;=100000), " ",IF(INDEX($AD$2:$AU$1001,MATCH(ROWS($W$2:W511),$W$2:$W$1001,0),MATCH(COLUMNS($AD$1006:AT1006),$AD$1006:$AU$1006,0)), HYPERLINK("#",""), HYPERLINK(CONCATENATE("#metadata!", ADDRESS(INDEX($Y$2:$Y$1001,MATCH(ROWS($W$2:W511),$W$2:$W$1001,0),0), INDEX($AD$1004:$AU$1004,1,MATCH(COLUMNS($AD$1006:AT1006),$AD$1006:$AU$1006,0)))),"Fix")))</f>
        <v xml:space="preserve"> </v>
      </c>
      <c r="S511" s="4" t="str">
        <f ca="1">IF(OR(INDEX($X$2:$X$1001,MATCH(ROWS($W$2:W511),$W$2:$W$1001,0),1)&gt;=100000,INDEX($AD$1005:$AU$1005,1,MATCH(COLUMNS($AD$1006:AU1006),$AD$1006:$AU$1006,0))&gt;=100000), " ",IF(INDEX($AD$2:$AU$1001,MATCH(ROWS($W$2:W511),$W$2:$W$1001,0),MATCH(COLUMNS($AD$1006:AU1006),$AD$1006:$AU$1006,0)), HYPERLINK("#",""), HYPERLINK(CONCATENATE("#metadata!", ADDRESS(INDEX($Y$2:$Y$1001,MATCH(ROWS($W$2:W511),$W$2:$W$1001,0),0), INDEX($AD$1004:$AU$1004,1,MATCH(COLUMNS($AD$1006:AU1006),$AD$1006:$AU$1006,0)))),"Fix")))</f>
        <v xml:space="preserve"> </v>
      </c>
      <c r="W511">
        <v>510</v>
      </c>
      <c r="X511">
        <v>100511</v>
      </c>
      <c r="Y511">
        <v>511</v>
      </c>
      <c r="Z511" t="b">
        <f t="shared" si="7"/>
        <v>1</v>
      </c>
      <c r="AA511" t="b">
        <f>COUNTBLANK(metadata!B511:S511)=COLUMNS(metadata!B511:S511)</f>
        <v>1</v>
      </c>
      <c r="AB511" t="str">
        <v/>
      </c>
      <c r="AD511" t="b">
        <f ca="1">AND(IF(metadata!B511="",FALSE,TRUE),COUNTIF(metadata!B:B, metadata!B511) = 1,NOT(ISERROR(SUMPRODUCT(SEARCH(MID(metadata!B511,ROW(INDIRECT("1:"&amp;LEN(metadata!B511))), 1),"0123456789abcdefghijklmnopqrstuvwxyzABCDEFGHIJKLMNOPQRSTUVWXYZ.")))))</f>
        <v>0</v>
      </c>
      <c r="AE511" t="b">
        <f>OR(AND(IF(metadata!C511="",FALSE,TRUE),OR(EXACT(metadata!C511,"not applicable"),EXACT(metadata!C511,"missing: not collected"),EXACT(metadata!C511,"missing: not provided"),EXACT(metadata!C511,"missing: restricted access"))),AND(IF(metadata!C511="",FALSE,ISNUMBER(VALUE(metadata!C511))),metadata!C511&gt;0))</f>
        <v>0</v>
      </c>
      <c r="AF511" t="b">
        <f>AND(IF(metadata!D511="",FALSE,TRUE),EXACT(metadata!D511,"missing: not provided"))</f>
        <v>0</v>
      </c>
      <c r="AG511" t="b">
        <f>AND(IF(metadata!E511="",FALSE,TRUE),EXACT(metadata!E511,"Host-associated"))</f>
        <v>0</v>
      </c>
      <c r="AH511" t="b">
        <f>AND(IF(metadata!F511="",FALSE,TRUE),OR(EXACT(metadata!F511,"Animal"),EXACT(metadata!F511,"Fungus"),EXACT(metadata!F511,"Plant")))</f>
        <v>0</v>
      </c>
      <c r="AI511" t="b">
        <f>AND(IF(metadata!G511="",FALSE,TRUE),OR(EXACT(metadata!G511,"Plant secretion"),EXACT(metadata!G511,"Plant rhizosphere"),EXACT(metadata!G511,"Plant surface"),EXACT(metadata!G511,"Plant corpus"),EXACT(metadata!G511,"Fungus surface"),EXACT(metadata!G511,"Fungus corpus"),EXACT(metadata!G511,"Animal surface"),EXACT(metadata!G511,"Animal proximal gut"),EXACT(metadata!G511,"Animal corpus"),EXACT(metadata!G511,"Animal distal gut"),EXACT(metadata!G511,"Animal secretion")))</f>
        <v>0</v>
      </c>
      <c r="AJ511" t="b">
        <f>OR(AND(IF(metadata!H511="",FALSE,TRUE),OR(EXACT(metadata!H511,"missing: not collected"),EXACT(metadata!H511,"missing: not provided"),EXACT(metadata!H511,"missing: restricted access"))),AND(IF(metadata!H511="",FALSE,TRUE),OR(EXACT(metadata!H511,"organism-associated habitat"),EXACT(metadata!H511,"plant-associated habitat"),EXACT(metadata!H511,"animal-associated habitat"),EXACT(metadata!H511,"insecta-associated habitat"),EXACT(metadata!H511,"mammalia-associated habitat"),EXACT(metadata!H511,"human-associated habitat"),EXACT(metadata!H511,"livestock-associated habitat"))))</f>
        <v>0</v>
      </c>
      <c r="AK511" t="b">
        <f>AND(IF(metadata!I511="",FALSE,TRUE),EXACT(metadata!I511,"host-associated"))</f>
        <v>0</v>
      </c>
      <c r="AL511" t="b">
        <f>OR(AND(IF(metadata!J511="",FALSE,TRUE),OR(EXACT(metadata!J511,"not applicable"),EXACT(metadata!J511,"missing: not collected"),EXACT(metadata!J511,"missing: not provided"),EXACT(metadata!J511,"missing: restricted access"))),AND(IF(metadata!J511="",FALSE,ISNUMBER(VALUE(metadata!J511))),metadata!J511&gt;0))</f>
        <v>0</v>
      </c>
      <c r="AM511" t="b">
        <f>AND(IF(metadata!K511="",FALSE,TRUE),EXACT(metadata!K511,"missing: not provided"))</f>
        <v>0</v>
      </c>
      <c r="AN511" t="b">
        <f>IF(metadata!L511="",FALSE,TRUE)</f>
        <v>0</v>
      </c>
      <c r="AO511" t="b">
        <f>IF(metadata!M511="",FALSE,TRUE)</f>
        <v>0</v>
      </c>
      <c r="AP511" t="b">
        <f>OR(AND(IF(metadata!N511="",FALSE,TRUE),OR(EXACT(metadata!N511,"not applicable"),EXACT(metadata!N511,"missing: not collected"),EXACT(metadata!N511,"missing: not provided"))),AND(IF(metadata!N511="",FALSE,IF(ISERROR(INT(metadata!N511)),FALSE,INT(metadata!N511)=metadata!N511)),metadata!N511&gt;0))</f>
        <v>0</v>
      </c>
      <c r="AQ511" t="b">
        <f>AND(IF(metadata!O511="",FALSE,TRUE),EXACT(metadata!O511,"Not applicable"))</f>
        <v>0</v>
      </c>
      <c r="AR511" t="b">
        <f>OR(AND(IF(metadata!P511="",FALSE,TRUE),OR(EXACT(metadata!P511,"not applicable"),EXACT(metadata!P511,"missing: not collected"),EXACT(metadata!P511,"missing: not provided"),EXACT(metadata!P511,"missing: restricted access"))),IF(metadata!P511="",FALSE,IF(ISERROR(INT(metadata!P511)),FALSE,INT(metadata!P511)=metadata!P511)))</f>
        <v>0</v>
      </c>
      <c r="AS511" t="b">
        <f>AND(IF(metadata!Q511="",FALSE,TRUE),EXACT(metadata!Q511,"Not applicable"))</f>
        <v>0</v>
      </c>
      <c r="AT511" t="b">
        <f>OR(AND(IF(metadata!R511="",FALSE,TRUE),OR(EXACT(metadata!R511,"not applicable"),EXACT(metadata!R511,"missing: not collected"),EXACT(metadata!R511,"missing: not provided"),EXACT(metadata!R511,"missing: restricted access"))),AND(IF(metadata!R511="",FALSE,ISNUMBER(VALUE(metadata!R511))),metadata!R511&gt;0))</f>
        <v>0</v>
      </c>
      <c r="AU511" t="b">
        <f>AND(IF(metadata!S511="",FALSE,TRUE),EXACT(metadata!S511,"missing: not provided"))</f>
        <v>0</v>
      </c>
    </row>
    <row r="512" spans="1:47" x14ac:dyDescent="0.2">
      <c r="A512" s="5" t="str">
        <f ca="1">IF(B512=" "," ",HYPERLINK(CONCATENATE("#metadata!",ADDRESS(INDEX($Y$2:$Y$1001,MATCH(ROWS($W$2:W512),$W$2:$W$1001,0),0),1)),INDEX($AB$2:$AB$1001,MATCH(ROWS($W$2:W512),$W$2:$W$1001,0),0)))</f>
        <v xml:space="preserve"> </v>
      </c>
      <c r="B512" s="4" t="str">
        <f ca="1">IF(OR(INDEX($X$2:$X$1001,MATCH(ROWS($W$2:W512),$W$2:$W$1001,0),1)&gt;=100000,INDEX($AD$1005:$AU$1005,1,MATCH(COLUMNS($AD$1006:AD1006),$AD$1006:$AU$1006,0))&gt;=100000), " ",IF(INDEX($AD$2:$AU$1001,MATCH(ROWS($W$2:W512),$W$2:$W$1001,0),MATCH(COLUMNS($AD$1006:AD1006),$AD$1006:$AU$1006,0)), HYPERLINK("#",""), HYPERLINK(CONCATENATE("#metadata!", ADDRESS(INDEX($Y$2:$Y$1001,MATCH(ROWS($W$2:W512),$W$2:$W$1001,0),0), INDEX($AD$1004:$AU$1004,1,MATCH(COLUMNS($AD$1006:AD1006),$AD$1006:$AU$1006,0)))),"Fix")))</f>
        <v xml:space="preserve"> </v>
      </c>
      <c r="C512" s="4" t="str">
        <f ca="1">IF(OR(INDEX($X$2:$X$1001,MATCH(ROWS($W$2:W512),$W$2:$W$1001,0),1)&gt;=100000,INDEX($AD$1005:$AU$1005,1,MATCH(COLUMNS($AD$1006:AE1006),$AD$1006:$AU$1006,0))&gt;=100000), " ",IF(INDEX($AD$2:$AU$1001,MATCH(ROWS($W$2:W512),$W$2:$W$1001,0),MATCH(COLUMNS($AD$1006:AE1006),$AD$1006:$AU$1006,0)), HYPERLINK("#",""), HYPERLINK(CONCATENATE("#metadata!", ADDRESS(INDEX($Y$2:$Y$1001,MATCH(ROWS($W$2:W512),$W$2:$W$1001,0),0), INDEX($AD$1004:$AU$1004,1,MATCH(COLUMNS($AD$1006:AE1006),$AD$1006:$AU$1006,0)))),"Fix")))</f>
        <v xml:space="preserve"> </v>
      </c>
      <c r="D512" s="4" t="str">
        <f ca="1">IF(OR(INDEX($X$2:$X$1001,MATCH(ROWS($W$2:W512),$W$2:$W$1001,0),1)&gt;=100000,INDEX($AD$1005:$AU$1005,1,MATCH(COLUMNS($AD$1006:AF1006),$AD$1006:$AU$1006,0))&gt;=100000), " ",IF(INDEX($AD$2:$AU$1001,MATCH(ROWS($W$2:W512),$W$2:$W$1001,0),MATCH(COLUMNS($AD$1006:AF1006),$AD$1006:$AU$1006,0)), HYPERLINK("#",""), HYPERLINK(CONCATENATE("#metadata!", ADDRESS(INDEX($Y$2:$Y$1001,MATCH(ROWS($W$2:W512),$W$2:$W$1001,0),0), INDEX($AD$1004:$AU$1004,1,MATCH(COLUMNS($AD$1006:AF1006),$AD$1006:$AU$1006,0)))),"Fix")))</f>
        <v xml:space="preserve"> </v>
      </c>
      <c r="E512" s="4" t="str">
        <f ca="1">IF(OR(INDEX($X$2:$X$1001,MATCH(ROWS($W$2:W512),$W$2:$W$1001,0),1)&gt;=100000,INDEX($AD$1005:$AU$1005,1,MATCH(COLUMNS($AD$1006:AG1006),$AD$1006:$AU$1006,0))&gt;=100000), " ",IF(INDEX($AD$2:$AU$1001,MATCH(ROWS($W$2:W512),$W$2:$W$1001,0),MATCH(COLUMNS($AD$1006:AG1006),$AD$1006:$AU$1006,0)), HYPERLINK("#",""), HYPERLINK(CONCATENATE("#metadata!", ADDRESS(INDEX($Y$2:$Y$1001,MATCH(ROWS($W$2:W512),$W$2:$W$1001,0),0), INDEX($AD$1004:$AU$1004,1,MATCH(COLUMNS($AD$1006:AG1006),$AD$1006:$AU$1006,0)))),"Fix")))</f>
        <v xml:space="preserve"> </v>
      </c>
      <c r="F512" s="4" t="str">
        <f ca="1">IF(OR(INDEX($X$2:$X$1001,MATCH(ROWS($W$2:W512),$W$2:$W$1001,0),1)&gt;=100000,INDEX($AD$1005:$AU$1005,1,MATCH(COLUMNS($AD$1006:AH1006),$AD$1006:$AU$1006,0))&gt;=100000), " ",IF(INDEX($AD$2:$AU$1001,MATCH(ROWS($W$2:W512),$W$2:$W$1001,0),MATCH(COLUMNS($AD$1006:AH1006),$AD$1006:$AU$1006,0)), HYPERLINK("#",""), HYPERLINK(CONCATENATE("#metadata!", ADDRESS(INDEX($Y$2:$Y$1001,MATCH(ROWS($W$2:W512),$W$2:$W$1001,0),0), INDEX($AD$1004:$AU$1004,1,MATCH(COLUMNS($AD$1006:AH1006),$AD$1006:$AU$1006,0)))),"Fix")))</f>
        <v xml:space="preserve"> </v>
      </c>
      <c r="G512" s="4" t="str">
        <f ca="1">IF(OR(INDEX($X$2:$X$1001,MATCH(ROWS($W$2:W512),$W$2:$W$1001,0),1)&gt;=100000,INDEX($AD$1005:$AU$1005,1,MATCH(COLUMNS($AD$1006:AI1006),$AD$1006:$AU$1006,0))&gt;=100000), " ",IF(INDEX($AD$2:$AU$1001,MATCH(ROWS($W$2:W512),$W$2:$W$1001,0),MATCH(COLUMNS($AD$1006:AI1006),$AD$1006:$AU$1006,0)), HYPERLINK("#",""), HYPERLINK(CONCATENATE("#metadata!", ADDRESS(INDEX($Y$2:$Y$1001,MATCH(ROWS($W$2:W512),$W$2:$W$1001,0),0), INDEX($AD$1004:$AU$1004,1,MATCH(COLUMNS($AD$1006:AI1006),$AD$1006:$AU$1006,0)))),"Fix")))</f>
        <v xml:space="preserve"> </v>
      </c>
      <c r="H512" s="4" t="str">
        <f ca="1">IF(OR(INDEX($X$2:$X$1001,MATCH(ROWS($W$2:W512),$W$2:$W$1001,0),1)&gt;=100000,INDEX($AD$1005:$AU$1005,1,MATCH(COLUMNS($AD$1006:AJ1006),$AD$1006:$AU$1006,0))&gt;=100000), " ",IF(INDEX($AD$2:$AU$1001,MATCH(ROWS($W$2:W512),$W$2:$W$1001,0),MATCH(COLUMNS($AD$1006:AJ1006),$AD$1006:$AU$1006,0)), HYPERLINK("#",""), HYPERLINK(CONCATENATE("#metadata!", ADDRESS(INDEX($Y$2:$Y$1001,MATCH(ROWS($W$2:W512),$W$2:$W$1001,0),0), INDEX($AD$1004:$AU$1004,1,MATCH(COLUMNS($AD$1006:AJ1006),$AD$1006:$AU$1006,0)))),"Fix")))</f>
        <v xml:space="preserve"> </v>
      </c>
      <c r="I512" s="4" t="str">
        <f ca="1">IF(OR(INDEX($X$2:$X$1001,MATCH(ROWS($W$2:W512),$W$2:$W$1001,0),1)&gt;=100000,INDEX($AD$1005:$AU$1005,1,MATCH(COLUMNS($AD$1006:AK1006),$AD$1006:$AU$1006,0))&gt;=100000), " ",IF(INDEX($AD$2:$AU$1001,MATCH(ROWS($W$2:W512),$W$2:$W$1001,0),MATCH(COLUMNS($AD$1006:AK1006),$AD$1006:$AU$1006,0)), HYPERLINK("#",""), HYPERLINK(CONCATENATE("#metadata!", ADDRESS(INDEX($Y$2:$Y$1001,MATCH(ROWS($W$2:W512),$W$2:$W$1001,0),0), INDEX($AD$1004:$AU$1004,1,MATCH(COLUMNS($AD$1006:AK1006),$AD$1006:$AU$1006,0)))),"Fix")))</f>
        <v xml:space="preserve"> </v>
      </c>
      <c r="J512" s="4" t="str">
        <f ca="1">IF(OR(INDEX($X$2:$X$1001,MATCH(ROWS($W$2:W512),$W$2:$W$1001,0),1)&gt;=100000,INDEX($AD$1005:$AU$1005,1,MATCH(COLUMNS($AD$1006:AL1006),$AD$1006:$AU$1006,0))&gt;=100000), " ",IF(INDEX($AD$2:$AU$1001,MATCH(ROWS($W$2:W512),$W$2:$W$1001,0),MATCH(COLUMNS($AD$1006:AL1006),$AD$1006:$AU$1006,0)), HYPERLINK("#",""), HYPERLINK(CONCATENATE("#metadata!", ADDRESS(INDEX($Y$2:$Y$1001,MATCH(ROWS($W$2:W512),$W$2:$W$1001,0),0), INDEX($AD$1004:$AU$1004,1,MATCH(COLUMNS($AD$1006:AL1006),$AD$1006:$AU$1006,0)))),"Fix")))</f>
        <v xml:space="preserve"> </v>
      </c>
      <c r="K512" s="4" t="str">
        <f ca="1">IF(OR(INDEX($X$2:$X$1001,MATCH(ROWS($W$2:W512),$W$2:$W$1001,0),1)&gt;=100000,INDEX($AD$1005:$AU$1005,1,MATCH(COLUMNS($AD$1006:AM1006),$AD$1006:$AU$1006,0))&gt;=100000), " ",IF(INDEX($AD$2:$AU$1001,MATCH(ROWS($W$2:W512),$W$2:$W$1001,0),MATCH(COLUMNS($AD$1006:AM1006),$AD$1006:$AU$1006,0)), HYPERLINK("#",""), HYPERLINK(CONCATENATE("#metadata!", ADDRESS(INDEX($Y$2:$Y$1001,MATCH(ROWS($W$2:W512),$W$2:$W$1001,0),0), INDEX($AD$1004:$AU$1004,1,MATCH(COLUMNS($AD$1006:AM1006),$AD$1006:$AU$1006,0)))),"Fix")))</f>
        <v xml:space="preserve"> </v>
      </c>
      <c r="L512" s="4" t="str">
        <f ca="1">IF(OR(INDEX($X$2:$X$1001,MATCH(ROWS($W$2:W512),$W$2:$W$1001,0),1)&gt;=100000,INDEX($AD$1005:$AU$1005,1,MATCH(COLUMNS($AD$1006:AN1006),$AD$1006:$AU$1006,0))&gt;=100000), " ",IF(INDEX($AD$2:$AU$1001,MATCH(ROWS($W$2:W512),$W$2:$W$1001,0),MATCH(COLUMNS($AD$1006:AN1006),$AD$1006:$AU$1006,0)), HYPERLINK("#",""), HYPERLINK(CONCATENATE("#metadata!", ADDRESS(INDEX($Y$2:$Y$1001,MATCH(ROWS($W$2:W512),$W$2:$W$1001,0),0), INDEX($AD$1004:$AU$1004,1,MATCH(COLUMNS($AD$1006:AN1006),$AD$1006:$AU$1006,0)))),"Fix")))</f>
        <v xml:space="preserve"> </v>
      </c>
      <c r="M512" s="4" t="str">
        <f ca="1">IF(OR(INDEX($X$2:$X$1001,MATCH(ROWS($W$2:W512),$W$2:$W$1001,0),1)&gt;=100000,INDEX($AD$1005:$AU$1005,1,MATCH(COLUMNS($AD$1006:AO1006),$AD$1006:$AU$1006,0))&gt;=100000), " ",IF(INDEX($AD$2:$AU$1001,MATCH(ROWS($W$2:W512),$W$2:$W$1001,0),MATCH(COLUMNS($AD$1006:AO1006),$AD$1006:$AU$1006,0)), HYPERLINK("#",""), HYPERLINK(CONCATENATE("#metadata!", ADDRESS(INDEX($Y$2:$Y$1001,MATCH(ROWS($W$2:W512),$W$2:$W$1001,0),0), INDEX($AD$1004:$AU$1004,1,MATCH(COLUMNS($AD$1006:AO1006),$AD$1006:$AU$1006,0)))),"Fix")))</f>
        <v xml:space="preserve"> </v>
      </c>
      <c r="N512" s="4" t="str">
        <f ca="1">IF(OR(INDEX($X$2:$X$1001,MATCH(ROWS($W$2:W512),$W$2:$W$1001,0),1)&gt;=100000,INDEX($AD$1005:$AU$1005,1,MATCH(COLUMNS($AD$1006:AP1006),$AD$1006:$AU$1006,0))&gt;=100000), " ",IF(INDEX($AD$2:$AU$1001,MATCH(ROWS($W$2:W512),$W$2:$W$1001,0),MATCH(COLUMNS($AD$1006:AP1006),$AD$1006:$AU$1006,0)), HYPERLINK("#",""), HYPERLINK(CONCATENATE("#metadata!", ADDRESS(INDEX($Y$2:$Y$1001,MATCH(ROWS($W$2:W512),$W$2:$W$1001,0),0), INDEX($AD$1004:$AU$1004,1,MATCH(COLUMNS($AD$1006:AP1006),$AD$1006:$AU$1006,0)))),"Fix")))</f>
        <v xml:space="preserve"> </v>
      </c>
      <c r="O512" s="4" t="str">
        <f ca="1">IF(OR(INDEX($X$2:$X$1001,MATCH(ROWS($W$2:W512),$W$2:$W$1001,0),1)&gt;=100000,INDEX($AD$1005:$AU$1005,1,MATCH(COLUMNS($AD$1006:AQ1006),$AD$1006:$AU$1006,0))&gt;=100000), " ",IF(INDEX($AD$2:$AU$1001,MATCH(ROWS($W$2:W512),$W$2:$W$1001,0),MATCH(COLUMNS($AD$1006:AQ1006),$AD$1006:$AU$1006,0)), HYPERLINK("#",""), HYPERLINK(CONCATENATE("#metadata!", ADDRESS(INDEX($Y$2:$Y$1001,MATCH(ROWS($W$2:W512),$W$2:$W$1001,0),0), INDEX($AD$1004:$AU$1004,1,MATCH(COLUMNS($AD$1006:AQ1006),$AD$1006:$AU$1006,0)))),"Fix")))</f>
        <v xml:space="preserve"> </v>
      </c>
      <c r="P512" s="4" t="str">
        <f ca="1">IF(OR(INDEX($X$2:$X$1001,MATCH(ROWS($W$2:W512),$W$2:$W$1001,0),1)&gt;=100000,INDEX($AD$1005:$AU$1005,1,MATCH(COLUMNS($AD$1006:AR1006),$AD$1006:$AU$1006,0))&gt;=100000), " ",IF(INDEX($AD$2:$AU$1001,MATCH(ROWS($W$2:W512),$W$2:$W$1001,0),MATCH(COLUMNS($AD$1006:AR1006),$AD$1006:$AU$1006,0)), HYPERLINK("#",""), HYPERLINK(CONCATENATE("#metadata!", ADDRESS(INDEX($Y$2:$Y$1001,MATCH(ROWS($W$2:W512),$W$2:$W$1001,0),0), INDEX($AD$1004:$AU$1004,1,MATCH(COLUMNS($AD$1006:AR1006),$AD$1006:$AU$1006,0)))),"Fix")))</f>
        <v xml:space="preserve"> </v>
      </c>
      <c r="Q512" s="4" t="str">
        <f ca="1">IF(OR(INDEX($X$2:$X$1001,MATCH(ROWS($W$2:W512),$W$2:$W$1001,0),1)&gt;=100000,INDEX($AD$1005:$AU$1005,1,MATCH(COLUMNS($AD$1006:AS1006),$AD$1006:$AU$1006,0))&gt;=100000), " ",IF(INDEX($AD$2:$AU$1001,MATCH(ROWS($W$2:W512),$W$2:$W$1001,0),MATCH(COLUMNS($AD$1006:AS1006),$AD$1006:$AU$1006,0)), HYPERLINK("#",""), HYPERLINK(CONCATENATE("#metadata!", ADDRESS(INDEX($Y$2:$Y$1001,MATCH(ROWS($W$2:W512),$W$2:$W$1001,0),0), INDEX($AD$1004:$AU$1004,1,MATCH(COLUMNS($AD$1006:AS1006),$AD$1006:$AU$1006,0)))),"Fix")))</f>
        <v xml:space="preserve"> </v>
      </c>
      <c r="R512" s="4" t="str">
        <f ca="1">IF(OR(INDEX($X$2:$X$1001,MATCH(ROWS($W$2:W512),$W$2:$W$1001,0),1)&gt;=100000,INDEX($AD$1005:$AU$1005,1,MATCH(COLUMNS($AD$1006:AT1006),$AD$1006:$AU$1006,0))&gt;=100000), " ",IF(INDEX($AD$2:$AU$1001,MATCH(ROWS($W$2:W512),$W$2:$W$1001,0),MATCH(COLUMNS($AD$1006:AT1006),$AD$1006:$AU$1006,0)), HYPERLINK("#",""), HYPERLINK(CONCATENATE("#metadata!", ADDRESS(INDEX($Y$2:$Y$1001,MATCH(ROWS($W$2:W512),$W$2:$W$1001,0),0), INDEX($AD$1004:$AU$1004,1,MATCH(COLUMNS($AD$1006:AT1006),$AD$1006:$AU$1006,0)))),"Fix")))</f>
        <v xml:space="preserve"> </v>
      </c>
      <c r="S512" s="4" t="str">
        <f ca="1">IF(OR(INDEX($X$2:$X$1001,MATCH(ROWS($W$2:W512),$W$2:$W$1001,0),1)&gt;=100000,INDEX($AD$1005:$AU$1005,1,MATCH(COLUMNS($AD$1006:AU1006),$AD$1006:$AU$1006,0))&gt;=100000), " ",IF(INDEX($AD$2:$AU$1001,MATCH(ROWS($W$2:W512),$W$2:$W$1001,0),MATCH(COLUMNS($AD$1006:AU1006),$AD$1006:$AU$1006,0)), HYPERLINK("#",""), HYPERLINK(CONCATENATE("#metadata!", ADDRESS(INDEX($Y$2:$Y$1001,MATCH(ROWS($W$2:W512),$W$2:$W$1001,0),0), INDEX($AD$1004:$AU$1004,1,MATCH(COLUMNS($AD$1006:AU1006),$AD$1006:$AU$1006,0)))),"Fix")))</f>
        <v xml:space="preserve"> </v>
      </c>
      <c r="W512">
        <v>511</v>
      </c>
      <c r="X512">
        <v>100512</v>
      </c>
      <c r="Y512">
        <v>512</v>
      </c>
      <c r="Z512" t="b">
        <f t="shared" si="7"/>
        <v>1</v>
      </c>
      <c r="AA512" t="b">
        <f>COUNTBLANK(metadata!B512:S512)=COLUMNS(metadata!B512:S512)</f>
        <v>1</v>
      </c>
      <c r="AB512" t="str">
        <v/>
      </c>
      <c r="AD512" t="b">
        <f ca="1">AND(IF(metadata!B512="",FALSE,TRUE),COUNTIF(metadata!B:B, metadata!B512) = 1,NOT(ISERROR(SUMPRODUCT(SEARCH(MID(metadata!B512,ROW(INDIRECT("1:"&amp;LEN(metadata!B512))), 1),"0123456789abcdefghijklmnopqrstuvwxyzABCDEFGHIJKLMNOPQRSTUVWXYZ.")))))</f>
        <v>0</v>
      </c>
      <c r="AE512" t="b">
        <f>OR(AND(IF(metadata!C512="",FALSE,TRUE),OR(EXACT(metadata!C512,"not applicable"),EXACT(metadata!C512,"missing: not collected"),EXACT(metadata!C512,"missing: not provided"),EXACT(metadata!C512,"missing: restricted access"))),AND(IF(metadata!C512="",FALSE,ISNUMBER(VALUE(metadata!C512))),metadata!C512&gt;0))</f>
        <v>0</v>
      </c>
      <c r="AF512" t="b">
        <f>AND(IF(metadata!D512="",FALSE,TRUE),EXACT(metadata!D512,"missing: not provided"))</f>
        <v>0</v>
      </c>
      <c r="AG512" t="b">
        <f>AND(IF(metadata!E512="",FALSE,TRUE),EXACT(metadata!E512,"Host-associated"))</f>
        <v>0</v>
      </c>
      <c r="AH512" t="b">
        <f>AND(IF(metadata!F512="",FALSE,TRUE),OR(EXACT(metadata!F512,"Animal"),EXACT(metadata!F512,"Fungus"),EXACT(metadata!F512,"Plant")))</f>
        <v>0</v>
      </c>
      <c r="AI512" t="b">
        <f>AND(IF(metadata!G512="",FALSE,TRUE),OR(EXACT(metadata!G512,"Plant secretion"),EXACT(metadata!G512,"Plant rhizosphere"),EXACT(metadata!G512,"Plant surface"),EXACT(metadata!G512,"Plant corpus"),EXACT(metadata!G512,"Fungus surface"),EXACT(metadata!G512,"Fungus corpus"),EXACT(metadata!G512,"Animal surface"),EXACT(metadata!G512,"Animal proximal gut"),EXACT(metadata!G512,"Animal corpus"),EXACT(metadata!G512,"Animal distal gut"),EXACT(metadata!G512,"Animal secretion")))</f>
        <v>0</v>
      </c>
      <c r="AJ512" t="b">
        <f>OR(AND(IF(metadata!H512="",FALSE,TRUE),OR(EXACT(metadata!H512,"missing: not collected"),EXACT(metadata!H512,"missing: not provided"),EXACT(metadata!H512,"missing: restricted access"))),AND(IF(metadata!H512="",FALSE,TRUE),OR(EXACT(metadata!H512,"organism-associated habitat"),EXACT(metadata!H512,"plant-associated habitat"),EXACT(metadata!H512,"animal-associated habitat"),EXACT(metadata!H512,"insecta-associated habitat"),EXACT(metadata!H512,"mammalia-associated habitat"),EXACT(metadata!H512,"human-associated habitat"),EXACT(metadata!H512,"livestock-associated habitat"))))</f>
        <v>0</v>
      </c>
      <c r="AK512" t="b">
        <f>AND(IF(metadata!I512="",FALSE,TRUE),EXACT(metadata!I512,"host-associated"))</f>
        <v>0</v>
      </c>
      <c r="AL512" t="b">
        <f>OR(AND(IF(metadata!J512="",FALSE,TRUE),OR(EXACT(metadata!J512,"not applicable"),EXACT(metadata!J512,"missing: not collected"),EXACT(metadata!J512,"missing: not provided"),EXACT(metadata!J512,"missing: restricted access"))),AND(IF(metadata!J512="",FALSE,ISNUMBER(VALUE(metadata!J512))),metadata!J512&gt;0))</f>
        <v>0</v>
      </c>
      <c r="AM512" t="b">
        <f>AND(IF(metadata!K512="",FALSE,TRUE),EXACT(metadata!K512,"missing: not provided"))</f>
        <v>0</v>
      </c>
      <c r="AN512" t="b">
        <f>IF(metadata!L512="",FALSE,TRUE)</f>
        <v>0</v>
      </c>
      <c r="AO512" t="b">
        <f>IF(metadata!M512="",FALSE,TRUE)</f>
        <v>0</v>
      </c>
      <c r="AP512" t="b">
        <f>OR(AND(IF(metadata!N512="",FALSE,TRUE),OR(EXACT(metadata!N512,"not applicable"),EXACT(metadata!N512,"missing: not collected"),EXACT(metadata!N512,"missing: not provided"))),AND(IF(metadata!N512="",FALSE,IF(ISERROR(INT(metadata!N512)),FALSE,INT(metadata!N512)=metadata!N512)),metadata!N512&gt;0))</f>
        <v>0</v>
      </c>
      <c r="AQ512" t="b">
        <f>AND(IF(metadata!O512="",FALSE,TRUE),EXACT(metadata!O512,"Not applicable"))</f>
        <v>0</v>
      </c>
      <c r="AR512" t="b">
        <f>OR(AND(IF(metadata!P512="",FALSE,TRUE),OR(EXACT(metadata!P512,"not applicable"),EXACT(metadata!P512,"missing: not collected"),EXACT(metadata!P512,"missing: not provided"),EXACT(metadata!P512,"missing: restricted access"))),IF(metadata!P512="",FALSE,IF(ISERROR(INT(metadata!P512)),FALSE,INT(metadata!P512)=metadata!P512)))</f>
        <v>0</v>
      </c>
      <c r="AS512" t="b">
        <f>AND(IF(metadata!Q512="",FALSE,TRUE),EXACT(metadata!Q512,"Not applicable"))</f>
        <v>0</v>
      </c>
      <c r="AT512" t="b">
        <f>OR(AND(IF(metadata!R512="",FALSE,TRUE),OR(EXACT(metadata!R512,"not applicable"),EXACT(metadata!R512,"missing: not collected"),EXACT(metadata!R512,"missing: not provided"),EXACT(metadata!R512,"missing: restricted access"))),AND(IF(metadata!R512="",FALSE,ISNUMBER(VALUE(metadata!R512))),metadata!R512&gt;0))</f>
        <v>0</v>
      </c>
      <c r="AU512" t="b">
        <f>AND(IF(metadata!S512="",FALSE,TRUE),EXACT(metadata!S512,"missing: not provided"))</f>
        <v>0</v>
      </c>
    </row>
    <row r="513" spans="1:47" x14ac:dyDescent="0.2">
      <c r="A513" s="5" t="str">
        <f ca="1">IF(B513=" "," ",HYPERLINK(CONCATENATE("#metadata!",ADDRESS(INDEX($Y$2:$Y$1001,MATCH(ROWS($W$2:W513),$W$2:$W$1001,0),0),1)),INDEX($AB$2:$AB$1001,MATCH(ROWS($W$2:W513),$W$2:$W$1001,0),0)))</f>
        <v xml:space="preserve"> </v>
      </c>
      <c r="B513" s="4" t="str">
        <f ca="1">IF(OR(INDEX($X$2:$X$1001,MATCH(ROWS($W$2:W513),$W$2:$W$1001,0),1)&gt;=100000,INDEX($AD$1005:$AU$1005,1,MATCH(COLUMNS($AD$1006:AD1006),$AD$1006:$AU$1006,0))&gt;=100000), " ",IF(INDEX($AD$2:$AU$1001,MATCH(ROWS($W$2:W513),$W$2:$W$1001,0),MATCH(COLUMNS($AD$1006:AD1006),$AD$1006:$AU$1006,0)), HYPERLINK("#",""), HYPERLINK(CONCATENATE("#metadata!", ADDRESS(INDEX($Y$2:$Y$1001,MATCH(ROWS($W$2:W513),$W$2:$W$1001,0),0), INDEX($AD$1004:$AU$1004,1,MATCH(COLUMNS($AD$1006:AD1006),$AD$1006:$AU$1006,0)))),"Fix")))</f>
        <v xml:space="preserve"> </v>
      </c>
      <c r="C513" s="4" t="str">
        <f ca="1">IF(OR(INDEX($X$2:$X$1001,MATCH(ROWS($W$2:W513),$W$2:$W$1001,0),1)&gt;=100000,INDEX($AD$1005:$AU$1005,1,MATCH(COLUMNS($AD$1006:AE1006),$AD$1006:$AU$1006,0))&gt;=100000), " ",IF(INDEX($AD$2:$AU$1001,MATCH(ROWS($W$2:W513),$W$2:$W$1001,0),MATCH(COLUMNS($AD$1006:AE1006),$AD$1006:$AU$1006,0)), HYPERLINK("#",""), HYPERLINK(CONCATENATE("#metadata!", ADDRESS(INDEX($Y$2:$Y$1001,MATCH(ROWS($W$2:W513),$W$2:$W$1001,0),0), INDEX($AD$1004:$AU$1004,1,MATCH(COLUMNS($AD$1006:AE1006),$AD$1006:$AU$1006,0)))),"Fix")))</f>
        <v xml:space="preserve"> </v>
      </c>
      <c r="D513" s="4" t="str">
        <f ca="1">IF(OR(INDEX($X$2:$X$1001,MATCH(ROWS($W$2:W513),$W$2:$W$1001,0),1)&gt;=100000,INDEX($AD$1005:$AU$1005,1,MATCH(COLUMNS($AD$1006:AF1006),$AD$1006:$AU$1006,0))&gt;=100000), " ",IF(INDEX($AD$2:$AU$1001,MATCH(ROWS($W$2:W513),$W$2:$W$1001,0),MATCH(COLUMNS($AD$1006:AF1006),$AD$1006:$AU$1006,0)), HYPERLINK("#",""), HYPERLINK(CONCATENATE("#metadata!", ADDRESS(INDEX($Y$2:$Y$1001,MATCH(ROWS($W$2:W513),$W$2:$W$1001,0),0), INDEX($AD$1004:$AU$1004,1,MATCH(COLUMNS($AD$1006:AF1006),$AD$1006:$AU$1006,0)))),"Fix")))</f>
        <v xml:space="preserve"> </v>
      </c>
      <c r="E513" s="4" t="str">
        <f ca="1">IF(OR(INDEX($X$2:$X$1001,MATCH(ROWS($W$2:W513),$W$2:$W$1001,0),1)&gt;=100000,INDEX($AD$1005:$AU$1005,1,MATCH(COLUMNS($AD$1006:AG1006),$AD$1006:$AU$1006,0))&gt;=100000), " ",IF(INDEX($AD$2:$AU$1001,MATCH(ROWS($W$2:W513),$W$2:$W$1001,0),MATCH(COLUMNS($AD$1006:AG1006),$AD$1006:$AU$1006,0)), HYPERLINK("#",""), HYPERLINK(CONCATENATE("#metadata!", ADDRESS(INDEX($Y$2:$Y$1001,MATCH(ROWS($W$2:W513),$W$2:$W$1001,0),0), INDEX($AD$1004:$AU$1004,1,MATCH(COLUMNS($AD$1006:AG1006),$AD$1006:$AU$1006,0)))),"Fix")))</f>
        <v xml:space="preserve"> </v>
      </c>
      <c r="F513" s="4" t="str">
        <f ca="1">IF(OR(INDEX($X$2:$X$1001,MATCH(ROWS($W$2:W513),$W$2:$W$1001,0),1)&gt;=100000,INDEX($AD$1005:$AU$1005,1,MATCH(COLUMNS($AD$1006:AH1006),$AD$1006:$AU$1006,0))&gt;=100000), " ",IF(INDEX($AD$2:$AU$1001,MATCH(ROWS($W$2:W513),$W$2:$W$1001,0),MATCH(COLUMNS($AD$1006:AH1006),$AD$1006:$AU$1006,0)), HYPERLINK("#",""), HYPERLINK(CONCATENATE("#metadata!", ADDRESS(INDEX($Y$2:$Y$1001,MATCH(ROWS($W$2:W513),$W$2:$W$1001,0),0), INDEX($AD$1004:$AU$1004,1,MATCH(COLUMNS($AD$1006:AH1006),$AD$1006:$AU$1006,0)))),"Fix")))</f>
        <v xml:space="preserve"> </v>
      </c>
      <c r="G513" s="4" t="str">
        <f ca="1">IF(OR(INDEX($X$2:$X$1001,MATCH(ROWS($W$2:W513),$W$2:$W$1001,0),1)&gt;=100000,INDEX($AD$1005:$AU$1005,1,MATCH(COLUMNS($AD$1006:AI1006),$AD$1006:$AU$1006,0))&gt;=100000), " ",IF(INDEX($AD$2:$AU$1001,MATCH(ROWS($W$2:W513),$W$2:$W$1001,0),MATCH(COLUMNS($AD$1006:AI1006),$AD$1006:$AU$1006,0)), HYPERLINK("#",""), HYPERLINK(CONCATENATE("#metadata!", ADDRESS(INDEX($Y$2:$Y$1001,MATCH(ROWS($W$2:W513),$W$2:$W$1001,0),0), INDEX($AD$1004:$AU$1004,1,MATCH(COLUMNS($AD$1006:AI1006),$AD$1006:$AU$1006,0)))),"Fix")))</f>
        <v xml:space="preserve"> </v>
      </c>
      <c r="H513" s="4" t="str">
        <f ca="1">IF(OR(INDEX($X$2:$X$1001,MATCH(ROWS($W$2:W513),$W$2:$W$1001,0),1)&gt;=100000,INDEX($AD$1005:$AU$1005,1,MATCH(COLUMNS($AD$1006:AJ1006),$AD$1006:$AU$1006,0))&gt;=100000), " ",IF(INDEX($AD$2:$AU$1001,MATCH(ROWS($W$2:W513),$W$2:$W$1001,0),MATCH(COLUMNS($AD$1006:AJ1006),$AD$1006:$AU$1006,0)), HYPERLINK("#",""), HYPERLINK(CONCATENATE("#metadata!", ADDRESS(INDEX($Y$2:$Y$1001,MATCH(ROWS($W$2:W513),$W$2:$W$1001,0),0), INDEX($AD$1004:$AU$1004,1,MATCH(COLUMNS($AD$1006:AJ1006),$AD$1006:$AU$1006,0)))),"Fix")))</f>
        <v xml:space="preserve"> </v>
      </c>
      <c r="I513" s="4" t="str">
        <f ca="1">IF(OR(INDEX($X$2:$X$1001,MATCH(ROWS($W$2:W513),$W$2:$W$1001,0),1)&gt;=100000,INDEX($AD$1005:$AU$1005,1,MATCH(COLUMNS($AD$1006:AK1006),$AD$1006:$AU$1006,0))&gt;=100000), " ",IF(INDEX($AD$2:$AU$1001,MATCH(ROWS($W$2:W513),$W$2:$W$1001,0),MATCH(COLUMNS($AD$1006:AK1006),$AD$1006:$AU$1006,0)), HYPERLINK("#",""), HYPERLINK(CONCATENATE("#metadata!", ADDRESS(INDEX($Y$2:$Y$1001,MATCH(ROWS($W$2:W513),$W$2:$W$1001,0),0), INDEX($AD$1004:$AU$1004,1,MATCH(COLUMNS($AD$1006:AK1006),$AD$1006:$AU$1006,0)))),"Fix")))</f>
        <v xml:space="preserve"> </v>
      </c>
      <c r="J513" s="4" t="str">
        <f ca="1">IF(OR(INDEX($X$2:$X$1001,MATCH(ROWS($W$2:W513),$W$2:$W$1001,0),1)&gt;=100000,INDEX($AD$1005:$AU$1005,1,MATCH(COLUMNS($AD$1006:AL1006),$AD$1006:$AU$1006,0))&gt;=100000), " ",IF(INDEX($AD$2:$AU$1001,MATCH(ROWS($W$2:W513),$W$2:$W$1001,0),MATCH(COLUMNS($AD$1006:AL1006),$AD$1006:$AU$1006,0)), HYPERLINK("#",""), HYPERLINK(CONCATENATE("#metadata!", ADDRESS(INDEX($Y$2:$Y$1001,MATCH(ROWS($W$2:W513),$W$2:$W$1001,0),0), INDEX($AD$1004:$AU$1004,1,MATCH(COLUMNS($AD$1006:AL1006),$AD$1006:$AU$1006,0)))),"Fix")))</f>
        <v xml:space="preserve"> </v>
      </c>
      <c r="K513" s="4" t="str">
        <f ca="1">IF(OR(INDEX($X$2:$X$1001,MATCH(ROWS($W$2:W513),$W$2:$W$1001,0),1)&gt;=100000,INDEX($AD$1005:$AU$1005,1,MATCH(COLUMNS($AD$1006:AM1006),$AD$1006:$AU$1006,0))&gt;=100000), " ",IF(INDEX($AD$2:$AU$1001,MATCH(ROWS($W$2:W513),$W$2:$W$1001,0),MATCH(COLUMNS($AD$1006:AM1006),$AD$1006:$AU$1006,0)), HYPERLINK("#",""), HYPERLINK(CONCATENATE("#metadata!", ADDRESS(INDEX($Y$2:$Y$1001,MATCH(ROWS($W$2:W513),$W$2:$W$1001,0),0), INDEX($AD$1004:$AU$1004,1,MATCH(COLUMNS($AD$1006:AM1006),$AD$1006:$AU$1006,0)))),"Fix")))</f>
        <v xml:space="preserve"> </v>
      </c>
      <c r="L513" s="4" t="str">
        <f ca="1">IF(OR(INDEX($X$2:$X$1001,MATCH(ROWS($W$2:W513),$W$2:$W$1001,0),1)&gt;=100000,INDEX($AD$1005:$AU$1005,1,MATCH(COLUMNS($AD$1006:AN1006),$AD$1006:$AU$1006,0))&gt;=100000), " ",IF(INDEX($AD$2:$AU$1001,MATCH(ROWS($W$2:W513),$W$2:$W$1001,0),MATCH(COLUMNS($AD$1006:AN1006),$AD$1006:$AU$1006,0)), HYPERLINK("#",""), HYPERLINK(CONCATENATE("#metadata!", ADDRESS(INDEX($Y$2:$Y$1001,MATCH(ROWS($W$2:W513),$W$2:$W$1001,0),0), INDEX($AD$1004:$AU$1004,1,MATCH(COLUMNS($AD$1006:AN1006),$AD$1006:$AU$1006,0)))),"Fix")))</f>
        <v xml:space="preserve"> </v>
      </c>
      <c r="M513" s="4" t="str">
        <f ca="1">IF(OR(INDEX($X$2:$X$1001,MATCH(ROWS($W$2:W513),$W$2:$W$1001,0),1)&gt;=100000,INDEX($AD$1005:$AU$1005,1,MATCH(COLUMNS($AD$1006:AO1006),$AD$1006:$AU$1006,0))&gt;=100000), " ",IF(INDEX($AD$2:$AU$1001,MATCH(ROWS($W$2:W513),$W$2:$W$1001,0),MATCH(COLUMNS($AD$1006:AO1006),$AD$1006:$AU$1006,0)), HYPERLINK("#",""), HYPERLINK(CONCATENATE("#metadata!", ADDRESS(INDEX($Y$2:$Y$1001,MATCH(ROWS($W$2:W513),$W$2:$W$1001,0),0), INDEX($AD$1004:$AU$1004,1,MATCH(COLUMNS($AD$1006:AO1006),$AD$1006:$AU$1006,0)))),"Fix")))</f>
        <v xml:space="preserve"> </v>
      </c>
      <c r="N513" s="4" t="str">
        <f ca="1">IF(OR(INDEX($X$2:$X$1001,MATCH(ROWS($W$2:W513),$W$2:$W$1001,0),1)&gt;=100000,INDEX($AD$1005:$AU$1005,1,MATCH(COLUMNS($AD$1006:AP1006),$AD$1006:$AU$1006,0))&gt;=100000), " ",IF(INDEX($AD$2:$AU$1001,MATCH(ROWS($W$2:W513),$W$2:$W$1001,0),MATCH(COLUMNS($AD$1006:AP1006),$AD$1006:$AU$1006,0)), HYPERLINK("#",""), HYPERLINK(CONCATENATE("#metadata!", ADDRESS(INDEX($Y$2:$Y$1001,MATCH(ROWS($W$2:W513),$W$2:$W$1001,0),0), INDEX($AD$1004:$AU$1004,1,MATCH(COLUMNS($AD$1006:AP1006),$AD$1006:$AU$1006,0)))),"Fix")))</f>
        <v xml:space="preserve"> </v>
      </c>
      <c r="O513" s="4" t="str">
        <f ca="1">IF(OR(INDEX($X$2:$X$1001,MATCH(ROWS($W$2:W513),$W$2:$W$1001,0),1)&gt;=100000,INDEX($AD$1005:$AU$1005,1,MATCH(COLUMNS($AD$1006:AQ1006),$AD$1006:$AU$1006,0))&gt;=100000), " ",IF(INDEX($AD$2:$AU$1001,MATCH(ROWS($W$2:W513),$W$2:$W$1001,0),MATCH(COLUMNS($AD$1006:AQ1006),$AD$1006:$AU$1006,0)), HYPERLINK("#",""), HYPERLINK(CONCATENATE("#metadata!", ADDRESS(INDEX($Y$2:$Y$1001,MATCH(ROWS($W$2:W513),$W$2:$W$1001,0),0), INDEX($AD$1004:$AU$1004,1,MATCH(COLUMNS($AD$1006:AQ1006),$AD$1006:$AU$1006,0)))),"Fix")))</f>
        <v xml:space="preserve"> </v>
      </c>
      <c r="P513" s="4" t="str">
        <f ca="1">IF(OR(INDEX($X$2:$X$1001,MATCH(ROWS($W$2:W513),$W$2:$W$1001,0),1)&gt;=100000,INDEX($AD$1005:$AU$1005,1,MATCH(COLUMNS($AD$1006:AR1006),$AD$1006:$AU$1006,0))&gt;=100000), " ",IF(INDEX($AD$2:$AU$1001,MATCH(ROWS($W$2:W513),$W$2:$W$1001,0),MATCH(COLUMNS($AD$1006:AR1006),$AD$1006:$AU$1006,0)), HYPERLINK("#",""), HYPERLINK(CONCATENATE("#metadata!", ADDRESS(INDEX($Y$2:$Y$1001,MATCH(ROWS($W$2:W513),$W$2:$W$1001,0),0), INDEX($AD$1004:$AU$1004,1,MATCH(COLUMNS($AD$1006:AR1006),$AD$1006:$AU$1006,0)))),"Fix")))</f>
        <v xml:space="preserve"> </v>
      </c>
      <c r="Q513" s="4" t="str">
        <f ca="1">IF(OR(INDEX($X$2:$X$1001,MATCH(ROWS($W$2:W513),$W$2:$W$1001,0),1)&gt;=100000,INDEX($AD$1005:$AU$1005,1,MATCH(COLUMNS($AD$1006:AS1006),$AD$1006:$AU$1006,0))&gt;=100000), " ",IF(INDEX($AD$2:$AU$1001,MATCH(ROWS($W$2:W513),$W$2:$W$1001,0),MATCH(COLUMNS($AD$1006:AS1006),$AD$1006:$AU$1006,0)), HYPERLINK("#",""), HYPERLINK(CONCATENATE("#metadata!", ADDRESS(INDEX($Y$2:$Y$1001,MATCH(ROWS($W$2:W513),$W$2:$W$1001,0),0), INDEX($AD$1004:$AU$1004,1,MATCH(COLUMNS($AD$1006:AS1006),$AD$1006:$AU$1006,0)))),"Fix")))</f>
        <v xml:space="preserve"> </v>
      </c>
      <c r="R513" s="4" t="str">
        <f ca="1">IF(OR(INDEX($X$2:$X$1001,MATCH(ROWS($W$2:W513),$W$2:$W$1001,0),1)&gt;=100000,INDEX($AD$1005:$AU$1005,1,MATCH(COLUMNS($AD$1006:AT1006),$AD$1006:$AU$1006,0))&gt;=100000), " ",IF(INDEX($AD$2:$AU$1001,MATCH(ROWS($W$2:W513),$W$2:$W$1001,0),MATCH(COLUMNS($AD$1006:AT1006),$AD$1006:$AU$1006,0)), HYPERLINK("#",""), HYPERLINK(CONCATENATE("#metadata!", ADDRESS(INDEX($Y$2:$Y$1001,MATCH(ROWS($W$2:W513),$W$2:$W$1001,0),0), INDEX($AD$1004:$AU$1004,1,MATCH(COLUMNS($AD$1006:AT1006),$AD$1006:$AU$1006,0)))),"Fix")))</f>
        <v xml:space="preserve"> </v>
      </c>
      <c r="S513" s="4" t="str">
        <f ca="1">IF(OR(INDEX($X$2:$X$1001,MATCH(ROWS($W$2:W513),$W$2:$W$1001,0),1)&gt;=100000,INDEX($AD$1005:$AU$1005,1,MATCH(COLUMNS($AD$1006:AU1006),$AD$1006:$AU$1006,0))&gt;=100000), " ",IF(INDEX($AD$2:$AU$1001,MATCH(ROWS($W$2:W513),$W$2:$W$1001,0),MATCH(COLUMNS($AD$1006:AU1006),$AD$1006:$AU$1006,0)), HYPERLINK("#",""), HYPERLINK(CONCATENATE("#metadata!", ADDRESS(INDEX($Y$2:$Y$1001,MATCH(ROWS($W$2:W513),$W$2:$W$1001,0),0), INDEX($AD$1004:$AU$1004,1,MATCH(COLUMNS($AD$1006:AU1006),$AD$1006:$AU$1006,0)))),"Fix")))</f>
        <v xml:space="preserve"> </v>
      </c>
      <c r="W513">
        <v>512</v>
      </c>
      <c r="X513">
        <v>100513</v>
      </c>
      <c r="Y513">
        <v>513</v>
      </c>
      <c r="Z513" t="b">
        <f t="shared" si="7"/>
        <v>1</v>
      </c>
      <c r="AA513" t="b">
        <f>COUNTBLANK(metadata!B513:S513)=COLUMNS(metadata!B513:S513)</f>
        <v>1</v>
      </c>
      <c r="AB513" t="str">
        <v/>
      </c>
      <c r="AD513" t="b">
        <f ca="1">AND(IF(metadata!B513="",FALSE,TRUE),COUNTIF(metadata!B:B, metadata!B513) = 1,NOT(ISERROR(SUMPRODUCT(SEARCH(MID(metadata!B513,ROW(INDIRECT("1:"&amp;LEN(metadata!B513))), 1),"0123456789abcdefghijklmnopqrstuvwxyzABCDEFGHIJKLMNOPQRSTUVWXYZ.")))))</f>
        <v>0</v>
      </c>
      <c r="AE513" t="b">
        <f>OR(AND(IF(metadata!C513="",FALSE,TRUE),OR(EXACT(metadata!C513,"not applicable"),EXACT(metadata!C513,"missing: not collected"),EXACT(metadata!C513,"missing: not provided"),EXACT(metadata!C513,"missing: restricted access"))),AND(IF(metadata!C513="",FALSE,ISNUMBER(VALUE(metadata!C513))),metadata!C513&gt;0))</f>
        <v>0</v>
      </c>
      <c r="AF513" t="b">
        <f>AND(IF(metadata!D513="",FALSE,TRUE),EXACT(metadata!D513,"missing: not provided"))</f>
        <v>0</v>
      </c>
      <c r="AG513" t="b">
        <f>AND(IF(metadata!E513="",FALSE,TRUE),EXACT(metadata!E513,"Host-associated"))</f>
        <v>0</v>
      </c>
      <c r="AH513" t="b">
        <f>AND(IF(metadata!F513="",FALSE,TRUE),OR(EXACT(metadata!F513,"Animal"),EXACT(metadata!F513,"Fungus"),EXACT(metadata!F513,"Plant")))</f>
        <v>0</v>
      </c>
      <c r="AI513" t="b">
        <f>AND(IF(metadata!G513="",FALSE,TRUE),OR(EXACT(metadata!G513,"Plant secretion"),EXACT(metadata!G513,"Plant rhizosphere"),EXACT(metadata!G513,"Plant surface"),EXACT(metadata!G513,"Plant corpus"),EXACT(metadata!G513,"Fungus surface"),EXACT(metadata!G513,"Fungus corpus"),EXACT(metadata!G513,"Animal surface"),EXACT(metadata!G513,"Animal proximal gut"),EXACT(metadata!G513,"Animal corpus"),EXACT(metadata!G513,"Animal distal gut"),EXACT(metadata!G513,"Animal secretion")))</f>
        <v>0</v>
      </c>
      <c r="AJ513" t="b">
        <f>OR(AND(IF(metadata!H513="",FALSE,TRUE),OR(EXACT(metadata!H513,"missing: not collected"),EXACT(metadata!H513,"missing: not provided"),EXACT(metadata!H513,"missing: restricted access"))),AND(IF(metadata!H513="",FALSE,TRUE),OR(EXACT(metadata!H513,"organism-associated habitat"),EXACT(metadata!H513,"plant-associated habitat"),EXACT(metadata!H513,"animal-associated habitat"),EXACT(metadata!H513,"insecta-associated habitat"),EXACT(metadata!H513,"mammalia-associated habitat"),EXACT(metadata!H513,"human-associated habitat"),EXACT(metadata!H513,"livestock-associated habitat"))))</f>
        <v>0</v>
      </c>
      <c r="AK513" t="b">
        <f>AND(IF(metadata!I513="",FALSE,TRUE),EXACT(metadata!I513,"host-associated"))</f>
        <v>0</v>
      </c>
      <c r="AL513" t="b">
        <f>OR(AND(IF(metadata!J513="",FALSE,TRUE),OR(EXACT(metadata!J513,"not applicable"),EXACT(metadata!J513,"missing: not collected"),EXACT(metadata!J513,"missing: not provided"),EXACT(metadata!J513,"missing: restricted access"))),AND(IF(metadata!J513="",FALSE,ISNUMBER(VALUE(metadata!J513))),metadata!J513&gt;0))</f>
        <v>0</v>
      </c>
      <c r="AM513" t="b">
        <f>AND(IF(metadata!K513="",FALSE,TRUE),EXACT(metadata!K513,"missing: not provided"))</f>
        <v>0</v>
      </c>
      <c r="AN513" t="b">
        <f>IF(metadata!L513="",FALSE,TRUE)</f>
        <v>0</v>
      </c>
      <c r="AO513" t="b">
        <f>IF(metadata!M513="",FALSE,TRUE)</f>
        <v>0</v>
      </c>
      <c r="AP513" t="b">
        <f>OR(AND(IF(metadata!N513="",FALSE,TRUE),OR(EXACT(metadata!N513,"not applicable"),EXACT(metadata!N513,"missing: not collected"),EXACT(metadata!N513,"missing: not provided"))),AND(IF(metadata!N513="",FALSE,IF(ISERROR(INT(metadata!N513)),FALSE,INT(metadata!N513)=metadata!N513)),metadata!N513&gt;0))</f>
        <v>0</v>
      </c>
      <c r="AQ513" t="b">
        <f>AND(IF(metadata!O513="",FALSE,TRUE),EXACT(metadata!O513,"Not applicable"))</f>
        <v>0</v>
      </c>
      <c r="AR513" t="b">
        <f>OR(AND(IF(metadata!P513="",FALSE,TRUE),OR(EXACT(metadata!P513,"not applicable"),EXACT(metadata!P513,"missing: not collected"),EXACT(metadata!P513,"missing: not provided"),EXACT(metadata!P513,"missing: restricted access"))),IF(metadata!P513="",FALSE,IF(ISERROR(INT(metadata!P513)),FALSE,INT(metadata!P513)=metadata!P513)))</f>
        <v>0</v>
      </c>
      <c r="AS513" t="b">
        <f>AND(IF(metadata!Q513="",FALSE,TRUE),EXACT(metadata!Q513,"Not applicable"))</f>
        <v>0</v>
      </c>
      <c r="AT513" t="b">
        <f>OR(AND(IF(metadata!R513="",FALSE,TRUE),OR(EXACT(metadata!R513,"not applicable"),EXACT(metadata!R513,"missing: not collected"),EXACT(metadata!R513,"missing: not provided"),EXACT(metadata!R513,"missing: restricted access"))),AND(IF(metadata!R513="",FALSE,ISNUMBER(VALUE(metadata!R513))),metadata!R513&gt;0))</f>
        <v>0</v>
      </c>
      <c r="AU513" t="b">
        <f>AND(IF(metadata!S513="",FALSE,TRUE),EXACT(metadata!S513,"missing: not provided"))</f>
        <v>0</v>
      </c>
    </row>
    <row r="514" spans="1:47" x14ac:dyDescent="0.2">
      <c r="A514" s="5" t="str">
        <f ca="1">IF(B514=" "," ",HYPERLINK(CONCATENATE("#metadata!",ADDRESS(INDEX($Y$2:$Y$1001,MATCH(ROWS($W$2:W514),$W$2:$W$1001,0),0),1)),INDEX($AB$2:$AB$1001,MATCH(ROWS($W$2:W514),$W$2:$W$1001,0),0)))</f>
        <v xml:space="preserve"> </v>
      </c>
      <c r="B514" s="4" t="str">
        <f ca="1">IF(OR(INDEX($X$2:$X$1001,MATCH(ROWS($W$2:W514),$W$2:$W$1001,0),1)&gt;=100000,INDEX($AD$1005:$AU$1005,1,MATCH(COLUMNS($AD$1006:AD1006),$AD$1006:$AU$1006,0))&gt;=100000), " ",IF(INDEX($AD$2:$AU$1001,MATCH(ROWS($W$2:W514),$W$2:$W$1001,0),MATCH(COLUMNS($AD$1006:AD1006),$AD$1006:$AU$1006,0)), HYPERLINK("#",""), HYPERLINK(CONCATENATE("#metadata!", ADDRESS(INDEX($Y$2:$Y$1001,MATCH(ROWS($W$2:W514),$W$2:$W$1001,0),0), INDEX($AD$1004:$AU$1004,1,MATCH(COLUMNS($AD$1006:AD1006),$AD$1006:$AU$1006,0)))),"Fix")))</f>
        <v xml:space="preserve"> </v>
      </c>
      <c r="C514" s="4" t="str">
        <f ca="1">IF(OR(INDEX($X$2:$X$1001,MATCH(ROWS($W$2:W514),$W$2:$W$1001,0),1)&gt;=100000,INDEX($AD$1005:$AU$1005,1,MATCH(COLUMNS($AD$1006:AE1006),$AD$1006:$AU$1006,0))&gt;=100000), " ",IF(INDEX($AD$2:$AU$1001,MATCH(ROWS($W$2:W514),$W$2:$W$1001,0),MATCH(COLUMNS($AD$1006:AE1006),$AD$1006:$AU$1006,0)), HYPERLINK("#",""), HYPERLINK(CONCATENATE("#metadata!", ADDRESS(INDEX($Y$2:$Y$1001,MATCH(ROWS($W$2:W514),$W$2:$W$1001,0),0), INDEX($AD$1004:$AU$1004,1,MATCH(COLUMNS($AD$1006:AE1006),$AD$1006:$AU$1006,0)))),"Fix")))</f>
        <v xml:space="preserve"> </v>
      </c>
      <c r="D514" s="4" t="str">
        <f ca="1">IF(OR(INDEX($X$2:$X$1001,MATCH(ROWS($W$2:W514),$W$2:$W$1001,0),1)&gt;=100000,INDEX($AD$1005:$AU$1005,1,MATCH(COLUMNS($AD$1006:AF1006),$AD$1006:$AU$1006,0))&gt;=100000), " ",IF(INDEX($AD$2:$AU$1001,MATCH(ROWS($W$2:W514),$W$2:$W$1001,0),MATCH(COLUMNS($AD$1006:AF1006),$AD$1006:$AU$1006,0)), HYPERLINK("#",""), HYPERLINK(CONCATENATE("#metadata!", ADDRESS(INDEX($Y$2:$Y$1001,MATCH(ROWS($W$2:W514),$W$2:$W$1001,0),0), INDEX($AD$1004:$AU$1004,1,MATCH(COLUMNS($AD$1006:AF1006),$AD$1006:$AU$1006,0)))),"Fix")))</f>
        <v xml:space="preserve"> </v>
      </c>
      <c r="E514" s="4" t="str">
        <f ca="1">IF(OR(INDEX($X$2:$X$1001,MATCH(ROWS($W$2:W514),$W$2:$W$1001,0),1)&gt;=100000,INDEX($AD$1005:$AU$1005,1,MATCH(COLUMNS($AD$1006:AG1006),$AD$1006:$AU$1006,0))&gt;=100000), " ",IF(INDEX($AD$2:$AU$1001,MATCH(ROWS($W$2:W514),$W$2:$W$1001,0),MATCH(COLUMNS($AD$1006:AG1006),$AD$1006:$AU$1006,0)), HYPERLINK("#",""), HYPERLINK(CONCATENATE("#metadata!", ADDRESS(INDEX($Y$2:$Y$1001,MATCH(ROWS($W$2:W514),$W$2:$W$1001,0),0), INDEX($AD$1004:$AU$1004,1,MATCH(COLUMNS($AD$1006:AG1006),$AD$1006:$AU$1006,0)))),"Fix")))</f>
        <v xml:space="preserve"> </v>
      </c>
      <c r="F514" s="4" t="str">
        <f ca="1">IF(OR(INDEX($X$2:$X$1001,MATCH(ROWS($W$2:W514),$W$2:$W$1001,0),1)&gt;=100000,INDEX($AD$1005:$AU$1005,1,MATCH(COLUMNS($AD$1006:AH1006),$AD$1006:$AU$1006,0))&gt;=100000), " ",IF(INDEX($AD$2:$AU$1001,MATCH(ROWS($W$2:W514),$W$2:$W$1001,0),MATCH(COLUMNS($AD$1006:AH1006),$AD$1006:$AU$1006,0)), HYPERLINK("#",""), HYPERLINK(CONCATENATE("#metadata!", ADDRESS(INDEX($Y$2:$Y$1001,MATCH(ROWS($W$2:W514),$W$2:$W$1001,0),0), INDEX($AD$1004:$AU$1004,1,MATCH(COLUMNS($AD$1006:AH1006),$AD$1006:$AU$1006,0)))),"Fix")))</f>
        <v xml:space="preserve"> </v>
      </c>
      <c r="G514" s="4" t="str">
        <f ca="1">IF(OR(INDEX($X$2:$X$1001,MATCH(ROWS($W$2:W514),$W$2:$W$1001,0),1)&gt;=100000,INDEX($AD$1005:$AU$1005,1,MATCH(COLUMNS($AD$1006:AI1006),$AD$1006:$AU$1006,0))&gt;=100000), " ",IF(INDEX($AD$2:$AU$1001,MATCH(ROWS($W$2:W514),$W$2:$W$1001,0),MATCH(COLUMNS($AD$1006:AI1006),$AD$1006:$AU$1006,0)), HYPERLINK("#",""), HYPERLINK(CONCATENATE("#metadata!", ADDRESS(INDEX($Y$2:$Y$1001,MATCH(ROWS($W$2:W514),$W$2:$W$1001,0),0), INDEX($AD$1004:$AU$1004,1,MATCH(COLUMNS($AD$1006:AI1006),$AD$1006:$AU$1006,0)))),"Fix")))</f>
        <v xml:space="preserve"> </v>
      </c>
      <c r="H514" s="4" t="str">
        <f ca="1">IF(OR(INDEX($X$2:$X$1001,MATCH(ROWS($W$2:W514),$W$2:$W$1001,0),1)&gt;=100000,INDEX($AD$1005:$AU$1005,1,MATCH(COLUMNS($AD$1006:AJ1006),$AD$1006:$AU$1006,0))&gt;=100000), " ",IF(INDEX($AD$2:$AU$1001,MATCH(ROWS($W$2:W514),$W$2:$W$1001,0),MATCH(COLUMNS($AD$1006:AJ1006),$AD$1006:$AU$1006,0)), HYPERLINK("#",""), HYPERLINK(CONCATENATE("#metadata!", ADDRESS(INDEX($Y$2:$Y$1001,MATCH(ROWS($W$2:W514),$W$2:$W$1001,0),0), INDEX($AD$1004:$AU$1004,1,MATCH(COLUMNS($AD$1006:AJ1006),$AD$1006:$AU$1006,0)))),"Fix")))</f>
        <v xml:space="preserve"> </v>
      </c>
      <c r="I514" s="4" t="str">
        <f ca="1">IF(OR(INDEX($X$2:$X$1001,MATCH(ROWS($W$2:W514),$W$2:$W$1001,0),1)&gt;=100000,INDEX($AD$1005:$AU$1005,1,MATCH(COLUMNS($AD$1006:AK1006),$AD$1006:$AU$1006,0))&gt;=100000), " ",IF(INDEX($AD$2:$AU$1001,MATCH(ROWS($W$2:W514),$W$2:$W$1001,0),MATCH(COLUMNS($AD$1006:AK1006),$AD$1006:$AU$1006,0)), HYPERLINK("#",""), HYPERLINK(CONCATENATE("#metadata!", ADDRESS(INDEX($Y$2:$Y$1001,MATCH(ROWS($W$2:W514),$W$2:$W$1001,0),0), INDEX($AD$1004:$AU$1004,1,MATCH(COLUMNS($AD$1006:AK1006),$AD$1006:$AU$1006,0)))),"Fix")))</f>
        <v xml:space="preserve"> </v>
      </c>
      <c r="J514" s="4" t="str">
        <f ca="1">IF(OR(INDEX($X$2:$X$1001,MATCH(ROWS($W$2:W514),$W$2:$W$1001,0),1)&gt;=100000,INDEX($AD$1005:$AU$1005,1,MATCH(COLUMNS($AD$1006:AL1006),$AD$1006:$AU$1006,0))&gt;=100000), " ",IF(INDEX($AD$2:$AU$1001,MATCH(ROWS($W$2:W514),$W$2:$W$1001,0),MATCH(COLUMNS($AD$1006:AL1006),$AD$1006:$AU$1006,0)), HYPERLINK("#",""), HYPERLINK(CONCATENATE("#metadata!", ADDRESS(INDEX($Y$2:$Y$1001,MATCH(ROWS($W$2:W514),$W$2:$W$1001,0),0), INDEX($AD$1004:$AU$1004,1,MATCH(COLUMNS($AD$1006:AL1006),$AD$1006:$AU$1006,0)))),"Fix")))</f>
        <v xml:space="preserve"> </v>
      </c>
      <c r="K514" s="4" t="str">
        <f ca="1">IF(OR(INDEX($X$2:$X$1001,MATCH(ROWS($W$2:W514),$W$2:$W$1001,0),1)&gt;=100000,INDEX($AD$1005:$AU$1005,1,MATCH(COLUMNS($AD$1006:AM1006),$AD$1006:$AU$1006,0))&gt;=100000), " ",IF(INDEX($AD$2:$AU$1001,MATCH(ROWS($W$2:W514),$W$2:$W$1001,0),MATCH(COLUMNS($AD$1006:AM1006),$AD$1006:$AU$1006,0)), HYPERLINK("#",""), HYPERLINK(CONCATENATE("#metadata!", ADDRESS(INDEX($Y$2:$Y$1001,MATCH(ROWS($W$2:W514),$W$2:$W$1001,0),0), INDEX($AD$1004:$AU$1004,1,MATCH(COLUMNS($AD$1006:AM1006),$AD$1006:$AU$1006,0)))),"Fix")))</f>
        <v xml:space="preserve"> </v>
      </c>
      <c r="L514" s="4" t="str">
        <f ca="1">IF(OR(INDEX($X$2:$X$1001,MATCH(ROWS($W$2:W514),$W$2:$W$1001,0),1)&gt;=100000,INDEX($AD$1005:$AU$1005,1,MATCH(COLUMNS($AD$1006:AN1006),$AD$1006:$AU$1006,0))&gt;=100000), " ",IF(INDEX($AD$2:$AU$1001,MATCH(ROWS($W$2:W514),$W$2:$W$1001,0),MATCH(COLUMNS($AD$1006:AN1006),$AD$1006:$AU$1006,0)), HYPERLINK("#",""), HYPERLINK(CONCATENATE("#metadata!", ADDRESS(INDEX($Y$2:$Y$1001,MATCH(ROWS($W$2:W514),$W$2:$W$1001,0),0), INDEX($AD$1004:$AU$1004,1,MATCH(COLUMNS($AD$1006:AN1006),$AD$1006:$AU$1006,0)))),"Fix")))</f>
        <v xml:space="preserve"> </v>
      </c>
      <c r="M514" s="4" t="str">
        <f ca="1">IF(OR(INDEX($X$2:$X$1001,MATCH(ROWS($W$2:W514),$W$2:$W$1001,0),1)&gt;=100000,INDEX($AD$1005:$AU$1005,1,MATCH(COLUMNS($AD$1006:AO1006),$AD$1006:$AU$1006,0))&gt;=100000), " ",IF(INDEX($AD$2:$AU$1001,MATCH(ROWS($W$2:W514),$W$2:$W$1001,0),MATCH(COLUMNS($AD$1006:AO1006),$AD$1006:$AU$1006,0)), HYPERLINK("#",""), HYPERLINK(CONCATENATE("#metadata!", ADDRESS(INDEX($Y$2:$Y$1001,MATCH(ROWS($W$2:W514),$W$2:$W$1001,0),0), INDEX($AD$1004:$AU$1004,1,MATCH(COLUMNS($AD$1006:AO1006),$AD$1006:$AU$1006,0)))),"Fix")))</f>
        <v xml:space="preserve"> </v>
      </c>
      <c r="N514" s="4" t="str">
        <f ca="1">IF(OR(INDEX($X$2:$X$1001,MATCH(ROWS($W$2:W514),$W$2:$W$1001,0),1)&gt;=100000,INDEX($AD$1005:$AU$1005,1,MATCH(COLUMNS($AD$1006:AP1006),$AD$1006:$AU$1006,0))&gt;=100000), " ",IF(INDEX($AD$2:$AU$1001,MATCH(ROWS($W$2:W514),$W$2:$W$1001,0),MATCH(COLUMNS($AD$1006:AP1006),$AD$1006:$AU$1006,0)), HYPERLINK("#",""), HYPERLINK(CONCATENATE("#metadata!", ADDRESS(INDEX($Y$2:$Y$1001,MATCH(ROWS($W$2:W514),$W$2:$W$1001,0),0), INDEX($AD$1004:$AU$1004,1,MATCH(COLUMNS($AD$1006:AP1006),$AD$1006:$AU$1006,0)))),"Fix")))</f>
        <v xml:space="preserve"> </v>
      </c>
      <c r="O514" s="4" t="str">
        <f ca="1">IF(OR(INDEX($X$2:$X$1001,MATCH(ROWS($W$2:W514),$W$2:$W$1001,0),1)&gt;=100000,INDEX($AD$1005:$AU$1005,1,MATCH(COLUMNS($AD$1006:AQ1006),$AD$1006:$AU$1006,0))&gt;=100000), " ",IF(INDEX($AD$2:$AU$1001,MATCH(ROWS($W$2:W514),$W$2:$W$1001,0),MATCH(COLUMNS($AD$1006:AQ1006),$AD$1006:$AU$1006,0)), HYPERLINK("#",""), HYPERLINK(CONCATENATE("#metadata!", ADDRESS(INDEX($Y$2:$Y$1001,MATCH(ROWS($W$2:W514),$W$2:$W$1001,0),0), INDEX($AD$1004:$AU$1004,1,MATCH(COLUMNS($AD$1006:AQ1006),$AD$1006:$AU$1006,0)))),"Fix")))</f>
        <v xml:space="preserve"> </v>
      </c>
      <c r="P514" s="4" t="str">
        <f ca="1">IF(OR(INDEX($X$2:$X$1001,MATCH(ROWS($W$2:W514),$W$2:$W$1001,0),1)&gt;=100000,INDEX($AD$1005:$AU$1005,1,MATCH(COLUMNS($AD$1006:AR1006),$AD$1006:$AU$1006,0))&gt;=100000), " ",IF(INDEX($AD$2:$AU$1001,MATCH(ROWS($W$2:W514),$W$2:$W$1001,0),MATCH(COLUMNS($AD$1006:AR1006),$AD$1006:$AU$1006,0)), HYPERLINK("#",""), HYPERLINK(CONCATENATE("#metadata!", ADDRESS(INDEX($Y$2:$Y$1001,MATCH(ROWS($W$2:W514),$W$2:$W$1001,0),0), INDEX($AD$1004:$AU$1004,1,MATCH(COLUMNS($AD$1006:AR1006),$AD$1006:$AU$1006,0)))),"Fix")))</f>
        <v xml:space="preserve"> </v>
      </c>
      <c r="Q514" s="4" t="str">
        <f ca="1">IF(OR(INDEX($X$2:$X$1001,MATCH(ROWS($W$2:W514),$W$2:$W$1001,0),1)&gt;=100000,INDEX($AD$1005:$AU$1005,1,MATCH(COLUMNS($AD$1006:AS1006),$AD$1006:$AU$1006,0))&gt;=100000), " ",IF(INDEX($AD$2:$AU$1001,MATCH(ROWS($W$2:W514),$W$2:$W$1001,0),MATCH(COLUMNS($AD$1006:AS1006),$AD$1006:$AU$1006,0)), HYPERLINK("#",""), HYPERLINK(CONCATENATE("#metadata!", ADDRESS(INDEX($Y$2:$Y$1001,MATCH(ROWS($W$2:W514),$W$2:$W$1001,0),0), INDEX($AD$1004:$AU$1004,1,MATCH(COLUMNS($AD$1006:AS1006),$AD$1006:$AU$1006,0)))),"Fix")))</f>
        <v xml:space="preserve"> </v>
      </c>
      <c r="R514" s="4" t="str">
        <f ca="1">IF(OR(INDEX($X$2:$X$1001,MATCH(ROWS($W$2:W514),$W$2:$W$1001,0),1)&gt;=100000,INDEX($AD$1005:$AU$1005,1,MATCH(COLUMNS($AD$1006:AT1006),$AD$1006:$AU$1006,0))&gt;=100000), " ",IF(INDEX($AD$2:$AU$1001,MATCH(ROWS($W$2:W514),$W$2:$W$1001,0),MATCH(COLUMNS($AD$1006:AT1006),$AD$1006:$AU$1006,0)), HYPERLINK("#",""), HYPERLINK(CONCATENATE("#metadata!", ADDRESS(INDEX($Y$2:$Y$1001,MATCH(ROWS($W$2:W514),$W$2:$W$1001,0),0), INDEX($AD$1004:$AU$1004,1,MATCH(COLUMNS($AD$1006:AT1006),$AD$1006:$AU$1006,0)))),"Fix")))</f>
        <v xml:space="preserve"> </v>
      </c>
      <c r="S514" s="4" t="str">
        <f ca="1">IF(OR(INDEX($X$2:$X$1001,MATCH(ROWS($W$2:W514),$W$2:$W$1001,0),1)&gt;=100000,INDEX($AD$1005:$AU$1005,1,MATCH(COLUMNS($AD$1006:AU1006),$AD$1006:$AU$1006,0))&gt;=100000), " ",IF(INDEX($AD$2:$AU$1001,MATCH(ROWS($W$2:W514),$W$2:$W$1001,0),MATCH(COLUMNS($AD$1006:AU1006),$AD$1006:$AU$1006,0)), HYPERLINK("#",""), HYPERLINK(CONCATENATE("#metadata!", ADDRESS(INDEX($Y$2:$Y$1001,MATCH(ROWS($W$2:W514),$W$2:$W$1001,0),0), INDEX($AD$1004:$AU$1004,1,MATCH(COLUMNS($AD$1006:AU1006),$AD$1006:$AU$1006,0)))),"Fix")))</f>
        <v xml:space="preserve"> </v>
      </c>
      <c r="W514">
        <v>513</v>
      </c>
      <c r="X514">
        <v>100514</v>
      </c>
      <c r="Y514">
        <v>514</v>
      </c>
      <c r="Z514" t="b">
        <f t="shared" ref="Z514:Z577" si="8">IF(AA514,TRUE,AND(AD514:AU514))</f>
        <v>1</v>
      </c>
      <c r="AA514" t="b">
        <f>COUNTBLANK(metadata!B514:S514)=COLUMNS(metadata!B514:S514)</f>
        <v>1</v>
      </c>
      <c r="AB514" t="str">
        <v/>
      </c>
      <c r="AD514" t="b">
        <f ca="1">AND(IF(metadata!B514="",FALSE,TRUE),COUNTIF(metadata!B:B, metadata!B514) = 1,NOT(ISERROR(SUMPRODUCT(SEARCH(MID(metadata!B514,ROW(INDIRECT("1:"&amp;LEN(metadata!B514))), 1),"0123456789abcdefghijklmnopqrstuvwxyzABCDEFGHIJKLMNOPQRSTUVWXYZ.")))))</f>
        <v>0</v>
      </c>
      <c r="AE514" t="b">
        <f>OR(AND(IF(metadata!C514="",FALSE,TRUE),OR(EXACT(metadata!C514,"not applicable"),EXACT(metadata!C514,"missing: not collected"),EXACT(metadata!C514,"missing: not provided"),EXACT(metadata!C514,"missing: restricted access"))),AND(IF(metadata!C514="",FALSE,ISNUMBER(VALUE(metadata!C514))),metadata!C514&gt;0))</f>
        <v>0</v>
      </c>
      <c r="AF514" t="b">
        <f>AND(IF(metadata!D514="",FALSE,TRUE),EXACT(metadata!D514,"missing: not provided"))</f>
        <v>0</v>
      </c>
      <c r="AG514" t="b">
        <f>AND(IF(metadata!E514="",FALSE,TRUE),EXACT(metadata!E514,"Host-associated"))</f>
        <v>0</v>
      </c>
      <c r="AH514" t="b">
        <f>AND(IF(metadata!F514="",FALSE,TRUE),OR(EXACT(metadata!F514,"Animal"),EXACT(metadata!F514,"Fungus"),EXACT(metadata!F514,"Plant")))</f>
        <v>0</v>
      </c>
      <c r="AI514" t="b">
        <f>AND(IF(metadata!G514="",FALSE,TRUE),OR(EXACT(metadata!G514,"Plant secretion"),EXACT(metadata!G514,"Plant rhizosphere"),EXACT(metadata!G514,"Plant surface"),EXACT(metadata!G514,"Plant corpus"),EXACT(metadata!G514,"Fungus surface"),EXACT(metadata!G514,"Fungus corpus"),EXACT(metadata!G514,"Animal surface"),EXACT(metadata!G514,"Animal proximal gut"),EXACT(metadata!G514,"Animal corpus"),EXACT(metadata!G514,"Animal distal gut"),EXACT(metadata!G514,"Animal secretion")))</f>
        <v>0</v>
      </c>
      <c r="AJ514" t="b">
        <f>OR(AND(IF(metadata!H514="",FALSE,TRUE),OR(EXACT(metadata!H514,"missing: not collected"),EXACT(metadata!H514,"missing: not provided"),EXACT(metadata!H514,"missing: restricted access"))),AND(IF(metadata!H514="",FALSE,TRUE),OR(EXACT(metadata!H514,"organism-associated habitat"),EXACT(metadata!H514,"plant-associated habitat"),EXACT(metadata!H514,"animal-associated habitat"),EXACT(metadata!H514,"insecta-associated habitat"),EXACT(metadata!H514,"mammalia-associated habitat"),EXACT(metadata!H514,"human-associated habitat"),EXACT(metadata!H514,"livestock-associated habitat"))))</f>
        <v>0</v>
      </c>
      <c r="AK514" t="b">
        <f>AND(IF(metadata!I514="",FALSE,TRUE),EXACT(metadata!I514,"host-associated"))</f>
        <v>0</v>
      </c>
      <c r="AL514" t="b">
        <f>OR(AND(IF(metadata!J514="",FALSE,TRUE),OR(EXACT(metadata!J514,"not applicable"),EXACT(metadata!J514,"missing: not collected"),EXACT(metadata!J514,"missing: not provided"),EXACT(metadata!J514,"missing: restricted access"))),AND(IF(metadata!J514="",FALSE,ISNUMBER(VALUE(metadata!J514))),metadata!J514&gt;0))</f>
        <v>0</v>
      </c>
      <c r="AM514" t="b">
        <f>AND(IF(metadata!K514="",FALSE,TRUE),EXACT(metadata!K514,"missing: not provided"))</f>
        <v>0</v>
      </c>
      <c r="AN514" t="b">
        <f>IF(metadata!L514="",FALSE,TRUE)</f>
        <v>0</v>
      </c>
      <c r="AO514" t="b">
        <f>IF(metadata!M514="",FALSE,TRUE)</f>
        <v>0</v>
      </c>
      <c r="AP514" t="b">
        <f>OR(AND(IF(metadata!N514="",FALSE,TRUE),OR(EXACT(metadata!N514,"not applicable"),EXACT(metadata!N514,"missing: not collected"),EXACT(metadata!N514,"missing: not provided"))),AND(IF(metadata!N514="",FALSE,IF(ISERROR(INT(metadata!N514)),FALSE,INT(metadata!N514)=metadata!N514)),metadata!N514&gt;0))</f>
        <v>0</v>
      </c>
      <c r="AQ514" t="b">
        <f>AND(IF(metadata!O514="",FALSE,TRUE),EXACT(metadata!O514,"Not applicable"))</f>
        <v>0</v>
      </c>
      <c r="AR514" t="b">
        <f>OR(AND(IF(metadata!P514="",FALSE,TRUE),OR(EXACT(metadata!P514,"not applicable"),EXACT(metadata!P514,"missing: not collected"),EXACT(metadata!P514,"missing: not provided"),EXACT(metadata!P514,"missing: restricted access"))),IF(metadata!P514="",FALSE,IF(ISERROR(INT(metadata!P514)),FALSE,INT(metadata!P514)=metadata!P514)))</f>
        <v>0</v>
      </c>
      <c r="AS514" t="b">
        <f>AND(IF(metadata!Q514="",FALSE,TRUE),EXACT(metadata!Q514,"Not applicable"))</f>
        <v>0</v>
      </c>
      <c r="AT514" t="b">
        <f>OR(AND(IF(metadata!R514="",FALSE,TRUE),OR(EXACT(metadata!R514,"not applicable"),EXACT(metadata!R514,"missing: not collected"),EXACT(metadata!R514,"missing: not provided"),EXACT(metadata!R514,"missing: restricted access"))),AND(IF(metadata!R514="",FALSE,ISNUMBER(VALUE(metadata!R514))),metadata!R514&gt;0))</f>
        <v>0</v>
      </c>
      <c r="AU514" t="b">
        <f>AND(IF(metadata!S514="",FALSE,TRUE),EXACT(metadata!S514,"missing: not provided"))</f>
        <v>0</v>
      </c>
    </row>
    <row r="515" spans="1:47" x14ac:dyDescent="0.2">
      <c r="A515" s="5" t="str">
        <f ca="1">IF(B515=" "," ",HYPERLINK(CONCATENATE("#metadata!",ADDRESS(INDEX($Y$2:$Y$1001,MATCH(ROWS($W$2:W515),$W$2:$W$1001,0),0),1)),INDEX($AB$2:$AB$1001,MATCH(ROWS($W$2:W515),$W$2:$W$1001,0),0)))</f>
        <v xml:space="preserve"> </v>
      </c>
      <c r="B515" s="4" t="str">
        <f ca="1">IF(OR(INDEX($X$2:$X$1001,MATCH(ROWS($W$2:W515),$W$2:$W$1001,0),1)&gt;=100000,INDEX($AD$1005:$AU$1005,1,MATCH(COLUMNS($AD$1006:AD1006),$AD$1006:$AU$1006,0))&gt;=100000), " ",IF(INDEX($AD$2:$AU$1001,MATCH(ROWS($W$2:W515),$W$2:$W$1001,0),MATCH(COLUMNS($AD$1006:AD1006),$AD$1006:$AU$1006,0)), HYPERLINK("#",""), HYPERLINK(CONCATENATE("#metadata!", ADDRESS(INDEX($Y$2:$Y$1001,MATCH(ROWS($W$2:W515),$W$2:$W$1001,0),0), INDEX($AD$1004:$AU$1004,1,MATCH(COLUMNS($AD$1006:AD1006),$AD$1006:$AU$1006,0)))),"Fix")))</f>
        <v xml:space="preserve"> </v>
      </c>
      <c r="C515" s="4" t="str">
        <f ca="1">IF(OR(INDEX($X$2:$X$1001,MATCH(ROWS($W$2:W515),$W$2:$W$1001,0),1)&gt;=100000,INDEX($AD$1005:$AU$1005,1,MATCH(COLUMNS($AD$1006:AE1006),$AD$1006:$AU$1006,0))&gt;=100000), " ",IF(INDEX($AD$2:$AU$1001,MATCH(ROWS($W$2:W515),$W$2:$W$1001,0),MATCH(COLUMNS($AD$1006:AE1006),$AD$1006:$AU$1006,0)), HYPERLINK("#",""), HYPERLINK(CONCATENATE("#metadata!", ADDRESS(INDEX($Y$2:$Y$1001,MATCH(ROWS($W$2:W515),$W$2:$W$1001,0),0), INDEX($AD$1004:$AU$1004,1,MATCH(COLUMNS($AD$1006:AE1006),$AD$1006:$AU$1006,0)))),"Fix")))</f>
        <v xml:space="preserve"> </v>
      </c>
      <c r="D515" s="4" t="str">
        <f ca="1">IF(OR(INDEX($X$2:$X$1001,MATCH(ROWS($W$2:W515),$W$2:$W$1001,0),1)&gt;=100000,INDEX($AD$1005:$AU$1005,1,MATCH(COLUMNS($AD$1006:AF1006),$AD$1006:$AU$1006,0))&gt;=100000), " ",IF(INDEX($AD$2:$AU$1001,MATCH(ROWS($W$2:W515),$W$2:$W$1001,0),MATCH(COLUMNS($AD$1006:AF1006),$AD$1006:$AU$1006,0)), HYPERLINK("#",""), HYPERLINK(CONCATENATE("#metadata!", ADDRESS(INDEX($Y$2:$Y$1001,MATCH(ROWS($W$2:W515),$W$2:$W$1001,0),0), INDEX($AD$1004:$AU$1004,1,MATCH(COLUMNS($AD$1006:AF1006),$AD$1006:$AU$1006,0)))),"Fix")))</f>
        <v xml:space="preserve"> </v>
      </c>
      <c r="E515" s="4" t="str">
        <f ca="1">IF(OR(INDEX($X$2:$X$1001,MATCH(ROWS($W$2:W515),$W$2:$W$1001,0),1)&gt;=100000,INDEX($AD$1005:$AU$1005,1,MATCH(COLUMNS($AD$1006:AG1006),$AD$1006:$AU$1006,0))&gt;=100000), " ",IF(INDEX($AD$2:$AU$1001,MATCH(ROWS($W$2:W515),$W$2:$W$1001,0),MATCH(COLUMNS($AD$1006:AG1006),$AD$1006:$AU$1006,0)), HYPERLINK("#",""), HYPERLINK(CONCATENATE("#metadata!", ADDRESS(INDEX($Y$2:$Y$1001,MATCH(ROWS($W$2:W515),$W$2:$W$1001,0),0), INDEX($AD$1004:$AU$1004,1,MATCH(COLUMNS($AD$1006:AG1006),$AD$1006:$AU$1006,0)))),"Fix")))</f>
        <v xml:space="preserve"> </v>
      </c>
      <c r="F515" s="4" t="str">
        <f ca="1">IF(OR(INDEX($X$2:$X$1001,MATCH(ROWS($W$2:W515),$W$2:$W$1001,0),1)&gt;=100000,INDEX($AD$1005:$AU$1005,1,MATCH(COLUMNS($AD$1006:AH1006),$AD$1006:$AU$1006,0))&gt;=100000), " ",IF(INDEX($AD$2:$AU$1001,MATCH(ROWS($W$2:W515),$W$2:$W$1001,0),MATCH(COLUMNS($AD$1006:AH1006),$AD$1006:$AU$1006,0)), HYPERLINK("#",""), HYPERLINK(CONCATENATE("#metadata!", ADDRESS(INDEX($Y$2:$Y$1001,MATCH(ROWS($W$2:W515),$W$2:$W$1001,0),0), INDEX($AD$1004:$AU$1004,1,MATCH(COLUMNS($AD$1006:AH1006),$AD$1006:$AU$1006,0)))),"Fix")))</f>
        <v xml:space="preserve"> </v>
      </c>
      <c r="G515" s="4" t="str">
        <f ca="1">IF(OR(INDEX($X$2:$X$1001,MATCH(ROWS($W$2:W515),$W$2:$W$1001,0),1)&gt;=100000,INDEX($AD$1005:$AU$1005,1,MATCH(COLUMNS($AD$1006:AI1006),$AD$1006:$AU$1006,0))&gt;=100000), " ",IF(INDEX($AD$2:$AU$1001,MATCH(ROWS($W$2:W515),$W$2:$W$1001,0),MATCH(COLUMNS($AD$1006:AI1006),$AD$1006:$AU$1006,0)), HYPERLINK("#",""), HYPERLINK(CONCATENATE("#metadata!", ADDRESS(INDEX($Y$2:$Y$1001,MATCH(ROWS($W$2:W515),$W$2:$W$1001,0),0), INDEX($AD$1004:$AU$1004,1,MATCH(COLUMNS($AD$1006:AI1006),$AD$1006:$AU$1006,0)))),"Fix")))</f>
        <v xml:space="preserve"> </v>
      </c>
      <c r="H515" s="4" t="str">
        <f ca="1">IF(OR(INDEX($X$2:$X$1001,MATCH(ROWS($W$2:W515),$W$2:$W$1001,0),1)&gt;=100000,INDEX($AD$1005:$AU$1005,1,MATCH(COLUMNS($AD$1006:AJ1006),$AD$1006:$AU$1006,0))&gt;=100000), " ",IF(INDEX($AD$2:$AU$1001,MATCH(ROWS($W$2:W515),$W$2:$W$1001,0),MATCH(COLUMNS($AD$1006:AJ1006),$AD$1006:$AU$1006,0)), HYPERLINK("#",""), HYPERLINK(CONCATENATE("#metadata!", ADDRESS(INDEX($Y$2:$Y$1001,MATCH(ROWS($W$2:W515),$W$2:$W$1001,0),0), INDEX($AD$1004:$AU$1004,1,MATCH(COLUMNS($AD$1006:AJ1006),$AD$1006:$AU$1006,0)))),"Fix")))</f>
        <v xml:space="preserve"> </v>
      </c>
      <c r="I515" s="4" t="str">
        <f ca="1">IF(OR(INDEX($X$2:$X$1001,MATCH(ROWS($W$2:W515),$W$2:$W$1001,0),1)&gt;=100000,INDEX($AD$1005:$AU$1005,1,MATCH(COLUMNS($AD$1006:AK1006),$AD$1006:$AU$1006,0))&gt;=100000), " ",IF(INDEX($AD$2:$AU$1001,MATCH(ROWS($W$2:W515),$W$2:$W$1001,0),MATCH(COLUMNS($AD$1006:AK1006),$AD$1006:$AU$1006,0)), HYPERLINK("#",""), HYPERLINK(CONCATENATE("#metadata!", ADDRESS(INDEX($Y$2:$Y$1001,MATCH(ROWS($W$2:W515),$W$2:$W$1001,0),0), INDEX($AD$1004:$AU$1004,1,MATCH(COLUMNS($AD$1006:AK1006),$AD$1006:$AU$1006,0)))),"Fix")))</f>
        <v xml:space="preserve"> </v>
      </c>
      <c r="J515" s="4" t="str">
        <f ca="1">IF(OR(INDEX($X$2:$X$1001,MATCH(ROWS($W$2:W515),$W$2:$W$1001,0),1)&gt;=100000,INDEX($AD$1005:$AU$1005,1,MATCH(COLUMNS($AD$1006:AL1006),$AD$1006:$AU$1006,0))&gt;=100000), " ",IF(INDEX($AD$2:$AU$1001,MATCH(ROWS($W$2:W515),$W$2:$W$1001,0),MATCH(COLUMNS($AD$1006:AL1006),$AD$1006:$AU$1006,0)), HYPERLINK("#",""), HYPERLINK(CONCATENATE("#metadata!", ADDRESS(INDEX($Y$2:$Y$1001,MATCH(ROWS($W$2:W515),$W$2:$W$1001,0),0), INDEX($AD$1004:$AU$1004,1,MATCH(COLUMNS($AD$1006:AL1006),$AD$1006:$AU$1006,0)))),"Fix")))</f>
        <v xml:space="preserve"> </v>
      </c>
      <c r="K515" s="4" t="str">
        <f ca="1">IF(OR(INDEX($X$2:$X$1001,MATCH(ROWS($W$2:W515),$W$2:$W$1001,0),1)&gt;=100000,INDEX($AD$1005:$AU$1005,1,MATCH(COLUMNS($AD$1006:AM1006),$AD$1006:$AU$1006,0))&gt;=100000), " ",IF(INDEX($AD$2:$AU$1001,MATCH(ROWS($W$2:W515),$W$2:$W$1001,0),MATCH(COLUMNS($AD$1006:AM1006),$AD$1006:$AU$1006,0)), HYPERLINK("#",""), HYPERLINK(CONCATENATE("#metadata!", ADDRESS(INDEX($Y$2:$Y$1001,MATCH(ROWS($W$2:W515),$W$2:$W$1001,0),0), INDEX($AD$1004:$AU$1004,1,MATCH(COLUMNS($AD$1006:AM1006),$AD$1006:$AU$1006,0)))),"Fix")))</f>
        <v xml:space="preserve"> </v>
      </c>
      <c r="L515" s="4" t="str">
        <f ca="1">IF(OR(INDEX($X$2:$X$1001,MATCH(ROWS($W$2:W515),$W$2:$W$1001,0),1)&gt;=100000,INDEX($AD$1005:$AU$1005,1,MATCH(COLUMNS($AD$1006:AN1006),$AD$1006:$AU$1006,0))&gt;=100000), " ",IF(INDEX($AD$2:$AU$1001,MATCH(ROWS($W$2:W515),$W$2:$W$1001,0),MATCH(COLUMNS($AD$1006:AN1006),$AD$1006:$AU$1006,0)), HYPERLINK("#",""), HYPERLINK(CONCATENATE("#metadata!", ADDRESS(INDEX($Y$2:$Y$1001,MATCH(ROWS($W$2:W515),$W$2:$W$1001,0),0), INDEX($AD$1004:$AU$1004,1,MATCH(COLUMNS($AD$1006:AN1006),$AD$1006:$AU$1006,0)))),"Fix")))</f>
        <v xml:space="preserve"> </v>
      </c>
      <c r="M515" s="4" t="str">
        <f ca="1">IF(OR(INDEX($X$2:$X$1001,MATCH(ROWS($W$2:W515),$W$2:$W$1001,0),1)&gt;=100000,INDEX($AD$1005:$AU$1005,1,MATCH(COLUMNS($AD$1006:AO1006),$AD$1006:$AU$1006,0))&gt;=100000), " ",IF(INDEX($AD$2:$AU$1001,MATCH(ROWS($W$2:W515),$W$2:$W$1001,0),MATCH(COLUMNS($AD$1006:AO1006),$AD$1006:$AU$1006,0)), HYPERLINK("#",""), HYPERLINK(CONCATENATE("#metadata!", ADDRESS(INDEX($Y$2:$Y$1001,MATCH(ROWS($W$2:W515),$W$2:$W$1001,0),0), INDEX($AD$1004:$AU$1004,1,MATCH(COLUMNS($AD$1006:AO1006),$AD$1006:$AU$1006,0)))),"Fix")))</f>
        <v xml:space="preserve"> </v>
      </c>
      <c r="N515" s="4" t="str">
        <f ca="1">IF(OR(INDEX($X$2:$X$1001,MATCH(ROWS($W$2:W515),$W$2:$W$1001,0),1)&gt;=100000,INDEX($AD$1005:$AU$1005,1,MATCH(COLUMNS($AD$1006:AP1006),$AD$1006:$AU$1006,0))&gt;=100000), " ",IF(INDEX($AD$2:$AU$1001,MATCH(ROWS($W$2:W515),$W$2:$W$1001,0),MATCH(COLUMNS($AD$1006:AP1006),$AD$1006:$AU$1006,0)), HYPERLINK("#",""), HYPERLINK(CONCATENATE("#metadata!", ADDRESS(INDEX($Y$2:$Y$1001,MATCH(ROWS($W$2:W515),$W$2:$W$1001,0),0), INDEX($AD$1004:$AU$1004,1,MATCH(COLUMNS($AD$1006:AP1006),$AD$1006:$AU$1006,0)))),"Fix")))</f>
        <v xml:space="preserve"> </v>
      </c>
      <c r="O515" s="4" t="str">
        <f ca="1">IF(OR(INDEX($X$2:$X$1001,MATCH(ROWS($W$2:W515),$W$2:$W$1001,0),1)&gt;=100000,INDEX($AD$1005:$AU$1005,1,MATCH(COLUMNS($AD$1006:AQ1006),$AD$1006:$AU$1006,0))&gt;=100000), " ",IF(INDEX($AD$2:$AU$1001,MATCH(ROWS($W$2:W515),$W$2:$W$1001,0),MATCH(COLUMNS($AD$1006:AQ1006),$AD$1006:$AU$1006,0)), HYPERLINK("#",""), HYPERLINK(CONCATENATE("#metadata!", ADDRESS(INDEX($Y$2:$Y$1001,MATCH(ROWS($W$2:W515),$W$2:$W$1001,0),0), INDEX($AD$1004:$AU$1004,1,MATCH(COLUMNS($AD$1006:AQ1006),$AD$1006:$AU$1006,0)))),"Fix")))</f>
        <v xml:space="preserve"> </v>
      </c>
      <c r="P515" s="4" t="str">
        <f ca="1">IF(OR(INDEX($X$2:$X$1001,MATCH(ROWS($W$2:W515),$W$2:$W$1001,0),1)&gt;=100000,INDEX($AD$1005:$AU$1005,1,MATCH(COLUMNS($AD$1006:AR1006),$AD$1006:$AU$1006,0))&gt;=100000), " ",IF(INDEX($AD$2:$AU$1001,MATCH(ROWS($W$2:W515),$W$2:$W$1001,0),MATCH(COLUMNS($AD$1006:AR1006),$AD$1006:$AU$1006,0)), HYPERLINK("#",""), HYPERLINK(CONCATENATE("#metadata!", ADDRESS(INDEX($Y$2:$Y$1001,MATCH(ROWS($W$2:W515),$W$2:$W$1001,0),0), INDEX($AD$1004:$AU$1004,1,MATCH(COLUMNS($AD$1006:AR1006),$AD$1006:$AU$1006,0)))),"Fix")))</f>
        <v xml:space="preserve"> </v>
      </c>
      <c r="Q515" s="4" t="str">
        <f ca="1">IF(OR(INDEX($X$2:$X$1001,MATCH(ROWS($W$2:W515),$W$2:$W$1001,0),1)&gt;=100000,INDEX($AD$1005:$AU$1005,1,MATCH(COLUMNS($AD$1006:AS1006),$AD$1006:$AU$1006,0))&gt;=100000), " ",IF(INDEX($AD$2:$AU$1001,MATCH(ROWS($W$2:W515),$W$2:$W$1001,0),MATCH(COLUMNS($AD$1006:AS1006),$AD$1006:$AU$1006,0)), HYPERLINK("#",""), HYPERLINK(CONCATENATE("#metadata!", ADDRESS(INDEX($Y$2:$Y$1001,MATCH(ROWS($W$2:W515),$W$2:$W$1001,0),0), INDEX($AD$1004:$AU$1004,1,MATCH(COLUMNS($AD$1006:AS1006),$AD$1006:$AU$1006,0)))),"Fix")))</f>
        <v xml:space="preserve"> </v>
      </c>
      <c r="R515" s="4" t="str">
        <f ca="1">IF(OR(INDEX($X$2:$X$1001,MATCH(ROWS($W$2:W515),$W$2:$W$1001,0),1)&gt;=100000,INDEX($AD$1005:$AU$1005,1,MATCH(COLUMNS($AD$1006:AT1006),$AD$1006:$AU$1006,0))&gt;=100000), " ",IF(INDEX($AD$2:$AU$1001,MATCH(ROWS($W$2:W515),$W$2:$W$1001,0),MATCH(COLUMNS($AD$1006:AT1006),$AD$1006:$AU$1006,0)), HYPERLINK("#",""), HYPERLINK(CONCATENATE("#metadata!", ADDRESS(INDEX($Y$2:$Y$1001,MATCH(ROWS($W$2:W515),$W$2:$W$1001,0),0), INDEX($AD$1004:$AU$1004,1,MATCH(COLUMNS($AD$1006:AT1006),$AD$1006:$AU$1006,0)))),"Fix")))</f>
        <v xml:space="preserve"> </v>
      </c>
      <c r="S515" s="4" t="str">
        <f ca="1">IF(OR(INDEX($X$2:$X$1001,MATCH(ROWS($W$2:W515),$W$2:$W$1001,0),1)&gt;=100000,INDEX($AD$1005:$AU$1005,1,MATCH(COLUMNS($AD$1006:AU1006),$AD$1006:$AU$1006,0))&gt;=100000), " ",IF(INDEX($AD$2:$AU$1001,MATCH(ROWS($W$2:W515),$W$2:$W$1001,0),MATCH(COLUMNS($AD$1006:AU1006),$AD$1006:$AU$1006,0)), HYPERLINK("#",""), HYPERLINK(CONCATENATE("#metadata!", ADDRESS(INDEX($Y$2:$Y$1001,MATCH(ROWS($W$2:W515),$W$2:$W$1001,0),0), INDEX($AD$1004:$AU$1004,1,MATCH(COLUMNS($AD$1006:AU1006),$AD$1006:$AU$1006,0)))),"Fix")))</f>
        <v xml:space="preserve"> </v>
      </c>
      <c r="W515">
        <v>514</v>
      </c>
      <c r="X515">
        <v>100515</v>
      </c>
      <c r="Y515">
        <v>515</v>
      </c>
      <c r="Z515" t="b">
        <f t="shared" si="8"/>
        <v>1</v>
      </c>
      <c r="AA515" t="b">
        <f>COUNTBLANK(metadata!B515:S515)=COLUMNS(metadata!B515:S515)</f>
        <v>1</v>
      </c>
      <c r="AB515" t="str">
        <v/>
      </c>
      <c r="AD515" t="b">
        <f ca="1">AND(IF(metadata!B515="",FALSE,TRUE),COUNTIF(metadata!B:B, metadata!B515) = 1,NOT(ISERROR(SUMPRODUCT(SEARCH(MID(metadata!B515,ROW(INDIRECT("1:"&amp;LEN(metadata!B515))), 1),"0123456789abcdefghijklmnopqrstuvwxyzABCDEFGHIJKLMNOPQRSTUVWXYZ.")))))</f>
        <v>0</v>
      </c>
      <c r="AE515" t="b">
        <f>OR(AND(IF(metadata!C515="",FALSE,TRUE),OR(EXACT(metadata!C515,"not applicable"),EXACT(metadata!C515,"missing: not collected"),EXACT(metadata!C515,"missing: not provided"),EXACT(metadata!C515,"missing: restricted access"))),AND(IF(metadata!C515="",FALSE,ISNUMBER(VALUE(metadata!C515))),metadata!C515&gt;0))</f>
        <v>0</v>
      </c>
      <c r="AF515" t="b">
        <f>AND(IF(metadata!D515="",FALSE,TRUE),EXACT(metadata!D515,"missing: not provided"))</f>
        <v>0</v>
      </c>
      <c r="AG515" t="b">
        <f>AND(IF(metadata!E515="",FALSE,TRUE),EXACT(metadata!E515,"Host-associated"))</f>
        <v>0</v>
      </c>
      <c r="AH515" t="b">
        <f>AND(IF(metadata!F515="",FALSE,TRUE),OR(EXACT(metadata!F515,"Animal"),EXACT(metadata!F515,"Fungus"),EXACT(metadata!F515,"Plant")))</f>
        <v>0</v>
      </c>
      <c r="AI515" t="b">
        <f>AND(IF(metadata!G515="",FALSE,TRUE),OR(EXACT(metadata!G515,"Plant secretion"),EXACT(metadata!G515,"Plant rhizosphere"),EXACT(metadata!G515,"Plant surface"),EXACT(metadata!G515,"Plant corpus"),EXACT(metadata!G515,"Fungus surface"),EXACT(metadata!G515,"Fungus corpus"),EXACT(metadata!G515,"Animal surface"),EXACT(metadata!G515,"Animal proximal gut"),EXACT(metadata!G515,"Animal corpus"),EXACT(metadata!G515,"Animal distal gut"),EXACT(metadata!G515,"Animal secretion")))</f>
        <v>0</v>
      </c>
      <c r="AJ515" t="b">
        <f>OR(AND(IF(metadata!H515="",FALSE,TRUE),OR(EXACT(metadata!H515,"missing: not collected"),EXACT(metadata!H515,"missing: not provided"),EXACT(metadata!H515,"missing: restricted access"))),AND(IF(metadata!H515="",FALSE,TRUE),OR(EXACT(metadata!H515,"organism-associated habitat"),EXACT(metadata!H515,"plant-associated habitat"),EXACT(metadata!H515,"animal-associated habitat"),EXACT(metadata!H515,"insecta-associated habitat"),EXACT(metadata!H515,"mammalia-associated habitat"),EXACT(metadata!H515,"human-associated habitat"),EXACT(metadata!H515,"livestock-associated habitat"))))</f>
        <v>0</v>
      </c>
      <c r="AK515" t="b">
        <f>AND(IF(metadata!I515="",FALSE,TRUE),EXACT(metadata!I515,"host-associated"))</f>
        <v>0</v>
      </c>
      <c r="AL515" t="b">
        <f>OR(AND(IF(metadata!J515="",FALSE,TRUE),OR(EXACT(metadata!J515,"not applicable"),EXACT(metadata!J515,"missing: not collected"),EXACT(metadata!J515,"missing: not provided"),EXACT(metadata!J515,"missing: restricted access"))),AND(IF(metadata!J515="",FALSE,ISNUMBER(VALUE(metadata!J515))),metadata!J515&gt;0))</f>
        <v>0</v>
      </c>
      <c r="AM515" t="b">
        <f>AND(IF(metadata!K515="",FALSE,TRUE),EXACT(metadata!K515,"missing: not provided"))</f>
        <v>0</v>
      </c>
      <c r="AN515" t="b">
        <f>IF(metadata!L515="",FALSE,TRUE)</f>
        <v>0</v>
      </c>
      <c r="AO515" t="b">
        <f>IF(metadata!M515="",FALSE,TRUE)</f>
        <v>0</v>
      </c>
      <c r="AP515" t="b">
        <f>OR(AND(IF(metadata!N515="",FALSE,TRUE),OR(EXACT(metadata!N515,"not applicable"),EXACT(metadata!N515,"missing: not collected"),EXACT(metadata!N515,"missing: not provided"))),AND(IF(metadata!N515="",FALSE,IF(ISERROR(INT(metadata!N515)),FALSE,INT(metadata!N515)=metadata!N515)),metadata!N515&gt;0))</f>
        <v>0</v>
      </c>
      <c r="AQ515" t="b">
        <f>AND(IF(metadata!O515="",FALSE,TRUE),EXACT(metadata!O515,"Not applicable"))</f>
        <v>0</v>
      </c>
      <c r="AR515" t="b">
        <f>OR(AND(IF(metadata!P515="",FALSE,TRUE),OR(EXACT(metadata!P515,"not applicable"),EXACT(metadata!P515,"missing: not collected"),EXACT(metadata!P515,"missing: not provided"),EXACT(metadata!P515,"missing: restricted access"))),IF(metadata!P515="",FALSE,IF(ISERROR(INT(metadata!P515)),FALSE,INT(metadata!P515)=metadata!P515)))</f>
        <v>0</v>
      </c>
      <c r="AS515" t="b">
        <f>AND(IF(metadata!Q515="",FALSE,TRUE),EXACT(metadata!Q515,"Not applicable"))</f>
        <v>0</v>
      </c>
      <c r="AT515" t="b">
        <f>OR(AND(IF(metadata!R515="",FALSE,TRUE),OR(EXACT(metadata!R515,"not applicable"),EXACT(metadata!R515,"missing: not collected"),EXACT(metadata!R515,"missing: not provided"),EXACT(metadata!R515,"missing: restricted access"))),AND(IF(metadata!R515="",FALSE,ISNUMBER(VALUE(metadata!R515))),metadata!R515&gt;0))</f>
        <v>0</v>
      </c>
      <c r="AU515" t="b">
        <f>AND(IF(metadata!S515="",FALSE,TRUE),EXACT(metadata!S515,"missing: not provided"))</f>
        <v>0</v>
      </c>
    </row>
    <row r="516" spans="1:47" x14ac:dyDescent="0.2">
      <c r="A516" s="5" t="str">
        <f ca="1">IF(B516=" "," ",HYPERLINK(CONCATENATE("#metadata!",ADDRESS(INDEX($Y$2:$Y$1001,MATCH(ROWS($W$2:W516),$W$2:$W$1001,0),0),1)),INDEX($AB$2:$AB$1001,MATCH(ROWS($W$2:W516),$W$2:$W$1001,0),0)))</f>
        <v xml:space="preserve"> </v>
      </c>
      <c r="B516" s="4" t="str">
        <f ca="1">IF(OR(INDEX($X$2:$X$1001,MATCH(ROWS($W$2:W516),$W$2:$W$1001,0),1)&gt;=100000,INDEX($AD$1005:$AU$1005,1,MATCH(COLUMNS($AD$1006:AD1006),$AD$1006:$AU$1006,0))&gt;=100000), " ",IF(INDEX($AD$2:$AU$1001,MATCH(ROWS($W$2:W516),$W$2:$W$1001,0),MATCH(COLUMNS($AD$1006:AD1006),$AD$1006:$AU$1006,0)), HYPERLINK("#",""), HYPERLINK(CONCATENATE("#metadata!", ADDRESS(INDEX($Y$2:$Y$1001,MATCH(ROWS($W$2:W516),$W$2:$W$1001,0),0), INDEX($AD$1004:$AU$1004,1,MATCH(COLUMNS($AD$1006:AD1006),$AD$1006:$AU$1006,0)))),"Fix")))</f>
        <v xml:space="preserve"> </v>
      </c>
      <c r="C516" s="4" t="str">
        <f ca="1">IF(OR(INDEX($X$2:$X$1001,MATCH(ROWS($W$2:W516),$W$2:$W$1001,0),1)&gt;=100000,INDEX($AD$1005:$AU$1005,1,MATCH(COLUMNS($AD$1006:AE1006),$AD$1006:$AU$1006,0))&gt;=100000), " ",IF(INDEX($AD$2:$AU$1001,MATCH(ROWS($W$2:W516),$W$2:$W$1001,0),MATCH(COLUMNS($AD$1006:AE1006),$AD$1006:$AU$1006,0)), HYPERLINK("#",""), HYPERLINK(CONCATENATE("#metadata!", ADDRESS(INDEX($Y$2:$Y$1001,MATCH(ROWS($W$2:W516),$W$2:$W$1001,0),0), INDEX($AD$1004:$AU$1004,1,MATCH(COLUMNS($AD$1006:AE1006),$AD$1006:$AU$1006,0)))),"Fix")))</f>
        <v xml:space="preserve"> </v>
      </c>
      <c r="D516" s="4" t="str">
        <f ca="1">IF(OR(INDEX($X$2:$X$1001,MATCH(ROWS($W$2:W516),$W$2:$W$1001,0),1)&gt;=100000,INDEX($AD$1005:$AU$1005,1,MATCH(COLUMNS($AD$1006:AF1006),$AD$1006:$AU$1006,0))&gt;=100000), " ",IF(INDEX($AD$2:$AU$1001,MATCH(ROWS($W$2:W516),$W$2:$W$1001,0),MATCH(COLUMNS($AD$1006:AF1006),$AD$1006:$AU$1006,0)), HYPERLINK("#",""), HYPERLINK(CONCATENATE("#metadata!", ADDRESS(INDEX($Y$2:$Y$1001,MATCH(ROWS($W$2:W516),$W$2:$W$1001,0),0), INDEX($AD$1004:$AU$1004,1,MATCH(COLUMNS($AD$1006:AF1006),$AD$1006:$AU$1006,0)))),"Fix")))</f>
        <v xml:space="preserve"> </v>
      </c>
      <c r="E516" s="4" t="str">
        <f ca="1">IF(OR(INDEX($X$2:$X$1001,MATCH(ROWS($W$2:W516),$W$2:$W$1001,0),1)&gt;=100000,INDEX($AD$1005:$AU$1005,1,MATCH(COLUMNS($AD$1006:AG1006),$AD$1006:$AU$1006,0))&gt;=100000), " ",IF(INDEX($AD$2:$AU$1001,MATCH(ROWS($W$2:W516),$W$2:$W$1001,0),MATCH(COLUMNS($AD$1006:AG1006),$AD$1006:$AU$1006,0)), HYPERLINK("#",""), HYPERLINK(CONCATENATE("#metadata!", ADDRESS(INDEX($Y$2:$Y$1001,MATCH(ROWS($W$2:W516),$W$2:$W$1001,0),0), INDEX($AD$1004:$AU$1004,1,MATCH(COLUMNS($AD$1006:AG1006),$AD$1006:$AU$1006,0)))),"Fix")))</f>
        <v xml:space="preserve"> </v>
      </c>
      <c r="F516" s="4" t="str">
        <f ca="1">IF(OR(INDEX($X$2:$X$1001,MATCH(ROWS($W$2:W516),$W$2:$W$1001,0),1)&gt;=100000,INDEX($AD$1005:$AU$1005,1,MATCH(COLUMNS($AD$1006:AH1006),$AD$1006:$AU$1006,0))&gt;=100000), " ",IF(INDEX($AD$2:$AU$1001,MATCH(ROWS($W$2:W516),$W$2:$W$1001,0),MATCH(COLUMNS($AD$1006:AH1006),$AD$1006:$AU$1006,0)), HYPERLINK("#",""), HYPERLINK(CONCATENATE("#metadata!", ADDRESS(INDEX($Y$2:$Y$1001,MATCH(ROWS($W$2:W516),$W$2:$W$1001,0),0), INDEX($AD$1004:$AU$1004,1,MATCH(COLUMNS($AD$1006:AH1006),$AD$1006:$AU$1006,0)))),"Fix")))</f>
        <v xml:space="preserve"> </v>
      </c>
      <c r="G516" s="4" t="str">
        <f ca="1">IF(OR(INDEX($X$2:$X$1001,MATCH(ROWS($W$2:W516),$W$2:$W$1001,0),1)&gt;=100000,INDEX($AD$1005:$AU$1005,1,MATCH(COLUMNS($AD$1006:AI1006),$AD$1006:$AU$1006,0))&gt;=100000), " ",IF(INDEX($AD$2:$AU$1001,MATCH(ROWS($W$2:W516),$W$2:$W$1001,0),MATCH(COLUMNS($AD$1006:AI1006),$AD$1006:$AU$1006,0)), HYPERLINK("#",""), HYPERLINK(CONCATENATE("#metadata!", ADDRESS(INDEX($Y$2:$Y$1001,MATCH(ROWS($W$2:W516),$W$2:$W$1001,0),0), INDEX($AD$1004:$AU$1004,1,MATCH(COLUMNS($AD$1006:AI1006),$AD$1006:$AU$1006,0)))),"Fix")))</f>
        <v xml:space="preserve"> </v>
      </c>
      <c r="H516" s="4" t="str">
        <f ca="1">IF(OR(INDEX($X$2:$X$1001,MATCH(ROWS($W$2:W516),$W$2:$W$1001,0),1)&gt;=100000,INDEX($AD$1005:$AU$1005,1,MATCH(COLUMNS($AD$1006:AJ1006),$AD$1006:$AU$1006,0))&gt;=100000), " ",IF(INDEX($AD$2:$AU$1001,MATCH(ROWS($W$2:W516),$W$2:$W$1001,0),MATCH(COLUMNS($AD$1006:AJ1006),$AD$1006:$AU$1006,0)), HYPERLINK("#",""), HYPERLINK(CONCATENATE("#metadata!", ADDRESS(INDEX($Y$2:$Y$1001,MATCH(ROWS($W$2:W516),$W$2:$W$1001,0),0), INDEX($AD$1004:$AU$1004,1,MATCH(COLUMNS($AD$1006:AJ1006),$AD$1006:$AU$1006,0)))),"Fix")))</f>
        <v xml:space="preserve"> </v>
      </c>
      <c r="I516" s="4" t="str">
        <f ca="1">IF(OR(INDEX($X$2:$X$1001,MATCH(ROWS($W$2:W516),$W$2:$W$1001,0),1)&gt;=100000,INDEX($AD$1005:$AU$1005,1,MATCH(COLUMNS($AD$1006:AK1006),$AD$1006:$AU$1006,0))&gt;=100000), " ",IF(INDEX($AD$2:$AU$1001,MATCH(ROWS($W$2:W516),$W$2:$W$1001,0),MATCH(COLUMNS($AD$1006:AK1006),$AD$1006:$AU$1006,0)), HYPERLINK("#",""), HYPERLINK(CONCATENATE("#metadata!", ADDRESS(INDEX($Y$2:$Y$1001,MATCH(ROWS($W$2:W516),$W$2:$W$1001,0),0), INDEX($AD$1004:$AU$1004,1,MATCH(COLUMNS($AD$1006:AK1006),$AD$1006:$AU$1006,0)))),"Fix")))</f>
        <v xml:space="preserve"> </v>
      </c>
      <c r="J516" s="4" t="str">
        <f ca="1">IF(OR(INDEX($X$2:$X$1001,MATCH(ROWS($W$2:W516),$W$2:$W$1001,0),1)&gt;=100000,INDEX($AD$1005:$AU$1005,1,MATCH(COLUMNS($AD$1006:AL1006),$AD$1006:$AU$1006,0))&gt;=100000), " ",IF(INDEX($AD$2:$AU$1001,MATCH(ROWS($W$2:W516),$W$2:$W$1001,0),MATCH(COLUMNS($AD$1006:AL1006),$AD$1006:$AU$1006,0)), HYPERLINK("#",""), HYPERLINK(CONCATENATE("#metadata!", ADDRESS(INDEX($Y$2:$Y$1001,MATCH(ROWS($W$2:W516),$W$2:$W$1001,0),0), INDEX($AD$1004:$AU$1004,1,MATCH(COLUMNS($AD$1006:AL1006),$AD$1006:$AU$1006,0)))),"Fix")))</f>
        <v xml:space="preserve"> </v>
      </c>
      <c r="K516" s="4" t="str">
        <f ca="1">IF(OR(INDEX($X$2:$X$1001,MATCH(ROWS($W$2:W516),$W$2:$W$1001,0),1)&gt;=100000,INDEX($AD$1005:$AU$1005,1,MATCH(COLUMNS($AD$1006:AM1006),$AD$1006:$AU$1006,0))&gt;=100000), " ",IF(INDEX($AD$2:$AU$1001,MATCH(ROWS($W$2:W516),$W$2:$W$1001,0),MATCH(COLUMNS($AD$1006:AM1006),$AD$1006:$AU$1006,0)), HYPERLINK("#",""), HYPERLINK(CONCATENATE("#metadata!", ADDRESS(INDEX($Y$2:$Y$1001,MATCH(ROWS($W$2:W516),$W$2:$W$1001,0),0), INDEX($AD$1004:$AU$1004,1,MATCH(COLUMNS($AD$1006:AM1006),$AD$1006:$AU$1006,0)))),"Fix")))</f>
        <v xml:space="preserve"> </v>
      </c>
      <c r="L516" s="4" t="str">
        <f ca="1">IF(OR(INDEX($X$2:$X$1001,MATCH(ROWS($W$2:W516),$W$2:$W$1001,0),1)&gt;=100000,INDEX($AD$1005:$AU$1005,1,MATCH(COLUMNS($AD$1006:AN1006),$AD$1006:$AU$1006,0))&gt;=100000), " ",IF(INDEX($AD$2:$AU$1001,MATCH(ROWS($W$2:W516),$W$2:$W$1001,0),MATCH(COLUMNS($AD$1006:AN1006),$AD$1006:$AU$1006,0)), HYPERLINK("#",""), HYPERLINK(CONCATENATE("#metadata!", ADDRESS(INDEX($Y$2:$Y$1001,MATCH(ROWS($W$2:W516),$W$2:$W$1001,0),0), INDEX($AD$1004:$AU$1004,1,MATCH(COLUMNS($AD$1006:AN1006),$AD$1006:$AU$1006,0)))),"Fix")))</f>
        <v xml:space="preserve"> </v>
      </c>
      <c r="M516" s="4" t="str">
        <f ca="1">IF(OR(INDEX($X$2:$X$1001,MATCH(ROWS($W$2:W516),$W$2:$W$1001,0),1)&gt;=100000,INDEX($AD$1005:$AU$1005,1,MATCH(COLUMNS($AD$1006:AO1006),$AD$1006:$AU$1006,0))&gt;=100000), " ",IF(INDEX($AD$2:$AU$1001,MATCH(ROWS($W$2:W516),$W$2:$W$1001,0),MATCH(COLUMNS($AD$1006:AO1006),$AD$1006:$AU$1006,0)), HYPERLINK("#",""), HYPERLINK(CONCATENATE("#metadata!", ADDRESS(INDEX($Y$2:$Y$1001,MATCH(ROWS($W$2:W516),$W$2:$W$1001,0),0), INDEX($AD$1004:$AU$1004,1,MATCH(COLUMNS($AD$1006:AO1006),$AD$1006:$AU$1006,0)))),"Fix")))</f>
        <v xml:space="preserve"> </v>
      </c>
      <c r="N516" s="4" t="str">
        <f ca="1">IF(OR(INDEX($X$2:$X$1001,MATCH(ROWS($W$2:W516),$W$2:$W$1001,0),1)&gt;=100000,INDEX($AD$1005:$AU$1005,1,MATCH(COLUMNS($AD$1006:AP1006),$AD$1006:$AU$1006,0))&gt;=100000), " ",IF(INDEX($AD$2:$AU$1001,MATCH(ROWS($W$2:W516),$W$2:$W$1001,0),MATCH(COLUMNS($AD$1006:AP1006),$AD$1006:$AU$1006,0)), HYPERLINK("#",""), HYPERLINK(CONCATENATE("#metadata!", ADDRESS(INDEX($Y$2:$Y$1001,MATCH(ROWS($W$2:W516),$W$2:$W$1001,0),0), INDEX($AD$1004:$AU$1004,1,MATCH(COLUMNS($AD$1006:AP1006),$AD$1006:$AU$1006,0)))),"Fix")))</f>
        <v xml:space="preserve"> </v>
      </c>
      <c r="O516" s="4" t="str">
        <f ca="1">IF(OR(INDEX($X$2:$X$1001,MATCH(ROWS($W$2:W516),$W$2:$W$1001,0),1)&gt;=100000,INDEX($AD$1005:$AU$1005,1,MATCH(COLUMNS($AD$1006:AQ1006),$AD$1006:$AU$1006,0))&gt;=100000), " ",IF(INDEX($AD$2:$AU$1001,MATCH(ROWS($W$2:W516),$W$2:$W$1001,0),MATCH(COLUMNS($AD$1006:AQ1006),$AD$1006:$AU$1006,0)), HYPERLINK("#",""), HYPERLINK(CONCATENATE("#metadata!", ADDRESS(INDEX($Y$2:$Y$1001,MATCH(ROWS($W$2:W516),$W$2:$W$1001,0),0), INDEX($AD$1004:$AU$1004,1,MATCH(COLUMNS($AD$1006:AQ1006),$AD$1006:$AU$1006,0)))),"Fix")))</f>
        <v xml:space="preserve"> </v>
      </c>
      <c r="P516" s="4" t="str">
        <f ca="1">IF(OR(INDEX($X$2:$X$1001,MATCH(ROWS($W$2:W516),$W$2:$W$1001,0),1)&gt;=100000,INDEX($AD$1005:$AU$1005,1,MATCH(COLUMNS($AD$1006:AR1006),$AD$1006:$AU$1006,0))&gt;=100000), " ",IF(INDEX($AD$2:$AU$1001,MATCH(ROWS($W$2:W516),$W$2:$W$1001,0),MATCH(COLUMNS($AD$1006:AR1006),$AD$1006:$AU$1006,0)), HYPERLINK("#",""), HYPERLINK(CONCATENATE("#metadata!", ADDRESS(INDEX($Y$2:$Y$1001,MATCH(ROWS($W$2:W516),$W$2:$W$1001,0),0), INDEX($AD$1004:$AU$1004,1,MATCH(COLUMNS($AD$1006:AR1006),$AD$1006:$AU$1006,0)))),"Fix")))</f>
        <v xml:space="preserve"> </v>
      </c>
      <c r="Q516" s="4" t="str">
        <f ca="1">IF(OR(INDEX($X$2:$X$1001,MATCH(ROWS($W$2:W516),$W$2:$W$1001,0),1)&gt;=100000,INDEX($AD$1005:$AU$1005,1,MATCH(COLUMNS($AD$1006:AS1006),$AD$1006:$AU$1006,0))&gt;=100000), " ",IF(INDEX($AD$2:$AU$1001,MATCH(ROWS($W$2:W516),$W$2:$W$1001,0),MATCH(COLUMNS($AD$1006:AS1006),$AD$1006:$AU$1006,0)), HYPERLINK("#",""), HYPERLINK(CONCATENATE("#metadata!", ADDRESS(INDEX($Y$2:$Y$1001,MATCH(ROWS($W$2:W516),$W$2:$W$1001,0),0), INDEX($AD$1004:$AU$1004,1,MATCH(COLUMNS($AD$1006:AS1006),$AD$1006:$AU$1006,0)))),"Fix")))</f>
        <v xml:space="preserve"> </v>
      </c>
      <c r="R516" s="4" t="str">
        <f ca="1">IF(OR(INDEX($X$2:$X$1001,MATCH(ROWS($W$2:W516),$W$2:$W$1001,0),1)&gt;=100000,INDEX($AD$1005:$AU$1005,1,MATCH(COLUMNS($AD$1006:AT1006),$AD$1006:$AU$1006,0))&gt;=100000), " ",IF(INDEX($AD$2:$AU$1001,MATCH(ROWS($W$2:W516),$W$2:$W$1001,0),MATCH(COLUMNS($AD$1006:AT1006),$AD$1006:$AU$1006,0)), HYPERLINK("#",""), HYPERLINK(CONCATENATE("#metadata!", ADDRESS(INDEX($Y$2:$Y$1001,MATCH(ROWS($W$2:W516),$W$2:$W$1001,0),0), INDEX($AD$1004:$AU$1004,1,MATCH(COLUMNS($AD$1006:AT1006),$AD$1006:$AU$1006,0)))),"Fix")))</f>
        <v xml:space="preserve"> </v>
      </c>
      <c r="S516" s="4" t="str">
        <f ca="1">IF(OR(INDEX($X$2:$X$1001,MATCH(ROWS($W$2:W516),$W$2:$W$1001,0),1)&gt;=100000,INDEX($AD$1005:$AU$1005,1,MATCH(COLUMNS($AD$1006:AU1006),$AD$1006:$AU$1006,0))&gt;=100000), " ",IF(INDEX($AD$2:$AU$1001,MATCH(ROWS($W$2:W516),$W$2:$W$1001,0),MATCH(COLUMNS($AD$1006:AU1006),$AD$1006:$AU$1006,0)), HYPERLINK("#",""), HYPERLINK(CONCATENATE("#metadata!", ADDRESS(INDEX($Y$2:$Y$1001,MATCH(ROWS($W$2:W516),$W$2:$W$1001,0),0), INDEX($AD$1004:$AU$1004,1,MATCH(COLUMNS($AD$1006:AU1006),$AD$1006:$AU$1006,0)))),"Fix")))</f>
        <v xml:space="preserve"> </v>
      </c>
      <c r="W516">
        <v>515</v>
      </c>
      <c r="X516">
        <v>100516</v>
      </c>
      <c r="Y516">
        <v>516</v>
      </c>
      <c r="Z516" t="b">
        <f t="shared" si="8"/>
        <v>1</v>
      </c>
      <c r="AA516" t="b">
        <f>COUNTBLANK(metadata!B516:S516)=COLUMNS(metadata!B516:S516)</f>
        <v>1</v>
      </c>
      <c r="AB516" t="str">
        <v/>
      </c>
      <c r="AD516" t="b">
        <f ca="1">AND(IF(metadata!B516="",FALSE,TRUE),COUNTIF(metadata!B:B, metadata!B516) = 1,NOT(ISERROR(SUMPRODUCT(SEARCH(MID(metadata!B516,ROW(INDIRECT("1:"&amp;LEN(metadata!B516))), 1),"0123456789abcdefghijklmnopqrstuvwxyzABCDEFGHIJKLMNOPQRSTUVWXYZ.")))))</f>
        <v>0</v>
      </c>
      <c r="AE516" t="b">
        <f>OR(AND(IF(metadata!C516="",FALSE,TRUE),OR(EXACT(metadata!C516,"not applicable"),EXACT(metadata!C516,"missing: not collected"),EXACT(metadata!C516,"missing: not provided"),EXACT(metadata!C516,"missing: restricted access"))),AND(IF(metadata!C516="",FALSE,ISNUMBER(VALUE(metadata!C516))),metadata!C516&gt;0))</f>
        <v>0</v>
      </c>
      <c r="AF516" t="b">
        <f>AND(IF(metadata!D516="",FALSE,TRUE),EXACT(metadata!D516,"missing: not provided"))</f>
        <v>0</v>
      </c>
      <c r="AG516" t="b">
        <f>AND(IF(metadata!E516="",FALSE,TRUE),EXACT(metadata!E516,"Host-associated"))</f>
        <v>0</v>
      </c>
      <c r="AH516" t="b">
        <f>AND(IF(metadata!F516="",FALSE,TRUE),OR(EXACT(metadata!F516,"Animal"),EXACT(metadata!F516,"Fungus"),EXACT(metadata!F516,"Plant")))</f>
        <v>0</v>
      </c>
      <c r="AI516" t="b">
        <f>AND(IF(metadata!G516="",FALSE,TRUE),OR(EXACT(metadata!G516,"Plant secretion"),EXACT(metadata!G516,"Plant rhizosphere"),EXACT(metadata!G516,"Plant surface"),EXACT(metadata!G516,"Plant corpus"),EXACT(metadata!G516,"Fungus surface"),EXACT(metadata!G516,"Fungus corpus"),EXACT(metadata!G516,"Animal surface"),EXACT(metadata!G516,"Animal proximal gut"),EXACT(metadata!G516,"Animal corpus"),EXACT(metadata!G516,"Animal distal gut"),EXACT(metadata!G516,"Animal secretion")))</f>
        <v>0</v>
      </c>
      <c r="AJ516" t="b">
        <f>OR(AND(IF(metadata!H516="",FALSE,TRUE),OR(EXACT(metadata!H516,"missing: not collected"),EXACT(metadata!H516,"missing: not provided"),EXACT(metadata!H516,"missing: restricted access"))),AND(IF(metadata!H516="",FALSE,TRUE),OR(EXACT(metadata!H516,"organism-associated habitat"),EXACT(metadata!H516,"plant-associated habitat"),EXACT(metadata!H516,"animal-associated habitat"),EXACT(metadata!H516,"insecta-associated habitat"),EXACT(metadata!H516,"mammalia-associated habitat"),EXACT(metadata!H516,"human-associated habitat"),EXACT(metadata!H516,"livestock-associated habitat"))))</f>
        <v>0</v>
      </c>
      <c r="AK516" t="b">
        <f>AND(IF(metadata!I516="",FALSE,TRUE),EXACT(metadata!I516,"host-associated"))</f>
        <v>0</v>
      </c>
      <c r="AL516" t="b">
        <f>OR(AND(IF(metadata!J516="",FALSE,TRUE),OR(EXACT(metadata!J516,"not applicable"),EXACT(metadata!J516,"missing: not collected"),EXACT(metadata!J516,"missing: not provided"),EXACT(metadata!J516,"missing: restricted access"))),AND(IF(metadata!J516="",FALSE,ISNUMBER(VALUE(metadata!J516))),metadata!J516&gt;0))</f>
        <v>0</v>
      </c>
      <c r="AM516" t="b">
        <f>AND(IF(metadata!K516="",FALSE,TRUE),EXACT(metadata!K516,"missing: not provided"))</f>
        <v>0</v>
      </c>
      <c r="AN516" t="b">
        <f>IF(metadata!L516="",FALSE,TRUE)</f>
        <v>0</v>
      </c>
      <c r="AO516" t="b">
        <f>IF(metadata!M516="",FALSE,TRUE)</f>
        <v>0</v>
      </c>
      <c r="AP516" t="b">
        <f>OR(AND(IF(metadata!N516="",FALSE,TRUE),OR(EXACT(metadata!N516,"not applicable"),EXACT(metadata!N516,"missing: not collected"),EXACT(metadata!N516,"missing: not provided"))),AND(IF(metadata!N516="",FALSE,IF(ISERROR(INT(metadata!N516)),FALSE,INT(metadata!N516)=metadata!N516)),metadata!N516&gt;0))</f>
        <v>0</v>
      </c>
      <c r="AQ516" t="b">
        <f>AND(IF(metadata!O516="",FALSE,TRUE),EXACT(metadata!O516,"Not applicable"))</f>
        <v>0</v>
      </c>
      <c r="AR516" t="b">
        <f>OR(AND(IF(metadata!P516="",FALSE,TRUE),OR(EXACT(metadata!P516,"not applicable"),EXACT(metadata!P516,"missing: not collected"),EXACT(metadata!P516,"missing: not provided"),EXACT(metadata!P516,"missing: restricted access"))),IF(metadata!P516="",FALSE,IF(ISERROR(INT(metadata!P516)),FALSE,INT(metadata!P516)=metadata!P516)))</f>
        <v>0</v>
      </c>
      <c r="AS516" t="b">
        <f>AND(IF(metadata!Q516="",FALSE,TRUE),EXACT(metadata!Q516,"Not applicable"))</f>
        <v>0</v>
      </c>
      <c r="AT516" t="b">
        <f>OR(AND(IF(metadata!R516="",FALSE,TRUE),OR(EXACT(metadata!R516,"not applicable"),EXACT(metadata!R516,"missing: not collected"),EXACT(metadata!R516,"missing: not provided"),EXACT(metadata!R516,"missing: restricted access"))),AND(IF(metadata!R516="",FALSE,ISNUMBER(VALUE(metadata!R516))),metadata!R516&gt;0))</f>
        <v>0</v>
      </c>
      <c r="AU516" t="b">
        <f>AND(IF(metadata!S516="",FALSE,TRUE),EXACT(metadata!S516,"missing: not provided"))</f>
        <v>0</v>
      </c>
    </row>
    <row r="517" spans="1:47" x14ac:dyDescent="0.2">
      <c r="A517" s="5" t="str">
        <f ca="1">IF(B517=" "," ",HYPERLINK(CONCATENATE("#metadata!",ADDRESS(INDEX($Y$2:$Y$1001,MATCH(ROWS($W$2:W517),$W$2:$W$1001,0),0),1)),INDEX($AB$2:$AB$1001,MATCH(ROWS($W$2:W517),$W$2:$W$1001,0),0)))</f>
        <v xml:space="preserve"> </v>
      </c>
      <c r="B517" s="4" t="str">
        <f ca="1">IF(OR(INDEX($X$2:$X$1001,MATCH(ROWS($W$2:W517),$W$2:$W$1001,0),1)&gt;=100000,INDEX($AD$1005:$AU$1005,1,MATCH(COLUMNS($AD$1006:AD1006),$AD$1006:$AU$1006,0))&gt;=100000), " ",IF(INDEX($AD$2:$AU$1001,MATCH(ROWS($W$2:W517),$W$2:$W$1001,0),MATCH(COLUMNS($AD$1006:AD1006),$AD$1006:$AU$1006,0)), HYPERLINK("#",""), HYPERLINK(CONCATENATE("#metadata!", ADDRESS(INDEX($Y$2:$Y$1001,MATCH(ROWS($W$2:W517),$W$2:$W$1001,0),0), INDEX($AD$1004:$AU$1004,1,MATCH(COLUMNS($AD$1006:AD1006),$AD$1006:$AU$1006,0)))),"Fix")))</f>
        <v xml:space="preserve"> </v>
      </c>
      <c r="C517" s="4" t="str">
        <f ca="1">IF(OR(INDEX($X$2:$X$1001,MATCH(ROWS($W$2:W517),$W$2:$W$1001,0),1)&gt;=100000,INDEX($AD$1005:$AU$1005,1,MATCH(COLUMNS($AD$1006:AE1006),$AD$1006:$AU$1006,0))&gt;=100000), " ",IF(INDEX($AD$2:$AU$1001,MATCH(ROWS($W$2:W517),$W$2:$W$1001,0),MATCH(COLUMNS($AD$1006:AE1006),$AD$1006:$AU$1006,0)), HYPERLINK("#",""), HYPERLINK(CONCATENATE("#metadata!", ADDRESS(INDEX($Y$2:$Y$1001,MATCH(ROWS($W$2:W517),$W$2:$W$1001,0),0), INDEX($AD$1004:$AU$1004,1,MATCH(COLUMNS($AD$1006:AE1006),$AD$1006:$AU$1006,0)))),"Fix")))</f>
        <v xml:space="preserve"> </v>
      </c>
      <c r="D517" s="4" t="str">
        <f ca="1">IF(OR(INDEX($X$2:$X$1001,MATCH(ROWS($W$2:W517),$W$2:$W$1001,0),1)&gt;=100000,INDEX($AD$1005:$AU$1005,1,MATCH(COLUMNS($AD$1006:AF1006),$AD$1006:$AU$1006,0))&gt;=100000), " ",IF(INDEX($AD$2:$AU$1001,MATCH(ROWS($W$2:W517),$W$2:$W$1001,0),MATCH(COLUMNS($AD$1006:AF1006),$AD$1006:$AU$1006,0)), HYPERLINK("#",""), HYPERLINK(CONCATENATE("#metadata!", ADDRESS(INDEX($Y$2:$Y$1001,MATCH(ROWS($W$2:W517),$W$2:$W$1001,0),0), INDEX($AD$1004:$AU$1004,1,MATCH(COLUMNS($AD$1006:AF1006),$AD$1006:$AU$1006,0)))),"Fix")))</f>
        <v xml:space="preserve"> </v>
      </c>
      <c r="E517" s="4" t="str">
        <f ca="1">IF(OR(INDEX($X$2:$X$1001,MATCH(ROWS($W$2:W517),$W$2:$W$1001,0),1)&gt;=100000,INDEX($AD$1005:$AU$1005,1,MATCH(COLUMNS($AD$1006:AG1006),$AD$1006:$AU$1006,0))&gt;=100000), " ",IF(INDEX($AD$2:$AU$1001,MATCH(ROWS($W$2:W517),$W$2:$W$1001,0),MATCH(COLUMNS($AD$1006:AG1006),$AD$1006:$AU$1006,0)), HYPERLINK("#",""), HYPERLINK(CONCATENATE("#metadata!", ADDRESS(INDEX($Y$2:$Y$1001,MATCH(ROWS($W$2:W517),$W$2:$W$1001,0),0), INDEX($AD$1004:$AU$1004,1,MATCH(COLUMNS($AD$1006:AG1006),$AD$1006:$AU$1006,0)))),"Fix")))</f>
        <v xml:space="preserve"> </v>
      </c>
      <c r="F517" s="4" t="str">
        <f ca="1">IF(OR(INDEX($X$2:$X$1001,MATCH(ROWS($W$2:W517),$W$2:$W$1001,0),1)&gt;=100000,INDEX($AD$1005:$AU$1005,1,MATCH(COLUMNS($AD$1006:AH1006),$AD$1006:$AU$1006,0))&gt;=100000), " ",IF(INDEX($AD$2:$AU$1001,MATCH(ROWS($W$2:W517),$W$2:$W$1001,0),MATCH(COLUMNS($AD$1006:AH1006),$AD$1006:$AU$1006,0)), HYPERLINK("#",""), HYPERLINK(CONCATENATE("#metadata!", ADDRESS(INDEX($Y$2:$Y$1001,MATCH(ROWS($W$2:W517),$W$2:$W$1001,0),0), INDEX($AD$1004:$AU$1004,1,MATCH(COLUMNS($AD$1006:AH1006),$AD$1006:$AU$1006,0)))),"Fix")))</f>
        <v xml:space="preserve"> </v>
      </c>
      <c r="G517" s="4" t="str">
        <f ca="1">IF(OR(INDEX($X$2:$X$1001,MATCH(ROWS($W$2:W517),$W$2:$W$1001,0),1)&gt;=100000,INDEX($AD$1005:$AU$1005,1,MATCH(COLUMNS($AD$1006:AI1006),$AD$1006:$AU$1006,0))&gt;=100000), " ",IF(INDEX($AD$2:$AU$1001,MATCH(ROWS($W$2:W517),$W$2:$W$1001,0),MATCH(COLUMNS($AD$1006:AI1006),$AD$1006:$AU$1006,0)), HYPERLINK("#",""), HYPERLINK(CONCATENATE("#metadata!", ADDRESS(INDEX($Y$2:$Y$1001,MATCH(ROWS($W$2:W517),$W$2:$W$1001,0),0), INDEX($AD$1004:$AU$1004,1,MATCH(COLUMNS($AD$1006:AI1006),$AD$1006:$AU$1006,0)))),"Fix")))</f>
        <v xml:space="preserve"> </v>
      </c>
      <c r="H517" s="4" t="str">
        <f ca="1">IF(OR(INDEX($X$2:$X$1001,MATCH(ROWS($W$2:W517),$W$2:$W$1001,0),1)&gt;=100000,INDEX($AD$1005:$AU$1005,1,MATCH(COLUMNS($AD$1006:AJ1006),$AD$1006:$AU$1006,0))&gt;=100000), " ",IF(INDEX($AD$2:$AU$1001,MATCH(ROWS($W$2:W517),$W$2:$W$1001,0),MATCH(COLUMNS($AD$1006:AJ1006),$AD$1006:$AU$1006,0)), HYPERLINK("#",""), HYPERLINK(CONCATENATE("#metadata!", ADDRESS(INDEX($Y$2:$Y$1001,MATCH(ROWS($W$2:W517),$W$2:$W$1001,0),0), INDEX($AD$1004:$AU$1004,1,MATCH(COLUMNS($AD$1006:AJ1006),$AD$1006:$AU$1006,0)))),"Fix")))</f>
        <v xml:space="preserve"> </v>
      </c>
      <c r="I517" s="4" t="str">
        <f ca="1">IF(OR(INDEX($X$2:$X$1001,MATCH(ROWS($W$2:W517),$W$2:$W$1001,0),1)&gt;=100000,INDEX($AD$1005:$AU$1005,1,MATCH(COLUMNS($AD$1006:AK1006),$AD$1006:$AU$1006,0))&gt;=100000), " ",IF(INDEX($AD$2:$AU$1001,MATCH(ROWS($W$2:W517),$W$2:$W$1001,0),MATCH(COLUMNS($AD$1006:AK1006),$AD$1006:$AU$1006,0)), HYPERLINK("#",""), HYPERLINK(CONCATENATE("#metadata!", ADDRESS(INDEX($Y$2:$Y$1001,MATCH(ROWS($W$2:W517),$W$2:$W$1001,0),0), INDEX($AD$1004:$AU$1004,1,MATCH(COLUMNS($AD$1006:AK1006),$AD$1006:$AU$1006,0)))),"Fix")))</f>
        <v xml:space="preserve"> </v>
      </c>
      <c r="J517" s="4" t="str">
        <f ca="1">IF(OR(INDEX($X$2:$X$1001,MATCH(ROWS($W$2:W517),$W$2:$W$1001,0),1)&gt;=100000,INDEX($AD$1005:$AU$1005,1,MATCH(COLUMNS($AD$1006:AL1006),$AD$1006:$AU$1006,0))&gt;=100000), " ",IF(INDEX($AD$2:$AU$1001,MATCH(ROWS($W$2:W517),$W$2:$W$1001,0),MATCH(COLUMNS($AD$1006:AL1006),$AD$1006:$AU$1006,0)), HYPERLINK("#",""), HYPERLINK(CONCATENATE("#metadata!", ADDRESS(INDEX($Y$2:$Y$1001,MATCH(ROWS($W$2:W517),$W$2:$W$1001,0),0), INDEX($AD$1004:$AU$1004,1,MATCH(COLUMNS($AD$1006:AL1006),$AD$1006:$AU$1006,0)))),"Fix")))</f>
        <v xml:space="preserve"> </v>
      </c>
      <c r="K517" s="4" t="str">
        <f ca="1">IF(OR(INDEX($X$2:$X$1001,MATCH(ROWS($W$2:W517),$W$2:$W$1001,0),1)&gt;=100000,INDEX($AD$1005:$AU$1005,1,MATCH(COLUMNS($AD$1006:AM1006),$AD$1006:$AU$1006,0))&gt;=100000), " ",IF(INDEX($AD$2:$AU$1001,MATCH(ROWS($W$2:W517),$W$2:$W$1001,0),MATCH(COLUMNS($AD$1006:AM1006),$AD$1006:$AU$1006,0)), HYPERLINK("#",""), HYPERLINK(CONCATENATE("#metadata!", ADDRESS(INDEX($Y$2:$Y$1001,MATCH(ROWS($W$2:W517),$W$2:$W$1001,0),0), INDEX($AD$1004:$AU$1004,1,MATCH(COLUMNS($AD$1006:AM1006),$AD$1006:$AU$1006,0)))),"Fix")))</f>
        <v xml:space="preserve"> </v>
      </c>
      <c r="L517" s="4" t="str">
        <f ca="1">IF(OR(INDEX($X$2:$X$1001,MATCH(ROWS($W$2:W517),$W$2:$W$1001,0),1)&gt;=100000,INDEX($AD$1005:$AU$1005,1,MATCH(COLUMNS($AD$1006:AN1006),$AD$1006:$AU$1006,0))&gt;=100000), " ",IF(INDEX($AD$2:$AU$1001,MATCH(ROWS($W$2:W517),$W$2:$W$1001,0),MATCH(COLUMNS($AD$1006:AN1006),$AD$1006:$AU$1006,0)), HYPERLINK("#",""), HYPERLINK(CONCATENATE("#metadata!", ADDRESS(INDEX($Y$2:$Y$1001,MATCH(ROWS($W$2:W517),$W$2:$W$1001,0),0), INDEX($AD$1004:$AU$1004,1,MATCH(COLUMNS($AD$1006:AN1006),$AD$1006:$AU$1006,0)))),"Fix")))</f>
        <v xml:space="preserve"> </v>
      </c>
      <c r="M517" s="4" t="str">
        <f ca="1">IF(OR(INDEX($X$2:$X$1001,MATCH(ROWS($W$2:W517),$W$2:$W$1001,0),1)&gt;=100000,INDEX($AD$1005:$AU$1005,1,MATCH(COLUMNS($AD$1006:AO1006),$AD$1006:$AU$1006,0))&gt;=100000), " ",IF(INDEX($AD$2:$AU$1001,MATCH(ROWS($W$2:W517),$W$2:$W$1001,0),MATCH(COLUMNS($AD$1006:AO1006),$AD$1006:$AU$1006,0)), HYPERLINK("#",""), HYPERLINK(CONCATENATE("#metadata!", ADDRESS(INDEX($Y$2:$Y$1001,MATCH(ROWS($W$2:W517),$W$2:$W$1001,0),0), INDEX($AD$1004:$AU$1004,1,MATCH(COLUMNS($AD$1006:AO1006),$AD$1006:$AU$1006,0)))),"Fix")))</f>
        <v xml:space="preserve"> </v>
      </c>
      <c r="N517" s="4" t="str">
        <f ca="1">IF(OR(INDEX($X$2:$X$1001,MATCH(ROWS($W$2:W517),$W$2:$W$1001,0),1)&gt;=100000,INDEX($AD$1005:$AU$1005,1,MATCH(COLUMNS($AD$1006:AP1006),$AD$1006:$AU$1006,0))&gt;=100000), " ",IF(INDEX($AD$2:$AU$1001,MATCH(ROWS($W$2:W517),$W$2:$W$1001,0),MATCH(COLUMNS($AD$1006:AP1006),$AD$1006:$AU$1006,0)), HYPERLINK("#",""), HYPERLINK(CONCATENATE("#metadata!", ADDRESS(INDEX($Y$2:$Y$1001,MATCH(ROWS($W$2:W517),$W$2:$W$1001,0),0), INDEX($AD$1004:$AU$1004,1,MATCH(COLUMNS($AD$1006:AP1006),$AD$1006:$AU$1006,0)))),"Fix")))</f>
        <v xml:space="preserve"> </v>
      </c>
      <c r="O517" s="4" t="str">
        <f ca="1">IF(OR(INDEX($X$2:$X$1001,MATCH(ROWS($W$2:W517),$W$2:$W$1001,0),1)&gt;=100000,INDEX($AD$1005:$AU$1005,1,MATCH(COLUMNS($AD$1006:AQ1006),$AD$1006:$AU$1006,0))&gt;=100000), " ",IF(INDEX($AD$2:$AU$1001,MATCH(ROWS($W$2:W517),$W$2:$W$1001,0),MATCH(COLUMNS($AD$1006:AQ1006),$AD$1006:$AU$1006,0)), HYPERLINK("#",""), HYPERLINK(CONCATENATE("#metadata!", ADDRESS(INDEX($Y$2:$Y$1001,MATCH(ROWS($W$2:W517),$W$2:$W$1001,0),0), INDEX($AD$1004:$AU$1004,1,MATCH(COLUMNS($AD$1006:AQ1006),$AD$1006:$AU$1006,0)))),"Fix")))</f>
        <v xml:space="preserve"> </v>
      </c>
      <c r="P517" s="4" t="str">
        <f ca="1">IF(OR(INDEX($X$2:$X$1001,MATCH(ROWS($W$2:W517),$W$2:$W$1001,0),1)&gt;=100000,INDEX($AD$1005:$AU$1005,1,MATCH(COLUMNS($AD$1006:AR1006),$AD$1006:$AU$1006,0))&gt;=100000), " ",IF(INDEX($AD$2:$AU$1001,MATCH(ROWS($W$2:W517),$W$2:$W$1001,0),MATCH(COLUMNS($AD$1006:AR1006),$AD$1006:$AU$1006,0)), HYPERLINK("#",""), HYPERLINK(CONCATENATE("#metadata!", ADDRESS(INDEX($Y$2:$Y$1001,MATCH(ROWS($W$2:W517),$W$2:$W$1001,0),0), INDEX($AD$1004:$AU$1004,1,MATCH(COLUMNS($AD$1006:AR1006),$AD$1006:$AU$1006,0)))),"Fix")))</f>
        <v xml:space="preserve"> </v>
      </c>
      <c r="Q517" s="4" t="str">
        <f ca="1">IF(OR(INDEX($X$2:$X$1001,MATCH(ROWS($W$2:W517),$W$2:$W$1001,0),1)&gt;=100000,INDEX($AD$1005:$AU$1005,1,MATCH(COLUMNS($AD$1006:AS1006),$AD$1006:$AU$1006,0))&gt;=100000), " ",IF(INDEX($AD$2:$AU$1001,MATCH(ROWS($W$2:W517),$W$2:$W$1001,0),MATCH(COLUMNS($AD$1006:AS1006),$AD$1006:$AU$1006,0)), HYPERLINK("#",""), HYPERLINK(CONCATENATE("#metadata!", ADDRESS(INDEX($Y$2:$Y$1001,MATCH(ROWS($W$2:W517),$W$2:$W$1001,0),0), INDEX($AD$1004:$AU$1004,1,MATCH(COLUMNS($AD$1006:AS1006),$AD$1006:$AU$1006,0)))),"Fix")))</f>
        <v xml:space="preserve"> </v>
      </c>
      <c r="R517" s="4" t="str">
        <f ca="1">IF(OR(INDEX($X$2:$X$1001,MATCH(ROWS($W$2:W517),$W$2:$W$1001,0),1)&gt;=100000,INDEX($AD$1005:$AU$1005,1,MATCH(COLUMNS($AD$1006:AT1006),$AD$1006:$AU$1006,0))&gt;=100000), " ",IF(INDEX($AD$2:$AU$1001,MATCH(ROWS($W$2:W517),$W$2:$W$1001,0),MATCH(COLUMNS($AD$1006:AT1006),$AD$1006:$AU$1006,0)), HYPERLINK("#",""), HYPERLINK(CONCATENATE("#metadata!", ADDRESS(INDEX($Y$2:$Y$1001,MATCH(ROWS($W$2:W517),$W$2:$W$1001,0),0), INDEX($AD$1004:$AU$1004,1,MATCH(COLUMNS($AD$1006:AT1006),$AD$1006:$AU$1006,0)))),"Fix")))</f>
        <v xml:space="preserve"> </v>
      </c>
      <c r="S517" s="4" t="str">
        <f ca="1">IF(OR(INDEX($X$2:$X$1001,MATCH(ROWS($W$2:W517),$W$2:$W$1001,0),1)&gt;=100000,INDEX($AD$1005:$AU$1005,1,MATCH(COLUMNS($AD$1006:AU1006),$AD$1006:$AU$1006,0))&gt;=100000), " ",IF(INDEX($AD$2:$AU$1001,MATCH(ROWS($W$2:W517),$W$2:$W$1001,0),MATCH(COLUMNS($AD$1006:AU1006),$AD$1006:$AU$1006,0)), HYPERLINK("#",""), HYPERLINK(CONCATENATE("#metadata!", ADDRESS(INDEX($Y$2:$Y$1001,MATCH(ROWS($W$2:W517),$W$2:$W$1001,0),0), INDEX($AD$1004:$AU$1004,1,MATCH(COLUMNS($AD$1006:AU1006),$AD$1006:$AU$1006,0)))),"Fix")))</f>
        <v xml:space="preserve"> </v>
      </c>
      <c r="W517">
        <v>516</v>
      </c>
      <c r="X517">
        <v>100517</v>
      </c>
      <c r="Y517">
        <v>517</v>
      </c>
      <c r="Z517" t="b">
        <f t="shared" si="8"/>
        <v>1</v>
      </c>
      <c r="AA517" t="b">
        <f>COUNTBLANK(metadata!B517:S517)=COLUMNS(metadata!B517:S517)</f>
        <v>1</v>
      </c>
      <c r="AB517" t="str">
        <v/>
      </c>
      <c r="AD517" t="b">
        <f ca="1">AND(IF(metadata!B517="",FALSE,TRUE),COUNTIF(metadata!B:B, metadata!B517) = 1,NOT(ISERROR(SUMPRODUCT(SEARCH(MID(metadata!B517,ROW(INDIRECT("1:"&amp;LEN(metadata!B517))), 1),"0123456789abcdefghijklmnopqrstuvwxyzABCDEFGHIJKLMNOPQRSTUVWXYZ.")))))</f>
        <v>0</v>
      </c>
      <c r="AE517" t="b">
        <f>OR(AND(IF(metadata!C517="",FALSE,TRUE),OR(EXACT(metadata!C517,"not applicable"),EXACT(metadata!C517,"missing: not collected"),EXACT(metadata!C517,"missing: not provided"),EXACT(metadata!C517,"missing: restricted access"))),AND(IF(metadata!C517="",FALSE,ISNUMBER(VALUE(metadata!C517))),metadata!C517&gt;0))</f>
        <v>0</v>
      </c>
      <c r="AF517" t="b">
        <f>AND(IF(metadata!D517="",FALSE,TRUE),EXACT(metadata!D517,"missing: not provided"))</f>
        <v>0</v>
      </c>
      <c r="AG517" t="b">
        <f>AND(IF(metadata!E517="",FALSE,TRUE),EXACT(metadata!E517,"Host-associated"))</f>
        <v>0</v>
      </c>
      <c r="AH517" t="b">
        <f>AND(IF(metadata!F517="",FALSE,TRUE),OR(EXACT(metadata!F517,"Animal"),EXACT(metadata!F517,"Fungus"),EXACT(metadata!F517,"Plant")))</f>
        <v>0</v>
      </c>
      <c r="AI517" t="b">
        <f>AND(IF(metadata!G517="",FALSE,TRUE),OR(EXACT(metadata!G517,"Plant secretion"),EXACT(metadata!G517,"Plant rhizosphere"),EXACT(metadata!G517,"Plant surface"),EXACT(metadata!G517,"Plant corpus"),EXACT(metadata!G517,"Fungus surface"),EXACT(metadata!G517,"Fungus corpus"),EXACT(metadata!G517,"Animal surface"),EXACT(metadata!G517,"Animal proximal gut"),EXACT(metadata!G517,"Animal corpus"),EXACT(metadata!G517,"Animal distal gut"),EXACT(metadata!G517,"Animal secretion")))</f>
        <v>0</v>
      </c>
      <c r="AJ517" t="b">
        <f>OR(AND(IF(metadata!H517="",FALSE,TRUE),OR(EXACT(metadata!H517,"missing: not collected"),EXACT(metadata!H517,"missing: not provided"),EXACT(metadata!H517,"missing: restricted access"))),AND(IF(metadata!H517="",FALSE,TRUE),OR(EXACT(metadata!H517,"organism-associated habitat"),EXACT(metadata!H517,"plant-associated habitat"),EXACT(metadata!H517,"animal-associated habitat"),EXACT(metadata!H517,"insecta-associated habitat"),EXACT(metadata!H517,"mammalia-associated habitat"),EXACT(metadata!H517,"human-associated habitat"),EXACT(metadata!H517,"livestock-associated habitat"))))</f>
        <v>0</v>
      </c>
      <c r="AK517" t="b">
        <f>AND(IF(metadata!I517="",FALSE,TRUE),EXACT(metadata!I517,"host-associated"))</f>
        <v>0</v>
      </c>
      <c r="AL517" t="b">
        <f>OR(AND(IF(metadata!J517="",FALSE,TRUE),OR(EXACT(metadata!J517,"not applicable"),EXACT(metadata!J517,"missing: not collected"),EXACT(metadata!J517,"missing: not provided"),EXACT(metadata!J517,"missing: restricted access"))),AND(IF(metadata!J517="",FALSE,ISNUMBER(VALUE(metadata!J517))),metadata!J517&gt;0))</f>
        <v>0</v>
      </c>
      <c r="AM517" t="b">
        <f>AND(IF(metadata!K517="",FALSE,TRUE),EXACT(metadata!K517,"missing: not provided"))</f>
        <v>0</v>
      </c>
      <c r="AN517" t="b">
        <f>IF(metadata!L517="",FALSE,TRUE)</f>
        <v>0</v>
      </c>
      <c r="AO517" t="b">
        <f>IF(metadata!M517="",FALSE,TRUE)</f>
        <v>0</v>
      </c>
      <c r="AP517" t="b">
        <f>OR(AND(IF(metadata!N517="",FALSE,TRUE),OR(EXACT(metadata!N517,"not applicable"),EXACT(metadata!N517,"missing: not collected"),EXACT(metadata!N517,"missing: not provided"))),AND(IF(metadata!N517="",FALSE,IF(ISERROR(INT(metadata!N517)),FALSE,INT(metadata!N517)=metadata!N517)),metadata!N517&gt;0))</f>
        <v>0</v>
      </c>
      <c r="AQ517" t="b">
        <f>AND(IF(metadata!O517="",FALSE,TRUE),EXACT(metadata!O517,"Not applicable"))</f>
        <v>0</v>
      </c>
      <c r="AR517" t="b">
        <f>OR(AND(IF(metadata!P517="",FALSE,TRUE),OR(EXACT(metadata!P517,"not applicable"),EXACT(metadata!P517,"missing: not collected"),EXACT(metadata!P517,"missing: not provided"),EXACT(metadata!P517,"missing: restricted access"))),IF(metadata!P517="",FALSE,IF(ISERROR(INT(metadata!P517)),FALSE,INT(metadata!P517)=metadata!P517)))</f>
        <v>0</v>
      </c>
      <c r="AS517" t="b">
        <f>AND(IF(metadata!Q517="",FALSE,TRUE),EXACT(metadata!Q517,"Not applicable"))</f>
        <v>0</v>
      </c>
      <c r="AT517" t="b">
        <f>OR(AND(IF(metadata!R517="",FALSE,TRUE),OR(EXACT(metadata!R517,"not applicable"),EXACT(metadata!R517,"missing: not collected"),EXACT(metadata!R517,"missing: not provided"),EXACT(metadata!R517,"missing: restricted access"))),AND(IF(metadata!R517="",FALSE,ISNUMBER(VALUE(metadata!R517))),metadata!R517&gt;0))</f>
        <v>0</v>
      </c>
      <c r="AU517" t="b">
        <f>AND(IF(metadata!S517="",FALSE,TRUE),EXACT(metadata!S517,"missing: not provided"))</f>
        <v>0</v>
      </c>
    </row>
    <row r="518" spans="1:47" x14ac:dyDescent="0.2">
      <c r="A518" s="5" t="str">
        <f ca="1">IF(B518=" "," ",HYPERLINK(CONCATENATE("#metadata!",ADDRESS(INDEX($Y$2:$Y$1001,MATCH(ROWS($W$2:W518),$W$2:$W$1001,0),0),1)),INDEX($AB$2:$AB$1001,MATCH(ROWS($W$2:W518),$W$2:$W$1001,0),0)))</f>
        <v xml:space="preserve"> </v>
      </c>
      <c r="B518" s="4" t="str">
        <f ca="1">IF(OR(INDEX($X$2:$X$1001,MATCH(ROWS($W$2:W518),$W$2:$W$1001,0),1)&gt;=100000,INDEX($AD$1005:$AU$1005,1,MATCH(COLUMNS($AD$1006:AD1006),$AD$1006:$AU$1006,0))&gt;=100000), " ",IF(INDEX($AD$2:$AU$1001,MATCH(ROWS($W$2:W518),$W$2:$W$1001,0),MATCH(COLUMNS($AD$1006:AD1006),$AD$1006:$AU$1006,0)), HYPERLINK("#",""), HYPERLINK(CONCATENATE("#metadata!", ADDRESS(INDEX($Y$2:$Y$1001,MATCH(ROWS($W$2:W518),$W$2:$W$1001,0),0), INDEX($AD$1004:$AU$1004,1,MATCH(COLUMNS($AD$1006:AD1006),$AD$1006:$AU$1006,0)))),"Fix")))</f>
        <v xml:space="preserve"> </v>
      </c>
      <c r="C518" s="4" t="str">
        <f ca="1">IF(OR(INDEX($X$2:$X$1001,MATCH(ROWS($W$2:W518),$W$2:$W$1001,0),1)&gt;=100000,INDEX($AD$1005:$AU$1005,1,MATCH(COLUMNS($AD$1006:AE1006),$AD$1006:$AU$1006,0))&gt;=100000), " ",IF(INDEX($AD$2:$AU$1001,MATCH(ROWS($W$2:W518),$W$2:$W$1001,0),MATCH(COLUMNS($AD$1006:AE1006),$AD$1006:$AU$1006,0)), HYPERLINK("#",""), HYPERLINK(CONCATENATE("#metadata!", ADDRESS(INDEX($Y$2:$Y$1001,MATCH(ROWS($W$2:W518),$W$2:$W$1001,0),0), INDEX($AD$1004:$AU$1004,1,MATCH(COLUMNS($AD$1006:AE1006),$AD$1006:$AU$1006,0)))),"Fix")))</f>
        <v xml:space="preserve"> </v>
      </c>
      <c r="D518" s="4" t="str">
        <f ca="1">IF(OR(INDEX($X$2:$X$1001,MATCH(ROWS($W$2:W518),$W$2:$W$1001,0),1)&gt;=100000,INDEX($AD$1005:$AU$1005,1,MATCH(COLUMNS($AD$1006:AF1006),$AD$1006:$AU$1006,0))&gt;=100000), " ",IF(INDEX($AD$2:$AU$1001,MATCH(ROWS($W$2:W518),$W$2:$W$1001,0),MATCH(COLUMNS($AD$1006:AF1006),$AD$1006:$AU$1006,0)), HYPERLINK("#",""), HYPERLINK(CONCATENATE("#metadata!", ADDRESS(INDEX($Y$2:$Y$1001,MATCH(ROWS($W$2:W518),$W$2:$W$1001,0),0), INDEX($AD$1004:$AU$1004,1,MATCH(COLUMNS($AD$1006:AF1006),$AD$1006:$AU$1006,0)))),"Fix")))</f>
        <v xml:space="preserve"> </v>
      </c>
      <c r="E518" s="4" t="str">
        <f ca="1">IF(OR(INDEX($X$2:$X$1001,MATCH(ROWS($W$2:W518),$W$2:$W$1001,0),1)&gt;=100000,INDEX($AD$1005:$AU$1005,1,MATCH(COLUMNS($AD$1006:AG1006),$AD$1006:$AU$1006,0))&gt;=100000), " ",IF(INDEX($AD$2:$AU$1001,MATCH(ROWS($W$2:W518),$W$2:$W$1001,0),MATCH(COLUMNS($AD$1006:AG1006),$AD$1006:$AU$1006,0)), HYPERLINK("#",""), HYPERLINK(CONCATENATE("#metadata!", ADDRESS(INDEX($Y$2:$Y$1001,MATCH(ROWS($W$2:W518),$W$2:$W$1001,0),0), INDEX($AD$1004:$AU$1004,1,MATCH(COLUMNS($AD$1006:AG1006),$AD$1006:$AU$1006,0)))),"Fix")))</f>
        <v xml:space="preserve"> </v>
      </c>
      <c r="F518" s="4" t="str">
        <f ca="1">IF(OR(INDEX($X$2:$X$1001,MATCH(ROWS($W$2:W518),$W$2:$W$1001,0),1)&gt;=100000,INDEX($AD$1005:$AU$1005,1,MATCH(COLUMNS($AD$1006:AH1006),$AD$1006:$AU$1006,0))&gt;=100000), " ",IF(INDEX($AD$2:$AU$1001,MATCH(ROWS($W$2:W518),$W$2:$W$1001,0),MATCH(COLUMNS($AD$1006:AH1006),$AD$1006:$AU$1006,0)), HYPERLINK("#",""), HYPERLINK(CONCATENATE("#metadata!", ADDRESS(INDEX($Y$2:$Y$1001,MATCH(ROWS($W$2:W518),$W$2:$W$1001,0),0), INDEX($AD$1004:$AU$1004,1,MATCH(COLUMNS($AD$1006:AH1006),$AD$1006:$AU$1006,0)))),"Fix")))</f>
        <v xml:space="preserve"> </v>
      </c>
      <c r="G518" s="4" t="str">
        <f ca="1">IF(OR(INDEX($X$2:$X$1001,MATCH(ROWS($W$2:W518),$W$2:$W$1001,0),1)&gt;=100000,INDEX($AD$1005:$AU$1005,1,MATCH(COLUMNS($AD$1006:AI1006),$AD$1006:$AU$1006,0))&gt;=100000), " ",IF(INDEX($AD$2:$AU$1001,MATCH(ROWS($W$2:W518),$W$2:$W$1001,0),MATCH(COLUMNS($AD$1006:AI1006),$AD$1006:$AU$1006,0)), HYPERLINK("#",""), HYPERLINK(CONCATENATE("#metadata!", ADDRESS(INDEX($Y$2:$Y$1001,MATCH(ROWS($W$2:W518),$W$2:$W$1001,0),0), INDEX($AD$1004:$AU$1004,1,MATCH(COLUMNS($AD$1006:AI1006),$AD$1006:$AU$1006,0)))),"Fix")))</f>
        <v xml:space="preserve"> </v>
      </c>
      <c r="H518" s="4" t="str">
        <f ca="1">IF(OR(INDEX($X$2:$X$1001,MATCH(ROWS($W$2:W518),$W$2:$W$1001,0),1)&gt;=100000,INDEX($AD$1005:$AU$1005,1,MATCH(COLUMNS($AD$1006:AJ1006),$AD$1006:$AU$1006,0))&gt;=100000), " ",IF(INDEX($AD$2:$AU$1001,MATCH(ROWS($W$2:W518),$W$2:$W$1001,0),MATCH(COLUMNS($AD$1006:AJ1006),$AD$1006:$AU$1006,0)), HYPERLINK("#",""), HYPERLINK(CONCATENATE("#metadata!", ADDRESS(INDEX($Y$2:$Y$1001,MATCH(ROWS($W$2:W518),$W$2:$W$1001,0),0), INDEX($AD$1004:$AU$1004,1,MATCH(COLUMNS($AD$1006:AJ1006),$AD$1006:$AU$1006,0)))),"Fix")))</f>
        <v xml:space="preserve"> </v>
      </c>
      <c r="I518" s="4" t="str">
        <f ca="1">IF(OR(INDEX($X$2:$X$1001,MATCH(ROWS($W$2:W518),$W$2:$W$1001,0),1)&gt;=100000,INDEX($AD$1005:$AU$1005,1,MATCH(COLUMNS($AD$1006:AK1006),$AD$1006:$AU$1006,0))&gt;=100000), " ",IF(INDEX($AD$2:$AU$1001,MATCH(ROWS($W$2:W518),$W$2:$W$1001,0),MATCH(COLUMNS($AD$1006:AK1006),$AD$1006:$AU$1006,0)), HYPERLINK("#",""), HYPERLINK(CONCATENATE("#metadata!", ADDRESS(INDEX($Y$2:$Y$1001,MATCH(ROWS($W$2:W518),$W$2:$W$1001,0),0), INDEX($AD$1004:$AU$1004,1,MATCH(COLUMNS($AD$1006:AK1006),$AD$1006:$AU$1006,0)))),"Fix")))</f>
        <v xml:space="preserve"> </v>
      </c>
      <c r="J518" s="4" t="str">
        <f ca="1">IF(OR(INDEX($X$2:$X$1001,MATCH(ROWS($W$2:W518),$W$2:$W$1001,0),1)&gt;=100000,INDEX($AD$1005:$AU$1005,1,MATCH(COLUMNS($AD$1006:AL1006),$AD$1006:$AU$1006,0))&gt;=100000), " ",IF(INDEX($AD$2:$AU$1001,MATCH(ROWS($W$2:W518),$W$2:$W$1001,0),MATCH(COLUMNS($AD$1006:AL1006),$AD$1006:$AU$1006,0)), HYPERLINK("#",""), HYPERLINK(CONCATENATE("#metadata!", ADDRESS(INDEX($Y$2:$Y$1001,MATCH(ROWS($W$2:W518),$W$2:$W$1001,0),0), INDEX($AD$1004:$AU$1004,1,MATCH(COLUMNS($AD$1006:AL1006),$AD$1006:$AU$1006,0)))),"Fix")))</f>
        <v xml:space="preserve"> </v>
      </c>
      <c r="K518" s="4" t="str">
        <f ca="1">IF(OR(INDEX($X$2:$X$1001,MATCH(ROWS($W$2:W518),$W$2:$W$1001,0),1)&gt;=100000,INDEX($AD$1005:$AU$1005,1,MATCH(COLUMNS($AD$1006:AM1006),$AD$1006:$AU$1006,0))&gt;=100000), " ",IF(INDEX($AD$2:$AU$1001,MATCH(ROWS($W$2:W518),$W$2:$W$1001,0),MATCH(COLUMNS($AD$1006:AM1006),$AD$1006:$AU$1006,0)), HYPERLINK("#",""), HYPERLINK(CONCATENATE("#metadata!", ADDRESS(INDEX($Y$2:$Y$1001,MATCH(ROWS($W$2:W518),$W$2:$W$1001,0),0), INDEX($AD$1004:$AU$1004,1,MATCH(COLUMNS($AD$1006:AM1006),$AD$1006:$AU$1006,0)))),"Fix")))</f>
        <v xml:space="preserve"> </v>
      </c>
      <c r="L518" s="4" t="str">
        <f ca="1">IF(OR(INDEX($X$2:$X$1001,MATCH(ROWS($W$2:W518),$W$2:$W$1001,0),1)&gt;=100000,INDEX($AD$1005:$AU$1005,1,MATCH(COLUMNS($AD$1006:AN1006),$AD$1006:$AU$1006,0))&gt;=100000), " ",IF(INDEX($AD$2:$AU$1001,MATCH(ROWS($W$2:W518),$W$2:$W$1001,0),MATCH(COLUMNS($AD$1006:AN1006),$AD$1006:$AU$1006,0)), HYPERLINK("#",""), HYPERLINK(CONCATENATE("#metadata!", ADDRESS(INDEX($Y$2:$Y$1001,MATCH(ROWS($W$2:W518),$W$2:$W$1001,0),0), INDEX($AD$1004:$AU$1004,1,MATCH(COLUMNS($AD$1006:AN1006),$AD$1006:$AU$1006,0)))),"Fix")))</f>
        <v xml:space="preserve"> </v>
      </c>
      <c r="M518" s="4" t="str">
        <f ca="1">IF(OR(INDEX($X$2:$X$1001,MATCH(ROWS($W$2:W518),$W$2:$W$1001,0),1)&gt;=100000,INDEX($AD$1005:$AU$1005,1,MATCH(COLUMNS($AD$1006:AO1006),$AD$1006:$AU$1006,0))&gt;=100000), " ",IF(INDEX($AD$2:$AU$1001,MATCH(ROWS($W$2:W518),$W$2:$W$1001,0),MATCH(COLUMNS($AD$1006:AO1006),$AD$1006:$AU$1006,0)), HYPERLINK("#",""), HYPERLINK(CONCATENATE("#metadata!", ADDRESS(INDEX($Y$2:$Y$1001,MATCH(ROWS($W$2:W518),$W$2:$W$1001,0),0), INDEX($AD$1004:$AU$1004,1,MATCH(COLUMNS($AD$1006:AO1006),$AD$1006:$AU$1006,0)))),"Fix")))</f>
        <v xml:space="preserve"> </v>
      </c>
      <c r="N518" s="4" t="str">
        <f ca="1">IF(OR(INDEX($X$2:$X$1001,MATCH(ROWS($W$2:W518),$W$2:$W$1001,0),1)&gt;=100000,INDEX($AD$1005:$AU$1005,1,MATCH(COLUMNS($AD$1006:AP1006),$AD$1006:$AU$1006,0))&gt;=100000), " ",IF(INDEX($AD$2:$AU$1001,MATCH(ROWS($W$2:W518),$W$2:$W$1001,0),MATCH(COLUMNS($AD$1006:AP1006),$AD$1006:$AU$1006,0)), HYPERLINK("#",""), HYPERLINK(CONCATENATE("#metadata!", ADDRESS(INDEX($Y$2:$Y$1001,MATCH(ROWS($W$2:W518),$W$2:$W$1001,0),0), INDEX($AD$1004:$AU$1004,1,MATCH(COLUMNS($AD$1006:AP1006),$AD$1006:$AU$1006,0)))),"Fix")))</f>
        <v xml:space="preserve"> </v>
      </c>
      <c r="O518" s="4" t="str">
        <f ca="1">IF(OR(INDEX($X$2:$X$1001,MATCH(ROWS($W$2:W518),$W$2:$W$1001,0),1)&gt;=100000,INDEX($AD$1005:$AU$1005,1,MATCH(COLUMNS($AD$1006:AQ1006),$AD$1006:$AU$1006,0))&gt;=100000), " ",IF(INDEX($AD$2:$AU$1001,MATCH(ROWS($W$2:W518),$W$2:$W$1001,0),MATCH(COLUMNS($AD$1006:AQ1006),$AD$1006:$AU$1006,0)), HYPERLINK("#",""), HYPERLINK(CONCATENATE("#metadata!", ADDRESS(INDEX($Y$2:$Y$1001,MATCH(ROWS($W$2:W518),$W$2:$W$1001,0),0), INDEX($AD$1004:$AU$1004,1,MATCH(COLUMNS($AD$1006:AQ1006),$AD$1006:$AU$1006,0)))),"Fix")))</f>
        <v xml:space="preserve"> </v>
      </c>
      <c r="P518" s="4" t="str">
        <f ca="1">IF(OR(INDEX($X$2:$X$1001,MATCH(ROWS($W$2:W518),$W$2:$W$1001,0),1)&gt;=100000,INDEX($AD$1005:$AU$1005,1,MATCH(COLUMNS($AD$1006:AR1006),$AD$1006:$AU$1006,0))&gt;=100000), " ",IF(INDEX($AD$2:$AU$1001,MATCH(ROWS($W$2:W518),$W$2:$W$1001,0),MATCH(COLUMNS($AD$1006:AR1006),$AD$1006:$AU$1006,0)), HYPERLINK("#",""), HYPERLINK(CONCATENATE("#metadata!", ADDRESS(INDEX($Y$2:$Y$1001,MATCH(ROWS($W$2:W518),$W$2:$W$1001,0),0), INDEX($AD$1004:$AU$1004,1,MATCH(COLUMNS($AD$1006:AR1006),$AD$1006:$AU$1006,0)))),"Fix")))</f>
        <v xml:space="preserve"> </v>
      </c>
      <c r="Q518" s="4" t="str">
        <f ca="1">IF(OR(INDEX($X$2:$X$1001,MATCH(ROWS($W$2:W518),$W$2:$W$1001,0),1)&gt;=100000,INDEX($AD$1005:$AU$1005,1,MATCH(COLUMNS($AD$1006:AS1006),$AD$1006:$AU$1006,0))&gt;=100000), " ",IF(INDEX($AD$2:$AU$1001,MATCH(ROWS($W$2:W518),$W$2:$W$1001,0),MATCH(COLUMNS($AD$1006:AS1006),$AD$1006:$AU$1006,0)), HYPERLINK("#",""), HYPERLINK(CONCATENATE("#metadata!", ADDRESS(INDEX($Y$2:$Y$1001,MATCH(ROWS($W$2:W518),$W$2:$W$1001,0),0), INDEX($AD$1004:$AU$1004,1,MATCH(COLUMNS($AD$1006:AS1006),$AD$1006:$AU$1006,0)))),"Fix")))</f>
        <v xml:space="preserve"> </v>
      </c>
      <c r="R518" s="4" t="str">
        <f ca="1">IF(OR(INDEX($X$2:$X$1001,MATCH(ROWS($W$2:W518),$W$2:$W$1001,0),1)&gt;=100000,INDEX($AD$1005:$AU$1005,1,MATCH(COLUMNS($AD$1006:AT1006),$AD$1006:$AU$1006,0))&gt;=100000), " ",IF(INDEX($AD$2:$AU$1001,MATCH(ROWS($W$2:W518),$W$2:$W$1001,0),MATCH(COLUMNS($AD$1006:AT1006),$AD$1006:$AU$1006,0)), HYPERLINK("#",""), HYPERLINK(CONCATENATE("#metadata!", ADDRESS(INDEX($Y$2:$Y$1001,MATCH(ROWS($W$2:W518),$W$2:$W$1001,0),0), INDEX($AD$1004:$AU$1004,1,MATCH(COLUMNS($AD$1006:AT1006),$AD$1006:$AU$1006,0)))),"Fix")))</f>
        <v xml:space="preserve"> </v>
      </c>
      <c r="S518" s="4" t="str">
        <f ca="1">IF(OR(INDEX($X$2:$X$1001,MATCH(ROWS($W$2:W518),$W$2:$W$1001,0),1)&gt;=100000,INDEX($AD$1005:$AU$1005,1,MATCH(COLUMNS($AD$1006:AU1006),$AD$1006:$AU$1006,0))&gt;=100000), " ",IF(INDEX($AD$2:$AU$1001,MATCH(ROWS($W$2:W518),$W$2:$W$1001,0),MATCH(COLUMNS($AD$1006:AU1006),$AD$1006:$AU$1006,0)), HYPERLINK("#",""), HYPERLINK(CONCATENATE("#metadata!", ADDRESS(INDEX($Y$2:$Y$1001,MATCH(ROWS($W$2:W518),$W$2:$W$1001,0),0), INDEX($AD$1004:$AU$1004,1,MATCH(COLUMNS($AD$1006:AU1006),$AD$1006:$AU$1006,0)))),"Fix")))</f>
        <v xml:space="preserve"> </v>
      </c>
      <c r="W518">
        <v>517</v>
      </c>
      <c r="X518">
        <v>100518</v>
      </c>
      <c r="Y518">
        <v>518</v>
      </c>
      <c r="Z518" t="b">
        <f t="shared" si="8"/>
        <v>1</v>
      </c>
      <c r="AA518" t="b">
        <f>COUNTBLANK(metadata!B518:S518)=COLUMNS(metadata!B518:S518)</f>
        <v>1</v>
      </c>
      <c r="AB518" t="str">
        <v/>
      </c>
      <c r="AD518" t="b">
        <f ca="1">AND(IF(metadata!B518="",FALSE,TRUE),COUNTIF(metadata!B:B, metadata!B518) = 1,NOT(ISERROR(SUMPRODUCT(SEARCH(MID(metadata!B518,ROW(INDIRECT("1:"&amp;LEN(metadata!B518))), 1),"0123456789abcdefghijklmnopqrstuvwxyzABCDEFGHIJKLMNOPQRSTUVWXYZ.")))))</f>
        <v>0</v>
      </c>
      <c r="AE518" t="b">
        <f>OR(AND(IF(metadata!C518="",FALSE,TRUE),OR(EXACT(metadata!C518,"not applicable"),EXACT(metadata!C518,"missing: not collected"),EXACT(metadata!C518,"missing: not provided"),EXACT(metadata!C518,"missing: restricted access"))),AND(IF(metadata!C518="",FALSE,ISNUMBER(VALUE(metadata!C518))),metadata!C518&gt;0))</f>
        <v>0</v>
      </c>
      <c r="AF518" t="b">
        <f>AND(IF(metadata!D518="",FALSE,TRUE),EXACT(metadata!D518,"missing: not provided"))</f>
        <v>0</v>
      </c>
      <c r="AG518" t="b">
        <f>AND(IF(metadata!E518="",FALSE,TRUE),EXACT(metadata!E518,"Host-associated"))</f>
        <v>0</v>
      </c>
      <c r="AH518" t="b">
        <f>AND(IF(metadata!F518="",FALSE,TRUE),OR(EXACT(metadata!F518,"Animal"),EXACT(metadata!F518,"Fungus"),EXACT(metadata!F518,"Plant")))</f>
        <v>0</v>
      </c>
      <c r="AI518" t="b">
        <f>AND(IF(metadata!G518="",FALSE,TRUE),OR(EXACT(metadata!G518,"Plant secretion"),EXACT(metadata!G518,"Plant rhizosphere"),EXACT(metadata!G518,"Plant surface"),EXACT(metadata!G518,"Plant corpus"),EXACT(metadata!G518,"Fungus surface"),EXACT(metadata!G518,"Fungus corpus"),EXACT(metadata!G518,"Animal surface"),EXACT(metadata!G518,"Animal proximal gut"),EXACT(metadata!G518,"Animal corpus"),EXACT(metadata!G518,"Animal distal gut"),EXACT(metadata!G518,"Animal secretion")))</f>
        <v>0</v>
      </c>
      <c r="AJ518" t="b">
        <f>OR(AND(IF(metadata!H518="",FALSE,TRUE),OR(EXACT(metadata!H518,"missing: not collected"),EXACT(metadata!H518,"missing: not provided"),EXACT(metadata!H518,"missing: restricted access"))),AND(IF(metadata!H518="",FALSE,TRUE),OR(EXACT(metadata!H518,"organism-associated habitat"),EXACT(metadata!H518,"plant-associated habitat"),EXACT(metadata!H518,"animal-associated habitat"),EXACT(metadata!H518,"insecta-associated habitat"),EXACT(metadata!H518,"mammalia-associated habitat"),EXACT(metadata!H518,"human-associated habitat"),EXACT(metadata!H518,"livestock-associated habitat"))))</f>
        <v>0</v>
      </c>
      <c r="AK518" t="b">
        <f>AND(IF(metadata!I518="",FALSE,TRUE),EXACT(metadata!I518,"host-associated"))</f>
        <v>0</v>
      </c>
      <c r="AL518" t="b">
        <f>OR(AND(IF(metadata!J518="",FALSE,TRUE),OR(EXACT(metadata!J518,"not applicable"),EXACT(metadata!J518,"missing: not collected"),EXACT(metadata!J518,"missing: not provided"),EXACT(metadata!J518,"missing: restricted access"))),AND(IF(metadata!J518="",FALSE,ISNUMBER(VALUE(metadata!J518))),metadata!J518&gt;0))</f>
        <v>0</v>
      </c>
      <c r="AM518" t="b">
        <f>AND(IF(metadata!K518="",FALSE,TRUE),EXACT(metadata!K518,"missing: not provided"))</f>
        <v>0</v>
      </c>
      <c r="AN518" t="b">
        <f>IF(metadata!L518="",FALSE,TRUE)</f>
        <v>0</v>
      </c>
      <c r="AO518" t="b">
        <f>IF(metadata!M518="",FALSE,TRUE)</f>
        <v>0</v>
      </c>
      <c r="AP518" t="b">
        <f>OR(AND(IF(metadata!N518="",FALSE,TRUE),OR(EXACT(metadata!N518,"not applicable"),EXACT(metadata!N518,"missing: not collected"),EXACT(metadata!N518,"missing: not provided"))),AND(IF(metadata!N518="",FALSE,IF(ISERROR(INT(metadata!N518)),FALSE,INT(metadata!N518)=metadata!N518)),metadata!N518&gt;0))</f>
        <v>0</v>
      </c>
      <c r="AQ518" t="b">
        <f>AND(IF(metadata!O518="",FALSE,TRUE),EXACT(metadata!O518,"Not applicable"))</f>
        <v>0</v>
      </c>
      <c r="AR518" t="b">
        <f>OR(AND(IF(metadata!P518="",FALSE,TRUE),OR(EXACT(metadata!P518,"not applicable"),EXACT(metadata!P518,"missing: not collected"),EXACT(metadata!P518,"missing: not provided"),EXACT(metadata!P518,"missing: restricted access"))),IF(metadata!P518="",FALSE,IF(ISERROR(INT(metadata!P518)),FALSE,INT(metadata!P518)=metadata!P518)))</f>
        <v>0</v>
      </c>
      <c r="AS518" t="b">
        <f>AND(IF(metadata!Q518="",FALSE,TRUE),EXACT(metadata!Q518,"Not applicable"))</f>
        <v>0</v>
      </c>
      <c r="AT518" t="b">
        <f>OR(AND(IF(metadata!R518="",FALSE,TRUE),OR(EXACT(metadata!R518,"not applicable"),EXACT(metadata!R518,"missing: not collected"),EXACT(metadata!R518,"missing: not provided"),EXACT(metadata!R518,"missing: restricted access"))),AND(IF(metadata!R518="",FALSE,ISNUMBER(VALUE(metadata!R518))),metadata!R518&gt;0))</f>
        <v>0</v>
      </c>
      <c r="AU518" t="b">
        <f>AND(IF(metadata!S518="",FALSE,TRUE),EXACT(metadata!S518,"missing: not provided"))</f>
        <v>0</v>
      </c>
    </row>
    <row r="519" spans="1:47" x14ac:dyDescent="0.2">
      <c r="A519" s="5" t="str">
        <f ca="1">IF(B519=" "," ",HYPERLINK(CONCATENATE("#metadata!",ADDRESS(INDEX($Y$2:$Y$1001,MATCH(ROWS($W$2:W519),$W$2:$W$1001,0),0),1)),INDEX($AB$2:$AB$1001,MATCH(ROWS($W$2:W519),$W$2:$W$1001,0),0)))</f>
        <v xml:space="preserve"> </v>
      </c>
      <c r="B519" s="4" t="str">
        <f ca="1">IF(OR(INDEX($X$2:$X$1001,MATCH(ROWS($W$2:W519),$W$2:$W$1001,0),1)&gt;=100000,INDEX($AD$1005:$AU$1005,1,MATCH(COLUMNS($AD$1006:AD1006),$AD$1006:$AU$1006,0))&gt;=100000), " ",IF(INDEX($AD$2:$AU$1001,MATCH(ROWS($W$2:W519),$W$2:$W$1001,0),MATCH(COLUMNS($AD$1006:AD1006),$AD$1006:$AU$1006,0)), HYPERLINK("#",""), HYPERLINK(CONCATENATE("#metadata!", ADDRESS(INDEX($Y$2:$Y$1001,MATCH(ROWS($W$2:W519),$W$2:$W$1001,0),0), INDEX($AD$1004:$AU$1004,1,MATCH(COLUMNS($AD$1006:AD1006),$AD$1006:$AU$1006,0)))),"Fix")))</f>
        <v xml:space="preserve"> </v>
      </c>
      <c r="C519" s="4" t="str">
        <f ca="1">IF(OR(INDEX($X$2:$X$1001,MATCH(ROWS($W$2:W519),$W$2:$W$1001,0),1)&gt;=100000,INDEX($AD$1005:$AU$1005,1,MATCH(COLUMNS($AD$1006:AE1006),$AD$1006:$AU$1006,0))&gt;=100000), " ",IF(INDEX($AD$2:$AU$1001,MATCH(ROWS($W$2:W519),$W$2:$W$1001,0),MATCH(COLUMNS($AD$1006:AE1006),$AD$1006:$AU$1006,0)), HYPERLINK("#",""), HYPERLINK(CONCATENATE("#metadata!", ADDRESS(INDEX($Y$2:$Y$1001,MATCH(ROWS($W$2:W519),$W$2:$W$1001,0),0), INDEX($AD$1004:$AU$1004,1,MATCH(COLUMNS($AD$1006:AE1006),$AD$1006:$AU$1006,0)))),"Fix")))</f>
        <v xml:space="preserve"> </v>
      </c>
      <c r="D519" s="4" t="str">
        <f ca="1">IF(OR(INDEX($X$2:$X$1001,MATCH(ROWS($W$2:W519),$W$2:$W$1001,0),1)&gt;=100000,INDEX($AD$1005:$AU$1005,1,MATCH(COLUMNS($AD$1006:AF1006),$AD$1006:$AU$1006,0))&gt;=100000), " ",IF(INDEX($AD$2:$AU$1001,MATCH(ROWS($W$2:W519),$W$2:$W$1001,0),MATCH(COLUMNS($AD$1006:AF1006),$AD$1006:$AU$1006,0)), HYPERLINK("#",""), HYPERLINK(CONCATENATE("#metadata!", ADDRESS(INDEX($Y$2:$Y$1001,MATCH(ROWS($W$2:W519),$W$2:$W$1001,0),0), INDEX($AD$1004:$AU$1004,1,MATCH(COLUMNS($AD$1006:AF1006),$AD$1006:$AU$1006,0)))),"Fix")))</f>
        <v xml:space="preserve"> </v>
      </c>
      <c r="E519" s="4" t="str">
        <f ca="1">IF(OR(INDEX($X$2:$X$1001,MATCH(ROWS($W$2:W519),$W$2:$W$1001,0),1)&gt;=100000,INDEX($AD$1005:$AU$1005,1,MATCH(COLUMNS($AD$1006:AG1006),$AD$1006:$AU$1006,0))&gt;=100000), " ",IF(INDEX($AD$2:$AU$1001,MATCH(ROWS($W$2:W519),$W$2:$W$1001,0),MATCH(COLUMNS($AD$1006:AG1006),$AD$1006:$AU$1006,0)), HYPERLINK("#",""), HYPERLINK(CONCATENATE("#metadata!", ADDRESS(INDEX($Y$2:$Y$1001,MATCH(ROWS($W$2:W519),$W$2:$W$1001,0),0), INDEX($AD$1004:$AU$1004,1,MATCH(COLUMNS($AD$1006:AG1006),$AD$1006:$AU$1006,0)))),"Fix")))</f>
        <v xml:space="preserve"> </v>
      </c>
      <c r="F519" s="4" t="str">
        <f ca="1">IF(OR(INDEX($X$2:$X$1001,MATCH(ROWS($W$2:W519),$W$2:$W$1001,0),1)&gt;=100000,INDEX($AD$1005:$AU$1005,1,MATCH(COLUMNS($AD$1006:AH1006),$AD$1006:$AU$1006,0))&gt;=100000), " ",IF(INDEX($AD$2:$AU$1001,MATCH(ROWS($W$2:W519),$W$2:$W$1001,0),MATCH(COLUMNS($AD$1006:AH1006),$AD$1006:$AU$1006,0)), HYPERLINK("#",""), HYPERLINK(CONCATENATE("#metadata!", ADDRESS(INDEX($Y$2:$Y$1001,MATCH(ROWS($W$2:W519),$W$2:$W$1001,0),0), INDEX($AD$1004:$AU$1004,1,MATCH(COLUMNS($AD$1006:AH1006),$AD$1006:$AU$1006,0)))),"Fix")))</f>
        <v xml:space="preserve"> </v>
      </c>
      <c r="G519" s="4" t="str">
        <f ca="1">IF(OR(INDEX($X$2:$X$1001,MATCH(ROWS($W$2:W519),$W$2:$W$1001,0),1)&gt;=100000,INDEX($AD$1005:$AU$1005,1,MATCH(COLUMNS($AD$1006:AI1006),$AD$1006:$AU$1006,0))&gt;=100000), " ",IF(INDEX($AD$2:$AU$1001,MATCH(ROWS($W$2:W519),$W$2:$W$1001,0),MATCH(COLUMNS($AD$1006:AI1006),$AD$1006:$AU$1006,0)), HYPERLINK("#",""), HYPERLINK(CONCATENATE("#metadata!", ADDRESS(INDEX($Y$2:$Y$1001,MATCH(ROWS($W$2:W519),$W$2:$W$1001,0),0), INDEX($AD$1004:$AU$1004,1,MATCH(COLUMNS($AD$1006:AI1006),$AD$1006:$AU$1006,0)))),"Fix")))</f>
        <v xml:space="preserve"> </v>
      </c>
      <c r="H519" s="4" t="str">
        <f ca="1">IF(OR(INDEX($X$2:$X$1001,MATCH(ROWS($W$2:W519),$W$2:$W$1001,0),1)&gt;=100000,INDEX($AD$1005:$AU$1005,1,MATCH(COLUMNS($AD$1006:AJ1006),$AD$1006:$AU$1006,0))&gt;=100000), " ",IF(INDEX($AD$2:$AU$1001,MATCH(ROWS($W$2:W519),$W$2:$W$1001,0),MATCH(COLUMNS($AD$1006:AJ1006),$AD$1006:$AU$1006,0)), HYPERLINK("#",""), HYPERLINK(CONCATENATE("#metadata!", ADDRESS(INDEX($Y$2:$Y$1001,MATCH(ROWS($W$2:W519),$W$2:$W$1001,0),0), INDEX($AD$1004:$AU$1004,1,MATCH(COLUMNS($AD$1006:AJ1006),$AD$1006:$AU$1006,0)))),"Fix")))</f>
        <v xml:space="preserve"> </v>
      </c>
      <c r="I519" s="4" t="str">
        <f ca="1">IF(OR(INDEX($X$2:$X$1001,MATCH(ROWS($W$2:W519),$W$2:$W$1001,0),1)&gt;=100000,INDEX($AD$1005:$AU$1005,1,MATCH(COLUMNS($AD$1006:AK1006),$AD$1006:$AU$1006,0))&gt;=100000), " ",IF(INDEX($AD$2:$AU$1001,MATCH(ROWS($W$2:W519),$W$2:$W$1001,0),MATCH(COLUMNS($AD$1006:AK1006),$AD$1006:$AU$1006,0)), HYPERLINK("#",""), HYPERLINK(CONCATENATE("#metadata!", ADDRESS(INDEX($Y$2:$Y$1001,MATCH(ROWS($W$2:W519),$W$2:$W$1001,0),0), INDEX($AD$1004:$AU$1004,1,MATCH(COLUMNS($AD$1006:AK1006),$AD$1006:$AU$1006,0)))),"Fix")))</f>
        <v xml:space="preserve"> </v>
      </c>
      <c r="J519" s="4" t="str">
        <f ca="1">IF(OR(INDEX($X$2:$X$1001,MATCH(ROWS($W$2:W519),$W$2:$W$1001,0),1)&gt;=100000,INDEX($AD$1005:$AU$1005,1,MATCH(COLUMNS($AD$1006:AL1006),$AD$1006:$AU$1006,0))&gt;=100000), " ",IF(INDEX($AD$2:$AU$1001,MATCH(ROWS($W$2:W519),$W$2:$W$1001,0),MATCH(COLUMNS($AD$1006:AL1006),$AD$1006:$AU$1006,0)), HYPERLINK("#",""), HYPERLINK(CONCATENATE("#metadata!", ADDRESS(INDEX($Y$2:$Y$1001,MATCH(ROWS($W$2:W519),$W$2:$W$1001,0),0), INDEX($AD$1004:$AU$1004,1,MATCH(COLUMNS($AD$1006:AL1006),$AD$1006:$AU$1006,0)))),"Fix")))</f>
        <v xml:space="preserve"> </v>
      </c>
      <c r="K519" s="4" t="str">
        <f ca="1">IF(OR(INDEX($X$2:$X$1001,MATCH(ROWS($W$2:W519),$W$2:$W$1001,0),1)&gt;=100000,INDEX($AD$1005:$AU$1005,1,MATCH(COLUMNS($AD$1006:AM1006),$AD$1006:$AU$1006,0))&gt;=100000), " ",IF(INDEX($AD$2:$AU$1001,MATCH(ROWS($W$2:W519),$W$2:$W$1001,0),MATCH(COLUMNS($AD$1006:AM1006),$AD$1006:$AU$1006,0)), HYPERLINK("#",""), HYPERLINK(CONCATENATE("#metadata!", ADDRESS(INDEX($Y$2:$Y$1001,MATCH(ROWS($W$2:W519),$W$2:$W$1001,0),0), INDEX($AD$1004:$AU$1004,1,MATCH(COLUMNS($AD$1006:AM1006),$AD$1006:$AU$1006,0)))),"Fix")))</f>
        <v xml:space="preserve"> </v>
      </c>
      <c r="L519" s="4" t="str">
        <f ca="1">IF(OR(INDEX($X$2:$X$1001,MATCH(ROWS($W$2:W519),$W$2:$W$1001,0),1)&gt;=100000,INDEX($AD$1005:$AU$1005,1,MATCH(COLUMNS($AD$1006:AN1006),$AD$1006:$AU$1006,0))&gt;=100000), " ",IF(INDEX($AD$2:$AU$1001,MATCH(ROWS($W$2:W519),$W$2:$W$1001,0),MATCH(COLUMNS($AD$1006:AN1006),$AD$1006:$AU$1006,0)), HYPERLINK("#",""), HYPERLINK(CONCATENATE("#metadata!", ADDRESS(INDEX($Y$2:$Y$1001,MATCH(ROWS($W$2:W519),$W$2:$W$1001,0),0), INDEX($AD$1004:$AU$1004,1,MATCH(COLUMNS($AD$1006:AN1006),$AD$1006:$AU$1006,0)))),"Fix")))</f>
        <v xml:space="preserve"> </v>
      </c>
      <c r="M519" s="4" t="str">
        <f ca="1">IF(OR(INDEX($X$2:$X$1001,MATCH(ROWS($W$2:W519),$W$2:$W$1001,0),1)&gt;=100000,INDEX($AD$1005:$AU$1005,1,MATCH(COLUMNS($AD$1006:AO1006),$AD$1006:$AU$1006,0))&gt;=100000), " ",IF(INDEX($AD$2:$AU$1001,MATCH(ROWS($W$2:W519),$W$2:$W$1001,0),MATCH(COLUMNS($AD$1006:AO1006),$AD$1006:$AU$1006,0)), HYPERLINK("#",""), HYPERLINK(CONCATENATE("#metadata!", ADDRESS(INDEX($Y$2:$Y$1001,MATCH(ROWS($W$2:W519),$W$2:$W$1001,0),0), INDEX($AD$1004:$AU$1004,1,MATCH(COLUMNS($AD$1006:AO1006),$AD$1006:$AU$1006,0)))),"Fix")))</f>
        <v xml:space="preserve"> </v>
      </c>
      <c r="N519" s="4" t="str">
        <f ca="1">IF(OR(INDEX($X$2:$X$1001,MATCH(ROWS($W$2:W519),$W$2:$W$1001,0),1)&gt;=100000,INDEX($AD$1005:$AU$1005,1,MATCH(COLUMNS($AD$1006:AP1006),$AD$1006:$AU$1006,0))&gt;=100000), " ",IF(INDEX($AD$2:$AU$1001,MATCH(ROWS($W$2:W519),$W$2:$W$1001,0),MATCH(COLUMNS($AD$1006:AP1006),$AD$1006:$AU$1006,0)), HYPERLINK("#",""), HYPERLINK(CONCATENATE("#metadata!", ADDRESS(INDEX($Y$2:$Y$1001,MATCH(ROWS($W$2:W519),$W$2:$W$1001,0),0), INDEX($AD$1004:$AU$1004,1,MATCH(COLUMNS($AD$1006:AP1006),$AD$1006:$AU$1006,0)))),"Fix")))</f>
        <v xml:space="preserve"> </v>
      </c>
      <c r="O519" s="4" t="str">
        <f ca="1">IF(OR(INDEX($X$2:$X$1001,MATCH(ROWS($W$2:W519),$W$2:$W$1001,0),1)&gt;=100000,INDEX($AD$1005:$AU$1005,1,MATCH(COLUMNS($AD$1006:AQ1006),$AD$1006:$AU$1006,0))&gt;=100000), " ",IF(INDEX($AD$2:$AU$1001,MATCH(ROWS($W$2:W519),$W$2:$W$1001,0),MATCH(COLUMNS($AD$1006:AQ1006),$AD$1006:$AU$1006,0)), HYPERLINK("#",""), HYPERLINK(CONCATENATE("#metadata!", ADDRESS(INDEX($Y$2:$Y$1001,MATCH(ROWS($W$2:W519),$W$2:$W$1001,0),0), INDEX($AD$1004:$AU$1004,1,MATCH(COLUMNS($AD$1006:AQ1006),$AD$1006:$AU$1006,0)))),"Fix")))</f>
        <v xml:space="preserve"> </v>
      </c>
      <c r="P519" s="4" t="str">
        <f ca="1">IF(OR(INDEX($X$2:$X$1001,MATCH(ROWS($W$2:W519),$W$2:$W$1001,0),1)&gt;=100000,INDEX($AD$1005:$AU$1005,1,MATCH(COLUMNS($AD$1006:AR1006),$AD$1006:$AU$1006,0))&gt;=100000), " ",IF(INDEX($AD$2:$AU$1001,MATCH(ROWS($W$2:W519),$W$2:$W$1001,0),MATCH(COLUMNS($AD$1006:AR1006),$AD$1006:$AU$1006,0)), HYPERLINK("#",""), HYPERLINK(CONCATENATE("#metadata!", ADDRESS(INDEX($Y$2:$Y$1001,MATCH(ROWS($W$2:W519),$W$2:$W$1001,0),0), INDEX($AD$1004:$AU$1004,1,MATCH(COLUMNS($AD$1006:AR1006),$AD$1006:$AU$1006,0)))),"Fix")))</f>
        <v xml:space="preserve"> </v>
      </c>
      <c r="Q519" s="4" t="str">
        <f ca="1">IF(OR(INDEX($X$2:$X$1001,MATCH(ROWS($W$2:W519),$W$2:$W$1001,0),1)&gt;=100000,INDEX($AD$1005:$AU$1005,1,MATCH(COLUMNS($AD$1006:AS1006),$AD$1006:$AU$1006,0))&gt;=100000), " ",IF(INDEX($AD$2:$AU$1001,MATCH(ROWS($W$2:W519),$W$2:$W$1001,0),MATCH(COLUMNS($AD$1006:AS1006),$AD$1006:$AU$1006,0)), HYPERLINK("#",""), HYPERLINK(CONCATENATE("#metadata!", ADDRESS(INDEX($Y$2:$Y$1001,MATCH(ROWS($W$2:W519),$W$2:$W$1001,0),0), INDEX($AD$1004:$AU$1004,1,MATCH(COLUMNS($AD$1006:AS1006),$AD$1006:$AU$1006,0)))),"Fix")))</f>
        <v xml:space="preserve"> </v>
      </c>
      <c r="R519" s="4" t="str">
        <f ca="1">IF(OR(INDEX($X$2:$X$1001,MATCH(ROWS($W$2:W519),$W$2:$W$1001,0),1)&gt;=100000,INDEX($AD$1005:$AU$1005,1,MATCH(COLUMNS($AD$1006:AT1006),$AD$1006:$AU$1006,0))&gt;=100000), " ",IF(INDEX($AD$2:$AU$1001,MATCH(ROWS($W$2:W519),$W$2:$W$1001,0),MATCH(COLUMNS($AD$1006:AT1006),$AD$1006:$AU$1006,0)), HYPERLINK("#",""), HYPERLINK(CONCATENATE("#metadata!", ADDRESS(INDEX($Y$2:$Y$1001,MATCH(ROWS($W$2:W519),$W$2:$W$1001,0),0), INDEX($AD$1004:$AU$1004,1,MATCH(COLUMNS($AD$1006:AT1006),$AD$1006:$AU$1006,0)))),"Fix")))</f>
        <v xml:space="preserve"> </v>
      </c>
      <c r="S519" s="4" t="str">
        <f ca="1">IF(OR(INDEX($X$2:$X$1001,MATCH(ROWS($W$2:W519),$W$2:$W$1001,0),1)&gt;=100000,INDEX($AD$1005:$AU$1005,1,MATCH(COLUMNS($AD$1006:AU1006),$AD$1006:$AU$1006,0))&gt;=100000), " ",IF(INDEX($AD$2:$AU$1001,MATCH(ROWS($W$2:W519),$W$2:$W$1001,0),MATCH(COLUMNS($AD$1006:AU1006),$AD$1006:$AU$1006,0)), HYPERLINK("#",""), HYPERLINK(CONCATENATE("#metadata!", ADDRESS(INDEX($Y$2:$Y$1001,MATCH(ROWS($W$2:W519),$W$2:$W$1001,0),0), INDEX($AD$1004:$AU$1004,1,MATCH(COLUMNS($AD$1006:AU1006),$AD$1006:$AU$1006,0)))),"Fix")))</f>
        <v xml:space="preserve"> </v>
      </c>
      <c r="W519">
        <v>518</v>
      </c>
      <c r="X519">
        <v>100519</v>
      </c>
      <c r="Y519">
        <v>519</v>
      </c>
      <c r="Z519" t="b">
        <f t="shared" si="8"/>
        <v>1</v>
      </c>
      <c r="AA519" t="b">
        <f>COUNTBLANK(metadata!B519:S519)=COLUMNS(metadata!B519:S519)</f>
        <v>1</v>
      </c>
      <c r="AB519" t="str">
        <v/>
      </c>
      <c r="AD519" t="b">
        <f ca="1">AND(IF(metadata!B519="",FALSE,TRUE),COUNTIF(metadata!B:B, metadata!B519) = 1,NOT(ISERROR(SUMPRODUCT(SEARCH(MID(metadata!B519,ROW(INDIRECT("1:"&amp;LEN(metadata!B519))), 1),"0123456789abcdefghijklmnopqrstuvwxyzABCDEFGHIJKLMNOPQRSTUVWXYZ.")))))</f>
        <v>0</v>
      </c>
      <c r="AE519" t="b">
        <f>OR(AND(IF(metadata!C519="",FALSE,TRUE),OR(EXACT(metadata!C519,"not applicable"),EXACT(metadata!C519,"missing: not collected"),EXACT(metadata!C519,"missing: not provided"),EXACT(metadata!C519,"missing: restricted access"))),AND(IF(metadata!C519="",FALSE,ISNUMBER(VALUE(metadata!C519))),metadata!C519&gt;0))</f>
        <v>0</v>
      </c>
      <c r="AF519" t="b">
        <f>AND(IF(metadata!D519="",FALSE,TRUE),EXACT(metadata!D519,"missing: not provided"))</f>
        <v>0</v>
      </c>
      <c r="AG519" t="b">
        <f>AND(IF(metadata!E519="",FALSE,TRUE),EXACT(metadata!E519,"Host-associated"))</f>
        <v>0</v>
      </c>
      <c r="AH519" t="b">
        <f>AND(IF(metadata!F519="",FALSE,TRUE),OR(EXACT(metadata!F519,"Animal"),EXACT(metadata!F519,"Fungus"),EXACT(metadata!F519,"Plant")))</f>
        <v>0</v>
      </c>
      <c r="AI519" t="b">
        <f>AND(IF(metadata!G519="",FALSE,TRUE),OR(EXACT(metadata!G519,"Plant secretion"),EXACT(metadata!G519,"Plant rhizosphere"),EXACT(metadata!G519,"Plant surface"),EXACT(metadata!G519,"Plant corpus"),EXACT(metadata!G519,"Fungus surface"),EXACT(metadata!G519,"Fungus corpus"),EXACT(metadata!G519,"Animal surface"),EXACT(metadata!G519,"Animal proximal gut"),EXACT(metadata!G519,"Animal corpus"),EXACT(metadata!G519,"Animal distal gut"),EXACT(metadata!G519,"Animal secretion")))</f>
        <v>0</v>
      </c>
      <c r="AJ519" t="b">
        <f>OR(AND(IF(metadata!H519="",FALSE,TRUE),OR(EXACT(metadata!H519,"missing: not collected"),EXACT(metadata!H519,"missing: not provided"),EXACT(metadata!H519,"missing: restricted access"))),AND(IF(metadata!H519="",FALSE,TRUE),OR(EXACT(metadata!H519,"organism-associated habitat"),EXACT(metadata!H519,"plant-associated habitat"),EXACT(metadata!H519,"animal-associated habitat"),EXACT(metadata!H519,"insecta-associated habitat"),EXACT(metadata!H519,"mammalia-associated habitat"),EXACT(metadata!H519,"human-associated habitat"),EXACT(metadata!H519,"livestock-associated habitat"))))</f>
        <v>0</v>
      </c>
      <c r="AK519" t="b">
        <f>AND(IF(metadata!I519="",FALSE,TRUE),EXACT(metadata!I519,"host-associated"))</f>
        <v>0</v>
      </c>
      <c r="AL519" t="b">
        <f>OR(AND(IF(metadata!J519="",FALSE,TRUE),OR(EXACT(metadata!J519,"not applicable"),EXACT(metadata!J519,"missing: not collected"),EXACT(metadata!J519,"missing: not provided"),EXACT(metadata!J519,"missing: restricted access"))),AND(IF(metadata!J519="",FALSE,ISNUMBER(VALUE(metadata!J519))),metadata!J519&gt;0))</f>
        <v>0</v>
      </c>
      <c r="AM519" t="b">
        <f>AND(IF(metadata!K519="",FALSE,TRUE),EXACT(metadata!K519,"missing: not provided"))</f>
        <v>0</v>
      </c>
      <c r="AN519" t="b">
        <f>IF(metadata!L519="",FALSE,TRUE)</f>
        <v>0</v>
      </c>
      <c r="AO519" t="b">
        <f>IF(metadata!M519="",FALSE,TRUE)</f>
        <v>0</v>
      </c>
      <c r="AP519" t="b">
        <f>OR(AND(IF(metadata!N519="",FALSE,TRUE),OR(EXACT(metadata!N519,"not applicable"),EXACT(metadata!N519,"missing: not collected"),EXACT(metadata!N519,"missing: not provided"))),AND(IF(metadata!N519="",FALSE,IF(ISERROR(INT(metadata!N519)),FALSE,INT(metadata!N519)=metadata!N519)),metadata!N519&gt;0))</f>
        <v>0</v>
      </c>
      <c r="AQ519" t="b">
        <f>AND(IF(metadata!O519="",FALSE,TRUE),EXACT(metadata!O519,"Not applicable"))</f>
        <v>0</v>
      </c>
      <c r="AR519" t="b">
        <f>OR(AND(IF(metadata!P519="",FALSE,TRUE),OR(EXACT(metadata!P519,"not applicable"),EXACT(metadata!P519,"missing: not collected"),EXACT(metadata!P519,"missing: not provided"),EXACT(metadata!P519,"missing: restricted access"))),IF(metadata!P519="",FALSE,IF(ISERROR(INT(metadata!P519)),FALSE,INT(metadata!P519)=metadata!P519)))</f>
        <v>0</v>
      </c>
      <c r="AS519" t="b">
        <f>AND(IF(metadata!Q519="",FALSE,TRUE),EXACT(metadata!Q519,"Not applicable"))</f>
        <v>0</v>
      </c>
      <c r="AT519" t="b">
        <f>OR(AND(IF(metadata!R519="",FALSE,TRUE),OR(EXACT(metadata!R519,"not applicable"),EXACT(metadata!R519,"missing: not collected"),EXACT(metadata!R519,"missing: not provided"),EXACT(metadata!R519,"missing: restricted access"))),AND(IF(metadata!R519="",FALSE,ISNUMBER(VALUE(metadata!R519))),metadata!R519&gt;0))</f>
        <v>0</v>
      </c>
      <c r="AU519" t="b">
        <f>AND(IF(metadata!S519="",FALSE,TRUE),EXACT(metadata!S519,"missing: not provided"))</f>
        <v>0</v>
      </c>
    </row>
    <row r="520" spans="1:47" x14ac:dyDescent="0.2">
      <c r="A520" s="5" t="str">
        <f ca="1">IF(B520=" "," ",HYPERLINK(CONCATENATE("#metadata!",ADDRESS(INDEX($Y$2:$Y$1001,MATCH(ROWS($W$2:W520),$W$2:$W$1001,0),0),1)),INDEX($AB$2:$AB$1001,MATCH(ROWS($W$2:W520),$W$2:$W$1001,0),0)))</f>
        <v xml:space="preserve"> </v>
      </c>
      <c r="B520" s="4" t="str">
        <f ca="1">IF(OR(INDEX($X$2:$X$1001,MATCH(ROWS($W$2:W520),$W$2:$W$1001,0),1)&gt;=100000,INDEX($AD$1005:$AU$1005,1,MATCH(COLUMNS($AD$1006:AD1006),$AD$1006:$AU$1006,0))&gt;=100000), " ",IF(INDEX($AD$2:$AU$1001,MATCH(ROWS($W$2:W520),$W$2:$W$1001,0),MATCH(COLUMNS($AD$1006:AD1006),$AD$1006:$AU$1006,0)), HYPERLINK("#",""), HYPERLINK(CONCATENATE("#metadata!", ADDRESS(INDEX($Y$2:$Y$1001,MATCH(ROWS($W$2:W520),$W$2:$W$1001,0),0), INDEX($AD$1004:$AU$1004,1,MATCH(COLUMNS($AD$1006:AD1006),$AD$1006:$AU$1006,0)))),"Fix")))</f>
        <v xml:space="preserve"> </v>
      </c>
      <c r="C520" s="4" t="str">
        <f ca="1">IF(OR(INDEX($X$2:$X$1001,MATCH(ROWS($W$2:W520),$W$2:$W$1001,0),1)&gt;=100000,INDEX($AD$1005:$AU$1005,1,MATCH(COLUMNS($AD$1006:AE1006),$AD$1006:$AU$1006,0))&gt;=100000), " ",IF(INDEX($AD$2:$AU$1001,MATCH(ROWS($W$2:W520),$W$2:$W$1001,0),MATCH(COLUMNS($AD$1006:AE1006),$AD$1006:$AU$1006,0)), HYPERLINK("#",""), HYPERLINK(CONCATENATE("#metadata!", ADDRESS(INDEX($Y$2:$Y$1001,MATCH(ROWS($W$2:W520),$W$2:$W$1001,0),0), INDEX($AD$1004:$AU$1004,1,MATCH(COLUMNS($AD$1006:AE1006),$AD$1006:$AU$1006,0)))),"Fix")))</f>
        <v xml:space="preserve"> </v>
      </c>
      <c r="D520" s="4" t="str">
        <f ca="1">IF(OR(INDEX($X$2:$X$1001,MATCH(ROWS($W$2:W520),$W$2:$W$1001,0),1)&gt;=100000,INDEX($AD$1005:$AU$1005,1,MATCH(COLUMNS($AD$1006:AF1006),$AD$1006:$AU$1006,0))&gt;=100000), " ",IF(INDEX($AD$2:$AU$1001,MATCH(ROWS($W$2:W520),$W$2:$W$1001,0),MATCH(COLUMNS($AD$1006:AF1006),$AD$1006:$AU$1006,0)), HYPERLINK("#",""), HYPERLINK(CONCATENATE("#metadata!", ADDRESS(INDEX($Y$2:$Y$1001,MATCH(ROWS($W$2:W520),$W$2:$W$1001,0),0), INDEX($AD$1004:$AU$1004,1,MATCH(COLUMNS($AD$1006:AF1006),$AD$1006:$AU$1006,0)))),"Fix")))</f>
        <v xml:space="preserve"> </v>
      </c>
      <c r="E520" s="4" t="str">
        <f ca="1">IF(OR(INDEX($X$2:$X$1001,MATCH(ROWS($W$2:W520),$W$2:$W$1001,0),1)&gt;=100000,INDEX($AD$1005:$AU$1005,1,MATCH(COLUMNS($AD$1006:AG1006),$AD$1006:$AU$1006,0))&gt;=100000), " ",IF(INDEX($AD$2:$AU$1001,MATCH(ROWS($W$2:W520),$W$2:$W$1001,0),MATCH(COLUMNS($AD$1006:AG1006),$AD$1006:$AU$1006,0)), HYPERLINK("#",""), HYPERLINK(CONCATENATE("#metadata!", ADDRESS(INDEX($Y$2:$Y$1001,MATCH(ROWS($W$2:W520),$W$2:$W$1001,0),0), INDEX($AD$1004:$AU$1004,1,MATCH(COLUMNS($AD$1006:AG1006),$AD$1006:$AU$1006,0)))),"Fix")))</f>
        <v xml:space="preserve"> </v>
      </c>
      <c r="F520" s="4" t="str">
        <f ca="1">IF(OR(INDEX($X$2:$X$1001,MATCH(ROWS($W$2:W520),$W$2:$W$1001,0),1)&gt;=100000,INDEX($AD$1005:$AU$1005,1,MATCH(COLUMNS($AD$1006:AH1006),$AD$1006:$AU$1006,0))&gt;=100000), " ",IF(INDEX($AD$2:$AU$1001,MATCH(ROWS($W$2:W520),$W$2:$W$1001,0),MATCH(COLUMNS($AD$1006:AH1006),$AD$1006:$AU$1006,0)), HYPERLINK("#",""), HYPERLINK(CONCATENATE("#metadata!", ADDRESS(INDEX($Y$2:$Y$1001,MATCH(ROWS($W$2:W520),$W$2:$W$1001,0),0), INDEX($AD$1004:$AU$1004,1,MATCH(COLUMNS($AD$1006:AH1006),$AD$1006:$AU$1006,0)))),"Fix")))</f>
        <v xml:space="preserve"> </v>
      </c>
      <c r="G520" s="4" t="str">
        <f ca="1">IF(OR(INDEX($X$2:$X$1001,MATCH(ROWS($W$2:W520),$W$2:$W$1001,0),1)&gt;=100000,INDEX($AD$1005:$AU$1005,1,MATCH(COLUMNS($AD$1006:AI1006),$AD$1006:$AU$1006,0))&gt;=100000), " ",IF(INDEX($AD$2:$AU$1001,MATCH(ROWS($W$2:W520),$W$2:$W$1001,0),MATCH(COLUMNS($AD$1006:AI1006),$AD$1006:$AU$1006,0)), HYPERLINK("#",""), HYPERLINK(CONCATENATE("#metadata!", ADDRESS(INDEX($Y$2:$Y$1001,MATCH(ROWS($W$2:W520),$W$2:$W$1001,0),0), INDEX($AD$1004:$AU$1004,1,MATCH(COLUMNS($AD$1006:AI1006),$AD$1006:$AU$1006,0)))),"Fix")))</f>
        <v xml:space="preserve"> </v>
      </c>
      <c r="H520" s="4" t="str">
        <f ca="1">IF(OR(INDEX($X$2:$X$1001,MATCH(ROWS($W$2:W520),$W$2:$W$1001,0),1)&gt;=100000,INDEX($AD$1005:$AU$1005,1,MATCH(COLUMNS($AD$1006:AJ1006),$AD$1006:$AU$1006,0))&gt;=100000), " ",IF(INDEX($AD$2:$AU$1001,MATCH(ROWS($W$2:W520),$W$2:$W$1001,0),MATCH(COLUMNS($AD$1006:AJ1006),$AD$1006:$AU$1006,0)), HYPERLINK("#",""), HYPERLINK(CONCATENATE("#metadata!", ADDRESS(INDEX($Y$2:$Y$1001,MATCH(ROWS($W$2:W520),$W$2:$W$1001,0),0), INDEX($AD$1004:$AU$1004,1,MATCH(COLUMNS($AD$1006:AJ1006),$AD$1006:$AU$1006,0)))),"Fix")))</f>
        <v xml:space="preserve"> </v>
      </c>
      <c r="I520" s="4" t="str">
        <f ca="1">IF(OR(INDEX($X$2:$X$1001,MATCH(ROWS($W$2:W520),$W$2:$W$1001,0),1)&gt;=100000,INDEX($AD$1005:$AU$1005,1,MATCH(COLUMNS($AD$1006:AK1006),$AD$1006:$AU$1006,0))&gt;=100000), " ",IF(INDEX($AD$2:$AU$1001,MATCH(ROWS($W$2:W520),$W$2:$W$1001,0),MATCH(COLUMNS($AD$1006:AK1006),$AD$1006:$AU$1006,0)), HYPERLINK("#",""), HYPERLINK(CONCATENATE("#metadata!", ADDRESS(INDEX($Y$2:$Y$1001,MATCH(ROWS($W$2:W520),$W$2:$W$1001,0),0), INDEX($AD$1004:$AU$1004,1,MATCH(COLUMNS($AD$1006:AK1006),$AD$1006:$AU$1006,0)))),"Fix")))</f>
        <v xml:space="preserve"> </v>
      </c>
      <c r="J520" s="4" t="str">
        <f ca="1">IF(OR(INDEX($X$2:$X$1001,MATCH(ROWS($W$2:W520),$W$2:$W$1001,0),1)&gt;=100000,INDEX($AD$1005:$AU$1005,1,MATCH(COLUMNS($AD$1006:AL1006),$AD$1006:$AU$1006,0))&gt;=100000), " ",IF(INDEX($AD$2:$AU$1001,MATCH(ROWS($W$2:W520),$W$2:$W$1001,0),MATCH(COLUMNS($AD$1006:AL1006),$AD$1006:$AU$1006,0)), HYPERLINK("#",""), HYPERLINK(CONCATENATE("#metadata!", ADDRESS(INDEX($Y$2:$Y$1001,MATCH(ROWS($W$2:W520),$W$2:$W$1001,0),0), INDEX($AD$1004:$AU$1004,1,MATCH(COLUMNS($AD$1006:AL1006),$AD$1006:$AU$1006,0)))),"Fix")))</f>
        <v xml:space="preserve"> </v>
      </c>
      <c r="K520" s="4" t="str">
        <f ca="1">IF(OR(INDEX($X$2:$X$1001,MATCH(ROWS($W$2:W520),$W$2:$W$1001,0),1)&gt;=100000,INDEX($AD$1005:$AU$1005,1,MATCH(COLUMNS($AD$1006:AM1006),$AD$1006:$AU$1006,0))&gt;=100000), " ",IF(INDEX($AD$2:$AU$1001,MATCH(ROWS($W$2:W520),$W$2:$W$1001,0),MATCH(COLUMNS($AD$1006:AM1006),$AD$1006:$AU$1006,0)), HYPERLINK("#",""), HYPERLINK(CONCATENATE("#metadata!", ADDRESS(INDEX($Y$2:$Y$1001,MATCH(ROWS($W$2:W520),$W$2:$W$1001,0),0), INDEX($AD$1004:$AU$1004,1,MATCH(COLUMNS($AD$1006:AM1006),$AD$1006:$AU$1006,0)))),"Fix")))</f>
        <v xml:space="preserve"> </v>
      </c>
      <c r="L520" s="4" t="str">
        <f ca="1">IF(OR(INDEX($X$2:$X$1001,MATCH(ROWS($W$2:W520),$W$2:$W$1001,0),1)&gt;=100000,INDEX($AD$1005:$AU$1005,1,MATCH(COLUMNS($AD$1006:AN1006),$AD$1006:$AU$1006,0))&gt;=100000), " ",IF(INDEX($AD$2:$AU$1001,MATCH(ROWS($W$2:W520),$W$2:$W$1001,0),MATCH(COLUMNS($AD$1006:AN1006),$AD$1006:$AU$1006,0)), HYPERLINK("#",""), HYPERLINK(CONCATENATE("#metadata!", ADDRESS(INDEX($Y$2:$Y$1001,MATCH(ROWS($W$2:W520),$W$2:$W$1001,0),0), INDEX($AD$1004:$AU$1004,1,MATCH(COLUMNS($AD$1006:AN1006),$AD$1006:$AU$1006,0)))),"Fix")))</f>
        <v xml:space="preserve"> </v>
      </c>
      <c r="M520" s="4" t="str">
        <f ca="1">IF(OR(INDEX($X$2:$X$1001,MATCH(ROWS($W$2:W520),$W$2:$W$1001,0),1)&gt;=100000,INDEX($AD$1005:$AU$1005,1,MATCH(COLUMNS($AD$1006:AO1006),$AD$1006:$AU$1006,0))&gt;=100000), " ",IF(INDEX($AD$2:$AU$1001,MATCH(ROWS($W$2:W520),$W$2:$W$1001,0),MATCH(COLUMNS($AD$1006:AO1006),$AD$1006:$AU$1006,0)), HYPERLINK("#",""), HYPERLINK(CONCATENATE("#metadata!", ADDRESS(INDEX($Y$2:$Y$1001,MATCH(ROWS($W$2:W520),$W$2:$W$1001,0),0), INDEX($AD$1004:$AU$1004,1,MATCH(COLUMNS($AD$1006:AO1006),$AD$1006:$AU$1006,0)))),"Fix")))</f>
        <v xml:space="preserve"> </v>
      </c>
      <c r="N520" s="4" t="str">
        <f ca="1">IF(OR(INDEX($X$2:$X$1001,MATCH(ROWS($W$2:W520),$W$2:$W$1001,0),1)&gt;=100000,INDEX($AD$1005:$AU$1005,1,MATCH(COLUMNS($AD$1006:AP1006),$AD$1006:$AU$1006,0))&gt;=100000), " ",IF(INDEX($AD$2:$AU$1001,MATCH(ROWS($W$2:W520),$W$2:$W$1001,0),MATCH(COLUMNS($AD$1006:AP1006),$AD$1006:$AU$1006,0)), HYPERLINK("#",""), HYPERLINK(CONCATENATE("#metadata!", ADDRESS(INDEX($Y$2:$Y$1001,MATCH(ROWS($W$2:W520),$W$2:$W$1001,0),0), INDEX($AD$1004:$AU$1004,1,MATCH(COLUMNS($AD$1006:AP1006),$AD$1006:$AU$1006,0)))),"Fix")))</f>
        <v xml:space="preserve"> </v>
      </c>
      <c r="O520" s="4" t="str">
        <f ca="1">IF(OR(INDEX($X$2:$X$1001,MATCH(ROWS($W$2:W520),$W$2:$W$1001,0),1)&gt;=100000,INDEX($AD$1005:$AU$1005,1,MATCH(COLUMNS($AD$1006:AQ1006),$AD$1006:$AU$1006,0))&gt;=100000), " ",IF(INDEX($AD$2:$AU$1001,MATCH(ROWS($W$2:W520),$W$2:$W$1001,0),MATCH(COLUMNS($AD$1006:AQ1006),$AD$1006:$AU$1006,0)), HYPERLINK("#",""), HYPERLINK(CONCATENATE("#metadata!", ADDRESS(INDEX($Y$2:$Y$1001,MATCH(ROWS($W$2:W520),$W$2:$W$1001,0),0), INDEX($AD$1004:$AU$1004,1,MATCH(COLUMNS($AD$1006:AQ1006),$AD$1006:$AU$1006,0)))),"Fix")))</f>
        <v xml:space="preserve"> </v>
      </c>
      <c r="P520" s="4" t="str">
        <f ca="1">IF(OR(INDEX($X$2:$X$1001,MATCH(ROWS($W$2:W520),$W$2:$W$1001,0),1)&gt;=100000,INDEX($AD$1005:$AU$1005,1,MATCH(COLUMNS($AD$1006:AR1006),$AD$1006:$AU$1006,0))&gt;=100000), " ",IF(INDEX($AD$2:$AU$1001,MATCH(ROWS($W$2:W520),$W$2:$W$1001,0),MATCH(COLUMNS($AD$1006:AR1006),$AD$1006:$AU$1006,0)), HYPERLINK("#",""), HYPERLINK(CONCATENATE("#metadata!", ADDRESS(INDEX($Y$2:$Y$1001,MATCH(ROWS($W$2:W520),$W$2:$W$1001,0),0), INDEX($AD$1004:$AU$1004,1,MATCH(COLUMNS($AD$1006:AR1006),$AD$1006:$AU$1006,0)))),"Fix")))</f>
        <v xml:space="preserve"> </v>
      </c>
      <c r="Q520" s="4" t="str">
        <f ca="1">IF(OR(INDEX($X$2:$X$1001,MATCH(ROWS($W$2:W520),$W$2:$W$1001,0),1)&gt;=100000,INDEX($AD$1005:$AU$1005,1,MATCH(COLUMNS($AD$1006:AS1006),$AD$1006:$AU$1006,0))&gt;=100000), " ",IF(INDEX($AD$2:$AU$1001,MATCH(ROWS($W$2:W520),$W$2:$W$1001,0),MATCH(COLUMNS($AD$1006:AS1006),$AD$1006:$AU$1006,0)), HYPERLINK("#",""), HYPERLINK(CONCATENATE("#metadata!", ADDRESS(INDEX($Y$2:$Y$1001,MATCH(ROWS($W$2:W520),$W$2:$W$1001,0),0), INDEX($AD$1004:$AU$1004,1,MATCH(COLUMNS($AD$1006:AS1006),$AD$1006:$AU$1006,0)))),"Fix")))</f>
        <v xml:space="preserve"> </v>
      </c>
      <c r="R520" s="4" t="str">
        <f ca="1">IF(OR(INDEX($X$2:$X$1001,MATCH(ROWS($W$2:W520),$W$2:$W$1001,0),1)&gt;=100000,INDEX($AD$1005:$AU$1005,1,MATCH(COLUMNS($AD$1006:AT1006),$AD$1006:$AU$1006,0))&gt;=100000), " ",IF(INDEX($AD$2:$AU$1001,MATCH(ROWS($W$2:W520),$W$2:$W$1001,0),MATCH(COLUMNS($AD$1006:AT1006),$AD$1006:$AU$1006,0)), HYPERLINK("#",""), HYPERLINK(CONCATENATE("#metadata!", ADDRESS(INDEX($Y$2:$Y$1001,MATCH(ROWS($W$2:W520),$W$2:$W$1001,0),0), INDEX($AD$1004:$AU$1004,1,MATCH(COLUMNS($AD$1006:AT1006),$AD$1006:$AU$1006,0)))),"Fix")))</f>
        <v xml:space="preserve"> </v>
      </c>
      <c r="S520" s="4" t="str">
        <f ca="1">IF(OR(INDEX($X$2:$X$1001,MATCH(ROWS($W$2:W520),$W$2:$W$1001,0),1)&gt;=100000,INDEX($AD$1005:$AU$1005,1,MATCH(COLUMNS($AD$1006:AU1006),$AD$1006:$AU$1006,0))&gt;=100000), " ",IF(INDEX($AD$2:$AU$1001,MATCH(ROWS($W$2:W520),$W$2:$W$1001,0),MATCH(COLUMNS($AD$1006:AU1006),$AD$1006:$AU$1006,0)), HYPERLINK("#",""), HYPERLINK(CONCATENATE("#metadata!", ADDRESS(INDEX($Y$2:$Y$1001,MATCH(ROWS($W$2:W520),$W$2:$W$1001,0),0), INDEX($AD$1004:$AU$1004,1,MATCH(COLUMNS($AD$1006:AU1006),$AD$1006:$AU$1006,0)))),"Fix")))</f>
        <v xml:space="preserve"> </v>
      </c>
      <c r="W520">
        <v>519</v>
      </c>
      <c r="X520">
        <v>100520</v>
      </c>
      <c r="Y520">
        <v>520</v>
      </c>
      <c r="Z520" t="b">
        <f t="shared" si="8"/>
        <v>1</v>
      </c>
      <c r="AA520" t="b">
        <f>COUNTBLANK(metadata!B520:S520)=COLUMNS(metadata!B520:S520)</f>
        <v>1</v>
      </c>
      <c r="AB520" t="str">
        <v/>
      </c>
      <c r="AD520" t="b">
        <f ca="1">AND(IF(metadata!B520="",FALSE,TRUE),COUNTIF(metadata!B:B, metadata!B520) = 1,NOT(ISERROR(SUMPRODUCT(SEARCH(MID(metadata!B520,ROW(INDIRECT("1:"&amp;LEN(metadata!B520))), 1),"0123456789abcdefghijklmnopqrstuvwxyzABCDEFGHIJKLMNOPQRSTUVWXYZ.")))))</f>
        <v>0</v>
      </c>
      <c r="AE520" t="b">
        <f>OR(AND(IF(metadata!C520="",FALSE,TRUE),OR(EXACT(metadata!C520,"not applicable"),EXACT(metadata!C520,"missing: not collected"),EXACT(metadata!C520,"missing: not provided"),EXACT(metadata!C520,"missing: restricted access"))),AND(IF(metadata!C520="",FALSE,ISNUMBER(VALUE(metadata!C520))),metadata!C520&gt;0))</f>
        <v>0</v>
      </c>
      <c r="AF520" t="b">
        <f>AND(IF(metadata!D520="",FALSE,TRUE),EXACT(metadata!D520,"missing: not provided"))</f>
        <v>0</v>
      </c>
      <c r="AG520" t="b">
        <f>AND(IF(metadata!E520="",FALSE,TRUE),EXACT(metadata!E520,"Host-associated"))</f>
        <v>0</v>
      </c>
      <c r="AH520" t="b">
        <f>AND(IF(metadata!F520="",FALSE,TRUE),OR(EXACT(metadata!F520,"Animal"),EXACT(metadata!F520,"Fungus"),EXACT(metadata!F520,"Plant")))</f>
        <v>0</v>
      </c>
      <c r="AI520" t="b">
        <f>AND(IF(metadata!G520="",FALSE,TRUE),OR(EXACT(metadata!G520,"Plant secretion"),EXACT(metadata!G520,"Plant rhizosphere"),EXACT(metadata!G520,"Plant surface"),EXACT(metadata!G520,"Plant corpus"),EXACT(metadata!G520,"Fungus surface"),EXACT(metadata!G520,"Fungus corpus"),EXACT(metadata!G520,"Animal surface"),EXACT(metadata!G520,"Animal proximal gut"),EXACT(metadata!G520,"Animal corpus"),EXACT(metadata!G520,"Animal distal gut"),EXACT(metadata!G520,"Animal secretion")))</f>
        <v>0</v>
      </c>
      <c r="AJ520" t="b">
        <f>OR(AND(IF(metadata!H520="",FALSE,TRUE),OR(EXACT(metadata!H520,"missing: not collected"),EXACT(metadata!H520,"missing: not provided"),EXACT(metadata!H520,"missing: restricted access"))),AND(IF(metadata!H520="",FALSE,TRUE),OR(EXACT(metadata!H520,"organism-associated habitat"),EXACT(metadata!H520,"plant-associated habitat"),EXACT(metadata!H520,"animal-associated habitat"),EXACT(metadata!H520,"insecta-associated habitat"),EXACT(metadata!H520,"mammalia-associated habitat"),EXACT(metadata!H520,"human-associated habitat"),EXACT(metadata!H520,"livestock-associated habitat"))))</f>
        <v>0</v>
      </c>
      <c r="AK520" t="b">
        <f>AND(IF(metadata!I520="",FALSE,TRUE),EXACT(metadata!I520,"host-associated"))</f>
        <v>0</v>
      </c>
      <c r="AL520" t="b">
        <f>OR(AND(IF(metadata!J520="",FALSE,TRUE),OR(EXACT(metadata!J520,"not applicable"),EXACT(metadata!J520,"missing: not collected"),EXACT(metadata!J520,"missing: not provided"),EXACT(metadata!J520,"missing: restricted access"))),AND(IF(metadata!J520="",FALSE,ISNUMBER(VALUE(metadata!J520))),metadata!J520&gt;0))</f>
        <v>0</v>
      </c>
      <c r="AM520" t="b">
        <f>AND(IF(metadata!K520="",FALSE,TRUE),EXACT(metadata!K520,"missing: not provided"))</f>
        <v>0</v>
      </c>
      <c r="AN520" t="b">
        <f>IF(metadata!L520="",FALSE,TRUE)</f>
        <v>0</v>
      </c>
      <c r="AO520" t="b">
        <f>IF(metadata!M520="",FALSE,TRUE)</f>
        <v>0</v>
      </c>
      <c r="AP520" t="b">
        <f>OR(AND(IF(metadata!N520="",FALSE,TRUE),OR(EXACT(metadata!N520,"not applicable"),EXACT(metadata!N520,"missing: not collected"),EXACT(metadata!N520,"missing: not provided"))),AND(IF(metadata!N520="",FALSE,IF(ISERROR(INT(metadata!N520)),FALSE,INT(metadata!N520)=metadata!N520)),metadata!N520&gt;0))</f>
        <v>0</v>
      </c>
      <c r="AQ520" t="b">
        <f>AND(IF(metadata!O520="",FALSE,TRUE),EXACT(metadata!O520,"Not applicable"))</f>
        <v>0</v>
      </c>
      <c r="AR520" t="b">
        <f>OR(AND(IF(metadata!P520="",FALSE,TRUE),OR(EXACT(metadata!P520,"not applicable"),EXACT(metadata!P520,"missing: not collected"),EXACT(metadata!P520,"missing: not provided"),EXACT(metadata!P520,"missing: restricted access"))),IF(metadata!P520="",FALSE,IF(ISERROR(INT(metadata!P520)),FALSE,INT(metadata!P520)=metadata!P520)))</f>
        <v>0</v>
      </c>
      <c r="AS520" t="b">
        <f>AND(IF(metadata!Q520="",FALSE,TRUE),EXACT(metadata!Q520,"Not applicable"))</f>
        <v>0</v>
      </c>
      <c r="AT520" t="b">
        <f>OR(AND(IF(metadata!R520="",FALSE,TRUE),OR(EXACT(metadata!R520,"not applicable"),EXACT(metadata!R520,"missing: not collected"),EXACT(metadata!R520,"missing: not provided"),EXACT(metadata!R520,"missing: restricted access"))),AND(IF(metadata!R520="",FALSE,ISNUMBER(VALUE(metadata!R520))),metadata!R520&gt;0))</f>
        <v>0</v>
      </c>
      <c r="AU520" t="b">
        <f>AND(IF(metadata!S520="",FALSE,TRUE),EXACT(metadata!S520,"missing: not provided"))</f>
        <v>0</v>
      </c>
    </row>
    <row r="521" spans="1:47" x14ac:dyDescent="0.2">
      <c r="A521" s="5" t="str">
        <f ca="1">IF(B521=" "," ",HYPERLINK(CONCATENATE("#metadata!",ADDRESS(INDEX($Y$2:$Y$1001,MATCH(ROWS($W$2:W521),$W$2:$W$1001,0),0),1)),INDEX($AB$2:$AB$1001,MATCH(ROWS($W$2:W521),$W$2:$W$1001,0),0)))</f>
        <v xml:space="preserve"> </v>
      </c>
      <c r="B521" s="4" t="str">
        <f ca="1">IF(OR(INDEX($X$2:$X$1001,MATCH(ROWS($W$2:W521),$W$2:$W$1001,0),1)&gt;=100000,INDEX($AD$1005:$AU$1005,1,MATCH(COLUMNS($AD$1006:AD1006),$AD$1006:$AU$1006,0))&gt;=100000), " ",IF(INDEX($AD$2:$AU$1001,MATCH(ROWS($W$2:W521),$W$2:$W$1001,0),MATCH(COLUMNS($AD$1006:AD1006),$AD$1006:$AU$1006,0)), HYPERLINK("#",""), HYPERLINK(CONCATENATE("#metadata!", ADDRESS(INDEX($Y$2:$Y$1001,MATCH(ROWS($W$2:W521),$W$2:$W$1001,0),0), INDEX($AD$1004:$AU$1004,1,MATCH(COLUMNS($AD$1006:AD1006),$AD$1006:$AU$1006,0)))),"Fix")))</f>
        <v xml:space="preserve"> </v>
      </c>
      <c r="C521" s="4" t="str">
        <f ca="1">IF(OR(INDEX($X$2:$X$1001,MATCH(ROWS($W$2:W521),$W$2:$W$1001,0),1)&gt;=100000,INDEX($AD$1005:$AU$1005,1,MATCH(COLUMNS($AD$1006:AE1006),$AD$1006:$AU$1006,0))&gt;=100000), " ",IF(INDEX($AD$2:$AU$1001,MATCH(ROWS($W$2:W521),$W$2:$W$1001,0),MATCH(COLUMNS($AD$1006:AE1006),$AD$1006:$AU$1006,0)), HYPERLINK("#",""), HYPERLINK(CONCATENATE("#metadata!", ADDRESS(INDEX($Y$2:$Y$1001,MATCH(ROWS($W$2:W521),$W$2:$W$1001,0),0), INDEX($AD$1004:$AU$1004,1,MATCH(COLUMNS($AD$1006:AE1006),$AD$1006:$AU$1006,0)))),"Fix")))</f>
        <v xml:space="preserve"> </v>
      </c>
      <c r="D521" s="4" t="str">
        <f ca="1">IF(OR(INDEX($X$2:$X$1001,MATCH(ROWS($W$2:W521),$W$2:$W$1001,0),1)&gt;=100000,INDEX($AD$1005:$AU$1005,1,MATCH(COLUMNS($AD$1006:AF1006),$AD$1006:$AU$1006,0))&gt;=100000), " ",IF(INDEX($AD$2:$AU$1001,MATCH(ROWS($W$2:W521),$W$2:$W$1001,0),MATCH(COLUMNS($AD$1006:AF1006),$AD$1006:$AU$1006,0)), HYPERLINK("#",""), HYPERLINK(CONCATENATE("#metadata!", ADDRESS(INDEX($Y$2:$Y$1001,MATCH(ROWS($W$2:W521),$W$2:$W$1001,0),0), INDEX($AD$1004:$AU$1004,1,MATCH(COLUMNS($AD$1006:AF1006),$AD$1006:$AU$1006,0)))),"Fix")))</f>
        <v xml:space="preserve"> </v>
      </c>
      <c r="E521" s="4" t="str">
        <f ca="1">IF(OR(INDEX($X$2:$X$1001,MATCH(ROWS($W$2:W521),$W$2:$W$1001,0),1)&gt;=100000,INDEX($AD$1005:$AU$1005,1,MATCH(COLUMNS($AD$1006:AG1006),$AD$1006:$AU$1006,0))&gt;=100000), " ",IF(INDEX($AD$2:$AU$1001,MATCH(ROWS($W$2:W521),$W$2:$W$1001,0),MATCH(COLUMNS($AD$1006:AG1006),$AD$1006:$AU$1006,0)), HYPERLINK("#",""), HYPERLINK(CONCATENATE("#metadata!", ADDRESS(INDEX($Y$2:$Y$1001,MATCH(ROWS($W$2:W521),$W$2:$W$1001,0),0), INDEX($AD$1004:$AU$1004,1,MATCH(COLUMNS($AD$1006:AG1006),$AD$1006:$AU$1006,0)))),"Fix")))</f>
        <v xml:space="preserve"> </v>
      </c>
      <c r="F521" s="4" t="str">
        <f ca="1">IF(OR(INDEX($X$2:$X$1001,MATCH(ROWS($W$2:W521),$W$2:$W$1001,0),1)&gt;=100000,INDEX($AD$1005:$AU$1005,1,MATCH(COLUMNS($AD$1006:AH1006),$AD$1006:$AU$1006,0))&gt;=100000), " ",IF(INDEX($AD$2:$AU$1001,MATCH(ROWS($W$2:W521),$W$2:$W$1001,0),MATCH(COLUMNS($AD$1006:AH1006),$AD$1006:$AU$1006,0)), HYPERLINK("#",""), HYPERLINK(CONCATENATE("#metadata!", ADDRESS(INDEX($Y$2:$Y$1001,MATCH(ROWS($W$2:W521),$W$2:$W$1001,0),0), INDEX($AD$1004:$AU$1004,1,MATCH(COLUMNS($AD$1006:AH1006),$AD$1006:$AU$1006,0)))),"Fix")))</f>
        <v xml:space="preserve"> </v>
      </c>
      <c r="G521" s="4" t="str">
        <f ca="1">IF(OR(INDEX($X$2:$X$1001,MATCH(ROWS($W$2:W521),$W$2:$W$1001,0),1)&gt;=100000,INDEX($AD$1005:$AU$1005,1,MATCH(COLUMNS($AD$1006:AI1006),$AD$1006:$AU$1006,0))&gt;=100000), " ",IF(INDEX($AD$2:$AU$1001,MATCH(ROWS($W$2:W521),$W$2:$W$1001,0),MATCH(COLUMNS($AD$1006:AI1006),$AD$1006:$AU$1006,0)), HYPERLINK("#",""), HYPERLINK(CONCATENATE("#metadata!", ADDRESS(INDEX($Y$2:$Y$1001,MATCH(ROWS($W$2:W521),$W$2:$W$1001,0),0), INDEX($AD$1004:$AU$1004,1,MATCH(COLUMNS($AD$1006:AI1006),$AD$1006:$AU$1006,0)))),"Fix")))</f>
        <v xml:space="preserve"> </v>
      </c>
      <c r="H521" s="4" t="str">
        <f ca="1">IF(OR(INDEX($X$2:$X$1001,MATCH(ROWS($W$2:W521),$W$2:$W$1001,0),1)&gt;=100000,INDEX($AD$1005:$AU$1005,1,MATCH(COLUMNS($AD$1006:AJ1006),$AD$1006:$AU$1006,0))&gt;=100000), " ",IF(INDEX($AD$2:$AU$1001,MATCH(ROWS($W$2:W521),$W$2:$W$1001,0),MATCH(COLUMNS($AD$1006:AJ1006),$AD$1006:$AU$1006,0)), HYPERLINK("#",""), HYPERLINK(CONCATENATE("#metadata!", ADDRESS(INDEX($Y$2:$Y$1001,MATCH(ROWS($W$2:W521),$W$2:$W$1001,0),0), INDEX($AD$1004:$AU$1004,1,MATCH(COLUMNS($AD$1006:AJ1006),$AD$1006:$AU$1006,0)))),"Fix")))</f>
        <v xml:space="preserve"> </v>
      </c>
      <c r="I521" s="4" t="str">
        <f ca="1">IF(OR(INDEX($X$2:$X$1001,MATCH(ROWS($W$2:W521),$W$2:$W$1001,0),1)&gt;=100000,INDEX($AD$1005:$AU$1005,1,MATCH(COLUMNS($AD$1006:AK1006),$AD$1006:$AU$1006,0))&gt;=100000), " ",IF(INDEX($AD$2:$AU$1001,MATCH(ROWS($W$2:W521),$W$2:$W$1001,0),MATCH(COLUMNS($AD$1006:AK1006),$AD$1006:$AU$1006,0)), HYPERLINK("#",""), HYPERLINK(CONCATENATE("#metadata!", ADDRESS(INDEX($Y$2:$Y$1001,MATCH(ROWS($W$2:W521),$W$2:$W$1001,0),0), INDEX($AD$1004:$AU$1004,1,MATCH(COLUMNS($AD$1006:AK1006),$AD$1006:$AU$1006,0)))),"Fix")))</f>
        <v xml:space="preserve"> </v>
      </c>
      <c r="J521" s="4" t="str">
        <f ca="1">IF(OR(INDEX($X$2:$X$1001,MATCH(ROWS($W$2:W521),$W$2:$W$1001,0),1)&gt;=100000,INDEX($AD$1005:$AU$1005,1,MATCH(COLUMNS($AD$1006:AL1006),$AD$1006:$AU$1006,0))&gt;=100000), " ",IF(INDEX($AD$2:$AU$1001,MATCH(ROWS($W$2:W521),$W$2:$W$1001,0),MATCH(COLUMNS($AD$1006:AL1006),$AD$1006:$AU$1006,0)), HYPERLINK("#",""), HYPERLINK(CONCATENATE("#metadata!", ADDRESS(INDEX($Y$2:$Y$1001,MATCH(ROWS($W$2:W521),$W$2:$W$1001,0),0), INDEX($AD$1004:$AU$1004,1,MATCH(COLUMNS($AD$1006:AL1006),$AD$1006:$AU$1006,0)))),"Fix")))</f>
        <v xml:space="preserve"> </v>
      </c>
      <c r="K521" s="4" t="str">
        <f ca="1">IF(OR(INDEX($X$2:$X$1001,MATCH(ROWS($W$2:W521),$W$2:$W$1001,0),1)&gt;=100000,INDEX($AD$1005:$AU$1005,1,MATCH(COLUMNS($AD$1006:AM1006),$AD$1006:$AU$1006,0))&gt;=100000), " ",IF(INDEX($AD$2:$AU$1001,MATCH(ROWS($W$2:W521),$W$2:$W$1001,0),MATCH(COLUMNS($AD$1006:AM1006),$AD$1006:$AU$1006,0)), HYPERLINK("#",""), HYPERLINK(CONCATENATE("#metadata!", ADDRESS(INDEX($Y$2:$Y$1001,MATCH(ROWS($W$2:W521),$W$2:$W$1001,0),0), INDEX($AD$1004:$AU$1004,1,MATCH(COLUMNS($AD$1006:AM1006),$AD$1006:$AU$1006,0)))),"Fix")))</f>
        <v xml:space="preserve"> </v>
      </c>
      <c r="L521" s="4" t="str">
        <f ca="1">IF(OR(INDEX($X$2:$X$1001,MATCH(ROWS($W$2:W521),$W$2:$W$1001,0),1)&gt;=100000,INDEX($AD$1005:$AU$1005,1,MATCH(COLUMNS($AD$1006:AN1006),$AD$1006:$AU$1006,0))&gt;=100000), " ",IF(INDEX($AD$2:$AU$1001,MATCH(ROWS($W$2:W521),$W$2:$W$1001,0),MATCH(COLUMNS($AD$1006:AN1006),$AD$1006:$AU$1006,0)), HYPERLINK("#",""), HYPERLINK(CONCATENATE("#metadata!", ADDRESS(INDEX($Y$2:$Y$1001,MATCH(ROWS($W$2:W521),$W$2:$W$1001,0),0), INDEX($AD$1004:$AU$1004,1,MATCH(COLUMNS($AD$1006:AN1006),$AD$1006:$AU$1006,0)))),"Fix")))</f>
        <v xml:space="preserve"> </v>
      </c>
      <c r="M521" s="4" t="str">
        <f ca="1">IF(OR(INDEX($X$2:$X$1001,MATCH(ROWS($W$2:W521),$W$2:$W$1001,0),1)&gt;=100000,INDEX($AD$1005:$AU$1005,1,MATCH(COLUMNS($AD$1006:AO1006),$AD$1006:$AU$1006,0))&gt;=100000), " ",IF(INDEX($AD$2:$AU$1001,MATCH(ROWS($W$2:W521),$W$2:$W$1001,0),MATCH(COLUMNS($AD$1006:AO1006),$AD$1006:$AU$1006,0)), HYPERLINK("#",""), HYPERLINK(CONCATENATE("#metadata!", ADDRESS(INDEX($Y$2:$Y$1001,MATCH(ROWS($W$2:W521),$W$2:$W$1001,0),0), INDEX($AD$1004:$AU$1004,1,MATCH(COLUMNS($AD$1006:AO1006),$AD$1006:$AU$1006,0)))),"Fix")))</f>
        <v xml:space="preserve"> </v>
      </c>
      <c r="N521" s="4" t="str">
        <f ca="1">IF(OR(INDEX($X$2:$X$1001,MATCH(ROWS($W$2:W521),$W$2:$W$1001,0),1)&gt;=100000,INDEX($AD$1005:$AU$1005,1,MATCH(COLUMNS($AD$1006:AP1006),$AD$1006:$AU$1006,0))&gt;=100000), " ",IF(INDEX($AD$2:$AU$1001,MATCH(ROWS($W$2:W521),$W$2:$W$1001,0),MATCH(COLUMNS($AD$1006:AP1006),$AD$1006:$AU$1006,0)), HYPERLINK("#",""), HYPERLINK(CONCATENATE("#metadata!", ADDRESS(INDEX($Y$2:$Y$1001,MATCH(ROWS($W$2:W521),$W$2:$W$1001,0),0), INDEX($AD$1004:$AU$1004,1,MATCH(COLUMNS($AD$1006:AP1006),$AD$1006:$AU$1006,0)))),"Fix")))</f>
        <v xml:space="preserve"> </v>
      </c>
      <c r="O521" s="4" t="str">
        <f ca="1">IF(OR(INDEX($X$2:$X$1001,MATCH(ROWS($W$2:W521),$W$2:$W$1001,0),1)&gt;=100000,INDEX($AD$1005:$AU$1005,1,MATCH(COLUMNS($AD$1006:AQ1006),$AD$1006:$AU$1006,0))&gt;=100000), " ",IF(INDEX($AD$2:$AU$1001,MATCH(ROWS($W$2:W521),$W$2:$W$1001,0),MATCH(COLUMNS($AD$1006:AQ1006),$AD$1006:$AU$1006,0)), HYPERLINK("#",""), HYPERLINK(CONCATENATE("#metadata!", ADDRESS(INDEX($Y$2:$Y$1001,MATCH(ROWS($W$2:W521),$W$2:$W$1001,0),0), INDEX($AD$1004:$AU$1004,1,MATCH(COLUMNS($AD$1006:AQ1006),$AD$1006:$AU$1006,0)))),"Fix")))</f>
        <v xml:space="preserve"> </v>
      </c>
      <c r="P521" s="4" t="str">
        <f ca="1">IF(OR(INDEX($X$2:$X$1001,MATCH(ROWS($W$2:W521),$W$2:$W$1001,0),1)&gt;=100000,INDEX($AD$1005:$AU$1005,1,MATCH(COLUMNS($AD$1006:AR1006),$AD$1006:$AU$1006,0))&gt;=100000), " ",IF(INDEX($AD$2:$AU$1001,MATCH(ROWS($W$2:W521),$W$2:$W$1001,0),MATCH(COLUMNS($AD$1006:AR1006),$AD$1006:$AU$1006,0)), HYPERLINK("#",""), HYPERLINK(CONCATENATE("#metadata!", ADDRESS(INDEX($Y$2:$Y$1001,MATCH(ROWS($W$2:W521),$W$2:$W$1001,0),0), INDEX($AD$1004:$AU$1004,1,MATCH(COLUMNS($AD$1006:AR1006),$AD$1006:$AU$1006,0)))),"Fix")))</f>
        <v xml:space="preserve"> </v>
      </c>
      <c r="Q521" s="4" t="str">
        <f ca="1">IF(OR(INDEX($X$2:$X$1001,MATCH(ROWS($W$2:W521),$W$2:$W$1001,0),1)&gt;=100000,INDEX($AD$1005:$AU$1005,1,MATCH(COLUMNS($AD$1006:AS1006),$AD$1006:$AU$1006,0))&gt;=100000), " ",IF(INDEX($AD$2:$AU$1001,MATCH(ROWS($W$2:W521),$W$2:$W$1001,0),MATCH(COLUMNS($AD$1006:AS1006),$AD$1006:$AU$1006,0)), HYPERLINK("#",""), HYPERLINK(CONCATENATE("#metadata!", ADDRESS(INDEX($Y$2:$Y$1001,MATCH(ROWS($W$2:W521),$W$2:$W$1001,0),0), INDEX($AD$1004:$AU$1004,1,MATCH(COLUMNS($AD$1006:AS1006),$AD$1006:$AU$1006,0)))),"Fix")))</f>
        <v xml:space="preserve"> </v>
      </c>
      <c r="R521" s="4" t="str">
        <f ca="1">IF(OR(INDEX($X$2:$X$1001,MATCH(ROWS($W$2:W521),$W$2:$W$1001,0),1)&gt;=100000,INDEX($AD$1005:$AU$1005,1,MATCH(COLUMNS($AD$1006:AT1006),$AD$1006:$AU$1006,0))&gt;=100000), " ",IF(INDEX($AD$2:$AU$1001,MATCH(ROWS($W$2:W521),$W$2:$W$1001,0),MATCH(COLUMNS($AD$1006:AT1006),$AD$1006:$AU$1006,0)), HYPERLINK("#",""), HYPERLINK(CONCATENATE("#metadata!", ADDRESS(INDEX($Y$2:$Y$1001,MATCH(ROWS($W$2:W521),$W$2:$W$1001,0),0), INDEX($AD$1004:$AU$1004,1,MATCH(COLUMNS($AD$1006:AT1006),$AD$1006:$AU$1006,0)))),"Fix")))</f>
        <v xml:space="preserve"> </v>
      </c>
      <c r="S521" s="4" t="str">
        <f ca="1">IF(OR(INDEX($X$2:$X$1001,MATCH(ROWS($W$2:W521),$W$2:$W$1001,0),1)&gt;=100000,INDEX($AD$1005:$AU$1005,1,MATCH(COLUMNS($AD$1006:AU1006),$AD$1006:$AU$1006,0))&gt;=100000), " ",IF(INDEX($AD$2:$AU$1001,MATCH(ROWS($W$2:W521),$W$2:$W$1001,0),MATCH(COLUMNS($AD$1006:AU1006),$AD$1006:$AU$1006,0)), HYPERLINK("#",""), HYPERLINK(CONCATENATE("#metadata!", ADDRESS(INDEX($Y$2:$Y$1001,MATCH(ROWS($W$2:W521),$W$2:$W$1001,0),0), INDEX($AD$1004:$AU$1004,1,MATCH(COLUMNS($AD$1006:AU1006),$AD$1006:$AU$1006,0)))),"Fix")))</f>
        <v xml:space="preserve"> </v>
      </c>
      <c r="W521">
        <v>520</v>
      </c>
      <c r="X521">
        <v>100521</v>
      </c>
      <c r="Y521">
        <v>521</v>
      </c>
      <c r="Z521" t="b">
        <f t="shared" si="8"/>
        <v>1</v>
      </c>
      <c r="AA521" t="b">
        <f>COUNTBLANK(metadata!B521:S521)=COLUMNS(metadata!B521:S521)</f>
        <v>1</v>
      </c>
      <c r="AB521" t="str">
        <v/>
      </c>
      <c r="AD521" t="b">
        <f ca="1">AND(IF(metadata!B521="",FALSE,TRUE),COUNTIF(metadata!B:B, metadata!B521) = 1,NOT(ISERROR(SUMPRODUCT(SEARCH(MID(metadata!B521,ROW(INDIRECT("1:"&amp;LEN(metadata!B521))), 1),"0123456789abcdefghijklmnopqrstuvwxyzABCDEFGHIJKLMNOPQRSTUVWXYZ.")))))</f>
        <v>0</v>
      </c>
      <c r="AE521" t="b">
        <f>OR(AND(IF(metadata!C521="",FALSE,TRUE),OR(EXACT(metadata!C521,"not applicable"),EXACT(metadata!C521,"missing: not collected"),EXACT(metadata!C521,"missing: not provided"),EXACT(metadata!C521,"missing: restricted access"))),AND(IF(metadata!C521="",FALSE,ISNUMBER(VALUE(metadata!C521))),metadata!C521&gt;0))</f>
        <v>0</v>
      </c>
      <c r="AF521" t="b">
        <f>AND(IF(metadata!D521="",FALSE,TRUE),EXACT(metadata!D521,"missing: not provided"))</f>
        <v>0</v>
      </c>
      <c r="AG521" t="b">
        <f>AND(IF(metadata!E521="",FALSE,TRUE),EXACT(metadata!E521,"Host-associated"))</f>
        <v>0</v>
      </c>
      <c r="AH521" t="b">
        <f>AND(IF(metadata!F521="",FALSE,TRUE),OR(EXACT(metadata!F521,"Animal"),EXACT(metadata!F521,"Fungus"),EXACT(metadata!F521,"Plant")))</f>
        <v>0</v>
      </c>
      <c r="AI521" t="b">
        <f>AND(IF(metadata!G521="",FALSE,TRUE),OR(EXACT(metadata!G521,"Plant secretion"),EXACT(metadata!G521,"Plant rhizosphere"),EXACT(metadata!G521,"Plant surface"),EXACT(metadata!G521,"Plant corpus"),EXACT(metadata!G521,"Fungus surface"),EXACT(metadata!G521,"Fungus corpus"),EXACT(metadata!G521,"Animal surface"),EXACT(metadata!G521,"Animal proximal gut"),EXACT(metadata!G521,"Animal corpus"),EXACT(metadata!G521,"Animal distal gut"),EXACT(metadata!G521,"Animal secretion")))</f>
        <v>0</v>
      </c>
      <c r="AJ521" t="b">
        <f>OR(AND(IF(metadata!H521="",FALSE,TRUE),OR(EXACT(metadata!H521,"missing: not collected"),EXACT(metadata!H521,"missing: not provided"),EXACT(metadata!H521,"missing: restricted access"))),AND(IF(metadata!H521="",FALSE,TRUE),OR(EXACT(metadata!H521,"organism-associated habitat"),EXACT(metadata!H521,"plant-associated habitat"),EXACT(metadata!H521,"animal-associated habitat"),EXACT(metadata!H521,"insecta-associated habitat"),EXACT(metadata!H521,"mammalia-associated habitat"),EXACT(metadata!H521,"human-associated habitat"),EXACT(metadata!H521,"livestock-associated habitat"))))</f>
        <v>0</v>
      </c>
      <c r="AK521" t="b">
        <f>AND(IF(metadata!I521="",FALSE,TRUE),EXACT(metadata!I521,"host-associated"))</f>
        <v>0</v>
      </c>
      <c r="AL521" t="b">
        <f>OR(AND(IF(metadata!J521="",FALSE,TRUE),OR(EXACT(metadata!J521,"not applicable"),EXACT(metadata!J521,"missing: not collected"),EXACT(metadata!J521,"missing: not provided"),EXACT(metadata!J521,"missing: restricted access"))),AND(IF(metadata!J521="",FALSE,ISNUMBER(VALUE(metadata!J521))),metadata!J521&gt;0))</f>
        <v>0</v>
      </c>
      <c r="AM521" t="b">
        <f>AND(IF(metadata!K521="",FALSE,TRUE),EXACT(metadata!K521,"missing: not provided"))</f>
        <v>0</v>
      </c>
      <c r="AN521" t="b">
        <f>IF(metadata!L521="",FALSE,TRUE)</f>
        <v>0</v>
      </c>
      <c r="AO521" t="b">
        <f>IF(metadata!M521="",FALSE,TRUE)</f>
        <v>0</v>
      </c>
      <c r="AP521" t="b">
        <f>OR(AND(IF(metadata!N521="",FALSE,TRUE),OR(EXACT(metadata!N521,"not applicable"),EXACT(metadata!N521,"missing: not collected"),EXACT(metadata!N521,"missing: not provided"))),AND(IF(metadata!N521="",FALSE,IF(ISERROR(INT(metadata!N521)),FALSE,INT(metadata!N521)=metadata!N521)),metadata!N521&gt;0))</f>
        <v>0</v>
      </c>
      <c r="AQ521" t="b">
        <f>AND(IF(metadata!O521="",FALSE,TRUE),EXACT(metadata!O521,"Not applicable"))</f>
        <v>0</v>
      </c>
      <c r="AR521" t="b">
        <f>OR(AND(IF(metadata!P521="",FALSE,TRUE),OR(EXACT(metadata!P521,"not applicable"),EXACT(metadata!P521,"missing: not collected"),EXACT(metadata!P521,"missing: not provided"),EXACT(metadata!P521,"missing: restricted access"))),IF(metadata!P521="",FALSE,IF(ISERROR(INT(metadata!P521)),FALSE,INT(metadata!P521)=metadata!P521)))</f>
        <v>0</v>
      </c>
      <c r="AS521" t="b">
        <f>AND(IF(metadata!Q521="",FALSE,TRUE),EXACT(metadata!Q521,"Not applicable"))</f>
        <v>0</v>
      </c>
      <c r="AT521" t="b">
        <f>OR(AND(IF(metadata!R521="",FALSE,TRUE),OR(EXACT(metadata!R521,"not applicable"),EXACT(metadata!R521,"missing: not collected"),EXACT(metadata!R521,"missing: not provided"),EXACT(metadata!R521,"missing: restricted access"))),AND(IF(metadata!R521="",FALSE,ISNUMBER(VALUE(metadata!R521))),metadata!R521&gt;0))</f>
        <v>0</v>
      </c>
      <c r="AU521" t="b">
        <f>AND(IF(metadata!S521="",FALSE,TRUE),EXACT(metadata!S521,"missing: not provided"))</f>
        <v>0</v>
      </c>
    </row>
    <row r="522" spans="1:47" x14ac:dyDescent="0.2">
      <c r="A522" s="5" t="str">
        <f ca="1">IF(B522=" "," ",HYPERLINK(CONCATENATE("#metadata!",ADDRESS(INDEX($Y$2:$Y$1001,MATCH(ROWS($W$2:W522),$W$2:$W$1001,0),0),1)),INDEX($AB$2:$AB$1001,MATCH(ROWS($W$2:W522),$W$2:$W$1001,0),0)))</f>
        <v xml:space="preserve"> </v>
      </c>
      <c r="B522" s="4" t="str">
        <f ca="1">IF(OR(INDEX($X$2:$X$1001,MATCH(ROWS($W$2:W522),$W$2:$W$1001,0),1)&gt;=100000,INDEX($AD$1005:$AU$1005,1,MATCH(COLUMNS($AD$1006:AD1006),$AD$1006:$AU$1006,0))&gt;=100000), " ",IF(INDEX($AD$2:$AU$1001,MATCH(ROWS($W$2:W522),$W$2:$W$1001,0),MATCH(COLUMNS($AD$1006:AD1006),$AD$1006:$AU$1006,0)), HYPERLINK("#",""), HYPERLINK(CONCATENATE("#metadata!", ADDRESS(INDEX($Y$2:$Y$1001,MATCH(ROWS($W$2:W522),$W$2:$W$1001,0),0), INDEX($AD$1004:$AU$1004,1,MATCH(COLUMNS($AD$1006:AD1006),$AD$1006:$AU$1006,0)))),"Fix")))</f>
        <v xml:space="preserve"> </v>
      </c>
      <c r="C522" s="4" t="str">
        <f ca="1">IF(OR(INDEX($X$2:$X$1001,MATCH(ROWS($W$2:W522),$W$2:$W$1001,0),1)&gt;=100000,INDEX($AD$1005:$AU$1005,1,MATCH(COLUMNS($AD$1006:AE1006),$AD$1006:$AU$1006,0))&gt;=100000), " ",IF(INDEX($AD$2:$AU$1001,MATCH(ROWS($W$2:W522),$W$2:$W$1001,0),MATCH(COLUMNS($AD$1006:AE1006),$AD$1006:$AU$1006,0)), HYPERLINK("#",""), HYPERLINK(CONCATENATE("#metadata!", ADDRESS(INDEX($Y$2:$Y$1001,MATCH(ROWS($W$2:W522),$W$2:$W$1001,0),0), INDEX($AD$1004:$AU$1004,1,MATCH(COLUMNS($AD$1006:AE1006),$AD$1006:$AU$1006,0)))),"Fix")))</f>
        <v xml:space="preserve"> </v>
      </c>
      <c r="D522" s="4" t="str">
        <f ca="1">IF(OR(INDEX($X$2:$X$1001,MATCH(ROWS($W$2:W522),$W$2:$W$1001,0),1)&gt;=100000,INDEX($AD$1005:$AU$1005,1,MATCH(COLUMNS($AD$1006:AF1006),$AD$1006:$AU$1006,0))&gt;=100000), " ",IF(INDEX($AD$2:$AU$1001,MATCH(ROWS($W$2:W522),$W$2:$W$1001,0),MATCH(COLUMNS($AD$1006:AF1006),$AD$1006:$AU$1006,0)), HYPERLINK("#",""), HYPERLINK(CONCATENATE("#metadata!", ADDRESS(INDEX($Y$2:$Y$1001,MATCH(ROWS($W$2:W522),$W$2:$W$1001,0),0), INDEX($AD$1004:$AU$1004,1,MATCH(COLUMNS($AD$1006:AF1006),$AD$1006:$AU$1006,0)))),"Fix")))</f>
        <v xml:space="preserve"> </v>
      </c>
      <c r="E522" s="4" t="str">
        <f ca="1">IF(OR(INDEX($X$2:$X$1001,MATCH(ROWS($W$2:W522),$W$2:$W$1001,0),1)&gt;=100000,INDEX($AD$1005:$AU$1005,1,MATCH(COLUMNS($AD$1006:AG1006),$AD$1006:$AU$1006,0))&gt;=100000), " ",IF(INDEX($AD$2:$AU$1001,MATCH(ROWS($W$2:W522),$W$2:$W$1001,0),MATCH(COLUMNS($AD$1006:AG1006),$AD$1006:$AU$1006,0)), HYPERLINK("#",""), HYPERLINK(CONCATENATE("#metadata!", ADDRESS(INDEX($Y$2:$Y$1001,MATCH(ROWS($W$2:W522),$W$2:$W$1001,0),0), INDEX($AD$1004:$AU$1004,1,MATCH(COLUMNS($AD$1006:AG1006),$AD$1006:$AU$1006,0)))),"Fix")))</f>
        <v xml:space="preserve"> </v>
      </c>
      <c r="F522" s="4" t="str">
        <f ca="1">IF(OR(INDEX($X$2:$X$1001,MATCH(ROWS($W$2:W522),$W$2:$W$1001,0),1)&gt;=100000,INDEX($AD$1005:$AU$1005,1,MATCH(COLUMNS($AD$1006:AH1006),$AD$1006:$AU$1006,0))&gt;=100000), " ",IF(INDEX($AD$2:$AU$1001,MATCH(ROWS($W$2:W522),$W$2:$W$1001,0),MATCH(COLUMNS($AD$1006:AH1006),$AD$1006:$AU$1006,0)), HYPERLINK("#",""), HYPERLINK(CONCATENATE("#metadata!", ADDRESS(INDEX($Y$2:$Y$1001,MATCH(ROWS($W$2:W522),$W$2:$W$1001,0),0), INDEX($AD$1004:$AU$1004,1,MATCH(COLUMNS($AD$1006:AH1006),$AD$1006:$AU$1006,0)))),"Fix")))</f>
        <v xml:space="preserve"> </v>
      </c>
      <c r="G522" s="4" t="str">
        <f ca="1">IF(OR(INDEX($X$2:$X$1001,MATCH(ROWS($W$2:W522),$W$2:$W$1001,0),1)&gt;=100000,INDEX($AD$1005:$AU$1005,1,MATCH(COLUMNS($AD$1006:AI1006),$AD$1006:$AU$1006,0))&gt;=100000), " ",IF(INDEX($AD$2:$AU$1001,MATCH(ROWS($W$2:W522),$W$2:$W$1001,0),MATCH(COLUMNS($AD$1006:AI1006),$AD$1006:$AU$1006,0)), HYPERLINK("#",""), HYPERLINK(CONCATENATE("#metadata!", ADDRESS(INDEX($Y$2:$Y$1001,MATCH(ROWS($W$2:W522),$W$2:$W$1001,0),0), INDEX($AD$1004:$AU$1004,1,MATCH(COLUMNS($AD$1006:AI1006),$AD$1006:$AU$1006,0)))),"Fix")))</f>
        <v xml:space="preserve"> </v>
      </c>
      <c r="H522" s="4" t="str">
        <f ca="1">IF(OR(INDEX($X$2:$X$1001,MATCH(ROWS($W$2:W522),$W$2:$W$1001,0),1)&gt;=100000,INDEX($AD$1005:$AU$1005,1,MATCH(COLUMNS($AD$1006:AJ1006),$AD$1006:$AU$1006,0))&gt;=100000), " ",IF(INDEX($AD$2:$AU$1001,MATCH(ROWS($W$2:W522),$W$2:$W$1001,0),MATCH(COLUMNS($AD$1006:AJ1006),$AD$1006:$AU$1006,0)), HYPERLINK("#",""), HYPERLINK(CONCATENATE("#metadata!", ADDRESS(INDEX($Y$2:$Y$1001,MATCH(ROWS($W$2:W522),$W$2:$W$1001,0),0), INDEX($AD$1004:$AU$1004,1,MATCH(COLUMNS($AD$1006:AJ1006),$AD$1006:$AU$1006,0)))),"Fix")))</f>
        <v xml:space="preserve"> </v>
      </c>
      <c r="I522" s="4" t="str">
        <f ca="1">IF(OR(INDEX($X$2:$X$1001,MATCH(ROWS($W$2:W522),$W$2:$W$1001,0),1)&gt;=100000,INDEX($AD$1005:$AU$1005,1,MATCH(COLUMNS($AD$1006:AK1006),$AD$1006:$AU$1006,0))&gt;=100000), " ",IF(INDEX($AD$2:$AU$1001,MATCH(ROWS($W$2:W522),$W$2:$W$1001,0),MATCH(COLUMNS($AD$1006:AK1006),$AD$1006:$AU$1006,0)), HYPERLINK("#",""), HYPERLINK(CONCATENATE("#metadata!", ADDRESS(INDEX($Y$2:$Y$1001,MATCH(ROWS($W$2:W522),$W$2:$W$1001,0),0), INDEX($AD$1004:$AU$1004,1,MATCH(COLUMNS($AD$1006:AK1006),$AD$1006:$AU$1006,0)))),"Fix")))</f>
        <v xml:space="preserve"> </v>
      </c>
      <c r="J522" s="4" t="str">
        <f ca="1">IF(OR(INDEX($X$2:$X$1001,MATCH(ROWS($W$2:W522),$W$2:$W$1001,0),1)&gt;=100000,INDEX($AD$1005:$AU$1005,1,MATCH(COLUMNS($AD$1006:AL1006),$AD$1006:$AU$1006,0))&gt;=100000), " ",IF(INDEX($AD$2:$AU$1001,MATCH(ROWS($W$2:W522),$W$2:$W$1001,0),MATCH(COLUMNS($AD$1006:AL1006),$AD$1006:$AU$1006,0)), HYPERLINK("#",""), HYPERLINK(CONCATENATE("#metadata!", ADDRESS(INDEX($Y$2:$Y$1001,MATCH(ROWS($W$2:W522),$W$2:$W$1001,0),0), INDEX($AD$1004:$AU$1004,1,MATCH(COLUMNS($AD$1006:AL1006),$AD$1006:$AU$1006,0)))),"Fix")))</f>
        <v xml:space="preserve"> </v>
      </c>
      <c r="K522" s="4" t="str">
        <f ca="1">IF(OR(INDEX($X$2:$X$1001,MATCH(ROWS($W$2:W522),$W$2:$W$1001,0),1)&gt;=100000,INDEX($AD$1005:$AU$1005,1,MATCH(COLUMNS($AD$1006:AM1006),$AD$1006:$AU$1006,0))&gt;=100000), " ",IF(INDEX($AD$2:$AU$1001,MATCH(ROWS($W$2:W522),$W$2:$W$1001,0),MATCH(COLUMNS($AD$1006:AM1006),$AD$1006:$AU$1006,0)), HYPERLINK("#",""), HYPERLINK(CONCATENATE("#metadata!", ADDRESS(INDEX($Y$2:$Y$1001,MATCH(ROWS($W$2:W522),$W$2:$W$1001,0),0), INDEX($AD$1004:$AU$1004,1,MATCH(COLUMNS($AD$1006:AM1006),$AD$1006:$AU$1006,0)))),"Fix")))</f>
        <v xml:space="preserve"> </v>
      </c>
      <c r="L522" s="4" t="str">
        <f ca="1">IF(OR(INDEX($X$2:$X$1001,MATCH(ROWS($W$2:W522),$W$2:$W$1001,0),1)&gt;=100000,INDEX($AD$1005:$AU$1005,1,MATCH(COLUMNS($AD$1006:AN1006),$AD$1006:$AU$1006,0))&gt;=100000), " ",IF(INDEX($AD$2:$AU$1001,MATCH(ROWS($W$2:W522),$W$2:$W$1001,0),MATCH(COLUMNS($AD$1006:AN1006),$AD$1006:$AU$1006,0)), HYPERLINK("#",""), HYPERLINK(CONCATENATE("#metadata!", ADDRESS(INDEX($Y$2:$Y$1001,MATCH(ROWS($W$2:W522),$W$2:$W$1001,0),0), INDEX($AD$1004:$AU$1004,1,MATCH(COLUMNS($AD$1006:AN1006),$AD$1006:$AU$1006,0)))),"Fix")))</f>
        <v xml:space="preserve"> </v>
      </c>
      <c r="M522" s="4" t="str">
        <f ca="1">IF(OR(INDEX($X$2:$X$1001,MATCH(ROWS($W$2:W522),$W$2:$W$1001,0),1)&gt;=100000,INDEX($AD$1005:$AU$1005,1,MATCH(COLUMNS($AD$1006:AO1006),$AD$1006:$AU$1006,0))&gt;=100000), " ",IF(INDEX($AD$2:$AU$1001,MATCH(ROWS($W$2:W522),$W$2:$W$1001,0),MATCH(COLUMNS($AD$1006:AO1006),$AD$1006:$AU$1006,0)), HYPERLINK("#",""), HYPERLINK(CONCATENATE("#metadata!", ADDRESS(INDEX($Y$2:$Y$1001,MATCH(ROWS($W$2:W522),$W$2:$W$1001,0),0), INDEX($AD$1004:$AU$1004,1,MATCH(COLUMNS($AD$1006:AO1006),$AD$1006:$AU$1006,0)))),"Fix")))</f>
        <v xml:space="preserve"> </v>
      </c>
      <c r="N522" s="4" t="str">
        <f ca="1">IF(OR(INDEX($X$2:$X$1001,MATCH(ROWS($W$2:W522),$W$2:$W$1001,0),1)&gt;=100000,INDEX($AD$1005:$AU$1005,1,MATCH(COLUMNS($AD$1006:AP1006),$AD$1006:$AU$1006,0))&gt;=100000), " ",IF(INDEX($AD$2:$AU$1001,MATCH(ROWS($W$2:W522),$W$2:$W$1001,0),MATCH(COLUMNS($AD$1006:AP1006),$AD$1006:$AU$1006,0)), HYPERLINK("#",""), HYPERLINK(CONCATENATE("#metadata!", ADDRESS(INDEX($Y$2:$Y$1001,MATCH(ROWS($W$2:W522),$W$2:$W$1001,0),0), INDEX($AD$1004:$AU$1004,1,MATCH(COLUMNS($AD$1006:AP1006),$AD$1006:$AU$1006,0)))),"Fix")))</f>
        <v xml:space="preserve"> </v>
      </c>
      <c r="O522" s="4" t="str">
        <f ca="1">IF(OR(INDEX($X$2:$X$1001,MATCH(ROWS($W$2:W522),$W$2:$W$1001,0),1)&gt;=100000,INDEX($AD$1005:$AU$1005,1,MATCH(COLUMNS($AD$1006:AQ1006),$AD$1006:$AU$1006,0))&gt;=100000), " ",IF(INDEX($AD$2:$AU$1001,MATCH(ROWS($W$2:W522),$W$2:$W$1001,0),MATCH(COLUMNS($AD$1006:AQ1006),$AD$1006:$AU$1006,0)), HYPERLINK("#",""), HYPERLINK(CONCATENATE("#metadata!", ADDRESS(INDEX($Y$2:$Y$1001,MATCH(ROWS($W$2:W522),$W$2:$W$1001,0),0), INDEX($AD$1004:$AU$1004,1,MATCH(COLUMNS($AD$1006:AQ1006),$AD$1006:$AU$1006,0)))),"Fix")))</f>
        <v xml:space="preserve"> </v>
      </c>
      <c r="P522" s="4" t="str">
        <f ca="1">IF(OR(INDEX($X$2:$X$1001,MATCH(ROWS($W$2:W522),$W$2:$W$1001,0),1)&gt;=100000,INDEX($AD$1005:$AU$1005,1,MATCH(COLUMNS($AD$1006:AR1006),$AD$1006:$AU$1006,0))&gt;=100000), " ",IF(INDEX($AD$2:$AU$1001,MATCH(ROWS($W$2:W522),$W$2:$W$1001,0),MATCH(COLUMNS($AD$1006:AR1006),$AD$1006:$AU$1006,0)), HYPERLINK("#",""), HYPERLINK(CONCATENATE("#metadata!", ADDRESS(INDEX($Y$2:$Y$1001,MATCH(ROWS($W$2:W522),$W$2:$W$1001,0),0), INDEX($AD$1004:$AU$1004,1,MATCH(COLUMNS($AD$1006:AR1006),$AD$1006:$AU$1006,0)))),"Fix")))</f>
        <v xml:space="preserve"> </v>
      </c>
      <c r="Q522" s="4" t="str">
        <f ca="1">IF(OR(INDEX($X$2:$X$1001,MATCH(ROWS($W$2:W522),$W$2:$W$1001,0),1)&gt;=100000,INDEX($AD$1005:$AU$1005,1,MATCH(COLUMNS($AD$1006:AS1006),$AD$1006:$AU$1006,0))&gt;=100000), " ",IF(INDEX($AD$2:$AU$1001,MATCH(ROWS($W$2:W522),$W$2:$W$1001,0),MATCH(COLUMNS($AD$1006:AS1006),$AD$1006:$AU$1006,0)), HYPERLINK("#",""), HYPERLINK(CONCATENATE("#metadata!", ADDRESS(INDEX($Y$2:$Y$1001,MATCH(ROWS($W$2:W522),$W$2:$W$1001,0),0), INDEX($AD$1004:$AU$1004,1,MATCH(COLUMNS($AD$1006:AS1006),$AD$1006:$AU$1006,0)))),"Fix")))</f>
        <v xml:space="preserve"> </v>
      </c>
      <c r="R522" s="4" t="str">
        <f ca="1">IF(OR(INDEX($X$2:$X$1001,MATCH(ROWS($W$2:W522),$W$2:$W$1001,0),1)&gt;=100000,INDEX($AD$1005:$AU$1005,1,MATCH(COLUMNS($AD$1006:AT1006),$AD$1006:$AU$1006,0))&gt;=100000), " ",IF(INDEX($AD$2:$AU$1001,MATCH(ROWS($W$2:W522),$W$2:$W$1001,0),MATCH(COLUMNS($AD$1006:AT1006),$AD$1006:$AU$1006,0)), HYPERLINK("#",""), HYPERLINK(CONCATENATE("#metadata!", ADDRESS(INDEX($Y$2:$Y$1001,MATCH(ROWS($W$2:W522),$W$2:$W$1001,0),0), INDEX($AD$1004:$AU$1004,1,MATCH(COLUMNS($AD$1006:AT1006),$AD$1006:$AU$1006,0)))),"Fix")))</f>
        <v xml:space="preserve"> </v>
      </c>
      <c r="S522" s="4" t="str">
        <f ca="1">IF(OR(INDEX($X$2:$X$1001,MATCH(ROWS($W$2:W522),$W$2:$W$1001,0),1)&gt;=100000,INDEX($AD$1005:$AU$1005,1,MATCH(COLUMNS($AD$1006:AU1006),$AD$1006:$AU$1006,0))&gt;=100000), " ",IF(INDEX($AD$2:$AU$1001,MATCH(ROWS($W$2:W522),$W$2:$W$1001,0),MATCH(COLUMNS($AD$1006:AU1006),$AD$1006:$AU$1006,0)), HYPERLINK("#",""), HYPERLINK(CONCATENATE("#metadata!", ADDRESS(INDEX($Y$2:$Y$1001,MATCH(ROWS($W$2:W522),$W$2:$W$1001,0),0), INDEX($AD$1004:$AU$1004,1,MATCH(COLUMNS($AD$1006:AU1006),$AD$1006:$AU$1006,0)))),"Fix")))</f>
        <v xml:space="preserve"> </v>
      </c>
      <c r="W522">
        <v>521</v>
      </c>
      <c r="X522">
        <v>100522</v>
      </c>
      <c r="Y522">
        <v>522</v>
      </c>
      <c r="Z522" t="b">
        <f t="shared" si="8"/>
        <v>1</v>
      </c>
      <c r="AA522" t="b">
        <f>COUNTBLANK(metadata!B522:S522)=COLUMNS(metadata!B522:S522)</f>
        <v>1</v>
      </c>
      <c r="AB522" t="str">
        <v/>
      </c>
      <c r="AD522" t="b">
        <f ca="1">AND(IF(metadata!B522="",FALSE,TRUE),COUNTIF(metadata!B:B, metadata!B522) = 1,NOT(ISERROR(SUMPRODUCT(SEARCH(MID(metadata!B522,ROW(INDIRECT("1:"&amp;LEN(metadata!B522))), 1),"0123456789abcdefghijklmnopqrstuvwxyzABCDEFGHIJKLMNOPQRSTUVWXYZ.")))))</f>
        <v>0</v>
      </c>
      <c r="AE522" t="b">
        <f>OR(AND(IF(metadata!C522="",FALSE,TRUE),OR(EXACT(metadata!C522,"not applicable"),EXACT(metadata!C522,"missing: not collected"),EXACT(metadata!C522,"missing: not provided"),EXACT(metadata!C522,"missing: restricted access"))),AND(IF(metadata!C522="",FALSE,ISNUMBER(VALUE(metadata!C522))),metadata!C522&gt;0))</f>
        <v>0</v>
      </c>
      <c r="AF522" t="b">
        <f>AND(IF(metadata!D522="",FALSE,TRUE),EXACT(metadata!D522,"missing: not provided"))</f>
        <v>0</v>
      </c>
      <c r="AG522" t="b">
        <f>AND(IF(metadata!E522="",FALSE,TRUE),EXACT(metadata!E522,"Host-associated"))</f>
        <v>0</v>
      </c>
      <c r="AH522" t="b">
        <f>AND(IF(metadata!F522="",FALSE,TRUE),OR(EXACT(metadata!F522,"Animal"),EXACT(metadata!F522,"Fungus"),EXACT(metadata!F522,"Plant")))</f>
        <v>0</v>
      </c>
      <c r="AI522" t="b">
        <f>AND(IF(metadata!G522="",FALSE,TRUE),OR(EXACT(metadata!G522,"Plant secretion"),EXACT(metadata!G522,"Plant rhizosphere"),EXACT(metadata!G522,"Plant surface"),EXACT(metadata!G522,"Plant corpus"),EXACT(metadata!G522,"Fungus surface"),EXACT(metadata!G522,"Fungus corpus"),EXACT(metadata!G522,"Animal surface"),EXACT(metadata!G522,"Animal proximal gut"),EXACT(metadata!G522,"Animal corpus"),EXACT(metadata!G522,"Animal distal gut"),EXACT(metadata!G522,"Animal secretion")))</f>
        <v>0</v>
      </c>
      <c r="AJ522" t="b">
        <f>OR(AND(IF(metadata!H522="",FALSE,TRUE),OR(EXACT(metadata!H522,"missing: not collected"),EXACT(metadata!H522,"missing: not provided"),EXACT(metadata!H522,"missing: restricted access"))),AND(IF(metadata!H522="",FALSE,TRUE),OR(EXACT(metadata!H522,"organism-associated habitat"),EXACT(metadata!H522,"plant-associated habitat"),EXACT(metadata!H522,"animal-associated habitat"),EXACT(metadata!H522,"insecta-associated habitat"),EXACT(metadata!H522,"mammalia-associated habitat"),EXACT(metadata!H522,"human-associated habitat"),EXACT(metadata!H522,"livestock-associated habitat"))))</f>
        <v>0</v>
      </c>
      <c r="AK522" t="b">
        <f>AND(IF(metadata!I522="",FALSE,TRUE),EXACT(metadata!I522,"host-associated"))</f>
        <v>0</v>
      </c>
      <c r="AL522" t="b">
        <f>OR(AND(IF(metadata!J522="",FALSE,TRUE),OR(EXACT(metadata!J522,"not applicable"),EXACT(metadata!J522,"missing: not collected"),EXACT(metadata!J522,"missing: not provided"),EXACT(metadata!J522,"missing: restricted access"))),AND(IF(metadata!J522="",FALSE,ISNUMBER(VALUE(metadata!J522))),metadata!J522&gt;0))</f>
        <v>0</v>
      </c>
      <c r="AM522" t="b">
        <f>AND(IF(metadata!K522="",FALSE,TRUE),EXACT(metadata!K522,"missing: not provided"))</f>
        <v>0</v>
      </c>
      <c r="AN522" t="b">
        <f>IF(metadata!L522="",FALSE,TRUE)</f>
        <v>0</v>
      </c>
      <c r="AO522" t="b">
        <f>IF(metadata!M522="",FALSE,TRUE)</f>
        <v>0</v>
      </c>
      <c r="AP522" t="b">
        <f>OR(AND(IF(metadata!N522="",FALSE,TRUE),OR(EXACT(metadata!N522,"not applicable"),EXACT(metadata!N522,"missing: not collected"),EXACT(metadata!N522,"missing: not provided"))),AND(IF(metadata!N522="",FALSE,IF(ISERROR(INT(metadata!N522)),FALSE,INT(metadata!N522)=metadata!N522)),metadata!N522&gt;0))</f>
        <v>0</v>
      </c>
      <c r="AQ522" t="b">
        <f>AND(IF(metadata!O522="",FALSE,TRUE),EXACT(metadata!O522,"Not applicable"))</f>
        <v>0</v>
      </c>
      <c r="AR522" t="b">
        <f>OR(AND(IF(metadata!P522="",FALSE,TRUE),OR(EXACT(metadata!P522,"not applicable"),EXACT(metadata!P522,"missing: not collected"),EXACT(metadata!P522,"missing: not provided"),EXACT(metadata!P522,"missing: restricted access"))),IF(metadata!P522="",FALSE,IF(ISERROR(INT(metadata!P522)),FALSE,INT(metadata!P522)=metadata!P522)))</f>
        <v>0</v>
      </c>
      <c r="AS522" t="b">
        <f>AND(IF(metadata!Q522="",FALSE,TRUE),EXACT(metadata!Q522,"Not applicable"))</f>
        <v>0</v>
      </c>
      <c r="AT522" t="b">
        <f>OR(AND(IF(metadata!R522="",FALSE,TRUE),OR(EXACT(metadata!R522,"not applicable"),EXACT(metadata!R522,"missing: not collected"),EXACT(metadata!R522,"missing: not provided"),EXACT(metadata!R522,"missing: restricted access"))),AND(IF(metadata!R522="",FALSE,ISNUMBER(VALUE(metadata!R522))),metadata!R522&gt;0))</f>
        <v>0</v>
      </c>
      <c r="AU522" t="b">
        <f>AND(IF(metadata!S522="",FALSE,TRUE),EXACT(metadata!S522,"missing: not provided"))</f>
        <v>0</v>
      </c>
    </row>
    <row r="523" spans="1:47" x14ac:dyDescent="0.2">
      <c r="A523" s="5" t="str">
        <f ca="1">IF(B523=" "," ",HYPERLINK(CONCATENATE("#metadata!",ADDRESS(INDEX($Y$2:$Y$1001,MATCH(ROWS($W$2:W523),$W$2:$W$1001,0),0),1)),INDEX($AB$2:$AB$1001,MATCH(ROWS($W$2:W523),$W$2:$W$1001,0),0)))</f>
        <v xml:space="preserve"> </v>
      </c>
      <c r="B523" s="4" t="str">
        <f ca="1">IF(OR(INDEX($X$2:$X$1001,MATCH(ROWS($W$2:W523),$W$2:$W$1001,0),1)&gt;=100000,INDEX($AD$1005:$AU$1005,1,MATCH(COLUMNS($AD$1006:AD1006),$AD$1006:$AU$1006,0))&gt;=100000), " ",IF(INDEX($AD$2:$AU$1001,MATCH(ROWS($W$2:W523),$W$2:$W$1001,0),MATCH(COLUMNS($AD$1006:AD1006),$AD$1006:$AU$1006,0)), HYPERLINK("#",""), HYPERLINK(CONCATENATE("#metadata!", ADDRESS(INDEX($Y$2:$Y$1001,MATCH(ROWS($W$2:W523),$W$2:$W$1001,0),0), INDEX($AD$1004:$AU$1004,1,MATCH(COLUMNS($AD$1006:AD1006),$AD$1006:$AU$1006,0)))),"Fix")))</f>
        <v xml:space="preserve"> </v>
      </c>
      <c r="C523" s="4" t="str">
        <f ca="1">IF(OR(INDEX($X$2:$X$1001,MATCH(ROWS($W$2:W523),$W$2:$W$1001,0),1)&gt;=100000,INDEX($AD$1005:$AU$1005,1,MATCH(COLUMNS($AD$1006:AE1006),$AD$1006:$AU$1006,0))&gt;=100000), " ",IF(INDEX($AD$2:$AU$1001,MATCH(ROWS($W$2:W523),$W$2:$W$1001,0),MATCH(COLUMNS($AD$1006:AE1006),$AD$1006:$AU$1006,0)), HYPERLINK("#",""), HYPERLINK(CONCATENATE("#metadata!", ADDRESS(INDEX($Y$2:$Y$1001,MATCH(ROWS($W$2:W523),$W$2:$W$1001,0),0), INDEX($AD$1004:$AU$1004,1,MATCH(COLUMNS($AD$1006:AE1006),$AD$1006:$AU$1006,0)))),"Fix")))</f>
        <v xml:space="preserve"> </v>
      </c>
      <c r="D523" s="4" t="str">
        <f ca="1">IF(OR(INDEX($X$2:$X$1001,MATCH(ROWS($W$2:W523),$W$2:$W$1001,0),1)&gt;=100000,INDEX($AD$1005:$AU$1005,1,MATCH(COLUMNS($AD$1006:AF1006),$AD$1006:$AU$1006,0))&gt;=100000), " ",IF(INDEX($AD$2:$AU$1001,MATCH(ROWS($W$2:W523),$W$2:$W$1001,0),MATCH(COLUMNS($AD$1006:AF1006),$AD$1006:$AU$1006,0)), HYPERLINK("#",""), HYPERLINK(CONCATENATE("#metadata!", ADDRESS(INDEX($Y$2:$Y$1001,MATCH(ROWS($W$2:W523),$W$2:$W$1001,0),0), INDEX($AD$1004:$AU$1004,1,MATCH(COLUMNS($AD$1006:AF1006),$AD$1006:$AU$1006,0)))),"Fix")))</f>
        <v xml:space="preserve"> </v>
      </c>
      <c r="E523" s="4" t="str">
        <f ca="1">IF(OR(INDEX($X$2:$X$1001,MATCH(ROWS($W$2:W523),$W$2:$W$1001,0),1)&gt;=100000,INDEX($AD$1005:$AU$1005,1,MATCH(COLUMNS($AD$1006:AG1006),$AD$1006:$AU$1006,0))&gt;=100000), " ",IF(INDEX($AD$2:$AU$1001,MATCH(ROWS($W$2:W523),$W$2:$W$1001,0),MATCH(COLUMNS($AD$1006:AG1006),$AD$1006:$AU$1006,0)), HYPERLINK("#",""), HYPERLINK(CONCATENATE("#metadata!", ADDRESS(INDEX($Y$2:$Y$1001,MATCH(ROWS($W$2:W523),$W$2:$W$1001,0),0), INDEX($AD$1004:$AU$1004,1,MATCH(COLUMNS($AD$1006:AG1006),$AD$1006:$AU$1006,0)))),"Fix")))</f>
        <v xml:space="preserve"> </v>
      </c>
      <c r="F523" s="4" t="str">
        <f ca="1">IF(OR(INDEX($X$2:$X$1001,MATCH(ROWS($W$2:W523),$W$2:$W$1001,0),1)&gt;=100000,INDEX($AD$1005:$AU$1005,1,MATCH(COLUMNS($AD$1006:AH1006),$AD$1006:$AU$1006,0))&gt;=100000), " ",IF(INDEX($AD$2:$AU$1001,MATCH(ROWS($W$2:W523),$W$2:$W$1001,0),MATCH(COLUMNS($AD$1006:AH1006),$AD$1006:$AU$1006,0)), HYPERLINK("#",""), HYPERLINK(CONCATENATE("#metadata!", ADDRESS(INDEX($Y$2:$Y$1001,MATCH(ROWS($W$2:W523),$W$2:$W$1001,0),0), INDEX($AD$1004:$AU$1004,1,MATCH(COLUMNS($AD$1006:AH1006),$AD$1006:$AU$1006,0)))),"Fix")))</f>
        <v xml:space="preserve"> </v>
      </c>
      <c r="G523" s="4" t="str">
        <f ca="1">IF(OR(INDEX($X$2:$X$1001,MATCH(ROWS($W$2:W523),$W$2:$W$1001,0),1)&gt;=100000,INDEX($AD$1005:$AU$1005,1,MATCH(COLUMNS($AD$1006:AI1006),$AD$1006:$AU$1006,0))&gt;=100000), " ",IF(INDEX($AD$2:$AU$1001,MATCH(ROWS($W$2:W523),$W$2:$W$1001,0),MATCH(COLUMNS($AD$1006:AI1006),$AD$1006:$AU$1006,0)), HYPERLINK("#",""), HYPERLINK(CONCATENATE("#metadata!", ADDRESS(INDEX($Y$2:$Y$1001,MATCH(ROWS($W$2:W523),$W$2:$W$1001,0),0), INDEX($AD$1004:$AU$1004,1,MATCH(COLUMNS($AD$1006:AI1006),$AD$1006:$AU$1006,0)))),"Fix")))</f>
        <v xml:space="preserve"> </v>
      </c>
      <c r="H523" s="4" t="str">
        <f ca="1">IF(OR(INDEX($X$2:$X$1001,MATCH(ROWS($W$2:W523),$W$2:$W$1001,0),1)&gt;=100000,INDEX($AD$1005:$AU$1005,1,MATCH(COLUMNS($AD$1006:AJ1006),$AD$1006:$AU$1006,0))&gt;=100000), " ",IF(INDEX($AD$2:$AU$1001,MATCH(ROWS($W$2:W523),$W$2:$W$1001,0),MATCH(COLUMNS($AD$1006:AJ1006),$AD$1006:$AU$1006,0)), HYPERLINK("#",""), HYPERLINK(CONCATENATE("#metadata!", ADDRESS(INDEX($Y$2:$Y$1001,MATCH(ROWS($W$2:W523),$W$2:$W$1001,0),0), INDEX($AD$1004:$AU$1004,1,MATCH(COLUMNS($AD$1006:AJ1006),$AD$1006:$AU$1006,0)))),"Fix")))</f>
        <v xml:space="preserve"> </v>
      </c>
      <c r="I523" s="4" t="str">
        <f ca="1">IF(OR(INDEX($X$2:$X$1001,MATCH(ROWS($W$2:W523),$W$2:$W$1001,0),1)&gt;=100000,INDEX($AD$1005:$AU$1005,1,MATCH(COLUMNS($AD$1006:AK1006),$AD$1006:$AU$1006,0))&gt;=100000), " ",IF(INDEX($AD$2:$AU$1001,MATCH(ROWS($W$2:W523),$W$2:$W$1001,0),MATCH(COLUMNS($AD$1006:AK1006),$AD$1006:$AU$1006,0)), HYPERLINK("#",""), HYPERLINK(CONCATENATE("#metadata!", ADDRESS(INDEX($Y$2:$Y$1001,MATCH(ROWS($W$2:W523),$W$2:$W$1001,0),0), INDEX($AD$1004:$AU$1004,1,MATCH(COLUMNS($AD$1006:AK1006),$AD$1006:$AU$1006,0)))),"Fix")))</f>
        <v xml:space="preserve"> </v>
      </c>
      <c r="J523" s="4" t="str">
        <f ca="1">IF(OR(INDEX($X$2:$X$1001,MATCH(ROWS($W$2:W523),$W$2:$W$1001,0),1)&gt;=100000,INDEX($AD$1005:$AU$1005,1,MATCH(COLUMNS($AD$1006:AL1006),$AD$1006:$AU$1006,0))&gt;=100000), " ",IF(INDEX($AD$2:$AU$1001,MATCH(ROWS($W$2:W523),$W$2:$W$1001,0),MATCH(COLUMNS($AD$1006:AL1006),$AD$1006:$AU$1006,0)), HYPERLINK("#",""), HYPERLINK(CONCATENATE("#metadata!", ADDRESS(INDEX($Y$2:$Y$1001,MATCH(ROWS($W$2:W523),$W$2:$W$1001,0),0), INDEX($AD$1004:$AU$1004,1,MATCH(COLUMNS($AD$1006:AL1006),$AD$1006:$AU$1006,0)))),"Fix")))</f>
        <v xml:space="preserve"> </v>
      </c>
      <c r="K523" s="4" t="str">
        <f ca="1">IF(OR(INDEX($X$2:$X$1001,MATCH(ROWS($W$2:W523),$W$2:$W$1001,0),1)&gt;=100000,INDEX($AD$1005:$AU$1005,1,MATCH(COLUMNS($AD$1006:AM1006),$AD$1006:$AU$1006,0))&gt;=100000), " ",IF(INDEX($AD$2:$AU$1001,MATCH(ROWS($W$2:W523),$W$2:$W$1001,0),MATCH(COLUMNS($AD$1006:AM1006),$AD$1006:$AU$1006,0)), HYPERLINK("#",""), HYPERLINK(CONCATENATE("#metadata!", ADDRESS(INDEX($Y$2:$Y$1001,MATCH(ROWS($W$2:W523),$W$2:$W$1001,0),0), INDEX($AD$1004:$AU$1004,1,MATCH(COLUMNS($AD$1006:AM1006),$AD$1006:$AU$1006,0)))),"Fix")))</f>
        <v xml:space="preserve"> </v>
      </c>
      <c r="L523" s="4" t="str">
        <f ca="1">IF(OR(INDEX($X$2:$X$1001,MATCH(ROWS($W$2:W523),$W$2:$W$1001,0),1)&gt;=100000,INDEX($AD$1005:$AU$1005,1,MATCH(COLUMNS($AD$1006:AN1006),$AD$1006:$AU$1006,0))&gt;=100000), " ",IF(INDEX($AD$2:$AU$1001,MATCH(ROWS($W$2:W523),$W$2:$W$1001,0),MATCH(COLUMNS($AD$1006:AN1006),$AD$1006:$AU$1006,0)), HYPERLINK("#",""), HYPERLINK(CONCATENATE("#metadata!", ADDRESS(INDEX($Y$2:$Y$1001,MATCH(ROWS($W$2:W523),$W$2:$W$1001,0),0), INDEX($AD$1004:$AU$1004,1,MATCH(COLUMNS($AD$1006:AN1006),$AD$1006:$AU$1006,0)))),"Fix")))</f>
        <v xml:space="preserve"> </v>
      </c>
      <c r="M523" s="4" t="str">
        <f ca="1">IF(OR(INDEX($X$2:$X$1001,MATCH(ROWS($W$2:W523),$W$2:$W$1001,0),1)&gt;=100000,INDEX($AD$1005:$AU$1005,1,MATCH(COLUMNS($AD$1006:AO1006),$AD$1006:$AU$1006,0))&gt;=100000), " ",IF(INDEX($AD$2:$AU$1001,MATCH(ROWS($W$2:W523),$W$2:$W$1001,0),MATCH(COLUMNS($AD$1006:AO1006),$AD$1006:$AU$1006,0)), HYPERLINK("#",""), HYPERLINK(CONCATENATE("#metadata!", ADDRESS(INDEX($Y$2:$Y$1001,MATCH(ROWS($W$2:W523),$W$2:$W$1001,0),0), INDEX($AD$1004:$AU$1004,1,MATCH(COLUMNS($AD$1006:AO1006),$AD$1006:$AU$1006,0)))),"Fix")))</f>
        <v xml:space="preserve"> </v>
      </c>
      <c r="N523" s="4" t="str">
        <f ca="1">IF(OR(INDEX($X$2:$X$1001,MATCH(ROWS($W$2:W523),$W$2:$W$1001,0),1)&gt;=100000,INDEX($AD$1005:$AU$1005,1,MATCH(COLUMNS($AD$1006:AP1006),$AD$1006:$AU$1006,0))&gt;=100000), " ",IF(INDEX($AD$2:$AU$1001,MATCH(ROWS($W$2:W523),$W$2:$W$1001,0),MATCH(COLUMNS($AD$1006:AP1006),$AD$1006:$AU$1006,0)), HYPERLINK("#",""), HYPERLINK(CONCATENATE("#metadata!", ADDRESS(INDEX($Y$2:$Y$1001,MATCH(ROWS($W$2:W523),$W$2:$W$1001,0),0), INDEX($AD$1004:$AU$1004,1,MATCH(COLUMNS($AD$1006:AP1006),$AD$1006:$AU$1006,0)))),"Fix")))</f>
        <v xml:space="preserve"> </v>
      </c>
      <c r="O523" s="4" t="str">
        <f ca="1">IF(OR(INDEX($X$2:$X$1001,MATCH(ROWS($W$2:W523),$W$2:$W$1001,0),1)&gt;=100000,INDEX($AD$1005:$AU$1005,1,MATCH(COLUMNS($AD$1006:AQ1006),$AD$1006:$AU$1006,0))&gt;=100000), " ",IF(INDEX($AD$2:$AU$1001,MATCH(ROWS($W$2:W523),$W$2:$W$1001,0),MATCH(COLUMNS($AD$1006:AQ1006),$AD$1006:$AU$1006,0)), HYPERLINK("#",""), HYPERLINK(CONCATENATE("#metadata!", ADDRESS(INDEX($Y$2:$Y$1001,MATCH(ROWS($W$2:W523),$W$2:$W$1001,0),0), INDEX($AD$1004:$AU$1004,1,MATCH(COLUMNS($AD$1006:AQ1006),$AD$1006:$AU$1006,0)))),"Fix")))</f>
        <v xml:space="preserve"> </v>
      </c>
      <c r="P523" s="4" t="str">
        <f ca="1">IF(OR(INDEX($X$2:$X$1001,MATCH(ROWS($W$2:W523),$W$2:$W$1001,0),1)&gt;=100000,INDEX($AD$1005:$AU$1005,1,MATCH(COLUMNS($AD$1006:AR1006),$AD$1006:$AU$1006,0))&gt;=100000), " ",IF(INDEX($AD$2:$AU$1001,MATCH(ROWS($W$2:W523),$W$2:$W$1001,0),MATCH(COLUMNS($AD$1006:AR1006),$AD$1006:$AU$1006,0)), HYPERLINK("#",""), HYPERLINK(CONCATENATE("#metadata!", ADDRESS(INDEX($Y$2:$Y$1001,MATCH(ROWS($W$2:W523),$W$2:$W$1001,0),0), INDEX($AD$1004:$AU$1004,1,MATCH(COLUMNS($AD$1006:AR1006),$AD$1006:$AU$1006,0)))),"Fix")))</f>
        <v xml:space="preserve"> </v>
      </c>
      <c r="Q523" s="4" t="str">
        <f ca="1">IF(OR(INDEX($X$2:$X$1001,MATCH(ROWS($W$2:W523),$W$2:$W$1001,0),1)&gt;=100000,INDEX($AD$1005:$AU$1005,1,MATCH(COLUMNS($AD$1006:AS1006),$AD$1006:$AU$1006,0))&gt;=100000), " ",IF(INDEX($AD$2:$AU$1001,MATCH(ROWS($W$2:W523),$W$2:$W$1001,0),MATCH(COLUMNS($AD$1006:AS1006),$AD$1006:$AU$1006,0)), HYPERLINK("#",""), HYPERLINK(CONCATENATE("#metadata!", ADDRESS(INDEX($Y$2:$Y$1001,MATCH(ROWS($W$2:W523),$W$2:$W$1001,0),0), INDEX($AD$1004:$AU$1004,1,MATCH(COLUMNS($AD$1006:AS1006),$AD$1006:$AU$1006,0)))),"Fix")))</f>
        <v xml:space="preserve"> </v>
      </c>
      <c r="R523" s="4" t="str">
        <f ca="1">IF(OR(INDEX($X$2:$X$1001,MATCH(ROWS($W$2:W523),$W$2:$W$1001,0),1)&gt;=100000,INDEX($AD$1005:$AU$1005,1,MATCH(COLUMNS($AD$1006:AT1006),$AD$1006:$AU$1006,0))&gt;=100000), " ",IF(INDEX($AD$2:$AU$1001,MATCH(ROWS($W$2:W523),$W$2:$W$1001,0),MATCH(COLUMNS($AD$1006:AT1006),$AD$1006:$AU$1006,0)), HYPERLINK("#",""), HYPERLINK(CONCATENATE("#metadata!", ADDRESS(INDEX($Y$2:$Y$1001,MATCH(ROWS($W$2:W523),$W$2:$W$1001,0),0), INDEX($AD$1004:$AU$1004,1,MATCH(COLUMNS($AD$1006:AT1006),$AD$1006:$AU$1006,0)))),"Fix")))</f>
        <v xml:space="preserve"> </v>
      </c>
      <c r="S523" s="4" t="str">
        <f ca="1">IF(OR(INDEX($X$2:$X$1001,MATCH(ROWS($W$2:W523),$W$2:$W$1001,0),1)&gt;=100000,INDEX($AD$1005:$AU$1005,1,MATCH(COLUMNS($AD$1006:AU1006),$AD$1006:$AU$1006,0))&gt;=100000), " ",IF(INDEX($AD$2:$AU$1001,MATCH(ROWS($W$2:W523),$W$2:$W$1001,0),MATCH(COLUMNS($AD$1006:AU1006),$AD$1006:$AU$1006,0)), HYPERLINK("#",""), HYPERLINK(CONCATENATE("#metadata!", ADDRESS(INDEX($Y$2:$Y$1001,MATCH(ROWS($W$2:W523),$W$2:$W$1001,0),0), INDEX($AD$1004:$AU$1004,1,MATCH(COLUMNS($AD$1006:AU1006),$AD$1006:$AU$1006,0)))),"Fix")))</f>
        <v xml:space="preserve"> </v>
      </c>
      <c r="W523">
        <v>522</v>
      </c>
      <c r="X523">
        <v>100523</v>
      </c>
      <c r="Y523">
        <v>523</v>
      </c>
      <c r="Z523" t="b">
        <f t="shared" si="8"/>
        <v>1</v>
      </c>
      <c r="AA523" t="b">
        <f>COUNTBLANK(metadata!B523:S523)=COLUMNS(metadata!B523:S523)</f>
        <v>1</v>
      </c>
      <c r="AB523" t="str">
        <v/>
      </c>
      <c r="AD523" t="b">
        <f ca="1">AND(IF(metadata!B523="",FALSE,TRUE),COUNTIF(metadata!B:B, metadata!B523) = 1,NOT(ISERROR(SUMPRODUCT(SEARCH(MID(metadata!B523,ROW(INDIRECT("1:"&amp;LEN(metadata!B523))), 1),"0123456789abcdefghijklmnopqrstuvwxyzABCDEFGHIJKLMNOPQRSTUVWXYZ.")))))</f>
        <v>0</v>
      </c>
      <c r="AE523" t="b">
        <f>OR(AND(IF(metadata!C523="",FALSE,TRUE),OR(EXACT(metadata!C523,"not applicable"),EXACT(metadata!C523,"missing: not collected"),EXACT(metadata!C523,"missing: not provided"),EXACT(metadata!C523,"missing: restricted access"))),AND(IF(metadata!C523="",FALSE,ISNUMBER(VALUE(metadata!C523))),metadata!C523&gt;0))</f>
        <v>0</v>
      </c>
      <c r="AF523" t="b">
        <f>AND(IF(metadata!D523="",FALSE,TRUE),EXACT(metadata!D523,"missing: not provided"))</f>
        <v>0</v>
      </c>
      <c r="AG523" t="b">
        <f>AND(IF(metadata!E523="",FALSE,TRUE),EXACT(metadata!E523,"Host-associated"))</f>
        <v>0</v>
      </c>
      <c r="AH523" t="b">
        <f>AND(IF(metadata!F523="",FALSE,TRUE),OR(EXACT(metadata!F523,"Animal"),EXACT(metadata!F523,"Fungus"),EXACT(metadata!F523,"Plant")))</f>
        <v>0</v>
      </c>
      <c r="AI523" t="b">
        <f>AND(IF(metadata!G523="",FALSE,TRUE),OR(EXACT(metadata!G523,"Plant secretion"),EXACT(metadata!G523,"Plant rhizosphere"),EXACT(metadata!G523,"Plant surface"),EXACT(metadata!G523,"Plant corpus"),EXACT(metadata!G523,"Fungus surface"),EXACT(metadata!G523,"Fungus corpus"),EXACT(metadata!G523,"Animal surface"),EXACT(metadata!G523,"Animal proximal gut"),EXACT(metadata!G523,"Animal corpus"),EXACT(metadata!G523,"Animal distal gut"),EXACT(metadata!G523,"Animal secretion")))</f>
        <v>0</v>
      </c>
      <c r="AJ523" t="b">
        <f>OR(AND(IF(metadata!H523="",FALSE,TRUE),OR(EXACT(metadata!H523,"missing: not collected"),EXACT(metadata!H523,"missing: not provided"),EXACT(metadata!H523,"missing: restricted access"))),AND(IF(metadata!H523="",FALSE,TRUE),OR(EXACT(metadata!H523,"organism-associated habitat"),EXACT(metadata!H523,"plant-associated habitat"),EXACT(metadata!H523,"animal-associated habitat"),EXACT(metadata!H523,"insecta-associated habitat"),EXACT(metadata!H523,"mammalia-associated habitat"),EXACT(metadata!H523,"human-associated habitat"),EXACT(metadata!H523,"livestock-associated habitat"))))</f>
        <v>0</v>
      </c>
      <c r="AK523" t="b">
        <f>AND(IF(metadata!I523="",FALSE,TRUE),EXACT(metadata!I523,"host-associated"))</f>
        <v>0</v>
      </c>
      <c r="AL523" t="b">
        <f>OR(AND(IF(metadata!J523="",FALSE,TRUE),OR(EXACT(metadata!J523,"not applicable"),EXACT(metadata!J523,"missing: not collected"),EXACT(metadata!J523,"missing: not provided"),EXACT(metadata!J523,"missing: restricted access"))),AND(IF(metadata!J523="",FALSE,ISNUMBER(VALUE(metadata!J523))),metadata!J523&gt;0))</f>
        <v>0</v>
      </c>
      <c r="AM523" t="b">
        <f>AND(IF(metadata!K523="",FALSE,TRUE),EXACT(metadata!K523,"missing: not provided"))</f>
        <v>0</v>
      </c>
      <c r="AN523" t="b">
        <f>IF(metadata!L523="",FALSE,TRUE)</f>
        <v>0</v>
      </c>
      <c r="AO523" t="b">
        <f>IF(metadata!M523="",FALSE,TRUE)</f>
        <v>0</v>
      </c>
      <c r="AP523" t="b">
        <f>OR(AND(IF(metadata!N523="",FALSE,TRUE),OR(EXACT(metadata!N523,"not applicable"),EXACT(metadata!N523,"missing: not collected"),EXACT(metadata!N523,"missing: not provided"))),AND(IF(metadata!N523="",FALSE,IF(ISERROR(INT(metadata!N523)),FALSE,INT(metadata!N523)=metadata!N523)),metadata!N523&gt;0))</f>
        <v>0</v>
      </c>
      <c r="AQ523" t="b">
        <f>AND(IF(metadata!O523="",FALSE,TRUE),EXACT(metadata!O523,"Not applicable"))</f>
        <v>0</v>
      </c>
      <c r="AR523" t="b">
        <f>OR(AND(IF(metadata!P523="",FALSE,TRUE),OR(EXACT(metadata!P523,"not applicable"),EXACT(metadata!P523,"missing: not collected"),EXACT(metadata!P523,"missing: not provided"),EXACT(metadata!P523,"missing: restricted access"))),IF(metadata!P523="",FALSE,IF(ISERROR(INT(metadata!P523)),FALSE,INT(metadata!P523)=metadata!P523)))</f>
        <v>0</v>
      </c>
      <c r="AS523" t="b">
        <f>AND(IF(metadata!Q523="",FALSE,TRUE),EXACT(metadata!Q523,"Not applicable"))</f>
        <v>0</v>
      </c>
      <c r="AT523" t="b">
        <f>OR(AND(IF(metadata!R523="",FALSE,TRUE),OR(EXACT(metadata!R523,"not applicable"),EXACT(metadata!R523,"missing: not collected"),EXACT(metadata!R523,"missing: not provided"),EXACT(metadata!R523,"missing: restricted access"))),AND(IF(metadata!R523="",FALSE,ISNUMBER(VALUE(metadata!R523))),metadata!R523&gt;0))</f>
        <v>0</v>
      </c>
      <c r="AU523" t="b">
        <f>AND(IF(metadata!S523="",FALSE,TRUE),EXACT(metadata!S523,"missing: not provided"))</f>
        <v>0</v>
      </c>
    </row>
    <row r="524" spans="1:47" x14ac:dyDescent="0.2">
      <c r="A524" s="5" t="str">
        <f ca="1">IF(B524=" "," ",HYPERLINK(CONCATENATE("#metadata!",ADDRESS(INDEX($Y$2:$Y$1001,MATCH(ROWS($W$2:W524),$W$2:$W$1001,0),0),1)),INDEX($AB$2:$AB$1001,MATCH(ROWS($W$2:W524),$W$2:$W$1001,0),0)))</f>
        <v xml:space="preserve"> </v>
      </c>
      <c r="B524" s="4" t="str">
        <f ca="1">IF(OR(INDEX($X$2:$X$1001,MATCH(ROWS($W$2:W524),$W$2:$W$1001,0),1)&gt;=100000,INDEX($AD$1005:$AU$1005,1,MATCH(COLUMNS($AD$1006:AD1006),$AD$1006:$AU$1006,0))&gt;=100000), " ",IF(INDEX($AD$2:$AU$1001,MATCH(ROWS($W$2:W524),$W$2:$W$1001,0),MATCH(COLUMNS($AD$1006:AD1006),$AD$1006:$AU$1006,0)), HYPERLINK("#",""), HYPERLINK(CONCATENATE("#metadata!", ADDRESS(INDEX($Y$2:$Y$1001,MATCH(ROWS($W$2:W524),$W$2:$W$1001,0),0), INDEX($AD$1004:$AU$1004,1,MATCH(COLUMNS($AD$1006:AD1006),$AD$1006:$AU$1006,0)))),"Fix")))</f>
        <v xml:space="preserve"> </v>
      </c>
      <c r="C524" s="4" t="str">
        <f ca="1">IF(OR(INDEX($X$2:$X$1001,MATCH(ROWS($W$2:W524),$W$2:$W$1001,0),1)&gt;=100000,INDEX($AD$1005:$AU$1005,1,MATCH(COLUMNS($AD$1006:AE1006),$AD$1006:$AU$1006,0))&gt;=100000), " ",IF(INDEX($AD$2:$AU$1001,MATCH(ROWS($W$2:W524),$W$2:$W$1001,0),MATCH(COLUMNS($AD$1006:AE1006),$AD$1006:$AU$1006,0)), HYPERLINK("#",""), HYPERLINK(CONCATENATE("#metadata!", ADDRESS(INDEX($Y$2:$Y$1001,MATCH(ROWS($W$2:W524),$W$2:$W$1001,0),0), INDEX($AD$1004:$AU$1004,1,MATCH(COLUMNS($AD$1006:AE1006),$AD$1006:$AU$1006,0)))),"Fix")))</f>
        <v xml:space="preserve"> </v>
      </c>
      <c r="D524" s="4" t="str">
        <f ca="1">IF(OR(INDEX($X$2:$X$1001,MATCH(ROWS($W$2:W524),$W$2:$W$1001,0),1)&gt;=100000,INDEX($AD$1005:$AU$1005,1,MATCH(COLUMNS($AD$1006:AF1006),$AD$1006:$AU$1006,0))&gt;=100000), " ",IF(INDEX($AD$2:$AU$1001,MATCH(ROWS($W$2:W524),$W$2:$W$1001,0),MATCH(COLUMNS($AD$1006:AF1006),$AD$1006:$AU$1006,0)), HYPERLINK("#",""), HYPERLINK(CONCATENATE("#metadata!", ADDRESS(INDEX($Y$2:$Y$1001,MATCH(ROWS($W$2:W524),$W$2:$W$1001,0),0), INDEX($AD$1004:$AU$1004,1,MATCH(COLUMNS($AD$1006:AF1006),$AD$1006:$AU$1006,0)))),"Fix")))</f>
        <v xml:space="preserve"> </v>
      </c>
      <c r="E524" s="4" t="str">
        <f ca="1">IF(OR(INDEX($X$2:$X$1001,MATCH(ROWS($W$2:W524),$W$2:$W$1001,0),1)&gt;=100000,INDEX($AD$1005:$AU$1005,1,MATCH(COLUMNS($AD$1006:AG1006),$AD$1006:$AU$1006,0))&gt;=100000), " ",IF(INDEX($AD$2:$AU$1001,MATCH(ROWS($W$2:W524),$W$2:$W$1001,0),MATCH(COLUMNS($AD$1006:AG1006),$AD$1006:$AU$1006,0)), HYPERLINK("#",""), HYPERLINK(CONCATENATE("#metadata!", ADDRESS(INDEX($Y$2:$Y$1001,MATCH(ROWS($W$2:W524),$W$2:$W$1001,0),0), INDEX($AD$1004:$AU$1004,1,MATCH(COLUMNS($AD$1006:AG1006),$AD$1006:$AU$1006,0)))),"Fix")))</f>
        <v xml:space="preserve"> </v>
      </c>
      <c r="F524" s="4" t="str">
        <f ca="1">IF(OR(INDEX($X$2:$X$1001,MATCH(ROWS($W$2:W524),$W$2:$W$1001,0),1)&gt;=100000,INDEX($AD$1005:$AU$1005,1,MATCH(COLUMNS($AD$1006:AH1006),$AD$1006:$AU$1006,0))&gt;=100000), " ",IF(INDEX($AD$2:$AU$1001,MATCH(ROWS($W$2:W524),$W$2:$W$1001,0),MATCH(COLUMNS($AD$1006:AH1006),$AD$1006:$AU$1006,0)), HYPERLINK("#",""), HYPERLINK(CONCATENATE("#metadata!", ADDRESS(INDEX($Y$2:$Y$1001,MATCH(ROWS($W$2:W524),$W$2:$W$1001,0),0), INDEX($AD$1004:$AU$1004,1,MATCH(COLUMNS($AD$1006:AH1006),$AD$1006:$AU$1006,0)))),"Fix")))</f>
        <v xml:space="preserve"> </v>
      </c>
      <c r="G524" s="4" t="str">
        <f ca="1">IF(OR(INDEX($X$2:$X$1001,MATCH(ROWS($W$2:W524),$W$2:$W$1001,0),1)&gt;=100000,INDEX($AD$1005:$AU$1005,1,MATCH(COLUMNS($AD$1006:AI1006),$AD$1006:$AU$1006,0))&gt;=100000), " ",IF(INDEX($AD$2:$AU$1001,MATCH(ROWS($W$2:W524),$W$2:$W$1001,0),MATCH(COLUMNS($AD$1006:AI1006),$AD$1006:$AU$1006,0)), HYPERLINK("#",""), HYPERLINK(CONCATENATE("#metadata!", ADDRESS(INDEX($Y$2:$Y$1001,MATCH(ROWS($W$2:W524),$W$2:$W$1001,0),0), INDEX($AD$1004:$AU$1004,1,MATCH(COLUMNS($AD$1006:AI1006),$AD$1006:$AU$1006,0)))),"Fix")))</f>
        <v xml:space="preserve"> </v>
      </c>
      <c r="H524" s="4" t="str">
        <f ca="1">IF(OR(INDEX($X$2:$X$1001,MATCH(ROWS($W$2:W524),$W$2:$W$1001,0),1)&gt;=100000,INDEX($AD$1005:$AU$1005,1,MATCH(COLUMNS($AD$1006:AJ1006),$AD$1006:$AU$1006,0))&gt;=100000), " ",IF(INDEX($AD$2:$AU$1001,MATCH(ROWS($W$2:W524),$W$2:$W$1001,0),MATCH(COLUMNS($AD$1006:AJ1006),$AD$1006:$AU$1006,0)), HYPERLINK("#",""), HYPERLINK(CONCATENATE("#metadata!", ADDRESS(INDEX($Y$2:$Y$1001,MATCH(ROWS($W$2:W524),$W$2:$W$1001,0),0), INDEX($AD$1004:$AU$1004,1,MATCH(COLUMNS($AD$1006:AJ1006),$AD$1006:$AU$1006,0)))),"Fix")))</f>
        <v xml:space="preserve"> </v>
      </c>
      <c r="I524" s="4" t="str">
        <f ca="1">IF(OR(INDEX($X$2:$X$1001,MATCH(ROWS($W$2:W524),$W$2:$W$1001,0),1)&gt;=100000,INDEX($AD$1005:$AU$1005,1,MATCH(COLUMNS($AD$1006:AK1006),$AD$1006:$AU$1006,0))&gt;=100000), " ",IF(INDEX($AD$2:$AU$1001,MATCH(ROWS($W$2:W524),$W$2:$W$1001,0),MATCH(COLUMNS($AD$1006:AK1006),$AD$1006:$AU$1006,0)), HYPERLINK("#",""), HYPERLINK(CONCATENATE("#metadata!", ADDRESS(INDEX($Y$2:$Y$1001,MATCH(ROWS($W$2:W524),$W$2:$W$1001,0),0), INDEX($AD$1004:$AU$1004,1,MATCH(COLUMNS($AD$1006:AK1006),$AD$1006:$AU$1006,0)))),"Fix")))</f>
        <v xml:space="preserve"> </v>
      </c>
      <c r="J524" s="4" t="str">
        <f ca="1">IF(OR(INDEX($X$2:$X$1001,MATCH(ROWS($W$2:W524),$W$2:$W$1001,0),1)&gt;=100000,INDEX($AD$1005:$AU$1005,1,MATCH(COLUMNS($AD$1006:AL1006),$AD$1006:$AU$1006,0))&gt;=100000), " ",IF(INDEX($AD$2:$AU$1001,MATCH(ROWS($W$2:W524),$W$2:$W$1001,0),MATCH(COLUMNS($AD$1006:AL1006),$AD$1006:$AU$1006,0)), HYPERLINK("#",""), HYPERLINK(CONCATENATE("#metadata!", ADDRESS(INDEX($Y$2:$Y$1001,MATCH(ROWS($W$2:W524),$W$2:$W$1001,0),0), INDEX($AD$1004:$AU$1004,1,MATCH(COLUMNS($AD$1006:AL1006),$AD$1006:$AU$1006,0)))),"Fix")))</f>
        <v xml:space="preserve"> </v>
      </c>
      <c r="K524" s="4" t="str">
        <f ca="1">IF(OR(INDEX($X$2:$X$1001,MATCH(ROWS($W$2:W524),$W$2:$W$1001,0),1)&gt;=100000,INDEX($AD$1005:$AU$1005,1,MATCH(COLUMNS($AD$1006:AM1006),$AD$1006:$AU$1006,0))&gt;=100000), " ",IF(INDEX($AD$2:$AU$1001,MATCH(ROWS($W$2:W524),$W$2:$W$1001,0),MATCH(COLUMNS($AD$1006:AM1006),$AD$1006:$AU$1006,0)), HYPERLINK("#",""), HYPERLINK(CONCATENATE("#metadata!", ADDRESS(INDEX($Y$2:$Y$1001,MATCH(ROWS($W$2:W524),$W$2:$W$1001,0),0), INDEX($AD$1004:$AU$1004,1,MATCH(COLUMNS($AD$1006:AM1006),$AD$1006:$AU$1006,0)))),"Fix")))</f>
        <v xml:space="preserve"> </v>
      </c>
      <c r="L524" s="4" t="str">
        <f ca="1">IF(OR(INDEX($X$2:$X$1001,MATCH(ROWS($W$2:W524),$W$2:$W$1001,0),1)&gt;=100000,INDEX($AD$1005:$AU$1005,1,MATCH(COLUMNS($AD$1006:AN1006),$AD$1006:$AU$1006,0))&gt;=100000), " ",IF(INDEX($AD$2:$AU$1001,MATCH(ROWS($W$2:W524),$W$2:$W$1001,0),MATCH(COLUMNS($AD$1006:AN1006),$AD$1006:$AU$1006,0)), HYPERLINK("#",""), HYPERLINK(CONCATENATE("#metadata!", ADDRESS(INDEX($Y$2:$Y$1001,MATCH(ROWS($W$2:W524),$W$2:$W$1001,0),0), INDEX($AD$1004:$AU$1004,1,MATCH(COLUMNS($AD$1006:AN1006),$AD$1006:$AU$1006,0)))),"Fix")))</f>
        <v xml:space="preserve"> </v>
      </c>
      <c r="M524" s="4" t="str">
        <f ca="1">IF(OR(INDEX($X$2:$X$1001,MATCH(ROWS($W$2:W524),$W$2:$W$1001,0),1)&gt;=100000,INDEX($AD$1005:$AU$1005,1,MATCH(COLUMNS($AD$1006:AO1006),$AD$1006:$AU$1006,0))&gt;=100000), " ",IF(INDEX($AD$2:$AU$1001,MATCH(ROWS($W$2:W524),$W$2:$W$1001,0),MATCH(COLUMNS($AD$1006:AO1006),$AD$1006:$AU$1006,0)), HYPERLINK("#",""), HYPERLINK(CONCATENATE("#metadata!", ADDRESS(INDEX($Y$2:$Y$1001,MATCH(ROWS($W$2:W524),$W$2:$W$1001,0),0), INDEX($AD$1004:$AU$1004,1,MATCH(COLUMNS($AD$1006:AO1006),$AD$1006:$AU$1006,0)))),"Fix")))</f>
        <v xml:space="preserve"> </v>
      </c>
      <c r="N524" s="4" t="str">
        <f ca="1">IF(OR(INDEX($X$2:$X$1001,MATCH(ROWS($W$2:W524),$W$2:$W$1001,0),1)&gt;=100000,INDEX($AD$1005:$AU$1005,1,MATCH(COLUMNS($AD$1006:AP1006),$AD$1006:$AU$1006,0))&gt;=100000), " ",IF(INDEX($AD$2:$AU$1001,MATCH(ROWS($W$2:W524),$W$2:$W$1001,0),MATCH(COLUMNS($AD$1006:AP1006),$AD$1006:$AU$1006,0)), HYPERLINK("#",""), HYPERLINK(CONCATENATE("#metadata!", ADDRESS(INDEX($Y$2:$Y$1001,MATCH(ROWS($W$2:W524),$W$2:$W$1001,0),0), INDEX($AD$1004:$AU$1004,1,MATCH(COLUMNS($AD$1006:AP1006),$AD$1006:$AU$1006,0)))),"Fix")))</f>
        <v xml:space="preserve"> </v>
      </c>
      <c r="O524" s="4" t="str">
        <f ca="1">IF(OR(INDEX($X$2:$X$1001,MATCH(ROWS($W$2:W524),$W$2:$W$1001,0),1)&gt;=100000,INDEX($AD$1005:$AU$1005,1,MATCH(COLUMNS($AD$1006:AQ1006),$AD$1006:$AU$1006,0))&gt;=100000), " ",IF(INDEX($AD$2:$AU$1001,MATCH(ROWS($W$2:W524),$W$2:$W$1001,0),MATCH(COLUMNS($AD$1006:AQ1006),$AD$1006:$AU$1006,0)), HYPERLINK("#",""), HYPERLINK(CONCATENATE("#metadata!", ADDRESS(INDEX($Y$2:$Y$1001,MATCH(ROWS($W$2:W524),$W$2:$W$1001,0),0), INDEX($AD$1004:$AU$1004,1,MATCH(COLUMNS($AD$1006:AQ1006),$AD$1006:$AU$1006,0)))),"Fix")))</f>
        <v xml:space="preserve"> </v>
      </c>
      <c r="P524" s="4" t="str">
        <f ca="1">IF(OR(INDEX($X$2:$X$1001,MATCH(ROWS($W$2:W524),$W$2:$W$1001,0),1)&gt;=100000,INDEX($AD$1005:$AU$1005,1,MATCH(COLUMNS($AD$1006:AR1006),$AD$1006:$AU$1006,0))&gt;=100000), " ",IF(INDEX($AD$2:$AU$1001,MATCH(ROWS($W$2:W524),$W$2:$W$1001,0),MATCH(COLUMNS($AD$1006:AR1006),$AD$1006:$AU$1006,0)), HYPERLINK("#",""), HYPERLINK(CONCATENATE("#metadata!", ADDRESS(INDEX($Y$2:$Y$1001,MATCH(ROWS($W$2:W524),$W$2:$W$1001,0),0), INDEX($AD$1004:$AU$1004,1,MATCH(COLUMNS($AD$1006:AR1006),$AD$1006:$AU$1006,0)))),"Fix")))</f>
        <v xml:space="preserve"> </v>
      </c>
      <c r="Q524" s="4" t="str">
        <f ca="1">IF(OR(INDEX($X$2:$X$1001,MATCH(ROWS($W$2:W524),$W$2:$W$1001,0),1)&gt;=100000,INDEX($AD$1005:$AU$1005,1,MATCH(COLUMNS($AD$1006:AS1006),$AD$1006:$AU$1006,0))&gt;=100000), " ",IF(INDEX($AD$2:$AU$1001,MATCH(ROWS($W$2:W524),$W$2:$W$1001,0),MATCH(COLUMNS($AD$1006:AS1006),$AD$1006:$AU$1006,0)), HYPERLINK("#",""), HYPERLINK(CONCATENATE("#metadata!", ADDRESS(INDEX($Y$2:$Y$1001,MATCH(ROWS($W$2:W524),$W$2:$W$1001,0),0), INDEX($AD$1004:$AU$1004,1,MATCH(COLUMNS($AD$1006:AS1006),$AD$1006:$AU$1006,0)))),"Fix")))</f>
        <v xml:space="preserve"> </v>
      </c>
      <c r="R524" s="4" t="str">
        <f ca="1">IF(OR(INDEX($X$2:$X$1001,MATCH(ROWS($W$2:W524),$W$2:$W$1001,0),1)&gt;=100000,INDEX($AD$1005:$AU$1005,1,MATCH(COLUMNS($AD$1006:AT1006),$AD$1006:$AU$1006,0))&gt;=100000), " ",IF(INDEX($AD$2:$AU$1001,MATCH(ROWS($W$2:W524),$W$2:$W$1001,0),MATCH(COLUMNS($AD$1006:AT1006),$AD$1006:$AU$1006,0)), HYPERLINK("#",""), HYPERLINK(CONCATENATE("#metadata!", ADDRESS(INDEX($Y$2:$Y$1001,MATCH(ROWS($W$2:W524),$W$2:$W$1001,0),0), INDEX($AD$1004:$AU$1004,1,MATCH(COLUMNS($AD$1006:AT1006),$AD$1006:$AU$1006,0)))),"Fix")))</f>
        <v xml:space="preserve"> </v>
      </c>
      <c r="S524" s="4" t="str">
        <f ca="1">IF(OR(INDEX($X$2:$X$1001,MATCH(ROWS($W$2:W524),$W$2:$W$1001,0),1)&gt;=100000,INDEX($AD$1005:$AU$1005,1,MATCH(COLUMNS($AD$1006:AU1006),$AD$1006:$AU$1006,0))&gt;=100000), " ",IF(INDEX($AD$2:$AU$1001,MATCH(ROWS($W$2:W524),$W$2:$W$1001,0),MATCH(COLUMNS($AD$1006:AU1006),$AD$1006:$AU$1006,0)), HYPERLINK("#",""), HYPERLINK(CONCATENATE("#metadata!", ADDRESS(INDEX($Y$2:$Y$1001,MATCH(ROWS($W$2:W524),$W$2:$W$1001,0),0), INDEX($AD$1004:$AU$1004,1,MATCH(COLUMNS($AD$1006:AU1006),$AD$1006:$AU$1006,0)))),"Fix")))</f>
        <v xml:space="preserve"> </v>
      </c>
      <c r="W524">
        <v>523</v>
      </c>
      <c r="X524">
        <v>100524</v>
      </c>
      <c r="Y524">
        <v>524</v>
      </c>
      <c r="Z524" t="b">
        <f t="shared" si="8"/>
        <v>1</v>
      </c>
      <c r="AA524" t="b">
        <f>COUNTBLANK(metadata!B524:S524)=COLUMNS(metadata!B524:S524)</f>
        <v>1</v>
      </c>
      <c r="AB524" t="str">
        <v/>
      </c>
      <c r="AD524" t="b">
        <f ca="1">AND(IF(metadata!B524="",FALSE,TRUE),COUNTIF(metadata!B:B, metadata!B524) = 1,NOT(ISERROR(SUMPRODUCT(SEARCH(MID(metadata!B524,ROW(INDIRECT("1:"&amp;LEN(metadata!B524))), 1),"0123456789abcdefghijklmnopqrstuvwxyzABCDEFGHIJKLMNOPQRSTUVWXYZ.")))))</f>
        <v>0</v>
      </c>
      <c r="AE524" t="b">
        <f>OR(AND(IF(metadata!C524="",FALSE,TRUE),OR(EXACT(metadata!C524,"not applicable"),EXACT(metadata!C524,"missing: not collected"),EXACT(metadata!C524,"missing: not provided"),EXACT(metadata!C524,"missing: restricted access"))),AND(IF(metadata!C524="",FALSE,ISNUMBER(VALUE(metadata!C524))),metadata!C524&gt;0))</f>
        <v>0</v>
      </c>
      <c r="AF524" t="b">
        <f>AND(IF(metadata!D524="",FALSE,TRUE),EXACT(metadata!D524,"missing: not provided"))</f>
        <v>0</v>
      </c>
      <c r="AG524" t="b">
        <f>AND(IF(metadata!E524="",FALSE,TRUE),EXACT(metadata!E524,"Host-associated"))</f>
        <v>0</v>
      </c>
      <c r="AH524" t="b">
        <f>AND(IF(metadata!F524="",FALSE,TRUE),OR(EXACT(metadata!F524,"Animal"),EXACT(metadata!F524,"Fungus"),EXACT(metadata!F524,"Plant")))</f>
        <v>0</v>
      </c>
      <c r="AI524" t="b">
        <f>AND(IF(metadata!G524="",FALSE,TRUE),OR(EXACT(metadata!G524,"Plant secretion"),EXACT(metadata!G524,"Plant rhizosphere"),EXACT(metadata!G524,"Plant surface"),EXACT(metadata!G524,"Plant corpus"),EXACT(metadata!G524,"Fungus surface"),EXACT(metadata!G524,"Fungus corpus"),EXACT(metadata!G524,"Animal surface"),EXACT(metadata!G524,"Animal proximal gut"),EXACT(metadata!G524,"Animal corpus"),EXACT(metadata!G524,"Animal distal gut"),EXACT(metadata!G524,"Animal secretion")))</f>
        <v>0</v>
      </c>
      <c r="AJ524" t="b">
        <f>OR(AND(IF(metadata!H524="",FALSE,TRUE),OR(EXACT(metadata!H524,"missing: not collected"),EXACT(metadata!H524,"missing: not provided"),EXACT(metadata!H524,"missing: restricted access"))),AND(IF(metadata!H524="",FALSE,TRUE),OR(EXACT(metadata!H524,"organism-associated habitat"),EXACT(metadata!H524,"plant-associated habitat"),EXACT(metadata!H524,"animal-associated habitat"),EXACT(metadata!H524,"insecta-associated habitat"),EXACT(metadata!H524,"mammalia-associated habitat"),EXACT(metadata!H524,"human-associated habitat"),EXACT(metadata!H524,"livestock-associated habitat"))))</f>
        <v>0</v>
      </c>
      <c r="AK524" t="b">
        <f>AND(IF(metadata!I524="",FALSE,TRUE),EXACT(metadata!I524,"host-associated"))</f>
        <v>0</v>
      </c>
      <c r="AL524" t="b">
        <f>OR(AND(IF(metadata!J524="",FALSE,TRUE),OR(EXACT(metadata!J524,"not applicable"),EXACT(metadata!J524,"missing: not collected"),EXACT(metadata!J524,"missing: not provided"),EXACT(metadata!J524,"missing: restricted access"))),AND(IF(metadata!J524="",FALSE,ISNUMBER(VALUE(metadata!J524))),metadata!J524&gt;0))</f>
        <v>0</v>
      </c>
      <c r="AM524" t="b">
        <f>AND(IF(metadata!K524="",FALSE,TRUE),EXACT(metadata!K524,"missing: not provided"))</f>
        <v>0</v>
      </c>
      <c r="AN524" t="b">
        <f>IF(metadata!L524="",FALSE,TRUE)</f>
        <v>0</v>
      </c>
      <c r="AO524" t="b">
        <f>IF(metadata!M524="",FALSE,TRUE)</f>
        <v>0</v>
      </c>
      <c r="AP524" t="b">
        <f>OR(AND(IF(metadata!N524="",FALSE,TRUE),OR(EXACT(metadata!N524,"not applicable"),EXACT(metadata!N524,"missing: not collected"),EXACT(metadata!N524,"missing: not provided"))),AND(IF(metadata!N524="",FALSE,IF(ISERROR(INT(metadata!N524)),FALSE,INT(metadata!N524)=metadata!N524)),metadata!N524&gt;0))</f>
        <v>0</v>
      </c>
      <c r="AQ524" t="b">
        <f>AND(IF(metadata!O524="",FALSE,TRUE),EXACT(metadata!O524,"Not applicable"))</f>
        <v>0</v>
      </c>
      <c r="AR524" t="b">
        <f>OR(AND(IF(metadata!P524="",FALSE,TRUE),OR(EXACT(metadata!P524,"not applicable"),EXACT(metadata!P524,"missing: not collected"),EXACT(metadata!P524,"missing: not provided"),EXACT(metadata!P524,"missing: restricted access"))),IF(metadata!P524="",FALSE,IF(ISERROR(INT(metadata!P524)),FALSE,INT(metadata!P524)=metadata!P524)))</f>
        <v>0</v>
      </c>
      <c r="AS524" t="b">
        <f>AND(IF(metadata!Q524="",FALSE,TRUE),EXACT(metadata!Q524,"Not applicable"))</f>
        <v>0</v>
      </c>
      <c r="AT524" t="b">
        <f>OR(AND(IF(metadata!R524="",FALSE,TRUE),OR(EXACT(metadata!R524,"not applicable"),EXACT(metadata!R524,"missing: not collected"),EXACT(metadata!R524,"missing: not provided"),EXACT(metadata!R524,"missing: restricted access"))),AND(IF(metadata!R524="",FALSE,ISNUMBER(VALUE(metadata!R524))),metadata!R524&gt;0))</f>
        <v>0</v>
      </c>
      <c r="AU524" t="b">
        <f>AND(IF(metadata!S524="",FALSE,TRUE),EXACT(metadata!S524,"missing: not provided"))</f>
        <v>0</v>
      </c>
    </row>
    <row r="525" spans="1:47" x14ac:dyDescent="0.2">
      <c r="A525" s="5" t="str">
        <f ca="1">IF(B525=" "," ",HYPERLINK(CONCATENATE("#metadata!",ADDRESS(INDEX($Y$2:$Y$1001,MATCH(ROWS($W$2:W525),$W$2:$W$1001,0),0),1)),INDEX($AB$2:$AB$1001,MATCH(ROWS($W$2:W525),$W$2:$W$1001,0),0)))</f>
        <v xml:space="preserve"> </v>
      </c>
      <c r="B525" s="4" t="str">
        <f ca="1">IF(OR(INDEX($X$2:$X$1001,MATCH(ROWS($W$2:W525),$W$2:$W$1001,0),1)&gt;=100000,INDEX($AD$1005:$AU$1005,1,MATCH(COLUMNS($AD$1006:AD1006),$AD$1006:$AU$1006,0))&gt;=100000), " ",IF(INDEX($AD$2:$AU$1001,MATCH(ROWS($W$2:W525),$W$2:$W$1001,0),MATCH(COLUMNS($AD$1006:AD1006),$AD$1006:$AU$1006,0)), HYPERLINK("#",""), HYPERLINK(CONCATENATE("#metadata!", ADDRESS(INDEX($Y$2:$Y$1001,MATCH(ROWS($W$2:W525),$W$2:$W$1001,0),0), INDEX($AD$1004:$AU$1004,1,MATCH(COLUMNS($AD$1006:AD1006),$AD$1006:$AU$1006,0)))),"Fix")))</f>
        <v xml:space="preserve"> </v>
      </c>
      <c r="C525" s="4" t="str">
        <f ca="1">IF(OR(INDEX($X$2:$X$1001,MATCH(ROWS($W$2:W525),$W$2:$W$1001,0),1)&gt;=100000,INDEX($AD$1005:$AU$1005,1,MATCH(COLUMNS($AD$1006:AE1006),$AD$1006:$AU$1006,0))&gt;=100000), " ",IF(INDEX($AD$2:$AU$1001,MATCH(ROWS($W$2:W525),$W$2:$W$1001,0),MATCH(COLUMNS($AD$1006:AE1006),$AD$1006:$AU$1006,0)), HYPERLINK("#",""), HYPERLINK(CONCATENATE("#metadata!", ADDRESS(INDEX($Y$2:$Y$1001,MATCH(ROWS($W$2:W525),$W$2:$W$1001,0),0), INDEX($AD$1004:$AU$1004,1,MATCH(COLUMNS($AD$1006:AE1006),$AD$1006:$AU$1006,0)))),"Fix")))</f>
        <v xml:space="preserve"> </v>
      </c>
      <c r="D525" s="4" t="str">
        <f ca="1">IF(OR(INDEX($X$2:$X$1001,MATCH(ROWS($W$2:W525),$W$2:$W$1001,0),1)&gt;=100000,INDEX($AD$1005:$AU$1005,1,MATCH(COLUMNS($AD$1006:AF1006),$AD$1006:$AU$1006,0))&gt;=100000), " ",IF(INDEX($AD$2:$AU$1001,MATCH(ROWS($W$2:W525),$W$2:$W$1001,0),MATCH(COLUMNS($AD$1006:AF1006),$AD$1006:$AU$1006,0)), HYPERLINK("#",""), HYPERLINK(CONCATENATE("#metadata!", ADDRESS(INDEX($Y$2:$Y$1001,MATCH(ROWS($W$2:W525),$W$2:$W$1001,0),0), INDEX($AD$1004:$AU$1004,1,MATCH(COLUMNS($AD$1006:AF1006),$AD$1006:$AU$1006,0)))),"Fix")))</f>
        <v xml:space="preserve"> </v>
      </c>
      <c r="E525" s="4" t="str">
        <f ca="1">IF(OR(INDEX($X$2:$X$1001,MATCH(ROWS($W$2:W525),$W$2:$W$1001,0),1)&gt;=100000,INDEX($AD$1005:$AU$1005,1,MATCH(COLUMNS($AD$1006:AG1006),$AD$1006:$AU$1006,0))&gt;=100000), " ",IF(INDEX($AD$2:$AU$1001,MATCH(ROWS($W$2:W525),$W$2:$W$1001,0),MATCH(COLUMNS($AD$1006:AG1006),$AD$1006:$AU$1006,0)), HYPERLINK("#",""), HYPERLINK(CONCATENATE("#metadata!", ADDRESS(INDEX($Y$2:$Y$1001,MATCH(ROWS($W$2:W525),$W$2:$W$1001,0),0), INDEX($AD$1004:$AU$1004,1,MATCH(COLUMNS($AD$1006:AG1006),$AD$1006:$AU$1006,0)))),"Fix")))</f>
        <v xml:space="preserve"> </v>
      </c>
      <c r="F525" s="4" t="str">
        <f ca="1">IF(OR(INDEX($X$2:$X$1001,MATCH(ROWS($W$2:W525),$W$2:$W$1001,0),1)&gt;=100000,INDEX($AD$1005:$AU$1005,1,MATCH(COLUMNS($AD$1006:AH1006),$AD$1006:$AU$1006,0))&gt;=100000), " ",IF(INDEX($AD$2:$AU$1001,MATCH(ROWS($W$2:W525),$W$2:$W$1001,0),MATCH(COLUMNS($AD$1006:AH1006),$AD$1006:$AU$1006,0)), HYPERLINK("#",""), HYPERLINK(CONCATENATE("#metadata!", ADDRESS(INDEX($Y$2:$Y$1001,MATCH(ROWS($W$2:W525),$W$2:$W$1001,0),0), INDEX($AD$1004:$AU$1004,1,MATCH(COLUMNS($AD$1006:AH1006),$AD$1006:$AU$1006,0)))),"Fix")))</f>
        <v xml:space="preserve"> </v>
      </c>
      <c r="G525" s="4" t="str">
        <f ca="1">IF(OR(INDEX($X$2:$X$1001,MATCH(ROWS($W$2:W525),$W$2:$W$1001,0),1)&gt;=100000,INDEX($AD$1005:$AU$1005,1,MATCH(COLUMNS($AD$1006:AI1006),$AD$1006:$AU$1006,0))&gt;=100000), " ",IF(INDEX($AD$2:$AU$1001,MATCH(ROWS($W$2:W525),$W$2:$W$1001,0),MATCH(COLUMNS($AD$1006:AI1006),$AD$1006:$AU$1006,0)), HYPERLINK("#",""), HYPERLINK(CONCATENATE("#metadata!", ADDRESS(INDEX($Y$2:$Y$1001,MATCH(ROWS($W$2:W525),$W$2:$W$1001,0),0), INDEX($AD$1004:$AU$1004,1,MATCH(COLUMNS($AD$1006:AI1006),$AD$1006:$AU$1006,0)))),"Fix")))</f>
        <v xml:space="preserve"> </v>
      </c>
      <c r="H525" s="4" t="str">
        <f ca="1">IF(OR(INDEX($X$2:$X$1001,MATCH(ROWS($W$2:W525),$W$2:$W$1001,0),1)&gt;=100000,INDEX($AD$1005:$AU$1005,1,MATCH(COLUMNS($AD$1006:AJ1006),$AD$1006:$AU$1006,0))&gt;=100000), " ",IF(INDEX($AD$2:$AU$1001,MATCH(ROWS($W$2:W525),$W$2:$W$1001,0),MATCH(COLUMNS($AD$1006:AJ1006),$AD$1006:$AU$1006,0)), HYPERLINK("#",""), HYPERLINK(CONCATENATE("#metadata!", ADDRESS(INDEX($Y$2:$Y$1001,MATCH(ROWS($W$2:W525),$W$2:$W$1001,0),0), INDEX($AD$1004:$AU$1004,1,MATCH(COLUMNS($AD$1006:AJ1006),$AD$1006:$AU$1006,0)))),"Fix")))</f>
        <v xml:space="preserve"> </v>
      </c>
      <c r="I525" s="4" t="str">
        <f ca="1">IF(OR(INDEX($X$2:$X$1001,MATCH(ROWS($W$2:W525),$W$2:$W$1001,0),1)&gt;=100000,INDEX($AD$1005:$AU$1005,1,MATCH(COLUMNS($AD$1006:AK1006),$AD$1006:$AU$1006,0))&gt;=100000), " ",IF(INDEX($AD$2:$AU$1001,MATCH(ROWS($W$2:W525),$W$2:$W$1001,0),MATCH(COLUMNS($AD$1006:AK1006),$AD$1006:$AU$1006,0)), HYPERLINK("#",""), HYPERLINK(CONCATENATE("#metadata!", ADDRESS(INDEX($Y$2:$Y$1001,MATCH(ROWS($W$2:W525),$W$2:$W$1001,0),0), INDEX($AD$1004:$AU$1004,1,MATCH(COLUMNS($AD$1006:AK1006),$AD$1006:$AU$1006,0)))),"Fix")))</f>
        <v xml:space="preserve"> </v>
      </c>
      <c r="J525" s="4" t="str">
        <f ca="1">IF(OR(INDEX($X$2:$X$1001,MATCH(ROWS($W$2:W525),$W$2:$W$1001,0),1)&gt;=100000,INDEX($AD$1005:$AU$1005,1,MATCH(COLUMNS($AD$1006:AL1006),$AD$1006:$AU$1006,0))&gt;=100000), " ",IF(INDEX($AD$2:$AU$1001,MATCH(ROWS($W$2:W525),$W$2:$W$1001,0),MATCH(COLUMNS($AD$1006:AL1006),$AD$1006:$AU$1006,0)), HYPERLINK("#",""), HYPERLINK(CONCATENATE("#metadata!", ADDRESS(INDEX($Y$2:$Y$1001,MATCH(ROWS($W$2:W525),$W$2:$W$1001,0),0), INDEX($AD$1004:$AU$1004,1,MATCH(COLUMNS($AD$1006:AL1006),$AD$1006:$AU$1006,0)))),"Fix")))</f>
        <v xml:space="preserve"> </v>
      </c>
      <c r="K525" s="4" t="str">
        <f ca="1">IF(OR(INDEX($X$2:$X$1001,MATCH(ROWS($W$2:W525),$W$2:$W$1001,0),1)&gt;=100000,INDEX($AD$1005:$AU$1005,1,MATCH(COLUMNS($AD$1006:AM1006),$AD$1006:$AU$1006,0))&gt;=100000), " ",IF(INDEX($AD$2:$AU$1001,MATCH(ROWS($W$2:W525),$W$2:$W$1001,0),MATCH(COLUMNS($AD$1006:AM1006),$AD$1006:$AU$1006,0)), HYPERLINK("#",""), HYPERLINK(CONCATENATE("#metadata!", ADDRESS(INDEX($Y$2:$Y$1001,MATCH(ROWS($W$2:W525),$W$2:$W$1001,0),0), INDEX($AD$1004:$AU$1004,1,MATCH(COLUMNS($AD$1006:AM1006),$AD$1006:$AU$1006,0)))),"Fix")))</f>
        <v xml:space="preserve"> </v>
      </c>
      <c r="L525" s="4" t="str">
        <f ca="1">IF(OR(INDEX($X$2:$X$1001,MATCH(ROWS($W$2:W525),$W$2:$W$1001,0),1)&gt;=100000,INDEX($AD$1005:$AU$1005,1,MATCH(COLUMNS($AD$1006:AN1006),$AD$1006:$AU$1006,0))&gt;=100000), " ",IF(INDEX($AD$2:$AU$1001,MATCH(ROWS($W$2:W525),$W$2:$W$1001,0),MATCH(COLUMNS($AD$1006:AN1006),$AD$1006:$AU$1006,0)), HYPERLINK("#",""), HYPERLINK(CONCATENATE("#metadata!", ADDRESS(INDEX($Y$2:$Y$1001,MATCH(ROWS($W$2:W525),$W$2:$W$1001,0),0), INDEX($AD$1004:$AU$1004,1,MATCH(COLUMNS($AD$1006:AN1006),$AD$1006:$AU$1006,0)))),"Fix")))</f>
        <v xml:space="preserve"> </v>
      </c>
      <c r="M525" s="4" t="str">
        <f ca="1">IF(OR(INDEX($X$2:$X$1001,MATCH(ROWS($W$2:W525),$W$2:$W$1001,0),1)&gt;=100000,INDEX($AD$1005:$AU$1005,1,MATCH(COLUMNS($AD$1006:AO1006),$AD$1006:$AU$1006,0))&gt;=100000), " ",IF(INDEX($AD$2:$AU$1001,MATCH(ROWS($W$2:W525),$W$2:$W$1001,0),MATCH(COLUMNS($AD$1006:AO1006),$AD$1006:$AU$1006,0)), HYPERLINK("#",""), HYPERLINK(CONCATENATE("#metadata!", ADDRESS(INDEX($Y$2:$Y$1001,MATCH(ROWS($W$2:W525),$W$2:$W$1001,0),0), INDEX($AD$1004:$AU$1004,1,MATCH(COLUMNS($AD$1006:AO1006),$AD$1006:$AU$1006,0)))),"Fix")))</f>
        <v xml:space="preserve"> </v>
      </c>
      <c r="N525" s="4" t="str">
        <f ca="1">IF(OR(INDEX($X$2:$X$1001,MATCH(ROWS($W$2:W525),$W$2:$W$1001,0),1)&gt;=100000,INDEX($AD$1005:$AU$1005,1,MATCH(COLUMNS($AD$1006:AP1006),$AD$1006:$AU$1006,0))&gt;=100000), " ",IF(INDEX($AD$2:$AU$1001,MATCH(ROWS($W$2:W525),$W$2:$W$1001,0),MATCH(COLUMNS($AD$1006:AP1006),$AD$1006:$AU$1006,0)), HYPERLINK("#",""), HYPERLINK(CONCATENATE("#metadata!", ADDRESS(INDEX($Y$2:$Y$1001,MATCH(ROWS($W$2:W525),$W$2:$W$1001,0),0), INDEX($AD$1004:$AU$1004,1,MATCH(COLUMNS($AD$1006:AP1006),$AD$1006:$AU$1006,0)))),"Fix")))</f>
        <v xml:space="preserve"> </v>
      </c>
      <c r="O525" s="4" t="str">
        <f ca="1">IF(OR(INDEX($X$2:$X$1001,MATCH(ROWS($W$2:W525),$W$2:$W$1001,0),1)&gt;=100000,INDEX($AD$1005:$AU$1005,1,MATCH(COLUMNS($AD$1006:AQ1006),$AD$1006:$AU$1006,0))&gt;=100000), " ",IF(INDEX($AD$2:$AU$1001,MATCH(ROWS($W$2:W525),$W$2:$W$1001,0),MATCH(COLUMNS($AD$1006:AQ1006),$AD$1006:$AU$1006,0)), HYPERLINK("#",""), HYPERLINK(CONCATENATE("#metadata!", ADDRESS(INDEX($Y$2:$Y$1001,MATCH(ROWS($W$2:W525),$W$2:$W$1001,0),0), INDEX($AD$1004:$AU$1004,1,MATCH(COLUMNS($AD$1006:AQ1006),$AD$1006:$AU$1006,0)))),"Fix")))</f>
        <v xml:space="preserve"> </v>
      </c>
      <c r="P525" s="4" t="str">
        <f ca="1">IF(OR(INDEX($X$2:$X$1001,MATCH(ROWS($W$2:W525),$W$2:$W$1001,0),1)&gt;=100000,INDEX($AD$1005:$AU$1005,1,MATCH(COLUMNS($AD$1006:AR1006),$AD$1006:$AU$1006,0))&gt;=100000), " ",IF(INDEX($AD$2:$AU$1001,MATCH(ROWS($W$2:W525),$W$2:$W$1001,0),MATCH(COLUMNS($AD$1006:AR1006),$AD$1006:$AU$1006,0)), HYPERLINK("#",""), HYPERLINK(CONCATENATE("#metadata!", ADDRESS(INDEX($Y$2:$Y$1001,MATCH(ROWS($W$2:W525),$W$2:$W$1001,0),0), INDEX($AD$1004:$AU$1004,1,MATCH(COLUMNS($AD$1006:AR1006),$AD$1006:$AU$1006,0)))),"Fix")))</f>
        <v xml:space="preserve"> </v>
      </c>
      <c r="Q525" s="4" t="str">
        <f ca="1">IF(OR(INDEX($X$2:$X$1001,MATCH(ROWS($W$2:W525),$W$2:$W$1001,0),1)&gt;=100000,INDEX($AD$1005:$AU$1005,1,MATCH(COLUMNS($AD$1006:AS1006),$AD$1006:$AU$1006,0))&gt;=100000), " ",IF(INDEX($AD$2:$AU$1001,MATCH(ROWS($W$2:W525),$W$2:$W$1001,0),MATCH(COLUMNS($AD$1006:AS1006),$AD$1006:$AU$1006,0)), HYPERLINK("#",""), HYPERLINK(CONCATENATE("#metadata!", ADDRESS(INDEX($Y$2:$Y$1001,MATCH(ROWS($W$2:W525),$W$2:$W$1001,0),0), INDEX($AD$1004:$AU$1004,1,MATCH(COLUMNS($AD$1006:AS1006),$AD$1006:$AU$1006,0)))),"Fix")))</f>
        <v xml:space="preserve"> </v>
      </c>
      <c r="R525" s="4" t="str">
        <f ca="1">IF(OR(INDEX($X$2:$X$1001,MATCH(ROWS($W$2:W525),$W$2:$W$1001,0),1)&gt;=100000,INDEX($AD$1005:$AU$1005,1,MATCH(COLUMNS($AD$1006:AT1006),$AD$1006:$AU$1006,0))&gt;=100000), " ",IF(INDEX($AD$2:$AU$1001,MATCH(ROWS($W$2:W525),$W$2:$W$1001,0),MATCH(COLUMNS($AD$1006:AT1006),$AD$1006:$AU$1006,0)), HYPERLINK("#",""), HYPERLINK(CONCATENATE("#metadata!", ADDRESS(INDEX($Y$2:$Y$1001,MATCH(ROWS($W$2:W525),$W$2:$W$1001,0),0), INDEX($AD$1004:$AU$1004,1,MATCH(COLUMNS($AD$1006:AT1006),$AD$1006:$AU$1006,0)))),"Fix")))</f>
        <v xml:space="preserve"> </v>
      </c>
      <c r="S525" s="4" t="str">
        <f ca="1">IF(OR(INDEX($X$2:$X$1001,MATCH(ROWS($W$2:W525),$W$2:$W$1001,0),1)&gt;=100000,INDEX($AD$1005:$AU$1005,1,MATCH(COLUMNS($AD$1006:AU1006),$AD$1006:$AU$1006,0))&gt;=100000), " ",IF(INDEX($AD$2:$AU$1001,MATCH(ROWS($W$2:W525),$W$2:$W$1001,0),MATCH(COLUMNS($AD$1006:AU1006),$AD$1006:$AU$1006,0)), HYPERLINK("#",""), HYPERLINK(CONCATENATE("#metadata!", ADDRESS(INDEX($Y$2:$Y$1001,MATCH(ROWS($W$2:W525),$W$2:$W$1001,0),0), INDEX($AD$1004:$AU$1004,1,MATCH(COLUMNS($AD$1006:AU1006),$AD$1006:$AU$1006,0)))),"Fix")))</f>
        <v xml:space="preserve"> </v>
      </c>
      <c r="W525">
        <v>524</v>
      </c>
      <c r="X525">
        <v>100525</v>
      </c>
      <c r="Y525">
        <v>525</v>
      </c>
      <c r="Z525" t="b">
        <f t="shared" si="8"/>
        <v>1</v>
      </c>
      <c r="AA525" t="b">
        <f>COUNTBLANK(metadata!B525:S525)=COLUMNS(metadata!B525:S525)</f>
        <v>1</v>
      </c>
      <c r="AB525" t="str">
        <v/>
      </c>
      <c r="AD525" t="b">
        <f ca="1">AND(IF(metadata!B525="",FALSE,TRUE),COUNTIF(metadata!B:B, metadata!B525) = 1,NOT(ISERROR(SUMPRODUCT(SEARCH(MID(metadata!B525,ROW(INDIRECT("1:"&amp;LEN(metadata!B525))), 1),"0123456789abcdefghijklmnopqrstuvwxyzABCDEFGHIJKLMNOPQRSTUVWXYZ.")))))</f>
        <v>0</v>
      </c>
      <c r="AE525" t="b">
        <f>OR(AND(IF(metadata!C525="",FALSE,TRUE),OR(EXACT(metadata!C525,"not applicable"),EXACT(metadata!C525,"missing: not collected"),EXACT(metadata!C525,"missing: not provided"),EXACT(metadata!C525,"missing: restricted access"))),AND(IF(metadata!C525="",FALSE,ISNUMBER(VALUE(metadata!C525))),metadata!C525&gt;0))</f>
        <v>0</v>
      </c>
      <c r="AF525" t="b">
        <f>AND(IF(metadata!D525="",FALSE,TRUE),EXACT(metadata!D525,"missing: not provided"))</f>
        <v>0</v>
      </c>
      <c r="AG525" t="b">
        <f>AND(IF(metadata!E525="",FALSE,TRUE),EXACT(metadata!E525,"Host-associated"))</f>
        <v>0</v>
      </c>
      <c r="AH525" t="b">
        <f>AND(IF(metadata!F525="",FALSE,TRUE),OR(EXACT(metadata!F525,"Animal"),EXACT(metadata!F525,"Fungus"),EXACT(metadata!F525,"Plant")))</f>
        <v>0</v>
      </c>
      <c r="AI525" t="b">
        <f>AND(IF(metadata!G525="",FALSE,TRUE),OR(EXACT(metadata!G525,"Plant secretion"),EXACT(metadata!G525,"Plant rhizosphere"),EXACT(metadata!G525,"Plant surface"),EXACT(metadata!G525,"Plant corpus"),EXACT(metadata!G525,"Fungus surface"),EXACT(metadata!G525,"Fungus corpus"),EXACT(metadata!G525,"Animal surface"),EXACT(metadata!G525,"Animal proximal gut"),EXACT(metadata!G525,"Animal corpus"),EXACT(metadata!G525,"Animal distal gut"),EXACT(metadata!G525,"Animal secretion")))</f>
        <v>0</v>
      </c>
      <c r="AJ525" t="b">
        <f>OR(AND(IF(metadata!H525="",FALSE,TRUE),OR(EXACT(metadata!H525,"missing: not collected"),EXACT(metadata!H525,"missing: not provided"),EXACT(metadata!H525,"missing: restricted access"))),AND(IF(metadata!H525="",FALSE,TRUE),OR(EXACT(metadata!H525,"organism-associated habitat"),EXACT(metadata!H525,"plant-associated habitat"),EXACT(metadata!H525,"animal-associated habitat"),EXACT(metadata!H525,"insecta-associated habitat"),EXACT(metadata!H525,"mammalia-associated habitat"),EXACT(metadata!H525,"human-associated habitat"),EXACT(metadata!H525,"livestock-associated habitat"))))</f>
        <v>0</v>
      </c>
      <c r="AK525" t="b">
        <f>AND(IF(metadata!I525="",FALSE,TRUE),EXACT(metadata!I525,"host-associated"))</f>
        <v>0</v>
      </c>
      <c r="AL525" t="b">
        <f>OR(AND(IF(metadata!J525="",FALSE,TRUE),OR(EXACT(metadata!J525,"not applicable"),EXACT(metadata!J525,"missing: not collected"),EXACT(metadata!J525,"missing: not provided"),EXACT(metadata!J525,"missing: restricted access"))),AND(IF(metadata!J525="",FALSE,ISNUMBER(VALUE(metadata!J525))),metadata!J525&gt;0))</f>
        <v>0</v>
      </c>
      <c r="AM525" t="b">
        <f>AND(IF(metadata!K525="",FALSE,TRUE),EXACT(metadata!K525,"missing: not provided"))</f>
        <v>0</v>
      </c>
      <c r="AN525" t="b">
        <f>IF(metadata!L525="",FALSE,TRUE)</f>
        <v>0</v>
      </c>
      <c r="AO525" t="b">
        <f>IF(metadata!M525="",FALSE,TRUE)</f>
        <v>0</v>
      </c>
      <c r="AP525" t="b">
        <f>OR(AND(IF(metadata!N525="",FALSE,TRUE),OR(EXACT(metadata!N525,"not applicable"),EXACT(metadata!N525,"missing: not collected"),EXACT(metadata!N525,"missing: not provided"))),AND(IF(metadata!N525="",FALSE,IF(ISERROR(INT(metadata!N525)),FALSE,INT(metadata!N525)=metadata!N525)),metadata!N525&gt;0))</f>
        <v>0</v>
      </c>
      <c r="AQ525" t="b">
        <f>AND(IF(metadata!O525="",FALSE,TRUE),EXACT(metadata!O525,"Not applicable"))</f>
        <v>0</v>
      </c>
      <c r="AR525" t="b">
        <f>OR(AND(IF(metadata!P525="",FALSE,TRUE),OR(EXACT(metadata!P525,"not applicable"),EXACT(metadata!P525,"missing: not collected"),EXACT(metadata!P525,"missing: not provided"),EXACT(metadata!P525,"missing: restricted access"))),IF(metadata!P525="",FALSE,IF(ISERROR(INT(metadata!P525)),FALSE,INT(metadata!P525)=metadata!P525)))</f>
        <v>0</v>
      </c>
      <c r="AS525" t="b">
        <f>AND(IF(metadata!Q525="",FALSE,TRUE),EXACT(metadata!Q525,"Not applicable"))</f>
        <v>0</v>
      </c>
      <c r="AT525" t="b">
        <f>OR(AND(IF(metadata!R525="",FALSE,TRUE),OR(EXACT(metadata!R525,"not applicable"),EXACT(metadata!R525,"missing: not collected"),EXACT(metadata!R525,"missing: not provided"),EXACT(metadata!R525,"missing: restricted access"))),AND(IF(metadata!R525="",FALSE,ISNUMBER(VALUE(metadata!R525))),metadata!R525&gt;0))</f>
        <v>0</v>
      </c>
      <c r="AU525" t="b">
        <f>AND(IF(metadata!S525="",FALSE,TRUE),EXACT(metadata!S525,"missing: not provided"))</f>
        <v>0</v>
      </c>
    </row>
    <row r="526" spans="1:47" x14ac:dyDescent="0.2">
      <c r="A526" s="5" t="str">
        <f ca="1">IF(B526=" "," ",HYPERLINK(CONCATENATE("#metadata!",ADDRESS(INDEX($Y$2:$Y$1001,MATCH(ROWS($W$2:W526),$W$2:$W$1001,0),0),1)),INDEX($AB$2:$AB$1001,MATCH(ROWS($W$2:W526),$W$2:$W$1001,0),0)))</f>
        <v xml:space="preserve"> </v>
      </c>
      <c r="B526" s="4" t="str">
        <f ca="1">IF(OR(INDEX($X$2:$X$1001,MATCH(ROWS($W$2:W526),$W$2:$W$1001,0),1)&gt;=100000,INDEX($AD$1005:$AU$1005,1,MATCH(COLUMNS($AD$1006:AD1006),$AD$1006:$AU$1006,0))&gt;=100000), " ",IF(INDEX($AD$2:$AU$1001,MATCH(ROWS($W$2:W526),$W$2:$W$1001,0),MATCH(COLUMNS($AD$1006:AD1006),$AD$1006:$AU$1006,0)), HYPERLINK("#",""), HYPERLINK(CONCATENATE("#metadata!", ADDRESS(INDEX($Y$2:$Y$1001,MATCH(ROWS($W$2:W526),$W$2:$W$1001,0),0), INDEX($AD$1004:$AU$1004,1,MATCH(COLUMNS($AD$1006:AD1006),$AD$1006:$AU$1006,0)))),"Fix")))</f>
        <v xml:space="preserve"> </v>
      </c>
      <c r="C526" s="4" t="str">
        <f ca="1">IF(OR(INDEX($X$2:$X$1001,MATCH(ROWS($W$2:W526),$W$2:$W$1001,0),1)&gt;=100000,INDEX($AD$1005:$AU$1005,1,MATCH(COLUMNS($AD$1006:AE1006),$AD$1006:$AU$1006,0))&gt;=100000), " ",IF(INDEX($AD$2:$AU$1001,MATCH(ROWS($W$2:W526),$W$2:$W$1001,0),MATCH(COLUMNS($AD$1006:AE1006),$AD$1006:$AU$1006,0)), HYPERLINK("#",""), HYPERLINK(CONCATENATE("#metadata!", ADDRESS(INDEX($Y$2:$Y$1001,MATCH(ROWS($W$2:W526),$W$2:$W$1001,0),0), INDEX($AD$1004:$AU$1004,1,MATCH(COLUMNS($AD$1006:AE1006),$AD$1006:$AU$1006,0)))),"Fix")))</f>
        <v xml:space="preserve"> </v>
      </c>
      <c r="D526" s="4" t="str">
        <f ca="1">IF(OR(INDEX($X$2:$X$1001,MATCH(ROWS($W$2:W526),$W$2:$W$1001,0),1)&gt;=100000,INDEX($AD$1005:$AU$1005,1,MATCH(COLUMNS($AD$1006:AF1006),$AD$1006:$AU$1006,0))&gt;=100000), " ",IF(INDEX($AD$2:$AU$1001,MATCH(ROWS($W$2:W526),$W$2:$W$1001,0),MATCH(COLUMNS($AD$1006:AF1006),$AD$1006:$AU$1006,0)), HYPERLINK("#",""), HYPERLINK(CONCATENATE("#metadata!", ADDRESS(INDEX($Y$2:$Y$1001,MATCH(ROWS($W$2:W526),$W$2:$W$1001,0),0), INDEX($AD$1004:$AU$1004,1,MATCH(COLUMNS($AD$1006:AF1006),$AD$1006:$AU$1006,0)))),"Fix")))</f>
        <v xml:space="preserve"> </v>
      </c>
      <c r="E526" s="4" t="str">
        <f ca="1">IF(OR(INDEX($X$2:$X$1001,MATCH(ROWS($W$2:W526),$W$2:$W$1001,0),1)&gt;=100000,INDEX($AD$1005:$AU$1005,1,MATCH(COLUMNS($AD$1006:AG1006),$AD$1006:$AU$1006,0))&gt;=100000), " ",IF(INDEX($AD$2:$AU$1001,MATCH(ROWS($W$2:W526),$W$2:$W$1001,0),MATCH(COLUMNS($AD$1006:AG1006),$AD$1006:$AU$1006,0)), HYPERLINK("#",""), HYPERLINK(CONCATENATE("#metadata!", ADDRESS(INDEX($Y$2:$Y$1001,MATCH(ROWS($W$2:W526),$W$2:$W$1001,0),0), INDEX($AD$1004:$AU$1004,1,MATCH(COLUMNS($AD$1006:AG1006),$AD$1006:$AU$1006,0)))),"Fix")))</f>
        <v xml:space="preserve"> </v>
      </c>
      <c r="F526" s="4" t="str">
        <f ca="1">IF(OR(INDEX($X$2:$X$1001,MATCH(ROWS($W$2:W526),$W$2:$W$1001,0),1)&gt;=100000,INDEX($AD$1005:$AU$1005,1,MATCH(COLUMNS($AD$1006:AH1006),$AD$1006:$AU$1006,0))&gt;=100000), " ",IF(INDEX($AD$2:$AU$1001,MATCH(ROWS($W$2:W526),$W$2:$W$1001,0),MATCH(COLUMNS($AD$1006:AH1006),$AD$1006:$AU$1006,0)), HYPERLINK("#",""), HYPERLINK(CONCATENATE("#metadata!", ADDRESS(INDEX($Y$2:$Y$1001,MATCH(ROWS($W$2:W526),$W$2:$W$1001,0),0), INDEX($AD$1004:$AU$1004,1,MATCH(COLUMNS($AD$1006:AH1006),$AD$1006:$AU$1006,0)))),"Fix")))</f>
        <v xml:space="preserve"> </v>
      </c>
      <c r="G526" s="4" t="str">
        <f ca="1">IF(OR(INDEX($X$2:$X$1001,MATCH(ROWS($W$2:W526),$W$2:$W$1001,0),1)&gt;=100000,INDEX($AD$1005:$AU$1005,1,MATCH(COLUMNS($AD$1006:AI1006),$AD$1006:$AU$1006,0))&gt;=100000), " ",IF(INDEX($AD$2:$AU$1001,MATCH(ROWS($W$2:W526),$W$2:$W$1001,0),MATCH(COLUMNS($AD$1006:AI1006),$AD$1006:$AU$1006,0)), HYPERLINK("#",""), HYPERLINK(CONCATENATE("#metadata!", ADDRESS(INDEX($Y$2:$Y$1001,MATCH(ROWS($W$2:W526),$W$2:$W$1001,0),0), INDEX($AD$1004:$AU$1004,1,MATCH(COLUMNS($AD$1006:AI1006),$AD$1006:$AU$1006,0)))),"Fix")))</f>
        <v xml:space="preserve"> </v>
      </c>
      <c r="H526" s="4" t="str">
        <f ca="1">IF(OR(INDEX($X$2:$X$1001,MATCH(ROWS($W$2:W526),$W$2:$W$1001,0),1)&gt;=100000,INDEX($AD$1005:$AU$1005,1,MATCH(COLUMNS($AD$1006:AJ1006),$AD$1006:$AU$1006,0))&gt;=100000), " ",IF(INDEX($AD$2:$AU$1001,MATCH(ROWS($W$2:W526),$W$2:$W$1001,0),MATCH(COLUMNS($AD$1006:AJ1006),$AD$1006:$AU$1006,0)), HYPERLINK("#",""), HYPERLINK(CONCATENATE("#metadata!", ADDRESS(INDEX($Y$2:$Y$1001,MATCH(ROWS($W$2:W526),$W$2:$W$1001,0),0), INDEX($AD$1004:$AU$1004,1,MATCH(COLUMNS($AD$1006:AJ1006),$AD$1006:$AU$1006,0)))),"Fix")))</f>
        <v xml:space="preserve"> </v>
      </c>
      <c r="I526" s="4" t="str">
        <f ca="1">IF(OR(INDEX($X$2:$X$1001,MATCH(ROWS($W$2:W526),$W$2:$W$1001,0),1)&gt;=100000,INDEX($AD$1005:$AU$1005,1,MATCH(COLUMNS($AD$1006:AK1006),$AD$1006:$AU$1006,0))&gt;=100000), " ",IF(INDEX($AD$2:$AU$1001,MATCH(ROWS($W$2:W526),$W$2:$W$1001,0),MATCH(COLUMNS($AD$1006:AK1006),$AD$1006:$AU$1006,0)), HYPERLINK("#",""), HYPERLINK(CONCATENATE("#metadata!", ADDRESS(INDEX($Y$2:$Y$1001,MATCH(ROWS($W$2:W526),$W$2:$W$1001,0),0), INDEX($AD$1004:$AU$1004,1,MATCH(COLUMNS($AD$1006:AK1006),$AD$1006:$AU$1006,0)))),"Fix")))</f>
        <v xml:space="preserve"> </v>
      </c>
      <c r="J526" s="4" t="str">
        <f ca="1">IF(OR(INDEX($X$2:$X$1001,MATCH(ROWS($W$2:W526),$W$2:$W$1001,0),1)&gt;=100000,INDEX($AD$1005:$AU$1005,1,MATCH(COLUMNS($AD$1006:AL1006),$AD$1006:$AU$1006,0))&gt;=100000), " ",IF(INDEX($AD$2:$AU$1001,MATCH(ROWS($W$2:W526),$W$2:$W$1001,0),MATCH(COLUMNS($AD$1006:AL1006),$AD$1006:$AU$1006,0)), HYPERLINK("#",""), HYPERLINK(CONCATENATE("#metadata!", ADDRESS(INDEX($Y$2:$Y$1001,MATCH(ROWS($W$2:W526),$W$2:$W$1001,0),0), INDEX($AD$1004:$AU$1004,1,MATCH(COLUMNS($AD$1006:AL1006),$AD$1006:$AU$1006,0)))),"Fix")))</f>
        <v xml:space="preserve"> </v>
      </c>
      <c r="K526" s="4" t="str">
        <f ca="1">IF(OR(INDEX($X$2:$X$1001,MATCH(ROWS($W$2:W526),$W$2:$W$1001,0),1)&gt;=100000,INDEX($AD$1005:$AU$1005,1,MATCH(COLUMNS($AD$1006:AM1006),$AD$1006:$AU$1006,0))&gt;=100000), " ",IF(INDEX($AD$2:$AU$1001,MATCH(ROWS($W$2:W526),$W$2:$W$1001,0),MATCH(COLUMNS($AD$1006:AM1006),$AD$1006:$AU$1006,0)), HYPERLINK("#",""), HYPERLINK(CONCATENATE("#metadata!", ADDRESS(INDEX($Y$2:$Y$1001,MATCH(ROWS($W$2:W526),$W$2:$W$1001,0),0), INDEX($AD$1004:$AU$1004,1,MATCH(COLUMNS($AD$1006:AM1006),$AD$1006:$AU$1006,0)))),"Fix")))</f>
        <v xml:space="preserve"> </v>
      </c>
      <c r="L526" s="4" t="str">
        <f ca="1">IF(OR(INDEX($X$2:$X$1001,MATCH(ROWS($W$2:W526),$W$2:$W$1001,0),1)&gt;=100000,INDEX($AD$1005:$AU$1005,1,MATCH(COLUMNS($AD$1006:AN1006),$AD$1006:$AU$1006,0))&gt;=100000), " ",IF(INDEX($AD$2:$AU$1001,MATCH(ROWS($W$2:W526),$W$2:$W$1001,0),MATCH(COLUMNS($AD$1006:AN1006),$AD$1006:$AU$1006,0)), HYPERLINK("#",""), HYPERLINK(CONCATENATE("#metadata!", ADDRESS(INDEX($Y$2:$Y$1001,MATCH(ROWS($W$2:W526),$W$2:$W$1001,0),0), INDEX($AD$1004:$AU$1004,1,MATCH(COLUMNS($AD$1006:AN1006),$AD$1006:$AU$1006,0)))),"Fix")))</f>
        <v xml:space="preserve"> </v>
      </c>
      <c r="M526" s="4" t="str">
        <f ca="1">IF(OR(INDEX($X$2:$X$1001,MATCH(ROWS($W$2:W526),$W$2:$W$1001,0),1)&gt;=100000,INDEX($AD$1005:$AU$1005,1,MATCH(COLUMNS($AD$1006:AO1006),$AD$1006:$AU$1006,0))&gt;=100000), " ",IF(INDEX($AD$2:$AU$1001,MATCH(ROWS($W$2:W526),$W$2:$W$1001,0),MATCH(COLUMNS($AD$1006:AO1006),$AD$1006:$AU$1006,0)), HYPERLINK("#",""), HYPERLINK(CONCATENATE("#metadata!", ADDRESS(INDEX($Y$2:$Y$1001,MATCH(ROWS($W$2:W526),$W$2:$W$1001,0),0), INDEX($AD$1004:$AU$1004,1,MATCH(COLUMNS($AD$1006:AO1006),$AD$1006:$AU$1006,0)))),"Fix")))</f>
        <v xml:space="preserve"> </v>
      </c>
      <c r="N526" s="4" t="str">
        <f ca="1">IF(OR(INDEX($X$2:$X$1001,MATCH(ROWS($W$2:W526),$W$2:$W$1001,0),1)&gt;=100000,INDEX($AD$1005:$AU$1005,1,MATCH(COLUMNS($AD$1006:AP1006),$AD$1006:$AU$1006,0))&gt;=100000), " ",IF(INDEX($AD$2:$AU$1001,MATCH(ROWS($W$2:W526),$W$2:$W$1001,0),MATCH(COLUMNS($AD$1006:AP1006),$AD$1006:$AU$1006,0)), HYPERLINK("#",""), HYPERLINK(CONCATENATE("#metadata!", ADDRESS(INDEX($Y$2:$Y$1001,MATCH(ROWS($W$2:W526),$W$2:$W$1001,0),0), INDEX($AD$1004:$AU$1004,1,MATCH(COLUMNS($AD$1006:AP1006),$AD$1006:$AU$1006,0)))),"Fix")))</f>
        <v xml:space="preserve"> </v>
      </c>
      <c r="O526" s="4" t="str">
        <f ca="1">IF(OR(INDEX($X$2:$X$1001,MATCH(ROWS($W$2:W526),$W$2:$W$1001,0),1)&gt;=100000,INDEX($AD$1005:$AU$1005,1,MATCH(COLUMNS($AD$1006:AQ1006),$AD$1006:$AU$1006,0))&gt;=100000), " ",IF(INDEX($AD$2:$AU$1001,MATCH(ROWS($W$2:W526),$W$2:$W$1001,0),MATCH(COLUMNS($AD$1006:AQ1006),$AD$1006:$AU$1006,0)), HYPERLINK("#",""), HYPERLINK(CONCATENATE("#metadata!", ADDRESS(INDEX($Y$2:$Y$1001,MATCH(ROWS($W$2:W526),$W$2:$W$1001,0),0), INDEX($AD$1004:$AU$1004,1,MATCH(COLUMNS($AD$1006:AQ1006),$AD$1006:$AU$1006,0)))),"Fix")))</f>
        <v xml:space="preserve"> </v>
      </c>
      <c r="P526" s="4" t="str">
        <f ca="1">IF(OR(INDEX($X$2:$X$1001,MATCH(ROWS($W$2:W526),$W$2:$W$1001,0),1)&gt;=100000,INDEX($AD$1005:$AU$1005,1,MATCH(COLUMNS($AD$1006:AR1006),$AD$1006:$AU$1006,0))&gt;=100000), " ",IF(INDEX($AD$2:$AU$1001,MATCH(ROWS($W$2:W526),$W$2:$W$1001,0),MATCH(COLUMNS($AD$1006:AR1006),$AD$1006:$AU$1006,0)), HYPERLINK("#",""), HYPERLINK(CONCATENATE("#metadata!", ADDRESS(INDEX($Y$2:$Y$1001,MATCH(ROWS($W$2:W526),$W$2:$W$1001,0),0), INDEX($AD$1004:$AU$1004,1,MATCH(COLUMNS($AD$1006:AR1006),$AD$1006:$AU$1006,0)))),"Fix")))</f>
        <v xml:space="preserve"> </v>
      </c>
      <c r="Q526" s="4" t="str">
        <f ca="1">IF(OR(INDEX($X$2:$X$1001,MATCH(ROWS($W$2:W526),$W$2:$W$1001,0),1)&gt;=100000,INDEX($AD$1005:$AU$1005,1,MATCH(COLUMNS($AD$1006:AS1006),$AD$1006:$AU$1006,0))&gt;=100000), " ",IF(INDEX($AD$2:$AU$1001,MATCH(ROWS($W$2:W526),$W$2:$W$1001,0),MATCH(COLUMNS($AD$1006:AS1006),$AD$1006:$AU$1006,0)), HYPERLINK("#",""), HYPERLINK(CONCATENATE("#metadata!", ADDRESS(INDEX($Y$2:$Y$1001,MATCH(ROWS($W$2:W526),$W$2:$W$1001,0),0), INDEX($AD$1004:$AU$1004,1,MATCH(COLUMNS($AD$1006:AS1006),$AD$1006:$AU$1006,0)))),"Fix")))</f>
        <v xml:space="preserve"> </v>
      </c>
      <c r="R526" s="4" t="str">
        <f ca="1">IF(OR(INDEX($X$2:$X$1001,MATCH(ROWS($W$2:W526),$W$2:$W$1001,0),1)&gt;=100000,INDEX($AD$1005:$AU$1005,1,MATCH(COLUMNS($AD$1006:AT1006),$AD$1006:$AU$1006,0))&gt;=100000), " ",IF(INDEX($AD$2:$AU$1001,MATCH(ROWS($W$2:W526),$W$2:$W$1001,0),MATCH(COLUMNS($AD$1006:AT1006),$AD$1006:$AU$1006,0)), HYPERLINK("#",""), HYPERLINK(CONCATENATE("#metadata!", ADDRESS(INDEX($Y$2:$Y$1001,MATCH(ROWS($W$2:W526),$W$2:$W$1001,0),0), INDEX($AD$1004:$AU$1004,1,MATCH(COLUMNS($AD$1006:AT1006),$AD$1006:$AU$1006,0)))),"Fix")))</f>
        <v xml:space="preserve"> </v>
      </c>
      <c r="S526" s="4" t="str">
        <f ca="1">IF(OR(INDEX($X$2:$X$1001,MATCH(ROWS($W$2:W526),$W$2:$W$1001,0),1)&gt;=100000,INDEX($AD$1005:$AU$1005,1,MATCH(COLUMNS($AD$1006:AU1006),$AD$1006:$AU$1006,0))&gt;=100000), " ",IF(INDEX($AD$2:$AU$1001,MATCH(ROWS($W$2:W526),$W$2:$W$1001,0),MATCH(COLUMNS($AD$1006:AU1006),$AD$1006:$AU$1006,0)), HYPERLINK("#",""), HYPERLINK(CONCATENATE("#metadata!", ADDRESS(INDEX($Y$2:$Y$1001,MATCH(ROWS($W$2:W526),$W$2:$W$1001,0),0), INDEX($AD$1004:$AU$1004,1,MATCH(COLUMNS($AD$1006:AU1006),$AD$1006:$AU$1006,0)))),"Fix")))</f>
        <v xml:space="preserve"> </v>
      </c>
      <c r="W526">
        <v>525</v>
      </c>
      <c r="X526">
        <v>100526</v>
      </c>
      <c r="Y526">
        <v>526</v>
      </c>
      <c r="Z526" t="b">
        <f t="shared" si="8"/>
        <v>1</v>
      </c>
      <c r="AA526" t="b">
        <f>COUNTBLANK(metadata!B526:S526)=COLUMNS(metadata!B526:S526)</f>
        <v>1</v>
      </c>
      <c r="AB526" t="str">
        <v/>
      </c>
      <c r="AD526" t="b">
        <f ca="1">AND(IF(metadata!B526="",FALSE,TRUE),COUNTIF(metadata!B:B, metadata!B526) = 1,NOT(ISERROR(SUMPRODUCT(SEARCH(MID(metadata!B526,ROW(INDIRECT("1:"&amp;LEN(metadata!B526))), 1),"0123456789abcdefghijklmnopqrstuvwxyzABCDEFGHIJKLMNOPQRSTUVWXYZ.")))))</f>
        <v>0</v>
      </c>
      <c r="AE526" t="b">
        <f>OR(AND(IF(metadata!C526="",FALSE,TRUE),OR(EXACT(metadata!C526,"not applicable"),EXACT(metadata!C526,"missing: not collected"),EXACT(metadata!C526,"missing: not provided"),EXACT(metadata!C526,"missing: restricted access"))),AND(IF(metadata!C526="",FALSE,ISNUMBER(VALUE(metadata!C526))),metadata!C526&gt;0))</f>
        <v>0</v>
      </c>
      <c r="AF526" t="b">
        <f>AND(IF(metadata!D526="",FALSE,TRUE),EXACT(metadata!D526,"missing: not provided"))</f>
        <v>0</v>
      </c>
      <c r="AG526" t="b">
        <f>AND(IF(metadata!E526="",FALSE,TRUE),EXACT(metadata!E526,"Host-associated"))</f>
        <v>0</v>
      </c>
      <c r="AH526" t="b">
        <f>AND(IF(metadata!F526="",FALSE,TRUE),OR(EXACT(metadata!F526,"Animal"),EXACT(metadata!F526,"Fungus"),EXACT(metadata!F526,"Plant")))</f>
        <v>0</v>
      </c>
      <c r="AI526" t="b">
        <f>AND(IF(metadata!G526="",FALSE,TRUE),OR(EXACT(metadata!G526,"Plant secretion"),EXACT(metadata!G526,"Plant rhizosphere"),EXACT(metadata!G526,"Plant surface"),EXACT(metadata!G526,"Plant corpus"),EXACT(metadata!G526,"Fungus surface"),EXACT(metadata!G526,"Fungus corpus"),EXACT(metadata!G526,"Animal surface"),EXACT(metadata!G526,"Animal proximal gut"),EXACT(metadata!G526,"Animal corpus"),EXACT(metadata!G526,"Animal distal gut"),EXACT(metadata!G526,"Animal secretion")))</f>
        <v>0</v>
      </c>
      <c r="AJ526" t="b">
        <f>OR(AND(IF(metadata!H526="",FALSE,TRUE),OR(EXACT(metadata!H526,"missing: not collected"),EXACT(metadata!H526,"missing: not provided"),EXACT(metadata!H526,"missing: restricted access"))),AND(IF(metadata!H526="",FALSE,TRUE),OR(EXACT(metadata!H526,"organism-associated habitat"),EXACT(metadata!H526,"plant-associated habitat"),EXACT(metadata!H526,"animal-associated habitat"),EXACT(metadata!H526,"insecta-associated habitat"),EXACT(metadata!H526,"mammalia-associated habitat"),EXACT(metadata!H526,"human-associated habitat"),EXACT(metadata!H526,"livestock-associated habitat"))))</f>
        <v>0</v>
      </c>
      <c r="AK526" t="b">
        <f>AND(IF(metadata!I526="",FALSE,TRUE),EXACT(metadata!I526,"host-associated"))</f>
        <v>0</v>
      </c>
      <c r="AL526" t="b">
        <f>OR(AND(IF(metadata!J526="",FALSE,TRUE),OR(EXACT(metadata!J526,"not applicable"),EXACT(metadata!J526,"missing: not collected"),EXACT(metadata!J526,"missing: not provided"),EXACT(metadata!J526,"missing: restricted access"))),AND(IF(metadata!J526="",FALSE,ISNUMBER(VALUE(metadata!J526))),metadata!J526&gt;0))</f>
        <v>0</v>
      </c>
      <c r="AM526" t="b">
        <f>AND(IF(metadata!K526="",FALSE,TRUE),EXACT(metadata!K526,"missing: not provided"))</f>
        <v>0</v>
      </c>
      <c r="AN526" t="b">
        <f>IF(metadata!L526="",FALSE,TRUE)</f>
        <v>0</v>
      </c>
      <c r="AO526" t="b">
        <f>IF(metadata!M526="",FALSE,TRUE)</f>
        <v>0</v>
      </c>
      <c r="AP526" t="b">
        <f>OR(AND(IF(metadata!N526="",FALSE,TRUE),OR(EXACT(metadata!N526,"not applicable"),EXACT(metadata!N526,"missing: not collected"),EXACT(metadata!N526,"missing: not provided"))),AND(IF(metadata!N526="",FALSE,IF(ISERROR(INT(metadata!N526)),FALSE,INT(metadata!N526)=metadata!N526)),metadata!N526&gt;0))</f>
        <v>0</v>
      </c>
      <c r="AQ526" t="b">
        <f>AND(IF(metadata!O526="",FALSE,TRUE),EXACT(metadata!O526,"Not applicable"))</f>
        <v>0</v>
      </c>
      <c r="AR526" t="b">
        <f>OR(AND(IF(metadata!P526="",FALSE,TRUE),OR(EXACT(metadata!P526,"not applicable"),EXACT(metadata!P526,"missing: not collected"),EXACT(metadata!P526,"missing: not provided"),EXACT(metadata!P526,"missing: restricted access"))),IF(metadata!P526="",FALSE,IF(ISERROR(INT(metadata!P526)),FALSE,INT(metadata!P526)=metadata!P526)))</f>
        <v>0</v>
      </c>
      <c r="AS526" t="b">
        <f>AND(IF(metadata!Q526="",FALSE,TRUE),EXACT(metadata!Q526,"Not applicable"))</f>
        <v>0</v>
      </c>
      <c r="AT526" t="b">
        <f>OR(AND(IF(metadata!R526="",FALSE,TRUE),OR(EXACT(metadata!R526,"not applicable"),EXACT(metadata!R526,"missing: not collected"),EXACT(metadata!R526,"missing: not provided"),EXACT(metadata!R526,"missing: restricted access"))),AND(IF(metadata!R526="",FALSE,ISNUMBER(VALUE(metadata!R526))),metadata!R526&gt;0))</f>
        <v>0</v>
      </c>
      <c r="AU526" t="b">
        <f>AND(IF(metadata!S526="",FALSE,TRUE),EXACT(metadata!S526,"missing: not provided"))</f>
        <v>0</v>
      </c>
    </row>
    <row r="527" spans="1:47" x14ac:dyDescent="0.2">
      <c r="A527" s="5" t="str">
        <f ca="1">IF(B527=" "," ",HYPERLINK(CONCATENATE("#metadata!",ADDRESS(INDEX($Y$2:$Y$1001,MATCH(ROWS($W$2:W527),$W$2:$W$1001,0),0),1)),INDEX($AB$2:$AB$1001,MATCH(ROWS($W$2:W527),$W$2:$W$1001,0),0)))</f>
        <v xml:space="preserve"> </v>
      </c>
      <c r="B527" s="4" t="str">
        <f ca="1">IF(OR(INDEX($X$2:$X$1001,MATCH(ROWS($W$2:W527),$W$2:$W$1001,0),1)&gt;=100000,INDEX($AD$1005:$AU$1005,1,MATCH(COLUMNS($AD$1006:AD1006),$AD$1006:$AU$1006,0))&gt;=100000), " ",IF(INDEX($AD$2:$AU$1001,MATCH(ROWS($W$2:W527),$W$2:$W$1001,0),MATCH(COLUMNS($AD$1006:AD1006),$AD$1006:$AU$1006,0)), HYPERLINK("#",""), HYPERLINK(CONCATENATE("#metadata!", ADDRESS(INDEX($Y$2:$Y$1001,MATCH(ROWS($W$2:W527),$W$2:$W$1001,0),0), INDEX($AD$1004:$AU$1004,1,MATCH(COLUMNS($AD$1006:AD1006),$AD$1006:$AU$1006,0)))),"Fix")))</f>
        <v xml:space="preserve"> </v>
      </c>
      <c r="C527" s="4" t="str">
        <f ca="1">IF(OR(INDEX($X$2:$X$1001,MATCH(ROWS($W$2:W527),$W$2:$W$1001,0),1)&gt;=100000,INDEX($AD$1005:$AU$1005,1,MATCH(COLUMNS($AD$1006:AE1006),$AD$1006:$AU$1006,0))&gt;=100000), " ",IF(INDEX($AD$2:$AU$1001,MATCH(ROWS($W$2:W527),$W$2:$W$1001,0),MATCH(COLUMNS($AD$1006:AE1006),$AD$1006:$AU$1006,0)), HYPERLINK("#",""), HYPERLINK(CONCATENATE("#metadata!", ADDRESS(INDEX($Y$2:$Y$1001,MATCH(ROWS($W$2:W527),$W$2:$W$1001,0),0), INDEX($AD$1004:$AU$1004,1,MATCH(COLUMNS($AD$1006:AE1006),$AD$1006:$AU$1006,0)))),"Fix")))</f>
        <v xml:space="preserve"> </v>
      </c>
      <c r="D527" s="4" t="str">
        <f ca="1">IF(OR(INDEX($X$2:$X$1001,MATCH(ROWS($W$2:W527),$W$2:$W$1001,0),1)&gt;=100000,INDEX($AD$1005:$AU$1005,1,MATCH(COLUMNS($AD$1006:AF1006),$AD$1006:$AU$1006,0))&gt;=100000), " ",IF(INDEX($AD$2:$AU$1001,MATCH(ROWS($W$2:W527),$W$2:$W$1001,0),MATCH(COLUMNS($AD$1006:AF1006),$AD$1006:$AU$1006,0)), HYPERLINK("#",""), HYPERLINK(CONCATENATE("#metadata!", ADDRESS(INDEX($Y$2:$Y$1001,MATCH(ROWS($W$2:W527),$W$2:$W$1001,0),0), INDEX($AD$1004:$AU$1004,1,MATCH(COLUMNS($AD$1006:AF1006),$AD$1006:$AU$1006,0)))),"Fix")))</f>
        <v xml:space="preserve"> </v>
      </c>
      <c r="E527" s="4" t="str">
        <f ca="1">IF(OR(INDEX($X$2:$X$1001,MATCH(ROWS($W$2:W527),$W$2:$W$1001,0),1)&gt;=100000,INDEX($AD$1005:$AU$1005,1,MATCH(COLUMNS($AD$1006:AG1006),$AD$1006:$AU$1006,0))&gt;=100000), " ",IF(INDEX($AD$2:$AU$1001,MATCH(ROWS($W$2:W527),$W$2:$W$1001,0),MATCH(COLUMNS($AD$1006:AG1006),$AD$1006:$AU$1006,0)), HYPERLINK("#",""), HYPERLINK(CONCATENATE("#metadata!", ADDRESS(INDEX($Y$2:$Y$1001,MATCH(ROWS($W$2:W527),$W$2:$W$1001,0),0), INDEX($AD$1004:$AU$1004,1,MATCH(COLUMNS($AD$1006:AG1006),$AD$1006:$AU$1006,0)))),"Fix")))</f>
        <v xml:space="preserve"> </v>
      </c>
      <c r="F527" s="4" t="str">
        <f ca="1">IF(OR(INDEX($X$2:$X$1001,MATCH(ROWS($W$2:W527),$W$2:$W$1001,0),1)&gt;=100000,INDEX($AD$1005:$AU$1005,1,MATCH(COLUMNS($AD$1006:AH1006),$AD$1006:$AU$1006,0))&gt;=100000), " ",IF(INDEX($AD$2:$AU$1001,MATCH(ROWS($W$2:W527),$W$2:$W$1001,0),MATCH(COLUMNS($AD$1006:AH1006),$AD$1006:$AU$1006,0)), HYPERLINK("#",""), HYPERLINK(CONCATENATE("#metadata!", ADDRESS(INDEX($Y$2:$Y$1001,MATCH(ROWS($W$2:W527),$W$2:$W$1001,0),0), INDEX($AD$1004:$AU$1004,1,MATCH(COLUMNS($AD$1006:AH1006),$AD$1006:$AU$1006,0)))),"Fix")))</f>
        <v xml:space="preserve"> </v>
      </c>
      <c r="G527" s="4" t="str">
        <f ca="1">IF(OR(INDEX($X$2:$X$1001,MATCH(ROWS($W$2:W527),$W$2:$W$1001,0),1)&gt;=100000,INDEX($AD$1005:$AU$1005,1,MATCH(COLUMNS($AD$1006:AI1006),$AD$1006:$AU$1006,0))&gt;=100000), " ",IF(INDEX($AD$2:$AU$1001,MATCH(ROWS($W$2:W527),$W$2:$W$1001,0),MATCH(COLUMNS($AD$1006:AI1006),$AD$1006:$AU$1006,0)), HYPERLINK("#",""), HYPERLINK(CONCATENATE("#metadata!", ADDRESS(INDEX($Y$2:$Y$1001,MATCH(ROWS($W$2:W527),$W$2:$W$1001,0),0), INDEX($AD$1004:$AU$1004,1,MATCH(COLUMNS($AD$1006:AI1006),$AD$1006:$AU$1006,0)))),"Fix")))</f>
        <v xml:space="preserve"> </v>
      </c>
      <c r="H527" s="4" t="str">
        <f ca="1">IF(OR(INDEX($X$2:$X$1001,MATCH(ROWS($W$2:W527),$W$2:$W$1001,0),1)&gt;=100000,INDEX($AD$1005:$AU$1005,1,MATCH(COLUMNS($AD$1006:AJ1006),$AD$1006:$AU$1006,0))&gt;=100000), " ",IF(INDEX($AD$2:$AU$1001,MATCH(ROWS($W$2:W527),$W$2:$W$1001,0),MATCH(COLUMNS($AD$1006:AJ1006),$AD$1006:$AU$1006,0)), HYPERLINK("#",""), HYPERLINK(CONCATENATE("#metadata!", ADDRESS(INDEX($Y$2:$Y$1001,MATCH(ROWS($W$2:W527),$W$2:$W$1001,0),0), INDEX($AD$1004:$AU$1004,1,MATCH(COLUMNS($AD$1006:AJ1006),$AD$1006:$AU$1006,0)))),"Fix")))</f>
        <v xml:space="preserve"> </v>
      </c>
      <c r="I527" s="4" t="str">
        <f ca="1">IF(OR(INDEX($X$2:$X$1001,MATCH(ROWS($W$2:W527),$W$2:$W$1001,0),1)&gt;=100000,INDEX($AD$1005:$AU$1005,1,MATCH(COLUMNS($AD$1006:AK1006),$AD$1006:$AU$1006,0))&gt;=100000), " ",IF(INDEX($AD$2:$AU$1001,MATCH(ROWS($W$2:W527),$W$2:$W$1001,0),MATCH(COLUMNS($AD$1006:AK1006),$AD$1006:$AU$1006,0)), HYPERLINK("#",""), HYPERLINK(CONCATENATE("#metadata!", ADDRESS(INDEX($Y$2:$Y$1001,MATCH(ROWS($W$2:W527),$W$2:$W$1001,0),0), INDEX($AD$1004:$AU$1004,1,MATCH(COLUMNS($AD$1006:AK1006),$AD$1006:$AU$1006,0)))),"Fix")))</f>
        <v xml:space="preserve"> </v>
      </c>
      <c r="J527" s="4" t="str">
        <f ca="1">IF(OR(INDEX($X$2:$X$1001,MATCH(ROWS($W$2:W527),$W$2:$W$1001,0),1)&gt;=100000,INDEX($AD$1005:$AU$1005,1,MATCH(COLUMNS($AD$1006:AL1006),$AD$1006:$AU$1006,0))&gt;=100000), " ",IF(INDEX($AD$2:$AU$1001,MATCH(ROWS($W$2:W527),$W$2:$W$1001,0),MATCH(COLUMNS($AD$1006:AL1006),$AD$1006:$AU$1006,0)), HYPERLINK("#",""), HYPERLINK(CONCATENATE("#metadata!", ADDRESS(INDEX($Y$2:$Y$1001,MATCH(ROWS($W$2:W527),$W$2:$W$1001,0),0), INDEX($AD$1004:$AU$1004,1,MATCH(COLUMNS($AD$1006:AL1006),$AD$1006:$AU$1006,0)))),"Fix")))</f>
        <v xml:space="preserve"> </v>
      </c>
      <c r="K527" s="4" t="str">
        <f ca="1">IF(OR(INDEX($X$2:$X$1001,MATCH(ROWS($W$2:W527),$W$2:$W$1001,0),1)&gt;=100000,INDEX($AD$1005:$AU$1005,1,MATCH(COLUMNS($AD$1006:AM1006),$AD$1006:$AU$1006,0))&gt;=100000), " ",IF(INDEX($AD$2:$AU$1001,MATCH(ROWS($W$2:W527),$W$2:$W$1001,0),MATCH(COLUMNS($AD$1006:AM1006),$AD$1006:$AU$1006,0)), HYPERLINK("#",""), HYPERLINK(CONCATENATE("#metadata!", ADDRESS(INDEX($Y$2:$Y$1001,MATCH(ROWS($W$2:W527),$W$2:$W$1001,0),0), INDEX($AD$1004:$AU$1004,1,MATCH(COLUMNS($AD$1006:AM1006),$AD$1006:$AU$1006,0)))),"Fix")))</f>
        <v xml:space="preserve"> </v>
      </c>
      <c r="L527" s="4" t="str">
        <f ca="1">IF(OR(INDEX($X$2:$X$1001,MATCH(ROWS($W$2:W527),$W$2:$W$1001,0),1)&gt;=100000,INDEX($AD$1005:$AU$1005,1,MATCH(COLUMNS($AD$1006:AN1006),$AD$1006:$AU$1006,0))&gt;=100000), " ",IF(INDEX($AD$2:$AU$1001,MATCH(ROWS($W$2:W527),$W$2:$W$1001,0),MATCH(COLUMNS($AD$1006:AN1006),$AD$1006:$AU$1006,0)), HYPERLINK("#",""), HYPERLINK(CONCATENATE("#metadata!", ADDRESS(INDEX($Y$2:$Y$1001,MATCH(ROWS($W$2:W527),$W$2:$W$1001,0),0), INDEX($AD$1004:$AU$1004,1,MATCH(COLUMNS($AD$1006:AN1006),$AD$1006:$AU$1006,0)))),"Fix")))</f>
        <v xml:space="preserve"> </v>
      </c>
      <c r="M527" s="4" t="str">
        <f ca="1">IF(OR(INDEX($X$2:$X$1001,MATCH(ROWS($W$2:W527),$W$2:$W$1001,0),1)&gt;=100000,INDEX($AD$1005:$AU$1005,1,MATCH(COLUMNS($AD$1006:AO1006),$AD$1006:$AU$1006,0))&gt;=100000), " ",IF(INDEX($AD$2:$AU$1001,MATCH(ROWS($W$2:W527),$W$2:$W$1001,0),MATCH(COLUMNS($AD$1006:AO1006),$AD$1006:$AU$1006,0)), HYPERLINK("#",""), HYPERLINK(CONCATENATE("#metadata!", ADDRESS(INDEX($Y$2:$Y$1001,MATCH(ROWS($W$2:W527),$W$2:$W$1001,0),0), INDEX($AD$1004:$AU$1004,1,MATCH(COLUMNS($AD$1006:AO1006),$AD$1006:$AU$1006,0)))),"Fix")))</f>
        <v xml:space="preserve"> </v>
      </c>
      <c r="N527" s="4" t="str">
        <f ca="1">IF(OR(INDEX($X$2:$X$1001,MATCH(ROWS($W$2:W527),$W$2:$W$1001,0),1)&gt;=100000,INDEX($AD$1005:$AU$1005,1,MATCH(COLUMNS($AD$1006:AP1006),$AD$1006:$AU$1006,0))&gt;=100000), " ",IF(INDEX($AD$2:$AU$1001,MATCH(ROWS($W$2:W527),$W$2:$W$1001,0),MATCH(COLUMNS($AD$1006:AP1006),$AD$1006:$AU$1006,0)), HYPERLINK("#",""), HYPERLINK(CONCATENATE("#metadata!", ADDRESS(INDEX($Y$2:$Y$1001,MATCH(ROWS($W$2:W527),$W$2:$W$1001,0),0), INDEX($AD$1004:$AU$1004,1,MATCH(COLUMNS($AD$1006:AP1006),$AD$1006:$AU$1006,0)))),"Fix")))</f>
        <v xml:space="preserve"> </v>
      </c>
      <c r="O527" s="4" t="str">
        <f ca="1">IF(OR(INDEX($X$2:$X$1001,MATCH(ROWS($W$2:W527),$W$2:$W$1001,0),1)&gt;=100000,INDEX($AD$1005:$AU$1005,1,MATCH(COLUMNS($AD$1006:AQ1006),$AD$1006:$AU$1006,0))&gt;=100000), " ",IF(INDEX($AD$2:$AU$1001,MATCH(ROWS($W$2:W527),$W$2:$W$1001,0),MATCH(COLUMNS($AD$1006:AQ1006),$AD$1006:$AU$1006,0)), HYPERLINK("#",""), HYPERLINK(CONCATENATE("#metadata!", ADDRESS(INDEX($Y$2:$Y$1001,MATCH(ROWS($W$2:W527),$W$2:$W$1001,0),0), INDEX($AD$1004:$AU$1004,1,MATCH(COLUMNS($AD$1006:AQ1006),$AD$1006:$AU$1006,0)))),"Fix")))</f>
        <v xml:space="preserve"> </v>
      </c>
      <c r="P527" s="4" t="str">
        <f ca="1">IF(OR(INDEX($X$2:$X$1001,MATCH(ROWS($W$2:W527),$W$2:$W$1001,0),1)&gt;=100000,INDEX($AD$1005:$AU$1005,1,MATCH(COLUMNS($AD$1006:AR1006),$AD$1006:$AU$1006,0))&gt;=100000), " ",IF(INDEX($AD$2:$AU$1001,MATCH(ROWS($W$2:W527),$W$2:$W$1001,0),MATCH(COLUMNS($AD$1006:AR1006),$AD$1006:$AU$1006,0)), HYPERLINK("#",""), HYPERLINK(CONCATENATE("#metadata!", ADDRESS(INDEX($Y$2:$Y$1001,MATCH(ROWS($W$2:W527),$W$2:$W$1001,0),0), INDEX($AD$1004:$AU$1004,1,MATCH(COLUMNS($AD$1006:AR1006),$AD$1006:$AU$1006,0)))),"Fix")))</f>
        <v xml:space="preserve"> </v>
      </c>
      <c r="Q527" s="4" t="str">
        <f ca="1">IF(OR(INDEX($X$2:$X$1001,MATCH(ROWS($W$2:W527),$W$2:$W$1001,0),1)&gt;=100000,INDEX($AD$1005:$AU$1005,1,MATCH(COLUMNS($AD$1006:AS1006),$AD$1006:$AU$1006,0))&gt;=100000), " ",IF(INDEX($AD$2:$AU$1001,MATCH(ROWS($W$2:W527),$W$2:$W$1001,0),MATCH(COLUMNS($AD$1006:AS1006),$AD$1006:$AU$1006,0)), HYPERLINK("#",""), HYPERLINK(CONCATENATE("#metadata!", ADDRESS(INDEX($Y$2:$Y$1001,MATCH(ROWS($W$2:W527),$W$2:$W$1001,0),0), INDEX($AD$1004:$AU$1004,1,MATCH(COLUMNS($AD$1006:AS1006),$AD$1006:$AU$1006,0)))),"Fix")))</f>
        <v xml:space="preserve"> </v>
      </c>
      <c r="R527" s="4" t="str">
        <f ca="1">IF(OR(INDEX($X$2:$X$1001,MATCH(ROWS($W$2:W527),$W$2:$W$1001,0),1)&gt;=100000,INDEX($AD$1005:$AU$1005,1,MATCH(COLUMNS($AD$1006:AT1006),$AD$1006:$AU$1006,0))&gt;=100000), " ",IF(INDEX($AD$2:$AU$1001,MATCH(ROWS($W$2:W527),$W$2:$W$1001,0),MATCH(COLUMNS($AD$1006:AT1006),$AD$1006:$AU$1006,0)), HYPERLINK("#",""), HYPERLINK(CONCATENATE("#metadata!", ADDRESS(INDEX($Y$2:$Y$1001,MATCH(ROWS($W$2:W527),$W$2:$W$1001,0),0), INDEX($AD$1004:$AU$1004,1,MATCH(COLUMNS($AD$1006:AT1006),$AD$1006:$AU$1006,0)))),"Fix")))</f>
        <v xml:space="preserve"> </v>
      </c>
      <c r="S527" s="4" t="str">
        <f ca="1">IF(OR(INDEX($X$2:$X$1001,MATCH(ROWS($W$2:W527),$W$2:$W$1001,0),1)&gt;=100000,INDEX($AD$1005:$AU$1005,1,MATCH(COLUMNS($AD$1006:AU1006),$AD$1006:$AU$1006,0))&gt;=100000), " ",IF(INDEX($AD$2:$AU$1001,MATCH(ROWS($W$2:W527),$W$2:$W$1001,0),MATCH(COLUMNS($AD$1006:AU1006),$AD$1006:$AU$1006,0)), HYPERLINK("#",""), HYPERLINK(CONCATENATE("#metadata!", ADDRESS(INDEX($Y$2:$Y$1001,MATCH(ROWS($W$2:W527),$W$2:$W$1001,0),0), INDEX($AD$1004:$AU$1004,1,MATCH(COLUMNS($AD$1006:AU1006),$AD$1006:$AU$1006,0)))),"Fix")))</f>
        <v xml:space="preserve"> </v>
      </c>
      <c r="W527">
        <v>526</v>
      </c>
      <c r="X527">
        <v>100527</v>
      </c>
      <c r="Y527">
        <v>527</v>
      </c>
      <c r="Z527" t="b">
        <f t="shared" si="8"/>
        <v>1</v>
      </c>
      <c r="AA527" t="b">
        <f>COUNTBLANK(metadata!B527:S527)=COLUMNS(metadata!B527:S527)</f>
        <v>1</v>
      </c>
      <c r="AB527" t="str">
        <v/>
      </c>
      <c r="AD527" t="b">
        <f ca="1">AND(IF(metadata!B527="",FALSE,TRUE),COUNTIF(metadata!B:B, metadata!B527) = 1,NOT(ISERROR(SUMPRODUCT(SEARCH(MID(metadata!B527,ROW(INDIRECT("1:"&amp;LEN(metadata!B527))), 1),"0123456789abcdefghijklmnopqrstuvwxyzABCDEFGHIJKLMNOPQRSTUVWXYZ.")))))</f>
        <v>0</v>
      </c>
      <c r="AE527" t="b">
        <f>OR(AND(IF(metadata!C527="",FALSE,TRUE),OR(EXACT(metadata!C527,"not applicable"),EXACT(metadata!C527,"missing: not collected"),EXACT(metadata!C527,"missing: not provided"),EXACT(metadata!C527,"missing: restricted access"))),AND(IF(metadata!C527="",FALSE,ISNUMBER(VALUE(metadata!C527))),metadata!C527&gt;0))</f>
        <v>0</v>
      </c>
      <c r="AF527" t="b">
        <f>AND(IF(metadata!D527="",FALSE,TRUE),EXACT(metadata!D527,"missing: not provided"))</f>
        <v>0</v>
      </c>
      <c r="AG527" t="b">
        <f>AND(IF(metadata!E527="",FALSE,TRUE),EXACT(metadata!E527,"Host-associated"))</f>
        <v>0</v>
      </c>
      <c r="AH527" t="b">
        <f>AND(IF(metadata!F527="",FALSE,TRUE),OR(EXACT(metadata!F527,"Animal"),EXACT(metadata!F527,"Fungus"),EXACT(metadata!F527,"Plant")))</f>
        <v>0</v>
      </c>
      <c r="AI527" t="b">
        <f>AND(IF(metadata!G527="",FALSE,TRUE),OR(EXACT(metadata!G527,"Plant secretion"),EXACT(metadata!G527,"Plant rhizosphere"),EXACT(metadata!G527,"Plant surface"),EXACT(metadata!G527,"Plant corpus"),EXACT(metadata!G527,"Fungus surface"),EXACT(metadata!G527,"Fungus corpus"),EXACT(metadata!G527,"Animal surface"),EXACT(metadata!G527,"Animal proximal gut"),EXACT(metadata!G527,"Animal corpus"),EXACT(metadata!G527,"Animal distal gut"),EXACT(metadata!G527,"Animal secretion")))</f>
        <v>0</v>
      </c>
      <c r="AJ527" t="b">
        <f>OR(AND(IF(metadata!H527="",FALSE,TRUE),OR(EXACT(metadata!H527,"missing: not collected"),EXACT(metadata!H527,"missing: not provided"),EXACT(metadata!H527,"missing: restricted access"))),AND(IF(metadata!H527="",FALSE,TRUE),OR(EXACT(metadata!H527,"organism-associated habitat"),EXACT(metadata!H527,"plant-associated habitat"),EXACT(metadata!H527,"animal-associated habitat"),EXACT(metadata!H527,"insecta-associated habitat"),EXACT(metadata!H527,"mammalia-associated habitat"),EXACT(metadata!H527,"human-associated habitat"),EXACT(metadata!H527,"livestock-associated habitat"))))</f>
        <v>0</v>
      </c>
      <c r="AK527" t="b">
        <f>AND(IF(metadata!I527="",FALSE,TRUE),EXACT(metadata!I527,"host-associated"))</f>
        <v>0</v>
      </c>
      <c r="AL527" t="b">
        <f>OR(AND(IF(metadata!J527="",FALSE,TRUE),OR(EXACT(metadata!J527,"not applicable"),EXACT(metadata!J527,"missing: not collected"),EXACT(metadata!J527,"missing: not provided"),EXACT(metadata!J527,"missing: restricted access"))),AND(IF(metadata!J527="",FALSE,ISNUMBER(VALUE(metadata!J527))),metadata!J527&gt;0))</f>
        <v>0</v>
      </c>
      <c r="AM527" t="b">
        <f>AND(IF(metadata!K527="",FALSE,TRUE),EXACT(metadata!K527,"missing: not provided"))</f>
        <v>0</v>
      </c>
      <c r="AN527" t="b">
        <f>IF(metadata!L527="",FALSE,TRUE)</f>
        <v>0</v>
      </c>
      <c r="AO527" t="b">
        <f>IF(metadata!M527="",FALSE,TRUE)</f>
        <v>0</v>
      </c>
      <c r="AP527" t="b">
        <f>OR(AND(IF(metadata!N527="",FALSE,TRUE),OR(EXACT(metadata!N527,"not applicable"),EXACT(metadata!N527,"missing: not collected"),EXACT(metadata!N527,"missing: not provided"))),AND(IF(metadata!N527="",FALSE,IF(ISERROR(INT(metadata!N527)),FALSE,INT(metadata!N527)=metadata!N527)),metadata!N527&gt;0))</f>
        <v>0</v>
      </c>
      <c r="AQ527" t="b">
        <f>AND(IF(metadata!O527="",FALSE,TRUE),EXACT(metadata!O527,"Not applicable"))</f>
        <v>0</v>
      </c>
      <c r="AR527" t="b">
        <f>OR(AND(IF(metadata!P527="",FALSE,TRUE),OR(EXACT(metadata!P527,"not applicable"),EXACT(metadata!P527,"missing: not collected"),EXACT(metadata!P527,"missing: not provided"),EXACT(metadata!P527,"missing: restricted access"))),IF(metadata!P527="",FALSE,IF(ISERROR(INT(metadata!P527)),FALSE,INT(metadata!P527)=metadata!P527)))</f>
        <v>0</v>
      </c>
      <c r="AS527" t="b">
        <f>AND(IF(metadata!Q527="",FALSE,TRUE),EXACT(metadata!Q527,"Not applicable"))</f>
        <v>0</v>
      </c>
      <c r="AT527" t="b">
        <f>OR(AND(IF(metadata!R527="",FALSE,TRUE),OR(EXACT(metadata!R527,"not applicable"),EXACT(metadata!R527,"missing: not collected"),EXACT(metadata!R527,"missing: not provided"),EXACT(metadata!R527,"missing: restricted access"))),AND(IF(metadata!R527="",FALSE,ISNUMBER(VALUE(metadata!R527))),metadata!R527&gt;0))</f>
        <v>0</v>
      </c>
      <c r="AU527" t="b">
        <f>AND(IF(metadata!S527="",FALSE,TRUE),EXACT(metadata!S527,"missing: not provided"))</f>
        <v>0</v>
      </c>
    </row>
    <row r="528" spans="1:47" x14ac:dyDescent="0.2">
      <c r="A528" s="5" t="str">
        <f ca="1">IF(B528=" "," ",HYPERLINK(CONCATENATE("#metadata!",ADDRESS(INDEX($Y$2:$Y$1001,MATCH(ROWS($W$2:W528),$W$2:$W$1001,0),0),1)),INDEX($AB$2:$AB$1001,MATCH(ROWS($W$2:W528),$W$2:$W$1001,0),0)))</f>
        <v xml:space="preserve"> </v>
      </c>
      <c r="B528" s="4" t="str">
        <f ca="1">IF(OR(INDEX($X$2:$X$1001,MATCH(ROWS($W$2:W528),$W$2:$W$1001,0),1)&gt;=100000,INDEX($AD$1005:$AU$1005,1,MATCH(COLUMNS($AD$1006:AD1006),$AD$1006:$AU$1006,0))&gt;=100000), " ",IF(INDEX($AD$2:$AU$1001,MATCH(ROWS($W$2:W528),$W$2:$W$1001,0),MATCH(COLUMNS($AD$1006:AD1006),$AD$1006:$AU$1006,0)), HYPERLINK("#",""), HYPERLINK(CONCATENATE("#metadata!", ADDRESS(INDEX($Y$2:$Y$1001,MATCH(ROWS($W$2:W528),$W$2:$W$1001,0),0), INDEX($AD$1004:$AU$1004,1,MATCH(COLUMNS($AD$1006:AD1006),$AD$1006:$AU$1006,0)))),"Fix")))</f>
        <v xml:space="preserve"> </v>
      </c>
      <c r="C528" s="4" t="str">
        <f ca="1">IF(OR(INDEX($X$2:$X$1001,MATCH(ROWS($W$2:W528),$W$2:$W$1001,0),1)&gt;=100000,INDEX($AD$1005:$AU$1005,1,MATCH(COLUMNS($AD$1006:AE1006),$AD$1006:$AU$1006,0))&gt;=100000), " ",IF(INDEX($AD$2:$AU$1001,MATCH(ROWS($W$2:W528),$W$2:$W$1001,0),MATCH(COLUMNS($AD$1006:AE1006),$AD$1006:$AU$1006,0)), HYPERLINK("#",""), HYPERLINK(CONCATENATE("#metadata!", ADDRESS(INDEX($Y$2:$Y$1001,MATCH(ROWS($W$2:W528),$W$2:$W$1001,0),0), INDEX($AD$1004:$AU$1004,1,MATCH(COLUMNS($AD$1006:AE1006),$AD$1006:$AU$1006,0)))),"Fix")))</f>
        <v xml:space="preserve"> </v>
      </c>
      <c r="D528" s="4" t="str">
        <f ca="1">IF(OR(INDEX($X$2:$X$1001,MATCH(ROWS($W$2:W528),$W$2:$W$1001,0),1)&gt;=100000,INDEX($AD$1005:$AU$1005,1,MATCH(COLUMNS($AD$1006:AF1006),$AD$1006:$AU$1006,0))&gt;=100000), " ",IF(INDEX($AD$2:$AU$1001,MATCH(ROWS($W$2:W528),$W$2:$W$1001,0),MATCH(COLUMNS($AD$1006:AF1006),$AD$1006:$AU$1006,0)), HYPERLINK("#",""), HYPERLINK(CONCATENATE("#metadata!", ADDRESS(INDEX($Y$2:$Y$1001,MATCH(ROWS($W$2:W528),$W$2:$W$1001,0),0), INDEX($AD$1004:$AU$1004,1,MATCH(COLUMNS($AD$1006:AF1006),$AD$1006:$AU$1006,0)))),"Fix")))</f>
        <v xml:space="preserve"> </v>
      </c>
      <c r="E528" s="4" t="str">
        <f ca="1">IF(OR(INDEX($X$2:$X$1001,MATCH(ROWS($W$2:W528),$W$2:$W$1001,0),1)&gt;=100000,INDEX($AD$1005:$AU$1005,1,MATCH(COLUMNS($AD$1006:AG1006),$AD$1006:$AU$1006,0))&gt;=100000), " ",IF(INDEX($AD$2:$AU$1001,MATCH(ROWS($W$2:W528),$W$2:$W$1001,0),MATCH(COLUMNS($AD$1006:AG1006),$AD$1006:$AU$1006,0)), HYPERLINK("#",""), HYPERLINK(CONCATENATE("#metadata!", ADDRESS(INDEX($Y$2:$Y$1001,MATCH(ROWS($W$2:W528),$W$2:$W$1001,0),0), INDEX($AD$1004:$AU$1004,1,MATCH(COLUMNS($AD$1006:AG1006),$AD$1006:$AU$1006,0)))),"Fix")))</f>
        <v xml:space="preserve"> </v>
      </c>
      <c r="F528" s="4" t="str">
        <f ca="1">IF(OR(INDEX($X$2:$X$1001,MATCH(ROWS($W$2:W528),$W$2:$W$1001,0),1)&gt;=100000,INDEX($AD$1005:$AU$1005,1,MATCH(COLUMNS($AD$1006:AH1006),$AD$1006:$AU$1006,0))&gt;=100000), " ",IF(INDEX($AD$2:$AU$1001,MATCH(ROWS($W$2:W528),$W$2:$W$1001,0),MATCH(COLUMNS($AD$1006:AH1006),$AD$1006:$AU$1006,0)), HYPERLINK("#",""), HYPERLINK(CONCATENATE("#metadata!", ADDRESS(INDEX($Y$2:$Y$1001,MATCH(ROWS($W$2:W528),$W$2:$W$1001,0),0), INDEX($AD$1004:$AU$1004,1,MATCH(COLUMNS($AD$1006:AH1006),$AD$1006:$AU$1006,0)))),"Fix")))</f>
        <v xml:space="preserve"> </v>
      </c>
      <c r="G528" s="4" t="str">
        <f ca="1">IF(OR(INDEX($X$2:$X$1001,MATCH(ROWS($W$2:W528),$W$2:$W$1001,0),1)&gt;=100000,INDEX($AD$1005:$AU$1005,1,MATCH(COLUMNS($AD$1006:AI1006),$AD$1006:$AU$1006,0))&gt;=100000), " ",IF(INDEX($AD$2:$AU$1001,MATCH(ROWS($W$2:W528),$W$2:$W$1001,0),MATCH(COLUMNS($AD$1006:AI1006),$AD$1006:$AU$1006,0)), HYPERLINK("#",""), HYPERLINK(CONCATENATE("#metadata!", ADDRESS(INDEX($Y$2:$Y$1001,MATCH(ROWS($W$2:W528),$W$2:$W$1001,0),0), INDEX($AD$1004:$AU$1004,1,MATCH(COLUMNS($AD$1006:AI1006),$AD$1006:$AU$1006,0)))),"Fix")))</f>
        <v xml:space="preserve"> </v>
      </c>
      <c r="H528" s="4" t="str">
        <f ca="1">IF(OR(INDEX($X$2:$X$1001,MATCH(ROWS($W$2:W528),$W$2:$W$1001,0),1)&gt;=100000,INDEX($AD$1005:$AU$1005,1,MATCH(COLUMNS($AD$1006:AJ1006),$AD$1006:$AU$1006,0))&gt;=100000), " ",IF(INDEX($AD$2:$AU$1001,MATCH(ROWS($W$2:W528),$W$2:$W$1001,0),MATCH(COLUMNS($AD$1006:AJ1006),$AD$1006:$AU$1006,0)), HYPERLINK("#",""), HYPERLINK(CONCATENATE("#metadata!", ADDRESS(INDEX($Y$2:$Y$1001,MATCH(ROWS($W$2:W528),$W$2:$W$1001,0),0), INDEX($AD$1004:$AU$1004,1,MATCH(COLUMNS($AD$1006:AJ1006),$AD$1006:$AU$1006,0)))),"Fix")))</f>
        <v xml:space="preserve"> </v>
      </c>
      <c r="I528" s="4" t="str">
        <f ca="1">IF(OR(INDEX($X$2:$X$1001,MATCH(ROWS($W$2:W528),$W$2:$W$1001,0),1)&gt;=100000,INDEX($AD$1005:$AU$1005,1,MATCH(COLUMNS($AD$1006:AK1006),$AD$1006:$AU$1006,0))&gt;=100000), " ",IF(INDEX($AD$2:$AU$1001,MATCH(ROWS($W$2:W528),$W$2:$W$1001,0),MATCH(COLUMNS($AD$1006:AK1006),$AD$1006:$AU$1006,0)), HYPERLINK("#",""), HYPERLINK(CONCATENATE("#metadata!", ADDRESS(INDEX($Y$2:$Y$1001,MATCH(ROWS($W$2:W528),$W$2:$W$1001,0),0), INDEX($AD$1004:$AU$1004,1,MATCH(COLUMNS($AD$1006:AK1006),$AD$1006:$AU$1006,0)))),"Fix")))</f>
        <v xml:space="preserve"> </v>
      </c>
      <c r="J528" s="4" t="str">
        <f ca="1">IF(OR(INDEX($X$2:$X$1001,MATCH(ROWS($W$2:W528),$W$2:$W$1001,0),1)&gt;=100000,INDEX($AD$1005:$AU$1005,1,MATCH(COLUMNS($AD$1006:AL1006),$AD$1006:$AU$1006,0))&gt;=100000), " ",IF(INDEX($AD$2:$AU$1001,MATCH(ROWS($W$2:W528),$W$2:$W$1001,0),MATCH(COLUMNS($AD$1006:AL1006),$AD$1006:$AU$1006,0)), HYPERLINK("#",""), HYPERLINK(CONCATENATE("#metadata!", ADDRESS(INDEX($Y$2:$Y$1001,MATCH(ROWS($W$2:W528),$W$2:$W$1001,0),0), INDEX($AD$1004:$AU$1004,1,MATCH(COLUMNS($AD$1006:AL1006),$AD$1006:$AU$1006,0)))),"Fix")))</f>
        <v xml:space="preserve"> </v>
      </c>
      <c r="K528" s="4" t="str">
        <f ca="1">IF(OR(INDEX($X$2:$X$1001,MATCH(ROWS($W$2:W528),$W$2:$W$1001,0),1)&gt;=100000,INDEX($AD$1005:$AU$1005,1,MATCH(COLUMNS($AD$1006:AM1006),$AD$1006:$AU$1006,0))&gt;=100000), " ",IF(INDEX($AD$2:$AU$1001,MATCH(ROWS($W$2:W528),$W$2:$W$1001,0),MATCH(COLUMNS($AD$1006:AM1006),$AD$1006:$AU$1006,0)), HYPERLINK("#",""), HYPERLINK(CONCATENATE("#metadata!", ADDRESS(INDEX($Y$2:$Y$1001,MATCH(ROWS($W$2:W528),$W$2:$W$1001,0),0), INDEX($AD$1004:$AU$1004,1,MATCH(COLUMNS($AD$1006:AM1006),$AD$1006:$AU$1006,0)))),"Fix")))</f>
        <v xml:space="preserve"> </v>
      </c>
      <c r="L528" s="4" t="str">
        <f ca="1">IF(OR(INDEX($X$2:$X$1001,MATCH(ROWS($W$2:W528),$W$2:$W$1001,0),1)&gt;=100000,INDEX($AD$1005:$AU$1005,1,MATCH(COLUMNS($AD$1006:AN1006),$AD$1006:$AU$1006,0))&gt;=100000), " ",IF(INDEX($AD$2:$AU$1001,MATCH(ROWS($W$2:W528),$W$2:$W$1001,0),MATCH(COLUMNS($AD$1006:AN1006),$AD$1006:$AU$1006,0)), HYPERLINK("#",""), HYPERLINK(CONCATENATE("#metadata!", ADDRESS(INDEX($Y$2:$Y$1001,MATCH(ROWS($W$2:W528),$W$2:$W$1001,0),0), INDEX($AD$1004:$AU$1004,1,MATCH(COLUMNS($AD$1006:AN1006),$AD$1006:$AU$1006,0)))),"Fix")))</f>
        <v xml:space="preserve"> </v>
      </c>
      <c r="M528" s="4" t="str">
        <f ca="1">IF(OR(INDEX($X$2:$X$1001,MATCH(ROWS($W$2:W528),$W$2:$W$1001,0),1)&gt;=100000,INDEX($AD$1005:$AU$1005,1,MATCH(COLUMNS($AD$1006:AO1006),$AD$1006:$AU$1006,0))&gt;=100000), " ",IF(INDEX($AD$2:$AU$1001,MATCH(ROWS($W$2:W528),$W$2:$W$1001,0),MATCH(COLUMNS($AD$1006:AO1006),$AD$1006:$AU$1006,0)), HYPERLINK("#",""), HYPERLINK(CONCATENATE("#metadata!", ADDRESS(INDEX($Y$2:$Y$1001,MATCH(ROWS($W$2:W528),$W$2:$W$1001,0),0), INDEX($AD$1004:$AU$1004,1,MATCH(COLUMNS($AD$1006:AO1006),$AD$1006:$AU$1006,0)))),"Fix")))</f>
        <v xml:space="preserve"> </v>
      </c>
      <c r="N528" s="4" t="str">
        <f ca="1">IF(OR(INDEX($X$2:$X$1001,MATCH(ROWS($W$2:W528),$W$2:$W$1001,0),1)&gt;=100000,INDEX($AD$1005:$AU$1005,1,MATCH(COLUMNS($AD$1006:AP1006),$AD$1006:$AU$1006,0))&gt;=100000), " ",IF(INDEX($AD$2:$AU$1001,MATCH(ROWS($W$2:W528),$W$2:$W$1001,0),MATCH(COLUMNS($AD$1006:AP1006),$AD$1006:$AU$1006,0)), HYPERLINK("#",""), HYPERLINK(CONCATENATE("#metadata!", ADDRESS(INDEX($Y$2:$Y$1001,MATCH(ROWS($W$2:W528),$W$2:$W$1001,0),0), INDEX($AD$1004:$AU$1004,1,MATCH(COLUMNS($AD$1006:AP1006),$AD$1006:$AU$1006,0)))),"Fix")))</f>
        <v xml:space="preserve"> </v>
      </c>
      <c r="O528" s="4" t="str">
        <f ca="1">IF(OR(INDEX($X$2:$X$1001,MATCH(ROWS($W$2:W528),$W$2:$W$1001,0),1)&gt;=100000,INDEX($AD$1005:$AU$1005,1,MATCH(COLUMNS($AD$1006:AQ1006),$AD$1006:$AU$1006,0))&gt;=100000), " ",IF(INDEX($AD$2:$AU$1001,MATCH(ROWS($W$2:W528),$W$2:$W$1001,0),MATCH(COLUMNS($AD$1006:AQ1006),$AD$1006:$AU$1006,0)), HYPERLINK("#",""), HYPERLINK(CONCATENATE("#metadata!", ADDRESS(INDEX($Y$2:$Y$1001,MATCH(ROWS($W$2:W528),$W$2:$W$1001,0),0), INDEX($AD$1004:$AU$1004,1,MATCH(COLUMNS($AD$1006:AQ1006),$AD$1006:$AU$1006,0)))),"Fix")))</f>
        <v xml:space="preserve"> </v>
      </c>
      <c r="P528" s="4" t="str">
        <f ca="1">IF(OR(INDEX($X$2:$X$1001,MATCH(ROWS($W$2:W528),$W$2:$W$1001,0),1)&gt;=100000,INDEX($AD$1005:$AU$1005,1,MATCH(COLUMNS($AD$1006:AR1006),$AD$1006:$AU$1006,0))&gt;=100000), " ",IF(INDEX($AD$2:$AU$1001,MATCH(ROWS($W$2:W528),$W$2:$W$1001,0),MATCH(COLUMNS($AD$1006:AR1006),$AD$1006:$AU$1006,0)), HYPERLINK("#",""), HYPERLINK(CONCATENATE("#metadata!", ADDRESS(INDEX($Y$2:$Y$1001,MATCH(ROWS($W$2:W528),$W$2:$W$1001,0),0), INDEX($AD$1004:$AU$1004,1,MATCH(COLUMNS($AD$1006:AR1006),$AD$1006:$AU$1006,0)))),"Fix")))</f>
        <v xml:space="preserve"> </v>
      </c>
      <c r="Q528" s="4" t="str">
        <f ca="1">IF(OR(INDEX($X$2:$X$1001,MATCH(ROWS($W$2:W528),$W$2:$W$1001,0),1)&gt;=100000,INDEX($AD$1005:$AU$1005,1,MATCH(COLUMNS($AD$1006:AS1006),$AD$1006:$AU$1006,0))&gt;=100000), " ",IF(INDEX($AD$2:$AU$1001,MATCH(ROWS($W$2:W528),$W$2:$W$1001,0),MATCH(COLUMNS($AD$1006:AS1006),$AD$1006:$AU$1006,0)), HYPERLINK("#",""), HYPERLINK(CONCATENATE("#metadata!", ADDRESS(INDEX($Y$2:$Y$1001,MATCH(ROWS($W$2:W528),$W$2:$W$1001,0),0), INDEX($AD$1004:$AU$1004,1,MATCH(COLUMNS($AD$1006:AS1006),$AD$1006:$AU$1006,0)))),"Fix")))</f>
        <v xml:space="preserve"> </v>
      </c>
      <c r="R528" s="4" t="str">
        <f ca="1">IF(OR(INDEX($X$2:$X$1001,MATCH(ROWS($W$2:W528),$W$2:$W$1001,0),1)&gt;=100000,INDEX($AD$1005:$AU$1005,1,MATCH(COLUMNS($AD$1006:AT1006),$AD$1006:$AU$1006,0))&gt;=100000), " ",IF(INDEX($AD$2:$AU$1001,MATCH(ROWS($W$2:W528),$W$2:$W$1001,0),MATCH(COLUMNS($AD$1006:AT1006),$AD$1006:$AU$1006,0)), HYPERLINK("#",""), HYPERLINK(CONCATENATE("#metadata!", ADDRESS(INDEX($Y$2:$Y$1001,MATCH(ROWS($W$2:W528),$W$2:$W$1001,0),0), INDEX($AD$1004:$AU$1004,1,MATCH(COLUMNS($AD$1006:AT1006),$AD$1006:$AU$1006,0)))),"Fix")))</f>
        <v xml:space="preserve"> </v>
      </c>
      <c r="S528" s="4" t="str">
        <f ca="1">IF(OR(INDEX($X$2:$X$1001,MATCH(ROWS($W$2:W528),$W$2:$W$1001,0),1)&gt;=100000,INDEX($AD$1005:$AU$1005,1,MATCH(COLUMNS($AD$1006:AU1006),$AD$1006:$AU$1006,0))&gt;=100000), " ",IF(INDEX($AD$2:$AU$1001,MATCH(ROWS($W$2:W528),$W$2:$W$1001,0),MATCH(COLUMNS($AD$1006:AU1006),$AD$1006:$AU$1006,0)), HYPERLINK("#",""), HYPERLINK(CONCATENATE("#metadata!", ADDRESS(INDEX($Y$2:$Y$1001,MATCH(ROWS($W$2:W528),$W$2:$W$1001,0),0), INDEX($AD$1004:$AU$1004,1,MATCH(COLUMNS($AD$1006:AU1006),$AD$1006:$AU$1006,0)))),"Fix")))</f>
        <v xml:space="preserve"> </v>
      </c>
      <c r="W528">
        <v>527</v>
      </c>
      <c r="X528">
        <v>100528</v>
      </c>
      <c r="Y528">
        <v>528</v>
      </c>
      <c r="Z528" t="b">
        <f t="shared" si="8"/>
        <v>1</v>
      </c>
      <c r="AA528" t="b">
        <f>COUNTBLANK(metadata!B528:S528)=COLUMNS(metadata!B528:S528)</f>
        <v>1</v>
      </c>
      <c r="AB528" t="str">
        <v/>
      </c>
      <c r="AD528" t="b">
        <f ca="1">AND(IF(metadata!B528="",FALSE,TRUE),COUNTIF(metadata!B:B, metadata!B528) = 1,NOT(ISERROR(SUMPRODUCT(SEARCH(MID(metadata!B528,ROW(INDIRECT("1:"&amp;LEN(metadata!B528))), 1),"0123456789abcdefghijklmnopqrstuvwxyzABCDEFGHIJKLMNOPQRSTUVWXYZ.")))))</f>
        <v>0</v>
      </c>
      <c r="AE528" t="b">
        <f>OR(AND(IF(metadata!C528="",FALSE,TRUE),OR(EXACT(metadata!C528,"not applicable"),EXACT(metadata!C528,"missing: not collected"),EXACT(metadata!C528,"missing: not provided"),EXACT(metadata!C528,"missing: restricted access"))),AND(IF(metadata!C528="",FALSE,ISNUMBER(VALUE(metadata!C528))),metadata!C528&gt;0))</f>
        <v>0</v>
      </c>
      <c r="AF528" t="b">
        <f>AND(IF(metadata!D528="",FALSE,TRUE),EXACT(metadata!D528,"missing: not provided"))</f>
        <v>0</v>
      </c>
      <c r="AG528" t="b">
        <f>AND(IF(metadata!E528="",FALSE,TRUE),EXACT(metadata!E528,"Host-associated"))</f>
        <v>0</v>
      </c>
      <c r="AH528" t="b">
        <f>AND(IF(metadata!F528="",FALSE,TRUE),OR(EXACT(metadata!F528,"Animal"),EXACT(metadata!F528,"Fungus"),EXACT(metadata!F528,"Plant")))</f>
        <v>0</v>
      </c>
      <c r="AI528" t="b">
        <f>AND(IF(metadata!G528="",FALSE,TRUE),OR(EXACT(metadata!G528,"Plant secretion"),EXACT(metadata!G528,"Plant rhizosphere"),EXACT(metadata!G528,"Plant surface"),EXACT(metadata!G528,"Plant corpus"),EXACT(metadata!G528,"Fungus surface"),EXACT(metadata!G528,"Fungus corpus"),EXACT(metadata!G528,"Animal surface"),EXACT(metadata!G528,"Animal proximal gut"),EXACT(metadata!G528,"Animal corpus"),EXACT(metadata!G528,"Animal distal gut"),EXACT(metadata!G528,"Animal secretion")))</f>
        <v>0</v>
      </c>
      <c r="AJ528" t="b">
        <f>OR(AND(IF(metadata!H528="",FALSE,TRUE),OR(EXACT(metadata!H528,"missing: not collected"),EXACT(metadata!H528,"missing: not provided"),EXACT(metadata!H528,"missing: restricted access"))),AND(IF(metadata!H528="",FALSE,TRUE),OR(EXACT(metadata!H528,"organism-associated habitat"),EXACT(metadata!H528,"plant-associated habitat"),EXACT(metadata!H528,"animal-associated habitat"),EXACT(metadata!H528,"insecta-associated habitat"),EXACT(metadata!H528,"mammalia-associated habitat"),EXACT(metadata!H528,"human-associated habitat"),EXACT(metadata!H528,"livestock-associated habitat"))))</f>
        <v>0</v>
      </c>
      <c r="AK528" t="b">
        <f>AND(IF(metadata!I528="",FALSE,TRUE),EXACT(metadata!I528,"host-associated"))</f>
        <v>0</v>
      </c>
      <c r="AL528" t="b">
        <f>OR(AND(IF(metadata!J528="",FALSE,TRUE),OR(EXACT(metadata!J528,"not applicable"),EXACT(metadata!J528,"missing: not collected"),EXACT(metadata!J528,"missing: not provided"),EXACT(metadata!J528,"missing: restricted access"))),AND(IF(metadata!J528="",FALSE,ISNUMBER(VALUE(metadata!J528))),metadata!J528&gt;0))</f>
        <v>0</v>
      </c>
      <c r="AM528" t="b">
        <f>AND(IF(metadata!K528="",FALSE,TRUE),EXACT(metadata!K528,"missing: not provided"))</f>
        <v>0</v>
      </c>
      <c r="AN528" t="b">
        <f>IF(metadata!L528="",FALSE,TRUE)</f>
        <v>0</v>
      </c>
      <c r="AO528" t="b">
        <f>IF(metadata!M528="",FALSE,TRUE)</f>
        <v>0</v>
      </c>
      <c r="AP528" t="b">
        <f>OR(AND(IF(metadata!N528="",FALSE,TRUE),OR(EXACT(metadata!N528,"not applicable"),EXACT(metadata!N528,"missing: not collected"),EXACT(metadata!N528,"missing: not provided"))),AND(IF(metadata!N528="",FALSE,IF(ISERROR(INT(metadata!N528)),FALSE,INT(metadata!N528)=metadata!N528)),metadata!N528&gt;0))</f>
        <v>0</v>
      </c>
      <c r="AQ528" t="b">
        <f>AND(IF(metadata!O528="",FALSE,TRUE),EXACT(metadata!O528,"Not applicable"))</f>
        <v>0</v>
      </c>
      <c r="AR528" t="b">
        <f>OR(AND(IF(metadata!P528="",FALSE,TRUE),OR(EXACT(metadata!P528,"not applicable"),EXACT(metadata!P528,"missing: not collected"),EXACT(metadata!P528,"missing: not provided"),EXACT(metadata!P528,"missing: restricted access"))),IF(metadata!P528="",FALSE,IF(ISERROR(INT(metadata!P528)),FALSE,INT(metadata!P528)=metadata!P528)))</f>
        <v>0</v>
      </c>
      <c r="AS528" t="b">
        <f>AND(IF(metadata!Q528="",FALSE,TRUE),EXACT(metadata!Q528,"Not applicable"))</f>
        <v>0</v>
      </c>
      <c r="AT528" t="b">
        <f>OR(AND(IF(metadata!R528="",FALSE,TRUE),OR(EXACT(metadata!R528,"not applicable"),EXACT(metadata!R528,"missing: not collected"),EXACT(metadata!R528,"missing: not provided"),EXACT(metadata!R528,"missing: restricted access"))),AND(IF(metadata!R528="",FALSE,ISNUMBER(VALUE(metadata!R528))),metadata!R528&gt;0))</f>
        <v>0</v>
      </c>
      <c r="AU528" t="b">
        <f>AND(IF(metadata!S528="",FALSE,TRUE),EXACT(metadata!S528,"missing: not provided"))</f>
        <v>0</v>
      </c>
    </row>
    <row r="529" spans="1:47" x14ac:dyDescent="0.2">
      <c r="A529" s="5" t="str">
        <f ca="1">IF(B529=" "," ",HYPERLINK(CONCATENATE("#metadata!",ADDRESS(INDEX($Y$2:$Y$1001,MATCH(ROWS($W$2:W529),$W$2:$W$1001,0),0),1)),INDEX($AB$2:$AB$1001,MATCH(ROWS($W$2:W529),$W$2:$W$1001,0),0)))</f>
        <v xml:space="preserve"> </v>
      </c>
      <c r="B529" s="4" t="str">
        <f ca="1">IF(OR(INDEX($X$2:$X$1001,MATCH(ROWS($W$2:W529),$W$2:$W$1001,0),1)&gt;=100000,INDEX($AD$1005:$AU$1005,1,MATCH(COLUMNS($AD$1006:AD1006),$AD$1006:$AU$1006,0))&gt;=100000), " ",IF(INDEX($AD$2:$AU$1001,MATCH(ROWS($W$2:W529),$W$2:$W$1001,0),MATCH(COLUMNS($AD$1006:AD1006),$AD$1006:$AU$1006,0)), HYPERLINK("#",""), HYPERLINK(CONCATENATE("#metadata!", ADDRESS(INDEX($Y$2:$Y$1001,MATCH(ROWS($W$2:W529),$W$2:$W$1001,0),0), INDEX($AD$1004:$AU$1004,1,MATCH(COLUMNS($AD$1006:AD1006),$AD$1006:$AU$1006,0)))),"Fix")))</f>
        <v xml:space="preserve"> </v>
      </c>
      <c r="C529" s="4" t="str">
        <f ca="1">IF(OR(INDEX($X$2:$X$1001,MATCH(ROWS($W$2:W529),$W$2:$W$1001,0),1)&gt;=100000,INDEX($AD$1005:$AU$1005,1,MATCH(COLUMNS($AD$1006:AE1006),$AD$1006:$AU$1006,0))&gt;=100000), " ",IF(INDEX($AD$2:$AU$1001,MATCH(ROWS($W$2:W529),$W$2:$W$1001,0),MATCH(COLUMNS($AD$1006:AE1006),$AD$1006:$AU$1006,0)), HYPERLINK("#",""), HYPERLINK(CONCATENATE("#metadata!", ADDRESS(INDEX($Y$2:$Y$1001,MATCH(ROWS($W$2:W529),$W$2:$W$1001,0),0), INDEX($AD$1004:$AU$1004,1,MATCH(COLUMNS($AD$1006:AE1006),$AD$1006:$AU$1006,0)))),"Fix")))</f>
        <v xml:space="preserve"> </v>
      </c>
      <c r="D529" s="4" t="str">
        <f ca="1">IF(OR(INDEX($X$2:$X$1001,MATCH(ROWS($W$2:W529),$W$2:$W$1001,0),1)&gt;=100000,INDEX($AD$1005:$AU$1005,1,MATCH(COLUMNS($AD$1006:AF1006),$AD$1006:$AU$1006,0))&gt;=100000), " ",IF(INDEX($AD$2:$AU$1001,MATCH(ROWS($W$2:W529),$W$2:$W$1001,0),MATCH(COLUMNS($AD$1006:AF1006),$AD$1006:$AU$1006,0)), HYPERLINK("#",""), HYPERLINK(CONCATENATE("#metadata!", ADDRESS(INDEX($Y$2:$Y$1001,MATCH(ROWS($W$2:W529),$W$2:$W$1001,0),0), INDEX($AD$1004:$AU$1004,1,MATCH(COLUMNS($AD$1006:AF1006),$AD$1006:$AU$1006,0)))),"Fix")))</f>
        <v xml:space="preserve"> </v>
      </c>
      <c r="E529" s="4" t="str">
        <f ca="1">IF(OR(INDEX($X$2:$X$1001,MATCH(ROWS($W$2:W529),$W$2:$W$1001,0),1)&gt;=100000,INDEX($AD$1005:$AU$1005,1,MATCH(COLUMNS($AD$1006:AG1006),$AD$1006:$AU$1006,0))&gt;=100000), " ",IF(INDEX($AD$2:$AU$1001,MATCH(ROWS($W$2:W529),$W$2:$W$1001,0),MATCH(COLUMNS($AD$1006:AG1006),$AD$1006:$AU$1006,0)), HYPERLINK("#",""), HYPERLINK(CONCATENATE("#metadata!", ADDRESS(INDEX($Y$2:$Y$1001,MATCH(ROWS($W$2:W529),$W$2:$W$1001,0),0), INDEX($AD$1004:$AU$1004,1,MATCH(COLUMNS($AD$1006:AG1006),$AD$1006:$AU$1006,0)))),"Fix")))</f>
        <v xml:space="preserve"> </v>
      </c>
      <c r="F529" s="4" t="str">
        <f ca="1">IF(OR(INDEX($X$2:$X$1001,MATCH(ROWS($W$2:W529),$W$2:$W$1001,0),1)&gt;=100000,INDEX($AD$1005:$AU$1005,1,MATCH(COLUMNS($AD$1006:AH1006),$AD$1006:$AU$1006,0))&gt;=100000), " ",IF(INDEX($AD$2:$AU$1001,MATCH(ROWS($W$2:W529),$W$2:$W$1001,0),MATCH(COLUMNS($AD$1006:AH1006),$AD$1006:$AU$1006,0)), HYPERLINK("#",""), HYPERLINK(CONCATENATE("#metadata!", ADDRESS(INDEX($Y$2:$Y$1001,MATCH(ROWS($W$2:W529),$W$2:$W$1001,0),0), INDEX($AD$1004:$AU$1004,1,MATCH(COLUMNS($AD$1006:AH1006),$AD$1006:$AU$1006,0)))),"Fix")))</f>
        <v xml:space="preserve"> </v>
      </c>
      <c r="G529" s="4" t="str">
        <f ca="1">IF(OR(INDEX($X$2:$X$1001,MATCH(ROWS($W$2:W529),$W$2:$W$1001,0),1)&gt;=100000,INDEX($AD$1005:$AU$1005,1,MATCH(COLUMNS($AD$1006:AI1006),$AD$1006:$AU$1006,0))&gt;=100000), " ",IF(INDEX($AD$2:$AU$1001,MATCH(ROWS($W$2:W529),$W$2:$W$1001,0),MATCH(COLUMNS($AD$1006:AI1006),$AD$1006:$AU$1006,0)), HYPERLINK("#",""), HYPERLINK(CONCATENATE("#metadata!", ADDRESS(INDEX($Y$2:$Y$1001,MATCH(ROWS($W$2:W529),$W$2:$W$1001,0),0), INDEX($AD$1004:$AU$1004,1,MATCH(COLUMNS($AD$1006:AI1006),$AD$1006:$AU$1006,0)))),"Fix")))</f>
        <v xml:space="preserve"> </v>
      </c>
      <c r="H529" s="4" t="str">
        <f ca="1">IF(OR(INDEX($X$2:$X$1001,MATCH(ROWS($W$2:W529),$W$2:$W$1001,0),1)&gt;=100000,INDEX($AD$1005:$AU$1005,1,MATCH(COLUMNS($AD$1006:AJ1006),$AD$1006:$AU$1006,0))&gt;=100000), " ",IF(INDEX($AD$2:$AU$1001,MATCH(ROWS($W$2:W529),$W$2:$W$1001,0),MATCH(COLUMNS($AD$1006:AJ1006),$AD$1006:$AU$1006,0)), HYPERLINK("#",""), HYPERLINK(CONCATENATE("#metadata!", ADDRESS(INDEX($Y$2:$Y$1001,MATCH(ROWS($W$2:W529),$W$2:$W$1001,0),0), INDEX($AD$1004:$AU$1004,1,MATCH(COLUMNS($AD$1006:AJ1006),$AD$1006:$AU$1006,0)))),"Fix")))</f>
        <v xml:space="preserve"> </v>
      </c>
      <c r="I529" s="4" t="str">
        <f ca="1">IF(OR(INDEX($X$2:$X$1001,MATCH(ROWS($W$2:W529),$W$2:$W$1001,0),1)&gt;=100000,INDEX($AD$1005:$AU$1005,1,MATCH(COLUMNS($AD$1006:AK1006),$AD$1006:$AU$1006,0))&gt;=100000), " ",IF(INDEX($AD$2:$AU$1001,MATCH(ROWS($W$2:W529),$W$2:$W$1001,0),MATCH(COLUMNS($AD$1006:AK1006),$AD$1006:$AU$1006,0)), HYPERLINK("#",""), HYPERLINK(CONCATENATE("#metadata!", ADDRESS(INDEX($Y$2:$Y$1001,MATCH(ROWS($W$2:W529),$W$2:$W$1001,0),0), INDEX($AD$1004:$AU$1004,1,MATCH(COLUMNS($AD$1006:AK1006),$AD$1006:$AU$1006,0)))),"Fix")))</f>
        <v xml:space="preserve"> </v>
      </c>
      <c r="J529" s="4" t="str">
        <f ca="1">IF(OR(INDEX($X$2:$X$1001,MATCH(ROWS($W$2:W529),$W$2:$W$1001,0),1)&gt;=100000,INDEX($AD$1005:$AU$1005,1,MATCH(COLUMNS($AD$1006:AL1006),$AD$1006:$AU$1006,0))&gt;=100000), " ",IF(INDEX($AD$2:$AU$1001,MATCH(ROWS($W$2:W529),$W$2:$W$1001,0),MATCH(COLUMNS($AD$1006:AL1006),$AD$1006:$AU$1006,0)), HYPERLINK("#",""), HYPERLINK(CONCATENATE("#metadata!", ADDRESS(INDEX($Y$2:$Y$1001,MATCH(ROWS($W$2:W529),$W$2:$W$1001,0),0), INDEX($AD$1004:$AU$1004,1,MATCH(COLUMNS($AD$1006:AL1006),$AD$1006:$AU$1006,0)))),"Fix")))</f>
        <v xml:space="preserve"> </v>
      </c>
      <c r="K529" s="4" t="str">
        <f ca="1">IF(OR(INDEX($X$2:$X$1001,MATCH(ROWS($W$2:W529),$W$2:$W$1001,0),1)&gt;=100000,INDEX($AD$1005:$AU$1005,1,MATCH(COLUMNS($AD$1006:AM1006),$AD$1006:$AU$1006,0))&gt;=100000), " ",IF(INDEX($AD$2:$AU$1001,MATCH(ROWS($W$2:W529),$W$2:$W$1001,0),MATCH(COLUMNS($AD$1006:AM1006),$AD$1006:$AU$1006,0)), HYPERLINK("#",""), HYPERLINK(CONCATENATE("#metadata!", ADDRESS(INDEX($Y$2:$Y$1001,MATCH(ROWS($W$2:W529),$W$2:$W$1001,0),0), INDEX($AD$1004:$AU$1004,1,MATCH(COLUMNS($AD$1006:AM1006),$AD$1006:$AU$1006,0)))),"Fix")))</f>
        <v xml:space="preserve"> </v>
      </c>
      <c r="L529" s="4" t="str">
        <f ca="1">IF(OR(INDEX($X$2:$X$1001,MATCH(ROWS($W$2:W529),$W$2:$W$1001,0),1)&gt;=100000,INDEX($AD$1005:$AU$1005,1,MATCH(COLUMNS($AD$1006:AN1006),$AD$1006:$AU$1006,0))&gt;=100000), " ",IF(INDEX($AD$2:$AU$1001,MATCH(ROWS($W$2:W529),$W$2:$W$1001,0),MATCH(COLUMNS($AD$1006:AN1006),$AD$1006:$AU$1006,0)), HYPERLINK("#",""), HYPERLINK(CONCATENATE("#metadata!", ADDRESS(INDEX($Y$2:$Y$1001,MATCH(ROWS($W$2:W529),$W$2:$W$1001,0),0), INDEX($AD$1004:$AU$1004,1,MATCH(COLUMNS($AD$1006:AN1006),$AD$1006:$AU$1006,0)))),"Fix")))</f>
        <v xml:space="preserve"> </v>
      </c>
      <c r="M529" s="4" t="str">
        <f ca="1">IF(OR(INDEX($X$2:$X$1001,MATCH(ROWS($W$2:W529),$W$2:$W$1001,0),1)&gt;=100000,INDEX($AD$1005:$AU$1005,1,MATCH(COLUMNS($AD$1006:AO1006),$AD$1006:$AU$1006,0))&gt;=100000), " ",IF(INDEX($AD$2:$AU$1001,MATCH(ROWS($W$2:W529),$W$2:$W$1001,0),MATCH(COLUMNS($AD$1006:AO1006),$AD$1006:$AU$1006,0)), HYPERLINK("#",""), HYPERLINK(CONCATENATE("#metadata!", ADDRESS(INDEX($Y$2:$Y$1001,MATCH(ROWS($W$2:W529),$W$2:$W$1001,0),0), INDEX($AD$1004:$AU$1004,1,MATCH(COLUMNS($AD$1006:AO1006),$AD$1006:$AU$1006,0)))),"Fix")))</f>
        <v xml:space="preserve"> </v>
      </c>
      <c r="N529" s="4" t="str">
        <f ca="1">IF(OR(INDEX($X$2:$X$1001,MATCH(ROWS($W$2:W529),$W$2:$W$1001,0),1)&gt;=100000,INDEX($AD$1005:$AU$1005,1,MATCH(COLUMNS($AD$1006:AP1006),$AD$1006:$AU$1006,0))&gt;=100000), " ",IF(INDEX($AD$2:$AU$1001,MATCH(ROWS($W$2:W529),$W$2:$W$1001,0),MATCH(COLUMNS($AD$1006:AP1006),$AD$1006:$AU$1006,0)), HYPERLINK("#",""), HYPERLINK(CONCATENATE("#metadata!", ADDRESS(INDEX($Y$2:$Y$1001,MATCH(ROWS($W$2:W529),$W$2:$W$1001,0),0), INDEX($AD$1004:$AU$1004,1,MATCH(COLUMNS($AD$1006:AP1006),$AD$1006:$AU$1006,0)))),"Fix")))</f>
        <v xml:space="preserve"> </v>
      </c>
      <c r="O529" s="4" t="str">
        <f ca="1">IF(OR(INDEX($X$2:$X$1001,MATCH(ROWS($W$2:W529),$W$2:$W$1001,0),1)&gt;=100000,INDEX($AD$1005:$AU$1005,1,MATCH(COLUMNS($AD$1006:AQ1006),$AD$1006:$AU$1006,0))&gt;=100000), " ",IF(INDEX($AD$2:$AU$1001,MATCH(ROWS($W$2:W529),$W$2:$W$1001,0),MATCH(COLUMNS($AD$1006:AQ1006),$AD$1006:$AU$1006,0)), HYPERLINK("#",""), HYPERLINK(CONCATENATE("#metadata!", ADDRESS(INDEX($Y$2:$Y$1001,MATCH(ROWS($W$2:W529),$W$2:$W$1001,0),0), INDEX($AD$1004:$AU$1004,1,MATCH(COLUMNS($AD$1006:AQ1006),$AD$1006:$AU$1006,0)))),"Fix")))</f>
        <v xml:space="preserve"> </v>
      </c>
      <c r="P529" s="4" t="str">
        <f ca="1">IF(OR(INDEX($X$2:$X$1001,MATCH(ROWS($W$2:W529),$W$2:$W$1001,0),1)&gt;=100000,INDEX($AD$1005:$AU$1005,1,MATCH(COLUMNS($AD$1006:AR1006),$AD$1006:$AU$1006,0))&gt;=100000), " ",IF(INDEX($AD$2:$AU$1001,MATCH(ROWS($W$2:W529),$W$2:$W$1001,0),MATCH(COLUMNS($AD$1006:AR1006),$AD$1006:$AU$1006,0)), HYPERLINK("#",""), HYPERLINK(CONCATENATE("#metadata!", ADDRESS(INDEX($Y$2:$Y$1001,MATCH(ROWS($W$2:W529),$W$2:$W$1001,0),0), INDEX($AD$1004:$AU$1004,1,MATCH(COLUMNS($AD$1006:AR1006),$AD$1006:$AU$1006,0)))),"Fix")))</f>
        <v xml:space="preserve"> </v>
      </c>
      <c r="Q529" s="4" t="str">
        <f ca="1">IF(OR(INDEX($X$2:$X$1001,MATCH(ROWS($W$2:W529),$W$2:$W$1001,0),1)&gt;=100000,INDEX($AD$1005:$AU$1005,1,MATCH(COLUMNS($AD$1006:AS1006),$AD$1006:$AU$1006,0))&gt;=100000), " ",IF(INDEX($AD$2:$AU$1001,MATCH(ROWS($W$2:W529),$W$2:$W$1001,0),MATCH(COLUMNS($AD$1006:AS1006),$AD$1006:$AU$1006,0)), HYPERLINK("#",""), HYPERLINK(CONCATENATE("#metadata!", ADDRESS(INDEX($Y$2:$Y$1001,MATCH(ROWS($W$2:W529),$W$2:$W$1001,0),0), INDEX($AD$1004:$AU$1004,1,MATCH(COLUMNS($AD$1006:AS1006),$AD$1006:$AU$1006,0)))),"Fix")))</f>
        <v xml:space="preserve"> </v>
      </c>
      <c r="R529" s="4" t="str">
        <f ca="1">IF(OR(INDEX($X$2:$X$1001,MATCH(ROWS($W$2:W529),$W$2:$W$1001,0),1)&gt;=100000,INDEX($AD$1005:$AU$1005,1,MATCH(COLUMNS($AD$1006:AT1006),$AD$1006:$AU$1006,0))&gt;=100000), " ",IF(INDEX($AD$2:$AU$1001,MATCH(ROWS($W$2:W529),$W$2:$W$1001,0),MATCH(COLUMNS($AD$1006:AT1006),$AD$1006:$AU$1006,0)), HYPERLINK("#",""), HYPERLINK(CONCATENATE("#metadata!", ADDRESS(INDEX($Y$2:$Y$1001,MATCH(ROWS($W$2:W529),$W$2:$W$1001,0),0), INDEX($AD$1004:$AU$1004,1,MATCH(COLUMNS($AD$1006:AT1006),$AD$1006:$AU$1006,0)))),"Fix")))</f>
        <v xml:space="preserve"> </v>
      </c>
      <c r="S529" s="4" t="str">
        <f ca="1">IF(OR(INDEX($X$2:$X$1001,MATCH(ROWS($W$2:W529),$W$2:$W$1001,0),1)&gt;=100000,INDEX($AD$1005:$AU$1005,1,MATCH(COLUMNS($AD$1006:AU1006),$AD$1006:$AU$1006,0))&gt;=100000), " ",IF(INDEX($AD$2:$AU$1001,MATCH(ROWS($W$2:W529),$W$2:$W$1001,0),MATCH(COLUMNS($AD$1006:AU1006),$AD$1006:$AU$1006,0)), HYPERLINK("#",""), HYPERLINK(CONCATENATE("#metadata!", ADDRESS(INDEX($Y$2:$Y$1001,MATCH(ROWS($W$2:W529),$W$2:$W$1001,0),0), INDEX($AD$1004:$AU$1004,1,MATCH(COLUMNS($AD$1006:AU1006),$AD$1006:$AU$1006,0)))),"Fix")))</f>
        <v xml:space="preserve"> </v>
      </c>
      <c r="W529">
        <v>528</v>
      </c>
      <c r="X529">
        <v>100529</v>
      </c>
      <c r="Y529">
        <v>529</v>
      </c>
      <c r="Z529" t="b">
        <f t="shared" si="8"/>
        <v>1</v>
      </c>
      <c r="AA529" t="b">
        <f>COUNTBLANK(metadata!B529:S529)=COLUMNS(metadata!B529:S529)</f>
        <v>1</v>
      </c>
      <c r="AB529" t="str">
        <v/>
      </c>
      <c r="AD529" t="b">
        <f ca="1">AND(IF(metadata!B529="",FALSE,TRUE),COUNTIF(metadata!B:B, metadata!B529) = 1,NOT(ISERROR(SUMPRODUCT(SEARCH(MID(metadata!B529,ROW(INDIRECT("1:"&amp;LEN(metadata!B529))), 1),"0123456789abcdefghijklmnopqrstuvwxyzABCDEFGHIJKLMNOPQRSTUVWXYZ.")))))</f>
        <v>0</v>
      </c>
      <c r="AE529" t="b">
        <f>OR(AND(IF(metadata!C529="",FALSE,TRUE),OR(EXACT(metadata!C529,"not applicable"),EXACT(metadata!C529,"missing: not collected"),EXACT(metadata!C529,"missing: not provided"),EXACT(metadata!C529,"missing: restricted access"))),AND(IF(metadata!C529="",FALSE,ISNUMBER(VALUE(metadata!C529))),metadata!C529&gt;0))</f>
        <v>0</v>
      </c>
      <c r="AF529" t="b">
        <f>AND(IF(metadata!D529="",FALSE,TRUE),EXACT(metadata!D529,"missing: not provided"))</f>
        <v>0</v>
      </c>
      <c r="AG529" t="b">
        <f>AND(IF(metadata!E529="",FALSE,TRUE),EXACT(metadata!E529,"Host-associated"))</f>
        <v>0</v>
      </c>
      <c r="AH529" t="b">
        <f>AND(IF(metadata!F529="",FALSE,TRUE),OR(EXACT(metadata!F529,"Animal"),EXACT(metadata!F529,"Fungus"),EXACT(metadata!F529,"Plant")))</f>
        <v>0</v>
      </c>
      <c r="AI529" t="b">
        <f>AND(IF(metadata!G529="",FALSE,TRUE),OR(EXACT(metadata!G529,"Plant secretion"),EXACT(metadata!G529,"Plant rhizosphere"),EXACT(metadata!G529,"Plant surface"),EXACT(metadata!G529,"Plant corpus"),EXACT(metadata!G529,"Fungus surface"),EXACT(metadata!G529,"Fungus corpus"),EXACT(metadata!G529,"Animal surface"),EXACT(metadata!G529,"Animal proximal gut"),EXACT(metadata!G529,"Animal corpus"),EXACT(metadata!G529,"Animal distal gut"),EXACT(metadata!G529,"Animal secretion")))</f>
        <v>0</v>
      </c>
      <c r="AJ529" t="b">
        <f>OR(AND(IF(metadata!H529="",FALSE,TRUE),OR(EXACT(metadata!H529,"missing: not collected"),EXACT(metadata!H529,"missing: not provided"),EXACT(metadata!H529,"missing: restricted access"))),AND(IF(metadata!H529="",FALSE,TRUE),OR(EXACT(metadata!H529,"organism-associated habitat"),EXACT(metadata!H529,"plant-associated habitat"),EXACT(metadata!H529,"animal-associated habitat"),EXACT(metadata!H529,"insecta-associated habitat"),EXACT(metadata!H529,"mammalia-associated habitat"),EXACT(metadata!H529,"human-associated habitat"),EXACT(metadata!H529,"livestock-associated habitat"))))</f>
        <v>0</v>
      </c>
      <c r="AK529" t="b">
        <f>AND(IF(metadata!I529="",FALSE,TRUE),EXACT(metadata!I529,"host-associated"))</f>
        <v>0</v>
      </c>
      <c r="AL529" t="b">
        <f>OR(AND(IF(metadata!J529="",FALSE,TRUE),OR(EXACT(metadata!J529,"not applicable"),EXACT(metadata!J529,"missing: not collected"),EXACT(metadata!J529,"missing: not provided"),EXACT(metadata!J529,"missing: restricted access"))),AND(IF(metadata!J529="",FALSE,ISNUMBER(VALUE(metadata!J529))),metadata!J529&gt;0))</f>
        <v>0</v>
      </c>
      <c r="AM529" t="b">
        <f>AND(IF(metadata!K529="",FALSE,TRUE),EXACT(metadata!K529,"missing: not provided"))</f>
        <v>0</v>
      </c>
      <c r="AN529" t="b">
        <f>IF(metadata!L529="",FALSE,TRUE)</f>
        <v>0</v>
      </c>
      <c r="AO529" t="b">
        <f>IF(metadata!M529="",FALSE,TRUE)</f>
        <v>0</v>
      </c>
      <c r="AP529" t="b">
        <f>OR(AND(IF(metadata!N529="",FALSE,TRUE),OR(EXACT(metadata!N529,"not applicable"),EXACT(metadata!N529,"missing: not collected"),EXACT(metadata!N529,"missing: not provided"))),AND(IF(metadata!N529="",FALSE,IF(ISERROR(INT(metadata!N529)),FALSE,INT(metadata!N529)=metadata!N529)),metadata!N529&gt;0))</f>
        <v>0</v>
      </c>
      <c r="AQ529" t="b">
        <f>AND(IF(metadata!O529="",FALSE,TRUE),EXACT(metadata!O529,"Not applicable"))</f>
        <v>0</v>
      </c>
      <c r="AR529" t="b">
        <f>OR(AND(IF(metadata!P529="",FALSE,TRUE),OR(EXACT(metadata!P529,"not applicable"),EXACT(metadata!P529,"missing: not collected"),EXACT(metadata!P529,"missing: not provided"),EXACT(metadata!P529,"missing: restricted access"))),IF(metadata!P529="",FALSE,IF(ISERROR(INT(metadata!P529)),FALSE,INT(metadata!P529)=metadata!P529)))</f>
        <v>0</v>
      </c>
      <c r="AS529" t="b">
        <f>AND(IF(metadata!Q529="",FALSE,TRUE),EXACT(metadata!Q529,"Not applicable"))</f>
        <v>0</v>
      </c>
      <c r="AT529" t="b">
        <f>OR(AND(IF(metadata!R529="",FALSE,TRUE),OR(EXACT(metadata!R529,"not applicable"),EXACT(metadata!R529,"missing: not collected"),EXACT(metadata!R529,"missing: not provided"),EXACT(metadata!R529,"missing: restricted access"))),AND(IF(metadata!R529="",FALSE,ISNUMBER(VALUE(metadata!R529))),metadata!R529&gt;0))</f>
        <v>0</v>
      </c>
      <c r="AU529" t="b">
        <f>AND(IF(metadata!S529="",FALSE,TRUE),EXACT(metadata!S529,"missing: not provided"))</f>
        <v>0</v>
      </c>
    </row>
    <row r="530" spans="1:47" x14ac:dyDescent="0.2">
      <c r="A530" s="5" t="str">
        <f ca="1">IF(B530=" "," ",HYPERLINK(CONCATENATE("#metadata!",ADDRESS(INDEX($Y$2:$Y$1001,MATCH(ROWS($W$2:W530),$W$2:$W$1001,0),0),1)),INDEX($AB$2:$AB$1001,MATCH(ROWS($W$2:W530),$W$2:$W$1001,0),0)))</f>
        <v xml:space="preserve"> </v>
      </c>
      <c r="B530" s="4" t="str">
        <f ca="1">IF(OR(INDEX($X$2:$X$1001,MATCH(ROWS($W$2:W530),$W$2:$W$1001,0),1)&gt;=100000,INDEX($AD$1005:$AU$1005,1,MATCH(COLUMNS($AD$1006:AD1006),$AD$1006:$AU$1006,0))&gt;=100000), " ",IF(INDEX($AD$2:$AU$1001,MATCH(ROWS($W$2:W530),$W$2:$W$1001,0),MATCH(COLUMNS($AD$1006:AD1006),$AD$1006:$AU$1006,0)), HYPERLINK("#",""), HYPERLINK(CONCATENATE("#metadata!", ADDRESS(INDEX($Y$2:$Y$1001,MATCH(ROWS($W$2:W530),$W$2:$W$1001,0),0), INDEX($AD$1004:$AU$1004,1,MATCH(COLUMNS($AD$1006:AD1006),$AD$1006:$AU$1006,0)))),"Fix")))</f>
        <v xml:space="preserve"> </v>
      </c>
      <c r="C530" s="4" t="str">
        <f ca="1">IF(OR(INDEX($X$2:$X$1001,MATCH(ROWS($W$2:W530),$W$2:$W$1001,0),1)&gt;=100000,INDEX($AD$1005:$AU$1005,1,MATCH(COLUMNS($AD$1006:AE1006),$AD$1006:$AU$1006,0))&gt;=100000), " ",IF(INDEX($AD$2:$AU$1001,MATCH(ROWS($W$2:W530),$W$2:$W$1001,0),MATCH(COLUMNS($AD$1006:AE1006),$AD$1006:$AU$1006,0)), HYPERLINK("#",""), HYPERLINK(CONCATENATE("#metadata!", ADDRESS(INDEX($Y$2:$Y$1001,MATCH(ROWS($W$2:W530),$W$2:$W$1001,0),0), INDEX($AD$1004:$AU$1004,1,MATCH(COLUMNS($AD$1006:AE1006),$AD$1006:$AU$1006,0)))),"Fix")))</f>
        <v xml:space="preserve"> </v>
      </c>
      <c r="D530" s="4" t="str">
        <f ca="1">IF(OR(INDEX($X$2:$X$1001,MATCH(ROWS($W$2:W530),$W$2:$W$1001,0),1)&gt;=100000,INDEX($AD$1005:$AU$1005,1,MATCH(COLUMNS($AD$1006:AF1006),$AD$1006:$AU$1006,0))&gt;=100000), " ",IF(INDEX($AD$2:$AU$1001,MATCH(ROWS($W$2:W530),$W$2:$W$1001,0),MATCH(COLUMNS($AD$1006:AF1006),$AD$1006:$AU$1006,0)), HYPERLINK("#",""), HYPERLINK(CONCATENATE("#metadata!", ADDRESS(INDEX($Y$2:$Y$1001,MATCH(ROWS($W$2:W530),$W$2:$W$1001,0),0), INDEX($AD$1004:$AU$1004,1,MATCH(COLUMNS($AD$1006:AF1006),$AD$1006:$AU$1006,0)))),"Fix")))</f>
        <v xml:space="preserve"> </v>
      </c>
      <c r="E530" s="4" t="str">
        <f ca="1">IF(OR(INDEX($X$2:$X$1001,MATCH(ROWS($W$2:W530),$W$2:$W$1001,0),1)&gt;=100000,INDEX($AD$1005:$AU$1005,1,MATCH(COLUMNS($AD$1006:AG1006),$AD$1006:$AU$1006,0))&gt;=100000), " ",IF(INDEX($AD$2:$AU$1001,MATCH(ROWS($W$2:W530),$W$2:$W$1001,0),MATCH(COLUMNS($AD$1006:AG1006),$AD$1006:$AU$1006,0)), HYPERLINK("#",""), HYPERLINK(CONCATENATE("#metadata!", ADDRESS(INDEX($Y$2:$Y$1001,MATCH(ROWS($W$2:W530),$W$2:$W$1001,0),0), INDEX($AD$1004:$AU$1004,1,MATCH(COLUMNS($AD$1006:AG1006),$AD$1006:$AU$1006,0)))),"Fix")))</f>
        <v xml:space="preserve"> </v>
      </c>
      <c r="F530" s="4" t="str">
        <f ca="1">IF(OR(INDEX($X$2:$X$1001,MATCH(ROWS($W$2:W530),$W$2:$W$1001,0),1)&gt;=100000,INDEX($AD$1005:$AU$1005,1,MATCH(COLUMNS($AD$1006:AH1006),$AD$1006:$AU$1006,0))&gt;=100000), " ",IF(INDEX($AD$2:$AU$1001,MATCH(ROWS($W$2:W530),$W$2:$W$1001,0),MATCH(COLUMNS($AD$1006:AH1006),$AD$1006:$AU$1006,0)), HYPERLINK("#",""), HYPERLINK(CONCATENATE("#metadata!", ADDRESS(INDEX($Y$2:$Y$1001,MATCH(ROWS($W$2:W530),$W$2:$W$1001,0),0), INDEX($AD$1004:$AU$1004,1,MATCH(COLUMNS($AD$1006:AH1006),$AD$1006:$AU$1006,0)))),"Fix")))</f>
        <v xml:space="preserve"> </v>
      </c>
      <c r="G530" s="4" t="str">
        <f ca="1">IF(OR(INDEX($X$2:$X$1001,MATCH(ROWS($W$2:W530),$W$2:$W$1001,0),1)&gt;=100000,INDEX($AD$1005:$AU$1005,1,MATCH(COLUMNS($AD$1006:AI1006),$AD$1006:$AU$1006,0))&gt;=100000), " ",IF(INDEX($AD$2:$AU$1001,MATCH(ROWS($W$2:W530),$W$2:$W$1001,0),MATCH(COLUMNS($AD$1006:AI1006),$AD$1006:$AU$1006,0)), HYPERLINK("#",""), HYPERLINK(CONCATENATE("#metadata!", ADDRESS(INDEX($Y$2:$Y$1001,MATCH(ROWS($W$2:W530),$W$2:$W$1001,0),0), INDEX($AD$1004:$AU$1004,1,MATCH(COLUMNS($AD$1006:AI1006),$AD$1006:$AU$1006,0)))),"Fix")))</f>
        <v xml:space="preserve"> </v>
      </c>
      <c r="H530" s="4" t="str">
        <f ca="1">IF(OR(INDEX($X$2:$X$1001,MATCH(ROWS($W$2:W530),$W$2:$W$1001,0),1)&gt;=100000,INDEX($AD$1005:$AU$1005,1,MATCH(COLUMNS($AD$1006:AJ1006),$AD$1006:$AU$1006,0))&gt;=100000), " ",IF(INDEX($AD$2:$AU$1001,MATCH(ROWS($W$2:W530),$W$2:$W$1001,0),MATCH(COLUMNS($AD$1006:AJ1006),$AD$1006:$AU$1006,0)), HYPERLINK("#",""), HYPERLINK(CONCATENATE("#metadata!", ADDRESS(INDEX($Y$2:$Y$1001,MATCH(ROWS($W$2:W530),$W$2:$W$1001,0),0), INDEX($AD$1004:$AU$1004,1,MATCH(COLUMNS($AD$1006:AJ1006),$AD$1006:$AU$1006,0)))),"Fix")))</f>
        <v xml:space="preserve"> </v>
      </c>
      <c r="I530" s="4" t="str">
        <f ca="1">IF(OR(INDEX($X$2:$X$1001,MATCH(ROWS($W$2:W530),$W$2:$W$1001,0),1)&gt;=100000,INDEX($AD$1005:$AU$1005,1,MATCH(COLUMNS($AD$1006:AK1006),$AD$1006:$AU$1006,0))&gt;=100000), " ",IF(INDEX($AD$2:$AU$1001,MATCH(ROWS($W$2:W530),$W$2:$W$1001,0),MATCH(COLUMNS($AD$1006:AK1006),$AD$1006:$AU$1006,0)), HYPERLINK("#",""), HYPERLINK(CONCATENATE("#metadata!", ADDRESS(INDEX($Y$2:$Y$1001,MATCH(ROWS($W$2:W530),$W$2:$W$1001,0),0), INDEX($AD$1004:$AU$1004,1,MATCH(COLUMNS($AD$1006:AK1006),$AD$1006:$AU$1006,0)))),"Fix")))</f>
        <v xml:space="preserve"> </v>
      </c>
      <c r="J530" s="4" t="str">
        <f ca="1">IF(OR(INDEX($X$2:$X$1001,MATCH(ROWS($W$2:W530),$W$2:$W$1001,0),1)&gt;=100000,INDEX($AD$1005:$AU$1005,1,MATCH(COLUMNS($AD$1006:AL1006),$AD$1006:$AU$1006,0))&gt;=100000), " ",IF(INDEX($AD$2:$AU$1001,MATCH(ROWS($W$2:W530),$W$2:$W$1001,0),MATCH(COLUMNS($AD$1006:AL1006),$AD$1006:$AU$1006,0)), HYPERLINK("#",""), HYPERLINK(CONCATENATE("#metadata!", ADDRESS(INDEX($Y$2:$Y$1001,MATCH(ROWS($W$2:W530),$W$2:$W$1001,0),0), INDEX($AD$1004:$AU$1004,1,MATCH(COLUMNS($AD$1006:AL1006),$AD$1006:$AU$1006,0)))),"Fix")))</f>
        <v xml:space="preserve"> </v>
      </c>
      <c r="K530" s="4" t="str">
        <f ca="1">IF(OR(INDEX($X$2:$X$1001,MATCH(ROWS($W$2:W530),$W$2:$W$1001,0),1)&gt;=100000,INDEX($AD$1005:$AU$1005,1,MATCH(COLUMNS($AD$1006:AM1006),$AD$1006:$AU$1006,0))&gt;=100000), " ",IF(INDEX($AD$2:$AU$1001,MATCH(ROWS($W$2:W530),$W$2:$W$1001,0),MATCH(COLUMNS($AD$1006:AM1006),$AD$1006:$AU$1006,0)), HYPERLINK("#",""), HYPERLINK(CONCATENATE("#metadata!", ADDRESS(INDEX($Y$2:$Y$1001,MATCH(ROWS($W$2:W530),$W$2:$W$1001,0),0), INDEX($AD$1004:$AU$1004,1,MATCH(COLUMNS($AD$1006:AM1006),$AD$1006:$AU$1006,0)))),"Fix")))</f>
        <v xml:space="preserve"> </v>
      </c>
      <c r="L530" s="4" t="str">
        <f ca="1">IF(OR(INDEX($X$2:$X$1001,MATCH(ROWS($W$2:W530),$W$2:$W$1001,0),1)&gt;=100000,INDEX($AD$1005:$AU$1005,1,MATCH(COLUMNS($AD$1006:AN1006),$AD$1006:$AU$1006,0))&gt;=100000), " ",IF(INDEX($AD$2:$AU$1001,MATCH(ROWS($W$2:W530),$W$2:$W$1001,0),MATCH(COLUMNS($AD$1006:AN1006),$AD$1006:$AU$1006,0)), HYPERLINK("#",""), HYPERLINK(CONCATENATE("#metadata!", ADDRESS(INDEX($Y$2:$Y$1001,MATCH(ROWS($W$2:W530),$W$2:$W$1001,0),0), INDEX($AD$1004:$AU$1004,1,MATCH(COLUMNS($AD$1006:AN1006),$AD$1006:$AU$1006,0)))),"Fix")))</f>
        <v xml:space="preserve"> </v>
      </c>
      <c r="M530" s="4" t="str">
        <f ca="1">IF(OR(INDEX($X$2:$X$1001,MATCH(ROWS($W$2:W530),$W$2:$W$1001,0),1)&gt;=100000,INDEX($AD$1005:$AU$1005,1,MATCH(COLUMNS($AD$1006:AO1006),$AD$1006:$AU$1006,0))&gt;=100000), " ",IF(INDEX($AD$2:$AU$1001,MATCH(ROWS($W$2:W530),$W$2:$W$1001,0),MATCH(COLUMNS($AD$1006:AO1006),$AD$1006:$AU$1006,0)), HYPERLINK("#",""), HYPERLINK(CONCATENATE("#metadata!", ADDRESS(INDEX($Y$2:$Y$1001,MATCH(ROWS($W$2:W530),$W$2:$W$1001,0),0), INDEX($AD$1004:$AU$1004,1,MATCH(COLUMNS($AD$1006:AO1006),$AD$1006:$AU$1006,0)))),"Fix")))</f>
        <v xml:space="preserve"> </v>
      </c>
      <c r="N530" s="4" t="str">
        <f ca="1">IF(OR(INDEX($X$2:$X$1001,MATCH(ROWS($W$2:W530),$W$2:$W$1001,0),1)&gt;=100000,INDEX($AD$1005:$AU$1005,1,MATCH(COLUMNS($AD$1006:AP1006),$AD$1006:$AU$1006,0))&gt;=100000), " ",IF(INDEX($AD$2:$AU$1001,MATCH(ROWS($W$2:W530),$W$2:$W$1001,0),MATCH(COLUMNS($AD$1006:AP1006),$AD$1006:$AU$1006,0)), HYPERLINK("#",""), HYPERLINK(CONCATENATE("#metadata!", ADDRESS(INDEX($Y$2:$Y$1001,MATCH(ROWS($W$2:W530),$W$2:$W$1001,0),0), INDEX($AD$1004:$AU$1004,1,MATCH(COLUMNS($AD$1006:AP1006),$AD$1006:$AU$1006,0)))),"Fix")))</f>
        <v xml:space="preserve"> </v>
      </c>
      <c r="O530" s="4" t="str">
        <f ca="1">IF(OR(INDEX($X$2:$X$1001,MATCH(ROWS($W$2:W530),$W$2:$W$1001,0),1)&gt;=100000,INDEX($AD$1005:$AU$1005,1,MATCH(COLUMNS($AD$1006:AQ1006),$AD$1006:$AU$1006,0))&gt;=100000), " ",IF(INDEX($AD$2:$AU$1001,MATCH(ROWS($W$2:W530),$W$2:$W$1001,0),MATCH(COLUMNS($AD$1006:AQ1006),$AD$1006:$AU$1006,0)), HYPERLINK("#",""), HYPERLINK(CONCATENATE("#metadata!", ADDRESS(INDEX($Y$2:$Y$1001,MATCH(ROWS($W$2:W530),$W$2:$W$1001,0),0), INDEX($AD$1004:$AU$1004,1,MATCH(COLUMNS($AD$1006:AQ1006),$AD$1006:$AU$1006,0)))),"Fix")))</f>
        <v xml:space="preserve"> </v>
      </c>
      <c r="P530" s="4" t="str">
        <f ca="1">IF(OR(INDEX($X$2:$X$1001,MATCH(ROWS($W$2:W530),$W$2:$W$1001,0),1)&gt;=100000,INDEX($AD$1005:$AU$1005,1,MATCH(COLUMNS($AD$1006:AR1006),$AD$1006:$AU$1006,0))&gt;=100000), " ",IF(INDEX($AD$2:$AU$1001,MATCH(ROWS($W$2:W530),$W$2:$W$1001,0),MATCH(COLUMNS($AD$1006:AR1006),$AD$1006:$AU$1006,0)), HYPERLINK("#",""), HYPERLINK(CONCATENATE("#metadata!", ADDRESS(INDEX($Y$2:$Y$1001,MATCH(ROWS($W$2:W530),$W$2:$W$1001,0),0), INDEX($AD$1004:$AU$1004,1,MATCH(COLUMNS($AD$1006:AR1006),$AD$1006:$AU$1006,0)))),"Fix")))</f>
        <v xml:space="preserve"> </v>
      </c>
      <c r="Q530" s="4" t="str">
        <f ca="1">IF(OR(INDEX($X$2:$X$1001,MATCH(ROWS($W$2:W530),$W$2:$W$1001,0),1)&gt;=100000,INDEX($AD$1005:$AU$1005,1,MATCH(COLUMNS($AD$1006:AS1006),$AD$1006:$AU$1006,0))&gt;=100000), " ",IF(INDEX($AD$2:$AU$1001,MATCH(ROWS($W$2:W530),$W$2:$W$1001,0),MATCH(COLUMNS($AD$1006:AS1006),$AD$1006:$AU$1006,0)), HYPERLINK("#",""), HYPERLINK(CONCATENATE("#metadata!", ADDRESS(INDEX($Y$2:$Y$1001,MATCH(ROWS($W$2:W530),$W$2:$W$1001,0),0), INDEX($AD$1004:$AU$1004,1,MATCH(COLUMNS($AD$1006:AS1006),$AD$1006:$AU$1006,0)))),"Fix")))</f>
        <v xml:space="preserve"> </v>
      </c>
      <c r="R530" s="4" t="str">
        <f ca="1">IF(OR(INDEX($X$2:$X$1001,MATCH(ROWS($W$2:W530),$W$2:$W$1001,0),1)&gt;=100000,INDEX($AD$1005:$AU$1005,1,MATCH(COLUMNS($AD$1006:AT1006),$AD$1006:$AU$1006,0))&gt;=100000), " ",IF(INDEX($AD$2:$AU$1001,MATCH(ROWS($W$2:W530),$W$2:$W$1001,0),MATCH(COLUMNS($AD$1006:AT1006),$AD$1006:$AU$1006,0)), HYPERLINK("#",""), HYPERLINK(CONCATENATE("#metadata!", ADDRESS(INDEX($Y$2:$Y$1001,MATCH(ROWS($W$2:W530),$W$2:$W$1001,0),0), INDEX($AD$1004:$AU$1004,1,MATCH(COLUMNS($AD$1006:AT1006),$AD$1006:$AU$1006,0)))),"Fix")))</f>
        <v xml:space="preserve"> </v>
      </c>
      <c r="S530" s="4" t="str">
        <f ca="1">IF(OR(INDEX($X$2:$X$1001,MATCH(ROWS($W$2:W530),$W$2:$W$1001,0),1)&gt;=100000,INDEX($AD$1005:$AU$1005,1,MATCH(COLUMNS($AD$1006:AU1006),$AD$1006:$AU$1006,0))&gt;=100000), " ",IF(INDEX($AD$2:$AU$1001,MATCH(ROWS($W$2:W530),$W$2:$W$1001,0),MATCH(COLUMNS($AD$1006:AU1006),$AD$1006:$AU$1006,0)), HYPERLINK("#",""), HYPERLINK(CONCATENATE("#metadata!", ADDRESS(INDEX($Y$2:$Y$1001,MATCH(ROWS($W$2:W530),$W$2:$W$1001,0),0), INDEX($AD$1004:$AU$1004,1,MATCH(COLUMNS($AD$1006:AU1006),$AD$1006:$AU$1006,0)))),"Fix")))</f>
        <v xml:space="preserve"> </v>
      </c>
      <c r="W530">
        <v>529</v>
      </c>
      <c r="X530">
        <v>100530</v>
      </c>
      <c r="Y530">
        <v>530</v>
      </c>
      <c r="Z530" t="b">
        <f t="shared" si="8"/>
        <v>1</v>
      </c>
      <c r="AA530" t="b">
        <f>COUNTBLANK(metadata!B530:S530)=COLUMNS(metadata!B530:S530)</f>
        <v>1</v>
      </c>
      <c r="AB530" t="str">
        <v/>
      </c>
      <c r="AD530" t="b">
        <f ca="1">AND(IF(metadata!B530="",FALSE,TRUE),COUNTIF(metadata!B:B, metadata!B530) = 1,NOT(ISERROR(SUMPRODUCT(SEARCH(MID(metadata!B530,ROW(INDIRECT("1:"&amp;LEN(metadata!B530))), 1),"0123456789abcdefghijklmnopqrstuvwxyzABCDEFGHIJKLMNOPQRSTUVWXYZ.")))))</f>
        <v>0</v>
      </c>
      <c r="AE530" t="b">
        <f>OR(AND(IF(metadata!C530="",FALSE,TRUE),OR(EXACT(metadata!C530,"not applicable"),EXACT(metadata!C530,"missing: not collected"),EXACT(metadata!C530,"missing: not provided"),EXACT(metadata!C530,"missing: restricted access"))),AND(IF(metadata!C530="",FALSE,ISNUMBER(VALUE(metadata!C530))),metadata!C530&gt;0))</f>
        <v>0</v>
      </c>
      <c r="AF530" t="b">
        <f>AND(IF(metadata!D530="",FALSE,TRUE),EXACT(metadata!D530,"missing: not provided"))</f>
        <v>0</v>
      </c>
      <c r="AG530" t="b">
        <f>AND(IF(metadata!E530="",FALSE,TRUE),EXACT(metadata!E530,"Host-associated"))</f>
        <v>0</v>
      </c>
      <c r="AH530" t="b">
        <f>AND(IF(metadata!F530="",FALSE,TRUE),OR(EXACT(metadata!F530,"Animal"),EXACT(metadata!F530,"Fungus"),EXACT(metadata!F530,"Plant")))</f>
        <v>0</v>
      </c>
      <c r="AI530" t="b">
        <f>AND(IF(metadata!G530="",FALSE,TRUE),OR(EXACT(metadata!G530,"Plant secretion"),EXACT(metadata!G530,"Plant rhizosphere"),EXACT(metadata!G530,"Plant surface"),EXACT(metadata!G530,"Plant corpus"),EXACT(metadata!G530,"Fungus surface"),EXACT(metadata!G530,"Fungus corpus"),EXACT(metadata!G530,"Animal surface"),EXACT(metadata!G530,"Animal proximal gut"),EXACT(metadata!G530,"Animal corpus"),EXACT(metadata!G530,"Animal distal gut"),EXACT(metadata!G530,"Animal secretion")))</f>
        <v>0</v>
      </c>
      <c r="AJ530" t="b">
        <f>OR(AND(IF(metadata!H530="",FALSE,TRUE),OR(EXACT(metadata!H530,"missing: not collected"),EXACT(metadata!H530,"missing: not provided"),EXACT(metadata!H530,"missing: restricted access"))),AND(IF(metadata!H530="",FALSE,TRUE),OR(EXACT(metadata!H530,"organism-associated habitat"),EXACT(metadata!H530,"plant-associated habitat"),EXACT(metadata!H530,"animal-associated habitat"),EXACT(metadata!H530,"insecta-associated habitat"),EXACT(metadata!H530,"mammalia-associated habitat"),EXACT(metadata!H530,"human-associated habitat"),EXACT(metadata!H530,"livestock-associated habitat"))))</f>
        <v>0</v>
      </c>
      <c r="AK530" t="b">
        <f>AND(IF(metadata!I530="",FALSE,TRUE),EXACT(metadata!I530,"host-associated"))</f>
        <v>0</v>
      </c>
      <c r="AL530" t="b">
        <f>OR(AND(IF(metadata!J530="",FALSE,TRUE),OR(EXACT(metadata!J530,"not applicable"),EXACT(metadata!J530,"missing: not collected"),EXACT(metadata!J530,"missing: not provided"),EXACT(metadata!J530,"missing: restricted access"))),AND(IF(metadata!J530="",FALSE,ISNUMBER(VALUE(metadata!J530))),metadata!J530&gt;0))</f>
        <v>0</v>
      </c>
      <c r="AM530" t="b">
        <f>AND(IF(metadata!K530="",FALSE,TRUE),EXACT(metadata!K530,"missing: not provided"))</f>
        <v>0</v>
      </c>
      <c r="AN530" t="b">
        <f>IF(metadata!L530="",FALSE,TRUE)</f>
        <v>0</v>
      </c>
      <c r="AO530" t="b">
        <f>IF(metadata!M530="",FALSE,TRUE)</f>
        <v>0</v>
      </c>
      <c r="AP530" t="b">
        <f>OR(AND(IF(metadata!N530="",FALSE,TRUE),OR(EXACT(metadata!N530,"not applicable"),EXACT(metadata!N530,"missing: not collected"),EXACT(metadata!N530,"missing: not provided"))),AND(IF(metadata!N530="",FALSE,IF(ISERROR(INT(metadata!N530)),FALSE,INT(metadata!N530)=metadata!N530)),metadata!N530&gt;0))</f>
        <v>0</v>
      </c>
      <c r="AQ530" t="b">
        <f>AND(IF(metadata!O530="",FALSE,TRUE),EXACT(metadata!O530,"Not applicable"))</f>
        <v>0</v>
      </c>
      <c r="AR530" t="b">
        <f>OR(AND(IF(metadata!P530="",FALSE,TRUE),OR(EXACT(metadata!P530,"not applicable"),EXACT(metadata!P530,"missing: not collected"),EXACT(metadata!P530,"missing: not provided"),EXACT(metadata!P530,"missing: restricted access"))),IF(metadata!P530="",FALSE,IF(ISERROR(INT(metadata!P530)),FALSE,INT(metadata!P530)=metadata!P530)))</f>
        <v>0</v>
      </c>
      <c r="AS530" t="b">
        <f>AND(IF(metadata!Q530="",FALSE,TRUE),EXACT(metadata!Q530,"Not applicable"))</f>
        <v>0</v>
      </c>
      <c r="AT530" t="b">
        <f>OR(AND(IF(metadata!R530="",FALSE,TRUE),OR(EXACT(metadata!R530,"not applicable"),EXACT(metadata!R530,"missing: not collected"),EXACT(metadata!R530,"missing: not provided"),EXACT(metadata!R530,"missing: restricted access"))),AND(IF(metadata!R530="",FALSE,ISNUMBER(VALUE(metadata!R530))),metadata!R530&gt;0))</f>
        <v>0</v>
      </c>
      <c r="AU530" t="b">
        <f>AND(IF(metadata!S530="",FALSE,TRUE),EXACT(metadata!S530,"missing: not provided"))</f>
        <v>0</v>
      </c>
    </row>
    <row r="531" spans="1:47" x14ac:dyDescent="0.2">
      <c r="A531" s="5" t="str">
        <f ca="1">IF(B531=" "," ",HYPERLINK(CONCATENATE("#metadata!",ADDRESS(INDEX($Y$2:$Y$1001,MATCH(ROWS($W$2:W531),$W$2:$W$1001,0),0),1)),INDEX($AB$2:$AB$1001,MATCH(ROWS($W$2:W531),$W$2:$W$1001,0),0)))</f>
        <v xml:space="preserve"> </v>
      </c>
      <c r="B531" s="4" t="str">
        <f ca="1">IF(OR(INDEX($X$2:$X$1001,MATCH(ROWS($W$2:W531),$W$2:$W$1001,0),1)&gt;=100000,INDEX($AD$1005:$AU$1005,1,MATCH(COLUMNS($AD$1006:AD1006),$AD$1006:$AU$1006,0))&gt;=100000), " ",IF(INDEX($AD$2:$AU$1001,MATCH(ROWS($W$2:W531),$W$2:$W$1001,0),MATCH(COLUMNS($AD$1006:AD1006),$AD$1006:$AU$1006,0)), HYPERLINK("#",""), HYPERLINK(CONCATENATE("#metadata!", ADDRESS(INDEX($Y$2:$Y$1001,MATCH(ROWS($W$2:W531),$W$2:$W$1001,0),0), INDEX($AD$1004:$AU$1004,1,MATCH(COLUMNS($AD$1006:AD1006),$AD$1006:$AU$1006,0)))),"Fix")))</f>
        <v xml:space="preserve"> </v>
      </c>
      <c r="C531" s="4" t="str">
        <f ca="1">IF(OR(INDEX($X$2:$X$1001,MATCH(ROWS($W$2:W531),$W$2:$W$1001,0),1)&gt;=100000,INDEX($AD$1005:$AU$1005,1,MATCH(COLUMNS($AD$1006:AE1006),$AD$1006:$AU$1006,0))&gt;=100000), " ",IF(INDEX($AD$2:$AU$1001,MATCH(ROWS($W$2:W531),$W$2:$W$1001,0),MATCH(COLUMNS($AD$1006:AE1006),$AD$1006:$AU$1006,0)), HYPERLINK("#",""), HYPERLINK(CONCATENATE("#metadata!", ADDRESS(INDEX($Y$2:$Y$1001,MATCH(ROWS($W$2:W531),$W$2:$W$1001,0),0), INDEX($AD$1004:$AU$1004,1,MATCH(COLUMNS($AD$1006:AE1006),$AD$1006:$AU$1006,0)))),"Fix")))</f>
        <v xml:space="preserve"> </v>
      </c>
      <c r="D531" s="4" t="str">
        <f ca="1">IF(OR(INDEX($X$2:$X$1001,MATCH(ROWS($W$2:W531),$W$2:$W$1001,0),1)&gt;=100000,INDEX($AD$1005:$AU$1005,1,MATCH(COLUMNS($AD$1006:AF1006),$AD$1006:$AU$1006,0))&gt;=100000), " ",IF(INDEX($AD$2:$AU$1001,MATCH(ROWS($W$2:W531),$W$2:$W$1001,0),MATCH(COLUMNS($AD$1006:AF1006),$AD$1006:$AU$1006,0)), HYPERLINK("#",""), HYPERLINK(CONCATENATE("#metadata!", ADDRESS(INDEX($Y$2:$Y$1001,MATCH(ROWS($W$2:W531),$W$2:$W$1001,0),0), INDEX($AD$1004:$AU$1004,1,MATCH(COLUMNS($AD$1006:AF1006),$AD$1006:$AU$1006,0)))),"Fix")))</f>
        <v xml:space="preserve"> </v>
      </c>
      <c r="E531" s="4" t="str">
        <f ca="1">IF(OR(INDEX($X$2:$X$1001,MATCH(ROWS($W$2:W531),$W$2:$W$1001,0),1)&gt;=100000,INDEX($AD$1005:$AU$1005,1,MATCH(COLUMNS($AD$1006:AG1006),$AD$1006:$AU$1006,0))&gt;=100000), " ",IF(INDEX($AD$2:$AU$1001,MATCH(ROWS($W$2:W531),$W$2:$W$1001,0),MATCH(COLUMNS($AD$1006:AG1006),$AD$1006:$AU$1006,0)), HYPERLINK("#",""), HYPERLINK(CONCATENATE("#metadata!", ADDRESS(INDEX($Y$2:$Y$1001,MATCH(ROWS($W$2:W531),$W$2:$W$1001,0),0), INDEX($AD$1004:$AU$1004,1,MATCH(COLUMNS($AD$1006:AG1006),$AD$1006:$AU$1006,0)))),"Fix")))</f>
        <v xml:space="preserve"> </v>
      </c>
      <c r="F531" s="4" t="str">
        <f ca="1">IF(OR(INDEX($X$2:$X$1001,MATCH(ROWS($W$2:W531),$W$2:$W$1001,0),1)&gt;=100000,INDEX($AD$1005:$AU$1005,1,MATCH(COLUMNS($AD$1006:AH1006),$AD$1006:$AU$1006,0))&gt;=100000), " ",IF(INDEX($AD$2:$AU$1001,MATCH(ROWS($W$2:W531),$W$2:$W$1001,0),MATCH(COLUMNS($AD$1006:AH1006),$AD$1006:$AU$1006,0)), HYPERLINK("#",""), HYPERLINK(CONCATENATE("#metadata!", ADDRESS(INDEX($Y$2:$Y$1001,MATCH(ROWS($W$2:W531),$W$2:$W$1001,0),0), INDEX($AD$1004:$AU$1004,1,MATCH(COLUMNS($AD$1006:AH1006),$AD$1006:$AU$1006,0)))),"Fix")))</f>
        <v xml:space="preserve"> </v>
      </c>
      <c r="G531" s="4" t="str">
        <f ca="1">IF(OR(INDEX($X$2:$X$1001,MATCH(ROWS($W$2:W531),$W$2:$W$1001,0),1)&gt;=100000,INDEX($AD$1005:$AU$1005,1,MATCH(COLUMNS($AD$1006:AI1006),$AD$1006:$AU$1006,0))&gt;=100000), " ",IF(INDEX($AD$2:$AU$1001,MATCH(ROWS($W$2:W531),$W$2:$W$1001,0),MATCH(COLUMNS($AD$1006:AI1006),$AD$1006:$AU$1006,0)), HYPERLINK("#",""), HYPERLINK(CONCATENATE("#metadata!", ADDRESS(INDEX($Y$2:$Y$1001,MATCH(ROWS($W$2:W531),$W$2:$W$1001,0),0), INDEX($AD$1004:$AU$1004,1,MATCH(COLUMNS($AD$1006:AI1006),$AD$1006:$AU$1006,0)))),"Fix")))</f>
        <v xml:space="preserve"> </v>
      </c>
      <c r="H531" s="4" t="str">
        <f ca="1">IF(OR(INDEX($X$2:$X$1001,MATCH(ROWS($W$2:W531),$W$2:$W$1001,0),1)&gt;=100000,INDEX($AD$1005:$AU$1005,1,MATCH(COLUMNS($AD$1006:AJ1006),$AD$1006:$AU$1006,0))&gt;=100000), " ",IF(INDEX($AD$2:$AU$1001,MATCH(ROWS($W$2:W531),$W$2:$W$1001,0),MATCH(COLUMNS($AD$1006:AJ1006),$AD$1006:$AU$1006,0)), HYPERLINK("#",""), HYPERLINK(CONCATENATE("#metadata!", ADDRESS(INDEX($Y$2:$Y$1001,MATCH(ROWS($W$2:W531),$W$2:$W$1001,0),0), INDEX($AD$1004:$AU$1004,1,MATCH(COLUMNS($AD$1006:AJ1006),$AD$1006:$AU$1006,0)))),"Fix")))</f>
        <v xml:space="preserve"> </v>
      </c>
      <c r="I531" s="4" t="str">
        <f ca="1">IF(OR(INDEX($X$2:$X$1001,MATCH(ROWS($W$2:W531),$W$2:$W$1001,0),1)&gt;=100000,INDEX($AD$1005:$AU$1005,1,MATCH(COLUMNS($AD$1006:AK1006),$AD$1006:$AU$1006,0))&gt;=100000), " ",IF(INDEX($AD$2:$AU$1001,MATCH(ROWS($W$2:W531),$W$2:$W$1001,0),MATCH(COLUMNS($AD$1006:AK1006),$AD$1006:$AU$1006,0)), HYPERLINK("#",""), HYPERLINK(CONCATENATE("#metadata!", ADDRESS(INDEX($Y$2:$Y$1001,MATCH(ROWS($W$2:W531),$W$2:$W$1001,0),0), INDEX($AD$1004:$AU$1004,1,MATCH(COLUMNS($AD$1006:AK1006),$AD$1006:$AU$1006,0)))),"Fix")))</f>
        <v xml:space="preserve"> </v>
      </c>
      <c r="J531" s="4" t="str">
        <f ca="1">IF(OR(INDEX($X$2:$X$1001,MATCH(ROWS($W$2:W531),$W$2:$W$1001,0),1)&gt;=100000,INDEX($AD$1005:$AU$1005,1,MATCH(COLUMNS($AD$1006:AL1006),$AD$1006:$AU$1006,0))&gt;=100000), " ",IF(INDEX($AD$2:$AU$1001,MATCH(ROWS($W$2:W531),$W$2:$W$1001,0),MATCH(COLUMNS($AD$1006:AL1006),$AD$1006:$AU$1006,0)), HYPERLINK("#",""), HYPERLINK(CONCATENATE("#metadata!", ADDRESS(INDEX($Y$2:$Y$1001,MATCH(ROWS($W$2:W531),$W$2:$W$1001,0),0), INDEX($AD$1004:$AU$1004,1,MATCH(COLUMNS($AD$1006:AL1006),$AD$1006:$AU$1006,0)))),"Fix")))</f>
        <v xml:space="preserve"> </v>
      </c>
      <c r="K531" s="4" t="str">
        <f ca="1">IF(OR(INDEX($X$2:$X$1001,MATCH(ROWS($W$2:W531),$W$2:$W$1001,0),1)&gt;=100000,INDEX($AD$1005:$AU$1005,1,MATCH(COLUMNS($AD$1006:AM1006),$AD$1006:$AU$1006,0))&gt;=100000), " ",IF(INDEX($AD$2:$AU$1001,MATCH(ROWS($W$2:W531),$W$2:$W$1001,0),MATCH(COLUMNS($AD$1006:AM1006),$AD$1006:$AU$1006,0)), HYPERLINK("#",""), HYPERLINK(CONCATENATE("#metadata!", ADDRESS(INDEX($Y$2:$Y$1001,MATCH(ROWS($W$2:W531),$W$2:$W$1001,0),0), INDEX($AD$1004:$AU$1004,1,MATCH(COLUMNS($AD$1006:AM1006),$AD$1006:$AU$1006,0)))),"Fix")))</f>
        <v xml:space="preserve"> </v>
      </c>
      <c r="L531" s="4" t="str">
        <f ca="1">IF(OR(INDEX($X$2:$X$1001,MATCH(ROWS($W$2:W531),$W$2:$W$1001,0),1)&gt;=100000,INDEX($AD$1005:$AU$1005,1,MATCH(COLUMNS($AD$1006:AN1006),$AD$1006:$AU$1006,0))&gt;=100000), " ",IF(INDEX($AD$2:$AU$1001,MATCH(ROWS($W$2:W531),$W$2:$W$1001,0),MATCH(COLUMNS($AD$1006:AN1006),$AD$1006:$AU$1006,0)), HYPERLINK("#",""), HYPERLINK(CONCATENATE("#metadata!", ADDRESS(INDEX($Y$2:$Y$1001,MATCH(ROWS($W$2:W531),$W$2:$W$1001,0),0), INDEX($AD$1004:$AU$1004,1,MATCH(COLUMNS($AD$1006:AN1006),$AD$1006:$AU$1006,0)))),"Fix")))</f>
        <v xml:space="preserve"> </v>
      </c>
      <c r="M531" s="4" t="str">
        <f ca="1">IF(OR(INDEX($X$2:$X$1001,MATCH(ROWS($W$2:W531),$W$2:$W$1001,0),1)&gt;=100000,INDEX($AD$1005:$AU$1005,1,MATCH(COLUMNS($AD$1006:AO1006),$AD$1006:$AU$1006,0))&gt;=100000), " ",IF(INDEX($AD$2:$AU$1001,MATCH(ROWS($W$2:W531),$W$2:$W$1001,0),MATCH(COLUMNS($AD$1006:AO1006),$AD$1006:$AU$1006,0)), HYPERLINK("#",""), HYPERLINK(CONCATENATE("#metadata!", ADDRESS(INDEX($Y$2:$Y$1001,MATCH(ROWS($W$2:W531),$W$2:$W$1001,0),0), INDEX($AD$1004:$AU$1004,1,MATCH(COLUMNS($AD$1006:AO1006),$AD$1006:$AU$1006,0)))),"Fix")))</f>
        <v xml:space="preserve"> </v>
      </c>
      <c r="N531" s="4" t="str">
        <f ca="1">IF(OR(INDEX($X$2:$X$1001,MATCH(ROWS($W$2:W531),$W$2:$W$1001,0),1)&gt;=100000,INDEX($AD$1005:$AU$1005,1,MATCH(COLUMNS($AD$1006:AP1006),$AD$1006:$AU$1006,0))&gt;=100000), " ",IF(INDEX($AD$2:$AU$1001,MATCH(ROWS($W$2:W531),$W$2:$W$1001,0),MATCH(COLUMNS($AD$1006:AP1006),$AD$1006:$AU$1006,0)), HYPERLINK("#",""), HYPERLINK(CONCATENATE("#metadata!", ADDRESS(INDEX($Y$2:$Y$1001,MATCH(ROWS($W$2:W531),$W$2:$W$1001,0),0), INDEX($AD$1004:$AU$1004,1,MATCH(COLUMNS($AD$1006:AP1006),$AD$1006:$AU$1006,0)))),"Fix")))</f>
        <v xml:space="preserve"> </v>
      </c>
      <c r="O531" s="4" t="str">
        <f ca="1">IF(OR(INDEX($X$2:$X$1001,MATCH(ROWS($W$2:W531),$W$2:$W$1001,0),1)&gt;=100000,INDEX($AD$1005:$AU$1005,1,MATCH(COLUMNS($AD$1006:AQ1006),$AD$1006:$AU$1006,0))&gt;=100000), " ",IF(INDEX($AD$2:$AU$1001,MATCH(ROWS($W$2:W531),$W$2:$W$1001,0),MATCH(COLUMNS($AD$1006:AQ1006),$AD$1006:$AU$1006,0)), HYPERLINK("#",""), HYPERLINK(CONCATENATE("#metadata!", ADDRESS(INDEX($Y$2:$Y$1001,MATCH(ROWS($W$2:W531),$W$2:$W$1001,0),0), INDEX($AD$1004:$AU$1004,1,MATCH(COLUMNS($AD$1006:AQ1006),$AD$1006:$AU$1006,0)))),"Fix")))</f>
        <v xml:space="preserve"> </v>
      </c>
      <c r="P531" s="4" t="str">
        <f ca="1">IF(OR(INDEX($X$2:$X$1001,MATCH(ROWS($W$2:W531),$W$2:$W$1001,0),1)&gt;=100000,INDEX($AD$1005:$AU$1005,1,MATCH(COLUMNS($AD$1006:AR1006),$AD$1006:$AU$1006,0))&gt;=100000), " ",IF(INDEX($AD$2:$AU$1001,MATCH(ROWS($W$2:W531),$W$2:$W$1001,0),MATCH(COLUMNS($AD$1006:AR1006),$AD$1006:$AU$1006,0)), HYPERLINK("#",""), HYPERLINK(CONCATENATE("#metadata!", ADDRESS(INDEX($Y$2:$Y$1001,MATCH(ROWS($W$2:W531),$W$2:$W$1001,0),0), INDEX($AD$1004:$AU$1004,1,MATCH(COLUMNS($AD$1006:AR1006),$AD$1006:$AU$1006,0)))),"Fix")))</f>
        <v xml:space="preserve"> </v>
      </c>
      <c r="Q531" s="4" t="str">
        <f ca="1">IF(OR(INDEX($X$2:$X$1001,MATCH(ROWS($W$2:W531),$W$2:$W$1001,0),1)&gt;=100000,INDEX($AD$1005:$AU$1005,1,MATCH(COLUMNS($AD$1006:AS1006),$AD$1006:$AU$1006,0))&gt;=100000), " ",IF(INDEX($AD$2:$AU$1001,MATCH(ROWS($W$2:W531),$W$2:$W$1001,0),MATCH(COLUMNS($AD$1006:AS1006),$AD$1006:$AU$1006,0)), HYPERLINK("#",""), HYPERLINK(CONCATENATE("#metadata!", ADDRESS(INDEX($Y$2:$Y$1001,MATCH(ROWS($W$2:W531),$W$2:$W$1001,0),0), INDEX($AD$1004:$AU$1004,1,MATCH(COLUMNS($AD$1006:AS1006),$AD$1006:$AU$1006,0)))),"Fix")))</f>
        <v xml:space="preserve"> </v>
      </c>
      <c r="R531" s="4" t="str">
        <f ca="1">IF(OR(INDEX($X$2:$X$1001,MATCH(ROWS($W$2:W531),$W$2:$W$1001,0),1)&gt;=100000,INDEX($AD$1005:$AU$1005,1,MATCH(COLUMNS($AD$1006:AT1006),$AD$1006:$AU$1006,0))&gt;=100000), " ",IF(INDEX($AD$2:$AU$1001,MATCH(ROWS($W$2:W531),$W$2:$W$1001,0),MATCH(COLUMNS($AD$1006:AT1006),$AD$1006:$AU$1006,0)), HYPERLINK("#",""), HYPERLINK(CONCATENATE("#metadata!", ADDRESS(INDEX($Y$2:$Y$1001,MATCH(ROWS($W$2:W531),$W$2:$W$1001,0),0), INDEX($AD$1004:$AU$1004,1,MATCH(COLUMNS($AD$1006:AT1006),$AD$1006:$AU$1006,0)))),"Fix")))</f>
        <v xml:space="preserve"> </v>
      </c>
      <c r="S531" s="4" t="str">
        <f ca="1">IF(OR(INDEX($X$2:$X$1001,MATCH(ROWS($W$2:W531),$W$2:$W$1001,0),1)&gt;=100000,INDEX($AD$1005:$AU$1005,1,MATCH(COLUMNS($AD$1006:AU1006),$AD$1006:$AU$1006,0))&gt;=100000), " ",IF(INDEX($AD$2:$AU$1001,MATCH(ROWS($W$2:W531),$W$2:$W$1001,0),MATCH(COLUMNS($AD$1006:AU1006),$AD$1006:$AU$1006,0)), HYPERLINK("#",""), HYPERLINK(CONCATENATE("#metadata!", ADDRESS(INDEX($Y$2:$Y$1001,MATCH(ROWS($W$2:W531),$W$2:$W$1001,0),0), INDEX($AD$1004:$AU$1004,1,MATCH(COLUMNS($AD$1006:AU1006),$AD$1006:$AU$1006,0)))),"Fix")))</f>
        <v xml:space="preserve"> </v>
      </c>
      <c r="W531">
        <v>530</v>
      </c>
      <c r="X531">
        <v>100531</v>
      </c>
      <c r="Y531">
        <v>531</v>
      </c>
      <c r="Z531" t="b">
        <f t="shared" si="8"/>
        <v>1</v>
      </c>
      <c r="AA531" t="b">
        <f>COUNTBLANK(metadata!B531:S531)=COLUMNS(metadata!B531:S531)</f>
        <v>1</v>
      </c>
      <c r="AB531" t="str">
        <v/>
      </c>
      <c r="AD531" t="b">
        <f ca="1">AND(IF(metadata!B531="",FALSE,TRUE),COUNTIF(metadata!B:B, metadata!B531) = 1,NOT(ISERROR(SUMPRODUCT(SEARCH(MID(metadata!B531,ROW(INDIRECT("1:"&amp;LEN(metadata!B531))), 1),"0123456789abcdefghijklmnopqrstuvwxyzABCDEFGHIJKLMNOPQRSTUVWXYZ.")))))</f>
        <v>0</v>
      </c>
      <c r="AE531" t="b">
        <f>OR(AND(IF(metadata!C531="",FALSE,TRUE),OR(EXACT(metadata!C531,"not applicable"),EXACT(metadata!C531,"missing: not collected"),EXACT(metadata!C531,"missing: not provided"),EXACT(metadata!C531,"missing: restricted access"))),AND(IF(metadata!C531="",FALSE,ISNUMBER(VALUE(metadata!C531))),metadata!C531&gt;0))</f>
        <v>0</v>
      </c>
      <c r="AF531" t="b">
        <f>AND(IF(metadata!D531="",FALSE,TRUE),EXACT(metadata!D531,"missing: not provided"))</f>
        <v>0</v>
      </c>
      <c r="AG531" t="b">
        <f>AND(IF(metadata!E531="",FALSE,TRUE),EXACT(metadata!E531,"Host-associated"))</f>
        <v>0</v>
      </c>
      <c r="AH531" t="b">
        <f>AND(IF(metadata!F531="",FALSE,TRUE),OR(EXACT(metadata!F531,"Animal"),EXACT(metadata!F531,"Fungus"),EXACT(metadata!F531,"Plant")))</f>
        <v>0</v>
      </c>
      <c r="AI531" t="b">
        <f>AND(IF(metadata!G531="",FALSE,TRUE),OR(EXACT(metadata!G531,"Plant secretion"),EXACT(metadata!G531,"Plant rhizosphere"),EXACT(metadata!G531,"Plant surface"),EXACT(metadata!G531,"Plant corpus"),EXACT(metadata!G531,"Fungus surface"),EXACT(metadata!G531,"Fungus corpus"),EXACT(metadata!G531,"Animal surface"),EXACT(metadata!G531,"Animal proximal gut"),EXACT(metadata!G531,"Animal corpus"),EXACT(metadata!G531,"Animal distal gut"),EXACT(metadata!G531,"Animal secretion")))</f>
        <v>0</v>
      </c>
      <c r="AJ531" t="b">
        <f>OR(AND(IF(metadata!H531="",FALSE,TRUE),OR(EXACT(metadata!H531,"missing: not collected"),EXACT(metadata!H531,"missing: not provided"),EXACT(metadata!H531,"missing: restricted access"))),AND(IF(metadata!H531="",FALSE,TRUE),OR(EXACT(metadata!H531,"organism-associated habitat"),EXACT(metadata!H531,"plant-associated habitat"),EXACT(metadata!H531,"animal-associated habitat"),EXACT(metadata!H531,"insecta-associated habitat"),EXACT(metadata!H531,"mammalia-associated habitat"),EXACT(metadata!H531,"human-associated habitat"),EXACT(metadata!H531,"livestock-associated habitat"))))</f>
        <v>0</v>
      </c>
      <c r="AK531" t="b">
        <f>AND(IF(metadata!I531="",FALSE,TRUE),EXACT(metadata!I531,"host-associated"))</f>
        <v>0</v>
      </c>
      <c r="AL531" t="b">
        <f>OR(AND(IF(metadata!J531="",FALSE,TRUE),OR(EXACT(metadata!J531,"not applicable"),EXACT(metadata!J531,"missing: not collected"),EXACT(metadata!J531,"missing: not provided"),EXACT(metadata!J531,"missing: restricted access"))),AND(IF(metadata!J531="",FALSE,ISNUMBER(VALUE(metadata!J531))),metadata!J531&gt;0))</f>
        <v>0</v>
      </c>
      <c r="AM531" t="b">
        <f>AND(IF(metadata!K531="",FALSE,TRUE),EXACT(metadata!K531,"missing: not provided"))</f>
        <v>0</v>
      </c>
      <c r="AN531" t="b">
        <f>IF(metadata!L531="",FALSE,TRUE)</f>
        <v>0</v>
      </c>
      <c r="AO531" t="b">
        <f>IF(metadata!M531="",FALSE,TRUE)</f>
        <v>0</v>
      </c>
      <c r="AP531" t="b">
        <f>OR(AND(IF(metadata!N531="",FALSE,TRUE),OR(EXACT(metadata!N531,"not applicable"),EXACT(metadata!N531,"missing: not collected"),EXACT(metadata!N531,"missing: not provided"))),AND(IF(metadata!N531="",FALSE,IF(ISERROR(INT(metadata!N531)),FALSE,INT(metadata!N531)=metadata!N531)),metadata!N531&gt;0))</f>
        <v>0</v>
      </c>
      <c r="AQ531" t="b">
        <f>AND(IF(metadata!O531="",FALSE,TRUE),EXACT(metadata!O531,"Not applicable"))</f>
        <v>0</v>
      </c>
      <c r="AR531" t="b">
        <f>OR(AND(IF(metadata!P531="",FALSE,TRUE),OR(EXACT(metadata!P531,"not applicable"),EXACT(metadata!P531,"missing: not collected"),EXACT(metadata!P531,"missing: not provided"),EXACT(metadata!P531,"missing: restricted access"))),IF(metadata!P531="",FALSE,IF(ISERROR(INT(metadata!P531)),FALSE,INT(metadata!P531)=metadata!P531)))</f>
        <v>0</v>
      </c>
      <c r="AS531" t="b">
        <f>AND(IF(metadata!Q531="",FALSE,TRUE),EXACT(metadata!Q531,"Not applicable"))</f>
        <v>0</v>
      </c>
      <c r="AT531" t="b">
        <f>OR(AND(IF(metadata!R531="",FALSE,TRUE),OR(EXACT(metadata!R531,"not applicable"),EXACT(metadata!R531,"missing: not collected"),EXACT(metadata!R531,"missing: not provided"),EXACT(metadata!R531,"missing: restricted access"))),AND(IF(metadata!R531="",FALSE,ISNUMBER(VALUE(metadata!R531))),metadata!R531&gt;0))</f>
        <v>0</v>
      </c>
      <c r="AU531" t="b">
        <f>AND(IF(metadata!S531="",FALSE,TRUE),EXACT(metadata!S531,"missing: not provided"))</f>
        <v>0</v>
      </c>
    </row>
    <row r="532" spans="1:47" x14ac:dyDescent="0.2">
      <c r="A532" s="5" t="str">
        <f ca="1">IF(B532=" "," ",HYPERLINK(CONCATENATE("#metadata!",ADDRESS(INDEX($Y$2:$Y$1001,MATCH(ROWS($W$2:W532),$W$2:$W$1001,0),0),1)),INDEX($AB$2:$AB$1001,MATCH(ROWS($W$2:W532),$W$2:$W$1001,0),0)))</f>
        <v xml:space="preserve"> </v>
      </c>
      <c r="B532" s="4" t="str">
        <f ca="1">IF(OR(INDEX($X$2:$X$1001,MATCH(ROWS($W$2:W532),$W$2:$W$1001,0),1)&gt;=100000,INDEX($AD$1005:$AU$1005,1,MATCH(COLUMNS($AD$1006:AD1006),$AD$1006:$AU$1006,0))&gt;=100000), " ",IF(INDEX($AD$2:$AU$1001,MATCH(ROWS($W$2:W532),$W$2:$W$1001,0),MATCH(COLUMNS($AD$1006:AD1006),$AD$1006:$AU$1006,0)), HYPERLINK("#",""), HYPERLINK(CONCATENATE("#metadata!", ADDRESS(INDEX($Y$2:$Y$1001,MATCH(ROWS($W$2:W532),$W$2:$W$1001,0),0), INDEX($AD$1004:$AU$1004,1,MATCH(COLUMNS($AD$1006:AD1006),$AD$1006:$AU$1006,0)))),"Fix")))</f>
        <v xml:space="preserve"> </v>
      </c>
      <c r="C532" s="4" t="str">
        <f ca="1">IF(OR(INDEX($X$2:$X$1001,MATCH(ROWS($W$2:W532),$W$2:$W$1001,0),1)&gt;=100000,INDEX($AD$1005:$AU$1005,1,MATCH(COLUMNS($AD$1006:AE1006),$AD$1006:$AU$1006,0))&gt;=100000), " ",IF(INDEX($AD$2:$AU$1001,MATCH(ROWS($W$2:W532),$W$2:$W$1001,0),MATCH(COLUMNS($AD$1006:AE1006),$AD$1006:$AU$1006,0)), HYPERLINK("#",""), HYPERLINK(CONCATENATE("#metadata!", ADDRESS(INDEX($Y$2:$Y$1001,MATCH(ROWS($W$2:W532),$W$2:$W$1001,0),0), INDEX($AD$1004:$AU$1004,1,MATCH(COLUMNS($AD$1006:AE1006),$AD$1006:$AU$1006,0)))),"Fix")))</f>
        <v xml:space="preserve"> </v>
      </c>
      <c r="D532" s="4" t="str">
        <f ca="1">IF(OR(INDEX($X$2:$X$1001,MATCH(ROWS($W$2:W532),$W$2:$W$1001,0),1)&gt;=100000,INDEX($AD$1005:$AU$1005,1,MATCH(COLUMNS($AD$1006:AF1006),$AD$1006:$AU$1006,0))&gt;=100000), " ",IF(INDEX($AD$2:$AU$1001,MATCH(ROWS($W$2:W532),$W$2:$W$1001,0),MATCH(COLUMNS($AD$1006:AF1006),$AD$1006:$AU$1006,0)), HYPERLINK("#",""), HYPERLINK(CONCATENATE("#metadata!", ADDRESS(INDEX($Y$2:$Y$1001,MATCH(ROWS($W$2:W532),$W$2:$W$1001,0),0), INDEX($AD$1004:$AU$1004,1,MATCH(COLUMNS($AD$1006:AF1006),$AD$1006:$AU$1006,0)))),"Fix")))</f>
        <v xml:space="preserve"> </v>
      </c>
      <c r="E532" s="4" t="str">
        <f ca="1">IF(OR(INDEX($X$2:$X$1001,MATCH(ROWS($W$2:W532),$W$2:$W$1001,0),1)&gt;=100000,INDEX($AD$1005:$AU$1005,1,MATCH(COLUMNS($AD$1006:AG1006),$AD$1006:$AU$1006,0))&gt;=100000), " ",IF(INDEX($AD$2:$AU$1001,MATCH(ROWS($W$2:W532),$W$2:$W$1001,0),MATCH(COLUMNS($AD$1006:AG1006),$AD$1006:$AU$1006,0)), HYPERLINK("#",""), HYPERLINK(CONCATENATE("#metadata!", ADDRESS(INDEX($Y$2:$Y$1001,MATCH(ROWS($W$2:W532),$W$2:$W$1001,0),0), INDEX($AD$1004:$AU$1004,1,MATCH(COLUMNS($AD$1006:AG1006),$AD$1006:$AU$1006,0)))),"Fix")))</f>
        <v xml:space="preserve"> </v>
      </c>
      <c r="F532" s="4" t="str">
        <f ca="1">IF(OR(INDEX($X$2:$X$1001,MATCH(ROWS($W$2:W532),$W$2:$W$1001,0),1)&gt;=100000,INDEX($AD$1005:$AU$1005,1,MATCH(COLUMNS($AD$1006:AH1006),$AD$1006:$AU$1006,0))&gt;=100000), " ",IF(INDEX($AD$2:$AU$1001,MATCH(ROWS($W$2:W532),$W$2:$W$1001,0),MATCH(COLUMNS($AD$1006:AH1006),$AD$1006:$AU$1006,0)), HYPERLINK("#",""), HYPERLINK(CONCATENATE("#metadata!", ADDRESS(INDEX($Y$2:$Y$1001,MATCH(ROWS($W$2:W532),$W$2:$W$1001,0),0), INDEX($AD$1004:$AU$1004,1,MATCH(COLUMNS($AD$1006:AH1006),$AD$1006:$AU$1006,0)))),"Fix")))</f>
        <v xml:space="preserve"> </v>
      </c>
      <c r="G532" s="4" t="str">
        <f ca="1">IF(OR(INDEX($X$2:$X$1001,MATCH(ROWS($W$2:W532),$W$2:$W$1001,0),1)&gt;=100000,INDEX($AD$1005:$AU$1005,1,MATCH(COLUMNS($AD$1006:AI1006),$AD$1006:$AU$1006,0))&gt;=100000), " ",IF(INDEX($AD$2:$AU$1001,MATCH(ROWS($W$2:W532),$W$2:$W$1001,0),MATCH(COLUMNS($AD$1006:AI1006),$AD$1006:$AU$1006,0)), HYPERLINK("#",""), HYPERLINK(CONCATENATE("#metadata!", ADDRESS(INDEX($Y$2:$Y$1001,MATCH(ROWS($W$2:W532),$W$2:$W$1001,0),0), INDEX($AD$1004:$AU$1004,1,MATCH(COLUMNS($AD$1006:AI1006),$AD$1006:$AU$1006,0)))),"Fix")))</f>
        <v xml:space="preserve"> </v>
      </c>
      <c r="H532" s="4" t="str">
        <f ca="1">IF(OR(INDEX($X$2:$X$1001,MATCH(ROWS($W$2:W532),$W$2:$W$1001,0),1)&gt;=100000,INDEX($AD$1005:$AU$1005,1,MATCH(COLUMNS($AD$1006:AJ1006),$AD$1006:$AU$1006,0))&gt;=100000), " ",IF(INDEX($AD$2:$AU$1001,MATCH(ROWS($W$2:W532),$W$2:$W$1001,0),MATCH(COLUMNS($AD$1006:AJ1006),$AD$1006:$AU$1006,0)), HYPERLINK("#",""), HYPERLINK(CONCATENATE("#metadata!", ADDRESS(INDEX($Y$2:$Y$1001,MATCH(ROWS($W$2:W532),$W$2:$W$1001,0),0), INDEX($AD$1004:$AU$1004,1,MATCH(COLUMNS($AD$1006:AJ1006),$AD$1006:$AU$1006,0)))),"Fix")))</f>
        <v xml:space="preserve"> </v>
      </c>
      <c r="I532" s="4" t="str">
        <f ca="1">IF(OR(INDEX($X$2:$X$1001,MATCH(ROWS($W$2:W532),$W$2:$W$1001,0),1)&gt;=100000,INDEX($AD$1005:$AU$1005,1,MATCH(COLUMNS($AD$1006:AK1006),$AD$1006:$AU$1006,0))&gt;=100000), " ",IF(INDEX($AD$2:$AU$1001,MATCH(ROWS($W$2:W532),$W$2:$W$1001,0),MATCH(COLUMNS($AD$1006:AK1006),$AD$1006:$AU$1006,0)), HYPERLINK("#",""), HYPERLINK(CONCATENATE("#metadata!", ADDRESS(INDEX($Y$2:$Y$1001,MATCH(ROWS($W$2:W532),$W$2:$W$1001,0),0), INDEX($AD$1004:$AU$1004,1,MATCH(COLUMNS($AD$1006:AK1006),$AD$1006:$AU$1006,0)))),"Fix")))</f>
        <v xml:space="preserve"> </v>
      </c>
      <c r="J532" s="4" t="str">
        <f ca="1">IF(OR(INDEX($X$2:$X$1001,MATCH(ROWS($W$2:W532),$W$2:$W$1001,0),1)&gt;=100000,INDEX($AD$1005:$AU$1005,1,MATCH(COLUMNS($AD$1006:AL1006),$AD$1006:$AU$1006,0))&gt;=100000), " ",IF(INDEX($AD$2:$AU$1001,MATCH(ROWS($W$2:W532),$W$2:$W$1001,0),MATCH(COLUMNS($AD$1006:AL1006),$AD$1006:$AU$1006,0)), HYPERLINK("#",""), HYPERLINK(CONCATENATE("#metadata!", ADDRESS(INDEX($Y$2:$Y$1001,MATCH(ROWS($W$2:W532),$W$2:$W$1001,0),0), INDEX($AD$1004:$AU$1004,1,MATCH(COLUMNS($AD$1006:AL1006),$AD$1006:$AU$1006,0)))),"Fix")))</f>
        <v xml:space="preserve"> </v>
      </c>
      <c r="K532" s="4" t="str">
        <f ca="1">IF(OR(INDEX($X$2:$X$1001,MATCH(ROWS($W$2:W532),$W$2:$W$1001,0),1)&gt;=100000,INDEX($AD$1005:$AU$1005,1,MATCH(COLUMNS($AD$1006:AM1006),$AD$1006:$AU$1006,0))&gt;=100000), " ",IF(INDEX($AD$2:$AU$1001,MATCH(ROWS($W$2:W532),$W$2:$W$1001,0),MATCH(COLUMNS($AD$1006:AM1006),$AD$1006:$AU$1006,0)), HYPERLINK("#",""), HYPERLINK(CONCATENATE("#metadata!", ADDRESS(INDEX($Y$2:$Y$1001,MATCH(ROWS($W$2:W532),$W$2:$W$1001,0),0), INDEX($AD$1004:$AU$1004,1,MATCH(COLUMNS($AD$1006:AM1006),$AD$1006:$AU$1006,0)))),"Fix")))</f>
        <v xml:space="preserve"> </v>
      </c>
      <c r="L532" s="4" t="str">
        <f ca="1">IF(OR(INDEX($X$2:$X$1001,MATCH(ROWS($W$2:W532),$W$2:$W$1001,0),1)&gt;=100000,INDEX($AD$1005:$AU$1005,1,MATCH(COLUMNS($AD$1006:AN1006),$AD$1006:$AU$1006,0))&gt;=100000), " ",IF(INDEX($AD$2:$AU$1001,MATCH(ROWS($W$2:W532),$W$2:$W$1001,0),MATCH(COLUMNS($AD$1006:AN1006),$AD$1006:$AU$1006,0)), HYPERLINK("#",""), HYPERLINK(CONCATENATE("#metadata!", ADDRESS(INDEX($Y$2:$Y$1001,MATCH(ROWS($W$2:W532),$W$2:$W$1001,0),0), INDEX($AD$1004:$AU$1004,1,MATCH(COLUMNS($AD$1006:AN1006),$AD$1006:$AU$1006,0)))),"Fix")))</f>
        <v xml:space="preserve"> </v>
      </c>
      <c r="M532" s="4" t="str">
        <f ca="1">IF(OR(INDEX($X$2:$X$1001,MATCH(ROWS($W$2:W532),$W$2:$W$1001,0),1)&gt;=100000,INDEX($AD$1005:$AU$1005,1,MATCH(COLUMNS($AD$1006:AO1006),$AD$1006:$AU$1006,0))&gt;=100000), " ",IF(INDEX($AD$2:$AU$1001,MATCH(ROWS($W$2:W532),$W$2:$W$1001,0),MATCH(COLUMNS($AD$1006:AO1006),$AD$1006:$AU$1006,0)), HYPERLINK("#",""), HYPERLINK(CONCATENATE("#metadata!", ADDRESS(INDEX($Y$2:$Y$1001,MATCH(ROWS($W$2:W532),$W$2:$W$1001,0),0), INDEX($AD$1004:$AU$1004,1,MATCH(COLUMNS($AD$1006:AO1006),$AD$1006:$AU$1006,0)))),"Fix")))</f>
        <v xml:space="preserve"> </v>
      </c>
      <c r="N532" s="4" t="str">
        <f ca="1">IF(OR(INDEX($X$2:$X$1001,MATCH(ROWS($W$2:W532),$W$2:$W$1001,0),1)&gt;=100000,INDEX($AD$1005:$AU$1005,1,MATCH(COLUMNS($AD$1006:AP1006),$AD$1006:$AU$1006,0))&gt;=100000), " ",IF(INDEX($AD$2:$AU$1001,MATCH(ROWS($W$2:W532),$W$2:$W$1001,0),MATCH(COLUMNS($AD$1006:AP1006),$AD$1006:$AU$1006,0)), HYPERLINK("#",""), HYPERLINK(CONCATENATE("#metadata!", ADDRESS(INDEX($Y$2:$Y$1001,MATCH(ROWS($W$2:W532),$W$2:$W$1001,0),0), INDEX($AD$1004:$AU$1004,1,MATCH(COLUMNS($AD$1006:AP1006),$AD$1006:$AU$1006,0)))),"Fix")))</f>
        <v xml:space="preserve"> </v>
      </c>
      <c r="O532" s="4" t="str">
        <f ca="1">IF(OR(INDEX($X$2:$X$1001,MATCH(ROWS($W$2:W532),$W$2:$W$1001,0),1)&gt;=100000,INDEX($AD$1005:$AU$1005,1,MATCH(COLUMNS($AD$1006:AQ1006),$AD$1006:$AU$1006,0))&gt;=100000), " ",IF(INDEX($AD$2:$AU$1001,MATCH(ROWS($W$2:W532),$W$2:$W$1001,0),MATCH(COLUMNS($AD$1006:AQ1006),$AD$1006:$AU$1006,0)), HYPERLINK("#",""), HYPERLINK(CONCATENATE("#metadata!", ADDRESS(INDEX($Y$2:$Y$1001,MATCH(ROWS($W$2:W532),$W$2:$W$1001,0),0), INDEX($AD$1004:$AU$1004,1,MATCH(COLUMNS($AD$1006:AQ1006),$AD$1006:$AU$1006,0)))),"Fix")))</f>
        <v xml:space="preserve"> </v>
      </c>
      <c r="P532" s="4" t="str">
        <f ca="1">IF(OR(INDEX($X$2:$X$1001,MATCH(ROWS($W$2:W532),$W$2:$W$1001,0),1)&gt;=100000,INDEX($AD$1005:$AU$1005,1,MATCH(COLUMNS($AD$1006:AR1006),$AD$1006:$AU$1006,0))&gt;=100000), " ",IF(INDEX($AD$2:$AU$1001,MATCH(ROWS($W$2:W532),$W$2:$W$1001,0),MATCH(COLUMNS($AD$1006:AR1006),$AD$1006:$AU$1006,0)), HYPERLINK("#",""), HYPERLINK(CONCATENATE("#metadata!", ADDRESS(INDEX($Y$2:$Y$1001,MATCH(ROWS($W$2:W532),$W$2:$W$1001,0),0), INDEX($AD$1004:$AU$1004,1,MATCH(COLUMNS($AD$1006:AR1006),$AD$1006:$AU$1006,0)))),"Fix")))</f>
        <v xml:space="preserve"> </v>
      </c>
      <c r="Q532" s="4" t="str">
        <f ca="1">IF(OR(INDEX($X$2:$X$1001,MATCH(ROWS($W$2:W532),$W$2:$W$1001,0),1)&gt;=100000,INDEX($AD$1005:$AU$1005,1,MATCH(COLUMNS($AD$1006:AS1006),$AD$1006:$AU$1006,0))&gt;=100000), " ",IF(INDEX($AD$2:$AU$1001,MATCH(ROWS($W$2:W532),$W$2:$W$1001,0),MATCH(COLUMNS($AD$1006:AS1006),$AD$1006:$AU$1006,0)), HYPERLINK("#",""), HYPERLINK(CONCATENATE("#metadata!", ADDRESS(INDEX($Y$2:$Y$1001,MATCH(ROWS($W$2:W532),$W$2:$W$1001,0),0), INDEX($AD$1004:$AU$1004,1,MATCH(COLUMNS($AD$1006:AS1006),$AD$1006:$AU$1006,0)))),"Fix")))</f>
        <v xml:space="preserve"> </v>
      </c>
      <c r="R532" s="4" t="str">
        <f ca="1">IF(OR(INDEX($X$2:$X$1001,MATCH(ROWS($W$2:W532),$W$2:$W$1001,0),1)&gt;=100000,INDEX($AD$1005:$AU$1005,1,MATCH(COLUMNS($AD$1006:AT1006),$AD$1006:$AU$1006,0))&gt;=100000), " ",IF(INDEX($AD$2:$AU$1001,MATCH(ROWS($W$2:W532),$W$2:$W$1001,0),MATCH(COLUMNS($AD$1006:AT1006),$AD$1006:$AU$1006,0)), HYPERLINK("#",""), HYPERLINK(CONCATENATE("#metadata!", ADDRESS(INDEX($Y$2:$Y$1001,MATCH(ROWS($W$2:W532),$W$2:$W$1001,0),0), INDEX($AD$1004:$AU$1004,1,MATCH(COLUMNS($AD$1006:AT1006),$AD$1006:$AU$1006,0)))),"Fix")))</f>
        <v xml:space="preserve"> </v>
      </c>
      <c r="S532" s="4" t="str">
        <f ca="1">IF(OR(INDEX($X$2:$X$1001,MATCH(ROWS($W$2:W532),$W$2:$W$1001,0),1)&gt;=100000,INDEX($AD$1005:$AU$1005,1,MATCH(COLUMNS($AD$1006:AU1006),$AD$1006:$AU$1006,0))&gt;=100000), " ",IF(INDEX($AD$2:$AU$1001,MATCH(ROWS($W$2:W532),$W$2:$W$1001,0),MATCH(COLUMNS($AD$1006:AU1006),$AD$1006:$AU$1006,0)), HYPERLINK("#",""), HYPERLINK(CONCATENATE("#metadata!", ADDRESS(INDEX($Y$2:$Y$1001,MATCH(ROWS($W$2:W532),$W$2:$W$1001,0),0), INDEX($AD$1004:$AU$1004,1,MATCH(COLUMNS($AD$1006:AU1006),$AD$1006:$AU$1006,0)))),"Fix")))</f>
        <v xml:space="preserve"> </v>
      </c>
      <c r="W532">
        <v>531</v>
      </c>
      <c r="X532">
        <v>100532</v>
      </c>
      <c r="Y532">
        <v>532</v>
      </c>
      <c r="Z532" t="b">
        <f t="shared" si="8"/>
        <v>1</v>
      </c>
      <c r="AA532" t="b">
        <f>COUNTBLANK(metadata!B532:S532)=COLUMNS(metadata!B532:S532)</f>
        <v>1</v>
      </c>
      <c r="AB532" t="str">
        <v/>
      </c>
      <c r="AD532" t="b">
        <f ca="1">AND(IF(metadata!B532="",FALSE,TRUE),COUNTIF(metadata!B:B, metadata!B532) = 1,NOT(ISERROR(SUMPRODUCT(SEARCH(MID(metadata!B532,ROW(INDIRECT("1:"&amp;LEN(metadata!B532))), 1),"0123456789abcdefghijklmnopqrstuvwxyzABCDEFGHIJKLMNOPQRSTUVWXYZ.")))))</f>
        <v>0</v>
      </c>
      <c r="AE532" t="b">
        <f>OR(AND(IF(metadata!C532="",FALSE,TRUE),OR(EXACT(metadata!C532,"not applicable"),EXACT(metadata!C532,"missing: not collected"),EXACT(metadata!C532,"missing: not provided"),EXACT(metadata!C532,"missing: restricted access"))),AND(IF(metadata!C532="",FALSE,ISNUMBER(VALUE(metadata!C532))),metadata!C532&gt;0))</f>
        <v>0</v>
      </c>
      <c r="AF532" t="b">
        <f>AND(IF(metadata!D532="",FALSE,TRUE),EXACT(metadata!D532,"missing: not provided"))</f>
        <v>0</v>
      </c>
      <c r="AG532" t="b">
        <f>AND(IF(metadata!E532="",FALSE,TRUE),EXACT(metadata!E532,"Host-associated"))</f>
        <v>0</v>
      </c>
      <c r="AH532" t="b">
        <f>AND(IF(metadata!F532="",FALSE,TRUE),OR(EXACT(metadata!F532,"Animal"),EXACT(metadata!F532,"Fungus"),EXACT(metadata!F532,"Plant")))</f>
        <v>0</v>
      </c>
      <c r="AI532" t="b">
        <f>AND(IF(metadata!G532="",FALSE,TRUE),OR(EXACT(metadata!G532,"Plant secretion"),EXACT(metadata!G532,"Plant rhizosphere"),EXACT(metadata!G532,"Plant surface"),EXACT(metadata!G532,"Plant corpus"),EXACT(metadata!G532,"Fungus surface"),EXACT(metadata!G532,"Fungus corpus"),EXACT(metadata!G532,"Animal surface"),EXACT(metadata!G532,"Animal proximal gut"),EXACT(metadata!G532,"Animal corpus"),EXACT(metadata!G532,"Animal distal gut"),EXACT(metadata!G532,"Animal secretion")))</f>
        <v>0</v>
      </c>
      <c r="AJ532" t="b">
        <f>OR(AND(IF(metadata!H532="",FALSE,TRUE),OR(EXACT(metadata!H532,"missing: not collected"),EXACT(metadata!H532,"missing: not provided"),EXACT(metadata!H532,"missing: restricted access"))),AND(IF(metadata!H532="",FALSE,TRUE),OR(EXACT(metadata!H532,"organism-associated habitat"),EXACT(metadata!H532,"plant-associated habitat"),EXACT(metadata!H532,"animal-associated habitat"),EXACT(metadata!H532,"insecta-associated habitat"),EXACT(metadata!H532,"mammalia-associated habitat"),EXACT(metadata!H532,"human-associated habitat"),EXACT(metadata!H532,"livestock-associated habitat"))))</f>
        <v>0</v>
      </c>
      <c r="AK532" t="b">
        <f>AND(IF(metadata!I532="",FALSE,TRUE),EXACT(metadata!I532,"host-associated"))</f>
        <v>0</v>
      </c>
      <c r="AL532" t="b">
        <f>OR(AND(IF(metadata!J532="",FALSE,TRUE),OR(EXACT(metadata!J532,"not applicable"),EXACT(metadata!J532,"missing: not collected"),EXACT(metadata!J532,"missing: not provided"),EXACT(metadata!J532,"missing: restricted access"))),AND(IF(metadata!J532="",FALSE,ISNUMBER(VALUE(metadata!J532))),metadata!J532&gt;0))</f>
        <v>0</v>
      </c>
      <c r="AM532" t="b">
        <f>AND(IF(metadata!K532="",FALSE,TRUE),EXACT(metadata!K532,"missing: not provided"))</f>
        <v>0</v>
      </c>
      <c r="AN532" t="b">
        <f>IF(metadata!L532="",FALSE,TRUE)</f>
        <v>0</v>
      </c>
      <c r="AO532" t="b">
        <f>IF(metadata!M532="",FALSE,TRUE)</f>
        <v>0</v>
      </c>
      <c r="AP532" t="b">
        <f>OR(AND(IF(metadata!N532="",FALSE,TRUE),OR(EXACT(metadata!N532,"not applicable"),EXACT(metadata!N532,"missing: not collected"),EXACT(metadata!N532,"missing: not provided"))),AND(IF(metadata!N532="",FALSE,IF(ISERROR(INT(metadata!N532)),FALSE,INT(metadata!N532)=metadata!N532)),metadata!N532&gt;0))</f>
        <v>0</v>
      </c>
      <c r="AQ532" t="b">
        <f>AND(IF(metadata!O532="",FALSE,TRUE),EXACT(metadata!O532,"Not applicable"))</f>
        <v>0</v>
      </c>
      <c r="AR532" t="b">
        <f>OR(AND(IF(metadata!P532="",FALSE,TRUE),OR(EXACT(metadata!P532,"not applicable"),EXACT(metadata!P532,"missing: not collected"),EXACT(metadata!P532,"missing: not provided"),EXACT(metadata!P532,"missing: restricted access"))),IF(metadata!P532="",FALSE,IF(ISERROR(INT(metadata!P532)),FALSE,INT(metadata!P532)=metadata!P532)))</f>
        <v>0</v>
      </c>
      <c r="AS532" t="b">
        <f>AND(IF(metadata!Q532="",FALSE,TRUE),EXACT(metadata!Q532,"Not applicable"))</f>
        <v>0</v>
      </c>
      <c r="AT532" t="b">
        <f>OR(AND(IF(metadata!R532="",FALSE,TRUE),OR(EXACT(metadata!R532,"not applicable"),EXACT(metadata!R532,"missing: not collected"),EXACT(metadata!R532,"missing: not provided"),EXACT(metadata!R532,"missing: restricted access"))),AND(IF(metadata!R532="",FALSE,ISNUMBER(VALUE(metadata!R532))),metadata!R532&gt;0))</f>
        <v>0</v>
      </c>
      <c r="AU532" t="b">
        <f>AND(IF(metadata!S532="",FALSE,TRUE),EXACT(metadata!S532,"missing: not provided"))</f>
        <v>0</v>
      </c>
    </row>
    <row r="533" spans="1:47" x14ac:dyDescent="0.2">
      <c r="A533" s="5" t="str">
        <f ca="1">IF(B533=" "," ",HYPERLINK(CONCATENATE("#metadata!",ADDRESS(INDEX($Y$2:$Y$1001,MATCH(ROWS($W$2:W533),$W$2:$W$1001,0),0),1)),INDEX($AB$2:$AB$1001,MATCH(ROWS($W$2:W533),$W$2:$W$1001,0),0)))</f>
        <v xml:space="preserve"> </v>
      </c>
      <c r="B533" s="4" t="str">
        <f ca="1">IF(OR(INDEX($X$2:$X$1001,MATCH(ROWS($W$2:W533),$W$2:$W$1001,0),1)&gt;=100000,INDEX($AD$1005:$AU$1005,1,MATCH(COLUMNS($AD$1006:AD1006),$AD$1006:$AU$1006,0))&gt;=100000), " ",IF(INDEX($AD$2:$AU$1001,MATCH(ROWS($W$2:W533),$W$2:$W$1001,0),MATCH(COLUMNS($AD$1006:AD1006),$AD$1006:$AU$1006,0)), HYPERLINK("#",""), HYPERLINK(CONCATENATE("#metadata!", ADDRESS(INDEX($Y$2:$Y$1001,MATCH(ROWS($W$2:W533),$W$2:$W$1001,0),0), INDEX($AD$1004:$AU$1004,1,MATCH(COLUMNS($AD$1006:AD1006),$AD$1006:$AU$1006,0)))),"Fix")))</f>
        <v xml:space="preserve"> </v>
      </c>
      <c r="C533" s="4" t="str">
        <f ca="1">IF(OR(INDEX($X$2:$X$1001,MATCH(ROWS($W$2:W533),$W$2:$W$1001,0),1)&gt;=100000,INDEX($AD$1005:$AU$1005,1,MATCH(COLUMNS($AD$1006:AE1006),$AD$1006:$AU$1006,0))&gt;=100000), " ",IF(INDEX($AD$2:$AU$1001,MATCH(ROWS($W$2:W533),$W$2:$W$1001,0),MATCH(COLUMNS($AD$1006:AE1006),$AD$1006:$AU$1006,0)), HYPERLINK("#",""), HYPERLINK(CONCATENATE("#metadata!", ADDRESS(INDEX($Y$2:$Y$1001,MATCH(ROWS($W$2:W533),$W$2:$W$1001,0),0), INDEX($AD$1004:$AU$1004,1,MATCH(COLUMNS($AD$1006:AE1006),$AD$1006:$AU$1006,0)))),"Fix")))</f>
        <v xml:space="preserve"> </v>
      </c>
      <c r="D533" s="4" t="str">
        <f ca="1">IF(OR(INDEX($X$2:$X$1001,MATCH(ROWS($W$2:W533),$W$2:$W$1001,0),1)&gt;=100000,INDEX($AD$1005:$AU$1005,1,MATCH(COLUMNS($AD$1006:AF1006),$AD$1006:$AU$1006,0))&gt;=100000), " ",IF(INDEX($AD$2:$AU$1001,MATCH(ROWS($W$2:W533),$W$2:$W$1001,0),MATCH(COLUMNS($AD$1006:AF1006),$AD$1006:$AU$1006,0)), HYPERLINK("#",""), HYPERLINK(CONCATENATE("#metadata!", ADDRESS(INDEX($Y$2:$Y$1001,MATCH(ROWS($W$2:W533),$W$2:$W$1001,0),0), INDEX($AD$1004:$AU$1004,1,MATCH(COLUMNS($AD$1006:AF1006),$AD$1006:$AU$1006,0)))),"Fix")))</f>
        <v xml:space="preserve"> </v>
      </c>
      <c r="E533" s="4" t="str">
        <f ca="1">IF(OR(INDEX($X$2:$X$1001,MATCH(ROWS($W$2:W533),$W$2:$W$1001,0),1)&gt;=100000,INDEX($AD$1005:$AU$1005,1,MATCH(COLUMNS($AD$1006:AG1006),$AD$1006:$AU$1006,0))&gt;=100000), " ",IF(INDEX($AD$2:$AU$1001,MATCH(ROWS($W$2:W533),$W$2:$W$1001,0),MATCH(COLUMNS($AD$1006:AG1006),$AD$1006:$AU$1006,0)), HYPERLINK("#",""), HYPERLINK(CONCATENATE("#metadata!", ADDRESS(INDEX($Y$2:$Y$1001,MATCH(ROWS($W$2:W533),$W$2:$W$1001,0),0), INDEX($AD$1004:$AU$1004,1,MATCH(COLUMNS($AD$1006:AG1006),$AD$1006:$AU$1006,0)))),"Fix")))</f>
        <v xml:space="preserve"> </v>
      </c>
      <c r="F533" s="4" t="str">
        <f ca="1">IF(OR(INDEX($X$2:$X$1001,MATCH(ROWS($W$2:W533),$W$2:$W$1001,0),1)&gt;=100000,INDEX($AD$1005:$AU$1005,1,MATCH(COLUMNS($AD$1006:AH1006),$AD$1006:$AU$1006,0))&gt;=100000), " ",IF(INDEX($AD$2:$AU$1001,MATCH(ROWS($W$2:W533),$W$2:$W$1001,0),MATCH(COLUMNS($AD$1006:AH1006),$AD$1006:$AU$1006,0)), HYPERLINK("#",""), HYPERLINK(CONCATENATE("#metadata!", ADDRESS(INDEX($Y$2:$Y$1001,MATCH(ROWS($W$2:W533),$W$2:$W$1001,0),0), INDEX($AD$1004:$AU$1004,1,MATCH(COLUMNS($AD$1006:AH1006),$AD$1006:$AU$1006,0)))),"Fix")))</f>
        <v xml:space="preserve"> </v>
      </c>
      <c r="G533" s="4" t="str">
        <f ca="1">IF(OR(INDEX($X$2:$X$1001,MATCH(ROWS($W$2:W533),$W$2:$W$1001,0),1)&gt;=100000,INDEX($AD$1005:$AU$1005,1,MATCH(COLUMNS($AD$1006:AI1006),$AD$1006:$AU$1006,0))&gt;=100000), " ",IF(INDEX($AD$2:$AU$1001,MATCH(ROWS($W$2:W533),$W$2:$W$1001,0),MATCH(COLUMNS($AD$1006:AI1006),$AD$1006:$AU$1006,0)), HYPERLINK("#",""), HYPERLINK(CONCATENATE("#metadata!", ADDRESS(INDEX($Y$2:$Y$1001,MATCH(ROWS($W$2:W533),$W$2:$W$1001,0),0), INDEX($AD$1004:$AU$1004,1,MATCH(COLUMNS($AD$1006:AI1006),$AD$1006:$AU$1006,0)))),"Fix")))</f>
        <v xml:space="preserve"> </v>
      </c>
      <c r="H533" s="4" t="str">
        <f ca="1">IF(OR(INDEX($X$2:$X$1001,MATCH(ROWS($W$2:W533),$W$2:$W$1001,0),1)&gt;=100000,INDEX($AD$1005:$AU$1005,1,MATCH(COLUMNS($AD$1006:AJ1006),$AD$1006:$AU$1006,0))&gt;=100000), " ",IF(INDEX($AD$2:$AU$1001,MATCH(ROWS($W$2:W533),$W$2:$W$1001,0),MATCH(COLUMNS($AD$1006:AJ1006),$AD$1006:$AU$1006,0)), HYPERLINK("#",""), HYPERLINK(CONCATENATE("#metadata!", ADDRESS(INDEX($Y$2:$Y$1001,MATCH(ROWS($W$2:W533),$W$2:$W$1001,0),0), INDEX($AD$1004:$AU$1004,1,MATCH(COLUMNS($AD$1006:AJ1006),$AD$1006:$AU$1006,0)))),"Fix")))</f>
        <v xml:space="preserve"> </v>
      </c>
      <c r="I533" s="4" t="str">
        <f ca="1">IF(OR(INDEX($X$2:$X$1001,MATCH(ROWS($W$2:W533),$W$2:$W$1001,0),1)&gt;=100000,INDEX($AD$1005:$AU$1005,1,MATCH(COLUMNS($AD$1006:AK1006),$AD$1006:$AU$1006,0))&gt;=100000), " ",IF(INDEX($AD$2:$AU$1001,MATCH(ROWS($W$2:W533),$W$2:$W$1001,0),MATCH(COLUMNS($AD$1006:AK1006),$AD$1006:$AU$1006,0)), HYPERLINK("#",""), HYPERLINK(CONCATENATE("#metadata!", ADDRESS(INDEX($Y$2:$Y$1001,MATCH(ROWS($W$2:W533),$W$2:$W$1001,0),0), INDEX($AD$1004:$AU$1004,1,MATCH(COLUMNS($AD$1006:AK1006),$AD$1006:$AU$1006,0)))),"Fix")))</f>
        <v xml:space="preserve"> </v>
      </c>
      <c r="J533" s="4" t="str">
        <f ca="1">IF(OR(INDEX($X$2:$X$1001,MATCH(ROWS($W$2:W533),$W$2:$W$1001,0),1)&gt;=100000,INDEX($AD$1005:$AU$1005,1,MATCH(COLUMNS($AD$1006:AL1006),$AD$1006:$AU$1006,0))&gt;=100000), " ",IF(INDEX($AD$2:$AU$1001,MATCH(ROWS($W$2:W533),$W$2:$W$1001,0),MATCH(COLUMNS($AD$1006:AL1006),$AD$1006:$AU$1006,0)), HYPERLINK("#",""), HYPERLINK(CONCATENATE("#metadata!", ADDRESS(INDEX($Y$2:$Y$1001,MATCH(ROWS($W$2:W533),$W$2:$W$1001,0),0), INDEX($AD$1004:$AU$1004,1,MATCH(COLUMNS($AD$1006:AL1006),$AD$1006:$AU$1006,0)))),"Fix")))</f>
        <v xml:space="preserve"> </v>
      </c>
      <c r="K533" s="4" t="str">
        <f ca="1">IF(OR(INDEX($X$2:$X$1001,MATCH(ROWS($W$2:W533),$W$2:$W$1001,0),1)&gt;=100000,INDEX($AD$1005:$AU$1005,1,MATCH(COLUMNS($AD$1006:AM1006),$AD$1006:$AU$1006,0))&gt;=100000), " ",IF(INDEX($AD$2:$AU$1001,MATCH(ROWS($W$2:W533),$W$2:$W$1001,0),MATCH(COLUMNS($AD$1006:AM1006),$AD$1006:$AU$1006,0)), HYPERLINK("#",""), HYPERLINK(CONCATENATE("#metadata!", ADDRESS(INDEX($Y$2:$Y$1001,MATCH(ROWS($W$2:W533),$W$2:$W$1001,0),0), INDEX($AD$1004:$AU$1004,1,MATCH(COLUMNS($AD$1006:AM1006),$AD$1006:$AU$1006,0)))),"Fix")))</f>
        <v xml:space="preserve"> </v>
      </c>
      <c r="L533" s="4" t="str">
        <f ca="1">IF(OR(INDEX($X$2:$X$1001,MATCH(ROWS($W$2:W533),$W$2:$W$1001,0),1)&gt;=100000,INDEX($AD$1005:$AU$1005,1,MATCH(COLUMNS($AD$1006:AN1006),$AD$1006:$AU$1006,0))&gt;=100000), " ",IF(INDEX($AD$2:$AU$1001,MATCH(ROWS($W$2:W533),$W$2:$W$1001,0),MATCH(COLUMNS($AD$1006:AN1006),$AD$1006:$AU$1006,0)), HYPERLINK("#",""), HYPERLINK(CONCATENATE("#metadata!", ADDRESS(INDEX($Y$2:$Y$1001,MATCH(ROWS($W$2:W533),$W$2:$W$1001,0),0), INDEX($AD$1004:$AU$1004,1,MATCH(COLUMNS($AD$1006:AN1006),$AD$1006:$AU$1006,0)))),"Fix")))</f>
        <v xml:space="preserve"> </v>
      </c>
      <c r="M533" s="4" t="str">
        <f ca="1">IF(OR(INDEX($X$2:$X$1001,MATCH(ROWS($W$2:W533),$W$2:$W$1001,0),1)&gt;=100000,INDEX($AD$1005:$AU$1005,1,MATCH(COLUMNS($AD$1006:AO1006),$AD$1006:$AU$1006,0))&gt;=100000), " ",IF(INDEX($AD$2:$AU$1001,MATCH(ROWS($W$2:W533),$W$2:$W$1001,0),MATCH(COLUMNS($AD$1006:AO1006),$AD$1006:$AU$1006,0)), HYPERLINK("#",""), HYPERLINK(CONCATENATE("#metadata!", ADDRESS(INDEX($Y$2:$Y$1001,MATCH(ROWS($W$2:W533),$W$2:$W$1001,0),0), INDEX($AD$1004:$AU$1004,1,MATCH(COLUMNS($AD$1006:AO1006),$AD$1006:$AU$1006,0)))),"Fix")))</f>
        <v xml:space="preserve"> </v>
      </c>
      <c r="N533" s="4" t="str">
        <f ca="1">IF(OR(INDEX($X$2:$X$1001,MATCH(ROWS($W$2:W533),$W$2:$W$1001,0),1)&gt;=100000,INDEX($AD$1005:$AU$1005,1,MATCH(COLUMNS($AD$1006:AP1006),$AD$1006:$AU$1006,0))&gt;=100000), " ",IF(INDEX($AD$2:$AU$1001,MATCH(ROWS($W$2:W533),$W$2:$W$1001,0),MATCH(COLUMNS($AD$1006:AP1006),$AD$1006:$AU$1006,0)), HYPERLINK("#",""), HYPERLINK(CONCATENATE("#metadata!", ADDRESS(INDEX($Y$2:$Y$1001,MATCH(ROWS($W$2:W533),$W$2:$W$1001,0),0), INDEX($AD$1004:$AU$1004,1,MATCH(COLUMNS($AD$1006:AP1006),$AD$1006:$AU$1006,0)))),"Fix")))</f>
        <v xml:space="preserve"> </v>
      </c>
      <c r="O533" s="4" t="str">
        <f ca="1">IF(OR(INDEX($X$2:$X$1001,MATCH(ROWS($W$2:W533),$W$2:$W$1001,0),1)&gt;=100000,INDEX($AD$1005:$AU$1005,1,MATCH(COLUMNS($AD$1006:AQ1006),$AD$1006:$AU$1006,0))&gt;=100000), " ",IF(INDEX($AD$2:$AU$1001,MATCH(ROWS($W$2:W533),$W$2:$W$1001,0),MATCH(COLUMNS($AD$1006:AQ1006),$AD$1006:$AU$1006,0)), HYPERLINK("#",""), HYPERLINK(CONCATENATE("#metadata!", ADDRESS(INDEX($Y$2:$Y$1001,MATCH(ROWS($W$2:W533),$W$2:$W$1001,0),0), INDEX($AD$1004:$AU$1004,1,MATCH(COLUMNS($AD$1006:AQ1006),$AD$1006:$AU$1006,0)))),"Fix")))</f>
        <v xml:space="preserve"> </v>
      </c>
      <c r="P533" s="4" t="str">
        <f ca="1">IF(OR(INDEX($X$2:$X$1001,MATCH(ROWS($W$2:W533),$W$2:$W$1001,0),1)&gt;=100000,INDEX($AD$1005:$AU$1005,1,MATCH(COLUMNS($AD$1006:AR1006),$AD$1006:$AU$1006,0))&gt;=100000), " ",IF(INDEX($AD$2:$AU$1001,MATCH(ROWS($W$2:W533),$W$2:$W$1001,0),MATCH(COLUMNS($AD$1006:AR1006),$AD$1006:$AU$1006,0)), HYPERLINK("#",""), HYPERLINK(CONCATENATE("#metadata!", ADDRESS(INDEX($Y$2:$Y$1001,MATCH(ROWS($W$2:W533),$W$2:$W$1001,0),0), INDEX($AD$1004:$AU$1004,1,MATCH(COLUMNS($AD$1006:AR1006),$AD$1006:$AU$1006,0)))),"Fix")))</f>
        <v xml:space="preserve"> </v>
      </c>
      <c r="Q533" s="4" t="str">
        <f ca="1">IF(OR(INDEX($X$2:$X$1001,MATCH(ROWS($W$2:W533),$W$2:$W$1001,0),1)&gt;=100000,INDEX($AD$1005:$AU$1005,1,MATCH(COLUMNS($AD$1006:AS1006),$AD$1006:$AU$1006,0))&gt;=100000), " ",IF(INDEX($AD$2:$AU$1001,MATCH(ROWS($W$2:W533),$W$2:$W$1001,0),MATCH(COLUMNS($AD$1006:AS1006),$AD$1006:$AU$1006,0)), HYPERLINK("#",""), HYPERLINK(CONCATENATE("#metadata!", ADDRESS(INDEX($Y$2:$Y$1001,MATCH(ROWS($W$2:W533),$W$2:$W$1001,0),0), INDEX($AD$1004:$AU$1004,1,MATCH(COLUMNS($AD$1006:AS1006),$AD$1006:$AU$1006,0)))),"Fix")))</f>
        <v xml:space="preserve"> </v>
      </c>
      <c r="R533" s="4" t="str">
        <f ca="1">IF(OR(INDEX($X$2:$X$1001,MATCH(ROWS($W$2:W533),$W$2:$W$1001,0),1)&gt;=100000,INDEX($AD$1005:$AU$1005,1,MATCH(COLUMNS($AD$1006:AT1006),$AD$1006:$AU$1006,0))&gt;=100000), " ",IF(INDEX($AD$2:$AU$1001,MATCH(ROWS($W$2:W533),$W$2:$W$1001,0),MATCH(COLUMNS($AD$1006:AT1006),$AD$1006:$AU$1006,0)), HYPERLINK("#",""), HYPERLINK(CONCATENATE("#metadata!", ADDRESS(INDEX($Y$2:$Y$1001,MATCH(ROWS($W$2:W533),$W$2:$W$1001,0),0), INDEX($AD$1004:$AU$1004,1,MATCH(COLUMNS($AD$1006:AT1006),$AD$1006:$AU$1006,0)))),"Fix")))</f>
        <v xml:space="preserve"> </v>
      </c>
      <c r="S533" s="4" t="str">
        <f ca="1">IF(OR(INDEX($X$2:$X$1001,MATCH(ROWS($W$2:W533),$W$2:$W$1001,0),1)&gt;=100000,INDEX($AD$1005:$AU$1005,1,MATCH(COLUMNS($AD$1006:AU1006),$AD$1006:$AU$1006,0))&gt;=100000), " ",IF(INDEX($AD$2:$AU$1001,MATCH(ROWS($W$2:W533),$W$2:$W$1001,0),MATCH(COLUMNS($AD$1006:AU1006),$AD$1006:$AU$1006,0)), HYPERLINK("#",""), HYPERLINK(CONCATENATE("#metadata!", ADDRESS(INDEX($Y$2:$Y$1001,MATCH(ROWS($W$2:W533),$W$2:$W$1001,0),0), INDEX($AD$1004:$AU$1004,1,MATCH(COLUMNS($AD$1006:AU1006),$AD$1006:$AU$1006,0)))),"Fix")))</f>
        <v xml:space="preserve"> </v>
      </c>
      <c r="W533">
        <v>532</v>
      </c>
      <c r="X533">
        <v>100533</v>
      </c>
      <c r="Y533">
        <v>533</v>
      </c>
      <c r="Z533" t="b">
        <f t="shared" si="8"/>
        <v>1</v>
      </c>
      <c r="AA533" t="b">
        <f>COUNTBLANK(metadata!B533:S533)=COLUMNS(metadata!B533:S533)</f>
        <v>1</v>
      </c>
      <c r="AB533" t="str">
        <v/>
      </c>
      <c r="AD533" t="b">
        <f ca="1">AND(IF(metadata!B533="",FALSE,TRUE),COUNTIF(metadata!B:B, metadata!B533) = 1,NOT(ISERROR(SUMPRODUCT(SEARCH(MID(metadata!B533,ROW(INDIRECT("1:"&amp;LEN(metadata!B533))), 1),"0123456789abcdefghijklmnopqrstuvwxyzABCDEFGHIJKLMNOPQRSTUVWXYZ.")))))</f>
        <v>0</v>
      </c>
      <c r="AE533" t="b">
        <f>OR(AND(IF(metadata!C533="",FALSE,TRUE),OR(EXACT(metadata!C533,"not applicable"),EXACT(metadata!C533,"missing: not collected"),EXACT(metadata!C533,"missing: not provided"),EXACT(metadata!C533,"missing: restricted access"))),AND(IF(metadata!C533="",FALSE,ISNUMBER(VALUE(metadata!C533))),metadata!C533&gt;0))</f>
        <v>0</v>
      </c>
      <c r="AF533" t="b">
        <f>AND(IF(metadata!D533="",FALSE,TRUE),EXACT(metadata!D533,"missing: not provided"))</f>
        <v>0</v>
      </c>
      <c r="AG533" t="b">
        <f>AND(IF(metadata!E533="",FALSE,TRUE),EXACT(metadata!E533,"Host-associated"))</f>
        <v>0</v>
      </c>
      <c r="AH533" t="b">
        <f>AND(IF(metadata!F533="",FALSE,TRUE),OR(EXACT(metadata!F533,"Animal"),EXACT(metadata!F533,"Fungus"),EXACT(metadata!F533,"Plant")))</f>
        <v>0</v>
      </c>
      <c r="AI533" t="b">
        <f>AND(IF(metadata!G533="",FALSE,TRUE),OR(EXACT(metadata!G533,"Plant secretion"),EXACT(metadata!G533,"Plant rhizosphere"),EXACT(metadata!G533,"Plant surface"),EXACT(metadata!G533,"Plant corpus"),EXACT(metadata!G533,"Fungus surface"),EXACT(metadata!G533,"Fungus corpus"),EXACT(metadata!G533,"Animal surface"),EXACT(metadata!G533,"Animal proximal gut"),EXACT(metadata!G533,"Animal corpus"),EXACT(metadata!G533,"Animal distal gut"),EXACT(metadata!G533,"Animal secretion")))</f>
        <v>0</v>
      </c>
      <c r="AJ533" t="b">
        <f>OR(AND(IF(metadata!H533="",FALSE,TRUE),OR(EXACT(metadata!H533,"missing: not collected"),EXACT(metadata!H533,"missing: not provided"),EXACT(metadata!H533,"missing: restricted access"))),AND(IF(metadata!H533="",FALSE,TRUE),OR(EXACT(metadata!H533,"organism-associated habitat"),EXACT(metadata!H533,"plant-associated habitat"),EXACT(metadata!H533,"animal-associated habitat"),EXACT(metadata!H533,"insecta-associated habitat"),EXACT(metadata!H533,"mammalia-associated habitat"),EXACT(metadata!H533,"human-associated habitat"),EXACT(metadata!H533,"livestock-associated habitat"))))</f>
        <v>0</v>
      </c>
      <c r="AK533" t="b">
        <f>AND(IF(metadata!I533="",FALSE,TRUE),EXACT(metadata!I533,"host-associated"))</f>
        <v>0</v>
      </c>
      <c r="AL533" t="b">
        <f>OR(AND(IF(metadata!J533="",FALSE,TRUE),OR(EXACT(metadata!J533,"not applicable"),EXACT(metadata!J533,"missing: not collected"),EXACT(metadata!J533,"missing: not provided"),EXACT(metadata!J533,"missing: restricted access"))),AND(IF(metadata!J533="",FALSE,ISNUMBER(VALUE(metadata!J533))),metadata!J533&gt;0))</f>
        <v>0</v>
      </c>
      <c r="AM533" t="b">
        <f>AND(IF(metadata!K533="",FALSE,TRUE),EXACT(metadata!K533,"missing: not provided"))</f>
        <v>0</v>
      </c>
      <c r="AN533" t="b">
        <f>IF(metadata!L533="",FALSE,TRUE)</f>
        <v>0</v>
      </c>
      <c r="AO533" t="b">
        <f>IF(metadata!M533="",FALSE,TRUE)</f>
        <v>0</v>
      </c>
      <c r="AP533" t="b">
        <f>OR(AND(IF(metadata!N533="",FALSE,TRUE),OR(EXACT(metadata!N533,"not applicable"),EXACT(metadata!N533,"missing: not collected"),EXACT(metadata!N533,"missing: not provided"))),AND(IF(metadata!N533="",FALSE,IF(ISERROR(INT(metadata!N533)),FALSE,INT(metadata!N533)=metadata!N533)),metadata!N533&gt;0))</f>
        <v>0</v>
      </c>
      <c r="AQ533" t="b">
        <f>AND(IF(metadata!O533="",FALSE,TRUE),EXACT(metadata!O533,"Not applicable"))</f>
        <v>0</v>
      </c>
      <c r="AR533" t="b">
        <f>OR(AND(IF(metadata!P533="",FALSE,TRUE),OR(EXACT(metadata!P533,"not applicable"),EXACT(metadata!P533,"missing: not collected"),EXACT(metadata!P533,"missing: not provided"),EXACT(metadata!P533,"missing: restricted access"))),IF(metadata!P533="",FALSE,IF(ISERROR(INT(metadata!P533)),FALSE,INT(metadata!P533)=metadata!P533)))</f>
        <v>0</v>
      </c>
      <c r="AS533" t="b">
        <f>AND(IF(metadata!Q533="",FALSE,TRUE),EXACT(metadata!Q533,"Not applicable"))</f>
        <v>0</v>
      </c>
      <c r="AT533" t="b">
        <f>OR(AND(IF(metadata!R533="",FALSE,TRUE),OR(EXACT(metadata!R533,"not applicable"),EXACT(metadata!R533,"missing: not collected"),EXACT(metadata!R533,"missing: not provided"),EXACT(metadata!R533,"missing: restricted access"))),AND(IF(metadata!R533="",FALSE,ISNUMBER(VALUE(metadata!R533))),metadata!R533&gt;0))</f>
        <v>0</v>
      </c>
      <c r="AU533" t="b">
        <f>AND(IF(metadata!S533="",FALSE,TRUE),EXACT(metadata!S533,"missing: not provided"))</f>
        <v>0</v>
      </c>
    </row>
    <row r="534" spans="1:47" x14ac:dyDescent="0.2">
      <c r="A534" s="5" t="str">
        <f ca="1">IF(B534=" "," ",HYPERLINK(CONCATENATE("#metadata!",ADDRESS(INDEX($Y$2:$Y$1001,MATCH(ROWS($W$2:W534),$W$2:$W$1001,0),0),1)),INDEX($AB$2:$AB$1001,MATCH(ROWS($W$2:W534),$W$2:$W$1001,0),0)))</f>
        <v xml:space="preserve"> </v>
      </c>
      <c r="B534" s="4" t="str">
        <f ca="1">IF(OR(INDEX($X$2:$X$1001,MATCH(ROWS($W$2:W534),$W$2:$W$1001,0),1)&gt;=100000,INDEX($AD$1005:$AU$1005,1,MATCH(COLUMNS($AD$1006:AD1006),$AD$1006:$AU$1006,0))&gt;=100000), " ",IF(INDEX($AD$2:$AU$1001,MATCH(ROWS($W$2:W534),$W$2:$W$1001,0),MATCH(COLUMNS($AD$1006:AD1006),$AD$1006:$AU$1006,0)), HYPERLINK("#",""), HYPERLINK(CONCATENATE("#metadata!", ADDRESS(INDEX($Y$2:$Y$1001,MATCH(ROWS($W$2:W534),$W$2:$W$1001,0),0), INDEX($AD$1004:$AU$1004,1,MATCH(COLUMNS($AD$1006:AD1006),$AD$1006:$AU$1006,0)))),"Fix")))</f>
        <v xml:space="preserve"> </v>
      </c>
      <c r="C534" s="4" t="str">
        <f ca="1">IF(OR(INDEX($X$2:$X$1001,MATCH(ROWS($W$2:W534),$W$2:$W$1001,0),1)&gt;=100000,INDEX($AD$1005:$AU$1005,1,MATCH(COLUMNS($AD$1006:AE1006),$AD$1006:$AU$1006,0))&gt;=100000), " ",IF(INDEX($AD$2:$AU$1001,MATCH(ROWS($W$2:W534),$W$2:$W$1001,0),MATCH(COLUMNS($AD$1006:AE1006),$AD$1006:$AU$1006,0)), HYPERLINK("#",""), HYPERLINK(CONCATENATE("#metadata!", ADDRESS(INDEX($Y$2:$Y$1001,MATCH(ROWS($W$2:W534),$W$2:$W$1001,0),0), INDEX($AD$1004:$AU$1004,1,MATCH(COLUMNS($AD$1006:AE1006),$AD$1006:$AU$1006,0)))),"Fix")))</f>
        <v xml:space="preserve"> </v>
      </c>
      <c r="D534" s="4" t="str">
        <f ca="1">IF(OR(INDEX($X$2:$X$1001,MATCH(ROWS($W$2:W534),$W$2:$W$1001,0),1)&gt;=100000,INDEX($AD$1005:$AU$1005,1,MATCH(COLUMNS($AD$1006:AF1006),$AD$1006:$AU$1006,0))&gt;=100000), " ",IF(INDEX($AD$2:$AU$1001,MATCH(ROWS($W$2:W534),$W$2:$W$1001,0),MATCH(COLUMNS($AD$1006:AF1006),$AD$1006:$AU$1006,0)), HYPERLINK("#",""), HYPERLINK(CONCATENATE("#metadata!", ADDRESS(INDEX($Y$2:$Y$1001,MATCH(ROWS($W$2:W534),$W$2:$W$1001,0),0), INDEX($AD$1004:$AU$1004,1,MATCH(COLUMNS($AD$1006:AF1006),$AD$1006:$AU$1006,0)))),"Fix")))</f>
        <v xml:space="preserve"> </v>
      </c>
      <c r="E534" s="4" t="str">
        <f ca="1">IF(OR(INDEX($X$2:$X$1001,MATCH(ROWS($W$2:W534),$W$2:$W$1001,0),1)&gt;=100000,INDEX($AD$1005:$AU$1005,1,MATCH(COLUMNS($AD$1006:AG1006),$AD$1006:$AU$1006,0))&gt;=100000), " ",IF(INDEX($AD$2:$AU$1001,MATCH(ROWS($W$2:W534),$W$2:$W$1001,0),MATCH(COLUMNS($AD$1006:AG1006),$AD$1006:$AU$1006,0)), HYPERLINK("#",""), HYPERLINK(CONCATENATE("#metadata!", ADDRESS(INDEX($Y$2:$Y$1001,MATCH(ROWS($W$2:W534),$W$2:$W$1001,0),0), INDEX($AD$1004:$AU$1004,1,MATCH(COLUMNS($AD$1006:AG1006),$AD$1006:$AU$1006,0)))),"Fix")))</f>
        <v xml:space="preserve"> </v>
      </c>
      <c r="F534" s="4" t="str">
        <f ca="1">IF(OR(INDEX($X$2:$X$1001,MATCH(ROWS($W$2:W534),$W$2:$W$1001,0),1)&gt;=100000,INDEX($AD$1005:$AU$1005,1,MATCH(COLUMNS($AD$1006:AH1006),$AD$1006:$AU$1006,0))&gt;=100000), " ",IF(INDEX($AD$2:$AU$1001,MATCH(ROWS($W$2:W534),$W$2:$W$1001,0),MATCH(COLUMNS($AD$1006:AH1006),$AD$1006:$AU$1006,0)), HYPERLINK("#",""), HYPERLINK(CONCATENATE("#metadata!", ADDRESS(INDEX($Y$2:$Y$1001,MATCH(ROWS($W$2:W534),$W$2:$W$1001,0),0), INDEX($AD$1004:$AU$1004,1,MATCH(COLUMNS($AD$1006:AH1006),$AD$1006:$AU$1006,0)))),"Fix")))</f>
        <v xml:space="preserve"> </v>
      </c>
      <c r="G534" s="4" t="str">
        <f ca="1">IF(OR(INDEX($X$2:$X$1001,MATCH(ROWS($W$2:W534),$W$2:$W$1001,0),1)&gt;=100000,INDEX($AD$1005:$AU$1005,1,MATCH(COLUMNS($AD$1006:AI1006),$AD$1006:$AU$1006,0))&gt;=100000), " ",IF(INDEX($AD$2:$AU$1001,MATCH(ROWS($W$2:W534),$W$2:$W$1001,0),MATCH(COLUMNS($AD$1006:AI1006),$AD$1006:$AU$1006,0)), HYPERLINK("#",""), HYPERLINK(CONCATENATE("#metadata!", ADDRESS(INDEX($Y$2:$Y$1001,MATCH(ROWS($W$2:W534),$W$2:$W$1001,0),0), INDEX($AD$1004:$AU$1004,1,MATCH(COLUMNS($AD$1006:AI1006),$AD$1006:$AU$1006,0)))),"Fix")))</f>
        <v xml:space="preserve"> </v>
      </c>
      <c r="H534" s="4" t="str">
        <f ca="1">IF(OR(INDEX($X$2:$X$1001,MATCH(ROWS($W$2:W534),$W$2:$W$1001,0),1)&gt;=100000,INDEX($AD$1005:$AU$1005,1,MATCH(COLUMNS($AD$1006:AJ1006),$AD$1006:$AU$1006,0))&gt;=100000), " ",IF(INDEX($AD$2:$AU$1001,MATCH(ROWS($W$2:W534),$W$2:$W$1001,0),MATCH(COLUMNS($AD$1006:AJ1006),$AD$1006:$AU$1006,0)), HYPERLINK("#",""), HYPERLINK(CONCATENATE("#metadata!", ADDRESS(INDEX($Y$2:$Y$1001,MATCH(ROWS($W$2:W534),$W$2:$W$1001,0),0), INDEX($AD$1004:$AU$1004,1,MATCH(COLUMNS($AD$1006:AJ1006),$AD$1006:$AU$1006,0)))),"Fix")))</f>
        <v xml:space="preserve"> </v>
      </c>
      <c r="I534" s="4" t="str">
        <f ca="1">IF(OR(INDEX($X$2:$X$1001,MATCH(ROWS($W$2:W534),$W$2:$W$1001,0),1)&gt;=100000,INDEX($AD$1005:$AU$1005,1,MATCH(COLUMNS($AD$1006:AK1006),$AD$1006:$AU$1006,0))&gt;=100000), " ",IF(INDEX($AD$2:$AU$1001,MATCH(ROWS($W$2:W534),$W$2:$W$1001,0),MATCH(COLUMNS($AD$1006:AK1006),$AD$1006:$AU$1006,0)), HYPERLINK("#",""), HYPERLINK(CONCATENATE("#metadata!", ADDRESS(INDEX($Y$2:$Y$1001,MATCH(ROWS($W$2:W534),$W$2:$W$1001,0),0), INDEX($AD$1004:$AU$1004,1,MATCH(COLUMNS($AD$1006:AK1006),$AD$1006:$AU$1006,0)))),"Fix")))</f>
        <v xml:space="preserve"> </v>
      </c>
      <c r="J534" s="4" t="str">
        <f ca="1">IF(OR(INDEX($X$2:$X$1001,MATCH(ROWS($W$2:W534),$W$2:$W$1001,0),1)&gt;=100000,INDEX($AD$1005:$AU$1005,1,MATCH(COLUMNS($AD$1006:AL1006),$AD$1006:$AU$1006,0))&gt;=100000), " ",IF(INDEX($AD$2:$AU$1001,MATCH(ROWS($W$2:W534),$W$2:$W$1001,0),MATCH(COLUMNS($AD$1006:AL1006),$AD$1006:$AU$1006,0)), HYPERLINK("#",""), HYPERLINK(CONCATENATE("#metadata!", ADDRESS(INDEX($Y$2:$Y$1001,MATCH(ROWS($W$2:W534),$W$2:$W$1001,0),0), INDEX($AD$1004:$AU$1004,1,MATCH(COLUMNS($AD$1006:AL1006),$AD$1006:$AU$1006,0)))),"Fix")))</f>
        <v xml:space="preserve"> </v>
      </c>
      <c r="K534" s="4" t="str">
        <f ca="1">IF(OR(INDEX($X$2:$X$1001,MATCH(ROWS($W$2:W534),$W$2:$W$1001,0),1)&gt;=100000,INDEX($AD$1005:$AU$1005,1,MATCH(COLUMNS($AD$1006:AM1006),$AD$1006:$AU$1006,0))&gt;=100000), " ",IF(INDEX($AD$2:$AU$1001,MATCH(ROWS($W$2:W534),$W$2:$W$1001,0),MATCH(COLUMNS($AD$1006:AM1006),$AD$1006:$AU$1006,0)), HYPERLINK("#",""), HYPERLINK(CONCATENATE("#metadata!", ADDRESS(INDEX($Y$2:$Y$1001,MATCH(ROWS($W$2:W534),$W$2:$W$1001,0),0), INDEX($AD$1004:$AU$1004,1,MATCH(COLUMNS($AD$1006:AM1006),$AD$1006:$AU$1006,0)))),"Fix")))</f>
        <v xml:space="preserve"> </v>
      </c>
      <c r="L534" s="4" t="str">
        <f ca="1">IF(OR(INDEX($X$2:$X$1001,MATCH(ROWS($W$2:W534),$W$2:$W$1001,0),1)&gt;=100000,INDEX($AD$1005:$AU$1005,1,MATCH(COLUMNS($AD$1006:AN1006),$AD$1006:$AU$1006,0))&gt;=100000), " ",IF(INDEX($AD$2:$AU$1001,MATCH(ROWS($W$2:W534),$W$2:$W$1001,0),MATCH(COLUMNS($AD$1006:AN1006),$AD$1006:$AU$1006,0)), HYPERLINK("#",""), HYPERLINK(CONCATENATE("#metadata!", ADDRESS(INDEX($Y$2:$Y$1001,MATCH(ROWS($W$2:W534),$W$2:$W$1001,0),0), INDEX($AD$1004:$AU$1004,1,MATCH(COLUMNS($AD$1006:AN1006),$AD$1006:$AU$1006,0)))),"Fix")))</f>
        <v xml:space="preserve"> </v>
      </c>
      <c r="M534" s="4" t="str">
        <f ca="1">IF(OR(INDEX($X$2:$X$1001,MATCH(ROWS($W$2:W534),$W$2:$W$1001,0),1)&gt;=100000,INDEX($AD$1005:$AU$1005,1,MATCH(COLUMNS($AD$1006:AO1006),$AD$1006:$AU$1006,0))&gt;=100000), " ",IF(INDEX($AD$2:$AU$1001,MATCH(ROWS($W$2:W534),$W$2:$W$1001,0),MATCH(COLUMNS($AD$1006:AO1006),$AD$1006:$AU$1006,0)), HYPERLINK("#",""), HYPERLINK(CONCATENATE("#metadata!", ADDRESS(INDEX($Y$2:$Y$1001,MATCH(ROWS($W$2:W534),$W$2:$W$1001,0),0), INDEX($AD$1004:$AU$1004,1,MATCH(COLUMNS($AD$1006:AO1006),$AD$1006:$AU$1006,0)))),"Fix")))</f>
        <v xml:space="preserve"> </v>
      </c>
      <c r="N534" s="4" t="str">
        <f ca="1">IF(OR(INDEX($X$2:$X$1001,MATCH(ROWS($W$2:W534),$W$2:$W$1001,0),1)&gt;=100000,INDEX($AD$1005:$AU$1005,1,MATCH(COLUMNS($AD$1006:AP1006),$AD$1006:$AU$1006,0))&gt;=100000), " ",IF(INDEX($AD$2:$AU$1001,MATCH(ROWS($W$2:W534),$W$2:$W$1001,0),MATCH(COLUMNS($AD$1006:AP1006),$AD$1006:$AU$1006,0)), HYPERLINK("#",""), HYPERLINK(CONCATENATE("#metadata!", ADDRESS(INDEX($Y$2:$Y$1001,MATCH(ROWS($W$2:W534),$W$2:$W$1001,0),0), INDEX($AD$1004:$AU$1004,1,MATCH(COLUMNS($AD$1006:AP1006),$AD$1006:$AU$1006,0)))),"Fix")))</f>
        <v xml:space="preserve"> </v>
      </c>
      <c r="O534" s="4" t="str">
        <f ca="1">IF(OR(INDEX($X$2:$X$1001,MATCH(ROWS($W$2:W534),$W$2:$W$1001,0),1)&gt;=100000,INDEX($AD$1005:$AU$1005,1,MATCH(COLUMNS($AD$1006:AQ1006),$AD$1006:$AU$1006,0))&gt;=100000), " ",IF(INDEX($AD$2:$AU$1001,MATCH(ROWS($W$2:W534),$W$2:$W$1001,0),MATCH(COLUMNS($AD$1006:AQ1006),$AD$1006:$AU$1006,0)), HYPERLINK("#",""), HYPERLINK(CONCATENATE("#metadata!", ADDRESS(INDEX($Y$2:$Y$1001,MATCH(ROWS($W$2:W534),$W$2:$W$1001,0),0), INDEX($AD$1004:$AU$1004,1,MATCH(COLUMNS($AD$1006:AQ1006),$AD$1006:$AU$1006,0)))),"Fix")))</f>
        <v xml:space="preserve"> </v>
      </c>
      <c r="P534" s="4" t="str">
        <f ca="1">IF(OR(INDEX($X$2:$X$1001,MATCH(ROWS($W$2:W534),$W$2:$W$1001,0),1)&gt;=100000,INDEX($AD$1005:$AU$1005,1,MATCH(COLUMNS($AD$1006:AR1006),$AD$1006:$AU$1006,0))&gt;=100000), " ",IF(INDEX($AD$2:$AU$1001,MATCH(ROWS($W$2:W534),$W$2:$W$1001,0),MATCH(COLUMNS($AD$1006:AR1006),$AD$1006:$AU$1006,0)), HYPERLINK("#",""), HYPERLINK(CONCATENATE("#metadata!", ADDRESS(INDEX($Y$2:$Y$1001,MATCH(ROWS($W$2:W534),$W$2:$W$1001,0),0), INDEX($AD$1004:$AU$1004,1,MATCH(COLUMNS($AD$1006:AR1006),$AD$1006:$AU$1006,0)))),"Fix")))</f>
        <v xml:space="preserve"> </v>
      </c>
      <c r="Q534" s="4" t="str">
        <f ca="1">IF(OR(INDEX($X$2:$X$1001,MATCH(ROWS($W$2:W534),$W$2:$W$1001,0),1)&gt;=100000,INDEX($AD$1005:$AU$1005,1,MATCH(COLUMNS($AD$1006:AS1006),$AD$1006:$AU$1006,0))&gt;=100000), " ",IF(INDEX($AD$2:$AU$1001,MATCH(ROWS($W$2:W534),$W$2:$W$1001,0),MATCH(COLUMNS($AD$1006:AS1006),$AD$1006:$AU$1006,0)), HYPERLINK("#",""), HYPERLINK(CONCATENATE("#metadata!", ADDRESS(INDEX($Y$2:$Y$1001,MATCH(ROWS($W$2:W534),$W$2:$W$1001,0),0), INDEX($AD$1004:$AU$1004,1,MATCH(COLUMNS($AD$1006:AS1006),$AD$1006:$AU$1006,0)))),"Fix")))</f>
        <v xml:space="preserve"> </v>
      </c>
      <c r="R534" s="4" t="str">
        <f ca="1">IF(OR(INDEX($X$2:$X$1001,MATCH(ROWS($W$2:W534),$W$2:$W$1001,0),1)&gt;=100000,INDEX($AD$1005:$AU$1005,1,MATCH(COLUMNS($AD$1006:AT1006),$AD$1006:$AU$1006,0))&gt;=100000), " ",IF(INDEX($AD$2:$AU$1001,MATCH(ROWS($W$2:W534),$W$2:$W$1001,0),MATCH(COLUMNS($AD$1006:AT1006),$AD$1006:$AU$1006,0)), HYPERLINK("#",""), HYPERLINK(CONCATENATE("#metadata!", ADDRESS(INDEX($Y$2:$Y$1001,MATCH(ROWS($W$2:W534),$W$2:$W$1001,0),0), INDEX($AD$1004:$AU$1004,1,MATCH(COLUMNS($AD$1006:AT1006),$AD$1006:$AU$1006,0)))),"Fix")))</f>
        <v xml:space="preserve"> </v>
      </c>
      <c r="S534" s="4" t="str">
        <f ca="1">IF(OR(INDEX($X$2:$X$1001,MATCH(ROWS($W$2:W534),$W$2:$W$1001,0),1)&gt;=100000,INDEX($AD$1005:$AU$1005,1,MATCH(COLUMNS($AD$1006:AU1006),$AD$1006:$AU$1006,0))&gt;=100000), " ",IF(INDEX($AD$2:$AU$1001,MATCH(ROWS($W$2:W534),$W$2:$W$1001,0),MATCH(COLUMNS($AD$1006:AU1006),$AD$1006:$AU$1006,0)), HYPERLINK("#",""), HYPERLINK(CONCATENATE("#metadata!", ADDRESS(INDEX($Y$2:$Y$1001,MATCH(ROWS($W$2:W534),$W$2:$W$1001,0),0), INDEX($AD$1004:$AU$1004,1,MATCH(COLUMNS($AD$1006:AU1006),$AD$1006:$AU$1006,0)))),"Fix")))</f>
        <v xml:space="preserve"> </v>
      </c>
      <c r="W534">
        <v>533</v>
      </c>
      <c r="X534">
        <v>100534</v>
      </c>
      <c r="Y534">
        <v>534</v>
      </c>
      <c r="Z534" t="b">
        <f t="shared" si="8"/>
        <v>1</v>
      </c>
      <c r="AA534" t="b">
        <f>COUNTBLANK(metadata!B534:S534)=COLUMNS(metadata!B534:S534)</f>
        <v>1</v>
      </c>
      <c r="AB534" t="str">
        <v/>
      </c>
      <c r="AD534" t="b">
        <f ca="1">AND(IF(metadata!B534="",FALSE,TRUE),COUNTIF(metadata!B:B, metadata!B534) = 1,NOT(ISERROR(SUMPRODUCT(SEARCH(MID(metadata!B534,ROW(INDIRECT("1:"&amp;LEN(metadata!B534))), 1),"0123456789abcdefghijklmnopqrstuvwxyzABCDEFGHIJKLMNOPQRSTUVWXYZ.")))))</f>
        <v>0</v>
      </c>
      <c r="AE534" t="b">
        <f>OR(AND(IF(metadata!C534="",FALSE,TRUE),OR(EXACT(metadata!C534,"not applicable"),EXACT(metadata!C534,"missing: not collected"),EXACT(metadata!C534,"missing: not provided"),EXACT(metadata!C534,"missing: restricted access"))),AND(IF(metadata!C534="",FALSE,ISNUMBER(VALUE(metadata!C534))),metadata!C534&gt;0))</f>
        <v>0</v>
      </c>
      <c r="AF534" t="b">
        <f>AND(IF(metadata!D534="",FALSE,TRUE),EXACT(metadata!D534,"missing: not provided"))</f>
        <v>0</v>
      </c>
      <c r="AG534" t="b">
        <f>AND(IF(metadata!E534="",FALSE,TRUE),EXACT(metadata!E534,"Host-associated"))</f>
        <v>0</v>
      </c>
      <c r="AH534" t="b">
        <f>AND(IF(metadata!F534="",FALSE,TRUE),OR(EXACT(metadata!F534,"Animal"),EXACT(metadata!F534,"Fungus"),EXACT(metadata!F534,"Plant")))</f>
        <v>0</v>
      </c>
      <c r="AI534" t="b">
        <f>AND(IF(metadata!G534="",FALSE,TRUE),OR(EXACT(metadata!G534,"Plant secretion"),EXACT(metadata!G534,"Plant rhizosphere"),EXACT(metadata!G534,"Plant surface"),EXACT(metadata!G534,"Plant corpus"),EXACT(metadata!G534,"Fungus surface"),EXACT(metadata!G534,"Fungus corpus"),EXACT(metadata!G534,"Animal surface"),EXACT(metadata!G534,"Animal proximal gut"),EXACT(metadata!G534,"Animal corpus"),EXACT(metadata!G534,"Animal distal gut"),EXACT(metadata!G534,"Animal secretion")))</f>
        <v>0</v>
      </c>
      <c r="AJ534" t="b">
        <f>OR(AND(IF(metadata!H534="",FALSE,TRUE),OR(EXACT(metadata!H534,"missing: not collected"),EXACT(metadata!H534,"missing: not provided"),EXACT(metadata!H534,"missing: restricted access"))),AND(IF(metadata!H534="",FALSE,TRUE),OR(EXACT(metadata!H534,"organism-associated habitat"),EXACT(metadata!H534,"plant-associated habitat"),EXACT(metadata!H534,"animal-associated habitat"),EXACT(metadata!H534,"insecta-associated habitat"),EXACT(metadata!H534,"mammalia-associated habitat"),EXACT(metadata!H534,"human-associated habitat"),EXACT(metadata!H534,"livestock-associated habitat"))))</f>
        <v>0</v>
      </c>
      <c r="AK534" t="b">
        <f>AND(IF(metadata!I534="",FALSE,TRUE),EXACT(metadata!I534,"host-associated"))</f>
        <v>0</v>
      </c>
      <c r="AL534" t="b">
        <f>OR(AND(IF(metadata!J534="",FALSE,TRUE),OR(EXACT(metadata!J534,"not applicable"),EXACT(metadata!J534,"missing: not collected"),EXACT(metadata!J534,"missing: not provided"),EXACT(metadata!J534,"missing: restricted access"))),AND(IF(metadata!J534="",FALSE,ISNUMBER(VALUE(metadata!J534))),metadata!J534&gt;0))</f>
        <v>0</v>
      </c>
      <c r="AM534" t="b">
        <f>AND(IF(metadata!K534="",FALSE,TRUE),EXACT(metadata!K534,"missing: not provided"))</f>
        <v>0</v>
      </c>
      <c r="AN534" t="b">
        <f>IF(metadata!L534="",FALSE,TRUE)</f>
        <v>0</v>
      </c>
      <c r="AO534" t="b">
        <f>IF(metadata!M534="",FALSE,TRUE)</f>
        <v>0</v>
      </c>
      <c r="AP534" t="b">
        <f>OR(AND(IF(metadata!N534="",FALSE,TRUE),OR(EXACT(metadata!N534,"not applicable"),EXACT(metadata!N534,"missing: not collected"),EXACT(metadata!N534,"missing: not provided"))),AND(IF(metadata!N534="",FALSE,IF(ISERROR(INT(metadata!N534)),FALSE,INT(metadata!N534)=metadata!N534)),metadata!N534&gt;0))</f>
        <v>0</v>
      </c>
      <c r="AQ534" t="b">
        <f>AND(IF(metadata!O534="",FALSE,TRUE),EXACT(metadata!O534,"Not applicable"))</f>
        <v>0</v>
      </c>
      <c r="AR534" t="b">
        <f>OR(AND(IF(metadata!P534="",FALSE,TRUE),OR(EXACT(metadata!P534,"not applicable"),EXACT(metadata!P534,"missing: not collected"),EXACT(metadata!P534,"missing: not provided"),EXACT(metadata!P534,"missing: restricted access"))),IF(metadata!P534="",FALSE,IF(ISERROR(INT(metadata!P534)),FALSE,INT(metadata!P534)=metadata!P534)))</f>
        <v>0</v>
      </c>
      <c r="AS534" t="b">
        <f>AND(IF(metadata!Q534="",FALSE,TRUE),EXACT(metadata!Q534,"Not applicable"))</f>
        <v>0</v>
      </c>
      <c r="AT534" t="b">
        <f>OR(AND(IF(metadata!R534="",FALSE,TRUE),OR(EXACT(metadata!R534,"not applicable"),EXACT(metadata!R534,"missing: not collected"),EXACT(metadata!R534,"missing: not provided"),EXACT(metadata!R534,"missing: restricted access"))),AND(IF(metadata!R534="",FALSE,ISNUMBER(VALUE(metadata!R534))),metadata!R534&gt;0))</f>
        <v>0</v>
      </c>
      <c r="AU534" t="b">
        <f>AND(IF(metadata!S534="",FALSE,TRUE),EXACT(metadata!S534,"missing: not provided"))</f>
        <v>0</v>
      </c>
    </row>
    <row r="535" spans="1:47" x14ac:dyDescent="0.2">
      <c r="A535" s="5" t="str">
        <f ca="1">IF(B535=" "," ",HYPERLINK(CONCATENATE("#metadata!",ADDRESS(INDEX($Y$2:$Y$1001,MATCH(ROWS($W$2:W535),$W$2:$W$1001,0),0),1)),INDEX($AB$2:$AB$1001,MATCH(ROWS($W$2:W535),$W$2:$W$1001,0),0)))</f>
        <v xml:space="preserve"> </v>
      </c>
      <c r="B535" s="4" t="str">
        <f ca="1">IF(OR(INDEX($X$2:$X$1001,MATCH(ROWS($W$2:W535),$W$2:$W$1001,0),1)&gt;=100000,INDEX($AD$1005:$AU$1005,1,MATCH(COLUMNS($AD$1006:AD1006),$AD$1006:$AU$1006,0))&gt;=100000), " ",IF(INDEX($AD$2:$AU$1001,MATCH(ROWS($W$2:W535),$W$2:$W$1001,0),MATCH(COLUMNS($AD$1006:AD1006),$AD$1006:$AU$1006,0)), HYPERLINK("#",""), HYPERLINK(CONCATENATE("#metadata!", ADDRESS(INDEX($Y$2:$Y$1001,MATCH(ROWS($W$2:W535),$W$2:$W$1001,0),0), INDEX($AD$1004:$AU$1004,1,MATCH(COLUMNS($AD$1006:AD1006),$AD$1006:$AU$1006,0)))),"Fix")))</f>
        <v xml:space="preserve"> </v>
      </c>
      <c r="C535" s="4" t="str">
        <f ca="1">IF(OR(INDEX($X$2:$X$1001,MATCH(ROWS($W$2:W535),$W$2:$W$1001,0),1)&gt;=100000,INDEX($AD$1005:$AU$1005,1,MATCH(COLUMNS($AD$1006:AE1006),$AD$1006:$AU$1006,0))&gt;=100000), " ",IF(INDEX($AD$2:$AU$1001,MATCH(ROWS($W$2:W535),$W$2:$W$1001,0),MATCH(COLUMNS($AD$1006:AE1006),$AD$1006:$AU$1006,0)), HYPERLINK("#",""), HYPERLINK(CONCATENATE("#metadata!", ADDRESS(INDEX($Y$2:$Y$1001,MATCH(ROWS($W$2:W535),$W$2:$W$1001,0),0), INDEX($AD$1004:$AU$1004,1,MATCH(COLUMNS($AD$1006:AE1006),$AD$1006:$AU$1006,0)))),"Fix")))</f>
        <v xml:space="preserve"> </v>
      </c>
      <c r="D535" s="4" t="str">
        <f ca="1">IF(OR(INDEX($X$2:$X$1001,MATCH(ROWS($W$2:W535),$W$2:$W$1001,0),1)&gt;=100000,INDEX($AD$1005:$AU$1005,1,MATCH(COLUMNS($AD$1006:AF1006),$AD$1006:$AU$1006,0))&gt;=100000), " ",IF(INDEX($AD$2:$AU$1001,MATCH(ROWS($W$2:W535),$W$2:$W$1001,0),MATCH(COLUMNS($AD$1006:AF1006),$AD$1006:$AU$1006,0)), HYPERLINK("#",""), HYPERLINK(CONCATENATE("#metadata!", ADDRESS(INDEX($Y$2:$Y$1001,MATCH(ROWS($W$2:W535),$W$2:$W$1001,0),0), INDEX($AD$1004:$AU$1004,1,MATCH(COLUMNS($AD$1006:AF1006),$AD$1006:$AU$1006,0)))),"Fix")))</f>
        <v xml:space="preserve"> </v>
      </c>
      <c r="E535" s="4" t="str">
        <f ca="1">IF(OR(INDEX($X$2:$X$1001,MATCH(ROWS($W$2:W535),$W$2:$W$1001,0),1)&gt;=100000,INDEX($AD$1005:$AU$1005,1,MATCH(COLUMNS($AD$1006:AG1006),$AD$1006:$AU$1006,0))&gt;=100000), " ",IF(INDEX($AD$2:$AU$1001,MATCH(ROWS($W$2:W535),$W$2:$W$1001,0),MATCH(COLUMNS($AD$1006:AG1006),$AD$1006:$AU$1006,0)), HYPERLINK("#",""), HYPERLINK(CONCATENATE("#metadata!", ADDRESS(INDEX($Y$2:$Y$1001,MATCH(ROWS($W$2:W535),$W$2:$W$1001,0),0), INDEX($AD$1004:$AU$1004,1,MATCH(COLUMNS($AD$1006:AG1006),$AD$1006:$AU$1006,0)))),"Fix")))</f>
        <v xml:space="preserve"> </v>
      </c>
      <c r="F535" s="4" t="str">
        <f ca="1">IF(OR(INDEX($X$2:$X$1001,MATCH(ROWS($W$2:W535),$W$2:$W$1001,0),1)&gt;=100000,INDEX($AD$1005:$AU$1005,1,MATCH(COLUMNS($AD$1006:AH1006),$AD$1006:$AU$1006,0))&gt;=100000), " ",IF(INDEX($AD$2:$AU$1001,MATCH(ROWS($W$2:W535),$W$2:$W$1001,0),MATCH(COLUMNS($AD$1006:AH1006),$AD$1006:$AU$1006,0)), HYPERLINK("#",""), HYPERLINK(CONCATENATE("#metadata!", ADDRESS(INDEX($Y$2:$Y$1001,MATCH(ROWS($W$2:W535),$W$2:$W$1001,0),0), INDEX($AD$1004:$AU$1004,1,MATCH(COLUMNS($AD$1006:AH1006),$AD$1006:$AU$1006,0)))),"Fix")))</f>
        <v xml:space="preserve"> </v>
      </c>
      <c r="G535" s="4" t="str">
        <f ca="1">IF(OR(INDEX($X$2:$X$1001,MATCH(ROWS($W$2:W535),$W$2:$W$1001,0),1)&gt;=100000,INDEX($AD$1005:$AU$1005,1,MATCH(COLUMNS($AD$1006:AI1006),$AD$1006:$AU$1006,0))&gt;=100000), " ",IF(INDEX($AD$2:$AU$1001,MATCH(ROWS($W$2:W535),$W$2:$W$1001,0),MATCH(COLUMNS($AD$1006:AI1006),$AD$1006:$AU$1006,0)), HYPERLINK("#",""), HYPERLINK(CONCATENATE("#metadata!", ADDRESS(INDEX($Y$2:$Y$1001,MATCH(ROWS($W$2:W535),$W$2:$W$1001,0),0), INDEX($AD$1004:$AU$1004,1,MATCH(COLUMNS($AD$1006:AI1006),$AD$1006:$AU$1006,0)))),"Fix")))</f>
        <v xml:space="preserve"> </v>
      </c>
      <c r="H535" s="4" t="str">
        <f ca="1">IF(OR(INDEX($X$2:$X$1001,MATCH(ROWS($W$2:W535),$W$2:$W$1001,0),1)&gt;=100000,INDEX($AD$1005:$AU$1005,1,MATCH(COLUMNS($AD$1006:AJ1006),$AD$1006:$AU$1006,0))&gt;=100000), " ",IF(INDEX($AD$2:$AU$1001,MATCH(ROWS($W$2:W535),$W$2:$W$1001,0),MATCH(COLUMNS($AD$1006:AJ1006),$AD$1006:$AU$1006,0)), HYPERLINK("#",""), HYPERLINK(CONCATENATE("#metadata!", ADDRESS(INDEX($Y$2:$Y$1001,MATCH(ROWS($W$2:W535),$W$2:$W$1001,0),0), INDEX($AD$1004:$AU$1004,1,MATCH(COLUMNS($AD$1006:AJ1006),$AD$1006:$AU$1006,0)))),"Fix")))</f>
        <v xml:space="preserve"> </v>
      </c>
      <c r="I535" s="4" t="str">
        <f ca="1">IF(OR(INDEX($X$2:$X$1001,MATCH(ROWS($W$2:W535),$W$2:$W$1001,0),1)&gt;=100000,INDEX($AD$1005:$AU$1005,1,MATCH(COLUMNS($AD$1006:AK1006),$AD$1006:$AU$1006,0))&gt;=100000), " ",IF(INDEX($AD$2:$AU$1001,MATCH(ROWS($W$2:W535),$W$2:$W$1001,0),MATCH(COLUMNS($AD$1006:AK1006),$AD$1006:$AU$1006,0)), HYPERLINK("#",""), HYPERLINK(CONCATENATE("#metadata!", ADDRESS(INDEX($Y$2:$Y$1001,MATCH(ROWS($W$2:W535),$W$2:$W$1001,0),0), INDEX($AD$1004:$AU$1004,1,MATCH(COLUMNS($AD$1006:AK1006),$AD$1006:$AU$1006,0)))),"Fix")))</f>
        <v xml:space="preserve"> </v>
      </c>
      <c r="J535" s="4" t="str">
        <f ca="1">IF(OR(INDEX($X$2:$X$1001,MATCH(ROWS($W$2:W535),$W$2:$W$1001,0),1)&gt;=100000,INDEX($AD$1005:$AU$1005,1,MATCH(COLUMNS($AD$1006:AL1006),$AD$1006:$AU$1006,0))&gt;=100000), " ",IF(INDEX($AD$2:$AU$1001,MATCH(ROWS($W$2:W535),$W$2:$W$1001,0),MATCH(COLUMNS($AD$1006:AL1006),$AD$1006:$AU$1006,0)), HYPERLINK("#",""), HYPERLINK(CONCATENATE("#metadata!", ADDRESS(INDEX($Y$2:$Y$1001,MATCH(ROWS($W$2:W535),$W$2:$W$1001,0),0), INDEX($AD$1004:$AU$1004,1,MATCH(COLUMNS($AD$1006:AL1006),$AD$1006:$AU$1006,0)))),"Fix")))</f>
        <v xml:space="preserve"> </v>
      </c>
      <c r="K535" s="4" t="str">
        <f ca="1">IF(OR(INDEX($X$2:$X$1001,MATCH(ROWS($W$2:W535),$W$2:$W$1001,0),1)&gt;=100000,INDEX($AD$1005:$AU$1005,1,MATCH(COLUMNS($AD$1006:AM1006),$AD$1006:$AU$1006,0))&gt;=100000), " ",IF(INDEX($AD$2:$AU$1001,MATCH(ROWS($W$2:W535),$W$2:$W$1001,0),MATCH(COLUMNS($AD$1006:AM1006),$AD$1006:$AU$1006,0)), HYPERLINK("#",""), HYPERLINK(CONCATENATE("#metadata!", ADDRESS(INDEX($Y$2:$Y$1001,MATCH(ROWS($W$2:W535),$W$2:$W$1001,0),0), INDEX($AD$1004:$AU$1004,1,MATCH(COLUMNS($AD$1006:AM1006),$AD$1006:$AU$1006,0)))),"Fix")))</f>
        <v xml:space="preserve"> </v>
      </c>
      <c r="L535" s="4" t="str">
        <f ca="1">IF(OR(INDEX($X$2:$X$1001,MATCH(ROWS($W$2:W535),$W$2:$W$1001,0),1)&gt;=100000,INDEX($AD$1005:$AU$1005,1,MATCH(COLUMNS($AD$1006:AN1006),$AD$1006:$AU$1006,0))&gt;=100000), " ",IF(INDEX($AD$2:$AU$1001,MATCH(ROWS($W$2:W535),$W$2:$W$1001,0),MATCH(COLUMNS($AD$1006:AN1006),$AD$1006:$AU$1006,0)), HYPERLINK("#",""), HYPERLINK(CONCATENATE("#metadata!", ADDRESS(INDEX($Y$2:$Y$1001,MATCH(ROWS($W$2:W535),$W$2:$W$1001,0),0), INDEX($AD$1004:$AU$1004,1,MATCH(COLUMNS($AD$1006:AN1006),$AD$1006:$AU$1006,0)))),"Fix")))</f>
        <v xml:space="preserve"> </v>
      </c>
      <c r="M535" s="4" t="str">
        <f ca="1">IF(OR(INDEX($X$2:$X$1001,MATCH(ROWS($W$2:W535),$W$2:$W$1001,0),1)&gt;=100000,INDEX($AD$1005:$AU$1005,1,MATCH(COLUMNS($AD$1006:AO1006),$AD$1006:$AU$1006,0))&gt;=100000), " ",IF(INDEX($AD$2:$AU$1001,MATCH(ROWS($W$2:W535),$W$2:$W$1001,0),MATCH(COLUMNS($AD$1006:AO1006),$AD$1006:$AU$1006,0)), HYPERLINK("#",""), HYPERLINK(CONCATENATE("#metadata!", ADDRESS(INDEX($Y$2:$Y$1001,MATCH(ROWS($W$2:W535),$W$2:$W$1001,0),0), INDEX($AD$1004:$AU$1004,1,MATCH(COLUMNS($AD$1006:AO1006),$AD$1006:$AU$1006,0)))),"Fix")))</f>
        <v xml:space="preserve"> </v>
      </c>
      <c r="N535" s="4" t="str">
        <f ca="1">IF(OR(INDEX($X$2:$X$1001,MATCH(ROWS($W$2:W535),$W$2:$W$1001,0),1)&gt;=100000,INDEX($AD$1005:$AU$1005,1,MATCH(COLUMNS($AD$1006:AP1006),$AD$1006:$AU$1006,0))&gt;=100000), " ",IF(INDEX($AD$2:$AU$1001,MATCH(ROWS($W$2:W535),$W$2:$W$1001,0),MATCH(COLUMNS($AD$1006:AP1006),$AD$1006:$AU$1006,0)), HYPERLINK("#",""), HYPERLINK(CONCATENATE("#metadata!", ADDRESS(INDEX($Y$2:$Y$1001,MATCH(ROWS($W$2:W535),$W$2:$W$1001,0),0), INDEX($AD$1004:$AU$1004,1,MATCH(COLUMNS($AD$1006:AP1006),$AD$1006:$AU$1006,0)))),"Fix")))</f>
        <v xml:space="preserve"> </v>
      </c>
      <c r="O535" s="4" t="str">
        <f ca="1">IF(OR(INDEX($X$2:$X$1001,MATCH(ROWS($W$2:W535),$W$2:$W$1001,0),1)&gt;=100000,INDEX($AD$1005:$AU$1005,1,MATCH(COLUMNS($AD$1006:AQ1006),$AD$1006:$AU$1006,0))&gt;=100000), " ",IF(INDEX($AD$2:$AU$1001,MATCH(ROWS($W$2:W535),$W$2:$W$1001,0),MATCH(COLUMNS($AD$1006:AQ1006),$AD$1006:$AU$1006,0)), HYPERLINK("#",""), HYPERLINK(CONCATENATE("#metadata!", ADDRESS(INDEX($Y$2:$Y$1001,MATCH(ROWS($W$2:W535),$W$2:$W$1001,0),0), INDEX($AD$1004:$AU$1004,1,MATCH(COLUMNS($AD$1006:AQ1006),$AD$1006:$AU$1006,0)))),"Fix")))</f>
        <v xml:space="preserve"> </v>
      </c>
      <c r="P535" s="4" t="str">
        <f ca="1">IF(OR(INDEX($X$2:$X$1001,MATCH(ROWS($W$2:W535),$W$2:$W$1001,0),1)&gt;=100000,INDEX($AD$1005:$AU$1005,1,MATCH(COLUMNS($AD$1006:AR1006),$AD$1006:$AU$1006,0))&gt;=100000), " ",IF(INDEX($AD$2:$AU$1001,MATCH(ROWS($W$2:W535),$W$2:$W$1001,0),MATCH(COLUMNS($AD$1006:AR1006),$AD$1006:$AU$1006,0)), HYPERLINK("#",""), HYPERLINK(CONCATENATE("#metadata!", ADDRESS(INDEX($Y$2:$Y$1001,MATCH(ROWS($W$2:W535),$W$2:$W$1001,0),0), INDEX($AD$1004:$AU$1004,1,MATCH(COLUMNS($AD$1006:AR1006),$AD$1006:$AU$1006,0)))),"Fix")))</f>
        <v xml:space="preserve"> </v>
      </c>
      <c r="Q535" s="4" t="str">
        <f ca="1">IF(OR(INDEX($X$2:$X$1001,MATCH(ROWS($W$2:W535),$W$2:$W$1001,0),1)&gt;=100000,INDEX($AD$1005:$AU$1005,1,MATCH(COLUMNS($AD$1006:AS1006),$AD$1006:$AU$1006,0))&gt;=100000), " ",IF(INDEX($AD$2:$AU$1001,MATCH(ROWS($W$2:W535),$W$2:$W$1001,0),MATCH(COLUMNS($AD$1006:AS1006),$AD$1006:$AU$1006,0)), HYPERLINK("#",""), HYPERLINK(CONCATENATE("#metadata!", ADDRESS(INDEX($Y$2:$Y$1001,MATCH(ROWS($W$2:W535),$W$2:$W$1001,0),0), INDEX($AD$1004:$AU$1004,1,MATCH(COLUMNS($AD$1006:AS1006),$AD$1006:$AU$1006,0)))),"Fix")))</f>
        <v xml:space="preserve"> </v>
      </c>
      <c r="R535" s="4" t="str">
        <f ca="1">IF(OR(INDEX($X$2:$X$1001,MATCH(ROWS($W$2:W535),$W$2:$W$1001,0),1)&gt;=100000,INDEX($AD$1005:$AU$1005,1,MATCH(COLUMNS($AD$1006:AT1006),$AD$1006:$AU$1006,0))&gt;=100000), " ",IF(INDEX($AD$2:$AU$1001,MATCH(ROWS($W$2:W535),$W$2:$W$1001,0),MATCH(COLUMNS($AD$1006:AT1006),$AD$1006:$AU$1006,0)), HYPERLINK("#",""), HYPERLINK(CONCATENATE("#metadata!", ADDRESS(INDEX($Y$2:$Y$1001,MATCH(ROWS($W$2:W535),$W$2:$W$1001,0),0), INDEX($AD$1004:$AU$1004,1,MATCH(COLUMNS($AD$1006:AT1006),$AD$1006:$AU$1006,0)))),"Fix")))</f>
        <v xml:space="preserve"> </v>
      </c>
      <c r="S535" s="4" t="str">
        <f ca="1">IF(OR(INDEX($X$2:$X$1001,MATCH(ROWS($W$2:W535),$W$2:$W$1001,0),1)&gt;=100000,INDEX($AD$1005:$AU$1005,1,MATCH(COLUMNS($AD$1006:AU1006),$AD$1006:$AU$1006,0))&gt;=100000), " ",IF(INDEX($AD$2:$AU$1001,MATCH(ROWS($W$2:W535),$W$2:$W$1001,0),MATCH(COLUMNS($AD$1006:AU1006),$AD$1006:$AU$1006,0)), HYPERLINK("#",""), HYPERLINK(CONCATENATE("#metadata!", ADDRESS(INDEX($Y$2:$Y$1001,MATCH(ROWS($W$2:W535),$W$2:$W$1001,0),0), INDEX($AD$1004:$AU$1004,1,MATCH(COLUMNS($AD$1006:AU1006),$AD$1006:$AU$1006,0)))),"Fix")))</f>
        <v xml:space="preserve"> </v>
      </c>
      <c r="W535">
        <v>534</v>
      </c>
      <c r="X535">
        <v>100535</v>
      </c>
      <c r="Y535">
        <v>535</v>
      </c>
      <c r="Z535" t="b">
        <f t="shared" si="8"/>
        <v>1</v>
      </c>
      <c r="AA535" t="b">
        <f>COUNTBLANK(metadata!B535:S535)=COLUMNS(metadata!B535:S535)</f>
        <v>1</v>
      </c>
      <c r="AB535" t="str">
        <v/>
      </c>
      <c r="AD535" t="b">
        <f ca="1">AND(IF(metadata!B535="",FALSE,TRUE),COUNTIF(metadata!B:B, metadata!B535) = 1,NOT(ISERROR(SUMPRODUCT(SEARCH(MID(metadata!B535,ROW(INDIRECT("1:"&amp;LEN(metadata!B535))), 1),"0123456789abcdefghijklmnopqrstuvwxyzABCDEFGHIJKLMNOPQRSTUVWXYZ.")))))</f>
        <v>0</v>
      </c>
      <c r="AE535" t="b">
        <f>OR(AND(IF(metadata!C535="",FALSE,TRUE),OR(EXACT(metadata!C535,"not applicable"),EXACT(metadata!C535,"missing: not collected"),EXACT(metadata!C535,"missing: not provided"),EXACT(metadata!C535,"missing: restricted access"))),AND(IF(metadata!C535="",FALSE,ISNUMBER(VALUE(metadata!C535))),metadata!C535&gt;0))</f>
        <v>0</v>
      </c>
      <c r="AF535" t="b">
        <f>AND(IF(metadata!D535="",FALSE,TRUE),EXACT(metadata!D535,"missing: not provided"))</f>
        <v>0</v>
      </c>
      <c r="AG535" t="b">
        <f>AND(IF(metadata!E535="",FALSE,TRUE),EXACT(metadata!E535,"Host-associated"))</f>
        <v>0</v>
      </c>
      <c r="AH535" t="b">
        <f>AND(IF(metadata!F535="",FALSE,TRUE),OR(EXACT(metadata!F535,"Animal"),EXACT(metadata!F535,"Fungus"),EXACT(metadata!F535,"Plant")))</f>
        <v>0</v>
      </c>
      <c r="AI535" t="b">
        <f>AND(IF(metadata!G535="",FALSE,TRUE),OR(EXACT(metadata!G535,"Plant secretion"),EXACT(metadata!G535,"Plant rhizosphere"),EXACT(metadata!G535,"Plant surface"),EXACT(metadata!G535,"Plant corpus"),EXACT(metadata!G535,"Fungus surface"),EXACT(metadata!G535,"Fungus corpus"),EXACT(metadata!G535,"Animal surface"),EXACT(metadata!G535,"Animal proximal gut"),EXACT(metadata!G535,"Animal corpus"),EXACT(metadata!G535,"Animal distal gut"),EXACT(metadata!G535,"Animal secretion")))</f>
        <v>0</v>
      </c>
      <c r="AJ535" t="b">
        <f>OR(AND(IF(metadata!H535="",FALSE,TRUE),OR(EXACT(metadata!H535,"missing: not collected"),EXACT(metadata!H535,"missing: not provided"),EXACT(metadata!H535,"missing: restricted access"))),AND(IF(metadata!H535="",FALSE,TRUE),OR(EXACT(metadata!H535,"organism-associated habitat"),EXACT(metadata!H535,"plant-associated habitat"),EXACT(metadata!H535,"animal-associated habitat"),EXACT(metadata!H535,"insecta-associated habitat"),EXACT(metadata!H535,"mammalia-associated habitat"),EXACT(metadata!H535,"human-associated habitat"),EXACT(metadata!H535,"livestock-associated habitat"))))</f>
        <v>0</v>
      </c>
      <c r="AK535" t="b">
        <f>AND(IF(metadata!I535="",FALSE,TRUE),EXACT(metadata!I535,"host-associated"))</f>
        <v>0</v>
      </c>
      <c r="AL535" t="b">
        <f>OR(AND(IF(metadata!J535="",FALSE,TRUE),OR(EXACT(metadata!J535,"not applicable"),EXACT(metadata!J535,"missing: not collected"),EXACT(metadata!J535,"missing: not provided"),EXACT(metadata!J535,"missing: restricted access"))),AND(IF(metadata!J535="",FALSE,ISNUMBER(VALUE(metadata!J535))),metadata!J535&gt;0))</f>
        <v>0</v>
      </c>
      <c r="AM535" t="b">
        <f>AND(IF(metadata!K535="",FALSE,TRUE),EXACT(metadata!K535,"missing: not provided"))</f>
        <v>0</v>
      </c>
      <c r="AN535" t="b">
        <f>IF(metadata!L535="",FALSE,TRUE)</f>
        <v>0</v>
      </c>
      <c r="AO535" t="b">
        <f>IF(metadata!M535="",FALSE,TRUE)</f>
        <v>0</v>
      </c>
      <c r="AP535" t="b">
        <f>OR(AND(IF(metadata!N535="",FALSE,TRUE),OR(EXACT(metadata!N535,"not applicable"),EXACT(metadata!N535,"missing: not collected"),EXACT(metadata!N535,"missing: not provided"))),AND(IF(metadata!N535="",FALSE,IF(ISERROR(INT(metadata!N535)),FALSE,INT(metadata!N535)=metadata!N535)),metadata!N535&gt;0))</f>
        <v>0</v>
      </c>
      <c r="AQ535" t="b">
        <f>AND(IF(metadata!O535="",FALSE,TRUE),EXACT(metadata!O535,"Not applicable"))</f>
        <v>0</v>
      </c>
      <c r="AR535" t="b">
        <f>OR(AND(IF(metadata!P535="",FALSE,TRUE),OR(EXACT(metadata!P535,"not applicable"),EXACT(metadata!P535,"missing: not collected"),EXACT(metadata!P535,"missing: not provided"),EXACT(metadata!P535,"missing: restricted access"))),IF(metadata!P535="",FALSE,IF(ISERROR(INT(metadata!P535)),FALSE,INT(metadata!P535)=metadata!P535)))</f>
        <v>0</v>
      </c>
      <c r="AS535" t="b">
        <f>AND(IF(metadata!Q535="",FALSE,TRUE),EXACT(metadata!Q535,"Not applicable"))</f>
        <v>0</v>
      </c>
      <c r="AT535" t="b">
        <f>OR(AND(IF(metadata!R535="",FALSE,TRUE),OR(EXACT(metadata!R535,"not applicable"),EXACT(metadata!R535,"missing: not collected"),EXACT(metadata!R535,"missing: not provided"),EXACT(metadata!R535,"missing: restricted access"))),AND(IF(metadata!R535="",FALSE,ISNUMBER(VALUE(metadata!R535))),metadata!R535&gt;0))</f>
        <v>0</v>
      </c>
      <c r="AU535" t="b">
        <f>AND(IF(metadata!S535="",FALSE,TRUE),EXACT(metadata!S535,"missing: not provided"))</f>
        <v>0</v>
      </c>
    </row>
    <row r="536" spans="1:47" x14ac:dyDescent="0.2">
      <c r="A536" s="5" t="str">
        <f ca="1">IF(B536=" "," ",HYPERLINK(CONCATENATE("#metadata!",ADDRESS(INDEX($Y$2:$Y$1001,MATCH(ROWS($W$2:W536),$W$2:$W$1001,0),0),1)),INDEX($AB$2:$AB$1001,MATCH(ROWS($W$2:W536),$W$2:$W$1001,0),0)))</f>
        <v xml:space="preserve"> </v>
      </c>
      <c r="B536" s="4" t="str">
        <f ca="1">IF(OR(INDEX($X$2:$X$1001,MATCH(ROWS($W$2:W536),$W$2:$W$1001,0),1)&gt;=100000,INDEX($AD$1005:$AU$1005,1,MATCH(COLUMNS($AD$1006:AD1006),$AD$1006:$AU$1006,0))&gt;=100000), " ",IF(INDEX($AD$2:$AU$1001,MATCH(ROWS($W$2:W536),$W$2:$W$1001,0),MATCH(COLUMNS($AD$1006:AD1006),$AD$1006:$AU$1006,0)), HYPERLINK("#",""), HYPERLINK(CONCATENATE("#metadata!", ADDRESS(INDEX($Y$2:$Y$1001,MATCH(ROWS($W$2:W536),$W$2:$W$1001,0),0), INDEX($AD$1004:$AU$1004,1,MATCH(COLUMNS($AD$1006:AD1006),$AD$1006:$AU$1006,0)))),"Fix")))</f>
        <v xml:space="preserve"> </v>
      </c>
      <c r="C536" s="4" t="str">
        <f ca="1">IF(OR(INDEX($X$2:$X$1001,MATCH(ROWS($W$2:W536),$W$2:$W$1001,0),1)&gt;=100000,INDEX($AD$1005:$AU$1005,1,MATCH(COLUMNS($AD$1006:AE1006),$AD$1006:$AU$1006,0))&gt;=100000), " ",IF(INDEX($AD$2:$AU$1001,MATCH(ROWS($W$2:W536),$W$2:$W$1001,0),MATCH(COLUMNS($AD$1006:AE1006),$AD$1006:$AU$1006,0)), HYPERLINK("#",""), HYPERLINK(CONCATENATE("#metadata!", ADDRESS(INDEX($Y$2:$Y$1001,MATCH(ROWS($W$2:W536),$W$2:$W$1001,0),0), INDEX($AD$1004:$AU$1004,1,MATCH(COLUMNS($AD$1006:AE1006),$AD$1006:$AU$1006,0)))),"Fix")))</f>
        <v xml:space="preserve"> </v>
      </c>
      <c r="D536" s="4" t="str">
        <f ca="1">IF(OR(INDEX($X$2:$X$1001,MATCH(ROWS($W$2:W536),$W$2:$W$1001,0),1)&gt;=100000,INDEX($AD$1005:$AU$1005,1,MATCH(COLUMNS($AD$1006:AF1006),$AD$1006:$AU$1006,0))&gt;=100000), " ",IF(INDEX($AD$2:$AU$1001,MATCH(ROWS($W$2:W536),$W$2:$W$1001,0),MATCH(COLUMNS($AD$1006:AF1006),$AD$1006:$AU$1006,0)), HYPERLINK("#",""), HYPERLINK(CONCATENATE("#metadata!", ADDRESS(INDEX($Y$2:$Y$1001,MATCH(ROWS($W$2:W536),$W$2:$W$1001,0),0), INDEX($AD$1004:$AU$1004,1,MATCH(COLUMNS($AD$1006:AF1006),$AD$1006:$AU$1006,0)))),"Fix")))</f>
        <v xml:space="preserve"> </v>
      </c>
      <c r="E536" s="4" t="str">
        <f ca="1">IF(OR(INDEX($X$2:$X$1001,MATCH(ROWS($W$2:W536),$W$2:$W$1001,0),1)&gt;=100000,INDEX($AD$1005:$AU$1005,1,MATCH(COLUMNS($AD$1006:AG1006),$AD$1006:$AU$1006,0))&gt;=100000), " ",IF(INDEX($AD$2:$AU$1001,MATCH(ROWS($W$2:W536),$W$2:$W$1001,0),MATCH(COLUMNS($AD$1006:AG1006),$AD$1006:$AU$1006,0)), HYPERLINK("#",""), HYPERLINK(CONCATENATE("#metadata!", ADDRESS(INDEX($Y$2:$Y$1001,MATCH(ROWS($W$2:W536),$W$2:$W$1001,0),0), INDEX($AD$1004:$AU$1004,1,MATCH(COLUMNS($AD$1006:AG1006),$AD$1006:$AU$1006,0)))),"Fix")))</f>
        <v xml:space="preserve"> </v>
      </c>
      <c r="F536" s="4" t="str">
        <f ca="1">IF(OR(INDEX($X$2:$X$1001,MATCH(ROWS($W$2:W536),$W$2:$W$1001,0),1)&gt;=100000,INDEX($AD$1005:$AU$1005,1,MATCH(COLUMNS($AD$1006:AH1006),$AD$1006:$AU$1006,0))&gt;=100000), " ",IF(INDEX($AD$2:$AU$1001,MATCH(ROWS($W$2:W536),$W$2:$W$1001,0),MATCH(COLUMNS($AD$1006:AH1006),$AD$1006:$AU$1006,0)), HYPERLINK("#",""), HYPERLINK(CONCATENATE("#metadata!", ADDRESS(INDEX($Y$2:$Y$1001,MATCH(ROWS($W$2:W536),$W$2:$W$1001,0),0), INDEX($AD$1004:$AU$1004,1,MATCH(COLUMNS($AD$1006:AH1006),$AD$1006:$AU$1006,0)))),"Fix")))</f>
        <v xml:space="preserve"> </v>
      </c>
      <c r="G536" s="4" t="str">
        <f ca="1">IF(OR(INDEX($X$2:$X$1001,MATCH(ROWS($W$2:W536),$W$2:$W$1001,0),1)&gt;=100000,INDEX($AD$1005:$AU$1005,1,MATCH(COLUMNS($AD$1006:AI1006),$AD$1006:$AU$1006,0))&gt;=100000), " ",IF(INDEX($AD$2:$AU$1001,MATCH(ROWS($W$2:W536),$W$2:$W$1001,0),MATCH(COLUMNS($AD$1006:AI1006),$AD$1006:$AU$1006,0)), HYPERLINK("#",""), HYPERLINK(CONCATENATE("#metadata!", ADDRESS(INDEX($Y$2:$Y$1001,MATCH(ROWS($W$2:W536),$W$2:$W$1001,0),0), INDEX($AD$1004:$AU$1004,1,MATCH(COLUMNS($AD$1006:AI1006),$AD$1006:$AU$1006,0)))),"Fix")))</f>
        <v xml:space="preserve"> </v>
      </c>
      <c r="H536" s="4" t="str">
        <f ca="1">IF(OR(INDEX($X$2:$X$1001,MATCH(ROWS($W$2:W536),$W$2:$W$1001,0),1)&gt;=100000,INDEX($AD$1005:$AU$1005,1,MATCH(COLUMNS($AD$1006:AJ1006),$AD$1006:$AU$1006,0))&gt;=100000), " ",IF(INDEX($AD$2:$AU$1001,MATCH(ROWS($W$2:W536),$W$2:$W$1001,0),MATCH(COLUMNS($AD$1006:AJ1006),$AD$1006:$AU$1006,0)), HYPERLINK("#",""), HYPERLINK(CONCATENATE("#metadata!", ADDRESS(INDEX($Y$2:$Y$1001,MATCH(ROWS($W$2:W536),$W$2:$W$1001,0),0), INDEX($AD$1004:$AU$1004,1,MATCH(COLUMNS($AD$1006:AJ1006),$AD$1006:$AU$1006,0)))),"Fix")))</f>
        <v xml:space="preserve"> </v>
      </c>
      <c r="I536" s="4" t="str">
        <f ca="1">IF(OR(INDEX($X$2:$X$1001,MATCH(ROWS($W$2:W536),$W$2:$W$1001,0),1)&gt;=100000,INDEX($AD$1005:$AU$1005,1,MATCH(COLUMNS($AD$1006:AK1006),$AD$1006:$AU$1006,0))&gt;=100000), " ",IF(INDEX($AD$2:$AU$1001,MATCH(ROWS($W$2:W536),$W$2:$W$1001,0),MATCH(COLUMNS($AD$1006:AK1006),$AD$1006:$AU$1006,0)), HYPERLINK("#",""), HYPERLINK(CONCATENATE("#metadata!", ADDRESS(INDEX($Y$2:$Y$1001,MATCH(ROWS($W$2:W536),$W$2:$W$1001,0),0), INDEX($AD$1004:$AU$1004,1,MATCH(COLUMNS($AD$1006:AK1006),$AD$1006:$AU$1006,0)))),"Fix")))</f>
        <v xml:space="preserve"> </v>
      </c>
      <c r="J536" s="4" t="str">
        <f ca="1">IF(OR(INDEX($X$2:$X$1001,MATCH(ROWS($W$2:W536),$W$2:$W$1001,0),1)&gt;=100000,INDEX($AD$1005:$AU$1005,1,MATCH(COLUMNS($AD$1006:AL1006),$AD$1006:$AU$1006,0))&gt;=100000), " ",IF(INDEX($AD$2:$AU$1001,MATCH(ROWS($W$2:W536),$W$2:$W$1001,0),MATCH(COLUMNS($AD$1006:AL1006),$AD$1006:$AU$1006,0)), HYPERLINK("#",""), HYPERLINK(CONCATENATE("#metadata!", ADDRESS(INDEX($Y$2:$Y$1001,MATCH(ROWS($W$2:W536),$W$2:$W$1001,0),0), INDEX($AD$1004:$AU$1004,1,MATCH(COLUMNS($AD$1006:AL1006),$AD$1006:$AU$1006,0)))),"Fix")))</f>
        <v xml:space="preserve"> </v>
      </c>
      <c r="K536" s="4" t="str">
        <f ca="1">IF(OR(INDEX($X$2:$X$1001,MATCH(ROWS($W$2:W536),$W$2:$W$1001,0),1)&gt;=100000,INDEX($AD$1005:$AU$1005,1,MATCH(COLUMNS($AD$1006:AM1006),$AD$1006:$AU$1006,0))&gt;=100000), " ",IF(INDEX($AD$2:$AU$1001,MATCH(ROWS($W$2:W536),$W$2:$W$1001,0),MATCH(COLUMNS($AD$1006:AM1006),$AD$1006:$AU$1006,0)), HYPERLINK("#",""), HYPERLINK(CONCATENATE("#metadata!", ADDRESS(INDEX($Y$2:$Y$1001,MATCH(ROWS($W$2:W536),$W$2:$W$1001,0),0), INDEX($AD$1004:$AU$1004,1,MATCH(COLUMNS($AD$1006:AM1006),$AD$1006:$AU$1006,0)))),"Fix")))</f>
        <v xml:space="preserve"> </v>
      </c>
      <c r="L536" s="4" t="str">
        <f ca="1">IF(OR(INDEX($X$2:$X$1001,MATCH(ROWS($W$2:W536),$W$2:$W$1001,0),1)&gt;=100000,INDEX($AD$1005:$AU$1005,1,MATCH(COLUMNS($AD$1006:AN1006),$AD$1006:$AU$1006,0))&gt;=100000), " ",IF(INDEX($AD$2:$AU$1001,MATCH(ROWS($W$2:W536),$W$2:$W$1001,0),MATCH(COLUMNS($AD$1006:AN1006),$AD$1006:$AU$1006,0)), HYPERLINK("#",""), HYPERLINK(CONCATENATE("#metadata!", ADDRESS(INDEX($Y$2:$Y$1001,MATCH(ROWS($W$2:W536),$W$2:$W$1001,0),0), INDEX($AD$1004:$AU$1004,1,MATCH(COLUMNS($AD$1006:AN1006),$AD$1006:$AU$1006,0)))),"Fix")))</f>
        <v xml:space="preserve"> </v>
      </c>
      <c r="M536" s="4" t="str">
        <f ca="1">IF(OR(INDEX($X$2:$X$1001,MATCH(ROWS($W$2:W536),$W$2:$W$1001,0),1)&gt;=100000,INDEX($AD$1005:$AU$1005,1,MATCH(COLUMNS($AD$1006:AO1006),$AD$1006:$AU$1006,0))&gt;=100000), " ",IF(INDEX($AD$2:$AU$1001,MATCH(ROWS($W$2:W536),$W$2:$W$1001,0),MATCH(COLUMNS($AD$1006:AO1006),$AD$1006:$AU$1006,0)), HYPERLINK("#",""), HYPERLINK(CONCATENATE("#metadata!", ADDRESS(INDEX($Y$2:$Y$1001,MATCH(ROWS($W$2:W536),$W$2:$W$1001,0),0), INDEX($AD$1004:$AU$1004,1,MATCH(COLUMNS($AD$1006:AO1006),$AD$1006:$AU$1006,0)))),"Fix")))</f>
        <v xml:space="preserve"> </v>
      </c>
      <c r="N536" s="4" t="str">
        <f ca="1">IF(OR(INDEX($X$2:$X$1001,MATCH(ROWS($W$2:W536),$W$2:$W$1001,0),1)&gt;=100000,INDEX($AD$1005:$AU$1005,1,MATCH(COLUMNS($AD$1006:AP1006),$AD$1006:$AU$1006,0))&gt;=100000), " ",IF(INDEX($AD$2:$AU$1001,MATCH(ROWS($W$2:W536),$W$2:$W$1001,0),MATCH(COLUMNS($AD$1006:AP1006),$AD$1006:$AU$1006,0)), HYPERLINK("#",""), HYPERLINK(CONCATENATE("#metadata!", ADDRESS(INDEX($Y$2:$Y$1001,MATCH(ROWS($W$2:W536),$W$2:$W$1001,0),0), INDEX($AD$1004:$AU$1004,1,MATCH(COLUMNS($AD$1006:AP1006),$AD$1006:$AU$1006,0)))),"Fix")))</f>
        <v xml:space="preserve"> </v>
      </c>
      <c r="O536" s="4" t="str">
        <f ca="1">IF(OR(INDEX($X$2:$X$1001,MATCH(ROWS($W$2:W536),$W$2:$W$1001,0),1)&gt;=100000,INDEX($AD$1005:$AU$1005,1,MATCH(COLUMNS($AD$1006:AQ1006),$AD$1006:$AU$1006,0))&gt;=100000), " ",IF(INDEX($AD$2:$AU$1001,MATCH(ROWS($W$2:W536),$W$2:$W$1001,0),MATCH(COLUMNS($AD$1006:AQ1006),$AD$1006:$AU$1006,0)), HYPERLINK("#",""), HYPERLINK(CONCATENATE("#metadata!", ADDRESS(INDEX($Y$2:$Y$1001,MATCH(ROWS($W$2:W536),$W$2:$W$1001,0),0), INDEX($AD$1004:$AU$1004,1,MATCH(COLUMNS($AD$1006:AQ1006),$AD$1006:$AU$1006,0)))),"Fix")))</f>
        <v xml:space="preserve"> </v>
      </c>
      <c r="P536" s="4" t="str">
        <f ca="1">IF(OR(INDEX($X$2:$X$1001,MATCH(ROWS($W$2:W536),$W$2:$W$1001,0),1)&gt;=100000,INDEX($AD$1005:$AU$1005,1,MATCH(COLUMNS($AD$1006:AR1006),$AD$1006:$AU$1006,0))&gt;=100000), " ",IF(INDEX($AD$2:$AU$1001,MATCH(ROWS($W$2:W536),$W$2:$W$1001,0),MATCH(COLUMNS($AD$1006:AR1006),$AD$1006:$AU$1006,0)), HYPERLINK("#",""), HYPERLINK(CONCATENATE("#metadata!", ADDRESS(INDEX($Y$2:$Y$1001,MATCH(ROWS($W$2:W536),$W$2:$W$1001,0),0), INDEX($AD$1004:$AU$1004,1,MATCH(COLUMNS($AD$1006:AR1006),$AD$1006:$AU$1006,0)))),"Fix")))</f>
        <v xml:space="preserve"> </v>
      </c>
      <c r="Q536" s="4" t="str">
        <f ca="1">IF(OR(INDEX($X$2:$X$1001,MATCH(ROWS($W$2:W536),$W$2:$W$1001,0),1)&gt;=100000,INDEX($AD$1005:$AU$1005,1,MATCH(COLUMNS($AD$1006:AS1006),$AD$1006:$AU$1006,0))&gt;=100000), " ",IF(INDEX($AD$2:$AU$1001,MATCH(ROWS($W$2:W536),$W$2:$W$1001,0),MATCH(COLUMNS($AD$1006:AS1006),$AD$1006:$AU$1006,0)), HYPERLINK("#",""), HYPERLINK(CONCATENATE("#metadata!", ADDRESS(INDEX($Y$2:$Y$1001,MATCH(ROWS($W$2:W536),$W$2:$W$1001,0),0), INDEX($AD$1004:$AU$1004,1,MATCH(COLUMNS($AD$1006:AS1006),$AD$1006:$AU$1006,0)))),"Fix")))</f>
        <v xml:space="preserve"> </v>
      </c>
      <c r="R536" s="4" t="str">
        <f ca="1">IF(OR(INDEX($X$2:$X$1001,MATCH(ROWS($W$2:W536),$W$2:$W$1001,0),1)&gt;=100000,INDEX($AD$1005:$AU$1005,1,MATCH(COLUMNS($AD$1006:AT1006),$AD$1006:$AU$1006,0))&gt;=100000), " ",IF(INDEX($AD$2:$AU$1001,MATCH(ROWS($W$2:W536),$W$2:$W$1001,0),MATCH(COLUMNS($AD$1006:AT1006),$AD$1006:$AU$1006,0)), HYPERLINK("#",""), HYPERLINK(CONCATENATE("#metadata!", ADDRESS(INDEX($Y$2:$Y$1001,MATCH(ROWS($W$2:W536),$W$2:$W$1001,0),0), INDEX($AD$1004:$AU$1004,1,MATCH(COLUMNS($AD$1006:AT1006),$AD$1006:$AU$1006,0)))),"Fix")))</f>
        <v xml:space="preserve"> </v>
      </c>
      <c r="S536" s="4" t="str">
        <f ca="1">IF(OR(INDEX($X$2:$X$1001,MATCH(ROWS($W$2:W536),$W$2:$W$1001,0),1)&gt;=100000,INDEX($AD$1005:$AU$1005,1,MATCH(COLUMNS($AD$1006:AU1006),$AD$1006:$AU$1006,0))&gt;=100000), " ",IF(INDEX($AD$2:$AU$1001,MATCH(ROWS($W$2:W536),$W$2:$W$1001,0),MATCH(COLUMNS($AD$1006:AU1006),$AD$1006:$AU$1006,0)), HYPERLINK("#",""), HYPERLINK(CONCATENATE("#metadata!", ADDRESS(INDEX($Y$2:$Y$1001,MATCH(ROWS($W$2:W536),$W$2:$W$1001,0),0), INDEX($AD$1004:$AU$1004,1,MATCH(COLUMNS($AD$1006:AU1006),$AD$1006:$AU$1006,0)))),"Fix")))</f>
        <v xml:space="preserve"> </v>
      </c>
      <c r="W536">
        <v>535</v>
      </c>
      <c r="X536">
        <v>100536</v>
      </c>
      <c r="Y536">
        <v>536</v>
      </c>
      <c r="Z536" t="b">
        <f t="shared" si="8"/>
        <v>1</v>
      </c>
      <c r="AA536" t="b">
        <f>COUNTBLANK(metadata!B536:S536)=COLUMNS(metadata!B536:S536)</f>
        <v>1</v>
      </c>
      <c r="AB536" t="str">
        <v/>
      </c>
      <c r="AD536" t="b">
        <f ca="1">AND(IF(metadata!B536="",FALSE,TRUE),COUNTIF(metadata!B:B, metadata!B536) = 1,NOT(ISERROR(SUMPRODUCT(SEARCH(MID(metadata!B536,ROW(INDIRECT("1:"&amp;LEN(metadata!B536))), 1),"0123456789abcdefghijklmnopqrstuvwxyzABCDEFGHIJKLMNOPQRSTUVWXYZ.")))))</f>
        <v>0</v>
      </c>
      <c r="AE536" t="b">
        <f>OR(AND(IF(metadata!C536="",FALSE,TRUE),OR(EXACT(metadata!C536,"not applicable"),EXACT(metadata!C536,"missing: not collected"),EXACT(metadata!C536,"missing: not provided"),EXACT(metadata!C536,"missing: restricted access"))),AND(IF(metadata!C536="",FALSE,ISNUMBER(VALUE(metadata!C536))),metadata!C536&gt;0))</f>
        <v>0</v>
      </c>
      <c r="AF536" t="b">
        <f>AND(IF(metadata!D536="",FALSE,TRUE),EXACT(metadata!D536,"missing: not provided"))</f>
        <v>0</v>
      </c>
      <c r="AG536" t="b">
        <f>AND(IF(metadata!E536="",FALSE,TRUE),EXACT(metadata!E536,"Host-associated"))</f>
        <v>0</v>
      </c>
      <c r="AH536" t="b">
        <f>AND(IF(metadata!F536="",FALSE,TRUE),OR(EXACT(metadata!F536,"Animal"),EXACT(metadata!F536,"Fungus"),EXACT(metadata!F536,"Plant")))</f>
        <v>0</v>
      </c>
      <c r="AI536" t="b">
        <f>AND(IF(metadata!G536="",FALSE,TRUE),OR(EXACT(metadata!G536,"Plant secretion"),EXACT(metadata!G536,"Plant rhizosphere"),EXACT(metadata!G536,"Plant surface"),EXACT(metadata!G536,"Plant corpus"),EXACT(metadata!G536,"Fungus surface"),EXACT(metadata!G536,"Fungus corpus"),EXACT(metadata!G536,"Animal surface"),EXACT(metadata!G536,"Animal proximal gut"),EXACT(metadata!G536,"Animal corpus"),EXACT(metadata!G536,"Animal distal gut"),EXACT(metadata!G536,"Animal secretion")))</f>
        <v>0</v>
      </c>
      <c r="AJ536" t="b">
        <f>OR(AND(IF(metadata!H536="",FALSE,TRUE),OR(EXACT(metadata!H536,"missing: not collected"),EXACT(metadata!H536,"missing: not provided"),EXACT(metadata!H536,"missing: restricted access"))),AND(IF(metadata!H536="",FALSE,TRUE),OR(EXACT(metadata!H536,"organism-associated habitat"),EXACT(metadata!H536,"plant-associated habitat"),EXACT(metadata!H536,"animal-associated habitat"),EXACT(metadata!H536,"insecta-associated habitat"),EXACT(metadata!H536,"mammalia-associated habitat"),EXACT(metadata!H536,"human-associated habitat"),EXACT(metadata!H536,"livestock-associated habitat"))))</f>
        <v>0</v>
      </c>
      <c r="AK536" t="b">
        <f>AND(IF(metadata!I536="",FALSE,TRUE),EXACT(metadata!I536,"host-associated"))</f>
        <v>0</v>
      </c>
      <c r="AL536" t="b">
        <f>OR(AND(IF(metadata!J536="",FALSE,TRUE),OR(EXACT(metadata!J536,"not applicable"),EXACT(metadata!J536,"missing: not collected"),EXACT(metadata!J536,"missing: not provided"),EXACT(metadata!J536,"missing: restricted access"))),AND(IF(metadata!J536="",FALSE,ISNUMBER(VALUE(metadata!J536))),metadata!J536&gt;0))</f>
        <v>0</v>
      </c>
      <c r="AM536" t="b">
        <f>AND(IF(metadata!K536="",FALSE,TRUE),EXACT(metadata!K536,"missing: not provided"))</f>
        <v>0</v>
      </c>
      <c r="AN536" t="b">
        <f>IF(metadata!L536="",FALSE,TRUE)</f>
        <v>0</v>
      </c>
      <c r="AO536" t="b">
        <f>IF(metadata!M536="",FALSE,TRUE)</f>
        <v>0</v>
      </c>
      <c r="AP536" t="b">
        <f>OR(AND(IF(metadata!N536="",FALSE,TRUE),OR(EXACT(metadata!N536,"not applicable"),EXACT(metadata!N536,"missing: not collected"),EXACT(metadata!N536,"missing: not provided"))),AND(IF(metadata!N536="",FALSE,IF(ISERROR(INT(metadata!N536)),FALSE,INT(metadata!N536)=metadata!N536)),metadata!N536&gt;0))</f>
        <v>0</v>
      </c>
      <c r="AQ536" t="b">
        <f>AND(IF(metadata!O536="",FALSE,TRUE),EXACT(metadata!O536,"Not applicable"))</f>
        <v>0</v>
      </c>
      <c r="AR536" t="b">
        <f>OR(AND(IF(metadata!P536="",FALSE,TRUE),OR(EXACT(metadata!P536,"not applicable"),EXACT(metadata!P536,"missing: not collected"),EXACT(metadata!P536,"missing: not provided"),EXACT(metadata!P536,"missing: restricted access"))),IF(metadata!P536="",FALSE,IF(ISERROR(INT(metadata!P536)),FALSE,INT(metadata!P536)=metadata!P536)))</f>
        <v>0</v>
      </c>
      <c r="AS536" t="b">
        <f>AND(IF(metadata!Q536="",FALSE,TRUE),EXACT(metadata!Q536,"Not applicable"))</f>
        <v>0</v>
      </c>
      <c r="AT536" t="b">
        <f>OR(AND(IF(metadata!R536="",FALSE,TRUE),OR(EXACT(metadata!R536,"not applicable"),EXACT(metadata!R536,"missing: not collected"),EXACT(metadata!R536,"missing: not provided"),EXACT(metadata!R536,"missing: restricted access"))),AND(IF(metadata!R536="",FALSE,ISNUMBER(VALUE(metadata!R536))),metadata!R536&gt;0))</f>
        <v>0</v>
      </c>
      <c r="AU536" t="b">
        <f>AND(IF(metadata!S536="",FALSE,TRUE),EXACT(metadata!S536,"missing: not provided"))</f>
        <v>0</v>
      </c>
    </row>
    <row r="537" spans="1:47" x14ac:dyDescent="0.2">
      <c r="A537" s="5" t="str">
        <f ca="1">IF(B537=" "," ",HYPERLINK(CONCATENATE("#metadata!",ADDRESS(INDEX($Y$2:$Y$1001,MATCH(ROWS($W$2:W537),$W$2:$W$1001,0),0),1)),INDEX($AB$2:$AB$1001,MATCH(ROWS($W$2:W537),$W$2:$W$1001,0),0)))</f>
        <v xml:space="preserve"> </v>
      </c>
      <c r="B537" s="4" t="str">
        <f ca="1">IF(OR(INDEX($X$2:$X$1001,MATCH(ROWS($W$2:W537),$W$2:$W$1001,0),1)&gt;=100000,INDEX($AD$1005:$AU$1005,1,MATCH(COLUMNS($AD$1006:AD1006),$AD$1006:$AU$1006,0))&gt;=100000), " ",IF(INDEX($AD$2:$AU$1001,MATCH(ROWS($W$2:W537),$W$2:$W$1001,0),MATCH(COLUMNS($AD$1006:AD1006),$AD$1006:$AU$1006,0)), HYPERLINK("#",""), HYPERLINK(CONCATENATE("#metadata!", ADDRESS(INDEX($Y$2:$Y$1001,MATCH(ROWS($W$2:W537),$W$2:$W$1001,0),0), INDEX($AD$1004:$AU$1004,1,MATCH(COLUMNS($AD$1006:AD1006),$AD$1006:$AU$1006,0)))),"Fix")))</f>
        <v xml:space="preserve"> </v>
      </c>
      <c r="C537" s="4" t="str">
        <f ca="1">IF(OR(INDEX($X$2:$X$1001,MATCH(ROWS($W$2:W537),$W$2:$W$1001,0),1)&gt;=100000,INDEX($AD$1005:$AU$1005,1,MATCH(COLUMNS($AD$1006:AE1006),$AD$1006:$AU$1006,0))&gt;=100000), " ",IF(INDEX($AD$2:$AU$1001,MATCH(ROWS($W$2:W537),$W$2:$W$1001,0),MATCH(COLUMNS($AD$1006:AE1006),$AD$1006:$AU$1006,0)), HYPERLINK("#",""), HYPERLINK(CONCATENATE("#metadata!", ADDRESS(INDEX($Y$2:$Y$1001,MATCH(ROWS($W$2:W537),$W$2:$W$1001,0),0), INDEX($AD$1004:$AU$1004,1,MATCH(COLUMNS($AD$1006:AE1006),$AD$1006:$AU$1006,0)))),"Fix")))</f>
        <v xml:space="preserve"> </v>
      </c>
      <c r="D537" s="4" t="str">
        <f ca="1">IF(OR(INDEX($X$2:$X$1001,MATCH(ROWS($W$2:W537),$W$2:$W$1001,0),1)&gt;=100000,INDEX($AD$1005:$AU$1005,1,MATCH(COLUMNS($AD$1006:AF1006),$AD$1006:$AU$1006,0))&gt;=100000), " ",IF(INDEX($AD$2:$AU$1001,MATCH(ROWS($W$2:W537),$W$2:$W$1001,0),MATCH(COLUMNS($AD$1006:AF1006),$AD$1006:$AU$1006,0)), HYPERLINK("#",""), HYPERLINK(CONCATENATE("#metadata!", ADDRESS(INDEX($Y$2:$Y$1001,MATCH(ROWS($W$2:W537),$W$2:$W$1001,0),0), INDEX($AD$1004:$AU$1004,1,MATCH(COLUMNS($AD$1006:AF1006),$AD$1006:$AU$1006,0)))),"Fix")))</f>
        <v xml:space="preserve"> </v>
      </c>
      <c r="E537" s="4" t="str">
        <f ca="1">IF(OR(INDEX($X$2:$X$1001,MATCH(ROWS($W$2:W537),$W$2:$W$1001,0),1)&gt;=100000,INDEX($AD$1005:$AU$1005,1,MATCH(COLUMNS($AD$1006:AG1006),$AD$1006:$AU$1006,0))&gt;=100000), " ",IF(INDEX($AD$2:$AU$1001,MATCH(ROWS($W$2:W537),$W$2:$W$1001,0),MATCH(COLUMNS($AD$1006:AG1006),$AD$1006:$AU$1006,0)), HYPERLINK("#",""), HYPERLINK(CONCATENATE("#metadata!", ADDRESS(INDEX($Y$2:$Y$1001,MATCH(ROWS($W$2:W537),$W$2:$W$1001,0),0), INDEX($AD$1004:$AU$1004,1,MATCH(COLUMNS($AD$1006:AG1006),$AD$1006:$AU$1006,0)))),"Fix")))</f>
        <v xml:space="preserve"> </v>
      </c>
      <c r="F537" s="4" t="str">
        <f ca="1">IF(OR(INDEX($X$2:$X$1001,MATCH(ROWS($W$2:W537),$W$2:$W$1001,0),1)&gt;=100000,INDEX($AD$1005:$AU$1005,1,MATCH(COLUMNS($AD$1006:AH1006),$AD$1006:$AU$1006,0))&gt;=100000), " ",IF(INDEX($AD$2:$AU$1001,MATCH(ROWS($W$2:W537),$W$2:$W$1001,0),MATCH(COLUMNS($AD$1006:AH1006),$AD$1006:$AU$1006,0)), HYPERLINK("#",""), HYPERLINK(CONCATENATE("#metadata!", ADDRESS(INDEX($Y$2:$Y$1001,MATCH(ROWS($W$2:W537),$W$2:$W$1001,0),0), INDEX($AD$1004:$AU$1004,1,MATCH(COLUMNS($AD$1006:AH1006),$AD$1006:$AU$1006,0)))),"Fix")))</f>
        <v xml:space="preserve"> </v>
      </c>
      <c r="G537" s="4" t="str">
        <f ca="1">IF(OR(INDEX($X$2:$X$1001,MATCH(ROWS($W$2:W537),$W$2:$W$1001,0),1)&gt;=100000,INDEX($AD$1005:$AU$1005,1,MATCH(COLUMNS($AD$1006:AI1006),$AD$1006:$AU$1006,0))&gt;=100000), " ",IF(INDEX($AD$2:$AU$1001,MATCH(ROWS($W$2:W537),$W$2:$W$1001,0),MATCH(COLUMNS($AD$1006:AI1006),$AD$1006:$AU$1006,0)), HYPERLINK("#",""), HYPERLINK(CONCATENATE("#metadata!", ADDRESS(INDEX($Y$2:$Y$1001,MATCH(ROWS($W$2:W537),$W$2:$W$1001,0),0), INDEX($AD$1004:$AU$1004,1,MATCH(COLUMNS($AD$1006:AI1006),$AD$1006:$AU$1006,0)))),"Fix")))</f>
        <v xml:space="preserve"> </v>
      </c>
      <c r="H537" s="4" t="str">
        <f ca="1">IF(OR(INDEX($X$2:$X$1001,MATCH(ROWS($W$2:W537),$W$2:$W$1001,0),1)&gt;=100000,INDEX($AD$1005:$AU$1005,1,MATCH(COLUMNS($AD$1006:AJ1006),$AD$1006:$AU$1006,0))&gt;=100000), " ",IF(INDEX($AD$2:$AU$1001,MATCH(ROWS($W$2:W537),$W$2:$W$1001,0),MATCH(COLUMNS($AD$1006:AJ1006),$AD$1006:$AU$1006,0)), HYPERLINK("#",""), HYPERLINK(CONCATENATE("#metadata!", ADDRESS(INDEX($Y$2:$Y$1001,MATCH(ROWS($W$2:W537),$W$2:$W$1001,0),0), INDEX($AD$1004:$AU$1004,1,MATCH(COLUMNS($AD$1006:AJ1006),$AD$1006:$AU$1006,0)))),"Fix")))</f>
        <v xml:space="preserve"> </v>
      </c>
      <c r="I537" s="4" t="str">
        <f ca="1">IF(OR(INDEX($X$2:$X$1001,MATCH(ROWS($W$2:W537),$W$2:$W$1001,0),1)&gt;=100000,INDEX($AD$1005:$AU$1005,1,MATCH(COLUMNS($AD$1006:AK1006),$AD$1006:$AU$1006,0))&gt;=100000), " ",IF(INDEX($AD$2:$AU$1001,MATCH(ROWS($W$2:W537),$W$2:$W$1001,0),MATCH(COLUMNS($AD$1006:AK1006),$AD$1006:$AU$1006,0)), HYPERLINK("#",""), HYPERLINK(CONCATENATE("#metadata!", ADDRESS(INDEX($Y$2:$Y$1001,MATCH(ROWS($W$2:W537),$W$2:$W$1001,0),0), INDEX($AD$1004:$AU$1004,1,MATCH(COLUMNS($AD$1006:AK1006),$AD$1006:$AU$1006,0)))),"Fix")))</f>
        <v xml:space="preserve"> </v>
      </c>
      <c r="J537" s="4" t="str">
        <f ca="1">IF(OR(INDEX($X$2:$X$1001,MATCH(ROWS($W$2:W537),$W$2:$W$1001,0),1)&gt;=100000,INDEX($AD$1005:$AU$1005,1,MATCH(COLUMNS($AD$1006:AL1006),$AD$1006:$AU$1006,0))&gt;=100000), " ",IF(INDEX($AD$2:$AU$1001,MATCH(ROWS($W$2:W537),$W$2:$W$1001,0),MATCH(COLUMNS($AD$1006:AL1006),$AD$1006:$AU$1006,0)), HYPERLINK("#",""), HYPERLINK(CONCATENATE("#metadata!", ADDRESS(INDEX($Y$2:$Y$1001,MATCH(ROWS($W$2:W537),$W$2:$W$1001,0),0), INDEX($AD$1004:$AU$1004,1,MATCH(COLUMNS($AD$1006:AL1006),$AD$1006:$AU$1006,0)))),"Fix")))</f>
        <v xml:space="preserve"> </v>
      </c>
      <c r="K537" s="4" t="str">
        <f ca="1">IF(OR(INDEX($X$2:$X$1001,MATCH(ROWS($W$2:W537),$W$2:$W$1001,0),1)&gt;=100000,INDEX($AD$1005:$AU$1005,1,MATCH(COLUMNS($AD$1006:AM1006),$AD$1006:$AU$1006,0))&gt;=100000), " ",IF(INDEX($AD$2:$AU$1001,MATCH(ROWS($W$2:W537),$W$2:$W$1001,0),MATCH(COLUMNS($AD$1006:AM1006),$AD$1006:$AU$1006,0)), HYPERLINK("#",""), HYPERLINK(CONCATENATE("#metadata!", ADDRESS(INDEX($Y$2:$Y$1001,MATCH(ROWS($W$2:W537),$W$2:$W$1001,0),0), INDEX($AD$1004:$AU$1004,1,MATCH(COLUMNS($AD$1006:AM1006),$AD$1006:$AU$1006,0)))),"Fix")))</f>
        <v xml:space="preserve"> </v>
      </c>
      <c r="L537" s="4" t="str">
        <f ca="1">IF(OR(INDEX($X$2:$X$1001,MATCH(ROWS($W$2:W537),$W$2:$W$1001,0),1)&gt;=100000,INDEX($AD$1005:$AU$1005,1,MATCH(COLUMNS($AD$1006:AN1006),$AD$1006:$AU$1006,0))&gt;=100000), " ",IF(INDEX($AD$2:$AU$1001,MATCH(ROWS($W$2:W537),$W$2:$W$1001,0),MATCH(COLUMNS($AD$1006:AN1006),$AD$1006:$AU$1006,0)), HYPERLINK("#",""), HYPERLINK(CONCATENATE("#metadata!", ADDRESS(INDEX($Y$2:$Y$1001,MATCH(ROWS($W$2:W537),$W$2:$W$1001,0),0), INDEX($AD$1004:$AU$1004,1,MATCH(COLUMNS($AD$1006:AN1006),$AD$1006:$AU$1006,0)))),"Fix")))</f>
        <v xml:space="preserve"> </v>
      </c>
      <c r="M537" s="4" t="str">
        <f ca="1">IF(OR(INDEX($X$2:$X$1001,MATCH(ROWS($W$2:W537),$W$2:$W$1001,0),1)&gt;=100000,INDEX($AD$1005:$AU$1005,1,MATCH(COLUMNS($AD$1006:AO1006),$AD$1006:$AU$1006,0))&gt;=100000), " ",IF(INDEX($AD$2:$AU$1001,MATCH(ROWS($W$2:W537),$W$2:$W$1001,0),MATCH(COLUMNS($AD$1006:AO1006),$AD$1006:$AU$1006,0)), HYPERLINK("#",""), HYPERLINK(CONCATENATE("#metadata!", ADDRESS(INDEX($Y$2:$Y$1001,MATCH(ROWS($W$2:W537),$W$2:$W$1001,0),0), INDEX($AD$1004:$AU$1004,1,MATCH(COLUMNS($AD$1006:AO1006),$AD$1006:$AU$1006,0)))),"Fix")))</f>
        <v xml:space="preserve"> </v>
      </c>
      <c r="N537" s="4" t="str">
        <f ca="1">IF(OR(INDEX($X$2:$X$1001,MATCH(ROWS($W$2:W537),$W$2:$W$1001,0),1)&gt;=100000,INDEX($AD$1005:$AU$1005,1,MATCH(COLUMNS($AD$1006:AP1006),$AD$1006:$AU$1006,0))&gt;=100000), " ",IF(INDEX($AD$2:$AU$1001,MATCH(ROWS($W$2:W537),$W$2:$W$1001,0),MATCH(COLUMNS($AD$1006:AP1006),$AD$1006:$AU$1006,0)), HYPERLINK("#",""), HYPERLINK(CONCATENATE("#metadata!", ADDRESS(INDEX($Y$2:$Y$1001,MATCH(ROWS($W$2:W537),$W$2:$W$1001,0),0), INDEX($AD$1004:$AU$1004,1,MATCH(COLUMNS($AD$1006:AP1006),$AD$1006:$AU$1006,0)))),"Fix")))</f>
        <v xml:space="preserve"> </v>
      </c>
      <c r="O537" s="4" t="str">
        <f ca="1">IF(OR(INDEX($X$2:$X$1001,MATCH(ROWS($W$2:W537),$W$2:$W$1001,0),1)&gt;=100000,INDEX($AD$1005:$AU$1005,1,MATCH(COLUMNS($AD$1006:AQ1006),$AD$1006:$AU$1006,0))&gt;=100000), " ",IF(INDEX($AD$2:$AU$1001,MATCH(ROWS($W$2:W537),$W$2:$W$1001,0),MATCH(COLUMNS($AD$1006:AQ1006),$AD$1006:$AU$1006,0)), HYPERLINK("#",""), HYPERLINK(CONCATENATE("#metadata!", ADDRESS(INDEX($Y$2:$Y$1001,MATCH(ROWS($W$2:W537),$W$2:$W$1001,0),0), INDEX($AD$1004:$AU$1004,1,MATCH(COLUMNS($AD$1006:AQ1006),$AD$1006:$AU$1006,0)))),"Fix")))</f>
        <v xml:space="preserve"> </v>
      </c>
      <c r="P537" s="4" t="str">
        <f ca="1">IF(OR(INDEX($X$2:$X$1001,MATCH(ROWS($W$2:W537),$W$2:$W$1001,0),1)&gt;=100000,INDEX($AD$1005:$AU$1005,1,MATCH(COLUMNS($AD$1006:AR1006),$AD$1006:$AU$1006,0))&gt;=100000), " ",IF(INDEX($AD$2:$AU$1001,MATCH(ROWS($W$2:W537),$W$2:$W$1001,0),MATCH(COLUMNS($AD$1006:AR1006),$AD$1006:$AU$1006,0)), HYPERLINK("#",""), HYPERLINK(CONCATENATE("#metadata!", ADDRESS(INDEX($Y$2:$Y$1001,MATCH(ROWS($W$2:W537),$W$2:$W$1001,0),0), INDEX($AD$1004:$AU$1004,1,MATCH(COLUMNS($AD$1006:AR1006),$AD$1006:$AU$1006,0)))),"Fix")))</f>
        <v xml:space="preserve"> </v>
      </c>
      <c r="Q537" s="4" t="str">
        <f ca="1">IF(OR(INDEX($X$2:$X$1001,MATCH(ROWS($W$2:W537),$W$2:$W$1001,0),1)&gt;=100000,INDEX($AD$1005:$AU$1005,1,MATCH(COLUMNS($AD$1006:AS1006),$AD$1006:$AU$1006,0))&gt;=100000), " ",IF(INDEX($AD$2:$AU$1001,MATCH(ROWS($W$2:W537),$W$2:$W$1001,0),MATCH(COLUMNS($AD$1006:AS1006),$AD$1006:$AU$1006,0)), HYPERLINK("#",""), HYPERLINK(CONCATENATE("#metadata!", ADDRESS(INDEX($Y$2:$Y$1001,MATCH(ROWS($W$2:W537),$W$2:$W$1001,0),0), INDEX($AD$1004:$AU$1004,1,MATCH(COLUMNS($AD$1006:AS1006),$AD$1006:$AU$1006,0)))),"Fix")))</f>
        <v xml:space="preserve"> </v>
      </c>
      <c r="R537" s="4" t="str">
        <f ca="1">IF(OR(INDEX($X$2:$X$1001,MATCH(ROWS($W$2:W537),$W$2:$W$1001,0),1)&gt;=100000,INDEX($AD$1005:$AU$1005,1,MATCH(COLUMNS($AD$1006:AT1006),$AD$1006:$AU$1006,0))&gt;=100000), " ",IF(INDEX($AD$2:$AU$1001,MATCH(ROWS($W$2:W537),$W$2:$W$1001,0),MATCH(COLUMNS($AD$1006:AT1006),$AD$1006:$AU$1006,0)), HYPERLINK("#",""), HYPERLINK(CONCATENATE("#metadata!", ADDRESS(INDEX($Y$2:$Y$1001,MATCH(ROWS($W$2:W537),$W$2:$W$1001,0),0), INDEX($AD$1004:$AU$1004,1,MATCH(COLUMNS($AD$1006:AT1006),$AD$1006:$AU$1006,0)))),"Fix")))</f>
        <v xml:space="preserve"> </v>
      </c>
      <c r="S537" s="4" t="str">
        <f ca="1">IF(OR(INDEX($X$2:$X$1001,MATCH(ROWS($W$2:W537),$W$2:$W$1001,0),1)&gt;=100000,INDEX($AD$1005:$AU$1005,1,MATCH(COLUMNS($AD$1006:AU1006),$AD$1006:$AU$1006,0))&gt;=100000), " ",IF(INDEX($AD$2:$AU$1001,MATCH(ROWS($W$2:W537),$W$2:$W$1001,0),MATCH(COLUMNS($AD$1006:AU1006),$AD$1006:$AU$1006,0)), HYPERLINK("#",""), HYPERLINK(CONCATENATE("#metadata!", ADDRESS(INDEX($Y$2:$Y$1001,MATCH(ROWS($W$2:W537),$W$2:$W$1001,0),0), INDEX($AD$1004:$AU$1004,1,MATCH(COLUMNS($AD$1006:AU1006),$AD$1006:$AU$1006,0)))),"Fix")))</f>
        <v xml:space="preserve"> </v>
      </c>
      <c r="W537">
        <v>536</v>
      </c>
      <c r="X537">
        <v>100537</v>
      </c>
      <c r="Y537">
        <v>537</v>
      </c>
      <c r="Z537" t="b">
        <f t="shared" si="8"/>
        <v>1</v>
      </c>
      <c r="AA537" t="b">
        <f>COUNTBLANK(metadata!B537:S537)=COLUMNS(metadata!B537:S537)</f>
        <v>1</v>
      </c>
      <c r="AB537" t="str">
        <v/>
      </c>
      <c r="AD537" t="b">
        <f ca="1">AND(IF(metadata!B537="",FALSE,TRUE),COUNTIF(metadata!B:B, metadata!B537) = 1,NOT(ISERROR(SUMPRODUCT(SEARCH(MID(metadata!B537,ROW(INDIRECT("1:"&amp;LEN(metadata!B537))), 1),"0123456789abcdefghijklmnopqrstuvwxyzABCDEFGHIJKLMNOPQRSTUVWXYZ.")))))</f>
        <v>0</v>
      </c>
      <c r="AE537" t="b">
        <f>OR(AND(IF(metadata!C537="",FALSE,TRUE),OR(EXACT(metadata!C537,"not applicable"),EXACT(metadata!C537,"missing: not collected"),EXACT(metadata!C537,"missing: not provided"),EXACT(metadata!C537,"missing: restricted access"))),AND(IF(metadata!C537="",FALSE,ISNUMBER(VALUE(metadata!C537))),metadata!C537&gt;0))</f>
        <v>0</v>
      </c>
      <c r="AF537" t="b">
        <f>AND(IF(metadata!D537="",FALSE,TRUE),EXACT(metadata!D537,"missing: not provided"))</f>
        <v>0</v>
      </c>
      <c r="AG537" t="b">
        <f>AND(IF(metadata!E537="",FALSE,TRUE),EXACT(metadata!E537,"Host-associated"))</f>
        <v>0</v>
      </c>
      <c r="AH537" t="b">
        <f>AND(IF(metadata!F537="",FALSE,TRUE),OR(EXACT(metadata!F537,"Animal"),EXACT(metadata!F537,"Fungus"),EXACT(metadata!F537,"Plant")))</f>
        <v>0</v>
      </c>
      <c r="AI537" t="b">
        <f>AND(IF(metadata!G537="",FALSE,TRUE),OR(EXACT(metadata!G537,"Plant secretion"),EXACT(metadata!G537,"Plant rhizosphere"),EXACT(metadata!G537,"Plant surface"),EXACT(metadata!G537,"Plant corpus"),EXACT(metadata!G537,"Fungus surface"),EXACT(metadata!G537,"Fungus corpus"),EXACT(metadata!G537,"Animal surface"),EXACT(metadata!G537,"Animal proximal gut"),EXACT(metadata!G537,"Animal corpus"),EXACT(metadata!G537,"Animal distal gut"),EXACT(metadata!G537,"Animal secretion")))</f>
        <v>0</v>
      </c>
      <c r="AJ537" t="b">
        <f>OR(AND(IF(metadata!H537="",FALSE,TRUE),OR(EXACT(metadata!H537,"missing: not collected"),EXACT(metadata!H537,"missing: not provided"),EXACT(metadata!H537,"missing: restricted access"))),AND(IF(metadata!H537="",FALSE,TRUE),OR(EXACT(metadata!H537,"organism-associated habitat"),EXACT(metadata!H537,"plant-associated habitat"),EXACT(metadata!H537,"animal-associated habitat"),EXACT(metadata!H537,"insecta-associated habitat"),EXACT(metadata!H537,"mammalia-associated habitat"),EXACT(metadata!H537,"human-associated habitat"),EXACT(metadata!H537,"livestock-associated habitat"))))</f>
        <v>0</v>
      </c>
      <c r="AK537" t="b">
        <f>AND(IF(metadata!I537="",FALSE,TRUE),EXACT(metadata!I537,"host-associated"))</f>
        <v>0</v>
      </c>
      <c r="AL537" t="b">
        <f>OR(AND(IF(metadata!J537="",FALSE,TRUE),OR(EXACT(metadata!J537,"not applicable"),EXACT(metadata!J537,"missing: not collected"),EXACT(metadata!J537,"missing: not provided"),EXACT(metadata!J537,"missing: restricted access"))),AND(IF(metadata!J537="",FALSE,ISNUMBER(VALUE(metadata!J537))),metadata!J537&gt;0))</f>
        <v>0</v>
      </c>
      <c r="AM537" t="b">
        <f>AND(IF(metadata!K537="",FALSE,TRUE),EXACT(metadata!K537,"missing: not provided"))</f>
        <v>0</v>
      </c>
      <c r="AN537" t="b">
        <f>IF(metadata!L537="",FALSE,TRUE)</f>
        <v>0</v>
      </c>
      <c r="AO537" t="b">
        <f>IF(metadata!M537="",FALSE,TRUE)</f>
        <v>0</v>
      </c>
      <c r="AP537" t="b">
        <f>OR(AND(IF(metadata!N537="",FALSE,TRUE),OR(EXACT(metadata!N537,"not applicable"),EXACT(metadata!N537,"missing: not collected"),EXACT(metadata!N537,"missing: not provided"))),AND(IF(metadata!N537="",FALSE,IF(ISERROR(INT(metadata!N537)),FALSE,INT(metadata!N537)=metadata!N537)),metadata!N537&gt;0))</f>
        <v>0</v>
      </c>
      <c r="AQ537" t="b">
        <f>AND(IF(metadata!O537="",FALSE,TRUE),EXACT(metadata!O537,"Not applicable"))</f>
        <v>0</v>
      </c>
      <c r="AR537" t="b">
        <f>OR(AND(IF(metadata!P537="",FALSE,TRUE),OR(EXACT(metadata!P537,"not applicable"),EXACT(metadata!P537,"missing: not collected"),EXACT(metadata!P537,"missing: not provided"),EXACT(metadata!P537,"missing: restricted access"))),IF(metadata!P537="",FALSE,IF(ISERROR(INT(metadata!P537)),FALSE,INT(metadata!P537)=metadata!P537)))</f>
        <v>0</v>
      </c>
      <c r="AS537" t="b">
        <f>AND(IF(metadata!Q537="",FALSE,TRUE),EXACT(metadata!Q537,"Not applicable"))</f>
        <v>0</v>
      </c>
      <c r="AT537" t="b">
        <f>OR(AND(IF(metadata!R537="",FALSE,TRUE),OR(EXACT(metadata!R537,"not applicable"),EXACT(metadata!R537,"missing: not collected"),EXACT(metadata!R537,"missing: not provided"),EXACT(metadata!R537,"missing: restricted access"))),AND(IF(metadata!R537="",FALSE,ISNUMBER(VALUE(metadata!R537))),metadata!R537&gt;0))</f>
        <v>0</v>
      </c>
      <c r="AU537" t="b">
        <f>AND(IF(metadata!S537="",FALSE,TRUE),EXACT(metadata!S537,"missing: not provided"))</f>
        <v>0</v>
      </c>
    </row>
    <row r="538" spans="1:47" x14ac:dyDescent="0.2">
      <c r="A538" s="5" t="str">
        <f ca="1">IF(B538=" "," ",HYPERLINK(CONCATENATE("#metadata!",ADDRESS(INDEX($Y$2:$Y$1001,MATCH(ROWS($W$2:W538),$W$2:$W$1001,0),0),1)),INDEX($AB$2:$AB$1001,MATCH(ROWS($W$2:W538),$W$2:$W$1001,0),0)))</f>
        <v xml:space="preserve"> </v>
      </c>
      <c r="B538" s="4" t="str">
        <f ca="1">IF(OR(INDEX($X$2:$X$1001,MATCH(ROWS($W$2:W538),$W$2:$W$1001,0),1)&gt;=100000,INDEX($AD$1005:$AU$1005,1,MATCH(COLUMNS($AD$1006:AD1006),$AD$1006:$AU$1006,0))&gt;=100000), " ",IF(INDEX($AD$2:$AU$1001,MATCH(ROWS($W$2:W538),$W$2:$W$1001,0),MATCH(COLUMNS($AD$1006:AD1006),$AD$1006:$AU$1006,0)), HYPERLINK("#",""), HYPERLINK(CONCATENATE("#metadata!", ADDRESS(INDEX($Y$2:$Y$1001,MATCH(ROWS($W$2:W538),$W$2:$W$1001,0),0), INDEX($AD$1004:$AU$1004,1,MATCH(COLUMNS($AD$1006:AD1006),$AD$1006:$AU$1006,0)))),"Fix")))</f>
        <v xml:space="preserve"> </v>
      </c>
      <c r="C538" s="4" t="str">
        <f ca="1">IF(OR(INDEX($X$2:$X$1001,MATCH(ROWS($W$2:W538),$W$2:$W$1001,0),1)&gt;=100000,INDEX($AD$1005:$AU$1005,1,MATCH(COLUMNS($AD$1006:AE1006),$AD$1006:$AU$1006,0))&gt;=100000), " ",IF(INDEX($AD$2:$AU$1001,MATCH(ROWS($W$2:W538),$W$2:$W$1001,0),MATCH(COLUMNS($AD$1006:AE1006),$AD$1006:$AU$1006,0)), HYPERLINK("#",""), HYPERLINK(CONCATENATE("#metadata!", ADDRESS(INDEX($Y$2:$Y$1001,MATCH(ROWS($W$2:W538),$W$2:$W$1001,0),0), INDEX($AD$1004:$AU$1004,1,MATCH(COLUMNS($AD$1006:AE1006),$AD$1006:$AU$1006,0)))),"Fix")))</f>
        <v xml:space="preserve"> </v>
      </c>
      <c r="D538" s="4" t="str">
        <f ca="1">IF(OR(INDEX($X$2:$X$1001,MATCH(ROWS($W$2:W538),$W$2:$W$1001,0),1)&gt;=100000,INDEX($AD$1005:$AU$1005,1,MATCH(COLUMNS($AD$1006:AF1006),$AD$1006:$AU$1006,0))&gt;=100000), " ",IF(INDEX($AD$2:$AU$1001,MATCH(ROWS($W$2:W538),$W$2:$W$1001,0),MATCH(COLUMNS($AD$1006:AF1006),$AD$1006:$AU$1006,0)), HYPERLINK("#",""), HYPERLINK(CONCATENATE("#metadata!", ADDRESS(INDEX($Y$2:$Y$1001,MATCH(ROWS($W$2:W538),$W$2:$W$1001,0),0), INDEX($AD$1004:$AU$1004,1,MATCH(COLUMNS($AD$1006:AF1006),$AD$1006:$AU$1006,0)))),"Fix")))</f>
        <v xml:space="preserve"> </v>
      </c>
      <c r="E538" s="4" t="str">
        <f ca="1">IF(OR(INDEX($X$2:$X$1001,MATCH(ROWS($W$2:W538),$W$2:$W$1001,0),1)&gt;=100000,INDEX($AD$1005:$AU$1005,1,MATCH(COLUMNS($AD$1006:AG1006),$AD$1006:$AU$1006,0))&gt;=100000), " ",IF(INDEX($AD$2:$AU$1001,MATCH(ROWS($W$2:W538),$W$2:$W$1001,0),MATCH(COLUMNS($AD$1006:AG1006),$AD$1006:$AU$1006,0)), HYPERLINK("#",""), HYPERLINK(CONCATENATE("#metadata!", ADDRESS(INDEX($Y$2:$Y$1001,MATCH(ROWS($W$2:W538),$W$2:$W$1001,0),0), INDEX($AD$1004:$AU$1004,1,MATCH(COLUMNS($AD$1006:AG1006),$AD$1006:$AU$1006,0)))),"Fix")))</f>
        <v xml:space="preserve"> </v>
      </c>
      <c r="F538" s="4" t="str">
        <f ca="1">IF(OR(INDEX($X$2:$X$1001,MATCH(ROWS($W$2:W538),$W$2:$W$1001,0),1)&gt;=100000,INDEX($AD$1005:$AU$1005,1,MATCH(COLUMNS($AD$1006:AH1006),$AD$1006:$AU$1006,0))&gt;=100000), " ",IF(INDEX($AD$2:$AU$1001,MATCH(ROWS($W$2:W538),$W$2:$W$1001,0),MATCH(COLUMNS($AD$1006:AH1006),$AD$1006:$AU$1006,0)), HYPERLINK("#",""), HYPERLINK(CONCATENATE("#metadata!", ADDRESS(INDEX($Y$2:$Y$1001,MATCH(ROWS($W$2:W538),$W$2:$W$1001,0),0), INDEX($AD$1004:$AU$1004,1,MATCH(COLUMNS($AD$1006:AH1006),$AD$1006:$AU$1006,0)))),"Fix")))</f>
        <v xml:space="preserve"> </v>
      </c>
      <c r="G538" s="4" t="str">
        <f ca="1">IF(OR(INDEX($X$2:$X$1001,MATCH(ROWS($W$2:W538),$W$2:$W$1001,0),1)&gt;=100000,INDEX($AD$1005:$AU$1005,1,MATCH(COLUMNS($AD$1006:AI1006),$AD$1006:$AU$1006,0))&gt;=100000), " ",IF(INDEX($AD$2:$AU$1001,MATCH(ROWS($W$2:W538),$W$2:$W$1001,0),MATCH(COLUMNS($AD$1006:AI1006),$AD$1006:$AU$1006,0)), HYPERLINK("#",""), HYPERLINK(CONCATENATE("#metadata!", ADDRESS(INDEX($Y$2:$Y$1001,MATCH(ROWS($W$2:W538),$W$2:$W$1001,0),0), INDEX($AD$1004:$AU$1004,1,MATCH(COLUMNS($AD$1006:AI1006),$AD$1006:$AU$1006,0)))),"Fix")))</f>
        <v xml:space="preserve"> </v>
      </c>
      <c r="H538" s="4" t="str">
        <f ca="1">IF(OR(INDEX($X$2:$X$1001,MATCH(ROWS($W$2:W538),$W$2:$W$1001,0),1)&gt;=100000,INDEX($AD$1005:$AU$1005,1,MATCH(COLUMNS($AD$1006:AJ1006),$AD$1006:$AU$1006,0))&gt;=100000), " ",IF(INDEX($AD$2:$AU$1001,MATCH(ROWS($W$2:W538),$W$2:$W$1001,0),MATCH(COLUMNS($AD$1006:AJ1006),$AD$1006:$AU$1006,0)), HYPERLINK("#",""), HYPERLINK(CONCATENATE("#metadata!", ADDRESS(INDEX($Y$2:$Y$1001,MATCH(ROWS($W$2:W538),$W$2:$W$1001,0),0), INDEX($AD$1004:$AU$1004,1,MATCH(COLUMNS($AD$1006:AJ1006),$AD$1006:$AU$1006,0)))),"Fix")))</f>
        <v xml:space="preserve"> </v>
      </c>
      <c r="I538" s="4" t="str">
        <f ca="1">IF(OR(INDEX($X$2:$X$1001,MATCH(ROWS($W$2:W538),$W$2:$W$1001,0),1)&gt;=100000,INDEX($AD$1005:$AU$1005,1,MATCH(COLUMNS($AD$1006:AK1006),$AD$1006:$AU$1006,0))&gt;=100000), " ",IF(INDEX($AD$2:$AU$1001,MATCH(ROWS($W$2:W538),$W$2:$W$1001,0),MATCH(COLUMNS($AD$1006:AK1006),$AD$1006:$AU$1006,0)), HYPERLINK("#",""), HYPERLINK(CONCATENATE("#metadata!", ADDRESS(INDEX($Y$2:$Y$1001,MATCH(ROWS($W$2:W538),$W$2:$W$1001,0),0), INDEX($AD$1004:$AU$1004,1,MATCH(COLUMNS($AD$1006:AK1006),$AD$1006:$AU$1006,0)))),"Fix")))</f>
        <v xml:space="preserve"> </v>
      </c>
      <c r="J538" s="4" t="str">
        <f ca="1">IF(OR(INDEX($X$2:$X$1001,MATCH(ROWS($W$2:W538),$W$2:$W$1001,0),1)&gt;=100000,INDEX($AD$1005:$AU$1005,1,MATCH(COLUMNS($AD$1006:AL1006),$AD$1006:$AU$1006,0))&gt;=100000), " ",IF(INDEX($AD$2:$AU$1001,MATCH(ROWS($W$2:W538),$W$2:$W$1001,0),MATCH(COLUMNS($AD$1006:AL1006),$AD$1006:$AU$1006,0)), HYPERLINK("#",""), HYPERLINK(CONCATENATE("#metadata!", ADDRESS(INDEX($Y$2:$Y$1001,MATCH(ROWS($W$2:W538),$W$2:$W$1001,0),0), INDEX($AD$1004:$AU$1004,1,MATCH(COLUMNS($AD$1006:AL1006),$AD$1006:$AU$1006,0)))),"Fix")))</f>
        <v xml:space="preserve"> </v>
      </c>
      <c r="K538" s="4" t="str">
        <f ca="1">IF(OR(INDEX($X$2:$X$1001,MATCH(ROWS($W$2:W538),$W$2:$W$1001,0),1)&gt;=100000,INDEX($AD$1005:$AU$1005,1,MATCH(COLUMNS($AD$1006:AM1006),$AD$1006:$AU$1006,0))&gt;=100000), " ",IF(INDEX($AD$2:$AU$1001,MATCH(ROWS($W$2:W538),$W$2:$W$1001,0),MATCH(COLUMNS($AD$1006:AM1006),$AD$1006:$AU$1006,0)), HYPERLINK("#",""), HYPERLINK(CONCATENATE("#metadata!", ADDRESS(INDEX($Y$2:$Y$1001,MATCH(ROWS($W$2:W538),$W$2:$W$1001,0),0), INDEX($AD$1004:$AU$1004,1,MATCH(COLUMNS($AD$1006:AM1006),$AD$1006:$AU$1006,0)))),"Fix")))</f>
        <v xml:space="preserve"> </v>
      </c>
      <c r="L538" s="4" t="str">
        <f ca="1">IF(OR(INDEX($X$2:$X$1001,MATCH(ROWS($W$2:W538),$W$2:$W$1001,0),1)&gt;=100000,INDEX($AD$1005:$AU$1005,1,MATCH(COLUMNS($AD$1006:AN1006),$AD$1006:$AU$1006,0))&gt;=100000), " ",IF(INDEX($AD$2:$AU$1001,MATCH(ROWS($W$2:W538),$W$2:$W$1001,0),MATCH(COLUMNS($AD$1006:AN1006),$AD$1006:$AU$1006,0)), HYPERLINK("#",""), HYPERLINK(CONCATENATE("#metadata!", ADDRESS(INDEX($Y$2:$Y$1001,MATCH(ROWS($W$2:W538),$W$2:$W$1001,0),0), INDEX($AD$1004:$AU$1004,1,MATCH(COLUMNS($AD$1006:AN1006),$AD$1006:$AU$1006,0)))),"Fix")))</f>
        <v xml:space="preserve"> </v>
      </c>
      <c r="M538" s="4" t="str">
        <f ca="1">IF(OR(INDEX($X$2:$X$1001,MATCH(ROWS($W$2:W538),$W$2:$W$1001,0),1)&gt;=100000,INDEX($AD$1005:$AU$1005,1,MATCH(COLUMNS($AD$1006:AO1006),$AD$1006:$AU$1006,0))&gt;=100000), " ",IF(INDEX($AD$2:$AU$1001,MATCH(ROWS($W$2:W538),$W$2:$W$1001,0),MATCH(COLUMNS($AD$1006:AO1006),$AD$1006:$AU$1006,0)), HYPERLINK("#",""), HYPERLINK(CONCATENATE("#metadata!", ADDRESS(INDEX($Y$2:$Y$1001,MATCH(ROWS($W$2:W538),$W$2:$W$1001,0),0), INDEX($AD$1004:$AU$1004,1,MATCH(COLUMNS($AD$1006:AO1006),$AD$1006:$AU$1006,0)))),"Fix")))</f>
        <v xml:space="preserve"> </v>
      </c>
      <c r="N538" s="4" t="str">
        <f ca="1">IF(OR(INDEX($X$2:$X$1001,MATCH(ROWS($W$2:W538),$W$2:$W$1001,0),1)&gt;=100000,INDEX($AD$1005:$AU$1005,1,MATCH(COLUMNS($AD$1006:AP1006),$AD$1006:$AU$1006,0))&gt;=100000), " ",IF(INDEX($AD$2:$AU$1001,MATCH(ROWS($W$2:W538),$W$2:$W$1001,0),MATCH(COLUMNS($AD$1006:AP1006),$AD$1006:$AU$1006,0)), HYPERLINK("#",""), HYPERLINK(CONCATENATE("#metadata!", ADDRESS(INDEX($Y$2:$Y$1001,MATCH(ROWS($W$2:W538),$W$2:$W$1001,0),0), INDEX($AD$1004:$AU$1004,1,MATCH(COLUMNS($AD$1006:AP1006),$AD$1006:$AU$1006,0)))),"Fix")))</f>
        <v xml:space="preserve"> </v>
      </c>
      <c r="O538" s="4" t="str">
        <f ca="1">IF(OR(INDEX($X$2:$X$1001,MATCH(ROWS($W$2:W538),$W$2:$W$1001,0),1)&gt;=100000,INDEX($AD$1005:$AU$1005,1,MATCH(COLUMNS($AD$1006:AQ1006),$AD$1006:$AU$1006,0))&gt;=100000), " ",IF(INDEX($AD$2:$AU$1001,MATCH(ROWS($W$2:W538),$W$2:$W$1001,0),MATCH(COLUMNS($AD$1006:AQ1006),$AD$1006:$AU$1006,0)), HYPERLINK("#",""), HYPERLINK(CONCATENATE("#metadata!", ADDRESS(INDEX($Y$2:$Y$1001,MATCH(ROWS($W$2:W538),$W$2:$W$1001,0),0), INDEX($AD$1004:$AU$1004,1,MATCH(COLUMNS($AD$1006:AQ1006),$AD$1006:$AU$1006,0)))),"Fix")))</f>
        <v xml:space="preserve"> </v>
      </c>
      <c r="P538" s="4" t="str">
        <f ca="1">IF(OR(INDEX($X$2:$X$1001,MATCH(ROWS($W$2:W538),$W$2:$W$1001,0),1)&gt;=100000,INDEX($AD$1005:$AU$1005,1,MATCH(COLUMNS($AD$1006:AR1006),$AD$1006:$AU$1006,0))&gt;=100000), " ",IF(INDEX($AD$2:$AU$1001,MATCH(ROWS($W$2:W538),$W$2:$W$1001,0),MATCH(COLUMNS($AD$1006:AR1006),$AD$1006:$AU$1006,0)), HYPERLINK("#",""), HYPERLINK(CONCATENATE("#metadata!", ADDRESS(INDEX($Y$2:$Y$1001,MATCH(ROWS($W$2:W538),$W$2:$W$1001,0),0), INDEX($AD$1004:$AU$1004,1,MATCH(COLUMNS($AD$1006:AR1006),$AD$1006:$AU$1006,0)))),"Fix")))</f>
        <v xml:space="preserve"> </v>
      </c>
      <c r="Q538" s="4" t="str">
        <f ca="1">IF(OR(INDEX($X$2:$X$1001,MATCH(ROWS($W$2:W538),$W$2:$W$1001,0),1)&gt;=100000,INDEX($AD$1005:$AU$1005,1,MATCH(COLUMNS($AD$1006:AS1006),$AD$1006:$AU$1006,0))&gt;=100000), " ",IF(INDEX($AD$2:$AU$1001,MATCH(ROWS($W$2:W538),$W$2:$W$1001,0),MATCH(COLUMNS($AD$1006:AS1006),$AD$1006:$AU$1006,0)), HYPERLINK("#",""), HYPERLINK(CONCATENATE("#metadata!", ADDRESS(INDEX($Y$2:$Y$1001,MATCH(ROWS($W$2:W538),$W$2:$W$1001,0),0), INDEX($AD$1004:$AU$1004,1,MATCH(COLUMNS($AD$1006:AS1006),$AD$1006:$AU$1006,0)))),"Fix")))</f>
        <v xml:space="preserve"> </v>
      </c>
      <c r="R538" s="4" t="str">
        <f ca="1">IF(OR(INDEX($X$2:$X$1001,MATCH(ROWS($W$2:W538),$W$2:$W$1001,0),1)&gt;=100000,INDEX($AD$1005:$AU$1005,1,MATCH(COLUMNS($AD$1006:AT1006),$AD$1006:$AU$1006,0))&gt;=100000), " ",IF(INDEX($AD$2:$AU$1001,MATCH(ROWS($W$2:W538),$W$2:$W$1001,0),MATCH(COLUMNS($AD$1006:AT1006),$AD$1006:$AU$1006,0)), HYPERLINK("#",""), HYPERLINK(CONCATENATE("#metadata!", ADDRESS(INDEX($Y$2:$Y$1001,MATCH(ROWS($W$2:W538),$W$2:$W$1001,0),0), INDEX($AD$1004:$AU$1004,1,MATCH(COLUMNS($AD$1006:AT1006),$AD$1006:$AU$1006,0)))),"Fix")))</f>
        <v xml:space="preserve"> </v>
      </c>
      <c r="S538" s="4" t="str">
        <f ca="1">IF(OR(INDEX($X$2:$X$1001,MATCH(ROWS($W$2:W538),$W$2:$W$1001,0),1)&gt;=100000,INDEX($AD$1005:$AU$1005,1,MATCH(COLUMNS($AD$1006:AU1006),$AD$1006:$AU$1006,0))&gt;=100000), " ",IF(INDEX($AD$2:$AU$1001,MATCH(ROWS($W$2:W538),$W$2:$W$1001,0),MATCH(COLUMNS($AD$1006:AU1006),$AD$1006:$AU$1006,0)), HYPERLINK("#",""), HYPERLINK(CONCATENATE("#metadata!", ADDRESS(INDEX($Y$2:$Y$1001,MATCH(ROWS($W$2:W538),$W$2:$W$1001,0),0), INDEX($AD$1004:$AU$1004,1,MATCH(COLUMNS($AD$1006:AU1006),$AD$1006:$AU$1006,0)))),"Fix")))</f>
        <v xml:space="preserve"> </v>
      </c>
      <c r="W538">
        <v>537</v>
      </c>
      <c r="X538">
        <v>100538</v>
      </c>
      <c r="Y538">
        <v>538</v>
      </c>
      <c r="Z538" t="b">
        <f t="shared" si="8"/>
        <v>1</v>
      </c>
      <c r="AA538" t="b">
        <f>COUNTBLANK(metadata!B538:S538)=COLUMNS(metadata!B538:S538)</f>
        <v>1</v>
      </c>
      <c r="AB538" t="str">
        <v/>
      </c>
      <c r="AD538" t="b">
        <f ca="1">AND(IF(metadata!B538="",FALSE,TRUE),COUNTIF(metadata!B:B, metadata!B538) = 1,NOT(ISERROR(SUMPRODUCT(SEARCH(MID(metadata!B538,ROW(INDIRECT("1:"&amp;LEN(metadata!B538))), 1),"0123456789abcdefghijklmnopqrstuvwxyzABCDEFGHIJKLMNOPQRSTUVWXYZ.")))))</f>
        <v>0</v>
      </c>
      <c r="AE538" t="b">
        <f>OR(AND(IF(metadata!C538="",FALSE,TRUE),OR(EXACT(metadata!C538,"not applicable"),EXACT(metadata!C538,"missing: not collected"),EXACT(metadata!C538,"missing: not provided"),EXACT(metadata!C538,"missing: restricted access"))),AND(IF(metadata!C538="",FALSE,ISNUMBER(VALUE(metadata!C538))),metadata!C538&gt;0))</f>
        <v>0</v>
      </c>
      <c r="AF538" t="b">
        <f>AND(IF(metadata!D538="",FALSE,TRUE),EXACT(metadata!D538,"missing: not provided"))</f>
        <v>0</v>
      </c>
      <c r="AG538" t="b">
        <f>AND(IF(metadata!E538="",FALSE,TRUE),EXACT(metadata!E538,"Host-associated"))</f>
        <v>0</v>
      </c>
      <c r="AH538" t="b">
        <f>AND(IF(metadata!F538="",FALSE,TRUE),OR(EXACT(metadata!F538,"Animal"),EXACT(metadata!F538,"Fungus"),EXACT(metadata!F538,"Plant")))</f>
        <v>0</v>
      </c>
      <c r="AI538" t="b">
        <f>AND(IF(metadata!G538="",FALSE,TRUE),OR(EXACT(metadata!G538,"Plant secretion"),EXACT(metadata!G538,"Plant rhizosphere"),EXACT(metadata!G538,"Plant surface"),EXACT(metadata!G538,"Plant corpus"),EXACT(metadata!G538,"Fungus surface"),EXACT(metadata!G538,"Fungus corpus"),EXACT(metadata!G538,"Animal surface"),EXACT(metadata!G538,"Animal proximal gut"),EXACT(metadata!G538,"Animal corpus"),EXACT(metadata!G538,"Animal distal gut"),EXACT(metadata!G538,"Animal secretion")))</f>
        <v>0</v>
      </c>
      <c r="AJ538" t="b">
        <f>OR(AND(IF(metadata!H538="",FALSE,TRUE),OR(EXACT(metadata!H538,"missing: not collected"),EXACT(metadata!H538,"missing: not provided"),EXACT(metadata!H538,"missing: restricted access"))),AND(IF(metadata!H538="",FALSE,TRUE),OR(EXACT(metadata!H538,"organism-associated habitat"),EXACT(metadata!H538,"plant-associated habitat"),EXACT(metadata!H538,"animal-associated habitat"),EXACT(metadata!H538,"insecta-associated habitat"),EXACT(metadata!H538,"mammalia-associated habitat"),EXACT(metadata!H538,"human-associated habitat"),EXACT(metadata!H538,"livestock-associated habitat"))))</f>
        <v>0</v>
      </c>
      <c r="AK538" t="b">
        <f>AND(IF(metadata!I538="",FALSE,TRUE),EXACT(metadata!I538,"host-associated"))</f>
        <v>0</v>
      </c>
      <c r="AL538" t="b">
        <f>OR(AND(IF(metadata!J538="",FALSE,TRUE),OR(EXACT(metadata!J538,"not applicable"),EXACT(metadata!J538,"missing: not collected"),EXACT(metadata!J538,"missing: not provided"),EXACT(metadata!J538,"missing: restricted access"))),AND(IF(metadata!J538="",FALSE,ISNUMBER(VALUE(metadata!J538))),metadata!J538&gt;0))</f>
        <v>0</v>
      </c>
      <c r="AM538" t="b">
        <f>AND(IF(metadata!K538="",FALSE,TRUE),EXACT(metadata!K538,"missing: not provided"))</f>
        <v>0</v>
      </c>
      <c r="AN538" t="b">
        <f>IF(metadata!L538="",FALSE,TRUE)</f>
        <v>0</v>
      </c>
      <c r="AO538" t="b">
        <f>IF(metadata!M538="",FALSE,TRUE)</f>
        <v>0</v>
      </c>
      <c r="AP538" t="b">
        <f>OR(AND(IF(metadata!N538="",FALSE,TRUE),OR(EXACT(metadata!N538,"not applicable"),EXACT(metadata!N538,"missing: not collected"),EXACT(metadata!N538,"missing: not provided"))),AND(IF(metadata!N538="",FALSE,IF(ISERROR(INT(metadata!N538)),FALSE,INT(metadata!N538)=metadata!N538)),metadata!N538&gt;0))</f>
        <v>0</v>
      </c>
      <c r="AQ538" t="b">
        <f>AND(IF(metadata!O538="",FALSE,TRUE),EXACT(metadata!O538,"Not applicable"))</f>
        <v>0</v>
      </c>
      <c r="AR538" t="b">
        <f>OR(AND(IF(metadata!P538="",FALSE,TRUE),OR(EXACT(metadata!P538,"not applicable"),EXACT(metadata!P538,"missing: not collected"),EXACT(metadata!P538,"missing: not provided"),EXACT(metadata!P538,"missing: restricted access"))),IF(metadata!P538="",FALSE,IF(ISERROR(INT(metadata!P538)),FALSE,INT(metadata!P538)=metadata!P538)))</f>
        <v>0</v>
      </c>
      <c r="AS538" t="b">
        <f>AND(IF(metadata!Q538="",FALSE,TRUE),EXACT(metadata!Q538,"Not applicable"))</f>
        <v>0</v>
      </c>
      <c r="AT538" t="b">
        <f>OR(AND(IF(metadata!R538="",FALSE,TRUE),OR(EXACT(metadata!R538,"not applicable"),EXACT(metadata!R538,"missing: not collected"),EXACT(metadata!R538,"missing: not provided"),EXACT(metadata!R538,"missing: restricted access"))),AND(IF(metadata!R538="",FALSE,ISNUMBER(VALUE(metadata!R538))),metadata!R538&gt;0))</f>
        <v>0</v>
      </c>
      <c r="AU538" t="b">
        <f>AND(IF(metadata!S538="",FALSE,TRUE),EXACT(metadata!S538,"missing: not provided"))</f>
        <v>0</v>
      </c>
    </row>
    <row r="539" spans="1:47" x14ac:dyDescent="0.2">
      <c r="A539" s="5" t="str">
        <f ca="1">IF(B539=" "," ",HYPERLINK(CONCATENATE("#metadata!",ADDRESS(INDEX($Y$2:$Y$1001,MATCH(ROWS($W$2:W539),$W$2:$W$1001,0),0),1)),INDEX($AB$2:$AB$1001,MATCH(ROWS($W$2:W539),$W$2:$W$1001,0),0)))</f>
        <v xml:space="preserve"> </v>
      </c>
      <c r="B539" s="4" t="str">
        <f ca="1">IF(OR(INDEX($X$2:$X$1001,MATCH(ROWS($W$2:W539),$W$2:$W$1001,0),1)&gt;=100000,INDEX($AD$1005:$AU$1005,1,MATCH(COLUMNS($AD$1006:AD1006),$AD$1006:$AU$1006,0))&gt;=100000), " ",IF(INDEX($AD$2:$AU$1001,MATCH(ROWS($W$2:W539),$W$2:$W$1001,0),MATCH(COLUMNS($AD$1006:AD1006),$AD$1006:$AU$1006,0)), HYPERLINK("#",""), HYPERLINK(CONCATENATE("#metadata!", ADDRESS(INDEX($Y$2:$Y$1001,MATCH(ROWS($W$2:W539),$W$2:$W$1001,0),0), INDEX($AD$1004:$AU$1004,1,MATCH(COLUMNS($AD$1006:AD1006),$AD$1006:$AU$1006,0)))),"Fix")))</f>
        <v xml:space="preserve"> </v>
      </c>
      <c r="C539" s="4" t="str">
        <f ca="1">IF(OR(INDEX($X$2:$X$1001,MATCH(ROWS($W$2:W539),$W$2:$W$1001,0),1)&gt;=100000,INDEX($AD$1005:$AU$1005,1,MATCH(COLUMNS($AD$1006:AE1006),$AD$1006:$AU$1006,0))&gt;=100000), " ",IF(INDEX($AD$2:$AU$1001,MATCH(ROWS($W$2:W539),$W$2:$W$1001,0),MATCH(COLUMNS($AD$1006:AE1006),$AD$1006:$AU$1006,0)), HYPERLINK("#",""), HYPERLINK(CONCATENATE("#metadata!", ADDRESS(INDEX($Y$2:$Y$1001,MATCH(ROWS($W$2:W539),$W$2:$W$1001,0),0), INDEX($AD$1004:$AU$1004,1,MATCH(COLUMNS($AD$1006:AE1006),$AD$1006:$AU$1006,0)))),"Fix")))</f>
        <v xml:space="preserve"> </v>
      </c>
      <c r="D539" s="4" t="str">
        <f ca="1">IF(OR(INDEX($X$2:$X$1001,MATCH(ROWS($W$2:W539),$W$2:$W$1001,0),1)&gt;=100000,INDEX($AD$1005:$AU$1005,1,MATCH(COLUMNS($AD$1006:AF1006),$AD$1006:$AU$1006,0))&gt;=100000), " ",IF(INDEX($AD$2:$AU$1001,MATCH(ROWS($W$2:W539),$W$2:$W$1001,0),MATCH(COLUMNS($AD$1006:AF1006),$AD$1006:$AU$1006,0)), HYPERLINK("#",""), HYPERLINK(CONCATENATE("#metadata!", ADDRESS(INDEX($Y$2:$Y$1001,MATCH(ROWS($W$2:W539),$W$2:$W$1001,0),0), INDEX($AD$1004:$AU$1004,1,MATCH(COLUMNS($AD$1006:AF1006),$AD$1006:$AU$1006,0)))),"Fix")))</f>
        <v xml:space="preserve"> </v>
      </c>
      <c r="E539" s="4" t="str">
        <f ca="1">IF(OR(INDEX($X$2:$X$1001,MATCH(ROWS($W$2:W539),$W$2:$W$1001,0),1)&gt;=100000,INDEX($AD$1005:$AU$1005,1,MATCH(COLUMNS($AD$1006:AG1006),$AD$1006:$AU$1006,0))&gt;=100000), " ",IF(INDEX($AD$2:$AU$1001,MATCH(ROWS($W$2:W539),$W$2:$W$1001,0),MATCH(COLUMNS($AD$1006:AG1006),$AD$1006:$AU$1006,0)), HYPERLINK("#",""), HYPERLINK(CONCATENATE("#metadata!", ADDRESS(INDEX($Y$2:$Y$1001,MATCH(ROWS($W$2:W539),$W$2:$W$1001,0),0), INDEX($AD$1004:$AU$1004,1,MATCH(COLUMNS($AD$1006:AG1006),$AD$1006:$AU$1006,0)))),"Fix")))</f>
        <v xml:space="preserve"> </v>
      </c>
      <c r="F539" s="4" t="str">
        <f ca="1">IF(OR(INDEX($X$2:$X$1001,MATCH(ROWS($W$2:W539),$W$2:$W$1001,0),1)&gt;=100000,INDEX($AD$1005:$AU$1005,1,MATCH(COLUMNS($AD$1006:AH1006),$AD$1006:$AU$1006,0))&gt;=100000), " ",IF(INDEX($AD$2:$AU$1001,MATCH(ROWS($W$2:W539),$W$2:$W$1001,0),MATCH(COLUMNS($AD$1006:AH1006),$AD$1006:$AU$1006,0)), HYPERLINK("#",""), HYPERLINK(CONCATENATE("#metadata!", ADDRESS(INDEX($Y$2:$Y$1001,MATCH(ROWS($W$2:W539),$W$2:$W$1001,0),0), INDEX($AD$1004:$AU$1004,1,MATCH(COLUMNS($AD$1006:AH1006),$AD$1006:$AU$1006,0)))),"Fix")))</f>
        <v xml:space="preserve"> </v>
      </c>
      <c r="G539" s="4" t="str">
        <f ca="1">IF(OR(INDEX($X$2:$X$1001,MATCH(ROWS($W$2:W539),$W$2:$W$1001,0),1)&gt;=100000,INDEX($AD$1005:$AU$1005,1,MATCH(COLUMNS($AD$1006:AI1006),$AD$1006:$AU$1006,0))&gt;=100000), " ",IF(INDEX($AD$2:$AU$1001,MATCH(ROWS($W$2:W539),$W$2:$W$1001,0),MATCH(COLUMNS($AD$1006:AI1006),$AD$1006:$AU$1006,0)), HYPERLINK("#",""), HYPERLINK(CONCATENATE("#metadata!", ADDRESS(INDEX($Y$2:$Y$1001,MATCH(ROWS($W$2:W539),$W$2:$W$1001,0),0), INDEX($AD$1004:$AU$1004,1,MATCH(COLUMNS($AD$1006:AI1006),$AD$1006:$AU$1006,0)))),"Fix")))</f>
        <v xml:space="preserve"> </v>
      </c>
      <c r="H539" s="4" t="str">
        <f ca="1">IF(OR(INDEX($X$2:$X$1001,MATCH(ROWS($W$2:W539),$W$2:$W$1001,0),1)&gt;=100000,INDEX($AD$1005:$AU$1005,1,MATCH(COLUMNS($AD$1006:AJ1006),$AD$1006:$AU$1006,0))&gt;=100000), " ",IF(INDEX($AD$2:$AU$1001,MATCH(ROWS($W$2:W539),$W$2:$W$1001,0),MATCH(COLUMNS($AD$1006:AJ1006),$AD$1006:$AU$1006,0)), HYPERLINK("#",""), HYPERLINK(CONCATENATE("#metadata!", ADDRESS(INDEX($Y$2:$Y$1001,MATCH(ROWS($W$2:W539),$W$2:$W$1001,0),0), INDEX($AD$1004:$AU$1004,1,MATCH(COLUMNS($AD$1006:AJ1006),$AD$1006:$AU$1006,0)))),"Fix")))</f>
        <v xml:space="preserve"> </v>
      </c>
      <c r="I539" s="4" t="str">
        <f ca="1">IF(OR(INDEX($X$2:$X$1001,MATCH(ROWS($W$2:W539),$W$2:$W$1001,0),1)&gt;=100000,INDEX($AD$1005:$AU$1005,1,MATCH(COLUMNS($AD$1006:AK1006),$AD$1006:$AU$1006,0))&gt;=100000), " ",IF(INDEX($AD$2:$AU$1001,MATCH(ROWS($W$2:W539),$W$2:$W$1001,0),MATCH(COLUMNS($AD$1006:AK1006),$AD$1006:$AU$1006,0)), HYPERLINK("#",""), HYPERLINK(CONCATENATE("#metadata!", ADDRESS(INDEX($Y$2:$Y$1001,MATCH(ROWS($W$2:W539),$W$2:$W$1001,0),0), INDEX($AD$1004:$AU$1004,1,MATCH(COLUMNS($AD$1006:AK1006),$AD$1006:$AU$1006,0)))),"Fix")))</f>
        <v xml:space="preserve"> </v>
      </c>
      <c r="J539" s="4" t="str">
        <f ca="1">IF(OR(INDEX($X$2:$X$1001,MATCH(ROWS($W$2:W539),$W$2:$W$1001,0),1)&gt;=100000,INDEX($AD$1005:$AU$1005,1,MATCH(COLUMNS($AD$1006:AL1006),$AD$1006:$AU$1006,0))&gt;=100000), " ",IF(INDEX($AD$2:$AU$1001,MATCH(ROWS($W$2:W539),$W$2:$W$1001,0),MATCH(COLUMNS($AD$1006:AL1006),$AD$1006:$AU$1006,0)), HYPERLINK("#",""), HYPERLINK(CONCATENATE("#metadata!", ADDRESS(INDEX($Y$2:$Y$1001,MATCH(ROWS($W$2:W539),$W$2:$W$1001,0),0), INDEX($AD$1004:$AU$1004,1,MATCH(COLUMNS($AD$1006:AL1006),$AD$1006:$AU$1006,0)))),"Fix")))</f>
        <v xml:space="preserve"> </v>
      </c>
      <c r="K539" s="4" t="str">
        <f ca="1">IF(OR(INDEX($X$2:$X$1001,MATCH(ROWS($W$2:W539),$W$2:$W$1001,0),1)&gt;=100000,INDEX($AD$1005:$AU$1005,1,MATCH(COLUMNS($AD$1006:AM1006),$AD$1006:$AU$1006,0))&gt;=100000), " ",IF(INDEX($AD$2:$AU$1001,MATCH(ROWS($W$2:W539),$W$2:$W$1001,0),MATCH(COLUMNS($AD$1006:AM1006),$AD$1006:$AU$1006,0)), HYPERLINK("#",""), HYPERLINK(CONCATENATE("#metadata!", ADDRESS(INDEX($Y$2:$Y$1001,MATCH(ROWS($W$2:W539),$W$2:$W$1001,0),0), INDEX($AD$1004:$AU$1004,1,MATCH(COLUMNS($AD$1006:AM1006),$AD$1006:$AU$1006,0)))),"Fix")))</f>
        <v xml:space="preserve"> </v>
      </c>
      <c r="L539" s="4" t="str">
        <f ca="1">IF(OR(INDEX($X$2:$X$1001,MATCH(ROWS($W$2:W539),$W$2:$W$1001,0),1)&gt;=100000,INDEX($AD$1005:$AU$1005,1,MATCH(COLUMNS($AD$1006:AN1006),$AD$1006:$AU$1006,0))&gt;=100000), " ",IF(INDEX($AD$2:$AU$1001,MATCH(ROWS($W$2:W539),$W$2:$W$1001,0),MATCH(COLUMNS($AD$1006:AN1006),$AD$1006:$AU$1006,0)), HYPERLINK("#",""), HYPERLINK(CONCATENATE("#metadata!", ADDRESS(INDEX($Y$2:$Y$1001,MATCH(ROWS($W$2:W539),$W$2:$W$1001,0),0), INDEX($AD$1004:$AU$1004,1,MATCH(COLUMNS($AD$1006:AN1006),$AD$1006:$AU$1006,0)))),"Fix")))</f>
        <v xml:space="preserve"> </v>
      </c>
      <c r="M539" s="4" t="str">
        <f ca="1">IF(OR(INDEX($X$2:$X$1001,MATCH(ROWS($W$2:W539),$W$2:$W$1001,0),1)&gt;=100000,INDEX($AD$1005:$AU$1005,1,MATCH(COLUMNS($AD$1006:AO1006),$AD$1006:$AU$1006,0))&gt;=100000), " ",IF(INDEX($AD$2:$AU$1001,MATCH(ROWS($W$2:W539),$W$2:$W$1001,0),MATCH(COLUMNS($AD$1006:AO1006),$AD$1006:$AU$1006,0)), HYPERLINK("#",""), HYPERLINK(CONCATENATE("#metadata!", ADDRESS(INDEX($Y$2:$Y$1001,MATCH(ROWS($W$2:W539),$W$2:$W$1001,0),0), INDEX($AD$1004:$AU$1004,1,MATCH(COLUMNS($AD$1006:AO1006),$AD$1006:$AU$1006,0)))),"Fix")))</f>
        <v xml:space="preserve"> </v>
      </c>
      <c r="N539" s="4" t="str">
        <f ca="1">IF(OR(INDEX($X$2:$X$1001,MATCH(ROWS($W$2:W539),$W$2:$W$1001,0),1)&gt;=100000,INDEX($AD$1005:$AU$1005,1,MATCH(COLUMNS($AD$1006:AP1006),$AD$1006:$AU$1006,0))&gt;=100000), " ",IF(INDEX($AD$2:$AU$1001,MATCH(ROWS($W$2:W539),$W$2:$W$1001,0),MATCH(COLUMNS($AD$1006:AP1006),$AD$1006:$AU$1006,0)), HYPERLINK("#",""), HYPERLINK(CONCATENATE("#metadata!", ADDRESS(INDEX($Y$2:$Y$1001,MATCH(ROWS($W$2:W539),$W$2:$W$1001,0),0), INDEX($AD$1004:$AU$1004,1,MATCH(COLUMNS($AD$1006:AP1006),$AD$1006:$AU$1006,0)))),"Fix")))</f>
        <v xml:space="preserve"> </v>
      </c>
      <c r="O539" s="4" t="str">
        <f ca="1">IF(OR(INDEX($X$2:$X$1001,MATCH(ROWS($W$2:W539),$W$2:$W$1001,0),1)&gt;=100000,INDEX($AD$1005:$AU$1005,1,MATCH(COLUMNS($AD$1006:AQ1006),$AD$1006:$AU$1006,0))&gt;=100000), " ",IF(INDEX($AD$2:$AU$1001,MATCH(ROWS($W$2:W539),$W$2:$W$1001,0),MATCH(COLUMNS($AD$1006:AQ1006),$AD$1006:$AU$1006,0)), HYPERLINK("#",""), HYPERLINK(CONCATENATE("#metadata!", ADDRESS(INDEX($Y$2:$Y$1001,MATCH(ROWS($W$2:W539),$W$2:$W$1001,0),0), INDEX($AD$1004:$AU$1004,1,MATCH(COLUMNS($AD$1006:AQ1006),$AD$1006:$AU$1006,0)))),"Fix")))</f>
        <v xml:space="preserve"> </v>
      </c>
      <c r="P539" s="4" t="str">
        <f ca="1">IF(OR(INDEX($X$2:$X$1001,MATCH(ROWS($W$2:W539),$W$2:$W$1001,0),1)&gt;=100000,INDEX($AD$1005:$AU$1005,1,MATCH(COLUMNS($AD$1006:AR1006),$AD$1006:$AU$1006,0))&gt;=100000), " ",IF(INDEX($AD$2:$AU$1001,MATCH(ROWS($W$2:W539),$W$2:$W$1001,0),MATCH(COLUMNS($AD$1006:AR1006),$AD$1006:$AU$1006,0)), HYPERLINK("#",""), HYPERLINK(CONCATENATE("#metadata!", ADDRESS(INDEX($Y$2:$Y$1001,MATCH(ROWS($W$2:W539),$W$2:$W$1001,0),0), INDEX($AD$1004:$AU$1004,1,MATCH(COLUMNS($AD$1006:AR1006),$AD$1006:$AU$1006,0)))),"Fix")))</f>
        <v xml:space="preserve"> </v>
      </c>
      <c r="Q539" s="4" t="str">
        <f ca="1">IF(OR(INDEX($X$2:$X$1001,MATCH(ROWS($W$2:W539),$W$2:$W$1001,0),1)&gt;=100000,INDEX($AD$1005:$AU$1005,1,MATCH(COLUMNS($AD$1006:AS1006),$AD$1006:$AU$1006,0))&gt;=100000), " ",IF(INDEX($AD$2:$AU$1001,MATCH(ROWS($W$2:W539),$W$2:$W$1001,0),MATCH(COLUMNS($AD$1006:AS1006),$AD$1006:$AU$1006,0)), HYPERLINK("#",""), HYPERLINK(CONCATENATE("#metadata!", ADDRESS(INDEX($Y$2:$Y$1001,MATCH(ROWS($W$2:W539),$W$2:$W$1001,0),0), INDEX($AD$1004:$AU$1004,1,MATCH(COLUMNS($AD$1006:AS1006),$AD$1006:$AU$1006,0)))),"Fix")))</f>
        <v xml:space="preserve"> </v>
      </c>
      <c r="R539" s="4" t="str">
        <f ca="1">IF(OR(INDEX($X$2:$X$1001,MATCH(ROWS($W$2:W539),$W$2:$W$1001,0),1)&gt;=100000,INDEX($AD$1005:$AU$1005,1,MATCH(COLUMNS($AD$1006:AT1006),$AD$1006:$AU$1006,0))&gt;=100000), " ",IF(INDEX($AD$2:$AU$1001,MATCH(ROWS($W$2:W539),$W$2:$W$1001,0),MATCH(COLUMNS($AD$1006:AT1006),$AD$1006:$AU$1006,0)), HYPERLINK("#",""), HYPERLINK(CONCATENATE("#metadata!", ADDRESS(INDEX($Y$2:$Y$1001,MATCH(ROWS($W$2:W539),$W$2:$W$1001,0),0), INDEX($AD$1004:$AU$1004,1,MATCH(COLUMNS($AD$1006:AT1006),$AD$1006:$AU$1006,0)))),"Fix")))</f>
        <v xml:space="preserve"> </v>
      </c>
      <c r="S539" s="4" t="str">
        <f ca="1">IF(OR(INDEX($X$2:$X$1001,MATCH(ROWS($W$2:W539),$W$2:$W$1001,0),1)&gt;=100000,INDEX($AD$1005:$AU$1005,1,MATCH(COLUMNS($AD$1006:AU1006),$AD$1006:$AU$1006,0))&gt;=100000), " ",IF(INDEX($AD$2:$AU$1001,MATCH(ROWS($W$2:W539),$W$2:$W$1001,0),MATCH(COLUMNS($AD$1006:AU1006),$AD$1006:$AU$1006,0)), HYPERLINK("#",""), HYPERLINK(CONCATENATE("#metadata!", ADDRESS(INDEX($Y$2:$Y$1001,MATCH(ROWS($W$2:W539),$W$2:$W$1001,0),0), INDEX($AD$1004:$AU$1004,1,MATCH(COLUMNS($AD$1006:AU1006),$AD$1006:$AU$1006,0)))),"Fix")))</f>
        <v xml:space="preserve"> </v>
      </c>
      <c r="W539">
        <v>538</v>
      </c>
      <c r="X539">
        <v>100539</v>
      </c>
      <c r="Y539">
        <v>539</v>
      </c>
      <c r="Z539" t="b">
        <f t="shared" si="8"/>
        <v>1</v>
      </c>
      <c r="AA539" t="b">
        <f>COUNTBLANK(metadata!B539:S539)=COLUMNS(metadata!B539:S539)</f>
        <v>1</v>
      </c>
      <c r="AB539" t="str">
        <v/>
      </c>
      <c r="AD539" t="b">
        <f ca="1">AND(IF(metadata!B539="",FALSE,TRUE),COUNTIF(metadata!B:B, metadata!B539) = 1,NOT(ISERROR(SUMPRODUCT(SEARCH(MID(metadata!B539,ROW(INDIRECT("1:"&amp;LEN(metadata!B539))), 1),"0123456789abcdefghijklmnopqrstuvwxyzABCDEFGHIJKLMNOPQRSTUVWXYZ.")))))</f>
        <v>0</v>
      </c>
      <c r="AE539" t="b">
        <f>OR(AND(IF(metadata!C539="",FALSE,TRUE),OR(EXACT(metadata!C539,"not applicable"),EXACT(metadata!C539,"missing: not collected"),EXACT(metadata!C539,"missing: not provided"),EXACT(metadata!C539,"missing: restricted access"))),AND(IF(metadata!C539="",FALSE,ISNUMBER(VALUE(metadata!C539))),metadata!C539&gt;0))</f>
        <v>0</v>
      </c>
      <c r="AF539" t="b">
        <f>AND(IF(metadata!D539="",FALSE,TRUE),EXACT(metadata!D539,"missing: not provided"))</f>
        <v>0</v>
      </c>
      <c r="AG539" t="b">
        <f>AND(IF(metadata!E539="",FALSE,TRUE),EXACT(metadata!E539,"Host-associated"))</f>
        <v>0</v>
      </c>
      <c r="AH539" t="b">
        <f>AND(IF(metadata!F539="",FALSE,TRUE),OR(EXACT(metadata!F539,"Animal"),EXACT(metadata!F539,"Fungus"),EXACT(metadata!F539,"Plant")))</f>
        <v>0</v>
      </c>
      <c r="AI539" t="b">
        <f>AND(IF(metadata!G539="",FALSE,TRUE),OR(EXACT(metadata!G539,"Plant secretion"),EXACT(metadata!G539,"Plant rhizosphere"),EXACT(metadata!G539,"Plant surface"),EXACT(metadata!G539,"Plant corpus"),EXACT(metadata!G539,"Fungus surface"),EXACT(metadata!G539,"Fungus corpus"),EXACT(metadata!G539,"Animal surface"),EXACT(metadata!G539,"Animal proximal gut"),EXACT(metadata!G539,"Animal corpus"),EXACT(metadata!G539,"Animal distal gut"),EXACT(metadata!G539,"Animal secretion")))</f>
        <v>0</v>
      </c>
      <c r="AJ539" t="b">
        <f>OR(AND(IF(metadata!H539="",FALSE,TRUE),OR(EXACT(metadata!H539,"missing: not collected"),EXACT(metadata!H539,"missing: not provided"),EXACT(metadata!H539,"missing: restricted access"))),AND(IF(metadata!H539="",FALSE,TRUE),OR(EXACT(metadata!H539,"organism-associated habitat"),EXACT(metadata!H539,"plant-associated habitat"),EXACT(metadata!H539,"animal-associated habitat"),EXACT(metadata!H539,"insecta-associated habitat"),EXACT(metadata!H539,"mammalia-associated habitat"),EXACT(metadata!H539,"human-associated habitat"),EXACT(metadata!H539,"livestock-associated habitat"))))</f>
        <v>0</v>
      </c>
      <c r="AK539" t="b">
        <f>AND(IF(metadata!I539="",FALSE,TRUE),EXACT(metadata!I539,"host-associated"))</f>
        <v>0</v>
      </c>
      <c r="AL539" t="b">
        <f>OR(AND(IF(metadata!J539="",FALSE,TRUE),OR(EXACT(metadata!J539,"not applicable"),EXACT(metadata!J539,"missing: not collected"),EXACT(metadata!J539,"missing: not provided"),EXACT(metadata!J539,"missing: restricted access"))),AND(IF(metadata!J539="",FALSE,ISNUMBER(VALUE(metadata!J539))),metadata!J539&gt;0))</f>
        <v>0</v>
      </c>
      <c r="AM539" t="b">
        <f>AND(IF(metadata!K539="",FALSE,TRUE),EXACT(metadata!K539,"missing: not provided"))</f>
        <v>0</v>
      </c>
      <c r="AN539" t="b">
        <f>IF(metadata!L539="",FALSE,TRUE)</f>
        <v>0</v>
      </c>
      <c r="AO539" t="b">
        <f>IF(metadata!M539="",FALSE,TRUE)</f>
        <v>0</v>
      </c>
      <c r="AP539" t="b">
        <f>OR(AND(IF(metadata!N539="",FALSE,TRUE),OR(EXACT(metadata!N539,"not applicable"),EXACT(metadata!N539,"missing: not collected"),EXACT(metadata!N539,"missing: not provided"))),AND(IF(metadata!N539="",FALSE,IF(ISERROR(INT(metadata!N539)),FALSE,INT(metadata!N539)=metadata!N539)),metadata!N539&gt;0))</f>
        <v>0</v>
      </c>
      <c r="AQ539" t="b">
        <f>AND(IF(metadata!O539="",FALSE,TRUE),EXACT(metadata!O539,"Not applicable"))</f>
        <v>0</v>
      </c>
      <c r="AR539" t="b">
        <f>OR(AND(IF(metadata!P539="",FALSE,TRUE),OR(EXACT(metadata!P539,"not applicable"),EXACT(metadata!P539,"missing: not collected"),EXACT(metadata!P539,"missing: not provided"),EXACT(metadata!P539,"missing: restricted access"))),IF(metadata!P539="",FALSE,IF(ISERROR(INT(metadata!P539)),FALSE,INT(metadata!P539)=metadata!P539)))</f>
        <v>0</v>
      </c>
      <c r="AS539" t="b">
        <f>AND(IF(metadata!Q539="",FALSE,TRUE),EXACT(metadata!Q539,"Not applicable"))</f>
        <v>0</v>
      </c>
      <c r="AT539" t="b">
        <f>OR(AND(IF(metadata!R539="",FALSE,TRUE),OR(EXACT(metadata!R539,"not applicable"),EXACT(metadata!R539,"missing: not collected"),EXACT(metadata!R539,"missing: not provided"),EXACT(metadata!R539,"missing: restricted access"))),AND(IF(metadata!R539="",FALSE,ISNUMBER(VALUE(metadata!R539))),metadata!R539&gt;0))</f>
        <v>0</v>
      </c>
      <c r="AU539" t="b">
        <f>AND(IF(metadata!S539="",FALSE,TRUE),EXACT(metadata!S539,"missing: not provided"))</f>
        <v>0</v>
      </c>
    </row>
    <row r="540" spans="1:47" x14ac:dyDescent="0.2">
      <c r="A540" s="5" t="str">
        <f ca="1">IF(B540=" "," ",HYPERLINK(CONCATENATE("#metadata!",ADDRESS(INDEX($Y$2:$Y$1001,MATCH(ROWS($W$2:W540),$W$2:$W$1001,0),0),1)),INDEX($AB$2:$AB$1001,MATCH(ROWS($W$2:W540),$W$2:$W$1001,0),0)))</f>
        <v xml:space="preserve"> </v>
      </c>
      <c r="B540" s="4" t="str">
        <f ca="1">IF(OR(INDEX($X$2:$X$1001,MATCH(ROWS($W$2:W540),$W$2:$W$1001,0),1)&gt;=100000,INDEX($AD$1005:$AU$1005,1,MATCH(COLUMNS($AD$1006:AD1006),$AD$1006:$AU$1006,0))&gt;=100000), " ",IF(INDEX($AD$2:$AU$1001,MATCH(ROWS($W$2:W540),$W$2:$W$1001,0),MATCH(COLUMNS($AD$1006:AD1006),$AD$1006:$AU$1006,0)), HYPERLINK("#",""), HYPERLINK(CONCATENATE("#metadata!", ADDRESS(INDEX($Y$2:$Y$1001,MATCH(ROWS($W$2:W540),$W$2:$W$1001,0),0), INDEX($AD$1004:$AU$1004,1,MATCH(COLUMNS($AD$1006:AD1006),$AD$1006:$AU$1006,0)))),"Fix")))</f>
        <v xml:space="preserve"> </v>
      </c>
      <c r="C540" s="4" t="str">
        <f ca="1">IF(OR(INDEX($X$2:$X$1001,MATCH(ROWS($W$2:W540),$W$2:$W$1001,0),1)&gt;=100000,INDEX($AD$1005:$AU$1005,1,MATCH(COLUMNS($AD$1006:AE1006),$AD$1006:$AU$1006,0))&gt;=100000), " ",IF(INDEX($AD$2:$AU$1001,MATCH(ROWS($W$2:W540),$W$2:$W$1001,0),MATCH(COLUMNS($AD$1006:AE1006),$AD$1006:$AU$1006,0)), HYPERLINK("#",""), HYPERLINK(CONCATENATE("#metadata!", ADDRESS(INDEX($Y$2:$Y$1001,MATCH(ROWS($W$2:W540),$W$2:$W$1001,0),0), INDEX($AD$1004:$AU$1004,1,MATCH(COLUMNS($AD$1006:AE1006),$AD$1006:$AU$1006,0)))),"Fix")))</f>
        <v xml:space="preserve"> </v>
      </c>
      <c r="D540" s="4" t="str">
        <f ca="1">IF(OR(INDEX($X$2:$X$1001,MATCH(ROWS($W$2:W540),$W$2:$W$1001,0),1)&gt;=100000,INDEX($AD$1005:$AU$1005,1,MATCH(COLUMNS($AD$1006:AF1006),$AD$1006:$AU$1006,0))&gt;=100000), " ",IF(INDEX($AD$2:$AU$1001,MATCH(ROWS($W$2:W540),$W$2:$W$1001,0),MATCH(COLUMNS($AD$1006:AF1006),$AD$1006:$AU$1006,0)), HYPERLINK("#",""), HYPERLINK(CONCATENATE("#metadata!", ADDRESS(INDEX($Y$2:$Y$1001,MATCH(ROWS($W$2:W540),$W$2:$W$1001,0),0), INDEX($AD$1004:$AU$1004,1,MATCH(COLUMNS($AD$1006:AF1006),$AD$1006:$AU$1006,0)))),"Fix")))</f>
        <v xml:space="preserve"> </v>
      </c>
      <c r="E540" s="4" t="str">
        <f ca="1">IF(OR(INDEX($X$2:$X$1001,MATCH(ROWS($W$2:W540),$W$2:$W$1001,0),1)&gt;=100000,INDEX($AD$1005:$AU$1005,1,MATCH(COLUMNS($AD$1006:AG1006),$AD$1006:$AU$1006,0))&gt;=100000), " ",IF(INDEX($AD$2:$AU$1001,MATCH(ROWS($W$2:W540),$W$2:$W$1001,0),MATCH(COLUMNS($AD$1006:AG1006),$AD$1006:$AU$1006,0)), HYPERLINK("#",""), HYPERLINK(CONCATENATE("#metadata!", ADDRESS(INDEX($Y$2:$Y$1001,MATCH(ROWS($W$2:W540),$W$2:$W$1001,0),0), INDEX($AD$1004:$AU$1004,1,MATCH(COLUMNS($AD$1006:AG1006),$AD$1006:$AU$1006,0)))),"Fix")))</f>
        <v xml:space="preserve"> </v>
      </c>
      <c r="F540" s="4" t="str">
        <f ca="1">IF(OR(INDEX($X$2:$X$1001,MATCH(ROWS($W$2:W540),$W$2:$W$1001,0),1)&gt;=100000,INDEX($AD$1005:$AU$1005,1,MATCH(COLUMNS($AD$1006:AH1006),$AD$1006:$AU$1006,0))&gt;=100000), " ",IF(INDEX($AD$2:$AU$1001,MATCH(ROWS($W$2:W540),$W$2:$W$1001,0),MATCH(COLUMNS($AD$1006:AH1006),$AD$1006:$AU$1006,0)), HYPERLINK("#",""), HYPERLINK(CONCATENATE("#metadata!", ADDRESS(INDEX($Y$2:$Y$1001,MATCH(ROWS($W$2:W540),$W$2:$W$1001,0),0), INDEX($AD$1004:$AU$1004,1,MATCH(COLUMNS($AD$1006:AH1006),$AD$1006:$AU$1006,0)))),"Fix")))</f>
        <v xml:space="preserve"> </v>
      </c>
      <c r="G540" s="4" t="str">
        <f ca="1">IF(OR(INDEX($X$2:$X$1001,MATCH(ROWS($W$2:W540),$W$2:$W$1001,0),1)&gt;=100000,INDEX($AD$1005:$AU$1005,1,MATCH(COLUMNS($AD$1006:AI1006),$AD$1006:$AU$1006,0))&gt;=100000), " ",IF(INDEX($AD$2:$AU$1001,MATCH(ROWS($W$2:W540),$W$2:$W$1001,0),MATCH(COLUMNS($AD$1006:AI1006),$AD$1006:$AU$1006,0)), HYPERLINK("#",""), HYPERLINK(CONCATENATE("#metadata!", ADDRESS(INDEX($Y$2:$Y$1001,MATCH(ROWS($W$2:W540),$W$2:$W$1001,0),0), INDEX($AD$1004:$AU$1004,1,MATCH(COLUMNS($AD$1006:AI1006),$AD$1006:$AU$1006,0)))),"Fix")))</f>
        <v xml:space="preserve"> </v>
      </c>
      <c r="H540" s="4" t="str">
        <f ca="1">IF(OR(INDEX($X$2:$X$1001,MATCH(ROWS($W$2:W540),$W$2:$W$1001,0),1)&gt;=100000,INDEX($AD$1005:$AU$1005,1,MATCH(COLUMNS($AD$1006:AJ1006),$AD$1006:$AU$1006,0))&gt;=100000), " ",IF(INDEX($AD$2:$AU$1001,MATCH(ROWS($W$2:W540),$W$2:$W$1001,0),MATCH(COLUMNS($AD$1006:AJ1006),$AD$1006:$AU$1006,0)), HYPERLINK("#",""), HYPERLINK(CONCATENATE("#metadata!", ADDRESS(INDEX($Y$2:$Y$1001,MATCH(ROWS($W$2:W540),$W$2:$W$1001,0),0), INDEX($AD$1004:$AU$1004,1,MATCH(COLUMNS($AD$1006:AJ1006),$AD$1006:$AU$1006,0)))),"Fix")))</f>
        <v xml:space="preserve"> </v>
      </c>
      <c r="I540" s="4" t="str">
        <f ca="1">IF(OR(INDEX($X$2:$X$1001,MATCH(ROWS($W$2:W540),$W$2:$W$1001,0),1)&gt;=100000,INDEX($AD$1005:$AU$1005,1,MATCH(COLUMNS($AD$1006:AK1006),$AD$1006:$AU$1006,0))&gt;=100000), " ",IF(INDEX($AD$2:$AU$1001,MATCH(ROWS($W$2:W540),$W$2:$W$1001,0),MATCH(COLUMNS($AD$1006:AK1006),$AD$1006:$AU$1006,0)), HYPERLINK("#",""), HYPERLINK(CONCATENATE("#metadata!", ADDRESS(INDEX($Y$2:$Y$1001,MATCH(ROWS($W$2:W540),$W$2:$W$1001,0),0), INDEX($AD$1004:$AU$1004,1,MATCH(COLUMNS($AD$1006:AK1006),$AD$1006:$AU$1006,0)))),"Fix")))</f>
        <v xml:space="preserve"> </v>
      </c>
      <c r="J540" s="4" t="str">
        <f ca="1">IF(OR(INDEX($X$2:$X$1001,MATCH(ROWS($W$2:W540),$W$2:$W$1001,0),1)&gt;=100000,INDEX($AD$1005:$AU$1005,1,MATCH(COLUMNS($AD$1006:AL1006),$AD$1006:$AU$1006,0))&gt;=100000), " ",IF(INDEX($AD$2:$AU$1001,MATCH(ROWS($W$2:W540),$W$2:$W$1001,0),MATCH(COLUMNS($AD$1006:AL1006),$AD$1006:$AU$1006,0)), HYPERLINK("#",""), HYPERLINK(CONCATENATE("#metadata!", ADDRESS(INDEX($Y$2:$Y$1001,MATCH(ROWS($W$2:W540),$W$2:$W$1001,0),0), INDEX($AD$1004:$AU$1004,1,MATCH(COLUMNS($AD$1006:AL1006),$AD$1006:$AU$1006,0)))),"Fix")))</f>
        <v xml:space="preserve"> </v>
      </c>
      <c r="K540" s="4" t="str">
        <f ca="1">IF(OR(INDEX($X$2:$X$1001,MATCH(ROWS($W$2:W540),$W$2:$W$1001,0),1)&gt;=100000,INDEX($AD$1005:$AU$1005,1,MATCH(COLUMNS($AD$1006:AM1006),$AD$1006:$AU$1006,0))&gt;=100000), " ",IF(INDEX($AD$2:$AU$1001,MATCH(ROWS($W$2:W540),$W$2:$W$1001,0),MATCH(COLUMNS($AD$1006:AM1006),$AD$1006:$AU$1006,0)), HYPERLINK("#",""), HYPERLINK(CONCATENATE("#metadata!", ADDRESS(INDEX($Y$2:$Y$1001,MATCH(ROWS($W$2:W540),$W$2:$W$1001,0),0), INDEX($AD$1004:$AU$1004,1,MATCH(COLUMNS($AD$1006:AM1006),$AD$1006:$AU$1006,0)))),"Fix")))</f>
        <v xml:space="preserve"> </v>
      </c>
      <c r="L540" s="4" t="str">
        <f ca="1">IF(OR(INDEX($X$2:$X$1001,MATCH(ROWS($W$2:W540),$W$2:$W$1001,0),1)&gt;=100000,INDEX($AD$1005:$AU$1005,1,MATCH(COLUMNS($AD$1006:AN1006),$AD$1006:$AU$1006,0))&gt;=100000), " ",IF(INDEX($AD$2:$AU$1001,MATCH(ROWS($W$2:W540),$W$2:$W$1001,0),MATCH(COLUMNS($AD$1006:AN1006),$AD$1006:$AU$1006,0)), HYPERLINK("#",""), HYPERLINK(CONCATENATE("#metadata!", ADDRESS(INDEX($Y$2:$Y$1001,MATCH(ROWS($W$2:W540),$W$2:$W$1001,0),0), INDEX($AD$1004:$AU$1004,1,MATCH(COLUMNS($AD$1006:AN1006),$AD$1006:$AU$1006,0)))),"Fix")))</f>
        <v xml:space="preserve"> </v>
      </c>
      <c r="M540" s="4" t="str">
        <f ca="1">IF(OR(INDEX($X$2:$X$1001,MATCH(ROWS($W$2:W540),$W$2:$W$1001,0),1)&gt;=100000,INDEX($AD$1005:$AU$1005,1,MATCH(COLUMNS($AD$1006:AO1006),$AD$1006:$AU$1006,0))&gt;=100000), " ",IF(INDEX($AD$2:$AU$1001,MATCH(ROWS($W$2:W540),$W$2:$W$1001,0),MATCH(COLUMNS($AD$1006:AO1006),$AD$1006:$AU$1006,0)), HYPERLINK("#",""), HYPERLINK(CONCATENATE("#metadata!", ADDRESS(INDEX($Y$2:$Y$1001,MATCH(ROWS($W$2:W540),$W$2:$W$1001,0),0), INDEX($AD$1004:$AU$1004,1,MATCH(COLUMNS($AD$1006:AO1006),$AD$1006:$AU$1006,0)))),"Fix")))</f>
        <v xml:space="preserve"> </v>
      </c>
      <c r="N540" s="4" t="str">
        <f ca="1">IF(OR(INDEX($X$2:$X$1001,MATCH(ROWS($W$2:W540),$W$2:$W$1001,0),1)&gt;=100000,INDEX($AD$1005:$AU$1005,1,MATCH(COLUMNS($AD$1006:AP1006),$AD$1006:$AU$1006,0))&gt;=100000), " ",IF(INDEX($AD$2:$AU$1001,MATCH(ROWS($W$2:W540),$W$2:$W$1001,0),MATCH(COLUMNS($AD$1006:AP1006),$AD$1006:$AU$1006,0)), HYPERLINK("#",""), HYPERLINK(CONCATENATE("#metadata!", ADDRESS(INDEX($Y$2:$Y$1001,MATCH(ROWS($W$2:W540),$W$2:$W$1001,0),0), INDEX($AD$1004:$AU$1004,1,MATCH(COLUMNS($AD$1006:AP1006),$AD$1006:$AU$1006,0)))),"Fix")))</f>
        <v xml:space="preserve"> </v>
      </c>
      <c r="O540" s="4" t="str">
        <f ca="1">IF(OR(INDEX($X$2:$X$1001,MATCH(ROWS($W$2:W540),$W$2:$W$1001,0),1)&gt;=100000,INDEX($AD$1005:$AU$1005,1,MATCH(COLUMNS($AD$1006:AQ1006),$AD$1006:$AU$1006,0))&gt;=100000), " ",IF(INDEX($AD$2:$AU$1001,MATCH(ROWS($W$2:W540),$W$2:$W$1001,0),MATCH(COLUMNS($AD$1006:AQ1006),$AD$1006:$AU$1006,0)), HYPERLINK("#",""), HYPERLINK(CONCATENATE("#metadata!", ADDRESS(INDEX($Y$2:$Y$1001,MATCH(ROWS($W$2:W540),$W$2:$W$1001,0),0), INDEX($AD$1004:$AU$1004,1,MATCH(COLUMNS($AD$1006:AQ1006),$AD$1006:$AU$1006,0)))),"Fix")))</f>
        <v xml:space="preserve"> </v>
      </c>
      <c r="P540" s="4" t="str">
        <f ca="1">IF(OR(INDEX($X$2:$X$1001,MATCH(ROWS($W$2:W540),$W$2:$W$1001,0),1)&gt;=100000,INDEX($AD$1005:$AU$1005,1,MATCH(COLUMNS($AD$1006:AR1006),$AD$1006:$AU$1006,0))&gt;=100000), " ",IF(INDEX($AD$2:$AU$1001,MATCH(ROWS($W$2:W540),$W$2:$W$1001,0),MATCH(COLUMNS($AD$1006:AR1006),$AD$1006:$AU$1006,0)), HYPERLINK("#",""), HYPERLINK(CONCATENATE("#metadata!", ADDRESS(INDEX($Y$2:$Y$1001,MATCH(ROWS($W$2:W540),$W$2:$W$1001,0),0), INDEX($AD$1004:$AU$1004,1,MATCH(COLUMNS($AD$1006:AR1006),$AD$1006:$AU$1006,0)))),"Fix")))</f>
        <v xml:space="preserve"> </v>
      </c>
      <c r="Q540" s="4" t="str">
        <f ca="1">IF(OR(INDEX($X$2:$X$1001,MATCH(ROWS($W$2:W540),$W$2:$W$1001,0),1)&gt;=100000,INDEX($AD$1005:$AU$1005,1,MATCH(COLUMNS($AD$1006:AS1006),$AD$1006:$AU$1006,0))&gt;=100000), " ",IF(INDEX($AD$2:$AU$1001,MATCH(ROWS($W$2:W540),$W$2:$W$1001,0),MATCH(COLUMNS($AD$1006:AS1006),$AD$1006:$AU$1006,0)), HYPERLINK("#",""), HYPERLINK(CONCATENATE("#metadata!", ADDRESS(INDEX($Y$2:$Y$1001,MATCH(ROWS($W$2:W540),$W$2:$W$1001,0),0), INDEX($AD$1004:$AU$1004,1,MATCH(COLUMNS($AD$1006:AS1006),$AD$1006:$AU$1006,0)))),"Fix")))</f>
        <v xml:space="preserve"> </v>
      </c>
      <c r="R540" s="4" t="str">
        <f ca="1">IF(OR(INDEX($X$2:$X$1001,MATCH(ROWS($W$2:W540),$W$2:$W$1001,0),1)&gt;=100000,INDEX($AD$1005:$AU$1005,1,MATCH(COLUMNS($AD$1006:AT1006),$AD$1006:$AU$1006,0))&gt;=100000), " ",IF(INDEX($AD$2:$AU$1001,MATCH(ROWS($W$2:W540),$W$2:$W$1001,0),MATCH(COLUMNS($AD$1006:AT1006),$AD$1006:$AU$1006,0)), HYPERLINK("#",""), HYPERLINK(CONCATENATE("#metadata!", ADDRESS(INDEX($Y$2:$Y$1001,MATCH(ROWS($W$2:W540),$W$2:$W$1001,0),0), INDEX($AD$1004:$AU$1004,1,MATCH(COLUMNS($AD$1006:AT1006),$AD$1006:$AU$1006,0)))),"Fix")))</f>
        <v xml:space="preserve"> </v>
      </c>
      <c r="S540" s="4" t="str">
        <f ca="1">IF(OR(INDEX($X$2:$X$1001,MATCH(ROWS($W$2:W540),$W$2:$W$1001,0),1)&gt;=100000,INDEX($AD$1005:$AU$1005,1,MATCH(COLUMNS($AD$1006:AU1006),$AD$1006:$AU$1006,0))&gt;=100000), " ",IF(INDEX($AD$2:$AU$1001,MATCH(ROWS($W$2:W540),$W$2:$W$1001,0),MATCH(COLUMNS($AD$1006:AU1006),$AD$1006:$AU$1006,0)), HYPERLINK("#",""), HYPERLINK(CONCATENATE("#metadata!", ADDRESS(INDEX($Y$2:$Y$1001,MATCH(ROWS($W$2:W540),$W$2:$W$1001,0),0), INDEX($AD$1004:$AU$1004,1,MATCH(COLUMNS($AD$1006:AU1006),$AD$1006:$AU$1006,0)))),"Fix")))</f>
        <v xml:space="preserve"> </v>
      </c>
      <c r="W540">
        <v>539</v>
      </c>
      <c r="X540">
        <v>100540</v>
      </c>
      <c r="Y540">
        <v>540</v>
      </c>
      <c r="Z540" t="b">
        <f t="shared" si="8"/>
        <v>1</v>
      </c>
      <c r="AA540" t="b">
        <f>COUNTBLANK(metadata!B540:S540)=COLUMNS(metadata!B540:S540)</f>
        <v>1</v>
      </c>
      <c r="AB540" t="str">
        <v/>
      </c>
      <c r="AD540" t="b">
        <f ca="1">AND(IF(metadata!B540="",FALSE,TRUE),COUNTIF(metadata!B:B, metadata!B540) = 1,NOT(ISERROR(SUMPRODUCT(SEARCH(MID(metadata!B540,ROW(INDIRECT("1:"&amp;LEN(metadata!B540))), 1),"0123456789abcdefghijklmnopqrstuvwxyzABCDEFGHIJKLMNOPQRSTUVWXYZ.")))))</f>
        <v>0</v>
      </c>
      <c r="AE540" t="b">
        <f>OR(AND(IF(metadata!C540="",FALSE,TRUE),OR(EXACT(metadata!C540,"not applicable"),EXACT(metadata!C540,"missing: not collected"),EXACT(metadata!C540,"missing: not provided"),EXACT(metadata!C540,"missing: restricted access"))),AND(IF(metadata!C540="",FALSE,ISNUMBER(VALUE(metadata!C540))),metadata!C540&gt;0))</f>
        <v>0</v>
      </c>
      <c r="AF540" t="b">
        <f>AND(IF(metadata!D540="",FALSE,TRUE),EXACT(metadata!D540,"missing: not provided"))</f>
        <v>0</v>
      </c>
      <c r="AG540" t="b">
        <f>AND(IF(metadata!E540="",FALSE,TRUE),EXACT(metadata!E540,"Host-associated"))</f>
        <v>0</v>
      </c>
      <c r="AH540" t="b">
        <f>AND(IF(metadata!F540="",FALSE,TRUE),OR(EXACT(metadata!F540,"Animal"),EXACT(metadata!F540,"Fungus"),EXACT(metadata!F540,"Plant")))</f>
        <v>0</v>
      </c>
      <c r="AI540" t="b">
        <f>AND(IF(metadata!G540="",FALSE,TRUE),OR(EXACT(metadata!G540,"Plant secretion"),EXACT(metadata!G540,"Plant rhizosphere"),EXACT(metadata!G540,"Plant surface"),EXACT(metadata!G540,"Plant corpus"),EXACT(metadata!G540,"Fungus surface"),EXACT(metadata!G540,"Fungus corpus"),EXACT(metadata!G540,"Animal surface"),EXACT(metadata!G540,"Animal proximal gut"),EXACT(metadata!G540,"Animal corpus"),EXACT(metadata!G540,"Animal distal gut"),EXACT(metadata!G540,"Animal secretion")))</f>
        <v>0</v>
      </c>
      <c r="AJ540" t="b">
        <f>OR(AND(IF(metadata!H540="",FALSE,TRUE),OR(EXACT(metadata!H540,"missing: not collected"),EXACT(metadata!H540,"missing: not provided"),EXACT(metadata!H540,"missing: restricted access"))),AND(IF(metadata!H540="",FALSE,TRUE),OR(EXACT(metadata!H540,"organism-associated habitat"),EXACT(metadata!H540,"plant-associated habitat"),EXACT(metadata!H540,"animal-associated habitat"),EXACT(metadata!H540,"insecta-associated habitat"),EXACT(metadata!H540,"mammalia-associated habitat"),EXACT(metadata!H540,"human-associated habitat"),EXACT(metadata!H540,"livestock-associated habitat"))))</f>
        <v>0</v>
      </c>
      <c r="AK540" t="b">
        <f>AND(IF(metadata!I540="",FALSE,TRUE),EXACT(metadata!I540,"host-associated"))</f>
        <v>0</v>
      </c>
      <c r="AL540" t="b">
        <f>OR(AND(IF(metadata!J540="",FALSE,TRUE),OR(EXACT(metadata!J540,"not applicable"),EXACT(metadata!J540,"missing: not collected"),EXACT(metadata!J540,"missing: not provided"),EXACT(metadata!J540,"missing: restricted access"))),AND(IF(metadata!J540="",FALSE,ISNUMBER(VALUE(metadata!J540))),metadata!J540&gt;0))</f>
        <v>0</v>
      </c>
      <c r="AM540" t="b">
        <f>AND(IF(metadata!K540="",FALSE,TRUE),EXACT(metadata!K540,"missing: not provided"))</f>
        <v>0</v>
      </c>
      <c r="AN540" t="b">
        <f>IF(metadata!L540="",FALSE,TRUE)</f>
        <v>0</v>
      </c>
      <c r="AO540" t="b">
        <f>IF(metadata!M540="",FALSE,TRUE)</f>
        <v>0</v>
      </c>
      <c r="AP540" t="b">
        <f>OR(AND(IF(metadata!N540="",FALSE,TRUE),OR(EXACT(metadata!N540,"not applicable"),EXACT(metadata!N540,"missing: not collected"),EXACT(metadata!N540,"missing: not provided"))),AND(IF(metadata!N540="",FALSE,IF(ISERROR(INT(metadata!N540)),FALSE,INT(metadata!N540)=metadata!N540)),metadata!N540&gt;0))</f>
        <v>0</v>
      </c>
      <c r="AQ540" t="b">
        <f>AND(IF(metadata!O540="",FALSE,TRUE),EXACT(metadata!O540,"Not applicable"))</f>
        <v>0</v>
      </c>
      <c r="AR540" t="b">
        <f>OR(AND(IF(metadata!P540="",FALSE,TRUE),OR(EXACT(metadata!P540,"not applicable"),EXACT(metadata!P540,"missing: not collected"),EXACT(metadata!P540,"missing: not provided"),EXACT(metadata!P540,"missing: restricted access"))),IF(metadata!P540="",FALSE,IF(ISERROR(INT(metadata!P540)),FALSE,INT(metadata!P540)=metadata!P540)))</f>
        <v>0</v>
      </c>
      <c r="AS540" t="b">
        <f>AND(IF(metadata!Q540="",FALSE,TRUE),EXACT(metadata!Q540,"Not applicable"))</f>
        <v>0</v>
      </c>
      <c r="AT540" t="b">
        <f>OR(AND(IF(metadata!R540="",FALSE,TRUE),OR(EXACT(metadata!R540,"not applicable"),EXACT(metadata!R540,"missing: not collected"),EXACT(metadata!R540,"missing: not provided"),EXACT(metadata!R540,"missing: restricted access"))),AND(IF(metadata!R540="",FALSE,ISNUMBER(VALUE(metadata!R540))),metadata!R540&gt;0))</f>
        <v>0</v>
      </c>
      <c r="AU540" t="b">
        <f>AND(IF(metadata!S540="",FALSE,TRUE),EXACT(metadata!S540,"missing: not provided"))</f>
        <v>0</v>
      </c>
    </row>
    <row r="541" spans="1:47" x14ac:dyDescent="0.2">
      <c r="A541" s="5" t="str">
        <f ca="1">IF(B541=" "," ",HYPERLINK(CONCATENATE("#metadata!",ADDRESS(INDEX($Y$2:$Y$1001,MATCH(ROWS($W$2:W541),$W$2:$W$1001,0),0),1)),INDEX($AB$2:$AB$1001,MATCH(ROWS($W$2:W541),$W$2:$W$1001,0),0)))</f>
        <v xml:space="preserve"> </v>
      </c>
      <c r="B541" s="4" t="str">
        <f ca="1">IF(OR(INDEX($X$2:$X$1001,MATCH(ROWS($W$2:W541),$W$2:$W$1001,0),1)&gt;=100000,INDEX($AD$1005:$AU$1005,1,MATCH(COLUMNS($AD$1006:AD1006),$AD$1006:$AU$1006,0))&gt;=100000), " ",IF(INDEX($AD$2:$AU$1001,MATCH(ROWS($W$2:W541),$W$2:$W$1001,0),MATCH(COLUMNS($AD$1006:AD1006),$AD$1006:$AU$1006,0)), HYPERLINK("#",""), HYPERLINK(CONCATENATE("#metadata!", ADDRESS(INDEX($Y$2:$Y$1001,MATCH(ROWS($W$2:W541),$W$2:$W$1001,0),0), INDEX($AD$1004:$AU$1004,1,MATCH(COLUMNS($AD$1006:AD1006),$AD$1006:$AU$1006,0)))),"Fix")))</f>
        <v xml:space="preserve"> </v>
      </c>
      <c r="C541" s="4" t="str">
        <f ca="1">IF(OR(INDEX($X$2:$X$1001,MATCH(ROWS($W$2:W541),$W$2:$W$1001,0),1)&gt;=100000,INDEX($AD$1005:$AU$1005,1,MATCH(COLUMNS($AD$1006:AE1006),$AD$1006:$AU$1006,0))&gt;=100000), " ",IF(INDEX($AD$2:$AU$1001,MATCH(ROWS($W$2:W541),$W$2:$W$1001,0),MATCH(COLUMNS($AD$1006:AE1006),$AD$1006:$AU$1006,0)), HYPERLINK("#",""), HYPERLINK(CONCATENATE("#metadata!", ADDRESS(INDEX($Y$2:$Y$1001,MATCH(ROWS($W$2:W541),$W$2:$W$1001,0),0), INDEX($AD$1004:$AU$1004,1,MATCH(COLUMNS($AD$1006:AE1006),$AD$1006:$AU$1006,0)))),"Fix")))</f>
        <v xml:space="preserve"> </v>
      </c>
      <c r="D541" s="4" t="str">
        <f ca="1">IF(OR(INDEX($X$2:$X$1001,MATCH(ROWS($W$2:W541),$W$2:$W$1001,0),1)&gt;=100000,INDEX($AD$1005:$AU$1005,1,MATCH(COLUMNS($AD$1006:AF1006),$AD$1006:$AU$1006,0))&gt;=100000), " ",IF(INDEX($AD$2:$AU$1001,MATCH(ROWS($W$2:W541),$W$2:$W$1001,0),MATCH(COLUMNS($AD$1006:AF1006),$AD$1006:$AU$1006,0)), HYPERLINK("#",""), HYPERLINK(CONCATENATE("#metadata!", ADDRESS(INDEX($Y$2:$Y$1001,MATCH(ROWS($W$2:W541),$W$2:$W$1001,0),0), INDEX($AD$1004:$AU$1004,1,MATCH(COLUMNS($AD$1006:AF1006),$AD$1006:$AU$1006,0)))),"Fix")))</f>
        <v xml:space="preserve"> </v>
      </c>
      <c r="E541" s="4" t="str">
        <f ca="1">IF(OR(INDEX($X$2:$X$1001,MATCH(ROWS($W$2:W541),$W$2:$W$1001,0),1)&gt;=100000,INDEX($AD$1005:$AU$1005,1,MATCH(COLUMNS($AD$1006:AG1006),$AD$1006:$AU$1006,0))&gt;=100000), " ",IF(INDEX($AD$2:$AU$1001,MATCH(ROWS($W$2:W541),$W$2:$W$1001,0),MATCH(COLUMNS($AD$1006:AG1006),$AD$1006:$AU$1006,0)), HYPERLINK("#",""), HYPERLINK(CONCATENATE("#metadata!", ADDRESS(INDEX($Y$2:$Y$1001,MATCH(ROWS($W$2:W541),$W$2:$W$1001,0),0), INDEX($AD$1004:$AU$1004,1,MATCH(COLUMNS($AD$1006:AG1006),$AD$1006:$AU$1006,0)))),"Fix")))</f>
        <v xml:space="preserve"> </v>
      </c>
      <c r="F541" s="4" t="str">
        <f ca="1">IF(OR(INDEX($X$2:$X$1001,MATCH(ROWS($W$2:W541),$W$2:$W$1001,0),1)&gt;=100000,INDEX($AD$1005:$AU$1005,1,MATCH(COLUMNS($AD$1006:AH1006),$AD$1006:$AU$1006,0))&gt;=100000), " ",IF(INDEX($AD$2:$AU$1001,MATCH(ROWS($W$2:W541),$W$2:$W$1001,0),MATCH(COLUMNS($AD$1006:AH1006),$AD$1006:$AU$1006,0)), HYPERLINK("#",""), HYPERLINK(CONCATENATE("#metadata!", ADDRESS(INDEX($Y$2:$Y$1001,MATCH(ROWS($W$2:W541),$W$2:$W$1001,0),0), INDEX($AD$1004:$AU$1004,1,MATCH(COLUMNS($AD$1006:AH1006),$AD$1006:$AU$1006,0)))),"Fix")))</f>
        <v xml:space="preserve"> </v>
      </c>
      <c r="G541" s="4" t="str">
        <f ca="1">IF(OR(INDEX($X$2:$X$1001,MATCH(ROWS($W$2:W541),$W$2:$W$1001,0),1)&gt;=100000,INDEX($AD$1005:$AU$1005,1,MATCH(COLUMNS($AD$1006:AI1006),$AD$1006:$AU$1006,0))&gt;=100000), " ",IF(INDEX($AD$2:$AU$1001,MATCH(ROWS($W$2:W541),$W$2:$W$1001,0),MATCH(COLUMNS($AD$1006:AI1006),$AD$1006:$AU$1006,0)), HYPERLINK("#",""), HYPERLINK(CONCATENATE("#metadata!", ADDRESS(INDEX($Y$2:$Y$1001,MATCH(ROWS($W$2:W541),$W$2:$W$1001,0),0), INDEX($AD$1004:$AU$1004,1,MATCH(COLUMNS($AD$1006:AI1006),$AD$1006:$AU$1006,0)))),"Fix")))</f>
        <v xml:space="preserve"> </v>
      </c>
      <c r="H541" s="4" t="str">
        <f ca="1">IF(OR(INDEX($X$2:$X$1001,MATCH(ROWS($W$2:W541),$W$2:$W$1001,0),1)&gt;=100000,INDEX($AD$1005:$AU$1005,1,MATCH(COLUMNS($AD$1006:AJ1006),$AD$1006:$AU$1006,0))&gt;=100000), " ",IF(INDEX($AD$2:$AU$1001,MATCH(ROWS($W$2:W541),$W$2:$W$1001,0),MATCH(COLUMNS($AD$1006:AJ1006),$AD$1006:$AU$1006,0)), HYPERLINK("#",""), HYPERLINK(CONCATENATE("#metadata!", ADDRESS(INDEX($Y$2:$Y$1001,MATCH(ROWS($W$2:W541),$W$2:$W$1001,0),0), INDEX($AD$1004:$AU$1004,1,MATCH(COLUMNS($AD$1006:AJ1006),$AD$1006:$AU$1006,0)))),"Fix")))</f>
        <v xml:space="preserve"> </v>
      </c>
      <c r="I541" s="4" t="str">
        <f ca="1">IF(OR(INDEX($X$2:$X$1001,MATCH(ROWS($W$2:W541),$W$2:$W$1001,0),1)&gt;=100000,INDEX($AD$1005:$AU$1005,1,MATCH(COLUMNS($AD$1006:AK1006),$AD$1006:$AU$1006,0))&gt;=100000), " ",IF(INDEX($AD$2:$AU$1001,MATCH(ROWS($W$2:W541),$W$2:$W$1001,0),MATCH(COLUMNS($AD$1006:AK1006),$AD$1006:$AU$1006,0)), HYPERLINK("#",""), HYPERLINK(CONCATENATE("#metadata!", ADDRESS(INDEX($Y$2:$Y$1001,MATCH(ROWS($W$2:W541),$W$2:$W$1001,0),0), INDEX($AD$1004:$AU$1004,1,MATCH(COLUMNS($AD$1006:AK1006),$AD$1006:$AU$1006,0)))),"Fix")))</f>
        <v xml:space="preserve"> </v>
      </c>
      <c r="J541" s="4" t="str">
        <f ca="1">IF(OR(INDEX($X$2:$X$1001,MATCH(ROWS($W$2:W541),$W$2:$W$1001,0),1)&gt;=100000,INDEX($AD$1005:$AU$1005,1,MATCH(COLUMNS($AD$1006:AL1006),$AD$1006:$AU$1006,0))&gt;=100000), " ",IF(INDEX($AD$2:$AU$1001,MATCH(ROWS($W$2:W541),$W$2:$W$1001,0),MATCH(COLUMNS($AD$1006:AL1006),$AD$1006:$AU$1006,0)), HYPERLINK("#",""), HYPERLINK(CONCATENATE("#metadata!", ADDRESS(INDEX($Y$2:$Y$1001,MATCH(ROWS($W$2:W541),$W$2:$W$1001,0),0), INDEX($AD$1004:$AU$1004,1,MATCH(COLUMNS($AD$1006:AL1006),$AD$1006:$AU$1006,0)))),"Fix")))</f>
        <v xml:space="preserve"> </v>
      </c>
      <c r="K541" s="4" t="str">
        <f ca="1">IF(OR(INDEX($X$2:$X$1001,MATCH(ROWS($W$2:W541),$W$2:$W$1001,0),1)&gt;=100000,INDEX($AD$1005:$AU$1005,1,MATCH(COLUMNS($AD$1006:AM1006),$AD$1006:$AU$1006,0))&gt;=100000), " ",IF(INDEX($AD$2:$AU$1001,MATCH(ROWS($W$2:W541),$W$2:$W$1001,0),MATCH(COLUMNS($AD$1006:AM1006),$AD$1006:$AU$1006,0)), HYPERLINK("#",""), HYPERLINK(CONCATENATE("#metadata!", ADDRESS(INDEX($Y$2:$Y$1001,MATCH(ROWS($W$2:W541),$W$2:$W$1001,0),0), INDEX($AD$1004:$AU$1004,1,MATCH(COLUMNS($AD$1006:AM1006),$AD$1006:$AU$1006,0)))),"Fix")))</f>
        <v xml:space="preserve"> </v>
      </c>
      <c r="L541" s="4" t="str">
        <f ca="1">IF(OR(INDEX($X$2:$X$1001,MATCH(ROWS($W$2:W541),$W$2:$W$1001,0),1)&gt;=100000,INDEX($AD$1005:$AU$1005,1,MATCH(COLUMNS($AD$1006:AN1006),$AD$1006:$AU$1006,0))&gt;=100000), " ",IF(INDEX($AD$2:$AU$1001,MATCH(ROWS($W$2:W541),$W$2:$W$1001,0),MATCH(COLUMNS($AD$1006:AN1006),$AD$1006:$AU$1006,0)), HYPERLINK("#",""), HYPERLINK(CONCATENATE("#metadata!", ADDRESS(INDEX($Y$2:$Y$1001,MATCH(ROWS($W$2:W541),$W$2:$W$1001,0),0), INDEX($AD$1004:$AU$1004,1,MATCH(COLUMNS($AD$1006:AN1006),$AD$1006:$AU$1006,0)))),"Fix")))</f>
        <v xml:space="preserve"> </v>
      </c>
      <c r="M541" s="4" t="str">
        <f ca="1">IF(OR(INDEX($X$2:$X$1001,MATCH(ROWS($W$2:W541),$W$2:$W$1001,0),1)&gt;=100000,INDEX($AD$1005:$AU$1005,1,MATCH(COLUMNS($AD$1006:AO1006),$AD$1006:$AU$1006,0))&gt;=100000), " ",IF(INDEX($AD$2:$AU$1001,MATCH(ROWS($W$2:W541),$W$2:$W$1001,0),MATCH(COLUMNS($AD$1006:AO1006),$AD$1006:$AU$1006,0)), HYPERLINK("#",""), HYPERLINK(CONCATENATE("#metadata!", ADDRESS(INDEX($Y$2:$Y$1001,MATCH(ROWS($W$2:W541),$W$2:$W$1001,0),0), INDEX($AD$1004:$AU$1004,1,MATCH(COLUMNS($AD$1006:AO1006),$AD$1006:$AU$1006,0)))),"Fix")))</f>
        <v xml:space="preserve"> </v>
      </c>
      <c r="N541" s="4" t="str">
        <f ca="1">IF(OR(INDEX($X$2:$X$1001,MATCH(ROWS($W$2:W541),$W$2:$W$1001,0),1)&gt;=100000,INDEX($AD$1005:$AU$1005,1,MATCH(COLUMNS($AD$1006:AP1006),$AD$1006:$AU$1006,0))&gt;=100000), " ",IF(INDEX($AD$2:$AU$1001,MATCH(ROWS($W$2:W541),$W$2:$W$1001,0),MATCH(COLUMNS($AD$1006:AP1006),$AD$1006:$AU$1006,0)), HYPERLINK("#",""), HYPERLINK(CONCATENATE("#metadata!", ADDRESS(INDEX($Y$2:$Y$1001,MATCH(ROWS($W$2:W541),$W$2:$W$1001,0),0), INDEX($AD$1004:$AU$1004,1,MATCH(COLUMNS($AD$1006:AP1006),$AD$1006:$AU$1006,0)))),"Fix")))</f>
        <v xml:space="preserve"> </v>
      </c>
      <c r="O541" s="4" t="str">
        <f ca="1">IF(OR(INDEX($X$2:$X$1001,MATCH(ROWS($W$2:W541),$W$2:$W$1001,0),1)&gt;=100000,INDEX($AD$1005:$AU$1005,1,MATCH(COLUMNS($AD$1006:AQ1006),$AD$1006:$AU$1006,0))&gt;=100000), " ",IF(INDEX($AD$2:$AU$1001,MATCH(ROWS($W$2:W541),$W$2:$W$1001,0),MATCH(COLUMNS($AD$1006:AQ1006),$AD$1006:$AU$1006,0)), HYPERLINK("#",""), HYPERLINK(CONCATENATE("#metadata!", ADDRESS(INDEX($Y$2:$Y$1001,MATCH(ROWS($W$2:W541),$W$2:$W$1001,0),0), INDEX($AD$1004:$AU$1004,1,MATCH(COLUMNS($AD$1006:AQ1006),$AD$1006:$AU$1006,0)))),"Fix")))</f>
        <v xml:space="preserve"> </v>
      </c>
      <c r="P541" s="4" t="str">
        <f ca="1">IF(OR(INDEX($X$2:$X$1001,MATCH(ROWS($W$2:W541),$W$2:$W$1001,0),1)&gt;=100000,INDEX($AD$1005:$AU$1005,1,MATCH(COLUMNS($AD$1006:AR1006),$AD$1006:$AU$1006,0))&gt;=100000), " ",IF(INDEX($AD$2:$AU$1001,MATCH(ROWS($W$2:W541),$W$2:$W$1001,0),MATCH(COLUMNS($AD$1006:AR1006),$AD$1006:$AU$1006,0)), HYPERLINK("#",""), HYPERLINK(CONCATENATE("#metadata!", ADDRESS(INDEX($Y$2:$Y$1001,MATCH(ROWS($W$2:W541),$W$2:$W$1001,0),0), INDEX($AD$1004:$AU$1004,1,MATCH(COLUMNS($AD$1006:AR1006),$AD$1006:$AU$1006,0)))),"Fix")))</f>
        <v xml:space="preserve"> </v>
      </c>
      <c r="Q541" s="4" t="str">
        <f ca="1">IF(OR(INDEX($X$2:$X$1001,MATCH(ROWS($W$2:W541),$W$2:$W$1001,0),1)&gt;=100000,INDEX($AD$1005:$AU$1005,1,MATCH(COLUMNS($AD$1006:AS1006),$AD$1006:$AU$1006,0))&gt;=100000), " ",IF(INDEX($AD$2:$AU$1001,MATCH(ROWS($W$2:W541),$W$2:$W$1001,0),MATCH(COLUMNS($AD$1006:AS1006),$AD$1006:$AU$1006,0)), HYPERLINK("#",""), HYPERLINK(CONCATENATE("#metadata!", ADDRESS(INDEX($Y$2:$Y$1001,MATCH(ROWS($W$2:W541),$W$2:$W$1001,0),0), INDEX($AD$1004:$AU$1004,1,MATCH(COLUMNS($AD$1006:AS1006),$AD$1006:$AU$1006,0)))),"Fix")))</f>
        <v xml:space="preserve"> </v>
      </c>
      <c r="R541" s="4" t="str">
        <f ca="1">IF(OR(INDEX($X$2:$X$1001,MATCH(ROWS($W$2:W541),$W$2:$W$1001,0),1)&gt;=100000,INDEX($AD$1005:$AU$1005,1,MATCH(COLUMNS($AD$1006:AT1006),$AD$1006:$AU$1006,0))&gt;=100000), " ",IF(INDEX($AD$2:$AU$1001,MATCH(ROWS($W$2:W541),$W$2:$W$1001,0),MATCH(COLUMNS($AD$1006:AT1006),$AD$1006:$AU$1006,0)), HYPERLINK("#",""), HYPERLINK(CONCATENATE("#metadata!", ADDRESS(INDEX($Y$2:$Y$1001,MATCH(ROWS($W$2:W541),$W$2:$W$1001,0),0), INDEX($AD$1004:$AU$1004,1,MATCH(COLUMNS($AD$1006:AT1006),$AD$1006:$AU$1006,0)))),"Fix")))</f>
        <v xml:space="preserve"> </v>
      </c>
      <c r="S541" s="4" t="str">
        <f ca="1">IF(OR(INDEX($X$2:$X$1001,MATCH(ROWS($W$2:W541),$W$2:$W$1001,0),1)&gt;=100000,INDEX($AD$1005:$AU$1005,1,MATCH(COLUMNS($AD$1006:AU1006),$AD$1006:$AU$1006,0))&gt;=100000), " ",IF(INDEX($AD$2:$AU$1001,MATCH(ROWS($W$2:W541),$W$2:$W$1001,0),MATCH(COLUMNS($AD$1006:AU1006),$AD$1006:$AU$1006,0)), HYPERLINK("#",""), HYPERLINK(CONCATENATE("#metadata!", ADDRESS(INDEX($Y$2:$Y$1001,MATCH(ROWS($W$2:W541),$W$2:$W$1001,0),0), INDEX($AD$1004:$AU$1004,1,MATCH(COLUMNS($AD$1006:AU1006),$AD$1006:$AU$1006,0)))),"Fix")))</f>
        <v xml:space="preserve"> </v>
      </c>
      <c r="W541">
        <v>540</v>
      </c>
      <c r="X541">
        <v>100541</v>
      </c>
      <c r="Y541">
        <v>541</v>
      </c>
      <c r="Z541" t="b">
        <f t="shared" si="8"/>
        <v>1</v>
      </c>
      <c r="AA541" t="b">
        <f>COUNTBLANK(metadata!B541:S541)=COLUMNS(metadata!B541:S541)</f>
        <v>1</v>
      </c>
      <c r="AB541" t="str">
        <v/>
      </c>
      <c r="AD541" t="b">
        <f ca="1">AND(IF(metadata!B541="",FALSE,TRUE),COUNTIF(metadata!B:B, metadata!B541) = 1,NOT(ISERROR(SUMPRODUCT(SEARCH(MID(metadata!B541,ROW(INDIRECT("1:"&amp;LEN(metadata!B541))), 1),"0123456789abcdefghijklmnopqrstuvwxyzABCDEFGHIJKLMNOPQRSTUVWXYZ.")))))</f>
        <v>0</v>
      </c>
      <c r="AE541" t="b">
        <f>OR(AND(IF(metadata!C541="",FALSE,TRUE),OR(EXACT(metadata!C541,"not applicable"),EXACT(metadata!C541,"missing: not collected"),EXACT(metadata!C541,"missing: not provided"),EXACT(metadata!C541,"missing: restricted access"))),AND(IF(metadata!C541="",FALSE,ISNUMBER(VALUE(metadata!C541))),metadata!C541&gt;0))</f>
        <v>0</v>
      </c>
      <c r="AF541" t="b">
        <f>AND(IF(metadata!D541="",FALSE,TRUE),EXACT(metadata!D541,"missing: not provided"))</f>
        <v>0</v>
      </c>
      <c r="AG541" t="b">
        <f>AND(IF(metadata!E541="",FALSE,TRUE),EXACT(metadata!E541,"Host-associated"))</f>
        <v>0</v>
      </c>
      <c r="AH541" t="b">
        <f>AND(IF(metadata!F541="",FALSE,TRUE),OR(EXACT(metadata!F541,"Animal"),EXACT(metadata!F541,"Fungus"),EXACT(metadata!F541,"Plant")))</f>
        <v>0</v>
      </c>
      <c r="AI541" t="b">
        <f>AND(IF(metadata!G541="",FALSE,TRUE),OR(EXACT(metadata!G541,"Plant secretion"),EXACT(metadata!G541,"Plant rhizosphere"),EXACT(metadata!G541,"Plant surface"),EXACT(metadata!G541,"Plant corpus"),EXACT(metadata!G541,"Fungus surface"),EXACT(metadata!G541,"Fungus corpus"),EXACT(metadata!G541,"Animal surface"),EXACT(metadata!G541,"Animal proximal gut"),EXACT(metadata!G541,"Animal corpus"),EXACT(metadata!G541,"Animal distal gut"),EXACT(metadata!G541,"Animal secretion")))</f>
        <v>0</v>
      </c>
      <c r="AJ541" t="b">
        <f>OR(AND(IF(metadata!H541="",FALSE,TRUE),OR(EXACT(metadata!H541,"missing: not collected"),EXACT(metadata!H541,"missing: not provided"),EXACT(metadata!H541,"missing: restricted access"))),AND(IF(metadata!H541="",FALSE,TRUE),OR(EXACT(metadata!H541,"organism-associated habitat"),EXACT(metadata!H541,"plant-associated habitat"),EXACT(metadata!H541,"animal-associated habitat"),EXACT(metadata!H541,"insecta-associated habitat"),EXACT(metadata!H541,"mammalia-associated habitat"),EXACT(metadata!H541,"human-associated habitat"),EXACT(metadata!H541,"livestock-associated habitat"))))</f>
        <v>0</v>
      </c>
      <c r="AK541" t="b">
        <f>AND(IF(metadata!I541="",FALSE,TRUE),EXACT(metadata!I541,"host-associated"))</f>
        <v>0</v>
      </c>
      <c r="AL541" t="b">
        <f>OR(AND(IF(metadata!J541="",FALSE,TRUE),OR(EXACT(metadata!J541,"not applicable"),EXACT(metadata!J541,"missing: not collected"),EXACT(metadata!J541,"missing: not provided"),EXACT(metadata!J541,"missing: restricted access"))),AND(IF(metadata!J541="",FALSE,ISNUMBER(VALUE(metadata!J541))),metadata!J541&gt;0))</f>
        <v>0</v>
      </c>
      <c r="AM541" t="b">
        <f>AND(IF(metadata!K541="",FALSE,TRUE),EXACT(metadata!K541,"missing: not provided"))</f>
        <v>0</v>
      </c>
      <c r="AN541" t="b">
        <f>IF(metadata!L541="",FALSE,TRUE)</f>
        <v>0</v>
      </c>
      <c r="AO541" t="b">
        <f>IF(metadata!M541="",FALSE,TRUE)</f>
        <v>0</v>
      </c>
      <c r="AP541" t="b">
        <f>OR(AND(IF(metadata!N541="",FALSE,TRUE),OR(EXACT(metadata!N541,"not applicable"),EXACT(metadata!N541,"missing: not collected"),EXACT(metadata!N541,"missing: not provided"))),AND(IF(metadata!N541="",FALSE,IF(ISERROR(INT(metadata!N541)),FALSE,INT(metadata!N541)=metadata!N541)),metadata!N541&gt;0))</f>
        <v>0</v>
      </c>
      <c r="AQ541" t="b">
        <f>AND(IF(metadata!O541="",FALSE,TRUE),EXACT(metadata!O541,"Not applicable"))</f>
        <v>0</v>
      </c>
      <c r="AR541" t="b">
        <f>OR(AND(IF(metadata!P541="",FALSE,TRUE),OR(EXACT(metadata!P541,"not applicable"),EXACT(metadata!P541,"missing: not collected"),EXACT(metadata!P541,"missing: not provided"),EXACT(metadata!P541,"missing: restricted access"))),IF(metadata!P541="",FALSE,IF(ISERROR(INT(metadata!P541)),FALSE,INT(metadata!P541)=metadata!P541)))</f>
        <v>0</v>
      </c>
      <c r="AS541" t="b">
        <f>AND(IF(metadata!Q541="",FALSE,TRUE),EXACT(metadata!Q541,"Not applicable"))</f>
        <v>0</v>
      </c>
      <c r="AT541" t="b">
        <f>OR(AND(IF(metadata!R541="",FALSE,TRUE),OR(EXACT(metadata!R541,"not applicable"),EXACT(metadata!R541,"missing: not collected"),EXACT(metadata!R541,"missing: not provided"),EXACT(metadata!R541,"missing: restricted access"))),AND(IF(metadata!R541="",FALSE,ISNUMBER(VALUE(metadata!R541))),metadata!R541&gt;0))</f>
        <v>0</v>
      </c>
      <c r="AU541" t="b">
        <f>AND(IF(metadata!S541="",FALSE,TRUE),EXACT(metadata!S541,"missing: not provided"))</f>
        <v>0</v>
      </c>
    </row>
    <row r="542" spans="1:47" x14ac:dyDescent="0.2">
      <c r="A542" s="5" t="str">
        <f ca="1">IF(B542=" "," ",HYPERLINK(CONCATENATE("#metadata!",ADDRESS(INDEX($Y$2:$Y$1001,MATCH(ROWS($W$2:W542),$W$2:$W$1001,0),0),1)),INDEX($AB$2:$AB$1001,MATCH(ROWS($W$2:W542),$W$2:$W$1001,0),0)))</f>
        <v xml:space="preserve"> </v>
      </c>
      <c r="B542" s="4" t="str">
        <f ca="1">IF(OR(INDEX($X$2:$X$1001,MATCH(ROWS($W$2:W542),$W$2:$W$1001,0),1)&gt;=100000,INDEX($AD$1005:$AU$1005,1,MATCH(COLUMNS($AD$1006:AD1006),$AD$1006:$AU$1006,0))&gt;=100000), " ",IF(INDEX($AD$2:$AU$1001,MATCH(ROWS($W$2:W542),$W$2:$W$1001,0),MATCH(COLUMNS($AD$1006:AD1006),$AD$1006:$AU$1006,0)), HYPERLINK("#",""), HYPERLINK(CONCATENATE("#metadata!", ADDRESS(INDEX($Y$2:$Y$1001,MATCH(ROWS($W$2:W542),$W$2:$W$1001,0),0), INDEX($AD$1004:$AU$1004,1,MATCH(COLUMNS($AD$1006:AD1006),$AD$1006:$AU$1006,0)))),"Fix")))</f>
        <v xml:space="preserve"> </v>
      </c>
      <c r="C542" s="4" t="str">
        <f ca="1">IF(OR(INDEX($X$2:$X$1001,MATCH(ROWS($W$2:W542),$W$2:$W$1001,0),1)&gt;=100000,INDEX($AD$1005:$AU$1005,1,MATCH(COLUMNS($AD$1006:AE1006),$AD$1006:$AU$1006,0))&gt;=100000), " ",IF(INDEX($AD$2:$AU$1001,MATCH(ROWS($W$2:W542),$W$2:$W$1001,0),MATCH(COLUMNS($AD$1006:AE1006),$AD$1006:$AU$1006,0)), HYPERLINK("#",""), HYPERLINK(CONCATENATE("#metadata!", ADDRESS(INDEX($Y$2:$Y$1001,MATCH(ROWS($W$2:W542),$W$2:$W$1001,0),0), INDEX($AD$1004:$AU$1004,1,MATCH(COLUMNS($AD$1006:AE1006),$AD$1006:$AU$1006,0)))),"Fix")))</f>
        <v xml:space="preserve"> </v>
      </c>
      <c r="D542" s="4" t="str">
        <f ca="1">IF(OR(INDEX($X$2:$X$1001,MATCH(ROWS($W$2:W542),$W$2:$W$1001,0),1)&gt;=100000,INDEX($AD$1005:$AU$1005,1,MATCH(COLUMNS($AD$1006:AF1006),$AD$1006:$AU$1006,0))&gt;=100000), " ",IF(INDEX($AD$2:$AU$1001,MATCH(ROWS($W$2:W542),$W$2:$W$1001,0),MATCH(COLUMNS($AD$1006:AF1006),$AD$1006:$AU$1006,0)), HYPERLINK("#",""), HYPERLINK(CONCATENATE("#metadata!", ADDRESS(INDEX($Y$2:$Y$1001,MATCH(ROWS($W$2:W542),$W$2:$W$1001,0),0), INDEX($AD$1004:$AU$1004,1,MATCH(COLUMNS($AD$1006:AF1006),$AD$1006:$AU$1006,0)))),"Fix")))</f>
        <v xml:space="preserve"> </v>
      </c>
      <c r="E542" s="4" t="str">
        <f ca="1">IF(OR(INDEX($X$2:$X$1001,MATCH(ROWS($W$2:W542),$W$2:$W$1001,0),1)&gt;=100000,INDEX($AD$1005:$AU$1005,1,MATCH(COLUMNS($AD$1006:AG1006),$AD$1006:$AU$1006,0))&gt;=100000), " ",IF(INDEX($AD$2:$AU$1001,MATCH(ROWS($W$2:W542),$W$2:$W$1001,0),MATCH(COLUMNS($AD$1006:AG1006),$AD$1006:$AU$1006,0)), HYPERLINK("#",""), HYPERLINK(CONCATENATE("#metadata!", ADDRESS(INDEX($Y$2:$Y$1001,MATCH(ROWS($W$2:W542),$W$2:$W$1001,0),0), INDEX($AD$1004:$AU$1004,1,MATCH(COLUMNS($AD$1006:AG1006),$AD$1006:$AU$1006,0)))),"Fix")))</f>
        <v xml:space="preserve"> </v>
      </c>
      <c r="F542" s="4" t="str">
        <f ca="1">IF(OR(INDEX($X$2:$X$1001,MATCH(ROWS($W$2:W542),$W$2:$W$1001,0),1)&gt;=100000,INDEX($AD$1005:$AU$1005,1,MATCH(COLUMNS($AD$1006:AH1006),$AD$1006:$AU$1006,0))&gt;=100000), " ",IF(INDEX($AD$2:$AU$1001,MATCH(ROWS($W$2:W542),$W$2:$W$1001,0),MATCH(COLUMNS($AD$1006:AH1006),$AD$1006:$AU$1006,0)), HYPERLINK("#",""), HYPERLINK(CONCATENATE("#metadata!", ADDRESS(INDEX($Y$2:$Y$1001,MATCH(ROWS($W$2:W542),$W$2:$W$1001,0),0), INDEX($AD$1004:$AU$1004,1,MATCH(COLUMNS($AD$1006:AH1006),$AD$1006:$AU$1006,0)))),"Fix")))</f>
        <v xml:space="preserve"> </v>
      </c>
      <c r="G542" s="4" t="str">
        <f ca="1">IF(OR(INDEX($X$2:$X$1001,MATCH(ROWS($W$2:W542),$W$2:$W$1001,0),1)&gt;=100000,INDEX($AD$1005:$AU$1005,1,MATCH(COLUMNS($AD$1006:AI1006),$AD$1006:$AU$1006,0))&gt;=100000), " ",IF(INDEX($AD$2:$AU$1001,MATCH(ROWS($W$2:W542),$W$2:$W$1001,0),MATCH(COLUMNS($AD$1006:AI1006),$AD$1006:$AU$1006,0)), HYPERLINK("#",""), HYPERLINK(CONCATENATE("#metadata!", ADDRESS(INDEX($Y$2:$Y$1001,MATCH(ROWS($W$2:W542),$W$2:$W$1001,0),0), INDEX($AD$1004:$AU$1004,1,MATCH(COLUMNS($AD$1006:AI1006),$AD$1006:$AU$1006,0)))),"Fix")))</f>
        <v xml:space="preserve"> </v>
      </c>
      <c r="H542" s="4" t="str">
        <f ca="1">IF(OR(INDEX($X$2:$X$1001,MATCH(ROWS($W$2:W542),$W$2:$W$1001,0),1)&gt;=100000,INDEX($AD$1005:$AU$1005,1,MATCH(COLUMNS($AD$1006:AJ1006),$AD$1006:$AU$1006,0))&gt;=100000), " ",IF(INDEX($AD$2:$AU$1001,MATCH(ROWS($W$2:W542),$W$2:$W$1001,0),MATCH(COLUMNS($AD$1006:AJ1006),$AD$1006:$AU$1006,0)), HYPERLINK("#",""), HYPERLINK(CONCATENATE("#metadata!", ADDRESS(INDEX($Y$2:$Y$1001,MATCH(ROWS($W$2:W542),$W$2:$W$1001,0),0), INDEX($AD$1004:$AU$1004,1,MATCH(COLUMNS($AD$1006:AJ1006),$AD$1006:$AU$1006,0)))),"Fix")))</f>
        <v xml:space="preserve"> </v>
      </c>
      <c r="I542" s="4" t="str">
        <f ca="1">IF(OR(INDEX($X$2:$X$1001,MATCH(ROWS($W$2:W542),$W$2:$W$1001,0),1)&gt;=100000,INDEX($AD$1005:$AU$1005,1,MATCH(COLUMNS($AD$1006:AK1006),$AD$1006:$AU$1006,0))&gt;=100000), " ",IF(INDEX($AD$2:$AU$1001,MATCH(ROWS($W$2:W542),$W$2:$W$1001,0),MATCH(COLUMNS($AD$1006:AK1006),$AD$1006:$AU$1006,0)), HYPERLINK("#",""), HYPERLINK(CONCATENATE("#metadata!", ADDRESS(INDEX($Y$2:$Y$1001,MATCH(ROWS($W$2:W542),$W$2:$W$1001,0),0), INDEX($AD$1004:$AU$1004,1,MATCH(COLUMNS($AD$1006:AK1006),$AD$1006:$AU$1006,0)))),"Fix")))</f>
        <v xml:space="preserve"> </v>
      </c>
      <c r="J542" s="4" t="str">
        <f ca="1">IF(OR(INDEX($X$2:$X$1001,MATCH(ROWS($W$2:W542),$W$2:$W$1001,0),1)&gt;=100000,INDEX($AD$1005:$AU$1005,1,MATCH(COLUMNS($AD$1006:AL1006),$AD$1006:$AU$1006,0))&gt;=100000), " ",IF(INDEX($AD$2:$AU$1001,MATCH(ROWS($W$2:W542),$W$2:$W$1001,0),MATCH(COLUMNS($AD$1006:AL1006),$AD$1006:$AU$1006,0)), HYPERLINK("#",""), HYPERLINK(CONCATENATE("#metadata!", ADDRESS(INDEX($Y$2:$Y$1001,MATCH(ROWS($W$2:W542),$W$2:$W$1001,0),0), INDEX($AD$1004:$AU$1004,1,MATCH(COLUMNS($AD$1006:AL1006),$AD$1006:$AU$1006,0)))),"Fix")))</f>
        <v xml:space="preserve"> </v>
      </c>
      <c r="K542" s="4" t="str">
        <f ca="1">IF(OR(INDEX($X$2:$X$1001,MATCH(ROWS($W$2:W542),$W$2:$W$1001,0),1)&gt;=100000,INDEX($AD$1005:$AU$1005,1,MATCH(COLUMNS($AD$1006:AM1006),$AD$1006:$AU$1006,0))&gt;=100000), " ",IF(INDEX($AD$2:$AU$1001,MATCH(ROWS($W$2:W542),$W$2:$W$1001,0),MATCH(COLUMNS($AD$1006:AM1006),$AD$1006:$AU$1006,0)), HYPERLINK("#",""), HYPERLINK(CONCATENATE("#metadata!", ADDRESS(INDEX($Y$2:$Y$1001,MATCH(ROWS($W$2:W542),$W$2:$W$1001,0),0), INDEX($AD$1004:$AU$1004,1,MATCH(COLUMNS($AD$1006:AM1006),$AD$1006:$AU$1006,0)))),"Fix")))</f>
        <v xml:space="preserve"> </v>
      </c>
      <c r="L542" s="4" t="str">
        <f ca="1">IF(OR(INDEX($X$2:$X$1001,MATCH(ROWS($W$2:W542),$W$2:$W$1001,0),1)&gt;=100000,INDEX($AD$1005:$AU$1005,1,MATCH(COLUMNS($AD$1006:AN1006),$AD$1006:$AU$1006,0))&gt;=100000), " ",IF(INDEX($AD$2:$AU$1001,MATCH(ROWS($W$2:W542),$W$2:$W$1001,0),MATCH(COLUMNS($AD$1006:AN1006),$AD$1006:$AU$1006,0)), HYPERLINK("#",""), HYPERLINK(CONCATENATE("#metadata!", ADDRESS(INDEX($Y$2:$Y$1001,MATCH(ROWS($W$2:W542),$W$2:$W$1001,0),0), INDEX($AD$1004:$AU$1004,1,MATCH(COLUMNS($AD$1006:AN1006),$AD$1006:$AU$1006,0)))),"Fix")))</f>
        <v xml:space="preserve"> </v>
      </c>
      <c r="M542" s="4" t="str">
        <f ca="1">IF(OR(INDEX($X$2:$X$1001,MATCH(ROWS($W$2:W542),$W$2:$W$1001,0),1)&gt;=100000,INDEX($AD$1005:$AU$1005,1,MATCH(COLUMNS($AD$1006:AO1006),$AD$1006:$AU$1006,0))&gt;=100000), " ",IF(INDEX($AD$2:$AU$1001,MATCH(ROWS($W$2:W542),$W$2:$W$1001,0),MATCH(COLUMNS($AD$1006:AO1006),$AD$1006:$AU$1006,0)), HYPERLINK("#",""), HYPERLINK(CONCATENATE("#metadata!", ADDRESS(INDEX($Y$2:$Y$1001,MATCH(ROWS($W$2:W542),$W$2:$W$1001,0),0), INDEX($AD$1004:$AU$1004,1,MATCH(COLUMNS($AD$1006:AO1006),$AD$1006:$AU$1006,0)))),"Fix")))</f>
        <v xml:space="preserve"> </v>
      </c>
      <c r="N542" s="4" t="str">
        <f ca="1">IF(OR(INDEX($X$2:$X$1001,MATCH(ROWS($W$2:W542),$W$2:$W$1001,0),1)&gt;=100000,INDEX($AD$1005:$AU$1005,1,MATCH(COLUMNS($AD$1006:AP1006),$AD$1006:$AU$1006,0))&gt;=100000), " ",IF(INDEX($AD$2:$AU$1001,MATCH(ROWS($W$2:W542),$W$2:$W$1001,0),MATCH(COLUMNS($AD$1006:AP1006),$AD$1006:$AU$1006,0)), HYPERLINK("#",""), HYPERLINK(CONCATENATE("#metadata!", ADDRESS(INDEX($Y$2:$Y$1001,MATCH(ROWS($W$2:W542),$W$2:$W$1001,0),0), INDEX($AD$1004:$AU$1004,1,MATCH(COLUMNS($AD$1006:AP1006),$AD$1006:$AU$1006,0)))),"Fix")))</f>
        <v xml:space="preserve"> </v>
      </c>
      <c r="O542" s="4" t="str">
        <f ca="1">IF(OR(INDEX($X$2:$X$1001,MATCH(ROWS($W$2:W542),$W$2:$W$1001,0),1)&gt;=100000,INDEX($AD$1005:$AU$1005,1,MATCH(COLUMNS($AD$1006:AQ1006),$AD$1006:$AU$1006,0))&gt;=100000), " ",IF(INDEX($AD$2:$AU$1001,MATCH(ROWS($W$2:W542),$W$2:$W$1001,0),MATCH(COLUMNS($AD$1006:AQ1006),$AD$1006:$AU$1006,0)), HYPERLINK("#",""), HYPERLINK(CONCATENATE("#metadata!", ADDRESS(INDEX($Y$2:$Y$1001,MATCH(ROWS($W$2:W542),$W$2:$W$1001,0),0), INDEX($AD$1004:$AU$1004,1,MATCH(COLUMNS($AD$1006:AQ1006),$AD$1006:$AU$1006,0)))),"Fix")))</f>
        <v xml:space="preserve"> </v>
      </c>
      <c r="P542" s="4" t="str">
        <f ca="1">IF(OR(INDEX($X$2:$X$1001,MATCH(ROWS($W$2:W542),$W$2:$W$1001,0),1)&gt;=100000,INDEX($AD$1005:$AU$1005,1,MATCH(COLUMNS($AD$1006:AR1006),$AD$1006:$AU$1006,0))&gt;=100000), " ",IF(INDEX($AD$2:$AU$1001,MATCH(ROWS($W$2:W542),$W$2:$W$1001,0),MATCH(COLUMNS($AD$1006:AR1006),$AD$1006:$AU$1006,0)), HYPERLINK("#",""), HYPERLINK(CONCATENATE("#metadata!", ADDRESS(INDEX($Y$2:$Y$1001,MATCH(ROWS($W$2:W542),$W$2:$W$1001,0),0), INDEX($AD$1004:$AU$1004,1,MATCH(COLUMNS($AD$1006:AR1006),$AD$1006:$AU$1006,0)))),"Fix")))</f>
        <v xml:space="preserve"> </v>
      </c>
      <c r="Q542" s="4" t="str">
        <f ca="1">IF(OR(INDEX($X$2:$X$1001,MATCH(ROWS($W$2:W542),$W$2:$W$1001,0),1)&gt;=100000,INDEX($AD$1005:$AU$1005,1,MATCH(COLUMNS($AD$1006:AS1006),$AD$1006:$AU$1006,0))&gt;=100000), " ",IF(INDEX($AD$2:$AU$1001,MATCH(ROWS($W$2:W542),$W$2:$W$1001,0),MATCH(COLUMNS($AD$1006:AS1006),$AD$1006:$AU$1006,0)), HYPERLINK("#",""), HYPERLINK(CONCATENATE("#metadata!", ADDRESS(INDEX($Y$2:$Y$1001,MATCH(ROWS($W$2:W542),$W$2:$W$1001,0),0), INDEX($AD$1004:$AU$1004,1,MATCH(COLUMNS($AD$1006:AS1006),$AD$1006:$AU$1006,0)))),"Fix")))</f>
        <v xml:space="preserve"> </v>
      </c>
      <c r="R542" s="4" t="str">
        <f ca="1">IF(OR(INDEX($X$2:$X$1001,MATCH(ROWS($W$2:W542),$W$2:$W$1001,0),1)&gt;=100000,INDEX($AD$1005:$AU$1005,1,MATCH(COLUMNS($AD$1006:AT1006),$AD$1006:$AU$1006,0))&gt;=100000), " ",IF(INDEX($AD$2:$AU$1001,MATCH(ROWS($W$2:W542),$W$2:$W$1001,0),MATCH(COLUMNS($AD$1006:AT1006),$AD$1006:$AU$1006,0)), HYPERLINK("#",""), HYPERLINK(CONCATENATE("#metadata!", ADDRESS(INDEX($Y$2:$Y$1001,MATCH(ROWS($W$2:W542),$W$2:$W$1001,0),0), INDEX($AD$1004:$AU$1004,1,MATCH(COLUMNS($AD$1006:AT1006),$AD$1006:$AU$1006,0)))),"Fix")))</f>
        <v xml:space="preserve"> </v>
      </c>
      <c r="S542" s="4" t="str">
        <f ca="1">IF(OR(INDEX($X$2:$X$1001,MATCH(ROWS($W$2:W542),$W$2:$W$1001,0),1)&gt;=100000,INDEX($AD$1005:$AU$1005,1,MATCH(COLUMNS($AD$1006:AU1006),$AD$1006:$AU$1006,0))&gt;=100000), " ",IF(INDEX($AD$2:$AU$1001,MATCH(ROWS($W$2:W542),$W$2:$W$1001,0),MATCH(COLUMNS($AD$1006:AU1006),$AD$1006:$AU$1006,0)), HYPERLINK("#",""), HYPERLINK(CONCATENATE("#metadata!", ADDRESS(INDEX($Y$2:$Y$1001,MATCH(ROWS($W$2:W542),$W$2:$W$1001,0),0), INDEX($AD$1004:$AU$1004,1,MATCH(COLUMNS($AD$1006:AU1006),$AD$1006:$AU$1006,0)))),"Fix")))</f>
        <v xml:space="preserve"> </v>
      </c>
      <c r="W542">
        <v>541</v>
      </c>
      <c r="X542">
        <v>100542</v>
      </c>
      <c r="Y542">
        <v>542</v>
      </c>
      <c r="Z542" t="b">
        <f t="shared" si="8"/>
        <v>1</v>
      </c>
      <c r="AA542" t="b">
        <f>COUNTBLANK(metadata!B542:S542)=COLUMNS(metadata!B542:S542)</f>
        <v>1</v>
      </c>
      <c r="AB542" t="str">
        <v/>
      </c>
      <c r="AD542" t="b">
        <f ca="1">AND(IF(metadata!B542="",FALSE,TRUE),COUNTIF(metadata!B:B, metadata!B542) = 1,NOT(ISERROR(SUMPRODUCT(SEARCH(MID(metadata!B542,ROW(INDIRECT("1:"&amp;LEN(metadata!B542))), 1),"0123456789abcdefghijklmnopqrstuvwxyzABCDEFGHIJKLMNOPQRSTUVWXYZ.")))))</f>
        <v>0</v>
      </c>
      <c r="AE542" t="b">
        <f>OR(AND(IF(metadata!C542="",FALSE,TRUE),OR(EXACT(metadata!C542,"not applicable"),EXACT(metadata!C542,"missing: not collected"),EXACT(metadata!C542,"missing: not provided"),EXACT(metadata!C542,"missing: restricted access"))),AND(IF(metadata!C542="",FALSE,ISNUMBER(VALUE(metadata!C542))),metadata!C542&gt;0))</f>
        <v>0</v>
      </c>
      <c r="AF542" t="b">
        <f>AND(IF(metadata!D542="",FALSE,TRUE),EXACT(metadata!D542,"missing: not provided"))</f>
        <v>0</v>
      </c>
      <c r="AG542" t="b">
        <f>AND(IF(metadata!E542="",FALSE,TRUE),EXACT(metadata!E542,"Host-associated"))</f>
        <v>0</v>
      </c>
      <c r="AH542" t="b">
        <f>AND(IF(metadata!F542="",FALSE,TRUE),OR(EXACT(metadata!F542,"Animal"),EXACT(metadata!F542,"Fungus"),EXACT(metadata!F542,"Plant")))</f>
        <v>0</v>
      </c>
      <c r="AI542" t="b">
        <f>AND(IF(metadata!G542="",FALSE,TRUE),OR(EXACT(metadata!G542,"Plant secretion"),EXACT(metadata!G542,"Plant rhizosphere"),EXACT(metadata!G542,"Plant surface"),EXACT(metadata!G542,"Plant corpus"),EXACT(metadata!G542,"Fungus surface"),EXACT(metadata!G542,"Fungus corpus"),EXACT(metadata!G542,"Animal surface"),EXACT(metadata!G542,"Animal proximal gut"),EXACT(metadata!G542,"Animal corpus"),EXACT(metadata!G542,"Animal distal gut"),EXACT(metadata!G542,"Animal secretion")))</f>
        <v>0</v>
      </c>
      <c r="AJ542" t="b">
        <f>OR(AND(IF(metadata!H542="",FALSE,TRUE),OR(EXACT(metadata!H542,"missing: not collected"),EXACT(metadata!H542,"missing: not provided"),EXACT(metadata!H542,"missing: restricted access"))),AND(IF(metadata!H542="",FALSE,TRUE),OR(EXACT(metadata!H542,"organism-associated habitat"),EXACT(metadata!H542,"plant-associated habitat"),EXACT(metadata!H542,"animal-associated habitat"),EXACT(metadata!H542,"insecta-associated habitat"),EXACT(metadata!H542,"mammalia-associated habitat"),EXACT(metadata!H542,"human-associated habitat"),EXACT(metadata!H542,"livestock-associated habitat"))))</f>
        <v>0</v>
      </c>
      <c r="AK542" t="b">
        <f>AND(IF(metadata!I542="",FALSE,TRUE),EXACT(metadata!I542,"host-associated"))</f>
        <v>0</v>
      </c>
      <c r="AL542" t="b">
        <f>OR(AND(IF(metadata!J542="",FALSE,TRUE),OR(EXACT(metadata!J542,"not applicable"),EXACT(metadata!J542,"missing: not collected"),EXACT(metadata!J542,"missing: not provided"),EXACT(metadata!J542,"missing: restricted access"))),AND(IF(metadata!J542="",FALSE,ISNUMBER(VALUE(metadata!J542))),metadata!J542&gt;0))</f>
        <v>0</v>
      </c>
      <c r="AM542" t="b">
        <f>AND(IF(metadata!K542="",FALSE,TRUE),EXACT(metadata!K542,"missing: not provided"))</f>
        <v>0</v>
      </c>
      <c r="AN542" t="b">
        <f>IF(metadata!L542="",FALSE,TRUE)</f>
        <v>0</v>
      </c>
      <c r="AO542" t="b">
        <f>IF(metadata!M542="",FALSE,TRUE)</f>
        <v>0</v>
      </c>
      <c r="AP542" t="b">
        <f>OR(AND(IF(metadata!N542="",FALSE,TRUE),OR(EXACT(metadata!N542,"not applicable"),EXACT(metadata!N542,"missing: not collected"),EXACT(metadata!N542,"missing: not provided"))),AND(IF(metadata!N542="",FALSE,IF(ISERROR(INT(metadata!N542)),FALSE,INT(metadata!N542)=metadata!N542)),metadata!N542&gt;0))</f>
        <v>0</v>
      </c>
      <c r="AQ542" t="b">
        <f>AND(IF(metadata!O542="",FALSE,TRUE),EXACT(metadata!O542,"Not applicable"))</f>
        <v>0</v>
      </c>
      <c r="AR542" t="b">
        <f>OR(AND(IF(metadata!P542="",FALSE,TRUE),OR(EXACT(metadata!P542,"not applicable"),EXACT(metadata!P542,"missing: not collected"),EXACT(metadata!P542,"missing: not provided"),EXACT(metadata!P542,"missing: restricted access"))),IF(metadata!P542="",FALSE,IF(ISERROR(INT(metadata!P542)),FALSE,INT(metadata!P542)=metadata!P542)))</f>
        <v>0</v>
      </c>
      <c r="AS542" t="b">
        <f>AND(IF(metadata!Q542="",FALSE,TRUE),EXACT(metadata!Q542,"Not applicable"))</f>
        <v>0</v>
      </c>
      <c r="AT542" t="b">
        <f>OR(AND(IF(metadata!R542="",FALSE,TRUE),OR(EXACT(metadata!R542,"not applicable"),EXACT(metadata!R542,"missing: not collected"),EXACT(metadata!R542,"missing: not provided"),EXACT(metadata!R542,"missing: restricted access"))),AND(IF(metadata!R542="",FALSE,ISNUMBER(VALUE(metadata!R542))),metadata!R542&gt;0))</f>
        <v>0</v>
      </c>
      <c r="AU542" t="b">
        <f>AND(IF(metadata!S542="",FALSE,TRUE),EXACT(metadata!S542,"missing: not provided"))</f>
        <v>0</v>
      </c>
    </row>
    <row r="543" spans="1:47" x14ac:dyDescent="0.2">
      <c r="A543" s="5" t="str">
        <f ca="1">IF(B543=" "," ",HYPERLINK(CONCATENATE("#metadata!",ADDRESS(INDEX($Y$2:$Y$1001,MATCH(ROWS($W$2:W543),$W$2:$W$1001,0),0),1)),INDEX($AB$2:$AB$1001,MATCH(ROWS($W$2:W543),$W$2:$W$1001,0),0)))</f>
        <v xml:space="preserve"> </v>
      </c>
      <c r="B543" s="4" t="str">
        <f ca="1">IF(OR(INDEX($X$2:$X$1001,MATCH(ROWS($W$2:W543),$W$2:$W$1001,0),1)&gt;=100000,INDEX($AD$1005:$AU$1005,1,MATCH(COLUMNS($AD$1006:AD1006),$AD$1006:$AU$1006,0))&gt;=100000), " ",IF(INDEX($AD$2:$AU$1001,MATCH(ROWS($W$2:W543),$W$2:$W$1001,0),MATCH(COLUMNS($AD$1006:AD1006),$AD$1006:$AU$1006,0)), HYPERLINK("#",""), HYPERLINK(CONCATENATE("#metadata!", ADDRESS(INDEX($Y$2:$Y$1001,MATCH(ROWS($W$2:W543),$W$2:$W$1001,0),0), INDEX($AD$1004:$AU$1004,1,MATCH(COLUMNS($AD$1006:AD1006),$AD$1006:$AU$1006,0)))),"Fix")))</f>
        <v xml:space="preserve"> </v>
      </c>
      <c r="C543" s="4" t="str">
        <f ca="1">IF(OR(INDEX($X$2:$X$1001,MATCH(ROWS($W$2:W543),$W$2:$W$1001,0),1)&gt;=100000,INDEX($AD$1005:$AU$1005,1,MATCH(COLUMNS($AD$1006:AE1006),$AD$1006:$AU$1006,0))&gt;=100000), " ",IF(INDEX($AD$2:$AU$1001,MATCH(ROWS($W$2:W543),$W$2:$W$1001,0),MATCH(COLUMNS($AD$1006:AE1006),$AD$1006:$AU$1006,0)), HYPERLINK("#",""), HYPERLINK(CONCATENATE("#metadata!", ADDRESS(INDEX($Y$2:$Y$1001,MATCH(ROWS($W$2:W543),$W$2:$W$1001,0),0), INDEX($AD$1004:$AU$1004,1,MATCH(COLUMNS($AD$1006:AE1006),$AD$1006:$AU$1006,0)))),"Fix")))</f>
        <v xml:space="preserve"> </v>
      </c>
      <c r="D543" s="4" t="str">
        <f ca="1">IF(OR(INDEX($X$2:$X$1001,MATCH(ROWS($W$2:W543),$W$2:$W$1001,0),1)&gt;=100000,INDEX($AD$1005:$AU$1005,1,MATCH(COLUMNS($AD$1006:AF1006),$AD$1006:$AU$1006,0))&gt;=100000), " ",IF(INDEX($AD$2:$AU$1001,MATCH(ROWS($W$2:W543),$W$2:$W$1001,0),MATCH(COLUMNS($AD$1006:AF1006),$AD$1006:$AU$1006,0)), HYPERLINK("#",""), HYPERLINK(CONCATENATE("#metadata!", ADDRESS(INDEX($Y$2:$Y$1001,MATCH(ROWS($W$2:W543),$W$2:$W$1001,0),0), INDEX($AD$1004:$AU$1004,1,MATCH(COLUMNS($AD$1006:AF1006),$AD$1006:$AU$1006,0)))),"Fix")))</f>
        <v xml:space="preserve"> </v>
      </c>
      <c r="E543" s="4" t="str">
        <f ca="1">IF(OR(INDEX($X$2:$X$1001,MATCH(ROWS($W$2:W543),$W$2:$W$1001,0),1)&gt;=100000,INDEX($AD$1005:$AU$1005,1,MATCH(COLUMNS($AD$1006:AG1006),$AD$1006:$AU$1006,0))&gt;=100000), " ",IF(INDEX($AD$2:$AU$1001,MATCH(ROWS($W$2:W543),$W$2:$W$1001,0),MATCH(COLUMNS($AD$1006:AG1006),$AD$1006:$AU$1006,0)), HYPERLINK("#",""), HYPERLINK(CONCATENATE("#metadata!", ADDRESS(INDEX($Y$2:$Y$1001,MATCH(ROWS($W$2:W543),$W$2:$W$1001,0),0), INDEX($AD$1004:$AU$1004,1,MATCH(COLUMNS($AD$1006:AG1006),$AD$1006:$AU$1006,0)))),"Fix")))</f>
        <v xml:space="preserve"> </v>
      </c>
      <c r="F543" s="4" t="str">
        <f ca="1">IF(OR(INDEX($X$2:$X$1001,MATCH(ROWS($W$2:W543),$W$2:$W$1001,0),1)&gt;=100000,INDEX($AD$1005:$AU$1005,1,MATCH(COLUMNS($AD$1006:AH1006),$AD$1006:$AU$1006,0))&gt;=100000), " ",IF(INDEX($AD$2:$AU$1001,MATCH(ROWS($W$2:W543),$W$2:$W$1001,0),MATCH(COLUMNS($AD$1006:AH1006),$AD$1006:$AU$1006,0)), HYPERLINK("#",""), HYPERLINK(CONCATENATE("#metadata!", ADDRESS(INDEX($Y$2:$Y$1001,MATCH(ROWS($W$2:W543),$W$2:$W$1001,0),0), INDEX($AD$1004:$AU$1004,1,MATCH(COLUMNS($AD$1006:AH1006),$AD$1006:$AU$1006,0)))),"Fix")))</f>
        <v xml:space="preserve"> </v>
      </c>
      <c r="G543" s="4" t="str">
        <f ca="1">IF(OR(INDEX($X$2:$X$1001,MATCH(ROWS($W$2:W543),$W$2:$W$1001,0),1)&gt;=100000,INDEX($AD$1005:$AU$1005,1,MATCH(COLUMNS($AD$1006:AI1006),$AD$1006:$AU$1006,0))&gt;=100000), " ",IF(INDEX($AD$2:$AU$1001,MATCH(ROWS($W$2:W543),$W$2:$W$1001,0),MATCH(COLUMNS($AD$1006:AI1006),$AD$1006:$AU$1006,0)), HYPERLINK("#",""), HYPERLINK(CONCATENATE("#metadata!", ADDRESS(INDEX($Y$2:$Y$1001,MATCH(ROWS($W$2:W543),$W$2:$W$1001,0),0), INDEX($AD$1004:$AU$1004,1,MATCH(COLUMNS($AD$1006:AI1006),$AD$1006:$AU$1006,0)))),"Fix")))</f>
        <v xml:space="preserve"> </v>
      </c>
      <c r="H543" s="4" t="str">
        <f ca="1">IF(OR(INDEX($X$2:$X$1001,MATCH(ROWS($W$2:W543),$W$2:$W$1001,0),1)&gt;=100000,INDEX($AD$1005:$AU$1005,1,MATCH(COLUMNS($AD$1006:AJ1006),$AD$1006:$AU$1006,0))&gt;=100000), " ",IF(INDEX($AD$2:$AU$1001,MATCH(ROWS($W$2:W543),$W$2:$W$1001,0),MATCH(COLUMNS($AD$1006:AJ1006),$AD$1006:$AU$1006,0)), HYPERLINK("#",""), HYPERLINK(CONCATENATE("#metadata!", ADDRESS(INDEX($Y$2:$Y$1001,MATCH(ROWS($W$2:W543),$W$2:$W$1001,0),0), INDEX($AD$1004:$AU$1004,1,MATCH(COLUMNS($AD$1006:AJ1006),$AD$1006:$AU$1006,0)))),"Fix")))</f>
        <v xml:space="preserve"> </v>
      </c>
      <c r="I543" s="4" t="str">
        <f ca="1">IF(OR(INDEX($X$2:$X$1001,MATCH(ROWS($W$2:W543),$W$2:$W$1001,0),1)&gt;=100000,INDEX($AD$1005:$AU$1005,1,MATCH(COLUMNS($AD$1006:AK1006),$AD$1006:$AU$1006,0))&gt;=100000), " ",IF(INDEX($AD$2:$AU$1001,MATCH(ROWS($W$2:W543),$W$2:$W$1001,0),MATCH(COLUMNS($AD$1006:AK1006),$AD$1006:$AU$1006,0)), HYPERLINK("#",""), HYPERLINK(CONCATENATE("#metadata!", ADDRESS(INDEX($Y$2:$Y$1001,MATCH(ROWS($W$2:W543),$W$2:$W$1001,0),0), INDEX($AD$1004:$AU$1004,1,MATCH(COLUMNS($AD$1006:AK1006),$AD$1006:$AU$1006,0)))),"Fix")))</f>
        <v xml:space="preserve"> </v>
      </c>
      <c r="J543" s="4" t="str">
        <f ca="1">IF(OR(INDEX($X$2:$X$1001,MATCH(ROWS($W$2:W543),$W$2:$W$1001,0),1)&gt;=100000,INDEX($AD$1005:$AU$1005,1,MATCH(COLUMNS($AD$1006:AL1006),$AD$1006:$AU$1006,0))&gt;=100000), " ",IF(INDEX($AD$2:$AU$1001,MATCH(ROWS($W$2:W543),$W$2:$W$1001,0),MATCH(COLUMNS($AD$1006:AL1006),$AD$1006:$AU$1006,0)), HYPERLINK("#",""), HYPERLINK(CONCATENATE("#metadata!", ADDRESS(INDEX($Y$2:$Y$1001,MATCH(ROWS($W$2:W543),$W$2:$W$1001,0),0), INDEX($AD$1004:$AU$1004,1,MATCH(COLUMNS($AD$1006:AL1006),$AD$1006:$AU$1006,0)))),"Fix")))</f>
        <v xml:space="preserve"> </v>
      </c>
      <c r="K543" s="4" t="str">
        <f ca="1">IF(OR(INDEX($X$2:$X$1001,MATCH(ROWS($W$2:W543),$W$2:$W$1001,0),1)&gt;=100000,INDEX($AD$1005:$AU$1005,1,MATCH(COLUMNS($AD$1006:AM1006),$AD$1006:$AU$1006,0))&gt;=100000), " ",IF(INDEX($AD$2:$AU$1001,MATCH(ROWS($W$2:W543),$W$2:$W$1001,0),MATCH(COLUMNS($AD$1006:AM1006),$AD$1006:$AU$1006,0)), HYPERLINK("#",""), HYPERLINK(CONCATENATE("#metadata!", ADDRESS(INDEX($Y$2:$Y$1001,MATCH(ROWS($W$2:W543),$W$2:$W$1001,0),0), INDEX($AD$1004:$AU$1004,1,MATCH(COLUMNS($AD$1006:AM1006),$AD$1006:$AU$1006,0)))),"Fix")))</f>
        <v xml:space="preserve"> </v>
      </c>
      <c r="L543" s="4" t="str">
        <f ca="1">IF(OR(INDEX($X$2:$X$1001,MATCH(ROWS($W$2:W543),$W$2:$W$1001,0),1)&gt;=100000,INDEX($AD$1005:$AU$1005,1,MATCH(COLUMNS($AD$1006:AN1006),$AD$1006:$AU$1006,0))&gt;=100000), " ",IF(INDEX($AD$2:$AU$1001,MATCH(ROWS($W$2:W543),$W$2:$W$1001,0),MATCH(COLUMNS($AD$1006:AN1006),$AD$1006:$AU$1006,0)), HYPERLINK("#",""), HYPERLINK(CONCATENATE("#metadata!", ADDRESS(INDEX($Y$2:$Y$1001,MATCH(ROWS($W$2:W543),$W$2:$W$1001,0),0), INDEX($AD$1004:$AU$1004,1,MATCH(COLUMNS($AD$1006:AN1006),$AD$1006:$AU$1006,0)))),"Fix")))</f>
        <v xml:space="preserve"> </v>
      </c>
      <c r="M543" s="4" t="str">
        <f ca="1">IF(OR(INDEX($X$2:$X$1001,MATCH(ROWS($W$2:W543),$W$2:$W$1001,0),1)&gt;=100000,INDEX($AD$1005:$AU$1005,1,MATCH(COLUMNS($AD$1006:AO1006),$AD$1006:$AU$1006,0))&gt;=100000), " ",IF(INDEX($AD$2:$AU$1001,MATCH(ROWS($W$2:W543),$W$2:$W$1001,0),MATCH(COLUMNS($AD$1006:AO1006),$AD$1006:$AU$1006,0)), HYPERLINK("#",""), HYPERLINK(CONCATENATE("#metadata!", ADDRESS(INDEX($Y$2:$Y$1001,MATCH(ROWS($W$2:W543),$W$2:$W$1001,0),0), INDEX($AD$1004:$AU$1004,1,MATCH(COLUMNS($AD$1006:AO1006),$AD$1006:$AU$1006,0)))),"Fix")))</f>
        <v xml:space="preserve"> </v>
      </c>
      <c r="N543" s="4" t="str">
        <f ca="1">IF(OR(INDEX($X$2:$X$1001,MATCH(ROWS($W$2:W543),$W$2:$W$1001,0),1)&gt;=100000,INDEX($AD$1005:$AU$1005,1,MATCH(COLUMNS($AD$1006:AP1006),$AD$1006:$AU$1006,0))&gt;=100000), " ",IF(INDEX($AD$2:$AU$1001,MATCH(ROWS($W$2:W543),$W$2:$W$1001,0),MATCH(COLUMNS($AD$1006:AP1006),$AD$1006:$AU$1006,0)), HYPERLINK("#",""), HYPERLINK(CONCATENATE("#metadata!", ADDRESS(INDEX($Y$2:$Y$1001,MATCH(ROWS($W$2:W543),$W$2:$W$1001,0),0), INDEX($AD$1004:$AU$1004,1,MATCH(COLUMNS($AD$1006:AP1006),$AD$1006:$AU$1006,0)))),"Fix")))</f>
        <v xml:space="preserve"> </v>
      </c>
      <c r="O543" s="4" t="str">
        <f ca="1">IF(OR(INDEX($X$2:$X$1001,MATCH(ROWS($W$2:W543),$W$2:$W$1001,0),1)&gt;=100000,INDEX($AD$1005:$AU$1005,1,MATCH(COLUMNS($AD$1006:AQ1006),$AD$1006:$AU$1006,0))&gt;=100000), " ",IF(INDEX($AD$2:$AU$1001,MATCH(ROWS($W$2:W543),$W$2:$W$1001,0),MATCH(COLUMNS($AD$1006:AQ1006),$AD$1006:$AU$1006,0)), HYPERLINK("#",""), HYPERLINK(CONCATENATE("#metadata!", ADDRESS(INDEX($Y$2:$Y$1001,MATCH(ROWS($W$2:W543),$W$2:$W$1001,0),0), INDEX($AD$1004:$AU$1004,1,MATCH(COLUMNS($AD$1006:AQ1006),$AD$1006:$AU$1006,0)))),"Fix")))</f>
        <v xml:space="preserve"> </v>
      </c>
      <c r="P543" s="4" t="str">
        <f ca="1">IF(OR(INDEX($X$2:$X$1001,MATCH(ROWS($W$2:W543),$W$2:$W$1001,0),1)&gt;=100000,INDEX($AD$1005:$AU$1005,1,MATCH(COLUMNS($AD$1006:AR1006),$AD$1006:$AU$1006,0))&gt;=100000), " ",IF(INDEX($AD$2:$AU$1001,MATCH(ROWS($W$2:W543),$W$2:$W$1001,0),MATCH(COLUMNS($AD$1006:AR1006),$AD$1006:$AU$1006,0)), HYPERLINK("#",""), HYPERLINK(CONCATENATE("#metadata!", ADDRESS(INDEX($Y$2:$Y$1001,MATCH(ROWS($W$2:W543),$W$2:$W$1001,0),0), INDEX($AD$1004:$AU$1004,1,MATCH(COLUMNS($AD$1006:AR1006),$AD$1006:$AU$1006,0)))),"Fix")))</f>
        <v xml:space="preserve"> </v>
      </c>
      <c r="Q543" s="4" t="str">
        <f ca="1">IF(OR(INDEX($X$2:$X$1001,MATCH(ROWS($W$2:W543),$W$2:$W$1001,0),1)&gt;=100000,INDEX($AD$1005:$AU$1005,1,MATCH(COLUMNS($AD$1006:AS1006),$AD$1006:$AU$1006,0))&gt;=100000), " ",IF(INDEX($AD$2:$AU$1001,MATCH(ROWS($W$2:W543),$W$2:$W$1001,0),MATCH(COLUMNS($AD$1006:AS1006),$AD$1006:$AU$1006,0)), HYPERLINK("#",""), HYPERLINK(CONCATENATE("#metadata!", ADDRESS(INDEX($Y$2:$Y$1001,MATCH(ROWS($W$2:W543),$W$2:$W$1001,0),0), INDEX($AD$1004:$AU$1004,1,MATCH(COLUMNS($AD$1006:AS1006),$AD$1006:$AU$1006,0)))),"Fix")))</f>
        <v xml:space="preserve"> </v>
      </c>
      <c r="R543" s="4" t="str">
        <f ca="1">IF(OR(INDEX($X$2:$X$1001,MATCH(ROWS($W$2:W543),$W$2:$W$1001,0),1)&gt;=100000,INDEX($AD$1005:$AU$1005,1,MATCH(COLUMNS($AD$1006:AT1006),$AD$1006:$AU$1006,0))&gt;=100000), " ",IF(INDEX($AD$2:$AU$1001,MATCH(ROWS($W$2:W543),$W$2:$W$1001,0),MATCH(COLUMNS($AD$1006:AT1006),$AD$1006:$AU$1006,0)), HYPERLINK("#",""), HYPERLINK(CONCATENATE("#metadata!", ADDRESS(INDEX($Y$2:$Y$1001,MATCH(ROWS($W$2:W543),$W$2:$W$1001,0),0), INDEX($AD$1004:$AU$1004,1,MATCH(COLUMNS($AD$1006:AT1006),$AD$1006:$AU$1006,0)))),"Fix")))</f>
        <v xml:space="preserve"> </v>
      </c>
      <c r="S543" s="4" t="str">
        <f ca="1">IF(OR(INDEX($X$2:$X$1001,MATCH(ROWS($W$2:W543),$W$2:$W$1001,0),1)&gt;=100000,INDEX($AD$1005:$AU$1005,1,MATCH(COLUMNS($AD$1006:AU1006),$AD$1006:$AU$1006,0))&gt;=100000), " ",IF(INDEX($AD$2:$AU$1001,MATCH(ROWS($W$2:W543),$W$2:$W$1001,0),MATCH(COLUMNS($AD$1006:AU1006),$AD$1006:$AU$1006,0)), HYPERLINK("#",""), HYPERLINK(CONCATENATE("#metadata!", ADDRESS(INDEX($Y$2:$Y$1001,MATCH(ROWS($W$2:W543),$W$2:$W$1001,0),0), INDEX($AD$1004:$AU$1004,1,MATCH(COLUMNS($AD$1006:AU1006),$AD$1006:$AU$1006,0)))),"Fix")))</f>
        <v xml:space="preserve"> </v>
      </c>
      <c r="W543">
        <v>542</v>
      </c>
      <c r="X543">
        <v>100543</v>
      </c>
      <c r="Y543">
        <v>543</v>
      </c>
      <c r="Z543" t="b">
        <f t="shared" si="8"/>
        <v>1</v>
      </c>
      <c r="AA543" t="b">
        <f>COUNTBLANK(metadata!B543:S543)=COLUMNS(metadata!B543:S543)</f>
        <v>1</v>
      </c>
      <c r="AB543" t="str">
        <v/>
      </c>
      <c r="AD543" t="b">
        <f ca="1">AND(IF(metadata!B543="",FALSE,TRUE),COUNTIF(metadata!B:B, metadata!B543) = 1,NOT(ISERROR(SUMPRODUCT(SEARCH(MID(metadata!B543,ROW(INDIRECT("1:"&amp;LEN(metadata!B543))), 1),"0123456789abcdefghijklmnopqrstuvwxyzABCDEFGHIJKLMNOPQRSTUVWXYZ.")))))</f>
        <v>0</v>
      </c>
      <c r="AE543" t="b">
        <f>OR(AND(IF(metadata!C543="",FALSE,TRUE),OR(EXACT(metadata!C543,"not applicable"),EXACT(metadata!C543,"missing: not collected"),EXACT(metadata!C543,"missing: not provided"),EXACT(metadata!C543,"missing: restricted access"))),AND(IF(metadata!C543="",FALSE,ISNUMBER(VALUE(metadata!C543))),metadata!C543&gt;0))</f>
        <v>0</v>
      </c>
      <c r="AF543" t="b">
        <f>AND(IF(metadata!D543="",FALSE,TRUE),EXACT(metadata!D543,"missing: not provided"))</f>
        <v>0</v>
      </c>
      <c r="AG543" t="b">
        <f>AND(IF(metadata!E543="",FALSE,TRUE),EXACT(metadata!E543,"Host-associated"))</f>
        <v>0</v>
      </c>
      <c r="AH543" t="b">
        <f>AND(IF(metadata!F543="",FALSE,TRUE),OR(EXACT(metadata!F543,"Animal"),EXACT(metadata!F543,"Fungus"),EXACT(metadata!F543,"Plant")))</f>
        <v>0</v>
      </c>
      <c r="AI543" t="b">
        <f>AND(IF(metadata!G543="",FALSE,TRUE),OR(EXACT(metadata!G543,"Plant secretion"),EXACT(metadata!G543,"Plant rhizosphere"),EXACT(metadata!G543,"Plant surface"),EXACT(metadata!G543,"Plant corpus"),EXACT(metadata!G543,"Fungus surface"),EXACT(metadata!G543,"Fungus corpus"),EXACT(metadata!G543,"Animal surface"),EXACT(metadata!G543,"Animal proximal gut"),EXACT(metadata!G543,"Animal corpus"),EXACT(metadata!G543,"Animal distal gut"),EXACT(metadata!G543,"Animal secretion")))</f>
        <v>0</v>
      </c>
      <c r="AJ543" t="b">
        <f>OR(AND(IF(metadata!H543="",FALSE,TRUE),OR(EXACT(metadata!H543,"missing: not collected"),EXACT(metadata!H543,"missing: not provided"),EXACT(metadata!H543,"missing: restricted access"))),AND(IF(metadata!H543="",FALSE,TRUE),OR(EXACT(metadata!H543,"organism-associated habitat"),EXACT(metadata!H543,"plant-associated habitat"),EXACT(metadata!H543,"animal-associated habitat"),EXACT(metadata!H543,"insecta-associated habitat"),EXACT(metadata!H543,"mammalia-associated habitat"),EXACT(metadata!H543,"human-associated habitat"),EXACT(metadata!H543,"livestock-associated habitat"))))</f>
        <v>0</v>
      </c>
      <c r="AK543" t="b">
        <f>AND(IF(metadata!I543="",FALSE,TRUE),EXACT(metadata!I543,"host-associated"))</f>
        <v>0</v>
      </c>
      <c r="AL543" t="b">
        <f>OR(AND(IF(metadata!J543="",FALSE,TRUE),OR(EXACT(metadata!J543,"not applicable"),EXACT(metadata!J543,"missing: not collected"),EXACT(metadata!J543,"missing: not provided"),EXACT(metadata!J543,"missing: restricted access"))),AND(IF(metadata!J543="",FALSE,ISNUMBER(VALUE(metadata!J543))),metadata!J543&gt;0))</f>
        <v>0</v>
      </c>
      <c r="AM543" t="b">
        <f>AND(IF(metadata!K543="",FALSE,TRUE),EXACT(metadata!K543,"missing: not provided"))</f>
        <v>0</v>
      </c>
      <c r="AN543" t="b">
        <f>IF(metadata!L543="",FALSE,TRUE)</f>
        <v>0</v>
      </c>
      <c r="AO543" t="b">
        <f>IF(metadata!M543="",FALSE,TRUE)</f>
        <v>0</v>
      </c>
      <c r="AP543" t="b">
        <f>OR(AND(IF(metadata!N543="",FALSE,TRUE),OR(EXACT(metadata!N543,"not applicable"),EXACT(metadata!N543,"missing: not collected"),EXACT(metadata!N543,"missing: not provided"))),AND(IF(metadata!N543="",FALSE,IF(ISERROR(INT(metadata!N543)),FALSE,INT(metadata!N543)=metadata!N543)),metadata!N543&gt;0))</f>
        <v>0</v>
      </c>
      <c r="AQ543" t="b">
        <f>AND(IF(metadata!O543="",FALSE,TRUE),EXACT(metadata!O543,"Not applicable"))</f>
        <v>0</v>
      </c>
      <c r="AR543" t="b">
        <f>OR(AND(IF(metadata!P543="",FALSE,TRUE),OR(EXACT(metadata!P543,"not applicable"),EXACT(metadata!P543,"missing: not collected"),EXACT(metadata!P543,"missing: not provided"),EXACT(metadata!P543,"missing: restricted access"))),IF(metadata!P543="",FALSE,IF(ISERROR(INT(metadata!P543)),FALSE,INT(metadata!P543)=metadata!P543)))</f>
        <v>0</v>
      </c>
      <c r="AS543" t="b">
        <f>AND(IF(metadata!Q543="",FALSE,TRUE),EXACT(metadata!Q543,"Not applicable"))</f>
        <v>0</v>
      </c>
      <c r="AT543" t="b">
        <f>OR(AND(IF(metadata!R543="",FALSE,TRUE),OR(EXACT(metadata!R543,"not applicable"),EXACT(metadata!R543,"missing: not collected"),EXACT(metadata!R543,"missing: not provided"),EXACT(metadata!R543,"missing: restricted access"))),AND(IF(metadata!R543="",FALSE,ISNUMBER(VALUE(metadata!R543))),metadata!R543&gt;0))</f>
        <v>0</v>
      </c>
      <c r="AU543" t="b">
        <f>AND(IF(metadata!S543="",FALSE,TRUE),EXACT(metadata!S543,"missing: not provided"))</f>
        <v>0</v>
      </c>
    </row>
    <row r="544" spans="1:47" x14ac:dyDescent="0.2">
      <c r="A544" s="5" t="str">
        <f ca="1">IF(B544=" "," ",HYPERLINK(CONCATENATE("#metadata!",ADDRESS(INDEX($Y$2:$Y$1001,MATCH(ROWS($W$2:W544),$W$2:$W$1001,0),0),1)),INDEX($AB$2:$AB$1001,MATCH(ROWS($W$2:W544),$W$2:$W$1001,0),0)))</f>
        <v xml:space="preserve"> </v>
      </c>
      <c r="B544" s="4" t="str">
        <f ca="1">IF(OR(INDEX($X$2:$X$1001,MATCH(ROWS($W$2:W544),$W$2:$W$1001,0),1)&gt;=100000,INDEX($AD$1005:$AU$1005,1,MATCH(COLUMNS($AD$1006:AD1006),$AD$1006:$AU$1006,0))&gt;=100000), " ",IF(INDEX($AD$2:$AU$1001,MATCH(ROWS($W$2:W544),$W$2:$W$1001,0),MATCH(COLUMNS($AD$1006:AD1006),$AD$1006:$AU$1006,0)), HYPERLINK("#",""), HYPERLINK(CONCATENATE("#metadata!", ADDRESS(INDEX($Y$2:$Y$1001,MATCH(ROWS($W$2:W544),$W$2:$W$1001,0),0), INDEX($AD$1004:$AU$1004,1,MATCH(COLUMNS($AD$1006:AD1006),$AD$1006:$AU$1006,0)))),"Fix")))</f>
        <v xml:space="preserve"> </v>
      </c>
      <c r="C544" s="4" t="str">
        <f ca="1">IF(OR(INDEX($X$2:$X$1001,MATCH(ROWS($W$2:W544),$W$2:$W$1001,0),1)&gt;=100000,INDEX($AD$1005:$AU$1005,1,MATCH(COLUMNS($AD$1006:AE1006),$AD$1006:$AU$1006,0))&gt;=100000), " ",IF(INDEX($AD$2:$AU$1001,MATCH(ROWS($W$2:W544),$W$2:$W$1001,0),MATCH(COLUMNS($AD$1006:AE1006),$AD$1006:$AU$1006,0)), HYPERLINK("#",""), HYPERLINK(CONCATENATE("#metadata!", ADDRESS(INDEX($Y$2:$Y$1001,MATCH(ROWS($W$2:W544),$W$2:$W$1001,0),0), INDEX($AD$1004:$AU$1004,1,MATCH(COLUMNS($AD$1006:AE1006),$AD$1006:$AU$1006,0)))),"Fix")))</f>
        <v xml:space="preserve"> </v>
      </c>
      <c r="D544" s="4" t="str">
        <f ca="1">IF(OR(INDEX($X$2:$X$1001,MATCH(ROWS($W$2:W544),$W$2:$W$1001,0),1)&gt;=100000,INDEX($AD$1005:$AU$1005,1,MATCH(COLUMNS($AD$1006:AF1006),$AD$1006:$AU$1006,0))&gt;=100000), " ",IF(INDEX($AD$2:$AU$1001,MATCH(ROWS($W$2:W544),$W$2:$W$1001,0),MATCH(COLUMNS($AD$1006:AF1006),$AD$1006:$AU$1006,0)), HYPERLINK("#",""), HYPERLINK(CONCATENATE("#metadata!", ADDRESS(INDEX($Y$2:$Y$1001,MATCH(ROWS($W$2:W544),$W$2:$W$1001,0),0), INDEX($AD$1004:$AU$1004,1,MATCH(COLUMNS($AD$1006:AF1006),$AD$1006:$AU$1006,0)))),"Fix")))</f>
        <v xml:space="preserve"> </v>
      </c>
      <c r="E544" s="4" t="str">
        <f ca="1">IF(OR(INDEX($X$2:$X$1001,MATCH(ROWS($W$2:W544),$W$2:$W$1001,0),1)&gt;=100000,INDEX($AD$1005:$AU$1005,1,MATCH(COLUMNS($AD$1006:AG1006),$AD$1006:$AU$1006,0))&gt;=100000), " ",IF(INDEX($AD$2:$AU$1001,MATCH(ROWS($W$2:W544),$W$2:$W$1001,0),MATCH(COLUMNS($AD$1006:AG1006),$AD$1006:$AU$1006,0)), HYPERLINK("#",""), HYPERLINK(CONCATENATE("#metadata!", ADDRESS(INDEX($Y$2:$Y$1001,MATCH(ROWS($W$2:W544),$W$2:$W$1001,0),0), INDEX($AD$1004:$AU$1004,1,MATCH(COLUMNS($AD$1006:AG1006),$AD$1006:$AU$1006,0)))),"Fix")))</f>
        <v xml:space="preserve"> </v>
      </c>
      <c r="F544" s="4" t="str">
        <f ca="1">IF(OR(INDEX($X$2:$X$1001,MATCH(ROWS($W$2:W544),$W$2:$W$1001,0),1)&gt;=100000,INDEX($AD$1005:$AU$1005,1,MATCH(COLUMNS($AD$1006:AH1006),$AD$1006:$AU$1006,0))&gt;=100000), " ",IF(INDEX($AD$2:$AU$1001,MATCH(ROWS($W$2:W544),$W$2:$W$1001,0),MATCH(COLUMNS($AD$1006:AH1006),$AD$1006:$AU$1006,0)), HYPERLINK("#",""), HYPERLINK(CONCATENATE("#metadata!", ADDRESS(INDEX($Y$2:$Y$1001,MATCH(ROWS($W$2:W544),$W$2:$W$1001,0),0), INDEX($AD$1004:$AU$1004,1,MATCH(COLUMNS($AD$1006:AH1006),$AD$1006:$AU$1006,0)))),"Fix")))</f>
        <v xml:space="preserve"> </v>
      </c>
      <c r="G544" s="4" t="str">
        <f ca="1">IF(OR(INDEX($X$2:$X$1001,MATCH(ROWS($W$2:W544),$W$2:$W$1001,0),1)&gt;=100000,INDEX($AD$1005:$AU$1005,1,MATCH(COLUMNS($AD$1006:AI1006),$AD$1006:$AU$1006,0))&gt;=100000), " ",IF(INDEX($AD$2:$AU$1001,MATCH(ROWS($W$2:W544),$W$2:$W$1001,0),MATCH(COLUMNS($AD$1006:AI1006),$AD$1006:$AU$1006,0)), HYPERLINK("#",""), HYPERLINK(CONCATENATE("#metadata!", ADDRESS(INDEX($Y$2:$Y$1001,MATCH(ROWS($W$2:W544),$W$2:$W$1001,0),0), INDEX($AD$1004:$AU$1004,1,MATCH(COLUMNS($AD$1006:AI1006),$AD$1006:$AU$1006,0)))),"Fix")))</f>
        <v xml:space="preserve"> </v>
      </c>
      <c r="H544" s="4" t="str">
        <f ca="1">IF(OR(INDEX($X$2:$X$1001,MATCH(ROWS($W$2:W544),$W$2:$W$1001,0),1)&gt;=100000,INDEX($AD$1005:$AU$1005,1,MATCH(COLUMNS($AD$1006:AJ1006),$AD$1006:$AU$1006,0))&gt;=100000), " ",IF(INDEX($AD$2:$AU$1001,MATCH(ROWS($W$2:W544),$W$2:$W$1001,0),MATCH(COLUMNS($AD$1006:AJ1006),$AD$1006:$AU$1006,0)), HYPERLINK("#",""), HYPERLINK(CONCATENATE("#metadata!", ADDRESS(INDEX($Y$2:$Y$1001,MATCH(ROWS($W$2:W544),$W$2:$W$1001,0),0), INDEX($AD$1004:$AU$1004,1,MATCH(COLUMNS($AD$1006:AJ1006),$AD$1006:$AU$1006,0)))),"Fix")))</f>
        <v xml:space="preserve"> </v>
      </c>
      <c r="I544" s="4" t="str">
        <f ca="1">IF(OR(INDEX($X$2:$X$1001,MATCH(ROWS($W$2:W544),$W$2:$W$1001,0),1)&gt;=100000,INDEX($AD$1005:$AU$1005,1,MATCH(COLUMNS($AD$1006:AK1006),$AD$1006:$AU$1006,0))&gt;=100000), " ",IF(INDEX($AD$2:$AU$1001,MATCH(ROWS($W$2:W544),$W$2:$W$1001,0),MATCH(COLUMNS($AD$1006:AK1006),$AD$1006:$AU$1006,0)), HYPERLINK("#",""), HYPERLINK(CONCATENATE("#metadata!", ADDRESS(INDEX($Y$2:$Y$1001,MATCH(ROWS($W$2:W544),$W$2:$W$1001,0),0), INDEX($AD$1004:$AU$1004,1,MATCH(COLUMNS($AD$1006:AK1006),$AD$1006:$AU$1006,0)))),"Fix")))</f>
        <v xml:space="preserve"> </v>
      </c>
      <c r="J544" s="4" t="str">
        <f ca="1">IF(OR(INDEX($X$2:$X$1001,MATCH(ROWS($W$2:W544),$W$2:$W$1001,0),1)&gt;=100000,INDEX($AD$1005:$AU$1005,1,MATCH(COLUMNS($AD$1006:AL1006),$AD$1006:$AU$1006,0))&gt;=100000), " ",IF(INDEX($AD$2:$AU$1001,MATCH(ROWS($W$2:W544),$W$2:$W$1001,0),MATCH(COLUMNS($AD$1006:AL1006),$AD$1006:$AU$1006,0)), HYPERLINK("#",""), HYPERLINK(CONCATENATE("#metadata!", ADDRESS(INDEX($Y$2:$Y$1001,MATCH(ROWS($W$2:W544),$W$2:$W$1001,0),0), INDEX($AD$1004:$AU$1004,1,MATCH(COLUMNS($AD$1006:AL1006),$AD$1006:$AU$1006,0)))),"Fix")))</f>
        <v xml:space="preserve"> </v>
      </c>
      <c r="K544" s="4" t="str">
        <f ca="1">IF(OR(INDEX($X$2:$X$1001,MATCH(ROWS($W$2:W544),$W$2:$W$1001,0),1)&gt;=100000,INDEX($AD$1005:$AU$1005,1,MATCH(COLUMNS($AD$1006:AM1006),$AD$1006:$AU$1006,0))&gt;=100000), " ",IF(INDEX($AD$2:$AU$1001,MATCH(ROWS($W$2:W544),$W$2:$W$1001,0),MATCH(COLUMNS($AD$1006:AM1006),$AD$1006:$AU$1006,0)), HYPERLINK("#",""), HYPERLINK(CONCATENATE("#metadata!", ADDRESS(INDEX($Y$2:$Y$1001,MATCH(ROWS($W$2:W544),$W$2:$W$1001,0),0), INDEX($AD$1004:$AU$1004,1,MATCH(COLUMNS($AD$1006:AM1006),$AD$1006:$AU$1006,0)))),"Fix")))</f>
        <v xml:space="preserve"> </v>
      </c>
      <c r="L544" s="4" t="str">
        <f ca="1">IF(OR(INDEX($X$2:$X$1001,MATCH(ROWS($W$2:W544),$W$2:$W$1001,0),1)&gt;=100000,INDEX($AD$1005:$AU$1005,1,MATCH(COLUMNS($AD$1006:AN1006),$AD$1006:$AU$1006,0))&gt;=100000), " ",IF(INDEX($AD$2:$AU$1001,MATCH(ROWS($W$2:W544),$W$2:$W$1001,0),MATCH(COLUMNS($AD$1006:AN1006),$AD$1006:$AU$1006,0)), HYPERLINK("#",""), HYPERLINK(CONCATENATE("#metadata!", ADDRESS(INDEX($Y$2:$Y$1001,MATCH(ROWS($W$2:W544),$W$2:$W$1001,0),0), INDEX($AD$1004:$AU$1004,1,MATCH(COLUMNS($AD$1006:AN1006),$AD$1006:$AU$1006,0)))),"Fix")))</f>
        <v xml:space="preserve"> </v>
      </c>
      <c r="M544" s="4" t="str">
        <f ca="1">IF(OR(INDEX($X$2:$X$1001,MATCH(ROWS($W$2:W544),$W$2:$W$1001,0),1)&gt;=100000,INDEX($AD$1005:$AU$1005,1,MATCH(COLUMNS($AD$1006:AO1006),$AD$1006:$AU$1006,0))&gt;=100000), " ",IF(INDEX($AD$2:$AU$1001,MATCH(ROWS($W$2:W544),$W$2:$W$1001,0),MATCH(COLUMNS($AD$1006:AO1006),$AD$1006:$AU$1006,0)), HYPERLINK("#",""), HYPERLINK(CONCATENATE("#metadata!", ADDRESS(INDEX($Y$2:$Y$1001,MATCH(ROWS($W$2:W544),$W$2:$W$1001,0),0), INDEX($AD$1004:$AU$1004,1,MATCH(COLUMNS($AD$1006:AO1006),$AD$1006:$AU$1006,0)))),"Fix")))</f>
        <v xml:space="preserve"> </v>
      </c>
      <c r="N544" s="4" t="str">
        <f ca="1">IF(OR(INDEX($X$2:$X$1001,MATCH(ROWS($W$2:W544),$W$2:$W$1001,0),1)&gt;=100000,INDEX($AD$1005:$AU$1005,1,MATCH(COLUMNS($AD$1006:AP1006),$AD$1006:$AU$1006,0))&gt;=100000), " ",IF(INDEX($AD$2:$AU$1001,MATCH(ROWS($W$2:W544),$W$2:$W$1001,0),MATCH(COLUMNS($AD$1006:AP1006),$AD$1006:$AU$1006,0)), HYPERLINK("#",""), HYPERLINK(CONCATENATE("#metadata!", ADDRESS(INDEX($Y$2:$Y$1001,MATCH(ROWS($W$2:W544),$W$2:$W$1001,0),0), INDEX($AD$1004:$AU$1004,1,MATCH(COLUMNS($AD$1006:AP1006),$AD$1006:$AU$1006,0)))),"Fix")))</f>
        <v xml:space="preserve"> </v>
      </c>
      <c r="O544" s="4" t="str">
        <f ca="1">IF(OR(INDEX($X$2:$X$1001,MATCH(ROWS($W$2:W544),$W$2:$W$1001,0),1)&gt;=100000,INDEX($AD$1005:$AU$1005,1,MATCH(COLUMNS($AD$1006:AQ1006),$AD$1006:$AU$1006,0))&gt;=100000), " ",IF(INDEX($AD$2:$AU$1001,MATCH(ROWS($W$2:W544),$W$2:$W$1001,0),MATCH(COLUMNS($AD$1006:AQ1006),$AD$1006:$AU$1006,0)), HYPERLINK("#",""), HYPERLINK(CONCATENATE("#metadata!", ADDRESS(INDEX($Y$2:$Y$1001,MATCH(ROWS($W$2:W544),$W$2:$W$1001,0),0), INDEX($AD$1004:$AU$1004,1,MATCH(COLUMNS($AD$1006:AQ1006),$AD$1006:$AU$1006,0)))),"Fix")))</f>
        <v xml:space="preserve"> </v>
      </c>
      <c r="P544" s="4" t="str">
        <f ca="1">IF(OR(INDEX($X$2:$X$1001,MATCH(ROWS($W$2:W544),$W$2:$W$1001,0),1)&gt;=100000,INDEX($AD$1005:$AU$1005,1,MATCH(COLUMNS($AD$1006:AR1006),$AD$1006:$AU$1006,0))&gt;=100000), " ",IF(INDEX($AD$2:$AU$1001,MATCH(ROWS($W$2:W544),$W$2:$W$1001,0),MATCH(COLUMNS($AD$1006:AR1006),$AD$1006:$AU$1006,0)), HYPERLINK("#",""), HYPERLINK(CONCATENATE("#metadata!", ADDRESS(INDEX($Y$2:$Y$1001,MATCH(ROWS($W$2:W544),$W$2:$W$1001,0),0), INDEX($AD$1004:$AU$1004,1,MATCH(COLUMNS($AD$1006:AR1006),$AD$1006:$AU$1006,0)))),"Fix")))</f>
        <v xml:space="preserve"> </v>
      </c>
      <c r="Q544" s="4" t="str">
        <f ca="1">IF(OR(INDEX($X$2:$X$1001,MATCH(ROWS($W$2:W544),$W$2:$W$1001,0),1)&gt;=100000,INDEX($AD$1005:$AU$1005,1,MATCH(COLUMNS($AD$1006:AS1006),$AD$1006:$AU$1006,0))&gt;=100000), " ",IF(INDEX($AD$2:$AU$1001,MATCH(ROWS($W$2:W544),$W$2:$W$1001,0),MATCH(COLUMNS($AD$1006:AS1006),$AD$1006:$AU$1006,0)), HYPERLINK("#",""), HYPERLINK(CONCATENATE("#metadata!", ADDRESS(INDEX($Y$2:$Y$1001,MATCH(ROWS($W$2:W544),$W$2:$W$1001,0),0), INDEX($AD$1004:$AU$1004,1,MATCH(COLUMNS($AD$1006:AS1006),$AD$1006:$AU$1006,0)))),"Fix")))</f>
        <v xml:space="preserve"> </v>
      </c>
      <c r="R544" s="4" t="str">
        <f ca="1">IF(OR(INDEX($X$2:$X$1001,MATCH(ROWS($W$2:W544),$W$2:$W$1001,0),1)&gt;=100000,INDEX($AD$1005:$AU$1005,1,MATCH(COLUMNS($AD$1006:AT1006),$AD$1006:$AU$1006,0))&gt;=100000), " ",IF(INDEX($AD$2:$AU$1001,MATCH(ROWS($W$2:W544),$W$2:$W$1001,0),MATCH(COLUMNS($AD$1006:AT1006),$AD$1006:$AU$1006,0)), HYPERLINK("#",""), HYPERLINK(CONCATENATE("#metadata!", ADDRESS(INDEX($Y$2:$Y$1001,MATCH(ROWS($W$2:W544),$W$2:$W$1001,0),0), INDEX($AD$1004:$AU$1004,1,MATCH(COLUMNS($AD$1006:AT1006),$AD$1006:$AU$1006,0)))),"Fix")))</f>
        <v xml:space="preserve"> </v>
      </c>
      <c r="S544" s="4" t="str">
        <f ca="1">IF(OR(INDEX($X$2:$X$1001,MATCH(ROWS($W$2:W544),$W$2:$W$1001,0),1)&gt;=100000,INDEX($AD$1005:$AU$1005,1,MATCH(COLUMNS($AD$1006:AU1006),$AD$1006:$AU$1006,0))&gt;=100000), " ",IF(INDEX($AD$2:$AU$1001,MATCH(ROWS($W$2:W544),$W$2:$W$1001,0),MATCH(COLUMNS($AD$1006:AU1006),$AD$1006:$AU$1006,0)), HYPERLINK("#",""), HYPERLINK(CONCATENATE("#metadata!", ADDRESS(INDEX($Y$2:$Y$1001,MATCH(ROWS($W$2:W544),$W$2:$W$1001,0),0), INDEX($AD$1004:$AU$1004,1,MATCH(COLUMNS($AD$1006:AU1006),$AD$1006:$AU$1006,0)))),"Fix")))</f>
        <v xml:space="preserve"> </v>
      </c>
      <c r="W544">
        <v>543</v>
      </c>
      <c r="X544">
        <v>100544</v>
      </c>
      <c r="Y544">
        <v>544</v>
      </c>
      <c r="Z544" t="b">
        <f t="shared" si="8"/>
        <v>1</v>
      </c>
      <c r="AA544" t="b">
        <f>COUNTBLANK(metadata!B544:S544)=COLUMNS(metadata!B544:S544)</f>
        <v>1</v>
      </c>
      <c r="AB544" t="str">
        <v/>
      </c>
      <c r="AD544" t="b">
        <f ca="1">AND(IF(metadata!B544="",FALSE,TRUE),COUNTIF(metadata!B:B, metadata!B544) = 1,NOT(ISERROR(SUMPRODUCT(SEARCH(MID(metadata!B544,ROW(INDIRECT("1:"&amp;LEN(metadata!B544))), 1),"0123456789abcdefghijklmnopqrstuvwxyzABCDEFGHIJKLMNOPQRSTUVWXYZ.")))))</f>
        <v>0</v>
      </c>
      <c r="AE544" t="b">
        <f>OR(AND(IF(metadata!C544="",FALSE,TRUE),OR(EXACT(metadata!C544,"not applicable"),EXACT(metadata!C544,"missing: not collected"),EXACT(metadata!C544,"missing: not provided"),EXACT(metadata!C544,"missing: restricted access"))),AND(IF(metadata!C544="",FALSE,ISNUMBER(VALUE(metadata!C544))),metadata!C544&gt;0))</f>
        <v>0</v>
      </c>
      <c r="AF544" t="b">
        <f>AND(IF(metadata!D544="",FALSE,TRUE),EXACT(metadata!D544,"missing: not provided"))</f>
        <v>0</v>
      </c>
      <c r="AG544" t="b">
        <f>AND(IF(metadata!E544="",FALSE,TRUE),EXACT(metadata!E544,"Host-associated"))</f>
        <v>0</v>
      </c>
      <c r="AH544" t="b">
        <f>AND(IF(metadata!F544="",FALSE,TRUE),OR(EXACT(metadata!F544,"Animal"),EXACT(metadata!F544,"Fungus"),EXACT(metadata!F544,"Plant")))</f>
        <v>0</v>
      </c>
      <c r="AI544" t="b">
        <f>AND(IF(metadata!G544="",FALSE,TRUE),OR(EXACT(metadata!G544,"Plant secretion"),EXACT(metadata!G544,"Plant rhizosphere"),EXACT(metadata!G544,"Plant surface"),EXACT(metadata!G544,"Plant corpus"),EXACT(metadata!G544,"Fungus surface"),EXACT(metadata!G544,"Fungus corpus"),EXACT(metadata!G544,"Animal surface"),EXACT(metadata!G544,"Animal proximal gut"),EXACT(metadata!G544,"Animal corpus"),EXACT(metadata!G544,"Animal distal gut"),EXACT(metadata!G544,"Animal secretion")))</f>
        <v>0</v>
      </c>
      <c r="AJ544" t="b">
        <f>OR(AND(IF(metadata!H544="",FALSE,TRUE),OR(EXACT(metadata!H544,"missing: not collected"),EXACT(metadata!H544,"missing: not provided"),EXACT(metadata!H544,"missing: restricted access"))),AND(IF(metadata!H544="",FALSE,TRUE),OR(EXACT(metadata!H544,"organism-associated habitat"),EXACT(metadata!H544,"plant-associated habitat"),EXACT(metadata!H544,"animal-associated habitat"),EXACT(metadata!H544,"insecta-associated habitat"),EXACT(metadata!H544,"mammalia-associated habitat"),EXACT(metadata!H544,"human-associated habitat"),EXACT(metadata!H544,"livestock-associated habitat"))))</f>
        <v>0</v>
      </c>
      <c r="AK544" t="b">
        <f>AND(IF(metadata!I544="",FALSE,TRUE),EXACT(metadata!I544,"host-associated"))</f>
        <v>0</v>
      </c>
      <c r="AL544" t="b">
        <f>OR(AND(IF(metadata!J544="",FALSE,TRUE),OR(EXACT(metadata!J544,"not applicable"),EXACT(metadata!J544,"missing: not collected"),EXACT(metadata!J544,"missing: not provided"),EXACT(metadata!J544,"missing: restricted access"))),AND(IF(metadata!J544="",FALSE,ISNUMBER(VALUE(metadata!J544))),metadata!J544&gt;0))</f>
        <v>0</v>
      </c>
      <c r="AM544" t="b">
        <f>AND(IF(metadata!K544="",FALSE,TRUE),EXACT(metadata!K544,"missing: not provided"))</f>
        <v>0</v>
      </c>
      <c r="AN544" t="b">
        <f>IF(metadata!L544="",FALSE,TRUE)</f>
        <v>0</v>
      </c>
      <c r="AO544" t="b">
        <f>IF(metadata!M544="",FALSE,TRUE)</f>
        <v>0</v>
      </c>
      <c r="AP544" t="b">
        <f>OR(AND(IF(metadata!N544="",FALSE,TRUE),OR(EXACT(metadata!N544,"not applicable"),EXACT(metadata!N544,"missing: not collected"),EXACT(metadata!N544,"missing: not provided"))),AND(IF(metadata!N544="",FALSE,IF(ISERROR(INT(metadata!N544)),FALSE,INT(metadata!N544)=metadata!N544)),metadata!N544&gt;0))</f>
        <v>0</v>
      </c>
      <c r="AQ544" t="b">
        <f>AND(IF(metadata!O544="",FALSE,TRUE),EXACT(metadata!O544,"Not applicable"))</f>
        <v>0</v>
      </c>
      <c r="AR544" t="b">
        <f>OR(AND(IF(metadata!P544="",FALSE,TRUE),OR(EXACT(metadata!P544,"not applicable"),EXACT(metadata!P544,"missing: not collected"),EXACT(metadata!P544,"missing: not provided"),EXACT(metadata!P544,"missing: restricted access"))),IF(metadata!P544="",FALSE,IF(ISERROR(INT(metadata!P544)),FALSE,INT(metadata!P544)=metadata!P544)))</f>
        <v>0</v>
      </c>
      <c r="AS544" t="b">
        <f>AND(IF(metadata!Q544="",FALSE,TRUE),EXACT(metadata!Q544,"Not applicable"))</f>
        <v>0</v>
      </c>
      <c r="AT544" t="b">
        <f>OR(AND(IF(metadata!R544="",FALSE,TRUE),OR(EXACT(metadata!R544,"not applicable"),EXACT(metadata!R544,"missing: not collected"),EXACT(metadata!R544,"missing: not provided"),EXACT(metadata!R544,"missing: restricted access"))),AND(IF(metadata!R544="",FALSE,ISNUMBER(VALUE(metadata!R544))),metadata!R544&gt;0))</f>
        <v>0</v>
      </c>
      <c r="AU544" t="b">
        <f>AND(IF(metadata!S544="",FALSE,TRUE),EXACT(metadata!S544,"missing: not provided"))</f>
        <v>0</v>
      </c>
    </row>
    <row r="545" spans="1:47" x14ac:dyDescent="0.2">
      <c r="A545" s="5" t="str">
        <f ca="1">IF(B545=" "," ",HYPERLINK(CONCATENATE("#metadata!",ADDRESS(INDEX($Y$2:$Y$1001,MATCH(ROWS($W$2:W545),$W$2:$W$1001,0),0),1)),INDEX($AB$2:$AB$1001,MATCH(ROWS($W$2:W545),$W$2:$W$1001,0),0)))</f>
        <v xml:space="preserve"> </v>
      </c>
      <c r="B545" s="4" t="str">
        <f ca="1">IF(OR(INDEX($X$2:$X$1001,MATCH(ROWS($W$2:W545),$W$2:$W$1001,0),1)&gt;=100000,INDEX($AD$1005:$AU$1005,1,MATCH(COLUMNS($AD$1006:AD1006),$AD$1006:$AU$1006,0))&gt;=100000), " ",IF(INDEX($AD$2:$AU$1001,MATCH(ROWS($W$2:W545),$W$2:$W$1001,0),MATCH(COLUMNS($AD$1006:AD1006),$AD$1006:$AU$1006,0)), HYPERLINK("#",""), HYPERLINK(CONCATENATE("#metadata!", ADDRESS(INDEX($Y$2:$Y$1001,MATCH(ROWS($W$2:W545),$W$2:$W$1001,0),0), INDEX($AD$1004:$AU$1004,1,MATCH(COLUMNS($AD$1006:AD1006),$AD$1006:$AU$1006,0)))),"Fix")))</f>
        <v xml:space="preserve"> </v>
      </c>
      <c r="C545" s="4" t="str">
        <f ca="1">IF(OR(INDEX($X$2:$X$1001,MATCH(ROWS($W$2:W545),$W$2:$W$1001,0),1)&gt;=100000,INDEX($AD$1005:$AU$1005,1,MATCH(COLUMNS($AD$1006:AE1006),$AD$1006:$AU$1006,0))&gt;=100000), " ",IF(INDEX($AD$2:$AU$1001,MATCH(ROWS($W$2:W545),$W$2:$W$1001,0),MATCH(COLUMNS($AD$1006:AE1006),$AD$1006:$AU$1006,0)), HYPERLINK("#",""), HYPERLINK(CONCATENATE("#metadata!", ADDRESS(INDEX($Y$2:$Y$1001,MATCH(ROWS($W$2:W545),$W$2:$W$1001,0),0), INDEX($AD$1004:$AU$1004,1,MATCH(COLUMNS($AD$1006:AE1006),$AD$1006:$AU$1006,0)))),"Fix")))</f>
        <v xml:space="preserve"> </v>
      </c>
      <c r="D545" s="4" t="str">
        <f ca="1">IF(OR(INDEX($X$2:$X$1001,MATCH(ROWS($W$2:W545),$W$2:$W$1001,0),1)&gt;=100000,INDEX($AD$1005:$AU$1005,1,MATCH(COLUMNS($AD$1006:AF1006),$AD$1006:$AU$1006,0))&gt;=100000), " ",IF(INDEX($AD$2:$AU$1001,MATCH(ROWS($W$2:W545),$W$2:$W$1001,0),MATCH(COLUMNS($AD$1006:AF1006),$AD$1006:$AU$1006,0)), HYPERLINK("#",""), HYPERLINK(CONCATENATE("#metadata!", ADDRESS(INDEX($Y$2:$Y$1001,MATCH(ROWS($W$2:W545),$W$2:$W$1001,0),0), INDEX($AD$1004:$AU$1004,1,MATCH(COLUMNS($AD$1006:AF1006),$AD$1006:$AU$1006,0)))),"Fix")))</f>
        <v xml:space="preserve"> </v>
      </c>
      <c r="E545" s="4" t="str">
        <f ca="1">IF(OR(INDEX($X$2:$X$1001,MATCH(ROWS($W$2:W545),$W$2:$W$1001,0),1)&gt;=100000,INDEX($AD$1005:$AU$1005,1,MATCH(COLUMNS($AD$1006:AG1006),$AD$1006:$AU$1006,0))&gt;=100000), " ",IF(INDEX($AD$2:$AU$1001,MATCH(ROWS($W$2:W545),$W$2:$W$1001,0),MATCH(COLUMNS($AD$1006:AG1006),$AD$1006:$AU$1006,0)), HYPERLINK("#",""), HYPERLINK(CONCATENATE("#metadata!", ADDRESS(INDEX($Y$2:$Y$1001,MATCH(ROWS($W$2:W545),$W$2:$W$1001,0),0), INDEX($AD$1004:$AU$1004,1,MATCH(COLUMNS($AD$1006:AG1006),$AD$1006:$AU$1006,0)))),"Fix")))</f>
        <v xml:space="preserve"> </v>
      </c>
      <c r="F545" s="4" t="str">
        <f ca="1">IF(OR(INDEX($X$2:$X$1001,MATCH(ROWS($W$2:W545),$W$2:$W$1001,0),1)&gt;=100000,INDEX($AD$1005:$AU$1005,1,MATCH(COLUMNS($AD$1006:AH1006),$AD$1006:$AU$1006,0))&gt;=100000), " ",IF(INDEX($AD$2:$AU$1001,MATCH(ROWS($W$2:W545),$W$2:$W$1001,0),MATCH(COLUMNS($AD$1006:AH1006),$AD$1006:$AU$1006,0)), HYPERLINK("#",""), HYPERLINK(CONCATENATE("#metadata!", ADDRESS(INDEX($Y$2:$Y$1001,MATCH(ROWS($W$2:W545),$W$2:$W$1001,0),0), INDEX($AD$1004:$AU$1004,1,MATCH(COLUMNS($AD$1006:AH1006),$AD$1006:$AU$1006,0)))),"Fix")))</f>
        <v xml:space="preserve"> </v>
      </c>
      <c r="G545" s="4" t="str">
        <f ca="1">IF(OR(INDEX($X$2:$X$1001,MATCH(ROWS($W$2:W545),$W$2:$W$1001,0),1)&gt;=100000,INDEX($AD$1005:$AU$1005,1,MATCH(COLUMNS($AD$1006:AI1006),$AD$1006:$AU$1006,0))&gt;=100000), " ",IF(INDEX($AD$2:$AU$1001,MATCH(ROWS($W$2:W545),$W$2:$W$1001,0),MATCH(COLUMNS($AD$1006:AI1006),$AD$1006:$AU$1006,0)), HYPERLINK("#",""), HYPERLINK(CONCATENATE("#metadata!", ADDRESS(INDEX($Y$2:$Y$1001,MATCH(ROWS($W$2:W545),$W$2:$W$1001,0),0), INDEX($AD$1004:$AU$1004,1,MATCH(COLUMNS($AD$1006:AI1006),$AD$1006:$AU$1006,0)))),"Fix")))</f>
        <v xml:space="preserve"> </v>
      </c>
      <c r="H545" s="4" t="str">
        <f ca="1">IF(OR(INDEX($X$2:$X$1001,MATCH(ROWS($W$2:W545),$W$2:$W$1001,0),1)&gt;=100000,INDEX($AD$1005:$AU$1005,1,MATCH(COLUMNS($AD$1006:AJ1006),$AD$1006:$AU$1006,0))&gt;=100000), " ",IF(INDEX($AD$2:$AU$1001,MATCH(ROWS($W$2:W545),$W$2:$W$1001,0),MATCH(COLUMNS($AD$1006:AJ1006),$AD$1006:$AU$1006,0)), HYPERLINK("#",""), HYPERLINK(CONCATENATE("#metadata!", ADDRESS(INDEX($Y$2:$Y$1001,MATCH(ROWS($W$2:W545),$W$2:$W$1001,0),0), INDEX($AD$1004:$AU$1004,1,MATCH(COLUMNS($AD$1006:AJ1006),$AD$1006:$AU$1006,0)))),"Fix")))</f>
        <v xml:space="preserve"> </v>
      </c>
      <c r="I545" s="4" t="str">
        <f ca="1">IF(OR(INDEX($X$2:$X$1001,MATCH(ROWS($W$2:W545),$W$2:$W$1001,0),1)&gt;=100000,INDEX($AD$1005:$AU$1005,1,MATCH(COLUMNS($AD$1006:AK1006),$AD$1006:$AU$1006,0))&gt;=100000), " ",IF(INDEX($AD$2:$AU$1001,MATCH(ROWS($W$2:W545),$W$2:$W$1001,0),MATCH(COLUMNS($AD$1006:AK1006),$AD$1006:$AU$1006,0)), HYPERLINK("#",""), HYPERLINK(CONCATENATE("#metadata!", ADDRESS(INDEX($Y$2:$Y$1001,MATCH(ROWS($W$2:W545),$W$2:$W$1001,0),0), INDEX($AD$1004:$AU$1004,1,MATCH(COLUMNS($AD$1006:AK1006),$AD$1006:$AU$1006,0)))),"Fix")))</f>
        <v xml:space="preserve"> </v>
      </c>
      <c r="J545" s="4" t="str">
        <f ca="1">IF(OR(INDEX($X$2:$X$1001,MATCH(ROWS($W$2:W545),$W$2:$W$1001,0),1)&gt;=100000,INDEX($AD$1005:$AU$1005,1,MATCH(COLUMNS($AD$1006:AL1006),$AD$1006:$AU$1006,0))&gt;=100000), " ",IF(INDEX($AD$2:$AU$1001,MATCH(ROWS($W$2:W545),$W$2:$W$1001,0),MATCH(COLUMNS($AD$1006:AL1006),$AD$1006:$AU$1006,0)), HYPERLINK("#",""), HYPERLINK(CONCATENATE("#metadata!", ADDRESS(INDEX($Y$2:$Y$1001,MATCH(ROWS($W$2:W545),$W$2:$W$1001,0),0), INDEX($AD$1004:$AU$1004,1,MATCH(COLUMNS($AD$1006:AL1006),$AD$1006:$AU$1006,0)))),"Fix")))</f>
        <v xml:space="preserve"> </v>
      </c>
      <c r="K545" s="4" t="str">
        <f ca="1">IF(OR(INDEX($X$2:$X$1001,MATCH(ROWS($W$2:W545),$W$2:$W$1001,0),1)&gt;=100000,INDEX($AD$1005:$AU$1005,1,MATCH(COLUMNS($AD$1006:AM1006),$AD$1006:$AU$1006,0))&gt;=100000), " ",IF(INDEX($AD$2:$AU$1001,MATCH(ROWS($W$2:W545),$W$2:$W$1001,0),MATCH(COLUMNS($AD$1006:AM1006),$AD$1006:$AU$1006,0)), HYPERLINK("#",""), HYPERLINK(CONCATENATE("#metadata!", ADDRESS(INDEX($Y$2:$Y$1001,MATCH(ROWS($W$2:W545),$W$2:$W$1001,0),0), INDEX($AD$1004:$AU$1004,1,MATCH(COLUMNS($AD$1006:AM1006),$AD$1006:$AU$1006,0)))),"Fix")))</f>
        <v xml:space="preserve"> </v>
      </c>
      <c r="L545" s="4" t="str">
        <f ca="1">IF(OR(INDEX($X$2:$X$1001,MATCH(ROWS($W$2:W545),$W$2:$W$1001,0),1)&gt;=100000,INDEX($AD$1005:$AU$1005,1,MATCH(COLUMNS($AD$1006:AN1006),$AD$1006:$AU$1006,0))&gt;=100000), " ",IF(INDEX($AD$2:$AU$1001,MATCH(ROWS($W$2:W545),$W$2:$W$1001,0),MATCH(COLUMNS($AD$1006:AN1006),$AD$1006:$AU$1006,0)), HYPERLINK("#",""), HYPERLINK(CONCATENATE("#metadata!", ADDRESS(INDEX($Y$2:$Y$1001,MATCH(ROWS($W$2:W545),$W$2:$W$1001,0),0), INDEX($AD$1004:$AU$1004,1,MATCH(COLUMNS($AD$1006:AN1006),$AD$1006:$AU$1006,0)))),"Fix")))</f>
        <v xml:space="preserve"> </v>
      </c>
      <c r="M545" s="4" t="str">
        <f ca="1">IF(OR(INDEX($X$2:$X$1001,MATCH(ROWS($W$2:W545),$W$2:$W$1001,0),1)&gt;=100000,INDEX($AD$1005:$AU$1005,1,MATCH(COLUMNS($AD$1006:AO1006),$AD$1006:$AU$1006,0))&gt;=100000), " ",IF(INDEX($AD$2:$AU$1001,MATCH(ROWS($W$2:W545),$W$2:$W$1001,0),MATCH(COLUMNS($AD$1006:AO1006),$AD$1006:$AU$1006,0)), HYPERLINK("#",""), HYPERLINK(CONCATENATE("#metadata!", ADDRESS(INDEX($Y$2:$Y$1001,MATCH(ROWS($W$2:W545),$W$2:$W$1001,0),0), INDEX($AD$1004:$AU$1004,1,MATCH(COLUMNS($AD$1006:AO1006),$AD$1006:$AU$1006,0)))),"Fix")))</f>
        <v xml:space="preserve"> </v>
      </c>
      <c r="N545" s="4" t="str">
        <f ca="1">IF(OR(INDEX($X$2:$X$1001,MATCH(ROWS($W$2:W545),$W$2:$W$1001,0),1)&gt;=100000,INDEX($AD$1005:$AU$1005,1,MATCH(COLUMNS($AD$1006:AP1006),$AD$1006:$AU$1006,0))&gt;=100000), " ",IF(INDEX($AD$2:$AU$1001,MATCH(ROWS($W$2:W545),$W$2:$W$1001,0),MATCH(COLUMNS($AD$1006:AP1006),$AD$1006:$AU$1006,0)), HYPERLINK("#",""), HYPERLINK(CONCATENATE("#metadata!", ADDRESS(INDEX($Y$2:$Y$1001,MATCH(ROWS($W$2:W545),$W$2:$W$1001,0),0), INDEX($AD$1004:$AU$1004,1,MATCH(COLUMNS($AD$1006:AP1006),$AD$1006:$AU$1006,0)))),"Fix")))</f>
        <v xml:space="preserve"> </v>
      </c>
      <c r="O545" s="4" t="str">
        <f ca="1">IF(OR(INDEX($X$2:$X$1001,MATCH(ROWS($W$2:W545),$W$2:$W$1001,0),1)&gt;=100000,INDEX($AD$1005:$AU$1005,1,MATCH(COLUMNS($AD$1006:AQ1006),$AD$1006:$AU$1006,0))&gt;=100000), " ",IF(INDEX($AD$2:$AU$1001,MATCH(ROWS($W$2:W545),$W$2:$W$1001,0),MATCH(COLUMNS($AD$1006:AQ1006),$AD$1006:$AU$1006,0)), HYPERLINK("#",""), HYPERLINK(CONCATENATE("#metadata!", ADDRESS(INDEX($Y$2:$Y$1001,MATCH(ROWS($W$2:W545),$W$2:$W$1001,0),0), INDEX($AD$1004:$AU$1004,1,MATCH(COLUMNS($AD$1006:AQ1006),$AD$1006:$AU$1006,0)))),"Fix")))</f>
        <v xml:space="preserve"> </v>
      </c>
      <c r="P545" s="4" t="str">
        <f ca="1">IF(OR(INDEX($X$2:$X$1001,MATCH(ROWS($W$2:W545),$W$2:$W$1001,0),1)&gt;=100000,INDEX($AD$1005:$AU$1005,1,MATCH(COLUMNS($AD$1006:AR1006),$AD$1006:$AU$1006,0))&gt;=100000), " ",IF(INDEX($AD$2:$AU$1001,MATCH(ROWS($W$2:W545),$W$2:$W$1001,0),MATCH(COLUMNS($AD$1006:AR1006),$AD$1006:$AU$1006,0)), HYPERLINK("#",""), HYPERLINK(CONCATENATE("#metadata!", ADDRESS(INDEX($Y$2:$Y$1001,MATCH(ROWS($W$2:W545),$W$2:$W$1001,0),0), INDEX($AD$1004:$AU$1004,1,MATCH(COLUMNS($AD$1006:AR1006),$AD$1006:$AU$1006,0)))),"Fix")))</f>
        <v xml:space="preserve"> </v>
      </c>
      <c r="Q545" s="4" t="str">
        <f ca="1">IF(OR(INDEX($X$2:$X$1001,MATCH(ROWS($W$2:W545),$W$2:$W$1001,0),1)&gt;=100000,INDEX($AD$1005:$AU$1005,1,MATCH(COLUMNS($AD$1006:AS1006),$AD$1006:$AU$1006,0))&gt;=100000), " ",IF(INDEX($AD$2:$AU$1001,MATCH(ROWS($W$2:W545),$W$2:$W$1001,0),MATCH(COLUMNS($AD$1006:AS1006),$AD$1006:$AU$1006,0)), HYPERLINK("#",""), HYPERLINK(CONCATENATE("#metadata!", ADDRESS(INDEX($Y$2:$Y$1001,MATCH(ROWS($W$2:W545),$W$2:$W$1001,0),0), INDEX($AD$1004:$AU$1004,1,MATCH(COLUMNS($AD$1006:AS1006),$AD$1006:$AU$1006,0)))),"Fix")))</f>
        <v xml:space="preserve"> </v>
      </c>
      <c r="R545" s="4" t="str">
        <f ca="1">IF(OR(INDEX($X$2:$X$1001,MATCH(ROWS($W$2:W545),$W$2:$W$1001,0),1)&gt;=100000,INDEX($AD$1005:$AU$1005,1,MATCH(COLUMNS($AD$1006:AT1006),$AD$1006:$AU$1006,0))&gt;=100000), " ",IF(INDEX($AD$2:$AU$1001,MATCH(ROWS($W$2:W545),$W$2:$W$1001,0),MATCH(COLUMNS($AD$1006:AT1006),$AD$1006:$AU$1006,0)), HYPERLINK("#",""), HYPERLINK(CONCATENATE("#metadata!", ADDRESS(INDEX($Y$2:$Y$1001,MATCH(ROWS($W$2:W545),$W$2:$W$1001,0),0), INDEX($AD$1004:$AU$1004,1,MATCH(COLUMNS($AD$1006:AT1006),$AD$1006:$AU$1006,0)))),"Fix")))</f>
        <v xml:space="preserve"> </v>
      </c>
      <c r="S545" s="4" t="str">
        <f ca="1">IF(OR(INDEX($X$2:$X$1001,MATCH(ROWS($W$2:W545),$W$2:$W$1001,0),1)&gt;=100000,INDEX($AD$1005:$AU$1005,1,MATCH(COLUMNS($AD$1006:AU1006),$AD$1006:$AU$1006,0))&gt;=100000), " ",IF(INDEX($AD$2:$AU$1001,MATCH(ROWS($W$2:W545),$W$2:$W$1001,0),MATCH(COLUMNS($AD$1006:AU1006),$AD$1006:$AU$1006,0)), HYPERLINK("#",""), HYPERLINK(CONCATENATE("#metadata!", ADDRESS(INDEX($Y$2:$Y$1001,MATCH(ROWS($W$2:W545),$W$2:$W$1001,0),0), INDEX($AD$1004:$AU$1004,1,MATCH(COLUMNS($AD$1006:AU1006),$AD$1006:$AU$1006,0)))),"Fix")))</f>
        <v xml:space="preserve"> </v>
      </c>
      <c r="W545">
        <v>544</v>
      </c>
      <c r="X545">
        <v>100545</v>
      </c>
      <c r="Y545">
        <v>545</v>
      </c>
      <c r="Z545" t="b">
        <f t="shared" si="8"/>
        <v>1</v>
      </c>
      <c r="AA545" t="b">
        <f>COUNTBLANK(metadata!B545:S545)=COLUMNS(metadata!B545:S545)</f>
        <v>1</v>
      </c>
      <c r="AB545" t="str">
        <v/>
      </c>
      <c r="AD545" t="b">
        <f ca="1">AND(IF(metadata!B545="",FALSE,TRUE),COUNTIF(metadata!B:B, metadata!B545) = 1,NOT(ISERROR(SUMPRODUCT(SEARCH(MID(metadata!B545,ROW(INDIRECT("1:"&amp;LEN(metadata!B545))), 1),"0123456789abcdefghijklmnopqrstuvwxyzABCDEFGHIJKLMNOPQRSTUVWXYZ.")))))</f>
        <v>0</v>
      </c>
      <c r="AE545" t="b">
        <f>OR(AND(IF(metadata!C545="",FALSE,TRUE),OR(EXACT(metadata!C545,"not applicable"),EXACT(metadata!C545,"missing: not collected"),EXACT(metadata!C545,"missing: not provided"),EXACT(metadata!C545,"missing: restricted access"))),AND(IF(metadata!C545="",FALSE,ISNUMBER(VALUE(metadata!C545))),metadata!C545&gt;0))</f>
        <v>0</v>
      </c>
      <c r="AF545" t="b">
        <f>AND(IF(metadata!D545="",FALSE,TRUE),EXACT(metadata!D545,"missing: not provided"))</f>
        <v>0</v>
      </c>
      <c r="AG545" t="b">
        <f>AND(IF(metadata!E545="",FALSE,TRUE),EXACT(metadata!E545,"Host-associated"))</f>
        <v>0</v>
      </c>
      <c r="AH545" t="b">
        <f>AND(IF(metadata!F545="",FALSE,TRUE),OR(EXACT(metadata!F545,"Animal"),EXACT(metadata!F545,"Fungus"),EXACT(metadata!F545,"Plant")))</f>
        <v>0</v>
      </c>
      <c r="AI545" t="b">
        <f>AND(IF(metadata!G545="",FALSE,TRUE),OR(EXACT(metadata!G545,"Plant secretion"),EXACT(metadata!G545,"Plant rhizosphere"),EXACT(metadata!G545,"Plant surface"),EXACT(metadata!G545,"Plant corpus"),EXACT(metadata!G545,"Fungus surface"),EXACT(metadata!G545,"Fungus corpus"),EXACT(metadata!G545,"Animal surface"),EXACT(metadata!G545,"Animal proximal gut"),EXACT(metadata!G545,"Animal corpus"),EXACT(metadata!G545,"Animal distal gut"),EXACT(metadata!G545,"Animal secretion")))</f>
        <v>0</v>
      </c>
      <c r="AJ545" t="b">
        <f>OR(AND(IF(metadata!H545="",FALSE,TRUE),OR(EXACT(metadata!H545,"missing: not collected"),EXACT(metadata!H545,"missing: not provided"),EXACT(metadata!H545,"missing: restricted access"))),AND(IF(metadata!H545="",FALSE,TRUE),OR(EXACT(metadata!H545,"organism-associated habitat"),EXACT(metadata!H545,"plant-associated habitat"),EXACT(metadata!H545,"animal-associated habitat"),EXACT(metadata!H545,"insecta-associated habitat"),EXACT(metadata!H545,"mammalia-associated habitat"),EXACT(metadata!H545,"human-associated habitat"),EXACT(metadata!H545,"livestock-associated habitat"))))</f>
        <v>0</v>
      </c>
      <c r="AK545" t="b">
        <f>AND(IF(metadata!I545="",FALSE,TRUE),EXACT(metadata!I545,"host-associated"))</f>
        <v>0</v>
      </c>
      <c r="AL545" t="b">
        <f>OR(AND(IF(metadata!J545="",FALSE,TRUE),OR(EXACT(metadata!J545,"not applicable"),EXACT(metadata!J545,"missing: not collected"),EXACT(metadata!J545,"missing: not provided"),EXACT(metadata!J545,"missing: restricted access"))),AND(IF(metadata!J545="",FALSE,ISNUMBER(VALUE(metadata!J545))),metadata!J545&gt;0))</f>
        <v>0</v>
      </c>
      <c r="AM545" t="b">
        <f>AND(IF(metadata!K545="",FALSE,TRUE),EXACT(metadata!K545,"missing: not provided"))</f>
        <v>0</v>
      </c>
      <c r="AN545" t="b">
        <f>IF(metadata!L545="",FALSE,TRUE)</f>
        <v>0</v>
      </c>
      <c r="AO545" t="b">
        <f>IF(metadata!M545="",FALSE,TRUE)</f>
        <v>0</v>
      </c>
      <c r="AP545" t="b">
        <f>OR(AND(IF(metadata!N545="",FALSE,TRUE),OR(EXACT(metadata!N545,"not applicable"),EXACT(metadata!N545,"missing: not collected"),EXACT(metadata!N545,"missing: not provided"))),AND(IF(metadata!N545="",FALSE,IF(ISERROR(INT(metadata!N545)),FALSE,INT(metadata!N545)=metadata!N545)),metadata!N545&gt;0))</f>
        <v>0</v>
      </c>
      <c r="AQ545" t="b">
        <f>AND(IF(metadata!O545="",FALSE,TRUE),EXACT(metadata!O545,"Not applicable"))</f>
        <v>0</v>
      </c>
      <c r="AR545" t="b">
        <f>OR(AND(IF(metadata!P545="",FALSE,TRUE),OR(EXACT(metadata!P545,"not applicable"),EXACT(metadata!P545,"missing: not collected"),EXACT(metadata!P545,"missing: not provided"),EXACT(metadata!P545,"missing: restricted access"))),IF(metadata!P545="",FALSE,IF(ISERROR(INT(metadata!P545)),FALSE,INT(metadata!P545)=metadata!P545)))</f>
        <v>0</v>
      </c>
      <c r="AS545" t="b">
        <f>AND(IF(metadata!Q545="",FALSE,TRUE),EXACT(metadata!Q545,"Not applicable"))</f>
        <v>0</v>
      </c>
      <c r="AT545" t="b">
        <f>OR(AND(IF(metadata!R545="",FALSE,TRUE),OR(EXACT(metadata!R545,"not applicable"),EXACT(metadata!R545,"missing: not collected"),EXACT(metadata!R545,"missing: not provided"),EXACT(metadata!R545,"missing: restricted access"))),AND(IF(metadata!R545="",FALSE,ISNUMBER(VALUE(metadata!R545))),metadata!R545&gt;0))</f>
        <v>0</v>
      </c>
      <c r="AU545" t="b">
        <f>AND(IF(metadata!S545="",FALSE,TRUE),EXACT(metadata!S545,"missing: not provided"))</f>
        <v>0</v>
      </c>
    </row>
    <row r="546" spans="1:47" x14ac:dyDescent="0.2">
      <c r="A546" s="5" t="str">
        <f ca="1">IF(B546=" "," ",HYPERLINK(CONCATENATE("#metadata!",ADDRESS(INDEX($Y$2:$Y$1001,MATCH(ROWS($W$2:W546),$W$2:$W$1001,0),0),1)),INDEX($AB$2:$AB$1001,MATCH(ROWS($W$2:W546),$W$2:$W$1001,0),0)))</f>
        <v xml:space="preserve"> </v>
      </c>
      <c r="B546" s="4" t="str">
        <f ca="1">IF(OR(INDEX($X$2:$X$1001,MATCH(ROWS($W$2:W546),$W$2:$W$1001,0),1)&gt;=100000,INDEX($AD$1005:$AU$1005,1,MATCH(COLUMNS($AD$1006:AD1006),$AD$1006:$AU$1006,0))&gt;=100000), " ",IF(INDEX($AD$2:$AU$1001,MATCH(ROWS($W$2:W546),$W$2:$W$1001,0),MATCH(COLUMNS($AD$1006:AD1006),$AD$1006:$AU$1006,0)), HYPERLINK("#",""), HYPERLINK(CONCATENATE("#metadata!", ADDRESS(INDEX($Y$2:$Y$1001,MATCH(ROWS($W$2:W546),$W$2:$W$1001,0),0), INDEX($AD$1004:$AU$1004,1,MATCH(COLUMNS($AD$1006:AD1006),$AD$1006:$AU$1006,0)))),"Fix")))</f>
        <v xml:space="preserve"> </v>
      </c>
      <c r="C546" s="4" t="str">
        <f ca="1">IF(OR(INDEX($X$2:$X$1001,MATCH(ROWS($W$2:W546),$W$2:$W$1001,0),1)&gt;=100000,INDEX($AD$1005:$AU$1005,1,MATCH(COLUMNS($AD$1006:AE1006),$AD$1006:$AU$1006,0))&gt;=100000), " ",IF(INDEX($AD$2:$AU$1001,MATCH(ROWS($W$2:W546),$W$2:$W$1001,0),MATCH(COLUMNS($AD$1006:AE1006),$AD$1006:$AU$1006,0)), HYPERLINK("#",""), HYPERLINK(CONCATENATE("#metadata!", ADDRESS(INDEX($Y$2:$Y$1001,MATCH(ROWS($W$2:W546),$W$2:$W$1001,0),0), INDEX($AD$1004:$AU$1004,1,MATCH(COLUMNS($AD$1006:AE1006),$AD$1006:$AU$1006,0)))),"Fix")))</f>
        <v xml:space="preserve"> </v>
      </c>
      <c r="D546" s="4" t="str">
        <f ca="1">IF(OR(INDEX($X$2:$X$1001,MATCH(ROWS($W$2:W546),$W$2:$W$1001,0),1)&gt;=100000,INDEX($AD$1005:$AU$1005,1,MATCH(COLUMNS($AD$1006:AF1006),$AD$1006:$AU$1006,0))&gt;=100000), " ",IF(INDEX($AD$2:$AU$1001,MATCH(ROWS($W$2:W546),$W$2:$W$1001,0),MATCH(COLUMNS($AD$1006:AF1006),$AD$1006:$AU$1006,0)), HYPERLINK("#",""), HYPERLINK(CONCATENATE("#metadata!", ADDRESS(INDEX($Y$2:$Y$1001,MATCH(ROWS($W$2:W546),$W$2:$W$1001,0),0), INDEX($AD$1004:$AU$1004,1,MATCH(COLUMNS($AD$1006:AF1006),$AD$1006:$AU$1006,0)))),"Fix")))</f>
        <v xml:space="preserve"> </v>
      </c>
      <c r="E546" s="4" t="str">
        <f ca="1">IF(OR(INDEX($X$2:$X$1001,MATCH(ROWS($W$2:W546),$W$2:$W$1001,0),1)&gt;=100000,INDEX($AD$1005:$AU$1005,1,MATCH(COLUMNS($AD$1006:AG1006),$AD$1006:$AU$1006,0))&gt;=100000), " ",IF(INDEX($AD$2:$AU$1001,MATCH(ROWS($W$2:W546),$W$2:$W$1001,0),MATCH(COLUMNS($AD$1006:AG1006),$AD$1006:$AU$1006,0)), HYPERLINK("#",""), HYPERLINK(CONCATENATE("#metadata!", ADDRESS(INDEX($Y$2:$Y$1001,MATCH(ROWS($W$2:W546),$W$2:$W$1001,0),0), INDEX($AD$1004:$AU$1004,1,MATCH(COLUMNS($AD$1006:AG1006),$AD$1006:$AU$1006,0)))),"Fix")))</f>
        <v xml:space="preserve"> </v>
      </c>
      <c r="F546" s="4" t="str">
        <f ca="1">IF(OR(INDEX($X$2:$X$1001,MATCH(ROWS($W$2:W546),$W$2:$W$1001,0),1)&gt;=100000,INDEX($AD$1005:$AU$1005,1,MATCH(COLUMNS($AD$1006:AH1006),$AD$1006:$AU$1006,0))&gt;=100000), " ",IF(INDEX($AD$2:$AU$1001,MATCH(ROWS($W$2:W546),$W$2:$W$1001,0),MATCH(COLUMNS($AD$1006:AH1006),$AD$1006:$AU$1006,0)), HYPERLINK("#",""), HYPERLINK(CONCATENATE("#metadata!", ADDRESS(INDEX($Y$2:$Y$1001,MATCH(ROWS($W$2:W546),$W$2:$W$1001,0),0), INDEX($AD$1004:$AU$1004,1,MATCH(COLUMNS($AD$1006:AH1006),$AD$1006:$AU$1006,0)))),"Fix")))</f>
        <v xml:space="preserve"> </v>
      </c>
      <c r="G546" s="4" t="str">
        <f ca="1">IF(OR(INDEX($X$2:$X$1001,MATCH(ROWS($W$2:W546),$W$2:$W$1001,0),1)&gt;=100000,INDEX($AD$1005:$AU$1005,1,MATCH(COLUMNS($AD$1006:AI1006),$AD$1006:$AU$1006,0))&gt;=100000), " ",IF(INDEX($AD$2:$AU$1001,MATCH(ROWS($W$2:W546),$W$2:$W$1001,0),MATCH(COLUMNS($AD$1006:AI1006),$AD$1006:$AU$1006,0)), HYPERLINK("#",""), HYPERLINK(CONCATENATE("#metadata!", ADDRESS(INDEX($Y$2:$Y$1001,MATCH(ROWS($W$2:W546),$W$2:$W$1001,0),0), INDEX($AD$1004:$AU$1004,1,MATCH(COLUMNS($AD$1006:AI1006),$AD$1006:$AU$1006,0)))),"Fix")))</f>
        <v xml:space="preserve"> </v>
      </c>
      <c r="H546" s="4" t="str">
        <f ca="1">IF(OR(INDEX($X$2:$X$1001,MATCH(ROWS($W$2:W546),$W$2:$W$1001,0),1)&gt;=100000,INDEX($AD$1005:$AU$1005,1,MATCH(COLUMNS($AD$1006:AJ1006),$AD$1006:$AU$1006,0))&gt;=100000), " ",IF(INDEX($AD$2:$AU$1001,MATCH(ROWS($W$2:W546),$W$2:$W$1001,0),MATCH(COLUMNS($AD$1006:AJ1006),$AD$1006:$AU$1006,0)), HYPERLINK("#",""), HYPERLINK(CONCATENATE("#metadata!", ADDRESS(INDEX($Y$2:$Y$1001,MATCH(ROWS($W$2:W546),$W$2:$W$1001,0),0), INDEX($AD$1004:$AU$1004,1,MATCH(COLUMNS($AD$1006:AJ1006),$AD$1006:$AU$1006,0)))),"Fix")))</f>
        <v xml:space="preserve"> </v>
      </c>
      <c r="I546" s="4" t="str">
        <f ca="1">IF(OR(INDEX($X$2:$X$1001,MATCH(ROWS($W$2:W546),$W$2:$W$1001,0),1)&gt;=100000,INDEX($AD$1005:$AU$1005,1,MATCH(COLUMNS($AD$1006:AK1006),$AD$1006:$AU$1006,0))&gt;=100000), " ",IF(INDEX($AD$2:$AU$1001,MATCH(ROWS($W$2:W546),$W$2:$W$1001,0),MATCH(COLUMNS($AD$1006:AK1006),$AD$1006:$AU$1006,0)), HYPERLINK("#",""), HYPERLINK(CONCATENATE("#metadata!", ADDRESS(INDEX($Y$2:$Y$1001,MATCH(ROWS($W$2:W546),$W$2:$W$1001,0),0), INDEX($AD$1004:$AU$1004,1,MATCH(COLUMNS($AD$1006:AK1006),$AD$1006:$AU$1006,0)))),"Fix")))</f>
        <v xml:space="preserve"> </v>
      </c>
      <c r="J546" s="4" t="str">
        <f ca="1">IF(OR(INDEX($X$2:$X$1001,MATCH(ROWS($W$2:W546),$W$2:$W$1001,0),1)&gt;=100000,INDEX($AD$1005:$AU$1005,1,MATCH(COLUMNS($AD$1006:AL1006),$AD$1006:$AU$1006,0))&gt;=100000), " ",IF(INDEX($AD$2:$AU$1001,MATCH(ROWS($W$2:W546),$W$2:$W$1001,0),MATCH(COLUMNS($AD$1006:AL1006),$AD$1006:$AU$1006,0)), HYPERLINK("#",""), HYPERLINK(CONCATENATE("#metadata!", ADDRESS(INDEX($Y$2:$Y$1001,MATCH(ROWS($W$2:W546),$W$2:$W$1001,0),0), INDEX($AD$1004:$AU$1004,1,MATCH(COLUMNS($AD$1006:AL1006),$AD$1006:$AU$1006,0)))),"Fix")))</f>
        <v xml:space="preserve"> </v>
      </c>
      <c r="K546" s="4" t="str">
        <f ca="1">IF(OR(INDEX($X$2:$X$1001,MATCH(ROWS($W$2:W546),$W$2:$W$1001,0),1)&gt;=100000,INDEX($AD$1005:$AU$1005,1,MATCH(COLUMNS($AD$1006:AM1006),$AD$1006:$AU$1006,0))&gt;=100000), " ",IF(INDEX($AD$2:$AU$1001,MATCH(ROWS($W$2:W546),$W$2:$W$1001,0),MATCH(COLUMNS($AD$1006:AM1006),$AD$1006:$AU$1006,0)), HYPERLINK("#",""), HYPERLINK(CONCATENATE("#metadata!", ADDRESS(INDEX($Y$2:$Y$1001,MATCH(ROWS($W$2:W546),$W$2:$W$1001,0),0), INDEX($AD$1004:$AU$1004,1,MATCH(COLUMNS($AD$1006:AM1006),$AD$1006:$AU$1006,0)))),"Fix")))</f>
        <v xml:space="preserve"> </v>
      </c>
      <c r="L546" s="4" t="str">
        <f ca="1">IF(OR(INDEX($X$2:$X$1001,MATCH(ROWS($W$2:W546),$W$2:$W$1001,0),1)&gt;=100000,INDEX($AD$1005:$AU$1005,1,MATCH(COLUMNS($AD$1006:AN1006),$AD$1006:$AU$1006,0))&gt;=100000), " ",IF(INDEX($AD$2:$AU$1001,MATCH(ROWS($W$2:W546),$W$2:$W$1001,0),MATCH(COLUMNS($AD$1006:AN1006),$AD$1006:$AU$1006,0)), HYPERLINK("#",""), HYPERLINK(CONCATENATE("#metadata!", ADDRESS(INDEX($Y$2:$Y$1001,MATCH(ROWS($W$2:W546),$W$2:$W$1001,0),0), INDEX($AD$1004:$AU$1004,1,MATCH(COLUMNS($AD$1006:AN1006),$AD$1006:$AU$1006,0)))),"Fix")))</f>
        <v xml:space="preserve"> </v>
      </c>
      <c r="M546" s="4" t="str">
        <f ca="1">IF(OR(INDEX($X$2:$X$1001,MATCH(ROWS($W$2:W546),$W$2:$W$1001,0),1)&gt;=100000,INDEX($AD$1005:$AU$1005,1,MATCH(COLUMNS($AD$1006:AO1006),$AD$1006:$AU$1006,0))&gt;=100000), " ",IF(INDEX($AD$2:$AU$1001,MATCH(ROWS($W$2:W546),$W$2:$W$1001,0),MATCH(COLUMNS($AD$1006:AO1006),$AD$1006:$AU$1006,0)), HYPERLINK("#",""), HYPERLINK(CONCATENATE("#metadata!", ADDRESS(INDEX($Y$2:$Y$1001,MATCH(ROWS($W$2:W546),$W$2:$W$1001,0),0), INDEX($AD$1004:$AU$1004,1,MATCH(COLUMNS($AD$1006:AO1006),$AD$1006:$AU$1006,0)))),"Fix")))</f>
        <v xml:space="preserve"> </v>
      </c>
      <c r="N546" s="4" t="str">
        <f ca="1">IF(OR(INDEX($X$2:$X$1001,MATCH(ROWS($W$2:W546),$W$2:$W$1001,0),1)&gt;=100000,INDEX($AD$1005:$AU$1005,1,MATCH(COLUMNS($AD$1006:AP1006),$AD$1006:$AU$1006,0))&gt;=100000), " ",IF(INDEX($AD$2:$AU$1001,MATCH(ROWS($W$2:W546),$W$2:$W$1001,0),MATCH(COLUMNS($AD$1006:AP1006),$AD$1006:$AU$1006,0)), HYPERLINK("#",""), HYPERLINK(CONCATENATE("#metadata!", ADDRESS(INDEX($Y$2:$Y$1001,MATCH(ROWS($W$2:W546),$W$2:$W$1001,0),0), INDEX($AD$1004:$AU$1004,1,MATCH(COLUMNS($AD$1006:AP1006),$AD$1006:$AU$1006,0)))),"Fix")))</f>
        <v xml:space="preserve"> </v>
      </c>
      <c r="O546" s="4" t="str">
        <f ca="1">IF(OR(INDEX($X$2:$X$1001,MATCH(ROWS($W$2:W546),$W$2:$W$1001,0),1)&gt;=100000,INDEX($AD$1005:$AU$1005,1,MATCH(COLUMNS($AD$1006:AQ1006),$AD$1006:$AU$1006,0))&gt;=100000), " ",IF(INDEX($AD$2:$AU$1001,MATCH(ROWS($W$2:W546),$W$2:$W$1001,0),MATCH(COLUMNS($AD$1006:AQ1006),$AD$1006:$AU$1006,0)), HYPERLINK("#",""), HYPERLINK(CONCATENATE("#metadata!", ADDRESS(INDEX($Y$2:$Y$1001,MATCH(ROWS($W$2:W546),$W$2:$W$1001,0),0), INDEX($AD$1004:$AU$1004,1,MATCH(COLUMNS($AD$1006:AQ1006),$AD$1006:$AU$1006,0)))),"Fix")))</f>
        <v xml:space="preserve"> </v>
      </c>
      <c r="P546" s="4" t="str">
        <f ca="1">IF(OR(INDEX($X$2:$X$1001,MATCH(ROWS($W$2:W546),$W$2:$W$1001,0),1)&gt;=100000,INDEX($AD$1005:$AU$1005,1,MATCH(COLUMNS($AD$1006:AR1006),$AD$1006:$AU$1006,0))&gt;=100000), " ",IF(INDEX($AD$2:$AU$1001,MATCH(ROWS($W$2:W546),$W$2:$W$1001,0),MATCH(COLUMNS($AD$1006:AR1006),$AD$1006:$AU$1006,0)), HYPERLINK("#",""), HYPERLINK(CONCATENATE("#metadata!", ADDRESS(INDEX($Y$2:$Y$1001,MATCH(ROWS($W$2:W546),$W$2:$W$1001,0),0), INDEX($AD$1004:$AU$1004,1,MATCH(COLUMNS($AD$1006:AR1006),$AD$1006:$AU$1006,0)))),"Fix")))</f>
        <v xml:space="preserve"> </v>
      </c>
      <c r="Q546" s="4" t="str">
        <f ca="1">IF(OR(INDEX($X$2:$X$1001,MATCH(ROWS($W$2:W546),$W$2:$W$1001,0),1)&gt;=100000,INDEX($AD$1005:$AU$1005,1,MATCH(COLUMNS($AD$1006:AS1006),$AD$1006:$AU$1006,0))&gt;=100000), " ",IF(INDEX($AD$2:$AU$1001,MATCH(ROWS($W$2:W546),$W$2:$W$1001,0),MATCH(COLUMNS($AD$1006:AS1006),$AD$1006:$AU$1006,0)), HYPERLINK("#",""), HYPERLINK(CONCATENATE("#metadata!", ADDRESS(INDEX($Y$2:$Y$1001,MATCH(ROWS($W$2:W546),$W$2:$W$1001,0),0), INDEX($AD$1004:$AU$1004,1,MATCH(COLUMNS($AD$1006:AS1006),$AD$1006:$AU$1006,0)))),"Fix")))</f>
        <v xml:space="preserve"> </v>
      </c>
      <c r="R546" s="4" t="str">
        <f ca="1">IF(OR(INDEX($X$2:$X$1001,MATCH(ROWS($W$2:W546),$W$2:$W$1001,0),1)&gt;=100000,INDEX($AD$1005:$AU$1005,1,MATCH(COLUMNS($AD$1006:AT1006),$AD$1006:$AU$1006,0))&gt;=100000), " ",IF(INDEX($AD$2:$AU$1001,MATCH(ROWS($W$2:W546),$W$2:$W$1001,0),MATCH(COLUMNS($AD$1006:AT1006),$AD$1006:$AU$1006,0)), HYPERLINK("#",""), HYPERLINK(CONCATENATE("#metadata!", ADDRESS(INDEX($Y$2:$Y$1001,MATCH(ROWS($W$2:W546),$W$2:$W$1001,0),0), INDEX($AD$1004:$AU$1004,1,MATCH(COLUMNS($AD$1006:AT1006),$AD$1006:$AU$1006,0)))),"Fix")))</f>
        <v xml:space="preserve"> </v>
      </c>
      <c r="S546" s="4" t="str">
        <f ca="1">IF(OR(INDEX($X$2:$X$1001,MATCH(ROWS($W$2:W546),$W$2:$W$1001,0),1)&gt;=100000,INDEX($AD$1005:$AU$1005,1,MATCH(COLUMNS($AD$1006:AU1006),$AD$1006:$AU$1006,0))&gt;=100000), " ",IF(INDEX($AD$2:$AU$1001,MATCH(ROWS($W$2:W546),$W$2:$W$1001,0),MATCH(COLUMNS($AD$1006:AU1006),$AD$1006:$AU$1006,0)), HYPERLINK("#",""), HYPERLINK(CONCATENATE("#metadata!", ADDRESS(INDEX($Y$2:$Y$1001,MATCH(ROWS($W$2:W546),$W$2:$W$1001,0),0), INDEX($AD$1004:$AU$1004,1,MATCH(COLUMNS($AD$1006:AU1006),$AD$1006:$AU$1006,0)))),"Fix")))</f>
        <v xml:space="preserve"> </v>
      </c>
      <c r="W546">
        <v>545</v>
      </c>
      <c r="X546">
        <v>100546</v>
      </c>
      <c r="Y546">
        <v>546</v>
      </c>
      <c r="Z546" t="b">
        <f t="shared" si="8"/>
        <v>1</v>
      </c>
      <c r="AA546" t="b">
        <f>COUNTBLANK(metadata!B546:S546)=COLUMNS(metadata!B546:S546)</f>
        <v>1</v>
      </c>
      <c r="AB546" t="str">
        <v/>
      </c>
      <c r="AD546" t="b">
        <f ca="1">AND(IF(metadata!B546="",FALSE,TRUE),COUNTIF(metadata!B:B, metadata!B546) = 1,NOT(ISERROR(SUMPRODUCT(SEARCH(MID(metadata!B546,ROW(INDIRECT("1:"&amp;LEN(metadata!B546))), 1),"0123456789abcdefghijklmnopqrstuvwxyzABCDEFGHIJKLMNOPQRSTUVWXYZ.")))))</f>
        <v>0</v>
      </c>
      <c r="AE546" t="b">
        <f>OR(AND(IF(metadata!C546="",FALSE,TRUE),OR(EXACT(metadata!C546,"not applicable"),EXACT(metadata!C546,"missing: not collected"),EXACT(metadata!C546,"missing: not provided"),EXACT(metadata!C546,"missing: restricted access"))),AND(IF(metadata!C546="",FALSE,ISNUMBER(VALUE(metadata!C546))),metadata!C546&gt;0))</f>
        <v>0</v>
      </c>
      <c r="AF546" t="b">
        <f>AND(IF(metadata!D546="",FALSE,TRUE),EXACT(metadata!D546,"missing: not provided"))</f>
        <v>0</v>
      </c>
      <c r="AG546" t="b">
        <f>AND(IF(metadata!E546="",FALSE,TRUE),EXACT(metadata!E546,"Host-associated"))</f>
        <v>0</v>
      </c>
      <c r="AH546" t="b">
        <f>AND(IF(metadata!F546="",FALSE,TRUE),OR(EXACT(metadata!F546,"Animal"),EXACT(metadata!F546,"Fungus"),EXACT(metadata!F546,"Plant")))</f>
        <v>0</v>
      </c>
      <c r="AI546" t="b">
        <f>AND(IF(metadata!G546="",FALSE,TRUE),OR(EXACT(metadata!G546,"Plant secretion"),EXACT(metadata!G546,"Plant rhizosphere"),EXACT(metadata!G546,"Plant surface"),EXACT(metadata!G546,"Plant corpus"),EXACT(metadata!G546,"Fungus surface"),EXACT(metadata!G546,"Fungus corpus"),EXACT(metadata!G546,"Animal surface"),EXACT(metadata!G546,"Animal proximal gut"),EXACT(metadata!G546,"Animal corpus"),EXACT(metadata!G546,"Animal distal gut"),EXACT(metadata!G546,"Animal secretion")))</f>
        <v>0</v>
      </c>
      <c r="AJ546" t="b">
        <f>OR(AND(IF(metadata!H546="",FALSE,TRUE),OR(EXACT(metadata!H546,"missing: not collected"),EXACT(metadata!H546,"missing: not provided"),EXACT(metadata!H546,"missing: restricted access"))),AND(IF(metadata!H546="",FALSE,TRUE),OR(EXACT(metadata!H546,"organism-associated habitat"),EXACT(metadata!H546,"plant-associated habitat"),EXACT(metadata!H546,"animal-associated habitat"),EXACT(metadata!H546,"insecta-associated habitat"),EXACT(metadata!H546,"mammalia-associated habitat"),EXACT(metadata!H546,"human-associated habitat"),EXACT(metadata!H546,"livestock-associated habitat"))))</f>
        <v>0</v>
      </c>
      <c r="AK546" t="b">
        <f>AND(IF(metadata!I546="",FALSE,TRUE),EXACT(metadata!I546,"host-associated"))</f>
        <v>0</v>
      </c>
      <c r="AL546" t="b">
        <f>OR(AND(IF(metadata!J546="",FALSE,TRUE),OR(EXACT(metadata!J546,"not applicable"),EXACT(metadata!J546,"missing: not collected"),EXACT(metadata!J546,"missing: not provided"),EXACT(metadata!J546,"missing: restricted access"))),AND(IF(metadata!J546="",FALSE,ISNUMBER(VALUE(metadata!J546))),metadata!J546&gt;0))</f>
        <v>0</v>
      </c>
      <c r="AM546" t="b">
        <f>AND(IF(metadata!K546="",FALSE,TRUE),EXACT(metadata!K546,"missing: not provided"))</f>
        <v>0</v>
      </c>
      <c r="AN546" t="b">
        <f>IF(metadata!L546="",FALSE,TRUE)</f>
        <v>0</v>
      </c>
      <c r="AO546" t="b">
        <f>IF(metadata!M546="",FALSE,TRUE)</f>
        <v>0</v>
      </c>
      <c r="AP546" t="b">
        <f>OR(AND(IF(metadata!N546="",FALSE,TRUE),OR(EXACT(metadata!N546,"not applicable"),EXACT(metadata!N546,"missing: not collected"),EXACT(metadata!N546,"missing: not provided"))),AND(IF(metadata!N546="",FALSE,IF(ISERROR(INT(metadata!N546)),FALSE,INT(metadata!N546)=metadata!N546)),metadata!N546&gt;0))</f>
        <v>0</v>
      </c>
      <c r="AQ546" t="b">
        <f>AND(IF(metadata!O546="",FALSE,TRUE),EXACT(metadata!O546,"Not applicable"))</f>
        <v>0</v>
      </c>
      <c r="AR546" t="b">
        <f>OR(AND(IF(metadata!P546="",FALSE,TRUE),OR(EXACT(metadata!P546,"not applicable"),EXACT(metadata!P546,"missing: not collected"),EXACT(metadata!P546,"missing: not provided"),EXACT(metadata!P546,"missing: restricted access"))),IF(metadata!P546="",FALSE,IF(ISERROR(INT(metadata!P546)),FALSE,INT(metadata!P546)=metadata!P546)))</f>
        <v>0</v>
      </c>
      <c r="AS546" t="b">
        <f>AND(IF(metadata!Q546="",FALSE,TRUE),EXACT(metadata!Q546,"Not applicable"))</f>
        <v>0</v>
      </c>
      <c r="AT546" t="b">
        <f>OR(AND(IF(metadata!R546="",FALSE,TRUE),OR(EXACT(metadata!R546,"not applicable"),EXACT(metadata!R546,"missing: not collected"),EXACT(metadata!R546,"missing: not provided"),EXACT(metadata!R546,"missing: restricted access"))),AND(IF(metadata!R546="",FALSE,ISNUMBER(VALUE(metadata!R546))),metadata!R546&gt;0))</f>
        <v>0</v>
      </c>
      <c r="AU546" t="b">
        <f>AND(IF(metadata!S546="",FALSE,TRUE),EXACT(metadata!S546,"missing: not provided"))</f>
        <v>0</v>
      </c>
    </row>
    <row r="547" spans="1:47" x14ac:dyDescent="0.2">
      <c r="A547" s="5" t="str">
        <f ca="1">IF(B547=" "," ",HYPERLINK(CONCATENATE("#metadata!",ADDRESS(INDEX($Y$2:$Y$1001,MATCH(ROWS($W$2:W547),$W$2:$W$1001,0),0),1)),INDEX($AB$2:$AB$1001,MATCH(ROWS($W$2:W547),$W$2:$W$1001,0),0)))</f>
        <v xml:space="preserve"> </v>
      </c>
      <c r="B547" s="4" t="str">
        <f ca="1">IF(OR(INDEX($X$2:$X$1001,MATCH(ROWS($W$2:W547),$W$2:$W$1001,0),1)&gt;=100000,INDEX($AD$1005:$AU$1005,1,MATCH(COLUMNS($AD$1006:AD1006),$AD$1006:$AU$1006,0))&gt;=100000), " ",IF(INDEX($AD$2:$AU$1001,MATCH(ROWS($W$2:W547),$W$2:$W$1001,0),MATCH(COLUMNS($AD$1006:AD1006),$AD$1006:$AU$1006,0)), HYPERLINK("#",""), HYPERLINK(CONCATENATE("#metadata!", ADDRESS(INDEX($Y$2:$Y$1001,MATCH(ROWS($W$2:W547),$W$2:$W$1001,0),0), INDEX($AD$1004:$AU$1004,1,MATCH(COLUMNS($AD$1006:AD1006),$AD$1006:$AU$1006,0)))),"Fix")))</f>
        <v xml:space="preserve"> </v>
      </c>
      <c r="C547" s="4" t="str">
        <f ca="1">IF(OR(INDEX($X$2:$X$1001,MATCH(ROWS($W$2:W547),$W$2:$W$1001,0),1)&gt;=100000,INDEX($AD$1005:$AU$1005,1,MATCH(COLUMNS($AD$1006:AE1006),$AD$1006:$AU$1006,0))&gt;=100000), " ",IF(INDEX($AD$2:$AU$1001,MATCH(ROWS($W$2:W547),$W$2:$W$1001,0),MATCH(COLUMNS($AD$1006:AE1006),$AD$1006:$AU$1006,0)), HYPERLINK("#",""), HYPERLINK(CONCATENATE("#metadata!", ADDRESS(INDEX($Y$2:$Y$1001,MATCH(ROWS($W$2:W547),$W$2:$W$1001,0),0), INDEX($AD$1004:$AU$1004,1,MATCH(COLUMNS($AD$1006:AE1006),$AD$1006:$AU$1006,0)))),"Fix")))</f>
        <v xml:space="preserve"> </v>
      </c>
      <c r="D547" s="4" t="str">
        <f ca="1">IF(OR(INDEX($X$2:$X$1001,MATCH(ROWS($W$2:W547),$W$2:$W$1001,0),1)&gt;=100000,INDEX($AD$1005:$AU$1005,1,MATCH(COLUMNS($AD$1006:AF1006),$AD$1006:$AU$1006,0))&gt;=100000), " ",IF(INDEX($AD$2:$AU$1001,MATCH(ROWS($W$2:W547),$W$2:$W$1001,0),MATCH(COLUMNS($AD$1006:AF1006),$AD$1006:$AU$1006,0)), HYPERLINK("#",""), HYPERLINK(CONCATENATE("#metadata!", ADDRESS(INDEX($Y$2:$Y$1001,MATCH(ROWS($W$2:W547),$W$2:$W$1001,0),0), INDEX($AD$1004:$AU$1004,1,MATCH(COLUMNS($AD$1006:AF1006),$AD$1006:$AU$1006,0)))),"Fix")))</f>
        <v xml:space="preserve"> </v>
      </c>
      <c r="E547" s="4" t="str">
        <f ca="1">IF(OR(INDEX($X$2:$X$1001,MATCH(ROWS($W$2:W547),$W$2:$W$1001,0),1)&gt;=100000,INDEX($AD$1005:$AU$1005,1,MATCH(COLUMNS($AD$1006:AG1006),$AD$1006:$AU$1006,0))&gt;=100000), " ",IF(INDEX($AD$2:$AU$1001,MATCH(ROWS($W$2:W547),$W$2:$W$1001,0),MATCH(COLUMNS($AD$1006:AG1006),$AD$1006:$AU$1006,0)), HYPERLINK("#",""), HYPERLINK(CONCATENATE("#metadata!", ADDRESS(INDEX($Y$2:$Y$1001,MATCH(ROWS($W$2:W547),$W$2:$W$1001,0),0), INDEX($AD$1004:$AU$1004,1,MATCH(COLUMNS($AD$1006:AG1006),$AD$1006:$AU$1006,0)))),"Fix")))</f>
        <v xml:space="preserve"> </v>
      </c>
      <c r="F547" s="4" t="str">
        <f ca="1">IF(OR(INDEX($X$2:$X$1001,MATCH(ROWS($W$2:W547),$W$2:$W$1001,0),1)&gt;=100000,INDEX($AD$1005:$AU$1005,1,MATCH(COLUMNS($AD$1006:AH1006),$AD$1006:$AU$1006,0))&gt;=100000), " ",IF(INDEX($AD$2:$AU$1001,MATCH(ROWS($W$2:W547),$W$2:$W$1001,0),MATCH(COLUMNS($AD$1006:AH1006),$AD$1006:$AU$1006,0)), HYPERLINK("#",""), HYPERLINK(CONCATENATE("#metadata!", ADDRESS(INDEX($Y$2:$Y$1001,MATCH(ROWS($W$2:W547),$W$2:$W$1001,0),0), INDEX($AD$1004:$AU$1004,1,MATCH(COLUMNS($AD$1006:AH1006),$AD$1006:$AU$1006,0)))),"Fix")))</f>
        <v xml:space="preserve"> </v>
      </c>
      <c r="G547" s="4" t="str">
        <f ca="1">IF(OR(INDEX($X$2:$X$1001,MATCH(ROWS($W$2:W547),$W$2:$W$1001,0),1)&gt;=100000,INDEX($AD$1005:$AU$1005,1,MATCH(COLUMNS($AD$1006:AI1006),$AD$1006:$AU$1006,0))&gt;=100000), " ",IF(INDEX($AD$2:$AU$1001,MATCH(ROWS($W$2:W547),$W$2:$W$1001,0),MATCH(COLUMNS($AD$1006:AI1006),$AD$1006:$AU$1006,0)), HYPERLINK("#",""), HYPERLINK(CONCATENATE("#metadata!", ADDRESS(INDEX($Y$2:$Y$1001,MATCH(ROWS($W$2:W547),$W$2:$W$1001,0),0), INDEX($AD$1004:$AU$1004,1,MATCH(COLUMNS($AD$1006:AI1006),$AD$1006:$AU$1006,0)))),"Fix")))</f>
        <v xml:space="preserve"> </v>
      </c>
      <c r="H547" s="4" t="str">
        <f ca="1">IF(OR(INDEX($X$2:$X$1001,MATCH(ROWS($W$2:W547),$W$2:$W$1001,0),1)&gt;=100000,INDEX($AD$1005:$AU$1005,1,MATCH(COLUMNS($AD$1006:AJ1006),$AD$1006:$AU$1006,0))&gt;=100000), " ",IF(INDEX($AD$2:$AU$1001,MATCH(ROWS($W$2:W547),$W$2:$W$1001,0),MATCH(COLUMNS($AD$1006:AJ1006),$AD$1006:$AU$1006,0)), HYPERLINK("#",""), HYPERLINK(CONCATENATE("#metadata!", ADDRESS(INDEX($Y$2:$Y$1001,MATCH(ROWS($W$2:W547),$W$2:$W$1001,0),0), INDEX($AD$1004:$AU$1004,1,MATCH(COLUMNS($AD$1006:AJ1006),$AD$1006:$AU$1006,0)))),"Fix")))</f>
        <v xml:space="preserve"> </v>
      </c>
      <c r="I547" s="4" t="str">
        <f ca="1">IF(OR(INDEX($X$2:$X$1001,MATCH(ROWS($W$2:W547),$W$2:$W$1001,0),1)&gt;=100000,INDEX($AD$1005:$AU$1005,1,MATCH(COLUMNS($AD$1006:AK1006),$AD$1006:$AU$1006,0))&gt;=100000), " ",IF(INDEX($AD$2:$AU$1001,MATCH(ROWS($W$2:W547),$W$2:$W$1001,0),MATCH(COLUMNS($AD$1006:AK1006),$AD$1006:$AU$1006,0)), HYPERLINK("#",""), HYPERLINK(CONCATENATE("#metadata!", ADDRESS(INDEX($Y$2:$Y$1001,MATCH(ROWS($W$2:W547),$W$2:$W$1001,0),0), INDEX($AD$1004:$AU$1004,1,MATCH(COLUMNS($AD$1006:AK1006),$AD$1006:$AU$1006,0)))),"Fix")))</f>
        <v xml:space="preserve"> </v>
      </c>
      <c r="J547" s="4" t="str">
        <f ca="1">IF(OR(INDEX($X$2:$X$1001,MATCH(ROWS($W$2:W547),$W$2:$W$1001,0),1)&gt;=100000,INDEX($AD$1005:$AU$1005,1,MATCH(COLUMNS($AD$1006:AL1006),$AD$1006:$AU$1006,0))&gt;=100000), " ",IF(INDEX($AD$2:$AU$1001,MATCH(ROWS($W$2:W547),$W$2:$W$1001,0),MATCH(COLUMNS($AD$1006:AL1006),$AD$1006:$AU$1006,0)), HYPERLINK("#",""), HYPERLINK(CONCATENATE("#metadata!", ADDRESS(INDEX($Y$2:$Y$1001,MATCH(ROWS($W$2:W547),$W$2:$W$1001,0),0), INDEX($AD$1004:$AU$1004,1,MATCH(COLUMNS($AD$1006:AL1006),$AD$1006:$AU$1006,0)))),"Fix")))</f>
        <v xml:space="preserve"> </v>
      </c>
      <c r="K547" s="4" t="str">
        <f ca="1">IF(OR(INDEX($X$2:$X$1001,MATCH(ROWS($W$2:W547),$W$2:$W$1001,0),1)&gt;=100000,INDEX($AD$1005:$AU$1005,1,MATCH(COLUMNS($AD$1006:AM1006),$AD$1006:$AU$1006,0))&gt;=100000), " ",IF(INDEX($AD$2:$AU$1001,MATCH(ROWS($W$2:W547),$W$2:$W$1001,0),MATCH(COLUMNS($AD$1006:AM1006),$AD$1006:$AU$1006,0)), HYPERLINK("#",""), HYPERLINK(CONCATENATE("#metadata!", ADDRESS(INDEX($Y$2:$Y$1001,MATCH(ROWS($W$2:W547),$W$2:$W$1001,0),0), INDEX($AD$1004:$AU$1004,1,MATCH(COLUMNS($AD$1006:AM1006),$AD$1006:$AU$1006,0)))),"Fix")))</f>
        <v xml:space="preserve"> </v>
      </c>
      <c r="L547" s="4" t="str">
        <f ca="1">IF(OR(INDEX($X$2:$X$1001,MATCH(ROWS($W$2:W547),$W$2:$W$1001,0),1)&gt;=100000,INDEX($AD$1005:$AU$1005,1,MATCH(COLUMNS($AD$1006:AN1006),$AD$1006:$AU$1006,0))&gt;=100000), " ",IF(INDEX($AD$2:$AU$1001,MATCH(ROWS($W$2:W547),$W$2:$W$1001,0),MATCH(COLUMNS($AD$1006:AN1006),$AD$1006:$AU$1006,0)), HYPERLINK("#",""), HYPERLINK(CONCATENATE("#metadata!", ADDRESS(INDEX($Y$2:$Y$1001,MATCH(ROWS($W$2:W547),$W$2:$W$1001,0),0), INDEX($AD$1004:$AU$1004,1,MATCH(COLUMNS($AD$1006:AN1006),$AD$1006:$AU$1006,0)))),"Fix")))</f>
        <v xml:space="preserve"> </v>
      </c>
      <c r="M547" s="4" t="str">
        <f ca="1">IF(OR(INDEX($X$2:$X$1001,MATCH(ROWS($W$2:W547),$W$2:$W$1001,0),1)&gt;=100000,INDEX($AD$1005:$AU$1005,1,MATCH(COLUMNS($AD$1006:AO1006),$AD$1006:$AU$1006,0))&gt;=100000), " ",IF(INDEX($AD$2:$AU$1001,MATCH(ROWS($W$2:W547),$W$2:$W$1001,0),MATCH(COLUMNS($AD$1006:AO1006),$AD$1006:$AU$1006,0)), HYPERLINK("#",""), HYPERLINK(CONCATENATE("#metadata!", ADDRESS(INDEX($Y$2:$Y$1001,MATCH(ROWS($W$2:W547),$W$2:$W$1001,0),0), INDEX($AD$1004:$AU$1004,1,MATCH(COLUMNS($AD$1006:AO1006),$AD$1006:$AU$1006,0)))),"Fix")))</f>
        <v xml:space="preserve"> </v>
      </c>
      <c r="N547" s="4" t="str">
        <f ca="1">IF(OR(INDEX($X$2:$X$1001,MATCH(ROWS($W$2:W547),$W$2:$W$1001,0),1)&gt;=100000,INDEX($AD$1005:$AU$1005,1,MATCH(COLUMNS($AD$1006:AP1006),$AD$1006:$AU$1006,0))&gt;=100000), " ",IF(INDEX($AD$2:$AU$1001,MATCH(ROWS($W$2:W547),$W$2:$W$1001,0),MATCH(COLUMNS($AD$1006:AP1006),$AD$1006:$AU$1006,0)), HYPERLINK("#",""), HYPERLINK(CONCATENATE("#metadata!", ADDRESS(INDEX($Y$2:$Y$1001,MATCH(ROWS($W$2:W547),$W$2:$W$1001,0),0), INDEX($AD$1004:$AU$1004,1,MATCH(COLUMNS($AD$1006:AP1006),$AD$1006:$AU$1006,0)))),"Fix")))</f>
        <v xml:space="preserve"> </v>
      </c>
      <c r="O547" s="4" t="str">
        <f ca="1">IF(OR(INDEX($X$2:$X$1001,MATCH(ROWS($W$2:W547),$W$2:$W$1001,0),1)&gt;=100000,INDEX($AD$1005:$AU$1005,1,MATCH(COLUMNS($AD$1006:AQ1006),$AD$1006:$AU$1006,0))&gt;=100000), " ",IF(INDEX($AD$2:$AU$1001,MATCH(ROWS($W$2:W547),$W$2:$W$1001,0),MATCH(COLUMNS($AD$1006:AQ1006),$AD$1006:$AU$1006,0)), HYPERLINK("#",""), HYPERLINK(CONCATENATE("#metadata!", ADDRESS(INDEX($Y$2:$Y$1001,MATCH(ROWS($W$2:W547),$W$2:$W$1001,0),0), INDEX($AD$1004:$AU$1004,1,MATCH(COLUMNS($AD$1006:AQ1006),$AD$1006:$AU$1006,0)))),"Fix")))</f>
        <v xml:space="preserve"> </v>
      </c>
      <c r="P547" s="4" t="str">
        <f ca="1">IF(OR(INDEX($X$2:$X$1001,MATCH(ROWS($W$2:W547),$W$2:$W$1001,0),1)&gt;=100000,INDEX($AD$1005:$AU$1005,1,MATCH(COLUMNS($AD$1006:AR1006),$AD$1006:$AU$1006,0))&gt;=100000), " ",IF(INDEX($AD$2:$AU$1001,MATCH(ROWS($W$2:W547),$W$2:$W$1001,0),MATCH(COLUMNS($AD$1006:AR1006),$AD$1006:$AU$1006,0)), HYPERLINK("#",""), HYPERLINK(CONCATENATE("#metadata!", ADDRESS(INDEX($Y$2:$Y$1001,MATCH(ROWS($W$2:W547),$W$2:$W$1001,0),0), INDEX($AD$1004:$AU$1004,1,MATCH(COLUMNS($AD$1006:AR1006),$AD$1006:$AU$1006,0)))),"Fix")))</f>
        <v xml:space="preserve"> </v>
      </c>
      <c r="Q547" s="4" t="str">
        <f ca="1">IF(OR(INDEX($X$2:$X$1001,MATCH(ROWS($W$2:W547),$W$2:$W$1001,0),1)&gt;=100000,INDEX($AD$1005:$AU$1005,1,MATCH(COLUMNS($AD$1006:AS1006),$AD$1006:$AU$1006,0))&gt;=100000), " ",IF(INDEX($AD$2:$AU$1001,MATCH(ROWS($W$2:W547),$W$2:$W$1001,0),MATCH(COLUMNS($AD$1006:AS1006),$AD$1006:$AU$1006,0)), HYPERLINK("#",""), HYPERLINK(CONCATENATE("#metadata!", ADDRESS(INDEX($Y$2:$Y$1001,MATCH(ROWS($W$2:W547),$W$2:$W$1001,0),0), INDEX($AD$1004:$AU$1004,1,MATCH(COLUMNS($AD$1006:AS1006),$AD$1006:$AU$1006,0)))),"Fix")))</f>
        <v xml:space="preserve"> </v>
      </c>
      <c r="R547" s="4" t="str">
        <f ca="1">IF(OR(INDEX($X$2:$X$1001,MATCH(ROWS($W$2:W547),$W$2:$W$1001,0),1)&gt;=100000,INDEX($AD$1005:$AU$1005,1,MATCH(COLUMNS($AD$1006:AT1006),$AD$1006:$AU$1006,0))&gt;=100000), " ",IF(INDEX($AD$2:$AU$1001,MATCH(ROWS($W$2:W547),$W$2:$W$1001,0),MATCH(COLUMNS($AD$1006:AT1006),$AD$1006:$AU$1006,0)), HYPERLINK("#",""), HYPERLINK(CONCATENATE("#metadata!", ADDRESS(INDEX($Y$2:$Y$1001,MATCH(ROWS($W$2:W547),$W$2:$W$1001,0),0), INDEX($AD$1004:$AU$1004,1,MATCH(COLUMNS($AD$1006:AT1006),$AD$1006:$AU$1006,0)))),"Fix")))</f>
        <v xml:space="preserve"> </v>
      </c>
      <c r="S547" s="4" t="str">
        <f ca="1">IF(OR(INDEX($X$2:$X$1001,MATCH(ROWS($W$2:W547),$W$2:$W$1001,0),1)&gt;=100000,INDEX($AD$1005:$AU$1005,1,MATCH(COLUMNS($AD$1006:AU1006),$AD$1006:$AU$1006,0))&gt;=100000), " ",IF(INDEX($AD$2:$AU$1001,MATCH(ROWS($W$2:W547),$W$2:$W$1001,0),MATCH(COLUMNS($AD$1006:AU1006),$AD$1006:$AU$1006,0)), HYPERLINK("#",""), HYPERLINK(CONCATENATE("#metadata!", ADDRESS(INDEX($Y$2:$Y$1001,MATCH(ROWS($W$2:W547),$W$2:$W$1001,0),0), INDEX($AD$1004:$AU$1004,1,MATCH(COLUMNS($AD$1006:AU1006),$AD$1006:$AU$1006,0)))),"Fix")))</f>
        <v xml:space="preserve"> </v>
      </c>
      <c r="W547">
        <v>546</v>
      </c>
      <c r="X547">
        <v>100547</v>
      </c>
      <c r="Y547">
        <v>547</v>
      </c>
      <c r="Z547" t="b">
        <f t="shared" si="8"/>
        <v>1</v>
      </c>
      <c r="AA547" t="b">
        <f>COUNTBLANK(metadata!B547:S547)=COLUMNS(metadata!B547:S547)</f>
        <v>1</v>
      </c>
      <c r="AB547" t="str">
        <v/>
      </c>
      <c r="AD547" t="b">
        <f ca="1">AND(IF(metadata!B547="",FALSE,TRUE),COUNTIF(metadata!B:B, metadata!B547) = 1,NOT(ISERROR(SUMPRODUCT(SEARCH(MID(metadata!B547,ROW(INDIRECT("1:"&amp;LEN(metadata!B547))), 1),"0123456789abcdefghijklmnopqrstuvwxyzABCDEFGHIJKLMNOPQRSTUVWXYZ.")))))</f>
        <v>0</v>
      </c>
      <c r="AE547" t="b">
        <f>OR(AND(IF(metadata!C547="",FALSE,TRUE),OR(EXACT(metadata!C547,"not applicable"),EXACT(metadata!C547,"missing: not collected"),EXACT(metadata!C547,"missing: not provided"),EXACT(metadata!C547,"missing: restricted access"))),AND(IF(metadata!C547="",FALSE,ISNUMBER(VALUE(metadata!C547))),metadata!C547&gt;0))</f>
        <v>0</v>
      </c>
      <c r="AF547" t="b">
        <f>AND(IF(metadata!D547="",FALSE,TRUE),EXACT(metadata!D547,"missing: not provided"))</f>
        <v>0</v>
      </c>
      <c r="AG547" t="b">
        <f>AND(IF(metadata!E547="",FALSE,TRUE),EXACT(metadata!E547,"Host-associated"))</f>
        <v>0</v>
      </c>
      <c r="AH547" t="b">
        <f>AND(IF(metadata!F547="",FALSE,TRUE),OR(EXACT(metadata!F547,"Animal"),EXACT(metadata!F547,"Fungus"),EXACT(metadata!F547,"Plant")))</f>
        <v>0</v>
      </c>
      <c r="AI547" t="b">
        <f>AND(IF(metadata!G547="",FALSE,TRUE),OR(EXACT(metadata!G547,"Plant secretion"),EXACT(metadata!G547,"Plant rhizosphere"),EXACT(metadata!G547,"Plant surface"),EXACT(metadata!G547,"Plant corpus"),EXACT(metadata!G547,"Fungus surface"),EXACT(metadata!G547,"Fungus corpus"),EXACT(metadata!G547,"Animal surface"),EXACT(metadata!G547,"Animal proximal gut"),EXACT(metadata!G547,"Animal corpus"),EXACT(metadata!G547,"Animal distal gut"),EXACT(metadata!G547,"Animal secretion")))</f>
        <v>0</v>
      </c>
      <c r="AJ547" t="b">
        <f>OR(AND(IF(metadata!H547="",FALSE,TRUE),OR(EXACT(metadata!H547,"missing: not collected"),EXACT(metadata!H547,"missing: not provided"),EXACT(metadata!H547,"missing: restricted access"))),AND(IF(metadata!H547="",FALSE,TRUE),OR(EXACT(metadata!H547,"organism-associated habitat"),EXACT(metadata!H547,"plant-associated habitat"),EXACT(metadata!H547,"animal-associated habitat"),EXACT(metadata!H547,"insecta-associated habitat"),EXACT(metadata!H547,"mammalia-associated habitat"),EXACT(metadata!H547,"human-associated habitat"),EXACT(metadata!H547,"livestock-associated habitat"))))</f>
        <v>0</v>
      </c>
      <c r="AK547" t="b">
        <f>AND(IF(metadata!I547="",FALSE,TRUE),EXACT(metadata!I547,"host-associated"))</f>
        <v>0</v>
      </c>
      <c r="AL547" t="b">
        <f>OR(AND(IF(metadata!J547="",FALSE,TRUE),OR(EXACT(metadata!J547,"not applicable"),EXACT(metadata!J547,"missing: not collected"),EXACT(metadata!J547,"missing: not provided"),EXACT(metadata!J547,"missing: restricted access"))),AND(IF(metadata!J547="",FALSE,ISNUMBER(VALUE(metadata!J547))),metadata!J547&gt;0))</f>
        <v>0</v>
      </c>
      <c r="AM547" t="b">
        <f>AND(IF(metadata!K547="",FALSE,TRUE),EXACT(metadata!K547,"missing: not provided"))</f>
        <v>0</v>
      </c>
      <c r="AN547" t="b">
        <f>IF(metadata!L547="",FALSE,TRUE)</f>
        <v>0</v>
      </c>
      <c r="AO547" t="b">
        <f>IF(metadata!M547="",FALSE,TRUE)</f>
        <v>0</v>
      </c>
      <c r="AP547" t="b">
        <f>OR(AND(IF(metadata!N547="",FALSE,TRUE),OR(EXACT(metadata!N547,"not applicable"),EXACT(metadata!N547,"missing: not collected"),EXACT(metadata!N547,"missing: not provided"))),AND(IF(metadata!N547="",FALSE,IF(ISERROR(INT(metadata!N547)),FALSE,INT(metadata!N547)=metadata!N547)),metadata!N547&gt;0))</f>
        <v>0</v>
      </c>
      <c r="AQ547" t="b">
        <f>AND(IF(metadata!O547="",FALSE,TRUE),EXACT(metadata!O547,"Not applicable"))</f>
        <v>0</v>
      </c>
      <c r="AR547" t="b">
        <f>OR(AND(IF(metadata!P547="",FALSE,TRUE),OR(EXACT(metadata!P547,"not applicable"),EXACT(metadata!P547,"missing: not collected"),EXACT(metadata!P547,"missing: not provided"),EXACT(metadata!P547,"missing: restricted access"))),IF(metadata!P547="",FALSE,IF(ISERROR(INT(metadata!P547)),FALSE,INT(metadata!P547)=metadata!P547)))</f>
        <v>0</v>
      </c>
      <c r="AS547" t="b">
        <f>AND(IF(metadata!Q547="",FALSE,TRUE),EXACT(metadata!Q547,"Not applicable"))</f>
        <v>0</v>
      </c>
      <c r="AT547" t="b">
        <f>OR(AND(IF(metadata!R547="",FALSE,TRUE),OR(EXACT(metadata!R547,"not applicable"),EXACT(metadata!R547,"missing: not collected"),EXACT(metadata!R547,"missing: not provided"),EXACT(metadata!R547,"missing: restricted access"))),AND(IF(metadata!R547="",FALSE,ISNUMBER(VALUE(metadata!R547))),metadata!R547&gt;0))</f>
        <v>0</v>
      </c>
      <c r="AU547" t="b">
        <f>AND(IF(metadata!S547="",FALSE,TRUE),EXACT(metadata!S547,"missing: not provided"))</f>
        <v>0</v>
      </c>
    </row>
    <row r="548" spans="1:47" x14ac:dyDescent="0.2">
      <c r="A548" s="5" t="str">
        <f ca="1">IF(B548=" "," ",HYPERLINK(CONCATENATE("#metadata!",ADDRESS(INDEX($Y$2:$Y$1001,MATCH(ROWS($W$2:W548),$W$2:$W$1001,0),0),1)),INDEX($AB$2:$AB$1001,MATCH(ROWS($W$2:W548),$W$2:$W$1001,0),0)))</f>
        <v xml:space="preserve"> </v>
      </c>
      <c r="B548" s="4" t="str">
        <f ca="1">IF(OR(INDEX($X$2:$X$1001,MATCH(ROWS($W$2:W548),$W$2:$W$1001,0),1)&gt;=100000,INDEX($AD$1005:$AU$1005,1,MATCH(COLUMNS($AD$1006:AD1006),$AD$1006:$AU$1006,0))&gt;=100000), " ",IF(INDEX($AD$2:$AU$1001,MATCH(ROWS($W$2:W548),$W$2:$W$1001,0),MATCH(COLUMNS($AD$1006:AD1006),$AD$1006:$AU$1006,0)), HYPERLINK("#",""), HYPERLINK(CONCATENATE("#metadata!", ADDRESS(INDEX($Y$2:$Y$1001,MATCH(ROWS($W$2:W548),$W$2:$W$1001,0),0), INDEX($AD$1004:$AU$1004,1,MATCH(COLUMNS($AD$1006:AD1006),$AD$1006:$AU$1006,0)))),"Fix")))</f>
        <v xml:space="preserve"> </v>
      </c>
      <c r="C548" s="4" t="str">
        <f ca="1">IF(OR(INDEX($X$2:$X$1001,MATCH(ROWS($W$2:W548),$W$2:$W$1001,0),1)&gt;=100000,INDEX($AD$1005:$AU$1005,1,MATCH(COLUMNS($AD$1006:AE1006),$AD$1006:$AU$1006,0))&gt;=100000), " ",IF(INDEX($AD$2:$AU$1001,MATCH(ROWS($W$2:W548),$W$2:$W$1001,0),MATCH(COLUMNS($AD$1006:AE1006),$AD$1006:$AU$1006,0)), HYPERLINK("#",""), HYPERLINK(CONCATENATE("#metadata!", ADDRESS(INDEX($Y$2:$Y$1001,MATCH(ROWS($W$2:W548),$W$2:$W$1001,0),0), INDEX($AD$1004:$AU$1004,1,MATCH(COLUMNS($AD$1006:AE1006),$AD$1006:$AU$1006,0)))),"Fix")))</f>
        <v xml:space="preserve"> </v>
      </c>
      <c r="D548" s="4" t="str">
        <f ca="1">IF(OR(INDEX($X$2:$X$1001,MATCH(ROWS($W$2:W548),$W$2:$W$1001,0),1)&gt;=100000,INDEX($AD$1005:$AU$1005,1,MATCH(COLUMNS($AD$1006:AF1006),$AD$1006:$AU$1006,0))&gt;=100000), " ",IF(INDEX($AD$2:$AU$1001,MATCH(ROWS($W$2:W548),$W$2:$W$1001,0),MATCH(COLUMNS($AD$1006:AF1006),$AD$1006:$AU$1006,0)), HYPERLINK("#",""), HYPERLINK(CONCATENATE("#metadata!", ADDRESS(INDEX($Y$2:$Y$1001,MATCH(ROWS($W$2:W548),$W$2:$W$1001,0),0), INDEX($AD$1004:$AU$1004,1,MATCH(COLUMNS($AD$1006:AF1006),$AD$1006:$AU$1006,0)))),"Fix")))</f>
        <v xml:space="preserve"> </v>
      </c>
      <c r="E548" s="4" t="str">
        <f ca="1">IF(OR(INDEX($X$2:$X$1001,MATCH(ROWS($W$2:W548),$W$2:$W$1001,0),1)&gt;=100000,INDEX($AD$1005:$AU$1005,1,MATCH(COLUMNS($AD$1006:AG1006),$AD$1006:$AU$1006,0))&gt;=100000), " ",IF(INDEX($AD$2:$AU$1001,MATCH(ROWS($W$2:W548),$W$2:$W$1001,0),MATCH(COLUMNS($AD$1006:AG1006),$AD$1006:$AU$1006,0)), HYPERLINK("#",""), HYPERLINK(CONCATENATE("#metadata!", ADDRESS(INDEX($Y$2:$Y$1001,MATCH(ROWS($W$2:W548),$W$2:$W$1001,0),0), INDEX($AD$1004:$AU$1004,1,MATCH(COLUMNS($AD$1006:AG1006),$AD$1006:$AU$1006,0)))),"Fix")))</f>
        <v xml:space="preserve"> </v>
      </c>
      <c r="F548" s="4" t="str">
        <f ca="1">IF(OR(INDEX($X$2:$X$1001,MATCH(ROWS($W$2:W548),$W$2:$W$1001,0),1)&gt;=100000,INDEX($AD$1005:$AU$1005,1,MATCH(COLUMNS($AD$1006:AH1006),$AD$1006:$AU$1006,0))&gt;=100000), " ",IF(INDEX($AD$2:$AU$1001,MATCH(ROWS($W$2:W548),$W$2:$W$1001,0),MATCH(COLUMNS($AD$1006:AH1006),$AD$1006:$AU$1006,0)), HYPERLINK("#",""), HYPERLINK(CONCATENATE("#metadata!", ADDRESS(INDEX($Y$2:$Y$1001,MATCH(ROWS($W$2:W548),$W$2:$W$1001,0),0), INDEX($AD$1004:$AU$1004,1,MATCH(COLUMNS($AD$1006:AH1006),$AD$1006:$AU$1006,0)))),"Fix")))</f>
        <v xml:space="preserve"> </v>
      </c>
      <c r="G548" s="4" t="str">
        <f ca="1">IF(OR(INDEX($X$2:$X$1001,MATCH(ROWS($W$2:W548),$W$2:$W$1001,0),1)&gt;=100000,INDEX($AD$1005:$AU$1005,1,MATCH(COLUMNS($AD$1006:AI1006),$AD$1006:$AU$1006,0))&gt;=100000), " ",IF(INDEX($AD$2:$AU$1001,MATCH(ROWS($W$2:W548),$W$2:$W$1001,0),MATCH(COLUMNS($AD$1006:AI1006),$AD$1006:$AU$1006,0)), HYPERLINK("#",""), HYPERLINK(CONCATENATE("#metadata!", ADDRESS(INDEX($Y$2:$Y$1001,MATCH(ROWS($W$2:W548),$W$2:$W$1001,0),0), INDEX($AD$1004:$AU$1004,1,MATCH(COLUMNS($AD$1006:AI1006),$AD$1006:$AU$1006,0)))),"Fix")))</f>
        <v xml:space="preserve"> </v>
      </c>
      <c r="H548" s="4" t="str">
        <f ca="1">IF(OR(INDEX($X$2:$X$1001,MATCH(ROWS($W$2:W548),$W$2:$W$1001,0),1)&gt;=100000,INDEX($AD$1005:$AU$1005,1,MATCH(COLUMNS($AD$1006:AJ1006),$AD$1006:$AU$1006,0))&gt;=100000), " ",IF(INDEX($AD$2:$AU$1001,MATCH(ROWS($W$2:W548),$W$2:$W$1001,0),MATCH(COLUMNS($AD$1006:AJ1006),$AD$1006:$AU$1006,0)), HYPERLINK("#",""), HYPERLINK(CONCATENATE("#metadata!", ADDRESS(INDEX($Y$2:$Y$1001,MATCH(ROWS($W$2:W548),$W$2:$W$1001,0),0), INDEX($AD$1004:$AU$1004,1,MATCH(COLUMNS($AD$1006:AJ1006),$AD$1006:$AU$1006,0)))),"Fix")))</f>
        <v xml:space="preserve"> </v>
      </c>
      <c r="I548" s="4" t="str">
        <f ca="1">IF(OR(INDEX($X$2:$X$1001,MATCH(ROWS($W$2:W548),$W$2:$W$1001,0),1)&gt;=100000,INDEX($AD$1005:$AU$1005,1,MATCH(COLUMNS($AD$1006:AK1006),$AD$1006:$AU$1006,0))&gt;=100000), " ",IF(INDEX($AD$2:$AU$1001,MATCH(ROWS($W$2:W548),$W$2:$W$1001,0),MATCH(COLUMNS($AD$1006:AK1006),$AD$1006:$AU$1006,0)), HYPERLINK("#",""), HYPERLINK(CONCATENATE("#metadata!", ADDRESS(INDEX($Y$2:$Y$1001,MATCH(ROWS($W$2:W548),$W$2:$W$1001,0),0), INDEX($AD$1004:$AU$1004,1,MATCH(COLUMNS($AD$1006:AK1006),$AD$1006:$AU$1006,0)))),"Fix")))</f>
        <v xml:space="preserve"> </v>
      </c>
      <c r="J548" s="4" t="str">
        <f ca="1">IF(OR(INDEX($X$2:$X$1001,MATCH(ROWS($W$2:W548),$W$2:$W$1001,0),1)&gt;=100000,INDEX($AD$1005:$AU$1005,1,MATCH(COLUMNS($AD$1006:AL1006),$AD$1006:$AU$1006,0))&gt;=100000), " ",IF(INDEX($AD$2:$AU$1001,MATCH(ROWS($W$2:W548),$W$2:$W$1001,0),MATCH(COLUMNS($AD$1006:AL1006),$AD$1006:$AU$1006,0)), HYPERLINK("#",""), HYPERLINK(CONCATENATE("#metadata!", ADDRESS(INDEX($Y$2:$Y$1001,MATCH(ROWS($W$2:W548),$W$2:$W$1001,0),0), INDEX($AD$1004:$AU$1004,1,MATCH(COLUMNS($AD$1006:AL1006),$AD$1006:$AU$1006,0)))),"Fix")))</f>
        <v xml:space="preserve"> </v>
      </c>
      <c r="K548" s="4" t="str">
        <f ca="1">IF(OR(INDEX($X$2:$X$1001,MATCH(ROWS($W$2:W548),$W$2:$W$1001,0),1)&gt;=100000,INDEX($AD$1005:$AU$1005,1,MATCH(COLUMNS($AD$1006:AM1006),$AD$1006:$AU$1006,0))&gt;=100000), " ",IF(INDEX($AD$2:$AU$1001,MATCH(ROWS($W$2:W548),$W$2:$W$1001,0),MATCH(COLUMNS($AD$1006:AM1006),$AD$1006:$AU$1006,0)), HYPERLINK("#",""), HYPERLINK(CONCATENATE("#metadata!", ADDRESS(INDEX($Y$2:$Y$1001,MATCH(ROWS($W$2:W548),$W$2:$W$1001,0),0), INDEX($AD$1004:$AU$1004,1,MATCH(COLUMNS($AD$1006:AM1006),$AD$1006:$AU$1006,0)))),"Fix")))</f>
        <v xml:space="preserve"> </v>
      </c>
      <c r="L548" s="4" t="str">
        <f ca="1">IF(OR(INDEX($X$2:$X$1001,MATCH(ROWS($W$2:W548),$W$2:$W$1001,0),1)&gt;=100000,INDEX($AD$1005:$AU$1005,1,MATCH(COLUMNS($AD$1006:AN1006),$AD$1006:$AU$1006,0))&gt;=100000), " ",IF(INDEX($AD$2:$AU$1001,MATCH(ROWS($W$2:W548),$W$2:$W$1001,0),MATCH(COLUMNS($AD$1006:AN1006),$AD$1006:$AU$1006,0)), HYPERLINK("#",""), HYPERLINK(CONCATENATE("#metadata!", ADDRESS(INDEX($Y$2:$Y$1001,MATCH(ROWS($W$2:W548),$W$2:$W$1001,0),0), INDEX($AD$1004:$AU$1004,1,MATCH(COLUMNS($AD$1006:AN1006),$AD$1006:$AU$1006,0)))),"Fix")))</f>
        <v xml:space="preserve"> </v>
      </c>
      <c r="M548" s="4" t="str">
        <f ca="1">IF(OR(INDEX($X$2:$X$1001,MATCH(ROWS($W$2:W548),$W$2:$W$1001,0),1)&gt;=100000,INDEX($AD$1005:$AU$1005,1,MATCH(COLUMNS($AD$1006:AO1006),$AD$1006:$AU$1006,0))&gt;=100000), " ",IF(INDEX($AD$2:$AU$1001,MATCH(ROWS($W$2:W548),$W$2:$W$1001,0),MATCH(COLUMNS($AD$1006:AO1006),$AD$1006:$AU$1006,0)), HYPERLINK("#",""), HYPERLINK(CONCATENATE("#metadata!", ADDRESS(INDEX($Y$2:$Y$1001,MATCH(ROWS($W$2:W548),$W$2:$W$1001,0),0), INDEX($AD$1004:$AU$1004,1,MATCH(COLUMNS($AD$1006:AO1006),$AD$1006:$AU$1006,0)))),"Fix")))</f>
        <v xml:space="preserve"> </v>
      </c>
      <c r="N548" s="4" t="str">
        <f ca="1">IF(OR(INDEX($X$2:$X$1001,MATCH(ROWS($W$2:W548),$W$2:$W$1001,0),1)&gt;=100000,INDEX($AD$1005:$AU$1005,1,MATCH(COLUMNS($AD$1006:AP1006),$AD$1006:$AU$1006,0))&gt;=100000), " ",IF(INDEX($AD$2:$AU$1001,MATCH(ROWS($W$2:W548),$W$2:$W$1001,0),MATCH(COLUMNS($AD$1006:AP1006),$AD$1006:$AU$1006,0)), HYPERLINK("#",""), HYPERLINK(CONCATENATE("#metadata!", ADDRESS(INDEX($Y$2:$Y$1001,MATCH(ROWS($W$2:W548),$W$2:$W$1001,0),0), INDEX($AD$1004:$AU$1004,1,MATCH(COLUMNS($AD$1006:AP1006),$AD$1006:$AU$1006,0)))),"Fix")))</f>
        <v xml:space="preserve"> </v>
      </c>
      <c r="O548" s="4" t="str">
        <f ca="1">IF(OR(INDEX($X$2:$X$1001,MATCH(ROWS($W$2:W548),$W$2:$W$1001,0),1)&gt;=100000,INDEX($AD$1005:$AU$1005,1,MATCH(COLUMNS($AD$1006:AQ1006),$AD$1006:$AU$1006,0))&gt;=100000), " ",IF(INDEX($AD$2:$AU$1001,MATCH(ROWS($W$2:W548),$W$2:$W$1001,0),MATCH(COLUMNS($AD$1006:AQ1006),$AD$1006:$AU$1006,0)), HYPERLINK("#",""), HYPERLINK(CONCATENATE("#metadata!", ADDRESS(INDEX($Y$2:$Y$1001,MATCH(ROWS($W$2:W548),$W$2:$W$1001,0),0), INDEX($AD$1004:$AU$1004,1,MATCH(COLUMNS($AD$1006:AQ1006),$AD$1006:$AU$1006,0)))),"Fix")))</f>
        <v xml:space="preserve"> </v>
      </c>
      <c r="P548" s="4" t="str">
        <f ca="1">IF(OR(INDEX($X$2:$X$1001,MATCH(ROWS($W$2:W548),$W$2:$W$1001,0),1)&gt;=100000,INDEX($AD$1005:$AU$1005,1,MATCH(COLUMNS($AD$1006:AR1006),$AD$1006:$AU$1006,0))&gt;=100000), " ",IF(INDEX($AD$2:$AU$1001,MATCH(ROWS($W$2:W548),$W$2:$W$1001,0),MATCH(COLUMNS($AD$1006:AR1006),$AD$1006:$AU$1006,0)), HYPERLINK("#",""), HYPERLINK(CONCATENATE("#metadata!", ADDRESS(INDEX($Y$2:$Y$1001,MATCH(ROWS($W$2:W548),$W$2:$W$1001,0),0), INDEX($AD$1004:$AU$1004,1,MATCH(COLUMNS($AD$1006:AR1006),$AD$1006:$AU$1006,0)))),"Fix")))</f>
        <v xml:space="preserve"> </v>
      </c>
      <c r="Q548" s="4" t="str">
        <f ca="1">IF(OR(INDEX($X$2:$X$1001,MATCH(ROWS($W$2:W548),$W$2:$W$1001,0),1)&gt;=100000,INDEX($AD$1005:$AU$1005,1,MATCH(COLUMNS($AD$1006:AS1006),$AD$1006:$AU$1006,0))&gt;=100000), " ",IF(INDEX($AD$2:$AU$1001,MATCH(ROWS($W$2:W548),$W$2:$W$1001,0),MATCH(COLUMNS($AD$1006:AS1006),$AD$1006:$AU$1006,0)), HYPERLINK("#",""), HYPERLINK(CONCATENATE("#metadata!", ADDRESS(INDEX($Y$2:$Y$1001,MATCH(ROWS($W$2:W548),$W$2:$W$1001,0),0), INDEX($AD$1004:$AU$1004,1,MATCH(COLUMNS($AD$1006:AS1006),$AD$1006:$AU$1006,0)))),"Fix")))</f>
        <v xml:space="preserve"> </v>
      </c>
      <c r="R548" s="4" t="str">
        <f ca="1">IF(OR(INDEX($X$2:$X$1001,MATCH(ROWS($W$2:W548),$W$2:$W$1001,0),1)&gt;=100000,INDEX($AD$1005:$AU$1005,1,MATCH(COLUMNS($AD$1006:AT1006),$AD$1006:$AU$1006,0))&gt;=100000), " ",IF(INDEX($AD$2:$AU$1001,MATCH(ROWS($W$2:W548),$W$2:$W$1001,0),MATCH(COLUMNS($AD$1006:AT1006),$AD$1006:$AU$1006,0)), HYPERLINK("#",""), HYPERLINK(CONCATENATE("#metadata!", ADDRESS(INDEX($Y$2:$Y$1001,MATCH(ROWS($W$2:W548),$W$2:$W$1001,0),0), INDEX($AD$1004:$AU$1004,1,MATCH(COLUMNS($AD$1006:AT1006),$AD$1006:$AU$1006,0)))),"Fix")))</f>
        <v xml:space="preserve"> </v>
      </c>
      <c r="S548" s="4" t="str">
        <f ca="1">IF(OR(INDEX($X$2:$X$1001,MATCH(ROWS($W$2:W548),$W$2:$W$1001,0),1)&gt;=100000,INDEX($AD$1005:$AU$1005,1,MATCH(COLUMNS($AD$1006:AU1006),$AD$1006:$AU$1006,0))&gt;=100000), " ",IF(INDEX($AD$2:$AU$1001,MATCH(ROWS($W$2:W548),$W$2:$W$1001,0),MATCH(COLUMNS($AD$1006:AU1006),$AD$1006:$AU$1006,0)), HYPERLINK("#",""), HYPERLINK(CONCATENATE("#metadata!", ADDRESS(INDEX($Y$2:$Y$1001,MATCH(ROWS($W$2:W548),$W$2:$W$1001,0),0), INDEX($AD$1004:$AU$1004,1,MATCH(COLUMNS($AD$1006:AU1006),$AD$1006:$AU$1006,0)))),"Fix")))</f>
        <v xml:space="preserve"> </v>
      </c>
      <c r="W548">
        <v>547</v>
      </c>
      <c r="X548">
        <v>100548</v>
      </c>
      <c r="Y548">
        <v>548</v>
      </c>
      <c r="Z548" t="b">
        <f t="shared" si="8"/>
        <v>1</v>
      </c>
      <c r="AA548" t="b">
        <f>COUNTBLANK(metadata!B548:S548)=COLUMNS(metadata!B548:S548)</f>
        <v>1</v>
      </c>
      <c r="AB548" t="str">
        <v/>
      </c>
      <c r="AD548" t="b">
        <f ca="1">AND(IF(metadata!B548="",FALSE,TRUE),COUNTIF(metadata!B:B, metadata!B548) = 1,NOT(ISERROR(SUMPRODUCT(SEARCH(MID(metadata!B548,ROW(INDIRECT("1:"&amp;LEN(metadata!B548))), 1),"0123456789abcdefghijklmnopqrstuvwxyzABCDEFGHIJKLMNOPQRSTUVWXYZ.")))))</f>
        <v>0</v>
      </c>
      <c r="AE548" t="b">
        <f>OR(AND(IF(metadata!C548="",FALSE,TRUE),OR(EXACT(metadata!C548,"not applicable"),EXACT(metadata!C548,"missing: not collected"),EXACT(metadata!C548,"missing: not provided"),EXACT(metadata!C548,"missing: restricted access"))),AND(IF(metadata!C548="",FALSE,ISNUMBER(VALUE(metadata!C548))),metadata!C548&gt;0))</f>
        <v>0</v>
      </c>
      <c r="AF548" t="b">
        <f>AND(IF(metadata!D548="",FALSE,TRUE),EXACT(metadata!D548,"missing: not provided"))</f>
        <v>0</v>
      </c>
      <c r="AG548" t="b">
        <f>AND(IF(metadata!E548="",FALSE,TRUE),EXACT(metadata!E548,"Host-associated"))</f>
        <v>0</v>
      </c>
      <c r="AH548" t="b">
        <f>AND(IF(metadata!F548="",FALSE,TRUE),OR(EXACT(metadata!F548,"Animal"),EXACT(metadata!F548,"Fungus"),EXACT(metadata!F548,"Plant")))</f>
        <v>0</v>
      </c>
      <c r="AI548" t="b">
        <f>AND(IF(metadata!G548="",FALSE,TRUE),OR(EXACT(metadata!G548,"Plant secretion"),EXACT(metadata!G548,"Plant rhizosphere"),EXACT(metadata!G548,"Plant surface"),EXACT(metadata!G548,"Plant corpus"),EXACT(metadata!G548,"Fungus surface"),EXACT(metadata!G548,"Fungus corpus"),EXACT(metadata!G548,"Animal surface"),EXACT(metadata!G548,"Animal proximal gut"),EXACT(metadata!G548,"Animal corpus"),EXACT(metadata!G548,"Animal distal gut"),EXACT(metadata!G548,"Animal secretion")))</f>
        <v>0</v>
      </c>
      <c r="AJ548" t="b">
        <f>OR(AND(IF(metadata!H548="",FALSE,TRUE),OR(EXACT(metadata!H548,"missing: not collected"),EXACT(metadata!H548,"missing: not provided"),EXACT(metadata!H548,"missing: restricted access"))),AND(IF(metadata!H548="",FALSE,TRUE),OR(EXACT(metadata!H548,"organism-associated habitat"),EXACT(metadata!H548,"plant-associated habitat"),EXACT(metadata!H548,"animal-associated habitat"),EXACT(metadata!H548,"insecta-associated habitat"),EXACT(metadata!H548,"mammalia-associated habitat"),EXACT(metadata!H548,"human-associated habitat"),EXACT(metadata!H548,"livestock-associated habitat"))))</f>
        <v>0</v>
      </c>
      <c r="AK548" t="b">
        <f>AND(IF(metadata!I548="",FALSE,TRUE),EXACT(metadata!I548,"host-associated"))</f>
        <v>0</v>
      </c>
      <c r="AL548" t="b">
        <f>OR(AND(IF(metadata!J548="",FALSE,TRUE),OR(EXACT(metadata!J548,"not applicable"),EXACT(metadata!J548,"missing: not collected"),EXACT(metadata!J548,"missing: not provided"),EXACT(metadata!J548,"missing: restricted access"))),AND(IF(metadata!J548="",FALSE,ISNUMBER(VALUE(metadata!J548))),metadata!J548&gt;0))</f>
        <v>0</v>
      </c>
      <c r="AM548" t="b">
        <f>AND(IF(metadata!K548="",FALSE,TRUE),EXACT(metadata!K548,"missing: not provided"))</f>
        <v>0</v>
      </c>
      <c r="AN548" t="b">
        <f>IF(metadata!L548="",FALSE,TRUE)</f>
        <v>0</v>
      </c>
      <c r="AO548" t="b">
        <f>IF(metadata!M548="",FALSE,TRUE)</f>
        <v>0</v>
      </c>
      <c r="AP548" t="b">
        <f>OR(AND(IF(metadata!N548="",FALSE,TRUE),OR(EXACT(metadata!N548,"not applicable"),EXACT(metadata!N548,"missing: not collected"),EXACT(metadata!N548,"missing: not provided"))),AND(IF(metadata!N548="",FALSE,IF(ISERROR(INT(metadata!N548)),FALSE,INT(metadata!N548)=metadata!N548)),metadata!N548&gt;0))</f>
        <v>0</v>
      </c>
      <c r="AQ548" t="b">
        <f>AND(IF(metadata!O548="",FALSE,TRUE),EXACT(metadata!O548,"Not applicable"))</f>
        <v>0</v>
      </c>
      <c r="AR548" t="b">
        <f>OR(AND(IF(metadata!P548="",FALSE,TRUE),OR(EXACT(metadata!P548,"not applicable"),EXACT(metadata!P548,"missing: not collected"),EXACT(metadata!P548,"missing: not provided"),EXACT(metadata!P548,"missing: restricted access"))),IF(metadata!P548="",FALSE,IF(ISERROR(INT(metadata!P548)),FALSE,INT(metadata!P548)=metadata!P548)))</f>
        <v>0</v>
      </c>
      <c r="AS548" t="b">
        <f>AND(IF(metadata!Q548="",FALSE,TRUE),EXACT(metadata!Q548,"Not applicable"))</f>
        <v>0</v>
      </c>
      <c r="AT548" t="b">
        <f>OR(AND(IF(metadata!R548="",FALSE,TRUE),OR(EXACT(metadata!R548,"not applicable"),EXACT(metadata!R548,"missing: not collected"),EXACT(metadata!R548,"missing: not provided"),EXACT(metadata!R548,"missing: restricted access"))),AND(IF(metadata!R548="",FALSE,ISNUMBER(VALUE(metadata!R548))),metadata!R548&gt;0))</f>
        <v>0</v>
      </c>
      <c r="AU548" t="b">
        <f>AND(IF(metadata!S548="",FALSE,TRUE),EXACT(metadata!S548,"missing: not provided"))</f>
        <v>0</v>
      </c>
    </row>
    <row r="549" spans="1:47" x14ac:dyDescent="0.2">
      <c r="A549" s="5" t="str">
        <f ca="1">IF(B549=" "," ",HYPERLINK(CONCATENATE("#metadata!",ADDRESS(INDEX($Y$2:$Y$1001,MATCH(ROWS($W$2:W549),$W$2:$W$1001,0),0),1)),INDEX($AB$2:$AB$1001,MATCH(ROWS($W$2:W549),$W$2:$W$1001,0),0)))</f>
        <v xml:space="preserve"> </v>
      </c>
      <c r="B549" s="4" t="str">
        <f ca="1">IF(OR(INDEX($X$2:$X$1001,MATCH(ROWS($W$2:W549),$W$2:$W$1001,0),1)&gt;=100000,INDEX($AD$1005:$AU$1005,1,MATCH(COLUMNS($AD$1006:AD1006),$AD$1006:$AU$1006,0))&gt;=100000), " ",IF(INDEX($AD$2:$AU$1001,MATCH(ROWS($W$2:W549),$W$2:$W$1001,0),MATCH(COLUMNS($AD$1006:AD1006),$AD$1006:$AU$1006,0)), HYPERLINK("#",""), HYPERLINK(CONCATENATE("#metadata!", ADDRESS(INDEX($Y$2:$Y$1001,MATCH(ROWS($W$2:W549),$W$2:$W$1001,0),0), INDEX($AD$1004:$AU$1004,1,MATCH(COLUMNS($AD$1006:AD1006),$AD$1006:$AU$1006,0)))),"Fix")))</f>
        <v xml:space="preserve"> </v>
      </c>
      <c r="C549" s="4" t="str">
        <f ca="1">IF(OR(INDEX($X$2:$X$1001,MATCH(ROWS($W$2:W549),$W$2:$W$1001,0),1)&gt;=100000,INDEX($AD$1005:$AU$1005,1,MATCH(COLUMNS($AD$1006:AE1006),$AD$1006:$AU$1006,0))&gt;=100000), " ",IF(INDEX($AD$2:$AU$1001,MATCH(ROWS($W$2:W549),$W$2:$W$1001,0),MATCH(COLUMNS($AD$1006:AE1006),$AD$1006:$AU$1006,0)), HYPERLINK("#",""), HYPERLINK(CONCATENATE("#metadata!", ADDRESS(INDEX($Y$2:$Y$1001,MATCH(ROWS($W$2:W549),$W$2:$W$1001,0),0), INDEX($AD$1004:$AU$1004,1,MATCH(COLUMNS($AD$1006:AE1006),$AD$1006:$AU$1006,0)))),"Fix")))</f>
        <v xml:space="preserve"> </v>
      </c>
      <c r="D549" s="4" t="str">
        <f ca="1">IF(OR(INDEX($X$2:$X$1001,MATCH(ROWS($W$2:W549),$W$2:$W$1001,0),1)&gt;=100000,INDEX($AD$1005:$AU$1005,1,MATCH(COLUMNS($AD$1006:AF1006),$AD$1006:$AU$1006,0))&gt;=100000), " ",IF(INDEX($AD$2:$AU$1001,MATCH(ROWS($W$2:W549),$W$2:$W$1001,0),MATCH(COLUMNS($AD$1006:AF1006),$AD$1006:$AU$1006,0)), HYPERLINK("#",""), HYPERLINK(CONCATENATE("#metadata!", ADDRESS(INDEX($Y$2:$Y$1001,MATCH(ROWS($W$2:W549),$W$2:$W$1001,0),0), INDEX($AD$1004:$AU$1004,1,MATCH(COLUMNS($AD$1006:AF1006),$AD$1006:$AU$1006,0)))),"Fix")))</f>
        <v xml:space="preserve"> </v>
      </c>
      <c r="E549" s="4" t="str">
        <f ca="1">IF(OR(INDEX($X$2:$X$1001,MATCH(ROWS($W$2:W549),$W$2:$W$1001,0),1)&gt;=100000,INDEX($AD$1005:$AU$1005,1,MATCH(COLUMNS($AD$1006:AG1006),$AD$1006:$AU$1006,0))&gt;=100000), " ",IF(INDEX($AD$2:$AU$1001,MATCH(ROWS($W$2:W549),$W$2:$W$1001,0),MATCH(COLUMNS($AD$1006:AG1006),$AD$1006:$AU$1006,0)), HYPERLINK("#",""), HYPERLINK(CONCATENATE("#metadata!", ADDRESS(INDEX($Y$2:$Y$1001,MATCH(ROWS($W$2:W549),$W$2:$W$1001,0),0), INDEX($AD$1004:$AU$1004,1,MATCH(COLUMNS($AD$1006:AG1006),$AD$1006:$AU$1006,0)))),"Fix")))</f>
        <v xml:space="preserve"> </v>
      </c>
      <c r="F549" s="4" t="str">
        <f ca="1">IF(OR(INDEX($X$2:$X$1001,MATCH(ROWS($W$2:W549),$W$2:$W$1001,0),1)&gt;=100000,INDEX($AD$1005:$AU$1005,1,MATCH(COLUMNS($AD$1006:AH1006),$AD$1006:$AU$1006,0))&gt;=100000), " ",IF(INDEX($AD$2:$AU$1001,MATCH(ROWS($W$2:W549),$W$2:$W$1001,0),MATCH(COLUMNS($AD$1006:AH1006),$AD$1006:$AU$1006,0)), HYPERLINK("#",""), HYPERLINK(CONCATENATE("#metadata!", ADDRESS(INDEX($Y$2:$Y$1001,MATCH(ROWS($W$2:W549),$W$2:$W$1001,0),0), INDEX($AD$1004:$AU$1004,1,MATCH(COLUMNS($AD$1006:AH1006),$AD$1006:$AU$1006,0)))),"Fix")))</f>
        <v xml:space="preserve"> </v>
      </c>
      <c r="G549" s="4" t="str">
        <f ca="1">IF(OR(INDEX($X$2:$X$1001,MATCH(ROWS($W$2:W549),$W$2:$W$1001,0),1)&gt;=100000,INDEX($AD$1005:$AU$1005,1,MATCH(COLUMNS($AD$1006:AI1006),$AD$1006:$AU$1006,0))&gt;=100000), " ",IF(INDEX($AD$2:$AU$1001,MATCH(ROWS($W$2:W549),$W$2:$W$1001,0),MATCH(COLUMNS($AD$1006:AI1006),$AD$1006:$AU$1006,0)), HYPERLINK("#",""), HYPERLINK(CONCATENATE("#metadata!", ADDRESS(INDEX($Y$2:$Y$1001,MATCH(ROWS($W$2:W549),$W$2:$W$1001,0),0), INDEX($AD$1004:$AU$1004,1,MATCH(COLUMNS($AD$1006:AI1006),$AD$1006:$AU$1006,0)))),"Fix")))</f>
        <v xml:space="preserve"> </v>
      </c>
      <c r="H549" s="4" t="str">
        <f ca="1">IF(OR(INDEX($X$2:$X$1001,MATCH(ROWS($W$2:W549),$W$2:$W$1001,0),1)&gt;=100000,INDEX($AD$1005:$AU$1005,1,MATCH(COLUMNS($AD$1006:AJ1006),$AD$1006:$AU$1006,0))&gt;=100000), " ",IF(INDEX($AD$2:$AU$1001,MATCH(ROWS($W$2:W549),$W$2:$W$1001,0),MATCH(COLUMNS($AD$1006:AJ1006),$AD$1006:$AU$1006,0)), HYPERLINK("#",""), HYPERLINK(CONCATENATE("#metadata!", ADDRESS(INDEX($Y$2:$Y$1001,MATCH(ROWS($W$2:W549),$W$2:$W$1001,0),0), INDEX($AD$1004:$AU$1004,1,MATCH(COLUMNS($AD$1006:AJ1006),$AD$1006:$AU$1006,0)))),"Fix")))</f>
        <v xml:space="preserve"> </v>
      </c>
      <c r="I549" s="4" t="str">
        <f ca="1">IF(OR(INDEX($X$2:$X$1001,MATCH(ROWS($W$2:W549),$W$2:$W$1001,0),1)&gt;=100000,INDEX($AD$1005:$AU$1005,1,MATCH(COLUMNS($AD$1006:AK1006),$AD$1006:$AU$1006,0))&gt;=100000), " ",IF(INDEX($AD$2:$AU$1001,MATCH(ROWS($W$2:W549),$W$2:$W$1001,0),MATCH(COLUMNS($AD$1006:AK1006),$AD$1006:$AU$1006,0)), HYPERLINK("#",""), HYPERLINK(CONCATENATE("#metadata!", ADDRESS(INDEX($Y$2:$Y$1001,MATCH(ROWS($W$2:W549),$W$2:$W$1001,0),0), INDEX($AD$1004:$AU$1004,1,MATCH(COLUMNS($AD$1006:AK1006),$AD$1006:$AU$1006,0)))),"Fix")))</f>
        <v xml:space="preserve"> </v>
      </c>
      <c r="J549" s="4" t="str">
        <f ca="1">IF(OR(INDEX($X$2:$X$1001,MATCH(ROWS($W$2:W549),$W$2:$W$1001,0),1)&gt;=100000,INDEX($AD$1005:$AU$1005,1,MATCH(COLUMNS($AD$1006:AL1006),$AD$1006:$AU$1006,0))&gt;=100000), " ",IF(INDEX($AD$2:$AU$1001,MATCH(ROWS($W$2:W549),$W$2:$W$1001,0),MATCH(COLUMNS($AD$1006:AL1006),$AD$1006:$AU$1006,0)), HYPERLINK("#",""), HYPERLINK(CONCATENATE("#metadata!", ADDRESS(INDEX($Y$2:$Y$1001,MATCH(ROWS($W$2:W549),$W$2:$W$1001,0),0), INDEX($AD$1004:$AU$1004,1,MATCH(COLUMNS($AD$1006:AL1006),$AD$1006:$AU$1006,0)))),"Fix")))</f>
        <v xml:space="preserve"> </v>
      </c>
      <c r="K549" s="4" t="str">
        <f ca="1">IF(OR(INDEX($X$2:$X$1001,MATCH(ROWS($W$2:W549),$W$2:$W$1001,0),1)&gt;=100000,INDEX($AD$1005:$AU$1005,1,MATCH(COLUMNS($AD$1006:AM1006),$AD$1006:$AU$1006,0))&gt;=100000), " ",IF(INDEX($AD$2:$AU$1001,MATCH(ROWS($W$2:W549),$W$2:$W$1001,0),MATCH(COLUMNS($AD$1006:AM1006),$AD$1006:$AU$1006,0)), HYPERLINK("#",""), HYPERLINK(CONCATENATE("#metadata!", ADDRESS(INDEX($Y$2:$Y$1001,MATCH(ROWS($W$2:W549),$W$2:$W$1001,0),0), INDEX($AD$1004:$AU$1004,1,MATCH(COLUMNS($AD$1006:AM1006),$AD$1006:$AU$1006,0)))),"Fix")))</f>
        <v xml:space="preserve"> </v>
      </c>
      <c r="L549" s="4" t="str">
        <f ca="1">IF(OR(INDEX($X$2:$X$1001,MATCH(ROWS($W$2:W549),$W$2:$W$1001,0),1)&gt;=100000,INDEX($AD$1005:$AU$1005,1,MATCH(COLUMNS($AD$1006:AN1006),$AD$1006:$AU$1006,0))&gt;=100000), " ",IF(INDEX($AD$2:$AU$1001,MATCH(ROWS($W$2:W549),$W$2:$W$1001,0),MATCH(COLUMNS($AD$1006:AN1006),$AD$1006:$AU$1006,0)), HYPERLINK("#",""), HYPERLINK(CONCATENATE("#metadata!", ADDRESS(INDEX($Y$2:$Y$1001,MATCH(ROWS($W$2:W549),$W$2:$W$1001,0),0), INDEX($AD$1004:$AU$1004,1,MATCH(COLUMNS($AD$1006:AN1006),$AD$1006:$AU$1006,0)))),"Fix")))</f>
        <v xml:space="preserve"> </v>
      </c>
      <c r="M549" s="4" t="str">
        <f ca="1">IF(OR(INDEX($X$2:$X$1001,MATCH(ROWS($W$2:W549),$W$2:$W$1001,0),1)&gt;=100000,INDEX($AD$1005:$AU$1005,1,MATCH(COLUMNS($AD$1006:AO1006),$AD$1006:$AU$1006,0))&gt;=100000), " ",IF(INDEX($AD$2:$AU$1001,MATCH(ROWS($W$2:W549),$W$2:$W$1001,0),MATCH(COLUMNS($AD$1006:AO1006),$AD$1006:$AU$1006,0)), HYPERLINK("#",""), HYPERLINK(CONCATENATE("#metadata!", ADDRESS(INDEX($Y$2:$Y$1001,MATCH(ROWS($W$2:W549),$W$2:$W$1001,0),0), INDEX($AD$1004:$AU$1004,1,MATCH(COLUMNS($AD$1006:AO1006),$AD$1006:$AU$1006,0)))),"Fix")))</f>
        <v xml:space="preserve"> </v>
      </c>
      <c r="N549" s="4" t="str">
        <f ca="1">IF(OR(INDEX($X$2:$X$1001,MATCH(ROWS($W$2:W549),$W$2:$W$1001,0),1)&gt;=100000,INDEX($AD$1005:$AU$1005,1,MATCH(COLUMNS($AD$1006:AP1006),$AD$1006:$AU$1006,0))&gt;=100000), " ",IF(INDEX($AD$2:$AU$1001,MATCH(ROWS($W$2:W549),$W$2:$W$1001,0),MATCH(COLUMNS($AD$1006:AP1006),$AD$1006:$AU$1006,0)), HYPERLINK("#",""), HYPERLINK(CONCATENATE("#metadata!", ADDRESS(INDEX($Y$2:$Y$1001,MATCH(ROWS($W$2:W549),$W$2:$W$1001,0),0), INDEX($AD$1004:$AU$1004,1,MATCH(COLUMNS($AD$1006:AP1006),$AD$1006:$AU$1006,0)))),"Fix")))</f>
        <v xml:space="preserve"> </v>
      </c>
      <c r="O549" s="4" t="str">
        <f ca="1">IF(OR(INDEX($X$2:$X$1001,MATCH(ROWS($W$2:W549),$W$2:$W$1001,0),1)&gt;=100000,INDEX($AD$1005:$AU$1005,1,MATCH(COLUMNS($AD$1006:AQ1006),$AD$1006:$AU$1006,0))&gt;=100000), " ",IF(INDEX($AD$2:$AU$1001,MATCH(ROWS($W$2:W549),$W$2:$W$1001,0),MATCH(COLUMNS($AD$1006:AQ1006),$AD$1006:$AU$1006,0)), HYPERLINK("#",""), HYPERLINK(CONCATENATE("#metadata!", ADDRESS(INDEX($Y$2:$Y$1001,MATCH(ROWS($W$2:W549),$W$2:$W$1001,0),0), INDEX($AD$1004:$AU$1004,1,MATCH(COLUMNS($AD$1006:AQ1006),$AD$1006:$AU$1006,0)))),"Fix")))</f>
        <v xml:space="preserve"> </v>
      </c>
      <c r="P549" s="4" t="str">
        <f ca="1">IF(OR(INDEX($X$2:$X$1001,MATCH(ROWS($W$2:W549),$W$2:$W$1001,0),1)&gt;=100000,INDEX($AD$1005:$AU$1005,1,MATCH(COLUMNS($AD$1006:AR1006),$AD$1006:$AU$1006,0))&gt;=100000), " ",IF(INDEX($AD$2:$AU$1001,MATCH(ROWS($W$2:W549),$W$2:$W$1001,0),MATCH(COLUMNS($AD$1006:AR1006),$AD$1006:$AU$1006,0)), HYPERLINK("#",""), HYPERLINK(CONCATENATE("#metadata!", ADDRESS(INDEX($Y$2:$Y$1001,MATCH(ROWS($W$2:W549),$W$2:$W$1001,0),0), INDEX($AD$1004:$AU$1004,1,MATCH(COLUMNS($AD$1006:AR1006),$AD$1006:$AU$1006,0)))),"Fix")))</f>
        <v xml:space="preserve"> </v>
      </c>
      <c r="Q549" s="4" t="str">
        <f ca="1">IF(OR(INDEX($X$2:$X$1001,MATCH(ROWS($W$2:W549),$W$2:$W$1001,0),1)&gt;=100000,INDEX($AD$1005:$AU$1005,1,MATCH(COLUMNS($AD$1006:AS1006),$AD$1006:$AU$1006,0))&gt;=100000), " ",IF(INDEX($AD$2:$AU$1001,MATCH(ROWS($W$2:W549),$W$2:$W$1001,0),MATCH(COLUMNS($AD$1006:AS1006),$AD$1006:$AU$1006,0)), HYPERLINK("#",""), HYPERLINK(CONCATENATE("#metadata!", ADDRESS(INDEX($Y$2:$Y$1001,MATCH(ROWS($W$2:W549),$W$2:$W$1001,0),0), INDEX($AD$1004:$AU$1004,1,MATCH(COLUMNS($AD$1006:AS1006),$AD$1006:$AU$1006,0)))),"Fix")))</f>
        <v xml:space="preserve"> </v>
      </c>
      <c r="R549" s="4" t="str">
        <f ca="1">IF(OR(INDEX($X$2:$X$1001,MATCH(ROWS($W$2:W549),$W$2:$W$1001,0),1)&gt;=100000,INDEX($AD$1005:$AU$1005,1,MATCH(COLUMNS($AD$1006:AT1006),$AD$1006:$AU$1006,0))&gt;=100000), " ",IF(INDEX($AD$2:$AU$1001,MATCH(ROWS($W$2:W549),$W$2:$W$1001,0),MATCH(COLUMNS($AD$1006:AT1006),$AD$1006:$AU$1006,0)), HYPERLINK("#",""), HYPERLINK(CONCATENATE("#metadata!", ADDRESS(INDEX($Y$2:$Y$1001,MATCH(ROWS($W$2:W549),$W$2:$W$1001,0),0), INDEX($AD$1004:$AU$1004,1,MATCH(COLUMNS($AD$1006:AT1006),$AD$1006:$AU$1006,0)))),"Fix")))</f>
        <v xml:space="preserve"> </v>
      </c>
      <c r="S549" s="4" t="str">
        <f ca="1">IF(OR(INDEX($X$2:$X$1001,MATCH(ROWS($W$2:W549),$W$2:$W$1001,0),1)&gt;=100000,INDEX($AD$1005:$AU$1005,1,MATCH(COLUMNS($AD$1006:AU1006),$AD$1006:$AU$1006,0))&gt;=100000), " ",IF(INDEX($AD$2:$AU$1001,MATCH(ROWS($W$2:W549),$W$2:$W$1001,0),MATCH(COLUMNS($AD$1006:AU1006),$AD$1006:$AU$1006,0)), HYPERLINK("#",""), HYPERLINK(CONCATENATE("#metadata!", ADDRESS(INDEX($Y$2:$Y$1001,MATCH(ROWS($W$2:W549),$W$2:$W$1001,0),0), INDEX($AD$1004:$AU$1004,1,MATCH(COLUMNS($AD$1006:AU1006),$AD$1006:$AU$1006,0)))),"Fix")))</f>
        <v xml:space="preserve"> </v>
      </c>
      <c r="W549">
        <v>548</v>
      </c>
      <c r="X549">
        <v>100549</v>
      </c>
      <c r="Y549">
        <v>549</v>
      </c>
      <c r="Z549" t="b">
        <f t="shared" si="8"/>
        <v>1</v>
      </c>
      <c r="AA549" t="b">
        <f>COUNTBLANK(metadata!B549:S549)=COLUMNS(metadata!B549:S549)</f>
        <v>1</v>
      </c>
      <c r="AB549" t="str">
        <v/>
      </c>
      <c r="AD549" t="b">
        <f ca="1">AND(IF(metadata!B549="",FALSE,TRUE),COUNTIF(metadata!B:B, metadata!B549) = 1,NOT(ISERROR(SUMPRODUCT(SEARCH(MID(metadata!B549,ROW(INDIRECT("1:"&amp;LEN(metadata!B549))), 1),"0123456789abcdefghijklmnopqrstuvwxyzABCDEFGHIJKLMNOPQRSTUVWXYZ.")))))</f>
        <v>0</v>
      </c>
      <c r="AE549" t="b">
        <f>OR(AND(IF(metadata!C549="",FALSE,TRUE),OR(EXACT(metadata!C549,"not applicable"),EXACT(metadata!C549,"missing: not collected"),EXACT(metadata!C549,"missing: not provided"),EXACT(metadata!C549,"missing: restricted access"))),AND(IF(metadata!C549="",FALSE,ISNUMBER(VALUE(metadata!C549))),metadata!C549&gt;0))</f>
        <v>0</v>
      </c>
      <c r="AF549" t="b">
        <f>AND(IF(metadata!D549="",FALSE,TRUE),EXACT(metadata!D549,"missing: not provided"))</f>
        <v>0</v>
      </c>
      <c r="AG549" t="b">
        <f>AND(IF(metadata!E549="",FALSE,TRUE),EXACT(metadata!E549,"Host-associated"))</f>
        <v>0</v>
      </c>
      <c r="AH549" t="b">
        <f>AND(IF(metadata!F549="",FALSE,TRUE),OR(EXACT(metadata!F549,"Animal"),EXACT(metadata!F549,"Fungus"),EXACT(metadata!F549,"Plant")))</f>
        <v>0</v>
      </c>
      <c r="AI549" t="b">
        <f>AND(IF(metadata!G549="",FALSE,TRUE),OR(EXACT(metadata!G549,"Plant secretion"),EXACT(metadata!G549,"Plant rhizosphere"),EXACT(metadata!G549,"Plant surface"),EXACT(metadata!G549,"Plant corpus"),EXACT(metadata!G549,"Fungus surface"),EXACT(metadata!G549,"Fungus corpus"),EXACT(metadata!G549,"Animal surface"),EXACT(metadata!G549,"Animal proximal gut"),EXACT(metadata!G549,"Animal corpus"),EXACT(metadata!G549,"Animal distal gut"),EXACT(metadata!G549,"Animal secretion")))</f>
        <v>0</v>
      </c>
      <c r="AJ549" t="b">
        <f>OR(AND(IF(metadata!H549="",FALSE,TRUE),OR(EXACT(metadata!H549,"missing: not collected"),EXACT(metadata!H549,"missing: not provided"),EXACT(metadata!H549,"missing: restricted access"))),AND(IF(metadata!H549="",FALSE,TRUE),OR(EXACT(metadata!H549,"organism-associated habitat"),EXACT(metadata!H549,"plant-associated habitat"),EXACT(metadata!H549,"animal-associated habitat"),EXACT(metadata!H549,"insecta-associated habitat"),EXACT(metadata!H549,"mammalia-associated habitat"),EXACT(metadata!H549,"human-associated habitat"),EXACT(metadata!H549,"livestock-associated habitat"))))</f>
        <v>0</v>
      </c>
      <c r="AK549" t="b">
        <f>AND(IF(metadata!I549="",FALSE,TRUE),EXACT(metadata!I549,"host-associated"))</f>
        <v>0</v>
      </c>
      <c r="AL549" t="b">
        <f>OR(AND(IF(metadata!J549="",FALSE,TRUE),OR(EXACT(metadata!J549,"not applicable"),EXACT(metadata!J549,"missing: not collected"),EXACT(metadata!J549,"missing: not provided"),EXACT(metadata!J549,"missing: restricted access"))),AND(IF(metadata!J549="",FALSE,ISNUMBER(VALUE(metadata!J549))),metadata!J549&gt;0))</f>
        <v>0</v>
      </c>
      <c r="AM549" t="b">
        <f>AND(IF(metadata!K549="",FALSE,TRUE),EXACT(metadata!K549,"missing: not provided"))</f>
        <v>0</v>
      </c>
      <c r="AN549" t="b">
        <f>IF(metadata!L549="",FALSE,TRUE)</f>
        <v>0</v>
      </c>
      <c r="AO549" t="b">
        <f>IF(metadata!M549="",FALSE,TRUE)</f>
        <v>0</v>
      </c>
      <c r="AP549" t="b">
        <f>OR(AND(IF(metadata!N549="",FALSE,TRUE),OR(EXACT(metadata!N549,"not applicable"),EXACT(metadata!N549,"missing: not collected"),EXACT(metadata!N549,"missing: not provided"))),AND(IF(metadata!N549="",FALSE,IF(ISERROR(INT(metadata!N549)),FALSE,INT(metadata!N549)=metadata!N549)),metadata!N549&gt;0))</f>
        <v>0</v>
      </c>
      <c r="AQ549" t="b">
        <f>AND(IF(metadata!O549="",FALSE,TRUE),EXACT(metadata!O549,"Not applicable"))</f>
        <v>0</v>
      </c>
      <c r="AR549" t="b">
        <f>OR(AND(IF(metadata!P549="",FALSE,TRUE),OR(EXACT(metadata!P549,"not applicable"),EXACT(metadata!P549,"missing: not collected"),EXACT(metadata!P549,"missing: not provided"),EXACT(metadata!P549,"missing: restricted access"))),IF(metadata!P549="",FALSE,IF(ISERROR(INT(metadata!P549)),FALSE,INT(metadata!P549)=metadata!P549)))</f>
        <v>0</v>
      </c>
      <c r="AS549" t="b">
        <f>AND(IF(metadata!Q549="",FALSE,TRUE),EXACT(metadata!Q549,"Not applicable"))</f>
        <v>0</v>
      </c>
      <c r="AT549" t="b">
        <f>OR(AND(IF(metadata!R549="",FALSE,TRUE),OR(EXACT(metadata!R549,"not applicable"),EXACT(metadata!R549,"missing: not collected"),EXACT(metadata!R549,"missing: not provided"),EXACT(metadata!R549,"missing: restricted access"))),AND(IF(metadata!R549="",FALSE,ISNUMBER(VALUE(metadata!R549))),metadata!R549&gt;0))</f>
        <v>0</v>
      </c>
      <c r="AU549" t="b">
        <f>AND(IF(metadata!S549="",FALSE,TRUE),EXACT(metadata!S549,"missing: not provided"))</f>
        <v>0</v>
      </c>
    </row>
    <row r="550" spans="1:47" x14ac:dyDescent="0.2">
      <c r="A550" s="5" t="str">
        <f ca="1">IF(B550=" "," ",HYPERLINK(CONCATENATE("#metadata!",ADDRESS(INDEX($Y$2:$Y$1001,MATCH(ROWS($W$2:W550),$W$2:$W$1001,0),0),1)),INDEX($AB$2:$AB$1001,MATCH(ROWS($W$2:W550),$W$2:$W$1001,0),0)))</f>
        <v xml:space="preserve"> </v>
      </c>
      <c r="B550" s="4" t="str">
        <f ca="1">IF(OR(INDEX($X$2:$X$1001,MATCH(ROWS($W$2:W550),$W$2:$W$1001,0),1)&gt;=100000,INDEX($AD$1005:$AU$1005,1,MATCH(COLUMNS($AD$1006:AD1006),$AD$1006:$AU$1006,0))&gt;=100000), " ",IF(INDEX($AD$2:$AU$1001,MATCH(ROWS($W$2:W550),$W$2:$W$1001,0),MATCH(COLUMNS($AD$1006:AD1006),$AD$1006:$AU$1006,0)), HYPERLINK("#",""), HYPERLINK(CONCATENATE("#metadata!", ADDRESS(INDEX($Y$2:$Y$1001,MATCH(ROWS($W$2:W550),$W$2:$W$1001,0),0), INDEX($AD$1004:$AU$1004,1,MATCH(COLUMNS($AD$1006:AD1006),$AD$1006:$AU$1006,0)))),"Fix")))</f>
        <v xml:space="preserve"> </v>
      </c>
      <c r="C550" s="4" t="str">
        <f ca="1">IF(OR(INDEX($X$2:$X$1001,MATCH(ROWS($W$2:W550),$W$2:$W$1001,0),1)&gt;=100000,INDEX($AD$1005:$AU$1005,1,MATCH(COLUMNS($AD$1006:AE1006),$AD$1006:$AU$1006,0))&gt;=100000), " ",IF(INDEX($AD$2:$AU$1001,MATCH(ROWS($W$2:W550),$W$2:$W$1001,0),MATCH(COLUMNS($AD$1006:AE1006),$AD$1006:$AU$1006,0)), HYPERLINK("#",""), HYPERLINK(CONCATENATE("#metadata!", ADDRESS(INDEX($Y$2:$Y$1001,MATCH(ROWS($W$2:W550),$W$2:$W$1001,0),0), INDEX($AD$1004:$AU$1004,1,MATCH(COLUMNS($AD$1006:AE1006),$AD$1006:$AU$1006,0)))),"Fix")))</f>
        <v xml:space="preserve"> </v>
      </c>
      <c r="D550" s="4" t="str">
        <f ca="1">IF(OR(INDEX($X$2:$X$1001,MATCH(ROWS($W$2:W550),$W$2:$W$1001,0),1)&gt;=100000,INDEX($AD$1005:$AU$1005,1,MATCH(COLUMNS($AD$1006:AF1006),$AD$1006:$AU$1006,0))&gt;=100000), " ",IF(INDEX($AD$2:$AU$1001,MATCH(ROWS($W$2:W550),$W$2:$W$1001,0),MATCH(COLUMNS($AD$1006:AF1006),$AD$1006:$AU$1006,0)), HYPERLINK("#",""), HYPERLINK(CONCATENATE("#metadata!", ADDRESS(INDEX($Y$2:$Y$1001,MATCH(ROWS($W$2:W550),$W$2:$W$1001,0),0), INDEX($AD$1004:$AU$1004,1,MATCH(COLUMNS($AD$1006:AF1006),$AD$1006:$AU$1006,0)))),"Fix")))</f>
        <v xml:space="preserve"> </v>
      </c>
      <c r="E550" s="4" t="str">
        <f ca="1">IF(OR(INDEX($X$2:$X$1001,MATCH(ROWS($W$2:W550),$W$2:$W$1001,0),1)&gt;=100000,INDEX($AD$1005:$AU$1005,1,MATCH(COLUMNS($AD$1006:AG1006),$AD$1006:$AU$1006,0))&gt;=100000), " ",IF(INDEX($AD$2:$AU$1001,MATCH(ROWS($W$2:W550),$W$2:$W$1001,0),MATCH(COLUMNS($AD$1006:AG1006),$AD$1006:$AU$1006,0)), HYPERLINK("#",""), HYPERLINK(CONCATENATE("#metadata!", ADDRESS(INDEX($Y$2:$Y$1001,MATCH(ROWS($W$2:W550),$W$2:$W$1001,0),0), INDEX($AD$1004:$AU$1004,1,MATCH(COLUMNS($AD$1006:AG1006),$AD$1006:$AU$1006,0)))),"Fix")))</f>
        <v xml:space="preserve"> </v>
      </c>
      <c r="F550" s="4" t="str">
        <f ca="1">IF(OR(INDEX($X$2:$X$1001,MATCH(ROWS($W$2:W550),$W$2:$W$1001,0),1)&gt;=100000,INDEX($AD$1005:$AU$1005,1,MATCH(COLUMNS($AD$1006:AH1006),$AD$1006:$AU$1006,0))&gt;=100000), " ",IF(INDEX($AD$2:$AU$1001,MATCH(ROWS($W$2:W550),$W$2:$W$1001,0),MATCH(COLUMNS($AD$1006:AH1006),$AD$1006:$AU$1006,0)), HYPERLINK("#",""), HYPERLINK(CONCATENATE("#metadata!", ADDRESS(INDEX($Y$2:$Y$1001,MATCH(ROWS($W$2:W550),$W$2:$W$1001,0),0), INDEX($AD$1004:$AU$1004,1,MATCH(COLUMNS($AD$1006:AH1006),$AD$1006:$AU$1006,0)))),"Fix")))</f>
        <v xml:space="preserve"> </v>
      </c>
      <c r="G550" s="4" t="str">
        <f ca="1">IF(OR(INDEX($X$2:$X$1001,MATCH(ROWS($W$2:W550),$W$2:$W$1001,0),1)&gt;=100000,INDEX($AD$1005:$AU$1005,1,MATCH(COLUMNS($AD$1006:AI1006),$AD$1006:$AU$1006,0))&gt;=100000), " ",IF(INDEX($AD$2:$AU$1001,MATCH(ROWS($W$2:W550),$W$2:$W$1001,0),MATCH(COLUMNS($AD$1006:AI1006),$AD$1006:$AU$1006,0)), HYPERLINK("#",""), HYPERLINK(CONCATENATE("#metadata!", ADDRESS(INDEX($Y$2:$Y$1001,MATCH(ROWS($W$2:W550),$W$2:$W$1001,0),0), INDEX($AD$1004:$AU$1004,1,MATCH(COLUMNS($AD$1006:AI1006),$AD$1006:$AU$1006,0)))),"Fix")))</f>
        <v xml:space="preserve"> </v>
      </c>
      <c r="H550" s="4" t="str">
        <f ca="1">IF(OR(INDEX($X$2:$X$1001,MATCH(ROWS($W$2:W550),$W$2:$W$1001,0),1)&gt;=100000,INDEX($AD$1005:$AU$1005,1,MATCH(COLUMNS($AD$1006:AJ1006),$AD$1006:$AU$1006,0))&gt;=100000), " ",IF(INDEX($AD$2:$AU$1001,MATCH(ROWS($W$2:W550),$W$2:$W$1001,0),MATCH(COLUMNS($AD$1006:AJ1006),$AD$1006:$AU$1006,0)), HYPERLINK("#",""), HYPERLINK(CONCATENATE("#metadata!", ADDRESS(INDEX($Y$2:$Y$1001,MATCH(ROWS($W$2:W550),$W$2:$W$1001,0),0), INDEX($AD$1004:$AU$1004,1,MATCH(COLUMNS($AD$1006:AJ1006),$AD$1006:$AU$1006,0)))),"Fix")))</f>
        <v xml:space="preserve"> </v>
      </c>
      <c r="I550" s="4" t="str">
        <f ca="1">IF(OR(INDEX($X$2:$X$1001,MATCH(ROWS($W$2:W550),$W$2:$W$1001,0),1)&gt;=100000,INDEX($AD$1005:$AU$1005,1,MATCH(COLUMNS($AD$1006:AK1006),$AD$1006:$AU$1006,0))&gt;=100000), " ",IF(INDEX($AD$2:$AU$1001,MATCH(ROWS($W$2:W550),$W$2:$W$1001,0),MATCH(COLUMNS($AD$1006:AK1006),$AD$1006:$AU$1006,0)), HYPERLINK("#",""), HYPERLINK(CONCATENATE("#metadata!", ADDRESS(INDEX($Y$2:$Y$1001,MATCH(ROWS($W$2:W550),$W$2:$W$1001,0),0), INDEX($AD$1004:$AU$1004,1,MATCH(COLUMNS($AD$1006:AK1006),$AD$1006:$AU$1006,0)))),"Fix")))</f>
        <v xml:space="preserve"> </v>
      </c>
      <c r="J550" s="4" t="str">
        <f ca="1">IF(OR(INDEX($X$2:$X$1001,MATCH(ROWS($W$2:W550),$W$2:$W$1001,0),1)&gt;=100000,INDEX($AD$1005:$AU$1005,1,MATCH(COLUMNS($AD$1006:AL1006),$AD$1006:$AU$1006,0))&gt;=100000), " ",IF(INDEX($AD$2:$AU$1001,MATCH(ROWS($W$2:W550),$W$2:$W$1001,0),MATCH(COLUMNS($AD$1006:AL1006),$AD$1006:$AU$1006,0)), HYPERLINK("#",""), HYPERLINK(CONCATENATE("#metadata!", ADDRESS(INDEX($Y$2:$Y$1001,MATCH(ROWS($W$2:W550),$W$2:$W$1001,0),0), INDEX($AD$1004:$AU$1004,1,MATCH(COLUMNS($AD$1006:AL1006),$AD$1006:$AU$1006,0)))),"Fix")))</f>
        <v xml:space="preserve"> </v>
      </c>
      <c r="K550" s="4" t="str">
        <f ca="1">IF(OR(INDEX($X$2:$X$1001,MATCH(ROWS($W$2:W550),$W$2:$W$1001,0),1)&gt;=100000,INDEX($AD$1005:$AU$1005,1,MATCH(COLUMNS($AD$1006:AM1006),$AD$1006:$AU$1006,0))&gt;=100000), " ",IF(INDEX($AD$2:$AU$1001,MATCH(ROWS($W$2:W550),$W$2:$W$1001,0),MATCH(COLUMNS($AD$1006:AM1006),$AD$1006:$AU$1006,0)), HYPERLINK("#",""), HYPERLINK(CONCATENATE("#metadata!", ADDRESS(INDEX($Y$2:$Y$1001,MATCH(ROWS($W$2:W550),$W$2:$W$1001,0),0), INDEX($AD$1004:$AU$1004,1,MATCH(COLUMNS($AD$1006:AM1006),$AD$1006:$AU$1006,0)))),"Fix")))</f>
        <v xml:space="preserve"> </v>
      </c>
      <c r="L550" s="4" t="str">
        <f ca="1">IF(OR(INDEX($X$2:$X$1001,MATCH(ROWS($W$2:W550),$W$2:$W$1001,0),1)&gt;=100000,INDEX($AD$1005:$AU$1005,1,MATCH(COLUMNS($AD$1006:AN1006),$AD$1006:$AU$1006,0))&gt;=100000), " ",IF(INDEX($AD$2:$AU$1001,MATCH(ROWS($W$2:W550),$W$2:$W$1001,0),MATCH(COLUMNS($AD$1006:AN1006),$AD$1006:$AU$1006,0)), HYPERLINK("#",""), HYPERLINK(CONCATENATE("#metadata!", ADDRESS(INDEX($Y$2:$Y$1001,MATCH(ROWS($W$2:W550),$W$2:$W$1001,0),0), INDEX($AD$1004:$AU$1004,1,MATCH(COLUMNS($AD$1006:AN1006),$AD$1006:$AU$1006,0)))),"Fix")))</f>
        <v xml:space="preserve"> </v>
      </c>
      <c r="M550" s="4" t="str">
        <f ca="1">IF(OR(INDEX($X$2:$X$1001,MATCH(ROWS($W$2:W550),$W$2:$W$1001,0),1)&gt;=100000,INDEX($AD$1005:$AU$1005,1,MATCH(COLUMNS($AD$1006:AO1006),$AD$1006:$AU$1006,0))&gt;=100000), " ",IF(INDEX($AD$2:$AU$1001,MATCH(ROWS($W$2:W550),$W$2:$W$1001,0),MATCH(COLUMNS($AD$1006:AO1006),$AD$1006:$AU$1006,0)), HYPERLINK("#",""), HYPERLINK(CONCATENATE("#metadata!", ADDRESS(INDEX($Y$2:$Y$1001,MATCH(ROWS($W$2:W550),$W$2:$W$1001,0),0), INDEX($AD$1004:$AU$1004,1,MATCH(COLUMNS($AD$1006:AO1006),$AD$1006:$AU$1006,0)))),"Fix")))</f>
        <v xml:space="preserve"> </v>
      </c>
      <c r="N550" s="4" t="str">
        <f ca="1">IF(OR(INDEX($X$2:$X$1001,MATCH(ROWS($W$2:W550),$W$2:$W$1001,0),1)&gt;=100000,INDEX($AD$1005:$AU$1005,1,MATCH(COLUMNS($AD$1006:AP1006),$AD$1006:$AU$1006,0))&gt;=100000), " ",IF(INDEX($AD$2:$AU$1001,MATCH(ROWS($W$2:W550),$W$2:$W$1001,0),MATCH(COLUMNS($AD$1006:AP1006),$AD$1006:$AU$1006,0)), HYPERLINK("#",""), HYPERLINK(CONCATENATE("#metadata!", ADDRESS(INDEX($Y$2:$Y$1001,MATCH(ROWS($W$2:W550),$W$2:$W$1001,0),0), INDEX($AD$1004:$AU$1004,1,MATCH(COLUMNS($AD$1006:AP1006),$AD$1006:$AU$1006,0)))),"Fix")))</f>
        <v xml:space="preserve"> </v>
      </c>
      <c r="O550" s="4" t="str">
        <f ca="1">IF(OR(INDEX($X$2:$X$1001,MATCH(ROWS($W$2:W550),$W$2:$W$1001,0),1)&gt;=100000,INDEX($AD$1005:$AU$1005,1,MATCH(COLUMNS($AD$1006:AQ1006),$AD$1006:$AU$1006,0))&gt;=100000), " ",IF(INDEX($AD$2:$AU$1001,MATCH(ROWS($W$2:W550),$W$2:$W$1001,0),MATCH(COLUMNS($AD$1006:AQ1006),$AD$1006:$AU$1006,0)), HYPERLINK("#",""), HYPERLINK(CONCATENATE("#metadata!", ADDRESS(INDEX($Y$2:$Y$1001,MATCH(ROWS($W$2:W550),$W$2:$W$1001,0),0), INDEX($AD$1004:$AU$1004,1,MATCH(COLUMNS($AD$1006:AQ1006),$AD$1006:$AU$1006,0)))),"Fix")))</f>
        <v xml:space="preserve"> </v>
      </c>
      <c r="P550" s="4" t="str">
        <f ca="1">IF(OR(INDEX($X$2:$X$1001,MATCH(ROWS($W$2:W550),$W$2:$W$1001,0),1)&gt;=100000,INDEX($AD$1005:$AU$1005,1,MATCH(COLUMNS($AD$1006:AR1006),$AD$1006:$AU$1006,0))&gt;=100000), " ",IF(INDEX($AD$2:$AU$1001,MATCH(ROWS($W$2:W550),$W$2:$W$1001,0),MATCH(COLUMNS($AD$1006:AR1006),$AD$1006:$AU$1006,0)), HYPERLINK("#",""), HYPERLINK(CONCATENATE("#metadata!", ADDRESS(INDEX($Y$2:$Y$1001,MATCH(ROWS($W$2:W550),$W$2:$W$1001,0),0), INDEX($AD$1004:$AU$1004,1,MATCH(COLUMNS($AD$1006:AR1006),$AD$1006:$AU$1006,0)))),"Fix")))</f>
        <v xml:space="preserve"> </v>
      </c>
      <c r="Q550" s="4" t="str">
        <f ca="1">IF(OR(INDEX($X$2:$X$1001,MATCH(ROWS($W$2:W550),$W$2:$W$1001,0),1)&gt;=100000,INDEX($AD$1005:$AU$1005,1,MATCH(COLUMNS($AD$1006:AS1006),$AD$1006:$AU$1006,0))&gt;=100000), " ",IF(INDEX($AD$2:$AU$1001,MATCH(ROWS($W$2:W550),$W$2:$W$1001,0),MATCH(COLUMNS($AD$1006:AS1006),$AD$1006:$AU$1006,0)), HYPERLINK("#",""), HYPERLINK(CONCATENATE("#metadata!", ADDRESS(INDEX($Y$2:$Y$1001,MATCH(ROWS($W$2:W550),$W$2:$W$1001,0),0), INDEX($AD$1004:$AU$1004,1,MATCH(COLUMNS($AD$1006:AS1006),$AD$1006:$AU$1006,0)))),"Fix")))</f>
        <v xml:space="preserve"> </v>
      </c>
      <c r="R550" s="4" t="str">
        <f ca="1">IF(OR(INDEX($X$2:$X$1001,MATCH(ROWS($W$2:W550),$W$2:$W$1001,0),1)&gt;=100000,INDEX($AD$1005:$AU$1005,1,MATCH(COLUMNS($AD$1006:AT1006),$AD$1006:$AU$1006,0))&gt;=100000), " ",IF(INDEX($AD$2:$AU$1001,MATCH(ROWS($W$2:W550),$W$2:$W$1001,0),MATCH(COLUMNS($AD$1006:AT1006),$AD$1006:$AU$1006,0)), HYPERLINK("#",""), HYPERLINK(CONCATENATE("#metadata!", ADDRESS(INDEX($Y$2:$Y$1001,MATCH(ROWS($W$2:W550),$W$2:$W$1001,0),0), INDEX($AD$1004:$AU$1004,1,MATCH(COLUMNS($AD$1006:AT1006),$AD$1006:$AU$1006,0)))),"Fix")))</f>
        <v xml:space="preserve"> </v>
      </c>
      <c r="S550" s="4" t="str">
        <f ca="1">IF(OR(INDEX($X$2:$X$1001,MATCH(ROWS($W$2:W550),$W$2:$W$1001,0),1)&gt;=100000,INDEX($AD$1005:$AU$1005,1,MATCH(COLUMNS($AD$1006:AU1006),$AD$1006:$AU$1006,0))&gt;=100000), " ",IF(INDEX($AD$2:$AU$1001,MATCH(ROWS($W$2:W550),$W$2:$W$1001,0),MATCH(COLUMNS($AD$1006:AU1006),$AD$1006:$AU$1006,0)), HYPERLINK("#",""), HYPERLINK(CONCATENATE("#metadata!", ADDRESS(INDEX($Y$2:$Y$1001,MATCH(ROWS($W$2:W550),$W$2:$W$1001,0),0), INDEX($AD$1004:$AU$1004,1,MATCH(COLUMNS($AD$1006:AU1006),$AD$1006:$AU$1006,0)))),"Fix")))</f>
        <v xml:space="preserve"> </v>
      </c>
      <c r="W550">
        <v>549</v>
      </c>
      <c r="X550">
        <v>100550</v>
      </c>
      <c r="Y550">
        <v>550</v>
      </c>
      <c r="Z550" t="b">
        <f t="shared" si="8"/>
        <v>1</v>
      </c>
      <c r="AA550" t="b">
        <f>COUNTBLANK(metadata!B550:S550)=COLUMNS(metadata!B550:S550)</f>
        <v>1</v>
      </c>
      <c r="AB550" t="str">
        <v/>
      </c>
      <c r="AD550" t="b">
        <f ca="1">AND(IF(metadata!B550="",FALSE,TRUE),COUNTIF(metadata!B:B, metadata!B550) = 1,NOT(ISERROR(SUMPRODUCT(SEARCH(MID(metadata!B550,ROW(INDIRECT("1:"&amp;LEN(metadata!B550))), 1),"0123456789abcdefghijklmnopqrstuvwxyzABCDEFGHIJKLMNOPQRSTUVWXYZ.")))))</f>
        <v>0</v>
      </c>
      <c r="AE550" t="b">
        <f>OR(AND(IF(metadata!C550="",FALSE,TRUE),OR(EXACT(metadata!C550,"not applicable"),EXACT(metadata!C550,"missing: not collected"),EXACT(metadata!C550,"missing: not provided"),EXACT(metadata!C550,"missing: restricted access"))),AND(IF(metadata!C550="",FALSE,ISNUMBER(VALUE(metadata!C550))),metadata!C550&gt;0))</f>
        <v>0</v>
      </c>
      <c r="AF550" t="b">
        <f>AND(IF(metadata!D550="",FALSE,TRUE),EXACT(metadata!D550,"missing: not provided"))</f>
        <v>0</v>
      </c>
      <c r="AG550" t="b">
        <f>AND(IF(metadata!E550="",FALSE,TRUE),EXACT(metadata!E550,"Host-associated"))</f>
        <v>0</v>
      </c>
      <c r="AH550" t="b">
        <f>AND(IF(metadata!F550="",FALSE,TRUE),OR(EXACT(metadata!F550,"Animal"),EXACT(metadata!F550,"Fungus"),EXACT(metadata!F550,"Plant")))</f>
        <v>0</v>
      </c>
      <c r="AI550" t="b">
        <f>AND(IF(metadata!G550="",FALSE,TRUE),OR(EXACT(metadata!G550,"Plant secretion"),EXACT(metadata!G550,"Plant rhizosphere"),EXACT(metadata!G550,"Plant surface"),EXACT(metadata!G550,"Plant corpus"),EXACT(metadata!G550,"Fungus surface"),EXACT(metadata!G550,"Fungus corpus"),EXACT(metadata!G550,"Animal surface"),EXACT(metadata!G550,"Animal proximal gut"),EXACT(metadata!G550,"Animal corpus"),EXACT(metadata!G550,"Animal distal gut"),EXACT(metadata!G550,"Animal secretion")))</f>
        <v>0</v>
      </c>
      <c r="AJ550" t="b">
        <f>OR(AND(IF(metadata!H550="",FALSE,TRUE),OR(EXACT(metadata!H550,"missing: not collected"),EXACT(metadata!H550,"missing: not provided"),EXACT(metadata!H550,"missing: restricted access"))),AND(IF(metadata!H550="",FALSE,TRUE),OR(EXACT(metadata!H550,"organism-associated habitat"),EXACT(metadata!H550,"plant-associated habitat"),EXACT(metadata!H550,"animal-associated habitat"),EXACT(metadata!H550,"insecta-associated habitat"),EXACT(metadata!H550,"mammalia-associated habitat"),EXACT(metadata!H550,"human-associated habitat"),EXACT(metadata!H550,"livestock-associated habitat"))))</f>
        <v>0</v>
      </c>
      <c r="AK550" t="b">
        <f>AND(IF(metadata!I550="",FALSE,TRUE),EXACT(metadata!I550,"host-associated"))</f>
        <v>0</v>
      </c>
      <c r="AL550" t="b">
        <f>OR(AND(IF(metadata!J550="",FALSE,TRUE),OR(EXACT(metadata!J550,"not applicable"),EXACT(metadata!J550,"missing: not collected"),EXACT(metadata!J550,"missing: not provided"),EXACT(metadata!J550,"missing: restricted access"))),AND(IF(metadata!J550="",FALSE,ISNUMBER(VALUE(metadata!J550))),metadata!J550&gt;0))</f>
        <v>0</v>
      </c>
      <c r="AM550" t="b">
        <f>AND(IF(metadata!K550="",FALSE,TRUE),EXACT(metadata!K550,"missing: not provided"))</f>
        <v>0</v>
      </c>
      <c r="AN550" t="b">
        <f>IF(metadata!L550="",FALSE,TRUE)</f>
        <v>0</v>
      </c>
      <c r="AO550" t="b">
        <f>IF(metadata!M550="",FALSE,TRUE)</f>
        <v>0</v>
      </c>
      <c r="AP550" t="b">
        <f>OR(AND(IF(metadata!N550="",FALSE,TRUE),OR(EXACT(metadata!N550,"not applicable"),EXACT(metadata!N550,"missing: not collected"),EXACT(metadata!N550,"missing: not provided"))),AND(IF(metadata!N550="",FALSE,IF(ISERROR(INT(metadata!N550)),FALSE,INT(metadata!N550)=metadata!N550)),metadata!N550&gt;0))</f>
        <v>0</v>
      </c>
      <c r="AQ550" t="b">
        <f>AND(IF(metadata!O550="",FALSE,TRUE),EXACT(metadata!O550,"Not applicable"))</f>
        <v>0</v>
      </c>
      <c r="AR550" t="b">
        <f>OR(AND(IF(metadata!P550="",FALSE,TRUE),OR(EXACT(metadata!P550,"not applicable"),EXACT(metadata!P550,"missing: not collected"),EXACT(metadata!P550,"missing: not provided"),EXACT(metadata!P550,"missing: restricted access"))),IF(metadata!P550="",FALSE,IF(ISERROR(INT(metadata!P550)),FALSE,INT(metadata!P550)=metadata!P550)))</f>
        <v>0</v>
      </c>
      <c r="AS550" t="b">
        <f>AND(IF(metadata!Q550="",FALSE,TRUE),EXACT(metadata!Q550,"Not applicable"))</f>
        <v>0</v>
      </c>
      <c r="AT550" t="b">
        <f>OR(AND(IF(metadata!R550="",FALSE,TRUE),OR(EXACT(metadata!R550,"not applicable"),EXACT(metadata!R550,"missing: not collected"),EXACT(metadata!R550,"missing: not provided"),EXACT(metadata!R550,"missing: restricted access"))),AND(IF(metadata!R550="",FALSE,ISNUMBER(VALUE(metadata!R550))),metadata!R550&gt;0))</f>
        <v>0</v>
      </c>
      <c r="AU550" t="b">
        <f>AND(IF(metadata!S550="",FALSE,TRUE),EXACT(metadata!S550,"missing: not provided"))</f>
        <v>0</v>
      </c>
    </row>
    <row r="551" spans="1:47" x14ac:dyDescent="0.2">
      <c r="A551" s="5" t="str">
        <f ca="1">IF(B551=" "," ",HYPERLINK(CONCATENATE("#metadata!",ADDRESS(INDEX($Y$2:$Y$1001,MATCH(ROWS($W$2:W551),$W$2:$W$1001,0),0),1)),INDEX($AB$2:$AB$1001,MATCH(ROWS($W$2:W551),$W$2:$W$1001,0),0)))</f>
        <v xml:space="preserve"> </v>
      </c>
      <c r="B551" s="4" t="str">
        <f ca="1">IF(OR(INDEX($X$2:$X$1001,MATCH(ROWS($W$2:W551),$W$2:$W$1001,0),1)&gt;=100000,INDEX($AD$1005:$AU$1005,1,MATCH(COLUMNS($AD$1006:AD1006),$AD$1006:$AU$1006,0))&gt;=100000), " ",IF(INDEX($AD$2:$AU$1001,MATCH(ROWS($W$2:W551),$W$2:$W$1001,0),MATCH(COLUMNS($AD$1006:AD1006),$AD$1006:$AU$1006,0)), HYPERLINK("#",""), HYPERLINK(CONCATENATE("#metadata!", ADDRESS(INDEX($Y$2:$Y$1001,MATCH(ROWS($W$2:W551),$W$2:$W$1001,0),0), INDEX($AD$1004:$AU$1004,1,MATCH(COLUMNS($AD$1006:AD1006),$AD$1006:$AU$1006,0)))),"Fix")))</f>
        <v xml:space="preserve"> </v>
      </c>
      <c r="C551" s="4" t="str">
        <f ca="1">IF(OR(INDEX($X$2:$X$1001,MATCH(ROWS($W$2:W551),$W$2:$W$1001,0),1)&gt;=100000,INDEX($AD$1005:$AU$1005,1,MATCH(COLUMNS($AD$1006:AE1006),$AD$1006:$AU$1006,0))&gt;=100000), " ",IF(INDEX($AD$2:$AU$1001,MATCH(ROWS($W$2:W551),$W$2:$W$1001,0),MATCH(COLUMNS($AD$1006:AE1006),$AD$1006:$AU$1006,0)), HYPERLINK("#",""), HYPERLINK(CONCATENATE("#metadata!", ADDRESS(INDEX($Y$2:$Y$1001,MATCH(ROWS($W$2:W551),$W$2:$W$1001,0),0), INDEX($AD$1004:$AU$1004,1,MATCH(COLUMNS($AD$1006:AE1006),$AD$1006:$AU$1006,0)))),"Fix")))</f>
        <v xml:space="preserve"> </v>
      </c>
      <c r="D551" s="4" t="str">
        <f ca="1">IF(OR(INDEX($X$2:$X$1001,MATCH(ROWS($W$2:W551),$W$2:$W$1001,0),1)&gt;=100000,INDEX($AD$1005:$AU$1005,1,MATCH(COLUMNS($AD$1006:AF1006),$AD$1006:$AU$1006,0))&gt;=100000), " ",IF(INDEX($AD$2:$AU$1001,MATCH(ROWS($W$2:W551),$W$2:$W$1001,0),MATCH(COLUMNS($AD$1006:AF1006),$AD$1006:$AU$1006,0)), HYPERLINK("#",""), HYPERLINK(CONCATENATE("#metadata!", ADDRESS(INDEX($Y$2:$Y$1001,MATCH(ROWS($W$2:W551),$W$2:$W$1001,0),0), INDEX($AD$1004:$AU$1004,1,MATCH(COLUMNS($AD$1006:AF1006),$AD$1006:$AU$1006,0)))),"Fix")))</f>
        <v xml:space="preserve"> </v>
      </c>
      <c r="E551" s="4" t="str">
        <f ca="1">IF(OR(INDEX($X$2:$X$1001,MATCH(ROWS($W$2:W551),$W$2:$W$1001,0),1)&gt;=100000,INDEX($AD$1005:$AU$1005,1,MATCH(COLUMNS($AD$1006:AG1006),$AD$1006:$AU$1006,0))&gt;=100000), " ",IF(INDEX($AD$2:$AU$1001,MATCH(ROWS($W$2:W551),$W$2:$W$1001,0),MATCH(COLUMNS($AD$1006:AG1006),$AD$1006:$AU$1006,0)), HYPERLINK("#",""), HYPERLINK(CONCATENATE("#metadata!", ADDRESS(INDEX($Y$2:$Y$1001,MATCH(ROWS($W$2:W551),$W$2:$W$1001,0),0), INDEX($AD$1004:$AU$1004,1,MATCH(COLUMNS($AD$1006:AG1006),$AD$1006:$AU$1006,0)))),"Fix")))</f>
        <v xml:space="preserve"> </v>
      </c>
      <c r="F551" s="4" t="str">
        <f ca="1">IF(OR(INDEX($X$2:$X$1001,MATCH(ROWS($W$2:W551),$W$2:$W$1001,0),1)&gt;=100000,INDEX($AD$1005:$AU$1005,1,MATCH(COLUMNS($AD$1006:AH1006),$AD$1006:$AU$1006,0))&gt;=100000), " ",IF(INDEX($AD$2:$AU$1001,MATCH(ROWS($W$2:W551),$W$2:$W$1001,0),MATCH(COLUMNS($AD$1006:AH1006),$AD$1006:$AU$1006,0)), HYPERLINK("#",""), HYPERLINK(CONCATENATE("#metadata!", ADDRESS(INDEX($Y$2:$Y$1001,MATCH(ROWS($W$2:W551),$W$2:$W$1001,0),0), INDEX($AD$1004:$AU$1004,1,MATCH(COLUMNS($AD$1006:AH1006),$AD$1006:$AU$1006,0)))),"Fix")))</f>
        <v xml:space="preserve"> </v>
      </c>
      <c r="G551" s="4" t="str">
        <f ca="1">IF(OR(INDEX($X$2:$X$1001,MATCH(ROWS($W$2:W551),$W$2:$W$1001,0),1)&gt;=100000,INDEX($AD$1005:$AU$1005,1,MATCH(COLUMNS($AD$1006:AI1006),$AD$1006:$AU$1006,0))&gt;=100000), " ",IF(INDEX($AD$2:$AU$1001,MATCH(ROWS($W$2:W551),$W$2:$W$1001,0),MATCH(COLUMNS($AD$1006:AI1006),$AD$1006:$AU$1006,0)), HYPERLINK("#",""), HYPERLINK(CONCATENATE("#metadata!", ADDRESS(INDEX($Y$2:$Y$1001,MATCH(ROWS($W$2:W551),$W$2:$W$1001,0),0), INDEX($AD$1004:$AU$1004,1,MATCH(COLUMNS($AD$1006:AI1006),$AD$1006:$AU$1006,0)))),"Fix")))</f>
        <v xml:space="preserve"> </v>
      </c>
      <c r="H551" s="4" t="str">
        <f ca="1">IF(OR(INDEX($X$2:$X$1001,MATCH(ROWS($W$2:W551),$W$2:$W$1001,0),1)&gt;=100000,INDEX($AD$1005:$AU$1005,1,MATCH(COLUMNS($AD$1006:AJ1006),$AD$1006:$AU$1006,0))&gt;=100000), " ",IF(INDEX($AD$2:$AU$1001,MATCH(ROWS($W$2:W551),$W$2:$W$1001,0),MATCH(COLUMNS($AD$1006:AJ1006),$AD$1006:$AU$1006,0)), HYPERLINK("#",""), HYPERLINK(CONCATENATE("#metadata!", ADDRESS(INDEX($Y$2:$Y$1001,MATCH(ROWS($W$2:W551),$W$2:$W$1001,0),0), INDEX($AD$1004:$AU$1004,1,MATCH(COLUMNS($AD$1006:AJ1006),$AD$1006:$AU$1006,0)))),"Fix")))</f>
        <v xml:space="preserve"> </v>
      </c>
      <c r="I551" s="4" t="str">
        <f ca="1">IF(OR(INDEX($X$2:$X$1001,MATCH(ROWS($W$2:W551),$W$2:$W$1001,0),1)&gt;=100000,INDEX($AD$1005:$AU$1005,1,MATCH(COLUMNS($AD$1006:AK1006),$AD$1006:$AU$1006,0))&gt;=100000), " ",IF(INDEX($AD$2:$AU$1001,MATCH(ROWS($W$2:W551),$W$2:$W$1001,0),MATCH(COLUMNS($AD$1006:AK1006),$AD$1006:$AU$1006,0)), HYPERLINK("#",""), HYPERLINK(CONCATENATE("#metadata!", ADDRESS(INDEX($Y$2:$Y$1001,MATCH(ROWS($W$2:W551),$W$2:$W$1001,0),0), INDEX($AD$1004:$AU$1004,1,MATCH(COLUMNS($AD$1006:AK1006),$AD$1006:$AU$1006,0)))),"Fix")))</f>
        <v xml:space="preserve"> </v>
      </c>
      <c r="J551" s="4" t="str">
        <f ca="1">IF(OR(INDEX($X$2:$X$1001,MATCH(ROWS($W$2:W551),$W$2:$W$1001,0),1)&gt;=100000,INDEX($AD$1005:$AU$1005,1,MATCH(COLUMNS($AD$1006:AL1006),$AD$1006:$AU$1006,0))&gt;=100000), " ",IF(INDEX($AD$2:$AU$1001,MATCH(ROWS($W$2:W551),$W$2:$W$1001,0),MATCH(COLUMNS($AD$1006:AL1006),$AD$1006:$AU$1006,0)), HYPERLINK("#",""), HYPERLINK(CONCATENATE("#metadata!", ADDRESS(INDEX($Y$2:$Y$1001,MATCH(ROWS($W$2:W551),$W$2:$W$1001,0),0), INDEX($AD$1004:$AU$1004,1,MATCH(COLUMNS($AD$1006:AL1006),$AD$1006:$AU$1006,0)))),"Fix")))</f>
        <v xml:space="preserve"> </v>
      </c>
      <c r="K551" s="4" t="str">
        <f ca="1">IF(OR(INDEX($X$2:$X$1001,MATCH(ROWS($W$2:W551),$W$2:$W$1001,0),1)&gt;=100000,INDEX($AD$1005:$AU$1005,1,MATCH(COLUMNS($AD$1006:AM1006),$AD$1006:$AU$1006,0))&gt;=100000), " ",IF(INDEX($AD$2:$AU$1001,MATCH(ROWS($W$2:W551),$W$2:$W$1001,0),MATCH(COLUMNS($AD$1006:AM1006),$AD$1006:$AU$1006,0)), HYPERLINK("#",""), HYPERLINK(CONCATENATE("#metadata!", ADDRESS(INDEX($Y$2:$Y$1001,MATCH(ROWS($W$2:W551),$W$2:$W$1001,0),0), INDEX($AD$1004:$AU$1004,1,MATCH(COLUMNS($AD$1006:AM1006),$AD$1006:$AU$1006,0)))),"Fix")))</f>
        <v xml:space="preserve"> </v>
      </c>
      <c r="L551" s="4" t="str">
        <f ca="1">IF(OR(INDEX($X$2:$X$1001,MATCH(ROWS($W$2:W551),$W$2:$W$1001,0),1)&gt;=100000,INDEX($AD$1005:$AU$1005,1,MATCH(COLUMNS($AD$1006:AN1006),$AD$1006:$AU$1006,0))&gt;=100000), " ",IF(INDEX($AD$2:$AU$1001,MATCH(ROWS($W$2:W551),$W$2:$W$1001,0),MATCH(COLUMNS($AD$1006:AN1006),$AD$1006:$AU$1006,0)), HYPERLINK("#",""), HYPERLINK(CONCATENATE("#metadata!", ADDRESS(INDEX($Y$2:$Y$1001,MATCH(ROWS($W$2:W551),$W$2:$W$1001,0),0), INDEX($AD$1004:$AU$1004,1,MATCH(COLUMNS($AD$1006:AN1006),$AD$1006:$AU$1006,0)))),"Fix")))</f>
        <v xml:space="preserve"> </v>
      </c>
      <c r="M551" s="4" t="str">
        <f ca="1">IF(OR(INDEX($X$2:$X$1001,MATCH(ROWS($W$2:W551),$W$2:$W$1001,0),1)&gt;=100000,INDEX($AD$1005:$AU$1005,1,MATCH(COLUMNS($AD$1006:AO1006),$AD$1006:$AU$1006,0))&gt;=100000), " ",IF(INDEX($AD$2:$AU$1001,MATCH(ROWS($W$2:W551),$W$2:$W$1001,0),MATCH(COLUMNS($AD$1006:AO1006),$AD$1006:$AU$1006,0)), HYPERLINK("#",""), HYPERLINK(CONCATENATE("#metadata!", ADDRESS(INDEX($Y$2:$Y$1001,MATCH(ROWS($W$2:W551),$W$2:$W$1001,0),0), INDEX($AD$1004:$AU$1004,1,MATCH(COLUMNS($AD$1006:AO1006),$AD$1006:$AU$1006,0)))),"Fix")))</f>
        <v xml:space="preserve"> </v>
      </c>
      <c r="N551" s="4" t="str">
        <f ca="1">IF(OR(INDEX($X$2:$X$1001,MATCH(ROWS($W$2:W551),$W$2:$W$1001,0),1)&gt;=100000,INDEX($AD$1005:$AU$1005,1,MATCH(COLUMNS($AD$1006:AP1006),$AD$1006:$AU$1006,0))&gt;=100000), " ",IF(INDEX($AD$2:$AU$1001,MATCH(ROWS($W$2:W551),$W$2:$W$1001,0),MATCH(COLUMNS($AD$1006:AP1006),$AD$1006:$AU$1006,0)), HYPERLINK("#",""), HYPERLINK(CONCATENATE("#metadata!", ADDRESS(INDEX($Y$2:$Y$1001,MATCH(ROWS($W$2:W551),$W$2:$W$1001,0),0), INDEX($AD$1004:$AU$1004,1,MATCH(COLUMNS($AD$1006:AP1006),$AD$1006:$AU$1006,0)))),"Fix")))</f>
        <v xml:space="preserve"> </v>
      </c>
      <c r="O551" s="4" t="str">
        <f ca="1">IF(OR(INDEX($X$2:$X$1001,MATCH(ROWS($W$2:W551),$W$2:$W$1001,0),1)&gt;=100000,INDEX($AD$1005:$AU$1005,1,MATCH(COLUMNS($AD$1006:AQ1006),$AD$1006:$AU$1006,0))&gt;=100000), " ",IF(INDEX($AD$2:$AU$1001,MATCH(ROWS($W$2:W551),$W$2:$W$1001,0),MATCH(COLUMNS($AD$1006:AQ1006),$AD$1006:$AU$1006,0)), HYPERLINK("#",""), HYPERLINK(CONCATENATE("#metadata!", ADDRESS(INDEX($Y$2:$Y$1001,MATCH(ROWS($W$2:W551),$W$2:$W$1001,0),0), INDEX($AD$1004:$AU$1004,1,MATCH(COLUMNS($AD$1006:AQ1006),$AD$1006:$AU$1006,0)))),"Fix")))</f>
        <v xml:space="preserve"> </v>
      </c>
      <c r="P551" s="4" t="str">
        <f ca="1">IF(OR(INDEX($X$2:$X$1001,MATCH(ROWS($W$2:W551),$W$2:$W$1001,0),1)&gt;=100000,INDEX($AD$1005:$AU$1005,1,MATCH(COLUMNS($AD$1006:AR1006),$AD$1006:$AU$1006,0))&gt;=100000), " ",IF(INDEX($AD$2:$AU$1001,MATCH(ROWS($W$2:W551),$W$2:$W$1001,0),MATCH(COLUMNS($AD$1006:AR1006),$AD$1006:$AU$1006,0)), HYPERLINK("#",""), HYPERLINK(CONCATENATE("#metadata!", ADDRESS(INDEX($Y$2:$Y$1001,MATCH(ROWS($W$2:W551),$W$2:$W$1001,0),0), INDEX($AD$1004:$AU$1004,1,MATCH(COLUMNS($AD$1006:AR1006),$AD$1006:$AU$1006,0)))),"Fix")))</f>
        <v xml:space="preserve"> </v>
      </c>
      <c r="Q551" s="4" t="str">
        <f ca="1">IF(OR(INDEX($X$2:$X$1001,MATCH(ROWS($W$2:W551),$W$2:$W$1001,0),1)&gt;=100000,INDEX($AD$1005:$AU$1005,1,MATCH(COLUMNS($AD$1006:AS1006),$AD$1006:$AU$1006,0))&gt;=100000), " ",IF(INDEX($AD$2:$AU$1001,MATCH(ROWS($W$2:W551),$W$2:$W$1001,0),MATCH(COLUMNS($AD$1006:AS1006),$AD$1006:$AU$1006,0)), HYPERLINK("#",""), HYPERLINK(CONCATENATE("#metadata!", ADDRESS(INDEX($Y$2:$Y$1001,MATCH(ROWS($W$2:W551),$W$2:$W$1001,0),0), INDEX($AD$1004:$AU$1004,1,MATCH(COLUMNS($AD$1006:AS1006),$AD$1006:$AU$1006,0)))),"Fix")))</f>
        <v xml:space="preserve"> </v>
      </c>
      <c r="R551" s="4" t="str">
        <f ca="1">IF(OR(INDEX($X$2:$X$1001,MATCH(ROWS($W$2:W551),$W$2:$W$1001,0),1)&gt;=100000,INDEX($AD$1005:$AU$1005,1,MATCH(COLUMNS($AD$1006:AT1006),$AD$1006:$AU$1006,0))&gt;=100000), " ",IF(INDEX($AD$2:$AU$1001,MATCH(ROWS($W$2:W551),$W$2:$W$1001,0),MATCH(COLUMNS($AD$1006:AT1006),$AD$1006:$AU$1006,0)), HYPERLINK("#",""), HYPERLINK(CONCATENATE("#metadata!", ADDRESS(INDEX($Y$2:$Y$1001,MATCH(ROWS($W$2:W551),$W$2:$W$1001,0),0), INDEX($AD$1004:$AU$1004,1,MATCH(COLUMNS($AD$1006:AT1006),$AD$1006:$AU$1006,0)))),"Fix")))</f>
        <v xml:space="preserve"> </v>
      </c>
      <c r="S551" s="4" t="str">
        <f ca="1">IF(OR(INDEX($X$2:$X$1001,MATCH(ROWS($W$2:W551),$W$2:$W$1001,0),1)&gt;=100000,INDEX($AD$1005:$AU$1005,1,MATCH(COLUMNS($AD$1006:AU1006),$AD$1006:$AU$1006,0))&gt;=100000), " ",IF(INDEX($AD$2:$AU$1001,MATCH(ROWS($W$2:W551),$W$2:$W$1001,0),MATCH(COLUMNS($AD$1006:AU1006),$AD$1006:$AU$1006,0)), HYPERLINK("#",""), HYPERLINK(CONCATENATE("#metadata!", ADDRESS(INDEX($Y$2:$Y$1001,MATCH(ROWS($W$2:W551),$W$2:$W$1001,0),0), INDEX($AD$1004:$AU$1004,1,MATCH(COLUMNS($AD$1006:AU1006),$AD$1006:$AU$1006,0)))),"Fix")))</f>
        <v xml:space="preserve"> </v>
      </c>
      <c r="W551">
        <v>550</v>
      </c>
      <c r="X551">
        <v>100551</v>
      </c>
      <c r="Y551">
        <v>551</v>
      </c>
      <c r="Z551" t="b">
        <f t="shared" si="8"/>
        <v>1</v>
      </c>
      <c r="AA551" t="b">
        <f>COUNTBLANK(metadata!B551:S551)=COLUMNS(metadata!B551:S551)</f>
        <v>1</v>
      </c>
      <c r="AB551" t="str">
        <v/>
      </c>
      <c r="AD551" t="b">
        <f ca="1">AND(IF(metadata!B551="",FALSE,TRUE),COUNTIF(metadata!B:B, metadata!B551) = 1,NOT(ISERROR(SUMPRODUCT(SEARCH(MID(metadata!B551,ROW(INDIRECT("1:"&amp;LEN(metadata!B551))), 1),"0123456789abcdefghijklmnopqrstuvwxyzABCDEFGHIJKLMNOPQRSTUVWXYZ.")))))</f>
        <v>0</v>
      </c>
      <c r="AE551" t="b">
        <f>OR(AND(IF(metadata!C551="",FALSE,TRUE),OR(EXACT(metadata!C551,"not applicable"),EXACT(metadata!C551,"missing: not collected"),EXACT(metadata!C551,"missing: not provided"),EXACT(metadata!C551,"missing: restricted access"))),AND(IF(metadata!C551="",FALSE,ISNUMBER(VALUE(metadata!C551))),metadata!C551&gt;0))</f>
        <v>0</v>
      </c>
      <c r="AF551" t="b">
        <f>AND(IF(metadata!D551="",FALSE,TRUE),EXACT(metadata!D551,"missing: not provided"))</f>
        <v>0</v>
      </c>
      <c r="AG551" t="b">
        <f>AND(IF(metadata!E551="",FALSE,TRUE),EXACT(metadata!E551,"Host-associated"))</f>
        <v>0</v>
      </c>
      <c r="AH551" t="b">
        <f>AND(IF(metadata!F551="",FALSE,TRUE),OR(EXACT(metadata!F551,"Animal"),EXACT(metadata!F551,"Fungus"),EXACT(metadata!F551,"Plant")))</f>
        <v>0</v>
      </c>
      <c r="AI551" t="b">
        <f>AND(IF(metadata!G551="",FALSE,TRUE),OR(EXACT(metadata!G551,"Plant secretion"),EXACT(metadata!G551,"Plant rhizosphere"),EXACT(metadata!G551,"Plant surface"),EXACT(metadata!G551,"Plant corpus"),EXACT(metadata!G551,"Fungus surface"),EXACT(metadata!G551,"Fungus corpus"),EXACT(metadata!G551,"Animal surface"),EXACT(metadata!G551,"Animal proximal gut"),EXACT(metadata!G551,"Animal corpus"),EXACT(metadata!G551,"Animal distal gut"),EXACT(metadata!G551,"Animal secretion")))</f>
        <v>0</v>
      </c>
      <c r="AJ551" t="b">
        <f>OR(AND(IF(metadata!H551="",FALSE,TRUE),OR(EXACT(metadata!H551,"missing: not collected"),EXACT(metadata!H551,"missing: not provided"),EXACT(metadata!H551,"missing: restricted access"))),AND(IF(metadata!H551="",FALSE,TRUE),OR(EXACT(metadata!H551,"organism-associated habitat"),EXACT(metadata!H551,"plant-associated habitat"),EXACT(metadata!H551,"animal-associated habitat"),EXACT(metadata!H551,"insecta-associated habitat"),EXACT(metadata!H551,"mammalia-associated habitat"),EXACT(metadata!H551,"human-associated habitat"),EXACT(metadata!H551,"livestock-associated habitat"))))</f>
        <v>0</v>
      </c>
      <c r="AK551" t="b">
        <f>AND(IF(metadata!I551="",FALSE,TRUE),EXACT(metadata!I551,"host-associated"))</f>
        <v>0</v>
      </c>
      <c r="AL551" t="b">
        <f>OR(AND(IF(metadata!J551="",FALSE,TRUE),OR(EXACT(metadata!J551,"not applicable"),EXACT(metadata!J551,"missing: not collected"),EXACT(metadata!J551,"missing: not provided"),EXACT(metadata!J551,"missing: restricted access"))),AND(IF(metadata!J551="",FALSE,ISNUMBER(VALUE(metadata!J551))),metadata!J551&gt;0))</f>
        <v>0</v>
      </c>
      <c r="AM551" t="b">
        <f>AND(IF(metadata!K551="",FALSE,TRUE),EXACT(metadata!K551,"missing: not provided"))</f>
        <v>0</v>
      </c>
      <c r="AN551" t="b">
        <f>IF(metadata!L551="",FALSE,TRUE)</f>
        <v>0</v>
      </c>
      <c r="AO551" t="b">
        <f>IF(metadata!M551="",FALSE,TRUE)</f>
        <v>0</v>
      </c>
      <c r="AP551" t="b">
        <f>OR(AND(IF(metadata!N551="",FALSE,TRUE),OR(EXACT(metadata!N551,"not applicable"),EXACT(metadata!N551,"missing: not collected"),EXACT(metadata!N551,"missing: not provided"))),AND(IF(metadata!N551="",FALSE,IF(ISERROR(INT(metadata!N551)),FALSE,INT(metadata!N551)=metadata!N551)),metadata!N551&gt;0))</f>
        <v>0</v>
      </c>
      <c r="AQ551" t="b">
        <f>AND(IF(metadata!O551="",FALSE,TRUE),EXACT(metadata!O551,"Not applicable"))</f>
        <v>0</v>
      </c>
      <c r="AR551" t="b">
        <f>OR(AND(IF(metadata!P551="",FALSE,TRUE),OR(EXACT(metadata!P551,"not applicable"),EXACT(metadata!P551,"missing: not collected"),EXACT(metadata!P551,"missing: not provided"),EXACT(metadata!P551,"missing: restricted access"))),IF(metadata!P551="",FALSE,IF(ISERROR(INT(metadata!P551)),FALSE,INT(metadata!P551)=metadata!P551)))</f>
        <v>0</v>
      </c>
      <c r="AS551" t="b">
        <f>AND(IF(metadata!Q551="",FALSE,TRUE),EXACT(metadata!Q551,"Not applicable"))</f>
        <v>0</v>
      </c>
      <c r="AT551" t="b">
        <f>OR(AND(IF(metadata!R551="",FALSE,TRUE),OR(EXACT(metadata!R551,"not applicable"),EXACT(metadata!R551,"missing: not collected"),EXACT(metadata!R551,"missing: not provided"),EXACT(metadata!R551,"missing: restricted access"))),AND(IF(metadata!R551="",FALSE,ISNUMBER(VALUE(metadata!R551))),metadata!R551&gt;0))</f>
        <v>0</v>
      </c>
      <c r="AU551" t="b">
        <f>AND(IF(metadata!S551="",FALSE,TRUE),EXACT(metadata!S551,"missing: not provided"))</f>
        <v>0</v>
      </c>
    </row>
    <row r="552" spans="1:47" x14ac:dyDescent="0.2">
      <c r="A552" s="5" t="str">
        <f ca="1">IF(B552=" "," ",HYPERLINK(CONCATENATE("#metadata!",ADDRESS(INDEX($Y$2:$Y$1001,MATCH(ROWS($W$2:W552),$W$2:$W$1001,0),0),1)),INDEX($AB$2:$AB$1001,MATCH(ROWS($W$2:W552),$W$2:$W$1001,0),0)))</f>
        <v xml:space="preserve"> </v>
      </c>
      <c r="B552" s="4" t="str">
        <f ca="1">IF(OR(INDEX($X$2:$X$1001,MATCH(ROWS($W$2:W552),$W$2:$W$1001,0),1)&gt;=100000,INDEX($AD$1005:$AU$1005,1,MATCH(COLUMNS($AD$1006:AD1006),$AD$1006:$AU$1006,0))&gt;=100000), " ",IF(INDEX($AD$2:$AU$1001,MATCH(ROWS($W$2:W552),$W$2:$W$1001,0),MATCH(COLUMNS($AD$1006:AD1006),$AD$1006:$AU$1006,0)), HYPERLINK("#",""), HYPERLINK(CONCATENATE("#metadata!", ADDRESS(INDEX($Y$2:$Y$1001,MATCH(ROWS($W$2:W552),$W$2:$W$1001,0),0), INDEX($AD$1004:$AU$1004,1,MATCH(COLUMNS($AD$1006:AD1006),$AD$1006:$AU$1006,0)))),"Fix")))</f>
        <v xml:space="preserve"> </v>
      </c>
      <c r="C552" s="4" t="str">
        <f ca="1">IF(OR(INDEX($X$2:$X$1001,MATCH(ROWS($W$2:W552),$W$2:$W$1001,0),1)&gt;=100000,INDEX($AD$1005:$AU$1005,1,MATCH(COLUMNS($AD$1006:AE1006),$AD$1006:$AU$1006,0))&gt;=100000), " ",IF(INDEX($AD$2:$AU$1001,MATCH(ROWS($W$2:W552),$W$2:$W$1001,0),MATCH(COLUMNS($AD$1006:AE1006),$AD$1006:$AU$1006,0)), HYPERLINK("#",""), HYPERLINK(CONCATENATE("#metadata!", ADDRESS(INDEX($Y$2:$Y$1001,MATCH(ROWS($W$2:W552),$W$2:$W$1001,0),0), INDEX($AD$1004:$AU$1004,1,MATCH(COLUMNS($AD$1006:AE1006),$AD$1006:$AU$1006,0)))),"Fix")))</f>
        <v xml:space="preserve"> </v>
      </c>
      <c r="D552" s="4" t="str">
        <f ca="1">IF(OR(INDEX($X$2:$X$1001,MATCH(ROWS($W$2:W552),$W$2:$W$1001,0),1)&gt;=100000,INDEX($AD$1005:$AU$1005,1,MATCH(COLUMNS($AD$1006:AF1006),$AD$1006:$AU$1006,0))&gt;=100000), " ",IF(INDEX($AD$2:$AU$1001,MATCH(ROWS($W$2:W552),$W$2:$W$1001,0),MATCH(COLUMNS($AD$1006:AF1006),$AD$1006:$AU$1006,0)), HYPERLINK("#",""), HYPERLINK(CONCATENATE("#metadata!", ADDRESS(INDEX($Y$2:$Y$1001,MATCH(ROWS($W$2:W552),$W$2:$W$1001,0),0), INDEX($AD$1004:$AU$1004,1,MATCH(COLUMNS($AD$1006:AF1006),$AD$1006:$AU$1006,0)))),"Fix")))</f>
        <v xml:space="preserve"> </v>
      </c>
      <c r="E552" s="4" t="str">
        <f ca="1">IF(OR(INDEX($X$2:$X$1001,MATCH(ROWS($W$2:W552),$W$2:$W$1001,0),1)&gt;=100000,INDEX($AD$1005:$AU$1005,1,MATCH(COLUMNS($AD$1006:AG1006),$AD$1006:$AU$1006,0))&gt;=100000), " ",IF(INDEX($AD$2:$AU$1001,MATCH(ROWS($W$2:W552),$W$2:$W$1001,0),MATCH(COLUMNS($AD$1006:AG1006),$AD$1006:$AU$1006,0)), HYPERLINK("#",""), HYPERLINK(CONCATENATE("#metadata!", ADDRESS(INDEX($Y$2:$Y$1001,MATCH(ROWS($W$2:W552),$W$2:$W$1001,0),0), INDEX($AD$1004:$AU$1004,1,MATCH(COLUMNS($AD$1006:AG1006),$AD$1006:$AU$1006,0)))),"Fix")))</f>
        <v xml:space="preserve"> </v>
      </c>
      <c r="F552" s="4" t="str">
        <f ca="1">IF(OR(INDEX($X$2:$X$1001,MATCH(ROWS($W$2:W552),$W$2:$W$1001,0),1)&gt;=100000,INDEX($AD$1005:$AU$1005,1,MATCH(COLUMNS($AD$1006:AH1006),$AD$1006:$AU$1006,0))&gt;=100000), " ",IF(INDEX($AD$2:$AU$1001,MATCH(ROWS($W$2:W552),$W$2:$W$1001,0),MATCH(COLUMNS($AD$1006:AH1006),$AD$1006:$AU$1006,0)), HYPERLINK("#",""), HYPERLINK(CONCATENATE("#metadata!", ADDRESS(INDEX($Y$2:$Y$1001,MATCH(ROWS($W$2:W552),$W$2:$W$1001,0),0), INDEX($AD$1004:$AU$1004,1,MATCH(COLUMNS($AD$1006:AH1006),$AD$1006:$AU$1006,0)))),"Fix")))</f>
        <v xml:space="preserve"> </v>
      </c>
      <c r="G552" s="4" t="str">
        <f ca="1">IF(OR(INDEX($X$2:$X$1001,MATCH(ROWS($W$2:W552),$W$2:$W$1001,0),1)&gt;=100000,INDEX($AD$1005:$AU$1005,1,MATCH(COLUMNS($AD$1006:AI1006),$AD$1006:$AU$1006,0))&gt;=100000), " ",IF(INDEX($AD$2:$AU$1001,MATCH(ROWS($W$2:W552),$W$2:$W$1001,0),MATCH(COLUMNS($AD$1006:AI1006),$AD$1006:$AU$1006,0)), HYPERLINK("#",""), HYPERLINK(CONCATENATE("#metadata!", ADDRESS(INDEX($Y$2:$Y$1001,MATCH(ROWS($W$2:W552),$W$2:$W$1001,0),0), INDEX($AD$1004:$AU$1004,1,MATCH(COLUMNS($AD$1006:AI1006),$AD$1006:$AU$1006,0)))),"Fix")))</f>
        <v xml:space="preserve"> </v>
      </c>
      <c r="H552" s="4" t="str">
        <f ca="1">IF(OR(INDEX($X$2:$X$1001,MATCH(ROWS($W$2:W552),$W$2:$W$1001,0),1)&gt;=100000,INDEX($AD$1005:$AU$1005,1,MATCH(COLUMNS($AD$1006:AJ1006),$AD$1006:$AU$1006,0))&gt;=100000), " ",IF(INDEX($AD$2:$AU$1001,MATCH(ROWS($W$2:W552),$W$2:$W$1001,0),MATCH(COLUMNS($AD$1006:AJ1006),$AD$1006:$AU$1006,0)), HYPERLINK("#",""), HYPERLINK(CONCATENATE("#metadata!", ADDRESS(INDEX($Y$2:$Y$1001,MATCH(ROWS($W$2:W552),$W$2:$W$1001,0),0), INDEX($AD$1004:$AU$1004,1,MATCH(COLUMNS($AD$1006:AJ1006),$AD$1006:$AU$1006,0)))),"Fix")))</f>
        <v xml:space="preserve"> </v>
      </c>
      <c r="I552" s="4" t="str">
        <f ca="1">IF(OR(INDEX($X$2:$X$1001,MATCH(ROWS($W$2:W552),$W$2:$W$1001,0),1)&gt;=100000,INDEX($AD$1005:$AU$1005,1,MATCH(COLUMNS($AD$1006:AK1006),$AD$1006:$AU$1006,0))&gt;=100000), " ",IF(INDEX($AD$2:$AU$1001,MATCH(ROWS($W$2:W552),$W$2:$W$1001,0),MATCH(COLUMNS($AD$1006:AK1006),$AD$1006:$AU$1006,0)), HYPERLINK("#",""), HYPERLINK(CONCATENATE("#metadata!", ADDRESS(INDEX($Y$2:$Y$1001,MATCH(ROWS($W$2:W552),$W$2:$W$1001,0),0), INDEX($AD$1004:$AU$1004,1,MATCH(COLUMNS($AD$1006:AK1006),$AD$1006:$AU$1006,0)))),"Fix")))</f>
        <v xml:space="preserve"> </v>
      </c>
      <c r="J552" s="4" t="str">
        <f ca="1">IF(OR(INDEX($X$2:$X$1001,MATCH(ROWS($W$2:W552),$W$2:$W$1001,0),1)&gt;=100000,INDEX($AD$1005:$AU$1005,1,MATCH(COLUMNS($AD$1006:AL1006),$AD$1006:$AU$1006,0))&gt;=100000), " ",IF(INDEX($AD$2:$AU$1001,MATCH(ROWS($W$2:W552),$W$2:$W$1001,0),MATCH(COLUMNS($AD$1006:AL1006),$AD$1006:$AU$1006,0)), HYPERLINK("#",""), HYPERLINK(CONCATENATE("#metadata!", ADDRESS(INDEX($Y$2:$Y$1001,MATCH(ROWS($W$2:W552),$W$2:$W$1001,0),0), INDEX($AD$1004:$AU$1004,1,MATCH(COLUMNS($AD$1006:AL1006),$AD$1006:$AU$1006,0)))),"Fix")))</f>
        <v xml:space="preserve"> </v>
      </c>
      <c r="K552" s="4" t="str">
        <f ca="1">IF(OR(INDEX($X$2:$X$1001,MATCH(ROWS($W$2:W552),$W$2:$W$1001,0),1)&gt;=100000,INDEX($AD$1005:$AU$1005,1,MATCH(COLUMNS($AD$1006:AM1006),$AD$1006:$AU$1006,0))&gt;=100000), " ",IF(INDEX($AD$2:$AU$1001,MATCH(ROWS($W$2:W552),$W$2:$W$1001,0),MATCH(COLUMNS($AD$1006:AM1006),$AD$1006:$AU$1006,0)), HYPERLINK("#",""), HYPERLINK(CONCATENATE("#metadata!", ADDRESS(INDEX($Y$2:$Y$1001,MATCH(ROWS($W$2:W552),$W$2:$W$1001,0),0), INDEX($AD$1004:$AU$1004,1,MATCH(COLUMNS($AD$1006:AM1006),$AD$1006:$AU$1006,0)))),"Fix")))</f>
        <v xml:space="preserve"> </v>
      </c>
      <c r="L552" s="4" t="str">
        <f ca="1">IF(OR(INDEX($X$2:$X$1001,MATCH(ROWS($W$2:W552),$W$2:$W$1001,0),1)&gt;=100000,INDEX($AD$1005:$AU$1005,1,MATCH(COLUMNS($AD$1006:AN1006),$AD$1006:$AU$1006,0))&gt;=100000), " ",IF(INDEX($AD$2:$AU$1001,MATCH(ROWS($W$2:W552),$W$2:$W$1001,0),MATCH(COLUMNS($AD$1006:AN1006),$AD$1006:$AU$1006,0)), HYPERLINK("#",""), HYPERLINK(CONCATENATE("#metadata!", ADDRESS(INDEX($Y$2:$Y$1001,MATCH(ROWS($W$2:W552),$W$2:$W$1001,0),0), INDEX($AD$1004:$AU$1004,1,MATCH(COLUMNS($AD$1006:AN1006),$AD$1006:$AU$1006,0)))),"Fix")))</f>
        <v xml:space="preserve"> </v>
      </c>
      <c r="M552" s="4" t="str">
        <f ca="1">IF(OR(INDEX($X$2:$X$1001,MATCH(ROWS($W$2:W552),$W$2:$W$1001,0),1)&gt;=100000,INDEX($AD$1005:$AU$1005,1,MATCH(COLUMNS($AD$1006:AO1006),$AD$1006:$AU$1006,0))&gt;=100000), " ",IF(INDEX($AD$2:$AU$1001,MATCH(ROWS($W$2:W552),$W$2:$W$1001,0),MATCH(COLUMNS($AD$1006:AO1006),$AD$1006:$AU$1006,0)), HYPERLINK("#",""), HYPERLINK(CONCATENATE("#metadata!", ADDRESS(INDEX($Y$2:$Y$1001,MATCH(ROWS($W$2:W552),$W$2:$W$1001,0),0), INDEX($AD$1004:$AU$1004,1,MATCH(COLUMNS($AD$1006:AO1006),$AD$1006:$AU$1006,0)))),"Fix")))</f>
        <v xml:space="preserve"> </v>
      </c>
      <c r="N552" s="4" t="str">
        <f ca="1">IF(OR(INDEX($X$2:$X$1001,MATCH(ROWS($W$2:W552),$W$2:$W$1001,0),1)&gt;=100000,INDEX($AD$1005:$AU$1005,1,MATCH(COLUMNS($AD$1006:AP1006),$AD$1006:$AU$1006,0))&gt;=100000), " ",IF(INDEX($AD$2:$AU$1001,MATCH(ROWS($W$2:W552),$W$2:$W$1001,0),MATCH(COLUMNS($AD$1006:AP1006),$AD$1006:$AU$1006,0)), HYPERLINK("#",""), HYPERLINK(CONCATENATE("#metadata!", ADDRESS(INDEX($Y$2:$Y$1001,MATCH(ROWS($W$2:W552),$W$2:$W$1001,0),0), INDEX($AD$1004:$AU$1004,1,MATCH(COLUMNS($AD$1006:AP1006),$AD$1006:$AU$1006,0)))),"Fix")))</f>
        <v xml:space="preserve"> </v>
      </c>
      <c r="O552" s="4" t="str">
        <f ca="1">IF(OR(INDEX($X$2:$X$1001,MATCH(ROWS($W$2:W552),$W$2:$W$1001,0),1)&gt;=100000,INDEX($AD$1005:$AU$1005,1,MATCH(COLUMNS($AD$1006:AQ1006),$AD$1006:$AU$1006,0))&gt;=100000), " ",IF(INDEX($AD$2:$AU$1001,MATCH(ROWS($W$2:W552),$W$2:$W$1001,0),MATCH(COLUMNS($AD$1006:AQ1006),$AD$1006:$AU$1006,0)), HYPERLINK("#",""), HYPERLINK(CONCATENATE("#metadata!", ADDRESS(INDEX($Y$2:$Y$1001,MATCH(ROWS($W$2:W552),$W$2:$W$1001,0),0), INDEX($AD$1004:$AU$1004,1,MATCH(COLUMNS($AD$1006:AQ1006),$AD$1006:$AU$1006,0)))),"Fix")))</f>
        <v xml:space="preserve"> </v>
      </c>
      <c r="P552" s="4" t="str">
        <f ca="1">IF(OR(INDEX($X$2:$X$1001,MATCH(ROWS($W$2:W552),$W$2:$W$1001,0),1)&gt;=100000,INDEX($AD$1005:$AU$1005,1,MATCH(COLUMNS($AD$1006:AR1006),$AD$1006:$AU$1006,0))&gt;=100000), " ",IF(INDEX($AD$2:$AU$1001,MATCH(ROWS($W$2:W552),$W$2:$W$1001,0),MATCH(COLUMNS($AD$1006:AR1006),$AD$1006:$AU$1006,0)), HYPERLINK("#",""), HYPERLINK(CONCATENATE("#metadata!", ADDRESS(INDEX($Y$2:$Y$1001,MATCH(ROWS($W$2:W552),$W$2:$W$1001,0),0), INDEX($AD$1004:$AU$1004,1,MATCH(COLUMNS($AD$1006:AR1006),$AD$1006:$AU$1006,0)))),"Fix")))</f>
        <v xml:space="preserve"> </v>
      </c>
      <c r="Q552" s="4" t="str">
        <f ca="1">IF(OR(INDEX($X$2:$X$1001,MATCH(ROWS($W$2:W552),$W$2:$W$1001,0),1)&gt;=100000,INDEX($AD$1005:$AU$1005,1,MATCH(COLUMNS($AD$1006:AS1006),$AD$1006:$AU$1006,0))&gt;=100000), " ",IF(INDEX($AD$2:$AU$1001,MATCH(ROWS($W$2:W552),$W$2:$W$1001,0),MATCH(COLUMNS($AD$1006:AS1006),$AD$1006:$AU$1006,0)), HYPERLINK("#",""), HYPERLINK(CONCATENATE("#metadata!", ADDRESS(INDEX($Y$2:$Y$1001,MATCH(ROWS($W$2:W552),$W$2:$W$1001,0),0), INDEX($AD$1004:$AU$1004,1,MATCH(COLUMNS($AD$1006:AS1006),$AD$1006:$AU$1006,0)))),"Fix")))</f>
        <v xml:space="preserve"> </v>
      </c>
      <c r="R552" s="4" t="str">
        <f ca="1">IF(OR(INDEX($X$2:$X$1001,MATCH(ROWS($W$2:W552),$W$2:$W$1001,0),1)&gt;=100000,INDEX($AD$1005:$AU$1005,1,MATCH(COLUMNS($AD$1006:AT1006),$AD$1006:$AU$1006,0))&gt;=100000), " ",IF(INDEX($AD$2:$AU$1001,MATCH(ROWS($W$2:W552),$W$2:$W$1001,0),MATCH(COLUMNS($AD$1006:AT1006),$AD$1006:$AU$1006,0)), HYPERLINK("#",""), HYPERLINK(CONCATENATE("#metadata!", ADDRESS(INDEX($Y$2:$Y$1001,MATCH(ROWS($W$2:W552),$W$2:$W$1001,0),0), INDEX($AD$1004:$AU$1004,1,MATCH(COLUMNS($AD$1006:AT1006),$AD$1006:$AU$1006,0)))),"Fix")))</f>
        <v xml:space="preserve"> </v>
      </c>
      <c r="S552" s="4" t="str">
        <f ca="1">IF(OR(INDEX($X$2:$X$1001,MATCH(ROWS($W$2:W552),$W$2:$W$1001,0),1)&gt;=100000,INDEX($AD$1005:$AU$1005,1,MATCH(COLUMNS($AD$1006:AU1006),$AD$1006:$AU$1006,0))&gt;=100000), " ",IF(INDEX($AD$2:$AU$1001,MATCH(ROWS($W$2:W552),$W$2:$W$1001,0),MATCH(COLUMNS($AD$1006:AU1006),$AD$1006:$AU$1006,0)), HYPERLINK("#",""), HYPERLINK(CONCATENATE("#metadata!", ADDRESS(INDEX($Y$2:$Y$1001,MATCH(ROWS($W$2:W552),$W$2:$W$1001,0),0), INDEX($AD$1004:$AU$1004,1,MATCH(COLUMNS($AD$1006:AU1006),$AD$1006:$AU$1006,0)))),"Fix")))</f>
        <v xml:space="preserve"> </v>
      </c>
      <c r="W552">
        <v>551</v>
      </c>
      <c r="X552">
        <v>100552</v>
      </c>
      <c r="Y552">
        <v>552</v>
      </c>
      <c r="Z552" t="b">
        <f t="shared" si="8"/>
        <v>1</v>
      </c>
      <c r="AA552" t="b">
        <f>COUNTBLANK(metadata!B552:S552)=COLUMNS(metadata!B552:S552)</f>
        <v>1</v>
      </c>
      <c r="AB552" t="str">
        <v/>
      </c>
      <c r="AD552" t="b">
        <f ca="1">AND(IF(metadata!B552="",FALSE,TRUE),COUNTIF(metadata!B:B, metadata!B552) = 1,NOT(ISERROR(SUMPRODUCT(SEARCH(MID(metadata!B552,ROW(INDIRECT("1:"&amp;LEN(metadata!B552))), 1),"0123456789abcdefghijklmnopqrstuvwxyzABCDEFGHIJKLMNOPQRSTUVWXYZ.")))))</f>
        <v>0</v>
      </c>
      <c r="AE552" t="b">
        <f>OR(AND(IF(metadata!C552="",FALSE,TRUE),OR(EXACT(metadata!C552,"not applicable"),EXACT(metadata!C552,"missing: not collected"),EXACT(metadata!C552,"missing: not provided"),EXACT(metadata!C552,"missing: restricted access"))),AND(IF(metadata!C552="",FALSE,ISNUMBER(VALUE(metadata!C552))),metadata!C552&gt;0))</f>
        <v>0</v>
      </c>
      <c r="AF552" t="b">
        <f>AND(IF(metadata!D552="",FALSE,TRUE),EXACT(metadata!D552,"missing: not provided"))</f>
        <v>0</v>
      </c>
      <c r="AG552" t="b">
        <f>AND(IF(metadata!E552="",FALSE,TRUE),EXACT(metadata!E552,"Host-associated"))</f>
        <v>0</v>
      </c>
      <c r="AH552" t="b">
        <f>AND(IF(metadata!F552="",FALSE,TRUE),OR(EXACT(metadata!F552,"Animal"),EXACT(metadata!F552,"Fungus"),EXACT(metadata!F552,"Plant")))</f>
        <v>0</v>
      </c>
      <c r="AI552" t="b">
        <f>AND(IF(metadata!G552="",FALSE,TRUE),OR(EXACT(metadata!G552,"Plant secretion"),EXACT(metadata!G552,"Plant rhizosphere"),EXACT(metadata!G552,"Plant surface"),EXACT(metadata!G552,"Plant corpus"),EXACT(metadata!G552,"Fungus surface"),EXACT(metadata!G552,"Fungus corpus"),EXACT(metadata!G552,"Animal surface"),EXACT(metadata!G552,"Animal proximal gut"),EXACT(metadata!G552,"Animal corpus"),EXACT(metadata!G552,"Animal distal gut"),EXACT(metadata!G552,"Animal secretion")))</f>
        <v>0</v>
      </c>
      <c r="AJ552" t="b">
        <f>OR(AND(IF(metadata!H552="",FALSE,TRUE),OR(EXACT(metadata!H552,"missing: not collected"),EXACT(metadata!H552,"missing: not provided"),EXACT(metadata!H552,"missing: restricted access"))),AND(IF(metadata!H552="",FALSE,TRUE),OR(EXACT(metadata!H552,"organism-associated habitat"),EXACT(metadata!H552,"plant-associated habitat"),EXACT(metadata!H552,"animal-associated habitat"),EXACT(metadata!H552,"insecta-associated habitat"),EXACT(metadata!H552,"mammalia-associated habitat"),EXACT(metadata!H552,"human-associated habitat"),EXACT(metadata!H552,"livestock-associated habitat"))))</f>
        <v>0</v>
      </c>
      <c r="AK552" t="b">
        <f>AND(IF(metadata!I552="",FALSE,TRUE),EXACT(metadata!I552,"host-associated"))</f>
        <v>0</v>
      </c>
      <c r="AL552" t="b">
        <f>OR(AND(IF(metadata!J552="",FALSE,TRUE),OR(EXACT(metadata!J552,"not applicable"),EXACT(metadata!J552,"missing: not collected"),EXACT(metadata!J552,"missing: not provided"),EXACT(metadata!J552,"missing: restricted access"))),AND(IF(metadata!J552="",FALSE,ISNUMBER(VALUE(metadata!J552))),metadata!J552&gt;0))</f>
        <v>0</v>
      </c>
      <c r="AM552" t="b">
        <f>AND(IF(metadata!K552="",FALSE,TRUE),EXACT(metadata!K552,"missing: not provided"))</f>
        <v>0</v>
      </c>
      <c r="AN552" t="b">
        <f>IF(metadata!L552="",FALSE,TRUE)</f>
        <v>0</v>
      </c>
      <c r="AO552" t="b">
        <f>IF(metadata!M552="",FALSE,TRUE)</f>
        <v>0</v>
      </c>
      <c r="AP552" t="b">
        <f>OR(AND(IF(metadata!N552="",FALSE,TRUE),OR(EXACT(metadata!N552,"not applicable"),EXACT(metadata!N552,"missing: not collected"),EXACT(metadata!N552,"missing: not provided"))),AND(IF(metadata!N552="",FALSE,IF(ISERROR(INT(metadata!N552)),FALSE,INT(metadata!N552)=metadata!N552)),metadata!N552&gt;0))</f>
        <v>0</v>
      </c>
      <c r="AQ552" t="b">
        <f>AND(IF(metadata!O552="",FALSE,TRUE),EXACT(metadata!O552,"Not applicable"))</f>
        <v>0</v>
      </c>
      <c r="AR552" t="b">
        <f>OR(AND(IF(metadata!P552="",FALSE,TRUE),OR(EXACT(metadata!P552,"not applicable"),EXACT(metadata!P552,"missing: not collected"),EXACT(metadata!P552,"missing: not provided"),EXACT(metadata!P552,"missing: restricted access"))),IF(metadata!P552="",FALSE,IF(ISERROR(INT(metadata!P552)),FALSE,INT(metadata!P552)=metadata!P552)))</f>
        <v>0</v>
      </c>
      <c r="AS552" t="b">
        <f>AND(IF(metadata!Q552="",FALSE,TRUE),EXACT(metadata!Q552,"Not applicable"))</f>
        <v>0</v>
      </c>
      <c r="AT552" t="b">
        <f>OR(AND(IF(metadata!R552="",FALSE,TRUE),OR(EXACT(metadata!R552,"not applicable"),EXACT(metadata!R552,"missing: not collected"),EXACT(metadata!R552,"missing: not provided"),EXACT(metadata!R552,"missing: restricted access"))),AND(IF(metadata!R552="",FALSE,ISNUMBER(VALUE(metadata!R552))),metadata!R552&gt;0))</f>
        <v>0</v>
      </c>
      <c r="AU552" t="b">
        <f>AND(IF(metadata!S552="",FALSE,TRUE),EXACT(metadata!S552,"missing: not provided"))</f>
        <v>0</v>
      </c>
    </row>
    <row r="553" spans="1:47" x14ac:dyDescent="0.2">
      <c r="A553" s="5" t="str">
        <f ca="1">IF(B553=" "," ",HYPERLINK(CONCATENATE("#metadata!",ADDRESS(INDEX($Y$2:$Y$1001,MATCH(ROWS($W$2:W553),$W$2:$W$1001,0),0),1)),INDEX($AB$2:$AB$1001,MATCH(ROWS($W$2:W553),$W$2:$W$1001,0),0)))</f>
        <v xml:space="preserve"> </v>
      </c>
      <c r="B553" s="4" t="str">
        <f ca="1">IF(OR(INDEX($X$2:$X$1001,MATCH(ROWS($W$2:W553),$W$2:$W$1001,0),1)&gt;=100000,INDEX($AD$1005:$AU$1005,1,MATCH(COLUMNS($AD$1006:AD1006),$AD$1006:$AU$1006,0))&gt;=100000), " ",IF(INDEX($AD$2:$AU$1001,MATCH(ROWS($W$2:W553),$W$2:$W$1001,0),MATCH(COLUMNS($AD$1006:AD1006),$AD$1006:$AU$1006,0)), HYPERLINK("#",""), HYPERLINK(CONCATENATE("#metadata!", ADDRESS(INDEX($Y$2:$Y$1001,MATCH(ROWS($W$2:W553),$W$2:$W$1001,0),0), INDEX($AD$1004:$AU$1004,1,MATCH(COLUMNS($AD$1006:AD1006),$AD$1006:$AU$1006,0)))),"Fix")))</f>
        <v xml:space="preserve"> </v>
      </c>
      <c r="C553" s="4" t="str">
        <f ca="1">IF(OR(INDEX($X$2:$X$1001,MATCH(ROWS($W$2:W553),$W$2:$W$1001,0),1)&gt;=100000,INDEX($AD$1005:$AU$1005,1,MATCH(COLUMNS($AD$1006:AE1006),$AD$1006:$AU$1006,0))&gt;=100000), " ",IF(INDEX($AD$2:$AU$1001,MATCH(ROWS($W$2:W553),$W$2:$W$1001,0),MATCH(COLUMNS($AD$1006:AE1006),$AD$1006:$AU$1006,0)), HYPERLINK("#",""), HYPERLINK(CONCATENATE("#metadata!", ADDRESS(INDEX($Y$2:$Y$1001,MATCH(ROWS($W$2:W553),$W$2:$W$1001,0),0), INDEX($AD$1004:$AU$1004,1,MATCH(COLUMNS($AD$1006:AE1006),$AD$1006:$AU$1006,0)))),"Fix")))</f>
        <v xml:space="preserve"> </v>
      </c>
      <c r="D553" s="4" t="str">
        <f ca="1">IF(OR(INDEX($X$2:$X$1001,MATCH(ROWS($W$2:W553),$W$2:$W$1001,0),1)&gt;=100000,INDEX($AD$1005:$AU$1005,1,MATCH(COLUMNS($AD$1006:AF1006),$AD$1006:$AU$1006,0))&gt;=100000), " ",IF(INDEX($AD$2:$AU$1001,MATCH(ROWS($W$2:W553),$W$2:$W$1001,0),MATCH(COLUMNS($AD$1006:AF1006),$AD$1006:$AU$1006,0)), HYPERLINK("#",""), HYPERLINK(CONCATENATE("#metadata!", ADDRESS(INDEX($Y$2:$Y$1001,MATCH(ROWS($W$2:W553),$W$2:$W$1001,0),0), INDEX($AD$1004:$AU$1004,1,MATCH(COLUMNS($AD$1006:AF1006),$AD$1006:$AU$1006,0)))),"Fix")))</f>
        <v xml:space="preserve"> </v>
      </c>
      <c r="E553" s="4" t="str">
        <f ca="1">IF(OR(INDEX($X$2:$X$1001,MATCH(ROWS($W$2:W553),$W$2:$W$1001,0),1)&gt;=100000,INDEX($AD$1005:$AU$1005,1,MATCH(COLUMNS($AD$1006:AG1006),$AD$1006:$AU$1006,0))&gt;=100000), " ",IF(INDEX($AD$2:$AU$1001,MATCH(ROWS($W$2:W553),$W$2:$W$1001,0),MATCH(COLUMNS($AD$1006:AG1006),$AD$1006:$AU$1006,0)), HYPERLINK("#",""), HYPERLINK(CONCATENATE("#metadata!", ADDRESS(INDEX($Y$2:$Y$1001,MATCH(ROWS($W$2:W553),$W$2:$W$1001,0),0), INDEX($AD$1004:$AU$1004,1,MATCH(COLUMNS($AD$1006:AG1006),$AD$1006:$AU$1006,0)))),"Fix")))</f>
        <v xml:space="preserve"> </v>
      </c>
      <c r="F553" s="4" t="str">
        <f ca="1">IF(OR(INDEX($X$2:$X$1001,MATCH(ROWS($W$2:W553),$W$2:$W$1001,0),1)&gt;=100000,INDEX($AD$1005:$AU$1005,1,MATCH(COLUMNS($AD$1006:AH1006),$AD$1006:$AU$1006,0))&gt;=100000), " ",IF(INDEX($AD$2:$AU$1001,MATCH(ROWS($W$2:W553),$W$2:$W$1001,0),MATCH(COLUMNS($AD$1006:AH1006),$AD$1006:$AU$1006,0)), HYPERLINK("#",""), HYPERLINK(CONCATENATE("#metadata!", ADDRESS(INDEX($Y$2:$Y$1001,MATCH(ROWS($W$2:W553),$W$2:$W$1001,0),0), INDEX($AD$1004:$AU$1004,1,MATCH(COLUMNS($AD$1006:AH1006),$AD$1006:$AU$1006,0)))),"Fix")))</f>
        <v xml:space="preserve"> </v>
      </c>
      <c r="G553" s="4" t="str">
        <f ca="1">IF(OR(INDEX($X$2:$X$1001,MATCH(ROWS($W$2:W553),$W$2:$W$1001,0),1)&gt;=100000,INDEX($AD$1005:$AU$1005,1,MATCH(COLUMNS($AD$1006:AI1006),$AD$1006:$AU$1006,0))&gt;=100000), " ",IF(INDEX($AD$2:$AU$1001,MATCH(ROWS($W$2:W553),$W$2:$W$1001,0),MATCH(COLUMNS($AD$1006:AI1006),$AD$1006:$AU$1006,0)), HYPERLINK("#",""), HYPERLINK(CONCATENATE("#metadata!", ADDRESS(INDEX($Y$2:$Y$1001,MATCH(ROWS($W$2:W553),$W$2:$W$1001,0),0), INDEX($AD$1004:$AU$1004,1,MATCH(COLUMNS($AD$1006:AI1006),$AD$1006:$AU$1006,0)))),"Fix")))</f>
        <v xml:space="preserve"> </v>
      </c>
      <c r="H553" s="4" t="str">
        <f ca="1">IF(OR(INDEX($X$2:$X$1001,MATCH(ROWS($W$2:W553),$W$2:$W$1001,0),1)&gt;=100000,INDEX($AD$1005:$AU$1005,1,MATCH(COLUMNS($AD$1006:AJ1006),$AD$1006:$AU$1006,0))&gt;=100000), " ",IF(INDEX($AD$2:$AU$1001,MATCH(ROWS($W$2:W553),$W$2:$W$1001,0),MATCH(COLUMNS($AD$1006:AJ1006),$AD$1006:$AU$1006,0)), HYPERLINK("#",""), HYPERLINK(CONCATENATE("#metadata!", ADDRESS(INDEX($Y$2:$Y$1001,MATCH(ROWS($W$2:W553),$W$2:$W$1001,0),0), INDEX($AD$1004:$AU$1004,1,MATCH(COLUMNS($AD$1006:AJ1006),$AD$1006:$AU$1006,0)))),"Fix")))</f>
        <v xml:space="preserve"> </v>
      </c>
      <c r="I553" s="4" t="str">
        <f ca="1">IF(OR(INDEX($X$2:$X$1001,MATCH(ROWS($W$2:W553),$W$2:$W$1001,0),1)&gt;=100000,INDEX($AD$1005:$AU$1005,1,MATCH(COLUMNS($AD$1006:AK1006),$AD$1006:$AU$1006,0))&gt;=100000), " ",IF(INDEX($AD$2:$AU$1001,MATCH(ROWS($W$2:W553),$W$2:$W$1001,0),MATCH(COLUMNS($AD$1006:AK1006),$AD$1006:$AU$1006,0)), HYPERLINK("#",""), HYPERLINK(CONCATENATE("#metadata!", ADDRESS(INDEX($Y$2:$Y$1001,MATCH(ROWS($W$2:W553),$W$2:$W$1001,0),0), INDEX($AD$1004:$AU$1004,1,MATCH(COLUMNS($AD$1006:AK1006),$AD$1006:$AU$1006,0)))),"Fix")))</f>
        <v xml:space="preserve"> </v>
      </c>
      <c r="J553" s="4" t="str">
        <f ca="1">IF(OR(INDEX($X$2:$X$1001,MATCH(ROWS($W$2:W553),$W$2:$W$1001,0),1)&gt;=100000,INDEX($AD$1005:$AU$1005,1,MATCH(COLUMNS($AD$1006:AL1006),$AD$1006:$AU$1006,0))&gt;=100000), " ",IF(INDEX($AD$2:$AU$1001,MATCH(ROWS($W$2:W553),$W$2:$W$1001,0),MATCH(COLUMNS($AD$1006:AL1006),$AD$1006:$AU$1006,0)), HYPERLINK("#",""), HYPERLINK(CONCATENATE("#metadata!", ADDRESS(INDEX($Y$2:$Y$1001,MATCH(ROWS($W$2:W553),$W$2:$W$1001,0),0), INDEX($AD$1004:$AU$1004,1,MATCH(COLUMNS($AD$1006:AL1006),$AD$1006:$AU$1006,0)))),"Fix")))</f>
        <v xml:space="preserve"> </v>
      </c>
      <c r="K553" s="4" t="str">
        <f ca="1">IF(OR(INDEX($X$2:$X$1001,MATCH(ROWS($W$2:W553),$W$2:$W$1001,0),1)&gt;=100000,INDEX($AD$1005:$AU$1005,1,MATCH(COLUMNS($AD$1006:AM1006),$AD$1006:$AU$1006,0))&gt;=100000), " ",IF(INDEX($AD$2:$AU$1001,MATCH(ROWS($W$2:W553),$W$2:$W$1001,0),MATCH(COLUMNS($AD$1006:AM1006),$AD$1006:$AU$1006,0)), HYPERLINK("#",""), HYPERLINK(CONCATENATE("#metadata!", ADDRESS(INDEX($Y$2:$Y$1001,MATCH(ROWS($W$2:W553),$W$2:$W$1001,0),0), INDEX($AD$1004:$AU$1004,1,MATCH(COLUMNS($AD$1006:AM1006),$AD$1006:$AU$1006,0)))),"Fix")))</f>
        <v xml:space="preserve"> </v>
      </c>
      <c r="L553" s="4" t="str">
        <f ca="1">IF(OR(INDEX($X$2:$X$1001,MATCH(ROWS($W$2:W553),$W$2:$W$1001,0),1)&gt;=100000,INDEX($AD$1005:$AU$1005,1,MATCH(COLUMNS($AD$1006:AN1006),$AD$1006:$AU$1006,0))&gt;=100000), " ",IF(INDEX($AD$2:$AU$1001,MATCH(ROWS($W$2:W553),$W$2:$W$1001,0),MATCH(COLUMNS($AD$1006:AN1006),$AD$1006:$AU$1006,0)), HYPERLINK("#",""), HYPERLINK(CONCATENATE("#metadata!", ADDRESS(INDEX($Y$2:$Y$1001,MATCH(ROWS($W$2:W553),$W$2:$W$1001,0),0), INDEX($AD$1004:$AU$1004,1,MATCH(COLUMNS($AD$1006:AN1006),$AD$1006:$AU$1006,0)))),"Fix")))</f>
        <v xml:space="preserve"> </v>
      </c>
      <c r="M553" s="4" t="str">
        <f ca="1">IF(OR(INDEX($X$2:$X$1001,MATCH(ROWS($W$2:W553),$W$2:$W$1001,0),1)&gt;=100000,INDEX($AD$1005:$AU$1005,1,MATCH(COLUMNS($AD$1006:AO1006),$AD$1006:$AU$1006,0))&gt;=100000), " ",IF(INDEX($AD$2:$AU$1001,MATCH(ROWS($W$2:W553),$W$2:$W$1001,0),MATCH(COLUMNS($AD$1006:AO1006),$AD$1006:$AU$1006,0)), HYPERLINK("#",""), HYPERLINK(CONCATENATE("#metadata!", ADDRESS(INDEX($Y$2:$Y$1001,MATCH(ROWS($W$2:W553),$W$2:$W$1001,0),0), INDEX($AD$1004:$AU$1004,1,MATCH(COLUMNS($AD$1006:AO1006),$AD$1006:$AU$1006,0)))),"Fix")))</f>
        <v xml:space="preserve"> </v>
      </c>
      <c r="N553" s="4" t="str">
        <f ca="1">IF(OR(INDEX($X$2:$X$1001,MATCH(ROWS($W$2:W553),$W$2:$W$1001,0),1)&gt;=100000,INDEX($AD$1005:$AU$1005,1,MATCH(COLUMNS($AD$1006:AP1006),$AD$1006:$AU$1006,0))&gt;=100000), " ",IF(INDEX($AD$2:$AU$1001,MATCH(ROWS($W$2:W553),$W$2:$W$1001,0),MATCH(COLUMNS($AD$1006:AP1006),$AD$1006:$AU$1006,0)), HYPERLINK("#",""), HYPERLINK(CONCATENATE("#metadata!", ADDRESS(INDEX($Y$2:$Y$1001,MATCH(ROWS($W$2:W553),$W$2:$W$1001,0),0), INDEX($AD$1004:$AU$1004,1,MATCH(COLUMNS($AD$1006:AP1006),$AD$1006:$AU$1006,0)))),"Fix")))</f>
        <v xml:space="preserve"> </v>
      </c>
      <c r="O553" s="4" t="str">
        <f ca="1">IF(OR(INDEX($X$2:$X$1001,MATCH(ROWS($W$2:W553),$W$2:$W$1001,0),1)&gt;=100000,INDEX($AD$1005:$AU$1005,1,MATCH(COLUMNS($AD$1006:AQ1006),$AD$1006:$AU$1006,0))&gt;=100000), " ",IF(INDEX($AD$2:$AU$1001,MATCH(ROWS($W$2:W553),$W$2:$W$1001,0),MATCH(COLUMNS($AD$1006:AQ1006),$AD$1006:$AU$1006,0)), HYPERLINK("#",""), HYPERLINK(CONCATENATE("#metadata!", ADDRESS(INDEX($Y$2:$Y$1001,MATCH(ROWS($W$2:W553),$W$2:$W$1001,0),0), INDEX($AD$1004:$AU$1004,1,MATCH(COLUMNS($AD$1006:AQ1006),$AD$1006:$AU$1006,0)))),"Fix")))</f>
        <v xml:space="preserve"> </v>
      </c>
      <c r="P553" s="4" t="str">
        <f ca="1">IF(OR(INDEX($X$2:$X$1001,MATCH(ROWS($W$2:W553),$W$2:$W$1001,0),1)&gt;=100000,INDEX($AD$1005:$AU$1005,1,MATCH(COLUMNS($AD$1006:AR1006),$AD$1006:$AU$1006,0))&gt;=100000), " ",IF(INDEX($AD$2:$AU$1001,MATCH(ROWS($W$2:W553),$W$2:$W$1001,0),MATCH(COLUMNS($AD$1006:AR1006),$AD$1006:$AU$1006,0)), HYPERLINK("#",""), HYPERLINK(CONCATENATE("#metadata!", ADDRESS(INDEX($Y$2:$Y$1001,MATCH(ROWS($W$2:W553),$W$2:$W$1001,0),0), INDEX($AD$1004:$AU$1004,1,MATCH(COLUMNS($AD$1006:AR1006),$AD$1006:$AU$1006,0)))),"Fix")))</f>
        <v xml:space="preserve"> </v>
      </c>
      <c r="Q553" s="4" t="str">
        <f ca="1">IF(OR(INDEX($X$2:$X$1001,MATCH(ROWS($W$2:W553),$W$2:$W$1001,0),1)&gt;=100000,INDEX($AD$1005:$AU$1005,1,MATCH(COLUMNS($AD$1006:AS1006),$AD$1006:$AU$1006,0))&gt;=100000), " ",IF(INDEX($AD$2:$AU$1001,MATCH(ROWS($W$2:W553),$W$2:$W$1001,0),MATCH(COLUMNS($AD$1006:AS1006),$AD$1006:$AU$1006,0)), HYPERLINK("#",""), HYPERLINK(CONCATENATE("#metadata!", ADDRESS(INDEX($Y$2:$Y$1001,MATCH(ROWS($W$2:W553),$W$2:$W$1001,0),0), INDEX($AD$1004:$AU$1004,1,MATCH(COLUMNS($AD$1006:AS1006),$AD$1006:$AU$1006,0)))),"Fix")))</f>
        <v xml:space="preserve"> </v>
      </c>
      <c r="R553" s="4" t="str">
        <f ca="1">IF(OR(INDEX($X$2:$X$1001,MATCH(ROWS($W$2:W553),$W$2:$W$1001,0),1)&gt;=100000,INDEX($AD$1005:$AU$1005,1,MATCH(COLUMNS($AD$1006:AT1006),$AD$1006:$AU$1006,0))&gt;=100000), " ",IF(INDEX($AD$2:$AU$1001,MATCH(ROWS($W$2:W553),$W$2:$W$1001,0),MATCH(COLUMNS($AD$1006:AT1006),$AD$1006:$AU$1006,0)), HYPERLINK("#",""), HYPERLINK(CONCATENATE("#metadata!", ADDRESS(INDEX($Y$2:$Y$1001,MATCH(ROWS($W$2:W553),$W$2:$W$1001,0),0), INDEX($AD$1004:$AU$1004,1,MATCH(COLUMNS($AD$1006:AT1006),$AD$1006:$AU$1006,0)))),"Fix")))</f>
        <v xml:space="preserve"> </v>
      </c>
      <c r="S553" s="4" t="str">
        <f ca="1">IF(OR(INDEX($X$2:$X$1001,MATCH(ROWS($W$2:W553),$W$2:$W$1001,0),1)&gt;=100000,INDEX($AD$1005:$AU$1005,1,MATCH(COLUMNS($AD$1006:AU1006),$AD$1006:$AU$1006,0))&gt;=100000), " ",IF(INDEX($AD$2:$AU$1001,MATCH(ROWS($W$2:W553),$W$2:$W$1001,0),MATCH(COLUMNS($AD$1006:AU1006),$AD$1006:$AU$1006,0)), HYPERLINK("#",""), HYPERLINK(CONCATENATE("#metadata!", ADDRESS(INDEX($Y$2:$Y$1001,MATCH(ROWS($W$2:W553),$W$2:$W$1001,0),0), INDEX($AD$1004:$AU$1004,1,MATCH(COLUMNS($AD$1006:AU1006),$AD$1006:$AU$1006,0)))),"Fix")))</f>
        <v xml:space="preserve"> </v>
      </c>
      <c r="W553">
        <v>552</v>
      </c>
      <c r="X553">
        <v>100553</v>
      </c>
      <c r="Y553">
        <v>553</v>
      </c>
      <c r="Z553" t="b">
        <f t="shared" si="8"/>
        <v>1</v>
      </c>
      <c r="AA553" t="b">
        <f>COUNTBLANK(metadata!B553:S553)=COLUMNS(metadata!B553:S553)</f>
        <v>1</v>
      </c>
      <c r="AB553" t="str">
        <v/>
      </c>
      <c r="AD553" t="b">
        <f ca="1">AND(IF(metadata!B553="",FALSE,TRUE),COUNTIF(metadata!B:B, metadata!B553) = 1,NOT(ISERROR(SUMPRODUCT(SEARCH(MID(metadata!B553,ROW(INDIRECT("1:"&amp;LEN(metadata!B553))), 1),"0123456789abcdefghijklmnopqrstuvwxyzABCDEFGHIJKLMNOPQRSTUVWXYZ.")))))</f>
        <v>0</v>
      </c>
      <c r="AE553" t="b">
        <f>OR(AND(IF(metadata!C553="",FALSE,TRUE),OR(EXACT(metadata!C553,"not applicable"),EXACT(metadata!C553,"missing: not collected"),EXACT(metadata!C553,"missing: not provided"),EXACT(metadata!C553,"missing: restricted access"))),AND(IF(metadata!C553="",FALSE,ISNUMBER(VALUE(metadata!C553))),metadata!C553&gt;0))</f>
        <v>0</v>
      </c>
      <c r="AF553" t="b">
        <f>AND(IF(metadata!D553="",FALSE,TRUE),EXACT(metadata!D553,"missing: not provided"))</f>
        <v>0</v>
      </c>
      <c r="AG553" t="b">
        <f>AND(IF(metadata!E553="",FALSE,TRUE),EXACT(metadata!E553,"Host-associated"))</f>
        <v>0</v>
      </c>
      <c r="AH553" t="b">
        <f>AND(IF(metadata!F553="",FALSE,TRUE),OR(EXACT(metadata!F553,"Animal"),EXACT(metadata!F553,"Fungus"),EXACT(metadata!F553,"Plant")))</f>
        <v>0</v>
      </c>
      <c r="AI553" t="b">
        <f>AND(IF(metadata!G553="",FALSE,TRUE),OR(EXACT(metadata!G553,"Plant secretion"),EXACT(metadata!G553,"Plant rhizosphere"),EXACT(metadata!G553,"Plant surface"),EXACT(metadata!G553,"Plant corpus"),EXACT(metadata!G553,"Fungus surface"),EXACT(metadata!G553,"Fungus corpus"),EXACT(metadata!G553,"Animal surface"),EXACT(metadata!G553,"Animal proximal gut"),EXACT(metadata!G553,"Animal corpus"),EXACT(metadata!G553,"Animal distal gut"),EXACT(metadata!G553,"Animal secretion")))</f>
        <v>0</v>
      </c>
      <c r="AJ553" t="b">
        <f>OR(AND(IF(metadata!H553="",FALSE,TRUE),OR(EXACT(metadata!H553,"missing: not collected"),EXACT(metadata!H553,"missing: not provided"),EXACT(metadata!H553,"missing: restricted access"))),AND(IF(metadata!H553="",FALSE,TRUE),OR(EXACT(metadata!H553,"organism-associated habitat"),EXACT(metadata!H553,"plant-associated habitat"),EXACT(metadata!H553,"animal-associated habitat"),EXACT(metadata!H553,"insecta-associated habitat"),EXACT(metadata!H553,"mammalia-associated habitat"),EXACT(metadata!H553,"human-associated habitat"),EXACT(metadata!H553,"livestock-associated habitat"))))</f>
        <v>0</v>
      </c>
      <c r="AK553" t="b">
        <f>AND(IF(metadata!I553="",FALSE,TRUE),EXACT(metadata!I553,"host-associated"))</f>
        <v>0</v>
      </c>
      <c r="AL553" t="b">
        <f>OR(AND(IF(metadata!J553="",FALSE,TRUE),OR(EXACT(metadata!J553,"not applicable"),EXACT(metadata!J553,"missing: not collected"),EXACT(metadata!J553,"missing: not provided"),EXACT(metadata!J553,"missing: restricted access"))),AND(IF(metadata!J553="",FALSE,ISNUMBER(VALUE(metadata!J553))),metadata!J553&gt;0))</f>
        <v>0</v>
      </c>
      <c r="AM553" t="b">
        <f>AND(IF(metadata!K553="",FALSE,TRUE),EXACT(metadata!K553,"missing: not provided"))</f>
        <v>0</v>
      </c>
      <c r="AN553" t="b">
        <f>IF(metadata!L553="",FALSE,TRUE)</f>
        <v>0</v>
      </c>
      <c r="AO553" t="b">
        <f>IF(metadata!M553="",FALSE,TRUE)</f>
        <v>0</v>
      </c>
      <c r="AP553" t="b">
        <f>OR(AND(IF(metadata!N553="",FALSE,TRUE),OR(EXACT(metadata!N553,"not applicable"),EXACT(metadata!N553,"missing: not collected"),EXACT(metadata!N553,"missing: not provided"))),AND(IF(metadata!N553="",FALSE,IF(ISERROR(INT(metadata!N553)),FALSE,INT(metadata!N553)=metadata!N553)),metadata!N553&gt;0))</f>
        <v>0</v>
      </c>
      <c r="AQ553" t="b">
        <f>AND(IF(metadata!O553="",FALSE,TRUE),EXACT(metadata!O553,"Not applicable"))</f>
        <v>0</v>
      </c>
      <c r="AR553" t="b">
        <f>OR(AND(IF(metadata!P553="",FALSE,TRUE),OR(EXACT(metadata!P553,"not applicable"),EXACT(metadata!P553,"missing: not collected"),EXACT(metadata!P553,"missing: not provided"),EXACT(metadata!P553,"missing: restricted access"))),IF(metadata!P553="",FALSE,IF(ISERROR(INT(metadata!P553)),FALSE,INT(metadata!P553)=metadata!P553)))</f>
        <v>0</v>
      </c>
      <c r="AS553" t="b">
        <f>AND(IF(metadata!Q553="",FALSE,TRUE),EXACT(metadata!Q553,"Not applicable"))</f>
        <v>0</v>
      </c>
      <c r="AT553" t="b">
        <f>OR(AND(IF(metadata!R553="",FALSE,TRUE),OR(EXACT(metadata!R553,"not applicable"),EXACT(metadata!R553,"missing: not collected"),EXACT(metadata!R553,"missing: not provided"),EXACT(metadata!R553,"missing: restricted access"))),AND(IF(metadata!R553="",FALSE,ISNUMBER(VALUE(metadata!R553))),metadata!R553&gt;0))</f>
        <v>0</v>
      </c>
      <c r="AU553" t="b">
        <f>AND(IF(metadata!S553="",FALSE,TRUE),EXACT(metadata!S553,"missing: not provided"))</f>
        <v>0</v>
      </c>
    </row>
    <row r="554" spans="1:47" x14ac:dyDescent="0.2">
      <c r="A554" s="5" t="str">
        <f ca="1">IF(B554=" "," ",HYPERLINK(CONCATENATE("#metadata!",ADDRESS(INDEX($Y$2:$Y$1001,MATCH(ROWS($W$2:W554),$W$2:$W$1001,0),0),1)),INDEX($AB$2:$AB$1001,MATCH(ROWS($W$2:W554),$W$2:$W$1001,0),0)))</f>
        <v xml:space="preserve"> </v>
      </c>
      <c r="B554" s="4" t="str">
        <f ca="1">IF(OR(INDEX($X$2:$X$1001,MATCH(ROWS($W$2:W554),$W$2:$W$1001,0),1)&gt;=100000,INDEX($AD$1005:$AU$1005,1,MATCH(COLUMNS($AD$1006:AD1006),$AD$1006:$AU$1006,0))&gt;=100000), " ",IF(INDEX($AD$2:$AU$1001,MATCH(ROWS($W$2:W554),$W$2:$W$1001,0),MATCH(COLUMNS($AD$1006:AD1006),$AD$1006:$AU$1006,0)), HYPERLINK("#",""), HYPERLINK(CONCATENATE("#metadata!", ADDRESS(INDEX($Y$2:$Y$1001,MATCH(ROWS($W$2:W554),$W$2:$W$1001,0),0), INDEX($AD$1004:$AU$1004,1,MATCH(COLUMNS($AD$1006:AD1006),$AD$1006:$AU$1006,0)))),"Fix")))</f>
        <v xml:space="preserve"> </v>
      </c>
      <c r="C554" s="4" t="str">
        <f ca="1">IF(OR(INDEX($X$2:$X$1001,MATCH(ROWS($W$2:W554),$W$2:$W$1001,0),1)&gt;=100000,INDEX($AD$1005:$AU$1005,1,MATCH(COLUMNS($AD$1006:AE1006),$AD$1006:$AU$1006,0))&gt;=100000), " ",IF(INDEX($AD$2:$AU$1001,MATCH(ROWS($W$2:W554),$W$2:$W$1001,0),MATCH(COLUMNS($AD$1006:AE1006),$AD$1006:$AU$1006,0)), HYPERLINK("#",""), HYPERLINK(CONCATENATE("#metadata!", ADDRESS(INDEX($Y$2:$Y$1001,MATCH(ROWS($W$2:W554),$W$2:$W$1001,0),0), INDEX($AD$1004:$AU$1004,1,MATCH(COLUMNS($AD$1006:AE1006),$AD$1006:$AU$1006,0)))),"Fix")))</f>
        <v xml:space="preserve"> </v>
      </c>
      <c r="D554" s="4" t="str">
        <f ca="1">IF(OR(INDEX($X$2:$X$1001,MATCH(ROWS($W$2:W554),$W$2:$W$1001,0),1)&gt;=100000,INDEX($AD$1005:$AU$1005,1,MATCH(COLUMNS($AD$1006:AF1006),$AD$1006:$AU$1006,0))&gt;=100000), " ",IF(INDEX($AD$2:$AU$1001,MATCH(ROWS($W$2:W554),$W$2:$W$1001,0),MATCH(COLUMNS($AD$1006:AF1006),$AD$1006:$AU$1006,0)), HYPERLINK("#",""), HYPERLINK(CONCATENATE("#metadata!", ADDRESS(INDEX($Y$2:$Y$1001,MATCH(ROWS($W$2:W554),$W$2:$W$1001,0),0), INDEX($AD$1004:$AU$1004,1,MATCH(COLUMNS($AD$1006:AF1006),$AD$1006:$AU$1006,0)))),"Fix")))</f>
        <v xml:space="preserve"> </v>
      </c>
      <c r="E554" s="4" t="str">
        <f ca="1">IF(OR(INDEX($X$2:$X$1001,MATCH(ROWS($W$2:W554),$W$2:$W$1001,0),1)&gt;=100000,INDEX($AD$1005:$AU$1005,1,MATCH(COLUMNS($AD$1006:AG1006),$AD$1006:$AU$1006,0))&gt;=100000), " ",IF(INDEX($AD$2:$AU$1001,MATCH(ROWS($W$2:W554),$W$2:$W$1001,0),MATCH(COLUMNS($AD$1006:AG1006),$AD$1006:$AU$1006,0)), HYPERLINK("#",""), HYPERLINK(CONCATENATE("#metadata!", ADDRESS(INDEX($Y$2:$Y$1001,MATCH(ROWS($W$2:W554),$W$2:$W$1001,0),0), INDEX($AD$1004:$AU$1004,1,MATCH(COLUMNS($AD$1006:AG1006),$AD$1006:$AU$1006,0)))),"Fix")))</f>
        <v xml:space="preserve"> </v>
      </c>
      <c r="F554" s="4" t="str">
        <f ca="1">IF(OR(INDEX($X$2:$X$1001,MATCH(ROWS($W$2:W554),$W$2:$W$1001,0),1)&gt;=100000,INDEX($AD$1005:$AU$1005,1,MATCH(COLUMNS($AD$1006:AH1006),$AD$1006:$AU$1006,0))&gt;=100000), " ",IF(INDEX($AD$2:$AU$1001,MATCH(ROWS($W$2:W554),$W$2:$W$1001,0),MATCH(COLUMNS($AD$1006:AH1006),$AD$1006:$AU$1006,0)), HYPERLINK("#",""), HYPERLINK(CONCATENATE("#metadata!", ADDRESS(INDEX($Y$2:$Y$1001,MATCH(ROWS($W$2:W554),$W$2:$W$1001,0),0), INDEX($AD$1004:$AU$1004,1,MATCH(COLUMNS($AD$1006:AH1006),$AD$1006:$AU$1006,0)))),"Fix")))</f>
        <v xml:space="preserve"> </v>
      </c>
      <c r="G554" s="4" t="str">
        <f ca="1">IF(OR(INDEX($X$2:$X$1001,MATCH(ROWS($W$2:W554),$W$2:$W$1001,0),1)&gt;=100000,INDEX($AD$1005:$AU$1005,1,MATCH(COLUMNS($AD$1006:AI1006),$AD$1006:$AU$1006,0))&gt;=100000), " ",IF(INDEX($AD$2:$AU$1001,MATCH(ROWS($W$2:W554),$W$2:$W$1001,0),MATCH(COLUMNS($AD$1006:AI1006),$AD$1006:$AU$1006,0)), HYPERLINK("#",""), HYPERLINK(CONCATENATE("#metadata!", ADDRESS(INDEX($Y$2:$Y$1001,MATCH(ROWS($W$2:W554),$W$2:$W$1001,0),0), INDEX($AD$1004:$AU$1004,1,MATCH(COLUMNS($AD$1006:AI1006),$AD$1006:$AU$1006,0)))),"Fix")))</f>
        <v xml:space="preserve"> </v>
      </c>
      <c r="H554" s="4" t="str">
        <f ca="1">IF(OR(INDEX($X$2:$X$1001,MATCH(ROWS($W$2:W554),$W$2:$W$1001,0),1)&gt;=100000,INDEX($AD$1005:$AU$1005,1,MATCH(COLUMNS($AD$1006:AJ1006),$AD$1006:$AU$1006,0))&gt;=100000), " ",IF(INDEX($AD$2:$AU$1001,MATCH(ROWS($W$2:W554),$W$2:$W$1001,0),MATCH(COLUMNS($AD$1006:AJ1006),$AD$1006:$AU$1006,0)), HYPERLINK("#",""), HYPERLINK(CONCATENATE("#metadata!", ADDRESS(INDEX($Y$2:$Y$1001,MATCH(ROWS($W$2:W554),$W$2:$W$1001,0),0), INDEX($AD$1004:$AU$1004,1,MATCH(COLUMNS($AD$1006:AJ1006),$AD$1006:$AU$1006,0)))),"Fix")))</f>
        <v xml:space="preserve"> </v>
      </c>
      <c r="I554" s="4" t="str">
        <f ca="1">IF(OR(INDEX($X$2:$X$1001,MATCH(ROWS($W$2:W554),$W$2:$W$1001,0),1)&gt;=100000,INDEX($AD$1005:$AU$1005,1,MATCH(COLUMNS($AD$1006:AK1006),$AD$1006:$AU$1006,0))&gt;=100000), " ",IF(INDEX($AD$2:$AU$1001,MATCH(ROWS($W$2:W554),$W$2:$W$1001,0),MATCH(COLUMNS($AD$1006:AK1006),$AD$1006:$AU$1006,0)), HYPERLINK("#",""), HYPERLINK(CONCATENATE("#metadata!", ADDRESS(INDEX($Y$2:$Y$1001,MATCH(ROWS($W$2:W554),$W$2:$W$1001,0),0), INDEX($AD$1004:$AU$1004,1,MATCH(COLUMNS($AD$1006:AK1006),$AD$1006:$AU$1006,0)))),"Fix")))</f>
        <v xml:space="preserve"> </v>
      </c>
      <c r="J554" s="4" t="str">
        <f ca="1">IF(OR(INDEX($X$2:$X$1001,MATCH(ROWS($W$2:W554),$W$2:$W$1001,0),1)&gt;=100000,INDEX($AD$1005:$AU$1005,1,MATCH(COLUMNS($AD$1006:AL1006),$AD$1006:$AU$1006,0))&gt;=100000), " ",IF(INDEX($AD$2:$AU$1001,MATCH(ROWS($W$2:W554),$W$2:$W$1001,0),MATCH(COLUMNS($AD$1006:AL1006),$AD$1006:$AU$1006,0)), HYPERLINK("#",""), HYPERLINK(CONCATENATE("#metadata!", ADDRESS(INDEX($Y$2:$Y$1001,MATCH(ROWS($W$2:W554),$W$2:$W$1001,0),0), INDEX($AD$1004:$AU$1004,1,MATCH(COLUMNS($AD$1006:AL1006),$AD$1006:$AU$1006,0)))),"Fix")))</f>
        <v xml:space="preserve"> </v>
      </c>
      <c r="K554" s="4" t="str">
        <f ca="1">IF(OR(INDEX($X$2:$X$1001,MATCH(ROWS($W$2:W554),$W$2:$W$1001,0),1)&gt;=100000,INDEX($AD$1005:$AU$1005,1,MATCH(COLUMNS($AD$1006:AM1006),$AD$1006:$AU$1006,0))&gt;=100000), " ",IF(INDEX($AD$2:$AU$1001,MATCH(ROWS($W$2:W554),$W$2:$W$1001,0),MATCH(COLUMNS($AD$1006:AM1006),$AD$1006:$AU$1006,0)), HYPERLINK("#",""), HYPERLINK(CONCATENATE("#metadata!", ADDRESS(INDEX($Y$2:$Y$1001,MATCH(ROWS($W$2:W554),$W$2:$W$1001,0),0), INDEX($AD$1004:$AU$1004,1,MATCH(COLUMNS($AD$1006:AM1006),$AD$1006:$AU$1006,0)))),"Fix")))</f>
        <v xml:space="preserve"> </v>
      </c>
      <c r="L554" s="4" t="str">
        <f ca="1">IF(OR(INDEX($X$2:$X$1001,MATCH(ROWS($W$2:W554),$W$2:$W$1001,0),1)&gt;=100000,INDEX($AD$1005:$AU$1005,1,MATCH(COLUMNS($AD$1006:AN1006),$AD$1006:$AU$1006,0))&gt;=100000), " ",IF(INDEX($AD$2:$AU$1001,MATCH(ROWS($W$2:W554),$W$2:$W$1001,0),MATCH(COLUMNS($AD$1006:AN1006),$AD$1006:$AU$1006,0)), HYPERLINK("#",""), HYPERLINK(CONCATENATE("#metadata!", ADDRESS(INDEX($Y$2:$Y$1001,MATCH(ROWS($W$2:W554),$W$2:$W$1001,0),0), INDEX($AD$1004:$AU$1004,1,MATCH(COLUMNS($AD$1006:AN1006),$AD$1006:$AU$1006,0)))),"Fix")))</f>
        <v xml:space="preserve"> </v>
      </c>
      <c r="M554" s="4" t="str">
        <f ca="1">IF(OR(INDEX($X$2:$X$1001,MATCH(ROWS($W$2:W554),$W$2:$W$1001,0),1)&gt;=100000,INDEX($AD$1005:$AU$1005,1,MATCH(COLUMNS($AD$1006:AO1006),$AD$1006:$AU$1006,0))&gt;=100000), " ",IF(INDEX($AD$2:$AU$1001,MATCH(ROWS($W$2:W554),$W$2:$W$1001,0),MATCH(COLUMNS($AD$1006:AO1006),$AD$1006:$AU$1006,0)), HYPERLINK("#",""), HYPERLINK(CONCATENATE("#metadata!", ADDRESS(INDEX($Y$2:$Y$1001,MATCH(ROWS($W$2:W554),$W$2:$W$1001,0),0), INDEX($AD$1004:$AU$1004,1,MATCH(COLUMNS($AD$1006:AO1006),$AD$1006:$AU$1006,0)))),"Fix")))</f>
        <v xml:space="preserve"> </v>
      </c>
      <c r="N554" s="4" t="str">
        <f ca="1">IF(OR(INDEX($X$2:$X$1001,MATCH(ROWS($W$2:W554),$W$2:$W$1001,0),1)&gt;=100000,INDEX($AD$1005:$AU$1005,1,MATCH(COLUMNS($AD$1006:AP1006),$AD$1006:$AU$1006,0))&gt;=100000), " ",IF(INDEX($AD$2:$AU$1001,MATCH(ROWS($W$2:W554),$W$2:$W$1001,0),MATCH(COLUMNS($AD$1006:AP1006),$AD$1006:$AU$1006,0)), HYPERLINK("#",""), HYPERLINK(CONCATENATE("#metadata!", ADDRESS(INDEX($Y$2:$Y$1001,MATCH(ROWS($W$2:W554),$W$2:$W$1001,0),0), INDEX($AD$1004:$AU$1004,1,MATCH(COLUMNS($AD$1006:AP1006),$AD$1006:$AU$1006,0)))),"Fix")))</f>
        <v xml:space="preserve"> </v>
      </c>
      <c r="O554" s="4" t="str">
        <f ca="1">IF(OR(INDEX($X$2:$X$1001,MATCH(ROWS($W$2:W554),$W$2:$W$1001,0),1)&gt;=100000,INDEX($AD$1005:$AU$1005,1,MATCH(COLUMNS($AD$1006:AQ1006),$AD$1006:$AU$1006,0))&gt;=100000), " ",IF(INDEX($AD$2:$AU$1001,MATCH(ROWS($W$2:W554),$W$2:$W$1001,0),MATCH(COLUMNS($AD$1006:AQ1006),$AD$1006:$AU$1006,0)), HYPERLINK("#",""), HYPERLINK(CONCATENATE("#metadata!", ADDRESS(INDEX($Y$2:$Y$1001,MATCH(ROWS($W$2:W554),$W$2:$W$1001,0),0), INDEX($AD$1004:$AU$1004,1,MATCH(COLUMNS($AD$1006:AQ1006),$AD$1006:$AU$1006,0)))),"Fix")))</f>
        <v xml:space="preserve"> </v>
      </c>
      <c r="P554" s="4" t="str">
        <f ca="1">IF(OR(INDEX($X$2:$X$1001,MATCH(ROWS($W$2:W554),$W$2:$W$1001,0),1)&gt;=100000,INDEX($AD$1005:$AU$1005,1,MATCH(COLUMNS($AD$1006:AR1006),$AD$1006:$AU$1006,0))&gt;=100000), " ",IF(INDEX($AD$2:$AU$1001,MATCH(ROWS($W$2:W554),$W$2:$W$1001,0),MATCH(COLUMNS($AD$1006:AR1006),$AD$1006:$AU$1006,0)), HYPERLINK("#",""), HYPERLINK(CONCATENATE("#metadata!", ADDRESS(INDEX($Y$2:$Y$1001,MATCH(ROWS($W$2:W554),$W$2:$W$1001,0),0), INDEX($AD$1004:$AU$1004,1,MATCH(COLUMNS($AD$1006:AR1006),$AD$1006:$AU$1006,0)))),"Fix")))</f>
        <v xml:space="preserve"> </v>
      </c>
      <c r="Q554" s="4" t="str">
        <f ca="1">IF(OR(INDEX($X$2:$X$1001,MATCH(ROWS($W$2:W554),$W$2:$W$1001,0),1)&gt;=100000,INDEX($AD$1005:$AU$1005,1,MATCH(COLUMNS($AD$1006:AS1006),$AD$1006:$AU$1006,0))&gt;=100000), " ",IF(INDEX($AD$2:$AU$1001,MATCH(ROWS($W$2:W554),$W$2:$W$1001,0),MATCH(COLUMNS($AD$1006:AS1006),$AD$1006:$AU$1006,0)), HYPERLINK("#",""), HYPERLINK(CONCATENATE("#metadata!", ADDRESS(INDEX($Y$2:$Y$1001,MATCH(ROWS($W$2:W554),$W$2:$W$1001,0),0), INDEX($AD$1004:$AU$1004,1,MATCH(COLUMNS($AD$1006:AS1006),$AD$1006:$AU$1006,0)))),"Fix")))</f>
        <v xml:space="preserve"> </v>
      </c>
      <c r="R554" s="4" t="str">
        <f ca="1">IF(OR(INDEX($X$2:$X$1001,MATCH(ROWS($W$2:W554),$W$2:$W$1001,0),1)&gt;=100000,INDEX($AD$1005:$AU$1005,1,MATCH(COLUMNS($AD$1006:AT1006),$AD$1006:$AU$1006,0))&gt;=100000), " ",IF(INDEX($AD$2:$AU$1001,MATCH(ROWS($W$2:W554),$W$2:$W$1001,0),MATCH(COLUMNS($AD$1006:AT1006),$AD$1006:$AU$1006,0)), HYPERLINK("#",""), HYPERLINK(CONCATENATE("#metadata!", ADDRESS(INDEX($Y$2:$Y$1001,MATCH(ROWS($W$2:W554),$W$2:$W$1001,0),0), INDEX($AD$1004:$AU$1004,1,MATCH(COLUMNS($AD$1006:AT1006),$AD$1006:$AU$1006,0)))),"Fix")))</f>
        <v xml:space="preserve"> </v>
      </c>
      <c r="S554" s="4" t="str">
        <f ca="1">IF(OR(INDEX($X$2:$X$1001,MATCH(ROWS($W$2:W554),$W$2:$W$1001,0),1)&gt;=100000,INDEX($AD$1005:$AU$1005,1,MATCH(COLUMNS($AD$1006:AU1006),$AD$1006:$AU$1006,0))&gt;=100000), " ",IF(INDEX($AD$2:$AU$1001,MATCH(ROWS($W$2:W554),$W$2:$W$1001,0),MATCH(COLUMNS($AD$1006:AU1006),$AD$1006:$AU$1006,0)), HYPERLINK("#",""), HYPERLINK(CONCATENATE("#metadata!", ADDRESS(INDEX($Y$2:$Y$1001,MATCH(ROWS($W$2:W554),$W$2:$W$1001,0),0), INDEX($AD$1004:$AU$1004,1,MATCH(COLUMNS($AD$1006:AU1006),$AD$1006:$AU$1006,0)))),"Fix")))</f>
        <v xml:space="preserve"> </v>
      </c>
      <c r="W554">
        <v>553</v>
      </c>
      <c r="X554">
        <v>100554</v>
      </c>
      <c r="Y554">
        <v>554</v>
      </c>
      <c r="Z554" t="b">
        <f t="shared" si="8"/>
        <v>1</v>
      </c>
      <c r="AA554" t="b">
        <f>COUNTBLANK(metadata!B554:S554)=COLUMNS(metadata!B554:S554)</f>
        <v>1</v>
      </c>
      <c r="AB554" t="str">
        <v/>
      </c>
      <c r="AD554" t="b">
        <f ca="1">AND(IF(metadata!B554="",FALSE,TRUE),COUNTIF(metadata!B:B, metadata!B554) = 1,NOT(ISERROR(SUMPRODUCT(SEARCH(MID(metadata!B554,ROW(INDIRECT("1:"&amp;LEN(metadata!B554))), 1),"0123456789abcdefghijklmnopqrstuvwxyzABCDEFGHIJKLMNOPQRSTUVWXYZ.")))))</f>
        <v>0</v>
      </c>
      <c r="AE554" t="b">
        <f>OR(AND(IF(metadata!C554="",FALSE,TRUE),OR(EXACT(metadata!C554,"not applicable"),EXACT(metadata!C554,"missing: not collected"),EXACT(metadata!C554,"missing: not provided"),EXACT(metadata!C554,"missing: restricted access"))),AND(IF(metadata!C554="",FALSE,ISNUMBER(VALUE(metadata!C554))),metadata!C554&gt;0))</f>
        <v>0</v>
      </c>
      <c r="AF554" t="b">
        <f>AND(IF(metadata!D554="",FALSE,TRUE),EXACT(metadata!D554,"missing: not provided"))</f>
        <v>0</v>
      </c>
      <c r="AG554" t="b">
        <f>AND(IF(metadata!E554="",FALSE,TRUE),EXACT(metadata!E554,"Host-associated"))</f>
        <v>0</v>
      </c>
      <c r="AH554" t="b">
        <f>AND(IF(metadata!F554="",FALSE,TRUE),OR(EXACT(metadata!F554,"Animal"),EXACT(metadata!F554,"Fungus"),EXACT(metadata!F554,"Plant")))</f>
        <v>0</v>
      </c>
      <c r="AI554" t="b">
        <f>AND(IF(metadata!G554="",FALSE,TRUE),OR(EXACT(metadata!G554,"Plant secretion"),EXACT(metadata!G554,"Plant rhizosphere"),EXACT(metadata!G554,"Plant surface"),EXACT(metadata!G554,"Plant corpus"),EXACT(metadata!G554,"Fungus surface"),EXACT(metadata!G554,"Fungus corpus"),EXACT(metadata!G554,"Animal surface"),EXACT(metadata!G554,"Animal proximal gut"),EXACT(metadata!G554,"Animal corpus"),EXACT(metadata!G554,"Animal distal gut"),EXACT(metadata!G554,"Animal secretion")))</f>
        <v>0</v>
      </c>
      <c r="AJ554" t="b">
        <f>OR(AND(IF(metadata!H554="",FALSE,TRUE),OR(EXACT(metadata!H554,"missing: not collected"),EXACT(metadata!H554,"missing: not provided"),EXACT(metadata!H554,"missing: restricted access"))),AND(IF(metadata!H554="",FALSE,TRUE),OR(EXACT(metadata!H554,"organism-associated habitat"),EXACT(metadata!H554,"plant-associated habitat"),EXACT(metadata!H554,"animal-associated habitat"),EXACT(metadata!H554,"insecta-associated habitat"),EXACT(metadata!H554,"mammalia-associated habitat"),EXACT(metadata!H554,"human-associated habitat"),EXACT(metadata!H554,"livestock-associated habitat"))))</f>
        <v>0</v>
      </c>
      <c r="AK554" t="b">
        <f>AND(IF(metadata!I554="",FALSE,TRUE),EXACT(metadata!I554,"host-associated"))</f>
        <v>0</v>
      </c>
      <c r="AL554" t="b">
        <f>OR(AND(IF(metadata!J554="",FALSE,TRUE),OR(EXACT(metadata!J554,"not applicable"),EXACT(metadata!J554,"missing: not collected"),EXACT(metadata!J554,"missing: not provided"),EXACT(metadata!J554,"missing: restricted access"))),AND(IF(metadata!J554="",FALSE,ISNUMBER(VALUE(metadata!J554))),metadata!J554&gt;0))</f>
        <v>0</v>
      </c>
      <c r="AM554" t="b">
        <f>AND(IF(metadata!K554="",FALSE,TRUE),EXACT(metadata!K554,"missing: not provided"))</f>
        <v>0</v>
      </c>
      <c r="AN554" t="b">
        <f>IF(metadata!L554="",FALSE,TRUE)</f>
        <v>0</v>
      </c>
      <c r="AO554" t="b">
        <f>IF(metadata!M554="",FALSE,TRUE)</f>
        <v>0</v>
      </c>
      <c r="AP554" t="b">
        <f>OR(AND(IF(metadata!N554="",FALSE,TRUE),OR(EXACT(metadata!N554,"not applicable"),EXACT(metadata!N554,"missing: not collected"),EXACT(metadata!N554,"missing: not provided"))),AND(IF(metadata!N554="",FALSE,IF(ISERROR(INT(metadata!N554)),FALSE,INT(metadata!N554)=metadata!N554)),metadata!N554&gt;0))</f>
        <v>0</v>
      </c>
      <c r="AQ554" t="b">
        <f>AND(IF(metadata!O554="",FALSE,TRUE),EXACT(metadata!O554,"Not applicable"))</f>
        <v>0</v>
      </c>
      <c r="AR554" t="b">
        <f>OR(AND(IF(metadata!P554="",FALSE,TRUE),OR(EXACT(metadata!P554,"not applicable"),EXACT(metadata!P554,"missing: not collected"),EXACT(metadata!P554,"missing: not provided"),EXACT(metadata!P554,"missing: restricted access"))),IF(metadata!P554="",FALSE,IF(ISERROR(INT(metadata!P554)),FALSE,INT(metadata!P554)=metadata!P554)))</f>
        <v>0</v>
      </c>
      <c r="AS554" t="b">
        <f>AND(IF(metadata!Q554="",FALSE,TRUE),EXACT(metadata!Q554,"Not applicable"))</f>
        <v>0</v>
      </c>
      <c r="AT554" t="b">
        <f>OR(AND(IF(metadata!R554="",FALSE,TRUE),OR(EXACT(metadata!R554,"not applicable"),EXACT(metadata!R554,"missing: not collected"),EXACT(metadata!R554,"missing: not provided"),EXACT(metadata!R554,"missing: restricted access"))),AND(IF(metadata!R554="",FALSE,ISNUMBER(VALUE(metadata!R554))),metadata!R554&gt;0))</f>
        <v>0</v>
      </c>
      <c r="AU554" t="b">
        <f>AND(IF(metadata!S554="",FALSE,TRUE),EXACT(metadata!S554,"missing: not provided"))</f>
        <v>0</v>
      </c>
    </row>
    <row r="555" spans="1:47" x14ac:dyDescent="0.2">
      <c r="A555" s="5" t="str">
        <f ca="1">IF(B555=" "," ",HYPERLINK(CONCATENATE("#metadata!",ADDRESS(INDEX($Y$2:$Y$1001,MATCH(ROWS($W$2:W555),$W$2:$W$1001,0),0),1)),INDEX($AB$2:$AB$1001,MATCH(ROWS($W$2:W555),$W$2:$W$1001,0),0)))</f>
        <v xml:space="preserve"> </v>
      </c>
      <c r="B555" s="4" t="str">
        <f ca="1">IF(OR(INDEX($X$2:$X$1001,MATCH(ROWS($W$2:W555),$W$2:$W$1001,0),1)&gt;=100000,INDEX($AD$1005:$AU$1005,1,MATCH(COLUMNS($AD$1006:AD1006),$AD$1006:$AU$1006,0))&gt;=100000), " ",IF(INDEX($AD$2:$AU$1001,MATCH(ROWS($W$2:W555),$W$2:$W$1001,0),MATCH(COLUMNS($AD$1006:AD1006),$AD$1006:$AU$1006,0)), HYPERLINK("#",""), HYPERLINK(CONCATENATE("#metadata!", ADDRESS(INDEX($Y$2:$Y$1001,MATCH(ROWS($W$2:W555),$W$2:$W$1001,0),0), INDEX($AD$1004:$AU$1004,1,MATCH(COLUMNS($AD$1006:AD1006),$AD$1006:$AU$1006,0)))),"Fix")))</f>
        <v xml:space="preserve"> </v>
      </c>
      <c r="C555" s="4" t="str">
        <f ca="1">IF(OR(INDEX($X$2:$X$1001,MATCH(ROWS($W$2:W555),$W$2:$W$1001,0),1)&gt;=100000,INDEX($AD$1005:$AU$1005,1,MATCH(COLUMNS($AD$1006:AE1006),$AD$1006:$AU$1006,0))&gt;=100000), " ",IF(INDEX($AD$2:$AU$1001,MATCH(ROWS($W$2:W555),$W$2:$W$1001,0),MATCH(COLUMNS($AD$1006:AE1006),$AD$1006:$AU$1006,0)), HYPERLINK("#",""), HYPERLINK(CONCATENATE("#metadata!", ADDRESS(INDEX($Y$2:$Y$1001,MATCH(ROWS($W$2:W555),$W$2:$W$1001,0),0), INDEX($AD$1004:$AU$1004,1,MATCH(COLUMNS($AD$1006:AE1006),$AD$1006:$AU$1006,0)))),"Fix")))</f>
        <v xml:space="preserve"> </v>
      </c>
      <c r="D555" s="4" t="str">
        <f ca="1">IF(OR(INDEX($X$2:$X$1001,MATCH(ROWS($W$2:W555),$W$2:$W$1001,0),1)&gt;=100000,INDEX($AD$1005:$AU$1005,1,MATCH(COLUMNS($AD$1006:AF1006),$AD$1006:$AU$1006,0))&gt;=100000), " ",IF(INDEX($AD$2:$AU$1001,MATCH(ROWS($W$2:W555),$W$2:$W$1001,0),MATCH(COLUMNS($AD$1006:AF1006),$AD$1006:$AU$1006,0)), HYPERLINK("#",""), HYPERLINK(CONCATENATE("#metadata!", ADDRESS(INDEX($Y$2:$Y$1001,MATCH(ROWS($W$2:W555),$W$2:$W$1001,0),0), INDEX($AD$1004:$AU$1004,1,MATCH(COLUMNS($AD$1006:AF1006),$AD$1006:$AU$1006,0)))),"Fix")))</f>
        <v xml:space="preserve"> </v>
      </c>
      <c r="E555" s="4" t="str">
        <f ca="1">IF(OR(INDEX($X$2:$X$1001,MATCH(ROWS($W$2:W555),$W$2:$W$1001,0),1)&gt;=100000,INDEX($AD$1005:$AU$1005,1,MATCH(COLUMNS($AD$1006:AG1006),$AD$1006:$AU$1006,0))&gt;=100000), " ",IF(INDEX($AD$2:$AU$1001,MATCH(ROWS($W$2:W555),$W$2:$W$1001,0),MATCH(COLUMNS($AD$1006:AG1006),$AD$1006:$AU$1006,0)), HYPERLINK("#",""), HYPERLINK(CONCATENATE("#metadata!", ADDRESS(INDEX($Y$2:$Y$1001,MATCH(ROWS($W$2:W555),$W$2:$W$1001,0),0), INDEX($AD$1004:$AU$1004,1,MATCH(COLUMNS($AD$1006:AG1006),$AD$1006:$AU$1006,0)))),"Fix")))</f>
        <v xml:space="preserve"> </v>
      </c>
      <c r="F555" s="4" t="str">
        <f ca="1">IF(OR(INDEX($X$2:$X$1001,MATCH(ROWS($W$2:W555),$W$2:$W$1001,0),1)&gt;=100000,INDEX($AD$1005:$AU$1005,1,MATCH(COLUMNS($AD$1006:AH1006),$AD$1006:$AU$1006,0))&gt;=100000), " ",IF(INDEX($AD$2:$AU$1001,MATCH(ROWS($W$2:W555),$W$2:$W$1001,0),MATCH(COLUMNS($AD$1006:AH1006),$AD$1006:$AU$1006,0)), HYPERLINK("#",""), HYPERLINK(CONCATENATE("#metadata!", ADDRESS(INDEX($Y$2:$Y$1001,MATCH(ROWS($W$2:W555),$W$2:$W$1001,0),0), INDEX($AD$1004:$AU$1004,1,MATCH(COLUMNS($AD$1006:AH1006),$AD$1006:$AU$1006,0)))),"Fix")))</f>
        <v xml:space="preserve"> </v>
      </c>
      <c r="G555" s="4" t="str">
        <f ca="1">IF(OR(INDEX($X$2:$X$1001,MATCH(ROWS($W$2:W555),$W$2:$W$1001,0),1)&gt;=100000,INDEX($AD$1005:$AU$1005,1,MATCH(COLUMNS($AD$1006:AI1006),$AD$1006:$AU$1006,0))&gt;=100000), " ",IF(INDEX($AD$2:$AU$1001,MATCH(ROWS($W$2:W555),$W$2:$W$1001,0),MATCH(COLUMNS($AD$1006:AI1006),$AD$1006:$AU$1006,0)), HYPERLINK("#",""), HYPERLINK(CONCATENATE("#metadata!", ADDRESS(INDEX($Y$2:$Y$1001,MATCH(ROWS($W$2:W555),$W$2:$W$1001,0),0), INDEX($AD$1004:$AU$1004,1,MATCH(COLUMNS($AD$1006:AI1006),$AD$1006:$AU$1006,0)))),"Fix")))</f>
        <v xml:space="preserve"> </v>
      </c>
      <c r="H555" s="4" t="str">
        <f ca="1">IF(OR(INDEX($X$2:$X$1001,MATCH(ROWS($W$2:W555),$W$2:$W$1001,0),1)&gt;=100000,INDEX($AD$1005:$AU$1005,1,MATCH(COLUMNS($AD$1006:AJ1006),$AD$1006:$AU$1006,0))&gt;=100000), " ",IF(INDEX($AD$2:$AU$1001,MATCH(ROWS($W$2:W555),$W$2:$W$1001,0),MATCH(COLUMNS($AD$1006:AJ1006),$AD$1006:$AU$1006,0)), HYPERLINK("#",""), HYPERLINK(CONCATENATE("#metadata!", ADDRESS(INDEX($Y$2:$Y$1001,MATCH(ROWS($W$2:W555),$W$2:$W$1001,0),0), INDEX($AD$1004:$AU$1004,1,MATCH(COLUMNS($AD$1006:AJ1006),$AD$1006:$AU$1006,0)))),"Fix")))</f>
        <v xml:space="preserve"> </v>
      </c>
      <c r="I555" s="4" t="str">
        <f ca="1">IF(OR(INDEX($X$2:$X$1001,MATCH(ROWS($W$2:W555),$W$2:$W$1001,0),1)&gt;=100000,INDEX($AD$1005:$AU$1005,1,MATCH(COLUMNS($AD$1006:AK1006),$AD$1006:$AU$1006,0))&gt;=100000), " ",IF(INDEX($AD$2:$AU$1001,MATCH(ROWS($W$2:W555),$W$2:$W$1001,0),MATCH(COLUMNS($AD$1006:AK1006),$AD$1006:$AU$1006,0)), HYPERLINK("#",""), HYPERLINK(CONCATENATE("#metadata!", ADDRESS(INDEX($Y$2:$Y$1001,MATCH(ROWS($W$2:W555),$W$2:$W$1001,0),0), INDEX($AD$1004:$AU$1004,1,MATCH(COLUMNS($AD$1006:AK1006),$AD$1006:$AU$1006,0)))),"Fix")))</f>
        <v xml:space="preserve"> </v>
      </c>
      <c r="J555" s="4" t="str">
        <f ca="1">IF(OR(INDEX($X$2:$X$1001,MATCH(ROWS($W$2:W555),$W$2:$W$1001,0),1)&gt;=100000,INDEX($AD$1005:$AU$1005,1,MATCH(COLUMNS($AD$1006:AL1006),$AD$1006:$AU$1006,0))&gt;=100000), " ",IF(INDEX($AD$2:$AU$1001,MATCH(ROWS($W$2:W555),$W$2:$W$1001,0),MATCH(COLUMNS($AD$1006:AL1006),$AD$1006:$AU$1006,0)), HYPERLINK("#",""), HYPERLINK(CONCATENATE("#metadata!", ADDRESS(INDEX($Y$2:$Y$1001,MATCH(ROWS($W$2:W555),$W$2:$W$1001,0),0), INDEX($AD$1004:$AU$1004,1,MATCH(COLUMNS($AD$1006:AL1006),$AD$1006:$AU$1006,0)))),"Fix")))</f>
        <v xml:space="preserve"> </v>
      </c>
      <c r="K555" s="4" t="str">
        <f ca="1">IF(OR(INDEX($X$2:$X$1001,MATCH(ROWS($W$2:W555),$W$2:$W$1001,0),1)&gt;=100000,INDEX($AD$1005:$AU$1005,1,MATCH(COLUMNS($AD$1006:AM1006),$AD$1006:$AU$1006,0))&gt;=100000), " ",IF(INDEX($AD$2:$AU$1001,MATCH(ROWS($W$2:W555),$W$2:$W$1001,0),MATCH(COLUMNS($AD$1006:AM1006),$AD$1006:$AU$1006,0)), HYPERLINK("#",""), HYPERLINK(CONCATENATE("#metadata!", ADDRESS(INDEX($Y$2:$Y$1001,MATCH(ROWS($W$2:W555),$W$2:$W$1001,0),0), INDEX($AD$1004:$AU$1004,1,MATCH(COLUMNS($AD$1006:AM1006),$AD$1006:$AU$1006,0)))),"Fix")))</f>
        <v xml:space="preserve"> </v>
      </c>
      <c r="L555" s="4" t="str">
        <f ca="1">IF(OR(INDEX($X$2:$X$1001,MATCH(ROWS($W$2:W555),$W$2:$W$1001,0),1)&gt;=100000,INDEX($AD$1005:$AU$1005,1,MATCH(COLUMNS($AD$1006:AN1006),$AD$1006:$AU$1006,0))&gt;=100000), " ",IF(INDEX($AD$2:$AU$1001,MATCH(ROWS($W$2:W555),$W$2:$W$1001,0),MATCH(COLUMNS($AD$1006:AN1006),$AD$1006:$AU$1006,0)), HYPERLINK("#",""), HYPERLINK(CONCATENATE("#metadata!", ADDRESS(INDEX($Y$2:$Y$1001,MATCH(ROWS($W$2:W555),$W$2:$W$1001,0),0), INDEX($AD$1004:$AU$1004,1,MATCH(COLUMNS($AD$1006:AN1006),$AD$1006:$AU$1006,0)))),"Fix")))</f>
        <v xml:space="preserve"> </v>
      </c>
      <c r="M555" s="4" t="str">
        <f ca="1">IF(OR(INDEX($X$2:$X$1001,MATCH(ROWS($W$2:W555),$W$2:$W$1001,0),1)&gt;=100000,INDEX($AD$1005:$AU$1005,1,MATCH(COLUMNS($AD$1006:AO1006),$AD$1006:$AU$1006,0))&gt;=100000), " ",IF(INDEX($AD$2:$AU$1001,MATCH(ROWS($W$2:W555),$W$2:$W$1001,0),MATCH(COLUMNS($AD$1006:AO1006),$AD$1006:$AU$1006,0)), HYPERLINK("#",""), HYPERLINK(CONCATENATE("#metadata!", ADDRESS(INDEX($Y$2:$Y$1001,MATCH(ROWS($W$2:W555),$W$2:$W$1001,0),0), INDEX($AD$1004:$AU$1004,1,MATCH(COLUMNS($AD$1006:AO1006),$AD$1006:$AU$1006,0)))),"Fix")))</f>
        <v xml:space="preserve"> </v>
      </c>
      <c r="N555" s="4" t="str">
        <f ca="1">IF(OR(INDEX($X$2:$X$1001,MATCH(ROWS($W$2:W555),$W$2:$W$1001,0),1)&gt;=100000,INDEX($AD$1005:$AU$1005,1,MATCH(COLUMNS($AD$1006:AP1006),$AD$1006:$AU$1006,0))&gt;=100000), " ",IF(INDEX($AD$2:$AU$1001,MATCH(ROWS($W$2:W555),$W$2:$W$1001,0),MATCH(COLUMNS($AD$1006:AP1006),$AD$1006:$AU$1006,0)), HYPERLINK("#",""), HYPERLINK(CONCATENATE("#metadata!", ADDRESS(INDEX($Y$2:$Y$1001,MATCH(ROWS($W$2:W555),$W$2:$W$1001,0),0), INDEX($AD$1004:$AU$1004,1,MATCH(COLUMNS($AD$1006:AP1006),$AD$1006:$AU$1006,0)))),"Fix")))</f>
        <v xml:space="preserve"> </v>
      </c>
      <c r="O555" s="4" t="str">
        <f ca="1">IF(OR(INDEX($X$2:$X$1001,MATCH(ROWS($W$2:W555),$W$2:$W$1001,0),1)&gt;=100000,INDEX($AD$1005:$AU$1005,1,MATCH(COLUMNS($AD$1006:AQ1006),$AD$1006:$AU$1006,0))&gt;=100000), " ",IF(INDEX($AD$2:$AU$1001,MATCH(ROWS($W$2:W555),$W$2:$W$1001,0),MATCH(COLUMNS($AD$1006:AQ1006),$AD$1006:$AU$1006,0)), HYPERLINK("#",""), HYPERLINK(CONCATENATE("#metadata!", ADDRESS(INDEX($Y$2:$Y$1001,MATCH(ROWS($W$2:W555),$W$2:$W$1001,0),0), INDEX($AD$1004:$AU$1004,1,MATCH(COLUMNS($AD$1006:AQ1006),$AD$1006:$AU$1006,0)))),"Fix")))</f>
        <v xml:space="preserve"> </v>
      </c>
      <c r="P555" s="4" t="str">
        <f ca="1">IF(OR(INDEX($X$2:$X$1001,MATCH(ROWS($W$2:W555),$W$2:$W$1001,0),1)&gt;=100000,INDEX($AD$1005:$AU$1005,1,MATCH(COLUMNS($AD$1006:AR1006),$AD$1006:$AU$1006,0))&gt;=100000), " ",IF(INDEX($AD$2:$AU$1001,MATCH(ROWS($W$2:W555),$W$2:$W$1001,0),MATCH(COLUMNS($AD$1006:AR1006),$AD$1006:$AU$1006,0)), HYPERLINK("#",""), HYPERLINK(CONCATENATE("#metadata!", ADDRESS(INDEX($Y$2:$Y$1001,MATCH(ROWS($W$2:W555),$W$2:$W$1001,0),0), INDEX($AD$1004:$AU$1004,1,MATCH(COLUMNS($AD$1006:AR1006),$AD$1006:$AU$1006,0)))),"Fix")))</f>
        <v xml:space="preserve"> </v>
      </c>
      <c r="Q555" s="4" t="str">
        <f ca="1">IF(OR(INDEX($X$2:$X$1001,MATCH(ROWS($W$2:W555),$W$2:$W$1001,0),1)&gt;=100000,INDEX($AD$1005:$AU$1005,1,MATCH(COLUMNS($AD$1006:AS1006),$AD$1006:$AU$1006,0))&gt;=100000), " ",IF(INDEX($AD$2:$AU$1001,MATCH(ROWS($W$2:W555),$W$2:$W$1001,0),MATCH(COLUMNS($AD$1006:AS1006),$AD$1006:$AU$1006,0)), HYPERLINK("#",""), HYPERLINK(CONCATENATE("#metadata!", ADDRESS(INDEX($Y$2:$Y$1001,MATCH(ROWS($W$2:W555),$W$2:$W$1001,0),0), INDEX($AD$1004:$AU$1004,1,MATCH(COLUMNS($AD$1006:AS1006),$AD$1006:$AU$1006,0)))),"Fix")))</f>
        <v xml:space="preserve"> </v>
      </c>
      <c r="R555" s="4" t="str">
        <f ca="1">IF(OR(INDEX($X$2:$X$1001,MATCH(ROWS($W$2:W555),$W$2:$W$1001,0),1)&gt;=100000,INDEX($AD$1005:$AU$1005,1,MATCH(COLUMNS($AD$1006:AT1006),$AD$1006:$AU$1006,0))&gt;=100000), " ",IF(INDEX($AD$2:$AU$1001,MATCH(ROWS($W$2:W555),$W$2:$W$1001,0),MATCH(COLUMNS($AD$1006:AT1006),$AD$1006:$AU$1006,0)), HYPERLINK("#",""), HYPERLINK(CONCATENATE("#metadata!", ADDRESS(INDEX($Y$2:$Y$1001,MATCH(ROWS($W$2:W555),$W$2:$W$1001,0),0), INDEX($AD$1004:$AU$1004,1,MATCH(COLUMNS($AD$1006:AT1006),$AD$1006:$AU$1006,0)))),"Fix")))</f>
        <v xml:space="preserve"> </v>
      </c>
      <c r="S555" s="4" t="str">
        <f ca="1">IF(OR(INDEX($X$2:$X$1001,MATCH(ROWS($W$2:W555),$W$2:$W$1001,0),1)&gt;=100000,INDEX($AD$1005:$AU$1005,1,MATCH(COLUMNS($AD$1006:AU1006),$AD$1006:$AU$1006,0))&gt;=100000), " ",IF(INDEX($AD$2:$AU$1001,MATCH(ROWS($W$2:W555),$W$2:$W$1001,0),MATCH(COLUMNS($AD$1006:AU1006),$AD$1006:$AU$1006,0)), HYPERLINK("#",""), HYPERLINK(CONCATENATE("#metadata!", ADDRESS(INDEX($Y$2:$Y$1001,MATCH(ROWS($W$2:W555),$W$2:$W$1001,0),0), INDEX($AD$1004:$AU$1004,1,MATCH(COLUMNS($AD$1006:AU1006),$AD$1006:$AU$1006,0)))),"Fix")))</f>
        <v xml:space="preserve"> </v>
      </c>
      <c r="W555">
        <v>554</v>
      </c>
      <c r="X555">
        <v>100555</v>
      </c>
      <c r="Y555">
        <v>555</v>
      </c>
      <c r="Z555" t="b">
        <f t="shared" si="8"/>
        <v>1</v>
      </c>
      <c r="AA555" t="b">
        <f>COUNTBLANK(metadata!B555:S555)=COLUMNS(metadata!B555:S555)</f>
        <v>1</v>
      </c>
      <c r="AB555" t="str">
        <v/>
      </c>
      <c r="AD555" t="b">
        <f ca="1">AND(IF(metadata!B555="",FALSE,TRUE),COUNTIF(metadata!B:B, metadata!B555) = 1,NOT(ISERROR(SUMPRODUCT(SEARCH(MID(metadata!B555,ROW(INDIRECT("1:"&amp;LEN(metadata!B555))), 1),"0123456789abcdefghijklmnopqrstuvwxyzABCDEFGHIJKLMNOPQRSTUVWXYZ.")))))</f>
        <v>0</v>
      </c>
      <c r="AE555" t="b">
        <f>OR(AND(IF(metadata!C555="",FALSE,TRUE),OR(EXACT(metadata!C555,"not applicable"),EXACT(metadata!C555,"missing: not collected"),EXACT(metadata!C555,"missing: not provided"),EXACT(metadata!C555,"missing: restricted access"))),AND(IF(metadata!C555="",FALSE,ISNUMBER(VALUE(metadata!C555))),metadata!C555&gt;0))</f>
        <v>0</v>
      </c>
      <c r="AF555" t="b">
        <f>AND(IF(metadata!D555="",FALSE,TRUE),EXACT(metadata!D555,"missing: not provided"))</f>
        <v>0</v>
      </c>
      <c r="AG555" t="b">
        <f>AND(IF(metadata!E555="",FALSE,TRUE),EXACT(metadata!E555,"Host-associated"))</f>
        <v>0</v>
      </c>
      <c r="AH555" t="b">
        <f>AND(IF(metadata!F555="",FALSE,TRUE),OR(EXACT(metadata!F555,"Animal"),EXACT(metadata!F555,"Fungus"),EXACT(metadata!F555,"Plant")))</f>
        <v>0</v>
      </c>
      <c r="AI555" t="b">
        <f>AND(IF(metadata!G555="",FALSE,TRUE),OR(EXACT(metadata!G555,"Plant secretion"),EXACT(metadata!G555,"Plant rhizosphere"),EXACT(metadata!G555,"Plant surface"),EXACT(metadata!G555,"Plant corpus"),EXACT(metadata!G555,"Fungus surface"),EXACT(metadata!G555,"Fungus corpus"),EXACT(metadata!G555,"Animal surface"),EXACT(metadata!G555,"Animal proximal gut"),EXACT(metadata!G555,"Animal corpus"),EXACT(metadata!G555,"Animal distal gut"),EXACT(metadata!G555,"Animal secretion")))</f>
        <v>0</v>
      </c>
      <c r="AJ555" t="b">
        <f>OR(AND(IF(metadata!H555="",FALSE,TRUE),OR(EXACT(metadata!H555,"missing: not collected"),EXACT(metadata!H555,"missing: not provided"),EXACT(metadata!H555,"missing: restricted access"))),AND(IF(metadata!H555="",FALSE,TRUE),OR(EXACT(metadata!H555,"organism-associated habitat"),EXACT(metadata!H555,"plant-associated habitat"),EXACT(metadata!H555,"animal-associated habitat"),EXACT(metadata!H555,"insecta-associated habitat"),EXACT(metadata!H555,"mammalia-associated habitat"),EXACT(metadata!H555,"human-associated habitat"),EXACT(metadata!H555,"livestock-associated habitat"))))</f>
        <v>0</v>
      </c>
      <c r="AK555" t="b">
        <f>AND(IF(metadata!I555="",FALSE,TRUE),EXACT(metadata!I555,"host-associated"))</f>
        <v>0</v>
      </c>
      <c r="AL555" t="b">
        <f>OR(AND(IF(metadata!J555="",FALSE,TRUE),OR(EXACT(metadata!J555,"not applicable"),EXACT(metadata!J555,"missing: not collected"),EXACT(metadata!J555,"missing: not provided"),EXACT(metadata!J555,"missing: restricted access"))),AND(IF(metadata!J555="",FALSE,ISNUMBER(VALUE(metadata!J555))),metadata!J555&gt;0))</f>
        <v>0</v>
      </c>
      <c r="AM555" t="b">
        <f>AND(IF(metadata!K555="",FALSE,TRUE),EXACT(metadata!K555,"missing: not provided"))</f>
        <v>0</v>
      </c>
      <c r="AN555" t="b">
        <f>IF(metadata!L555="",FALSE,TRUE)</f>
        <v>0</v>
      </c>
      <c r="AO555" t="b">
        <f>IF(metadata!M555="",FALSE,TRUE)</f>
        <v>0</v>
      </c>
      <c r="AP555" t="b">
        <f>OR(AND(IF(metadata!N555="",FALSE,TRUE),OR(EXACT(metadata!N555,"not applicable"),EXACT(metadata!N555,"missing: not collected"),EXACT(metadata!N555,"missing: not provided"))),AND(IF(metadata!N555="",FALSE,IF(ISERROR(INT(metadata!N555)),FALSE,INT(metadata!N555)=metadata!N555)),metadata!N555&gt;0))</f>
        <v>0</v>
      </c>
      <c r="AQ555" t="b">
        <f>AND(IF(metadata!O555="",FALSE,TRUE),EXACT(metadata!O555,"Not applicable"))</f>
        <v>0</v>
      </c>
      <c r="AR555" t="b">
        <f>OR(AND(IF(metadata!P555="",FALSE,TRUE),OR(EXACT(metadata!P555,"not applicable"),EXACT(metadata!P555,"missing: not collected"),EXACT(metadata!P555,"missing: not provided"),EXACT(metadata!P555,"missing: restricted access"))),IF(metadata!P555="",FALSE,IF(ISERROR(INT(metadata!P555)),FALSE,INT(metadata!P555)=metadata!P555)))</f>
        <v>0</v>
      </c>
      <c r="AS555" t="b">
        <f>AND(IF(metadata!Q555="",FALSE,TRUE),EXACT(metadata!Q555,"Not applicable"))</f>
        <v>0</v>
      </c>
      <c r="AT555" t="b">
        <f>OR(AND(IF(metadata!R555="",FALSE,TRUE),OR(EXACT(metadata!R555,"not applicable"),EXACT(metadata!R555,"missing: not collected"),EXACT(metadata!R555,"missing: not provided"),EXACT(metadata!R555,"missing: restricted access"))),AND(IF(metadata!R555="",FALSE,ISNUMBER(VALUE(metadata!R555))),metadata!R555&gt;0))</f>
        <v>0</v>
      </c>
      <c r="AU555" t="b">
        <f>AND(IF(metadata!S555="",FALSE,TRUE),EXACT(metadata!S555,"missing: not provided"))</f>
        <v>0</v>
      </c>
    </row>
    <row r="556" spans="1:47" x14ac:dyDescent="0.2">
      <c r="A556" s="5" t="str">
        <f ca="1">IF(B556=" "," ",HYPERLINK(CONCATENATE("#metadata!",ADDRESS(INDEX($Y$2:$Y$1001,MATCH(ROWS($W$2:W556),$W$2:$W$1001,0),0),1)),INDEX($AB$2:$AB$1001,MATCH(ROWS($W$2:W556),$W$2:$W$1001,0),0)))</f>
        <v xml:space="preserve"> </v>
      </c>
      <c r="B556" s="4" t="str">
        <f ca="1">IF(OR(INDEX($X$2:$X$1001,MATCH(ROWS($W$2:W556),$W$2:$W$1001,0),1)&gt;=100000,INDEX($AD$1005:$AU$1005,1,MATCH(COLUMNS($AD$1006:AD1006),$AD$1006:$AU$1006,0))&gt;=100000), " ",IF(INDEX($AD$2:$AU$1001,MATCH(ROWS($W$2:W556),$W$2:$W$1001,0),MATCH(COLUMNS($AD$1006:AD1006),$AD$1006:$AU$1006,0)), HYPERLINK("#",""), HYPERLINK(CONCATENATE("#metadata!", ADDRESS(INDEX($Y$2:$Y$1001,MATCH(ROWS($W$2:W556),$W$2:$W$1001,0),0), INDEX($AD$1004:$AU$1004,1,MATCH(COLUMNS($AD$1006:AD1006),$AD$1006:$AU$1006,0)))),"Fix")))</f>
        <v xml:space="preserve"> </v>
      </c>
      <c r="C556" s="4" t="str">
        <f ca="1">IF(OR(INDEX($X$2:$X$1001,MATCH(ROWS($W$2:W556),$W$2:$W$1001,0),1)&gt;=100000,INDEX($AD$1005:$AU$1005,1,MATCH(COLUMNS($AD$1006:AE1006),$AD$1006:$AU$1006,0))&gt;=100000), " ",IF(INDEX($AD$2:$AU$1001,MATCH(ROWS($W$2:W556),$W$2:$W$1001,0),MATCH(COLUMNS($AD$1006:AE1006),$AD$1006:$AU$1006,0)), HYPERLINK("#",""), HYPERLINK(CONCATENATE("#metadata!", ADDRESS(INDEX($Y$2:$Y$1001,MATCH(ROWS($W$2:W556),$W$2:$W$1001,0),0), INDEX($AD$1004:$AU$1004,1,MATCH(COLUMNS($AD$1006:AE1006),$AD$1006:$AU$1006,0)))),"Fix")))</f>
        <v xml:space="preserve"> </v>
      </c>
      <c r="D556" s="4" t="str">
        <f ca="1">IF(OR(INDEX($X$2:$X$1001,MATCH(ROWS($W$2:W556),$W$2:$W$1001,0),1)&gt;=100000,INDEX($AD$1005:$AU$1005,1,MATCH(COLUMNS($AD$1006:AF1006),$AD$1006:$AU$1006,0))&gt;=100000), " ",IF(INDEX($AD$2:$AU$1001,MATCH(ROWS($W$2:W556),$W$2:$W$1001,0),MATCH(COLUMNS($AD$1006:AF1006),$AD$1006:$AU$1006,0)), HYPERLINK("#",""), HYPERLINK(CONCATENATE("#metadata!", ADDRESS(INDEX($Y$2:$Y$1001,MATCH(ROWS($W$2:W556),$W$2:$W$1001,0),0), INDEX($AD$1004:$AU$1004,1,MATCH(COLUMNS($AD$1006:AF1006),$AD$1006:$AU$1006,0)))),"Fix")))</f>
        <v xml:space="preserve"> </v>
      </c>
      <c r="E556" s="4" t="str">
        <f ca="1">IF(OR(INDEX($X$2:$X$1001,MATCH(ROWS($W$2:W556),$W$2:$W$1001,0),1)&gt;=100000,INDEX($AD$1005:$AU$1005,1,MATCH(COLUMNS($AD$1006:AG1006),$AD$1006:$AU$1006,0))&gt;=100000), " ",IF(INDEX($AD$2:$AU$1001,MATCH(ROWS($W$2:W556),$W$2:$W$1001,0),MATCH(COLUMNS($AD$1006:AG1006),$AD$1006:$AU$1006,0)), HYPERLINK("#",""), HYPERLINK(CONCATENATE("#metadata!", ADDRESS(INDEX($Y$2:$Y$1001,MATCH(ROWS($W$2:W556),$W$2:$W$1001,0),0), INDEX($AD$1004:$AU$1004,1,MATCH(COLUMNS($AD$1006:AG1006),$AD$1006:$AU$1006,0)))),"Fix")))</f>
        <v xml:space="preserve"> </v>
      </c>
      <c r="F556" s="4" t="str">
        <f ca="1">IF(OR(INDEX($X$2:$X$1001,MATCH(ROWS($W$2:W556),$W$2:$W$1001,0),1)&gt;=100000,INDEX($AD$1005:$AU$1005,1,MATCH(COLUMNS($AD$1006:AH1006),$AD$1006:$AU$1006,0))&gt;=100000), " ",IF(INDEX($AD$2:$AU$1001,MATCH(ROWS($W$2:W556),$W$2:$W$1001,0),MATCH(COLUMNS($AD$1006:AH1006),$AD$1006:$AU$1006,0)), HYPERLINK("#",""), HYPERLINK(CONCATENATE("#metadata!", ADDRESS(INDEX($Y$2:$Y$1001,MATCH(ROWS($W$2:W556),$W$2:$W$1001,0),0), INDEX($AD$1004:$AU$1004,1,MATCH(COLUMNS($AD$1006:AH1006),$AD$1006:$AU$1006,0)))),"Fix")))</f>
        <v xml:space="preserve"> </v>
      </c>
      <c r="G556" s="4" t="str">
        <f ca="1">IF(OR(INDEX($X$2:$X$1001,MATCH(ROWS($W$2:W556),$W$2:$W$1001,0),1)&gt;=100000,INDEX($AD$1005:$AU$1005,1,MATCH(COLUMNS($AD$1006:AI1006),$AD$1006:$AU$1006,0))&gt;=100000), " ",IF(INDEX($AD$2:$AU$1001,MATCH(ROWS($W$2:W556),$W$2:$W$1001,0),MATCH(COLUMNS($AD$1006:AI1006),$AD$1006:$AU$1006,0)), HYPERLINK("#",""), HYPERLINK(CONCATENATE("#metadata!", ADDRESS(INDEX($Y$2:$Y$1001,MATCH(ROWS($W$2:W556),$W$2:$W$1001,0),0), INDEX($AD$1004:$AU$1004,1,MATCH(COLUMNS($AD$1006:AI1006),$AD$1006:$AU$1006,0)))),"Fix")))</f>
        <v xml:space="preserve"> </v>
      </c>
      <c r="H556" s="4" t="str">
        <f ca="1">IF(OR(INDEX($X$2:$X$1001,MATCH(ROWS($W$2:W556),$W$2:$W$1001,0),1)&gt;=100000,INDEX($AD$1005:$AU$1005,1,MATCH(COLUMNS($AD$1006:AJ1006),$AD$1006:$AU$1006,0))&gt;=100000), " ",IF(INDEX($AD$2:$AU$1001,MATCH(ROWS($W$2:W556),$W$2:$W$1001,0),MATCH(COLUMNS($AD$1006:AJ1006),$AD$1006:$AU$1006,0)), HYPERLINK("#",""), HYPERLINK(CONCATENATE("#metadata!", ADDRESS(INDEX($Y$2:$Y$1001,MATCH(ROWS($W$2:W556),$W$2:$W$1001,0),0), INDEX($AD$1004:$AU$1004,1,MATCH(COLUMNS($AD$1006:AJ1006),$AD$1006:$AU$1006,0)))),"Fix")))</f>
        <v xml:space="preserve"> </v>
      </c>
      <c r="I556" s="4" t="str">
        <f ca="1">IF(OR(INDEX($X$2:$X$1001,MATCH(ROWS($W$2:W556),$W$2:$W$1001,0),1)&gt;=100000,INDEX($AD$1005:$AU$1005,1,MATCH(COLUMNS($AD$1006:AK1006),$AD$1006:$AU$1006,0))&gt;=100000), " ",IF(INDEX($AD$2:$AU$1001,MATCH(ROWS($W$2:W556),$W$2:$W$1001,0),MATCH(COLUMNS($AD$1006:AK1006),$AD$1006:$AU$1006,0)), HYPERLINK("#",""), HYPERLINK(CONCATENATE("#metadata!", ADDRESS(INDEX($Y$2:$Y$1001,MATCH(ROWS($W$2:W556),$W$2:$W$1001,0),0), INDEX($AD$1004:$AU$1004,1,MATCH(COLUMNS($AD$1006:AK1006),$AD$1006:$AU$1006,0)))),"Fix")))</f>
        <v xml:space="preserve"> </v>
      </c>
      <c r="J556" s="4" t="str">
        <f ca="1">IF(OR(INDEX($X$2:$X$1001,MATCH(ROWS($W$2:W556),$W$2:$W$1001,0),1)&gt;=100000,INDEX($AD$1005:$AU$1005,1,MATCH(COLUMNS($AD$1006:AL1006),$AD$1006:$AU$1006,0))&gt;=100000), " ",IF(INDEX($AD$2:$AU$1001,MATCH(ROWS($W$2:W556),$W$2:$W$1001,0),MATCH(COLUMNS($AD$1006:AL1006),$AD$1006:$AU$1006,0)), HYPERLINK("#",""), HYPERLINK(CONCATENATE("#metadata!", ADDRESS(INDEX($Y$2:$Y$1001,MATCH(ROWS($W$2:W556),$W$2:$W$1001,0),0), INDEX($AD$1004:$AU$1004,1,MATCH(COLUMNS($AD$1006:AL1006),$AD$1006:$AU$1006,0)))),"Fix")))</f>
        <v xml:space="preserve"> </v>
      </c>
      <c r="K556" s="4" t="str">
        <f ca="1">IF(OR(INDEX($X$2:$X$1001,MATCH(ROWS($W$2:W556),$W$2:$W$1001,0),1)&gt;=100000,INDEX($AD$1005:$AU$1005,1,MATCH(COLUMNS($AD$1006:AM1006),$AD$1006:$AU$1006,0))&gt;=100000), " ",IF(INDEX($AD$2:$AU$1001,MATCH(ROWS($W$2:W556),$W$2:$W$1001,0),MATCH(COLUMNS($AD$1006:AM1006),$AD$1006:$AU$1006,0)), HYPERLINK("#",""), HYPERLINK(CONCATENATE("#metadata!", ADDRESS(INDEX($Y$2:$Y$1001,MATCH(ROWS($W$2:W556),$W$2:$W$1001,0),0), INDEX($AD$1004:$AU$1004,1,MATCH(COLUMNS($AD$1006:AM1006),$AD$1006:$AU$1006,0)))),"Fix")))</f>
        <v xml:space="preserve"> </v>
      </c>
      <c r="L556" s="4" t="str">
        <f ca="1">IF(OR(INDEX($X$2:$X$1001,MATCH(ROWS($W$2:W556),$W$2:$W$1001,0),1)&gt;=100000,INDEX($AD$1005:$AU$1005,1,MATCH(COLUMNS($AD$1006:AN1006),$AD$1006:$AU$1006,0))&gt;=100000), " ",IF(INDEX($AD$2:$AU$1001,MATCH(ROWS($W$2:W556),$W$2:$W$1001,0),MATCH(COLUMNS($AD$1006:AN1006),$AD$1006:$AU$1006,0)), HYPERLINK("#",""), HYPERLINK(CONCATENATE("#metadata!", ADDRESS(INDEX($Y$2:$Y$1001,MATCH(ROWS($W$2:W556),$W$2:$W$1001,0),0), INDEX($AD$1004:$AU$1004,1,MATCH(COLUMNS($AD$1006:AN1006),$AD$1006:$AU$1006,0)))),"Fix")))</f>
        <v xml:space="preserve"> </v>
      </c>
      <c r="M556" s="4" t="str">
        <f ca="1">IF(OR(INDEX($X$2:$X$1001,MATCH(ROWS($W$2:W556),$W$2:$W$1001,0),1)&gt;=100000,INDEX($AD$1005:$AU$1005,1,MATCH(COLUMNS($AD$1006:AO1006),$AD$1006:$AU$1006,0))&gt;=100000), " ",IF(INDEX($AD$2:$AU$1001,MATCH(ROWS($W$2:W556),$W$2:$W$1001,0),MATCH(COLUMNS($AD$1006:AO1006),$AD$1006:$AU$1006,0)), HYPERLINK("#",""), HYPERLINK(CONCATENATE("#metadata!", ADDRESS(INDEX($Y$2:$Y$1001,MATCH(ROWS($W$2:W556),$W$2:$W$1001,0),0), INDEX($AD$1004:$AU$1004,1,MATCH(COLUMNS($AD$1006:AO1006),$AD$1006:$AU$1006,0)))),"Fix")))</f>
        <v xml:space="preserve"> </v>
      </c>
      <c r="N556" s="4" t="str">
        <f ca="1">IF(OR(INDEX($X$2:$X$1001,MATCH(ROWS($W$2:W556),$W$2:$W$1001,0),1)&gt;=100000,INDEX($AD$1005:$AU$1005,1,MATCH(COLUMNS($AD$1006:AP1006),$AD$1006:$AU$1006,0))&gt;=100000), " ",IF(INDEX($AD$2:$AU$1001,MATCH(ROWS($W$2:W556),$W$2:$W$1001,0),MATCH(COLUMNS($AD$1006:AP1006),$AD$1006:$AU$1006,0)), HYPERLINK("#",""), HYPERLINK(CONCATENATE("#metadata!", ADDRESS(INDEX($Y$2:$Y$1001,MATCH(ROWS($W$2:W556),$W$2:$W$1001,0),0), INDEX($AD$1004:$AU$1004,1,MATCH(COLUMNS($AD$1006:AP1006),$AD$1006:$AU$1006,0)))),"Fix")))</f>
        <v xml:space="preserve"> </v>
      </c>
      <c r="O556" s="4" t="str">
        <f ca="1">IF(OR(INDEX($X$2:$X$1001,MATCH(ROWS($W$2:W556),$W$2:$W$1001,0),1)&gt;=100000,INDEX($AD$1005:$AU$1005,1,MATCH(COLUMNS($AD$1006:AQ1006),$AD$1006:$AU$1006,0))&gt;=100000), " ",IF(INDEX($AD$2:$AU$1001,MATCH(ROWS($W$2:W556),$W$2:$W$1001,0),MATCH(COLUMNS($AD$1006:AQ1006),$AD$1006:$AU$1006,0)), HYPERLINK("#",""), HYPERLINK(CONCATENATE("#metadata!", ADDRESS(INDEX($Y$2:$Y$1001,MATCH(ROWS($W$2:W556),$W$2:$W$1001,0),0), INDEX($AD$1004:$AU$1004,1,MATCH(COLUMNS($AD$1006:AQ1006),$AD$1006:$AU$1006,0)))),"Fix")))</f>
        <v xml:space="preserve"> </v>
      </c>
      <c r="P556" s="4" t="str">
        <f ca="1">IF(OR(INDEX($X$2:$X$1001,MATCH(ROWS($W$2:W556),$W$2:$W$1001,0),1)&gt;=100000,INDEX($AD$1005:$AU$1005,1,MATCH(COLUMNS($AD$1006:AR1006),$AD$1006:$AU$1006,0))&gt;=100000), " ",IF(INDEX($AD$2:$AU$1001,MATCH(ROWS($W$2:W556),$W$2:$W$1001,0),MATCH(COLUMNS($AD$1006:AR1006),$AD$1006:$AU$1006,0)), HYPERLINK("#",""), HYPERLINK(CONCATENATE("#metadata!", ADDRESS(INDEX($Y$2:$Y$1001,MATCH(ROWS($W$2:W556),$W$2:$W$1001,0),0), INDEX($AD$1004:$AU$1004,1,MATCH(COLUMNS($AD$1006:AR1006),$AD$1006:$AU$1006,0)))),"Fix")))</f>
        <v xml:space="preserve"> </v>
      </c>
      <c r="Q556" s="4" t="str">
        <f ca="1">IF(OR(INDEX($X$2:$X$1001,MATCH(ROWS($W$2:W556),$W$2:$W$1001,0),1)&gt;=100000,INDEX($AD$1005:$AU$1005,1,MATCH(COLUMNS($AD$1006:AS1006),$AD$1006:$AU$1006,0))&gt;=100000), " ",IF(INDEX($AD$2:$AU$1001,MATCH(ROWS($W$2:W556),$W$2:$W$1001,0),MATCH(COLUMNS($AD$1006:AS1006),$AD$1006:$AU$1006,0)), HYPERLINK("#",""), HYPERLINK(CONCATENATE("#metadata!", ADDRESS(INDEX($Y$2:$Y$1001,MATCH(ROWS($W$2:W556),$W$2:$W$1001,0),0), INDEX($AD$1004:$AU$1004,1,MATCH(COLUMNS($AD$1006:AS1006),$AD$1006:$AU$1006,0)))),"Fix")))</f>
        <v xml:space="preserve"> </v>
      </c>
      <c r="R556" s="4" t="str">
        <f ca="1">IF(OR(INDEX($X$2:$X$1001,MATCH(ROWS($W$2:W556),$W$2:$W$1001,0),1)&gt;=100000,INDEX($AD$1005:$AU$1005,1,MATCH(COLUMNS($AD$1006:AT1006),$AD$1006:$AU$1006,0))&gt;=100000), " ",IF(INDEX($AD$2:$AU$1001,MATCH(ROWS($W$2:W556),$W$2:$W$1001,0),MATCH(COLUMNS($AD$1006:AT1006),$AD$1006:$AU$1006,0)), HYPERLINK("#",""), HYPERLINK(CONCATENATE("#metadata!", ADDRESS(INDEX($Y$2:$Y$1001,MATCH(ROWS($W$2:W556),$W$2:$W$1001,0),0), INDEX($AD$1004:$AU$1004,1,MATCH(COLUMNS($AD$1006:AT1006),$AD$1006:$AU$1006,0)))),"Fix")))</f>
        <v xml:space="preserve"> </v>
      </c>
      <c r="S556" s="4" t="str">
        <f ca="1">IF(OR(INDEX($X$2:$X$1001,MATCH(ROWS($W$2:W556),$W$2:$W$1001,0),1)&gt;=100000,INDEX($AD$1005:$AU$1005,1,MATCH(COLUMNS($AD$1006:AU1006),$AD$1006:$AU$1006,0))&gt;=100000), " ",IF(INDEX($AD$2:$AU$1001,MATCH(ROWS($W$2:W556),$W$2:$W$1001,0),MATCH(COLUMNS($AD$1006:AU1006),$AD$1006:$AU$1006,0)), HYPERLINK("#",""), HYPERLINK(CONCATENATE("#metadata!", ADDRESS(INDEX($Y$2:$Y$1001,MATCH(ROWS($W$2:W556),$W$2:$W$1001,0),0), INDEX($AD$1004:$AU$1004,1,MATCH(COLUMNS($AD$1006:AU1006),$AD$1006:$AU$1006,0)))),"Fix")))</f>
        <v xml:space="preserve"> </v>
      </c>
      <c r="W556">
        <v>555</v>
      </c>
      <c r="X556">
        <v>100556</v>
      </c>
      <c r="Y556">
        <v>556</v>
      </c>
      <c r="Z556" t="b">
        <f t="shared" si="8"/>
        <v>1</v>
      </c>
      <c r="AA556" t="b">
        <f>COUNTBLANK(metadata!B556:S556)=COLUMNS(metadata!B556:S556)</f>
        <v>1</v>
      </c>
      <c r="AB556" t="str">
        <v/>
      </c>
      <c r="AD556" t="b">
        <f ca="1">AND(IF(metadata!B556="",FALSE,TRUE),COUNTIF(metadata!B:B, metadata!B556) = 1,NOT(ISERROR(SUMPRODUCT(SEARCH(MID(metadata!B556,ROW(INDIRECT("1:"&amp;LEN(metadata!B556))), 1),"0123456789abcdefghijklmnopqrstuvwxyzABCDEFGHIJKLMNOPQRSTUVWXYZ.")))))</f>
        <v>0</v>
      </c>
      <c r="AE556" t="b">
        <f>OR(AND(IF(metadata!C556="",FALSE,TRUE),OR(EXACT(metadata!C556,"not applicable"),EXACT(metadata!C556,"missing: not collected"),EXACT(metadata!C556,"missing: not provided"),EXACT(metadata!C556,"missing: restricted access"))),AND(IF(metadata!C556="",FALSE,ISNUMBER(VALUE(metadata!C556))),metadata!C556&gt;0))</f>
        <v>0</v>
      </c>
      <c r="AF556" t="b">
        <f>AND(IF(metadata!D556="",FALSE,TRUE),EXACT(metadata!D556,"missing: not provided"))</f>
        <v>0</v>
      </c>
      <c r="AG556" t="b">
        <f>AND(IF(metadata!E556="",FALSE,TRUE),EXACT(metadata!E556,"Host-associated"))</f>
        <v>0</v>
      </c>
      <c r="AH556" t="b">
        <f>AND(IF(metadata!F556="",FALSE,TRUE),OR(EXACT(metadata!F556,"Animal"),EXACT(metadata!F556,"Fungus"),EXACT(metadata!F556,"Plant")))</f>
        <v>0</v>
      </c>
      <c r="AI556" t="b">
        <f>AND(IF(metadata!G556="",FALSE,TRUE),OR(EXACT(metadata!G556,"Plant secretion"),EXACT(metadata!G556,"Plant rhizosphere"),EXACT(metadata!G556,"Plant surface"),EXACT(metadata!G556,"Plant corpus"),EXACT(metadata!G556,"Fungus surface"),EXACT(metadata!G556,"Fungus corpus"),EXACT(metadata!G556,"Animal surface"),EXACT(metadata!G556,"Animal proximal gut"),EXACT(metadata!G556,"Animal corpus"),EXACT(metadata!G556,"Animal distal gut"),EXACT(metadata!G556,"Animal secretion")))</f>
        <v>0</v>
      </c>
      <c r="AJ556" t="b">
        <f>OR(AND(IF(metadata!H556="",FALSE,TRUE),OR(EXACT(metadata!H556,"missing: not collected"),EXACT(metadata!H556,"missing: not provided"),EXACT(metadata!H556,"missing: restricted access"))),AND(IF(metadata!H556="",FALSE,TRUE),OR(EXACT(metadata!H556,"organism-associated habitat"),EXACT(metadata!H556,"plant-associated habitat"),EXACT(metadata!H556,"animal-associated habitat"),EXACT(metadata!H556,"insecta-associated habitat"),EXACT(metadata!H556,"mammalia-associated habitat"),EXACT(metadata!H556,"human-associated habitat"),EXACT(metadata!H556,"livestock-associated habitat"))))</f>
        <v>0</v>
      </c>
      <c r="AK556" t="b">
        <f>AND(IF(metadata!I556="",FALSE,TRUE),EXACT(metadata!I556,"host-associated"))</f>
        <v>0</v>
      </c>
      <c r="AL556" t="b">
        <f>OR(AND(IF(metadata!J556="",FALSE,TRUE),OR(EXACT(metadata!J556,"not applicable"),EXACT(metadata!J556,"missing: not collected"),EXACT(metadata!J556,"missing: not provided"),EXACT(metadata!J556,"missing: restricted access"))),AND(IF(metadata!J556="",FALSE,ISNUMBER(VALUE(metadata!J556))),metadata!J556&gt;0))</f>
        <v>0</v>
      </c>
      <c r="AM556" t="b">
        <f>AND(IF(metadata!K556="",FALSE,TRUE),EXACT(metadata!K556,"missing: not provided"))</f>
        <v>0</v>
      </c>
      <c r="AN556" t="b">
        <f>IF(metadata!L556="",FALSE,TRUE)</f>
        <v>0</v>
      </c>
      <c r="AO556" t="b">
        <f>IF(metadata!M556="",FALSE,TRUE)</f>
        <v>0</v>
      </c>
      <c r="AP556" t="b">
        <f>OR(AND(IF(metadata!N556="",FALSE,TRUE),OR(EXACT(metadata!N556,"not applicable"),EXACT(metadata!N556,"missing: not collected"),EXACT(metadata!N556,"missing: not provided"))),AND(IF(metadata!N556="",FALSE,IF(ISERROR(INT(metadata!N556)),FALSE,INT(metadata!N556)=metadata!N556)),metadata!N556&gt;0))</f>
        <v>0</v>
      </c>
      <c r="AQ556" t="b">
        <f>AND(IF(metadata!O556="",FALSE,TRUE),EXACT(metadata!O556,"Not applicable"))</f>
        <v>0</v>
      </c>
      <c r="AR556" t="b">
        <f>OR(AND(IF(metadata!P556="",FALSE,TRUE),OR(EXACT(metadata!P556,"not applicable"),EXACT(metadata!P556,"missing: not collected"),EXACT(metadata!P556,"missing: not provided"),EXACT(metadata!P556,"missing: restricted access"))),IF(metadata!P556="",FALSE,IF(ISERROR(INT(metadata!P556)),FALSE,INT(metadata!P556)=metadata!P556)))</f>
        <v>0</v>
      </c>
      <c r="AS556" t="b">
        <f>AND(IF(metadata!Q556="",FALSE,TRUE),EXACT(metadata!Q556,"Not applicable"))</f>
        <v>0</v>
      </c>
      <c r="AT556" t="b">
        <f>OR(AND(IF(metadata!R556="",FALSE,TRUE),OR(EXACT(metadata!R556,"not applicable"),EXACT(metadata!R556,"missing: not collected"),EXACT(metadata!R556,"missing: not provided"),EXACT(metadata!R556,"missing: restricted access"))),AND(IF(metadata!R556="",FALSE,ISNUMBER(VALUE(metadata!R556))),metadata!R556&gt;0))</f>
        <v>0</v>
      </c>
      <c r="AU556" t="b">
        <f>AND(IF(metadata!S556="",FALSE,TRUE),EXACT(metadata!S556,"missing: not provided"))</f>
        <v>0</v>
      </c>
    </row>
    <row r="557" spans="1:47" x14ac:dyDescent="0.2">
      <c r="A557" s="5" t="str">
        <f ca="1">IF(B557=" "," ",HYPERLINK(CONCATENATE("#metadata!",ADDRESS(INDEX($Y$2:$Y$1001,MATCH(ROWS($W$2:W557),$W$2:$W$1001,0),0),1)),INDEX($AB$2:$AB$1001,MATCH(ROWS($W$2:W557),$W$2:$W$1001,0),0)))</f>
        <v xml:space="preserve"> </v>
      </c>
      <c r="B557" s="4" t="str">
        <f ca="1">IF(OR(INDEX($X$2:$X$1001,MATCH(ROWS($W$2:W557),$W$2:$W$1001,0),1)&gt;=100000,INDEX($AD$1005:$AU$1005,1,MATCH(COLUMNS($AD$1006:AD1006),$AD$1006:$AU$1006,0))&gt;=100000), " ",IF(INDEX($AD$2:$AU$1001,MATCH(ROWS($W$2:W557),$W$2:$W$1001,0),MATCH(COLUMNS($AD$1006:AD1006),$AD$1006:$AU$1006,0)), HYPERLINK("#",""), HYPERLINK(CONCATENATE("#metadata!", ADDRESS(INDEX($Y$2:$Y$1001,MATCH(ROWS($W$2:W557),$W$2:$W$1001,0),0), INDEX($AD$1004:$AU$1004,1,MATCH(COLUMNS($AD$1006:AD1006),$AD$1006:$AU$1006,0)))),"Fix")))</f>
        <v xml:space="preserve"> </v>
      </c>
      <c r="C557" s="4" t="str">
        <f ca="1">IF(OR(INDEX($X$2:$X$1001,MATCH(ROWS($W$2:W557),$W$2:$W$1001,0),1)&gt;=100000,INDEX($AD$1005:$AU$1005,1,MATCH(COLUMNS($AD$1006:AE1006),$AD$1006:$AU$1006,0))&gt;=100000), " ",IF(INDEX($AD$2:$AU$1001,MATCH(ROWS($W$2:W557),$W$2:$W$1001,0),MATCH(COLUMNS($AD$1006:AE1006),$AD$1006:$AU$1006,0)), HYPERLINK("#",""), HYPERLINK(CONCATENATE("#metadata!", ADDRESS(INDEX($Y$2:$Y$1001,MATCH(ROWS($W$2:W557),$W$2:$W$1001,0),0), INDEX($AD$1004:$AU$1004,1,MATCH(COLUMNS($AD$1006:AE1006),$AD$1006:$AU$1006,0)))),"Fix")))</f>
        <v xml:space="preserve"> </v>
      </c>
      <c r="D557" s="4" t="str">
        <f ca="1">IF(OR(INDEX($X$2:$X$1001,MATCH(ROWS($W$2:W557),$W$2:$W$1001,0),1)&gt;=100000,INDEX($AD$1005:$AU$1005,1,MATCH(COLUMNS($AD$1006:AF1006),$AD$1006:$AU$1006,0))&gt;=100000), " ",IF(INDEX($AD$2:$AU$1001,MATCH(ROWS($W$2:W557),$W$2:$W$1001,0),MATCH(COLUMNS($AD$1006:AF1006),$AD$1006:$AU$1006,0)), HYPERLINK("#",""), HYPERLINK(CONCATENATE("#metadata!", ADDRESS(INDEX($Y$2:$Y$1001,MATCH(ROWS($W$2:W557),$W$2:$W$1001,0),0), INDEX($AD$1004:$AU$1004,1,MATCH(COLUMNS($AD$1006:AF1006),$AD$1006:$AU$1006,0)))),"Fix")))</f>
        <v xml:space="preserve"> </v>
      </c>
      <c r="E557" s="4" t="str">
        <f ca="1">IF(OR(INDEX($X$2:$X$1001,MATCH(ROWS($W$2:W557),$W$2:$W$1001,0),1)&gt;=100000,INDEX($AD$1005:$AU$1005,1,MATCH(COLUMNS($AD$1006:AG1006),$AD$1006:$AU$1006,0))&gt;=100000), " ",IF(INDEX($AD$2:$AU$1001,MATCH(ROWS($W$2:W557),$W$2:$W$1001,0),MATCH(COLUMNS($AD$1006:AG1006),$AD$1006:$AU$1006,0)), HYPERLINK("#",""), HYPERLINK(CONCATENATE("#metadata!", ADDRESS(INDEX($Y$2:$Y$1001,MATCH(ROWS($W$2:W557),$W$2:$W$1001,0),0), INDEX($AD$1004:$AU$1004,1,MATCH(COLUMNS($AD$1006:AG1006),$AD$1006:$AU$1006,0)))),"Fix")))</f>
        <v xml:space="preserve"> </v>
      </c>
      <c r="F557" s="4" t="str">
        <f ca="1">IF(OR(INDEX($X$2:$X$1001,MATCH(ROWS($W$2:W557),$W$2:$W$1001,0),1)&gt;=100000,INDEX($AD$1005:$AU$1005,1,MATCH(COLUMNS($AD$1006:AH1006),$AD$1006:$AU$1006,0))&gt;=100000), " ",IF(INDEX($AD$2:$AU$1001,MATCH(ROWS($W$2:W557),$W$2:$W$1001,0),MATCH(COLUMNS($AD$1006:AH1006),$AD$1006:$AU$1006,0)), HYPERLINK("#",""), HYPERLINK(CONCATENATE("#metadata!", ADDRESS(INDEX($Y$2:$Y$1001,MATCH(ROWS($W$2:W557),$W$2:$W$1001,0),0), INDEX($AD$1004:$AU$1004,1,MATCH(COLUMNS($AD$1006:AH1006),$AD$1006:$AU$1006,0)))),"Fix")))</f>
        <v xml:space="preserve"> </v>
      </c>
      <c r="G557" s="4" t="str">
        <f ca="1">IF(OR(INDEX($X$2:$X$1001,MATCH(ROWS($W$2:W557),$W$2:$W$1001,0),1)&gt;=100000,INDEX($AD$1005:$AU$1005,1,MATCH(COLUMNS($AD$1006:AI1006),$AD$1006:$AU$1006,0))&gt;=100000), " ",IF(INDEX($AD$2:$AU$1001,MATCH(ROWS($W$2:W557),$W$2:$W$1001,0),MATCH(COLUMNS($AD$1006:AI1006),$AD$1006:$AU$1006,0)), HYPERLINK("#",""), HYPERLINK(CONCATENATE("#metadata!", ADDRESS(INDEX($Y$2:$Y$1001,MATCH(ROWS($W$2:W557),$W$2:$W$1001,0),0), INDEX($AD$1004:$AU$1004,1,MATCH(COLUMNS($AD$1006:AI1006),$AD$1006:$AU$1006,0)))),"Fix")))</f>
        <v xml:space="preserve"> </v>
      </c>
      <c r="H557" s="4" t="str">
        <f ca="1">IF(OR(INDEX($X$2:$X$1001,MATCH(ROWS($W$2:W557),$W$2:$W$1001,0),1)&gt;=100000,INDEX($AD$1005:$AU$1005,1,MATCH(COLUMNS($AD$1006:AJ1006),$AD$1006:$AU$1006,0))&gt;=100000), " ",IF(INDEX($AD$2:$AU$1001,MATCH(ROWS($W$2:W557),$W$2:$W$1001,0),MATCH(COLUMNS($AD$1006:AJ1006),$AD$1006:$AU$1006,0)), HYPERLINK("#",""), HYPERLINK(CONCATENATE("#metadata!", ADDRESS(INDEX($Y$2:$Y$1001,MATCH(ROWS($W$2:W557),$W$2:$W$1001,0),0), INDEX($AD$1004:$AU$1004,1,MATCH(COLUMNS($AD$1006:AJ1006),$AD$1006:$AU$1006,0)))),"Fix")))</f>
        <v xml:space="preserve"> </v>
      </c>
      <c r="I557" s="4" t="str">
        <f ca="1">IF(OR(INDEX($X$2:$X$1001,MATCH(ROWS($W$2:W557),$W$2:$W$1001,0),1)&gt;=100000,INDEX($AD$1005:$AU$1005,1,MATCH(COLUMNS($AD$1006:AK1006),$AD$1006:$AU$1006,0))&gt;=100000), " ",IF(INDEX($AD$2:$AU$1001,MATCH(ROWS($W$2:W557),$W$2:$W$1001,0),MATCH(COLUMNS($AD$1006:AK1006),$AD$1006:$AU$1006,0)), HYPERLINK("#",""), HYPERLINK(CONCATENATE("#metadata!", ADDRESS(INDEX($Y$2:$Y$1001,MATCH(ROWS($W$2:W557),$W$2:$W$1001,0),0), INDEX($AD$1004:$AU$1004,1,MATCH(COLUMNS($AD$1006:AK1006),$AD$1006:$AU$1006,0)))),"Fix")))</f>
        <v xml:space="preserve"> </v>
      </c>
      <c r="J557" s="4" t="str">
        <f ca="1">IF(OR(INDEX($X$2:$X$1001,MATCH(ROWS($W$2:W557),$W$2:$W$1001,0),1)&gt;=100000,INDEX($AD$1005:$AU$1005,1,MATCH(COLUMNS($AD$1006:AL1006),$AD$1006:$AU$1006,0))&gt;=100000), " ",IF(INDEX($AD$2:$AU$1001,MATCH(ROWS($W$2:W557),$W$2:$W$1001,0),MATCH(COLUMNS($AD$1006:AL1006),$AD$1006:$AU$1006,0)), HYPERLINK("#",""), HYPERLINK(CONCATENATE("#metadata!", ADDRESS(INDEX($Y$2:$Y$1001,MATCH(ROWS($W$2:W557),$W$2:$W$1001,0),0), INDEX($AD$1004:$AU$1004,1,MATCH(COLUMNS($AD$1006:AL1006),$AD$1006:$AU$1006,0)))),"Fix")))</f>
        <v xml:space="preserve"> </v>
      </c>
      <c r="K557" s="4" t="str">
        <f ca="1">IF(OR(INDEX($X$2:$X$1001,MATCH(ROWS($W$2:W557),$W$2:$W$1001,0),1)&gt;=100000,INDEX($AD$1005:$AU$1005,1,MATCH(COLUMNS($AD$1006:AM1006),$AD$1006:$AU$1006,0))&gt;=100000), " ",IF(INDEX($AD$2:$AU$1001,MATCH(ROWS($W$2:W557),$W$2:$W$1001,0),MATCH(COLUMNS($AD$1006:AM1006),$AD$1006:$AU$1006,0)), HYPERLINK("#",""), HYPERLINK(CONCATENATE("#metadata!", ADDRESS(INDEX($Y$2:$Y$1001,MATCH(ROWS($W$2:W557),$W$2:$W$1001,0),0), INDEX($AD$1004:$AU$1004,1,MATCH(COLUMNS($AD$1006:AM1006),$AD$1006:$AU$1006,0)))),"Fix")))</f>
        <v xml:space="preserve"> </v>
      </c>
      <c r="L557" s="4" t="str">
        <f ca="1">IF(OR(INDEX($X$2:$X$1001,MATCH(ROWS($W$2:W557),$W$2:$W$1001,0),1)&gt;=100000,INDEX($AD$1005:$AU$1005,1,MATCH(COLUMNS($AD$1006:AN1006),$AD$1006:$AU$1006,0))&gt;=100000), " ",IF(INDEX($AD$2:$AU$1001,MATCH(ROWS($W$2:W557),$W$2:$W$1001,0),MATCH(COLUMNS($AD$1006:AN1006),$AD$1006:$AU$1006,0)), HYPERLINK("#",""), HYPERLINK(CONCATENATE("#metadata!", ADDRESS(INDEX($Y$2:$Y$1001,MATCH(ROWS($W$2:W557),$W$2:$W$1001,0),0), INDEX($AD$1004:$AU$1004,1,MATCH(COLUMNS($AD$1006:AN1006),$AD$1006:$AU$1006,0)))),"Fix")))</f>
        <v xml:space="preserve"> </v>
      </c>
      <c r="M557" s="4" t="str">
        <f ca="1">IF(OR(INDEX($X$2:$X$1001,MATCH(ROWS($W$2:W557),$W$2:$W$1001,0),1)&gt;=100000,INDEX($AD$1005:$AU$1005,1,MATCH(COLUMNS($AD$1006:AO1006),$AD$1006:$AU$1006,0))&gt;=100000), " ",IF(INDEX($AD$2:$AU$1001,MATCH(ROWS($W$2:W557),$W$2:$W$1001,0),MATCH(COLUMNS($AD$1006:AO1006),$AD$1006:$AU$1006,0)), HYPERLINK("#",""), HYPERLINK(CONCATENATE("#metadata!", ADDRESS(INDEX($Y$2:$Y$1001,MATCH(ROWS($W$2:W557),$W$2:$W$1001,0),0), INDEX($AD$1004:$AU$1004,1,MATCH(COLUMNS($AD$1006:AO1006),$AD$1006:$AU$1006,0)))),"Fix")))</f>
        <v xml:space="preserve"> </v>
      </c>
      <c r="N557" s="4" t="str">
        <f ca="1">IF(OR(INDEX($X$2:$X$1001,MATCH(ROWS($W$2:W557),$W$2:$W$1001,0),1)&gt;=100000,INDEX($AD$1005:$AU$1005,1,MATCH(COLUMNS($AD$1006:AP1006),$AD$1006:$AU$1006,0))&gt;=100000), " ",IF(INDEX($AD$2:$AU$1001,MATCH(ROWS($W$2:W557),$W$2:$W$1001,0),MATCH(COLUMNS($AD$1006:AP1006),$AD$1006:$AU$1006,0)), HYPERLINK("#",""), HYPERLINK(CONCATENATE("#metadata!", ADDRESS(INDEX($Y$2:$Y$1001,MATCH(ROWS($W$2:W557),$W$2:$W$1001,0),0), INDEX($AD$1004:$AU$1004,1,MATCH(COLUMNS($AD$1006:AP1006),$AD$1006:$AU$1006,0)))),"Fix")))</f>
        <v xml:space="preserve"> </v>
      </c>
      <c r="O557" s="4" t="str">
        <f ca="1">IF(OR(INDEX($X$2:$X$1001,MATCH(ROWS($W$2:W557),$W$2:$W$1001,0),1)&gt;=100000,INDEX($AD$1005:$AU$1005,1,MATCH(COLUMNS($AD$1006:AQ1006),$AD$1006:$AU$1006,0))&gt;=100000), " ",IF(INDEX($AD$2:$AU$1001,MATCH(ROWS($W$2:W557),$W$2:$W$1001,0),MATCH(COLUMNS($AD$1006:AQ1006),$AD$1006:$AU$1006,0)), HYPERLINK("#",""), HYPERLINK(CONCATENATE("#metadata!", ADDRESS(INDEX($Y$2:$Y$1001,MATCH(ROWS($W$2:W557),$W$2:$W$1001,0),0), INDEX($AD$1004:$AU$1004,1,MATCH(COLUMNS($AD$1006:AQ1006),$AD$1006:$AU$1006,0)))),"Fix")))</f>
        <v xml:space="preserve"> </v>
      </c>
      <c r="P557" s="4" t="str">
        <f ca="1">IF(OR(INDEX($X$2:$X$1001,MATCH(ROWS($W$2:W557),$W$2:$W$1001,0),1)&gt;=100000,INDEX($AD$1005:$AU$1005,1,MATCH(COLUMNS($AD$1006:AR1006),$AD$1006:$AU$1006,0))&gt;=100000), " ",IF(INDEX($AD$2:$AU$1001,MATCH(ROWS($W$2:W557),$W$2:$W$1001,0),MATCH(COLUMNS($AD$1006:AR1006),$AD$1006:$AU$1006,0)), HYPERLINK("#",""), HYPERLINK(CONCATENATE("#metadata!", ADDRESS(INDEX($Y$2:$Y$1001,MATCH(ROWS($W$2:W557),$W$2:$W$1001,0),0), INDEX($AD$1004:$AU$1004,1,MATCH(COLUMNS($AD$1006:AR1006),$AD$1006:$AU$1006,0)))),"Fix")))</f>
        <v xml:space="preserve"> </v>
      </c>
      <c r="Q557" s="4" t="str">
        <f ca="1">IF(OR(INDEX($X$2:$X$1001,MATCH(ROWS($W$2:W557),$W$2:$W$1001,0),1)&gt;=100000,INDEX($AD$1005:$AU$1005,1,MATCH(COLUMNS($AD$1006:AS1006),$AD$1006:$AU$1006,0))&gt;=100000), " ",IF(INDEX($AD$2:$AU$1001,MATCH(ROWS($W$2:W557),$W$2:$W$1001,0),MATCH(COLUMNS($AD$1006:AS1006),$AD$1006:$AU$1006,0)), HYPERLINK("#",""), HYPERLINK(CONCATENATE("#metadata!", ADDRESS(INDEX($Y$2:$Y$1001,MATCH(ROWS($W$2:W557),$W$2:$W$1001,0),0), INDEX($AD$1004:$AU$1004,1,MATCH(COLUMNS($AD$1006:AS1006),$AD$1006:$AU$1006,0)))),"Fix")))</f>
        <v xml:space="preserve"> </v>
      </c>
      <c r="R557" s="4" t="str">
        <f ca="1">IF(OR(INDEX($X$2:$X$1001,MATCH(ROWS($W$2:W557),$W$2:$W$1001,0),1)&gt;=100000,INDEX($AD$1005:$AU$1005,1,MATCH(COLUMNS($AD$1006:AT1006),$AD$1006:$AU$1006,0))&gt;=100000), " ",IF(INDEX($AD$2:$AU$1001,MATCH(ROWS($W$2:W557),$W$2:$W$1001,0),MATCH(COLUMNS($AD$1006:AT1006),$AD$1006:$AU$1006,0)), HYPERLINK("#",""), HYPERLINK(CONCATENATE("#metadata!", ADDRESS(INDEX($Y$2:$Y$1001,MATCH(ROWS($W$2:W557),$W$2:$W$1001,0),0), INDEX($AD$1004:$AU$1004,1,MATCH(COLUMNS($AD$1006:AT1006),$AD$1006:$AU$1006,0)))),"Fix")))</f>
        <v xml:space="preserve"> </v>
      </c>
      <c r="S557" s="4" t="str">
        <f ca="1">IF(OR(INDEX($X$2:$X$1001,MATCH(ROWS($W$2:W557),$W$2:$W$1001,0),1)&gt;=100000,INDEX($AD$1005:$AU$1005,1,MATCH(COLUMNS($AD$1006:AU1006),$AD$1006:$AU$1006,0))&gt;=100000), " ",IF(INDEX($AD$2:$AU$1001,MATCH(ROWS($W$2:W557),$W$2:$W$1001,0),MATCH(COLUMNS($AD$1006:AU1006),$AD$1006:$AU$1006,0)), HYPERLINK("#",""), HYPERLINK(CONCATENATE("#metadata!", ADDRESS(INDEX($Y$2:$Y$1001,MATCH(ROWS($W$2:W557),$W$2:$W$1001,0),0), INDEX($AD$1004:$AU$1004,1,MATCH(COLUMNS($AD$1006:AU1006),$AD$1006:$AU$1006,0)))),"Fix")))</f>
        <v xml:space="preserve"> </v>
      </c>
      <c r="W557">
        <v>556</v>
      </c>
      <c r="X557">
        <v>100557</v>
      </c>
      <c r="Y557">
        <v>557</v>
      </c>
      <c r="Z557" t="b">
        <f t="shared" si="8"/>
        <v>1</v>
      </c>
      <c r="AA557" t="b">
        <f>COUNTBLANK(metadata!B557:S557)=COLUMNS(metadata!B557:S557)</f>
        <v>1</v>
      </c>
      <c r="AB557" t="str">
        <v/>
      </c>
      <c r="AD557" t="b">
        <f ca="1">AND(IF(metadata!B557="",FALSE,TRUE),COUNTIF(metadata!B:B, metadata!B557) = 1,NOT(ISERROR(SUMPRODUCT(SEARCH(MID(metadata!B557,ROW(INDIRECT("1:"&amp;LEN(metadata!B557))), 1),"0123456789abcdefghijklmnopqrstuvwxyzABCDEFGHIJKLMNOPQRSTUVWXYZ.")))))</f>
        <v>0</v>
      </c>
      <c r="AE557" t="b">
        <f>OR(AND(IF(metadata!C557="",FALSE,TRUE),OR(EXACT(metadata!C557,"not applicable"),EXACT(metadata!C557,"missing: not collected"),EXACT(metadata!C557,"missing: not provided"),EXACT(metadata!C557,"missing: restricted access"))),AND(IF(metadata!C557="",FALSE,ISNUMBER(VALUE(metadata!C557))),metadata!C557&gt;0))</f>
        <v>0</v>
      </c>
      <c r="AF557" t="b">
        <f>AND(IF(metadata!D557="",FALSE,TRUE),EXACT(metadata!D557,"missing: not provided"))</f>
        <v>0</v>
      </c>
      <c r="AG557" t="b">
        <f>AND(IF(metadata!E557="",FALSE,TRUE),EXACT(metadata!E557,"Host-associated"))</f>
        <v>0</v>
      </c>
      <c r="AH557" t="b">
        <f>AND(IF(metadata!F557="",FALSE,TRUE),OR(EXACT(metadata!F557,"Animal"),EXACT(metadata!F557,"Fungus"),EXACT(metadata!F557,"Plant")))</f>
        <v>0</v>
      </c>
      <c r="AI557" t="b">
        <f>AND(IF(metadata!G557="",FALSE,TRUE),OR(EXACT(metadata!G557,"Plant secretion"),EXACT(metadata!G557,"Plant rhizosphere"),EXACT(metadata!G557,"Plant surface"),EXACT(metadata!G557,"Plant corpus"),EXACT(metadata!G557,"Fungus surface"),EXACT(metadata!G557,"Fungus corpus"),EXACT(metadata!G557,"Animal surface"),EXACT(metadata!G557,"Animal proximal gut"),EXACT(metadata!G557,"Animal corpus"),EXACT(metadata!G557,"Animal distal gut"),EXACT(metadata!G557,"Animal secretion")))</f>
        <v>0</v>
      </c>
      <c r="AJ557" t="b">
        <f>OR(AND(IF(metadata!H557="",FALSE,TRUE),OR(EXACT(metadata!H557,"missing: not collected"),EXACT(metadata!H557,"missing: not provided"),EXACT(metadata!H557,"missing: restricted access"))),AND(IF(metadata!H557="",FALSE,TRUE),OR(EXACT(metadata!H557,"organism-associated habitat"),EXACT(metadata!H557,"plant-associated habitat"),EXACT(metadata!H557,"animal-associated habitat"),EXACT(metadata!H557,"insecta-associated habitat"),EXACT(metadata!H557,"mammalia-associated habitat"),EXACT(metadata!H557,"human-associated habitat"),EXACT(metadata!H557,"livestock-associated habitat"))))</f>
        <v>0</v>
      </c>
      <c r="AK557" t="b">
        <f>AND(IF(metadata!I557="",FALSE,TRUE),EXACT(metadata!I557,"host-associated"))</f>
        <v>0</v>
      </c>
      <c r="AL557" t="b">
        <f>OR(AND(IF(metadata!J557="",FALSE,TRUE),OR(EXACT(metadata!J557,"not applicable"),EXACT(metadata!J557,"missing: not collected"),EXACT(metadata!J557,"missing: not provided"),EXACT(metadata!J557,"missing: restricted access"))),AND(IF(metadata!J557="",FALSE,ISNUMBER(VALUE(metadata!J557))),metadata!J557&gt;0))</f>
        <v>0</v>
      </c>
      <c r="AM557" t="b">
        <f>AND(IF(metadata!K557="",FALSE,TRUE),EXACT(metadata!K557,"missing: not provided"))</f>
        <v>0</v>
      </c>
      <c r="AN557" t="b">
        <f>IF(metadata!L557="",FALSE,TRUE)</f>
        <v>0</v>
      </c>
      <c r="AO557" t="b">
        <f>IF(metadata!M557="",FALSE,TRUE)</f>
        <v>0</v>
      </c>
      <c r="AP557" t="b">
        <f>OR(AND(IF(metadata!N557="",FALSE,TRUE),OR(EXACT(metadata!N557,"not applicable"),EXACT(metadata!N557,"missing: not collected"),EXACT(metadata!N557,"missing: not provided"))),AND(IF(metadata!N557="",FALSE,IF(ISERROR(INT(metadata!N557)),FALSE,INT(metadata!N557)=metadata!N557)),metadata!N557&gt;0))</f>
        <v>0</v>
      </c>
      <c r="AQ557" t="b">
        <f>AND(IF(metadata!O557="",FALSE,TRUE),EXACT(metadata!O557,"Not applicable"))</f>
        <v>0</v>
      </c>
      <c r="AR557" t="b">
        <f>OR(AND(IF(metadata!P557="",FALSE,TRUE),OR(EXACT(metadata!P557,"not applicable"),EXACT(metadata!P557,"missing: not collected"),EXACT(metadata!P557,"missing: not provided"),EXACT(metadata!P557,"missing: restricted access"))),IF(metadata!P557="",FALSE,IF(ISERROR(INT(metadata!P557)),FALSE,INT(metadata!P557)=metadata!P557)))</f>
        <v>0</v>
      </c>
      <c r="AS557" t="b">
        <f>AND(IF(metadata!Q557="",FALSE,TRUE),EXACT(metadata!Q557,"Not applicable"))</f>
        <v>0</v>
      </c>
      <c r="AT557" t="b">
        <f>OR(AND(IF(metadata!R557="",FALSE,TRUE),OR(EXACT(metadata!R557,"not applicable"),EXACT(metadata!R557,"missing: not collected"),EXACT(metadata!R557,"missing: not provided"),EXACT(metadata!R557,"missing: restricted access"))),AND(IF(metadata!R557="",FALSE,ISNUMBER(VALUE(metadata!R557))),metadata!R557&gt;0))</f>
        <v>0</v>
      </c>
      <c r="AU557" t="b">
        <f>AND(IF(metadata!S557="",FALSE,TRUE),EXACT(metadata!S557,"missing: not provided"))</f>
        <v>0</v>
      </c>
    </row>
    <row r="558" spans="1:47" x14ac:dyDescent="0.2">
      <c r="A558" s="5" t="str">
        <f ca="1">IF(B558=" "," ",HYPERLINK(CONCATENATE("#metadata!",ADDRESS(INDEX($Y$2:$Y$1001,MATCH(ROWS($W$2:W558),$W$2:$W$1001,0),0),1)),INDEX($AB$2:$AB$1001,MATCH(ROWS($W$2:W558),$W$2:$W$1001,0),0)))</f>
        <v xml:space="preserve"> </v>
      </c>
      <c r="B558" s="4" t="str">
        <f ca="1">IF(OR(INDEX($X$2:$X$1001,MATCH(ROWS($W$2:W558),$W$2:$W$1001,0),1)&gt;=100000,INDEX($AD$1005:$AU$1005,1,MATCH(COLUMNS($AD$1006:AD1006),$AD$1006:$AU$1006,0))&gt;=100000), " ",IF(INDEX($AD$2:$AU$1001,MATCH(ROWS($W$2:W558),$W$2:$W$1001,0),MATCH(COLUMNS($AD$1006:AD1006),$AD$1006:$AU$1006,0)), HYPERLINK("#",""), HYPERLINK(CONCATENATE("#metadata!", ADDRESS(INDEX($Y$2:$Y$1001,MATCH(ROWS($W$2:W558),$W$2:$W$1001,0),0), INDEX($AD$1004:$AU$1004,1,MATCH(COLUMNS($AD$1006:AD1006),$AD$1006:$AU$1006,0)))),"Fix")))</f>
        <v xml:space="preserve"> </v>
      </c>
      <c r="C558" s="4" t="str">
        <f ca="1">IF(OR(INDEX($X$2:$X$1001,MATCH(ROWS($W$2:W558),$W$2:$W$1001,0),1)&gt;=100000,INDEX($AD$1005:$AU$1005,1,MATCH(COLUMNS($AD$1006:AE1006),$AD$1006:$AU$1006,0))&gt;=100000), " ",IF(INDEX($AD$2:$AU$1001,MATCH(ROWS($W$2:W558),$W$2:$W$1001,0),MATCH(COLUMNS($AD$1006:AE1006),$AD$1006:$AU$1006,0)), HYPERLINK("#",""), HYPERLINK(CONCATENATE("#metadata!", ADDRESS(INDEX($Y$2:$Y$1001,MATCH(ROWS($W$2:W558),$W$2:$W$1001,0),0), INDEX($AD$1004:$AU$1004,1,MATCH(COLUMNS($AD$1006:AE1006),$AD$1006:$AU$1006,0)))),"Fix")))</f>
        <v xml:space="preserve"> </v>
      </c>
      <c r="D558" s="4" t="str">
        <f ca="1">IF(OR(INDEX($X$2:$X$1001,MATCH(ROWS($W$2:W558),$W$2:$W$1001,0),1)&gt;=100000,INDEX($AD$1005:$AU$1005,1,MATCH(COLUMNS($AD$1006:AF1006),$AD$1006:$AU$1006,0))&gt;=100000), " ",IF(INDEX($AD$2:$AU$1001,MATCH(ROWS($W$2:W558),$W$2:$W$1001,0),MATCH(COLUMNS($AD$1006:AF1006),$AD$1006:$AU$1006,0)), HYPERLINK("#",""), HYPERLINK(CONCATENATE("#metadata!", ADDRESS(INDEX($Y$2:$Y$1001,MATCH(ROWS($W$2:W558),$W$2:$W$1001,0),0), INDEX($AD$1004:$AU$1004,1,MATCH(COLUMNS($AD$1006:AF1006),$AD$1006:$AU$1006,0)))),"Fix")))</f>
        <v xml:space="preserve"> </v>
      </c>
      <c r="E558" s="4" t="str">
        <f ca="1">IF(OR(INDEX($X$2:$X$1001,MATCH(ROWS($W$2:W558),$W$2:$W$1001,0),1)&gt;=100000,INDEX($AD$1005:$AU$1005,1,MATCH(COLUMNS($AD$1006:AG1006),$AD$1006:$AU$1006,0))&gt;=100000), " ",IF(INDEX($AD$2:$AU$1001,MATCH(ROWS($W$2:W558),$W$2:$W$1001,0),MATCH(COLUMNS($AD$1006:AG1006),$AD$1006:$AU$1006,0)), HYPERLINK("#",""), HYPERLINK(CONCATENATE("#metadata!", ADDRESS(INDEX($Y$2:$Y$1001,MATCH(ROWS($W$2:W558),$W$2:$W$1001,0),0), INDEX($AD$1004:$AU$1004,1,MATCH(COLUMNS($AD$1006:AG1006),$AD$1006:$AU$1006,0)))),"Fix")))</f>
        <v xml:space="preserve"> </v>
      </c>
      <c r="F558" s="4" t="str">
        <f ca="1">IF(OR(INDEX($X$2:$X$1001,MATCH(ROWS($W$2:W558),$W$2:$W$1001,0),1)&gt;=100000,INDEX($AD$1005:$AU$1005,1,MATCH(COLUMNS($AD$1006:AH1006),$AD$1006:$AU$1006,0))&gt;=100000), " ",IF(INDEX($AD$2:$AU$1001,MATCH(ROWS($W$2:W558),$W$2:$W$1001,0),MATCH(COLUMNS($AD$1006:AH1006),$AD$1006:$AU$1006,0)), HYPERLINK("#",""), HYPERLINK(CONCATENATE("#metadata!", ADDRESS(INDEX($Y$2:$Y$1001,MATCH(ROWS($W$2:W558),$W$2:$W$1001,0),0), INDEX($AD$1004:$AU$1004,1,MATCH(COLUMNS($AD$1006:AH1006),$AD$1006:$AU$1006,0)))),"Fix")))</f>
        <v xml:space="preserve"> </v>
      </c>
      <c r="G558" s="4" t="str">
        <f ca="1">IF(OR(INDEX($X$2:$X$1001,MATCH(ROWS($W$2:W558),$W$2:$W$1001,0),1)&gt;=100000,INDEX($AD$1005:$AU$1005,1,MATCH(COLUMNS($AD$1006:AI1006),$AD$1006:$AU$1006,0))&gt;=100000), " ",IF(INDEX($AD$2:$AU$1001,MATCH(ROWS($W$2:W558),$W$2:$W$1001,0),MATCH(COLUMNS($AD$1006:AI1006),$AD$1006:$AU$1006,0)), HYPERLINK("#",""), HYPERLINK(CONCATENATE("#metadata!", ADDRESS(INDEX($Y$2:$Y$1001,MATCH(ROWS($W$2:W558),$W$2:$W$1001,0),0), INDEX($AD$1004:$AU$1004,1,MATCH(COLUMNS($AD$1006:AI1006),$AD$1006:$AU$1006,0)))),"Fix")))</f>
        <v xml:space="preserve"> </v>
      </c>
      <c r="H558" s="4" t="str">
        <f ca="1">IF(OR(INDEX($X$2:$X$1001,MATCH(ROWS($W$2:W558),$W$2:$W$1001,0),1)&gt;=100000,INDEX($AD$1005:$AU$1005,1,MATCH(COLUMNS($AD$1006:AJ1006),$AD$1006:$AU$1006,0))&gt;=100000), " ",IF(INDEX($AD$2:$AU$1001,MATCH(ROWS($W$2:W558),$W$2:$W$1001,0),MATCH(COLUMNS($AD$1006:AJ1006),$AD$1006:$AU$1006,0)), HYPERLINK("#",""), HYPERLINK(CONCATENATE("#metadata!", ADDRESS(INDEX($Y$2:$Y$1001,MATCH(ROWS($W$2:W558),$W$2:$W$1001,0),0), INDEX($AD$1004:$AU$1004,1,MATCH(COLUMNS($AD$1006:AJ1006),$AD$1006:$AU$1006,0)))),"Fix")))</f>
        <v xml:space="preserve"> </v>
      </c>
      <c r="I558" s="4" t="str">
        <f ca="1">IF(OR(INDEX($X$2:$X$1001,MATCH(ROWS($W$2:W558),$W$2:$W$1001,0),1)&gt;=100000,INDEX($AD$1005:$AU$1005,1,MATCH(COLUMNS($AD$1006:AK1006),$AD$1006:$AU$1006,0))&gt;=100000), " ",IF(INDEX($AD$2:$AU$1001,MATCH(ROWS($W$2:W558),$W$2:$W$1001,0),MATCH(COLUMNS($AD$1006:AK1006),$AD$1006:$AU$1006,0)), HYPERLINK("#",""), HYPERLINK(CONCATENATE("#metadata!", ADDRESS(INDEX($Y$2:$Y$1001,MATCH(ROWS($W$2:W558),$W$2:$W$1001,0),0), INDEX($AD$1004:$AU$1004,1,MATCH(COLUMNS($AD$1006:AK1006),$AD$1006:$AU$1006,0)))),"Fix")))</f>
        <v xml:space="preserve"> </v>
      </c>
      <c r="J558" s="4" t="str">
        <f ca="1">IF(OR(INDEX($X$2:$X$1001,MATCH(ROWS($W$2:W558),$W$2:$W$1001,0),1)&gt;=100000,INDEX($AD$1005:$AU$1005,1,MATCH(COLUMNS($AD$1006:AL1006),$AD$1006:$AU$1006,0))&gt;=100000), " ",IF(INDEX($AD$2:$AU$1001,MATCH(ROWS($W$2:W558),$W$2:$W$1001,0),MATCH(COLUMNS($AD$1006:AL1006),$AD$1006:$AU$1006,0)), HYPERLINK("#",""), HYPERLINK(CONCATENATE("#metadata!", ADDRESS(INDEX($Y$2:$Y$1001,MATCH(ROWS($W$2:W558),$W$2:$W$1001,0),0), INDEX($AD$1004:$AU$1004,1,MATCH(COLUMNS($AD$1006:AL1006),$AD$1006:$AU$1006,0)))),"Fix")))</f>
        <v xml:space="preserve"> </v>
      </c>
      <c r="K558" s="4" t="str">
        <f ca="1">IF(OR(INDEX($X$2:$X$1001,MATCH(ROWS($W$2:W558),$W$2:$W$1001,0),1)&gt;=100000,INDEX($AD$1005:$AU$1005,1,MATCH(COLUMNS($AD$1006:AM1006),$AD$1006:$AU$1006,0))&gt;=100000), " ",IF(INDEX($AD$2:$AU$1001,MATCH(ROWS($W$2:W558),$W$2:$W$1001,0),MATCH(COLUMNS($AD$1006:AM1006),$AD$1006:$AU$1006,0)), HYPERLINK("#",""), HYPERLINK(CONCATENATE("#metadata!", ADDRESS(INDEX($Y$2:$Y$1001,MATCH(ROWS($W$2:W558),$W$2:$W$1001,0),0), INDEX($AD$1004:$AU$1004,1,MATCH(COLUMNS($AD$1006:AM1006),$AD$1006:$AU$1006,0)))),"Fix")))</f>
        <v xml:space="preserve"> </v>
      </c>
      <c r="L558" s="4" t="str">
        <f ca="1">IF(OR(INDEX($X$2:$X$1001,MATCH(ROWS($W$2:W558),$W$2:$W$1001,0),1)&gt;=100000,INDEX($AD$1005:$AU$1005,1,MATCH(COLUMNS($AD$1006:AN1006),$AD$1006:$AU$1006,0))&gt;=100000), " ",IF(INDEX($AD$2:$AU$1001,MATCH(ROWS($W$2:W558),$W$2:$W$1001,0),MATCH(COLUMNS($AD$1006:AN1006),$AD$1006:$AU$1006,0)), HYPERLINK("#",""), HYPERLINK(CONCATENATE("#metadata!", ADDRESS(INDEX($Y$2:$Y$1001,MATCH(ROWS($W$2:W558),$W$2:$W$1001,0),0), INDEX($AD$1004:$AU$1004,1,MATCH(COLUMNS($AD$1006:AN1006),$AD$1006:$AU$1006,0)))),"Fix")))</f>
        <v xml:space="preserve"> </v>
      </c>
      <c r="M558" s="4" t="str">
        <f ca="1">IF(OR(INDEX($X$2:$X$1001,MATCH(ROWS($W$2:W558),$W$2:$W$1001,0),1)&gt;=100000,INDEX($AD$1005:$AU$1005,1,MATCH(COLUMNS($AD$1006:AO1006),$AD$1006:$AU$1006,0))&gt;=100000), " ",IF(INDEX($AD$2:$AU$1001,MATCH(ROWS($W$2:W558),$W$2:$W$1001,0),MATCH(COLUMNS($AD$1006:AO1006),$AD$1006:$AU$1006,0)), HYPERLINK("#",""), HYPERLINK(CONCATENATE("#metadata!", ADDRESS(INDEX($Y$2:$Y$1001,MATCH(ROWS($W$2:W558),$W$2:$W$1001,0),0), INDEX($AD$1004:$AU$1004,1,MATCH(COLUMNS($AD$1006:AO1006),$AD$1006:$AU$1006,0)))),"Fix")))</f>
        <v xml:space="preserve"> </v>
      </c>
      <c r="N558" s="4" t="str">
        <f ca="1">IF(OR(INDEX($X$2:$X$1001,MATCH(ROWS($W$2:W558),$W$2:$W$1001,0),1)&gt;=100000,INDEX($AD$1005:$AU$1005,1,MATCH(COLUMNS($AD$1006:AP1006),$AD$1006:$AU$1006,0))&gt;=100000), " ",IF(INDEX($AD$2:$AU$1001,MATCH(ROWS($W$2:W558),$W$2:$W$1001,0),MATCH(COLUMNS($AD$1006:AP1006),$AD$1006:$AU$1006,0)), HYPERLINK("#",""), HYPERLINK(CONCATENATE("#metadata!", ADDRESS(INDEX($Y$2:$Y$1001,MATCH(ROWS($W$2:W558),$W$2:$W$1001,0),0), INDEX($AD$1004:$AU$1004,1,MATCH(COLUMNS($AD$1006:AP1006),$AD$1006:$AU$1006,0)))),"Fix")))</f>
        <v xml:space="preserve"> </v>
      </c>
      <c r="O558" s="4" t="str">
        <f ca="1">IF(OR(INDEX($X$2:$X$1001,MATCH(ROWS($W$2:W558),$W$2:$W$1001,0),1)&gt;=100000,INDEX($AD$1005:$AU$1005,1,MATCH(COLUMNS($AD$1006:AQ1006),$AD$1006:$AU$1006,0))&gt;=100000), " ",IF(INDEX($AD$2:$AU$1001,MATCH(ROWS($W$2:W558),$W$2:$W$1001,0),MATCH(COLUMNS($AD$1006:AQ1006),$AD$1006:$AU$1006,0)), HYPERLINK("#",""), HYPERLINK(CONCATENATE("#metadata!", ADDRESS(INDEX($Y$2:$Y$1001,MATCH(ROWS($W$2:W558),$W$2:$W$1001,0),0), INDEX($AD$1004:$AU$1004,1,MATCH(COLUMNS($AD$1006:AQ1006),$AD$1006:$AU$1006,0)))),"Fix")))</f>
        <v xml:space="preserve"> </v>
      </c>
      <c r="P558" s="4" t="str">
        <f ca="1">IF(OR(INDEX($X$2:$X$1001,MATCH(ROWS($W$2:W558),$W$2:$W$1001,0),1)&gt;=100000,INDEX($AD$1005:$AU$1005,1,MATCH(COLUMNS($AD$1006:AR1006),$AD$1006:$AU$1006,0))&gt;=100000), " ",IF(INDEX($AD$2:$AU$1001,MATCH(ROWS($W$2:W558),$W$2:$W$1001,0),MATCH(COLUMNS($AD$1006:AR1006),$AD$1006:$AU$1006,0)), HYPERLINK("#",""), HYPERLINK(CONCATENATE("#metadata!", ADDRESS(INDEX($Y$2:$Y$1001,MATCH(ROWS($W$2:W558),$W$2:$W$1001,0),0), INDEX($AD$1004:$AU$1004,1,MATCH(COLUMNS($AD$1006:AR1006),$AD$1006:$AU$1006,0)))),"Fix")))</f>
        <v xml:space="preserve"> </v>
      </c>
      <c r="Q558" s="4" t="str">
        <f ca="1">IF(OR(INDEX($X$2:$X$1001,MATCH(ROWS($W$2:W558),$W$2:$W$1001,0),1)&gt;=100000,INDEX($AD$1005:$AU$1005,1,MATCH(COLUMNS($AD$1006:AS1006),$AD$1006:$AU$1006,0))&gt;=100000), " ",IF(INDEX($AD$2:$AU$1001,MATCH(ROWS($W$2:W558),$W$2:$W$1001,0),MATCH(COLUMNS($AD$1006:AS1006),$AD$1006:$AU$1006,0)), HYPERLINK("#",""), HYPERLINK(CONCATENATE("#metadata!", ADDRESS(INDEX($Y$2:$Y$1001,MATCH(ROWS($W$2:W558),$W$2:$W$1001,0),0), INDEX($AD$1004:$AU$1004,1,MATCH(COLUMNS($AD$1006:AS1006),$AD$1006:$AU$1006,0)))),"Fix")))</f>
        <v xml:space="preserve"> </v>
      </c>
      <c r="R558" s="4" t="str">
        <f ca="1">IF(OR(INDEX($X$2:$X$1001,MATCH(ROWS($W$2:W558),$W$2:$W$1001,0),1)&gt;=100000,INDEX($AD$1005:$AU$1005,1,MATCH(COLUMNS($AD$1006:AT1006),$AD$1006:$AU$1006,0))&gt;=100000), " ",IF(INDEX($AD$2:$AU$1001,MATCH(ROWS($W$2:W558),$W$2:$W$1001,0),MATCH(COLUMNS($AD$1006:AT1006),$AD$1006:$AU$1006,0)), HYPERLINK("#",""), HYPERLINK(CONCATENATE("#metadata!", ADDRESS(INDEX($Y$2:$Y$1001,MATCH(ROWS($W$2:W558),$W$2:$W$1001,0),0), INDEX($AD$1004:$AU$1004,1,MATCH(COLUMNS($AD$1006:AT1006),$AD$1006:$AU$1006,0)))),"Fix")))</f>
        <v xml:space="preserve"> </v>
      </c>
      <c r="S558" s="4" t="str">
        <f ca="1">IF(OR(INDEX($X$2:$X$1001,MATCH(ROWS($W$2:W558),$W$2:$W$1001,0),1)&gt;=100000,INDEX($AD$1005:$AU$1005,1,MATCH(COLUMNS($AD$1006:AU1006),$AD$1006:$AU$1006,0))&gt;=100000), " ",IF(INDEX($AD$2:$AU$1001,MATCH(ROWS($W$2:W558),$W$2:$W$1001,0),MATCH(COLUMNS($AD$1006:AU1006),$AD$1006:$AU$1006,0)), HYPERLINK("#",""), HYPERLINK(CONCATENATE("#metadata!", ADDRESS(INDEX($Y$2:$Y$1001,MATCH(ROWS($W$2:W558),$W$2:$W$1001,0),0), INDEX($AD$1004:$AU$1004,1,MATCH(COLUMNS($AD$1006:AU1006),$AD$1006:$AU$1006,0)))),"Fix")))</f>
        <v xml:space="preserve"> </v>
      </c>
      <c r="W558">
        <v>557</v>
      </c>
      <c r="X558">
        <v>100558</v>
      </c>
      <c r="Y558">
        <v>558</v>
      </c>
      <c r="Z558" t="b">
        <f t="shared" si="8"/>
        <v>1</v>
      </c>
      <c r="AA558" t="b">
        <f>COUNTBLANK(metadata!B558:S558)=COLUMNS(metadata!B558:S558)</f>
        <v>1</v>
      </c>
      <c r="AB558" t="str">
        <v/>
      </c>
      <c r="AD558" t="b">
        <f ca="1">AND(IF(metadata!B558="",FALSE,TRUE),COUNTIF(metadata!B:B, metadata!B558) = 1,NOT(ISERROR(SUMPRODUCT(SEARCH(MID(metadata!B558,ROW(INDIRECT("1:"&amp;LEN(metadata!B558))), 1),"0123456789abcdefghijklmnopqrstuvwxyzABCDEFGHIJKLMNOPQRSTUVWXYZ.")))))</f>
        <v>0</v>
      </c>
      <c r="AE558" t="b">
        <f>OR(AND(IF(metadata!C558="",FALSE,TRUE),OR(EXACT(metadata!C558,"not applicable"),EXACT(metadata!C558,"missing: not collected"),EXACT(metadata!C558,"missing: not provided"),EXACT(metadata!C558,"missing: restricted access"))),AND(IF(metadata!C558="",FALSE,ISNUMBER(VALUE(metadata!C558))),metadata!C558&gt;0))</f>
        <v>0</v>
      </c>
      <c r="AF558" t="b">
        <f>AND(IF(metadata!D558="",FALSE,TRUE),EXACT(metadata!D558,"missing: not provided"))</f>
        <v>0</v>
      </c>
      <c r="AG558" t="b">
        <f>AND(IF(metadata!E558="",FALSE,TRUE),EXACT(metadata!E558,"Host-associated"))</f>
        <v>0</v>
      </c>
      <c r="AH558" t="b">
        <f>AND(IF(metadata!F558="",FALSE,TRUE),OR(EXACT(metadata!F558,"Animal"),EXACT(metadata!F558,"Fungus"),EXACT(metadata!F558,"Plant")))</f>
        <v>0</v>
      </c>
      <c r="AI558" t="b">
        <f>AND(IF(metadata!G558="",FALSE,TRUE),OR(EXACT(metadata!G558,"Plant secretion"),EXACT(metadata!G558,"Plant rhizosphere"),EXACT(metadata!G558,"Plant surface"),EXACT(metadata!G558,"Plant corpus"),EXACT(metadata!G558,"Fungus surface"),EXACT(metadata!G558,"Fungus corpus"),EXACT(metadata!G558,"Animal surface"),EXACT(metadata!G558,"Animal proximal gut"),EXACT(metadata!G558,"Animal corpus"),EXACT(metadata!G558,"Animal distal gut"),EXACT(metadata!G558,"Animal secretion")))</f>
        <v>0</v>
      </c>
      <c r="AJ558" t="b">
        <f>OR(AND(IF(metadata!H558="",FALSE,TRUE),OR(EXACT(metadata!H558,"missing: not collected"),EXACT(metadata!H558,"missing: not provided"),EXACT(metadata!H558,"missing: restricted access"))),AND(IF(metadata!H558="",FALSE,TRUE),OR(EXACT(metadata!H558,"organism-associated habitat"),EXACT(metadata!H558,"plant-associated habitat"),EXACT(metadata!H558,"animal-associated habitat"),EXACT(metadata!H558,"insecta-associated habitat"),EXACT(metadata!H558,"mammalia-associated habitat"),EXACT(metadata!H558,"human-associated habitat"),EXACT(metadata!H558,"livestock-associated habitat"))))</f>
        <v>0</v>
      </c>
      <c r="AK558" t="b">
        <f>AND(IF(metadata!I558="",FALSE,TRUE),EXACT(metadata!I558,"host-associated"))</f>
        <v>0</v>
      </c>
      <c r="AL558" t="b">
        <f>OR(AND(IF(metadata!J558="",FALSE,TRUE),OR(EXACT(metadata!J558,"not applicable"),EXACT(metadata!J558,"missing: not collected"),EXACT(metadata!J558,"missing: not provided"),EXACT(metadata!J558,"missing: restricted access"))),AND(IF(metadata!J558="",FALSE,ISNUMBER(VALUE(metadata!J558))),metadata!J558&gt;0))</f>
        <v>0</v>
      </c>
      <c r="AM558" t="b">
        <f>AND(IF(metadata!K558="",FALSE,TRUE),EXACT(metadata!K558,"missing: not provided"))</f>
        <v>0</v>
      </c>
      <c r="AN558" t="b">
        <f>IF(metadata!L558="",FALSE,TRUE)</f>
        <v>0</v>
      </c>
      <c r="AO558" t="b">
        <f>IF(metadata!M558="",FALSE,TRUE)</f>
        <v>0</v>
      </c>
      <c r="AP558" t="b">
        <f>OR(AND(IF(metadata!N558="",FALSE,TRUE),OR(EXACT(metadata!N558,"not applicable"),EXACT(metadata!N558,"missing: not collected"),EXACT(metadata!N558,"missing: not provided"))),AND(IF(metadata!N558="",FALSE,IF(ISERROR(INT(metadata!N558)),FALSE,INT(metadata!N558)=metadata!N558)),metadata!N558&gt;0))</f>
        <v>0</v>
      </c>
      <c r="AQ558" t="b">
        <f>AND(IF(metadata!O558="",FALSE,TRUE),EXACT(metadata!O558,"Not applicable"))</f>
        <v>0</v>
      </c>
      <c r="AR558" t="b">
        <f>OR(AND(IF(metadata!P558="",FALSE,TRUE),OR(EXACT(metadata!P558,"not applicable"),EXACT(metadata!P558,"missing: not collected"),EXACT(metadata!P558,"missing: not provided"),EXACT(metadata!P558,"missing: restricted access"))),IF(metadata!P558="",FALSE,IF(ISERROR(INT(metadata!P558)),FALSE,INT(metadata!P558)=metadata!P558)))</f>
        <v>0</v>
      </c>
      <c r="AS558" t="b">
        <f>AND(IF(metadata!Q558="",FALSE,TRUE),EXACT(metadata!Q558,"Not applicable"))</f>
        <v>0</v>
      </c>
      <c r="AT558" t="b">
        <f>OR(AND(IF(metadata!R558="",FALSE,TRUE),OR(EXACT(metadata!R558,"not applicable"),EXACT(metadata!R558,"missing: not collected"),EXACT(metadata!R558,"missing: not provided"),EXACT(metadata!R558,"missing: restricted access"))),AND(IF(metadata!R558="",FALSE,ISNUMBER(VALUE(metadata!R558))),metadata!R558&gt;0))</f>
        <v>0</v>
      </c>
      <c r="AU558" t="b">
        <f>AND(IF(metadata!S558="",FALSE,TRUE),EXACT(metadata!S558,"missing: not provided"))</f>
        <v>0</v>
      </c>
    </row>
    <row r="559" spans="1:47" x14ac:dyDescent="0.2">
      <c r="A559" s="5" t="str">
        <f ca="1">IF(B559=" "," ",HYPERLINK(CONCATENATE("#metadata!",ADDRESS(INDEX($Y$2:$Y$1001,MATCH(ROWS($W$2:W559),$W$2:$W$1001,0),0),1)),INDEX($AB$2:$AB$1001,MATCH(ROWS($W$2:W559),$W$2:$W$1001,0),0)))</f>
        <v xml:space="preserve"> </v>
      </c>
      <c r="B559" s="4" t="str">
        <f ca="1">IF(OR(INDEX($X$2:$X$1001,MATCH(ROWS($W$2:W559),$W$2:$W$1001,0),1)&gt;=100000,INDEX($AD$1005:$AU$1005,1,MATCH(COLUMNS($AD$1006:AD1006),$AD$1006:$AU$1006,0))&gt;=100000), " ",IF(INDEX($AD$2:$AU$1001,MATCH(ROWS($W$2:W559),$W$2:$W$1001,0),MATCH(COLUMNS($AD$1006:AD1006),$AD$1006:$AU$1006,0)), HYPERLINK("#",""), HYPERLINK(CONCATENATE("#metadata!", ADDRESS(INDEX($Y$2:$Y$1001,MATCH(ROWS($W$2:W559),$W$2:$W$1001,0),0), INDEX($AD$1004:$AU$1004,1,MATCH(COLUMNS($AD$1006:AD1006),$AD$1006:$AU$1006,0)))),"Fix")))</f>
        <v xml:space="preserve"> </v>
      </c>
      <c r="C559" s="4" t="str">
        <f ca="1">IF(OR(INDEX($X$2:$X$1001,MATCH(ROWS($W$2:W559),$W$2:$W$1001,0),1)&gt;=100000,INDEX($AD$1005:$AU$1005,1,MATCH(COLUMNS($AD$1006:AE1006),$AD$1006:$AU$1006,0))&gt;=100000), " ",IF(INDEX($AD$2:$AU$1001,MATCH(ROWS($W$2:W559),$W$2:$W$1001,0),MATCH(COLUMNS($AD$1006:AE1006),$AD$1006:$AU$1006,0)), HYPERLINK("#",""), HYPERLINK(CONCATENATE("#metadata!", ADDRESS(INDEX($Y$2:$Y$1001,MATCH(ROWS($W$2:W559),$W$2:$W$1001,0),0), INDEX($AD$1004:$AU$1004,1,MATCH(COLUMNS($AD$1006:AE1006),$AD$1006:$AU$1006,0)))),"Fix")))</f>
        <v xml:space="preserve"> </v>
      </c>
      <c r="D559" s="4" t="str">
        <f ca="1">IF(OR(INDEX($X$2:$X$1001,MATCH(ROWS($W$2:W559),$W$2:$W$1001,0),1)&gt;=100000,INDEX($AD$1005:$AU$1005,1,MATCH(COLUMNS($AD$1006:AF1006),$AD$1006:$AU$1006,0))&gt;=100000), " ",IF(INDEX($AD$2:$AU$1001,MATCH(ROWS($W$2:W559),$W$2:$W$1001,0),MATCH(COLUMNS($AD$1006:AF1006),$AD$1006:$AU$1006,0)), HYPERLINK("#",""), HYPERLINK(CONCATENATE("#metadata!", ADDRESS(INDEX($Y$2:$Y$1001,MATCH(ROWS($W$2:W559),$W$2:$W$1001,0),0), INDEX($AD$1004:$AU$1004,1,MATCH(COLUMNS($AD$1006:AF1006),$AD$1006:$AU$1006,0)))),"Fix")))</f>
        <v xml:space="preserve"> </v>
      </c>
      <c r="E559" s="4" t="str">
        <f ca="1">IF(OR(INDEX($X$2:$X$1001,MATCH(ROWS($W$2:W559),$W$2:$W$1001,0),1)&gt;=100000,INDEX($AD$1005:$AU$1005,1,MATCH(COLUMNS($AD$1006:AG1006),$AD$1006:$AU$1006,0))&gt;=100000), " ",IF(INDEX($AD$2:$AU$1001,MATCH(ROWS($W$2:W559),$W$2:$W$1001,0),MATCH(COLUMNS($AD$1006:AG1006),$AD$1006:$AU$1006,0)), HYPERLINK("#",""), HYPERLINK(CONCATENATE("#metadata!", ADDRESS(INDEX($Y$2:$Y$1001,MATCH(ROWS($W$2:W559),$W$2:$W$1001,0),0), INDEX($AD$1004:$AU$1004,1,MATCH(COLUMNS($AD$1006:AG1006),$AD$1006:$AU$1006,0)))),"Fix")))</f>
        <v xml:space="preserve"> </v>
      </c>
      <c r="F559" s="4" t="str">
        <f ca="1">IF(OR(INDEX($X$2:$X$1001,MATCH(ROWS($W$2:W559),$W$2:$W$1001,0),1)&gt;=100000,INDEX($AD$1005:$AU$1005,1,MATCH(COLUMNS($AD$1006:AH1006),$AD$1006:$AU$1006,0))&gt;=100000), " ",IF(INDEX($AD$2:$AU$1001,MATCH(ROWS($W$2:W559),$W$2:$W$1001,0),MATCH(COLUMNS($AD$1006:AH1006),$AD$1006:$AU$1006,0)), HYPERLINK("#",""), HYPERLINK(CONCATENATE("#metadata!", ADDRESS(INDEX($Y$2:$Y$1001,MATCH(ROWS($W$2:W559),$W$2:$W$1001,0),0), INDEX($AD$1004:$AU$1004,1,MATCH(COLUMNS($AD$1006:AH1006),$AD$1006:$AU$1006,0)))),"Fix")))</f>
        <v xml:space="preserve"> </v>
      </c>
      <c r="G559" s="4" t="str">
        <f ca="1">IF(OR(INDEX($X$2:$X$1001,MATCH(ROWS($W$2:W559),$W$2:$W$1001,0),1)&gt;=100000,INDEX($AD$1005:$AU$1005,1,MATCH(COLUMNS($AD$1006:AI1006),$AD$1006:$AU$1006,0))&gt;=100000), " ",IF(INDEX($AD$2:$AU$1001,MATCH(ROWS($W$2:W559),$W$2:$W$1001,0),MATCH(COLUMNS($AD$1006:AI1006),$AD$1006:$AU$1006,0)), HYPERLINK("#",""), HYPERLINK(CONCATENATE("#metadata!", ADDRESS(INDEX($Y$2:$Y$1001,MATCH(ROWS($W$2:W559),$W$2:$W$1001,0),0), INDEX($AD$1004:$AU$1004,1,MATCH(COLUMNS($AD$1006:AI1006),$AD$1006:$AU$1006,0)))),"Fix")))</f>
        <v xml:space="preserve"> </v>
      </c>
      <c r="H559" s="4" t="str">
        <f ca="1">IF(OR(INDEX($X$2:$X$1001,MATCH(ROWS($W$2:W559),$W$2:$W$1001,0),1)&gt;=100000,INDEX($AD$1005:$AU$1005,1,MATCH(COLUMNS($AD$1006:AJ1006),$AD$1006:$AU$1006,0))&gt;=100000), " ",IF(INDEX($AD$2:$AU$1001,MATCH(ROWS($W$2:W559),$W$2:$W$1001,0),MATCH(COLUMNS($AD$1006:AJ1006),$AD$1006:$AU$1006,0)), HYPERLINK("#",""), HYPERLINK(CONCATENATE("#metadata!", ADDRESS(INDEX($Y$2:$Y$1001,MATCH(ROWS($W$2:W559),$W$2:$W$1001,0),0), INDEX($AD$1004:$AU$1004,1,MATCH(COLUMNS($AD$1006:AJ1006),$AD$1006:$AU$1006,0)))),"Fix")))</f>
        <v xml:space="preserve"> </v>
      </c>
      <c r="I559" s="4" t="str">
        <f ca="1">IF(OR(INDEX($X$2:$X$1001,MATCH(ROWS($W$2:W559),$W$2:$W$1001,0),1)&gt;=100000,INDEX($AD$1005:$AU$1005,1,MATCH(COLUMNS($AD$1006:AK1006),$AD$1006:$AU$1006,0))&gt;=100000), " ",IF(INDEX($AD$2:$AU$1001,MATCH(ROWS($W$2:W559),$W$2:$W$1001,0),MATCH(COLUMNS($AD$1006:AK1006),$AD$1006:$AU$1006,0)), HYPERLINK("#",""), HYPERLINK(CONCATENATE("#metadata!", ADDRESS(INDEX($Y$2:$Y$1001,MATCH(ROWS($W$2:W559),$W$2:$W$1001,0),0), INDEX($AD$1004:$AU$1004,1,MATCH(COLUMNS($AD$1006:AK1006),$AD$1006:$AU$1006,0)))),"Fix")))</f>
        <v xml:space="preserve"> </v>
      </c>
      <c r="J559" s="4" t="str">
        <f ca="1">IF(OR(INDEX($X$2:$X$1001,MATCH(ROWS($W$2:W559),$W$2:$W$1001,0),1)&gt;=100000,INDEX($AD$1005:$AU$1005,1,MATCH(COLUMNS($AD$1006:AL1006),$AD$1006:$AU$1006,0))&gt;=100000), " ",IF(INDEX($AD$2:$AU$1001,MATCH(ROWS($W$2:W559),$W$2:$W$1001,0),MATCH(COLUMNS($AD$1006:AL1006),$AD$1006:$AU$1006,0)), HYPERLINK("#",""), HYPERLINK(CONCATENATE("#metadata!", ADDRESS(INDEX($Y$2:$Y$1001,MATCH(ROWS($W$2:W559),$W$2:$W$1001,0),0), INDEX($AD$1004:$AU$1004,1,MATCH(COLUMNS($AD$1006:AL1006),$AD$1006:$AU$1006,0)))),"Fix")))</f>
        <v xml:space="preserve"> </v>
      </c>
      <c r="K559" s="4" t="str">
        <f ca="1">IF(OR(INDEX($X$2:$X$1001,MATCH(ROWS($W$2:W559),$W$2:$W$1001,0),1)&gt;=100000,INDEX($AD$1005:$AU$1005,1,MATCH(COLUMNS($AD$1006:AM1006),$AD$1006:$AU$1006,0))&gt;=100000), " ",IF(INDEX($AD$2:$AU$1001,MATCH(ROWS($W$2:W559),$W$2:$W$1001,0),MATCH(COLUMNS($AD$1006:AM1006),$AD$1006:$AU$1006,0)), HYPERLINK("#",""), HYPERLINK(CONCATENATE("#metadata!", ADDRESS(INDEX($Y$2:$Y$1001,MATCH(ROWS($W$2:W559),$W$2:$W$1001,0),0), INDEX($AD$1004:$AU$1004,1,MATCH(COLUMNS($AD$1006:AM1006),$AD$1006:$AU$1006,0)))),"Fix")))</f>
        <v xml:space="preserve"> </v>
      </c>
      <c r="L559" s="4" t="str">
        <f ca="1">IF(OR(INDEX($X$2:$X$1001,MATCH(ROWS($W$2:W559),$W$2:$W$1001,0),1)&gt;=100000,INDEX($AD$1005:$AU$1005,1,MATCH(COLUMNS($AD$1006:AN1006),$AD$1006:$AU$1006,0))&gt;=100000), " ",IF(INDEX($AD$2:$AU$1001,MATCH(ROWS($W$2:W559),$W$2:$W$1001,0),MATCH(COLUMNS($AD$1006:AN1006),$AD$1006:$AU$1006,0)), HYPERLINK("#",""), HYPERLINK(CONCATENATE("#metadata!", ADDRESS(INDEX($Y$2:$Y$1001,MATCH(ROWS($W$2:W559),$W$2:$W$1001,0),0), INDEX($AD$1004:$AU$1004,1,MATCH(COLUMNS($AD$1006:AN1006),$AD$1006:$AU$1006,0)))),"Fix")))</f>
        <v xml:space="preserve"> </v>
      </c>
      <c r="M559" s="4" t="str">
        <f ca="1">IF(OR(INDEX($X$2:$X$1001,MATCH(ROWS($W$2:W559),$W$2:$W$1001,0),1)&gt;=100000,INDEX($AD$1005:$AU$1005,1,MATCH(COLUMNS($AD$1006:AO1006),$AD$1006:$AU$1006,0))&gt;=100000), " ",IF(INDEX($AD$2:$AU$1001,MATCH(ROWS($W$2:W559),$W$2:$W$1001,0),MATCH(COLUMNS($AD$1006:AO1006),$AD$1006:$AU$1006,0)), HYPERLINK("#",""), HYPERLINK(CONCATENATE("#metadata!", ADDRESS(INDEX($Y$2:$Y$1001,MATCH(ROWS($W$2:W559),$W$2:$W$1001,0),0), INDEX($AD$1004:$AU$1004,1,MATCH(COLUMNS($AD$1006:AO1006),$AD$1006:$AU$1006,0)))),"Fix")))</f>
        <v xml:space="preserve"> </v>
      </c>
      <c r="N559" s="4" t="str">
        <f ca="1">IF(OR(INDEX($X$2:$X$1001,MATCH(ROWS($W$2:W559),$W$2:$W$1001,0),1)&gt;=100000,INDEX($AD$1005:$AU$1005,1,MATCH(COLUMNS($AD$1006:AP1006),$AD$1006:$AU$1006,0))&gt;=100000), " ",IF(INDEX($AD$2:$AU$1001,MATCH(ROWS($W$2:W559),$W$2:$W$1001,0),MATCH(COLUMNS($AD$1006:AP1006),$AD$1006:$AU$1006,0)), HYPERLINK("#",""), HYPERLINK(CONCATENATE("#metadata!", ADDRESS(INDEX($Y$2:$Y$1001,MATCH(ROWS($W$2:W559),$W$2:$W$1001,0),0), INDEX($AD$1004:$AU$1004,1,MATCH(COLUMNS($AD$1006:AP1006),$AD$1006:$AU$1006,0)))),"Fix")))</f>
        <v xml:space="preserve"> </v>
      </c>
      <c r="O559" s="4" t="str">
        <f ca="1">IF(OR(INDEX($X$2:$X$1001,MATCH(ROWS($W$2:W559),$W$2:$W$1001,0),1)&gt;=100000,INDEX($AD$1005:$AU$1005,1,MATCH(COLUMNS($AD$1006:AQ1006),$AD$1006:$AU$1006,0))&gt;=100000), " ",IF(INDEX($AD$2:$AU$1001,MATCH(ROWS($W$2:W559),$W$2:$W$1001,0),MATCH(COLUMNS($AD$1006:AQ1006),$AD$1006:$AU$1006,0)), HYPERLINK("#",""), HYPERLINK(CONCATENATE("#metadata!", ADDRESS(INDEX($Y$2:$Y$1001,MATCH(ROWS($W$2:W559),$W$2:$W$1001,0),0), INDEX($AD$1004:$AU$1004,1,MATCH(COLUMNS($AD$1006:AQ1006),$AD$1006:$AU$1006,0)))),"Fix")))</f>
        <v xml:space="preserve"> </v>
      </c>
      <c r="P559" s="4" t="str">
        <f ca="1">IF(OR(INDEX($X$2:$X$1001,MATCH(ROWS($W$2:W559),$W$2:$W$1001,0),1)&gt;=100000,INDEX($AD$1005:$AU$1005,1,MATCH(COLUMNS($AD$1006:AR1006),$AD$1006:$AU$1006,0))&gt;=100000), " ",IF(INDEX($AD$2:$AU$1001,MATCH(ROWS($W$2:W559),$W$2:$W$1001,0),MATCH(COLUMNS($AD$1006:AR1006),$AD$1006:$AU$1006,0)), HYPERLINK("#",""), HYPERLINK(CONCATENATE("#metadata!", ADDRESS(INDEX($Y$2:$Y$1001,MATCH(ROWS($W$2:W559),$W$2:$W$1001,0),0), INDEX($AD$1004:$AU$1004,1,MATCH(COLUMNS($AD$1006:AR1006),$AD$1006:$AU$1006,0)))),"Fix")))</f>
        <v xml:space="preserve"> </v>
      </c>
      <c r="Q559" s="4" t="str">
        <f ca="1">IF(OR(INDEX($X$2:$X$1001,MATCH(ROWS($W$2:W559),$W$2:$W$1001,0),1)&gt;=100000,INDEX($AD$1005:$AU$1005,1,MATCH(COLUMNS($AD$1006:AS1006),$AD$1006:$AU$1006,0))&gt;=100000), " ",IF(INDEX($AD$2:$AU$1001,MATCH(ROWS($W$2:W559),$W$2:$W$1001,0),MATCH(COLUMNS($AD$1006:AS1006),$AD$1006:$AU$1006,0)), HYPERLINK("#",""), HYPERLINK(CONCATENATE("#metadata!", ADDRESS(INDEX($Y$2:$Y$1001,MATCH(ROWS($W$2:W559),$W$2:$W$1001,0),0), INDEX($AD$1004:$AU$1004,1,MATCH(COLUMNS($AD$1006:AS1006),$AD$1006:$AU$1006,0)))),"Fix")))</f>
        <v xml:space="preserve"> </v>
      </c>
      <c r="R559" s="4" t="str">
        <f ca="1">IF(OR(INDEX($X$2:$X$1001,MATCH(ROWS($W$2:W559),$W$2:$W$1001,0),1)&gt;=100000,INDEX($AD$1005:$AU$1005,1,MATCH(COLUMNS($AD$1006:AT1006),$AD$1006:$AU$1006,0))&gt;=100000), " ",IF(INDEX($AD$2:$AU$1001,MATCH(ROWS($W$2:W559),$W$2:$W$1001,0),MATCH(COLUMNS($AD$1006:AT1006),$AD$1006:$AU$1006,0)), HYPERLINK("#",""), HYPERLINK(CONCATENATE("#metadata!", ADDRESS(INDEX($Y$2:$Y$1001,MATCH(ROWS($W$2:W559),$W$2:$W$1001,0),0), INDEX($AD$1004:$AU$1004,1,MATCH(COLUMNS($AD$1006:AT1006),$AD$1006:$AU$1006,0)))),"Fix")))</f>
        <v xml:space="preserve"> </v>
      </c>
      <c r="S559" s="4" t="str">
        <f ca="1">IF(OR(INDEX($X$2:$X$1001,MATCH(ROWS($W$2:W559),$W$2:$W$1001,0),1)&gt;=100000,INDEX($AD$1005:$AU$1005,1,MATCH(COLUMNS($AD$1006:AU1006),$AD$1006:$AU$1006,0))&gt;=100000), " ",IF(INDEX($AD$2:$AU$1001,MATCH(ROWS($W$2:W559),$W$2:$W$1001,0),MATCH(COLUMNS($AD$1006:AU1006),$AD$1006:$AU$1006,0)), HYPERLINK("#",""), HYPERLINK(CONCATENATE("#metadata!", ADDRESS(INDEX($Y$2:$Y$1001,MATCH(ROWS($W$2:W559),$W$2:$W$1001,0),0), INDEX($AD$1004:$AU$1004,1,MATCH(COLUMNS($AD$1006:AU1006),$AD$1006:$AU$1006,0)))),"Fix")))</f>
        <v xml:space="preserve"> </v>
      </c>
      <c r="W559">
        <v>558</v>
      </c>
      <c r="X559">
        <v>100559</v>
      </c>
      <c r="Y559">
        <v>559</v>
      </c>
      <c r="Z559" t="b">
        <f t="shared" si="8"/>
        <v>1</v>
      </c>
      <c r="AA559" t="b">
        <f>COUNTBLANK(metadata!B559:S559)=COLUMNS(metadata!B559:S559)</f>
        <v>1</v>
      </c>
      <c r="AB559" t="str">
        <v/>
      </c>
      <c r="AD559" t="b">
        <f ca="1">AND(IF(metadata!B559="",FALSE,TRUE),COUNTIF(metadata!B:B, metadata!B559) = 1,NOT(ISERROR(SUMPRODUCT(SEARCH(MID(metadata!B559,ROW(INDIRECT("1:"&amp;LEN(metadata!B559))), 1),"0123456789abcdefghijklmnopqrstuvwxyzABCDEFGHIJKLMNOPQRSTUVWXYZ.")))))</f>
        <v>0</v>
      </c>
      <c r="AE559" t="b">
        <f>OR(AND(IF(metadata!C559="",FALSE,TRUE),OR(EXACT(metadata!C559,"not applicable"),EXACT(metadata!C559,"missing: not collected"),EXACT(metadata!C559,"missing: not provided"),EXACT(metadata!C559,"missing: restricted access"))),AND(IF(metadata!C559="",FALSE,ISNUMBER(VALUE(metadata!C559))),metadata!C559&gt;0))</f>
        <v>0</v>
      </c>
      <c r="AF559" t="b">
        <f>AND(IF(metadata!D559="",FALSE,TRUE),EXACT(metadata!D559,"missing: not provided"))</f>
        <v>0</v>
      </c>
      <c r="AG559" t="b">
        <f>AND(IF(metadata!E559="",FALSE,TRUE),EXACT(metadata!E559,"Host-associated"))</f>
        <v>0</v>
      </c>
      <c r="AH559" t="b">
        <f>AND(IF(metadata!F559="",FALSE,TRUE),OR(EXACT(metadata!F559,"Animal"),EXACT(metadata!F559,"Fungus"),EXACT(metadata!F559,"Plant")))</f>
        <v>0</v>
      </c>
      <c r="AI559" t="b">
        <f>AND(IF(metadata!G559="",FALSE,TRUE),OR(EXACT(metadata!G559,"Plant secretion"),EXACT(metadata!G559,"Plant rhizosphere"),EXACT(metadata!G559,"Plant surface"),EXACT(metadata!G559,"Plant corpus"),EXACT(metadata!G559,"Fungus surface"),EXACT(metadata!G559,"Fungus corpus"),EXACT(metadata!G559,"Animal surface"),EXACT(metadata!G559,"Animal proximal gut"),EXACT(metadata!G559,"Animal corpus"),EXACT(metadata!G559,"Animal distal gut"),EXACT(metadata!G559,"Animal secretion")))</f>
        <v>0</v>
      </c>
      <c r="AJ559" t="b">
        <f>OR(AND(IF(metadata!H559="",FALSE,TRUE),OR(EXACT(metadata!H559,"missing: not collected"),EXACT(metadata!H559,"missing: not provided"),EXACT(metadata!H559,"missing: restricted access"))),AND(IF(metadata!H559="",FALSE,TRUE),OR(EXACT(metadata!H559,"organism-associated habitat"),EXACT(metadata!H559,"plant-associated habitat"),EXACT(metadata!H559,"animal-associated habitat"),EXACT(metadata!H559,"insecta-associated habitat"),EXACT(metadata!H559,"mammalia-associated habitat"),EXACT(metadata!H559,"human-associated habitat"),EXACT(metadata!H559,"livestock-associated habitat"))))</f>
        <v>0</v>
      </c>
      <c r="AK559" t="b">
        <f>AND(IF(metadata!I559="",FALSE,TRUE),EXACT(metadata!I559,"host-associated"))</f>
        <v>0</v>
      </c>
      <c r="AL559" t="b">
        <f>OR(AND(IF(metadata!J559="",FALSE,TRUE),OR(EXACT(metadata!J559,"not applicable"),EXACT(metadata!J559,"missing: not collected"),EXACT(metadata!J559,"missing: not provided"),EXACT(metadata!J559,"missing: restricted access"))),AND(IF(metadata!J559="",FALSE,ISNUMBER(VALUE(metadata!J559))),metadata!J559&gt;0))</f>
        <v>0</v>
      </c>
      <c r="AM559" t="b">
        <f>AND(IF(metadata!K559="",FALSE,TRUE),EXACT(metadata!K559,"missing: not provided"))</f>
        <v>0</v>
      </c>
      <c r="AN559" t="b">
        <f>IF(metadata!L559="",FALSE,TRUE)</f>
        <v>0</v>
      </c>
      <c r="AO559" t="b">
        <f>IF(metadata!M559="",FALSE,TRUE)</f>
        <v>0</v>
      </c>
      <c r="AP559" t="b">
        <f>OR(AND(IF(metadata!N559="",FALSE,TRUE),OR(EXACT(metadata!N559,"not applicable"),EXACT(metadata!N559,"missing: not collected"),EXACT(metadata!N559,"missing: not provided"))),AND(IF(metadata!N559="",FALSE,IF(ISERROR(INT(metadata!N559)),FALSE,INT(metadata!N559)=metadata!N559)),metadata!N559&gt;0))</f>
        <v>0</v>
      </c>
      <c r="AQ559" t="b">
        <f>AND(IF(metadata!O559="",FALSE,TRUE),EXACT(metadata!O559,"Not applicable"))</f>
        <v>0</v>
      </c>
      <c r="AR559" t="b">
        <f>OR(AND(IF(metadata!P559="",FALSE,TRUE),OR(EXACT(metadata!P559,"not applicable"),EXACT(metadata!P559,"missing: not collected"),EXACT(metadata!P559,"missing: not provided"),EXACT(metadata!P559,"missing: restricted access"))),IF(metadata!P559="",FALSE,IF(ISERROR(INT(metadata!P559)),FALSE,INT(metadata!P559)=metadata!P559)))</f>
        <v>0</v>
      </c>
      <c r="AS559" t="b">
        <f>AND(IF(metadata!Q559="",FALSE,TRUE),EXACT(metadata!Q559,"Not applicable"))</f>
        <v>0</v>
      </c>
      <c r="AT559" t="b">
        <f>OR(AND(IF(metadata!R559="",FALSE,TRUE),OR(EXACT(metadata!R559,"not applicable"),EXACT(metadata!R559,"missing: not collected"),EXACT(metadata!R559,"missing: not provided"),EXACT(metadata!R559,"missing: restricted access"))),AND(IF(metadata!R559="",FALSE,ISNUMBER(VALUE(metadata!R559))),metadata!R559&gt;0))</f>
        <v>0</v>
      </c>
      <c r="AU559" t="b">
        <f>AND(IF(metadata!S559="",FALSE,TRUE),EXACT(metadata!S559,"missing: not provided"))</f>
        <v>0</v>
      </c>
    </row>
    <row r="560" spans="1:47" x14ac:dyDescent="0.2">
      <c r="A560" s="5" t="str">
        <f ca="1">IF(B560=" "," ",HYPERLINK(CONCATENATE("#metadata!",ADDRESS(INDEX($Y$2:$Y$1001,MATCH(ROWS($W$2:W560),$W$2:$W$1001,0),0),1)),INDEX($AB$2:$AB$1001,MATCH(ROWS($W$2:W560),$W$2:$W$1001,0),0)))</f>
        <v xml:space="preserve"> </v>
      </c>
      <c r="B560" s="4" t="str">
        <f ca="1">IF(OR(INDEX($X$2:$X$1001,MATCH(ROWS($W$2:W560),$W$2:$W$1001,0),1)&gt;=100000,INDEX($AD$1005:$AU$1005,1,MATCH(COLUMNS($AD$1006:AD1006),$AD$1006:$AU$1006,0))&gt;=100000), " ",IF(INDEX($AD$2:$AU$1001,MATCH(ROWS($W$2:W560),$W$2:$W$1001,0),MATCH(COLUMNS($AD$1006:AD1006),$AD$1006:$AU$1006,0)), HYPERLINK("#",""), HYPERLINK(CONCATENATE("#metadata!", ADDRESS(INDEX($Y$2:$Y$1001,MATCH(ROWS($W$2:W560),$W$2:$W$1001,0),0), INDEX($AD$1004:$AU$1004,1,MATCH(COLUMNS($AD$1006:AD1006),$AD$1006:$AU$1006,0)))),"Fix")))</f>
        <v xml:space="preserve"> </v>
      </c>
      <c r="C560" s="4" t="str">
        <f ca="1">IF(OR(INDEX($X$2:$X$1001,MATCH(ROWS($W$2:W560),$W$2:$W$1001,0),1)&gt;=100000,INDEX($AD$1005:$AU$1005,1,MATCH(COLUMNS($AD$1006:AE1006),$AD$1006:$AU$1006,0))&gt;=100000), " ",IF(INDEX($AD$2:$AU$1001,MATCH(ROWS($W$2:W560),$W$2:$W$1001,0),MATCH(COLUMNS($AD$1006:AE1006),$AD$1006:$AU$1006,0)), HYPERLINK("#",""), HYPERLINK(CONCATENATE("#metadata!", ADDRESS(INDEX($Y$2:$Y$1001,MATCH(ROWS($W$2:W560),$W$2:$W$1001,0),0), INDEX($AD$1004:$AU$1004,1,MATCH(COLUMNS($AD$1006:AE1006),$AD$1006:$AU$1006,0)))),"Fix")))</f>
        <v xml:space="preserve"> </v>
      </c>
      <c r="D560" s="4" t="str">
        <f ca="1">IF(OR(INDEX($X$2:$X$1001,MATCH(ROWS($W$2:W560),$W$2:$W$1001,0),1)&gt;=100000,INDEX($AD$1005:$AU$1005,1,MATCH(COLUMNS($AD$1006:AF1006),$AD$1006:$AU$1006,0))&gt;=100000), " ",IF(INDEX($AD$2:$AU$1001,MATCH(ROWS($W$2:W560),$W$2:$W$1001,0),MATCH(COLUMNS($AD$1006:AF1006),$AD$1006:$AU$1006,0)), HYPERLINK("#",""), HYPERLINK(CONCATENATE("#metadata!", ADDRESS(INDEX($Y$2:$Y$1001,MATCH(ROWS($W$2:W560),$W$2:$W$1001,0),0), INDEX($AD$1004:$AU$1004,1,MATCH(COLUMNS($AD$1006:AF1006),$AD$1006:$AU$1006,0)))),"Fix")))</f>
        <v xml:space="preserve"> </v>
      </c>
      <c r="E560" s="4" t="str">
        <f ca="1">IF(OR(INDEX($X$2:$X$1001,MATCH(ROWS($W$2:W560),$W$2:$W$1001,0),1)&gt;=100000,INDEX($AD$1005:$AU$1005,1,MATCH(COLUMNS($AD$1006:AG1006),$AD$1006:$AU$1006,0))&gt;=100000), " ",IF(INDEX($AD$2:$AU$1001,MATCH(ROWS($W$2:W560),$W$2:$W$1001,0),MATCH(COLUMNS($AD$1006:AG1006),$AD$1006:$AU$1006,0)), HYPERLINK("#",""), HYPERLINK(CONCATENATE("#metadata!", ADDRESS(INDEX($Y$2:$Y$1001,MATCH(ROWS($W$2:W560),$W$2:$W$1001,0),0), INDEX($AD$1004:$AU$1004,1,MATCH(COLUMNS($AD$1006:AG1006),$AD$1006:$AU$1006,0)))),"Fix")))</f>
        <v xml:space="preserve"> </v>
      </c>
      <c r="F560" s="4" t="str">
        <f ca="1">IF(OR(INDEX($X$2:$X$1001,MATCH(ROWS($W$2:W560),$W$2:$W$1001,0),1)&gt;=100000,INDEX($AD$1005:$AU$1005,1,MATCH(COLUMNS($AD$1006:AH1006),$AD$1006:$AU$1006,0))&gt;=100000), " ",IF(INDEX($AD$2:$AU$1001,MATCH(ROWS($W$2:W560),$W$2:$W$1001,0),MATCH(COLUMNS($AD$1006:AH1006),$AD$1006:$AU$1006,0)), HYPERLINK("#",""), HYPERLINK(CONCATENATE("#metadata!", ADDRESS(INDEX($Y$2:$Y$1001,MATCH(ROWS($W$2:W560),$W$2:$W$1001,0),0), INDEX($AD$1004:$AU$1004,1,MATCH(COLUMNS($AD$1006:AH1006),$AD$1006:$AU$1006,0)))),"Fix")))</f>
        <v xml:space="preserve"> </v>
      </c>
      <c r="G560" s="4" t="str">
        <f ca="1">IF(OR(INDEX($X$2:$X$1001,MATCH(ROWS($W$2:W560),$W$2:$W$1001,0),1)&gt;=100000,INDEX($AD$1005:$AU$1005,1,MATCH(COLUMNS($AD$1006:AI1006),$AD$1006:$AU$1006,0))&gt;=100000), " ",IF(INDEX($AD$2:$AU$1001,MATCH(ROWS($W$2:W560),$W$2:$W$1001,0),MATCH(COLUMNS($AD$1006:AI1006),$AD$1006:$AU$1006,0)), HYPERLINK("#",""), HYPERLINK(CONCATENATE("#metadata!", ADDRESS(INDEX($Y$2:$Y$1001,MATCH(ROWS($W$2:W560),$W$2:$W$1001,0),0), INDEX($AD$1004:$AU$1004,1,MATCH(COLUMNS($AD$1006:AI1006),$AD$1006:$AU$1006,0)))),"Fix")))</f>
        <v xml:space="preserve"> </v>
      </c>
      <c r="H560" s="4" t="str">
        <f ca="1">IF(OR(INDEX($X$2:$X$1001,MATCH(ROWS($W$2:W560),$W$2:$W$1001,0),1)&gt;=100000,INDEX($AD$1005:$AU$1005,1,MATCH(COLUMNS($AD$1006:AJ1006),$AD$1006:$AU$1006,0))&gt;=100000), " ",IF(INDEX($AD$2:$AU$1001,MATCH(ROWS($W$2:W560),$W$2:$W$1001,0),MATCH(COLUMNS($AD$1006:AJ1006),$AD$1006:$AU$1006,0)), HYPERLINK("#",""), HYPERLINK(CONCATENATE("#metadata!", ADDRESS(INDEX($Y$2:$Y$1001,MATCH(ROWS($W$2:W560),$W$2:$W$1001,0),0), INDEX($AD$1004:$AU$1004,1,MATCH(COLUMNS($AD$1006:AJ1006),$AD$1006:$AU$1006,0)))),"Fix")))</f>
        <v xml:space="preserve"> </v>
      </c>
      <c r="I560" s="4" t="str">
        <f ca="1">IF(OR(INDEX($X$2:$X$1001,MATCH(ROWS($W$2:W560),$W$2:$W$1001,0),1)&gt;=100000,INDEX($AD$1005:$AU$1005,1,MATCH(COLUMNS($AD$1006:AK1006),$AD$1006:$AU$1006,0))&gt;=100000), " ",IF(INDEX($AD$2:$AU$1001,MATCH(ROWS($W$2:W560),$W$2:$W$1001,0),MATCH(COLUMNS($AD$1006:AK1006),$AD$1006:$AU$1006,0)), HYPERLINK("#",""), HYPERLINK(CONCATENATE("#metadata!", ADDRESS(INDEX($Y$2:$Y$1001,MATCH(ROWS($W$2:W560),$W$2:$W$1001,0),0), INDEX($AD$1004:$AU$1004,1,MATCH(COLUMNS($AD$1006:AK1006),$AD$1006:$AU$1006,0)))),"Fix")))</f>
        <v xml:space="preserve"> </v>
      </c>
      <c r="J560" s="4" t="str">
        <f ca="1">IF(OR(INDEX($X$2:$X$1001,MATCH(ROWS($W$2:W560),$W$2:$W$1001,0),1)&gt;=100000,INDEX($AD$1005:$AU$1005,1,MATCH(COLUMNS($AD$1006:AL1006),$AD$1006:$AU$1006,0))&gt;=100000), " ",IF(INDEX($AD$2:$AU$1001,MATCH(ROWS($W$2:W560),$W$2:$W$1001,0),MATCH(COLUMNS($AD$1006:AL1006),$AD$1006:$AU$1006,0)), HYPERLINK("#",""), HYPERLINK(CONCATENATE("#metadata!", ADDRESS(INDEX($Y$2:$Y$1001,MATCH(ROWS($W$2:W560),$W$2:$W$1001,0),0), INDEX($AD$1004:$AU$1004,1,MATCH(COLUMNS($AD$1006:AL1006),$AD$1006:$AU$1006,0)))),"Fix")))</f>
        <v xml:space="preserve"> </v>
      </c>
      <c r="K560" s="4" t="str">
        <f ca="1">IF(OR(INDEX($X$2:$X$1001,MATCH(ROWS($W$2:W560),$W$2:$W$1001,0),1)&gt;=100000,INDEX($AD$1005:$AU$1005,1,MATCH(COLUMNS($AD$1006:AM1006),$AD$1006:$AU$1006,0))&gt;=100000), " ",IF(INDEX($AD$2:$AU$1001,MATCH(ROWS($W$2:W560),$W$2:$W$1001,0),MATCH(COLUMNS($AD$1006:AM1006),$AD$1006:$AU$1006,0)), HYPERLINK("#",""), HYPERLINK(CONCATENATE("#metadata!", ADDRESS(INDEX($Y$2:$Y$1001,MATCH(ROWS($W$2:W560),$W$2:$W$1001,0),0), INDEX($AD$1004:$AU$1004,1,MATCH(COLUMNS($AD$1006:AM1006),$AD$1006:$AU$1006,0)))),"Fix")))</f>
        <v xml:space="preserve"> </v>
      </c>
      <c r="L560" s="4" t="str">
        <f ca="1">IF(OR(INDEX($X$2:$X$1001,MATCH(ROWS($W$2:W560),$W$2:$W$1001,0),1)&gt;=100000,INDEX($AD$1005:$AU$1005,1,MATCH(COLUMNS($AD$1006:AN1006),$AD$1006:$AU$1006,0))&gt;=100000), " ",IF(INDEX($AD$2:$AU$1001,MATCH(ROWS($W$2:W560),$W$2:$W$1001,0),MATCH(COLUMNS($AD$1006:AN1006),$AD$1006:$AU$1006,0)), HYPERLINK("#",""), HYPERLINK(CONCATENATE("#metadata!", ADDRESS(INDEX($Y$2:$Y$1001,MATCH(ROWS($W$2:W560),$W$2:$W$1001,0),0), INDEX($AD$1004:$AU$1004,1,MATCH(COLUMNS($AD$1006:AN1006),$AD$1006:$AU$1006,0)))),"Fix")))</f>
        <v xml:space="preserve"> </v>
      </c>
      <c r="M560" s="4" t="str">
        <f ca="1">IF(OR(INDEX($X$2:$X$1001,MATCH(ROWS($W$2:W560),$W$2:$W$1001,0),1)&gt;=100000,INDEX($AD$1005:$AU$1005,1,MATCH(COLUMNS($AD$1006:AO1006),$AD$1006:$AU$1006,0))&gt;=100000), " ",IF(INDEX($AD$2:$AU$1001,MATCH(ROWS($W$2:W560),$W$2:$W$1001,0),MATCH(COLUMNS($AD$1006:AO1006),$AD$1006:$AU$1006,0)), HYPERLINK("#",""), HYPERLINK(CONCATENATE("#metadata!", ADDRESS(INDEX($Y$2:$Y$1001,MATCH(ROWS($W$2:W560),$W$2:$W$1001,0),0), INDEX($AD$1004:$AU$1004,1,MATCH(COLUMNS($AD$1006:AO1006),$AD$1006:$AU$1006,0)))),"Fix")))</f>
        <v xml:space="preserve"> </v>
      </c>
      <c r="N560" s="4" t="str">
        <f ca="1">IF(OR(INDEX($X$2:$X$1001,MATCH(ROWS($W$2:W560),$W$2:$W$1001,0),1)&gt;=100000,INDEX($AD$1005:$AU$1005,1,MATCH(COLUMNS($AD$1006:AP1006),$AD$1006:$AU$1006,0))&gt;=100000), " ",IF(INDEX($AD$2:$AU$1001,MATCH(ROWS($W$2:W560),$W$2:$W$1001,0),MATCH(COLUMNS($AD$1006:AP1006),$AD$1006:$AU$1006,0)), HYPERLINK("#",""), HYPERLINK(CONCATENATE("#metadata!", ADDRESS(INDEX($Y$2:$Y$1001,MATCH(ROWS($W$2:W560),$W$2:$W$1001,0),0), INDEX($AD$1004:$AU$1004,1,MATCH(COLUMNS($AD$1006:AP1006),$AD$1006:$AU$1006,0)))),"Fix")))</f>
        <v xml:space="preserve"> </v>
      </c>
      <c r="O560" s="4" t="str">
        <f ca="1">IF(OR(INDEX($X$2:$X$1001,MATCH(ROWS($W$2:W560),$W$2:$W$1001,0),1)&gt;=100000,INDEX($AD$1005:$AU$1005,1,MATCH(COLUMNS($AD$1006:AQ1006),$AD$1006:$AU$1006,0))&gt;=100000), " ",IF(INDEX($AD$2:$AU$1001,MATCH(ROWS($W$2:W560),$W$2:$W$1001,0),MATCH(COLUMNS($AD$1006:AQ1006),$AD$1006:$AU$1006,0)), HYPERLINK("#",""), HYPERLINK(CONCATENATE("#metadata!", ADDRESS(INDEX($Y$2:$Y$1001,MATCH(ROWS($W$2:W560),$W$2:$W$1001,0),0), INDEX($AD$1004:$AU$1004,1,MATCH(COLUMNS($AD$1006:AQ1006),$AD$1006:$AU$1006,0)))),"Fix")))</f>
        <v xml:space="preserve"> </v>
      </c>
      <c r="P560" s="4" t="str">
        <f ca="1">IF(OR(INDEX($X$2:$X$1001,MATCH(ROWS($W$2:W560),$W$2:$W$1001,0),1)&gt;=100000,INDEX($AD$1005:$AU$1005,1,MATCH(COLUMNS($AD$1006:AR1006),$AD$1006:$AU$1006,0))&gt;=100000), " ",IF(INDEX($AD$2:$AU$1001,MATCH(ROWS($W$2:W560),$W$2:$W$1001,0),MATCH(COLUMNS($AD$1006:AR1006),$AD$1006:$AU$1006,0)), HYPERLINK("#",""), HYPERLINK(CONCATENATE("#metadata!", ADDRESS(INDEX($Y$2:$Y$1001,MATCH(ROWS($W$2:W560),$W$2:$W$1001,0),0), INDEX($AD$1004:$AU$1004,1,MATCH(COLUMNS($AD$1006:AR1006),$AD$1006:$AU$1006,0)))),"Fix")))</f>
        <v xml:space="preserve"> </v>
      </c>
      <c r="Q560" s="4" t="str">
        <f ca="1">IF(OR(INDEX($X$2:$X$1001,MATCH(ROWS($W$2:W560),$W$2:$W$1001,0),1)&gt;=100000,INDEX($AD$1005:$AU$1005,1,MATCH(COLUMNS($AD$1006:AS1006),$AD$1006:$AU$1006,0))&gt;=100000), " ",IF(INDEX($AD$2:$AU$1001,MATCH(ROWS($W$2:W560),$W$2:$W$1001,0),MATCH(COLUMNS($AD$1006:AS1006),$AD$1006:$AU$1006,0)), HYPERLINK("#",""), HYPERLINK(CONCATENATE("#metadata!", ADDRESS(INDEX($Y$2:$Y$1001,MATCH(ROWS($W$2:W560),$W$2:$W$1001,0),0), INDEX($AD$1004:$AU$1004,1,MATCH(COLUMNS($AD$1006:AS1006),$AD$1006:$AU$1006,0)))),"Fix")))</f>
        <v xml:space="preserve"> </v>
      </c>
      <c r="R560" s="4" t="str">
        <f ca="1">IF(OR(INDEX($X$2:$X$1001,MATCH(ROWS($W$2:W560),$W$2:$W$1001,0),1)&gt;=100000,INDEX($AD$1005:$AU$1005,1,MATCH(COLUMNS($AD$1006:AT1006),$AD$1006:$AU$1006,0))&gt;=100000), " ",IF(INDEX($AD$2:$AU$1001,MATCH(ROWS($W$2:W560),$W$2:$W$1001,0),MATCH(COLUMNS($AD$1006:AT1006),$AD$1006:$AU$1006,0)), HYPERLINK("#",""), HYPERLINK(CONCATENATE("#metadata!", ADDRESS(INDEX($Y$2:$Y$1001,MATCH(ROWS($W$2:W560),$W$2:$W$1001,0),0), INDEX($AD$1004:$AU$1004,1,MATCH(COLUMNS($AD$1006:AT1006),$AD$1006:$AU$1006,0)))),"Fix")))</f>
        <v xml:space="preserve"> </v>
      </c>
      <c r="S560" s="4" t="str">
        <f ca="1">IF(OR(INDEX($X$2:$X$1001,MATCH(ROWS($W$2:W560),$W$2:$W$1001,0),1)&gt;=100000,INDEX($AD$1005:$AU$1005,1,MATCH(COLUMNS($AD$1006:AU1006),$AD$1006:$AU$1006,0))&gt;=100000), " ",IF(INDEX($AD$2:$AU$1001,MATCH(ROWS($W$2:W560),$W$2:$W$1001,0),MATCH(COLUMNS($AD$1006:AU1006),$AD$1006:$AU$1006,0)), HYPERLINK("#",""), HYPERLINK(CONCATENATE("#metadata!", ADDRESS(INDEX($Y$2:$Y$1001,MATCH(ROWS($W$2:W560),$W$2:$W$1001,0),0), INDEX($AD$1004:$AU$1004,1,MATCH(COLUMNS($AD$1006:AU1006),$AD$1006:$AU$1006,0)))),"Fix")))</f>
        <v xml:space="preserve"> </v>
      </c>
      <c r="W560">
        <v>559</v>
      </c>
      <c r="X560">
        <v>100560</v>
      </c>
      <c r="Y560">
        <v>560</v>
      </c>
      <c r="Z560" t="b">
        <f t="shared" si="8"/>
        <v>1</v>
      </c>
      <c r="AA560" t="b">
        <f>COUNTBLANK(metadata!B560:S560)=COLUMNS(metadata!B560:S560)</f>
        <v>1</v>
      </c>
      <c r="AB560" t="str">
        <v/>
      </c>
      <c r="AD560" t="b">
        <f ca="1">AND(IF(metadata!B560="",FALSE,TRUE),COUNTIF(metadata!B:B, metadata!B560) = 1,NOT(ISERROR(SUMPRODUCT(SEARCH(MID(metadata!B560,ROW(INDIRECT("1:"&amp;LEN(metadata!B560))), 1),"0123456789abcdefghijklmnopqrstuvwxyzABCDEFGHIJKLMNOPQRSTUVWXYZ.")))))</f>
        <v>0</v>
      </c>
      <c r="AE560" t="b">
        <f>OR(AND(IF(metadata!C560="",FALSE,TRUE),OR(EXACT(metadata!C560,"not applicable"),EXACT(metadata!C560,"missing: not collected"),EXACT(metadata!C560,"missing: not provided"),EXACT(metadata!C560,"missing: restricted access"))),AND(IF(metadata!C560="",FALSE,ISNUMBER(VALUE(metadata!C560))),metadata!C560&gt;0))</f>
        <v>0</v>
      </c>
      <c r="AF560" t="b">
        <f>AND(IF(metadata!D560="",FALSE,TRUE),EXACT(metadata!D560,"missing: not provided"))</f>
        <v>0</v>
      </c>
      <c r="AG560" t="b">
        <f>AND(IF(metadata!E560="",FALSE,TRUE),EXACT(metadata!E560,"Host-associated"))</f>
        <v>0</v>
      </c>
      <c r="AH560" t="b">
        <f>AND(IF(metadata!F560="",FALSE,TRUE),OR(EXACT(metadata!F560,"Animal"),EXACT(metadata!F560,"Fungus"),EXACT(metadata!F560,"Plant")))</f>
        <v>0</v>
      </c>
      <c r="AI560" t="b">
        <f>AND(IF(metadata!G560="",FALSE,TRUE),OR(EXACT(metadata!G560,"Plant secretion"),EXACT(metadata!G560,"Plant rhizosphere"),EXACT(metadata!G560,"Plant surface"),EXACT(metadata!G560,"Plant corpus"),EXACT(metadata!G560,"Fungus surface"),EXACT(metadata!G560,"Fungus corpus"),EXACT(metadata!G560,"Animal surface"),EXACT(metadata!G560,"Animal proximal gut"),EXACT(metadata!G560,"Animal corpus"),EXACT(metadata!G560,"Animal distal gut"),EXACT(metadata!G560,"Animal secretion")))</f>
        <v>0</v>
      </c>
      <c r="AJ560" t="b">
        <f>OR(AND(IF(metadata!H560="",FALSE,TRUE),OR(EXACT(metadata!H560,"missing: not collected"),EXACT(metadata!H560,"missing: not provided"),EXACT(metadata!H560,"missing: restricted access"))),AND(IF(metadata!H560="",FALSE,TRUE),OR(EXACT(metadata!H560,"organism-associated habitat"),EXACT(metadata!H560,"plant-associated habitat"),EXACT(metadata!H560,"animal-associated habitat"),EXACT(metadata!H560,"insecta-associated habitat"),EXACT(metadata!H560,"mammalia-associated habitat"),EXACT(metadata!H560,"human-associated habitat"),EXACT(metadata!H560,"livestock-associated habitat"))))</f>
        <v>0</v>
      </c>
      <c r="AK560" t="b">
        <f>AND(IF(metadata!I560="",FALSE,TRUE),EXACT(metadata!I560,"host-associated"))</f>
        <v>0</v>
      </c>
      <c r="AL560" t="b">
        <f>OR(AND(IF(metadata!J560="",FALSE,TRUE),OR(EXACT(metadata!J560,"not applicable"),EXACT(metadata!J560,"missing: not collected"),EXACT(metadata!J560,"missing: not provided"),EXACT(metadata!J560,"missing: restricted access"))),AND(IF(metadata!J560="",FALSE,ISNUMBER(VALUE(metadata!J560))),metadata!J560&gt;0))</f>
        <v>0</v>
      </c>
      <c r="AM560" t="b">
        <f>AND(IF(metadata!K560="",FALSE,TRUE),EXACT(metadata!K560,"missing: not provided"))</f>
        <v>0</v>
      </c>
      <c r="AN560" t="b">
        <f>IF(metadata!L560="",FALSE,TRUE)</f>
        <v>0</v>
      </c>
      <c r="AO560" t="b">
        <f>IF(metadata!M560="",FALSE,TRUE)</f>
        <v>0</v>
      </c>
      <c r="AP560" t="b">
        <f>OR(AND(IF(metadata!N560="",FALSE,TRUE),OR(EXACT(metadata!N560,"not applicable"),EXACT(metadata!N560,"missing: not collected"),EXACT(metadata!N560,"missing: not provided"))),AND(IF(metadata!N560="",FALSE,IF(ISERROR(INT(metadata!N560)),FALSE,INT(metadata!N560)=metadata!N560)),metadata!N560&gt;0))</f>
        <v>0</v>
      </c>
      <c r="AQ560" t="b">
        <f>AND(IF(metadata!O560="",FALSE,TRUE),EXACT(metadata!O560,"Not applicable"))</f>
        <v>0</v>
      </c>
      <c r="AR560" t="b">
        <f>OR(AND(IF(metadata!P560="",FALSE,TRUE),OR(EXACT(metadata!P560,"not applicable"),EXACT(metadata!P560,"missing: not collected"),EXACT(metadata!P560,"missing: not provided"),EXACT(metadata!P560,"missing: restricted access"))),IF(metadata!P560="",FALSE,IF(ISERROR(INT(metadata!P560)),FALSE,INT(metadata!P560)=metadata!P560)))</f>
        <v>0</v>
      </c>
      <c r="AS560" t="b">
        <f>AND(IF(metadata!Q560="",FALSE,TRUE),EXACT(metadata!Q560,"Not applicable"))</f>
        <v>0</v>
      </c>
      <c r="AT560" t="b">
        <f>OR(AND(IF(metadata!R560="",FALSE,TRUE),OR(EXACT(metadata!R560,"not applicable"),EXACT(metadata!R560,"missing: not collected"),EXACT(metadata!R560,"missing: not provided"),EXACT(metadata!R560,"missing: restricted access"))),AND(IF(metadata!R560="",FALSE,ISNUMBER(VALUE(metadata!R560))),metadata!R560&gt;0))</f>
        <v>0</v>
      </c>
      <c r="AU560" t="b">
        <f>AND(IF(metadata!S560="",FALSE,TRUE),EXACT(metadata!S560,"missing: not provided"))</f>
        <v>0</v>
      </c>
    </row>
    <row r="561" spans="1:47" x14ac:dyDescent="0.2">
      <c r="A561" s="5" t="str">
        <f ca="1">IF(B561=" "," ",HYPERLINK(CONCATENATE("#metadata!",ADDRESS(INDEX($Y$2:$Y$1001,MATCH(ROWS($W$2:W561),$W$2:$W$1001,0),0),1)),INDEX($AB$2:$AB$1001,MATCH(ROWS($W$2:W561),$W$2:$W$1001,0),0)))</f>
        <v xml:space="preserve"> </v>
      </c>
      <c r="B561" s="4" t="str">
        <f ca="1">IF(OR(INDEX($X$2:$X$1001,MATCH(ROWS($W$2:W561),$W$2:$W$1001,0),1)&gt;=100000,INDEX($AD$1005:$AU$1005,1,MATCH(COLUMNS($AD$1006:AD1006),$AD$1006:$AU$1006,0))&gt;=100000), " ",IF(INDEX($AD$2:$AU$1001,MATCH(ROWS($W$2:W561),$W$2:$W$1001,0),MATCH(COLUMNS($AD$1006:AD1006),$AD$1006:$AU$1006,0)), HYPERLINK("#",""), HYPERLINK(CONCATENATE("#metadata!", ADDRESS(INDEX($Y$2:$Y$1001,MATCH(ROWS($W$2:W561),$W$2:$W$1001,0),0), INDEX($AD$1004:$AU$1004,1,MATCH(COLUMNS($AD$1006:AD1006),$AD$1006:$AU$1006,0)))),"Fix")))</f>
        <v xml:space="preserve"> </v>
      </c>
      <c r="C561" s="4" t="str">
        <f ca="1">IF(OR(INDEX($X$2:$X$1001,MATCH(ROWS($W$2:W561),$W$2:$W$1001,0),1)&gt;=100000,INDEX($AD$1005:$AU$1005,1,MATCH(COLUMNS($AD$1006:AE1006),$AD$1006:$AU$1006,0))&gt;=100000), " ",IF(INDEX($AD$2:$AU$1001,MATCH(ROWS($W$2:W561),$W$2:$W$1001,0),MATCH(COLUMNS($AD$1006:AE1006),$AD$1006:$AU$1006,0)), HYPERLINK("#",""), HYPERLINK(CONCATENATE("#metadata!", ADDRESS(INDEX($Y$2:$Y$1001,MATCH(ROWS($W$2:W561),$W$2:$W$1001,0),0), INDEX($AD$1004:$AU$1004,1,MATCH(COLUMNS($AD$1006:AE1006),$AD$1006:$AU$1006,0)))),"Fix")))</f>
        <v xml:space="preserve"> </v>
      </c>
      <c r="D561" s="4" t="str">
        <f ca="1">IF(OR(INDEX($X$2:$X$1001,MATCH(ROWS($W$2:W561),$W$2:$W$1001,0),1)&gt;=100000,INDEX($AD$1005:$AU$1005,1,MATCH(COLUMNS($AD$1006:AF1006),$AD$1006:$AU$1006,0))&gt;=100000), " ",IF(INDEX($AD$2:$AU$1001,MATCH(ROWS($W$2:W561),$W$2:$W$1001,0),MATCH(COLUMNS($AD$1006:AF1006),$AD$1006:$AU$1006,0)), HYPERLINK("#",""), HYPERLINK(CONCATENATE("#metadata!", ADDRESS(INDEX($Y$2:$Y$1001,MATCH(ROWS($W$2:W561),$W$2:$W$1001,0),0), INDEX($AD$1004:$AU$1004,1,MATCH(COLUMNS($AD$1006:AF1006),$AD$1006:$AU$1006,0)))),"Fix")))</f>
        <v xml:space="preserve"> </v>
      </c>
      <c r="E561" s="4" t="str">
        <f ca="1">IF(OR(INDEX($X$2:$X$1001,MATCH(ROWS($W$2:W561),$W$2:$W$1001,0),1)&gt;=100000,INDEX($AD$1005:$AU$1005,1,MATCH(COLUMNS($AD$1006:AG1006),$AD$1006:$AU$1006,0))&gt;=100000), " ",IF(INDEX($AD$2:$AU$1001,MATCH(ROWS($W$2:W561),$W$2:$W$1001,0),MATCH(COLUMNS($AD$1006:AG1006),$AD$1006:$AU$1006,0)), HYPERLINK("#",""), HYPERLINK(CONCATENATE("#metadata!", ADDRESS(INDEX($Y$2:$Y$1001,MATCH(ROWS($W$2:W561),$W$2:$W$1001,0),0), INDEX($AD$1004:$AU$1004,1,MATCH(COLUMNS($AD$1006:AG1006),$AD$1006:$AU$1006,0)))),"Fix")))</f>
        <v xml:space="preserve"> </v>
      </c>
      <c r="F561" s="4" t="str">
        <f ca="1">IF(OR(INDEX($X$2:$X$1001,MATCH(ROWS($W$2:W561),$W$2:$W$1001,0),1)&gt;=100000,INDEX($AD$1005:$AU$1005,1,MATCH(COLUMNS($AD$1006:AH1006),$AD$1006:$AU$1006,0))&gt;=100000), " ",IF(INDEX($AD$2:$AU$1001,MATCH(ROWS($W$2:W561),$W$2:$W$1001,0),MATCH(COLUMNS($AD$1006:AH1006),$AD$1006:$AU$1006,0)), HYPERLINK("#",""), HYPERLINK(CONCATENATE("#metadata!", ADDRESS(INDEX($Y$2:$Y$1001,MATCH(ROWS($W$2:W561),$W$2:$W$1001,0),0), INDEX($AD$1004:$AU$1004,1,MATCH(COLUMNS($AD$1006:AH1006),$AD$1006:$AU$1006,0)))),"Fix")))</f>
        <v xml:space="preserve"> </v>
      </c>
      <c r="G561" s="4" t="str">
        <f ca="1">IF(OR(INDEX($X$2:$X$1001,MATCH(ROWS($W$2:W561),$W$2:$W$1001,0),1)&gt;=100000,INDEX($AD$1005:$AU$1005,1,MATCH(COLUMNS($AD$1006:AI1006),$AD$1006:$AU$1006,0))&gt;=100000), " ",IF(INDEX($AD$2:$AU$1001,MATCH(ROWS($W$2:W561),$W$2:$W$1001,0),MATCH(COLUMNS($AD$1006:AI1006),$AD$1006:$AU$1006,0)), HYPERLINK("#",""), HYPERLINK(CONCATENATE("#metadata!", ADDRESS(INDEX($Y$2:$Y$1001,MATCH(ROWS($W$2:W561),$W$2:$W$1001,0),0), INDEX($AD$1004:$AU$1004,1,MATCH(COLUMNS($AD$1006:AI1006),$AD$1006:$AU$1006,0)))),"Fix")))</f>
        <v xml:space="preserve"> </v>
      </c>
      <c r="H561" s="4" t="str">
        <f ca="1">IF(OR(INDEX($X$2:$X$1001,MATCH(ROWS($W$2:W561),$W$2:$W$1001,0),1)&gt;=100000,INDEX($AD$1005:$AU$1005,1,MATCH(COLUMNS($AD$1006:AJ1006),$AD$1006:$AU$1006,0))&gt;=100000), " ",IF(INDEX($AD$2:$AU$1001,MATCH(ROWS($W$2:W561),$W$2:$W$1001,0),MATCH(COLUMNS($AD$1006:AJ1006),$AD$1006:$AU$1006,0)), HYPERLINK("#",""), HYPERLINK(CONCATENATE("#metadata!", ADDRESS(INDEX($Y$2:$Y$1001,MATCH(ROWS($W$2:W561),$W$2:$W$1001,0),0), INDEX($AD$1004:$AU$1004,1,MATCH(COLUMNS($AD$1006:AJ1006),$AD$1006:$AU$1006,0)))),"Fix")))</f>
        <v xml:space="preserve"> </v>
      </c>
      <c r="I561" s="4" t="str">
        <f ca="1">IF(OR(INDEX($X$2:$X$1001,MATCH(ROWS($W$2:W561),$W$2:$W$1001,0),1)&gt;=100000,INDEX($AD$1005:$AU$1005,1,MATCH(COLUMNS($AD$1006:AK1006),$AD$1006:$AU$1006,0))&gt;=100000), " ",IF(INDEX($AD$2:$AU$1001,MATCH(ROWS($W$2:W561),$W$2:$W$1001,0),MATCH(COLUMNS($AD$1006:AK1006),$AD$1006:$AU$1006,0)), HYPERLINK("#",""), HYPERLINK(CONCATENATE("#metadata!", ADDRESS(INDEX($Y$2:$Y$1001,MATCH(ROWS($W$2:W561),$W$2:$W$1001,0),0), INDEX($AD$1004:$AU$1004,1,MATCH(COLUMNS($AD$1006:AK1006),$AD$1006:$AU$1006,0)))),"Fix")))</f>
        <v xml:space="preserve"> </v>
      </c>
      <c r="J561" s="4" t="str">
        <f ca="1">IF(OR(INDEX($X$2:$X$1001,MATCH(ROWS($W$2:W561),$W$2:$W$1001,0),1)&gt;=100000,INDEX($AD$1005:$AU$1005,1,MATCH(COLUMNS($AD$1006:AL1006),$AD$1006:$AU$1006,0))&gt;=100000), " ",IF(INDEX($AD$2:$AU$1001,MATCH(ROWS($W$2:W561),$W$2:$W$1001,0),MATCH(COLUMNS($AD$1006:AL1006),$AD$1006:$AU$1006,0)), HYPERLINK("#",""), HYPERLINK(CONCATENATE("#metadata!", ADDRESS(INDEX($Y$2:$Y$1001,MATCH(ROWS($W$2:W561),$W$2:$W$1001,0),0), INDEX($AD$1004:$AU$1004,1,MATCH(COLUMNS($AD$1006:AL1006),$AD$1006:$AU$1006,0)))),"Fix")))</f>
        <v xml:space="preserve"> </v>
      </c>
      <c r="K561" s="4" t="str">
        <f ca="1">IF(OR(INDEX($X$2:$X$1001,MATCH(ROWS($W$2:W561),$W$2:$W$1001,0),1)&gt;=100000,INDEX($AD$1005:$AU$1005,1,MATCH(COLUMNS($AD$1006:AM1006),$AD$1006:$AU$1006,0))&gt;=100000), " ",IF(INDEX($AD$2:$AU$1001,MATCH(ROWS($W$2:W561),$W$2:$W$1001,0),MATCH(COLUMNS($AD$1006:AM1006),$AD$1006:$AU$1006,0)), HYPERLINK("#",""), HYPERLINK(CONCATENATE("#metadata!", ADDRESS(INDEX($Y$2:$Y$1001,MATCH(ROWS($W$2:W561),$W$2:$W$1001,0),0), INDEX($AD$1004:$AU$1004,1,MATCH(COLUMNS($AD$1006:AM1006),$AD$1006:$AU$1006,0)))),"Fix")))</f>
        <v xml:space="preserve"> </v>
      </c>
      <c r="L561" s="4" t="str">
        <f ca="1">IF(OR(INDEX($X$2:$X$1001,MATCH(ROWS($W$2:W561),$W$2:$W$1001,0),1)&gt;=100000,INDEX($AD$1005:$AU$1005,1,MATCH(COLUMNS($AD$1006:AN1006),$AD$1006:$AU$1006,0))&gt;=100000), " ",IF(INDEX($AD$2:$AU$1001,MATCH(ROWS($W$2:W561),$W$2:$W$1001,0),MATCH(COLUMNS($AD$1006:AN1006),$AD$1006:$AU$1006,0)), HYPERLINK("#",""), HYPERLINK(CONCATENATE("#metadata!", ADDRESS(INDEX($Y$2:$Y$1001,MATCH(ROWS($W$2:W561),$W$2:$W$1001,0),0), INDEX($AD$1004:$AU$1004,1,MATCH(COLUMNS($AD$1006:AN1006),$AD$1006:$AU$1006,0)))),"Fix")))</f>
        <v xml:space="preserve"> </v>
      </c>
      <c r="M561" s="4" t="str">
        <f ca="1">IF(OR(INDEX($X$2:$X$1001,MATCH(ROWS($W$2:W561),$W$2:$W$1001,0),1)&gt;=100000,INDEX($AD$1005:$AU$1005,1,MATCH(COLUMNS($AD$1006:AO1006),$AD$1006:$AU$1006,0))&gt;=100000), " ",IF(INDEX($AD$2:$AU$1001,MATCH(ROWS($W$2:W561),$W$2:$W$1001,0),MATCH(COLUMNS($AD$1006:AO1006),$AD$1006:$AU$1006,0)), HYPERLINK("#",""), HYPERLINK(CONCATENATE("#metadata!", ADDRESS(INDEX($Y$2:$Y$1001,MATCH(ROWS($W$2:W561),$W$2:$W$1001,0),0), INDEX($AD$1004:$AU$1004,1,MATCH(COLUMNS($AD$1006:AO1006),$AD$1006:$AU$1006,0)))),"Fix")))</f>
        <v xml:space="preserve"> </v>
      </c>
      <c r="N561" s="4" t="str">
        <f ca="1">IF(OR(INDEX($X$2:$X$1001,MATCH(ROWS($W$2:W561),$W$2:$W$1001,0),1)&gt;=100000,INDEX($AD$1005:$AU$1005,1,MATCH(COLUMNS($AD$1006:AP1006),$AD$1006:$AU$1006,0))&gt;=100000), " ",IF(INDEX($AD$2:$AU$1001,MATCH(ROWS($W$2:W561),$W$2:$W$1001,0),MATCH(COLUMNS($AD$1006:AP1006),$AD$1006:$AU$1006,0)), HYPERLINK("#",""), HYPERLINK(CONCATENATE("#metadata!", ADDRESS(INDEX($Y$2:$Y$1001,MATCH(ROWS($W$2:W561),$W$2:$W$1001,0),0), INDEX($AD$1004:$AU$1004,1,MATCH(COLUMNS($AD$1006:AP1006),$AD$1006:$AU$1006,0)))),"Fix")))</f>
        <v xml:space="preserve"> </v>
      </c>
      <c r="O561" s="4" t="str">
        <f ca="1">IF(OR(INDEX($X$2:$X$1001,MATCH(ROWS($W$2:W561),$W$2:$W$1001,0),1)&gt;=100000,INDEX($AD$1005:$AU$1005,1,MATCH(COLUMNS($AD$1006:AQ1006),$AD$1006:$AU$1006,0))&gt;=100000), " ",IF(INDEX($AD$2:$AU$1001,MATCH(ROWS($W$2:W561),$W$2:$W$1001,0),MATCH(COLUMNS($AD$1006:AQ1006),$AD$1006:$AU$1006,0)), HYPERLINK("#",""), HYPERLINK(CONCATENATE("#metadata!", ADDRESS(INDEX($Y$2:$Y$1001,MATCH(ROWS($W$2:W561),$W$2:$W$1001,0),0), INDEX($AD$1004:$AU$1004,1,MATCH(COLUMNS($AD$1006:AQ1006),$AD$1006:$AU$1006,0)))),"Fix")))</f>
        <v xml:space="preserve"> </v>
      </c>
      <c r="P561" s="4" t="str">
        <f ca="1">IF(OR(INDEX($X$2:$X$1001,MATCH(ROWS($W$2:W561),$W$2:$W$1001,0),1)&gt;=100000,INDEX($AD$1005:$AU$1005,1,MATCH(COLUMNS($AD$1006:AR1006),$AD$1006:$AU$1006,0))&gt;=100000), " ",IF(INDEX($AD$2:$AU$1001,MATCH(ROWS($W$2:W561),$W$2:$W$1001,0),MATCH(COLUMNS($AD$1006:AR1006),$AD$1006:$AU$1006,0)), HYPERLINK("#",""), HYPERLINK(CONCATENATE("#metadata!", ADDRESS(INDEX($Y$2:$Y$1001,MATCH(ROWS($W$2:W561),$W$2:$W$1001,0),0), INDEX($AD$1004:$AU$1004,1,MATCH(COLUMNS($AD$1006:AR1006),$AD$1006:$AU$1006,0)))),"Fix")))</f>
        <v xml:space="preserve"> </v>
      </c>
      <c r="Q561" s="4" t="str">
        <f ca="1">IF(OR(INDEX($X$2:$X$1001,MATCH(ROWS($W$2:W561),$W$2:$W$1001,0),1)&gt;=100000,INDEX($AD$1005:$AU$1005,1,MATCH(COLUMNS($AD$1006:AS1006),$AD$1006:$AU$1006,0))&gt;=100000), " ",IF(INDEX($AD$2:$AU$1001,MATCH(ROWS($W$2:W561),$W$2:$W$1001,0),MATCH(COLUMNS($AD$1006:AS1006),$AD$1006:$AU$1006,0)), HYPERLINK("#",""), HYPERLINK(CONCATENATE("#metadata!", ADDRESS(INDEX($Y$2:$Y$1001,MATCH(ROWS($W$2:W561),$W$2:$W$1001,0),0), INDEX($AD$1004:$AU$1004,1,MATCH(COLUMNS($AD$1006:AS1006),$AD$1006:$AU$1006,0)))),"Fix")))</f>
        <v xml:space="preserve"> </v>
      </c>
      <c r="R561" s="4" t="str">
        <f ca="1">IF(OR(INDEX($X$2:$X$1001,MATCH(ROWS($W$2:W561),$W$2:$W$1001,0),1)&gt;=100000,INDEX($AD$1005:$AU$1005,1,MATCH(COLUMNS($AD$1006:AT1006),$AD$1006:$AU$1006,0))&gt;=100000), " ",IF(INDEX($AD$2:$AU$1001,MATCH(ROWS($W$2:W561),$W$2:$W$1001,0),MATCH(COLUMNS($AD$1006:AT1006),$AD$1006:$AU$1006,0)), HYPERLINK("#",""), HYPERLINK(CONCATENATE("#metadata!", ADDRESS(INDEX($Y$2:$Y$1001,MATCH(ROWS($W$2:W561),$W$2:$W$1001,0),0), INDEX($AD$1004:$AU$1004,1,MATCH(COLUMNS($AD$1006:AT1006),$AD$1006:$AU$1006,0)))),"Fix")))</f>
        <v xml:space="preserve"> </v>
      </c>
      <c r="S561" s="4" t="str">
        <f ca="1">IF(OR(INDEX($X$2:$X$1001,MATCH(ROWS($W$2:W561),$W$2:$W$1001,0),1)&gt;=100000,INDEX($AD$1005:$AU$1005,1,MATCH(COLUMNS($AD$1006:AU1006),$AD$1006:$AU$1006,0))&gt;=100000), " ",IF(INDEX($AD$2:$AU$1001,MATCH(ROWS($W$2:W561),$W$2:$W$1001,0),MATCH(COLUMNS($AD$1006:AU1006),$AD$1006:$AU$1006,0)), HYPERLINK("#",""), HYPERLINK(CONCATENATE("#metadata!", ADDRESS(INDEX($Y$2:$Y$1001,MATCH(ROWS($W$2:W561),$W$2:$W$1001,0),0), INDEX($AD$1004:$AU$1004,1,MATCH(COLUMNS($AD$1006:AU1006),$AD$1006:$AU$1006,0)))),"Fix")))</f>
        <v xml:space="preserve"> </v>
      </c>
      <c r="W561">
        <v>560</v>
      </c>
      <c r="X561">
        <v>100561</v>
      </c>
      <c r="Y561">
        <v>561</v>
      </c>
      <c r="Z561" t="b">
        <f t="shared" si="8"/>
        <v>1</v>
      </c>
      <c r="AA561" t="b">
        <f>COUNTBLANK(metadata!B561:S561)=COLUMNS(metadata!B561:S561)</f>
        <v>1</v>
      </c>
      <c r="AB561" t="str">
        <v/>
      </c>
      <c r="AD561" t="b">
        <f ca="1">AND(IF(metadata!B561="",FALSE,TRUE),COUNTIF(metadata!B:B, metadata!B561) = 1,NOT(ISERROR(SUMPRODUCT(SEARCH(MID(metadata!B561,ROW(INDIRECT("1:"&amp;LEN(metadata!B561))), 1),"0123456789abcdefghijklmnopqrstuvwxyzABCDEFGHIJKLMNOPQRSTUVWXYZ.")))))</f>
        <v>0</v>
      </c>
      <c r="AE561" t="b">
        <f>OR(AND(IF(metadata!C561="",FALSE,TRUE),OR(EXACT(metadata!C561,"not applicable"),EXACT(metadata!C561,"missing: not collected"),EXACT(metadata!C561,"missing: not provided"),EXACT(metadata!C561,"missing: restricted access"))),AND(IF(metadata!C561="",FALSE,ISNUMBER(VALUE(metadata!C561))),metadata!C561&gt;0))</f>
        <v>0</v>
      </c>
      <c r="AF561" t="b">
        <f>AND(IF(metadata!D561="",FALSE,TRUE),EXACT(metadata!D561,"missing: not provided"))</f>
        <v>0</v>
      </c>
      <c r="AG561" t="b">
        <f>AND(IF(metadata!E561="",FALSE,TRUE),EXACT(metadata!E561,"Host-associated"))</f>
        <v>0</v>
      </c>
      <c r="AH561" t="b">
        <f>AND(IF(metadata!F561="",FALSE,TRUE),OR(EXACT(metadata!F561,"Animal"),EXACT(metadata!F561,"Fungus"),EXACT(metadata!F561,"Plant")))</f>
        <v>0</v>
      </c>
      <c r="AI561" t="b">
        <f>AND(IF(metadata!G561="",FALSE,TRUE),OR(EXACT(metadata!G561,"Plant secretion"),EXACT(metadata!G561,"Plant rhizosphere"),EXACT(metadata!G561,"Plant surface"),EXACT(metadata!G561,"Plant corpus"),EXACT(metadata!G561,"Fungus surface"),EXACT(metadata!G561,"Fungus corpus"),EXACT(metadata!G561,"Animal surface"),EXACT(metadata!G561,"Animal proximal gut"),EXACT(metadata!G561,"Animal corpus"),EXACT(metadata!G561,"Animal distal gut"),EXACT(metadata!G561,"Animal secretion")))</f>
        <v>0</v>
      </c>
      <c r="AJ561" t="b">
        <f>OR(AND(IF(metadata!H561="",FALSE,TRUE),OR(EXACT(metadata!H561,"missing: not collected"),EXACT(metadata!H561,"missing: not provided"),EXACT(metadata!H561,"missing: restricted access"))),AND(IF(metadata!H561="",FALSE,TRUE),OR(EXACT(metadata!H561,"organism-associated habitat"),EXACT(metadata!H561,"plant-associated habitat"),EXACT(metadata!H561,"animal-associated habitat"),EXACT(metadata!H561,"insecta-associated habitat"),EXACT(metadata!H561,"mammalia-associated habitat"),EXACT(metadata!H561,"human-associated habitat"),EXACT(metadata!H561,"livestock-associated habitat"))))</f>
        <v>0</v>
      </c>
      <c r="AK561" t="b">
        <f>AND(IF(metadata!I561="",FALSE,TRUE),EXACT(metadata!I561,"host-associated"))</f>
        <v>0</v>
      </c>
      <c r="AL561" t="b">
        <f>OR(AND(IF(metadata!J561="",FALSE,TRUE),OR(EXACT(metadata!J561,"not applicable"),EXACT(metadata!J561,"missing: not collected"),EXACT(metadata!J561,"missing: not provided"),EXACT(metadata!J561,"missing: restricted access"))),AND(IF(metadata!J561="",FALSE,ISNUMBER(VALUE(metadata!J561))),metadata!J561&gt;0))</f>
        <v>0</v>
      </c>
      <c r="AM561" t="b">
        <f>AND(IF(metadata!K561="",FALSE,TRUE),EXACT(metadata!K561,"missing: not provided"))</f>
        <v>0</v>
      </c>
      <c r="AN561" t="b">
        <f>IF(metadata!L561="",FALSE,TRUE)</f>
        <v>0</v>
      </c>
      <c r="AO561" t="b">
        <f>IF(metadata!M561="",FALSE,TRUE)</f>
        <v>0</v>
      </c>
      <c r="AP561" t="b">
        <f>OR(AND(IF(metadata!N561="",FALSE,TRUE),OR(EXACT(metadata!N561,"not applicable"),EXACT(metadata!N561,"missing: not collected"),EXACT(metadata!N561,"missing: not provided"))),AND(IF(metadata!N561="",FALSE,IF(ISERROR(INT(metadata!N561)),FALSE,INT(metadata!N561)=metadata!N561)),metadata!N561&gt;0))</f>
        <v>0</v>
      </c>
      <c r="AQ561" t="b">
        <f>AND(IF(metadata!O561="",FALSE,TRUE),EXACT(metadata!O561,"Not applicable"))</f>
        <v>0</v>
      </c>
      <c r="AR561" t="b">
        <f>OR(AND(IF(metadata!P561="",FALSE,TRUE),OR(EXACT(metadata!P561,"not applicable"),EXACT(metadata!P561,"missing: not collected"),EXACT(metadata!P561,"missing: not provided"),EXACT(metadata!P561,"missing: restricted access"))),IF(metadata!P561="",FALSE,IF(ISERROR(INT(metadata!P561)),FALSE,INT(metadata!P561)=metadata!P561)))</f>
        <v>0</v>
      </c>
      <c r="AS561" t="b">
        <f>AND(IF(metadata!Q561="",FALSE,TRUE),EXACT(metadata!Q561,"Not applicable"))</f>
        <v>0</v>
      </c>
      <c r="AT561" t="b">
        <f>OR(AND(IF(metadata!R561="",FALSE,TRUE),OR(EXACT(metadata!R561,"not applicable"),EXACT(metadata!R561,"missing: not collected"),EXACT(metadata!R561,"missing: not provided"),EXACT(metadata!R561,"missing: restricted access"))),AND(IF(metadata!R561="",FALSE,ISNUMBER(VALUE(metadata!R561))),metadata!R561&gt;0))</f>
        <v>0</v>
      </c>
      <c r="AU561" t="b">
        <f>AND(IF(metadata!S561="",FALSE,TRUE),EXACT(metadata!S561,"missing: not provided"))</f>
        <v>0</v>
      </c>
    </row>
    <row r="562" spans="1:47" x14ac:dyDescent="0.2">
      <c r="A562" s="5" t="str">
        <f ca="1">IF(B562=" "," ",HYPERLINK(CONCATENATE("#metadata!",ADDRESS(INDEX($Y$2:$Y$1001,MATCH(ROWS($W$2:W562),$W$2:$W$1001,0),0),1)),INDEX($AB$2:$AB$1001,MATCH(ROWS($W$2:W562),$W$2:$W$1001,0),0)))</f>
        <v xml:space="preserve"> </v>
      </c>
      <c r="B562" s="4" t="str">
        <f ca="1">IF(OR(INDEX($X$2:$X$1001,MATCH(ROWS($W$2:W562),$W$2:$W$1001,0),1)&gt;=100000,INDEX($AD$1005:$AU$1005,1,MATCH(COLUMNS($AD$1006:AD1006),$AD$1006:$AU$1006,0))&gt;=100000), " ",IF(INDEX($AD$2:$AU$1001,MATCH(ROWS($W$2:W562),$W$2:$W$1001,0),MATCH(COLUMNS($AD$1006:AD1006),$AD$1006:$AU$1006,0)), HYPERLINK("#",""), HYPERLINK(CONCATENATE("#metadata!", ADDRESS(INDEX($Y$2:$Y$1001,MATCH(ROWS($W$2:W562),$W$2:$W$1001,0),0), INDEX($AD$1004:$AU$1004,1,MATCH(COLUMNS($AD$1006:AD1006),$AD$1006:$AU$1006,0)))),"Fix")))</f>
        <v xml:space="preserve"> </v>
      </c>
      <c r="C562" s="4" t="str">
        <f ca="1">IF(OR(INDEX($X$2:$X$1001,MATCH(ROWS($W$2:W562),$W$2:$W$1001,0),1)&gt;=100000,INDEX($AD$1005:$AU$1005,1,MATCH(COLUMNS($AD$1006:AE1006),$AD$1006:$AU$1006,0))&gt;=100000), " ",IF(INDEX($AD$2:$AU$1001,MATCH(ROWS($W$2:W562),$W$2:$W$1001,0),MATCH(COLUMNS($AD$1006:AE1006),$AD$1006:$AU$1006,0)), HYPERLINK("#",""), HYPERLINK(CONCATENATE("#metadata!", ADDRESS(INDEX($Y$2:$Y$1001,MATCH(ROWS($W$2:W562),$W$2:$W$1001,0),0), INDEX($AD$1004:$AU$1004,1,MATCH(COLUMNS($AD$1006:AE1006),$AD$1006:$AU$1006,0)))),"Fix")))</f>
        <v xml:space="preserve"> </v>
      </c>
      <c r="D562" s="4" t="str">
        <f ca="1">IF(OR(INDEX($X$2:$X$1001,MATCH(ROWS($W$2:W562),$W$2:$W$1001,0),1)&gt;=100000,INDEX($AD$1005:$AU$1005,1,MATCH(COLUMNS($AD$1006:AF1006),$AD$1006:$AU$1006,0))&gt;=100000), " ",IF(INDEX($AD$2:$AU$1001,MATCH(ROWS($W$2:W562),$W$2:$W$1001,0),MATCH(COLUMNS($AD$1006:AF1006),$AD$1006:$AU$1006,0)), HYPERLINK("#",""), HYPERLINK(CONCATENATE("#metadata!", ADDRESS(INDEX($Y$2:$Y$1001,MATCH(ROWS($W$2:W562),$W$2:$W$1001,0),0), INDEX($AD$1004:$AU$1004,1,MATCH(COLUMNS($AD$1006:AF1006),$AD$1006:$AU$1006,0)))),"Fix")))</f>
        <v xml:space="preserve"> </v>
      </c>
      <c r="E562" s="4" t="str">
        <f ca="1">IF(OR(INDEX($X$2:$X$1001,MATCH(ROWS($W$2:W562),$W$2:$W$1001,0),1)&gt;=100000,INDEX($AD$1005:$AU$1005,1,MATCH(COLUMNS($AD$1006:AG1006),$AD$1006:$AU$1006,0))&gt;=100000), " ",IF(INDEX($AD$2:$AU$1001,MATCH(ROWS($W$2:W562),$W$2:$W$1001,0),MATCH(COLUMNS($AD$1006:AG1006),$AD$1006:$AU$1006,0)), HYPERLINK("#",""), HYPERLINK(CONCATENATE("#metadata!", ADDRESS(INDEX($Y$2:$Y$1001,MATCH(ROWS($W$2:W562),$W$2:$W$1001,0),0), INDEX($AD$1004:$AU$1004,1,MATCH(COLUMNS($AD$1006:AG1006),$AD$1006:$AU$1006,0)))),"Fix")))</f>
        <v xml:space="preserve"> </v>
      </c>
      <c r="F562" s="4" t="str">
        <f ca="1">IF(OR(INDEX($X$2:$X$1001,MATCH(ROWS($W$2:W562),$W$2:$W$1001,0),1)&gt;=100000,INDEX($AD$1005:$AU$1005,1,MATCH(COLUMNS($AD$1006:AH1006),$AD$1006:$AU$1006,0))&gt;=100000), " ",IF(INDEX($AD$2:$AU$1001,MATCH(ROWS($W$2:W562),$W$2:$W$1001,0),MATCH(COLUMNS($AD$1006:AH1006),$AD$1006:$AU$1006,0)), HYPERLINK("#",""), HYPERLINK(CONCATENATE("#metadata!", ADDRESS(INDEX($Y$2:$Y$1001,MATCH(ROWS($W$2:W562),$W$2:$W$1001,0),0), INDEX($AD$1004:$AU$1004,1,MATCH(COLUMNS($AD$1006:AH1006),$AD$1006:$AU$1006,0)))),"Fix")))</f>
        <v xml:space="preserve"> </v>
      </c>
      <c r="G562" s="4" t="str">
        <f ca="1">IF(OR(INDEX($X$2:$X$1001,MATCH(ROWS($W$2:W562),$W$2:$W$1001,0),1)&gt;=100000,INDEX($AD$1005:$AU$1005,1,MATCH(COLUMNS($AD$1006:AI1006),$AD$1006:$AU$1006,0))&gt;=100000), " ",IF(INDEX($AD$2:$AU$1001,MATCH(ROWS($W$2:W562),$W$2:$W$1001,0),MATCH(COLUMNS($AD$1006:AI1006),$AD$1006:$AU$1006,0)), HYPERLINK("#",""), HYPERLINK(CONCATENATE("#metadata!", ADDRESS(INDEX($Y$2:$Y$1001,MATCH(ROWS($W$2:W562),$W$2:$W$1001,0),0), INDEX($AD$1004:$AU$1004,1,MATCH(COLUMNS($AD$1006:AI1006),$AD$1006:$AU$1006,0)))),"Fix")))</f>
        <v xml:space="preserve"> </v>
      </c>
      <c r="H562" s="4" t="str">
        <f ca="1">IF(OR(INDEX($X$2:$X$1001,MATCH(ROWS($W$2:W562),$W$2:$W$1001,0),1)&gt;=100000,INDEX($AD$1005:$AU$1005,1,MATCH(COLUMNS($AD$1006:AJ1006),$AD$1006:$AU$1006,0))&gt;=100000), " ",IF(INDEX($AD$2:$AU$1001,MATCH(ROWS($W$2:W562),$W$2:$W$1001,0),MATCH(COLUMNS($AD$1006:AJ1006),$AD$1006:$AU$1006,0)), HYPERLINK("#",""), HYPERLINK(CONCATENATE("#metadata!", ADDRESS(INDEX($Y$2:$Y$1001,MATCH(ROWS($W$2:W562),$W$2:$W$1001,0),0), INDEX($AD$1004:$AU$1004,1,MATCH(COLUMNS($AD$1006:AJ1006),$AD$1006:$AU$1006,0)))),"Fix")))</f>
        <v xml:space="preserve"> </v>
      </c>
      <c r="I562" s="4" t="str">
        <f ca="1">IF(OR(INDEX($X$2:$X$1001,MATCH(ROWS($W$2:W562),$W$2:$W$1001,0),1)&gt;=100000,INDEX($AD$1005:$AU$1005,1,MATCH(COLUMNS($AD$1006:AK1006),$AD$1006:$AU$1006,0))&gt;=100000), " ",IF(INDEX($AD$2:$AU$1001,MATCH(ROWS($W$2:W562),$W$2:$W$1001,0),MATCH(COLUMNS($AD$1006:AK1006),$AD$1006:$AU$1006,0)), HYPERLINK("#",""), HYPERLINK(CONCATENATE("#metadata!", ADDRESS(INDEX($Y$2:$Y$1001,MATCH(ROWS($W$2:W562),$W$2:$W$1001,0),0), INDEX($AD$1004:$AU$1004,1,MATCH(COLUMNS($AD$1006:AK1006),$AD$1006:$AU$1006,0)))),"Fix")))</f>
        <v xml:space="preserve"> </v>
      </c>
      <c r="J562" s="4" t="str">
        <f ca="1">IF(OR(INDEX($X$2:$X$1001,MATCH(ROWS($W$2:W562),$W$2:$W$1001,0),1)&gt;=100000,INDEX($AD$1005:$AU$1005,1,MATCH(COLUMNS($AD$1006:AL1006),$AD$1006:$AU$1006,0))&gt;=100000), " ",IF(INDEX($AD$2:$AU$1001,MATCH(ROWS($W$2:W562),$W$2:$W$1001,0),MATCH(COLUMNS($AD$1006:AL1006),$AD$1006:$AU$1006,0)), HYPERLINK("#",""), HYPERLINK(CONCATENATE("#metadata!", ADDRESS(INDEX($Y$2:$Y$1001,MATCH(ROWS($W$2:W562),$W$2:$W$1001,0),0), INDEX($AD$1004:$AU$1004,1,MATCH(COLUMNS($AD$1006:AL1006),$AD$1006:$AU$1006,0)))),"Fix")))</f>
        <v xml:space="preserve"> </v>
      </c>
      <c r="K562" s="4" t="str">
        <f ca="1">IF(OR(INDEX($X$2:$X$1001,MATCH(ROWS($W$2:W562),$W$2:$W$1001,0),1)&gt;=100000,INDEX($AD$1005:$AU$1005,1,MATCH(COLUMNS($AD$1006:AM1006),$AD$1006:$AU$1006,0))&gt;=100000), " ",IF(INDEX($AD$2:$AU$1001,MATCH(ROWS($W$2:W562),$W$2:$W$1001,0),MATCH(COLUMNS($AD$1006:AM1006),$AD$1006:$AU$1006,0)), HYPERLINK("#",""), HYPERLINK(CONCATENATE("#metadata!", ADDRESS(INDEX($Y$2:$Y$1001,MATCH(ROWS($W$2:W562),$W$2:$W$1001,0),0), INDEX($AD$1004:$AU$1004,1,MATCH(COLUMNS($AD$1006:AM1006),$AD$1006:$AU$1006,0)))),"Fix")))</f>
        <v xml:space="preserve"> </v>
      </c>
      <c r="L562" s="4" t="str">
        <f ca="1">IF(OR(INDEX($X$2:$X$1001,MATCH(ROWS($W$2:W562),$W$2:$W$1001,0),1)&gt;=100000,INDEX($AD$1005:$AU$1005,1,MATCH(COLUMNS($AD$1006:AN1006),$AD$1006:$AU$1006,0))&gt;=100000), " ",IF(INDEX($AD$2:$AU$1001,MATCH(ROWS($W$2:W562),$W$2:$W$1001,0),MATCH(COLUMNS($AD$1006:AN1006),$AD$1006:$AU$1006,0)), HYPERLINK("#",""), HYPERLINK(CONCATENATE("#metadata!", ADDRESS(INDEX($Y$2:$Y$1001,MATCH(ROWS($W$2:W562),$W$2:$W$1001,0),0), INDEX($AD$1004:$AU$1004,1,MATCH(COLUMNS($AD$1006:AN1006),$AD$1006:$AU$1006,0)))),"Fix")))</f>
        <v xml:space="preserve"> </v>
      </c>
      <c r="M562" s="4" t="str">
        <f ca="1">IF(OR(INDEX($X$2:$X$1001,MATCH(ROWS($W$2:W562),$W$2:$W$1001,0),1)&gt;=100000,INDEX($AD$1005:$AU$1005,1,MATCH(COLUMNS($AD$1006:AO1006),$AD$1006:$AU$1006,0))&gt;=100000), " ",IF(INDEX($AD$2:$AU$1001,MATCH(ROWS($W$2:W562),$W$2:$W$1001,0),MATCH(COLUMNS($AD$1006:AO1006),$AD$1006:$AU$1006,0)), HYPERLINK("#",""), HYPERLINK(CONCATENATE("#metadata!", ADDRESS(INDEX($Y$2:$Y$1001,MATCH(ROWS($W$2:W562),$W$2:$W$1001,0),0), INDEX($AD$1004:$AU$1004,1,MATCH(COLUMNS($AD$1006:AO1006),$AD$1006:$AU$1006,0)))),"Fix")))</f>
        <v xml:space="preserve"> </v>
      </c>
      <c r="N562" s="4" t="str">
        <f ca="1">IF(OR(INDEX($X$2:$X$1001,MATCH(ROWS($W$2:W562),$W$2:$W$1001,0),1)&gt;=100000,INDEX($AD$1005:$AU$1005,1,MATCH(COLUMNS($AD$1006:AP1006),$AD$1006:$AU$1006,0))&gt;=100000), " ",IF(INDEX($AD$2:$AU$1001,MATCH(ROWS($W$2:W562),$W$2:$W$1001,0),MATCH(COLUMNS($AD$1006:AP1006),$AD$1006:$AU$1006,0)), HYPERLINK("#",""), HYPERLINK(CONCATENATE("#metadata!", ADDRESS(INDEX($Y$2:$Y$1001,MATCH(ROWS($W$2:W562),$W$2:$W$1001,0),0), INDEX($AD$1004:$AU$1004,1,MATCH(COLUMNS($AD$1006:AP1006),$AD$1006:$AU$1006,0)))),"Fix")))</f>
        <v xml:space="preserve"> </v>
      </c>
      <c r="O562" s="4" t="str">
        <f ca="1">IF(OR(INDEX($X$2:$X$1001,MATCH(ROWS($W$2:W562),$W$2:$W$1001,0),1)&gt;=100000,INDEX($AD$1005:$AU$1005,1,MATCH(COLUMNS($AD$1006:AQ1006),$AD$1006:$AU$1006,0))&gt;=100000), " ",IF(INDEX($AD$2:$AU$1001,MATCH(ROWS($W$2:W562),$W$2:$W$1001,0),MATCH(COLUMNS($AD$1006:AQ1006),$AD$1006:$AU$1006,0)), HYPERLINK("#",""), HYPERLINK(CONCATENATE("#metadata!", ADDRESS(INDEX($Y$2:$Y$1001,MATCH(ROWS($W$2:W562),$W$2:$W$1001,0),0), INDEX($AD$1004:$AU$1004,1,MATCH(COLUMNS($AD$1006:AQ1006),$AD$1006:$AU$1006,0)))),"Fix")))</f>
        <v xml:space="preserve"> </v>
      </c>
      <c r="P562" s="4" t="str">
        <f ca="1">IF(OR(INDEX($X$2:$X$1001,MATCH(ROWS($W$2:W562),$W$2:$W$1001,0),1)&gt;=100000,INDEX($AD$1005:$AU$1005,1,MATCH(COLUMNS($AD$1006:AR1006),$AD$1006:$AU$1006,0))&gt;=100000), " ",IF(INDEX($AD$2:$AU$1001,MATCH(ROWS($W$2:W562),$W$2:$W$1001,0),MATCH(COLUMNS($AD$1006:AR1006),$AD$1006:$AU$1006,0)), HYPERLINK("#",""), HYPERLINK(CONCATENATE("#metadata!", ADDRESS(INDEX($Y$2:$Y$1001,MATCH(ROWS($W$2:W562),$W$2:$W$1001,0),0), INDEX($AD$1004:$AU$1004,1,MATCH(COLUMNS($AD$1006:AR1006),$AD$1006:$AU$1006,0)))),"Fix")))</f>
        <v xml:space="preserve"> </v>
      </c>
      <c r="Q562" s="4" t="str">
        <f ca="1">IF(OR(INDEX($X$2:$X$1001,MATCH(ROWS($W$2:W562),$W$2:$W$1001,0),1)&gt;=100000,INDEX($AD$1005:$AU$1005,1,MATCH(COLUMNS($AD$1006:AS1006),$AD$1006:$AU$1006,0))&gt;=100000), " ",IF(INDEX($AD$2:$AU$1001,MATCH(ROWS($W$2:W562),$W$2:$W$1001,0),MATCH(COLUMNS($AD$1006:AS1006),$AD$1006:$AU$1006,0)), HYPERLINK("#",""), HYPERLINK(CONCATENATE("#metadata!", ADDRESS(INDEX($Y$2:$Y$1001,MATCH(ROWS($W$2:W562),$W$2:$W$1001,0),0), INDEX($AD$1004:$AU$1004,1,MATCH(COLUMNS($AD$1006:AS1006),$AD$1006:$AU$1006,0)))),"Fix")))</f>
        <v xml:space="preserve"> </v>
      </c>
      <c r="R562" s="4" t="str">
        <f ca="1">IF(OR(INDEX($X$2:$X$1001,MATCH(ROWS($W$2:W562),$W$2:$W$1001,0),1)&gt;=100000,INDEX($AD$1005:$AU$1005,1,MATCH(COLUMNS($AD$1006:AT1006),$AD$1006:$AU$1006,0))&gt;=100000), " ",IF(INDEX($AD$2:$AU$1001,MATCH(ROWS($W$2:W562),$W$2:$W$1001,0),MATCH(COLUMNS($AD$1006:AT1006),$AD$1006:$AU$1006,0)), HYPERLINK("#",""), HYPERLINK(CONCATENATE("#metadata!", ADDRESS(INDEX($Y$2:$Y$1001,MATCH(ROWS($W$2:W562),$W$2:$W$1001,0),0), INDEX($AD$1004:$AU$1004,1,MATCH(COLUMNS($AD$1006:AT1006),$AD$1006:$AU$1006,0)))),"Fix")))</f>
        <v xml:space="preserve"> </v>
      </c>
      <c r="S562" s="4" t="str">
        <f ca="1">IF(OR(INDEX($X$2:$X$1001,MATCH(ROWS($W$2:W562),$W$2:$W$1001,0),1)&gt;=100000,INDEX($AD$1005:$AU$1005,1,MATCH(COLUMNS($AD$1006:AU1006),$AD$1006:$AU$1006,0))&gt;=100000), " ",IF(INDEX($AD$2:$AU$1001,MATCH(ROWS($W$2:W562),$W$2:$W$1001,0),MATCH(COLUMNS($AD$1006:AU1006),$AD$1006:$AU$1006,0)), HYPERLINK("#",""), HYPERLINK(CONCATENATE("#metadata!", ADDRESS(INDEX($Y$2:$Y$1001,MATCH(ROWS($W$2:W562),$W$2:$W$1001,0),0), INDEX($AD$1004:$AU$1004,1,MATCH(COLUMNS($AD$1006:AU1006),$AD$1006:$AU$1006,0)))),"Fix")))</f>
        <v xml:space="preserve"> </v>
      </c>
      <c r="W562">
        <v>561</v>
      </c>
      <c r="X562">
        <v>100562</v>
      </c>
      <c r="Y562">
        <v>562</v>
      </c>
      <c r="Z562" t="b">
        <f t="shared" si="8"/>
        <v>1</v>
      </c>
      <c r="AA562" t="b">
        <f>COUNTBLANK(metadata!B562:S562)=COLUMNS(metadata!B562:S562)</f>
        <v>1</v>
      </c>
      <c r="AB562" t="str">
        <v/>
      </c>
      <c r="AD562" t="b">
        <f ca="1">AND(IF(metadata!B562="",FALSE,TRUE),COUNTIF(metadata!B:B, metadata!B562) = 1,NOT(ISERROR(SUMPRODUCT(SEARCH(MID(metadata!B562,ROW(INDIRECT("1:"&amp;LEN(metadata!B562))), 1),"0123456789abcdefghijklmnopqrstuvwxyzABCDEFGHIJKLMNOPQRSTUVWXYZ.")))))</f>
        <v>0</v>
      </c>
      <c r="AE562" t="b">
        <f>OR(AND(IF(metadata!C562="",FALSE,TRUE),OR(EXACT(metadata!C562,"not applicable"),EXACT(metadata!C562,"missing: not collected"),EXACT(metadata!C562,"missing: not provided"),EXACT(metadata!C562,"missing: restricted access"))),AND(IF(metadata!C562="",FALSE,ISNUMBER(VALUE(metadata!C562))),metadata!C562&gt;0))</f>
        <v>0</v>
      </c>
      <c r="AF562" t="b">
        <f>AND(IF(metadata!D562="",FALSE,TRUE),EXACT(metadata!D562,"missing: not provided"))</f>
        <v>0</v>
      </c>
      <c r="AG562" t="b">
        <f>AND(IF(metadata!E562="",FALSE,TRUE),EXACT(metadata!E562,"Host-associated"))</f>
        <v>0</v>
      </c>
      <c r="AH562" t="b">
        <f>AND(IF(metadata!F562="",FALSE,TRUE),OR(EXACT(metadata!F562,"Animal"),EXACT(metadata!F562,"Fungus"),EXACT(metadata!F562,"Plant")))</f>
        <v>0</v>
      </c>
      <c r="AI562" t="b">
        <f>AND(IF(metadata!G562="",FALSE,TRUE),OR(EXACT(metadata!G562,"Plant secretion"),EXACT(metadata!G562,"Plant rhizosphere"),EXACT(metadata!G562,"Plant surface"),EXACT(metadata!G562,"Plant corpus"),EXACT(metadata!G562,"Fungus surface"),EXACT(metadata!G562,"Fungus corpus"),EXACT(metadata!G562,"Animal surface"),EXACT(metadata!G562,"Animal proximal gut"),EXACT(metadata!G562,"Animal corpus"),EXACT(metadata!G562,"Animal distal gut"),EXACT(metadata!G562,"Animal secretion")))</f>
        <v>0</v>
      </c>
      <c r="AJ562" t="b">
        <f>OR(AND(IF(metadata!H562="",FALSE,TRUE),OR(EXACT(metadata!H562,"missing: not collected"),EXACT(metadata!H562,"missing: not provided"),EXACT(metadata!H562,"missing: restricted access"))),AND(IF(metadata!H562="",FALSE,TRUE),OR(EXACT(metadata!H562,"organism-associated habitat"),EXACT(metadata!H562,"plant-associated habitat"),EXACT(metadata!H562,"animal-associated habitat"),EXACT(metadata!H562,"insecta-associated habitat"),EXACT(metadata!H562,"mammalia-associated habitat"),EXACT(metadata!H562,"human-associated habitat"),EXACT(metadata!H562,"livestock-associated habitat"))))</f>
        <v>0</v>
      </c>
      <c r="AK562" t="b">
        <f>AND(IF(metadata!I562="",FALSE,TRUE),EXACT(metadata!I562,"host-associated"))</f>
        <v>0</v>
      </c>
      <c r="AL562" t="b">
        <f>OR(AND(IF(metadata!J562="",FALSE,TRUE),OR(EXACT(metadata!J562,"not applicable"),EXACT(metadata!J562,"missing: not collected"),EXACT(metadata!J562,"missing: not provided"),EXACT(metadata!J562,"missing: restricted access"))),AND(IF(metadata!J562="",FALSE,ISNUMBER(VALUE(metadata!J562))),metadata!J562&gt;0))</f>
        <v>0</v>
      </c>
      <c r="AM562" t="b">
        <f>AND(IF(metadata!K562="",FALSE,TRUE),EXACT(metadata!K562,"missing: not provided"))</f>
        <v>0</v>
      </c>
      <c r="AN562" t="b">
        <f>IF(metadata!L562="",FALSE,TRUE)</f>
        <v>0</v>
      </c>
      <c r="AO562" t="b">
        <f>IF(metadata!M562="",FALSE,TRUE)</f>
        <v>0</v>
      </c>
      <c r="AP562" t="b">
        <f>OR(AND(IF(metadata!N562="",FALSE,TRUE),OR(EXACT(metadata!N562,"not applicable"),EXACT(metadata!N562,"missing: not collected"),EXACT(metadata!N562,"missing: not provided"))),AND(IF(metadata!N562="",FALSE,IF(ISERROR(INT(metadata!N562)),FALSE,INT(metadata!N562)=metadata!N562)),metadata!N562&gt;0))</f>
        <v>0</v>
      </c>
      <c r="AQ562" t="b">
        <f>AND(IF(metadata!O562="",FALSE,TRUE),EXACT(metadata!O562,"Not applicable"))</f>
        <v>0</v>
      </c>
      <c r="AR562" t="b">
        <f>OR(AND(IF(metadata!P562="",FALSE,TRUE),OR(EXACT(metadata!P562,"not applicable"),EXACT(metadata!P562,"missing: not collected"),EXACT(metadata!P562,"missing: not provided"),EXACT(metadata!P562,"missing: restricted access"))),IF(metadata!P562="",FALSE,IF(ISERROR(INT(metadata!P562)),FALSE,INT(metadata!P562)=metadata!P562)))</f>
        <v>0</v>
      </c>
      <c r="AS562" t="b">
        <f>AND(IF(metadata!Q562="",FALSE,TRUE),EXACT(metadata!Q562,"Not applicable"))</f>
        <v>0</v>
      </c>
      <c r="AT562" t="b">
        <f>OR(AND(IF(metadata!R562="",FALSE,TRUE),OR(EXACT(metadata!R562,"not applicable"),EXACT(metadata!R562,"missing: not collected"),EXACT(metadata!R562,"missing: not provided"),EXACT(metadata!R562,"missing: restricted access"))),AND(IF(metadata!R562="",FALSE,ISNUMBER(VALUE(metadata!R562))),metadata!R562&gt;0))</f>
        <v>0</v>
      </c>
      <c r="AU562" t="b">
        <f>AND(IF(metadata!S562="",FALSE,TRUE),EXACT(metadata!S562,"missing: not provided"))</f>
        <v>0</v>
      </c>
    </row>
    <row r="563" spans="1:47" x14ac:dyDescent="0.2">
      <c r="A563" s="5" t="str">
        <f ca="1">IF(B563=" "," ",HYPERLINK(CONCATENATE("#metadata!",ADDRESS(INDEX($Y$2:$Y$1001,MATCH(ROWS($W$2:W563),$W$2:$W$1001,0),0),1)),INDEX($AB$2:$AB$1001,MATCH(ROWS($W$2:W563),$W$2:$W$1001,0),0)))</f>
        <v xml:space="preserve"> </v>
      </c>
      <c r="B563" s="4" t="str">
        <f ca="1">IF(OR(INDEX($X$2:$X$1001,MATCH(ROWS($W$2:W563),$W$2:$W$1001,0),1)&gt;=100000,INDEX($AD$1005:$AU$1005,1,MATCH(COLUMNS($AD$1006:AD1006),$AD$1006:$AU$1006,0))&gt;=100000), " ",IF(INDEX($AD$2:$AU$1001,MATCH(ROWS($W$2:W563),$W$2:$W$1001,0),MATCH(COLUMNS($AD$1006:AD1006),$AD$1006:$AU$1006,0)), HYPERLINK("#",""), HYPERLINK(CONCATENATE("#metadata!", ADDRESS(INDEX($Y$2:$Y$1001,MATCH(ROWS($W$2:W563),$W$2:$W$1001,0),0), INDEX($AD$1004:$AU$1004,1,MATCH(COLUMNS($AD$1006:AD1006),$AD$1006:$AU$1006,0)))),"Fix")))</f>
        <v xml:space="preserve"> </v>
      </c>
      <c r="C563" s="4" t="str">
        <f ca="1">IF(OR(INDEX($X$2:$X$1001,MATCH(ROWS($W$2:W563),$W$2:$W$1001,0),1)&gt;=100000,INDEX($AD$1005:$AU$1005,1,MATCH(COLUMNS($AD$1006:AE1006),$AD$1006:$AU$1006,0))&gt;=100000), " ",IF(INDEX($AD$2:$AU$1001,MATCH(ROWS($W$2:W563),$W$2:$W$1001,0),MATCH(COLUMNS($AD$1006:AE1006),$AD$1006:$AU$1006,0)), HYPERLINK("#",""), HYPERLINK(CONCATENATE("#metadata!", ADDRESS(INDEX($Y$2:$Y$1001,MATCH(ROWS($W$2:W563),$W$2:$W$1001,0),0), INDEX($AD$1004:$AU$1004,1,MATCH(COLUMNS($AD$1006:AE1006),$AD$1006:$AU$1006,0)))),"Fix")))</f>
        <v xml:space="preserve"> </v>
      </c>
      <c r="D563" s="4" t="str">
        <f ca="1">IF(OR(INDEX($X$2:$X$1001,MATCH(ROWS($W$2:W563),$W$2:$W$1001,0),1)&gt;=100000,INDEX($AD$1005:$AU$1005,1,MATCH(COLUMNS($AD$1006:AF1006),$AD$1006:$AU$1006,0))&gt;=100000), " ",IF(INDEX($AD$2:$AU$1001,MATCH(ROWS($W$2:W563),$W$2:$W$1001,0),MATCH(COLUMNS($AD$1006:AF1006),$AD$1006:$AU$1006,0)), HYPERLINK("#",""), HYPERLINK(CONCATENATE("#metadata!", ADDRESS(INDEX($Y$2:$Y$1001,MATCH(ROWS($W$2:W563),$W$2:$W$1001,0),0), INDEX($AD$1004:$AU$1004,1,MATCH(COLUMNS($AD$1006:AF1006),$AD$1006:$AU$1006,0)))),"Fix")))</f>
        <v xml:space="preserve"> </v>
      </c>
      <c r="E563" s="4" t="str">
        <f ca="1">IF(OR(INDEX($X$2:$X$1001,MATCH(ROWS($W$2:W563),$W$2:$W$1001,0),1)&gt;=100000,INDEX($AD$1005:$AU$1005,1,MATCH(COLUMNS($AD$1006:AG1006),$AD$1006:$AU$1006,0))&gt;=100000), " ",IF(INDEX($AD$2:$AU$1001,MATCH(ROWS($W$2:W563),$W$2:$W$1001,0),MATCH(COLUMNS($AD$1006:AG1006),$AD$1006:$AU$1006,0)), HYPERLINK("#",""), HYPERLINK(CONCATENATE("#metadata!", ADDRESS(INDEX($Y$2:$Y$1001,MATCH(ROWS($W$2:W563),$W$2:$W$1001,0),0), INDEX($AD$1004:$AU$1004,1,MATCH(COLUMNS($AD$1006:AG1006),$AD$1006:$AU$1006,0)))),"Fix")))</f>
        <v xml:space="preserve"> </v>
      </c>
      <c r="F563" s="4" t="str">
        <f ca="1">IF(OR(INDEX($X$2:$X$1001,MATCH(ROWS($W$2:W563),$W$2:$W$1001,0),1)&gt;=100000,INDEX($AD$1005:$AU$1005,1,MATCH(COLUMNS($AD$1006:AH1006),$AD$1006:$AU$1006,0))&gt;=100000), " ",IF(INDEX($AD$2:$AU$1001,MATCH(ROWS($W$2:W563),$W$2:$W$1001,0),MATCH(COLUMNS($AD$1006:AH1006),$AD$1006:$AU$1006,0)), HYPERLINK("#",""), HYPERLINK(CONCATENATE("#metadata!", ADDRESS(INDEX($Y$2:$Y$1001,MATCH(ROWS($W$2:W563),$W$2:$W$1001,0),0), INDEX($AD$1004:$AU$1004,1,MATCH(COLUMNS($AD$1006:AH1006),$AD$1006:$AU$1006,0)))),"Fix")))</f>
        <v xml:space="preserve"> </v>
      </c>
      <c r="G563" s="4" t="str">
        <f ca="1">IF(OR(INDEX($X$2:$X$1001,MATCH(ROWS($W$2:W563),$W$2:$W$1001,0),1)&gt;=100000,INDEX($AD$1005:$AU$1005,1,MATCH(COLUMNS($AD$1006:AI1006),$AD$1006:$AU$1006,0))&gt;=100000), " ",IF(INDEX($AD$2:$AU$1001,MATCH(ROWS($W$2:W563),$W$2:$W$1001,0),MATCH(COLUMNS($AD$1006:AI1006),$AD$1006:$AU$1006,0)), HYPERLINK("#",""), HYPERLINK(CONCATENATE("#metadata!", ADDRESS(INDEX($Y$2:$Y$1001,MATCH(ROWS($W$2:W563),$W$2:$W$1001,0),0), INDEX($AD$1004:$AU$1004,1,MATCH(COLUMNS($AD$1006:AI1006),$AD$1006:$AU$1006,0)))),"Fix")))</f>
        <v xml:space="preserve"> </v>
      </c>
      <c r="H563" s="4" t="str">
        <f ca="1">IF(OR(INDEX($X$2:$X$1001,MATCH(ROWS($W$2:W563),$W$2:$W$1001,0),1)&gt;=100000,INDEX($AD$1005:$AU$1005,1,MATCH(COLUMNS($AD$1006:AJ1006),$AD$1006:$AU$1006,0))&gt;=100000), " ",IF(INDEX($AD$2:$AU$1001,MATCH(ROWS($W$2:W563),$W$2:$W$1001,0),MATCH(COLUMNS($AD$1006:AJ1006),$AD$1006:$AU$1006,0)), HYPERLINK("#",""), HYPERLINK(CONCATENATE("#metadata!", ADDRESS(INDEX($Y$2:$Y$1001,MATCH(ROWS($W$2:W563),$W$2:$W$1001,0),0), INDEX($AD$1004:$AU$1004,1,MATCH(COLUMNS($AD$1006:AJ1006),$AD$1006:$AU$1006,0)))),"Fix")))</f>
        <v xml:space="preserve"> </v>
      </c>
      <c r="I563" s="4" t="str">
        <f ca="1">IF(OR(INDEX($X$2:$X$1001,MATCH(ROWS($W$2:W563),$W$2:$W$1001,0),1)&gt;=100000,INDEX($AD$1005:$AU$1005,1,MATCH(COLUMNS($AD$1006:AK1006),$AD$1006:$AU$1006,0))&gt;=100000), " ",IF(INDEX($AD$2:$AU$1001,MATCH(ROWS($W$2:W563),$W$2:$W$1001,0),MATCH(COLUMNS($AD$1006:AK1006),$AD$1006:$AU$1006,0)), HYPERLINK("#",""), HYPERLINK(CONCATENATE("#metadata!", ADDRESS(INDEX($Y$2:$Y$1001,MATCH(ROWS($W$2:W563),$W$2:$W$1001,0),0), INDEX($AD$1004:$AU$1004,1,MATCH(COLUMNS($AD$1006:AK1006),$AD$1006:$AU$1006,0)))),"Fix")))</f>
        <v xml:space="preserve"> </v>
      </c>
      <c r="J563" s="4" t="str">
        <f ca="1">IF(OR(INDEX($X$2:$X$1001,MATCH(ROWS($W$2:W563),$W$2:$W$1001,0),1)&gt;=100000,INDEX($AD$1005:$AU$1005,1,MATCH(COLUMNS($AD$1006:AL1006),$AD$1006:$AU$1006,0))&gt;=100000), " ",IF(INDEX($AD$2:$AU$1001,MATCH(ROWS($W$2:W563),$W$2:$W$1001,0),MATCH(COLUMNS($AD$1006:AL1006),$AD$1006:$AU$1006,0)), HYPERLINK("#",""), HYPERLINK(CONCATENATE("#metadata!", ADDRESS(INDEX($Y$2:$Y$1001,MATCH(ROWS($W$2:W563),$W$2:$W$1001,0),0), INDEX($AD$1004:$AU$1004,1,MATCH(COLUMNS($AD$1006:AL1006),$AD$1006:$AU$1006,0)))),"Fix")))</f>
        <v xml:space="preserve"> </v>
      </c>
      <c r="K563" s="4" t="str">
        <f ca="1">IF(OR(INDEX($X$2:$X$1001,MATCH(ROWS($W$2:W563),$W$2:$W$1001,0),1)&gt;=100000,INDEX($AD$1005:$AU$1005,1,MATCH(COLUMNS($AD$1006:AM1006),$AD$1006:$AU$1006,0))&gt;=100000), " ",IF(INDEX($AD$2:$AU$1001,MATCH(ROWS($W$2:W563),$W$2:$W$1001,0),MATCH(COLUMNS($AD$1006:AM1006),$AD$1006:$AU$1006,0)), HYPERLINK("#",""), HYPERLINK(CONCATENATE("#metadata!", ADDRESS(INDEX($Y$2:$Y$1001,MATCH(ROWS($W$2:W563),$W$2:$W$1001,0),0), INDEX($AD$1004:$AU$1004,1,MATCH(COLUMNS($AD$1006:AM1006),$AD$1006:$AU$1006,0)))),"Fix")))</f>
        <v xml:space="preserve"> </v>
      </c>
      <c r="L563" s="4" t="str">
        <f ca="1">IF(OR(INDEX($X$2:$X$1001,MATCH(ROWS($W$2:W563),$W$2:$W$1001,0),1)&gt;=100000,INDEX($AD$1005:$AU$1005,1,MATCH(COLUMNS($AD$1006:AN1006),$AD$1006:$AU$1006,0))&gt;=100000), " ",IF(INDEX($AD$2:$AU$1001,MATCH(ROWS($W$2:W563),$W$2:$W$1001,0),MATCH(COLUMNS($AD$1006:AN1006),$AD$1006:$AU$1006,0)), HYPERLINK("#",""), HYPERLINK(CONCATENATE("#metadata!", ADDRESS(INDEX($Y$2:$Y$1001,MATCH(ROWS($W$2:W563),$W$2:$W$1001,0),0), INDEX($AD$1004:$AU$1004,1,MATCH(COLUMNS($AD$1006:AN1006),$AD$1006:$AU$1006,0)))),"Fix")))</f>
        <v xml:space="preserve"> </v>
      </c>
      <c r="M563" s="4" t="str">
        <f ca="1">IF(OR(INDEX($X$2:$X$1001,MATCH(ROWS($W$2:W563),$W$2:$W$1001,0),1)&gt;=100000,INDEX($AD$1005:$AU$1005,1,MATCH(COLUMNS($AD$1006:AO1006),$AD$1006:$AU$1006,0))&gt;=100000), " ",IF(INDEX($AD$2:$AU$1001,MATCH(ROWS($W$2:W563),$W$2:$W$1001,0),MATCH(COLUMNS($AD$1006:AO1006),$AD$1006:$AU$1006,0)), HYPERLINK("#",""), HYPERLINK(CONCATENATE("#metadata!", ADDRESS(INDEX($Y$2:$Y$1001,MATCH(ROWS($W$2:W563),$W$2:$W$1001,0),0), INDEX($AD$1004:$AU$1004,1,MATCH(COLUMNS($AD$1006:AO1006),$AD$1006:$AU$1006,0)))),"Fix")))</f>
        <v xml:space="preserve"> </v>
      </c>
      <c r="N563" s="4" t="str">
        <f ca="1">IF(OR(INDEX($X$2:$X$1001,MATCH(ROWS($W$2:W563),$W$2:$W$1001,0),1)&gt;=100000,INDEX($AD$1005:$AU$1005,1,MATCH(COLUMNS($AD$1006:AP1006),$AD$1006:$AU$1006,0))&gt;=100000), " ",IF(INDEX($AD$2:$AU$1001,MATCH(ROWS($W$2:W563),$W$2:$W$1001,0),MATCH(COLUMNS($AD$1006:AP1006),$AD$1006:$AU$1006,0)), HYPERLINK("#",""), HYPERLINK(CONCATENATE("#metadata!", ADDRESS(INDEX($Y$2:$Y$1001,MATCH(ROWS($W$2:W563),$W$2:$W$1001,0),0), INDEX($AD$1004:$AU$1004,1,MATCH(COLUMNS($AD$1006:AP1006),$AD$1006:$AU$1006,0)))),"Fix")))</f>
        <v xml:space="preserve"> </v>
      </c>
      <c r="O563" s="4" t="str">
        <f ca="1">IF(OR(INDEX($X$2:$X$1001,MATCH(ROWS($W$2:W563),$W$2:$W$1001,0),1)&gt;=100000,INDEX($AD$1005:$AU$1005,1,MATCH(COLUMNS($AD$1006:AQ1006),$AD$1006:$AU$1006,0))&gt;=100000), " ",IF(INDEX($AD$2:$AU$1001,MATCH(ROWS($W$2:W563),$W$2:$W$1001,0),MATCH(COLUMNS($AD$1006:AQ1006),$AD$1006:$AU$1006,0)), HYPERLINK("#",""), HYPERLINK(CONCATENATE("#metadata!", ADDRESS(INDEX($Y$2:$Y$1001,MATCH(ROWS($W$2:W563),$W$2:$W$1001,0),0), INDEX($AD$1004:$AU$1004,1,MATCH(COLUMNS($AD$1006:AQ1006),$AD$1006:$AU$1006,0)))),"Fix")))</f>
        <v xml:space="preserve"> </v>
      </c>
      <c r="P563" s="4" t="str">
        <f ca="1">IF(OR(INDEX($X$2:$X$1001,MATCH(ROWS($W$2:W563),$W$2:$W$1001,0),1)&gt;=100000,INDEX($AD$1005:$AU$1005,1,MATCH(COLUMNS($AD$1006:AR1006),$AD$1006:$AU$1006,0))&gt;=100000), " ",IF(INDEX($AD$2:$AU$1001,MATCH(ROWS($W$2:W563),$W$2:$W$1001,0),MATCH(COLUMNS($AD$1006:AR1006),$AD$1006:$AU$1006,0)), HYPERLINK("#",""), HYPERLINK(CONCATENATE("#metadata!", ADDRESS(INDEX($Y$2:$Y$1001,MATCH(ROWS($W$2:W563),$W$2:$W$1001,0),0), INDEX($AD$1004:$AU$1004,1,MATCH(COLUMNS($AD$1006:AR1006),$AD$1006:$AU$1006,0)))),"Fix")))</f>
        <v xml:space="preserve"> </v>
      </c>
      <c r="Q563" s="4" t="str">
        <f ca="1">IF(OR(INDEX($X$2:$X$1001,MATCH(ROWS($W$2:W563),$W$2:$W$1001,0),1)&gt;=100000,INDEX($AD$1005:$AU$1005,1,MATCH(COLUMNS($AD$1006:AS1006),$AD$1006:$AU$1006,0))&gt;=100000), " ",IF(INDEX($AD$2:$AU$1001,MATCH(ROWS($W$2:W563),$W$2:$W$1001,0),MATCH(COLUMNS($AD$1006:AS1006),$AD$1006:$AU$1006,0)), HYPERLINK("#",""), HYPERLINK(CONCATENATE("#metadata!", ADDRESS(INDEX($Y$2:$Y$1001,MATCH(ROWS($W$2:W563),$W$2:$W$1001,0),0), INDEX($AD$1004:$AU$1004,1,MATCH(COLUMNS($AD$1006:AS1006),$AD$1006:$AU$1006,0)))),"Fix")))</f>
        <v xml:space="preserve"> </v>
      </c>
      <c r="R563" s="4" t="str">
        <f ca="1">IF(OR(INDEX($X$2:$X$1001,MATCH(ROWS($W$2:W563),$W$2:$W$1001,0),1)&gt;=100000,INDEX($AD$1005:$AU$1005,1,MATCH(COLUMNS($AD$1006:AT1006),$AD$1006:$AU$1006,0))&gt;=100000), " ",IF(INDEX($AD$2:$AU$1001,MATCH(ROWS($W$2:W563),$W$2:$W$1001,0),MATCH(COLUMNS($AD$1006:AT1006),$AD$1006:$AU$1006,0)), HYPERLINK("#",""), HYPERLINK(CONCATENATE("#metadata!", ADDRESS(INDEX($Y$2:$Y$1001,MATCH(ROWS($W$2:W563),$W$2:$W$1001,0),0), INDEX($AD$1004:$AU$1004,1,MATCH(COLUMNS($AD$1006:AT1006),$AD$1006:$AU$1006,0)))),"Fix")))</f>
        <v xml:space="preserve"> </v>
      </c>
      <c r="S563" s="4" t="str">
        <f ca="1">IF(OR(INDEX($X$2:$X$1001,MATCH(ROWS($W$2:W563),$W$2:$W$1001,0),1)&gt;=100000,INDEX($AD$1005:$AU$1005,1,MATCH(COLUMNS($AD$1006:AU1006),$AD$1006:$AU$1006,0))&gt;=100000), " ",IF(INDEX($AD$2:$AU$1001,MATCH(ROWS($W$2:W563),$W$2:$W$1001,0),MATCH(COLUMNS($AD$1006:AU1006),$AD$1006:$AU$1006,0)), HYPERLINK("#",""), HYPERLINK(CONCATENATE("#metadata!", ADDRESS(INDEX($Y$2:$Y$1001,MATCH(ROWS($W$2:W563),$W$2:$W$1001,0),0), INDEX($AD$1004:$AU$1004,1,MATCH(COLUMNS($AD$1006:AU1006),$AD$1006:$AU$1006,0)))),"Fix")))</f>
        <v xml:space="preserve"> </v>
      </c>
      <c r="W563">
        <v>562</v>
      </c>
      <c r="X563">
        <v>100563</v>
      </c>
      <c r="Y563">
        <v>563</v>
      </c>
      <c r="Z563" t="b">
        <f t="shared" si="8"/>
        <v>1</v>
      </c>
      <c r="AA563" t="b">
        <f>COUNTBLANK(metadata!B563:S563)=COLUMNS(metadata!B563:S563)</f>
        <v>1</v>
      </c>
      <c r="AB563" t="str">
        <v/>
      </c>
      <c r="AD563" t="b">
        <f ca="1">AND(IF(metadata!B563="",FALSE,TRUE),COUNTIF(metadata!B:B, metadata!B563) = 1,NOT(ISERROR(SUMPRODUCT(SEARCH(MID(metadata!B563,ROW(INDIRECT("1:"&amp;LEN(metadata!B563))), 1),"0123456789abcdefghijklmnopqrstuvwxyzABCDEFGHIJKLMNOPQRSTUVWXYZ.")))))</f>
        <v>0</v>
      </c>
      <c r="AE563" t="b">
        <f>OR(AND(IF(metadata!C563="",FALSE,TRUE),OR(EXACT(metadata!C563,"not applicable"),EXACT(metadata!C563,"missing: not collected"),EXACT(metadata!C563,"missing: not provided"),EXACT(metadata!C563,"missing: restricted access"))),AND(IF(metadata!C563="",FALSE,ISNUMBER(VALUE(metadata!C563))),metadata!C563&gt;0))</f>
        <v>0</v>
      </c>
      <c r="AF563" t="b">
        <f>AND(IF(metadata!D563="",FALSE,TRUE),EXACT(metadata!D563,"missing: not provided"))</f>
        <v>0</v>
      </c>
      <c r="AG563" t="b">
        <f>AND(IF(metadata!E563="",FALSE,TRUE),EXACT(metadata!E563,"Host-associated"))</f>
        <v>0</v>
      </c>
      <c r="AH563" t="b">
        <f>AND(IF(metadata!F563="",FALSE,TRUE),OR(EXACT(metadata!F563,"Animal"),EXACT(metadata!F563,"Fungus"),EXACT(metadata!F563,"Plant")))</f>
        <v>0</v>
      </c>
      <c r="AI563" t="b">
        <f>AND(IF(metadata!G563="",FALSE,TRUE),OR(EXACT(metadata!G563,"Plant secretion"),EXACT(metadata!G563,"Plant rhizosphere"),EXACT(metadata!G563,"Plant surface"),EXACT(metadata!G563,"Plant corpus"),EXACT(metadata!G563,"Fungus surface"),EXACT(metadata!G563,"Fungus corpus"),EXACT(metadata!G563,"Animal surface"),EXACT(metadata!G563,"Animal proximal gut"),EXACT(metadata!G563,"Animal corpus"),EXACT(metadata!G563,"Animal distal gut"),EXACT(metadata!G563,"Animal secretion")))</f>
        <v>0</v>
      </c>
      <c r="AJ563" t="b">
        <f>OR(AND(IF(metadata!H563="",FALSE,TRUE),OR(EXACT(metadata!H563,"missing: not collected"),EXACT(metadata!H563,"missing: not provided"),EXACT(metadata!H563,"missing: restricted access"))),AND(IF(metadata!H563="",FALSE,TRUE),OR(EXACT(metadata!H563,"organism-associated habitat"),EXACT(metadata!H563,"plant-associated habitat"),EXACT(metadata!H563,"animal-associated habitat"),EXACT(metadata!H563,"insecta-associated habitat"),EXACT(metadata!H563,"mammalia-associated habitat"),EXACT(metadata!H563,"human-associated habitat"),EXACT(metadata!H563,"livestock-associated habitat"))))</f>
        <v>0</v>
      </c>
      <c r="AK563" t="b">
        <f>AND(IF(metadata!I563="",FALSE,TRUE),EXACT(metadata!I563,"host-associated"))</f>
        <v>0</v>
      </c>
      <c r="AL563" t="b">
        <f>OR(AND(IF(metadata!J563="",FALSE,TRUE),OR(EXACT(metadata!J563,"not applicable"),EXACT(metadata!J563,"missing: not collected"),EXACT(metadata!J563,"missing: not provided"),EXACT(metadata!J563,"missing: restricted access"))),AND(IF(metadata!J563="",FALSE,ISNUMBER(VALUE(metadata!J563))),metadata!J563&gt;0))</f>
        <v>0</v>
      </c>
      <c r="AM563" t="b">
        <f>AND(IF(metadata!K563="",FALSE,TRUE),EXACT(metadata!K563,"missing: not provided"))</f>
        <v>0</v>
      </c>
      <c r="AN563" t="b">
        <f>IF(metadata!L563="",FALSE,TRUE)</f>
        <v>0</v>
      </c>
      <c r="AO563" t="b">
        <f>IF(metadata!M563="",FALSE,TRUE)</f>
        <v>0</v>
      </c>
      <c r="AP563" t="b">
        <f>OR(AND(IF(metadata!N563="",FALSE,TRUE),OR(EXACT(metadata!N563,"not applicable"),EXACT(metadata!N563,"missing: not collected"),EXACT(metadata!N563,"missing: not provided"))),AND(IF(metadata!N563="",FALSE,IF(ISERROR(INT(metadata!N563)),FALSE,INT(metadata!N563)=metadata!N563)),metadata!N563&gt;0))</f>
        <v>0</v>
      </c>
      <c r="AQ563" t="b">
        <f>AND(IF(metadata!O563="",FALSE,TRUE),EXACT(metadata!O563,"Not applicable"))</f>
        <v>0</v>
      </c>
      <c r="AR563" t="b">
        <f>OR(AND(IF(metadata!P563="",FALSE,TRUE),OR(EXACT(metadata!P563,"not applicable"),EXACT(metadata!P563,"missing: not collected"),EXACT(metadata!P563,"missing: not provided"),EXACT(metadata!P563,"missing: restricted access"))),IF(metadata!P563="",FALSE,IF(ISERROR(INT(metadata!P563)),FALSE,INT(metadata!P563)=metadata!P563)))</f>
        <v>0</v>
      </c>
      <c r="AS563" t="b">
        <f>AND(IF(metadata!Q563="",FALSE,TRUE),EXACT(metadata!Q563,"Not applicable"))</f>
        <v>0</v>
      </c>
      <c r="AT563" t="b">
        <f>OR(AND(IF(metadata!R563="",FALSE,TRUE),OR(EXACT(metadata!R563,"not applicable"),EXACT(metadata!R563,"missing: not collected"),EXACT(metadata!R563,"missing: not provided"),EXACT(metadata!R563,"missing: restricted access"))),AND(IF(metadata!R563="",FALSE,ISNUMBER(VALUE(metadata!R563))),metadata!R563&gt;0))</f>
        <v>0</v>
      </c>
      <c r="AU563" t="b">
        <f>AND(IF(metadata!S563="",FALSE,TRUE),EXACT(metadata!S563,"missing: not provided"))</f>
        <v>0</v>
      </c>
    </row>
    <row r="564" spans="1:47" x14ac:dyDescent="0.2">
      <c r="A564" s="5" t="str">
        <f ca="1">IF(B564=" "," ",HYPERLINK(CONCATENATE("#metadata!",ADDRESS(INDEX($Y$2:$Y$1001,MATCH(ROWS($W$2:W564),$W$2:$W$1001,0),0),1)),INDEX($AB$2:$AB$1001,MATCH(ROWS($W$2:W564),$W$2:$W$1001,0),0)))</f>
        <v xml:space="preserve"> </v>
      </c>
      <c r="B564" s="4" t="str">
        <f ca="1">IF(OR(INDEX($X$2:$X$1001,MATCH(ROWS($W$2:W564),$W$2:$W$1001,0),1)&gt;=100000,INDEX($AD$1005:$AU$1005,1,MATCH(COLUMNS($AD$1006:AD1006),$AD$1006:$AU$1006,0))&gt;=100000), " ",IF(INDEX($AD$2:$AU$1001,MATCH(ROWS($W$2:W564),$W$2:$W$1001,0),MATCH(COLUMNS($AD$1006:AD1006),$AD$1006:$AU$1006,0)), HYPERLINK("#",""), HYPERLINK(CONCATENATE("#metadata!", ADDRESS(INDEX($Y$2:$Y$1001,MATCH(ROWS($W$2:W564),$W$2:$W$1001,0),0), INDEX($AD$1004:$AU$1004,1,MATCH(COLUMNS($AD$1006:AD1006),$AD$1006:$AU$1006,0)))),"Fix")))</f>
        <v xml:space="preserve"> </v>
      </c>
      <c r="C564" s="4" t="str">
        <f ca="1">IF(OR(INDEX($X$2:$X$1001,MATCH(ROWS($W$2:W564),$W$2:$W$1001,0),1)&gt;=100000,INDEX($AD$1005:$AU$1005,1,MATCH(COLUMNS($AD$1006:AE1006),$AD$1006:$AU$1006,0))&gt;=100000), " ",IF(INDEX($AD$2:$AU$1001,MATCH(ROWS($W$2:W564),$W$2:$W$1001,0),MATCH(COLUMNS($AD$1006:AE1006),$AD$1006:$AU$1006,0)), HYPERLINK("#",""), HYPERLINK(CONCATENATE("#metadata!", ADDRESS(INDEX($Y$2:$Y$1001,MATCH(ROWS($W$2:W564),$W$2:$W$1001,0),0), INDEX($AD$1004:$AU$1004,1,MATCH(COLUMNS($AD$1006:AE1006),$AD$1006:$AU$1006,0)))),"Fix")))</f>
        <v xml:space="preserve"> </v>
      </c>
      <c r="D564" s="4" t="str">
        <f ca="1">IF(OR(INDEX($X$2:$X$1001,MATCH(ROWS($W$2:W564),$W$2:$W$1001,0),1)&gt;=100000,INDEX($AD$1005:$AU$1005,1,MATCH(COLUMNS($AD$1006:AF1006),$AD$1006:$AU$1006,0))&gt;=100000), " ",IF(INDEX($AD$2:$AU$1001,MATCH(ROWS($W$2:W564),$W$2:$W$1001,0),MATCH(COLUMNS($AD$1006:AF1006),$AD$1006:$AU$1006,0)), HYPERLINK("#",""), HYPERLINK(CONCATENATE("#metadata!", ADDRESS(INDEX($Y$2:$Y$1001,MATCH(ROWS($W$2:W564),$W$2:$W$1001,0),0), INDEX($AD$1004:$AU$1004,1,MATCH(COLUMNS($AD$1006:AF1006),$AD$1006:$AU$1006,0)))),"Fix")))</f>
        <v xml:space="preserve"> </v>
      </c>
      <c r="E564" s="4" t="str">
        <f ca="1">IF(OR(INDEX($X$2:$X$1001,MATCH(ROWS($W$2:W564),$W$2:$W$1001,0),1)&gt;=100000,INDEX($AD$1005:$AU$1005,1,MATCH(COLUMNS($AD$1006:AG1006),$AD$1006:$AU$1006,0))&gt;=100000), " ",IF(INDEX($AD$2:$AU$1001,MATCH(ROWS($W$2:W564),$W$2:$W$1001,0),MATCH(COLUMNS($AD$1006:AG1006),$AD$1006:$AU$1006,0)), HYPERLINK("#",""), HYPERLINK(CONCATENATE("#metadata!", ADDRESS(INDEX($Y$2:$Y$1001,MATCH(ROWS($W$2:W564),$W$2:$W$1001,0),0), INDEX($AD$1004:$AU$1004,1,MATCH(COLUMNS($AD$1006:AG1006),$AD$1006:$AU$1006,0)))),"Fix")))</f>
        <v xml:space="preserve"> </v>
      </c>
      <c r="F564" s="4" t="str">
        <f ca="1">IF(OR(INDEX($X$2:$X$1001,MATCH(ROWS($W$2:W564),$W$2:$W$1001,0),1)&gt;=100000,INDEX($AD$1005:$AU$1005,1,MATCH(COLUMNS($AD$1006:AH1006),$AD$1006:$AU$1006,0))&gt;=100000), " ",IF(INDEX($AD$2:$AU$1001,MATCH(ROWS($W$2:W564),$W$2:$W$1001,0),MATCH(COLUMNS($AD$1006:AH1006),$AD$1006:$AU$1006,0)), HYPERLINK("#",""), HYPERLINK(CONCATENATE("#metadata!", ADDRESS(INDEX($Y$2:$Y$1001,MATCH(ROWS($W$2:W564),$W$2:$W$1001,0),0), INDEX($AD$1004:$AU$1004,1,MATCH(COLUMNS($AD$1006:AH1006),$AD$1006:$AU$1006,0)))),"Fix")))</f>
        <v xml:space="preserve"> </v>
      </c>
      <c r="G564" s="4" t="str">
        <f ca="1">IF(OR(INDEX($X$2:$X$1001,MATCH(ROWS($W$2:W564),$W$2:$W$1001,0),1)&gt;=100000,INDEX($AD$1005:$AU$1005,1,MATCH(COLUMNS($AD$1006:AI1006),$AD$1006:$AU$1006,0))&gt;=100000), " ",IF(INDEX($AD$2:$AU$1001,MATCH(ROWS($W$2:W564),$W$2:$W$1001,0),MATCH(COLUMNS($AD$1006:AI1006),$AD$1006:$AU$1006,0)), HYPERLINK("#",""), HYPERLINK(CONCATENATE("#metadata!", ADDRESS(INDEX($Y$2:$Y$1001,MATCH(ROWS($W$2:W564),$W$2:$W$1001,0),0), INDEX($AD$1004:$AU$1004,1,MATCH(COLUMNS($AD$1006:AI1006),$AD$1006:$AU$1006,0)))),"Fix")))</f>
        <v xml:space="preserve"> </v>
      </c>
      <c r="H564" s="4" t="str">
        <f ca="1">IF(OR(INDEX($X$2:$X$1001,MATCH(ROWS($W$2:W564),$W$2:$W$1001,0),1)&gt;=100000,INDEX($AD$1005:$AU$1005,1,MATCH(COLUMNS($AD$1006:AJ1006),$AD$1006:$AU$1006,0))&gt;=100000), " ",IF(INDEX($AD$2:$AU$1001,MATCH(ROWS($W$2:W564),$W$2:$W$1001,0),MATCH(COLUMNS($AD$1006:AJ1006),$AD$1006:$AU$1006,0)), HYPERLINK("#",""), HYPERLINK(CONCATENATE("#metadata!", ADDRESS(INDEX($Y$2:$Y$1001,MATCH(ROWS($W$2:W564),$W$2:$W$1001,0),0), INDEX($AD$1004:$AU$1004,1,MATCH(COLUMNS($AD$1006:AJ1006),$AD$1006:$AU$1006,0)))),"Fix")))</f>
        <v xml:space="preserve"> </v>
      </c>
      <c r="I564" s="4" t="str">
        <f ca="1">IF(OR(INDEX($X$2:$X$1001,MATCH(ROWS($W$2:W564),$W$2:$W$1001,0),1)&gt;=100000,INDEX($AD$1005:$AU$1005,1,MATCH(COLUMNS($AD$1006:AK1006),$AD$1006:$AU$1006,0))&gt;=100000), " ",IF(INDEX($AD$2:$AU$1001,MATCH(ROWS($W$2:W564),$W$2:$W$1001,0),MATCH(COLUMNS($AD$1006:AK1006),$AD$1006:$AU$1006,0)), HYPERLINK("#",""), HYPERLINK(CONCATENATE("#metadata!", ADDRESS(INDEX($Y$2:$Y$1001,MATCH(ROWS($W$2:W564),$W$2:$W$1001,0),0), INDEX($AD$1004:$AU$1004,1,MATCH(COLUMNS($AD$1006:AK1006),$AD$1006:$AU$1006,0)))),"Fix")))</f>
        <v xml:space="preserve"> </v>
      </c>
      <c r="J564" s="4" t="str">
        <f ca="1">IF(OR(INDEX($X$2:$X$1001,MATCH(ROWS($W$2:W564),$W$2:$W$1001,0),1)&gt;=100000,INDEX($AD$1005:$AU$1005,1,MATCH(COLUMNS($AD$1006:AL1006),$AD$1006:$AU$1006,0))&gt;=100000), " ",IF(INDEX($AD$2:$AU$1001,MATCH(ROWS($W$2:W564),$W$2:$W$1001,0),MATCH(COLUMNS($AD$1006:AL1006),$AD$1006:$AU$1006,0)), HYPERLINK("#",""), HYPERLINK(CONCATENATE("#metadata!", ADDRESS(INDEX($Y$2:$Y$1001,MATCH(ROWS($W$2:W564),$W$2:$W$1001,0),0), INDEX($AD$1004:$AU$1004,1,MATCH(COLUMNS($AD$1006:AL1006),$AD$1006:$AU$1006,0)))),"Fix")))</f>
        <v xml:space="preserve"> </v>
      </c>
      <c r="K564" s="4" t="str">
        <f ca="1">IF(OR(INDEX($X$2:$X$1001,MATCH(ROWS($W$2:W564),$W$2:$W$1001,0),1)&gt;=100000,INDEX($AD$1005:$AU$1005,1,MATCH(COLUMNS($AD$1006:AM1006),$AD$1006:$AU$1006,0))&gt;=100000), " ",IF(INDEX($AD$2:$AU$1001,MATCH(ROWS($W$2:W564),$W$2:$W$1001,0),MATCH(COLUMNS($AD$1006:AM1006),$AD$1006:$AU$1006,0)), HYPERLINK("#",""), HYPERLINK(CONCATENATE("#metadata!", ADDRESS(INDEX($Y$2:$Y$1001,MATCH(ROWS($W$2:W564),$W$2:$W$1001,0),0), INDEX($AD$1004:$AU$1004,1,MATCH(COLUMNS($AD$1006:AM1006),$AD$1006:$AU$1006,0)))),"Fix")))</f>
        <v xml:space="preserve"> </v>
      </c>
      <c r="L564" s="4" t="str">
        <f ca="1">IF(OR(INDEX($X$2:$X$1001,MATCH(ROWS($W$2:W564),$W$2:$W$1001,0),1)&gt;=100000,INDEX($AD$1005:$AU$1005,1,MATCH(COLUMNS($AD$1006:AN1006),$AD$1006:$AU$1006,0))&gt;=100000), " ",IF(INDEX($AD$2:$AU$1001,MATCH(ROWS($W$2:W564),$W$2:$W$1001,0),MATCH(COLUMNS($AD$1006:AN1006),$AD$1006:$AU$1006,0)), HYPERLINK("#",""), HYPERLINK(CONCATENATE("#metadata!", ADDRESS(INDEX($Y$2:$Y$1001,MATCH(ROWS($W$2:W564),$W$2:$W$1001,0),0), INDEX($AD$1004:$AU$1004,1,MATCH(COLUMNS($AD$1006:AN1006),$AD$1006:$AU$1006,0)))),"Fix")))</f>
        <v xml:space="preserve"> </v>
      </c>
      <c r="M564" s="4" t="str">
        <f ca="1">IF(OR(INDEX($X$2:$X$1001,MATCH(ROWS($W$2:W564),$W$2:$W$1001,0),1)&gt;=100000,INDEX($AD$1005:$AU$1005,1,MATCH(COLUMNS($AD$1006:AO1006),$AD$1006:$AU$1006,0))&gt;=100000), " ",IF(INDEX($AD$2:$AU$1001,MATCH(ROWS($W$2:W564),$W$2:$W$1001,0),MATCH(COLUMNS($AD$1006:AO1006),$AD$1006:$AU$1006,0)), HYPERLINK("#",""), HYPERLINK(CONCATENATE("#metadata!", ADDRESS(INDEX($Y$2:$Y$1001,MATCH(ROWS($W$2:W564),$W$2:$W$1001,0),0), INDEX($AD$1004:$AU$1004,1,MATCH(COLUMNS($AD$1006:AO1006),$AD$1006:$AU$1006,0)))),"Fix")))</f>
        <v xml:space="preserve"> </v>
      </c>
      <c r="N564" s="4" t="str">
        <f ca="1">IF(OR(INDEX($X$2:$X$1001,MATCH(ROWS($W$2:W564),$W$2:$W$1001,0),1)&gt;=100000,INDEX($AD$1005:$AU$1005,1,MATCH(COLUMNS($AD$1006:AP1006),$AD$1006:$AU$1006,0))&gt;=100000), " ",IF(INDEX($AD$2:$AU$1001,MATCH(ROWS($W$2:W564),$W$2:$W$1001,0),MATCH(COLUMNS($AD$1006:AP1006),$AD$1006:$AU$1006,0)), HYPERLINK("#",""), HYPERLINK(CONCATENATE("#metadata!", ADDRESS(INDEX($Y$2:$Y$1001,MATCH(ROWS($W$2:W564),$W$2:$W$1001,0),0), INDEX($AD$1004:$AU$1004,1,MATCH(COLUMNS($AD$1006:AP1006),$AD$1006:$AU$1006,0)))),"Fix")))</f>
        <v xml:space="preserve"> </v>
      </c>
      <c r="O564" s="4" t="str">
        <f ca="1">IF(OR(INDEX($X$2:$X$1001,MATCH(ROWS($W$2:W564),$W$2:$W$1001,0),1)&gt;=100000,INDEX($AD$1005:$AU$1005,1,MATCH(COLUMNS($AD$1006:AQ1006),$AD$1006:$AU$1006,0))&gt;=100000), " ",IF(INDEX($AD$2:$AU$1001,MATCH(ROWS($W$2:W564),$W$2:$W$1001,0),MATCH(COLUMNS($AD$1006:AQ1006),$AD$1006:$AU$1006,0)), HYPERLINK("#",""), HYPERLINK(CONCATENATE("#metadata!", ADDRESS(INDEX($Y$2:$Y$1001,MATCH(ROWS($W$2:W564),$W$2:$W$1001,0),0), INDEX($AD$1004:$AU$1004,1,MATCH(COLUMNS($AD$1006:AQ1006),$AD$1006:$AU$1006,0)))),"Fix")))</f>
        <v xml:space="preserve"> </v>
      </c>
      <c r="P564" s="4" t="str">
        <f ca="1">IF(OR(INDEX($X$2:$X$1001,MATCH(ROWS($W$2:W564),$W$2:$W$1001,0),1)&gt;=100000,INDEX($AD$1005:$AU$1005,1,MATCH(COLUMNS($AD$1006:AR1006),$AD$1006:$AU$1006,0))&gt;=100000), " ",IF(INDEX($AD$2:$AU$1001,MATCH(ROWS($W$2:W564),$W$2:$W$1001,0),MATCH(COLUMNS($AD$1006:AR1006),$AD$1006:$AU$1006,0)), HYPERLINK("#",""), HYPERLINK(CONCATENATE("#metadata!", ADDRESS(INDEX($Y$2:$Y$1001,MATCH(ROWS($W$2:W564),$W$2:$W$1001,0),0), INDEX($AD$1004:$AU$1004,1,MATCH(COLUMNS($AD$1006:AR1006),$AD$1006:$AU$1006,0)))),"Fix")))</f>
        <v xml:space="preserve"> </v>
      </c>
      <c r="Q564" s="4" t="str">
        <f ca="1">IF(OR(INDEX($X$2:$X$1001,MATCH(ROWS($W$2:W564),$W$2:$W$1001,0),1)&gt;=100000,INDEX($AD$1005:$AU$1005,1,MATCH(COLUMNS($AD$1006:AS1006),$AD$1006:$AU$1006,0))&gt;=100000), " ",IF(INDEX($AD$2:$AU$1001,MATCH(ROWS($W$2:W564),$W$2:$W$1001,0),MATCH(COLUMNS($AD$1006:AS1006),$AD$1006:$AU$1006,0)), HYPERLINK("#",""), HYPERLINK(CONCATENATE("#metadata!", ADDRESS(INDEX($Y$2:$Y$1001,MATCH(ROWS($W$2:W564),$W$2:$W$1001,0),0), INDEX($AD$1004:$AU$1004,1,MATCH(COLUMNS($AD$1006:AS1006),$AD$1006:$AU$1006,0)))),"Fix")))</f>
        <v xml:space="preserve"> </v>
      </c>
      <c r="R564" s="4" t="str">
        <f ca="1">IF(OR(INDEX($X$2:$X$1001,MATCH(ROWS($W$2:W564),$W$2:$W$1001,0),1)&gt;=100000,INDEX($AD$1005:$AU$1005,1,MATCH(COLUMNS($AD$1006:AT1006),$AD$1006:$AU$1006,0))&gt;=100000), " ",IF(INDEX($AD$2:$AU$1001,MATCH(ROWS($W$2:W564),$W$2:$W$1001,0),MATCH(COLUMNS($AD$1006:AT1006),$AD$1006:$AU$1006,0)), HYPERLINK("#",""), HYPERLINK(CONCATENATE("#metadata!", ADDRESS(INDEX($Y$2:$Y$1001,MATCH(ROWS($W$2:W564),$W$2:$W$1001,0),0), INDEX($AD$1004:$AU$1004,1,MATCH(COLUMNS($AD$1006:AT1006),$AD$1006:$AU$1006,0)))),"Fix")))</f>
        <v xml:space="preserve"> </v>
      </c>
      <c r="S564" s="4" t="str">
        <f ca="1">IF(OR(INDEX($X$2:$X$1001,MATCH(ROWS($W$2:W564),$W$2:$W$1001,0),1)&gt;=100000,INDEX($AD$1005:$AU$1005,1,MATCH(COLUMNS($AD$1006:AU1006),$AD$1006:$AU$1006,0))&gt;=100000), " ",IF(INDEX($AD$2:$AU$1001,MATCH(ROWS($W$2:W564),$W$2:$W$1001,0),MATCH(COLUMNS($AD$1006:AU1006),$AD$1006:$AU$1006,0)), HYPERLINK("#",""), HYPERLINK(CONCATENATE("#metadata!", ADDRESS(INDEX($Y$2:$Y$1001,MATCH(ROWS($W$2:W564),$W$2:$W$1001,0),0), INDEX($AD$1004:$AU$1004,1,MATCH(COLUMNS($AD$1006:AU1006),$AD$1006:$AU$1006,0)))),"Fix")))</f>
        <v xml:space="preserve"> </v>
      </c>
      <c r="W564">
        <v>563</v>
      </c>
      <c r="X564">
        <v>100564</v>
      </c>
      <c r="Y564">
        <v>564</v>
      </c>
      <c r="Z564" t="b">
        <f t="shared" si="8"/>
        <v>1</v>
      </c>
      <c r="AA564" t="b">
        <f>COUNTBLANK(metadata!B564:S564)=COLUMNS(metadata!B564:S564)</f>
        <v>1</v>
      </c>
      <c r="AB564" t="str">
        <v/>
      </c>
      <c r="AD564" t="b">
        <f ca="1">AND(IF(metadata!B564="",FALSE,TRUE),COUNTIF(metadata!B:B, metadata!B564) = 1,NOT(ISERROR(SUMPRODUCT(SEARCH(MID(metadata!B564,ROW(INDIRECT("1:"&amp;LEN(metadata!B564))), 1),"0123456789abcdefghijklmnopqrstuvwxyzABCDEFGHIJKLMNOPQRSTUVWXYZ.")))))</f>
        <v>0</v>
      </c>
      <c r="AE564" t="b">
        <f>OR(AND(IF(metadata!C564="",FALSE,TRUE),OR(EXACT(metadata!C564,"not applicable"),EXACT(metadata!C564,"missing: not collected"),EXACT(metadata!C564,"missing: not provided"),EXACT(metadata!C564,"missing: restricted access"))),AND(IF(metadata!C564="",FALSE,ISNUMBER(VALUE(metadata!C564))),metadata!C564&gt;0))</f>
        <v>0</v>
      </c>
      <c r="AF564" t="b">
        <f>AND(IF(metadata!D564="",FALSE,TRUE),EXACT(metadata!D564,"missing: not provided"))</f>
        <v>0</v>
      </c>
      <c r="AG564" t="b">
        <f>AND(IF(metadata!E564="",FALSE,TRUE),EXACT(metadata!E564,"Host-associated"))</f>
        <v>0</v>
      </c>
      <c r="AH564" t="b">
        <f>AND(IF(metadata!F564="",FALSE,TRUE),OR(EXACT(metadata!F564,"Animal"),EXACT(metadata!F564,"Fungus"),EXACT(metadata!F564,"Plant")))</f>
        <v>0</v>
      </c>
      <c r="AI564" t="b">
        <f>AND(IF(metadata!G564="",FALSE,TRUE),OR(EXACT(metadata!G564,"Plant secretion"),EXACT(metadata!G564,"Plant rhizosphere"),EXACT(metadata!G564,"Plant surface"),EXACT(metadata!G564,"Plant corpus"),EXACT(metadata!G564,"Fungus surface"),EXACT(metadata!G564,"Fungus corpus"),EXACT(metadata!G564,"Animal surface"),EXACT(metadata!G564,"Animal proximal gut"),EXACT(metadata!G564,"Animal corpus"),EXACT(metadata!G564,"Animal distal gut"),EXACT(metadata!G564,"Animal secretion")))</f>
        <v>0</v>
      </c>
      <c r="AJ564" t="b">
        <f>OR(AND(IF(metadata!H564="",FALSE,TRUE),OR(EXACT(metadata!H564,"missing: not collected"),EXACT(metadata!H564,"missing: not provided"),EXACT(metadata!H564,"missing: restricted access"))),AND(IF(metadata!H564="",FALSE,TRUE),OR(EXACT(metadata!H564,"organism-associated habitat"),EXACT(metadata!H564,"plant-associated habitat"),EXACT(metadata!H564,"animal-associated habitat"),EXACT(metadata!H564,"insecta-associated habitat"),EXACT(metadata!H564,"mammalia-associated habitat"),EXACT(metadata!H564,"human-associated habitat"),EXACT(metadata!H564,"livestock-associated habitat"))))</f>
        <v>0</v>
      </c>
      <c r="AK564" t="b">
        <f>AND(IF(metadata!I564="",FALSE,TRUE),EXACT(metadata!I564,"host-associated"))</f>
        <v>0</v>
      </c>
      <c r="AL564" t="b">
        <f>OR(AND(IF(metadata!J564="",FALSE,TRUE),OR(EXACT(metadata!J564,"not applicable"),EXACT(metadata!J564,"missing: not collected"),EXACT(metadata!J564,"missing: not provided"),EXACT(metadata!J564,"missing: restricted access"))),AND(IF(metadata!J564="",FALSE,ISNUMBER(VALUE(metadata!J564))),metadata!J564&gt;0))</f>
        <v>0</v>
      </c>
      <c r="AM564" t="b">
        <f>AND(IF(metadata!K564="",FALSE,TRUE),EXACT(metadata!K564,"missing: not provided"))</f>
        <v>0</v>
      </c>
      <c r="AN564" t="b">
        <f>IF(metadata!L564="",FALSE,TRUE)</f>
        <v>0</v>
      </c>
      <c r="AO564" t="b">
        <f>IF(metadata!M564="",FALSE,TRUE)</f>
        <v>0</v>
      </c>
      <c r="AP564" t="b">
        <f>OR(AND(IF(metadata!N564="",FALSE,TRUE),OR(EXACT(metadata!N564,"not applicable"),EXACT(metadata!N564,"missing: not collected"),EXACT(metadata!N564,"missing: not provided"))),AND(IF(metadata!N564="",FALSE,IF(ISERROR(INT(metadata!N564)),FALSE,INT(metadata!N564)=metadata!N564)),metadata!N564&gt;0))</f>
        <v>0</v>
      </c>
      <c r="AQ564" t="b">
        <f>AND(IF(metadata!O564="",FALSE,TRUE),EXACT(metadata!O564,"Not applicable"))</f>
        <v>0</v>
      </c>
      <c r="AR564" t="b">
        <f>OR(AND(IF(metadata!P564="",FALSE,TRUE),OR(EXACT(metadata!P564,"not applicable"),EXACT(metadata!P564,"missing: not collected"),EXACT(metadata!P564,"missing: not provided"),EXACT(metadata!P564,"missing: restricted access"))),IF(metadata!P564="",FALSE,IF(ISERROR(INT(metadata!P564)),FALSE,INT(metadata!P564)=metadata!P564)))</f>
        <v>0</v>
      </c>
      <c r="AS564" t="b">
        <f>AND(IF(metadata!Q564="",FALSE,TRUE),EXACT(metadata!Q564,"Not applicable"))</f>
        <v>0</v>
      </c>
      <c r="AT564" t="b">
        <f>OR(AND(IF(metadata!R564="",FALSE,TRUE),OR(EXACT(metadata!R564,"not applicable"),EXACT(metadata!R564,"missing: not collected"),EXACT(metadata!R564,"missing: not provided"),EXACT(metadata!R564,"missing: restricted access"))),AND(IF(metadata!R564="",FALSE,ISNUMBER(VALUE(metadata!R564))),metadata!R564&gt;0))</f>
        <v>0</v>
      </c>
      <c r="AU564" t="b">
        <f>AND(IF(metadata!S564="",FALSE,TRUE),EXACT(metadata!S564,"missing: not provided"))</f>
        <v>0</v>
      </c>
    </row>
    <row r="565" spans="1:47" x14ac:dyDescent="0.2">
      <c r="A565" s="5" t="str">
        <f ca="1">IF(B565=" "," ",HYPERLINK(CONCATENATE("#metadata!",ADDRESS(INDEX($Y$2:$Y$1001,MATCH(ROWS($W$2:W565),$W$2:$W$1001,0),0),1)),INDEX($AB$2:$AB$1001,MATCH(ROWS($W$2:W565),$W$2:$W$1001,0),0)))</f>
        <v xml:space="preserve"> </v>
      </c>
      <c r="B565" s="4" t="str">
        <f ca="1">IF(OR(INDEX($X$2:$X$1001,MATCH(ROWS($W$2:W565),$W$2:$W$1001,0),1)&gt;=100000,INDEX($AD$1005:$AU$1005,1,MATCH(COLUMNS($AD$1006:AD1006),$AD$1006:$AU$1006,0))&gt;=100000), " ",IF(INDEX($AD$2:$AU$1001,MATCH(ROWS($W$2:W565),$W$2:$W$1001,0),MATCH(COLUMNS($AD$1006:AD1006),$AD$1006:$AU$1006,0)), HYPERLINK("#",""), HYPERLINK(CONCATENATE("#metadata!", ADDRESS(INDEX($Y$2:$Y$1001,MATCH(ROWS($W$2:W565),$W$2:$W$1001,0),0), INDEX($AD$1004:$AU$1004,1,MATCH(COLUMNS($AD$1006:AD1006),$AD$1006:$AU$1006,0)))),"Fix")))</f>
        <v xml:space="preserve"> </v>
      </c>
      <c r="C565" s="4" t="str">
        <f ca="1">IF(OR(INDEX($X$2:$X$1001,MATCH(ROWS($W$2:W565),$W$2:$W$1001,0),1)&gt;=100000,INDEX($AD$1005:$AU$1005,1,MATCH(COLUMNS($AD$1006:AE1006),$AD$1006:$AU$1006,0))&gt;=100000), " ",IF(INDEX($AD$2:$AU$1001,MATCH(ROWS($W$2:W565),$W$2:$W$1001,0),MATCH(COLUMNS($AD$1006:AE1006),$AD$1006:$AU$1006,0)), HYPERLINK("#",""), HYPERLINK(CONCATENATE("#metadata!", ADDRESS(INDEX($Y$2:$Y$1001,MATCH(ROWS($W$2:W565),$W$2:$W$1001,0),0), INDEX($AD$1004:$AU$1004,1,MATCH(COLUMNS($AD$1006:AE1006),$AD$1006:$AU$1006,0)))),"Fix")))</f>
        <v xml:space="preserve"> </v>
      </c>
      <c r="D565" s="4" t="str">
        <f ca="1">IF(OR(INDEX($X$2:$X$1001,MATCH(ROWS($W$2:W565),$W$2:$W$1001,0),1)&gt;=100000,INDEX($AD$1005:$AU$1005,1,MATCH(COLUMNS($AD$1006:AF1006),$AD$1006:$AU$1006,0))&gt;=100000), " ",IF(INDEX($AD$2:$AU$1001,MATCH(ROWS($W$2:W565),$W$2:$W$1001,0),MATCH(COLUMNS($AD$1006:AF1006),$AD$1006:$AU$1006,0)), HYPERLINK("#",""), HYPERLINK(CONCATENATE("#metadata!", ADDRESS(INDEX($Y$2:$Y$1001,MATCH(ROWS($W$2:W565),$W$2:$W$1001,0),0), INDEX($AD$1004:$AU$1004,1,MATCH(COLUMNS($AD$1006:AF1006),$AD$1006:$AU$1006,0)))),"Fix")))</f>
        <v xml:space="preserve"> </v>
      </c>
      <c r="E565" s="4" t="str">
        <f ca="1">IF(OR(INDEX($X$2:$X$1001,MATCH(ROWS($W$2:W565),$W$2:$W$1001,0),1)&gt;=100000,INDEX($AD$1005:$AU$1005,1,MATCH(COLUMNS($AD$1006:AG1006),$AD$1006:$AU$1006,0))&gt;=100000), " ",IF(INDEX($AD$2:$AU$1001,MATCH(ROWS($W$2:W565),$W$2:$W$1001,0),MATCH(COLUMNS($AD$1006:AG1006),$AD$1006:$AU$1006,0)), HYPERLINK("#",""), HYPERLINK(CONCATENATE("#metadata!", ADDRESS(INDEX($Y$2:$Y$1001,MATCH(ROWS($W$2:W565),$W$2:$W$1001,0),0), INDEX($AD$1004:$AU$1004,1,MATCH(COLUMNS($AD$1006:AG1006),$AD$1006:$AU$1006,0)))),"Fix")))</f>
        <v xml:space="preserve"> </v>
      </c>
      <c r="F565" s="4" t="str">
        <f ca="1">IF(OR(INDEX($X$2:$X$1001,MATCH(ROWS($W$2:W565),$W$2:$W$1001,0),1)&gt;=100000,INDEX($AD$1005:$AU$1005,1,MATCH(COLUMNS($AD$1006:AH1006),$AD$1006:$AU$1006,0))&gt;=100000), " ",IF(INDEX($AD$2:$AU$1001,MATCH(ROWS($W$2:W565),$W$2:$W$1001,0),MATCH(COLUMNS($AD$1006:AH1006),$AD$1006:$AU$1006,0)), HYPERLINK("#",""), HYPERLINK(CONCATENATE("#metadata!", ADDRESS(INDEX($Y$2:$Y$1001,MATCH(ROWS($W$2:W565),$W$2:$W$1001,0),0), INDEX($AD$1004:$AU$1004,1,MATCH(COLUMNS($AD$1006:AH1006),$AD$1006:$AU$1006,0)))),"Fix")))</f>
        <v xml:space="preserve"> </v>
      </c>
      <c r="G565" s="4" t="str">
        <f ca="1">IF(OR(INDEX($X$2:$X$1001,MATCH(ROWS($W$2:W565),$W$2:$W$1001,0),1)&gt;=100000,INDEX($AD$1005:$AU$1005,1,MATCH(COLUMNS($AD$1006:AI1006),$AD$1006:$AU$1006,0))&gt;=100000), " ",IF(INDEX($AD$2:$AU$1001,MATCH(ROWS($W$2:W565),$W$2:$W$1001,0),MATCH(COLUMNS($AD$1006:AI1006),$AD$1006:$AU$1006,0)), HYPERLINK("#",""), HYPERLINK(CONCATENATE("#metadata!", ADDRESS(INDEX($Y$2:$Y$1001,MATCH(ROWS($W$2:W565),$W$2:$W$1001,0),0), INDEX($AD$1004:$AU$1004,1,MATCH(COLUMNS($AD$1006:AI1006),$AD$1006:$AU$1006,0)))),"Fix")))</f>
        <v xml:space="preserve"> </v>
      </c>
      <c r="H565" s="4" t="str">
        <f ca="1">IF(OR(INDEX($X$2:$X$1001,MATCH(ROWS($W$2:W565),$W$2:$W$1001,0),1)&gt;=100000,INDEX($AD$1005:$AU$1005,1,MATCH(COLUMNS($AD$1006:AJ1006),$AD$1006:$AU$1006,0))&gt;=100000), " ",IF(INDEX($AD$2:$AU$1001,MATCH(ROWS($W$2:W565),$W$2:$W$1001,0),MATCH(COLUMNS($AD$1006:AJ1006),$AD$1006:$AU$1006,0)), HYPERLINK("#",""), HYPERLINK(CONCATENATE("#metadata!", ADDRESS(INDEX($Y$2:$Y$1001,MATCH(ROWS($W$2:W565),$W$2:$W$1001,0),0), INDEX($AD$1004:$AU$1004,1,MATCH(COLUMNS($AD$1006:AJ1006),$AD$1006:$AU$1006,0)))),"Fix")))</f>
        <v xml:space="preserve"> </v>
      </c>
      <c r="I565" s="4" t="str">
        <f ca="1">IF(OR(INDEX($X$2:$X$1001,MATCH(ROWS($W$2:W565),$W$2:$W$1001,0),1)&gt;=100000,INDEX($AD$1005:$AU$1005,1,MATCH(COLUMNS($AD$1006:AK1006),$AD$1006:$AU$1006,0))&gt;=100000), " ",IF(INDEX($AD$2:$AU$1001,MATCH(ROWS($W$2:W565),$W$2:$W$1001,0),MATCH(COLUMNS($AD$1006:AK1006),$AD$1006:$AU$1006,0)), HYPERLINK("#",""), HYPERLINK(CONCATENATE("#metadata!", ADDRESS(INDEX($Y$2:$Y$1001,MATCH(ROWS($W$2:W565),$W$2:$W$1001,0),0), INDEX($AD$1004:$AU$1004,1,MATCH(COLUMNS($AD$1006:AK1006),$AD$1006:$AU$1006,0)))),"Fix")))</f>
        <v xml:space="preserve"> </v>
      </c>
      <c r="J565" s="4" t="str">
        <f ca="1">IF(OR(INDEX($X$2:$X$1001,MATCH(ROWS($W$2:W565),$W$2:$W$1001,0),1)&gt;=100000,INDEX($AD$1005:$AU$1005,1,MATCH(COLUMNS($AD$1006:AL1006),$AD$1006:$AU$1006,0))&gt;=100000), " ",IF(INDEX($AD$2:$AU$1001,MATCH(ROWS($W$2:W565),$W$2:$W$1001,0),MATCH(COLUMNS($AD$1006:AL1006),$AD$1006:$AU$1006,0)), HYPERLINK("#",""), HYPERLINK(CONCATENATE("#metadata!", ADDRESS(INDEX($Y$2:$Y$1001,MATCH(ROWS($W$2:W565),$W$2:$W$1001,0),0), INDEX($AD$1004:$AU$1004,1,MATCH(COLUMNS($AD$1006:AL1006),$AD$1006:$AU$1006,0)))),"Fix")))</f>
        <v xml:space="preserve"> </v>
      </c>
      <c r="K565" s="4" t="str">
        <f ca="1">IF(OR(INDEX($X$2:$X$1001,MATCH(ROWS($W$2:W565),$W$2:$W$1001,0),1)&gt;=100000,INDEX($AD$1005:$AU$1005,1,MATCH(COLUMNS($AD$1006:AM1006),$AD$1006:$AU$1006,0))&gt;=100000), " ",IF(INDEX($AD$2:$AU$1001,MATCH(ROWS($W$2:W565),$W$2:$W$1001,0),MATCH(COLUMNS($AD$1006:AM1006),$AD$1006:$AU$1006,0)), HYPERLINK("#",""), HYPERLINK(CONCATENATE("#metadata!", ADDRESS(INDEX($Y$2:$Y$1001,MATCH(ROWS($W$2:W565),$W$2:$W$1001,0),0), INDEX($AD$1004:$AU$1004,1,MATCH(COLUMNS($AD$1006:AM1006),$AD$1006:$AU$1006,0)))),"Fix")))</f>
        <v xml:space="preserve"> </v>
      </c>
      <c r="L565" s="4" t="str">
        <f ca="1">IF(OR(INDEX($X$2:$X$1001,MATCH(ROWS($W$2:W565),$W$2:$W$1001,0),1)&gt;=100000,INDEX($AD$1005:$AU$1005,1,MATCH(COLUMNS($AD$1006:AN1006),$AD$1006:$AU$1006,0))&gt;=100000), " ",IF(INDEX($AD$2:$AU$1001,MATCH(ROWS($W$2:W565),$W$2:$W$1001,0),MATCH(COLUMNS($AD$1006:AN1006),$AD$1006:$AU$1006,0)), HYPERLINK("#",""), HYPERLINK(CONCATENATE("#metadata!", ADDRESS(INDEX($Y$2:$Y$1001,MATCH(ROWS($W$2:W565),$W$2:$W$1001,0),0), INDEX($AD$1004:$AU$1004,1,MATCH(COLUMNS($AD$1006:AN1006),$AD$1006:$AU$1006,0)))),"Fix")))</f>
        <v xml:space="preserve"> </v>
      </c>
      <c r="M565" s="4" t="str">
        <f ca="1">IF(OR(INDEX($X$2:$X$1001,MATCH(ROWS($W$2:W565),$W$2:$W$1001,0),1)&gt;=100000,INDEX($AD$1005:$AU$1005,1,MATCH(COLUMNS($AD$1006:AO1006),$AD$1006:$AU$1006,0))&gt;=100000), " ",IF(INDEX($AD$2:$AU$1001,MATCH(ROWS($W$2:W565),$W$2:$W$1001,0),MATCH(COLUMNS($AD$1006:AO1006),$AD$1006:$AU$1006,0)), HYPERLINK("#",""), HYPERLINK(CONCATENATE("#metadata!", ADDRESS(INDEX($Y$2:$Y$1001,MATCH(ROWS($W$2:W565),$W$2:$W$1001,0),0), INDEX($AD$1004:$AU$1004,1,MATCH(COLUMNS($AD$1006:AO1006),$AD$1006:$AU$1006,0)))),"Fix")))</f>
        <v xml:space="preserve"> </v>
      </c>
      <c r="N565" s="4" t="str">
        <f ca="1">IF(OR(INDEX($X$2:$X$1001,MATCH(ROWS($W$2:W565),$W$2:$W$1001,0),1)&gt;=100000,INDEX($AD$1005:$AU$1005,1,MATCH(COLUMNS($AD$1006:AP1006),$AD$1006:$AU$1006,0))&gt;=100000), " ",IF(INDEX($AD$2:$AU$1001,MATCH(ROWS($W$2:W565),$W$2:$W$1001,0),MATCH(COLUMNS($AD$1006:AP1006),$AD$1006:$AU$1006,0)), HYPERLINK("#",""), HYPERLINK(CONCATENATE("#metadata!", ADDRESS(INDEX($Y$2:$Y$1001,MATCH(ROWS($W$2:W565),$W$2:$W$1001,0),0), INDEX($AD$1004:$AU$1004,1,MATCH(COLUMNS($AD$1006:AP1006),$AD$1006:$AU$1006,0)))),"Fix")))</f>
        <v xml:space="preserve"> </v>
      </c>
      <c r="O565" s="4" t="str">
        <f ca="1">IF(OR(INDEX($X$2:$X$1001,MATCH(ROWS($W$2:W565),$W$2:$W$1001,0),1)&gt;=100000,INDEX($AD$1005:$AU$1005,1,MATCH(COLUMNS($AD$1006:AQ1006),$AD$1006:$AU$1006,0))&gt;=100000), " ",IF(INDEX($AD$2:$AU$1001,MATCH(ROWS($W$2:W565),$W$2:$W$1001,0),MATCH(COLUMNS($AD$1006:AQ1006),$AD$1006:$AU$1006,0)), HYPERLINK("#",""), HYPERLINK(CONCATENATE("#metadata!", ADDRESS(INDEX($Y$2:$Y$1001,MATCH(ROWS($W$2:W565),$W$2:$W$1001,0),0), INDEX($AD$1004:$AU$1004,1,MATCH(COLUMNS($AD$1006:AQ1006),$AD$1006:$AU$1006,0)))),"Fix")))</f>
        <v xml:space="preserve"> </v>
      </c>
      <c r="P565" s="4" t="str">
        <f ca="1">IF(OR(INDEX($X$2:$X$1001,MATCH(ROWS($W$2:W565),$W$2:$W$1001,0),1)&gt;=100000,INDEX($AD$1005:$AU$1005,1,MATCH(COLUMNS($AD$1006:AR1006),$AD$1006:$AU$1006,0))&gt;=100000), " ",IF(INDEX($AD$2:$AU$1001,MATCH(ROWS($W$2:W565),$W$2:$W$1001,0),MATCH(COLUMNS($AD$1006:AR1006),$AD$1006:$AU$1006,0)), HYPERLINK("#",""), HYPERLINK(CONCATENATE("#metadata!", ADDRESS(INDEX($Y$2:$Y$1001,MATCH(ROWS($W$2:W565),$W$2:$W$1001,0),0), INDEX($AD$1004:$AU$1004,1,MATCH(COLUMNS($AD$1006:AR1006),$AD$1006:$AU$1006,0)))),"Fix")))</f>
        <v xml:space="preserve"> </v>
      </c>
      <c r="Q565" s="4" t="str">
        <f ca="1">IF(OR(INDEX($X$2:$X$1001,MATCH(ROWS($W$2:W565),$W$2:$W$1001,0),1)&gt;=100000,INDEX($AD$1005:$AU$1005,1,MATCH(COLUMNS($AD$1006:AS1006),$AD$1006:$AU$1006,0))&gt;=100000), " ",IF(INDEX($AD$2:$AU$1001,MATCH(ROWS($W$2:W565),$W$2:$W$1001,0),MATCH(COLUMNS($AD$1006:AS1006),$AD$1006:$AU$1006,0)), HYPERLINK("#",""), HYPERLINK(CONCATENATE("#metadata!", ADDRESS(INDEX($Y$2:$Y$1001,MATCH(ROWS($W$2:W565),$W$2:$W$1001,0),0), INDEX($AD$1004:$AU$1004,1,MATCH(COLUMNS($AD$1006:AS1006),$AD$1006:$AU$1006,0)))),"Fix")))</f>
        <v xml:space="preserve"> </v>
      </c>
      <c r="R565" s="4" t="str">
        <f ca="1">IF(OR(INDEX($X$2:$X$1001,MATCH(ROWS($W$2:W565),$W$2:$W$1001,0),1)&gt;=100000,INDEX($AD$1005:$AU$1005,1,MATCH(COLUMNS($AD$1006:AT1006),$AD$1006:$AU$1006,0))&gt;=100000), " ",IF(INDEX($AD$2:$AU$1001,MATCH(ROWS($W$2:W565),$W$2:$W$1001,0),MATCH(COLUMNS($AD$1006:AT1006),$AD$1006:$AU$1006,0)), HYPERLINK("#",""), HYPERLINK(CONCATENATE("#metadata!", ADDRESS(INDEX($Y$2:$Y$1001,MATCH(ROWS($W$2:W565),$W$2:$W$1001,0),0), INDEX($AD$1004:$AU$1004,1,MATCH(COLUMNS($AD$1006:AT1006),$AD$1006:$AU$1006,0)))),"Fix")))</f>
        <v xml:space="preserve"> </v>
      </c>
      <c r="S565" s="4" t="str">
        <f ca="1">IF(OR(INDEX($X$2:$X$1001,MATCH(ROWS($W$2:W565),$W$2:$W$1001,0),1)&gt;=100000,INDEX($AD$1005:$AU$1005,1,MATCH(COLUMNS($AD$1006:AU1006),$AD$1006:$AU$1006,0))&gt;=100000), " ",IF(INDEX($AD$2:$AU$1001,MATCH(ROWS($W$2:W565),$W$2:$W$1001,0),MATCH(COLUMNS($AD$1006:AU1006),$AD$1006:$AU$1006,0)), HYPERLINK("#",""), HYPERLINK(CONCATENATE("#metadata!", ADDRESS(INDEX($Y$2:$Y$1001,MATCH(ROWS($W$2:W565),$W$2:$W$1001,0),0), INDEX($AD$1004:$AU$1004,1,MATCH(COLUMNS($AD$1006:AU1006),$AD$1006:$AU$1006,0)))),"Fix")))</f>
        <v xml:space="preserve"> </v>
      </c>
      <c r="W565">
        <v>564</v>
      </c>
      <c r="X565">
        <v>100565</v>
      </c>
      <c r="Y565">
        <v>565</v>
      </c>
      <c r="Z565" t="b">
        <f t="shared" si="8"/>
        <v>1</v>
      </c>
      <c r="AA565" t="b">
        <f>COUNTBLANK(metadata!B565:S565)=COLUMNS(metadata!B565:S565)</f>
        <v>1</v>
      </c>
      <c r="AB565" t="str">
        <v/>
      </c>
      <c r="AD565" t="b">
        <f ca="1">AND(IF(metadata!B565="",FALSE,TRUE),COUNTIF(metadata!B:B, metadata!B565) = 1,NOT(ISERROR(SUMPRODUCT(SEARCH(MID(metadata!B565,ROW(INDIRECT("1:"&amp;LEN(metadata!B565))), 1),"0123456789abcdefghijklmnopqrstuvwxyzABCDEFGHIJKLMNOPQRSTUVWXYZ.")))))</f>
        <v>0</v>
      </c>
      <c r="AE565" t="b">
        <f>OR(AND(IF(metadata!C565="",FALSE,TRUE),OR(EXACT(metadata!C565,"not applicable"),EXACT(metadata!C565,"missing: not collected"),EXACT(metadata!C565,"missing: not provided"),EXACT(metadata!C565,"missing: restricted access"))),AND(IF(metadata!C565="",FALSE,ISNUMBER(VALUE(metadata!C565))),metadata!C565&gt;0))</f>
        <v>0</v>
      </c>
      <c r="AF565" t="b">
        <f>AND(IF(metadata!D565="",FALSE,TRUE),EXACT(metadata!D565,"missing: not provided"))</f>
        <v>0</v>
      </c>
      <c r="AG565" t="b">
        <f>AND(IF(metadata!E565="",FALSE,TRUE),EXACT(metadata!E565,"Host-associated"))</f>
        <v>0</v>
      </c>
      <c r="AH565" t="b">
        <f>AND(IF(metadata!F565="",FALSE,TRUE),OR(EXACT(metadata!F565,"Animal"),EXACT(metadata!F565,"Fungus"),EXACT(metadata!F565,"Plant")))</f>
        <v>0</v>
      </c>
      <c r="AI565" t="b">
        <f>AND(IF(metadata!G565="",FALSE,TRUE),OR(EXACT(metadata!G565,"Plant secretion"),EXACT(metadata!G565,"Plant rhizosphere"),EXACT(metadata!G565,"Plant surface"),EXACT(metadata!G565,"Plant corpus"),EXACT(metadata!G565,"Fungus surface"),EXACT(metadata!G565,"Fungus corpus"),EXACT(metadata!G565,"Animal surface"),EXACT(metadata!G565,"Animal proximal gut"),EXACT(metadata!G565,"Animal corpus"),EXACT(metadata!G565,"Animal distal gut"),EXACT(metadata!G565,"Animal secretion")))</f>
        <v>0</v>
      </c>
      <c r="AJ565" t="b">
        <f>OR(AND(IF(metadata!H565="",FALSE,TRUE),OR(EXACT(metadata!H565,"missing: not collected"),EXACT(metadata!H565,"missing: not provided"),EXACT(metadata!H565,"missing: restricted access"))),AND(IF(metadata!H565="",FALSE,TRUE),OR(EXACT(metadata!H565,"organism-associated habitat"),EXACT(metadata!H565,"plant-associated habitat"),EXACT(metadata!H565,"animal-associated habitat"),EXACT(metadata!H565,"insecta-associated habitat"),EXACT(metadata!H565,"mammalia-associated habitat"),EXACT(metadata!H565,"human-associated habitat"),EXACT(metadata!H565,"livestock-associated habitat"))))</f>
        <v>0</v>
      </c>
      <c r="AK565" t="b">
        <f>AND(IF(metadata!I565="",FALSE,TRUE),EXACT(metadata!I565,"host-associated"))</f>
        <v>0</v>
      </c>
      <c r="AL565" t="b">
        <f>OR(AND(IF(metadata!J565="",FALSE,TRUE),OR(EXACT(metadata!J565,"not applicable"),EXACT(metadata!J565,"missing: not collected"),EXACT(metadata!J565,"missing: not provided"),EXACT(metadata!J565,"missing: restricted access"))),AND(IF(metadata!J565="",FALSE,ISNUMBER(VALUE(metadata!J565))),metadata!J565&gt;0))</f>
        <v>0</v>
      </c>
      <c r="AM565" t="b">
        <f>AND(IF(metadata!K565="",FALSE,TRUE),EXACT(metadata!K565,"missing: not provided"))</f>
        <v>0</v>
      </c>
      <c r="AN565" t="b">
        <f>IF(metadata!L565="",FALSE,TRUE)</f>
        <v>0</v>
      </c>
      <c r="AO565" t="b">
        <f>IF(metadata!M565="",FALSE,TRUE)</f>
        <v>0</v>
      </c>
      <c r="AP565" t="b">
        <f>OR(AND(IF(metadata!N565="",FALSE,TRUE),OR(EXACT(metadata!N565,"not applicable"),EXACT(metadata!N565,"missing: not collected"),EXACT(metadata!N565,"missing: not provided"))),AND(IF(metadata!N565="",FALSE,IF(ISERROR(INT(metadata!N565)),FALSE,INT(metadata!N565)=metadata!N565)),metadata!N565&gt;0))</f>
        <v>0</v>
      </c>
      <c r="AQ565" t="b">
        <f>AND(IF(metadata!O565="",FALSE,TRUE),EXACT(metadata!O565,"Not applicable"))</f>
        <v>0</v>
      </c>
      <c r="AR565" t="b">
        <f>OR(AND(IF(metadata!P565="",FALSE,TRUE),OR(EXACT(metadata!P565,"not applicable"),EXACT(metadata!P565,"missing: not collected"),EXACT(metadata!P565,"missing: not provided"),EXACT(metadata!P565,"missing: restricted access"))),IF(metadata!P565="",FALSE,IF(ISERROR(INT(metadata!P565)),FALSE,INT(metadata!P565)=metadata!P565)))</f>
        <v>0</v>
      </c>
      <c r="AS565" t="b">
        <f>AND(IF(metadata!Q565="",FALSE,TRUE),EXACT(metadata!Q565,"Not applicable"))</f>
        <v>0</v>
      </c>
      <c r="AT565" t="b">
        <f>OR(AND(IF(metadata!R565="",FALSE,TRUE),OR(EXACT(metadata!R565,"not applicable"),EXACT(metadata!R565,"missing: not collected"),EXACT(metadata!R565,"missing: not provided"),EXACT(metadata!R565,"missing: restricted access"))),AND(IF(metadata!R565="",FALSE,ISNUMBER(VALUE(metadata!R565))),metadata!R565&gt;0))</f>
        <v>0</v>
      </c>
      <c r="AU565" t="b">
        <f>AND(IF(metadata!S565="",FALSE,TRUE),EXACT(metadata!S565,"missing: not provided"))</f>
        <v>0</v>
      </c>
    </row>
    <row r="566" spans="1:47" x14ac:dyDescent="0.2">
      <c r="A566" s="5" t="str">
        <f ca="1">IF(B566=" "," ",HYPERLINK(CONCATENATE("#metadata!",ADDRESS(INDEX($Y$2:$Y$1001,MATCH(ROWS($W$2:W566),$W$2:$W$1001,0),0),1)),INDEX($AB$2:$AB$1001,MATCH(ROWS($W$2:W566),$W$2:$W$1001,0),0)))</f>
        <v xml:space="preserve"> </v>
      </c>
      <c r="B566" s="4" t="str">
        <f ca="1">IF(OR(INDEX($X$2:$X$1001,MATCH(ROWS($W$2:W566),$W$2:$W$1001,0),1)&gt;=100000,INDEX($AD$1005:$AU$1005,1,MATCH(COLUMNS($AD$1006:AD1006),$AD$1006:$AU$1006,0))&gt;=100000), " ",IF(INDEX($AD$2:$AU$1001,MATCH(ROWS($W$2:W566),$W$2:$W$1001,0),MATCH(COLUMNS($AD$1006:AD1006),$AD$1006:$AU$1006,0)), HYPERLINK("#",""), HYPERLINK(CONCATENATE("#metadata!", ADDRESS(INDEX($Y$2:$Y$1001,MATCH(ROWS($W$2:W566),$W$2:$W$1001,0),0), INDEX($AD$1004:$AU$1004,1,MATCH(COLUMNS($AD$1006:AD1006),$AD$1006:$AU$1006,0)))),"Fix")))</f>
        <v xml:space="preserve"> </v>
      </c>
      <c r="C566" s="4" t="str">
        <f ca="1">IF(OR(INDEX($X$2:$X$1001,MATCH(ROWS($W$2:W566),$W$2:$W$1001,0),1)&gt;=100000,INDEX($AD$1005:$AU$1005,1,MATCH(COLUMNS($AD$1006:AE1006),$AD$1006:$AU$1006,0))&gt;=100000), " ",IF(INDEX($AD$2:$AU$1001,MATCH(ROWS($W$2:W566),$W$2:$W$1001,0),MATCH(COLUMNS($AD$1006:AE1006),$AD$1006:$AU$1006,0)), HYPERLINK("#",""), HYPERLINK(CONCATENATE("#metadata!", ADDRESS(INDEX($Y$2:$Y$1001,MATCH(ROWS($W$2:W566),$W$2:$W$1001,0),0), INDEX($AD$1004:$AU$1004,1,MATCH(COLUMNS($AD$1006:AE1006),$AD$1006:$AU$1006,0)))),"Fix")))</f>
        <v xml:space="preserve"> </v>
      </c>
      <c r="D566" s="4" t="str">
        <f ca="1">IF(OR(INDEX($X$2:$X$1001,MATCH(ROWS($W$2:W566),$W$2:$W$1001,0),1)&gt;=100000,INDEX($AD$1005:$AU$1005,1,MATCH(COLUMNS($AD$1006:AF1006),$AD$1006:$AU$1006,0))&gt;=100000), " ",IF(INDEX($AD$2:$AU$1001,MATCH(ROWS($W$2:W566),$W$2:$W$1001,0),MATCH(COLUMNS($AD$1006:AF1006),$AD$1006:$AU$1006,0)), HYPERLINK("#",""), HYPERLINK(CONCATENATE("#metadata!", ADDRESS(INDEX($Y$2:$Y$1001,MATCH(ROWS($W$2:W566),$W$2:$W$1001,0),0), INDEX($AD$1004:$AU$1004,1,MATCH(COLUMNS($AD$1006:AF1006),$AD$1006:$AU$1006,0)))),"Fix")))</f>
        <v xml:space="preserve"> </v>
      </c>
      <c r="E566" s="4" t="str">
        <f ca="1">IF(OR(INDEX($X$2:$X$1001,MATCH(ROWS($W$2:W566),$W$2:$W$1001,0),1)&gt;=100000,INDEX($AD$1005:$AU$1005,1,MATCH(COLUMNS($AD$1006:AG1006),$AD$1006:$AU$1006,0))&gt;=100000), " ",IF(INDEX($AD$2:$AU$1001,MATCH(ROWS($W$2:W566),$W$2:$W$1001,0),MATCH(COLUMNS($AD$1006:AG1006),$AD$1006:$AU$1006,0)), HYPERLINK("#",""), HYPERLINK(CONCATENATE("#metadata!", ADDRESS(INDEX($Y$2:$Y$1001,MATCH(ROWS($W$2:W566),$W$2:$W$1001,0),0), INDEX($AD$1004:$AU$1004,1,MATCH(COLUMNS($AD$1006:AG1006),$AD$1006:$AU$1006,0)))),"Fix")))</f>
        <v xml:space="preserve"> </v>
      </c>
      <c r="F566" s="4" t="str">
        <f ca="1">IF(OR(INDEX($X$2:$X$1001,MATCH(ROWS($W$2:W566),$W$2:$W$1001,0),1)&gt;=100000,INDEX($AD$1005:$AU$1005,1,MATCH(COLUMNS($AD$1006:AH1006),$AD$1006:$AU$1006,0))&gt;=100000), " ",IF(INDEX($AD$2:$AU$1001,MATCH(ROWS($W$2:W566),$W$2:$W$1001,0),MATCH(COLUMNS($AD$1006:AH1006),$AD$1006:$AU$1006,0)), HYPERLINK("#",""), HYPERLINK(CONCATENATE("#metadata!", ADDRESS(INDEX($Y$2:$Y$1001,MATCH(ROWS($W$2:W566),$W$2:$W$1001,0),0), INDEX($AD$1004:$AU$1004,1,MATCH(COLUMNS($AD$1006:AH1006),$AD$1006:$AU$1006,0)))),"Fix")))</f>
        <v xml:space="preserve"> </v>
      </c>
      <c r="G566" s="4" t="str">
        <f ca="1">IF(OR(INDEX($X$2:$X$1001,MATCH(ROWS($W$2:W566),$W$2:$W$1001,0),1)&gt;=100000,INDEX($AD$1005:$AU$1005,1,MATCH(COLUMNS($AD$1006:AI1006),$AD$1006:$AU$1006,0))&gt;=100000), " ",IF(INDEX($AD$2:$AU$1001,MATCH(ROWS($W$2:W566),$W$2:$W$1001,0),MATCH(COLUMNS($AD$1006:AI1006),$AD$1006:$AU$1006,0)), HYPERLINK("#",""), HYPERLINK(CONCATENATE("#metadata!", ADDRESS(INDEX($Y$2:$Y$1001,MATCH(ROWS($W$2:W566),$W$2:$W$1001,0),0), INDEX($AD$1004:$AU$1004,1,MATCH(COLUMNS($AD$1006:AI1006),$AD$1006:$AU$1006,0)))),"Fix")))</f>
        <v xml:space="preserve"> </v>
      </c>
      <c r="H566" s="4" t="str">
        <f ca="1">IF(OR(INDEX($X$2:$X$1001,MATCH(ROWS($W$2:W566),$W$2:$W$1001,0),1)&gt;=100000,INDEX($AD$1005:$AU$1005,1,MATCH(COLUMNS($AD$1006:AJ1006),$AD$1006:$AU$1006,0))&gt;=100000), " ",IF(INDEX($AD$2:$AU$1001,MATCH(ROWS($W$2:W566),$W$2:$W$1001,0),MATCH(COLUMNS($AD$1006:AJ1006),$AD$1006:$AU$1006,0)), HYPERLINK("#",""), HYPERLINK(CONCATENATE("#metadata!", ADDRESS(INDEX($Y$2:$Y$1001,MATCH(ROWS($W$2:W566),$W$2:$W$1001,0),0), INDEX($AD$1004:$AU$1004,1,MATCH(COLUMNS($AD$1006:AJ1006),$AD$1006:$AU$1006,0)))),"Fix")))</f>
        <v xml:space="preserve"> </v>
      </c>
      <c r="I566" s="4" t="str">
        <f ca="1">IF(OR(INDEX($X$2:$X$1001,MATCH(ROWS($W$2:W566),$W$2:$W$1001,0),1)&gt;=100000,INDEX($AD$1005:$AU$1005,1,MATCH(COLUMNS($AD$1006:AK1006),$AD$1006:$AU$1006,0))&gt;=100000), " ",IF(INDEX($AD$2:$AU$1001,MATCH(ROWS($W$2:W566),$W$2:$W$1001,0),MATCH(COLUMNS($AD$1006:AK1006),$AD$1006:$AU$1006,0)), HYPERLINK("#",""), HYPERLINK(CONCATENATE("#metadata!", ADDRESS(INDEX($Y$2:$Y$1001,MATCH(ROWS($W$2:W566),$W$2:$W$1001,0),0), INDEX($AD$1004:$AU$1004,1,MATCH(COLUMNS($AD$1006:AK1006),$AD$1006:$AU$1006,0)))),"Fix")))</f>
        <v xml:space="preserve"> </v>
      </c>
      <c r="J566" s="4" t="str">
        <f ca="1">IF(OR(INDEX($X$2:$X$1001,MATCH(ROWS($W$2:W566),$W$2:$W$1001,0),1)&gt;=100000,INDEX($AD$1005:$AU$1005,1,MATCH(COLUMNS($AD$1006:AL1006),$AD$1006:$AU$1006,0))&gt;=100000), " ",IF(INDEX($AD$2:$AU$1001,MATCH(ROWS($W$2:W566),$W$2:$W$1001,0),MATCH(COLUMNS($AD$1006:AL1006),$AD$1006:$AU$1006,0)), HYPERLINK("#",""), HYPERLINK(CONCATENATE("#metadata!", ADDRESS(INDEX($Y$2:$Y$1001,MATCH(ROWS($W$2:W566),$W$2:$W$1001,0),0), INDEX($AD$1004:$AU$1004,1,MATCH(COLUMNS($AD$1006:AL1006),$AD$1006:$AU$1006,0)))),"Fix")))</f>
        <v xml:space="preserve"> </v>
      </c>
      <c r="K566" s="4" t="str">
        <f ca="1">IF(OR(INDEX($X$2:$X$1001,MATCH(ROWS($W$2:W566),$W$2:$W$1001,0),1)&gt;=100000,INDEX($AD$1005:$AU$1005,1,MATCH(COLUMNS($AD$1006:AM1006),$AD$1006:$AU$1006,0))&gt;=100000), " ",IF(INDEX($AD$2:$AU$1001,MATCH(ROWS($W$2:W566),$W$2:$W$1001,0),MATCH(COLUMNS($AD$1006:AM1006),$AD$1006:$AU$1006,0)), HYPERLINK("#",""), HYPERLINK(CONCATENATE("#metadata!", ADDRESS(INDEX($Y$2:$Y$1001,MATCH(ROWS($W$2:W566),$W$2:$W$1001,0),0), INDEX($AD$1004:$AU$1004,1,MATCH(COLUMNS($AD$1006:AM1006),$AD$1006:$AU$1006,0)))),"Fix")))</f>
        <v xml:space="preserve"> </v>
      </c>
      <c r="L566" s="4" t="str">
        <f ca="1">IF(OR(INDEX($X$2:$X$1001,MATCH(ROWS($W$2:W566),$W$2:$W$1001,0),1)&gt;=100000,INDEX($AD$1005:$AU$1005,1,MATCH(COLUMNS($AD$1006:AN1006),$AD$1006:$AU$1006,0))&gt;=100000), " ",IF(INDEX($AD$2:$AU$1001,MATCH(ROWS($W$2:W566),$W$2:$W$1001,0),MATCH(COLUMNS($AD$1006:AN1006),$AD$1006:$AU$1006,0)), HYPERLINK("#",""), HYPERLINK(CONCATENATE("#metadata!", ADDRESS(INDEX($Y$2:$Y$1001,MATCH(ROWS($W$2:W566),$W$2:$W$1001,0),0), INDEX($AD$1004:$AU$1004,1,MATCH(COLUMNS($AD$1006:AN1006),$AD$1006:$AU$1006,0)))),"Fix")))</f>
        <v xml:space="preserve"> </v>
      </c>
      <c r="M566" s="4" t="str">
        <f ca="1">IF(OR(INDEX($X$2:$X$1001,MATCH(ROWS($W$2:W566),$W$2:$W$1001,0),1)&gt;=100000,INDEX($AD$1005:$AU$1005,1,MATCH(COLUMNS($AD$1006:AO1006),$AD$1006:$AU$1006,0))&gt;=100000), " ",IF(INDEX($AD$2:$AU$1001,MATCH(ROWS($W$2:W566),$W$2:$W$1001,0),MATCH(COLUMNS($AD$1006:AO1006),$AD$1006:$AU$1006,0)), HYPERLINK("#",""), HYPERLINK(CONCATENATE("#metadata!", ADDRESS(INDEX($Y$2:$Y$1001,MATCH(ROWS($W$2:W566),$W$2:$W$1001,0),0), INDEX($AD$1004:$AU$1004,1,MATCH(COLUMNS($AD$1006:AO1006),$AD$1006:$AU$1006,0)))),"Fix")))</f>
        <v xml:space="preserve"> </v>
      </c>
      <c r="N566" s="4" t="str">
        <f ca="1">IF(OR(INDEX($X$2:$X$1001,MATCH(ROWS($W$2:W566),$W$2:$W$1001,0),1)&gt;=100000,INDEX($AD$1005:$AU$1005,1,MATCH(COLUMNS($AD$1006:AP1006),$AD$1006:$AU$1006,0))&gt;=100000), " ",IF(INDEX($AD$2:$AU$1001,MATCH(ROWS($W$2:W566),$W$2:$W$1001,0),MATCH(COLUMNS($AD$1006:AP1006),$AD$1006:$AU$1006,0)), HYPERLINK("#",""), HYPERLINK(CONCATENATE("#metadata!", ADDRESS(INDEX($Y$2:$Y$1001,MATCH(ROWS($W$2:W566),$W$2:$W$1001,0),0), INDEX($AD$1004:$AU$1004,1,MATCH(COLUMNS($AD$1006:AP1006),$AD$1006:$AU$1006,0)))),"Fix")))</f>
        <v xml:space="preserve"> </v>
      </c>
      <c r="O566" s="4" t="str">
        <f ca="1">IF(OR(INDEX($X$2:$X$1001,MATCH(ROWS($W$2:W566),$W$2:$W$1001,0),1)&gt;=100000,INDEX($AD$1005:$AU$1005,1,MATCH(COLUMNS($AD$1006:AQ1006),$AD$1006:$AU$1006,0))&gt;=100000), " ",IF(INDEX($AD$2:$AU$1001,MATCH(ROWS($W$2:W566),$W$2:$W$1001,0),MATCH(COLUMNS($AD$1006:AQ1006),$AD$1006:$AU$1006,0)), HYPERLINK("#",""), HYPERLINK(CONCATENATE("#metadata!", ADDRESS(INDEX($Y$2:$Y$1001,MATCH(ROWS($W$2:W566),$W$2:$W$1001,0),0), INDEX($AD$1004:$AU$1004,1,MATCH(COLUMNS($AD$1006:AQ1006),$AD$1006:$AU$1006,0)))),"Fix")))</f>
        <v xml:space="preserve"> </v>
      </c>
      <c r="P566" s="4" t="str">
        <f ca="1">IF(OR(INDEX($X$2:$X$1001,MATCH(ROWS($W$2:W566),$W$2:$W$1001,0),1)&gt;=100000,INDEX($AD$1005:$AU$1005,1,MATCH(COLUMNS($AD$1006:AR1006),$AD$1006:$AU$1006,0))&gt;=100000), " ",IF(INDEX($AD$2:$AU$1001,MATCH(ROWS($W$2:W566),$W$2:$W$1001,0),MATCH(COLUMNS($AD$1006:AR1006),$AD$1006:$AU$1006,0)), HYPERLINK("#",""), HYPERLINK(CONCATENATE("#metadata!", ADDRESS(INDEX($Y$2:$Y$1001,MATCH(ROWS($W$2:W566),$W$2:$W$1001,0),0), INDEX($AD$1004:$AU$1004,1,MATCH(COLUMNS($AD$1006:AR1006),$AD$1006:$AU$1006,0)))),"Fix")))</f>
        <v xml:space="preserve"> </v>
      </c>
      <c r="Q566" s="4" t="str">
        <f ca="1">IF(OR(INDEX($X$2:$X$1001,MATCH(ROWS($W$2:W566),$W$2:$W$1001,0),1)&gt;=100000,INDEX($AD$1005:$AU$1005,1,MATCH(COLUMNS($AD$1006:AS1006),$AD$1006:$AU$1006,0))&gt;=100000), " ",IF(INDEX($AD$2:$AU$1001,MATCH(ROWS($W$2:W566),$W$2:$W$1001,0),MATCH(COLUMNS($AD$1006:AS1006),$AD$1006:$AU$1006,0)), HYPERLINK("#",""), HYPERLINK(CONCATENATE("#metadata!", ADDRESS(INDEX($Y$2:$Y$1001,MATCH(ROWS($W$2:W566),$W$2:$W$1001,0),0), INDEX($AD$1004:$AU$1004,1,MATCH(COLUMNS($AD$1006:AS1006),$AD$1006:$AU$1006,0)))),"Fix")))</f>
        <v xml:space="preserve"> </v>
      </c>
      <c r="R566" s="4" t="str">
        <f ca="1">IF(OR(INDEX($X$2:$X$1001,MATCH(ROWS($W$2:W566),$W$2:$W$1001,0),1)&gt;=100000,INDEX($AD$1005:$AU$1005,1,MATCH(COLUMNS($AD$1006:AT1006),$AD$1006:$AU$1006,0))&gt;=100000), " ",IF(INDEX($AD$2:$AU$1001,MATCH(ROWS($W$2:W566),$W$2:$W$1001,0),MATCH(COLUMNS($AD$1006:AT1006),$AD$1006:$AU$1006,0)), HYPERLINK("#",""), HYPERLINK(CONCATENATE("#metadata!", ADDRESS(INDEX($Y$2:$Y$1001,MATCH(ROWS($W$2:W566),$W$2:$W$1001,0),0), INDEX($AD$1004:$AU$1004,1,MATCH(COLUMNS($AD$1006:AT1006),$AD$1006:$AU$1006,0)))),"Fix")))</f>
        <v xml:space="preserve"> </v>
      </c>
      <c r="S566" s="4" t="str">
        <f ca="1">IF(OR(INDEX($X$2:$X$1001,MATCH(ROWS($W$2:W566),$W$2:$W$1001,0),1)&gt;=100000,INDEX($AD$1005:$AU$1005,1,MATCH(COLUMNS($AD$1006:AU1006),$AD$1006:$AU$1006,0))&gt;=100000), " ",IF(INDEX($AD$2:$AU$1001,MATCH(ROWS($W$2:W566),$W$2:$W$1001,0),MATCH(COLUMNS($AD$1006:AU1006),$AD$1006:$AU$1006,0)), HYPERLINK("#",""), HYPERLINK(CONCATENATE("#metadata!", ADDRESS(INDEX($Y$2:$Y$1001,MATCH(ROWS($W$2:W566),$W$2:$W$1001,0),0), INDEX($AD$1004:$AU$1004,1,MATCH(COLUMNS($AD$1006:AU1006),$AD$1006:$AU$1006,0)))),"Fix")))</f>
        <v xml:space="preserve"> </v>
      </c>
      <c r="W566">
        <v>565</v>
      </c>
      <c r="X566">
        <v>100566</v>
      </c>
      <c r="Y566">
        <v>566</v>
      </c>
      <c r="Z566" t="b">
        <f t="shared" si="8"/>
        <v>1</v>
      </c>
      <c r="AA566" t="b">
        <f>COUNTBLANK(metadata!B566:S566)=COLUMNS(metadata!B566:S566)</f>
        <v>1</v>
      </c>
      <c r="AB566" t="str">
        <v/>
      </c>
      <c r="AD566" t="b">
        <f ca="1">AND(IF(metadata!B566="",FALSE,TRUE),COUNTIF(metadata!B:B, metadata!B566) = 1,NOT(ISERROR(SUMPRODUCT(SEARCH(MID(metadata!B566,ROW(INDIRECT("1:"&amp;LEN(metadata!B566))), 1),"0123456789abcdefghijklmnopqrstuvwxyzABCDEFGHIJKLMNOPQRSTUVWXYZ.")))))</f>
        <v>0</v>
      </c>
      <c r="AE566" t="b">
        <f>OR(AND(IF(metadata!C566="",FALSE,TRUE),OR(EXACT(metadata!C566,"not applicable"),EXACT(metadata!C566,"missing: not collected"),EXACT(metadata!C566,"missing: not provided"),EXACT(metadata!C566,"missing: restricted access"))),AND(IF(metadata!C566="",FALSE,ISNUMBER(VALUE(metadata!C566))),metadata!C566&gt;0))</f>
        <v>0</v>
      </c>
      <c r="AF566" t="b">
        <f>AND(IF(metadata!D566="",FALSE,TRUE),EXACT(metadata!D566,"missing: not provided"))</f>
        <v>0</v>
      </c>
      <c r="AG566" t="b">
        <f>AND(IF(metadata!E566="",FALSE,TRUE),EXACT(metadata!E566,"Host-associated"))</f>
        <v>0</v>
      </c>
      <c r="AH566" t="b">
        <f>AND(IF(metadata!F566="",FALSE,TRUE),OR(EXACT(metadata!F566,"Animal"),EXACT(metadata!F566,"Fungus"),EXACT(metadata!F566,"Plant")))</f>
        <v>0</v>
      </c>
      <c r="AI566" t="b">
        <f>AND(IF(metadata!G566="",FALSE,TRUE),OR(EXACT(metadata!G566,"Plant secretion"),EXACT(metadata!G566,"Plant rhizosphere"),EXACT(metadata!G566,"Plant surface"),EXACT(metadata!G566,"Plant corpus"),EXACT(metadata!G566,"Fungus surface"),EXACT(metadata!G566,"Fungus corpus"),EXACT(metadata!G566,"Animal surface"),EXACT(metadata!G566,"Animal proximal gut"),EXACT(metadata!G566,"Animal corpus"),EXACT(metadata!G566,"Animal distal gut"),EXACT(metadata!G566,"Animal secretion")))</f>
        <v>0</v>
      </c>
      <c r="AJ566" t="b">
        <f>OR(AND(IF(metadata!H566="",FALSE,TRUE),OR(EXACT(metadata!H566,"missing: not collected"),EXACT(metadata!H566,"missing: not provided"),EXACT(metadata!H566,"missing: restricted access"))),AND(IF(metadata!H566="",FALSE,TRUE),OR(EXACT(metadata!H566,"organism-associated habitat"),EXACT(metadata!H566,"plant-associated habitat"),EXACT(metadata!H566,"animal-associated habitat"),EXACT(metadata!H566,"insecta-associated habitat"),EXACT(metadata!H566,"mammalia-associated habitat"),EXACT(metadata!H566,"human-associated habitat"),EXACT(metadata!H566,"livestock-associated habitat"))))</f>
        <v>0</v>
      </c>
      <c r="AK566" t="b">
        <f>AND(IF(metadata!I566="",FALSE,TRUE),EXACT(metadata!I566,"host-associated"))</f>
        <v>0</v>
      </c>
      <c r="AL566" t="b">
        <f>OR(AND(IF(metadata!J566="",FALSE,TRUE),OR(EXACT(metadata!J566,"not applicable"),EXACT(metadata!J566,"missing: not collected"),EXACT(metadata!J566,"missing: not provided"),EXACT(metadata!J566,"missing: restricted access"))),AND(IF(metadata!J566="",FALSE,ISNUMBER(VALUE(metadata!J566))),metadata!J566&gt;0))</f>
        <v>0</v>
      </c>
      <c r="AM566" t="b">
        <f>AND(IF(metadata!K566="",FALSE,TRUE),EXACT(metadata!K566,"missing: not provided"))</f>
        <v>0</v>
      </c>
      <c r="AN566" t="b">
        <f>IF(metadata!L566="",FALSE,TRUE)</f>
        <v>0</v>
      </c>
      <c r="AO566" t="b">
        <f>IF(metadata!M566="",FALSE,TRUE)</f>
        <v>0</v>
      </c>
      <c r="AP566" t="b">
        <f>OR(AND(IF(metadata!N566="",FALSE,TRUE),OR(EXACT(metadata!N566,"not applicable"),EXACT(metadata!N566,"missing: not collected"),EXACT(metadata!N566,"missing: not provided"))),AND(IF(metadata!N566="",FALSE,IF(ISERROR(INT(metadata!N566)),FALSE,INT(metadata!N566)=metadata!N566)),metadata!N566&gt;0))</f>
        <v>0</v>
      </c>
      <c r="AQ566" t="b">
        <f>AND(IF(metadata!O566="",FALSE,TRUE),EXACT(metadata!O566,"Not applicable"))</f>
        <v>0</v>
      </c>
      <c r="AR566" t="b">
        <f>OR(AND(IF(metadata!P566="",FALSE,TRUE),OR(EXACT(metadata!P566,"not applicable"),EXACT(metadata!P566,"missing: not collected"),EXACT(metadata!P566,"missing: not provided"),EXACT(metadata!P566,"missing: restricted access"))),IF(metadata!P566="",FALSE,IF(ISERROR(INT(metadata!P566)),FALSE,INT(metadata!P566)=metadata!P566)))</f>
        <v>0</v>
      </c>
      <c r="AS566" t="b">
        <f>AND(IF(metadata!Q566="",FALSE,TRUE),EXACT(metadata!Q566,"Not applicable"))</f>
        <v>0</v>
      </c>
      <c r="AT566" t="b">
        <f>OR(AND(IF(metadata!R566="",FALSE,TRUE),OR(EXACT(metadata!R566,"not applicable"),EXACT(metadata!R566,"missing: not collected"),EXACT(metadata!R566,"missing: not provided"),EXACT(metadata!R566,"missing: restricted access"))),AND(IF(metadata!R566="",FALSE,ISNUMBER(VALUE(metadata!R566))),metadata!R566&gt;0))</f>
        <v>0</v>
      </c>
      <c r="AU566" t="b">
        <f>AND(IF(metadata!S566="",FALSE,TRUE),EXACT(metadata!S566,"missing: not provided"))</f>
        <v>0</v>
      </c>
    </row>
    <row r="567" spans="1:47" x14ac:dyDescent="0.2">
      <c r="A567" s="5" t="str">
        <f ca="1">IF(B567=" "," ",HYPERLINK(CONCATENATE("#metadata!",ADDRESS(INDEX($Y$2:$Y$1001,MATCH(ROWS($W$2:W567),$W$2:$W$1001,0),0),1)),INDEX($AB$2:$AB$1001,MATCH(ROWS($W$2:W567),$W$2:$W$1001,0),0)))</f>
        <v xml:space="preserve"> </v>
      </c>
      <c r="B567" s="4" t="str">
        <f ca="1">IF(OR(INDEX($X$2:$X$1001,MATCH(ROWS($W$2:W567),$W$2:$W$1001,0),1)&gt;=100000,INDEX($AD$1005:$AU$1005,1,MATCH(COLUMNS($AD$1006:AD1006),$AD$1006:$AU$1006,0))&gt;=100000), " ",IF(INDEX($AD$2:$AU$1001,MATCH(ROWS($W$2:W567),$W$2:$W$1001,0),MATCH(COLUMNS($AD$1006:AD1006),$AD$1006:$AU$1006,0)), HYPERLINK("#",""), HYPERLINK(CONCATENATE("#metadata!", ADDRESS(INDEX($Y$2:$Y$1001,MATCH(ROWS($W$2:W567),$W$2:$W$1001,0),0), INDEX($AD$1004:$AU$1004,1,MATCH(COLUMNS($AD$1006:AD1006),$AD$1006:$AU$1006,0)))),"Fix")))</f>
        <v xml:space="preserve"> </v>
      </c>
      <c r="C567" s="4" t="str">
        <f ca="1">IF(OR(INDEX($X$2:$X$1001,MATCH(ROWS($W$2:W567),$W$2:$W$1001,0),1)&gt;=100000,INDEX($AD$1005:$AU$1005,1,MATCH(COLUMNS($AD$1006:AE1006),$AD$1006:$AU$1006,0))&gt;=100000), " ",IF(INDEX($AD$2:$AU$1001,MATCH(ROWS($W$2:W567),$W$2:$W$1001,0),MATCH(COLUMNS($AD$1006:AE1006),$AD$1006:$AU$1006,0)), HYPERLINK("#",""), HYPERLINK(CONCATENATE("#metadata!", ADDRESS(INDEX($Y$2:$Y$1001,MATCH(ROWS($W$2:W567),$W$2:$W$1001,0),0), INDEX($AD$1004:$AU$1004,1,MATCH(COLUMNS($AD$1006:AE1006),$AD$1006:$AU$1006,0)))),"Fix")))</f>
        <v xml:space="preserve"> </v>
      </c>
      <c r="D567" s="4" t="str">
        <f ca="1">IF(OR(INDEX($X$2:$X$1001,MATCH(ROWS($W$2:W567),$W$2:$W$1001,0),1)&gt;=100000,INDEX($AD$1005:$AU$1005,1,MATCH(COLUMNS($AD$1006:AF1006),$AD$1006:$AU$1006,0))&gt;=100000), " ",IF(INDEX($AD$2:$AU$1001,MATCH(ROWS($W$2:W567),$W$2:$W$1001,0),MATCH(COLUMNS($AD$1006:AF1006),$AD$1006:$AU$1006,0)), HYPERLINK("#",""), HYPERLINK(CONCATENATE("#metadata!", ADDRESS(INDEX($Y$2:$Y$1001,MATCH(ROWS($W$2:W567),$W$2:$W$1001,0),0), INDEX($AD$1004:$AU$1004,1,MATCH(COLUMNS($AD$1006:AF1006),$AD$1006:$AU$1006,0)))),"Fix")))</f>
        <v xml:space="preserve"> </v>
      </c>
      <c r="E567" s="4" t="str">
        <f ca="1">IF(OR(INDEX($X$2:$X$1001,MATCH(ROWS($W$2:W567),$W$2:$W$1001,0),1)&gt;=100000,INDEX($AD$1005:$AU$1005,1,MATCH(COLUMNS($AD$1006:AG1006),$AD$1006:$AU$1006,0))&gt;=100000), " ",IF(INDEX($AD$2:$AU$1001,MATCH(ROWS($W$2:W567),$W$2:$W$1001,0),MATCH(COLUMNS($AD$1006:AG1006),$AD$1006:$AU$1006,0)), HYPERLINK("#",""), HYPERLINK(CONCATENATE("#metadata!", ADDRESS(INDEX($Y$2:$Y$1001,MATCH(ROWS($W$2:W567),$W$2:$W$1001,0),0), INDEX($AD$1004:$AU$1004,1,MATCH(COLUMNS($AD$1006:AG1006),$AD$1006:$AU$1006,0)))),"Fix")))</f>
        <v xml:space="preserve"> </v>
      </c>
      <c r="F567" s="4" t="str">
        <f ca="1">IF(OR(INDEX($X$2:$X$1001,MATCH(ROWS($W$2:W567),$W$2:$W$1001,0),1)&gt;=100000,INDEX($AD$1005:$AU$1005,1,MATCH(COLUMNS($AD$1006:AH1006),$AD$1006:$AU$1006,0))&gt;=100000), " ",IF(INDEX($AD$2:$AU$1001,MATCH(ROWS($W$2:W567),$W$2:$W$1001,0),MATCH(COLUMNS($AD$1006:AH1006),$AD$1006:$AU$1006,0)), HYPERLINK("#",""), HYPERLINK(CONCATENATE("#metadata!", ADDRESS(INDEX($Y$2:$Y$1001,MATCH(ROWS($W$2:W567),$W$2:$W$1001,0),0), INDEX($AD$1004:$AU$1004,1,MATCH(COLUMNS($AD$1006:AH1006),$AD$1006:$AU$1006,0)))),"Fix")))</f>
        <v xml:space="preserve"> </v>
      </c>
      <c r="G567" s="4" t="str">
        <f ca="1">IF(OR(INDEX($X$2:$X$1001,MATCH(ROWS($W$2:W567),$W$2:$W$1001,0),1)&gt;=100000,INDEX($AD$1005:$AU$1005,1,MATCH(COLUMNS($AD$1006:AI1006),$AD$1006:$AU$1006,0))&gt;=100000), " ",IF(INDEX($AD$2:$AU$1001,MATCH(ROWS($W$2:W567),$W$2:$W$1001,0),MATCH(COLUMNS($AD$1006:AI1006),$AD$1006:$AU$1006,0)), HYPERLINK("#",""), HYPERLINK(CONCATENATE("#metadata!", ADDRESS(INDEX($Y$2:$Y$1001,MATCH(ROWS($W$2:W567),$W$2:$W$1001,0),0), INDEX($AD$1004:$AU$1004,1,MATCH(COLUMNS($AD$1006:AI1006),$AD$1006:$AU$1006,0)))),"Fix")))</f>
        <v xml:space="preserve"> </v>
      </c>
      <c r="H567" s="4" t="str">
        <f ca="1">IF(OR(INDEX($X$2:$X$1001,MATCH(ROWS($W$2:W567),$W$2:$W$1001,0),1)&gt;=100000,INDEX($AD$1005:$AU$1005,1,MATCH(COLUMNS($AD$1006:AJ1006),$AD$1006:$AU$1006,0))&gt;=100000), " ",IF(INDEX($AD$2:$AU$1001,MATCH(ROWS($W$2:W567),$W$2:$W$1001,0),MATCH(COLUMNS($AD$1006:AJ1006),$AD$1006:$AU$1006,0)), HYPERLINK("#",""), HYPERLINK(CONCATENATE("#metadata!", ADDRESS(INDEX($Y$2:$Y$1001,MATCH(ROWS($W$2:W567),$W$2:$W$1001,0),0), INDEX($AD$1004:$AU$1004,1,MATCH(COLUMNS($AD$1006:AJ1006),$AD$1006:$AU$1006,0)))),"Fix")))</f>
        <v xml:space="preserve"> </v>
      </c>
      <c r="I567" s="4" t="str">
        <f ca="1">IF(OR(INDEX($X$2:$X$1001,MATCH(ROWS($W$2:W567),$W$2:$W$1001,0),1)&gt;=100000,INDEX($AD$1005:$AU$1005,1,MATCH(COLUMNS($AD$1006:AK1006),$AD$1006:$AU$1006,0))&gt;=100000), " ",IF(INDEX($AD$2:$AU$1001,MATCH(ROWS($W$2:W567),$W$2:$W$1001,0),MATCH(COLUMNS($AD$1006:AK1006),$AD$1006:$AU$1006,0)), HYPERLINK("#",""), HYPERLINK(CONCATENATE("#metadata!", ADDRESS(INDEX($Y$2:$Y$1001,MATCH(ROWS($W$2:W567),$W$2:$W$1001,0),0), INDEX($AD$1004:$AU$1004,1,MATCH(COLUMNS($AD$1006:AK1006),$AD$1006:$AU$1006,0)))),"Fix")))</f>
        <v xml:space="preserve"> </v>
      </c>
      <c r="J567" s="4" t="str">
        <f ca="1">IF(OR(INDEX($X$2:$X$1001,MATCH(ROWS($W$2:W567),$W$2:$W$1001,0),1)&gt;=100000,INDEX($AD$1005:$AU$1005,1,MATCH(COLUMNS($AD$1006:AL1006),$AD$1006:$AU$1006,0))&gt;=100000), " ",IF(INDEX($AD$2:$AU$1001,MATCH(ROWS($W$2:W567),$W$2:$W$1001,0),MATCH(COLUMNS($AD$1006:AL1006),$AD$1006:$AU$1006,0)), HYPERLINK("#",""), HYPERLINK(CONCATENATE("#metadata!", ADDRESS(INDEX($Y$2:$Y$1001,MATCH(ROWS($W$2:W567),$W$2:$W$1001,0),0), INDEX($AD$1004:$AU$1004,1,MATCH(COLUMNS($AD$1006:AL1006),$AD$1006:$AU$1006,0)))),"Fix")))</f>
        <v xml:space="preserve"> </v>
      </c>
      <c r="K567" s="4" t="str">
        <f ca="1">IF(OR(INDEX($X$2:$X$1001,MATCH(ROWS($W$2:W567),$W$2:$W$1001,0),1)&gt;=100000,INDEX($AD$1005:$AU$1005,1,MATCH(COLUMNS($AD$1006:AM1006),$AD$1006:$AU$1006,0))&gt;=100000), " ",IF(INDEX($AD$2:$AU$1001,MATCH(ROWS($W$2:W567),$W$2:$W$1001,0),MATCH(COLUMNS($AD$1006:AM1006),$AD$1006:$AU$1006,0)), HYPERLINK("#",""), HYPERLINK(CONCATENATE("#metadata!", ADDRESS(INDEX($Y$2:$Y$1001,MATCH(ROWS($W$2:W567),$W$2:$W$1001,0),0), INDEX($AD$1004:$AU$1004,1,MATCH(COLUMNS($AD$1006:AM1006),$AD$1006:$AU$1006,0)))),"Fix")))</f>
        <v xml:space="preserve"> </v>
      </c>
      <c r="L567" s="4" t="str">
        <f ca="1">IF(OR(INDEX($X$2:$X$1001,MATCH(ROWS($W$2:W567),$W$2:$W$1001,0),1)&gt;=100000,INDEX($AD$1005:$AU$1005,1,MATCH(COLUMNS($AD$1006:AN1006),$AD$1006:$AU$1006,0))&gt;=100000), " ",IF(INDEX($AD$2:$AU$1001,MATCH(ROWS($W$2:W567),$W$2:$W$1001,0),MATCH(COLUMNS($AD$1006:AN1006),$AD$1006:$AU$1006,0)), HYPERLINK("#",""), HYPERLINK(CONCATENATE("#metadata!", ADDRESS(INDEX($Y$2:$Y$1001,MATCH(ROWS($W$2:W567),$W$2:$W$1001,0),0), INDEX($AD$1004:$AU$1004,1,MATCH(COLUMNS($AD$1006:AN1006),$AD$1006:$AU$1006,0)))),"Fix")))</f>
        <v xml:space="preserve"> </v>
      </c>
      <c r="M567" s="4" t="str">
        <f ca="1">IF(OR(INDEX($X$2:$X$1001,MATCH(ROWS($W$2:W567),$W$2:$W$1001,0),1)&gt;=100000,INDEX($AD$1005:$AU$1005,1,MATCH(COLUMNS($AD$1006:AO1006),$AD$1006:$AU$1006,0))&gt;=100000), " ",IF(INDEX($AD$2:$AU$1001,MATCH(ROWS($W$2:W567),$W$2:$W$1001,0),MATCH(COLUMNS($AD$1006:AO1006),$AD$1006:$AU$1006,0)), HYPERLINK("#",""), HYPERLINK(CONCATENATE("#metadata!", ADDRESS(INDEX($Y$2:$Y$1001,MATCH(ROWS($W$2:W567),$W$2:$W$1001,0),0), INDEX($AD$1004:$AU$1004,1,MATCH(COLUMNS($AD$1006:AO1006),$AD$1006:$AU$1006,0)))),"Fix")))</f>
        <v xml:space="preserve"> </v>
      </c>
      <c r="N567" s="4" t="str">
        <f ca="1">IF(OR(INDEX($X$2:$X$1001,MATCH(ROWS($W$2:W567),$W$2:$W$1001,0),1)&gt;=100000,INDEX($AD$1005:$AU$1005,1,MATCH(COLUMNS($AD$1006:AP1006),$AD$1006:$AU$1006,0))&gt;=100000), " ",IF(INDEX($AD$2:$AU$1001,MATCH(ROWS($W$2:W567),$W$2:$W$1001,0),MATCH(COLUMNS($AD$1006:AP1006),$AD$1006:$AU$1006,0)), HYPERLINK("#",""), HYPERLINK(CONCATENATE("#metadata!", ADDRESS(INDEX($Y$2:$Y$1001,MATCH(ROWS($W$2:W567),$W$2:$W$1001,0),0), INDEX($AD$1004:$AU$1004,1,MATCH(COLUMNS($AD$1006:AP1006),$AD$1006:$AU$1006,0)))),"Fix")))</f>
        <v xml:space="preserve"> </v>
      </c>
      <c r="O567" s="4" t="str">
        <f ca="1">IF(OR(INDEX($X$2:$X$1001,MATCH(ROWS($W$2:W567),$W$2:$W$1001,0),1)&gt;=100000,INDEX($AD$1005:$AU$1005,1,MATCH(COLUMNS($AD$1006:AQ1006),$AD$1006:$AU$1006,0))&gt;=100000), " ",IF(INDEX($AD$2:$AU$1001,MATCH(ROWS($W$2:W567),$W$2:$W$1001,0),MATCH(COLUMNS($AD$1006:AQ1006),$AD$1006:$AU$1006,0)), HYPERLINK("#",""), HYPERLINK(CONCATENATE("#metadata!", ADDRESS(INDEX($Y$2:$Y$1001,MATCH(ROWS($W$2:W567),$W$2:$W$1001,0),0), INDEX($AD$1004:$AU$1004,1,MATCH(COLUMNS($AD$1006:AQ1006),$AD$1006:$AU$1006,0)))),"Fix")))</f>
        <v xml:space="preserve"> </v>
      </c>
      <c r="P567" s="4" t="str">
        <f ca="1">IF(OR(INDEX($X$2:$X$1001,MATCH(ROWS($W$2:W567),$W$2:$W$1001,0),1)&gt;=100000,INDEX($AD$1005:$AU$1005,1,MATCH(COLUMNS($AD$1006:AR1006),$AD$1006:$AU$1006,0))&gt;=100000), " ",IF(INDEX($AD$2:$AU$1001,MATCH(ROWS($W$2:W567),$W$2:$W$1001,0),MATCH(COLUMNS($AD$1006:AR1006),$AD$1006:$AU$1006,0)), HYPERLINK("#",""), HYPERLINK(CONCATENATE("#metadata!", ADDRESS(INDEX($Y$2:$Y$1001,MATCH(ROWS($W$2:W567),$W$2:$W$1001,0),0), INDEX($AD$1004:$AU$1004,1,MATCH(COLUMNS($AD$1006:AR1006),$AD$1006:$AU$1006,0)))),"Fix")))</f>
        <v xml:space="preserve"> </v>
      </c>
      <c r="Q567" s="4" t="str">
        <f ca="1">IF(OR(INDEX($X$2:$X$1001,MATCH(ROWS($W$2:W567),$W$2:$W$1001,0),1)&gt;=100000,INDEX($AD$1005:$AU$1005,1,MATCH(COLUMNS($AD$1006:AS1006),$AD$1006:$AU$1006,0))&gt;=100000), " ",IF(INDEX($AD$2:$AU$1001,MATCH(ROWS($W$2:W567),$W$2:$W$1001,0),MATCH(COLUMNS($AD$1006:AS1006),$AD$1006:$AU$1006,0)), HYPERLINK("#",""), HYPERLINK(CONCATENATE("#metadata!", ADDRESS(INDEX($Y$2:$Y$1001,MATCH(ROWS($W$2:W567),$W$2:$W$1001,0),0), INDEX($AD$1004:$AU$1004,1,MATCH(COLUMNS($AD$1006:AS1006),$AD$1006:$AU$1006,0)))),"Fix")))</f>
        <v xml:space="preserve"> </v>
      </c>
      <c r="R567" s="4" t="str">
        <f ca="1">IF(OR(INDEX($X$2:$X$1001,MATCH(ROWS($W$2:W567),$W$2:$W$1001,0),1)&gt;=100000,INDEX($AD$1005:$AU$1005,1,MATCH(COLUMNS($AD$1006:AT1006),$AD$1006:$AU$1006,0))&gt;=100000), " ",IF(INDEX($AD$2:$AU$1001,MATCH(ROWS($W$2:W567),$W$2:$W$1001,0),MATCH(COLUMNS($AD$1006:AT1006),$AD$1006:$AU$1006,0)), HYPERLINK("#",""), HYPERLINK(CONCATENATE("#metadata!", ADDRESS(INDEX($Y$2:$Y$1001,MATCH(ROWS($W$2:W567),$W$2:$W$1001,0),0), INDEX($AD$1004:$AU$1004,1,MATCH(COLUMNS($AD$1006:AT1006),$AD$1006:$AU$1006,0)))),"Fix")))</f>
        <v xml:space="preserve"> </v>
      </c>
      <c r="S567" s="4" t="str">
        <f ca="1">IF(OR(INDEX($X$2:$X$1001,MATCH(ROWS($W$2:W567),$W$2:$W$1001,0),1)&gt;=100000,INDEX($AD$1005:$AU$1005,1,MATCH(COLUMNS($AD$1006:AU1006),$AD$1006:$AU$1006,0))&gt;=100000), " ",IF(INDEX($AD$2:$AU$1001,MATCH(ROWS($W$2:W567),$W$2:$W$1001,0),MATCH(COLUMNS($AD$1006:AU1006),$AD$1006:$AU$1006,0)), HYPERLINK("#",""), HYPERLINK(CONCATENATE("#metadata!", ADDRESS(INDEX($Y$2:$Y$1001,MATCH(ROWS($W$2:W567),$W$2:$W$1001,0),0), INDEX($AD$1004:$AU$1004,1,MATCH(COLUMNS($AD$1006:AU1006),$AD$1006:$AU$1006,0)))),"Fix")))</f>
        <v xml:space="preserve"> </v>
      </c>
      <c r="W567">
        <v>566</v>
      </c>
      <c r="X567">
        <v>100567</v>
      </c>
      <c r="Y567">
        <v>567</v>
      </c>
      <c r="Z567" t="b">
        <f t="shared" si="8"/>
        <v>1</v>
      </c>
      <c r="AA567" t="b">
        <f>COUNTBLANK(metadata!B567:S567)=COLUMNS(metadata!B567:S567)</f>
        <v>1</v>
      </c>
      <c r="AB567" t="str">
        <v/>
      </c>
      <c r="AD567" t="b">
        <f ca="1">AND(IF(metadata!B567="",FALSE,TRUE),COUNTIF(metadata!B:B, metadata!B567) = 1,NOT(ISERROR(SUMPRODUCT(SEARCH(MID(metadata!B567,ROW(INDIRECT("1:"&amp;LEN(metadata!B567))), 1),"0123456789abcdefghijklmnopqrstuvwxyzABCDEFGHIJKLMNOPQRSTUVWXYZ.")))))</f>
        <v>0</v>
      </c>
      <c r="AE567" t="b">
        <f>OR(AND(IF(metadata!C567="",FALSE,TRUE),OR(EXACT(metadata!C567,"not applicable"),EXACT(metadata!C567,"missing: not collected"),EXACT(metadata!C567,"missing: not provided"),EXACT(metadata!C567,"missing: restricted access"))),AND(IF(metadata!C567="",FALSE,ISNUMBER(VALUE(metadata!C567))),metadata!C567&gt;0))</f>
        <v>0</v>
      </c>
      <c r="AF567" t="b">
        <f>AND(IF(metadata!D567="",FALSE,TRUE),EXACT(metadata!D567,"missing: not provided"))</f>
        <v>0</v>
      </c>
      <c r="AG567" t="b">
        <f>AND(IF(metadata!E567="",FALSE,TRUE),EXACT(metadata!E567,"Host-associated"))</f>
        <v>0</v>
      </c>
      <c r="AH567" t="b">
        <f>AND(IF(metadata!F567="",FALSE,TRUE),OR(EXACT(metadata!F567,"Animal"),EXACT(metadata!F567,"Fungus"),EXACT(metadata!F567,"Plant")))</f>
        <v>0</v>
      </c>
      <c r="AI567" t="b">
        <f>AND(IF(metadata!G567="",FALSE,TRUE),OR(EXACT(metadata!G567,"Plant secretion"),EXACT(metadata!G567,"Plant rhizosphere"),EXACT(metadata!G567,"Plant surface"),EXACT(metadata!G567,"Plant corpus"),EXACT(metadata!G567,"Fungus surface"),EXACT(metadata!G567,"Fungus corpus"),EXACT(metadata!G567,"Animal surface"),EXACT(metadata!G567,"Animal proximal gut"),EXACT(metadata!G567,"Animal corpus"),EXACT(metadata!G567,"Animal distal gut"),EXACT(metadata!G567,"Animal secretion")))</f>
        <v>0</v>
      </c>
      <c r="AJ567" t="b">
        <f>OR(AND(IF(metadata!H567="",FALSE,TRUE),OR(EXACT(metadata!H567,"missing: not collected"),EXACT(metadata!H567,"missing: not provided"),EXACT(metadata!H567,"missing: restricted access"))),AND(IF(metadata!H567="",FALSE,TRUE),OR(EXACT(metadata!H567,"organism-associated habitat"),EXACT(metadata!H567,"plant-associated habitat"),EXACT(metadata!H567,"animal-associated habitat"),EXACT(metadata!H567,"insecta-associated habitat"),EXACT(metadata!H567,"mammalia-associated habitat"),EXACT(metadata!H567,"human-associated habitat"),EXACT(metadata!H567,"livestock-associated habitat"))))</f>
        <v>0</v>
      </c>
      <c r="AK567" t="b">
        <f>AND(IF(metadata!I567="",FALSE,TRUE),EXACT(metadata!I567,"host-associated"))</f>
        <v>0</v>
      </c>
      <c r="AL567" t="b">
        <f>OR(AND(IF(metadata!J567="",FALSE,TRUE),OR(EXACT(metadata!J567,"not applicable"),EXACT(metadata!J567,"missing: not collected"),EXACT(metadata!J567,"missing: not provided"),EXACT(metadata!J567,"missing: restricted access"))),AND(IF(metadata!J567="",FALSE,ISNUMBER(VALUE(metadata!J567))),metadata!J567&gt;0))</f>
        <v>0</v>
      </c>
      <c r="AM567" t="b">
        <f>AND(IF(metadata!K567="",FALSE,TRUE),EXACT(metadata!K567,"missing: not provided"))</f>
        <v>0</v>
      </c>
      <c r="AN567" t="b">
        <f>IF(metadata!L567="",FALSE,TRUE)</f>
        <v>0</v>
      </c>
      <c r="AO567" t="b">
        <f>IF(metadata!M567="",FALSE,TRUE)</f>
        <v>0</v>
      </c>
      <c r="AP567" t="b">
        <f>OR(AND(IF(metadata!N567="",FALSE,TRUE),OR(EXACT(metadata!N567,"not applicable"),EXACT(metadata!N567,"missing: not collected"),EXACT(metadata!N567,"missing: not provided"))),AND(IF(metadata!N567="",FALSE,IF(ISERROR(INT(metadata!N567)),FALSE,INT(metadata!N567)=metadata!N567)),metadata!N567&gt;0))</f>
        <v>0</v>
      </c>
      <c r="AQ567" t="b">
        <f>AND(IF(metadata!O567="",FALSE,TRUE),EXACT(metadata!O567,"Not applicable"))</f>
        <v>0</v>
      </c>
      <c r="AR567" t="b">
        <f>OR(AND(IF(metadata!P567="",FALSE,TRUE),OR(EXACT(metadata!P567,"not applicable"),EXACT(metadata!P567,"missing: not collected"),EXACT(metadata!P567,"missing: not provided"),EXACT(metadata!P567,"missing: restricted access"))),IF(metadata!P567="",FALSE,IF(ISERROR(INT(metadata!P567)),FALSE,INT(metadata!P567)=metadata!P567)))</f>
        <v>0</v>
      </c>
      <c r="AS567" t="b">
        <f>AND(IF(metadata!Q567="",FALSE,TRUE),EXACT(metadata!Q567,"Not applicable"))</f>
        <v>0</v>
      </c>
      <c r="AT567" t="b">
        <f>OR(AND(IF(metadata!R567="",FALSE,TRUE),OR(EXACT(metadata!R567,"not applicable"),EXACT(metadata!R567,"missing: not collected"),EXACT(metadata!R567,"missing: not provided"),EXACT(metadata!R567,"missing: restricted access"))),AND(IF(metadata!R567="",FALSE,ISNUMBER(VALUE(metadata!R567))),metadata!R567&gt;0))</f>
        <v>0</v>
      </c>
      <c r="AU567" t="b">
        <f>AND(IF(metadata!S567="",FALSE,TRUE),EXACT(metadata!S567,"missing: not provided"))</f>
        <v>0</v>
      </c>
    </row>
    <row r="568" spans="1:47" x14ac:dyDescent="0.2">
      <c r="A568" s="5" t="str">
        <f ca="1">IF(B568=" "," ",HYPERLINK(CONCATENATE("#metadata!",ADDRESS(INDEX($Y$2:$Y$1001,MATCH(ROWS($W$2:W568),$W$2:$W$1001,0),0),1)),INDEX($AB$2:$AB$1001,MATCH(ROWS($W$2:W568),$W$2:$W$1001,0),0)))</f>
        <v xml:space="preserve"> </v>
      </c>
      <c r="B568" s="4" t="str">
        <f ca="1">IF(OR(INDEX($X$2:$X$1001,MATCH(ROWS($W$2:W568),$W$2:$W$1001,0),1)&gt;=100000,INDEX($AD$1005:$AU$1005,1,MATCH(COLUMNS($AD$1006:AD1006),$AD$1006:$AU$1006,0))&gt;=100000), " ",IF(INDEX($AD$2:$AU$1001,MATCH(ROWS($W$2:W568),$W$2:$W$1001,0),MATCH(COLUMNS($AD$1006:AD1006),$AD$1006:$AU$1006,0)), HYPERLINK("#",""), HYPERLINK(CONCATENATE("#metadata!", ADDRESS(INDEX($Y$2:$Y$1001,MATCH(ROWS($W$2:W568),$W$2:$W$1001,0),0), INDEX($AD$1004:$AU$1004,1,MATCH(COLUMNS($AD$1006:AD1006),$AD$1006:$AU$1006,0)))),"Fix")))</f>
        <v xml:space="preserve"> </v>
      </c>
      <c r="C568" s="4" t="str">
        <f ca="1">IF(OR(INDEX($X$2:$X$1001,MATCH(ROWS($W$2:W568),$W$2:$W$1001,0),1)&gt;=100000,INDEX($AD$1005:$AU$1005,1,MATCH(COLUMNS($AD$1006:AE1006),$AD$1006:$AU$1006,0))&gt;=100000), " ",IF(INDEX($AD$2:$AU$1001,MATCH(ROWS($W$2:W568),$W$2:$W$1001,0),MATCH(COLUMNS($AD$1006:AE1006),$AD$1006:$AU$1006,0)), HYPERLINK("#",""), HYPERLINK(CONCATENATE("#metadata!", ADDRESS(INDEX($Y$2:$Y$1001,MATCH(ROWS($W$2:W568),$W$2:$W$1001,0),0), INDEX($AD$1004:$AU$1004,1,MATCH(COLUMNS($AD$1006:AE1006),$AD$1006:$AU$1006,0)))),"Fix")))</f>
        <v xml:space="preserve"> </v>
      </c>
      <c r="D568" s="4" t="str">
        <f ca="1">IF(OR(INDEX($X$2:$X$1001,MATCH(ROWS($W$2:W568),$W$2:$W$1001,0),1)&gt;=100000,INDEX($AD$1005:$AU$1005,1,MATCH(COLUMNS($AD$1006:AF1006),$AD$1006:$AU$1006,0))&gt;=100000), " ",IF(INDEX($AD$2:$AU$1001,MATCH(ROWS($W$2:W568),$W$2:$W$1001,0),MATCH(COLUMNS($AD$1006:AF1006),$AD$1006:$AU$1006,0)), HYPERLINK("#",""), HYPERLINK(CONCATENATE("#metadata!", ADDRESS(INDEX($Y$2:$Y$1001,MATCH(ROWS($W$2:W568),$W$2:$W$1001,0),0), INDEX($AD$1004:$AU$1004,1,MATCH(COLUMNS($AD$1006:AF1006),$AD$1006:$AU$1006,0)))),"Fix")))</f>
        <v xml:space="preserve"> </v>
      </c>
      <c r="E568" s="4" t="str">
        <f ca="1">IF(OR(INDEX($X$2:$X$1001,MATCH(ROWS($W$2:W568),$W$2:$W$1001,0),1)&gt;=100000,INDEX($AD$1005:$AU$1005,1,MATCH(COLUMNS($AD$1006:AG1006),$AD$1006:$AU$1006,0))&gt;=100000), " ",IF(INDEX($AD$2:$AU$1001,MATCH(ROWS($W$2:W568),$W$2:$W$1001,0),MATCH(COLUMNS($AD$1006:AG1006),$AD$1006:$AU$1006,0)), HYPERLINK("#",""), HYPERLINK(CONCATENATE("#metadata!", ADDRESS(INDEX($Y$2:$Y$1001,MATCH(ROWS($W$2:W568),$W$2:$W$1001,0),0), INDEX($AD$1004:$AU$1004,1,MATCH(COLUMNS($AD$1006:AG1006),$AD$1006:$AU$1006,0)))),"Fix")))</f>
        <v xml:space="preserve"> </v>
      </c>
      <c r="F568" s="4" t="str">
        <f ca="1">IF(OR(INDEX($X$2:$X$1001,MATCH(ROWS($W$2:W568),$W$2:$W$1001,0),1)&gt;=100000,INDEX($AD$1005:$AU$1005,1,MATCH(COLUMNS($AD$1006:AH1006),$AD$1006:$AU$1006,0))&gt;=100000), " ",IF(INDEX($AD$2:$AU$1001,MATCH(ROWS($W$2:W568),$W$2:$W$1001,0),MATCH(COLUMNS($AD$1006:AH1006),$AD$1006:$AU$1006,0)), HYPERLINK("#",""), HYPERLINK(CONCATENATE("#metadata!", ADDRESS(INDEX($Y$2:$Y$1001,MATCH(ROWS($W$2:W568),$W$2:$W$1001,0),0), INDEX($AD$1004:$AU$1004,1,MATCH(COLUMNS($AD$1006:AH1006),$AD$1006:$AU$1006,0)))),"Fix")))</f>
        <v xml:space="preserve"> </v>
      </c>
      <c r="G568" s="4" t="str">
        <f ca="1">IF(OR(INDEX($X$2:$X$1001,MATCH(ROWS($W$2:W568),$W$2:$W$1001,0),1)&gt;=100000,INDEX($AD$1005:$AU$1005,1,MATCH(COLUMNS($AD$1006:AI1006),$AD$1006:$AU$1006,0))&gt;=100000), " ",IF(INDEX($AD$2:$AU$1001,MATCH(ROWS($W$2:W568),$W$2:$W$1001,0),MATCH(COLUMNS($AD$1006:AI1006),$AD$1006:$AU$1006,0)), HYPERLINK("#",""), HYPERLINK(CONCATENATE("#metadata!", ADDRESS(INDEX($Y$2:$Y$1001,MATCH(ROWS($W$2:W568),$W$2:$W$1001,0),0), INDEX($AD$1004:$AU$1004,1,MATCH(COLUMNS($AD$1006:AI1006),$AD$1006:$AU$1006,0)))),"Fix")))</f>
        <v xml:space="preserve"> </v>
      </c>
      <c r="H568" s="4" t="str">
        <f ca="1">IF(OR(INDEX($X$2:$X$1001,MATCH(ROWS($W$2:W568),$W$2:$W$1001,0),1)&gt;=100000,INDEX($AD$1005:$AU$1005,1,MATCH(COLUMNS($AD$1006:AJ1006),$AD$1006:$AU$1006,0))&gt;=100000), " ",IF(INDEX($AD$2:$AU$1001,MATCH(ROWS($W$2:W568),$W$2:$W$1001,0),MATCH(COLUMNS($AD$1006:AJ1006),$AD$1006:$AU$1006,0)), HYPERLINK("#",""), HYPERLINK(CONCATENATE("#metadata!", ADDRESS(INDEX($Y$2:$Y$1001,MATCH(ROWS($W$2:W568),$W$2:$W$1001,0),0), INDEX($AD$1004:$AU$1004,1,MATCH(COLUMNS($AD$1006:AJ1006),$AD$1006:$AU$1006,0)))),"Fix")))</f>
        <v xml:space="preserve"> </v>
      </c>
      <c r="I568" s="4" t="str">
        <f ca="1">IF(OR(INDEX($X$2:$X$1001,MATCH(ROWS($W$2:W568),$W$2:$W$1001,0),1)&gt;=100000,INDEX($AD$1005:$AU$1005,1,MATCH(COLUMNS($AD$1006:AK1006),$AD$1006:$AU$1006,0))&gt;=100000), " ",IF(INDEX($AD$2:$AU$1001,MATCH(ROWS($W$2:W568),$W$2:$W$1001,0),MATCH(COLUMNS($AD$1006:AK1006),$AD$1006:$AU$1006,0)), HYPERLINK("#",""), HYPERLINK(CONCATENATE("#metadata!", ADDRESS(INDEX($Y$2:$Y$1001,MATCH(ROWS($W$2:W568),$W$2:$W$1001,0),0), INDEX($AD$1004:$AU$1004,1,MATCH(COLUMNS($AD$1006:AK1006),$AD$1006:$AU$1006,0)))),"Fix")))</f>
        <v xml:space="preserve"> </v>
      </c>
      <c r="J568" s="4" t="str">
        <f ca="1">IF(OR(INDEX($X$2:$X$1001,MATCH(ROWS($W$2:W568),$W$2:$W$1001,0),1)&gt;=100000,INDEX($AD$1005:$AU$1005,1,MATCH(COLUMNS($AD$1006:AL1006),$AD$1006:$AU$1006,0))&gt;=100000), " ",IF(INDEX($AD$2:$AU$1001,MATCH(ROWS($W$2:W568),$W$2:$W$1001,0),MATCH(COLUMNS($AD$1006:AL1006),$AD$1006:$AU$1006,0)), HYPERLINK("#",""), HYPERLINK(CONCATENATE("#metadata!", ADDRESS(INDEX($Y$2:$Y$1001,MATCH(ROWS($W$2:W568),$W$2:$W$1001,0),0), INDEX($AD$1004:$AU$1004,1,MATCH(COLUMNS($AD$1006:AL1006),$AD$1006:$AU$1006,0)))),"Fix")))</f>
        <v xml:space="preserve"> </v>
      </c>
      <c r="K568" s="4" t="str">
        <f ca="1">IF(OR(INDEX($X$2:$X$1001,MATCH(ROWS($W$2:W568),$W$2:$W$1001,0),1)&gt;=100000,INDEX($AD$1005:$AU$1005,1,MATCH(COLUMNS($AD$1006:AM1006),$AD$1006:$AU$1006,0))&gt;=100000), " ",IF(INDEX($AD$2:$AU$1001,MATCH(ROWS($W$2:W568),$W$2:$W$1001,0),MATCH(COLUMNS($AD$1006:AM1006),$AD$1006:$AU$1006,0)), HYPERLINK("#",""), HYPERLINK(CONCATENATE("#metadata!", ADDRESS(INDEX($Y$2:$Y$1001,MATCH(ROWS($W$2:W568),$W$2:$W$1001,0),0), INDEX($AD$1004:$AU$1004,1,MATCH(COLUMNS($AD$1006:AM1006),$AD$1006:$AU$1006,0)))),"Fix")))</f>
        <v xml:space="preserve"> </v>
      </c>
      <c r="L568" s="4" t="str">
        <f ca="1">IF(OR(INDEX($X$2:$X$1001,MATCH(ROWS($W$2:W568),$W$2:$W$1001,0),1)&gt;=100000,INDEX($AD$1005:$AU$1005,1,MATCH(COLUMNS($AD$1006:AN1006),$AD$1006:$AU$1006,0))&gt;=100000), " ",IF(INDEX($AD$2:$AU$1001,MATCH(ROWS($W$2:W568),$W$2:$W$1001,0),MATCH(COLUMNS($AD$1006:AN1006),$AD$1006:$AU$1006,0)), HYPERLINK("#",""), HYPERLINK(CONCATENATE("#metadata!", ADDRESS(INDEX($Y$2:$Y$1001,MATCH(ROWS($W$2:W568),$W$2:$W$1001,0),0), INDEX($AD$1004:$AU$1004,1,MATCH(COLUMNS($AD$1006:AN1006),$AD$1006:$AU$1006,0)))),"Fix")))</f>
        <v xml:space="preserve"> </v>
      </c>
      <c r="M568" s="4" t="str">
        <f ca="1">IF(OR(INDEX($X$2:$X$1001,MATCH(ROWS($W$2:W568),$W$2:$W$1001,0),1)&gt;=100000,INDEX($AD$1005:$AU$1005,1,MATCH(COLUMNS($AD$1006:AO1006),$AD$1006:$AU$1006,0))&gt;=100000), " ",IF(INDEX($AD$2:$AU$1001,MATCH(ROWS($W$2:W568),$W$2:$W$1001,0),MATCH(COLUMNS($AD$1006:AO1006),$AD$1006:$AU$1006,0)), HYPERLINK("#",""), HYPERLINK(CONCATENATE("#metadata!", ADDRESS(INDEX($Y$2:$Y$1001,MATCH(ROWS($W$2:W568),$W$2:$W$1001,0),0), INDEX($AD$1004:$AU$1004,1,MATCH(COLUMNS($AD$1006:AO1006),$AD$1006:$AU$1006,0)))),"Fix")))</f>
        <v xml:space="preserve"> </v>
      </c>
      <c r="N568" s="4" t="str">
        <f ca="1">IF(OR(INDEX($X$2:$X$1001,MATCH(ROWS($W$2:W568),$W$2:$W$1001,0),1)&gt;=100000,INDEX($AD$1005:$AU$1005,1,MATCH(COLUMNS($AD$1006:AP1006),$AD$1006:$AU$1006,0))&gt;=100000), " ",IF(INDEX($AD$2:$AU$1001,MATCH(ROWS($W$2:W568),$W$2:$W$1001,0),MATCH(COLUMNS($AD$1006:AP1006),$AD$1006:$AU$1006,0)), HYPERLINK("#",""), HYPERLINK(CONCATENATE("#metadata!", ADDRESS(INDEX($Y$2:$Y$1001,MATCH(ROWS($W$2:W568),$W$2:$W$1001,0),0), INDEX($AD$1004:$AU$1004,1,MATCH(COLUMNS($AD$1006:AP1006),$AD$1006:$AU$1006,0)))),"Fix")))</f>
        <v xml:space="preserve"> </v>
      </c>
      <c r="O568" s="4" t="str">
        <f ca="1">IF(OR(INDEX($X$2:$X$1001,MATCH(ROWS($W$2:W568),$W$2:$W$1001,0),1)&gt;=100000,INDEX($AD$1005:$AU$1005,1,MATCH(COLUMNS($AD$1006:AQ1006),$AD$1006:$AU$1006,0))&gt;=100000), " ",IF(INDEX($AD$2:$AU$1001,MATCH(ROWS($W$2:W568),$W$2:$W$1001,0),MATCH(COLUMNS($AD$1006:AQ1006),$AD$1006:$AU$1006,0)), HYPERLINK("#",""), HYPERLINK(CONCATENATE("#metadata!", ADDRESS(INDEX($Y$2:$Y$1001,MATCH(ROWS($W$2:W568),$W$2:$W$1001,0),0), INDEX($AD$1004:$AU$1004,1,MATCH(COLUMNS($AD$1006:AQ1006),$AD$1006:$AU$1006,0)))),"Fix")))</f>
        <v xml:space="preserve"> </v>
      </c>
      <c r="P568" s="4" t="str">
        <f ca="1">IF(OR(INDEX($X$2:$X$1001,MATCH(ROWS($W$2:W568),$W$2:$W$1001,0),1)&gt;=100000,INDEX($AD$1005:$AU$1005,1,MATCH(COLUMNS($AD$1006:AR1006),$AD$1006:$AU$1006,0))&gt;=100000), " ",IF(INDEX($AD$2:$AU$1001,MATCH(ROWS($W$2:W568),$W$2:$W$1001,0),MATCH(COLUMNS($AD$1006:AR1006),$AD$1006:$AU$1006,0)), HYPERLINK("#",""), HYPERLINK(CONCATENATE("#metadata!", ADDRESS(INDEX($Y$2:$Y$1001,MATCH(ROWS($W$2:W568),$W$2:$W$1001,0),0), INDEX($AD$1004:$AU$1004,1,MATCH(COLUMNS($AD$1006:AR1006),$AD$1006:$AU$1006,0)))),"Fix")))</f>
        <v xml:space="preserve"> </v>
      </c>
      <c r="Q568" s="4" t="str">
        <f ca="1">IF(OR(INDEX($X$2:$X$1001,MATCH(ROWS($W$2:W568),$W$2:$W$1001,0),1)&gt;=100000,INDEX($AD$1005:$AU$1005,1,MATCH(COLUMNS($AD$1006:AS1006),$AD$1006:$AU$1006,0))&gt;=100000), " ",IF(INDEX($AD$2:$AU$1001,MATCH(ROWS($W$2:W568),$W$2:$W$1001,0),MATCH(COLUMNS($AD$1006:AS1006),$AD$1006:$AU$1006,0)), HYPERLINK("#",""), HYPERLINK(CONCATENATE("#metadata!", ADDRESS(INDEX($Y$2:$Y$1001,MATCH(ROWS($W$2:W568),$W$2:$W$1001,0),0), INDEX($AD$1004:$AU$1004,1,MATCH(COLUMNS($AD$1006:AS1006),$AD$1006:$AU$1006,0)))),"Fix")))</f>
        <v xml:space="preserve"> </v>
      </c>
      <c r="R568" s="4" t="str">
        <f ca="1">IF(OR(INDEX($X$2:$X$1001,MATCH(ROWS($W$2:W568),$W$2:$W$1001,0),1)&gt;=100000,INDEX($AD$1005:$AU$1005,1,MATCH(COLUMNS($AD$1006:AT1006),$AD$1006:$AU$1006,0))&gt;=100000), " ",IF(INDEX($AD$2:$AU$1001,MATCH(ROWS($W$2:W568),$W$2:$W$1001,0),MATCH(COLUMNS($AD$1006:AT1006),$AD$1006:$AU$1006,0)), HYPERLINK("#",""), HYPERLINK(CONCATENATE("#metadata!", ADDRESS(INDEX($Y$2:$Y$1001,MATCH(ROWS($W$2:W568),$W$2:$W$1001,0),0), INDEX($AD$1004:$AU$1004,1,MATCH(COLUMNS($AD$1006:AT1006),$AD$1006:$AU$1006,0)))),"Fix")))</f>
        <v xml:space="preserve"> </v>
      </c>
      <c r="S568" s="4" t="str">
        <f ca="1">IF(OR(INDEX($X$2:$X$1001,MATCH(ROWS($W$2:W568),$W$2:$W$1001,0),1)&gt;=100000,INDEX($AD$1005:$AU$1005,1,MATCH(COLUMNS($AD$1006:AU1006),$AD$1006:$AU$1006,0))&gt;=100000), " ",IF(INDEX($AD$2:$AU$1001,MATCH(ROWS($W$2:W568),$W$2:$W$1001,0),MATCH(COLUMNS($AD$1006:AU1006),$AD$1006:$AU$1006,0)), HYPERLINK("#",""), HYPERLINK(CONCATENATE("#metadata!", ADDRESS(INDEX($Y$2:$Y$1001,MATCH(ROWS($W$2:W568),$W$2:$W$1001,0),0), INDEX($AD$1004:$AU$1004,1,MATCH(COLUMNS($AD$1006:AU1006),$AD$1006:$AU$1006,0)))),"Fix")))</f>
        <v xml:space="preserve"> </v>
      </c>
      <c r="W568">
        <v>567</v>
      </c>
      <c r="X568">
        <v>100568</v>
      </c>
      <c r="Y568">
        <v>568</v>
      </c>
      <c r="Z568" t="b">
        <f t="shared" si="8"/>
        <v>1</v>
      </c>
      <c r="AA568" t="b">
        <f>COUNTBLANK(metadata!B568:S568)=COLUMNS(metadata!B568:S568)</f>
        <v>1</v>
      </c>
      <c r="AB568" t="str">
        <v/>
      </c>
      <c r="AD568" t="b">
        <f ca="1">AND(IF(metadata!B568="",FALSE,TRUE),COUNTIF(metadata!B:B, metadata!B568) = 1,NOT(ISERROR(SUMPRODUCT(SEARCH(MID(metadata!B568,ROW(INDIRECT("1:"&amp;LEN(metadata!B568))), 1),"0123456789abcdefghijklmnopqrstuvwxyzABCDEFGHIJKLMNOPQRSTUVWXYZ.")))))</f>
        <v>0</v>
      </c>
      <c r="AE568" t="b">
        <f>OR(AND(IF(metadata!C568="",FALSE,TRUE),OR(EXACT(metadata!C568,"not applicable"),EXACT(metadata!C568,"missing: not collected"),EXACT(metadata!C568,"missing: not provided"),EXACT(metadata!C568,"missing: restricted access"))),AND(IF(metadata!C568="",FALSE,ISNUMBER(VALUE(metadata!C568))),metadata!C568&gt;0))</f>
        <v>0</v>
      </c>
      <c r="AF568" t="b">
        <f>AND(IF(metadata!D568="",FALSE,TRUE),EXACT(metadata!D568,"missing: not provided"))</f>
        <v>0</v>
      </c>
      <c r="AG568" t="b">
        <f>AND(IF(metadata!E568="",FALSE,TRUE),EXACT(metadata!E568,"Host-associated"))</f>
        <v>0</v>
      </c>
      <c r="AH568" t="b">
        <f>AND(IF(metadata!F568="",FALSE,TRUE),OR(EXACT(metadata!F568,"Animal"),EXACT(metadata!F568,"Fungus"),EXACT(metadata!F568,"Plant")))</f>
        <v>0</v>
      </c>
      <c r="AI568" t="b">
        <f>AND(IF(metadata!G568="",FALSE,TRUE),OR(EXACT(metadata!G568,"Plant secretion"),EXACT(metadata!G568,"Plant rhizosphere"),EXACT(metadata!G568,"Plant surface"),EXACT(metadata!G568,"Plant corpus"),EXACT(metadata!G568,"Fungus surface"),EXACT(metadata!G568,"Fungus corpus"),EXACT(metadata!G568,"Animal surface"),EXACT(metadata!G568,"Animal proximal gut"),EXACT(metadata!G568,"Animal corpus"),EXACT(metadata!G568,"Animal distal gut"),EXACT(metadata!G568,"Animal secretion")))</f>
        <v>0</v>
      </c>
      <c r="AJ568" t="b">
        <f>OR(AND(IF(metadata!H568="",FALSE,TRUE),OR(EXACT(metadata!H568,"missing: not collected"),EXACT(metadata!H568,"missing: not provided"),EXACT(metadata!H568,"missing: restricted access"))),AND(IF(metadata!H568="",FALSE,TRUE),OR(EXACT(metadata!H568,"organism-associated habitat"),EXACT(metadata!H568,"plant-associated habitat"),EXACT(metadata!H568,"animal-associated habitat"),EXACT(metadata!H568,"insecta-associated habitat"),EXACT(metadata!H568,"mammalia-associated habitat"),EXACT(metadata!H568,"human-associated habitat"),EXACT(metadata!H568,"livestock-associated habitat"))))</f>
        <v>0</v>
      </c>
      <c r="AK568" t="b">
        <f>AND(IF(metadata!I568="",FALSE,TRUE),EXACT(metadata!I568,"host-associated"))</f>
        <v>0</v>
      </c>
      <c r="AL568" t="b">
        <f>OR(AND(IF(metadata!J568="",FALSE,TRUE),OR(EXACT(metadata!J568,"not applicable"),EXACT(metadata!J568,"missing: not collected"),EXACT(metadata!J568,"missing: not provided"),EXACT(metadata!J568,"missing: restricted access"))),AND(IF(metadata!J568="",FALSE,ISNUMBER(VALUE(metadata!J568))),metadata!J568&gt;0))</f>
        <v>0</v>
      </c>
      <c r="AM568" t="b">
        <f>AND(IF(metadata!K568="",FALSE,TRUE),EXACT(metadata!K568,"missing: not provided"))</f>
        <v>0</v>
      </c>
      <c r="AN568" t="b">
        <f>IF(metadata!L568="",FALSE,TRUE)</f>
        <v>0</v>
      </c>
      <c r="AO568" t="b">
        <f>IF(metadata!M568="",FALSE,TRUE)</f>
        <v>0</v>
      </c>
      <c r="AP568" t="b">
        <f>OR(AND(IF(metadata!N568="",FALSE,TRUE),OR(EXACT(metadata!N568,"not applicable"),EXACT(metadata!N568,"missing: not collected"),EXACT(metadata!N568,"missing: not provided"))),AND(IF(metadata!N568="",FALSE,IF(ISERROR(INT(metadata!N568)),FALSE,INT(metadata!N568)=metadata!N568)),metadata!N568&gt;0))</f>
        <v>0</v>
      </c>
      <c r="AQ568" t="b">
        <f>AND(IF(metadata!O568="",FALSE,TRUE),EXACT(metadata!O568,"Not applicable"))</f>
        <v>0</v>
      </c>
      <c r="AR568" t="b">
        <f>OR(AND(IF(metadata!P568="",FALSE,TRUE),OR(EXACT(metadata!P568,"not applicable"),EXACT(metadata!P568,"missing: not collected"),EXACT(metadata!P568,"missing: not provided"),EXACT(metadata!P568,"missing: restricted access"))),IF(metadata!P568="",FALSE,IF(ISERROR(INT(metadata!P568)),FALSE,INT(metadata!P568)=metadata!P568)))</f>
        <v>0</v>
      </c>
      <c r="AS568" t="b">
        <f>AND(IF(metadata!Q568="",FALSE,TRUE),EXACT(metadata!Q568,"Not applicable"))</f>
        <v>0</v>
      </c>
      <c r="AT568" t="b">
        <f>OR(AND(IF(metadata!R568="",FALSE,TRUE),OR(EXACT(metadata!R568,"not applicable"),EXACT(metadata!R568,"missing: not collected"),EXACT(metadata!R568,"missing: not provided"),EXACT(metadata!R568,"missing: restricted access"))),AND(IF(metadata!R568="",FALSE,ISNUMBER(VALUE(metadata!R568))),metadata!R568&gt;0))</f>
        <v>0</v>
      </c>
      <c r="AU568" t="b">
        <f>AND(IF(metadata!S568="",FALSE,TRUE),EXACT(metadata!S568,"missing: not provided"))</f>
        <v>0</v>
      </c>
    </row>
    <row r="569" spans="1:47" x14ac:dyDescent="0.2">
      <c r="A569" s="5" t="str">
        <f ca="1">IF(B569=" "," ",HYPERLINK(CONCATENATE("#metadata!",ADDRESS(INDEX($Y$2:$Y$1001,MATCH(ROWS($W$2:W569),$W$2:$W$1001,0),0),1)),INDEX($AB$2:$AB$1001,MATCH(ROWS($W$2:W569),$W$2:$W$1001,0),0)))</f>
        <v xml:space="preserve"> </v>
      </c>
      <c r="B569" s="4" t="str">
        <f ca="1">IF(OR(INDEX($X$2:$X$1001,MATCH(ROWS($W$2:W569),$W$2:$W$1001,0),1)&gt;=100000,INDEX($AD$1005:$AU$1005,1,MATCH(COLUMNS($AD$1006:AD1006),$AD$1006:$AU$1006,0))&gt;=100000), " ",IF(INDEX($AD$2:$AU$1001,MATCH(ROWS($W$2:W569),$W$2:$W$1001,0),MATCH(COLUMNS($AD$1006:AD1006),$AD$1006:$AU$1006,0)), HYPERLINK("#",""), HYPERLINK(CONCATENATE("#metadata!", ADDRESS(INDEX($Y$2:$Y$1001,MATCH(ROWS($W$2:W569),$W$2:$W$1001,0),0), INDEX($AD$1004:$AU$1004,1,MATCH(COLUMNS($AD$1006:AD1006),$AD$1006:$AU$1006,0)))),"Fix")))</f>
        <v xml:space="preserve"> </v>
      </c>
      <c r="C569" s="4" t="str">
        <f ca="1">IF(OR(INDEX($X$2:$X$1001,MATCH(ROWS($W$2:W569),$W$2:$W$1001,0),1)&gt;=100000,INDEX($AD$1005:$AU$1005,1,MATCH(COLUMNS($AD$1006:AE1006),$AD$1006:$AU$1006,0))&gt;=100000), " ",IF(INDEX($AD$2:$AU$1001,MATCH(ROWS($W$2:W569),$W$2:$W$1001,0),MATCH(COLUMNS($AD$1006:AE1006),$AD$1006:$AU$1006,0)), HYPERLINK("#",""), HYPERLINK(CONCATENATE("#metadata!", ADDRESS(INDEX($Y$2:$Y$1001,MATCH(ROWS($W$2:W569),$W$2:$W$1001,0),0), INDEX($AD$1004:$AU$1004,1,MATCH(COLUMNS($AD$1006:AE1006),$AD$1006:$AU$1006,0)))),"Fix")))</f>
        <v xml:space="preserve"> </v>
      </c>
      <c r="D569" s="4" t="str">
        <f ca="1">IF(OR(INDEX($X$2:$X$1001,MATCH(ROWS($W$2:W569),$W$2:$W$1001,0),1)&gt;=100000,INDEX($AD$1005:$AU$1005,1,MATCH(COLUMNS($AD$1006:AF1006),$AD$1006:$AU$1006,0))&gt;=100000), " ",IF(INDEX($AD$2:$AU$1001,MATCH(ROWS($W$2:W569),$W$2:$W$1001,0),MATCH(COLUMNS($AD$1006:AF1006),$AD$1006:$AU$1006,0)), HYPERLINK("#",""), HYPERLINK(CONCATENATE("#metadata!", ADDRESS(INDEX($Y$2:$Y$1001,MATCH(ROWS($W$2:W569),$W$2:$W$1001,0),0), INDEX($AD$1004:$AU$1004,1,MATCH(COLUMNS($AD$1006:AF1006),$AD$1006:$AU$1006,0)))),"Fix")))</f>
        <v xml:space="preserve"> </v>
      </c>
      <c r="E569" s="4" t="str">
        <f ca="1">IF(OR(INDEX($X$2:$X$1001,MATCH(ROWS($W$2:W569),$W$2:$W$1001,0),1)&gt;=100000,INDEX($AD$1005:$AU$1005,1,MATCH(COLUMNS($AD$1006:AG1006),$AD$1006:$AU$1006,0))&gt;=100000), " ",IF(INDEX($AD$2:$AU$1001,MATCH(ROWS($W$2:W569),$W$2:$W$1001,0),MATCH(COLUMNS($AD$1006:AG1006),$AD$1006:$AU$1006,0)), HYPERLINK("#",""), HYPERLINK(CONCATENATE("#metadata!", ADDRESS(INDEX($Y$2:$Y$1001,MATCH(ROWS($W$2:W569),$W$2:$W$1001,0),0), INDEX($AD$1004:$AU$1004,1,MATCH(COLUMNS($AD$1006:AG1006),$AD$1006:$AU$1006,0)))),"Fix")))</f>
        <v xml:space="preserve"> </v>
      </c>
      <c r="F569" s="4" t="str">
        <f ca="1">IF(OR(INDEX($X$2:$X$1001,MATCH(ROWS($W$2:W569),$W$2:$W$1001,0),1)&gt;=100000,INDEX($AD$1005:$AU$1005,1,MATCH(COLUMNS($AD$1006:AH1006),$AD$1006:$AU$1006,0))&gt;=100000), " ",IF(INDEX($AD$2:$AU$1001,MATCH(ROWS($W$2:W569),$W$2:$W$1001,0),MATCH(COLUMNS($AD$1006:AH1006),$AD$1006:$AU$1006,0)), HYPERLINK("#",""), HYPERLINK(CONCATENATE("#metadata!", ADDRESS(INDEX($Y$2:$Y$1001,MATCH(ROWS($W$2:W569),$W$2:$W$1001,0),0), INDEX($AD$1004:$AU$1004,1,MATCH(COLUMNS($AD$1006:AH1006),$AD$1006:$AU$1006,0)))),"Fix")))</f>
        <v xml:space="preserve"> </v>
      </c>
      <c r="G569" s="4" t="str">
        <f ca="1">IF(OR(INDEX($X$2:$X$1001,MATCH(ROWS($W$2:W569),$W$2:$W$1001,0),1)&gt;=100000,INDEX($AD$1005:$AU$1005,1,MATCH(COLUMNS($AD$1006:AI1006),$AD$1006:$AU$1006,0))&gt;=100000), " ",IF(INDEX($AD$2:$AU$1001,MATCH(ROWS($W$2:W569),$W$2:$W$1001,0),MATCH(COLUMNS($AD$1006:AI1006),$AD$1006:$AU$1006,0)), HYPERLINK("#",""), HYPERLINK(CONCATENATE("#metadata!", ADDRESS(INDEX($Y$2:$Y$1001,MATCH(ROWS($W$2:W569),$W$2:$W$1001,0),0), INDEX($AD$1004:$AU$1004,1,MATCH(COLUMNS($AD$1006:AI1006),$AD$1006:$AU$1006,0)))),"Fix")))</f>
        <v xml:space="preserve"> </v>
      </c>
      <c r="H569" s="4" t="str">
        <f ca="1">IF(OR(INDEX($X$2:$X$1001,MATCH(ROWS($W$2:W569),$W$2:$W$1001,0),1)&gt;=100000,INDEX($AD$1005:$AU$1005,1,MATCH(COLUMNS($AD$1006:AJ1006),$AD$1006:$AU$1006,0))&gt;=100000), " ",IF(INDEX($AD$2:$AU$1001,MATCH(ROWS($W$2:W569),$W$2:$W$1001,0),MATCH(COLUMNS($AD$1006:AJ1006),$AD$1006:$AU$1006,0)), HYPERLINK("#",""), HYPERLINK(CONCATENATE("#metadata!", ADDRESS(INDEX($Y$2:$Y$1001,MATCH(ROWS($W$2:W569),$W$2:$W$1001,0),0), INDEX($AD$1004:$AU$1004,1,MATCH(COLUMNS($AD$1006:AJ1006),$AD$1006:$AU$1006,0)))),"Fix")))</f>
        <v xml:space="preserve"> </v>
      </c>
      <c r="I569" s="4" t="str">
        <f ca="1">IF(OR(INDEX($X$2:$X$1001,MATCH(ROWS($W$2:W569),$W$2:$W$1001,0),1)&gt;=100000,INDEX($AD$1005:$AU$1005,1,MATCH(COLUMNS($AD$1006:AK1006),$AD$1006:$AU$1006,0))&gt;=100000), " ",IF(INDEX($AD$2:$AU$1001,MATCH(ROWS($W$2:W569),$W$2:$W$1001,0),MATCH(COLUMNS($AD$1006:AK1006),$AD$1006:$AU$1006,0)), HYPERLINK("#",""), HYPERLINK(CONCATENATE("#metadata!", ADDRESS(INDEX($Y$2:$Y$1001,MATCH(ROWS($W$2:W569),$W$2:$W$1001,0),0), INDEX($AD$1004:$AU$1004,1,MATCH(COLUMNS($AD$1006:AK1006),$AD$1006:$AU$1006,0)))),"Fix")))</f>
        <v xml:space="preserve"> </v>
      </c>
      <c r="J569" s="4" t="str">
        <f ca="1">IF(OR(INDEX($X$2:$X$1001,MATCH(ROWS($W$2:W569),$W$2:$W$1001,0),1)&gt;=100000,INDEX($AD$1005:$AU$1005,1,MATCH(COLUMNS($AD$1006:AL1006),$AD$1006:$AU$1006,0))&gt;=100000), " ",IF(INDEX($AD$2:$AU$1001,MATCH(ROWS($W$2:W569),$W$2:$W$1001,0),MATCH(COLUMNS($AD$1006:AL1006),$AD$1006:$AU$1006,0)), HYPERLINK("#",""), HYPERLINK(CONCATENATE("#metadata!", ADDRESS(INDEX($Y$2:$Y$1001,MATCH(ROWS($W$2:W569),$W$2:$W$1001,0),0), INDEX($AD$1004:$AU$1004,1,MATCH(COLUMNS($AD$1006:AL1006),$AD$1006:$AU$1006,0)))),"Fix")))</f>
        <v xml:space="preserve"> </v>
      </c>
      <c r="K569" s="4" t="str">
        <f ca="1">IF(OR(INDEX($X$2:$X$1001,MATCH(ROWS($W$2:W569),$W$2:$W$1001,0),1)&gt;=100000,INDEX($AD$1005:$AU$1005,1,MATCH(COLUMNS($AD$1006:AM1006),$AD$1006:$AU$1006,0))&gt;=100000), " ",IF(INDEX($AD$2:$AU$1001,MATCH(ROWS($W$2:W569),$W$2:$W$1001,0),MATCH(COLUMNS($AD$1006:AM1006),$AD$1006:$AU$1006,0)), HYPERLINK("#",""), HYPERLINK(CONCATENATE("#metadata!", ADDRESS(INDEX($Y$2:$Y$1001,MATCH(ROWS($W$2:W569),$W$2:$W$1001,0),0), INDEX($AD$1004:$AU$1004,1,MATCH(COLUMNS($AD$1006:AM1006),$AD$1006:$AU$1006,0)))),"Fix")))</f>
        <v xml:space="preserve"> </v>
      </c>
      <c r="L569" s="4" t="str">
        <f ca="1">IF(OR(INDEX($X$2:$X$1001,MATCH(ROWS($W$2:W569),$W$2:$W$1001,0),1)&gt;=100000,INDEX($AD$1005:$AU$1005,1,MATCH(COLUMNS($AD$1006:AN1006),$AD$1006:$AU$1006,0))&gt;=100000), " ",IF(INDEX($AD$2:$AU$1001,MATCH(ROWS($W$2:W569),$W$2:$W$1001,0),MATCH(COLUMNS($AD$1006:AN1006),$AD$1006:$AU$1006,0)), HYPERLINK("#",""), HYPERLINK(CONCATENATE("#metadata!", ADDRESS(INDEX($Y$2:$Y$1001,MATCH(ROWS($W$2:W569),$W$2:$W$1001,0),0), INDEX($AD$1004:$AU$1004,1,MATCH(COLUMNS($AD$1006:AN1006),$AD$1006:$AU$1006,0)))),"Fix")))</f>
        <v xml:space="preserve"> </v>
      </c>
      <c r="M569" s="4" t="str">
        <f ca="1">IF(OR(INDEX($X$2:$X$1001,MATCH(ROWS($W$2:W569),$W$2:$W$1001,0),1)&gt;=100000,INDEX($AD$1005:$AU$1005,1,MATCH(COLUMNS($AD$1006:AO1006),$AD$1006:$AU$1006,0))&gt;=100000), " ",IF(INDEX($AD$2:$AU$1001,MATCH(ROWS($W$2:W569),$W$2:$W$1001,0),MATCH(COLUMNS($AD$1006:AO1006),$AD$1006:$AU$1006,0)), HYPERLINK("#",""), HYPERLINK(CONCATENATE("#metadata!", ADDRESS(INDEX($Y$2:$Y$1001,MATCH(ROWS($W$2:W569),$W$2:$W$1001,0),0), INDEX($AD$1004:$AU$1004,1,MATCH(COLUMNS($AD$1006:AO1006),$AD$1006:$AU$1006,0)))),"Fix")))</f>
        <v xml:space="preserve"> </v>
      </c>
      <c r="N569" s="4" t="str">
        <f ca="1">IF(OR(INDEX($X$2:$X$1001,MATCH(ROWS($W$2:W569),$W$2:$W$1001,0),1)&gt;=100000,INDEX($AD$1005:$AU$1005,1,MATCH(COLUMNS($AD$1006:AP1006),$AD$1006:$AU$1006,0))&gt;=100000), " ",IF(INDEX($AD$2:$AU$1001,MATCH(ROWS($W$2:W569),$W$2:$W$1001,0),MATCH(COLUMNS($AD$1006:AP1006),$AD$1006:$AU$1006,0)), HYPERLINK("#",""), HYPERLINK(CONCATENATE("#metadata!", ADDRESS(INDEX($Y$2:$Y$1001,MATCH(ROWS($W$2:W569),$W$2:$W$1001,0),0), INDEX($AD$1004:$AU$1004,1,MATCH(COLUMNS($AD$1006:AP1006),$AD$1006:$AU$1006,0)))),"Fix")))</f>
        <v xml:space="preserve"> </v>
      </c>
      <c r="O569" s="4" t="str">
        <f ca="1">IF(OR(INDEX($X$2:$X$1001,MATCH(ROWS($W$2:W569),$W$2:$W$1001,0),1)&gt;=100000,INDEX($AD$1005:$AU$1005,1,MATCH(COLUMNS($AD$1006:AQ1006),$AD$1006:$AU$1006,0))&gt;=100000), " ",IF(INDEX($AD$2:$AU$1001,MATCH(ROWS($W$2:W569),$W$2:$W$1001,0),MATCH(COLUMNS($AD$1006:AQ1006),$AD$1006:$AU$1006,0)), HYPERLINK("#",""), HYPERLINK(CONCATENATE("#metadata!", ADDRESS(INDEX($Y$2:$Y$1001,MATCH(ROWS($W$2:W569),$W$2:$W$1001,0),0), INDEX($AD$1004:$AU$1004,1,MATCH(COLUMNS($AD$1006:AQ1006),$AD$1006:$AU$1006,0)))),"Fix")))</f>
        <v xml:space="preserve"> </v>
      </c>
      <c r="P569" s="4" t="str">
        <f ca="1">IF(OR(INDEX($X$2:$X$1001,MATCH(ROWS($W$2:W569),$W$2:$W$1001,0),1)&gt;=100000,INDEX($AD$1005:$AU$1005,1,MATCH(COLUMNS($AD$1006:AR1006),$AD$1006:$AU$1006,0))&gt;=100000), " ",IF(INDEX($AD$2:$AU$1001,MATCH(ROWS($W$2:W569),$W$2:$W$1001,0),MATCH(COLUMNS($AD$1006:AR1006),$AD$1006:$AU$1006,0)), HYPERLINK("#",""), HYPERLINK(CONCATENATE("#metadata!", ADDRESS(INDEX($Y$2:$Y$1001,MATCH(ROWS($W$2:W569),$W$2:$W$1001,0),0), INDEX($AD$1004:$AU$1004,1,MATCH(COLUMNS($AD$1006:AR1006),$AD$1006:$AU$1006,0)))),"Fix")))</f>
        <v xml:space="preserve"> </v>
      </c>
      <c r="Q569" s="4" t="str">
        <f ca="1">IF(OR(INDEX($X$2:$X$1001,MATCH(ROWS($W$2:W569),$W$2:$W$1001,0),1)&gt;=100000,INDEX($AD$1005:$AU$1005,1,MATCH(COLUMNS($AD$1006:AS1006),$AD$1006:$AU$1006,0))&gt;=100000), " ",IF(INDEX($AD$2:$AU$1001,MATCH(ROWS($W$2:W569),$W$2:$W$1001,0),MATCH(COLUMNS($AD$1006:AS1006),$AD$1006:$AU$1006,0)), HYPERLINK("#",""), HYPERLINK(CONCATENATE("#metadata!", ADDRESS(INDEX($Y$2:$Y$1001,MATCH(ROWS($W$2:W569),$W$2:$W$1001,0),0), INDEX($AD$1004:$AU$1004,1,MATCH(COLUMNS($AD$1006:AS1006),$AD$1006:$AU$1006,0)))),"Fix")))</f>
        <v xml:space="preserve"> </v>
      </c>
      <c r="R569" s="4" t="str">
        <f ca="1">IF(OR(INDEX($X$2:$X$1001,MATCH(ROWS($W$2:W569),$W$2:$W$1001,0),1)&gt;=100000,INDEX($AD$1005:$AU$1005,1,MATCH(COLUMNS($AD$1006:AT1006),$AD$1006:$AU$1006,0))&gt;=100000), " ",IF(INDEX($AD$2:$AU$1001,MATCH(ROWS($W$2:W569),$W$2:$W$1001,0),MATCH(COLUMNS($AD$1006:AT1006),$AD$1006:$AU$1006,0)), HYPERLINK("#",""), HYPERLINK(CONCATENATE("#metadata!", ADDRESS(INDEX($Y$2:$Y$1001,MATCH(ROWS($W$2:W569),$W$2:$W$1001,0),0), INDEX($AD$1004:$AU$1004,1,MATCH(COLUMNS($AD$1006:AT1006),$AD$1006:$AU$1006,0)))),"Fix")))</f>
        <v xml:space="preserve"> </v>
      </c>
      <c r="S569" s="4" t="str">
        <f ca="1">IF(OR(INDEX($X$2:$X$1001,MATCH(ROWS($W$2:W569),$W$2:$W$1001,0),1)&gt;=100000,INDEX($AD$1005:$AU$1005,1,MATCH(COLUMNS($AD$1006:AU1006),$AD$1006:$AU$1006,0))&gt;=100000), " ",IF(INDEX($AD$2:$AU$1001,MATCH(ROWS($W$2:W569),$W$2:$W$1001,0),MATCH(COLUMNS($AD$1006:AU1006),$AD$1006:$AU$1006,0)), HYPERLINK("#",""), HYPERLINK(CONCATENATE("#metadata!", ADDRESS(INDEX($Y$2:$Y$1001,MATCH(ROWS($W$2:W569),$W$2:$W$1001,0),0), INDEX($AD$1004:$AU$1004,1,MATCH(COLUMNS($AD$1006:AU1006),$AD$1006:$AU$1006,0)))),"Fix")))</f>
        <v xml:space="preserve"> </v>
      </c>
      <c r="W569">
        <v>568</v>
      </c>
      <c r="X569">
        <v>100569</v>
      </c>
      <c r="Y569">
        <v>569</v>
      </c>
      <c r="Z569" t="b">
        <f t="shared" si="8"/>
        <v>1</v>
      </c>
      <c r="AA569" t="b">
        <f>COUNTBLANK(metadata!B569:S569)=COLUMNS(metadata!B569:S569)</f>
        <v>1</v>
      </c>
      <c r="AB569" t="str">
        <v/>
      </c>
      <c r="AD569" t="b">
        <f ca="1">AND(IF(metadata!B569="",FALSE,TRUE),COUNTIF(metadata!B:B, metadata!B569) = 1,NOT(ISERROR(SUMPRODUCT(SEARCH(MID(metadata!B569,ROW(INDIRECT("1:"&amp;LEN(metadata!B569))), 1),"0123456789abcdefghijklmnopqrstuvwxyzABCDEFGHIJKLMNOPQRSTUVWXYZ.")))))</f>
        <v>0</v>
      </c>
      <c r="AE569" t="b">
        <f>OR(AND(IF(metadata!C569="",FALSE,TRUE),OR(EXACT(metadata!C569,"not applicable"),EXACT(metadata!C569,"missing: not collected"),EXACT(metadata!C569,"missing: not provided"),EXACT(metadata!C569,"missing: restricted access"))),AND(IF(metadata!C569="",FALSE,ISNUMBER(VALUE(metadata!C569))),metadata!C569&gt;0))</f>
        <v>0</v>
      </c>
      <c r="AF569" t="b">
        <f>AND(IF(metadata!D569="",FALSE,TRUE),EXACT(metadata!D569,"missing: not provided"))</f>
        <v>0</v>
      </c>
      <c r="AG569" t="b">
        <f>AND(IF(metadata!E569="",FALSE,TRUE),EXACT(metadata!E569,"Host-associated"))</f>
        <v>0</v>
      </c>
      <c r="AH569" t="b">
        <f>AND(IF(metadata!F569="",FALSE,TRUE),OR(EXACT(metadata!F569,"Animal"),EXACT(metadata!F569,"Fungus"),EXACT(metadata!F569,"Plant")))</f>
        <v>0</v>
      </c>
      <c r="AI569" t="b">
        <f>AND(IF(metadata!G569="",FALSE,TRUE),OR(EXACT(metadata!G569,"Plant secretion"),EXACT(metadata!G569,"Plant rhizosphere"),EXACT(metadata!G569,"Plant surface"),EXACT(metadata!G569,"Plant corpus"),EXACT(metadata!G569,"Fungus surface"),EXACT(metadata!G569,"Fungus corpus"),EXACT(metadata!G569,"Animal surface"),EXACT(metadata!G569,"Animal proximal gut"),EXACT(metadata!G569,"Animal corpus"),EXACT(metadata!G569,"Animal distal gut"),EXACT(metadata!G569,"Animal secretion")))</f>
        <v>0</v>
      </c>
      <c r="AJ569" t="b">
        <f>OR(AND(IF(metadata!H569="",FALSE,TRUE),OR(EXACT(metadata!H569,"missing: not collected"),EXACT(metadata!H569,"missing: not provided"),EXACT(metadata!H569,"missing: restricted access"))),AND(IF(metadata!H569="",FALSE,TRUE),OR(EXACT(metadata!H569,"organism-associated habitat"),EXACT(metadata!H569,"plant-associated habitat"),EXACT(metadata!H569,"animal-associated habitat"),EXACT(metadata!H569,"insecta-associated habitat"),EXACT(metadata!H569,"mammalia-associated habitat"),EXACT(metadata!H569,"human-associated habitat"),EXACT(metadata!H569,"livestock-associated habitat"))))</f>
        <v>0</v>
      </c>
      <c r="AK569" t="b">
        <f>AND(IF(metadata!I569="",FALSE,TRUE),EXACT(metadata!I569,"host-associated"))</f>
        <v>0</v>
      </c>
      <c r="AL569" t="b">
        <f>OR(AND(IF(metadata!J569="",FALSE,TRUE),OR(EXACT(metadata!J569,"not applicable"),EXACT(metadata!J569,"missing: not collected"),EXACT(metadata!J569,"missing: not provided"),EXACT(metadata!J569,"missing: restricted access"))),AND(IF(metadata!J569="",FALSE,ISNUMBER(VALUE(metadata!J569))),metadata!J569&gt;0))</f>
        <v>0</v>
      </c>
      <c r="AM569" t="b">
        <f>AND(IF(metadata!K569="",FALSE,TRUE),EXACT(metadata!K569,"missing: not provided"))</f>
        <v>0</v>
      </c>
      <c r="AN569" t="b">
        <f>IF(metadata!L569="",FALSE,TRUE)</f>
        <v>0</v>
      </c>
      <c r="AO569" t="b">
        <f>IF(metadata!M569="",FALSE,TRUE)</f>
        <v>0</v>
      </c>
      <c r="AP569" t="b">
        <f>OR(AND(IF(metadata!N569="",FALSE,TRUE),OR(EXACT(metadata!N569,"not applicable"),EXACT(metadata!N569,"missing: not collected"),EXACT(metadata!N569,"missing: not provided"))),AND(IF(metadata!N569="",FALSE,IF(ISERROR(INT(metadata!N569)),FALSE,INT(metadata!N569)=metadata!N569)),metadata!N569&gt;0))</f>
        <v>0</v>
      </c>
      <c r="AQ569" t="b">
        <f>AND(IF(metadata!O569="",FALSE,TRUE),EXACT(metadata!O569,"Not applicable"))</f>
        <v>0</v>
      </c>
      <c r="AR569" t="b">
        <f>OR(AND(IF(metadata!P569="",FALSE,TRUE),OR(EXACT(metadata!P569,"not applicable"),EXACT(metadata!P569,"missing: not collected"),EXACT(metadata!P569,"missing: not provided"),EXACT(metadata!P569,"missing: restricted access"))),IF(metadata!P569="",FALSE,IF(ISERROR(INT(metadata!P569)),FALSE,INT(metadata!P569)=metadata!P569)))</f>
        <v>0</v>
      </c>
      <c r="AS569" t="b">
        <f>AND(IF(metadata!Q569="",FALSE,TRUE),EXACT(metadata!Q569,"Not applicable"))</f>
        <v>0</v>
      </c>
      <c r="AT569" t="b">
        <f>OR(AND(IF(metadata!R569="",FALSE,TRUE),OR(EXACT(metadata!R569,"not applicable"),EXACT(metadata!R569,"missing: not collected"),EXACT(metadata!R569,"missing: not provided"),EXACT(metadata!R569,"missing: restricted access"))),AND(IF(metadata!R569="",FALSE,ISNUMBER(VALUE(metadata!R569))),metadata!R569&gt;0))</f>
        <v>0</v>
      </c>
      <c r="AU569" t="b">
        <f>AND(IF(metadata!S569="",FALSE,TRUE),EXACT(metadata!S569,"missing: not provided"))</f>
        <v>0</v>
      </c>
    </row>
    <row r="570" spans="1:47" x14ac:dyDescent="0.2">
      <c r="A570" s="5" t="str">
        <f ca="1">IF(B570=" "," ",HYPERLINK(CONCATENATE("#metadata!",ADDRESS(INDEX($Y$2:$Y$1001,MATCH(ROWS($W$2:W570),$W$2:$W$1001,0),0),1)),INDEX($AB$2:$AB$1001,MATCH(ROWS($W$2:W570),$W$2:$W$1001,0),0)))</f>
        <v xml:space="preserve"> </v>
      </c>
      <c r="B570" s="4" t="str">
        <f ca="1">IF(OR(INDEX($X$2:$X$1001,MATCH(ROWS($W$2:W570),$W$2:$W$1001,0),1)&gt;=100000,INDEX($AD$1005:$AU$1005,1,MATCH(COLUMNS($AD$1006:AD1006),$AD$1006:$AU$1006,0))&gt;=100000), " ",IF(INDEX($AD$2:$AU$1001,MATCH(ROWS($W$2:W570),$W$2:$W$1001,0),MATCH(COLUMNS($AD$1006:AD1006),$AD$1006:$AU$1006,0)), HYPERLINK("#",""), HYPERLINK(CONCATENATE("#metadata!", ADDRESS(INDEX($Y$2:$Y$1001,MATCH(ROWS($W$2:W570),$W$2:$W$1001,0),0), INDEX($AD$1004:$AU$1004,1,MATCH(COLUMNS($AD$1006:AD1006),$AD$1006:$AU$1006,0)))),"Fix")))</f>
        <v xml:space="preserve"> </v>
      </c>
      <c r="C570" s="4" t="str">
        <f ca="1">IF(OR(INDEX($X$2:$X$1001,MATCH(ROWS($W$2:W570),$W$2:$W$1001,0),1)&gt;=100000,INDEX($AD$1005:$AU$1005,1,MATCH(COLUMNS($AD$1006:AE1006),$AD$1006:$AU$1006,0))&gt;=100000), " ",IF(INDEX($AD$2:$AU$1001,MATCH(ROWS($W$2:W570),$W$2:$W$1001,0),MATCH(COLUMNS($AD$1006:AE1006),$AD$1006:$AU$1006,0)), HYPERLINK("#",""), HYPERLINK(CONCATENATE("#metadata!", ADDRESS(INDEX($Y$2:$Y$1001,MATCH(ROWS($W$2:W570),$W$2:$W$1001,0),0), INDEX($AD$1004:$AU$1004,1,MATCH(COLUMNS($AD$1006:AE1006),$AD$1006:$AU$1006,0)))),"Fix")))</f>
        <v xml:space="preserve"> </v>
      </c>
      <c r="D570" s="4" t="str">
        <f ca="1">IF(OR(INDEX($X$2:$X$1001,MATCH(ROWS($W$2:W570),$W$2:$W$1001,0),1)&gt;=100000,INDEX($AD$1005:$AU$1005,1,MATCH(COLUMNS($AD$1006:AF1006),$AD$1006:$AU$1006,0))&gt;=100000), " ",IF(INDEX($AD$2:$AU$1001,MATCH(ROWS($W$2:W570),$W$2:$W$1001,0),MATCH(COLUMNS($AD$1006:AF1006),$AD$1006:$AU$1006,0)), HYPERLINK("#",""), HYPERLINK(CONCATENATE("#metadata!", ADDRESS(INDEX($Y$2:$Y$1001,MATCH(ROWS($W$2:W570),$W$2:$W$1001,0),0), INDEX($AD$1004:$AU$1004,1,MATCH(COLUMNS($AD$1006:AF1006),$AD$1006:$AU$1006,0)))),"Fix")))</f>
        <v xml:space="preserve"> </v>
      </c>
      <c r="E570" s="4" t="str">
        <f ca="1">IF(OR(INDEX($X$2:$X$1001,MATCH(ROWS($W$2:W570),$W$2:$W$1001,0),1)&gt;=100000,INDEX($AD$1005:$AU$1005,1,MATCH(COLUMNS($AD$1006:AG1006),$AD$1006:$AU$1006,0))&gt;=100000), " ",IF(INDEX($AD$2:$AU$1001,MATCH(ROWS($W$2:W570),$W$2:$W$1001,0),MATCH(COLUMNS($AD$1006:AG1006),$AD$1006:$AU$1006,0)), HYPERLINK("#",""), HYPERLINK(CONCATENATE("#metadata!", ADDRESS(INDEX($Y$2:$Y$1001,MATCH(ROWS($W$2:W570),$W$2:$W$1001,0),0), INDEX($AD$1004:$AU$1004,1,MATCH(COLUMNS($AD$1006:AG1006),$AD$1006:$AU$1006,0)))),"Fix")))</f>
        <v xml:space="preserve"> </v>
      </c>
      <c r="F570" s="4" t="str">
        <f ca="1">IF(OR(INDEX($X$2:$X$1001,MATCH(ROWS($W$2:W570),$W$2:$W$1001,0),1)&gt;=100000,INDEX($AD$1005:$AU$1005,1,MATCH(COLUMNS($AD$1006:AH1006),$AD$1006:$AU$1006,0))&gt;=100000), " ",IF(INDEX($AD$2:$AU$1001,MATCH(ROWS($W$2:W570),$W$2:$W$1001,0),MATCH(COLUMNS($AD$1006:AH1006),$AD$1006:$AU$1006,0)), HYPERLINK("#",""), HYPERLINK(CONCATENATE("#metadata!", ADDRESS(INDEX($Y$2:$Y$1001,MATCH(ROWS($W$2:W570),$W$2:$W$1001,0),0), INDEX($AD$1004:$AU$1004,1,MATCH(COLUMNS($AD$1006:AH1006),$AD$1006:$AU$1006,0)))),"Fix")))</f>
        <v xml:space="preserve"> </v>
      </c>
      <c r="G570" s="4" t="str">
        <f ca="1">IF(OR(INDEX($X$2:$X$1001,MATCH(ROWS($W$2:W570),$W$2:$W$1001,0),1)&gt;=100000,INDEX($AD$1005:$AU$1005,1,MATCH(COLUMNS($AD$1006:AI1006),$AD$1006:$AU$1006,0))&gt;=100000), " ",IF(INDEX($AD$2:$AU$1001,MATCH(ROWS($W$2:W570),$W$2:$W$1001,0),MATCH(COLUMNS($AD$1006:AI1006),$AD$1006:$AU$1006,0)), HYPERLINK("#",""), HYPERLINK(CONCATENATE("#metadata!", ADDRESS(INDEX($Y$2:$Y$1001,MATCH(ROWS($W$2:W570),$W$2:$W$1001,0),0), INDEX($AD$1004:$AU$1004,1,MATCH(COLUMNS($AD$1006:AI1006),$AD$1006:$AU$1006,0)))),"Fix")))</f>
        <v xml:space="preserve"> </v>
      </c>
      <c r="H570" s="4" t="str">
        <f ca="1">IF(OR(INDEX($X$2:$X$1001,MATCH(ROWS($W$2:W570),$W$2:$W$1001,0),1)&gt;=100000,INDEX($AD$1005:$AU$1005,1,MATCH(COLUMNS($AD$1006:AJ1006),$AD$1006:$AU$1006,0))&gt;=100000), " ",IF(INDEX($AD$2:$AU$1001,MATCH(ROWS($W$2:W570),$W$2:$W$1001,0),MATCH(COLUMNS($AD$1006:AJ1006),$AD$1006:$AU$1006,0)), HYPERLINK("#",""), HYPERLINK(CONCATENATE("#metadata!", ADDRESS(INDEX($Y$2:$Y$1001,MATCH(ROWS($W$2:W570),$W$2:$W$1001,0),0), INDEX($AD$1004:$AU$1004,1,MATCH(COLUMNS($AD$1006:AJ1006),$AD$1006:$AU$1006,0)))),"Fix")))</f>
        <v xml:space="preserve"> </v>
      </c>
      <c r="I570" s="4" t="str">
        <f ca="1">IF(OR(INDEX($X$2:$X$1001,MATCH(ROWS($W$2:W570),$W$2:$W$1001,0),1)&gt;=100000,INDEX($AD$1005:$AU$1005,1,MATCH(COLUMNS($AD$1006:AK1006),$AD$1006:$AU$1006,0))&gt;=100000), " ",IF(INDEX($AD$2:$AU$1001,MATCH(ROWS($W$2:W570),$W$2:$W$1001,0),MATCH(COLUMNS($AD$1006:AK1006),$AD$1006:$AU$1006,0)), HYPERLINK("#",""), HYPERLINK(CONCATENATE("#metadata!", ADDRESS(INDEX($Y$2:$Y$1001,MATCH(ROWS($W$2:W570),$W$2:$W$1001,0),0), INDEX($AD$1004:$AU$1004,1,MATCH(COLUMNS($AD$1006:AK1006),$AD$1006:$AU$1006,0)))),"Fix")))</f>
        <v xml:space="preserve"> </v>
      </c>
      <c r="J570" s="4" t="str">
        <f ca="1">IF(OR(INDEX($X$2:$X$1001,MATCH(ROWS($W$2:W570),$W$2:$W$1001,0),1)&gt;=100000,INDEX($AD$1005:$AU$1005,1,MATCH(COLUMNS($AD$1006:AL1006),$AD$1006:$AU$1006,0))&gt;=100000), " ",IF(INDEX($AD$2:$AU$1001,MATCH(ROWS($W$2:W570),$W$2:$W$1001,0),MATCH(COLUMNS($AD$1006:AL1006),$AD$1006:$AU$1006,0)), HYPERLINK("#",""), HYPERLINK(CONCATENATE("#metadata!", ADDRESS(INDEX($Y$2:$Y$1001,MATCH(ROWS($W$2:W570),$W$2:$W$1001,0),0), INDEX($AD$1004:$AU$1004,1,MATCH(COLUMNS($AD$1006:AL1006),$AD$1006:$AU$1006,0)))),"Fix")))</f>
        <v xml:space="preserve"> </v>
      </c>
      <c r="K570" s="4" t="str">
        <f ca="1">IF(OR(INDEX($X$2:$X$1001,MATCH(ROWS($W$2:W570),$W$2:$W$1001,0),1)&gt;=100000,INDEX($AD$1005:$AU$1005,1,MATCH(COLUMNS($AD$1006:AM1006),$AD$1006:$AU$1006,0))&gt;=100000), " ",IF(INDEX($AD$2:$AU$1001,MATCH(ROWS($W$2:W570),$W$2:$W$1001,0),MATCH(COLUMNS($AD$1006:AM1006),$AD$1006:$AU$1006,0)), HYPERLINK("#",""), HYPERLINK(CONCATENATE("#metadata!", ADDRESS(INDEX($Y$2:$Y$1001,MATCH(ROWS($W$2:W570),$W$2:$W$1001,0),0), INDEX($AD$1004:$AU$1004,1,MATCH(COLUMNS($AD$1006:AM1006),$AD$1006:$AU$1006,0)))),"Fix")))</f>
        <v xml:space="preserve"> </v>
      </c>
      <c r="L570" s="4" t="str">
        <f ca="1">IF(OR(INDEX($X$2:$X$1001,MATCH(ROWS($W$2:W570),$W$2:$W$1001,0),1)&gt;=100000,INDEX($AD$1005:$AU$1005,1,MATCH(COLUMNS($AD$1006:AN1006),$AD$1006:$AU$1006,0))&gt;=100000), " ",IF(INDEX($AD$2:$AU$1001,MATCH(ROWS($W$2:W570),$W$2:$W$1001,0),MATCH(COLUMNS($AD$1006:AN1006),$AD$1006:$AU$1006,0)), HYPERLINK("#",""), HYPERLINK(CONCATENATE("#metadata!", ADDRESS(INDEX($Y$2:$Y$1001,MATCH(ROWS($W$2:W570),$W$2:$W$1001,0),0), INDEX($AD$1004:$AU$1004,1,MATCH(COLUMNS($AD$1006:AN1006),$AD$1006:$AU$1006,0)))),"Fix")))</f>
        <v xml:space="preserve"> </v>
      </c>
      <c r="M570" s="4" t="str">
        <f ca="1">IF(OR(INDEX($X$2:$X$1001,MATCH(ROWS($W$2:W570),$W$2:$W$1001,0),1)&gt;=100000,INDEX($AD$1005:$AU$1005,1,MATCH(COLUMNS($AD$1006:AO1006),$AD$1006:$AU$1006,0))&gt;=100000), " ",IF(INDEX($AD$2:$AU$1001,MATCH(ROWS($W$2:W570),$W$2:$W$1001,0),MATCH(COLUMNS($AD$1006:AO1006),$AD$1006:$AU$1006,0)), HYPERLINK("#",""), HYPERLINK(CONCATENATE("#metadata!", ADDRESS(INDEX($Y$2:$Y$1001,MATCH(ROWS($W$2:W570),$W$2:$W$1001,0),0), INDEX($AD$1004:$AU$1004,1,MATCH(COLUMNS($AD$1006:AO1006),$AD$1006:$AU$1006,0)))),"Fix")))</f>
        <v xml:space="preserve"> </v>
      </c>
      <c r="N570" s="4" t="str">
        <f ca="1">IF(OR(INDEX($X$2:$X$1001,MATCH(ROWS($W$2:W570),$W$2:$W$1001,0),1)&gt;=100000,INDEX($AD$1005:$AU$1005,1,MATCH(COLUMNS($AD$1006:AP1006),$AD$1006:$AU$1006,0))&gt;=100000), " ",IF(INDEX($AD$2:$AU$1001,MATCH(ROWS($W$2:W570),$W$2:$W$1001,0),MATCH(COLUMNS($AD$1006:AP1006),$AD$1006:$AU$1006,0)), HYPERLINK("#",""), HYPERLINK(CONCATENATE("#metadata!", ADDRESS(INDEX($Y$2:$Y$1001,MATCH(ROWS($W$2:W570),$W$2:$W$1001,0),0), INDEX($AD$1004:$AU$1004,1,MATCH(COLUMNS($AD$1006:AP1006),$AD$1006:$AU$1006,0)))),"Fix")))</f>
        <v xml:space="preserve"> </v>
      </c>
      <c r="O570" s="4" t="str">
        <f ca="1">IF(OR(INDEX($X$2:$X$1001,MATCH(ROWS($W$2:W570),$W$2:$W$1001,0),1)&gt;=100000,INDEX($AD$1005:$AU$1005,1,MATCH(COLUMNS($AD$1006:AQ1006),$AD$1006:$AU$1006,0))&gt;=100000), " ",IF(INDEX($AD$2:$AU$1001,MATCH(ROWS($W$2:W570),$W$2:$W$1001,0),MATCH(COLUMNS($AD$1006:AQ1006),$AD$1006:$AU$1006,0)), HYPERLINK("#",""), HYPERLINK(CONCATENATE("#metadata!", ADDRESS(INDEX($Y$2:$Y$1001,MATCH(ROWS($W$2:W570),$W$2:$W$1001,0),0), INDEX($AD$1004:$AU$1004,1,MATCH(COLUMNS($AD$1006:AQ1006),$AD$1006:$AU$1006,0)))),"Fix")))</f>
        <v xml:space="preserve"> </v>
      </c>
      <c r="P570" s="4" t="str">
        <f ca="1">IF(OR(INDEX($X$2:$X$1001,MATCH(ROWS($W$2:W570),$W$2:$W$1001,0),1)&gt;=100000,INDEX($AD$1005:$AU$1005,1,MATCH(COLUMNS($AD$1006:AR1006),$AD$1006:$AU$1006,0))&gt;=100000), " ",IF(INDEX($AD$2:$AU$1001,MATCH(ROWS($W$2:W570),$W$2:$W$1001,0),MATCH(COLUMNS($AD$1006:AR1006),$AD$1006:$AU$1006,0)), HYPERLINK("#",""), HYPERLINK(CONCATENATE("#metadata!", ADDRESS(INDEX($Y$2:$Y$1001,MATCH(ROWS($W$2:W570),$W$2:$W$1001,0),0), INDEX($AD$1004:$AU$1004,1,MATCH(COLUMNS($AD$1006:AR1006),$AD$1006:$AU$1006,0)))),"Fix")))</f>
        <v xml:space="preserve"> </v>
      </c>
      <c r="Q570" s="4" t="str">
        <f ca="1">IF(OR(INDEX($X$2:$X$1001,MATCH(ROWS($W$2:W570),$W$2:$W$1001,0),1)&gt;=100000,INDEX($AD$1005:$AU$1005,1,MATCH(COLUMNS($AD$1006:AS1006),$AD$1006:$AU$1006,0))&gt;=100000), " ",IF(INDEX($AD$2:$AU$1001,MATCH(ROWS($W$2:W570),$W$2:$W$1001,0),MATCH(COLUMNS($AD$1006:AS1006),$AD$1006:$AU$1006,0)), HYPERLINK("#",""), HYPERLINK(CONCATENATE("#metadata!", ADDRESS(INDEX($Y$2:$Y$1001,MATCH(ROWS($W$2:W570),$W$2:$W$1001,0),0), INDEX($AD$1004:$AU$1004,1,MATCH(COLUMNS($AD$1006:AS1006),$AD$1006:$AU$1006,0)))),"Fix")))</f>
        <v xml:space="preserve"> </v>
      </c>
      <c r="R570" s="4" t="str">
        <f ca="1">IF(OR(INDEX($X$2:$X$1001,MATCH(ROWS($W$2:W570),$W$2:$W$1001,0),1)&gt;=100000,INDEX($AD$1005:$AU$1005,1,MATCH(COLUMNS($AD$1006:AT1006),$AD$1006:$AU$1006,0))&gt;=100000), " ",IF(INDEX($AD$2:$AU$1001,MATCH(ROWS($W$2:W570),$W$2:$W$1001,0),MATCH(COLUMNS($AD$1006:AT1006),$AD$1006:$AU$1006,0)), HYPERLINK("#",""), HYPERLINK(CONCATENATE("#metadata!", ADDRESS(INDEX($Y$2:$Y$1001,MATCH(ROWS($W$2:W570),$W$2:$W$1001,0),0), INDEX($AD$1004:$AU$1004,1,MATCH(COLUMNS($AD$1006:AT1006),$AD$1006:$AU$1006,0)))),"Fix")))</f>
        <v xml:space="preserve"> </v>
      </c>
      <c r="S570" s="4" t="str">
        <f ca="1">IF(OR(INDEX($X$2:$X$1001,MATCH(ROWS($W$2:W570),$W$2:$W$1001,0),1)&gt;=100000,INDEX($AD$1005:$AU$1005,1,MATCH(COLUMNS($AD$1006:AU1006),$AD$1006:$AU$1006,0))&gt;=100000), " ",IF(INDEX($AD$2:$AU$1001,MATCH(ROWS($W$2:W570),$W$2:$W$1001,0),MATCH(COLUMNS($AD$1006:AU1006),$AD$1006:$AU$1006,0)), HYPERLINK("#",""), HYPERLINK(CONCATENATE("#metadata!", ADDRESS(INDEX($Y$2:$Y$1001,MATCH(ROWS($W$2:W570),$W$2:$W$1001,0),0), INDEX($AD$1004:$AU$1004,1,MATCH(COLUMNS($AD$1006:AU1006),$AD$1006:$AU$1006,0)))),"Fix")))</f>
        <v xml:space="preserve"> </v>
      </c>
      <c r="W570">
        <v>569</v>
      </c>
      <c r="X570">
        <v>100570</v>
      </c>
      <c r="Y570">
        <v>570</v>
      </c>
      <c r="Z570" t="b">
        <f t="shared" si="8"/>
        <v>1</v>
      </c>
      <c r="AA570" t="b">
        <f>COUNTBLANK(metadata!B570:S570)=COLUMNS(metadata!B570:S570)</f>
        <v>1</v>
      </c>
      <c r="AB570" t="str">
        <v/>
      </c>
      <c r="AD570" t="b">
        <f ca="1">AND(IF(metadata!B570="",FALSE,TRUE),COUNTIF(metadata!B:B, metadata!B570) = 1,NOT(ISERROR(SUMPRODUCT(SEARCH(MID(metadata!B570,ROW(INDIRECT("1:"&amp;LEN(metadata!B570))), 1),"0123456789abcdefghijklmnopqrstuvwxyzABCDEFGHIJKLMNOPQRSTUVWXYZ.")))))</f>
        <v>0</v>
      </c>
      <c r="AE570" t="b">
        <f>OR(AND(IF(metadata!C570="",FALSE,TRUE),OR(EXACT(metadata!C570,"not applicable"),EXACT(metadata!C570,"missing: not collected"),EXACT(metadata!C570,"missing: not provided"),EXACT(metadata!C570,"missing: restricted access"))),AND(IF(metadata!C570="",FALSE,ISNUMBER(VALUE(metadata!C570))),metadata!C570&gt;0))</f>
        <v>0</v>
      </c>
      <c r="AF570" t="b">
        <f>AND(IF(metadata!D570="",FALSE,TRUE),EXACT(metadata!D570,"missing: not provided"))</f>
        <v>0</v>
      </c>
      <c r="AG570" t="b">
        <f>AND(IF(metadata!E570="",FALSE,TRUE),EXACT(metadata!E570,"Host-associated"))</f>
        <v>0</v>
      </c>
      <c r="AH570" t="b">
        <f>AND(IF(metadata!F570="",FALSE,TRUE),OR(EXACT(metadata!F570,"Animal"),EXACT(metadata!F570,"Fungus"),EXACT(metadata!F570,"Plant")))</f>
        <v>0</v>
      </c>
      <c r="AI570" t="b">
        <f>AND(IF(metadata!G570="",FALSE,TRUE),OR(EXACT(metadata!G570,"Plant secretion"),EXACT(metadata!G570,"Plant rhizosphere"),EXACT(metadata!G570,"Plant surface"),EXACT(metadata!G570,"Plant corpus"),EXACT(metadata!G570,"Fungus surface"),EXACT(metadata!G570,"Fungus corpus"),EXACT(metadata!G570,"Animal surface"),EXACT(metadata!G570,"Animal proximal gut"),EXACT(metadata!G570,"Animal corpus"),EXACT(metadata!G570,"Animal distal gut"),EXACT(metadata!G570,"Animal secretion")))</f>
        <v>0</v>
      </c>
      <c r="AJ570" t="b">
        <f>OR(AND(IF(metadata!H570="",FALSE,TRUE),OR(EXACT(metadata!H570,"missing: not collected"),EXACT(metadata!H570,"missing: not provided"),EXACT(metadata!H570,"missing: restricted access"))),AND(IF(metadata!H570="",FALSE,TRUE),OR(EXACT(metadata!H570,"organism-associated habitat"),EXACT(metadata!H570,"plant-associated habitat"),EXACT(metadata!H570,"animal-associated habitat"),EXACT(metadata!H570,"insecta-associated habitat"),EXACT(metadata!H570,"mammalia-associated habitat"),EXACT(metadata!H570,"human-associated habitat"),EXACT(metadata!H570,"livestock-associated habitat"))))</f>
        <v>0</v>
      </c>
      <c r="AK570" t="b">
        <f>AND(IF(metadata!I570="",FALSE,TRUE),EXACT(metadata!I570,"host-associated"))</f>
        <v>0</v>
      </c>
      <c r="AL570" t="b">
        <f>OR(AND(IF(metadata!J570="",FALSE,TRUE),OR(EXACT(metadata!J570,"not applicable"),EXACT(metadata!J570,"missing: not collected"),EXACT(metadata!J570,"missing: not provided"),EXACT(metadata!J570,"missing: restricted access"))),AND(IF(metadata!J570="",FALSE,ISNUMBER(VALUE(metadata!J570))),metadata!J570&gt;0))</f>
        <v>0</v>
      </c>
      <c r="AM570" t="b">
        <f>AND(IF(metadata!K570="",FALSE,TRUE),EXACT(metadata!K570,"missing: not provided"))</f>
        <v>0</v>
      </c>
      <c r="AN570" t="b">
        <f>IF(metadata!L570="",FALSE,TRUE)</f>
        <v>0</v>
      </c>
      <c r="AO570" t="b">
        <f>IF(metadata!M570="",FALSE,TRUE)</f>
        <v>0</v>
      </c>
      <c r="AP570" t="b">
        <f>OR(AND(IF(metadata!N570="",FALSE,TRUE),OR(EXACT(metadata!N570,"not applicable"),EXACT(metadata!N570,"missing: not collected"),EXACT(metadata!N570,"missing: not provided"))),AND(IF(metadata!N570="",FALSE,IF(ISERROR(INT(metadata!N570)),FALSE,INT(metadata!N570)=metadata!N570)),metadata!N570&gt;0))</f>
        <v>0</v>
      </c>
      <c r="AQ570" t="b">
        <f>AND(IF(metadata!O570="",FALSE,TRUE),EXACT(metadata!O570,"Not applicable"))</f>
        <v>0</v>
      </c>
      <c r="AR570" t="b">
        <f>OR(AND(IF(metadata!P570="",FALSE,TRUE),OR(EXACT(metadata!P570,"not applicable"),EXACT(metadata!P570,"missing: not collected"),EXACT(metadata!P570,"missing: not provided"),EXACT(metadata!P570,"missing: restricted access"))),IF(metadata!P570="",FALSE,IF(ISERROR(INT(metadata!P570)),FALSE,INT(metadata!P570)=metadata!P570)))</f>
        <v>0</v>
      </c>
      <c r="AS570" t="b">
        <f>AND(IF(metadata!Q570="",FALSE,TRUE),EXACT(metadata!Q570,"Not applicable"))</f>
        <v>0</v>
      </c>
      <c r="AT570" t="b">
        <f>OR(AND(IF(metadata!R570="",FALSE,TRUE),OR(EXACT(metadata!R570,"not applicable"),EXACT(metadata!R570,"missing: not collected"),EXACT(metadata!R570,"missing: not provided"),EXACT(metadata!R570,"missing: restricted access"))),AND(IF(metadata!R570="",FALSE,ISNUMBER(VALUE(metadata!R570))),metadata!R570&gt;0))</f>
        <v>0</v>
      </c>
      <c r="AU570" t="b">
        <f>AND(IF(metadata!S570="",FALSE,TRUE),EXACT(metadata!S570,"missing: not provided"))</f>
        <v>0</v>
      </c>
    </row>
    <row r="571" spans="1:47" x14ac:dyDescent="0.2">
      <c r="A571" s="5" t="str">
        <f ca="1">IF(B571=" "," ",HYPERLINK(CONCATENATE("#metadata!",ADDRESS(INDEX($Y$2:$Y$1001,MATCH(ROWS($W$2:W571),$W$2:$W$1001,0),0),1)),INDEX($AB$2:$AB$1001,MATCH(ROWS($W$2:W571),$W$2:$W$1001,0),0)))</f>
        <v xml:space="preserve"> </v>
      </c>
      <c r="B571" s="4" t="str">
        <f ca="1">IF(OR(INDEX($X$2:$X$1001,MATCH(ROWS($W$2:W571),$W$2:$W$1001,0),1)&gt;=100000,INDEX($AD$1005:$AU$1005,1,MATCH(COLUMNS($AD$1006:AD1006),$AD$1006:$AU$1006,0))&gt;=100000), " ",IF(INDEX($AD$2:$AU$1001,MATCH(ROWS($W$2:W571),$W$2:$W$1001,0),MATCH(COLUMNS($AD$1006:AD1006),$AD$1006:$AU$1006,0)), HYPERLINK("#",""), HYPERLINK(CONCATENATE("#metadata!", ADDRESS(INDEX($Y$2:$Y$1001,MATCH(ROWS($W$2:W571),$W$2:$W$1001,0),0), INDEX($AD$1004:$AU$1004,1,MATCH(COLUMNS($AD$1006:AD1006),$AD$1006:$AU$1006,0)))),"Fix")))</f>
        <v xml:space="preserve"> </v>
      </c>
      <c r="C571" s="4" t="str">
        <f ca="1">IF(OR(INDEX($X$2:$X$1001,MATCH(ROWS($W$2:W571),$W$2:$W$1001,0),1)&gt;=100000,INDEX($AD$1005:$AU$1005,1,MATCH(COLUMNS($AD$1006:AE1006),$AD$1006:$AU$1006,0))&gt;=100000), " ",IF(INDEX($AD$2:$AU$1001,MATCH(ROWS($W$2:W571),$W$2:$W$1001,0),MATCH(COLUMNS($AD$1006:AE1006),$AD$1006:$AU$1006,0)), HYPERLINK("#",""), HYPERLINK(CONCATENATE("#metadata!", ADDRESS(INDEX($Y$2:$Y$1001,MATCH(ROWS($W$2:W571),$W$2:$W$1001,0),0), INDEX($AD$1004:$AU$1004,1,MATCH(COLUMNS($AD$1006:AE1006),$AD$1006:$AU$1006,0)))),"Fix")))</f>
        <v xml:space="preserve"> </v>
      </c>
      <c r="D571" s="4" t="str">
        <f ca="1">IF(OR(INDEX($X$2:$X$1001,MATCH(ROWS($W$2:W571),$W$2:$W$1001,0),1)&gt;=100000,INDEX($AD$1005:$AU$1005,1,MATCH(COLUMNS($AD$1006:AF1006),$AD$1006:$AU$1006,0))&gt;=100000), " ",IF(INDEX($AD$2:$AU$1001,MATCH(ROWS($W$2:W571),$W$2:$W$1001,0),MATCH(COLUMNS($AD$1006:AF1006),$AD$1006:$AU$1006,0)), HYPERLINK("#",""), HYPERLINK(CONCATENATE("#metadata!", ADDRESS(INDEX($Y$2:$Y$1001,MATCH(ROWS($W$2:W571),$W$2:$W$1001,0),0), INDEX($AD$1004:$AU$1004,1,MATCH(COLUMNS($AD$1006:AF1006),$AD$1006:$AU$1006,0)))),"Fix")))</f>
        <v xml:space="preserve"> </v>
      </c>
      <c r="E571" s="4" t="str">
        <f ca="1">IF(OR(INDEX($X$2:$X$1001,MATCH(ROWS($W$2:W571),$W$2:$W$1001,0),1)&gt;=100000,INDEX($AD$1005:$AU$1005,1,MATCH(COLUMNS($AD$1006:AG1006),$AD$1006:$AU$1006,0))&gt;=100000), " ",IF(INDEX($AD$2:$AU$1001,MATCH(ROWS($W$2:W571),$W$2:$W$1001,0),MATCH(COLUMNS($AD$1006:AG1006),$AD$1006:$AU$1006,0)), HYPERLINK("#",""), HYPERLINK(CONCATENATE("#metadata!", ADDRESS(INDEX($Y$2:$Y$1001,MATCH(ROWS($W$2:W571),$W$2:$W$1001,0),0), INDEX($AD$1004:$AU$1004,1,MATCH(COLUMNS($AD$1006:AG1006),$AD$1006:$AU$1006,0)))),"Fix")))</f>
        <v xml:space="preserve"> </v>
      </c>
      <c r="F571" s="4" t="str">
        <f ca="1">IF(OR(INDEX($X$2:$X$1001,MATCH(ROWS($W$2:W571),$W$2:$W$1001,0),1)&gt;=100000,INDEX($AD$1005:$AU$1005,1,MATCH(COLUMNS($AD$1006:AH1006),$AD$1006:$AU$1006,0))&gt;=100000), " ",IF(INDEX($AD$2:$AU$1001,MATCH(ROWS($W$2:W571),$W$2:$W$1001,0),MATCH(COLUMNS($AD$1006:AH1006),$AD$1006:$AU$1006,0)), HYPERLINK("#",""), HYPERLINK(CONCATENATE("#metadata!", ADDRESS(INDEX($Y$2:$Y$1001,MATCH(ROWS($W$2:W571),$W$2:$W$1001,0),0), INDEX($AD$1004:$AU$1004,1,MATCH(COLUMNS($AD$1006:AH1006),$AD$1006:$AU$1006,0)))),"Fix")))</f>
        <v xml:space="preserve"> </v>
      </c>
      <c r="G571" s="4" t="str">
        <f ca="1">IF(OR(INDEX($X$2:$X$1001,MATCH(ROWS($W$2:W571),$W$2:$W$1001,0),1)&gt;=100000,INDEX($AD$1005:$AU$1005,1,MATCH(COLUMNS($AD$1006:AI1006),$AD$1006:$AU$1006,0))&gt;=100000), " ",IF(INDEX($AD$2:$AU$1001,MATCH(ROWS($W$2:W571),$W$2:$W$1001,0),MATCH(COLUMNS($AD$1006:AI1006),$AD$1006:$AU$1006,0)), HYPERLINK("#",""), HYPERLINK(CONCATENATE("#metadata!", ADDRESS(INDEX($Y$2:$Y$1001,MATCH(ROWS($W$2:W571),$W$2:$W$1001,0),0), INDEX($AD$1004:$AU$1004,1,MATCH(COLUMNS($AD$1006:AI1006),$AD$1006:$AU$1006,0)))),"Fix")))</f>
        <v xml:space="preserve"> </v>
      </c>
      <c r="H571" s="4" t="str">
        <f ca="1">IF(OR(INDEX($X$2:$X$1001,MATCH(ROWS($W$2:W571),$W$2:$W$1001,0),1)&gt;=100000,INDEX($AD$1005:$AU$1005,1,MATCH(COLUMNS($AD$1006:AJ1006),$AD$1006:$AU$1006,0))&gt;=100000), " ",IF(INDEX($AD$2:$AU$1001,MATCH(ROWS($W$2:W571),$W$2:$W$1001,0),MATCH(COLUMNS($AD$1006:AJ1006),$AD$1006:$AU$1006,0)), HYPERLINK("#",""), HYPERLINK(CONCATENATE("#metadata!", ADDRESS(INDEX($Y$2:$Y$1001,MATCH(ROWS($W$2:W571),$W$2:$W$1001,0),0), INDEX($AD$1004:$AU$1004,1,MATCH(COLUMNS($AD$1006:AJ1006),$AD$1006:$AU$1006,0)))),"Fix")))</f>
        <v xml:space="preserve"> </v>
      </c>
      <c r="I571" s="4" t="str">
        <f ca="1">IF(OR(INDEX($X$2:$X$1001,MATCH(ROWS($W$2:W571),$W$2:$W$1001,0),1)&gt;=100000,INDEX($AD$1005:$AU$1005,1,MATCH(COLUMNS($AD$1006:AK1006),$AD$1006:$AU$1006,0))&gt;=100000), " ",IF(INDEX($AD$2:$AU$1001,MATCH(ROWS($W$2:W571),$W$2:$W$1001,0),MATCH(COLUMNS($AD$1006:AK1006),$AD$1006:$AU$1006,0)), HYPERLINK("#",""), HYPERLINK(CONCATENATE("#metadata!", ADDRESS(INDEX($Y$2:$Y$1001,MATCH(ROWS($W$2:W571),$W$2:$W$1001,0),0), INDEX($AD$1004:$AU$1004,1,MATCH(COLUMNS($AD$1006:AK1006),$AD$1006:$AU$1006,0)))),"Fix")))</f>
        <v xml:space="preserve"> </v>
      </c>
      <c r="J571" s="4" t="str">
        <f ca="1">IF(OR(INDEX($X$2:$X$1001,MATCH(ROWS($W$2:W571),$W$2:$W$1001,0),1)&gt;=100000,INDEX($AD$1005:$AU$1005,1,MATCH(COLUMNS($AD$1006:AL1006),$AD$1006:$AU$1006,0))&gt;=100000), " ",IF(INDEX($AD$2:$AU$1001,MATCH(ROWS($W$2:W571),$W$2:$W$1001,0),MATCH(COLUMNS($AD$1006:AL1006),$AD$1006:$AU$1006,0)), HYPERLINK("#",""), HYPERLINK(CONCATENATE("#metadata!", ADDRESS(INDEX($Y$2:$Y$1001,MATCH(ROWS($W$2:W571),$W$2:$W$1001,0),0), INDEX($AD$1004:$AU$1004,1,MATCH(COLUMNS($AD$1006:AL1006),$AD$1006:$AU$1006,0)))),"Fix")))</f>
        <v xml:space="preserve"> </v>
      </c>
      <c r="K571" s="4" t="str">
        <f ca="1">IF(OR(INDEX($X$2:$X$1001,MATCH(ROWS($W$2:W571),$W$2:$W$1001,0),1)&gt;=100000,INDEX($AD$1005:$AU$1005,1,MATCH(COLUMNS($AD$1006:AM1006),$AD$1006:$AU$1006,0))&gt;=100000), " ",IF(INDEX($AD$2:$AU$1001,MATCH(ROWS($W$2:W571),$W$2:$W$1001,0),MATCH(COLUMNS($AD$1006:AM1006),$AD$1006:$AU$1006,0)), HYPERLINK("#",""), HYPERLINK(CONCATENATE("#metadata!", ADDRESS(INDEX($Y$2:$Y$1001,MATCH(ROWS($W$2:W571),$W$2:$W$1001,0),0), INDEX($AD$1004:$AU$1004,1,MATCH(COLUMNS($AD$1006:AM1006),$AD$1006:$AU$1006,0)))),"Fix")))</f>
        <v xml:space="preserve"> </v>
      </c>
      <c r="L571" s="4" t="str">
        <f ca="1">IF(OR(INDEX($X$2:$X$1001,MATCH(ROWS($W$2:W571),$W$2:$W$1001,0),1)&gt;=100000,INDEX($AD$1005:$AU$1005,1,MATCH(COLUMNS($AD$1006:AN1006),$AD$1006:$AU$1006,0))&gt;=100000), " ",IF(INDEX($AD$2:$AU$1001,MATCH(ROWS($W$2:W571),$W$2:$W$1001,0),MATCH(COLUMNS($AD$1006:AN1006),$AD$1006:$AU$1006,0)), HYPERLINK("#",""), HYPERLINK(CONCATENATE("#metadata!", ADDRESS(INDEX($Y$2:$Y$1001,MATCH(ROWS($W$2:W571),$W$2:$W$1001,0),0), INDEX($AD$1004:$AU$1004,1,MATCH(COLUMNS($AD$1006:AN1006),$AD$1006:$AU$1006,0)))),"Fix")))</f>
        <v xml:space="preserve"> </v>
      </c>
      <c r="M571" s="4" t="str">
        <f ca="1">IF(OR(INDEX($X$2:$X$1001,MATCH(ROWS($W$2:W571),$W$2:$W$1001,0),1)&gt;=100000,INDEX($AD$1005:$AU$1005,1,MATCH(COLUMNS($AD$1006:AO1006),$AD$1006:$AU$1006,0))&gt;=100000), " ",IF(INDEX($AD$2:$AU$1001,MATCH(ROWS($W$2:W571),$W$2:$W$1001,0),MATCH(COLUMNS($AD$1006:AO1006),$AD$1006:$AU$1006,0)), HYPERLINK("#",""), HYPERLINK(CONCATENATE("#metadata!", ADDRESS(INDEX($Y$2:$Y$1001,MATCH(ROWS($W$2:W571),$W$2:$W$1001,0),0), INDEX($AD$1004:$AU$1004,1,MATCH(COLUMNS($AD$1006:AO1006),$AD$1006:$AU$1006,0)))),"Fix")))</f>
        <v xml:space="preserve"> </v>
      </c>
      <c r="N571" s="4" t="str">
        <f ca="1">IF(OR(INDEX($X$2:$X$1001,MATCH(ROWS($W$2:W571),$W$2:$W$1001,0),1)&gt;=100000,INDEX($AD$1005:$AU$1005,1,MATCH(COLUMNS($AD$1006:AP1006),$AD$1006:$AU$1006,0))&gt;=100000), " ",IF(INDEX($AD$2:$AU$1001,MATCH(ROWS($W$2:W571),$W$2:$W$1001,0),MATCH(COLUMNS($AD$1006:AP1006),$AD$1006:$AU$1006,0)), HYPERLINK("#",""), HYPERLINK(CONCATENATE("#metadata!", ADDRESS(INDEX($Y$2:$Y$1001,MATCH(ROWS($W$2:W571),$W$2:$W$1001,0),0), INDEX($AD$1004:$AU$1004,1,MATCH(COLUMNS($AD$1006:AP1006),$AD$1006:$AU$1006,0)))),"Fix")))</f>
        <v xml:space="preserve"> </v>
      </c>
      <c r="O571" s="4" t="str">
        <f ca="1">IF(OR(INDEX($X$2:$X$1001,MATCH(ROWS($W$2:W571),$W$2:$W$1001,0),1)&gt;=100000,INDEX($AD$1005:$AU$1005,1,MATCH(COLUMNS($AD$1006:AQ1006),$AD$1006:$AU$1006,0))&gt;=100000), " ",IF(INDEX($AD$2:$AU$1001,MATCH(ROWS($W$2:W571),$W$2:$W$1001,0),MATCH(COLUMNS($AD$1006:AQ1006),$AD$1006:$AU$1006,0)), HYPERLINK("#",""), HYPERLINK(CONCATENATE("#metadata!", ADDRESS(INDEX($Y$2:$Y$1001,MATCH(ROWS($W$2:W571),$W$2:$W$1001,0),0), INDEX($AD$1004:$AU$1004,1,MATCH(COLUMNS($AD$1006:AQ1006),$AD$1006:$AU$1006,0)))),"Fix")))</f>
        <v xml:space="preserve"> </v>
      </c>
      <c r="P571" s="4" t="str">
        <f ca="1">IF(OR(INDEX($X$2:$X$1001,MATCH(ROWS($W$2:W571),$W$2:$W$1001,0),1)&gt;=100000,INDEX($AD$1005:$AU$1005,1,MATCH(COLUMNS($AD$1006:AR1006),$AD$1006:$AU$1006,0))&gt;=100000), " ",IF(INDEX($AD$2:$AU$1001,MATCH(ROWS($W$2:W571),$W$2:$W$1001,0),MATCH(COLUMNS($AD$1006:AR1006),$AD$1006:$AU$1006,0)), HYPERLINK("#",""), HYPERLINK(CONCATENATE("#metadata!", ADDRESS(INDEX($Y$2:$Y$1001,MATCH(ROWS($W$2:W571),$W$2:$W$1001,0),0), INDEX($AD$1004:$AU$1004,1,MATCH(COLUMNS($AD$1006:AR1006),$AD$1006:$AU$1006,0)))),"Fix")))</f>
        <v xml:space="preserve"> </v>
      </c>
      <c r="Q571" s="4" t="str">
        <f ca="1">IF(OR(INDEX($X$2:$X$1001,MATCH(ROWS($W$2:W571),$W$2:$W$1001,0),1)&gt;=100000,INDEX($AD$1005:$AU$1005,1,MATCH(COLUMNS($AD$1006:AS1006),$AD$1006:$AU$1006,0))&gt;=100000), " ",IF(INDEX($AD$2:$AU$1001,MATCH(ROWS($W$2:W571),$W$2:$W$1001,0),MATCH(COLUMNS($AD$1006:AS1006),$AD$1006:$AU$1006,0)), HYPERLINK("#",""), HYPERLINK(CONCATENATE("#metadata!", ADDRESS(INDEX($Y$2:$Y$1001,MATCH(ROWS($W$2:W571),$W$2:$W$1001,0),0), INDEX($AD$1004:$AU$1004,1,MATCH(COLUMNS($AD$1006:AS1006),$AD$1006:$AU$1006,0)))),"Fix")))</f>
        <v xml:space="preserve"> </v>
      </c>
      <c r="R571" s="4" t="str">
        <f ca="1">IF(OR(INDEX($X$2:$X$1001,MATCH(ROWS($W$2:W571),$W$2:$W$1001,0),1)&gt;=100000,INDEX($AD$1005:$AU$1005,1,MATCH(COLUMNS($AD$1006:AT1006),$AD$1006:$AU$1006,0))&gt;=100000), " ",IF(INDEX($AD$2:$AU$1001,MATCH(ROWS($W$2:W571),$W$2:$W$1001,0),MATCH(COLUMNS($AD$1006:AT1006),$AD$1006:$AU$1006,0)), HYPERLINK("#",""), HYPERLINK(CONCATENATE("#metadata!", ADDRESS(INDEX($Y$2:$Y$1001,MATCH(ROWS($W$2:W571),$W$2:$W$1001,0),0), INDEX($AD$1004:$AU$1004,1,MATCH(COLUMNS($AD$1006:AT1006),$AD$1006:$AU$1006,0)))),"Fix")))</f>
        <v xml:space="preserve"> </v>
      </c>
      <c r="S571" s="4" t="str">
        <f ca="1">IF(OR(INDEX($X$2:$X$1001,MATCH(ROWS($W$2:W571),$W$2:$W$1001,0),1)&gt;=100000,INDEX($AD$1005:$AU$1005,1,MATCH(COLUMNS($AD$1006:AU1006),$AD$1006:$AU$1006,0))&gt;=100000), " ",IF(INDEX($AD$2:$AU$1001,MATCH(ROWS($W$2:W571),$W$2:$W$1001,0),MATCH(COLUMNS($AD$1006:AU1006),$AD$1006:$AU$1006,0)), HYPERLINK("#",""), HYPERLINK(CONCATENATE("#metadata!", ADDRESS(INDEX($Y$2:$Y$1001,MATCH(ROWS($W$2:W571),$W$2:$W$1001,0),0), INDEX($AD$1004:$AU$1004,1,MATCH(COLUMNS($AD$1006:AU1006),$AD$1006:$AU$1006,0)))),"Fix")))</f>
        <v xml:space="preserve"> </v>
      </c>
      <c r="W571">
        <v>570</v>
      </c>
      <c r="X571">
        <v>100571</v>
      </c>
      <c r="Y571">
        <v>571</v>
      </c>
      <c r="Z571" t="b">
        <f t="shared" si="8"/>
        <v>1</v>
      </c>
      <c r="AA571" t="b">
        <f>COUNTBLANK(metadata!B571:S571)=COLUMNS(metadata!B571:S571)</f>
        <v>1</v>
      </c>
      <c r="AB571" t="str">
        <v/>
      </c>
      <c r="AD571" t="b">
        <f ca="1">AND(IF(metadata!B571="",FALSE,TRUE),COUNTIF(metadata!B:B, metadata!B571) = 1,NOT(ISERROR(SUMPRODUCT(SEARCH(MID(metadata!B571,ROW(INDIRECT("1:"&amp;LEN(metadata!B571))), 1),"0123456789abcdefghijklmnopqrstuvwxyzABCDEFGHIJKLMNOPQRSTUVWXYZ.")))))</f>
        <v>0</v>
      </c>
      <c r="AE571" t="b">
        <f>OR(AND(IF(metadata!C571="",FALSE,TRUE),OR(EXACT(metadata!C571,"not applicable"),EXACT(metadata!C571,"missing: not collected"),EXACT(metadata!C571,"missing: not provided"),EXACT(metadata!C571,"missing: restricted access"))),AND(IF(metadata!C571="",FALSE,ISNUMBER(VALUE(metadata!C571))),metadata!C571&gt;0))</f>
        <v>0</v>
      </c>
      <c r="AF571" t="b">
        <f>AND(IF(metadata!D571="",FALSE,TRUE),EXACT(metadata!D571,"missing: not provided"))</f>
        <v>0</v>
      </c>
      <c r="AG571" t="b">
        <f>AND(IF(metadata!E571="",FALSE,TRUE),EXACT(metadata!E571,"Host-associated"))</f>
        <v>0</v>
      </c>
      <c r="AH571" t="b">
        <f>AND(IF(metadata!F571="",FALSE,TRUE),OR(EXACT(metadata!F571,"Animal"),EXACT(metadata!F571,"Fungus"),EXACT(metadata!F571,"Plant")))</f>
        <v>0</v>
      </c>
      <c r="AI571" t="b">
        <f>AND(IF(metadata!G571="",FALSE,TRUE),OR(EXACT(metadata!G571,"Plant secretion"),EXACT(metadata!G571,"Plant rhizosphere"),EXACT(metadata!G571,"Plant surface"),EXACT(metadata!G571,"Plant corpus"),EXACT(metadata!G571,"Fungus surface"),EXACT(metadata!G571,"Fungus corpus"),EXACT(metadata!G571,"Animal surface"),EXACT(metadata!G571,"Animal proximal gut"),EXACT(metadata!G571,"Animal corpus"),EXACT(metadata!G571,"Animal distal gut"),EXACT(metadata!G571,"Animal secretion")))</f>
        <v>0</v>
      </c>
      <c r="AJ571" t="b">
        <f>OR(AND(IF(metadata!H571="",FALSE,TRUE),OR(EXACT(metadata!H571,"missing: not collected"),EXACT(metadata!H571,"missing: not provided"),EXACT(metadata!H571,"missing: restricted access"))),AND(IF(metadata!H571="",FALSE,TRUE),OR(EXACT(metadata!H571,"organism-associated habitat"),EXACT(metadata!H571,"plant-associated habitat"),EXACT(metadata!H571,"animal-associated habitat"),EXACT(metadata!H571,"insecta-associated habitat"),EXACT(metadata!H571,"mammalia-associated habitat"),EXACT(metadata!H571,"human-associated habitat"),EXACT(metadata!H571,"livestock-associated habitat"))))</f>
        <v>0</v>
      </c>
      <c r="AK571" t="b">
        <f>AND(IF(metadata!I571="",FALSE,TRUE),EXACT(metadata!I571,"host-associated"))</f>
        <v>0</v>
      </c>
      <c r="AL571" t="b">
        <f>OR(AND(IF(metadata!J571="",FALSE,TRUE),OR(EXACT(metadata!J571,"not applicable"),EXACT(metadata!J571,"missing: not collected"),EXACT(metadata!J571,"missing: not provided"),EXACT(metadata!J571,"missing: restricted access"))),AND(IF(metadata!J571="",FALSE,ISNUMBER(VALUE(metadata!J571))),metadata!J571&gt;0))</f>
        <v>0</v>
      </c>
      <c r="AM571" t="b">
        <f>AND(IF(metadata!K571="",FALSE,TRUE),EXACT(metadata!K571,"missing: not provided"))</f>
        <v>0</v>
      </c>
      <c r="AN571" t="b">
        <f>IF(metadata!L571="",FALSE,TRUE)</f>
        <v>0</v>
      </c>
      <c r="AO571" t="b">
        <f>IF(metadata!M571="",FALSE,TRUE)</f>
        <v>0</v>
      </c>
      <c r="AP571" t="b">
        <f>OR(AND(IF(metadata!N571="",FALSE,TRUE),OR(EXACT(metadata!N571,"not applicable"),EXACT(metadata!N571,"missing: not collected"),EXACT(metadata!N571,"missing: not provided"))),AND(IF(metadata!N571="",FALSE,IF(ISERROR(INT(metadata!N571)),FALSE,INT(metadata!N571)=metadata!N571)),metadata!N571&gt;0))</f>
        <v>0</v>
      </c>
      <c r="AQ571" t="b">
        <f>AND(IF(metadata!O571="",FALSE,TRUE),EXACT(metadata!O571,"Not applicable"))</f>
        <v>0</v>
      </c>
      <c r="AR571" t="b">
        <f>OR(AND(IF(metadata!P571="",FALSE,TRUE),OR(EXACT(metadata!P571,"not applicable"),EXACT(metadata!P571,"missing: not collected"),EXACT(metadata!P571,"missing: not provided"),EXACT(metadata!P571,"missing: restricted access"))),IF(metadata!P571="",FALSE,IF(ISERROR(INT(metadata!P571)),FALSE,INT(metadata!P571)=metadata!P571)))</f>
        <v>0</v>
      </c>
      <c r="AS571" t="b">
        <f>AND(IF(metadata!Q571="",FALSE,TRUE),EXACT(metadata!Q571,"Not applicable"))</f>
        <v>0</v>
      </c>
      <c r="AT571" t="b">
        <f>OR(AND(IF(metadata!R571="",FALSE,TRUE),OR(EXACT(metadata!R571,"not applicable"),EXACT(metadata!R571,"missing: not collected"),EXACT(metadata!R571,"missing: not provided"),EXACT(metadata!R571,"missing: restricted access"))),AND(IF(metadata!R571="",FALSE,ISNUMBER(VALUE(metadata!R571))),metadata!R571&gt;0))</f>
        <v>0</v>
      </c>
      <c r="AU571" t="b">
        <f>AND(IF(metadata!S571="",FALSE,TRUE),EXACT(metadata!S571,"missing: not provided"))</f>
        <v>0</v>
      </c>
    </row>
    <row r="572" spans="1:47" x14ac:dyDescent="0.2">
      <c r="A572" s="5" t="str">
        <f ca="1">IF(B572=" "," ",HYPERLINK(CONCATENATE("#metadata!",ADDRESS(INDEX($Y$2:$Y$1001,MATCH(ROWS($W$2:W572),$W$2:$W$1001,0),0),1)),INDEX($AB$2:$AB$1001,MATCH(ROWS($W$2:W572),$W$2:$W$1001,0),0)))</f>
        <v xml:space="preserve"> </v>
      </c>
      <c r="B572" s="4" t="str">
        <f ca="1">IF(OR(INDEX($X$2:$X$1001,MATCH(ROWS($W$2:W572),$W$2:$W$1001,0),1)&gt;=100000,INDEX($AD$1005:$AU$1005,1,MATCH(COLUMNS($AD$1006:AD1006),$AD$1006:$AU$1006,0))&gt;=100000), " ",IF(INDEX($AD$2:$AU$1001,MATCH(ROWS($W$2:W572),$W$2:$W$1001,0),MATCH(COLUMNS($AD$1006:AD1006),$AD$1006:$AU$1006,0)), HYPERLINK("#",""), HYPERLINK(CONCATENATE("#metadata!", ADDRESS(INDEX($Y$2:$Y$1001,MATCH(ROWS($W$2:W572),$W$2:$W$1001,0),0), INDEX($AD$1004:$AU$1004,1,MATCH(COLUMNS($AD$1006:AD1006),$AD$1006:$AU$1006,0)))),"Fix")))</f>
        <v xml:space="preserve"> </v>
      </c>
      <c r="C572" s="4" t="str">
        <f ca="1">IF(OR(INDEX($X$2:$X$1001,MATCH(ROWS($W$2:W572),$W$2:$W$1001,0),1)&gt;=100000,INDEX($AD$1005:$AU$1005,1,MATCH(COLUMNS($AD$1006:AE1006),$AD$1006:$AU$1006,0))&gt;=100000), " ",IF(INDEX($AD$2:$AU$1001,MATCH(ROWS($W$2:W572),$W$2:$W$1001,0),MATCH(COLUMNS($AD$1006:AE1006),$AD$1006:$AU$1006,0)), HYPERLINK("#",""), HYPERLINK(CONCATENATE("#metadata!", ADDRESS(INDEX($Y$2:$Y$1001,MATCH(ROWS($W$2:W572),$W$2:$W$1001,0),0), INDEX($AD$1004:$AU$1004,1,MATCH(COLUMNS($AD$1006:AE1006),$AD$1006:$AU$1006,0)))),"Fix")))</f>
        <v xml:space="preserve"> </v>
      </c>
      <c r="D572" s="4" t="str">
        <f ca="1">IF(OR(INDEX($X$2:$X$1001,MATCH(ROWS($W$2:W572),$W$2:$W$1001,0),1)&gt;=100000,INDEX($AD$1005:$AU$1005,1,MATCH(COLUMNS($AD$1006:AF1006),$AD$1006:$AU$1006,0))&gt;=100000), " ",IF(INDEX($AD$2:$AU$1001,MATCH(ROWS($W$2:W572),$W$2:$W$1001,0),MATCH(COLUMNS($AD$1006:AF1006),$AD$1006:$AU$1006,0)), HYPERLINK("#",""), HYPERLINK(CONCATENATE("#metadata!", ADDRESS(INDEX($Y$2:$Y$1001,MATCH(ROWS($W$2:W572),$W$2:$W$1001,0),0), INDEX($AD$1004:$AU$1004,1,MATCH(COLUMNS($AD$1006:AF1006),$AD$1006:$AU$1006,0)))),"Fix")))</f>
        <v xml:space="preserve"> </v>
      </c>
      <c r="E572" s="4" t="str">
        <f ca="1">IF(OR(INDEX($X$2:$X$1001,MATCH(ROWS($W$2:W572),$W$2:$W$1001,0),1)&gt;=100000,INDEX($AD$1005:$AU$1005,1,MATCH(COLUMNS($AD$1006:AG1006),$AD$1006:$AU$1006,0))&gt;=100000), " ",IF(INDEX($AD$2:$AU$1001,MATCH(ROWS($W$2:W572),$W$2:$W$1001,0),MATCH(COLUMNS($AD$1006:AG1006),$AD$1006:$AU$1006,0)), HYPERLINK("#",""), HYPERLINK(CONCATENATE("#metadata!", ADDRESS(INDEX($Y$2:$Y$1001,MATCH(ROWS($W$2:W572),$W$2:$W$1001,0),0), INDEX($AD$1004:$AU$1004,1,MATCH(COLUMNS($AD$1006:AG1006),$AD$1006:$AU$1006,0)))),"Fix")))</f>
        <v xml:space="preserve"> </v>
      </c>
      <c r="F572" s="4" t="str">
        <f ca="1">IF(OR(INDEX($X$2:$X$1001,MATCH(ROWS($W$2:W572),$W$2:$W$1001,0),1)&gt;=100000,INDEX($AD$1005:$AU$1005,1,MATCH(COLUMNS($AD$1006:AH1006),$AD$1006:$AU$1006,0))&gt;=100000), " ",IF(INDEX($AD$2:$AU$1001,MATCH(ROWS($W$2:W572),$W$2:$W$1001,0),MATCH(COLUMNS($AD$1006:AH1006),$AD$1006:$AU$1006,0)), HYPERLINK("#",""), HYPERLINK(CONCATENATE("#metadata!", ADDRESS(INDEX($Y$2:$Y$1001,MATCH(ROWS($W$2:W572),$W$2:$W$1001,0),0), INDEX($AD$1004:$AU$1004,1,MATCH(COLUMNS($AD$1006:AH1006),$AD$1006:$AU$1006,0)))),"Fix")))</f>
        <v xml:space="preserve"> </v>
      </c>
      <c r="G572" s="4" t="str">
        <f ca="1">IF(OR(INDEX($X$2:$X$1001,MATCH(ROWS($W$2:W572),$W$2:$W$1001,0),1)&gt;=100000,INDEX($AD$1005:$AU$1005,1,MATCH(COLUMNS($AD$1006:AI1006),$AD$1006:$AU$1006,0))&gt;=100000), " ",IF(INDEX($AD$2:$AU$1001,MATCH(ROWS($W$2:W572),$W$2:$W$1001,0),MATCH(COLUMNS($AD$1006:AI1006),$AD$1006:$AU$1006,0)), HYPERLINK("#",""), HYPERLINK(CONCATENATE("#metadata!", ADDRESS(INDEX($Y$2:$Y$1001,MATCH(ROWS($W$2:W572),$W$2:$W$1001,0),0), INDEX($AD$1004:$AU$1004,1,MATCH(COLUMNS($AD$1006:AI1006),$AD$1006:$AU$1006,0)))),"Fix")))</f>
        <v xml:space="preserve"> </v>
      </c>
      <c r="H572" s="4" t="str">
        <f ca="1">IF(OR(INDEX($X$2:$X$1001,MATCH(ROWS($W$2:W572),$W$2:$W$1001,0),1)&gt;=100000,INDEX($AD$1005:$AU$1005,1,MATCH(COLUMNS($AD$1006:AJ1006),$AD$1006:$AU$1006,0))&gt;=100000), " ",IF(INDEX($AD$2:$AU$1001,MATCH(ROWS($W$2:W572),$W$2:$W$1001,0),MATCH(COLUMNS($AD$1006:AJ1006),$AD$1006:$AU$1006,0)), HYPERLINK("#",""), HYPERLINK(CONCATENATE("#metadata!", ADDRESS(INDEX($Y$2:$Y$1001,MATCH(ROWS($W$2:W572),$W$2:$W$1001,0),0), INDEX($AD$1004:$AU$1004,1,MATCH(COLUMNS($AD$1006:AJ1006),$AD$1006:$AU$1006,0)))),"Fix")))</f>
        <v xml:space="preserve"> </v>
      </c>
      <c r="I572" s="4" t="str">
        <f ca="1">IF(OR(INDEX($X$2:$X$1001,MATCH(ROWS($W$2:W572),$W$2:$W$1001,0),1)&gt;=100000,INDEX($AD$1005:$AU$1005,1,MATCH(COLUMNS($AD$1006:AK1006),$AD$1006:$AU$1006,0))&gt;=100000), " ",IF(INDEX($AD$2:$AU$1001,MATCH(ROWS($W$2:W572),$W$2:$W$1001,0),MATCH(COLUMNS($AD$1006:AK1006),$AD$1006:$AU$1006,0)), HYPERLINK("#",""), HYPERLINK(CONCATENATE("#metadata!", ADDRESS(INDEX($Y$2:$Y$1001,MATCH(ROWS($W$2:W572),$W$2:$W$1001,0),0), INDEX($AD$1004:$AU$1004,1,MATCH(COLUMNS($AD$1006:AK1006),$AD$1006:$AU$1006,0)))),"Fix")))</f>
        <v xml:space="preserve"> </v>
      </c>
      <c r="J572" s="4" t="str">
        <f ca="1">IF(OR(INDEX($X$2:$X$1001,MATCH(ROWS($W$2:W572),$W$2:$W$1001,0),1)&gt;=100000,INDEX($AD$1005:$AU$1005,1,MATCH(COLUMNS($AD$1006:AL1006),$AD$1006:$AU$1006,0))&gt;=100000), " ",IF(INDEX($AD$2:$AU$1001,MATCH(ROWS($W$2:W572),$W$2:$W$1001,0),MATCH(COLUMNS($AD$1006:AL1006),$AD$1006:$AU$1006,0)), HYPERLINK("#",""), HYPERLINK(CONCATENATE("#metadata!", ADDRESS(INDEX($Y$2:$Y$1001,MATCH(ROWS($W$2:W572),$W$2:$W$1001,0),0), INDEX($AD$1004:$AU$1004,1,MATCH(COLUMNS($AD$1006:AL1006),$AD$1006:$AU$1006,0)))),"Fix")))</f>
        <v xml:space="preserve"> </v>
      </c>
      <c r="K572" s="4" t="str">
        <f ca="1">IF(OR(INDEX($X$2:$X$1001,MATCH(ROWS($W$2:W572),$W$2:$W$1001,0),1)&gt;=100000,INDEX($AD$1005:$AU$1005,1,MATCH(COLUMNS($AD$1006:AM1006),$AD$1006:$AU$1006,0))&gt;=100000), " ",IF(INDEX($AD$2:$AU$1001,MATCH(ROWS($W$2:W572),$W$2:$W$1001,0),MATCH(COLUMNS($AD$1006:AM1006),$AD$1006:$AU$1006,0)), HYPERLINK("#",""), HYPERLINK(CONCATENATE("#metadata!", ADDRESS(INDEX($Y$2:$Y$1001,MATCH(ROWS($W$2:W572),$W$2:$W$1001,0),0), INDEX($AD$1004:$AU$1004,1,MATCH(COLUMNS($AD$1006:AM1006),$AD$1006:$AU$1006,0)))),"Fix")))</f>
        <v xml:space="preserve"> </v>
      </c>
      <c r="L572" s="4" t="str">
        <f ca="1">IF(OR(INDEX($X$2:$X$1001,MATCH(ROWS($W$2:W572),$W$2:$W$1001,0),1)&gt;=100000,INDEX($AD$1005:$AU$1005,1,MATCH(COLUMNS($AD$1006:AN1006),$AD$1006:$AU$1006,0))&gt;=100000), " ",IF(INDEX($AD$2:$AU$1001,MATCH(ROWS($W$2:W572),$W$2:$W$1001,0),MATCH(COLUMNS($AD$1006:AN1006),$AD$1006:$AU$1006,0)), HYPERLINK("#",""), HYPERLINK(CONCATENATE("#metadata!", ADDRESS(INDEX($Y$2:$Y$1001,MATCH(ROWS($W$2:W572),$W$2:$W$1001,0),0), INDEX($AD$1004:$AU$1004,1,MATCH(COLUMNS($AD$1006:AN1006),$AD$1006:$AU$1006,0)))),"Fix")))</f>
        <v xml:space="preserve"> </v>
      </c>
      <c r="M572" s="4" t="str">
        <f ca="1">IF(OR(INDEX($X$2:$X$1001,MATCH(ROWS($W$2:W572),$W$2:$W$1001,0),1)&gt;=100000,INDEX($AD$1005:$AU$1005,1,MATCH(COLUMNS($AD$1006:AO1006),$AD$1006:$AU$1006,0))&gt;=100000), " ",IF(INDEX($AD$2:$AU$1001,MATCH(ROWS($W$2:W572),$W$2:$W$1001,0),MATCH(COLUMNS($AD$1006:AO1006),$AD$1006:$AU$1006,0)), HYPERLINK("#",""), HYPERLINK(CONCATENATE("#metadata!", ADDRESS(INDEX($Y$2:$Y$1001,MATCH(ROWS($W$2:W572),$W$2:$W$1001,0),0), INDEX($AD$1004:$AU$1004,1,MATCH(COLUMNS($AD$1006:AO1006),$AD$1006:$AU$1006,0)))),"Fix")))</f>
        <v xml:space="preserve"> </v>
      </c>
      <c r="N572" s="4" t="str">
        <f ca="1">IF(OR(INDEX($X$2:$X$1001,MATCH(ROWS($W$2:W572),$W$2:$W$1001,0),1)&gt;=100000,INDEX($AD$1005:$AU$1005,1,MATCH(COLUMNS($AD$1006:AP1006),$AD$1006:$AU$1006,0))&gt;=100000), " ",IF(INDEX($AD$2:$AU$1001,MATCH(ROWS($W$2:W572),$W$2:$W$1001,0),MATCH(COLUMNS($AD$1006:AP1006),$AD$1006:$AU$1006,0)), HYPERLINK("#",""), HYPERLINK(CONCATENATE("#metadata!", ADDRESS(INDEX($Y$2:$Y$1001,MATCH(ROWS($W$2:W572),$W$2:$W$1001,0),0), INDEX($AD$1004:$AU$1004,1,MATCH(COLUMNS($AD$1006:AP1006),$AD$1006:$AU$1006,0)))),"Fix")))</f>
        <v xml:space="preserve"> </v>
      </c>
      <c r="O572" s="4" t="str">
        <f ca="1">IF(OR(INDEX($X$2:$X$1001,MATCH(ROWS($W$2:W572),$W$2:$W$1001,0),1)&gt;=100000,INDEX($AD$1005:$AU$1005,1,MATCH(COLUMNS($AD$1006:AQ1006),$AD$1006:$AU$1006,0))&gt;=100000), " ",IF(INDEX($AD$2:$AU$1001,MATCH(ROWS($W$2:W572),$W$2:$W$1001,0),MATCH(COLUMNS($AD$1006:AQ1006),$AD$1006:$AU$1006,0)), HYPERLINK("#",""), HYPERLINK(CONCATENATE("#metadata!", ADDRESS(INDEX($Y$2:$Y$1001,MATCH(ROWS($W$2:W572),$W$2:$W$1001,0),0), INDEX($AD$1004:$AU$1004,1,MATCH(COLUMNS($AD$1006:AQ1006),$AD$1006:$AU$1006,0)))),"Fix")))</f>
        <v xml:space="preserve"> </v>
      </c>
      <c r="P572" s="4" t="str">
        <f ca="1">IF(OR(INDEX($X$2:$X$1001,MATCH(ROWS($W$2:W572),$W$2:$W$1001,0),1)&gt;=100000,INDEX($AD$1005:$AU$1005,1,MATCH(COLUMNS($AD$1006:AR1006),$AD$1006:$AU$1006,0))&gt;=100000), " ",IF(INDEX($AD$2:$AU$1001,MATCH(ROWS($W$2:W572),$W$2:$W$1001,0),MATCH(COLUMNS($AD$1006:AR1006),$AD$1006:$AU$1006,0)), HYPERLINK("#",""), HYPERLINK(CONCATENATE("#metadata!", ADDRESS(INDEX($Y$2:$Y$1001,MATCH(ROWS($W$2:W572),$W$2:$W$1001,0),0), INDEX($AD$1004:$AU$1004,1,MATCH(COLUMNS($AD$1006:AR1006),$AD$1006:$AU$1006,0)))),"Fix")))</f>
        <v xml:space="preserve"> </v>
      </c>
      <c r="Q572" s="4" t="str">
        <f ca="1">IF(OR(INDEX($X$2:$X$1001,MATCH(ROWS($W$2:W572),$W$2:$W$1001,0),1)&gt;=100000,INDEX($AD$1005:$AU$1005,1,MATCH(COLUMNS($AD$1006:AS1006),$AD$1006:$AU$1006,0))&gt;=100000), " ",IF(INDEX($AD$2:$AU$1001,MATCH(ROWS($W$2:W572),$W$2:$W$1001,0),MATCH(COLUMNS($AD$1006:AS1006),$AD$1006:$AU$1006,0)), HYPERLINK("#",""), HYPERLINK(CONCATENATE("#metadata!", ADDRESS(INDEX($Y$2:$Y$1001,MATCH(ROWS($W$2:W572),$W$2:$W$1001,0),0), INDEX($AD$1004:$AU$1004,1,MATCH(COLUMNS($AD$1006:AS1006),$AD$1006:$AU$1006,0)))),"Fix")))</f>
        <v xml:space="preserve"> </v>
      </c>
      <c r="R572" s="4" t="str">
        <f ca="1">IF(OR(INDEX($X$2:$X$1001,MATCH(ROWS($W$2:W572),$W$2:$W$1001,0),1)&gt;=100000,INDEX($AD$1005:$AU$1005,1,MATCH(COLUMNS($AD$1006:AT1006),$AD$1006:$AU$1006,0))&gt;=100000), " ",IF(INDEX($AD$2:$AU$1001,MATCH(ROWS($W$2:W572),$W$2:$W$1001,0),MATCH(COLUMNS($AD$1006:AT1006),$AD$1006:$AU$1006,0)), HYPERLINK("#",""), HYPERLINK(CONCATENATE("#metadata!", ADDRESS(INDEX($Y$2:$Y$1001,MATCH(ROWS($W$2:W572),$W$2:$W$1001,0),0), INDEX($AD$1004:$AU$1004,1,MATCH(COLUMNS($AD$1006:AT1006),$AD$1006:$AU$1006,0)))),"Fix")))</f>
        <v xml:space="preserve"> </v>
      </c>
      <c r="S572" s="4" t="str">
        <f ca="1">IF(OR(INDEX($X$2:$X$1001,MATCH(ROWS($W$2:W572),$W$2:$W$1001,0),1)&gt;=100000,INDEX($AD$1005:$AU$1005,1,MATCH(COLUMNS($AD$1006:AU1006),$AD$1006:$AU$1006,0))&gt;=100000), " ",IF(INDEX($AD$2:$AU$1001,MATCH(ROWS($W$2:W572),$W$2:$W$1001,0),MATCH(COLUMNS($AD$1006:AU1006),$AD$1006:$AU$1006,0)), HYPERLINK("#",""), HYPERLINK(CONCATENATE("#metadata!", ADDRESS(INDEX($Y$2:$Y$1001,MATCH(ROWS($W$2:W572),$W$2:$W$1001,0),0), INDEX($AD$1004:$AU$1004,1,MATCH(COLUMNS($AD$1006:AU1006),$AD$1006:$AU$1006,0)))),"Fix")))</f>
        <v xml:space="preserve"> </v>
      </c>
      <c r="W572">
        <v>571</v>
      </c>
      <c r="X572">
        <v>100572</v>
      </c>
      <c r="Y572">
        <v>572</v>
      </c>
      <c r="Z572" t="b">
        <f t="shared" si="8"/>
        <v>1</v>
      </c>
      <c r="AA572" t="b">
        <f>COUNTBLANK(metadata!B572:S572)=COLUMNS(metadata!B572:S572)</f>
        <v>1</v>
      </c>
      <c r="AB572" t="str">
        <v/>
      </c>
      <c r="AD572" t="b">
        <f ca="1">AND(IF(metadata!B572="",FALSE,TRUE),COUNTIF(metadata!B:B, metadata!B572) = 1,NOT(ISERROR(SUMPRODUCT(SEARCH(MID(metadata!B572,ROW(INDIRECT("1:"&amp;LEN(metadata!B572))), 1),"0123456789abcdefghijklmnopqrstuvwxyzABCDEFGHIJKLMNOPQRSTUVWXYZ.")))))</f>
        <v>0</v>
      </c>
      <c r="AE572" t="b">
        <f>OR(AND(IF(metadata!C572="",FALSE,TRUE),OR(EXACT(metadata!C572,"not applicable"),EXACT(metadata!C572,"missing: not collected"),EXACT(metadata!C572,"missing: not provided"),EXACT(metadata!C572,"missing: restricted access"))),AND(IF(metadata!C572="",FALSE,ISNUMBER(VALUE(metadata!C572))),metadata!C572&gt;0))</f>
        <v>0</v>
      </c>
      <c r="AF572" t="b">
        <f>AND(IF(metadata!D572="",FALSE,TRUE),EXACT(metadata!D572,"missing: not provided"))</f>
        <v>0</v>
      </c>
      <c r="AG572" t="b">
        <f>AND(IF(metadata!E572="",FALSE,TRUE),EXACT(metadata!E572,"Host-associated"))</f>
        <v>0</v>
      </c>
      <c r="AH572" t="b">
        <f>AND(IF(metadata!F572="",FALSE,TRUE),OR(EXACT(metadata!F572,"Animal"),EXACT(metadata!F572,"Fungus"),EXACT(metadata!F572,"Plant")))</f>
        <v>0</v>
      </c>
      <c r="AI572" t="b">
        <f>AND(IF(metadata!G572="",FALSE,TRUE),OR(EXACT(metadata!G572,"Plant secretion"),EXACT(metadata!G572,"Plant rhizosphere"),EXACT(metadata!G572,"Plant surface"),EXACT(metadata!G572,"Plant corpus"),EXACT(metadata!G572,"Fungus surface"),EXACT(metadata!G572,"Fungus corpus"),EXACT(metadata!G572,"Animal surface"),EXACT(metadata!G572,"Animal proximal gut"),EXACT(metadata!G572,"Animal corpus"),EXACT(metadata!G572,"Animal distal gut"),EXACT(metadata!G572,"Animal secretion")))</f>
        <v>0</v>
      </c>
      <c r="AJ572" t="b">
        <f>OR(AND(IF(metadata!H572="",FALSE,TRUE),OR(EXACT(metadata!H572,"missing: not collected"),EXACT(metadata!H572,"missing: not provided"),EXACT(metadata!H572,"missing: restricted access"))),AND(IF(metadata!H572="",FALSE,TRUE),OR(EXACT(metadata!H572,"organism-associated habitat"),EXACT(metadata!H572,"plant-associated habitat"),EXACT(metadata!H572,"animal-associated habitat"),EXACT(metadata!H572,"insecta-associated habitat"),EXACT(metadata!H572,"mammalia-associated habitat"),EXACT(metadata!H572,"human-associated habitat"),EXACT(metadata!H572,"livestock-associated habitat"))))</f>
        <v>0</v>
      </c>
      <c r="AK572" t="b">
        <f>AND(IF(metadata!I572="",FALSE,TRUE),EXACT(metadata!I572,"host-associated"))</f>
        <v>0</v>
      </c>
      <c r="AL572" t="b">
        <f>OR(AND(IF(metadata!J572="",FALSE,TRUE),OR(EXACT(metadata!J572,"not applicable"),EXACT(metadata!J572,"missing: not collected"),EXACT(metadata!J572,"missing: not provided"),EXACT(metadata!J572,"missing: restricted access"))),AND(IF(metadata!J572="",FALSE,ISNUMBER(VALUE(metadata!J572))),metadata!J572&gt;0))</f>
        <v>0</v>
      </c>
      <c r="AM572" t="b">
        <f>AND(IF(metadata!K572="",FALSE,TRUE),EXACT(metadata!K572,"missing: not provided"))</f>
        <v>0</v>
      </c>
      <c r="AN572" t="b">
        <f>IF(metadata!L572="",FALSE,TRUE)</f>
        <v>0</v>
      </c>
      <c r="AO572" t="b">
        <f>IF(metadata!M572="",FALSE,TRUE)</f>
        <v>0</v>
      </c>
      <c r="AP572" t="b">
        <f>OR(AND(IF(metadata!N572="",FALSE,TRUE),OR(EXACT(metadata!N572,"not applicable"),EXACT(metadata!N572,"missing: not collected"),EXACT(metadata!N572,"missing: not provided"))),AND(IF(metadata!N572="",FALSE,IF(ISERROR(INT(metadata!N572)),FALSE,INT(metadata!N572)=metadata!N572)),metadata!N572&gt;0))</f>
        <v>0</v>
      </c>
      <c r="AQ572" t="b">
        <f>AND(IF(metadata!O572="",FALSE,TRUE),EXACT(metadata!O572,"Not applicable"))</f>
        <v>0</v>
      </c>
      <c r="AR572" t="b">
        <f>OR(AND(IF(metadata!P572="",FALSE,TRUE),OR(EXACT(metadata!P572,"not applicable"),EXACT(metadata!P572,"missing: not collected"),EXACT(metadata!P572,"missing: not provided"),EXACT(metadata!P572,"missing: restricted access"))),IF(metadata!P572="",FALSE,IF(ISERROR(INT(metadata!P572)),FALSE,INT(metadata!P572)=metadata!P572)))</f>
        <v>0</v>
      </c>
      <c r="AS572" t="b">
        <f>AND(IF(metadata!Q572="",FALSE,TRUE),EXACT(metadata!Q572,"Not applicable"))</f>
        <v>0</v>
      </c>
      <c r="AT572" t="b">
        <f>OR(AND(IF(metadata!R572="",FALSE,TRUE),OR(EXACT(metadata!R572,"not applicable"),EXACT(metadata!R572,"missing: not collected"),EXACT(metadata!R572,"missing: not provided"),EXACT(metadata!R572,"missing: restricted access"))),AND(IF(metadata!R572="",FALSE,ISNUMBER(VALUE(metadata!R572))),metadata!R572&gt;0))</f>
        <v>0</v>
      </c>
      <c r="AU572" t="b">
        <f>AND(IF(metadata!S572="",FALSE,TRUE),EXACT(metadata!S572,"missing: not provided"))</f>
        <v>0</v>
      </c>
    </row>
    <row r="573" spans="1:47" x14ac:dyDescent="0.2">
      <c r="A573" s="5" t="str">
        <f ca="1">IF(B573=" "," ",HYPERLINK(CONCATENATE("#metadata!",ADDRESS(INDEX($Y$2:$Y$1001,MATCH(ROWS($W$2:W573),$W$2:$W$1001,0),0),1)),INDEX($AB$2:$AB$1001,MATCH(ROWS($W$2:W573),$W$2:$W$1001,0),0)))</f>
        <v xml:space="preserve"> </v>
      </c>
      <c r="B573" s="4" t="str">
        <f ca="1">IF(OR(INDEX($X$2:$X$1001,MATCH(ROWS($W$2:W573),$W$2:$W$1001,0),1)&gt;=100000,INDEX($AD$1005:$AU$1005,1,MATCH(COLUMNS($AD$1006:AD1006),$AD$1006:$AU$1006,0))&gt;=100000), " ",IF(INDEX($AD$2:$AU$1001,MATCH(ROWS($W$2:W573),$W$2:$W$1001,0),MATCH(COLUMNS($AD$1006:AD1006),$AD$1006:$AU$1006,0)), HYPERLINK("#",""), HYPERLINK(CONCATENATE("#metadata!", ADDRESS(INDEX($Y$2:$Y$1001,MATCH(ROWS($W$2:W573),$W$2:$W$1001,0),0), INDEX($AD$1004:$AU$1004,1,MATCH(COLUMNS($AD$1006:AD1006),$AD$1006:$AU$1006,0)))),"Fix")))</f>
        <v xml:space="preserve"> </v>
      </c>
      <c r="C573" s="4" t="str">
        <f ca="1">IF(OR(INDEX($X$2:$X$1001,MATCH(ROWS($W$2:W573),$W$2:$W$1001,0),1)&gt;=100000,INDEX($AD$1005:$AU$1005,1,MATCH(COLUMNS($AD$1006:AE1006),$AD$1006:$AU$1006,0))&gt;=100000), " ",IF(INDEX($AD$2:$AU$1001,MATCH(ROWS($W$2:W573),$W$2:$W$1001,0),MATCH(COLUMNS($AD$1006:AE1006),$AD$1006:$AU$1006,0)), HYPERLINK("#",""), HYPERLINK(CONCATENATE("#metadata!", ADDRESS(INDEX($Y$2:$Y$1001,MATCH(ROWS($W$2:W573),$W$2:$W$1001,0),0), INDEX($AD$1004:$AU$1004,1,MATCH(COLUMNS($AD$1006:AE1006),$AD$1006:$AU$1006,0)))),"Fix")))</f>
        <v xml:space="preserve"> </v>
      </c>
      <c r="D573" s="4" t="str">
        <f ca="1">IF(OR(INDEX($X$2:$X$1001,MATCH(ROWS($W$2:W573),$W$2:$W$1001,0),1)&gt;=100000,INDEX($AD$1005:$AU$1005,1,MATCH(COLUMNS($AD$1006:AF1006),$AD$1006:$AU$1006,0))&gt;=100000), " ",IF(INDEX($AD$2:$AU$1001,MATCH(ROWS($W$2:W573),$W$2:$W$1001,0),MATCH(COLUMNS($AD$1006:AF1006),$AD$1006:$AU$1006,0)), HYPERLINK("#",""), HYPERLINK(CONCATENATE("#metadata!", ADDRESS(INDEX($Y$2:$Y$1001,MATCH(ROWS($W$2:W573),$W$2:$W$1001,0),0), INDEX($AD$1004:$AU$1004,1,MATCH(COLUMNS($AD$1006:AF1006),$AD$1006:$AU$1006,0)))),"Fix")))</f>
        <v xml:space="preserve"> </v>
      </c>
      <c r="E573" s="4" t="str">
        <f ca="1">IF(OR(INDEX($X$2:$X$1001,MATCH(ROWS($W$2:W573),$W$2:$W$1001,0),1)&gt;=100000,INDEX($AD$1005:$AU$1005,1,MATCH(COLUMNS($AD$1006:AG1006),$AD$1006:$AU$1006,0))&gt;=100000), " ",IF(INDEX($AD$2:$AU$1001,MATCH(ROWS($W$2:W573),$W$2:$W$1001,0),MATCH(COLUMNS($AD$1006:AG1006),$AD$1006:$AU$1006,0)), HYPERLINK("#",""), HYPERLINK(CONCATENATE("#metadata!", ADDRESS(INDEX($Y$2:$Y$1001,MATCH(ROWS($W$2:W573),$W$2:$W$1001,0),0), INDEX($AD$1004:$AU$1004,1,MATCH(COLUMNS($AD$1006:AG1006),$AD$1006:$AU$1006,0)))),"Fix")))</f>
        <v xml:space="preserve"> </v>
      </c>
      <c r="F573" s="4" t="str">
        <f ca="1">IF(OR(INDEX($X$2:$X$1001,MATCH(ROWS($W$2:W573),$W$2:$W$1001,0),1)&gt;=100000,INDEX($AD$1005:$AU$1005,1,MATCH(COLUMNS($AD$1006:AH1006),$AD$1006:$AU$1006,0))&gt;=100000), " ",IF(INDEX($AD$2:$AU$1001,MATCH(ROWS($W$2:W573),$W$2:$W$1001,0),MATCH(COLUMNS($AD$1006:AH1006),$AD$1006:$AU$1006,0)), HYPERLINK("#",""), HYPERLINK(CONCATENATE("#metadata!", ADDRESS(INDEX($Y$2:$Y$1001,MATCH(ROWS($W$2:W573),$W$2:$W$1001,0),0), INDEX($AD$1004:$AU$1004,1,MATCH(COLUMNS($AD$1006:AH1006),$AD$1006:$AU$1006,0)))),"Fix")))</f>
        <v xml:space="preserve"> </v>
      </c>
      <c r="G573" s="4" t="str">
        <f ca="1">IF(OR(INDEX($X$2:$X$1001,MATCH(ROWS($W$2:W573),$W$2:$W$1001,0),1)&gt;=100000,INDEX($AD$1005:$AU$1005,1,MATCH(COLUMNS($AD$1006:AI1006),$AD$1006:$AU$1006,0))&gt;=100000), " ",IF(INDEX($AD$2:$AU$1001,MATCH(ROWS($W$2:W573),$W$2:$W$1001,0),MATCH(COLUMNS($AD$1006:AI1006),$AD$1006:$AU$1006,0)), HYPERLINK("#",""), HYPERLINK(CONCATENATE("#metadata!", ADDRESS(INDEX($Y$2:$Y$1001,MATCH(ROWS($W$2:W573),$W$2:$W$1001,0),0), INDEX($AD$1004:$AU$1004,1,MATCH(COLUMNS($AD$1006:AI1006),$AD$1006:$AU$1006,0)))),"Fix")))</f>
        <v xml:space="preserve"> </v>
      </c>
      <c r="H573" s="4" t="str">
        <f ca="1">IF(OR(INDEX($X$2:$X$1001,MATCH(ROWS($W$2:W573),$W$2:$W$1001,0),1)&gt;=100000,INDEX($AD$1005:$AU$1005,1,MATCH(COLUMNS($AD$1006:AJ1006),$AD$1006:$AU$1006,0))&gt;=100000), " ",IF(INDEX($AD$2:$AU$1001,MATCH(ROWS($W$2:W573),$W$2:$W$1001,0),MATCH(COLUMNS($AD$1006:AJ1006),$AD$1006:$AU$1006,0)), HYPERLINK("#",""), HYPERLINK(CONCATENATE("#metadata!", ADDRESS(INDEX($Y$2:$Y$1001,MATCH(ROWS($W$2:W573),$W$2:$W$1001,0),0), INDEX($AD$1004:$AU$1004,1,MATCH(COLUMNS($AD$1006:AJ1006),$AD$1006:$AU$1006,0)))),"Fix")))</f>
        <v xml:space="preserve"> </v>
      </c>
      <c r="I573" s="4" t="str">
        <f ca="1">IF(OR(INDEX($X$2:$X$1001,MATCH(ROWS($W$2:W573),$W$2:$W$1001,0),1)&gt;=100000,INDEX($AD$1005:$AU$1005,1,MATCH(COLUMNS($AD$1006:AK1006),$AD$1006:$AU$1006,0))&gt;=100000), " ",IF(INDEX($AD$2:$AU$1001,MATCH(ROWS($W$2:W573),$W$2:$W$1001,0),MATCH(COLUMNS($AD$1006:AK1006),$AD$1006:$AU$1006,0)), HYPERLINK("#",""), HYPERLINK(CONCATENATE("#metadata!", ADDRESS(INDEX($Y$2:$Y$1001,MATCH(ROWS($W$2:W573),$W$2:$W$1001,0),0), INDEX($AD$1004:$AU$1004,1,MATCH(COLUMNS($AD$1006:AK1006),$AD$1006:$AU$1006,0)))),"Fix")))</f>
        <v xml:space="preserve"> </v>
      </c>
      <c r="J573" s="4" t="str">
        <f ca="1">IF(OR(INDEX($X$2:$X$1001,MATCH(ROWS($W$2:W573),$W$2:$W$1001,0),1)&gt;=100000,INDEX($AD$1005:$AU$1005,1,MATCH(COLUMNS($AD$1006:AL1006),$AD$1006:$AU$1006,0))&gt;=100000), " ",IF(INDEX($AD$2:$AU$1001,MATCH(ROWS($W$2:W573),$W$2:$W$1001,0),MATCH(COLUMNS($AD$1006:AL1006),$AD$1006:$AU$1006,0)), HYPERLINK("#",""), HYPERLINK(CONCATENATE("#metadata!", ADDRESS(INDEX($Y$2:$Y$1001,MATCH(ROWS($W$2:W573),$W$2:$W$1001,0),0), INDEX($AD$1004:$AU$1004,1,MATCH(COLUMNS($AD$1006:AL1006),$AD$1006:$AU$1006,0)))),"Fix")))</f>
        <v xml:space="preserve"> </v>
      </c>
      <c r="K573" s="4" t="str">
        <f ca="1">IF(OR(INDEX($X$2:$X$1001,MATCH(ROWS($W$2:W573),$W$2:$W$1001,0),1)&gt;=100000,INDEX($AD$1005:$AU$1005,1,MATCH(COLUMNS($AD$1006:AM1006),$AD$1006:$AU$1006,0))&gt;=100000), " ",IF(INDEX($AD$2:$AU$1001,MATCH(ROWS($W$2:W573),$W$2:$W$1001,0),MATCH(COLUMNS($AD$1006:AM1006),$AD$1006:$AU$1006,0)), HYPERLINK("#",""), HYPERLINK(CONCATENATE("#metadata!", ADDRESS(INDEX($Y$2:$Y$1001,MATCH(ROWS($W$2:W573),$W$2:$W$1001,0),0), INDEX($AD$1004:$AU$1004,1,MATCH(COLUMNS($AD$1006:AM1006),$AD$1006:$AU$1006,0)))),"Fix")))</f>
        <v xml:space="preserve"> </v>
      </c>
      <c r="L573" s="4" t="str">
        <f ca="1">IF(OR(INDEX($X$2:$X$1001,MATCH(ROWS($W$2:W573),$W$2:$W$1001,0),1)&gt;=100000,INDEX($AD$1005:$AU$1005,1,MATCH(COLUMNS($AD$1006:AN1006),$AD$1006:$AU$1006,0))&gt;=100000), " ",IF(INDEX($AD$2:$AU$1001,MATCH(ROWS($W$2:W573),$W$2:$W$1001,0),MATCH(COLUMNS($AD$1006:AN1006),$AD$1006:$AU$1006,0)), HYPERLINK("#",""), HYPERLINK(CONCATENATE("#metadata!", ADDRESS(INDEX($Y$2:$Y$1001,MATCH(ROWS($W$2:W573),$W$2:$W$1001,0),0), INDEX($AD$1004:$AU$1004,1,MATCH(COLUMNS($AD$1006:AN1006),$AD$1006:$AU$1006,0)))),"Fix")))</f>
        <v xml:space="preserve"> </v>
      </c>
      <c r="M573" s="4" t="str">
        <f ca="1">IF(OR(INDEX($X$2:$X$1001,MATCH(ROWS($W$2:W573),$W$2:$W$1001,0),1)&gt;=100000,INDEX($AD$1005:$AU$1005,1,MATCH(COLUMNS($AD$1006:AO1006),$AD$1006:$AU$1006,0))&gt;=100000), " ",IF(INDEX($AD$2:$AU$1001,MATCH(ROWS($W$2:W573),$W$2:$W$1001,0),MATCH(COLUMNS($AD$1006:AO1006),$AD$1006:$AU$1006,0)), HYPERLINK("#",""), HYPERLINK(CONCATENATE("#metadata!", ADDRESS(INDEX($Y$2:$Y$1001,MATCH(ROWS($W$2:W573),$W$2:$W$1001,0),0), INDEX($AD$1004:$AU$1004,1,MATCH(COLUMNS($AD$1006:AO1006),$AD$1006:$AU$1006,0)))),"Fix")))</f>
        <v xml:space="preserve"> </v>
      </c>
      <c r="N573" s="4" t="str">
        <f ca="1">IF(OR(INDEX($X$2:$X$1001,MATCH(ROWS($W$2:W573),$W$2:$W$1001,0),1)&gt;=100000,INDEX($AD$1005:$AU$1005,1,MATCH(COLUMNS($AD$1006:AP1006),$AD$1006:$AU$1006,0))&gt;=100000), " ",IF(INDEX($AD$2:$AU$1001,MATCH(ROWS($W$2:W573),$W$2:$W$1001,0),MATCH(COLUMNS($AD$1006:AP1006),$AD$1006:$AU$1006,0)), HYPERLINK("#",""), HYPERLINK(CONCATENATE("#metadata!", ADDRESS(INDEX($Y$2:$Y$1001,MATCH(ROWS($W$2:W573),$W$2:$W$1001,0),0), INDEX($AD$1004:$AU$1004,1,MATCH(COLUMNS($AD$1006:AP1006),$AD$1006:$AU$1006,0)))),"Fix")))</f>
        <v xml:space="preserve"> </v>
      </c>
      <c r="O573" s="4" t="str">
        <f ca="1">IF(OR(INDEX($X$2:$X$1001,MATCH(ROWS($W$2:W573),$W$2:$W$1001,0),1)&gt;=100000,INDEX($AD$1005:$AU$1005,1,MATCH(COLUMNS($AD$1006:AQ1006),$AD$1006:$AU$1006,0))&gt;=100000), " ",IF(INDEX($AD$2:$AU$1001,MATCH(ROWS($W$2:W573),$W$2:$W$1001,0),MATCH(COLUMNS($AD$1006:AQ1006),$AD$1006:$AU$1006,0)), HYPERLINK("#",""), HYPERLINK(CONCATENATE("#metadata!", ADDRESS(INDEX($Y$2:$Y$1001,MATCH(ROWS($W$2:W573),$W$2:$W$1001,0),0), INDEX($AD$1004:$AU$1004,1,MATCH(COLUMNS($AD$1006:AQ1006),$AD$1006:$AU$1006,0)))),"Fix")))</f>
        <v xml:space="preserve"> </v>
      </c>
      <c r="P573" s="4" t="str">
        <f ca="1">IF(OR(INDEX($X$2:$X$1001,MATCH(ROWS($W$2:W573),$W$2:$W$1001,0),1)&gt;=100000,INDEX($AD$1005:$AU$1005,1,MATCH(COLUMNS($AD$1006:AR1006),$AD$1006:$AU$1006,0))&gt;=100000), " ",IF(INDEX($AD$2:$AU$1001,MATCH(ROWS($W$2:W573),$W$2:$W$1001,0),MATCH(COLUMNS($AD$1006:AR1006),$AD$1006:$AU$1006,0)), HYPERLINK("#",""), HYPERLINK(CONCATENATE("#metadata!", ADDRESS(INDEX($Y$2:$Y$1001,MATCH(ROWS($W$2:W573),$W$2:$W$1001,0),0), INDEX($AD$1004:$AU$1004,1,MATCH(COLUMNS($AD$1006:AR1006),$AD$1006:$AU$1006,0)))),"Fix")))</f>
        <v xml:space="preserve"> </v>
      </c>
      <c r="Q573" s="4" t="str">
        <f ca="1">IF(OR(INDEX($X$2:$X$1001,MATCH(ROWS($W$2:W573),$W$2:$W$1001,0),1)&gt;=100000,INDEX($AD$1005:$AU$1005,1,MATCH(COLUMNS($AD$1006:AS1006),$AD$1006:$AU$1006,0))&gt;=100000), " ",IF(INDEX($AD$2:$AU$1001,MATCH(ROWS($W$2:W573),$W$2:$W$1001,0),MATCH(COLUMNS($AD$1006:AS1006),$AD$1006:$AU$1006,0)), HYPERLINK("#",""), HYPERLINK(CONCATENATE("#metadata!", ADDRESS(INDEX($Y$2:$Y$1001,MATCH(ROWS($W$2:W573),$W$2:$W$1001,0),0), INDEX($AD$1004:$AU$1004,1,MATCH(COLUMNS($AD$1006:AS1006),$AD$1006:$AU$1006,0)))),"Fix")))</f>
        <v xml:space="preserve"> </v>
      </c>
      <c r="R573" s="4" t="str">
        <f ca="1">IF(OR(INDEX($X$2:$X$1001,MATCH(ROWS($W$2:W573),$W$2:$W$1001,0),1)&gt;=100000,INDEX($AD$1005:$AU$1005,1,MATCH(COLUMNS($AD$1006:AT1006),$AD$1006:$AU$1006,0))&gt;=100000), " ",IF(INDEX($AD$2:$AU$1001,MATCH(ROWS($W$2:W573),$W$2:$W$1001,0),MATCH(COLUMNS($AD$1006:AT1006),$AD$1006:$AU$1006,0)), HYPERLINK("#",""), HYPERLINK(CONCATENATE("#metadata!", ADDRESS(INDEX($Y$2:$Y$1001,MATCH(ROWS($W$2:W573),$W$2:$W$1001,0),0), INDEX($AD$1004:$AU$1004,1,MATCH(COLUMNS($AD$1006:AT1006),$AD$1006:$AU$1006,0)))),"Fix")))</f>
        <v xml:space="preserve"> </v>
      </c>
      <c r="S573" s="4" t="str">
        <f ca="1">IF(OR(INDEX($X$2:$X$1001,MATCH(ROWS($W$2:W573),$W$2:$W$1001,0),1)&gt;=100000,INDEX($AD$1005:$AU$1005,1,MATCH(COLUMNS($AD$1006:AU1006),$AD$1006:$AU$1006,0))&gt;=100000), " ",IF(INDEX($AD$2:$AU$1001,MATCH(ROWS($W$2:W573),$W$2:$W$1001,0),MATCH(COLUMNS($AD$1006:AU1006),$AD$1006:$AU$1006,0)), HYPERLINK("#",""), HYPERLINK(CONCATENATE("#metadata!", ADDRESS(INDEX($Y$2:$Y$1001,MATCH(ROWS($W$2:W573),$W$2:$W$1001,0),0), INDEX($AD$1004:$AU$1004,1,MATCH(COLUMNS($AD$1006:AU1006),$AD$1006:$AU$1006,0)))),"Fix")))</f>
        <v xml:space="preserve"> </v>
      </c>
      <c r="W573">
        <v>572</v>
      </c>
      <c r="X573">
        <v>100573</v>
      </c>
      <c r="Y573">
        <v>573</v>
      </c>
      <c r="Z573" t="b">
        <f t="shared" si="8"/>
        <v>1</v>
      </c>
      <c r="AA573" t="b">
        <f>COUNTBLANK(metadata!B573:S573)=COLUMNS(metadata!B573:S573)</f>
        <v>1</v>
      </c>
      <c r="AB573" t="str">
        <v/>
      </c>
      <c r="AD573" t="b">
        <f ca="1">AND(IF(metadata!B573="",FALSE,TRUE),COUNTIF(metadata!B:B, metadata!B573) = 1,NOT(ISERROR(SUMPRODUCT(SEARCH(MID(metadata!B573,ROW(INDIRECT("1:"&amp;LEN(metadata!B573))), 1),"0123456789abcdefghijklmnopqrstuvwxyzABCDEFGHIJKLMNOPQRSTUVWXYZ.")))))</f>
        <v>0</v>
      </c>
      <c r="AE573" t="b">
        <f>OR(AND(IF(metadata!C573="",FALSE,TRUE),OR(EXACT(metadata!C573,"not applicable"),EXACT(metadata!C573,"missing: not collected"),EXACT(metadata!C573,"missing: not provided"),EXACT(metadata!C573,"missing: restricted access"))),AND(IF(metadata!C573="",FALSE,ISNUMBER(VALUE(metadata!C573))),metadata!C573&gt;0))</f>
        <v>0</v>
      </c>
      <c r="AF573" t="b">
        <f>AND(IF(metadata!D573="",FALSE,TRUE),EXACT(metadata!D573,"missing: not provided"))</f>
        <v>0</v>
      </c>
      <c r="AG573" t="b">
        <f>AND(IF(metadata!E573="",FALSE,TRUE),EXACT(metadata!E573,"Host-associated"))</f>
        <v>0</v>
      </c>
      <c r="AH573" t="b">
        <f>AND(IF(metadata!F573="",FALSE,TRUE),OR(EXACT(metadata!F573,"Animal"),EXACT(metadata!F573,"Fungus"),EXACT(metadata!F573,"Plant")))</f>
        <v>0</v>
      </c>
      <c r="AI573" t="b">
        <f>AND(IF(metadata!G573="",FALSE,TRUE),OR(EXACT(metadata!G573,"Plant secretion"),EXACT(metadata!G573,"Plant rhizosphere"),EXACT(metadata!G573,"Plant surface"),EXACT(metadata!G573,"Plant corpus"),EXACT(metadata!G573,"Fungus surface"),EXACT(metadata!G573,"Fungus corpus"),EXACT(metadata!G573,"Animal surface"),EXACT(metadata!G573,"Animal proximal gut"),EXACT(metadata!G573,"Animal corpus"),EXACT(metadata!G573,"Animal distal gut"),EXACT(metadata!G573,"Animal secretion")))</f>
        <v>0</v>
      </c>
      <c r="AJ573" t="b">
        <f>OR(AND(IF(metadata!H573="",FALSE,TRUE),OR(EXACT(metadata!H573,"missing: not collected"),EXACT(metadata!H573,"missing: not provided"),EXACT(metadata!H573,"missing: restricted access"))),AND(IF(metadata!H573="",FALSE,TRUE),OR(EXACT(metadata!H573,"organism-associated habitat"),EXACT(metadata!H573,"plant-associated habitat"),EXACT(metadata!H573,"animal-associated habitat"),EXACT(metadata!H573,"insecta-associated habitat"),EXACT(metadata!H573,"mammalia-associated habitat"),EXACT(metadata!H573,"human-associated habitat"),EXACT(metadata!H573,"livestock-associated habitat"))))</f>
        <v>0</v>
      </c>
      <c r="AK573" t="b">
        <f>AND(IF(metadata!I573="",FALSE,TRUE),EXACT(metadata!I573,"host-associated"))</f>
        <v>0</v>
      </c>
      <c r="AL573" t="b">
        <f>OR(AND(IF(metadata!J573="",FALSE,TRUE),OR(EXACT(metadata!J573,"not applicable"),EXACT(metadata!J573,"missing: not collected"),EXACT(metadata!J573,"missing: not provided"),EXACT(metadata!J573,"missing: restricted access"))),AND(IF(metadata!J573="",FALSE,ISNUMBER(VALUE(metadata!J573))),metadata!J573&gt;0))</f>
        <v>0</v>
      </c>
      <c r="AM573" t="b">
        <f>AND(IF(metadata!K573="",FALSE,TRUE),EXACT(metadata!K573,"missing: not provided"))</f>
        <v>0</v>
      </c>
      <c r="AN573" t="b">
        <f>IF(metadata!L573="",FALSE,TRUE)</f>
        <v>0</v>
      </c>
      <c r="AO573" t="b">
        <f>IF(metadata!M573="",FALSE,TRUE)</f>
        <v>0</v>
      </c>
      <c r="AP573" t="b">
        <f>OR(AND(IF(metadata!N573="",FALSE,TRUE),OR(EXACT(metadata!N573,"not applicable"),EXACT(metadata!N573,"missing: not collected"),EXACT(metadata!N573,"missing: not provided"))),AND(IF(metadata!N573="",FALSE,IF(ISERROR(INT(metadata!N573)),FALSE,INT(metadata!N573)=metadata!N573)),metadata!N573&gt;0))</f>
        <v>0</v>
      </c>
      <c r="AQ573" t="b">
        <f>AND(IF(metadata!O573="",FALSE,TRUE),EXACT(metadata!O573,"Not applicable"))</f>
        <v>0</v>
      </c>
      <c r="AR573" t="b">
        <f>OR(AND(IF(metadata!P573="",FALSE,TRUE),OR(EXACT(metadata!P573,"not applicable"),EXACT(metadata!P573,"missing: not collected"),EXACT(metadata!P573,"missing: not provided"),EXACT(metadata!P573,"missing: restricted access"))),IF(metadata!P573="",FALSE,IF(ISERROR(INT(metadata!P573)),FALSE,INT(metadata!P573)=metadata!P573)))</f>
        <v>0</v>
      </c>
      <c r="AS573" t="b">
        <f>AND(IF(metadata!Q573="",FALSE,TRUE),EXACT(metadata!Q573,"Not applicable"))</f>
        <v>0</v>
      </c>
      <c r="AT573" t="b">
        <f>OR(AND(IF(metadata!R573="",FALSE,TRUE),OR(EXACT(metadata!R573,"not applicable"),EXACT(metadata!R573,"missing: not collected"),EXACT(metadata!R573,"missing: not provided"),EXACT(metadata!R573,"missing: restricted access"))),AND(IF(metadata!R573="",FALSE,ISNUMBER(VALUE(metadata!R573))),metadata!R573&gt;0))</f>
        <v>0</v>
      </c>
      <c r="AU573" t="b">
        <f>AND(IF(metadata!S573="",FALSE,TRUE),EXACT(metadata!S573,"missing: not provided"))</f>
        <v>0</v>
      </c>
    </row>
    <row r="574" spans="1:47" x14ac:dyDescent="0.2">
      <c r="A574" s="5" t="str">
        <f ca="1">IF(B574=" "," ",HYPERLINK(CONCATENATE("#metadata!",ADDRESS(INDEX($Y$2:$Y$1001,MATCH(ROWS($W$2:W574),$W$2:$W$1001,0),0),1)),INDEX($AB$2:$AB$1001,MATCH(ROWS($W$2:W574),$W$2:$W$1001,0),0)))</f>
        <v xml:space="preserve"> </v>
      </c>
      <c r="B574" s="4" t="str">
        <f ca="1">IF(OR(INDEX($X$2:$X$1001,MATCH(ROWS($W$2:W574),$W$2:$W$1001,0),1)&gt;=100000,INDEX($AD$1005:$AU$1005,1,MATCH(COLUMNS($AD$1006:AD1006),$AD$1006:$AU$1006,0))&gt;=100000), " ",IF(INDEX($AD$2:$AU$1001,MATCH(ROWS($W$2:W574),$W$2:$W$1001,0),MATCH(COLUMNS($AD$1006:AD1006),$AD$1006:$AU$1006,0)), HYPERLINK("#",""), HYPERLINK(CONCATENATE("#metadata!", ADDRESS(INDEX($Y$2:$Y$1001,MATCH(ROWS($W$2:W574),$W$2:$W$1001,0),0), INDEX($AD$1004:$AU$1004,1,MATCH(COLUMNS($AD$1006:AD1006),$AD$1006:$AU$1006,0)))),"Fix")))</f>
        <v xml:space="preserve"> </v>
      </c>
      <c r="C574" s="4" t="str">
        <f ca="1">IF(OR(INDEX($X$2:$X$1001,MATCH(ROWS($W$2:W574),$W$2:$W$1001,0),1)&gt;=100000,INDEX($AD$1005:$AU$1005,1,MATCH(COLUMNS($AD$1006:AE1006),$AD$1006:$AU$1006,0))&gt;=100000), " ",IF(INDEX($AD$2:$AU$1001,MATCH(ROWS($W$2:W574),$W$2:$W$1001,0),MATCH(COLUMNS($AD$1006:AE1006),$AD$1006:$AU$1006,0)), HYPERLINK("#",""), HYPERLINK(CONCATENATE("#metadata!", ADDRESS(INDEX($Y$2:$Y$1001,MATCH(ROWS($W$2:W574),$W$2:$W$1001,0),0), INDEX($AD$1004:$AU$1004,1,MATCH(COLUMNS($AD$1006:AE1006),$AD$1006:$AU$1006,0)))),"Fix")))</f>
        <v xml:space="preserve"> </v>
      </c>
      <c r="D574" s="4" t="str">
        <f ca="1">IF(OR(INDEX($X$2:$X$1001,MATCH(ROWS($W$2:W574),$W$2:$W$1001,0),1)&gt;=100000,INDEX($AD$1005:$AU$1005,1,MATCH(COLUMNS($AD$1006:AF1006),$AD$1006:$AU$1006,0))&gt;=100000), " ",IF(INDEX($AD$2:$AU$1001,MATCH(ROWS($W$2:W574),$W$2:$W$1001,0),MATCH(COLUMNS($AD$1006:AF1006),$AD$1006:$AU$1006,0)), HYPERLINK("#",""), HYPERLINK(CONCATENATE("#metadata!", ADDRESS(INDEX($Y$2:$Y$1001,MATCH(ROWS($W$2:W574),$W$2:$W$1001,0),0), INDEX($AD$1004:$AU$1004,1,MATCH(COLUMNS($AD$1006:AF1006),$AD$1006:$AU$1006,0)))),"Fix")))</f>
        <v xml:space="preserve"> </v>
      </c>
      <c r="E574" s="4" t="str">
        <f ca="1">IF(OR(INDEX($X$2:$X$1001,MATCH(ROWS($W$2:W574),$W$2:$W$1001,0),1)&gt;=100000,INDEX($AD$1005:$AU$1005,1,MATCH(COLUMNS($AD$1006:AG1006),$AD$1006:$AU$1006,0))&gt;=100000), " ",IF(INDEX($AD$2:$AU$1001,MATCH(ROWS($W$2:W574),$W$2:$W$1001,0),MATCH(COLUMNS($AD$1006:AG1006),$AD$1006:$AU$1006,0)), HYPERLINK("#",""), HYPERLINK(CONCATENATE("#metadata!", ADDRESS(INDEX($Y$2:$Y$1001,MATCH(ROWS($W$2:W574),$W$2:$W$1001,0),0), INDEX($AD$1004:$AU$1004,1,MATCH(COLUMNS($AD$1006:AG1006),$AD$1006:$AU$1006,0)))),"Fix")))</f>
        <v xml:space="preserve"> </v>
      </c>
      <c r="F574" s="4" t="str">
        <f ca="1">IF(OR(INDEX($X$2:$X$1001,MATCH(ROWS($W$2:W574),$W$2:$W$1001,0),1)&gt;=100000,INDEX($AD$1005:$AU$1005,1,MATCH(COLUMNS($AD$1006:AH1006),$AD$1006:$AU$1006,0))&gt;=100000), " ",IF(INDEX($AD$2:$AU$1001,MATCH(ROWS($W$2:W574),$W$2:$W$1001,0),MATCH(COLUMNS($AD$1006:AH1006),$AD$1006:$AU$1006,0)), HYPERLINK("#",""), HYPERLINK(CONCATENATE("#metadata!", ADDRESS(INDEX($Y$2:$Y$1001,MATCH(ROWS($W$2:W574),$W$2:$W$1001,0),0), INDEX($AD$1004:$AU$1004,1,MATCH(COLUMNS($AD$1006:AH1006),$AD$1006:$AU$1006,0)))),"Fix")))</f>
        <v xml:space="preserve"> </v>
      </c>
      <c r="G574" s="4" t="str">
        <f ca="1">IF(OR(INDEX($X$2:$X$1001,MATCH(ROWS($W$2:W574),$W$2:$W$1001,0),1)&gt;=100000,INDEX($AD$1005:$AU$1005,1,MATCH(COLUMNS($AD$1006:AI1006),$AD$1006:$AU$1006,0))&gt;=100000), " ",IF(INDEX($AD$2:$AU$1001,MATCH(ROWS($W$2:W574),$W$2:$W$1001,0),MATCH(COLUMNS($AD$1006:AI1006),$AD$1006:$AU$1006,0)), HYPERLINK("#",""), HYPERLINK(CONCATENATE("#metadata!", ADDRESS(INDEX($Y$2:$Y$1001,MATCH(ROWS($W$2:W574),$W$2:$W$1001,0),0), INDEX($AD$1004:$AU$1004,1,MATCH(COLUMNS($AD$1006:AI1006),$AD$1006:$AU$1006,0)))),"Fix")))</f>
        <v xml:space="preserve"> </v>
      </c>
      <c r="H574" s="4" t="str">
        <f ca="1">IF(OR(INDEX($X$2:$X$1001,MATCH(ROWS($W$2:W574),$W$2:$W$1001,0),1)&gt;=100000,INDEX($AD$1005:$AU$1005,1,MATCH(COLUMNS($AD$1006:AJ1006),$AD$1006:$AU$1006,0))&gt;=100000), " ",IF(INDEX($AD$2:$AU$1001,MATCH(ROWS($W$2:W574),$W$2:$W$1001,0),MATCH(COLUMNS($AD$1006:AJ1006),$AD$1006:$AU$1006,0)), HYPERLINK("#",""), HYPERLINK(CONCATENATE("#metadata!", ADDRESS(INDEX($Y$2:$Y$1001,MATCH(ROWS($W$2:W574),$W$2:$W$1001,0),0), INDEX($AD$1004:$AU$1004,1,MATCH(COLUMNS($AD$1006:AJ1006),$AD$1006:$AU$1006,0)))),"Fix")))</f>
        <v xml:space="preserve"> </v>
      </c>
      <c r="I574" s="4" t="str">
        <f ca="1">IF(OR(INDEX($X$2:$X$1001,MATCH(ROWS($W$2:W574),$W$2:$W$1001,0),1)&gt;=100000,INDEX($AD$1005:$AU$1005,1,MATCH(COLUMNS($AD$1006:AK1006),$AD$1006:$AU$1006,0))&gt;=100000), " ",IF(INDEX($AD$2:$AU$1001,MATCH(ROWS($W$2:W574),$W$2:$W$1001,0),MATCH(COLUMNS($AD$1006:AK1006),$AD$1006:$AU$1006,0)), HYPERLINK("#",""), HYPERLINK(CONCATENATE("#metadata!", ADDRESS(INDEX($Y$2:$Y$1001,MATCH(ROWS($W$2:W574),$W$2:$W$1001,0),0), INDEX($AD$1004:$AU$1004,1,MATCH(COLUMNS($AD$1006:AK1006),$AD$1006:$AU$1006,0)))),"Fix")))</f>
        <v xml:space="preserve"> </v>
      </c>
      <c r="J574" s="4" t="str">
        <f ca="1">IF(OR(INDEX($X$2:$X$1001,MATCH(ROWS($W$2:W574),$W$2:$W$1001,0),1)&gt;=100000,INDEX($AD$1005:$AU$1005,1,MATCH(COLUMNS($AD$1006:AL1006),$AD$1006:$AU$1006,0))&gt;=100000), " ",IF(INDEX($AD$2:$AU$1001,MATCH(ROWS($W$2:W574),$W$2:$W$1001,0),MATCH(COLUMNS($AD$1006:AL1006),$AD$1006:$AU$1006,0)), HYPERLINK("#",""), HYPERLINK(CONCATENATE("#metadata!", ADDRESS(INDEX($Y$2:$Y$1001,MATCH(ROWS($W$2:W574),$W$2:$W$1001,0),0), INDEX($AD$1004:$AU$1004,1,MATCH(COLUMNS($AD$1006:AL1006),$AD$1006:$AU$1006,0)))),"Fix")))</f>
        <v xml:space="preserve"> </v>
      </c>
      <c r="K574" s="4" t="str">
        <f ca="1">IF(OR(INDEX($X$2:$X$1001,MATCH(ROWS($W$2:W574),$W$2:$W$1001,0),1)&gt;=100000,INDEX($AD$1005:$AU$1005,1,MATCH(COLUMNS($AD$1006:AM1006),$AD$1006:$AU$1006,0))&gt;=100000), " ",IF(INDEX($AD$2:$AU$1001,MATCH(ROWS($W$2:W574),$W$2:$W$1001,0),MATCH(COLUMNS($AD$1006:AM1006),$AD$1006:$AU$1006,0)), HYPERLINK("#",""), HYPERLINK(CONCATENATE("#metadata!", ADDRESS(INDEX($Y$2:$Y$1001,MATCH(ROWS($W$2:W574),$W$2:$W$1001,0),0), INDEX($AD$1004:$AU$1004,1,MATCH(COLUMNS($AD$1006:AM1006),$AD$1006:$AU$1006,0)))),"Fix")))</f>
        <v xml:space="preserve"> </v>
      </c>
      <c r="L574" s="4" t="str">
        <f ca="1">IF(OR(INDEX($X$2:$X$1001,MATCH(ROWS($W$2:W574),$W$2:$W$1001,0),1)&gt;=100000,INDEX($AD$1005:$AU$1005,1,MATCH(COLUMNS($AD$1006:AN1006),$AD$1006:$AU$1006,0))&gt;=100000), " ",IF(INDEX($AD$2:$AU$1001,MATCH(ROWS($W$2:W574),$W$2:$W$1001,0),MATCH(COLUMNS($AD$1006:AN1006),$AD$1006:$AU$1006,0)), HYPERLINK("#",""), HYPERLINK(CONCATENATE("#metadata!", ADDRESS(INDEX($Y$2:$Y$1001,MATCH(ROWS($W$2:W574),$W$2:$W$1001,0),0), INDEX($AD$1004:$AU$1004,1,MATCH(COLUMNS($AD$1006:AN1006),$AD$1006:$AU$1006,0)))),"Fix")))</f>
        <v xml:space="preserve"> </v>
      </c>
      <c r="M574" s="4" t="str">
        <f ca="1">IF(OR(INDEX($X$2:$X$1001,MATCH(ROWS($W$2:W574),$W$2:$W$1001,0),1)&gt;=100000,INDEX($AD$1005:$AU$1005,1,MATCH(COLUMNS($AD$1006:AO1006),$AD$1006:$AU$1006,0))&gt;=100000), " ",IF(INDEX($AD$2:$AU$1001,MATCH(ROWS($W$2:W574),$W$2:$W$1001,0),MATCH(COLUMNS($AD$1006:AO1006),$AD$1006:$AU$1006,0)), HYPERLINK("#",""), HYPERLINK(CONCATENATE("#metadata!", ADDRESS(INDEX($Y$2:$Y$1001,MATCH(ROWS($W$2:W574),$W$2:$W$1001,0),0), INDEX($AD$1004:$AU$1004,1,MATCH(COLUMNS($AD$1006:AO1006),$AD$1006:$AU$1006,0)))),"Fix")))</f>
        <v xml:space="preserve"> </v>
      </c>
      <c r="N574" s="4" t="str">
        <f ca="1">IF(OR(INDEX($X$2:$X$1001,MATCH(ROWS($W$2:W574),$W$2:$W$1001,0),1)&gt;=100000,INDEX($AD$1005:$AU$1005,1,MATCH(COLUMNS($AD$1006:AP1006),$AD$1006:$AU$1006,0))&gt;=100000), " ",IF(INDEX($AD$2:$AU$1001,MATCH(ROWS($W$2:W574),$W$2:$W$1001,0),MATCH(COLUMNS($AD$1006:AP1006),$AD$1006:$AU$1006,0)), HYPERLINK("#",""), HYPERLINK(CONCATENATE("#metadata!", ADDRESS(INDEX($Y$2:$Y$1001,MATCH(ROWS($W$2:W574),$W$2:$W$1001,0),0), INDEX($AD$1004:$AU$1004,1,MATCH(COLUMNS($AD$1006:AP1006),$AD$1006:$AU$1006,0)))),"Fix")))</f>
        <v xml:space="preserve"> </v>
      </c>
      <c r="O574" s="4" t="str">
        <f ca="1">IF(OR(INDEX($X$2:$X$1001,MATCH(ROWS($W$2:W574),$W$2:$W$1001,0),1)&gt;=100000,INDEX($AD$1005:$AU$1005,1,MATCH(COLUMNS($AD$1006:AQ1006),$AD$1006:$AU$1006,0))&gt;=100000), " ",IF(INDEX($AD$2:$AU$1001,MATCH(ROWS($W$2:W574),$W$2:$W$1001,0),MATCH(COLUMNS($AD$1006:AQ1006),$AD$1006:$AU$1006,0)), HYPERLINK("#",""), HYPERLINK(CONCATENATE("#metadata!", ADDRESS(INDEX($Y$2:$Y$1001,MATCH(ROWS($W$2:W574),$W$2:$W$1001,0),0), INDEX($AD$1004:$AU$1004,1,MATCH(COLUMNS($AD$1006:AQ1006),$AD$1006:$AU$1006,0)))),"Fix")))</f>
        <v xml:space="preserve"> </v>
      </c>
      <c r="P574" s="4" t="str">
        <f ca="1">IF(OR(INDEX($X$2:$X$1001,MATCH(ROWS($W$2:W574),$W$2:$W$1001,0),1)&gt;=100000,INDEX($AD$1005:$AU$1005,1,MATCH(COLUMNS($AD$1006:AR1006),$AD$1006:$AU$1006,0))&gt;=100000), " ",IF(INDEX($AD$2:$AU$1001,MATCH(ROWS($W$2:W574),$W$2:$W$1001,0),MATCH(COLUMNS($AD$1006:AR1006),$AD$1006:$AU$1006,0)), HYPERLINK("#",""), HYPERLINK(CONCATENATE("#metadata!", ADDRESS(INDEX($Y$2:$Y$1001,MATCH(ROWS($W$2:W574),$W$2:$W$1001,0),0), INDEX($AD$1004:$AU$1004,1,MATCH(COLUMNS($AD$1006:AR1006),$AD$1006:$AU$1006,0)))),"Fix")))</f>
        <v xml:space="preserve"> </v>
      </c>
      <c r="Q574" s="4" t="str">
        <f ca="1">IF(OR(INDEX($X$2:$X$1001,MATCH(ROWS($W$2:W574),$W$2:$W$1001,0),1)&gt;=100000,INDEX($AD$1005:$AU$1005,1,MATCH(COLUMNS($AD$1006:AS1006),$AD$1006:$AU$1006,0))&gt;=100000), " ",IF(INDEX($AD$2:$AU$1001,MATCH(ROWS($W$2:W574),$W$2:$W$1001,0),MATCH(COLUMNS($AD$1006:AS1006),$AD$1006:$AU$1006,0)), HYPERLINK("#",""), HYPERLINK(CONCATENATE("#metadata!", ADDRESS(INDEX($Y$2:$Y$1001,MATCH(ROWS($W$2:W574),$W$2:$W$1001,0),0), INDEX($AD$1004:$AU$1004,1,MATCH(COLUMNS($AD$1006:AS1006),$AD$1006:$AU$1006,0)))),"Fix")))</f>
        <v xml:space="preserve"> </v>
      </c>
      <c r="R574" s="4" t="str">
        <f ca="1">IF(OR(INDEX($X$2:$X$1001,MATCH(ROWS($W$2:W574),$W$2:$W$1001,0),1)&gt;=100000,INDEX($AD$1005:$AU$1005,1,MATCH(COLUMNS($AD$1006:AT1006),$AD$1006:$AU$1006,0))&gt;=100000), " ",IF(INDEX($AD$2:$AU$1001,MATCH(ROWS($W$2:W574),$W$2:$W$1001,0),MATCH(COLUMNS($AD$1006:AT1006),$AD$1006:$AU$1006,0)), HYPERLINK("#",""), HYPERLINK(CONCATENATE("#metadata!", ADDRESS(INDEX($Y$2:$Y$1001,MATCH(ROWS($W$2:W574),$W$2:$W$1001,0),0), INDEX($AD$1004:$AU$1004,1,MATCH(COLUMNS($AD$1006:AT1006),$AD$1006:$AU$1006,0)))),"Fix")))</f>
        <v xml:space="preserve"> </v>
      </c>
      <c r="S574" s="4" t="str">
        <f ca="1">IF(OR(INDEX($X$2:$X$1001,MATCH(ROWS($W$2:W574),$W$2:$W$1001,0),1)&gt;=100000,INDEX($AD$1005:$AU$1005,1,MATCH(COLUMNS($AD$1006:AU1006),$AD$1006:$AU$1006,0))&gt;=100000), " ",IF(INDEX($AD$2:$AU$1001,MATCH(ROWS($W$2:W574),$W$2:$W$1001,0),MATCH(COLUMNS($AD$1006:AU1006),$AD$1006:$AU$1006,0)), HYPERLINK("#",""), HYPERLINK(CONCATENATE("#metadata!", ADDRESS(INDEX($Y$2:$Y$1001,MATCH(ROWS($W$2:W574),$W$2:$W$1001,0),0), INDEX($AD$1004:$AU$1004,1,MATCH(COLUMNS($AD$1006:AU1006),$AD$1006:$AU$1006,0)))),"Fix")))</f>
        <v xml:space="preserve"> </v>
      </c>
      <c r="W574">
        <v>573</v>
      </c>
      <c r="X574">
        <v>100574</v>
      </c>
      <c r="Y574">
        <v>574</v>
      </c>
      <c r="Z574" t="b">
        <f t="shared" si="8"/>
        <v>1</v>
      </c>
      <c r="AA574" t="b">
        <f>COUNTBLANK(metadata!B574:S574)=COLUMNS(metadata!B574:S574)</f>
        <v>1</v>
      </c>
      <c r="AB574" t="str">
        <v/>
      </c>
      <c r="AD574" t="b">
        <f ca="1">AND(IF(metadata!B574="",FALSE,TRUE),COUNTIF(metadata!B:B, metadata!B574) = 1,NOT(ISERROR(SUMPRODUCT(SEARCH(MID(metadata!B574,ROW(INDIRECT("1:"&amp;LEN(metadata!B574))), 1),"0123456789abcdefghijklmnopqrstuvwxyzABCDEFGHIJKLMNOPQRSTUVWXYZ.")))))</f>
        <v>0</v>
      </c>
      <c r="AE574" t="b">
        <f>OR(AND(IF(metadata!C574="",FALSE,TRUE),OR(EXACT(metadata!C574,"not applicable"),EXACT(metadata!C574,"missing: not collected"),EXACT(metadata!C574,"missing: not provided"),EXACT(metadata!C574,"missing: restricted access"))),AND(IF(metadata!C574="",FALSE,ISNUMBER(VALUE(metadata!C574))),metadata!C574&gt;0))</f>
        <v>0</v>
      </c>
      <c r="AF574" t="b">
        <f>AND(IF(metadata!D574="",FALSE,TRUE),EXACT(metadata!D574,"missing: not provided"))</f>
        <v>0</v>
      </c>
      <c r="AG574" t="b">
        <f>AND(IF(metadata!E574="",FALSE,TRUE),EXACT(metadata!E574,"Host-associated"))</f>
        <v>0</v>
      </c>
      <c r="AH574" t="b">
        <f>AND(IF(metadata!F574="",FALSE,TRUE),OR(EXACT(metadata!F574,"Animal"),EXACT(metadata!F574,"Fungus"),EXACT(metadata!F574,"Plant")))</f>
        <v>0</v>
      </c>
      <c r="AI574" t="b">
        <f>AND(IF(metadata!G574="",FALSE,TRUE),OR(EXACT(metadata!G574,"Plant secretion"),EXACT(metadata!G574,"Plant rhizosphere"),EXACT(metadata!G574,"Plant surface"),EXACT(metadata!G574,"Plant corpus"),EXACT(metadata!G574,"Fungus surface"),EXACT(metadata!G574,"Fungus corpus"),EXACT(metadata!G574,"Animal surface"),EXACT(metadata!G574,"Animal proximal gut"),EXACT(metadata!G574,"Animal corpus"),EXACT(metadata!G574,"Animal distal gut"),EXACT(metadata!G574,"Animal secretion")))</f>
        <v>0</v>
      </c>
      <c r="AJ574" t="b">
        <f>OR(AND(IF(metadata!H574="",FALSE,TRUE),OR(EXACT(metadata!H574,"missing: not collected"),EXACT(metadata!H574,"missing: not provided"),EXACT(metadata!H574,"missing: restricted access"))),AND(IF(metadata!H574="",FALSE,TRUE),OR(EXACT(metadata!H574,"organism-associated habitat"),EXACT(metadata!H574,"plant-associated habitat"),EXACT(metadata!H574,"animal-associated habitat"),EXACT(metadata!H574,"insecta-associated habitat"),EXACT(metadata!H574,"mammalia-associated habitat"),EXACT(metadata!H574,"human-associated habitat"),EXACT(metadata!H574,"livestock-associated habitat"))))</f>
        <v>0</v>
      </c>
      <c r="AK574" t="b">
        <f>AND(IF(metadata!I574="",FALSE,TRUE),EXACT(metadata!I574,"host-associated"))</f>
        <v>0</v>
      </c>
      <c r="AL574" t="b">
        <f>OR(AND(IF(metadata!J574="",FALSE,TRUE),OR(EXACT(metadata!J574,"not applicable"),EXACT(metadata!J574,"missing: not collected"),EXACT(metadata!J574,"missing: not provided"),EXACT(metadata!J574,"missing: restricted access"))),AND(IF(metadata!J574="",FALSE,ISNUMBER(VALUE(metadata!J574))),metadata!J574&gt;0))</f>
        <v>0</v>
      </c>
      <c r="AM574" t="b">
        <f>AND(IF(metadata!K574="",FALSE,TRUE),EXACT(metadata!K574,"missing: not provided"))</f>
        <v>0</v>
      </c>
      <c r="AN574" t="b">
        <f>IF(metadata!L574="",FALSE,TRUE)</f>
        <v>0</v>
      </c>
      <c r="AO574" t="b">
        <f>IF(metadata!M574="",FALSE,TRUE)</f>
        <v>0</v>
      </c>
      <c r="AP574" t="b">
        <f>OR(AND(IF(metadata!N574="",FALSE,TRUE),OR(EXACT(metadata!N574,"not applicable"),EXACT(metadata!N574,"missing: not collected"),EXACT(metadata!N574,"missing: not provided"))),AND(IF(metadata!N574="",FALSE,IF(ISERROR(INT(metadata!N574)),FALSE,INT(metadata!N574)=metadata!N574)),metadata!N574&gt;0))</f>
        <v>0</v>
      </c>
      <c r="AQ574" t="b">
        <f>AND(IF(metadata!O574="",FALSE,TRUE),EXACT(metadata!O574,"Not applicable"))</f>
        <v>0</v>
      </c>
      <c r="AR574" t="b">
        <f>OR(AND(IF(metadata!P574="",FALSE,TRUE),OR(EXACT(metadata!P574,"not applicable"),EXACT(metadata!P574,"missing: not collected"),EXACT(metadata!P574,"missing: not provided"),EXACT(metadata!P574,"missing: restricted access"))),IF(metadata!P574="",FALSE,IF(ISERROR(INT(metadata!P574)),FALSE,INT(metadata!P574)=metadata!P574)))</f>
        <v>0</v>
      </c>
      <c r="AS574" t="b">
        <f>AND(IF(metadata!Q574="",FALSE,TRUE),EXACT(metadata!Q574,"Not applicable"))</f>
        <v>0</v>
      </c>
      <c r="AT574" t="b">
        <f>OR(AND(IF(metadata!R574="",FALSE,TRUE),OR(EXACT(metadata!R574,"not applicable"),EXACT(metadata!R574,"missing: not collected"),EXACT(metadata!R574,"missing: not provided"),EXACT(metadata!R574,"missing: restricted access"))),AND(IF(metadata!R574="",FALSE,ISNUMBER(VALUE(metadata!R574))),metadata!R574&gt;0))</f>
        <v>0</v>
      </c>
      <c r="AU574" t="b">
        <f>AND(IF(metadata!S574="",FALSE,TRUE),EXACT(metadata!S574,"missing: not provided"))</f>
        <v>0</v>
      </c>
    </row>
    <row r="575" spans="1:47" x14ac:dyDescent="0.2">
      <c r="A575" s="5" t="str">
        <f ca="1">IF(B575=" "," ",HYPERLINK(CONCATENATE("#metadata!",ADDRESS(INDEX($Y$2:$Y$1001,MATCH(ROWS($W$2:W575),$W$2:$W$1001,0),0),1)),INDEX($AB$2:$AB$1001,MATCH(ROWS($W$2:W575),$W$2:$W$1001,0),0)))</f>
        <v xml:space="preserve"> </v>
      </c>
      <c r="B575" s="4" t="str">
        <f ca="1">IF(OR(INDEX($X$2:$X$1001,MATCH(ROWS($W$2:W575),$W$2:$W$1001,0),1)&gt;=100000,INDEX($AD$1005:$AU$1005,1,MATCH(COLUMNS($AD$1006:AD1006),$AD$1006:$AU$1006,0))&gt;=100000), " ",IF(INDEX($AD$2:$AU$1001,MATCH(ROWS($W$2:W575),$W$2:$W$1001,0),MATCH(COLUMNS($AD$1006:AD1006),$AD$1006:$AU$1006,0)), HYPERLINK("#",""), HYPERLINK(CONCATENATE("#metadata!", ADDRESS(INDEX($Y$2:$Y$1001,MATCH(ROWS($W$2:W575),$W$2:$W$1001,0),0), INDEX($AD$1004:$AU$1004,1,MATCH(COLUMNS($AD$1006:AD1006),$AD$1006:$AU$1006,0)))),"Fix")))</f>
        <v xml:space="preserve"> </v>
      </c>
      <c r="C575" s="4" t="str">
        <f ca="1">IF(OR(INDEX($X$2:$X$1001,MATCH(ROWS($W$2:W575),$W$2:$W$1001,0),1)&gt;=100000,INDEX($AD$1005:$AU$1005,1,MATCH(COLUMNS($AD$1006:AE1006),$AD$1006:$AU$1006,0))&gt;=100000), " ",IF(INDEX($AD$2:$AU$1001,MATCH(ROWS($W$2:W575),$W$2:$W$1001,0),MATCH(COLUMNS($AD$1006:AE1006),$AD$1006:$AU$1006,0)), HYPERLINK("#",""), HYPERLINK(CONCATENATE("#metadata!", ADDRESS(INDEX($Y$2:$Y$1001,MATCH(ROWS($W$2:W575),$W$2:$W$1001,0),0), INDEX($AD$1004:$AU$1004,1,MATCH(COLUMNS($AD$1006:AE1006),$AD$1006:$AU$1006,0)))),"Fix")))</f>
        <v xml:space="preserve"> </v>
      </c>
      <c r="D575" s="4" t="str">
        <f ca="1">IF(OR(INDEX($X$2:$X$1001,MATCH(ROWS($W$2:W575),$W$2:$W$1001,0),1)&gt;=100000,INDEX($AD$1005:$AU$1005,1,MATCH(COLUMNS($AD$1006:AF1006),$AD$1006:$AU$1006,0))&gt;=100000), " ",IF(INDEX($AD$2:$AU$1001,MATCH(ROWS($W$2:W575),$W$2:$W$1001,0),MATCH(COLUMNS($AD$1006:AF1006),$AD$1006:$AU$1006,0)), HYPERLINK("#",""), HYPERLINK(CONCATENATE("#metadata!", ADDRESS(INDEX($Y$2:$Y$1001,MATCH(ROWS($W$2:W575),$W$2:$W$1001,0),0), INDEX($AD$1004:$AU$1004,1,MATCH(COLUMNS($AD$1006:AF1006),$AD$1006:$AU$1006,0)))),"Fix")))</f>
        <v xml:space="preserve"> </v>
      </c>
      <c r="E575" s="4" t="str">
        <f ca="1">IF(OR(INDEX($X$2:$X$1001,MATCH(ROWS($W$2:W575),$W$2:$W$1001,0),1)&gt;=100000,INDEX($AD$1005:$AU$1005,1,MATCH(COLUMNS($AD$1006:AG1006),$AD$1006:$AU$1006,0))&gt;=100000), " ",IF(INDEX($AD$2:$AU$1001,MATCH(ROWS($W$2:W575),$W$2:$W$1001,0),MATCH(COLUMNS($AD$1006:AG1006),$AD$1006:$AU$1006,0)), HYPERLINK("#",""), HYPERLINK(CONCATENATE("#metadata!", ADDRESS(INDEX($Y$2:$Y$1001,MATCH(ROWS($W$2:W575),$W$2:$W$1001,0),0), INDEX($AD$1004:$AU$1004,1,MATCH(COLUMNS($AD$1006:AG1006),$AD$1006:$AU$1006,0)))),"Fix")))</f>
        <v xml:space="preserve"> </v>
      </c>
      <c r="F575" s="4" t="str">
        <f ca="1">IF(OR(INDEX($X$2:$X$1001,MATCH(ROWS($W$2:W575),$W$2:$W$1001,0),1)&gt;=100000,INDEX($AD$1005:$AU$1005,1,MATCH(COLUMNS($AD$1006:AH1006),$AD$1006:$AU$1006,0))&gt;=100000), " ",IF(INDEX($AD$2:$AU$1001,MATCH(ROWS($W$2:W575),$W$2:$W$1001,0),MATCH(COLUMNS($AD$1006:AH1006),$AD$1006:$AU$1006,0)), HYPERLINK("#",""), HYPERLINK(CONCATENATE("#metadata!", ADDRESS(INDEX($Y$2:$Y$1001,MATCH(ROWS($W$2:W575),$W$2:$W$1001,0),0), INDEX($AD$1004:$AU$1004,1,MATCH(COLUMNS($AD$1006:AH1006),$AD$1006:$AU$1006,0)))),"Fix")))</f>
        <v xml:space="preserve"> </v>
      </c>
      <c r="G575" s="4" t="str">
        <f ca="1">IF(OR(INDEX($X$2:$X$1001,MATCH(ROWS($W$2:W575),$W$2:$W$1001,0),1)&gt;=100000,INDEX($AD$1005:$AU$1005,1,MATCH(COLUMNS($AD$1006:AI1006),$AD$1006:$AU$1006,0))&gt;=100000), " ",IF(INDEX($AD$2:$AU$1001,MATCH(ROWS($W$2:W575),$W$2:$W$1001,0),MATCH(COLUMNS($AD$1006:AI1006),$AD$1006:$AU$1006,0)), HYPERLINK("#",""), HYPERLINK(CONCATENATE("#metadata!", ADDRESS(INDEX($Y$2:$Y$1001,MATCH(ROWS($W$2:W575),$W$2:$W$1001,0),0), INDEX($AD$1004:$AU$1004,1,MATCH(COLUMNS($AD$1006:AI1006),$AD$1006:$AU$1006,0)))),"Fix")))</f>
        <v xml:space="preserve"> </v>
      </c>
      <c r="H575" s="4" t="str">
        <f ca="1">IF(OR(INDEX($X$2:$X$1001,MATCH(ROWS($W$2:W575),$W$2:$W$1001,0),1)&gt;=100000,INDEX($AD$1005:$AU$1005,1,MATCH(COLUMNS($AD$1006:AJ1006),$AD$1006:$AU$1006,0))&gt;=100000), " ",IF(INDEX($AD$2:$AU$1001,MATCH(ROWS($W$2:W575),$W$2:$W$1001,0),MATCH(COLUMNS($AD$1006:AJ1006),$AD$1006:$AU$1006,0)), HYPERLINK("#",""), HYPERLINK(CONCATENATE("#metadata!", ADDRESS(INDEX($Y$2:$Y$1001,MATCH(ROWS($W$2:W575),$W$2:$W$1001,0),0), INDEX($AD$1004:$AU$1004,1,MATCH(COLUMNS($AD$1006:AJ1006),$AD$1006:$AU$1006,0)))),"Fix")))</f>
        <v xml:space="preserve"> </v>
      </c>
      <c r="I575" s="4" t="str">
        <f ca="1">IF(OR(INDEX($X$2:$X$1001,MATCH(ROWS($W$2:W575),$W$2:$W$1001,0),1)&gt;=100000,INDEX($AD$1005:$AU$1005,1,MATCH(COLUMNS($AD$1006:AK1006),$AD$1006:$AU$1006,0))&gt;=100000), " ",IF(INDEX($AD$2:$AU$1001,MATCH(ROWS($W$2:W575),$W$2:$W$1001,0),MATCH(COLUMNS($AD$1006:AK1006),$AD$1006:$AU$1006,0)), HYPERLINK("#",""), HYPERLINK(CONCATENATE("#metadata!", ADDRESS(INDEX($Y$2:$Y$1001,MATCH(ROWS($W$2:W575),$W$2:$W$1001,0),0), INDEX($AD$1004:$AU$1004,1,MATCH(COLUMNS($AD$1006:AK1006),$AD$1006:$AU$1006,0)))),"Fix")))</f>
        <v xml:space="preserve"> </v>
      </c>
      <c r="J575" s="4" t="str">
        <f ca="1">IF(OR(INDEX($X$2:$X$1001,MATCH(ROWS($W$2:W575),$W$2:$W$1001,0),1)&gt;=100000,INDEX($AD$1005:$AU$1005,1,MATCH(COLUMNS($AD$1006:AL1006),$AD$1006:$AU$1006,0))&gt;=100000), " ",IF(INDEX($AD$2:$AU$1001,MATCH(ROWS($W$2:W575),$W$2:$W$1001,0),MATCH(COLUMNS($AD$1006:AL1006),$AD$1006:$AU$1006,0)), HYPERLINK("#",""), HYPERLINK(CONCATENATE("#metadata!", ADDRESS(INDEX($Y$2:$Y$1001,MATCH(ROWS($W$2:W575),$W$2:$W$1001,0),0), INDEX($AD$1004:$AU$1004,1,MATCH(COLUMNS($AD$1006:AL1006),$AD$1006:$AU$1006,0)))),"Fix")))</f>
        <v xml:space="preserve"> </v>
      </c>
      <c r="K575" s="4" t="str">
        <f ca="1">IF(OR(INDEX($X$2:$X$1001,MATCH(ROWS($W$2:W575),$W$2:$W$1001,0),1)&gt;=100000,INDEX($AD$1005:$AU$1005,1,MATCH(COLUMNS($AD$1006:AM1006),$AD$1006:$AU$1006,0))&gt;=100000), " ",IF(INDEX($AD$2:$AU$1001,MATCH(ROWS($W$2:W575),$W$2:$W$1001,0),MATCH(COLUMNS($AD$1006:AM1006),$AD$1006:$AU$1006,0)), HYPERLINK("#",""), HYPERLINK(CONCATENATE("#metadata!", ADDRESS(INDEX($Y$2:$Y$1001,MATCH(ROWS($W$2:W575),$W$2:$W$1001,0),0), INDEX($AD$1004:$AU$1004,1,MATCH(COLUMNS($AD$1006:AM1006),$AD$1006:$AU$1006,0)))),"Fix")))</f>
        <v xml:space="preserve"> </v>
      </c>
      <c r="L575" s="4" t="str">
        <f ca="1">IF(OR(INDEX($X$2:$X$1001,MATCH(ROWS($W$2:W575),$W$2:$W$1001,0),1)&gt;=100000,INDEX($AD$1005:$AU$1005,1,MATCH(COLUMNS($AD$1006:AN1006),$AD$1006:$AU$1006,0))&gt;=100000), " ",IF(INDEX($AD$2:$AU$1001,MATCH(ROWS($W$2:W575),$W$2:$W$1001,0),MATCH(COLUMNS($AD$1006:AN1006),$AD$1006:$AU$1006,0)), HYPERLINK("#",""), HYPERLINK(CONCATENATE("#metadata!", ADDRESS(INDEX($Y$2:$Y$1001,MATCH(ROWS($W$2:W575),$W$2:$W$1001,0),0), INDEX($AD$1004:$AU$1004,1,MATCH(COLUMNS($AD$1006:AN1006),$AD$1006:$AU$1006,0)))),"Fix")))</f>
        <v xml:space="preserve"> </v>
      </c>
      <c r="M575" s="4" t="str">
        <f ca="1">IF(OR(INDEX($X$2:$X$1001,MATCH(ROWS($W$2:W575),$W$2:$W$1001,0),1)&gt;=100000,INDEX($AD$1005:$AU$1005,1,MATCH(COLUMNS($AD$1006:AO1006),$AD$1006:$AU$1006,0))&gt;=100000), " ",IF(INDEX($AD$2:$AU$1001,MATCH(ROWS($W$2:W575),$W$2:$W$1001,0),MATCH(COLUMNS($AD$1006:AO1006),$AD$1006:$AU$1006,0)), HYPERLINK("#",""), HYPERLINK(CONCATENATE("#metadata!", ADDRESS(INDEX($Y$2:$Y$1001,MATCH(ROWS($W$2:W575),$W$2:$W$1001,0),0), INDEX($AD$1004:$AU$1004,1,MATCH(COLUMNS($AD$1006:AO1006),$AD$1006:$AU$1006,0)))),"Fix")))</f>
        <v xml:space="preserve"> </v>
      </c>
      <c r="N575" s="4" t="str">
        <f ca="1">IF(OR(INDEX($X$2:$X$1001,MATCH(ROWS($W$2:W575),$W$2:$W$1001,0),1)&gt;=100000,INDEX($AD$1005:$AU$1005,1,MATCH(COLUMNS($AD$1006:AP1006),$AD$1006:$AU$1006,0))&gt;=100000), " ",IF(INDEX($AD$2:$AU$1001,MATCH(ROWS($W$2:W575),$W$2:$W$1001,0),MATCH(COLUMNS($AD$1006:AP1006),$AD$1006:$AU$1006,0)), HYPERLINK("#",""), HYPERLINK(CONCATENATE("#metadata!", ADDRESS(INDEX($Y$2:$Y$1001,MATCH(ROWS($W$2:W575),$W$2:$W$1001,0),0), INDEX($AD$1004:$AU$1004,1,MATCH(COLUMNS($AD$1006:AP1006),$AD$1006:$AU$1006,0)))),"Fix")))</f>
        <v xml:space="preserve"> </v>
      </c>
      <c r="O575" s="4" t="str">
        <f ca="1">IF(OR(INDEX($X$2:$X$1001,MATCH(ROWS($W$2:W575),$W$2:$W$1001,0),1)&gt;=100000,INDEX($AD$1005:$AU$1005,1,MATCH(COLUMNS($AD$1006:AQ1006),$AD$1006:$AU$1006,0))&gt;=100000), " ",IF(INDEX($AD$2:$AU$1001,MATCH(ROWS($W$2:W575),$W$2:$W$1001,0),MATCH(COLUMNS($AD$1006:AQ1006),$AD$1006:$AU$1006,0)), HYPERLINK("#",""), HYPERLINK(CONCATENATE("#metadata!", ADDRESS(INDEX($Y$2:$Y$1001,MATCH(ROWS($W$2:W575),$W$2:$W$1001,0),0), INDEX($AD$1004:$AU$1004,1,MATCH(COLUMNS($AD$1006:AQ1006),$AD$1006:$AU$1006,0)))),"Fix")))</f>
        <v xml:space="preserve"> </v>
      </c>
      <c r="P575" s="4" t="str">
        <f ca="1">IF(OR(INDEX($X$2:$X$1001,MATCH(ROWS($W$2:W575),$W$2:$W$1001,0),1)&gt;=100000,INDEX($AD$1005:$AU$1005,1,MATCH(COLUMNS($AD$1006:AR1006),$AD$1006:$AU$1006,0))&gt;=100000), " ",IF(INDEX($AD$2:$AU$1001,MATCH(ROWS($W$2:W575),$W$2:$W$1001,0),MATCH(COLUMNS($AD$1006:AR1006),$AD$1006:$AU$1006,0)), HYPERLINK("#",""), HYPERLINK(CONCATENATE("#metadata!", ADDRESS(INDEX($Y$2:$Y$1001,MATCH(ROWS($W$2:W575),$W$2:$W$1001,0),0), INDEX($AD$1004:$AU$1004,1,MATCH(COLUMNS($AD$1006:AR1006),$AD$1006:$AU$1006,0)))),"Fix")))</f>
        <v xml:space="preserve"> </v>
      </c>
      <c r="Q575" s="4" t="str">
        <f ca="1">IF(OR(INDEX($X$2:$X$1001,MATCH(ROWS($W$2:W575),$W$2:$W$1001,0),1)&gt;=100000,INDEX($AD$1005:$AU$1005,1,MATCH(COLUMNS($AD$1006:AS1006),$AD$1006:$AU$1006,0))&gt;=100000), " ",IF(INDEX($AD$2:$AU$1001,MATCH(ROWS($W$2:W575),$W$2:$W$1001,0),MATCH(COLUMNS($AD$1006:AS1006),$AD$1006:$AU$1006,0)), HYPERLINK("#",""), HYPERLINK(CONCATENATE("#metadata!", ADDRESS(INDEX($Y$2:$Y$1001,MATCH(ROWS($W$2:W575),$W$2:$W$1001,0),0), INDEX($AD$1004:$AU$1004,1,MATCH(COLUMNS($AD$1006:AS1006),$AD$1006:$AU$1006,0)))),"Fix")))</f>
        <v xml:space="preserve"> </v>
      </c>
      <c r="R575" s="4" t="str">
        <f ca="1">IF(OR(INDEX($X$2:$X$1001,MATCH(ROWS($W$2:W575),$W$2:$W$1001,0),1)&gt;=100000,INDEX($AD$1005:$AU$1005,1,MATCH(COLUMNS($AD$1006:AT1006),$AD$1006:$AU$1006,0))&gt;=100000), " ",IF(INDEX($AD$2:$AU$1001,MATCH(ROWS($W$2:W575),$W$2:$W$1001,0),MATCH(COLUMNS($AD$1006:AT1006),$AD$1006:$AU$1006,0)), HYPERLINK("#",""), HYPERLINK(CONCATENATE("#metadata!", ADDRESS(INDEX($Y$2:$Y$1001,MATCH(ROWS($W$2:W575),$W$2:$W$1001,0),0), INDEX($AD$1004:$AU$1004,1,MATCH(COLUMNS($AD$1006:AT1006),$AD$1006:$AU$1006,0)))),"Fix")))</f>
        <v xml:space="preserve"> </v>
      </c>
      <c r="S575" s="4" t="str">
        <f ca="1">IF(OR(INDEX($X$2:$X$1001,MATCH(ROWS($W$2:W575),$W$2:$W$1001,0),1)&gt;=100000,INDEX($AD$1005:$AU$1005,1,MATCH(COLUMNS($AD$1006:AU1006),$AD$1006:$AU$1006,0))&gt;=100000), " ",IF(INDEX($AD$2:$AU$1001,MATCH(ROWS($W$2:W575),$W$2:$W$1001,0),MATCH(COLUMNS($AD$1006:AU1006),$AD$1006:$AU$1006,0)), HYPERLINK("#",""), HYPERLINK(CONCATENATE("#metadata!", ADDRESS(INDEX($Y$2:$Y$1001,MATCH(ROWS($W$2:W575),$W$2:$W$1001,0),0), INDEX($AD$1004:$AU$1004,1,MATCH(COLUMNS($AD$1006:AU1006),$AD$1006:$AU$1006,0)))),"Fix")))</f>
        <v xml:space="preserve"> </v>
      </c>
      <c r="W575">
        <v>574</v>
      </c>
      <c r="X575">
        <v>100575</v>
      </c>
      <c r="Y575">
        <v>575</v>
      </c>
      <c r="Z575" t="b">
        <f t="shared" si="8"/>
        <v>1</v>
      </c>
      <c r="AA575" t="b">
        <f>COUNTBLANK(metadata!B575:S575)=COLUMNS(metadata!B575:S575)</f>
        <v>1</v>
      </c>
      <c r="AB575" t="str">
        <v/>
      </c>
      <c r="AD575" t="b">
        <f ca="1">AND(IF(metadata!B575="",FALSE,TRUE),COUNTIF(metadata!B:B, metadata!B575) = 1,NOT(ISERROR(SUMPRODUCT(SEARCH(MID(metadata!B575,ROW(INDIRECT("1:"&amp;LEN(metadata!B575))), 1),"0123456789abcdefghijklmnopqrstuvwxyzABCDEFGHIJKLMNOPQRSTUVWXYZ.")))))</f>
        <v>0</v>
      </c>
      <c r="AE575" t="b">
        <f>OR(AND(IF(metadata!C575="",FALSE,TRUE),OR(EXACT(metadata!C575,"not applicable"),EXACT(metadata!C575,"missing: not collected"),EXACT(metadata!C575,"missing: not provided"),EXACT(metadata!C575,"missing: restricted access"))),AND(IF(metadata!C575="",FALSE,ISNUMBER(VALUE(metadata!C575))),metadata!C575&gt;0))</f>
        <v>0</v>
      </c>
      <c r="AF575" t="b">
        <f>AND(IF(metadata!D575="",FALSE,TRUE),EXACT(metadata!D575,"missing: not provided"))</f>
        <v>0</v>
      </c>
      <c r="AG575" t="b">
        <f>AND(IF(metadata!E575="",FALSE,TRUE),EXACT(metadata!E575,"Host-associated"))</f>
        <v>0</v>
      </c>
      <c r="AH575" t="b">
        <f>AND(IF(metadata!F575="",FALSE,TRUE),OR(EXACT(metadata!F575,"Animal"),EXACT(metadata!F575,"Fungus"),EXACT(metadata!F575,"Plant")))</f>
        <v>0</v>
      </c>
      <c r="AI575" t="b">
        <f>AND(IF(metadata!G575="",FALSE,TRUE),OR(EXACT(metadata!G575,"Plant secretion"),EXACT(metadata!G575,"Plant rhizosphere"),EXACT(metadata!G575,"Plant surface"),EXACT(metadata!G575,"Plant corpus"),EXACT(metadata!G575,"Fungus surface"),EXACT(metadata!G575,"Fungus corpus"),EXACT(metadata!G575,"Animal surface"),EXACT(metadata!G575,"Animal proximal gut"),EXACT(metadata!G575,"Animal corpus"),EXACT(metadata!G575,"Animal distal gut"),EXACT(metadata!G575,"Animal secretion")))</f>
        <v>0</v>
      </c>
      <c r="AJ575" t="b">
        <f>OR(AND(IF(metadata!H575="",FALSE,TRUE),OR(EXACT(metadata!H575,"missing: not collected"),EXACT(metadata!H575,"missing: not provided"),EXACT(metadata!H575,"missing: restricted access"))),AND(IF(metadata!H575="",FALSE,TRUE),OR(EXACT(metadata!H575,"organism-associated habitat"),EXACT(metadata!H575,"plant-associated habitat"),EXACT(metadata!H575,"animal-associated habitat"),EXACT(metadata!H575,"insecta-associated habitat"),EXACT(metadata!H575,"mammalia-associated habitat"),EXACT(metadata!H575,"human-associated habitat"),EXACT(metadata!H575,"livestock-associated habitat"))))</f>
        <v>0</v>
      </c>
      <c r="AK575" t="b">
        <f>AND(IF(metadata!I575="",FALSE,TRUE),EXACT(metadata!I575,"host-associated"))</f>
        <v>0</v>
      </c>
      <c r="AL575" t="b">
        <f>OR(AND(IF(metadata!J575="",FALSE,TRUE),OR(EXACT(metadata!J575,"not applicable"),EXACT(metadata!J575,"missing: not collected"),EXACT(metadata!J575,"missing: not provided"),EXACT(metadata!J575,"missing: restricted access"))),AND(IF(metadata!J575="",FALSE,ISNUMBER(VALUE(metadata!J575))),metadata!J575&gt;0))</f>
        <v>0</v>
      </c>
      <c r="AM575" t="b">
        <f>AND(IF(metadata!K575="",FALSE,TRUE),EXACT(metadata!K575,"missing: not provided"))</f>
        <v>0</v>
      </c>
      <c r="AN575" t="b">
        <f>IF(metadata!L575="",FALSE,TRUE)</f>
        <v>0</v>
      </c>
      <c r="AO575" t="b">
        <f>IF(metadata!M575="",FALSE,TRUE)</f>
        <v>0</v>
      </c>
      <c r="AP575" t="b">
        <f>OR(AND(IF(metadata!N575="",FALSE,TRUE),OR(EXACT(metadata!N575,"not applicable"),EXACT(metadata!N575,"missing: not collected"),EXACT(metadata!N575,"missing: not provided"))),AND(IF(metadata!N575="",FALSE,IF(ISERROR(INT(metadata!N575)),FALSE,INT(metadata!N575)=metadata!N575)),metadata!N575&gt;0))</f>
        <v>0</v>
      </c>
      <c r="AQ575" t="b">
        <f>AND(IF(metadata!O575="",FALSE,TRUE),EXACT(metadata!O575,"Not applicable"))</f>
        <v>0</v>
      </c>
      <c r="AR575" t="b">
        <f>OR(AND(IF(metadata!P575="",FALSE,TRUE),OR(EXACT(metadata!P575,"not applicable"),EXACT(metadata!P575,"missing: not collected"),EXACT(metadata!P575,"missing: not provided"),EXACT(metadata!P575,"missing: restricted access"))),IF(metadata!P575="",FALSE,IF(ISERROR(INT(metadata!P575)),FALSE,INT(metadata!P575)=metadata!P575)))</f>
        <v>0</v>
      </c>
      <c r="AS575" t="b">
        <f>AND(IF(metadata!Q575="",FALSE,TRUE),EXACT(metadata!Q575,"Not applicable"))</f>
        <v>0</v>
      </c>
      <c r="AT575" t="b">
        <f>OR(AND(IF(metadata!R575="",FALSE,TRUE),OR(EXACT(metadata!R575,"not applicable"),EXACT(metadata!R575,"missing: not collected"),EXACT(metadata!R575,"missing: not provided"),EXACT(metadata!R575,"missing: restricted access"))),AND(IF(metadata!R575="",FALSE,ISNUMBER(VALUE(metadata!R575))),metadata!R575&gt;0))</f>
        <v>0</v>
      </c>
      <c r="AU575" t="b">
        <f>AND(IF(metadata!S575="",FALSE,TRUE),EXACT(metadata!S575,"missing: not provided"))</f>
        <v>0</v>
      </c>
    </row>
    <row r="576" spans="1:47" x14ac:dyDescent="0.2">
      <c r="A576" s="5" t="str">
        <f ca="1">IF(B576=" "," ",HYPERLINK(CONCATENATE("#metadata!",ADDRESS(INDEX($Y$2:$Y$1001,MATCH(ROWS($W$2:W576),$W$2:$W$1001,0),0),1)),INDEX($AB$2:$AB$1001,MATCH(ROWS($W$2:W576),$W$2:$W$1001,0),0)))</f>
        <v xml:space="preserve"> </v>
      </c>
      <c r="B576" s="4" t="str">
        <f ca="1">IF(OR(INDEX($X$2:$X$1001,MATCH(ROWS($W$2:W576),$W$2:$W$1001,0),1)&gt;=100000,INDEX($AD$1005:$AU$1005,1,MATCH(COLUMNS($AD$1006:AD1006),$AD$1006:$AU$1006,0))&gt;=100000), " ",IF(INDEX($AD$2:$AU$1001,MATCH(ROWS($W$2:W576),$W$2:$W$1001,0),MATCH(COLUMNS($AD$1006:AD1006),$AD$1006:$AU$1006,0)), HYPERLINK("#",""), HYPERLINK(CONCATENATE("#metadata!", ADDRESS(INDEX($Y$2:$Y$1001,MATCH(ROWS($W$2:W576),$W$2:$W$1001,0),0), INDEX($AD$1004:$AU$1004,1,MATCH(COLUMNS($AD$1006:AD1006),$AD$1006:$AU$1006,0)))),"Fix")))</f>
        <v xml:space="preserve"> </v>
      </c>
      <c r="C576" s="4" t="str">
        <f ca="1">IF(OR(INDEX($X$2:$X$1001,MATCH(ROWS($W$2:W576),$W$2:$W$1001,0),1)&gt;=100000,INDEX($AD$1005:$AU$1005,1,MATCH(COLUMNS($AD$1006:AE1006),$AD$1006:$AU$1006,0))&gt;=100000), " ",IF(INDEX($AD$2:$AU$1001,MATCH(ROWS($W$2:W576),$W$2:$W$1001,0),MATCH(COLUMNS($AD$1006:AE1006),$AD$1006:$AU$1006,0)), HYPERLINK("#",""), HYPERLINK(CONCATENATE("#metadata!", ADDRESS(INDEX($Y$2:$Y$1001,MATCH(ROWS($W$2:W576),$W$2:$W$1001,0),0), INDEX($AD$1004:$AU$1004,1,MATCH(COLUMNS($AD$1006:AE1006),$AD$1006:$AU$1006,0)))),"Fix")))</f>
        <v xml:space="preserve"> </v>
      </c>
      <c r="D576" s="4" t="str">
        <f ca="1">IF(OR(INDEX($X$2:$X$1001,MATCH(ROWS($W$2:W576),$W$2:$W$1001,0),1)&gt;=100000,INDEX($AD$1005:$AU$1005,1,MATCH(COLUMNS($AD$1006:AF1006),$AD$1006:$AU$1006,0))&gt;=100000), " ",IF(INDEX($AD$2:$AU$1001,MATCH(ROWS($W$2:W576),$W$2:$W$1001,0),MATCH(COLUMNS($AD$1006:AF1006),$AD$1006:$AU$1006,0)), HYPERLINK("#",""), HYPERLINK(CONCATENATE("#metadata!", ADDRESS(INDEX($Y$2:$Y$1001,MATCH(ROWS($W$2:W576),$W$2:$W$1001,0),0), INDEX($AD$1004:$AU$1004,1,MATCH(COLUMNS($AD$1006:AF1006),$AD$1006:$AU$1006,0)))),"Fix")))</f>
        <v xml:space="preserve"> </v>
      </c>
      <c r="E576" s="4" t="str">
        <f ca="1">IF(OR(INDEX($X$2:$X$1001,MATCH(ROWS($W$2:W576),$W$2:$W$1001,0),1)&gt;=100000,INDEX($AD$1005:$AU$1005,1,MATCH(COLUMNS($AD$1006:AG1006),$AD$1006:$AU$1006,0))&gt;=100000), " ",IF(INDEX($AD$2:$AU$1001,MATCH(ROWS($W$2:W576),$W$2:$W$1001,0),MATCH(COLUMNS($AD$1006:AG1006),$AD$1006:$AU$1006,0)), HYPERLINK("#",""), HYPERLINK(CONCATENATE("#metadata!", ADDRESS(INDEX($Y$2:$Y$1001,MATCH(ROWS($W$2:W576),$W$2:$W$1001,0),0), INDEX($AD$1004:$AU$1004,1,MATCH(COLUMNS($AD$1006:AG1006),$AD$1006:$AU$1006,0)))),"Fix")))</f>
        <v xml:space="preserve"> </v>
      </c>
      <c r="F576" s="4" t="str">
        <f ca="1">IF(OR(INDEX($X$2:$X$1001,MATCH(ROWS($W$2:W576),$W$2:$W$1001,0),1)&gt;=100000,INDEX($AD$1005:$AU$1005,1,MATCH(COLUMNS($AD$1006:AH1006),$AD$1006:$AU$1006,0))&gt;=100000), " ",IF(INDEX($AD$2:$AU$1001,MATCH(ROWS($W$2:W576),$W$2:$W$1001,0),MATCH(COLUMNS($AD$1006:AH1006),$AD$1006:$AU$1006,0)), HYPERLINK("#",""), HYPERLINK(CONCATENATE("#metadata!", ADDRESS(INDEX($Y$2:$Y$1001,MATCH(ROWS($W$2:W576),$W$2:$W$1001,0),0), INDEX($AD$1004:$AU$1004,1,MATCH(COLUMNS($AD$1006:AH1006),$AD$1006:$AU$1006,0)))),"Fix")))</f>
        <v xml:space="preserve"> </v>
      </c>
      <c r="G576" s="4" t="str">
        <f ca="1">IF(OR(INDEX($X$2:$X$1001,MATCH(ROWS($W$2:W576),$W$2:$W$1001,0),1)&gt;=100000,INDEX($AD$1005:$AU$1005,1,MATCH(COLUMNS($AD$1006:AI1006),$AD$1006:$AU$1006,0))&gt;=100000), " ",IF(INDEX($AD$2:$AU$1001,MATCH(ROWS($W$2:W576),$W$2:$W$1001,0),MATCH(COLUMNS($AD$1006:AI1006),$AD$1006:$AU$1006,0)), HYPERLINK("#",""), HYPERLINK(CONCATENATE("#metadata!", ADDRESS(INDEX($Y$2:$Y$1001,MATCH(ROWS($W$2:W576),$W$2:$W$1001,0),0), INDEX($AD$1004:$AU$1004,1,MATCH(COLUMNS($AD$1006:AI1006),$AD$1006:$AU$1006,0)))),"Fix")))</f>
        <v xml:space="preserve"> </v>
      </c>
      <c r="H576" s="4" t="str">
        <f ca="1">IF(OR(INDEX($X$2:$X$1001,MATCH(ROWS($W$2:W576),$W$2:$W$1001,0),1)&gt;=100000,INDEX($AD$1005:$AU$1005,1,MATCH(COLUMNS($AD$1006:AJ1006),$AD$1006:$AU$1006,0))&gt;=100000), " ",IF(INDEX($AD$2:$AU$1001,MATCH(ROWS($W$2:W576),$W$2:$W$1001,0),MATCH(COLUMNS($AD$1006:AJ1006),$AD$1006:$AU$1006,0)), HYPERLINK("#",""), HYPERLINK(CONCATENATE("#metadata!", ADDRESS(INDEX($Y$2:$Y$1001,MATCH(ROWS($W$2:W576),$W$2:$W$1001,0),0), INDEX($AD$1004:$AU$1004,1,MATCH(COLUMNS($AD$1006:AJ1006),$AD$1006:$AU$1006,0)))),"Fix")))</f>
        <v xml:space="preserve"> </v>
      </c>
      <c r="I576" s="4" t="str">
        <f ca="1">IF(OR(INDEX($X$2:$X$1001,MATCH(ROWS($W$2:W576),$W$2:$W$1001,0),1)&gt;=100000,INDEX($AD$1005:$AU$1005,1,MATCH(COLUMNS($AD$1006:AK1006),$AD$1006:$AU$1006,0))&gt;=100000), " ",IF(INDEX($AD$2:$AU$1001,MATCH(ROWS($W$2:W576),$W$2:$W$1001,0),MATCH(COLUMNS($AD$1006:AK1006),$AD$1006:$AU$1006,0)), HYPERLINK("#",""), HYPERLINK(CONCATENATE("#metadata!", ADDRESS(INDEX($Y$2:$Y$1001,MATCH(ROWS($W$2:W576),$W$2:$W$1001,0),0), INDEX($AD$1004:$AU$1004,1,MATCH(COLUMNS($AD$1006:AK1006),$AD$1006:$AU$1006,0)))),"Fix")))</f>
        <v xml:space="preserve"> </v>
      </c>
      <c r="J576" s="4" t="str">
        <f ca="1">IF(OR(INDEX($X$2:$X$1001,MATCH(ROWS($W$2:W576),$W$2:$W$1001,0),1)&gt;=100000,INDEX($AD$1005:$AU$1005,1,MATCH(COLUMNS($AD$1006:AL1006),$AD$1006:$AU$1006,0))&gt;=100000), " ",IF(INDEX($AD$2:$AU$1001,MATCH(ROWS($W$2:W576),$W$2:$W$1001,0),MATCH(COLUMNS($AD$1006:AL1006),$AD$1006:$AU$1006,0)), HYPERLINK("#",""), HYPERLINK(CONCATENATE("#metadata!", ADDRESS(INDEX($Y$2:$Y$1001,MATCH(ROWS($W$2:W576),$W$2:$W$1001,0),0), INDEX($AD$1004:$AU$1004,1,MATCH(COLUMNS($AD$1006:AL1006),$AD$1006:$AU$1006,0)))),"Fix")))</f>
        <v xml:space="preserve"> </v>
      </c>
      <c r="K576" s="4" t="str">
        <f ca="1">IF(OR(INDEX($X$2:$X$1001,MATCH(ROWS($W$2:W576),$W$2:$W$1001,0),1)&gt;=100000,INDEX($AD$1005:$AU$1005,1,MATCH(COLUMNS($AD$1006:AM1006),$AD$1006:$AU$1006,0))&gt;=100000), " ",IF(INDEX($AD$2:$AU$1001,MATCH(ROWS($W$2:W576),$W$2:$W$1001,0),MATCH(COLUMNS($AD$1006:AM1006),$AD$1006:$AU$1006,0)), HYPERLINK("#",""), HYPERLINK(CONCATENATE("#metadata!", ADDRESS(INDEX($Y$2:$Y$1001,MATCH(ROWS($W$2:W576),$W$2:$W$1001,0),0), INDEX($AD$1004:$AU$1004,1,MATCH(COLUMNS($AD$1006:AM1006),$AD$1006:$AU$1006,0)))),"Fix")))</f>
        <v xml:space="preserve"> </v>
      </c>
      <c r="L576" s="4" t="str">
        <f ca="1">IF(OR(INDEX($X$2:$X$1001,MATCH(ROWS($W$2:W576),$W$2:$W$1001,0),1)&gt;=100000,INDEX($AD$1005:$AU$1005,1,MATCH(COLUMNS($AD$1006:AN1006),$AD$1006:$AU$1006,0))&gt;=100000), " ",IF(INDEX($AD$2:$AU$1001,MATCH(ROWS($W$2:W576),$W$2:$W$1001,0),MATCH(COLUMNS($AD$1006:AN1006),$AD$1006:$AU$1006,0)), HYPERLINK("#",""), HYPERLINK(CONCATENATE("#metadata!", ADDRESS(INDEX($Y$2:$Y$1001,MATCH(ROWS($W$2:W576),$W$2:$W$1001,0),0), INDEX($AD$1004:$AU$1004,1,MATCH(COLUMNS($AD$1006:AN1006),$AD$1006:$AU$1006,0)))),"Fix")))</f>
        <v xml:space="preserve"> </v>
      </c>
      <c r="M576" s="4" t="str">
        <f ca="1">IF(OR(INDEX($X$2:$X$1001,MATCH(ROWS($W$2:W576),$W$2:$W$1001,0),1)&gt;=100000,INDEX($AD$1005:$AU$1005,1,MATCH(COLUMNS($AD$1006:AO1006),$AD$1006:$AU$1006,0))&gt;=100000), " ",IF(INDEX($AD$2:$AU$1001,MATCH(ROWS($W$2:W576),$W$2:$W$1001,0),MATCH(COLUMNS($AD$1006:AO1006),$AD$1006:$AU$1006,0)), HYPERLINK("#",""), HYPERLINK(CONCATENATE("#metadata!", ADDRESS(INDEX($Y$2:$Y$1001,MATCH(ROWS($W$2:W576),$W$2:$W$1001,0),0), INDEX($AD$1004:$AU$1004,1,MATCH(COLUMNS($AD$1006:AO1006),$AD$1006:$AU$1006,0)))),"Fix")))</f>
        <v xml:space="preserve"> </v>
      </c>
      <c r="N576" s="4" t="str">
        <f ca="1">IF(OR(INDEX($X$2:$X$1001,MATCH(ROWS($W$2:W576),$W$2:$W$1001,0),1)&gt;=100000,INDEX($AD$1005:$AU$1005,1,MATCH(COLUMNS($AD$1006:AP1006),$AD$1006:$AU$1006,0))&gt;=100000), " ",IF(INDEX($AD$2:$AU$1001,MATCH(ROWS($W$2:W576),$W$2:$W$1001,0),MATCH(COLUMNS($AD$1006:AP1006),$AD$1006:$AU$1006,0)), HYPERLINK("#",""), HYPERLINK(CONCATENATE("#metadata!", ADDRESS(INDEX($Y$2:$Y$1001,MATCH(ROWS($W$2:W576),$W$2:$W$1001,0),0), INDEX($AD$1004:$AU$1004,1,MATCH(COLUMNS($AD$1006:AP1006),$AD$1006:$AU$1006,0)))),"Fix")))</f>
        <v xml:space="preserve"> </v>
      </c>
      <c r="O576" s="4" t="str">
        <f ca="1">IF(OR(INDEX($X$2:$X$1001,MATCH(ROWS($W$2:W576),$W$2:$W$1001,0),1)&gt;=100000,INDEX($AD$1005:$AU$1005,1,MATCH(COLUMNS($AD$1006:AQ1006),$AD$1006:$AU$1006,0))&gt;=100000), " ",IF(INDEX($AD$2:$AU$1001,MATCH(ROWS($W$2:W576),$W$2:$W$1001,0),MATCH(COLUMNS($AD$1006:AQ1006),$AD$1006:$AU$1006,0)), HYPERLINK("#",""), HYPERLINK(CONCATENATE("#metadata!", ADDRESS(INDEX($Y$2:$Y$1001,MATCH(ROWS($W$2:W576),$W$2:$W$1001,0),0), INDEX($AD$1004:$AU$1004,1,MATCH(COLUMNS($AD$1006:AQ1006),$AD$1006:$AU$1006,0)))),"Fix")))</f>
        <v xml:space="preserve"> </v>
      </c>
      <c r="P576" s="4" t="str">
        <f ca="1">IF(OR(INDEX($X$2:$X$1001,MATCH(ROWS($W$2:W576),$W$2:$W$1001,0),1)&gt;=100000,INDEX($AD$1005:$AU$1005,1,MATCH(COLUMNS($AD$1006:AR1006),$AD$1006:$AU$1006,0))&gt;=100000), " ",IF(INDEX($AD$2:$AU$1001,MATCH(ROWS($W$2:W576),$W$2:$W$1001,0),MATCH(COLUMNS($AD$1006:AR1006),$AD$1006:$AU$1006,0)), HYPERLINK("#",""), HYPERLINK(CONCATENATE("#metadata!", ADDRESS(INDEX($Y$2:$Y$1001,MATCH(ROWS($W$2:W576),$W$2:$W$1001,0),0), INDEX($AD$1004:$AU$1004,1,MATCH(COLUMNS($AD$1006:AR1006),$AD$1006:$AU$1006,0)))),"Fix")))</f>
        <v xml:space="preserve"> </v>
      </c>
      <c r="Q576" s="4" t="str">
        <f ca="1">IF(OR(INDEX($X$2:$X$1001,MATCH(ROWS($W$2:W576),$W$2:$W$1001,0),1)&gt;=100000,INDEX($AD$1005:$AU$1005,1,MATCH(COLUMNS($AD$1006:AS1006),$AD$1006:$AU$1006,0))&gt;=100000), " ",IF(INDEX($AD$2:$AU$1001,MATCH(ROWS($W$2:W576),$W$2:$W$1001,0),MATCH(COLUMNS($AD$1006:AS1006),$AD$1006:$AU$1006,0)), HYPERLINK("#",""), HYPERLINK(CONCATENATE("#metadata!", ADDRESS(INDEX($Y$2:$Y$1001,MATCH(ROWS($W$2:W576),$W$2:$W$1001,0),0), INDEX($AD$1004:$AU$1004,1,MATCH(COLUMNS($AD$1006:AS1006),$AD$1006:$AU$1006,0)))),"Fix")))</f>
        <v xml:space="preserve"> </v>
      </c>
      <c r="R576" s="4" t="str">
        <f ca="1">IF(OR(INDEX($X$2:$X$1001,MATCH(ROWS($W$2:W576),$W$2:$W$1001,0),1)&gt;=100000,INDEX($AD$1005:$AU$1005,1,MATCH(COLUMNS($AD$1006:AT1006),$AD$1006:$AU$1006,0))&gt;=100000), " ",IF(INDEX($AD$2:$AU$1001,MATCH(ROWS($W$2:W576),$W$2:$W$1001,0),MATCH(COLUMNS($AD$1006:AT1006),$AD$1006:$AU$1006,0)), HYPERLINK("#",""), HYPERLINK(CONCATENATE("#metadata!", ADDRESS(INDEX($Y$2:$Y$1001,MATCH(ROWS($W$2:W576),$W$2:$W$1001,0),0), INDEX($AD$1004:$AU$1004,1,MATCH(COLUMNS($AD$1006:AT1006),$AD$1006:$AU$1006,0)))),"Fix")))</f>
        <v xml:space="preserve"> </v>
      </c>
      <c r="S576" s="4" t="str">
        <f ca="1">IF(OR(INDEX($X$2:$X$1001,MATCH(ROWS($W$2:W576),$W$2:$W$1001,0),1)&gt;=100000,INDEX($AD$1005:$AU$1005,1,MATCH(COLUMNS($AD$1006:AU1006),$AD$1006:$AU$1006,0))&gt;=100000), " ",IF(INDEX($AD$2:$AU$1001,MATCH(ROWS($W$2:W576),$W$2:$W$1001,0),MATCH(COLUMNS($AD$1006:AU1006),$AD$1006:$AU$1006,0)), HYPERLINK("#",""), HYPERLINK(CONCATENATE("#metadata!", ADDRESS(INDEX($Y$2:$Y$1001,MATCH(ROWS($W$2:W576),$W$2:$W$1001,0),0), INDEX($AD$1004:$AU$1004,1,MATCH(COLUMNS($AD$1006:AU1006),$AD$1006:$AU$1006,0)))),"Fix")))</f>
        <v xml:space="preserve"> </v>
      </c>
      <c r="W576">
        <v>575</v>
      </c>
      <c r="X576">
        <v>100576</v>
      </c>
      <c r="Y576">
        <v>576</v>
      </c>
      <c r="Z576" t="b">
        <f t="shared" si="8"/>
        <v>1</v>
      </c>
      <c r="AA576" t="b">
        <f>COUNTBLANK(metadata!B576:S576)=COLUMNS(metadata!B576:S576)</f>
        <v>1</v>
      </c>
      <c r="AB576" t="str">
        <v/>
      </c>
      <c r="AD576" t="b">
        <f ca="1">AND(IF(metadata!B576="",FALSE,TRUE),COUNTIF(metadata!B:B, metadata!B576) = 1,NOT(ISERROR(SUMPRODUCT(SEARCH(MID(metadata!B576,ROW(INDIRECT("1:"&amp;LEN(metadata!B576))), 1),"0123456789abcdefghijklmnopqrstuvwxyzABCDEFGHIJKLMNOPQRSTUVWXYZ.")))))</f>
        <v>0</v>
      </c>
      <c r="AE576" t="b">
        <f>OR(AND(IF(metadata!C576="",FALSE,TRUE),OR(EXACT(metadata!C576,"not applicable"),EXACT(metadata!C576,"missing: not collected"),EXACT(metadata!C576,"missing: not provided"),EXACT(metadata!C576,"missing: restricted access"))),AND(IF(metadata!C576="",FALSE,ISNUMBER(VALUE(metadata!C576))),metadata!C576&gt;0))</f>
        <v>0</v>
      </c>
      <c r="AF576" t="b">
        <f>AND(IF(metadata!D576="",FALSE,TRUE),EXACT(metadata!D576,"missing: not provided"))</f>
        <v>0</v>
      </c>
      <c r="AG576" t="b">
        <f>AND(IF(metadata!E576="",FALSE,TRUE),EXACT(metadata!E576,"Host-associated"))</f>
        <v>0</v>
      </c>
      <c r="AH576" t="b">
        <f>AND(IF(metadata!F576="",FALSE,TRUE),OR(EXACT(metadata!F576,"Animal"),EXACT(metadata!F576,"Fungus"),EXACT(metadata!F576,"Plant")))</f>
        <v>0</v>
      </c>
      <c r="AI576" t="b">
        <f>AND(IF(metadata!G576="",FALSE,TRUE),OR(EXACT(metadata!G576,"Plant secretion"),EXACT(metadata!G576,"Plant rhizosphere"),EXACT(metadata!G576,"Plant surface"),EXACT(metadata!G576,"Plant corpus"),EXACT(metadata!G576,"Fungus surface"),EXACT(metadata!G576,"Fungus corpus"),EXACT(metadata!G576,"Animal surface"),EXACT(metadata!G576,"Animal proximal gut"),EXACT(metadata!G576,"Animal corpus"),EXACT(metadata!G576,"Animal distal gut"),EXACT(metadata!G576,"Animal secretion")))</f>
        <v>0</v>
      </c>
      <c r="AJ576" t="b">
        <f>OR(AND(IF(metadata!H576="",FALSE,TRUE),OR(EXACT(metadata!H576,"missing: not collected"),EXACT(metadata!H576,"missing: not provided"),EXACT(metadata!H576,"missing: restricted access"))),AND(IF(metadata!H576="",FALSE,TRUE),OR(EXACT(metadata!H576,"organism-associated habitat"),EXACT(metadata!H576,"plant-associated habitat"),EXACT(metadata!H576,"animal-associated habitat"),EXACT(metadata!H576,"insecta-associated habitat"),EXACT(metadata!H576,"mammalia-associated habitat"),EXACT(metadata!H576,"human-associated habitat"),EXACT(metadata!H576,"livestock-associated habitat"))))</f>
        <v>0</v>
      </c>
      <c r="AK576" t="b">
        <f>AND(IF(metadata!I576="",FALSE,TRUE),EXACT(metadata!I576,"host-associated"))</f>
        <v>0</v>
      </c>
      <c r="AL576" t="b">
        <f>OR(AND(IF(metadata!J576="",FALSE,TRUE),OR(EXACT(metadata!J576,"not applicable"),EXACT(metadata!J576,"missing: not collected"),EXACT(metadata!J576,"missing: not provided"),EXACT(metadata!J576,"missing: restricted access"))),AND(IF(metadata!J576="",FALSE,ISNUMBER(VALUE(metadata!J576))),metadata!J576&gt;0))</f>
        <v>0</v>
      </c>
      <c r="AM576" t="b">
        <f>AND(IF(metadata!K576="",FALSE,TRUE),EXACT(metadata!K576,"missing: not provided"))</f>
        <v>0</v>
      </c>
      <c r="AN576" t="b">
        <f>IF(metadata!L576="",FALSE,TRUE)</f>
        <v>0</v>
      </c>
      <c r="AO576" t="b">
        <f>IF(metadata!M576="",FALSE,TRUE)</f>
        <v>0</v>
      </c>
      <c r="AP576" t="b">
        <f>OR(AND(IF(metadata!N576="",FALSE,TRUE),OR(EXACT(metadata!N576,"not applicable"),EXACT(metadata!N576,"missing: not collected"),EXACT(metadata!N576,"missing: not provided"))),AND(IF(metadata!N576="",FALSE,IF(ISERROR(INT(metadata!N576)),FALSE,INT(metadata!N576)=metadata!N576)),metadata!N576&gt;0))</f>
        <v>0</v>
      </c>
      <c r="AQ576" t="b">
        <f>AND(IF(metadata!O576="",FALSE,TRUE),EXACT(metadata!O576,"Not applicable"))</f>
        <v>0</v>
      </c>
      <c r="AR576" t="b">
        <f>OR(AND(IF(metadata!P576="",FALSE,TRUE),OR(EXACT(metadata!P576,"not applicable"),EXACT(metadata!P576,"missing: not collected"),EXACT(metadata!P576,"missing: not provided"),EXACT(metadata!P576,"missing: restricted access"))),IF(metadata!P576="",FALSE,IF(ISERROR(INT(metadata!P576)),FALSE,INT(metadata!P576)=metadata!P576)))</f>
        <v>0</v>
      </c>
      <c r="AS576" t="b">
        <f>AND(IF(metadata!Q576="",FALSE,TRUE),EXACT(metadata!Q576,"Not applicable"))</f>
        <v>0</v>
      </c>
      <c r="AT576" t="b">
        <f>OR(AND(IF(metadata!R576="",FALSE,TRUE),OR(EXACT(metadata!R576,"not applicable"),EXACT(metadata!R576,"missing: not collected"),EXACT(metadata!R576,"missing: not provided"),EXACT(metadata!R576,"missing: restricted access"))),AND(IF(metadata!R576="",FALSE,ISNUMBER(VALUE(metadata!R576))),metadata!R576&gt;0))</f>
        <v>0</v>
      </c>
      <c r="AU576" t="b">
        <f>AND(IF(metadata!S576="",FALSE,TRUE),EXACT(metadata!S576,"missing: not provided"))</f>
        <v>0</v>
      </c>
    </row>
    <row r="577" spans="1:47" x14ac:dyDescent="0.2">
      <c r="A577" s="5" t="str">
        <f ca="1">IF(B577=" "," ",HYPERLINK(CONCATENATE("#metadata!",ADDRESS(INDEX($Y$2:$Y$1001,MATCH(ROWS($W$2:W577),$W$2:$W$1001,0),0),1)),INDEX($AB$2:$AB$1001,MATCH(ROWS($W$2:W577),$W$2:$W$1001,0),0)))</f>
        <v xml:space="preserve"> </v>
      </c>
      <c r="B577" s="4" t="str">
        <f ca="1">IF(OR(INDEX($X$2:$X$1001,MATCH(ROWS($W$2:W577),$W$2:$W$1001,0),1)&gt;=100000,INDEX($AD$1005:$AU$1005,1,MATCH(COLUMNS($AD$1006:AD1006),$AD$1006:$AU$1006,0))&gt;=100000), " ",IF(INDEX($AD$2:$AU$1001,MATCH(ROWS($W$2:W577),$W$2:$W$1001,0),MATCH(COLUMNS($AD$1006:AD1006),$AD$1006:$AU$1006,0)), HYPERLINK("#",""), HYPERLINK(CONCATENATE("#metadata!", ADDRESS(INDEX($Y$2:$Y$1001,MATCH(ROWS($W$2:W577),$W$2:$W$1001,0),0), INDEX($AD$1004:$AU$1004,1,MATCH(COLUMNS($AD$1006:AD1006),$AD$1006:$AU$1006,0)))),"Fix")))</f>
        <v xml:space="preserve"> </v>
      </c>
      <c r="C577" s="4" t="str">
        <f ca="1">IF(OR(INDEX($X$2:$X$1001,MATCH(ROWS($W$2:W577),$W$2:$W$1001,0),1)&gt;=100000,INDEX($AD$1005:$AU$1005,1,MATCH(COLUMNS($AD$1006:AE1006),$AD$1006:$AU$1006,0))&gt;=100000), " ",IF(INDEX($AD$2:$AU$1001,MATCH(ROWS($W$2:W577),$W$2:$W$1001,0),MATCH(COLUMNS($AD$1006:AE1006),$AD$1006:$AU$1006,0)), HYPERLINK("#",""), HYPERLINK(CONCATENATE("#metadata!", ADDRESS(INDEX($Y$2:$Y$1001,MATCH(ROWS($W$2:W577),$W$2:$W$1001,0),0), INDEX($AD$1004:$AU$1004,1,MATCH(COLUMNS($AD$1006:AE1006),$AD$1006:$AU$1006,0)))),"Fix")))</f>
        <v xml:space="preserve"> </v>
      </c>
      <c r="D577" s="4" t="str">
        <f ca="1">IF(OR(INDEX($X$2:$X$1001,MATCH(ROWS($W$2:W577),$W$2:$W$1001,0),1)&gt;=100000,INDEX($AD$1005:$AU$1005,1,MATCH(COLUMNS($AD$1006:AF1006),$AD$1006:$AU$1006,0))&gt;=100000), " ",IF(INDEX($AD$2:$AU$1001,MATCH(ROWS($W$2:W577),$W$2:$W$1001,0),MATCH(COLUMNS($AD$1006:AF1006),$AD$1006:$AU$1006,0)), HYPERLINK("#",""), HYPERLINK(CONCATENATE("#metadata!", ADDRESS(INDEX($Y$2:$Y$1001,MATCH(ROWS($W$2:W577),$W$2:$W$1001,0),0), INDEX($AD$1004:$AU$1004,1,MATCH(COLUMNS($AD$1006:AF1006),$AD$1006:$AU$1006,0)))),"Fix")))</f>
        <v xml:space="preserve"> </v>
      </c>
      <c r="E577" s="4" t="str">
        <f ca="1">IF(OR(INDEX($X$2:$X$1001,MATCH(ROWS($W$2:W577),$W$2:$W$1001,0),1)&gt;=100000,INDEX($AD$1005:$AU$1005,1,MATCH(COLUMNS($AD$1006:AG1006),$AD$1006:$AU$1006,0))&gt;=100000), " ",IF(INDEX($AD$2:$AU$1001,MATCH(ROWS($W$2:W577),$W$2:$W$1001,0),MATCH(COLUMNS($AD$1006:AG1006),$AD$1006:$AU$1006,0)), HYPERLINK("#",""), HYPERLINK(CONCATENATE("#metadata!", ADDRESS(INDEX($Y$2:$Y$1001,MATCH(ROWS($W$2:W577),$W$2:$W$1001,0),0), INDEX($AD$1004:$AU$1004,1,MATCH(COLUMNS($AD$1006:AG1006),$AD$1006:$AU$1006,0)))),"Fix")))</f>
        <v xml:space="preserve"> </v>
      </c>
      <c r="F577" s="4" t="str">
        <f ca="1">IF(OR(INDEX($X$2:$X$1001,MATCH(ROWS($W$2:W577),$W$2:$W$1001,0),1)&gt;=100000,INDEX($AD$1005:$AU$1005,1,MATCH(COLUMNS($AD$1006:AH1006),$AD$1006:$AU$1006,0))&gt;=100000), " ",IF(INDEX($AD$2:$AU$1001,MATCH(ROWS($W$2:W577),$W$2:$W$1001,0),MATCH(COLUMNS($AD$1006:AH1006),$AD$1006:$AU$1006,0)), HYPERLINK("#",""), HYPERLINK(CONCATENATE("#metadata!", ADDRESS(INDEX($Y$2:$Y$1001,MATCH(ROWS($W$2:W577),$W$2:$W$1001,0),0), INDEX($AD$1004:$AU$1004,1,MATCH(COLUMNS($AD$1006:AH1006),$AD$1006:$AU$1006,0)))),"Fix")))</f>
        <v xml:space="preserve"> </v>
      </c>
      <c r="G577" s="4" t="str">
        <f ca="1">IF(OR(INDEX($X$2:$X$1001,MATCH(ROWS($W$2:W577),$W$2:$W$1001,0),1)&gt;=100000,INDEX($AD$1005:$AU$1005,1,MATCH(COLUMNS($AD$1006:AI1006),$AD$1006:$AU$1006,0))&gt;=100000), " ",IF(INDEX($AD$2:$AU$1001,MATCH(ROWS($W$2:W577),$W$2:$W$1001,0),MATCH(COLUMNS($AD$1006:AI1006),$AD$1006:$AU$1006,0)), HYPERLINK("#",""), HYPERLINK(CONCATENATE("#metadata!", ADDRESS(INDEX($Y$2:$Y$1001,MATCH(ROWS($W$2:W577),$W$2:$W$1001,0),0), INDEX($AD$1004:$AU$1004,1,MATCH(COLUMNS($AD$1006:AI1006),$AD$1006:$AU$1006,0)))),"Fix")))</f>
        <v xml:space="preserve"> </v>
      </c>
      <c r="H577" s="4" t="str">
        <f ca="1">IF(OR(INDEX($X$2:$X$1001,MATCH(ROWS($W$2:W577),$W$2:$W$1001,0),1)&gt;=100000,INDEX($AD$1005:$AU$1005,1,MATCH(COLUMNS($AD$1006:AJ1006),$AD$1006:$AU$1006,0))&gt;=100000), " ",IF(INDEX($AD$2:$AU$1001,MATCH(ROWS($W$2:W577),$W$2:$W$1001,0),MATCH(COLUMNS($AD$1006:AJ1006),$AD$1006:$AU$1006,0)), HYPERLINK("#",""), HYPERLINK(CONCATENATE("#metadata!", ADDRESS(INDEX($Y$2:$Y$1001,MATCH(ROWS($W$2:W577),$W$2:$W$1001,0),0), INDEX($AD$1004:$AU$1004,1,MATCH(COLUMNS($AD$1006:AJ1006),$AD$1006:$AU$1006,0)))),"Fix")))</f>
        <v xml:space="preserve"> </v>
      </c>
      <c r="I577" s="4" t="str">
        <f ca="1">IF(OR(INDEX($X$2:$X$1001,MATCH(ROWS($W$2:W577),$W$2:$W$1001,0),1)&gt;=100000,INDEX($AD$1005:$AU$1005,1,MATCH(COLUMNS($AD$1006:AK1006),$AD$1006:$AU$1006,0))&gt;=100000), " ",IF(INDEX($AD$2:$AU$1001,MATCH(ROWS($W$2:W577),$W$2:$W$1001,0),MATCH(COLUMNS($AD$1006:AK1006),$AD$1006:$AU$1006,0)), HYPERLINK("#",""), HYPERLINK(CONCATENATE("#metadata!", ADDRESS(INDEX($Y$2:$Y$1001,MATCH(ROWS($W$2:W577),$W$2:$W$1001,0),0), INDEX($AD$1004:$AU$1004,1,MATCH(COLUMNS($AD$1006:AK1006),$AD$1006:$AU$1006,0)))),"Fix")))</f>
        <v xml:space="preserve"> </v>
      </c>
      <c r="J577" s="4" t="str">
        <f ca="1">IF(OR(INDEX($X$2:$X$1001,MATCH(ROWS($W$2:W577),$W$2:$W$1001,0),1)&gt;=100000,INDEX($AD$1005:$AU$1005,1,MATCH(COLUMNS($AD$1006:AL1006),$AD$1006:$AU$1006,0))&gt;=100000), " ",IF(INDEX($AD$2:$AU$1001,MATCH(ROWS($W$2:W577),$W$2:$W$1001,0),MATCH(COLUMNS($AD$1006:AL1006),$AD$1006:$AU$1006,0)), HYPERLINK("#",""), HYPERLINK(CONCATENATE("#metadata!", ADDRESS(INDEX($Y$2:$Y$1001,MATCH(ROWS($W$2:W577),$W$2:$W$1001,0),0), INDEX($AD$1004:$AU$1004,1,MATCH(COLUMNS($AD$1006:AL1006),$AD$1006:$AU$1006,0)))),"Fix")))</f>
        <v xml:space="preserve"> </v>
      </c>
      <c r="K577" s="4" t="str">
        <f ca="1">IF(OR(INDEX($X$2:$X$1001,MATCH(ROWS($W$2:W577),$W$2:$W$1001,0),1)&gt;=100000,INDEX($AD$1005:$AU$1005,1,MATCH(COLUMNS($AD$1006:AM1006),$AD$1006:$AU$1006,0))&gt;=100000), " ",IF(INDEX($AD$2:$AU$1001,MATCH(ROWS($W$2:W577),$W$2:$W$1001,0),MATCH(COLUMNS($AD$1006:AM1006),$AD$1006:$AU$1006,0)), HYPERLINK("#",""), HYPERLINK(CONCATENATE("#metadata!", ADDRESS(INDEX($Y$2:$Y$1001,MATCH(ROWS($W$2:W577),$W$2:$W$1001,0),0), INDEX($AD$1004:$AU$1004,1,MATCH(COLUMNS($AD$1006:AM1006),$AD$1006:$AU$1006,0)))),"Fix")))</f>
        <v xml:space="preserve"> </v>
      </c>
      <c r="L577" s="4" t="str">
        <f ca="1">IF(OR(INDEX($X$2:$X$1001,MATCH(ROWS($W$2:W577),$W$2:$W$1001,0),1)&gt;=100000,INDEX($AD$1005:$AU$1005,1,MATCH(COLUMNS($AD$1006:AN1006),$AD$1006:$AU$1006,0))&gt;=100000), " ",IF(INDEX($AD$2:$AU$1001,MATCH(ROWS($W$2:W577),$W$2:$W$1001,0),MATCH(COLUMNS($AD$1006:AN1006),$AD$1006:$AU$1006,0)), HYPERLINK("#",""), HYPERLINK(CONCATENATE("#metadata!", ADDRESS(INDEX($Y$2:$Y$1001,MATCH(ROWS($W$2:W577),$W$2:$W$1001,0),0), INDEX($AD$1004:$AU$1004,1,MATCH(COLUMNS($AD$1006:AN1006),$AD$1006:$AU$1006,0)))),"Fix")))</f>
        <v xml:space="preserve"> </v>
      </c>
      <c r="M577" s="4" t="str">
        <f ca="1">IF(OR(INDEX($X$2:$X$1001,MATCH(ROWS($W$2:W577),$W$2:$W$1001,0),1)&gt;=100000,INDEX($AD$1005:$AU$1005,1,MATCH(COLUMNS($AD$1006:AO1006),$AD$1006:$AU$1006,0))&gt;=100000), " ",IF(INDEX($AD$2:$AU$1001,MATCH(ROWS($W$2:W577),$W$2:$W$1001,0),MATCH(COLUMNS($AD$1006:AO1006),$AD$1006:$AU$1006,0)), HYPERLINK("#",""), HYPERLINK(CONCATENATE("#metadata!", ADDRESS(INDEX($Y$2:$Y$1001,MATCH(ROWS($W$2:W577),$W$2:$W$1001,0),0), INDEX($AD$1004:$AU$1004,1,MATCH(COLUMNS($AD$1006:AO1006),$AD$1006:$AU$1006,0)))),"Fix")))</f>
        <v xml:space="preserve"> </v>
      </c>
      <c r="N577" s="4" t="str">
        <f ca="1">IF(OR(INDEX($X$2:$X$1001,MATCH(ROWS($W$2:W577),$W$2:$W$1001,0),1)&gt;=100000,INDEX($AD$1005:$AU$1005,1,MATCH(COLUMNS($AD$1006:AP1006),$AD$1006:$AU$1006,0))&gt;=100000), " ",IF(INDEX($AD$2:$AU$1001,MATCH(ROWS($W$2:W577),$W$2:$W$1001,0),MATCH(COLUMNS($AD$1006:AP1006),$AD$1006:$AU$1006,0)), HYPERLINK("#",""), HYPERLINK(CONCATENATE("#metadata!", ADDRESS(INDEX($Y$2:$Y$1001,MATCH(ROWS($W$2:W577),$W$2:$W$1001,0),0), INDEX($AD$1004:$AU$1004,1,MATCH(COLUMNS($AD$1006:AP1006),$AD$1006:$AU$1006,0)))),"Fix")))</f>
        <v xml:space="preserve"> </v>
      </c>
      <c r="O577" s="4" t="str">
        <f ca="1">IF(OR(INDEX($X$2:$X$1001,MATCH(ROWS($W$2:W577),$W$2:$W$1001,0),1)&gt;=100000,INDEX($AD$1005:$AU$1005,1,MATCH(COLUMNS($AD$1006:AQ1006),$AD$1006:$AU$1006,0))&gt;=100000), " ",IF(INDEX($AD$2:$AU$1001,MATCH(ROWS($W$2:W577),$W$2:$W$1001,0),MATCH(COLUMNS($AD$1006:AQ1006),$AD$1006:$AU$1006,0)), HYPERLINK("#",""), HYPERLINK(CONCATENATE("#metadata!", ADDRESS(INDEX($Y$2:$Y$1001,MATCH(ROWS($W$2:W577),$W$2:$W$1001,0),0), INDEX($AD$1004:$AU$1004,1,MATCH(COLUMNS($AD$1006:AQ1006),$AD$1006:$AU$1006,0)))),"Fix")))</f>
        <v xml:space="preserve"> </v>
      </c>
      <c r="P577" s="4" t="str">
        <f ca="1">IF(OR(INDEX($X$2:$X$1001,MATCH(ROWS($W$2:W577),$W$2:$W$1001,0),1)&gt;=100000,INDEX($AD$1005:$AU$1005,1,MATCH(COLUMNS($AD$1006:AR1006),$AD$1006:$AU$1006,0))&gt;=100000), " ",IF(INDEX($AD$2:$AU$1001,MATCH(ROWS($W$2:W577),$W$2:$W$1001,0),MATCH(COLUMNS($AD$1006:AR1006),$AD$1006:$AU$1006,0)), HYPERLINK("#",""), HYPERLINK(CONCATENATE("#metadata!", ADDRESS(INDEX($Y$2:$Y$1001,MATCH(ROWS($W$2:W577),$W$2:$W$1001,0),0), INDEX($AD$1004:$AU$1004,1,MATCH(COLUMNS($AD$1006:AR1006),$AD$1006:$AU$1006,0)))),"Fix")))</f>
        <v xml:space="preserve"> </v>
      </c>
      <c r="Q577" s="4" t="str">
        <f ca="1">IF(OR(INDEX($X$2:$X$1001,MATCH(ROWS($W$2:W577),$W$2:$W$1001,0),1)&gt;=100000,INDEX($AD$1005:$AU$1005,1,MATCH(COLUMNS($AD$1006:AS1006),$AD$1006:$AU$1006,0))&gt;=100000), " ",IF(INDEX($AD$2:$AU$1001,MATCH(ROWS($W$2:W577),$W$2:$W$1001,0),MATCH(COLUMNS($AD$1006:AS1006),$AD$1006:$AU$1006,0)), HYPERLINK("#",""), HYPERLINK(CONCATENATE("#metadata!", ADDRESS(INDEX($Y$2:$Y$1001,MATCH(ROWS($W$2:W577),$W$2:$W$1001,0),0), INDEX($AD$1004:$AU$1004,1,MATCH(COLUMNS($AD$1006:AS1006),$AD$1006:$AU$1006,0)))),"Fix")))</f>
        <v xml:space="preserve"> </v>
      </c>
      <c r="R577" s="4" t="str">
        <f ca="1">IF(OR(INDEX($X$2:$X$1001,MATCH(ROWS($W$2:W577),$W$2:$W$1001,0),1)&gt;=100000,INDEX($AD$1005:$AU$1005,1,MATCH(COLUMNS($AD$1006:AT1006),$AD$1006:$AU$1006,0))&gt;=100000), " ",IF(INDEX($AD$2:$AU$1001,MATCH(ROWS($W$2:W577),$W$2:$W$1001,0),MATCH(COLUMNS($AD$1006:AT1006),$AD$1006:$AU$1006,0)), HYPERLINK("#",""), HYPERLINK(CONCATENATE("#metadata!", ADDRESS(INDEX($Y$2:$Y$1001,MATCH(ROWS($W$2:W577),$W$2:$W$1001,0),0), INDEX($AD$1004:$AU$1004,1,MATCH(COLUMNS($AD$1006:AT1006),$AD$1006:$AU$1006,0)))),"Fix")))</f>
        <v xml:space="preserve"> </v>
      </c>
      <c r="S577" s="4" t="str">
        <f ca="1">IF(OR(INDEX($X$2:$X$1001,MATCH(ROWS($W$2:W577),$W$2:$W$1001,0),1)&gt;=100000,INDEX($AD$1005:$AU$1005,1,MATCH(COLUMNS($AD$1006:AU1006),$AD$1006:$AU$1006,0))&gt;=100000), " ",IF(INDEX($AD$2:$AU$1001,MATCH(ROWS($W$2:W577),$W$2:$W$1001,0),MATCH(COLUMNS($AD$1006:AU1006),$AD$1006:$AU$1006,0)), HYPERLINK("#",""), HYPERLINK(CONCATENATE("#metadata!", ADDRESS(INDEX($Y$2:$Y$1001,MATCH(ROWS($W$2:W577),$W$2:$W$1001,0),0), INDEX($AD$1004:$AU$1004,1,MATCH(COLUMNS($AD$1006:AU1006),$AD$1006:$AU$1006,0)))),"Fix")))</f>
        <v xml:space="preserve"> </v>
      </c>
      <c r="W577">
        <v>576</v>
      </c>
      <c r="X577">
        <v>100577</v>
      </c>
      <c r="Y577">
        <v>577</v>
      </c>
      <c r="Z577" t="b">
        <f t="shared" si="8"/>
        <v>1</v>
      </c>
      <c r="AA577" t="b">
        <f>COUNTBLANK(metadata!B577:S577)=COLUMNS(metadata!B577:S577)</f>
        <v>1</v>
      </c>
      <c r="AB577" t="str">
        <v/>
      </c>
      <c r="AD577" t="b">
        <f ca="1">AND(IF(metadata!B577="",FALSE,TRUE),COUNTIF(metadata!B:B, metadata!B577) = 1,NOT(ISERROR(SUMPRODUCT(SEARCH(MID(metadata!B577,ROW(INDIRECT("1:"&amp;LEN(metadata!B577))), 1),"0123456789abcdefghijklmnopqrstuvwxyzABCDEFGHIJKLMNOPQRSTUVWXYZ.")))))</f>
        <v>0</v>
      </c>
      <c r="AE577" t="b">
        <f>OR(AND(IF(metadata!C577="",FALSE,TRUE),OR(EXACT(metadata!C577,"not applicable"),EXACT(metadata!C577,"missing: not collected"),EXACT(metadata!C577,"missing: not provided"),EXACT(metadata!C577,"missing: restricted access"))),AND(IF(metadata!C577="",FALSE,ISNUMBER(VALUE(metadata!C577))),metadata!C577&gt;0))</f>
        <v>0</v>
      </c>
      <c r="AF577" t="b">
        <f>AND(IF(metadata!D577="",FALSE,TRUE),EXACT(metadata!D577,"missing: not provided"))</f>
        <v>0</v>
      </c>
      <c r="AG577" t="b">
        <f>AND(IF(metadata!E577="",FALSE,TRUE),EXACT(metadata!E577,"Host-associated"))</f>
        <v>0</v>
      </c>
      <c r="AH577" t="b">
        <f>AND(IF(metadata!F577="",FALSE,TRUE),OR(EXACT(metadata!F577,"Animal"),EXACT(metadata!F577,"Fungus"),EXACT(metadata!F577,"Plant")))</f>
        <v>0</v>
      </c>
      <c r="AI577" t="b">
        <f>AND(IF(metadata!G577="",FALSE,TRUE),OR(EXACT(metadata!G577,"Plant secretion"),EXACT(metadata!G577,"Plant rhizosphere"),EXACT(metadata!G577,"Plant surface"),EXACT(metadata!G577,"Plant corpus"),EXACT(metadata!G577,"Fungus surface"),EXACT(metadata!G577,"Fungus corpus"),EXACT(metadata!G577,"Animal surface"),EXACT(metadata!G577,"Animal proximal gut"),EXACT(metadata!G577,"Animal corpus"),EXACT(metadata!G577,"Animal distal gut"),EXACT(metadata!G577,"Animal secretion")))</f>
        <v>0</v>
      </c>
      <c r="AJ577" t="b">
        <f>OR(AND(IF(metadata!H577="",FALSE,TRUE),OR(EXACT(metadata!H577,"missing: not collected"),EXACT(metadata!H577,"missing: not provided"),EXACT(metadata!H577,"missing: restricted access"))),AND(IF(metadata!H577="",FALSE,TRUE),OR(EXACT(metadata!H577,"organism-associated habitat"),EXACT(metadata!H577,"plant-associated habitat"),EXACT(metadata!H577,"animal-associated habitat"),EXACT(metadata!H577,"insecta-associated habitat"),EXACT(metadata!H577,"mammalia-associated habitat"),EXACT(metadata!H577,"human-associated habitat"),EXACT(metadata!H577,"livestock-associated habitat"))))</f>
        <v>0</v>
      </c>
      <c r="AK577" t="b">
        <f>AND(IF(metadata!I577="",FALSE,TRUE),EXACT(metadata!I577,"host-associated"))</f>
        <v>0</v>
      </c>
      <c r="AL577" t="b">
        <f>OR(AND(IF(metadata!J577="",FALSE,TRUE),OR(EXACT(metadata!J577,"not applicable"),EXACT(metadata!J577,"missing: not collected"),EXACT(metadata!J577,"missing: not provided"),EXACT(metadata!J577,"missing: restricted access"))),AND(IF(metadata!J577="",FALSE,ISNUMBER(VALUE(metadata!J577))),metadata!J577&gt;0))</f>
        <v>0</v>
      </c>
      <c r="AM577" t="b">
        <f>AND(IF(metadata!K577="",FALSE,TRUE),EXACT(metadata!K577,"missing: not provided"))</f>
        <v>0</v>
      </c>
      <c r="AN577" t="b">
        <f>IF(metadata!L577="",FALSE,TRUE)</f>
        <v>0</v>
      </c>
      <c r="AO577" t="b">
        <f>IF(metadata!M577="",FALSE,TRUE)</f>
        <v>0</v>
      </c>
      <c r="AP577" t="b">
        <f>OR(AND(IF(metadata!N577="",FALSE,TRUE),OR(EXACT(metadata!N577,"not applicable"),EXACT(metadata!N577,"missing: not collected"),EXACT(metadata!N577,"missing: not provided"))),AND(IF(metadata!N577="",FALSE,IF(ISERROR(INT(metadata!N577)),FALSE,INT(metadata!N577)=metadata!N577)),metadata!N577&gt;0))</f>
        <v>0</v>
      </c>
      <c r="AQ577" t="b">
        <f>AND(IF(metadata!O577="",FALSE,TRUE),EXACT(metadata!O577,"Not applicable"))</f>
        <v>0</v>
      </c>
      <c r="AR577" t="b">
        <f>OR(AND(IF(metadata!P577="",FALSE,TRUE),OR(EXACT(metadata!P577,"not applicable"),EXACT(metadata!P577,"missing: not collected"),EXACT(metadata!P577,"missing: not provided"),EXACT(metadata!P577,"missing: restricted access"))),IF(metadata!P577="",FALSE,IF(ISERROR(INT(metadata!P577)),FALSE,INT(metadata!P577)=metadata!P577)))</f>
        <v>0</v>
      </c>
      <c r="AS577" t="b">
        <f>AND(IF(metadata!Q577="",FALSE,TRUE),EXACT(metadata!Q577,"Not applicable"))</f>
        <v>0</v>
      </c>
      <c r="AT577" t="b">
        <f>OR(AND(IF(metadata!R577="",FALSE,TRUE),OR(EXACT(metadata!R577,"not applicable"),EXACT(metadata!R577,"missing: not collected"),EXACT(metadata!R577,"missing: not provided"),EXACT(metadata!R577,"missing: restricted access"))),AND(IF(metadata!R577="",FALSE,ISNUMBER(VALUE(metadata!R577))),metadata!R577&gt;0))</f>
        <v>0</v>
      </c>
      <c r="AU577" t="b">
        <f>AND(IF(metadata!S577="",FALSE,TRUE),EXACT(metadata!S577,"missing: not provided"))</f>
        <v>0</v>
      </c>
    </row>
    <row r="578" spans="1:47" x14ac:dyDescent="0.2">
      <c r="A578" s="5" t="str">
        <f ca="1">IF(B578=" "," ",HYPERLINK(CONCATENATE("#metadata!",ADDRESS(INDEX($Y$2:$Y$1001,MATCH(ROWS($W$2:W578),$W$2:$W$1001,0),0),1)),INDEX($AB$2:$AB$1001,MATCH(ROWS($W$2:W578),$W$2:$W$1001,0),0)))</f>
        <v xml:space="preserve"> </v>
      </c>
      <c r="B578" s="4" t="str">
        <f ca="1">IF(OR(INDEX($X$2:$X$1001,MATCH(ROWS($W$2:W578),$W$2:$W$1001,0),1)&gt;=100000,INDEX($AD$1005:$AU$1005,1,MATCH(COLUMNS($AD$1006:AD1006),$AD$1006:$AU$1006,0))&gt;=100000), " ",IF(INDEX($AD$2:$AU$1001,MATCH(ROWS($W$2:W578),$W$2:$W$1001,0),MATCH(COLUMNS($AD$1006:AD1006),$AD$1006:$AU$1006,0)), HYPERLINK("#",""), HYPERLINK(CONCATENATE("#metadata!", ADDRESS(INDEX($Y$2:$Y$1001,MATCH(ROWS($W$2:W578),$W$2:$W$1001,0),0), INDEX($AD$1004:$AU$1004,1,MATCH(COLUMNS($AD$1006:AD1006),$AD$1006:$AU$1006,0)))),"Fix")))</f>
        <v xml:space="preserve"> </v>
      </c>
      <c r="C578" s="4" t="str">
        <f ca="1">IF(OR(INDEX($X$2:$X$1001,MATCH(ROWS($W$2:W578),$W$2:$W$1001,0),1)&gt;=100000,INDEX($AD$1005:$AU$1005,1,MATCH(COLUMNS($AD$1006:AE1006),$AD$1006:$AU$1006,0))&gt;=100000), " ",IF(INDEX($AD$2:$AU$1001,MATCH(ROWS($W$2:W578),$W$2:$W$1001,0),MATCH(COLUMNS($AD$1006:AE1006),$AD$1006:$AU$1006,0)), HYPERLINK("#",""), HYPERLINK(CONCATENATE("#metadata!", ADDRESS(INDEX($Y$2:$Y$1001,MATCH(ROWS($W$2:W578),$W$2:$W$1001,0),0), INDEX($AD$1004:$AU$1004,1,MATCH(COLUMNS($AD$1006:AE1006),$AD$1006:$AU$1006,0)))),"Fix")))</f>
        <v xml:space="preserve"> </v>
      </c>
      <c r="D578" s="4" t="str">
        <f ca="1">IF(OR(INDEX($X$2:$X$1001,MATCH(ROWS($W$2:W578),$W$2:$W$1001,0),1)&gt;=100000,INDEX($AD$1005:$AU$1005,1,MATCH(COLUMNS($AD$1006:AF1006),$AD$1006:$AU$1006,0))&gt;=100000), " ",IF(INDEX($AD$2:$AU$1001,MATCH(ROWS($W$2:W578),$W$2:$W$1001,0),MATCH(COLUMNS($AD$1006:AF1006),$AD$1006:$AU$1006,0)), HYPERLINK("#",""), HYPERLINK(CONCATENATE("#metadata!", ADDRESS(INDEX($Y$2:$Y$1001,MATCH(ROWS($W$2:W578),$W$2:$W$1001,0),0), INDEX($AD$1004:$AU$1004,1,MATCH(COLUMNS($AD$1006:AF1006),$AD$1006:$AU$1006,0)))),"Fix")))</f>
        <v xml:space="preserve"> </v>
      </c>
      <c r="E578" s="4" t="str">
        <f ca="1">IF(OR(INDEX($X$2:$X$1001,MATCH(ROWS($W$2:W578),$W$2:$W$1001,0),1)&gt;=100000,INDEX($AD$1005:$AU$1005,1,MATCH(COLUMNS($AD$1006:AG1006),$AD$1006:$AU$1006,0))&gt;=100000), " ",IF(INDEX($AD$2:$AU$1001,MATCH(ROWS($W$2:W578),$W$2:$W$1001,0),MATCH(COLUMNS($AD$1006:AG1006),$AD$1006:$AU$1006,0)), HYPERLINK("#",""), HYPERLINK(CONCATENATE("#metadata!", ADDRESS(INDEX($Y$2:$Y$1001,MATCH(ROWS($W$2:W578),$W$2:$W$1001,0),0), INDEX($AD$1004:$AU$1004,1,MATCH(COLUMNS($AD$1006:AG1006),$AD$1006:$AU$1006,0)))),"Fix")))</f>
        <v xml:space="preserve"> </v>
      </c>
      <c r="F578" s="4" t="str">
        <f ca="1">IF(OR(INDEX($X$2:$X$1001,MATCH(ROWS($W$2:W578),$W$2:$W$1001,0),1)&gt;=100000,INDEX($AD$1005:$AU$1005,1,MATCH(COLUMNS($AD$1006:AH1006),$AD$1006:$AU$1006,0))&gt;=100000), " ",IF(INDEX($AD$2:$AU$1001,MATCH(ROWS($W$2:W578),$W$2:$W$1001,0),MATCH(COLUMNS($AD$1006:AH1006),$AD$1006:$AU$1006,0)), HYPERLINK("#",""), HYPERLINK(CONCATENATE("#metadata!", ADDRESS(INDEX($Y$2:$Y$1001,MATCH(ROWS($W$2:W578),$W$2:$W$1001,0),0), INDEX($AD$1004:$AU$1004,1,MATCH(COLUMNS($AD$1006:AH1006),$AD$1006:$AU$1006,0)))),"Fix")))</f>
        <v xml:space="preserve"> </v>
      </c>
      <c r="G578" s="4" t="str">
        <f ca="1">IF(OR(INDEX($X$2:$X$1001,MATCH(ROWS($W$2:W578),$W$2:$W$1001,0),1)&gt;=100000,INDEX($AD$1005:$AU$1005,1,MATCH(COLUMNS($AD$1006:AI1006),$AD$1006:$AU$1006,0))&gt;=100000), " ",IF(INDEX($AD$2:$AU$1001,MATCH(ROWS($W$2:W578),$W$2:$W$1001,0),MATCH(COLUMNS($AD$1006:AI1006),$AD$1006:$AU$1006,0)), HYPERLINK("#",""), HYPERLINK(CONCATENATE("#metadata!", ADDRESS(INDEX($Y$2:$Y$1001,MATCH(ROWS($W$2:W578),$W$2:$W$1001,0),0), INDEX($AD$1004:$AU$1004,1,MATCH(COLUMNS($AD$1006:AI1006),$AD$1006:$AU$1006,0)))),"Fix")))</f>
        <v xml:space="preserve"> </v>
      </c>
      <c r="H578" s="4" t="str">
        <f ca="1">IF(OR(INDEX($X$2:$X$1001,MATCH(ROWS($W$2:W578),$W$2:$W$1001,0),1)&gt;=100000,INDEX($AD$1005:$AU$1005,1,MATCH(COLUMNS($AD$1006:AJ1006),$AD$1006:$AU$1006,0))&gt;=100000), " ",IF(INDEX($AD$2:$AU$1001,MATCH(ROWS($W$2:W578),$W$2:$W$1001,0),MATCH(COLUMNS($AD$1006:AJ1006),$AD$1006:$AU$1006,0)), HYPERLINK("#",""), HYPERLINK(CONCATENATE("#metadata!", ADDRESS(INDEX($Y$2:$Y$1001,MATCH(ROWS($W$2:W578),$W$2:$W$1001,0),0), INDEX($AD$1004:$AU$1004,1,MATCH(COLUMNS($AD$1006:AJ1006),$AD$1006:$AU$1006,0)))),"Fix")))</f>
        <v xml:space="preserve"> </v>
      </c>
      <c r="I578" s="4" t="str">
        <f ca="1">IF(OR(INDEX($X$2:$X$1001,MATCH(ROWS($W$2:W578),$W$2:$W$1001,0),1)&gt;=100000,INDEX($AD$1005:$AU$1005,1,MATCH(COLUMNS($AD$1006:AK1006),$AD$1006:$AU$1006,0))&gt;=100000), " ",IF(INDEX($AD$2:$AU$1001,MATCH(ROWS($W$2:W578),$W$2:$W$1001,0),MATCH(COLUMNS($AD$1006:AK1006),$AD$1006:$AU$1006,0)), HYPERLINK("#",""), HYPERLINK(CONCATENATE("#metadata!", ADDRESS(INDEX($Y$2:$Y$1001,MATCH(ROWS($W$2:W578),$W$2:$W$1001,0),0), INDEX($AD$1004:$AU$1004,1,MATCH(COLUMNS($AD$1006:AK1006),$AD$1006:$AU$1006,0)))),"Fix")))</f>
        <v xml:space="preserve"> </v>
      </c>
      <c r="J578" s="4" t="str">
        <f ca="1">IF(OR(INDEX($X$2:$X$1001,MATCH(ROWS($W$2:W578),$W$2:$W$1001,0),1)&gt;=100000,INDEX($AD$1005:$AU$1005,1,MATCH(COLUMNS($AD$1006:AL1006),$AD$1006:$AU$1006,0))&gt;=100000), " ",IF(INDEX($AD$2:$AU$1001,MATCH(ROWS($W$2:W578),$W$2:$W$1001,0),MATCH(COLUMNS($AD$1006:AL1006),$AD$1006:$AU$1006,0)), HYPERLINK("#",""), HYPERLINK(CONCATENATE("#metadata!", ADDRESS(INDEX($Y$2:$Y$1001,MATCH(ROWS($W$2:W578),$W$2:$W$1001,0),0), INDEX($AD$1004:$AU$1004,1,MATCH(COLUMNS($AD$1006:AL1006),$AD$1006:$AU$1006,0)))),"Fix")))</f>
        <v xml:space="preserve"> </v>
      </c>
      <c r="K578" s="4" t="str">
        <f ca="1">IF(OR(INDEX($X$2:$X$1001,MATCH(ROWS($W$2:W578),$W$2:$W$1001,0),1)&gt;=100000,INDEX($AD$1005:$AU$1005,1,MATCH(COLUMNS($AD$1006:AM1006),$AD$1006:$AU$1006,0))&gt;=100000), " ",IF(INDEX($AD$2:$AU$1001,MATCH(ROWS($W$2:W578),$W$2:$W$1001,0),MATCH(COLUMNS($AD$1006:AM1006),$AD$1006:$AU$1006,0)), HYPERLINK("#",""), HYPERLINK(CONCATENATE("#metadata!", ADDRESS(INDEX($Y$2:$Y$1001,MATCH(ROWS($W$2:W578),$W$2:$W$1001,0),0), INDEX($AD$1004:$AU$1004,1,MATCH(COLUMNS($AD$1006:AM1006),$AD$1006:$AU$1006,0)))),"Fix")))</f>
        <v xml:space="preserve"> </v>
      </c>
      <c r="L578" s="4" t="str">
        <f ca="1">IF(OR(INDEX($X$2:$X$1001,MATCH(ROWS($W$2:W578),$W$2:$W$1001,0),1)&gt;=100000,INDEX($AD$1005:$AU$1005,1,MATCH(COLUMNS($AD$1006:AN1006),$AD$1006:$AU$1006,0))&gt;=100000), " ",IF(INDEX($AD$2:$AU$1001,MATCH(ROWS($W$2:W578),$W$2:$W$1001,0),MATCH(COLUMNS($AD$1006:AN1006),$AD$1006:$AU$1006,0)), HYPERLINK("#",""), HYPERLINK(CONCATENATE("#metadata!", ADDRESS(INDEX($Y$2:$Y$1001,MATCH(ROWS($W$2:W578),$W$2:$W$1001,0),0), INDEX($AD$1004:$AU$1004,1,MATCH(COLUMNS($AD$1006:AN1006),$AD$1006:$AU$1006,0)))),"Fix")))</f>
        <v xml:space="preserve"> </v>
      </c>
      <c r="M578" s="4" t="str">
        <f ca="1">IF(OR(INDEX($X$2:$X$1001,MATCH(ROWS($W$2:W578),$W$2:$W$1001,0),1)&gt;=100000,INDEX($AD$1005:$AU$1005,1,MATCH(COLUMNS($AD$1006:AO1006),$AD$1006:$AU$1006,0))&gt;=100000), " ",IF(INDEX($AD$2:$AU$1001,MATCH(ROWS($W$2:W578),$W$2:$W$1001,0),MATCH(COLUMNS($AD$1006:AO1006),$AD$1006:$AU$1006,0)), HYPERLINK("#",""), HYPERLINK(CONCATENATE("#metadata!", ADDRESS(INDEX($Y$2:$Y$1001,MATCH(ROWS($W$2:W578),$W$2:$W$1001,0),0), INDEX($AD$1004:$AU$1004,1,MATCH(COLUMNS($AD$1006:AO1006),$AD$1006:$AU$1006,0)))),"Fix")))</f>
        <v xml:space="preserve"> </v>
      </c>
      <c r="N578" s="4" t="str">
        <f ca="1">IF(OR(INDEX($X$2:$X$1001,MATCH(ROWS($W$2:W578),$W$2:$W$1001,0),1)&gt;=100000,INDEX($AD$1005:$AU$1005,1,MATCH(COLUMNS($AD$1006:AP1006),$AD$1006:$AU$1006,0))&gt;=100000), " ",IF(INDEX($AD$2:$AU$1001,MATCH(ROWS($W$2:W578),$W$2:$W$1001,0),MATCH(COLUMNS($AD$1006:AP1006),$AD$1006:$AU$1006,0)), HYPERLINK("#",""), HYPERLINK(CONCATENATE("#metadata!", ADDRESS(INDEX($Y$2:$Y$1001,MATCH(ROWS($W$2:W578),$W$2:$W$1001,0),0), INDEX($AD$1004:$AU$1004,1,MATCH(COLUMNS($AD$1006:AP1006),$AD$1006:$AU$1006,0)))),"Fix")))</f>
        <v xml:space="preserve"> </v>
      </c>
      <c r="O578" s="4" t="str">
        <f ca="1">IF(OR(INDEX($X$2:$X$1001,MATCH(ROWS($W$2:W578),$W$2:$W$1001,0),1)&gt;=100000,INDEX($AD$1005:$AU$1005,1,MATCH(COLUMNS($AD$1006:AQ1006),$AD$1006:$AU$1006,0))&gt;=100000), " ",IF(INDEX($AD$2:$AU$1001,MATCH(ROWS($W$2:W578),$W$2:$W$1001,0),MATCH(COLUMNS($AD$1006:AQ1006),$AD$1006:$AU$1006,0)), HYPERLINK("#",""), HYPERLINK(CONCATENATE("#metadata!", ADDRESS(INDEX($Y$2:$Y$1001,MATCH(ROWS($W$2:W578),$W$2:$W$1001,0),0), INDEX($AD$1004:$AU$1004,1,MATCH(COLUMNS($AD$1006:AQ1006),$AD$1006:$AU$1006,0)))),"Fix")))</f>
        <v xml:space="preserve"> </v>
      </c>
      <c r="P578" s="4" t="str">
        <f ca="1">IF(OR(INDEX($X$2:$X$1001,MATCH(ROWS($W$2:W578),$W$2:$W$1001,0),1)&gt;=100000,INDEX($AD$1005:$AU$1005,1,MATCH(COLUMNS($AD$1006:AR1006),$AD$1006:$AU$1006,0))&gt;=100000), " ",IF(INDEX($AD$2:$AU$1001,MATCH(ROWS($W$2:W578),$W$2:$W$1001,0),MATCH(COLUMNS($AD$1006:AR1006),$AD$1006:$AU$1006,0)), HYPERLINK("#",""), HYPERLINK(CONCATENATE("#metadata!", ADDRESS(INDEX($Y$2:$Y$1001,MATCH(ROWS($W$2:W578),$W$2:$W$1001,0),0), INDEX($AD$1004:$AU$1004,1,MATCH(COLUMNS($AD$1006:AR1006),$AD$1006:$AU$1006,0)))),"Fix")))</f>
        <v xml:space="preserve"> </v>
      </c>
      <c r="Q578" s="4" t="str">
        <f ca="1">IF(OR(INDEX($X$2:$X$1001,MATCH(ROWS($W$2:W578),$W$2:$W$1001,0),1)&gt;=100000,INDEX($AD$1005:$AU$1005,1,MATCH(COLUMNS($AD$1006:AS1006),$AD$1006:$AU$1006,0))&gt;=100000), " ",IF(INDEX($AD$2:$AU$1001,MATCH(ROWS($W$2:W578),$W$2:$W$1001,0),MATCH(COLUMNS($AD$1006:AS1006),$AD$1006:$AU$1006,0)), HYPERLINK("#",""), HYPERLINK(CONCATENATE("#metadata!", ADDRESS(INDEX($Y$2:$Y$1001,MATCH(ROWS($W$2:W578),$W$2:$W$1001,0),0), INDEX($AD$1004:$AU$1004,1,MATCH(COLUMNS($AD$1006:AS1006),$AD$1006:$AU$1006,0)))),"Fix")))</f>
        <v xml:space="preserve"> </v>
      </c>
      <c r="R578" s="4" t="str">
        <f ca="1">IF(OR(INDEX($X$2:$X$1001,MATCH(ROWS($W$2:W578),$W$2:$W$1001,0),1)&gt;=100000,INDEX($AD$1005:$AU$1005,1,MATCH(COLUMNS($AD$1006:AT1006),$AD$1006:$AU$1006,0))&gt;=100000), " ",IF(INDEX($AD$2:$AU$1001,MATCH(ROWS($W$2:W578),$W$2:$W$1001,0),MATCH(COLUMNS($AD$1006:AT1006),$AD$1006:$AU$1006,0)), HYPERLINK("#",""), HYPERLINK(CONCATENATE("#metadata!", ADDRESS(INDEX($Y$2:$Y$1001,MATCH(ROWS($W$2:W578),$W$2:$W$1001,0),0), INDEX($AD$1004:$AU$1004,1,MATCH(COLUMNS($AD$1006:AT1006),$AD$1006:$AU$1006,0)))),"Fix")))</f>
        <v xml:space="preserve"> </v>
      </c>
      <c r="S578" s="4" t="str">
        <f ca="1">IF(OR(INDEX($X$2:$X$1001,MATCH(ROWS($W$2:W578),$W$2:$W$1001,0),1)&gt;=100000,INDEX($AD$1005:$AU$1005,1,MATCH(COLUMNS($AD$1006:AU1006),$AD$1006:$AU$1006,0))&gt;=100000), " ",IF(INDEX($AD$2:$AU$1001,MATCH(ROWS($W$2:W578),$W$2:$W$1001,0),MATCH(COLUMNS($AD$1006:AU1006),$AD$1006:$AU$1006,0)), HYPERLINK("#",""), HYPERLINK(CONCATENATE("#metadata!", ADDRESS(INDEX($Y$2:$Y$1001,MATCH(ROWS($W$2:W578),$W$2:$W$1001,0),0), INDEX($AD$1004:$AU$1004,1,MATCH(COLUMNS($AD$1006:AU1006),$AD$1006:$AU$1006,0)))),"Fix")))</f>
        <v xml:space="preserve"> </v>
      </c>
      <c r="W578">
        <v>577</v>
      </c>
      <c r="X578">
        <v>100578</v>
      </c>
      <c r="Y578">
        <v>578</v>
      </c>
      <c r="Z578" t="b">
        <f t="shared" ref="Z578:Z641" si="9">IF(AA578,TRUE,AND(AD578:AU578))</f>
        <v>1</v>
      </c>
      <c r="AA578" t="b">
        <f>COUNTBLANK(metadata!B578:S578)=COLUMNS(metadata!B578:S578)</f>
        <v>1</v>
      </c>
      <c r="AB578" t="str">
        <v/>
      </c>
      <c r="AD578" t="b">
        <f ca="1">AND(IF(metadata!B578="",FALSE,TRUE),COUNTIF(metadata!B:B, metadata!B578) = 1,NOT(ISERROR(SUMPRODUCT(SEARCH(MID(metadata!B578,ROW(INDIRECT("1:"&amp;LEN(metadata!B578))), 1),"0123456789abcdefghijklmnopqrstuvwxyzABCDEFGHIJKLMNOPQRSTUVWXYZ.")))))</f>
        <v>0</v>
      </c>
      <c r="AE578" t="b">
        <f>OR(AND(IF(metadata!C578="",FALSE,TRUE),OR(EXACT(metadata!C578,"not applicable"),EXACT(metadata!C578,"missing: not collected"),EXACT(metadata!C578,"missing: not provided"),EXACT(metadata!C578,"missing: restricted access"))),AND(IF(metadata!C578="",FALSE,ISNUMBER(VALUE(metadata!C578))),metadata!C578&gt;0))</f>
        <v>0</v>
      </c>
      <c r="AF578" t="b">
        <f>AND(IF(metadata!D578="",FALSE,TRUE),EXACT(metadata!D578,"missing: not provided"))</f>
        <v>0</v>
      </c>
      <c r="AG578" t="b">
        <f>AND(IF(metadata!E578="",FALSE,TRUE),EXACT(metadata!E578,"Host-associated"))</f>
        <v>0</v>
      </c>
      <c r="AH578" t="b">
        <f>AND(IF(metadata!F578="",FALSE,TRUE),OR(EXACT(metadata!F578,"Animal"),EXACT(metadata!F578,"Fungus"),EXACT(metadata!F578,"Plant")))</f>
        <v>0</v>
      </c>
      <c r="AI578" t="b">
        <f>AND(IF(metadata!G578="",FALSE,TRUE),OR(EXACT(metadata!G578,"Plant secretion"),EXACT(metadata!G578,"Plant rhizosphere"),EXACT(metadata!G578,"Plant surface"),EXACT(metadata!G578,"Plant corpus"),EXACT(metadata!G578,"Fungus surface"),EXACT(metadata!G578,"Fungus corpus"),EXACT(metadata!G578,"Animal surface"),EXACT(metadata!G578,"Animal proximal gut"),EXACT(metadata!G578,"Animal corpus"),EXACT(metadata!G578,"Animal distal gut"),EXACT(metadata!G578,"Animal secretion")))</f>
        <v>0</v>
      </c>
      <c r="AJ578" t="b">
        <f>OR(AND(IF(metadata!H578="",FALSE,TRUE),OR(EXACT(metadata!H578,"missing: not collected"),EXACT(metadata!H578,"missing: not provided"),EXACT(metadata!H578,"missing: restricted access"))),AND(IF(metadata!H578="",FALSE,TRUE),OR(EXACT(metadata!H578,"organism-associated habitat"),EXACT(metadata!H578,"plant-associated habitat"),EXACT(metadata!H578,"animal-associated habitat"),EXACT(metadata!H578,"insecta-associated habitat"),EXACT(metadata!H578,"mammalia-associated habitat"),EXACT(metadata!H578,"human-associated habitat"),EXACT(metadata!H578,"livestock-associated habitat"))))</f>
        <v>0</v>
      </c>
      <c r="AK578" t="b">
        <f>AND(IF(metadata!I578="",FALSE,TRUE),EXACT(metadata!I578,"host-associated"))</f>
        <v>0</v>
      </c>
      <c r="AL578" t="b">
        <f>OR(AND(IF(metadata!J578="",FALSE,TRUE),OR(EXACT(metadata!J578,"not applicable"),EXACT(metadata!J578,"missing: not collected"),EXACT(metadata!J578,"missing: not provided"),EXACT(metadata!J578,"missing: restricted access"))),AND(IF(metadata!J578="",FALSE,ISNUMBER(VALUE(metadata!J578))),metadata!J578&gt;0))</f>
        <v>0</v>
      </c>
      <c r="AM578" t="b">
        <f>AND(IF(metadata!K578="",FALSE,TRUE),EXACT(metadata!K578,"missing: not provided"))</f>
        <v>0</v>
      </c>
      <c r="AN578" t="b">
        <f>IF(metadata!L578="",FALSE,TRUE)</f>
        <v>0</v>
      </c>
      <c r="AO578" t="b">
        <f>IF(metadata!M578="",FALSE,TRUE)</f>
        <v>0</v>
      </c>
      <c r="AP578" t="b">
        <f>OR(AND(IF(metadata!N578="",FALSE,TRUE),OR(EXACT(metadata!N578,"not applicable"),EXACT(metadata!N578,"missing: not collected"),EXACT(metadata!N578,"missing: not provided"))),AND(IF(metadata!N578="",FALSE,IF(ISERROR(INT(metadata!N578)),FALSE,INT(metadata!N578)=metadata!N578)),metadata!N578&gt;0))</f>
        <v>0</v>
      </c>
      <c r="AQ578" t="b">
        <f>AND(IF(metadata!O578="",FALSE,TRUE),EXACT(metadata!O578,"Not applicable"))</f>
        <v>0</v>
      </c>
      <c r="AR578" t="b">
        <f>OR(AND(IF(metadata!P578="",FALSE,TRUE),OR(EXACT(metadata!P578,"not applicable"),EXACT(metadata!P578,"missing: not collected"),EXACT(metadata!P578,"missing: not provided"),EXACT(metadata!P578,"missing: restricted access"))),IF(metadata!P578="",FALSE,IF(ISERROR(INT(metadata!P578)),FALSE,INT(metadata!P578)=metadata!P578)))</f>
        <v>0</v>
      </c>
      <c r="AS578" t="b">
        <f>AND(IF(metadata!Q578="",FALSE,TRUE),EXACT(metadata!Q578,"Not applicable"))</f>
        <v>0</v>
      </c>
      <c r="AT578" t="b">
        <f>OR(AND(IF(metadata!R578="",FALSE,TRUE),OR(EXACT(metadata!R578,"not applicable"),EXACT(metadata!R578,"missing: not collected"),EXACT(metadata!R578,"missing: not provided"),EXACT(metadata!R578,"missing: restricted access"))),AND(IF(metadata!R578="",FALSE,ISNUMBER(VALUE(metadata!R578))),metadata!R578&gt;0))</f>
        <v>0</v>
      </c>
      <c r="AU578" t="b">
        <f>AND(IF(metadata!S578="",FALSE,TRUE),EXACT(metadata!S578,"missing: not provided"))</f>
        <v>0</v>
      </c>
    </row>
    <row r="579" spans="1:47" x14ac:dyDescent="0.2">
      <c r="A579" s="5" t="str">
        <f ca="1">IF(B579=" "," ",HYPERLINK(CONCATENATE("#metadata!",ADDRESS(INDEX($Y$2:$Y$1001,MATCH(ROWS($W$2:W579),$W$2:$W$1001,0),0),1)),INDEX($AB$2:$AB$1001,MATCH(ROWS($W$2:W579),$W$2:$W$1001,0),0)))</f>
        <v xml:space="preserve"> </v>
      </c>
      <c r="B579" s="4" t="str">
        <f ca="1">IF(OR(INDEX($X$2:$X$1001,MATCH(ROWS($W$2:W579),$W$2:$W$1001,0),1)&gt;=100000,INDEX($AD$1005:$AU$1005,1,MATCH(COLUMNS($AD$1006:AD1006),$AD$1006:$AU$1006,0))&gt;=100000), " ",IF(INDEX($AD$2:$AU$1001,MATCH(ROWS($W$2:W579),$W$2:$W$1001,0),MATCH(COLUMNS($AD$1006:AD1006),$AD$1006:$AU$1006,0)), HYPERLINK("#",""), HYPERLINK(CONCATENATE("#metadata!", ADDRESS(INDEX($Y$2:$Y$1001,MATCH(ROWS($W$2:W579),$W$2:$W$1001,0),0), INDEX($AD$1004:$AU$1004,1,MATCH(COLUMNS($AD$1006:AD1006),$AD$1006:$AU$1006,0)))),"Fix")))</f>
        <v xml:space="preserve"> </v>
      </c>
      <c r="C579" s="4" t="str">
        <f ca="1">IF(OR(INDEX($X$2:$X$1001,MATCH(ROWS($W$2:W579),$W$2:$W$1001,0),1)&gt;=100000,INDEX($AD$1005:$AU$1005,1,MATCH(COLUMNS($AD$1006:AE1006),$AD$1006:$AU$1006,0))&gt;=100000), " ",IF(INDEX($AD$2:$AU$1001,MATCH(ROWS($W$2:W579),$W$2:$W$1001,0),MATCH(COLUMNS($AD$1006:AE1006),$AD$1006:$AU$1006,0)), HYPERLINK("#",""), HYPERLINK(CONCATENATE("#metadata!", ADDRESS(INDEX($Y$2:$Y$1001,MATCH(ROWS($W$2:W579),$W$2:$W$1001,0),0), INDEX($AD$1004:$AU$1004,1,MATCH(COLUMNS($AD$1006:AE1006),$AD$1006:$AU$1006,0)))),"Fix")))</f>
        <v xml:space="preserve"> </v>
      </c>
      <c r="D579" s="4" t="str">
        <f ca="1">IF(OR(INDEX($X$2:$X$1001,MATCH(ROWS($W$2:W579),$W$2:$W$1001,0),1)&gt;=100000,INDEX($AD$1005:$AU$1005,1,MATCH(COLUMNS($AD$1006:AF1006),$AD$1006:$AU$1006,0))&gt;=100000), " ",IF(INDEX($AD$2:$AU$1001,MATCH(ROWS($W$2:W579),$W$2:$W$1001,0),MATCH(COLUMNS($AD$1006:AF1006),$AD$1006:$AU$1006,0)), HYPERLINK("#",""), HYPERLINK(CONCATENATE("#metadata!", ADDRESS(INDEX($Y$2:$Y$1001,MATCH(ROWS($W$2:W579),$W$2:$W$1001,0),0), INDEX($AD$1004:$AU$1004,1,MATCH(COLUMNS($AD$1006:AF1006),$AD$1006:$AU$1006,0)))),"Fix")))</f>
        <v xml:space="preserve"> </v>
      </c>
      <c r="E579" s="4" t="str">
        <f ca="1">IF(OR(INDEX($X$2:$X$1001,MATCH(ROWS($W$2:W579),$W$2:$W$1001,0),1)&gt;=100000,INDEX($AD$1005:$AU$1005,1,MATCH(COLUMNS($AD$1006:AG1006),$AD$1006:$AU$1006,0))&gt;=100000), " ",IF(INDEX($AD$2:$AU$1001,MATCH(ROWS($W$2:W579),$W$2:$W$1001,0),MATCH(COLUMNS($AD$1006:AG1006),$AD$1006:$AU$1006,0)), HYPERLINK("#",""), HYPERLINK(CONCATENATE("#metadata!", ADDRESS(INDEX($Y$2:$Y$1001,MATCH(ROWS($W$2:W579),$W$2:$W$1001,0),0), INDEX($AD$1004:$AU$1004,1,MATCH(COLUMNS($AD$1006:AG1006),$AD$1006:$AU$1006,0)))),"Fix")))</f>
        <v xml:space="preserve"> </v>
      </c>
      <c r="F579" s="4" t="str">
        <f ca="1">IF(OR(INDEX($X$2:$X$1001,MATCH(ROWS($W$2:W579),$W$2:$W$1001,0),1)&gt;=100000,INDEX($AD$1005:$AU$1005,1,MATCH(COLUMNS($AD$1006:AH1006),$AD$1006:$AU$1006,0))&gt;=100000), " ",IF(INDEX($AD$2:$AU$1001,MATCH(ROWS($W$2:W579),$W$2:$W$1001,0),MATCH(COLUMNS($AD$1006:AH1006),$AD$1006:$AU$1006,0)), HYPERLINK("#",""), HYPERLINK(CONCATENATE("#metadata!", ADDRESS(INDEX($Y$2:$Y$1001,MATCH(ROWS($W$2:W579),$W$2:$W$1001,0),0), INDEX($AD$1004:$AU$1004,1,MATCH(COLUMNS($AD$1006:AH1006),$AD$1006:$AU$1006,0)))),"Fix")))</f>
        <v xml:space="preserve"> </v>
      </c>
      <c r="G579" s="4" t="str">
        <f ca="1">IF(OR(INDEX($X$2:$X$1001,MATCH(ROWS($W$2:W579),$W$2:$W$1001,0),1)&gt;=100000,INDEX($AD$1005:$AU$1005,1,MATCH(COLUMNS($AD$1006:AI1006),$AD$1006:$AU$1006,0))&gt;=100000), " ",IF(INDEX($AD$2:$AU$1001,MATCH(ROWS($W$2:W579),$W$2:$W$1001,0),MATCH(COLUMNS($AD$1006:AI1006),$AD$1006:$AU$1006,0)), HYPERLINK("#",""), HYPERLINK(CONCATENATE("#metadata!", ADDRESS(INDEX($Y$2:$Y$1001,MATCH(ROWS($W$2:W579),$W$2:$W$1001,0),0), INDEX($AD$1004:$AU$1004,1,MATCH(COLUMNS($AD$1006:AI1006),$AD$1006:$AU$1006,0)))),"Fix")))</f>
        <v xml:space="preserve"> </v>
      </c>
      <c r="H579" s="4" t="str">
        <f ca="1">IF(OR(INDEX($X$2:$X$1001,MATCH(ROWS($W$2:W579),$W$2:$W$1001,0),1)&gt;=100000,INDEX($AD$1005:$AU$1005,1,MATCH(COLUMNS($AD$1006:AJ1006),$AD$1006:$AU$1006,0))&gt;=100000), " ",IF(INDEX($AD$2:$AU$1001,MATCH(ROWS($W$2:W579),$W$2:$W$1001,0),MATCH(COLUMNS($AD$1006:AJ1006),$AD$1006:$AU$1006,0)), HYPERLINK("#",""), HYPERLINK(CONCATENATE("#metadata!", ADDRESS(INDEX($Y$2:$Y$1001,MATCH(ROWS($W$2:W579),$W$2:$W$1001,0),0), INDEX($AD$1004:$AU$1004,1,MATCH(COLUMNS($AD$1006:AJ1006),$AD$1006:$AU$1006,0)))),"Fix")))</f>
        <v xml:space="preserve"> </v>
      </c>
      <c r="I579" s="4" t="str">
        <f ca="1">IF(OR(INDEX($X$2:$X$1001,MATCH(ROWS($W$2:W579),$W$2:$W$1001,0),1)&gt;=100000,INDEX($AD$1005:$AU$1005,1,MATCH(COLUMNS($AD$1006:AK1006),$AD$1006:$AU$1006,0))&gt;=100000), " ",IF(INDEX($AD$2:$AU$1001,MATCH(ROWS($W$2:W579),$W$2:$W$1001,0),MATCH(COLUMNS($AD$1006:AK1006),$AD$1006:$AU$1006,0)), HYPERLINK("#",""), HYPERLINK(CONCATENATE("#metadata!", ADDRESS(INDEX($Y$2:$Y$1001,MATCH(ROWS($W$2:W579),$W$2:$W$1001,0),0), INDEX($AD$1004:$AU$1004,1,MATCH(COLUMNS($AD$1006:AK1006),$AD$1006:$AU$1006,0)))),"Fix")))</f>
        <v xml:space="preserve"> </v>
      </c>
      <c r="J579" s="4" t="str">
        <f ca="1">IF(OR(INDEX($X$2:$X$1001,MATCH(ROWS($W$2:W579),$W$2:$W$1001,0),1)&gt;=100000,INDEX($AD$1005:$AU$1005,1,MATCH(COLUMNS($AD$1006:AL1006),$AD$1006:$AU$1006,0))&gt;=100000), " ",IF(INDEX($AD$2:$AU$1001,MATCH(ROWS($W$2:W579),$W$2:$W$1001,0),MATCH(COLUMNS($AD$1006:AL1006),$AD$1006:$AU$1006,0)), HYPERLINK("#",""), HYPERLINK(CONCATENATE("#metadata!", ADDRESS(INDEX($Y$2:$Y$1001,MATCH(ROWS($W$2:W579),$W$2:$W$1001,0),0), INDEX($AD$1004:$AU$1004,1,MATCH(COLUMNS($AD$1006:AL1006),$AD$1006:$AU$1006,0)))),"Fix")))</f>
        <v xml:space="preserve"> </v>
      </c>
      <c r="K579" s="4" t="str">
        <f ca="1">IF(OR(INDEX($X$2:$X$1001,MATCH(ROWS($W$2:W579),$W$2:$W$1001,0),1)&gt;=100000,INDEX($AD$1005:$AU$1005,1,MATCH(COLUMNS($AD$1006:AM1006),$AD$1006:$AU$1006,0))&gt;=100000), " ",IF(INDEX($AD$2:$AU$1001,MATCH(ROWS($W$2:W579),$W$2:$W$1001,0),MATCH(COLUMNS($AD$1006:AM1006),$AD$1006:$AU$1006,0)), HYPERLINK("#",""), HYPERLINK(CONCATENATE("#metadata!", ADDRESS(INDEX($Y$2:$Y$1001,MATCH(ROWS($W$2:W579),$W$2:$W$1001,0),0), INDEX($AD$1004:$AU$1004,1,MATCH(COLUMNS($AD$1006:AM1006),$AD$1006:$AU$1006,0)))),"Fix")))</f>
        <v xml:space="preserve"> </v>
      </c>
      <c r="L579" s="4" t="str">
        <f ca="1">IF(OR(INDEX($X$2:$X$1001,MATCH(ROWS($W$2:W579),$W$2:$W$1001,0),1)&gt;=100000,INDEX($AD$1005:$AU$1005,1,MATCH(COLUMNS($AD$1006:AN1006),$AD$1006:$AU$1006,0))&gt;=100000), " ",IF(INDEX($AD$2:$AU$1001,MATCH(ROWS($W$2:W579),$W$2:$W$1001,0),MATCH(COLUMNS($AD$1006:AN1006),$AD$1006:$AU$1006,0)), HYPERLINK("#",""), HYPERLINK(CONCATENATE("#metadata!", ADDRESS(INDEX($Y$2:$Y$1001,MATCH(ROWS($W$2:W579),$W$2:$W$1001,0),0), INDEX($AD$1004:$AU$1004,1,MATCH(COLUMNS($AD$1006:AN1006),$AD$1006:$AU$1006,0)))),"Fix")))</f>
        <v xml:space="preserve"> </v>
      </c>
      <c r="M579" s="4" t="str">
        <f ca="1">IF(OR(INDEX($X$2:$X$1001,MATCH(ROWS($W$2:W579),$W$2:$W$1001,0),1)&gt;=100000,INDEX($AD$1005:$AU$1005,1,MATCH(COLUMNS($AD$1006:AO1006),$AD$1006:$AU$1006,0))&gt;=100000), " ",IF(INDEX($AD$2:$AU$1001,MATCH(ROWS($W$2:W579),$W$2:$W$1001,0),MATCH(COLUMNS($AD$1006:AO1006),$AD$1006:$AU$1006,0)), HYPERLINK("#",""), HYPERLINK(CONCATENATE("#metadata!", ADDRESS(INDEX($Y$2:$Y$1001,MATCH(ROWS($W$2:W579),$W$2:$W$1001,0),0), INDEX($AD$1004:$AU$1004,1,MATCH(COLUMNS($AD$1006:AO1006),$AD$1006:$AU$1006,0)))),"Fix")))</f>
        <v xml:space="preserve"> </v>
      </c>
      <c r="N579" s="4" t="str">
        <f ca="1">IF(OR(INDEX($X$2:$X$1001,MATCH(ROWS($W$2:W579),$W$2:$W$1001,0),1)&gt;=100000,INDEX($AD$1005:$AU$1005,1,MATCH(COLUMNS($AD$1006:AP1006),$AD$1006:$AU$1006,0))&gt;=100000), " ",IF(INDEX($AD$2:$AU$1001,MATCH(ROWS($W$2:W579),$W$2:$W$1001,0),MATCH(COLUMNS($AD$1006:AP1006),$AD$1006:$AU$1006,0)), HYPERLINK("#",""), HYPERLINK(CONCATENATE("#metadata!", ADDRESS(INDEX($Y$2:$Y$1001,MATCH(ROWS($W$2:W579),$W$2:$W$1001,0),0), INDEX($AD$1004:$AU$1004,1,MATCH(COLUMNS($AD$1006:AP1006),$AD$1006:$AU$1006,0)))),"Fix")))</f>
        <v xml:space="preserve"> </v>
      </c>
      <c r="O579" s="4" t="str">
        <f ca="1">IF(OR(INDEX($X$2:$X$1001,MATCH(ROWS($W$2:W579),$W$2:$W$1001,0),1)&gt;=100000,INDEX($AD$1005:$AU$1005,1,MATCH(COLUMNS($AD$1006:AQ1006),$AD$1006:$AU$1006,0))&gt;=100000), " ",IF(INDEX($AD$2:$AU$1001,MATCH(ROWS($W$2:W579),$W$2:$W$1001,0),MATCH(COLUMNS($AD$1006:AQ1006),$AD$1006:$AU$1006,0)), HYPERLINK("#",""), HYPERLINK(CONCATENATE("#metadata!", ADDRESS(INDEX($Y$2:$Y$1001,MATCH(ROWS($W$2:W579),$W$2:$W$1001,0),0), INDEX($AD$1004:$AU$1004,1,MATCH(COLUMNS($AD$1006:AQ1006),$AD$1006:$AU$1006,0)))),"Fix")))</f>
        <v xml:space="preserve"> </v>
      </c>
      <c r="P579" s="4" t="str">
        <f ca="1">IF(OR(INDEX($X$2:$X$1001,MATCH(ROWS($W$2:W579),$W$2:$W$1001,0),1)&gt;=100000,INDEX($AD$1005:$AU$1005,1,MATCH(COLUMNS($AD$1006:AR1006),$AD$1006:$AU$1006,0))&gt;=100000), " ",IF(INDEX($AD$2:$AU$1001,MATCH(ROWS($W$2:W579),$W$2:$W$1001,0),MATCH(COLUMNS($AD$1006:AR1006),$AD$1006:$AU$1006,0)), HYPERLINK("#",""), HYPERLINK(CONCATENATE("#metadata!", ADDRESS(INDEX($Y$2:$Y$1001,MATCH(ROWS($W$2:W579),$W$2:$W$1001,0),0), INDEX($AD$1004:$AU$1004,1,MATCH(COLUMNS($AD$1006:AR1006),$AD$1006:$AU$1006,0)))),"Fix")))</f>
        <v xml:space="preserve"> </v>
      </c>
      <c r="Q579" s="4" t="str">
        <f ca="1">IF(OR(INDEX($X$2:$X$1001,MATCH(ROWS($W$2:W579),$W$2:$W$1001,0),1)&gt;=100000,INDEX($AD$1005:$AU$1005,1,MATCH(COLUMNS($AD$1006:AS1006),$AD$1006:$AU$1006,0))&gt;=100000), " ",IF(INDEX($AD$2:$AU$1001,MATCH(ROWS($W$2:W579),$W$2:$W$1001,0),MATCH(COLUMNS($AD$1006:AS1006),$AD$1006:$AU$1006,0)), HYPERLINK("#",""), HYPERLINK(CONCATENATE("#metadata!", ADDRESS(INDEX($Y$2:$Y$1001,MATCH(ROWS($W$2:W579),$W$2:$W$1001,0),0), INDEX($AD$1004:$AU$1004,1,MATCH(COLUMNS($AD$1006:AS1006),$AD$1006:$AU$1006,0)))),"Fix")))</f>
        <v xml:space="preserve"> </v>
      </c>
      <c r="R579" s="4" t="str">
        <f ca="1">IF(OR(INDEX($X$2:$X$1001,MATCH(ROWS($W$2:W579),$W$2:$W$1001,0),1)&gt;=100000,INDEX($AD$1005:$AU$1005,1,MATCH(COLUMNS($AD$1006:AT1006),$AD$1006:$AU$1006,0))&gt;=100000), " ",IF(INDEX($AD$2:$AU$1001,MATCH(ROWS($W$2:W579),$W$2:$W$1001,0),MATCH(COLUMNS($AD$1006:AT1006),$AD$1006:$AU$1006,0)), HYPERLINK("#",""), HYPERLINK(CONCATENATE("#metadata!", ADDRESS(INDEX($Y$2:$Y$1001,MATCH(ROWS($W$2:W579),$W$2:$W$1001,0),0), INDEX($AD$1004:$AU$1004,1,MATCH(COLUMNS($AD$1006:AT1006),$AD$1006:$AU$1006,0)))),"Fix")))</f>
        <v xml:space="preserve"> </v>
      </c>
      <c r="S579" s="4" t="str">
        <f ca="1">IF(OR(INDEX($X$2:$X$1001,MATCH(ROWS($W$2:W579),$W$2:$W$1001,0),1)&gt;=100000,INDEX($AD$1005:$AU$1005,1,MATCH(COLUMNS($AD$1006:AU1006),$AD$1006:$AU$1006,0))&gt;=100000), " ",IF(INDEX($AD$2:$AU$1001,MATCH(ROWS($W$2:W579),$W$2:$W$1001,0),MATCH(COLUMNS($AD$1006:AU1006),$AD$1006:$AU$1006,0)), HYPERLINK("#",""), HYPERLINK(CONCATENATE("#metadata!", ADDRESS(INDEX($Y$2:$Y$1001,MATCH(ROWS($W$2:W579),$W$2:$W$1001,0),0), INDEX($AD$1004:$AU$1004,1,MATCH(COLUMNS($AD$1006:AU1006),$AD$1006:$AU$1006,0)))),"Fix")))</f>
        <v xml:space="preserve"> </v>
      </c>
      <c r="W579">
        <v>578</v>
      </c>
      <c r="X579">
        <v>100579</v>
      </c>
      <c r="Y579">
        <v>579</v>
      </c>
      <c r="Z579" t="b">
        <f t="shared" si="9"/>
        <v>1</v>
      </c>
      <c r="AA579" t="b">
        <f>COUNTBLANK(metadata!B579:S579)=COLUMNS(metadata!B579:S579)</f>
        <v>1</v>
      </c>
      <c r="AB579" t="str">
        <v/>
      </c>
      <c r="AD579" t="b">
        <f ca="1">AND(IF(metadata!B579="",FALSE,TRUE),COUNTIF(metadata!B:B, metadata!B579) = 1,NOT(ISERROR(SUMPRODUCT(SEARCH(MID(metadata!B579,ROW(INDIRECT("1:"&amp;LEN(metadata!B579))), 1),"0123456789abcdefghijklmnopqrstuvwxyzABCDEFGHIJKLMNOPQRSTUVWXYZ.")))))</f>
        <v>0</v>
      </c>
      <c r="AE579" t="b">
        <f>OR(AND(IF(metadata!C579="",FALSE,TRUE),OR(EXACT(metadata!C579,"not applicable"),EXACT(metadata!C579,"missing: not collected"),EXACT(metadata!C579,"missing: not provided"),EXACT(metadata!C579,"missing: restricted access"))),AND(IF(metadata!C579="",FALSE,ISNUMBER(VALUE(metadata!C579))),metadata!C579&gt;0))</f>
        <v>0</v>
      </c>
      <c r="AF579" t="b">
        <f>AND(IF(metadata!D579="",FALSE,TRUE),EXACT(metadata!D579,"missing: not provided"))</f>
        <v>0</v>
      </c>
      <c r="AG579" t="b">
        <f>AND(IF(metadata!E579="",FALSE,TRUE),EXACT(metadata!E579,"Host-associated"))</f>
        <v>0</v>
      </c>
      <c r="AH579" t="b">
        <f>AND(IF(metadata!F579="",FALSE,TRUE),OR(EXACT(metadata!F579,"Animal"),EXACT(metadata!F579,"Fungus"),EXACT(metadata!F579,"Plant")))</f>
        <v>0</v>
      </c>
      <c r="AI579" t="b">
        <f>AND(IF(metadata!G579="",FALSE,TRUE),OR(EXACT(metadata!G579,"Plant secretion"),EXACT(metadata!G579,"Plant rhizosphere"),EXACT(metadata!G579,"Plant surface"),EXACT(metadata!G579,"Plant corpus"),EXACT(metadata!G579,"Fungus surface"),EXACT(metadata!G579,"Fungus corpus"),EXACT(metadata!G579,"Animal surface"),EXACT(metadata!G579,"Animal proximal gut"),EXACT(metadata!G579,"Animal corpus"),EXACT(metadata!G579,"Animal distal gut"),EXACT(metadata!G579,"Animal secretion")))</f>
        <v>0</v>
      </c>
      <c r="AJ579" t="b">
        <f>OR(AND(IF(metadata!H579="",FALSE,TRUE),OR(EXACT(metadata!H579,"missing: not collected"),EXACT(metadata!H579,"missing: not provided"),EXACT(metadata!H579,"missing: restricted access"))),AND(IF(metadata!H579="",FALSE,TRUE),OR(EXACT(metadata!H579,"organism-associated habitat"),EXACT(metadata!H579,"plant-associated habitat"),EXACT(metadata!H579,"animal-associated habitat"),EXACT(metadata!H579,"insecta-associated habitat"),EXACT(metadata!H579,"mammalia-associated habitat"),EXACT(metadata!H579,"human-associated habitat"),EXACT(metadata!H579,"livestock-associated habitat"))))</f>
        <v>0</v>
      </c>
      <c r="AK579" t="b">
        <f>AND(IF(metadata!I579="",FALSE,TRUE),EXACT(metadata!I579,"host-associated"))</f>
        <v>0</v>
      </c>
      <c r="AL579" t="b">
        <f>OR(AND(IF(metadata!J579="",FALSE,TRUE),OR(EXACT(metadata!J579,"not applicable"),EXACT(metadata!J579,"missing: not collected"),EXACT(metadata!J579,"missing: not provided"),EXACT(metadata!J579,"missing: restricted access"))),AND(IF(metadata!J579="",FALSE,ISNUMBER(VALUE(metadata!J579))),metadata!J579&gt;0))</f>
        <v>0</v>
      </c>
      <c r="AM579" t="b">
        <f>AND(IF(metadata!K579="",FALSE,TRUE),EXACT(metadata!K579,"missing: not provided"))</f>
        <v>0</v>
      </c>
      <c r="AN579" t="b">
        <f>IF(metadata!L579="",FALSE,TRUE)</f>
        <v>0</v>
      </c>
      <c r="AO579" t="b">
        <f>IF(metadata!M579="",FALSE,TRUE)</f>
        <v>0</v>
      </c>
      <c r="AP579" t="b">
        <f>OR(AND(IF(metadata!N579="",FALSE,TRUE),OR(EXACT(metadata!N579,"not applicable"),EXACT(metadata!N579,"missing: not collected"),EXACT(metadata!N579,"missing: not provided"))),AND(IF(metadata!N579="",FALSE,IF(ISERROR(INT(metadata!N579)),FALSE,INT(metadata!N579)=metadata!N579)),metadata!N579&gt;0))</f>
        <v>0</v>
      </c>
      <c r="AQ579" t="b">
        <f>AND(IF(metadata!O579="",FALSE,TRUE),EXACT(metadata!O579,"Not applicable"))</f>
        <v>0</v>
      </c>
      <c r="AR579" t="b">
        <f>OR(AND(IF(metadata!P579="",FALSE,TRUE),OR(EXACT(metadata!P579,"not applicable"),EXACT(metadata!P579,"missing: not collected"),EXACT(metadata!P579,"missing: not provided"),EXACT(metadata!P579,"missing: restricted access"))),IF(metadata!P579="",FALSE,IF(ISERROR(INT(metadata!P579)),FALSE,INT(metadata!P579)=metadata!P579)))</f>
        <v>0</v>
      </c>
      <c r="AS579" t="b">
        <f>AND(IF(metadata!Q579="",FALSE,TRUE),EXACT(metadata!Q579,"Not applicable"))</f>
        <v>0</v>
      </c>
      <c r="AT579" t="b">
        <f>OR(AND(IF(metadata!R579="",FALSE,TRUE),OR(EXACT(metadata!R579,"not applicable"),EXACT(metadata!R579,"missing: not collected"),EXACT(metadata!R579,"missing: not provided"),EXACT(metadata!R579,"missing: restricted access"))),AND(IF(metadata!R579="",FALSE,ISNUMBER(VALUE(metadata!R579))),metadata!R579&gt;0))</f>
        <v>0</v>
      </c>
      <c r="AU579" t="b">
        <f>AND(IF(metadata!S579="",FALSE,TRUE),EXACT(metadata!S579,"missing: not provided"))</f>
        <v>0</v>
      </c>
    </row>
    <row r="580" spans="1:47" x14ac:dyDescent="0.2">
      <c r="A580" s="5" t="str">
        <f ca="1">IF(B580=" "," ",HYPERLINK(CONCATENATE("#metadata!",ADDRESS(INDEX($Y$2:$Y$1001,MATCH(ROWS($W$2:W580),$W$2:$W$1001,0),0),1)),INDEX($AB$2:$AB$1001,MATCH(ROWS($W$2:W580),$W$2:$W$1001,0),0)))</f>
        <v xml:space="preserve"> </v>
      </c>
      <c r="B580" s="4" t="str">
        <f ca="1">IF(OR(INDEX($X$2:$X$1001,MATCH(ROWS($W$2:W580),$W$2:$W$1001,0),1)&gt;=100000,INDEX($AD$1005:$AU$1005,1,MATCH(COLUMNS($AD$1006:AD1006),$AD$1006:$AU$1006,0))&gt;=100000), " ",IF(INDEX($AD$2:$AU$1001,MATCH(ROWS($W$2:W580),$W$2:$W$1001,0),MATCH(COLUMNS($AD$1006:AD1006),$AD$1006:$AU$1006,0)), HYPERLINK("#",""), HYPERLINK(CONCATENATE("#metadata!", ADDRESS(INDEX($Y$2:$Y$1001,MATCH(ROWS($W$2:W580),$W$2:$W$1001,0),0), INDEX($AD$1004:$AU$1004,1,MATCH(COLUMNS($AD$1006:AD1006),$AD$1006:$AU$1006,0)))),"Fix")))</f>
        <v xml:space="preserve"> </v>
      </c>
      <c r="C580" s="4" t="str">
        <f ca="1">IF(OR(INDEX($X$2:$X$1001,MATCH(ROWS($W$2:W580),$W$2:$W$1001,0),1)&gt;=100000,INDEX($AD$1005:$AU$1005,1,MATCH(COLUMNS($AD$1006:AE1006),$AD$1006:$AU$1006,0))&gt;=100000), " ",IF(INDEX($AD$2:$AU$1001,MATCH(ROWS($W$2:W580),$W$2:$W$1001,0),MATCH(COLUMNS($AD$1006:AE1006),$AD$1006:$AU$1006,0)), HYPERLINK("#",""), HYPERLINK(CONCATENATE("#metadata!", ADDRESS(INDEX($Y$2:$Y$1001,MATCH(ROWS($W$2:W580),$W$2:$W$1001,0),0), INDEX($AD$1004:$AU$1004,1,MATCH(COLUMNS($AD$1006:AE1006),$AD$1006:$AU$1006,0)))),"Fix")))</f>
        <v xml:space="preserve"> </v>
      </c>
      <c r="D580" s="4" t="str">
        <f ca="1">IF(OR(INDEX($X$2:$X$1001,MATCH(ROWS($W$2:W580),$W$2:$W$1001,0),1)&gt;=100000,INDEX($AD$1005:$AU$1005,1,MATCH(COLUMNS($AD$1006:AF1006),$AD$1006:$AU$1006,0))&gt;=100000), " ",IF(INDEX($AD$2:$AU$1001,MATCH(ROWS($W$2:W580),$W$2:$W$1001,0),MATCH(COLUMNS($AD$1006:AF1006),$AD$1006:$AU$1006,0)), HYPERLINK("#",""), HYPERLINK(CONCATENATE("#metadata!", ADDRESS(INDEX($Y$2:$Y$1001,MATCH(ROWS($W$2:W580),$W$2:$W$1001,0),0), INDEX($AD$1004:$AU$1004,1,MATCH(COLUMNS($AD$1006:AF1006),$AD$1006:$AU$1006,0)))),"Fix")))</f>
        <v xml:space="preserve"> </v>
      </c>
      <c r="E580" s="4" t="str">
        <f ca="1">IF(OR(INDEX($X$2:$X$1001,MATCH(ROWS($W$2:W580),$W$2:$W$1001,0),1)&gt;=100000,INDEX($AD$1005:$AU$1005,1,MATCH(COLUMNS($AD$1006:AG1006),$AD$1006:$AU$1006,0))&gt;=100000), " ",IF(INDEX($AD$2:$AU$1001,MATCH(ROWS($W$2:W580),$W$2:$W$1001,0),MATCH(COLUMNS($AD$1006:AG1006),$AD$1006:$AU$1006,0)), HYPERLINK("#",""), HYPERLINK(CONCATENATE("#metadata!", ADDRESS(INDEX($Y$2:$Y$1001,MATCH(ROWS($W$2:W580),$W$2:$W$1001,0),0), INDEX($AD$1004:$AU$1004,1,MATCH(COLUMNS($AD$1006:AG1006),$AD$1006:$AU$1006,0)))),"Fix")))</f>
        <v xml:space="preserve"> </v>
      </c>
      <c r="F580" s="4" t="str">
        <f ca="1">IF(OR(INDEX($X$2:$X$1001,MATCH(ROWS($W$2:W580),$W$2:$W$1001,0),1)&gt;=100000,INDEX($AD$1005:$AU$1005,1,MATCH(COLUMNS($AD$1006:AH1006),$AD$1006:$AU$1006,0))&gt;=100000), " ",IF(INDEX($AD$2:$AU$1001,MATCH(ROWS($W$2:W580),$W$2:$W$1001,0),MATCH(COLUMNS($AD$1006:AH1006),$AD$1006:$AU$1006,0)), HYPERLINK("#",""), HYPERLINK(CONCATENATE("#metadata!", ADDRESS(INDEX($Y$2:$Y$1001,MATCH(ROWS($W$2:W580),$W$2:$W$1001,0),0), INDEX($AD$1004:$AU$1004,1,MATCH(COLUMNS($AD$1006:AH1006),$AD$1006:$AU$1006,0)))),"Fix")))</f>
        <v xml:space="preserve"> </v>
      </c>
      <c r="G580" s="4" t="str">
        <f ca="1">IF(OR(INDEX($X$2:$X$1001,MATCH(ROWS($W$2:W580),$W$2:$W$1001,0),1)&gt;=100000,INDEX($AD$1005:$AU$1005,1,MATCH(COLUMNS($AD$1006:AI1006),$AD$1006:$AU$1006,0))&gt;=100000), " ",IF(INDEX($AD$2:$AU$1001,MATCH(ROWS($W$2:W580),$W$2:$W$1001,0),MATCH(COLUMNS($AD$1006:AI1006),$AD$1006:$AU$1006,0)), HYPERLINK("#",""), HYPERLINK(CONCATENATE("#metadata!", ADDRESS(INDEX($Y$2:$Y$1001,MATCH(ROWS($W$2:W580),$W$2:$W$1001,0),0), INDEX($AD$1004:$AU$1004,1,MATCH(COLUMNS($AD$1006:AI1006),$AD$1006:$AU$1006,0)))),"Fix")))</f>
        <v xml:space="preserve"> </v>
      </c>
      <c r="H580" s="4" t="str">
        <f ca="1">IF(OR(INDEX($X$2:$X$1001,MATCH(ROWS($W$2:W580),$W$2:$W$1001,0),1)&gt;=100000,INDEX($AD$1005:$AU$1005,1,MATCH(COLUMNS($AD$1006:AJ1006),$AD$1006:$AU$1006,0))&gt;=100000), " ",IF(INDEX($AD$2:$AU$1001,MATCH(ROWS($W$2:W580),$W$2:$W$1001,0),MATCH(COLUMNS($AD$1006:AJ1006),$AD$1006:$AU$1006,0)), HYPERLINK("#",""), HYPERLINK(CONCATENATE("#metadata!", ADDRESS(INDEX($Y$2:$Y$1001,MATCH(ROWS($W$2:W580),$W$2:$W$1001,0),0), INDEX($AD$1004:$AU$1004,1,MATCH(COLUMNS($AD$1006:AJ1006),$AD$1006:$AU$1006,0)))),"Fix")))</f>
        <v xml:space="preserve"> </v>
      </c>
      <c r="I580" s="4" t="str">
        <f ca="1">IF(OR(INDEX($X$2:$X$1001,MATCH(ROWS($W$2:W580),$W$2:$W$1001,0),1)&gt;=100000,INDEX($AD$1005:$AU$1005,1,MATCH(COLUMNS($AD$1006:AK1006),$AD$1006:$AU$1006,0))&gt;=100000), " ",IF(INDEX($AD$2:$AU$1001,MATCH(ROWS($W$2:W580),$W$2:$W$1001,0),MATCH(COLUMNS($AD$1006:AK1006),$AD$1006:$AU$1006,0)), HYPERLINK("#",""), HYPERLINK(CONCATENATE("#metadata!", ADDRESS(INDEX($Y$2:$Y$1001,MATCH(ROWS($W$2:W580),$W$2:$W$1001,0),0), INDEX($AD$1004:$AU$1004,1,MATCH(COLUMNS($AD$1006:AK1006),$AD$1006:$AU$1006,0)))),"Fix")))</f>
        <v xml:space="preserve"> </v>
      </c>
      <c r="J580" s="4" t="str">
        <f ca="1">IF(OR(INDEX($X$2:$X$1001,MATCH(ROWS($W$2:W580),$W$2:$W$1001,0),1)&gt;=100000,INDEX($AD$1005:$AU$1005,1,MATCH(COLUMNS($AD$1006:AL1006),$AD$1006:$AU$1006,0))&gt;=100000), " ",IF(INDEX($AD$2:$AU$1001,MATCH(ROWS($W$2:W580),$W$2:$W$1001,0),MATCH(COLUMNS($AD$1006:AL1006),$AD$1006:$AU$1006,0)), HYPERLINK("#",""), HYPERLINK(CONCATENATE("#metadata!", ADDRESS(INDEX($Y$2:$Y$1001,MATCH(ROWS($W$2:W580),$W$2:$W$1001,0),0), INDEX($AD$1004:$AU$1004,1,MATCH(COLUMNS($AD$1006:AL1006),$AD$1006:$AU$1006,0)))),"Fix")))</f>
        <v xml:space="preserve"> </v>
      </c>
      <c r="K580" s="4" t="str">
        <f ca="1">IF(OR(INDEX($X$2:$X$1001,MATCH(ROWS($W$2:W580),$W$2:$W$1001,0),1)&gt;=100000,INDEX($AD$1005:$AU$1005,1,MATCH(COLUMNS($AD$1006:AM1006),$AD$1006:$AU$1006,0))&gt;=100000), " ",IF(INDEX($AD$2:$AU$1001,MATCH(ROWS($W$2:W580),$W$2:$W$1001,0),MATCH(COLUMNS($AD$1006:AM1006),$AD$1006:$AU$1006,0)), HYPERLINK("#",""), HYPERLINK(CONCATENATE("#metadata!", ADDRESS(INDEX($Y$2:$Y$1001,MATCH(ROWS($W$2:W580),$W$2:$W$1001,0),0), INDEX($AD$1004:$AU$1004,1,MATCH(COLUMNS($AD$1006:AM1006),$AD$1006:$AU$1006,0)))),"Fix")))</f>
        <v xml:space="preserve"> </v>
      </c>
      <c r="L580" s="4" t="str">
        <f ca="1">IF(OR(INDEX($X$2:$X$1001,MATCH(ROWS($W$2:W580),$W$2:$W$1001,0),1)&gt;=100000,INDEX($AD$1005:$AU$1005,1,MATCH(COLUMNS($AD$1006:AN1006),$AD$1006:$AU$1006,0))&gt;=100000), " ",IF(INDEX($AD$2:$AU$1001,MATCH(ROWS($W$2:W580),$W$2:$W$1001,0),MATCH(COLUMNS($AD$1006:AN1006),$AD$1006:$AU$1006,0)), HYPERLINK("#",""), HYPERLINK(CONCATENATE("#metadata!", ADDRESS(INDEX($Y$2:$Y$1001,MATCH(ROWS($W$2:W580),$W$2:$W$1001,0),0), INDEX($AD$1004:$AU$1004,1,MATCH(COLUMNS($AD$1006:AN1006),$AD$1006:$AU$1006,0)))),"Fix")))</f>
        <v xml:space="preserve"> </v>
      </c>
      <c r="M580" s="4" t="str">
        <f ca="1">IF(OR(INDEX($X$2:$X$1001,MATCH(ROWS($W$2:W580),$W$2:$W$1001,0),1)&gt;=100000,INDEX($AD$1005:$AU$1005,1,MATCH(COLUMNS($AD$1006:AO1006),$AD$1006:$AU$1006,0))&gt;=100000), " ",IF(INDEX($AD$2:$AU$1001,MATCH(ROWS($W$2:W580),$W$2:$W$1001,0),MATCH(COLUMNS($AD$1006:AO1006),$AD$1006:$AU$1006,0)), HYPERLINK("#",""), HYPERLINK(CONCATENATE("#metadata!", ADDRESS(INDEX($Y$2:$Y$1001,MATCH(ROWS($W$2:W580),$W$2:$W$1001,0),0), INDEX($AD$1004:$AU$1004,1,MATCH(COLUMNS($AD$1006:AO1006),$AD$1006:$AU$1006,0)))),"Fix")))</f>
        <v xml:space="preserve"> </v>
      </c>
      <c r="N580" s="4" t="str">
        <f ca="1">IF(OR(INDEX($X$2:$X$1001,MATCH(ROWS($W$2:W580),$W$2:$W$1001,0),1)&gt;=100000,INDEX($AD$1005:$AU$1005,1,MATCH(COLUMNS($AD$1006:AP1006),$AD$1006:$AU$1006,0))&gt;=100000), " ",IF(INDEX($AD$2:$AU$1001,MATCH(ROWS($W$2:W580),$W$2:$W$1001,0),MATCH(COLUMNS($AD$1006:AP1006),$AD$1006:$AU$1006,0)), HYPERLINK("#",""), HYPERLINK(CONCATENATE("#metadata!", ADDRESS(INDEX($Y$2:$Y$1001,MATCH(ROWS($W$2:W580),$W$2:$W$1001,0),0), INDEX($AD$1004:$AU$1004,1,MATCH(COLUMNS($AD$1006:AP1006),$AD$1006:$AU$1006,0)))),"Fix")))</f>
        <v xml:space="preserve"> </v>
      </c>
      <c r="O580" s="4" t="str">
        <f ca="1">IF(OR(INDEX($X$2:$X$1001,MATCH(ROWS($W$2:W580),$W$2:$W$1001,0),1)&gt;=100000,INDEX($AD$1005:$AU$1005,1,MATCH(COLUMNS($AD$1006:AQ1006),$AD$1006:$AU$1006,0))&gt;=100000), " ",IF(INDEX($AD$2:$AU$1001,MATCH(ROWS($W$2:W580),$W$2:$W$1001,0),MATCH(COLUMNS($AD$1006:AQ1006),$AD$1006:$AU$1006,0)), HYPERLINK("#",""), HYPERLINK(CONCATENATE("#metadata!", ADDRESS(INDEX($Y$2:$Y$1001,MATCH(ROWS($W$2:W580),$W$2:$W$1001,0),0), INDEX($AD$1004:$AU$1004,1,MATCH(COLUMNS($AD$1006:AQ1006),$AD$1006:$AU$1006,0)))),"Fix")))</f>
        <v xml:space="preserve"> </v>
      </c>
      <c r="P580" s="4" t="str">
        <f ca="1">IF(OR(INDEX($X$2:$X$1001,MATCH(ROWS($W$2:W580),$W$2:$W$1001,0),1)&gt;=100000,INDEX($AD$1005:$AU$1005,1,MATCH(COLUMNS($AD$1006:AR1006),$AD$1006:$AU$1006,0))&gt;=100000), " ",IF(INDEX($AD$2:$AU$1001,MATCH(ROWS($W$2:W580),$W$2:$W$1001,0),MATCH(COLUMNS($AD$1006:AR1006),$AD$1006:$AU$1006,0)), HYPERLINK("#",""), HYPERLINK(CONCATENATE("#metadata!", ADDRESS(INDEX($Y$2:$Y$1001,MATCH(ROWS($W$2:W580),$W$2:$W$1001,0),0), INDEX($AD$1004:$AU$1004,1,MATCH(COLUMNS($AD$1006:AR1006),$AD$1006:$AU$1006,0)))),"Fix")))</f>
        <v xml:space="preserve"> </v>
      </c>
      <c r="Q580" s="4" t="str">
        <f ca="1">IF(OR(INDEX($X$2:$X$1001,MATCH(ROWS($W$2:W580),$W$2:$W$1001,0),1)&gt;=100000,INDEX($AD$1005:$AU$1005,1,MATCH(COLUMNS($AD$1006:AS1006),$AD$1006:$AU$1006,0))&gt;=100000), " ",IF(INDEX($AD$2:$AU$1001,MATCH(ROWS($W$2:W580),$W$2:$W$1001,0),MATCH(COLUMNS($AD$1006:AS1006),$AD$1006:$AU$1006,0)), HYPERLINK("#",""), HYPERLINK(CONCATENATE("#metadata!", ADDRESS(INDEX($Y$2:$Y$1001,MATCH(ROWS($W$2:W580),$W$2:$W$1001,0),0), INDEX($AD$1004:$AU$1004,1,MATCH(COLUMNS($AD$1006:AS1006),$AD$1006:$AU$1006,0)))),"Fix")))</f>
        <v xml:space="preserve"> </v>
      </c>
      <c r="R580" s="4" t="str">
        <f ca="1">IF(OR(INDEX($X$2:$X$1001,MATCH(ROWS($W$2:W580),$W$2:$W$1001,0),1)&gt;=100000,INDEX($AD$1005:$AU$1005,1,MATCH(COLUMNS($AD$1006:AT1006),$AD$1006:$AU$1006,0))&gt;=100000), " ",IF(INDEX($AD$2:$AU$1001,MATCH(ROWS($W$2:W580),$W$2:$W$1001,0),MATCH(COLUMNS($AD$1006:AT1006),$AD$1006:$AU$1006,0)), HYPERLINK("#",""), HYPERLINK(CONCATENATE("#metadata!", ADDRESS(INDEX($Y$2:$Y$1001,MATCH(ROWS($W$2:W580),$W$2:$W$1001,0),0), INDEX($AD$1004:$AU$1004,1,MATCH(COLUMNS($AD$1006:AT1006),$AD$1006:$AU$1006,0)))),"Fix")))</f>
        <v xml:space="preserve"> </v>
      </c>
      <c r="S580" s="4" t="str">
        <f ca="1">IF(OR(INDEX($X$2:$X$1001,MATCH(ROWS($W$2:W580),$W$2:$W$1001,0),1)&gt;=100000,INDEX($AD$1005:$AU$1005,1,MATCH(COLUMNS($AD$1006:AU1006),$AD$1006:$AU$1006,0))&gt;=100000), " ",IF(INDEX($AD$2:$AU$1001,MATCH(ROWS($W$2:W580),$W$2:$W$1001,0),MATCH(COLUMNS($AD$1006:AU1006),$AD$1006:$AU$1006,0)), HYPERLINK("#",""), HYPERLINK(CONCATENATE("#metadata!", ADDRESS(INDEX($Y$2:$Y$1001,MATCH(ROWS($W$2:W580),$W$2:$W$1001,0),0), INDEX($AD$1004:$AU$1004,1,MATCH(COLUMNS($AD$1006:AU1006),$AD$1006:$AU$1006,0)))),"Fix")))</f>
        <v xml:space="preserve"> </v>
      </c>
      <c r="W580">
        <v>579</v>
      </c>
      <c r="X580">
        <v>100580</v>
      </c>
      <c r="Y580">
        <v>580</v>
      </c>
      <c r="Z580" t="b">
        <f t="shared" si="9"/>
        <v>1</v>
      </c>
      <c r="AA580" t="b">
        <f>COUNTBLANK(metadata!B580:S580)=COLUMNS(metadata!B580:S580)</f>
        <v>1</v>
      </c>
      <c r="AB580" t="str">
        <v/>
      </c>
      <c r="AD580" t="b">
        <f ca="1">AND(IF(metadata!B580="",FALSE,TRUE),COUNTIF(metadata!B:B, metadata!B580) = 1,NOT(ISERROR(SUMPRODUCT(SEARCH(MID(metadata!B580,ROW(INDIRECT("1:"&amp;LEN(metadata!B580))), 1),"0123456789abcdefghijklmnopqrstuvwxyzABCDEFGHIJKLMNOPQRSTUVWXYZ.")))))</f>
        <v>0</v>
      </c>
      <c r="AE580" t="b">
        <f>OR(AND(IF(metadata!C580="",FALSE,TRUE),OR(EXACT(metadata!C580,"not applicable"),EXACT(metadata!C580,"missing: not collected"),EXACT(metadata!C580,"missing: not provided"),EXACT(metadata!C580,"missing: restricted access"))),AND(IF(metadata!C580="",FALSE,ISNUMBER(VALUE(metadata!C580))),metadata!C580&gt;0))</f>
        <v>0</v>
      </c>
      <c r="AF580" t="b">
        <f>AND(IF(metadata!D580="",FALSE,TRUE),EXACT(metadata!D580,"missing: not provided"))</f>
        <v>0</v>
      </c>
      <c r="AG580" t="b">
        <f>AND(IF(metadata!E580="",FALSE,TRUE),EXACT(metadata!E580,"Host-associated"))</f>
        <v>0</v>
      </c>
      <c r="AH580" t="b">
        <f>AND(IF(metadata!F580="",FALSE,TRUE),OR(EXACT(metadata!F580,"Animal"),EXACT(metadata!F580,"Fungus"),EXACT(metadata!F580,"Plant")))</f>
        <v>0</v>
      </c>
      <c r="AI580" t="b">
        <f>AND(IF(metadata!G580="",FALSE,TRUE),OR(EXACT(metadata!G580,"Plant secretion"),EXACT(metadata!G580,"Plant rhizosphere"),EXACT(metadata!G580,"Plant surface"),EXACT(metadata!G580,"Plant corpus"),EXACT(metadata!G580,"Fungus surface"),EXACT(metadata!G580,"Fungus corpus"),EXACT(metadata!G580,"Animal surface"),EXACT(metadata!G580,"Animal proximal gut"),EXACT(metadata!G580,"Animal corpus"),EXACT(metadata!G580,"Animal distal gut"),EXACT(metadata!G580,"Animal secretion")))</f>
        <v>0</v>
      </c>
      <c r="AJ580" t="b">
        <f>OR(AND(IF(metadata!H580="",FALSE,TRUE),OR(EXACT(metadata!H580,"missing: not collected"),EXACT(metadata!H580,"missing: not provided"),EXACT(metadata!H580,"missing: restricted access"))),AND(IF(metadata!H580="",FALSE,TRUE),OR(EXACT(metadata!H580,"organism-associated habitat"),EXACT(metadata!H580,"plant-associated habitat"),EXACT(metadata!H580,"animal-associated habitat"),EXACT(metadata!H580,"insecta-associated habitat"),EXACT(metadata!H580,"mammalia-associated habitat"),EXACT(metadata!H580,"human-associated habitat"),EXACT(metadata!H580,"livestock-associated habitat"))))</f>
        <v>0</v>
      </c>
      <c r="AK580" t="b">
        <f>AND(IF(metadata!I580="",FALSE,TRUE),EXACT(metadata!I580,"host-associated"))</f>
        <v>0</v>
      </c>
      <c r="AL580" t="b">
        <f>OR(AND(IF(metadata!J580="",FALSE,TRUE),OR(EXACT(metadata!J580,"not applicable"),EXACT(metadata!J580,"missing: not collected"),EXACT(metadata!J580,"missing: not provided"),EXACT(metadata!J580,"missing: restricted access"))),AND(IF(metadata!J580="",FALSE,ISNUMBER(VALUE(metadata!J580))),metadata!J580&gt;0))</f>
        <v>0</v>
      </c>
      <c r="AM580" t="b">
        <f>AND(IF(metadata!K580="",FALSE,TRUE),EXACT(metadata!K580,"missing: not provided"))</f>
        <v>0</v>
      </c>
      <c r="AN580" t="b">
        <f>IF(metadata!L580="",FALSE,TRUE)</f>
        <v>0</v>
      </c>
      <c r="AO580" t="b">
        <f>IF(metadata!M580="",FALSE,TRUE)</f>
        <v>0</v>
      </c>
      <c r="AP580" t="b">
        <f>OR(AND(IF(metadata!N580="",FALSE,TRUE),OR(EXACT(metadata!N580,"not applicable"),EXACT(metadata!N580,"missing: not collected"),EXACT(metadata!N580,"missing: not provided"))),AND(IF(metadata!N580="",FALSE,IF(ISERROR(INT(metadata!N580)),FALSE,INT(metadata!N580)=metadata!N580)),metadata!N580&gt;0))</f>
        <v>0</v>
      </c>
      <c r="AQ580" t="b">
        <f>AND(IF(metadata!O580="",FALSE,TRUE),EXACT(metadata!O580,"Not applicable"))</f>
        <v>0</v>
      </c>
      <c r="AR580" t="b">
        <f>OR(AND(IF(metadata!P580="",FALSE,TRUE),OR(EXACT(metadata!P580,"not applicable"),EXACT(metadata!P580,"missing: not collected"),EXACT(metadata!P580,"missing: not provided"),EXACT(metadata!P580,"missing: restricted access"))),IF(metadata!P580="",FALSE,IF(ISERROR(INT(metadata!P580)),FALSE,INT(metadata!P580)=metadata!P580)))</f>
        <v>0</v>
      </c>
      <c r="AS580" t="b">
        <f>AND(IF(metadata!Q580="",FALSE,TRUE),EXACT(metadata!Q580,"Not applicable"))</f>
        <v>0</v>
      </c>
      <c r="AT580" t="b">
        <f>OR(AND(IF(metadata!R580="",FALSE,TRUE),OR(EXACT(metadata!R580,"not applicable"),EXACT(metadata!R580,"missing: not collected"),EXACT(metadata!R580,"missing: not provided"),EXACT(metadata!R580,"missing: restricted access"))),AND(IF(metadata!R580="",FALSE,ISNUMBER(VALUE(metadata!R580))),metadata!R580&gt;0))</f>
        <v>0</v>
      </c>
      <c r="AU580" t="b">
        <f>AND(IF(metadata!S580="",FALSE,TRUE),EXACT(metadata!S580,"missing: not provided"))</f>
        <v>0</v>
      </c>
    </row>
    <row r="581" spans="1:47" x14ac:dyDescent="0.2">
      <c r="A581" s="5" t="str">
        <f ca="1">IF(B581=" "," ",HYPERLINK(CONCATENATE("#metadata!",ADDRESS(INDEX($Y$2:$Y$1001,MATCH(ROWS($W$2:W581),$W$2:$W$1001,0),0),1)),INDEX($AB$2:$AB$1001,MATCH(ROWS($W$2:W581),$W$2:$W$1001,0),0)))</f>
        <v xml:space="preserve"> </v>
      </c>
      <c r="B581" s="4" t="str">
        <f ca="1">IF(OR(INDEX($X$2:$X$1001,MATCH(ROWS($W$2:W581),$W$2:$W$1001,0),1)&gt;=100000,INDEX($AD$1005:$AU$1005,1,MATCH(COLUMNS($AD$1006:AD1006),$AD$1006:$AU$1006,0))&gt;=100000), " ",IF(INDEX($AD$2:$AU$1001,MATCH(ROWS($W$2:W581),$W$2:$W$1001,0),MATCH(COLUMNS($AD$1006:AD1006),$AD$1006:$AU$1006,0)), HYPERLINK("#",""), HYPERLINK(CONCATENATE("#metadata!", ADDRESS(INDEX($Y$2:$Y$1001,MATCH(ROWS($W$2:W581),$W$2:$W$1001,0),0), INDEX($AD$1004:$AU$1004,1,MATCH(COLUMNS($AD$1006:AD1006),$AD$1006:$AU$1006,0)))),"Fix")))</f>
        <v xml:space="preserve"> </v>
      </c>
      <c r="C581" s="4" t="str">
        <f ca="1">IF(OR(INDEX($X$2:$X$1001,MATCH(ROWS($W$2:W581),$W$2:$W$1001,0),1)&gt;=100000,INDEX($AD$1005:$AU$1005,1,MATCH(COLUMNS($AD$1006:AE1006),$AD$1006:$AU$1006,0))&gt;=100000), " ",IF(INDEX($AD$2:$AU$1001,MATCH(ROWS($W$2:W581),$W$2:$W$1001,0),MATCH(COLUMNS($AD$1006:AE1006),$AD$1006:$AU$1006,0)), HYPERLINK("#",""), HYPERLINK(CONCATENATE("#metadata!", ADDRESS(INDEX($Y$2:$Y$1001,MATCH(ROWS($W$2:W581),$W$2:$W$1001,0),0), INDEX($AD$1004:$AU$1004,1,MATCH(COLUMNS($AD$1006:AE1006),$AD$1006:$AU$1006,0)))),"Fix")))</f>
        <v xml:space="preserve"> </v>
      </c>
      <c r="D581" s="4" t="str">
        <f ca="1">IF(OR(INDEX($X$2:$X$1001,MATCH(ROWS($W$2:W581),$W$2:$W$1001,0),1)&gt;=100000,INDEX($AD$1005:$AU$1005,1,MATCH(COLUMNS($AD$1006:AF1006),$AD$1006:$AU$1006,0))&gt;=100000), " ",IF(INDEX($AD$2:$AU$1001,MATCH(ROWS($W$2:W581),$W$2:$W$1001,0),MATCH(COLUMNS($AD$1006:AF1006),$AD$1006:$AU$1006,0)), HYPERLINK("#",""), HYPERLINK(CONCATENATE("#metadata!", ADDRESS(INDEX($Y$2:$Y$1001,MATCH(ROWS($W$2:W581),$W$2:$W$1001,0),0), INDEX($AD$1004:$AU$1004,1,MATCH(COLUMNS($AD$1006:AF1006),$AD$1006:$AU$1006,0)))),"Fix")))</f>
        <v xml:space="preserve"> </v>
      </c>
      <c r="E581" s="4" t="str">
        <f ca="1">IF(OR(INDEX($X$2:$X$1001,MATCH(ROWS($W$2:W581),$W$2:$W$1001,0),1)&gt;=100000,INDEX($AD$1005:$AU$1005,1,MATCH(COLUMNS($AD$1006:AG1006),$AD$1006:$AU$1006,0))&gt;=100000), " ",IF(INDEX($AD$2:$AU$1001,MATCH(ROWS($W$2:W581),$W$2:$W$1001,0),MATCH(COLUMNS($AD$1006:AG1006),$AD$1006:$AU$1006,0)), HYPERLINK("#",""), HYPERLINK(CONCATENATE("#metadata!", ADDRESS(INDEX($Y$2:$Y$1001,MATCH(ROWS($W$2:W581),$W$2:$W$1001,0),0), INDEX($AD$1004:$AU$1004,1,MATCH(COLUMNS($AD$1006:AG1006),$AD$1006:$AU$1006,0)))),"Fix")))</f>
        <v xml:space="preserve"> </v>
      </c>
      <c r="F581" s="4" t="str">
        <f ca="1">IF(OR(INDEX($X$2:$X$1001,MATCH(ROWS($W$2:W581),$W$2:$W$1001,0),1)&gt;=100000,INDEX($AD$1005:$AU$1005,1,MATCH(COLUMNS($AD$1006:AH1006),$AD$1006:$AU$1006,0))&gt;=100000), " ",IF(INDEX($AD$2:$AU$1001,MATCH(ROWS($W$2:W581),$W$2:$W$1001,0),MATCH(COLUMNS($AD$1006:AH1006),$AD$1006:$AU$1006,0)), HYPERLINK("#",""), HYPERLINK(CONCATENATE("#metadata!", ADDRESS(INDEX($Y$2:$Y$1001,MATCH(ROWS($W$2:W581),$W$2:$W$1001,0),0), INDEX($AD$1004:$AU$1004,1,MATCH(COLUMNS($AD$1006:AH1006),$AD$1006:$AU$1006,0)))),"Fix")))</f>
        <v xml:space="preserve"> </v>
      </c>
      <c r="G581" s="4" t="str">
        <f ca="1">IF(OR(INDEX($X$2:$X$1001,MATCH(ROWS($W$2:W581),$W$2:$W$1001,0),1)&gt;=100000,INDEX($AD$1005:$AU$1005,1,MATCH(COLUMNS($AD$1006:AI1006),$AD$1006:$AU$1006,0))&gt;=100000), " ",IF(INDEX($AD$2:$AU$1001,MATCH(ROWS($W$2:W581),$W$2:$W$1001,0),MATCH(COLUMNS($AD$1006:AI1006),$AD$1006:$AU$1006,0)), HYPERLINK("#",""), HYPERLINK(CONCATENATE("#metadata!", ADDRESS(INDEX($Y$2:$Y$1001,MATCH(ROWS($W$2:W581),$W$2:$W$1001,0),0), INDEX($AD$1004:$AU$1004,1,MATCH(COLUMNS($AD$1006:AI1006),$AD$1006:$AU$1006,0)))),"Fix")))</f>
        <v xml:space="preserve"> </v>
      </c>
      <c r="H581" s="4" t="str">
        <f ca="1">IF(OR(INDEX($X$2:$X$1001,MATCH(ROWS($W$2:W581),$W$2:$W$1001,0),1)&gt;=100000,INDEX($AD$1005:$AU$1005,1,MATCH(COLUMNS($AD$1006:AJ1006),$AD$1006:$AU$1006,0))&gt;=100000), " ",IF(INDEX($AD$2:$AU$1001,MATCH(ROWS($W$2:W581),$W$2:$W$1001,0),MATCH(COLUMNS($AD$1006:AJ1006),$AD$1006:$AU$1006,0)), HYPERLINK("#",""), HYPERLINK(CONCATENATE("#metadata!", ADDRESS(INDEX($Y$2:$Y$1001,MATCH(ROWS($W$2:W581),$W$2:$W$1001,0),0), INDEX($AD$1004:$AU$1004,1,MATCH(COLUMNS($AD$1006:AJ1006),$AD$1006:$AU$1006,0)))),"Fix")))</f>
        <v xml:space="preserve"> </v>
      </c>
      <c r="I581" s="4" t="str">
        <f ca="1">IF(OR(INDEX($X$2:$X$1001,MATCH(ROWS($W$2:W581),$W$2:$W$1001,0),1)&gt;=100000,INDEX($AD$1005:$AU$1005,1,MATCH(COLUMNS($AD$1006:AK1006),$AD$1006:$AU$1006,0))&gt;=100000), " ",IF(INDEX($AD$2:$AU$1001,MATCH(ROWS($W$2:W581),$W$2:$W$1001,0),MATCH(COLUMNS($AD$1006:AK1006),$AD$1006:$AU$1006,0)), HYPERLINK("#",""), HYPERLINK(CONCATENATE("#metadata!", ADDRESS(INDEX($Y$2:$Y$1001,MATCH(ROWS($W$2:W581),$W$2:$W$1001,0),0), INDEX($AD$1004:$AU$1004,1,MATCH(COLUMNS($AD$1006:AK1006),$AD$1006:$AU$1006,0)))),"Fix")))</f>
        <v xml:space="preserve"> </v>
      </c>
      <c r="J581" s="4" t="str">
        <f ca="1">IF(OR(INDEX($X$2:$X$1001,MATCH(ROWS($W$2:W581),$W$2:$W$1001,0),1)&gt;=100000,INDEX($AD$1005:$AU$1005,1,MATCH(COLUMNS($AD$1006:AL1006),$AD$1006:$AU$1006,0))&gt;=100000), " ",IF(INDEX($AD$2:$AU$1001,MATCH(ROWS($W$2:W581),$W$2:$W$1001,0),MATCH(COLUMNS($AD$1006:AL1006),$AD$1006:$AU$1006,0)), HYPERLINK("#",""), HYPERLINK(CONCATENATE("#metadata!", ADDRESS(INDEX($Y$2:$Y$1001,MATCH(ROWS($W$2:W581),$W$2:$W$1001,0),0), INDEX($AD$1004:$AU$1004,1,MATCH(COLUMNS($AD$1006:AL1006),$AD$1006:$AU$1006,0)))),"Fix")))</f>
        <v xml:space="preserve"> </v>
      </c>
      <c r="K581" s="4" t="str">
        <f ca="1">IF(OR(INDEX($X$2:$X$1001,MATCH(ROWS($W$2:W581),$W$2:$W$1001,0),1)&gt;=100000,INDEX($AD$1005:$AU$1005,1,MATCH(COLUMNS($AD$1006:AM1006),$AD$1006:$AU$1006,0))&gt;=100000), " ",IF(INDEX($AD$2:$AU$1001,MATCH(ROWS($W$2:W581),$W$2:$W$1001,0),MATCH(COLUMNS($AD$1006:AM1006),$AD$1006:$AU$1006,0)), HYPERLINK("#",""), HYPERLINK(CONCATENATE("#metadata!", ADDRESS(INDEX($Y$2:$Y$1001,MATCH(ROWS($W$2:W581),$W$2:$W$1001,0),0), INDEX($AD$1004:$AU$1004,1,MATCH(COLUMNS($AD$1006:AM1006),$AD$1006:$AU$1006,0)))),"Fix")))</f>
        <v xml:space="preserve"> </v>
      </c>
      <c r="L581" s="4" t="str">
        <f ca="1">IF(OR(INDEX($X$2:$X$1001,MATCH(ROWS($W$2:W581),$W$2:$W$1001,0),1)&gt;=100000,INDEX($AD$1005:$AU$1005,1,MATCH(COLUMNS($AD$1006:AN1006),$AD$1006:$AU$1006,0))&gt;=100000), " ",IF(INDEX($AD$2:$AU$1001,MATCH(ROWS($W$2:W581),$W$2:$W$1001,0),MATCH(COLUMNS($AD$1006:AN1006),$AD$1006:$AU$1006,0)), HYPERLINK("#",""), HYPERLINK(CONCATENATE("#metadata!", ADDRESS(INDEX($Y$2:$Y$1001,MATCH(ROWS($W$2:W581),$W$2:$W$1001,0),0), INDEX($AD$1004:$AU$1004,1,MATCH(COLUMNS($AD$1006:AN1006),$AD$1006:$AU$1006,0)))),"Fix")))</f>
        <v xml:space="preserve"> </v>
      </c>
      <c r="M581" s="4" t="str">
        <f ca="1">IF(OR(INDEX($X$2:$X$1001,MATCH(ROWS($W$2:W581),$W$2:$W$1001,0),1)&gt;=100000,INDEX($AD$1005:$AU$1005,1,MATCH(COLUMNS($AD$1006:AO1006),$AD$1006:$AU$1006,0))&gt;=100000), " ",IF(INDEX($AD$2:$AU$1001,MATCH(ROWS($W$2:W581),$W$2:$W$1001,0),MATCH(COLUMNS($AD$1006:AO1006),$AD$1006:$AU$1006,0)), HYPERLINK("#",""), HYPERLINK(CONCATENATE("#metadata!", ADDRESS(INDEX($Y$2:$Y$1001,MATCH(ROWS($W$2:W581),$W$2:$W$1001,0),0), INDEX($AD$1004:$AU$1004,1,MATCH(COLUMNS($AD$1006:AO1006),$AD$1006:$AU$1006,0)))),"Fix")))</f>
        <v xml:space="preserve"> </v>
      </c>
      <c r="N581" s="4" t="str">
        <f ca="1">IF(OR(INDEX($X$2:$X$1001,MATCH(ROWS($W$2:W581),$W$2:$W$1001,0),1)&gt;=100000,INDEX($AD$1005:$AU$1005,1,MATCH(COLUMNS($AD$1006:AP1006),$AD$1006:$AU$1006,0))&gt;=100000), " ",IF(INDEX($AD$2:$AU$1001,MATCH(ROWS($W$2:W581),$W$2:$W$1001,0),MATCH(COLUMNS($AD$1006:AP1006),$AD$1006:$AU$1006,0)), HYPERLINK("#",""), HYPERLINK(CONCATENATE("#metadata!", ADDRESS(INDEX($Y$2:$Y$1001,MATCH(ROWS($W$2:W581),$W$2:$W$1001,0),0), INDEX($AD$1004:$AU$1004,1,MATCH(COLUMNS($AD$1006:AP1006),$AD$1006:$AU$1006,0)))),"Fix")))</f>
        <v xml:space="preserve"> </v>
      </c>
      <c r="O581" s="4" t="str">
        <f ca="1">IF(OR(INDEX($X$2:$X$1001,MATCH(ROWS($W$2:W581),$W$2:$W$1001,0),1)&gt;=100000,INDEX($AD$1005:$AU$1005,1,MATCH(COLUMNS($AD$1006:AQ1006),$AD$1006:$AU$1006,0))&gt;=100000), " ",IF(INDEX($AD$2:$AU$1001,MATCH(ROWS($W$2:W581),$W$2:$W$1001,0),MATCH(COLUMNS($AD$1006:AQ1006),$AD$1006:$AU$1006,0)), HYPERLINK("#",""), HYPERLINK(CONCATENATE("#metadata!", ADDRESS(INDEX($Y$2:$Y$1001,MATCH(ROWS($W$2:W581),$W$2:$W$1001,0),0), INDEX($AD$1004:$AU$1004,1,MATCH(COLUMNS($AD$1006:AQ1006),$AD$1006:$AU$1006,0)))),"Fix")))</f>
        <v xml:space="preserve"> </v>
      </c>
      <c r="P581" s="4" t="str">
        <f ca="1">IF(OR(INDEX($X$2:$X$1001,MATCH(ROWS($W$2:W581),$W$2:$W$1001,0),1)&gt;=100000,INDEX($AD$1005:$AU$1005,1,MATCH(COLUMNS($AD$1006:AR1006),$AD$1006:$AU$1006,0))&gt;=100000), " ",IF(INDEX($AD$2:$AU$1001,MATCH(ROWS($W$2:W581),$W$2:$W$1001,0),MATCH(COLUMNS($AD$1006:AR1006),$AD$1006:$AU$1006,0)), HYPERLINK("#",""), HYPERLINK(CONCATENATE("#metadata!", ADDRESS(INDEX($Y$2:$Y$1001,MATCH(ROWS($W$2:W581),$W$2:$W$1001,0),0), INDEX($AD$1004:$AU$1004,1,MATCH(COLUMNS($AD$1006:AR1006),$AD$1006:$AU$1006,0)))),"Fix")))</f>
        <v xml:space="preserve"> </v>
      </c>
      <c r="Q581" s="4" t="str">
        <f ca="1">IF(OR(INDEX($X$2:$X$1001,MATCH(ROWS($W$2:W581),$W$2:$W$1001,0),1)&gt;=100000,INDEX($AD$1005:$AU$1005,1,MATCH(COLUMNS($AD$1006:AS1006),$AD$1006:$AU$1006,0))&gt;=100000), " ",IF(INDEX($AD$2:$AU$1001,MATCH(ROWS($W$2:W581),$W$2:$W$1001,0),MATCH(COLUMNS($AD$1006:AS1006),$AD$1006:$AU$1006,0)), HYPERLINK("#",""), HYPERLINK(CONCATENATE("#metadata!", ADDRESS(INDEX($Y$2:$Y$1001,MATCH(ROWS($W$2:W581),$W$2:$W$1001,0),0), INDEX($AD$1004:$AU$1004,1,MATCH(COLUMNS($AD$1006:AS1006),$AD$1006:$AU$1006,0)))),"Fix")))</f>
        <v xml:space="preserve"> </v>
      </c>
      <c r="R581" s="4" t="str">
        <f ca="1">IF(OR(INDEX($X$2:$X$1001,MATCH(ROWS($W$2:W581),$W$2:$W$1001,0),1)&gt;=100000,INDEX($AD$1005:$AU$1005,1,MATCH(COLUMNS($AD$1006:AT1006),$AD$1006:$AU$1006,0))&gt;=100000), " ",IF(INDEX($AD$2:$AU$1001,MATCH(ROWS($W$2:W581),$W$2:$W$1001,0),MATCH(COLUMNS($AD$1006:AT1006),$AD$1006:$AU$1006,0)), HYPERLINK("#",""), HYPERLINK(CONCATENATE("#metadata!", ADDRESS(INDEX($Y$2:$Y$1001,MATCH(ROWS($W$2:W581),$W$2:$W$1001,0),0), INDEX($AD$1004:$AU$1004,1,MATCH(COLUMNS($AD$1006:AT1006),$AD$1006:$AU$1006,0)))),"Fix")))</f>
        <v xml:space="preserve"> </v>
      </c>
      <c r="S581" s="4" t="str">
        <f ca="1">IF(OR(INDEX($X$2:$X$1001,MATCH(ROWS($W$2:W581),$W$2:$W$1001,0),1)&gt;=100000,INDEX($AD$1005:$AU$1005,1,MATCH(COLUMNS($AD$1006:AU1006),$AD$1006:$AU$1006,0))&gt;=100000), " ",IF(INDEX($AD$2:$AU$1001,MATCH(ROWS($W$2:W581),$W$2:$W$1001,0),MATCH(COLUMNS($AD$1006:AU1006),$AD$1006:$AU$1006,0)), HYPERLINK("#",""), HYPERLINK(CONCATENATE("#metadata!", ADDRESS(INDEX($Y$2:$Y$1001,MATCH(ROWS($W$2:W581),$W$2:$W$1001,0),0), INDEX($AD$1004:$AU$1004,1,MATCH(COLUMNS($AD$1006:AU1006),$AD$1006:$AU$1006,0)))),"Fix")))</f>
        <v xml:space="preserve"> </v>
      </c>
      <c r="W581">
        <v>580</v>
      </c>
      <c r="X581">
        <v>100581</v>
      </c>
      <c r="Y581">
        <v>581</v>
      </c>
      <c r="Z581" t="b">
        <f t="shared" si="9"/>
        <v>1</v>
      </c>
      <c r="AA581" t="b">
        <f>COUNTBLANK(metadata!B581:S581)=COLUMNS(metadata!B581:S581)</f>
        <v>1</v>
      </c>
      <c r="AB581" t="str">
        <v/>
      </c>
      <c r="AD581" t="b">
        <f ca="1">AND(IF(metadata!B581="",FALSE,TRUE),COUNTIF(metadata!B:B, metadata!B581) = 1,NOT(ISERROR(SUMPRODUCT(SEARCH(MID(metadata!B581,ROW(INDIRECT("1:"&amp;LEN(metadata!B581))), 1),"0123456789abcdefghijklmnopqrstuvwxyzABCDEFGHIJKLMNOPQRSTUVWXYZ.")))))</f>
        <v>0</v>
      </c>
      <c r="AE581" t="b">
        <f>OR(AND(IF(metadata!C581="",FALSE,TRUE),OR(EXACT(metadata!C581,"not applicable"),EXACT(metadata!C581,"missing: not collected"),EXACT(metadata!C581,"missing: not provided"),EXACT(metadata!C581,"missing: restricted access"))),AND(IF(metadata!C581="",FALSE,ISNUMBER(VALUE(metadata!C581))),metadata!C581&gt;0))</f>
        <v>0</v>
      </c>
      <c r="AF581" t="b">
        <f>AND(IF(metadata!D581="",FALSE,TRUE),EXACT(metadata!D581,"missing: not provided"))</f>
        <v>0</v>
      </c>
      <c r="AG581" t="b">
        <f>AND(IF(metadata!E581="",FALSE,TRUE),EXACT(metadata!E581,"Host-associated"))</f>
        <v>0</v>
      </c>
      <c r="AH581" t="b">
        <f>AND(IF(metadata!F581="",FALSE,TRUE),OR(EXACT(metadata!F581,"Animal"),EXACT(metadata!F581,"Fungus"),EXACT(metadata!F581,"Plant")))</f>
        <v>0</v>
      </c>
      <c r="AI581" t="b">
        <f>AND(IF(metadata!G581="",FALSE,TRUE),OR(EXACT(metadata!G581,"Plant secretion"),EXACT(metadata!G581,"Plant rhizosphere"),EXACT(metadata!G581,"Plant surface"),EXACT(metadata!G581,"Plant corpus"),EXACT(metadata!G581,"Fungus surface"),EXACT(metadata!G581,"Fungus corpus"),EXACT(metadata!G581,"Animal surface"),EXACT(metadata!G581,"Animal proximal gut"),EXACT(metadata!G581,"Animal corpus"),EXACT(metadata!G581,"Animal distal gut"),EXACT(metadata!G581,"Animal secretion")))</f>
        <v>0</v>
      </c>
      <c r="AJ581" t="b">
        <f>OR(AND(IF(metadata!H581="",FALSE,TRUE),OR(EXACT(metadata!H581,"missing: not collected"),EXACT(metadata!H581,"missing: not provided"),EXACT(metadata!H581,"missing: restricted access"))),AND(IF(metadata!H581="",FALSE,TRUE),OR(EXACT(metadata!H581,"organism-associated habitat"),EXACT(metadata!H581,"plant-associated habitat"),EXACT(metadata!H581,"animal-associated habitat"),EXACT(metadata!H581,"insecta-associated habitat"),EXACT(metadata!H581,"mammalia-associated habitat"),EXACT(metadata!H581,"human-associated habitat"),EXACT(metadata!H581,"livestock-associated habitat"))))</f>
        <v>0</v>
      </c>
      <c r="AK581" t="b">
        <f>AND(IF(metadata!I581="",FALSE,TRUE),EXACT(metadata!I581,"host-associated"))</f>
        <v>0</v>
      </c>
      <c r="AL581" t="b">
        <f>OR(AND(IF(metadata!J581="",FALSE,TRUE),OR(EXACT(metadata!J581,"not applicable"),EXACT(metadata!J581,"missing: not collected"),EXACT(metadata!J581,"missing: not provided"),EXACT(metadata!J581,"missing: restricted access"))),AND(IF(metadata!J581="",FALSE,ISNUMBER(VALUE(metadata!J581))),metadata!J581&gt;0))</f>
        <v>0</v>
      </c>
      <c r="AM581" t="b">
        <f>AND(IF(metadata!K581="",FALSE,TRUE),EXACT(metadata!K581,"missing: not provided"))</f>
        <v>0</v>
      </c>
      <c r="AN581" t="b">
        <f>IF(metadata!L581="",FALSE,TRUE)</f>
        <v>0</v>
      </c>
      <c r="AO581" t="b">
        <f>IF(metadata!M581="",FALSE,TRUE)</f>
        <v>0</v>
      </c>
      <c r="AP581" t="b">
        <f>OR(AND(IF(metadata!N581="",FALSE,TRUE),OR(EXACT(metadata!N581,"not applicable"),EXACT(metadata!N581,"missing: not collected"),EXACT(metadata!N581,"missing: not provided"))),AND(IF(metadata!N581="",FALSE,IF(ISERROR(INT(metadata!N581)),FALSE,INT(metadata!N581)=metadata!N581)),metadata!N581&gt;0))</f>
        <v>0</v>
      </c>
      <c r="AQ581" t="b">
        <f>AND(IF(metadata!O581="",FALSE,TRUE),EXACT(metadata!O581,"Not applicable"))</f>
        <v>0</v>
      </c>
      <c r="AR581" t="b">
        <f>OR(AND(IF(metadata!P581="",FALSE,TRUE),OR(EXACT(metadata!P581,"not applicable"),EXACT(metadata!P581,"missing: not collected"),EXACT(metadata!P581,"missing: not provided"),EXACT(metadata!P581,"missing: restricted access"))),IF(metadata!P581="",FALSE,IF(ISERROR(INT(metadata!P581)),FALSE,INT(metadata!P581)=metadata!P581)))</f>
        <v>0</v>
      </c>
      <c r="AS581" t="b">
        <f>AND(IF(metadata!Q581="",FALSE,TRUE),EXACT(metadata!Q581,"Not applicable"))</f>
        <v>0</v>
      </c>
      <c r="AT581" t="b">
        <f>OR(AND(IF(metadata!R581="",FALSE,TRUE),OR(EXACT(metadata!R581,"not applicable"),EXACT(metadata!R581,"missing: not collected"),EXACT(metadata!R581,"missing: not provided"),EXACT(metadata!R581,"missing: restricted access"))),AND(IF(metadata!R581="",FALSE,ISNUMBER(VALUE(metadata!R581))),metadata!R581&gt;0))</f>
        <v>0</v>
      </c>
      <c r="AU581" t="b">
        <f>AND(IF(metadata!S581="",FALSE,TRUE),EXACT(metadata!S581,"missing: not provided"))</f>
        <v>0</v>
      </c>
    </row>
    <row r="582" spans="1:47" x14ac:dyDescent="0.2">
      <c r="A582" s="5" t="str">
        <f ca="1">IF(B582=" "," ",HYPERLINK(CONCATENATE("#metadata!",ADDRESS(INDEX($Y$2:$Y$1001,MATCH(ROWS($W$2:W582),$W$2:$W$1001,0),0),1)),INDEX($AB$2:$AB$1001,MATCH(ROWS($W$2:W582),$W$2:$W$1001,0),0)))</f>
        <v xml:space="preserve"> </v>
      </c>
      <c r="B582" s="4" t="str">
        <f ca="1">IF(OR(INDEX($X$2:$X$1001,MATCH(ROWS($W$2:W582),$W$2:$W$1001,0),1)&gt;=100000,INDEX($AD$1005:$AU$1005,1,MATCH(COLUMNS($AD$1006:AD1006),$AD$1006:$AU$1006,0))&gt;=100000), " ",IF(INDEX($AD$2:$AU$1001,MATCH(ROWS($W$2:W582),$W$2:$W$1001,0),MATCH(COLUMNS($AD$1006:AD1006),$AD$1006:$AU$1006,0)), HYPERLINK("#",""), HYPERLINK(CONCATENATE("#metadata!", ADDRESS(INDEX($Y$2:$Y$1001,MATCH(ROWS($W$2:W582),$W$2:$W$1001,0),0), INDEX($AD$1004:$AU$1004,1,MATCH(COLUMNS($AD$1006:AD1006),$AD$1006:$AU$1006,0)))),"Fix")))</f>
        <v xml:space="preserve"> </v>
      </c>
      <c r="C582" s="4" t="str">
        <f ca="1">IF(OR(INDEX($X$2:$X$1001,MATCH(ROWS($W$2:W582),$W$2:$W$1001,0),1)&gt;=100000,INDEX($AD$1005:$AU$1005,1,MATCH(COLUMNS($AD$1006:AE1006),$AD$1006:$AU$1006,0))&gt;=100000), " ",IF(INDEX($AD$2:$AU$1001,MATCH(ROWS($W$2:W582),$W$2:$W$1001,0),MATCH(COLUMNS($AD$1006:AE1006),$AD$1006:$AU$1006,0)), HYPERLINK("#",""), HYPERLINK(CONCATENATE("#metadata!", ADDRESS(INDEX($Y$2:$Y$1001,MATCH(ROWS($W$2:W582),$W$2:$W$1001,0),0), INDEX($AD$1004:$AU$1004,1,MATCH(COLUMNS($AD$1006:AE1006),$AD$1006:$AU$1006,0)))),"Fix")))</f>
        <v xml:space="preserve"> </v>
      </c>
      <c r="D582" s="4" t="str">
        <f ca="1">IF(OR(INDEX($X$2:$X$1001,MATCH(ROWS($W$2:W582),$W$2:$W$1001,0),1)&gt;=100000,INDEX($AD$1005:$AU$1005,1,MATCH(COLUMNS($AD$1006:AF1006),$AD$1006:$AU$1006,0))&gt;=100000), " ",IF(INDEX($AD$2:$AU$1001,MATCH(ROWS($W$2:W582),$W$2:$W$1001,0),MATCH(COLUMNS($AD$1006:AF1006),$AD$1006:$AU$1006,0)), HYPERLINK("#",""), HYPERLINK(CONCATENATE("#metadata!", ADDRESS(INDEX($Y$2:$Y$1001,MATCH(ROWS($W$2:W582),$W$2:$W$1001,0),0), INDEX($AD$1004:$AU$1004,1,MATCH(COLUMNS($AD$1006:AF1006),$AD$1006:$AU$1006,0)))),"Fix")))</f>
        <v xml:space="preserve"> </v>
      </c>
      <c r="E582" s="4" t="str">
        <f ca="1">IF(OR(INDEX($X$2:$X$1001,MATCH(ROWS($W$2:W582),$W$2:$W$1001,0),1)&gt;=100000,INDEX($AD$1005:$AU$1005,1,MATCH(COLUMNS($AD$1006:AG1006),$AD$1006:$AU$1006,0))&gt;=100000), " ",IF(INDEX($AD$2:$AU$1001,MATCH(ROWS($W$2:W582),$W$2:$W$1001,0),MATCH(COLUMNS($AD$1006:AG1006),$AD$1006:$AU$1006,0)), HYPERLINK("#",""), HYPERLINK(CONCATENATE("#metadata!", ADDRESS(INDEX($Y$2:$Y$1001,MATCH(ROWS($W$2:W582),$W$2:$W$1001,0),0), INDEX($AD$1004:$AU$1004,1,MATCH(COLUMNS($AD$1006:AG1006),$AD$1006:$AU$1006,0)))),"Fix")))</f>
        <v xml:space="preserve"> </v>
      </c>
      <c r="F582" s="4" t="str">
        <f ca="1">IF(OR(INDEX($X$2:$X$1001,MATCH(ROWS($W$2:W582),$W$2:$W$1001,0),1)&gt;=100000,INDEX($AD$1005:$AU$1005,1,MATCH(COLUMNS($AD$1006:AH1006),$AD$1006:$AU$1006,0))&gt;=100000), " ",IF(INDEX($AD$2:$AU$1001,MATCH(ROWS($W$2:W582),$W$2:$W$1001,0),MATCH(COLUMNS($AD$1006:AH1006),$AD$1006:$AU$1006,0)), HYPERLINK("#",""), HYPERLINK(CONCATENATE("#metadata!", ADDRESS(INDEX($Y$2:$Y$1001,MATCH(ROWS($W$2:W582),$W$2:$W$1001,0),0), INDEX($AD$1004:$AU$1004,1,MATCH(COLUMNS($AD$1006:AH1006),$AD$1006:$AU$1006,0)))),"Fix")))</f>
        <v xml:space="preserve"> </v>
      </c>
      <c r="G582" s="4" t="str">
        <f ca="1">IF(OR(INDEX($X$2:$X$1001,MATCH(ROWS($W$2:W582),$W$2:$W$1001,0),1)&gt;=100000,INDEX($AD$1005:$AU$1005,1,MATCH(COLUMNS($AD$1006:AI1006),$AD$1006:$AU$1006,0))&gt;=100000), " ",IF(INDEX($AD$2:$AU$1001,MATCH(ROWS($W$2:W582),$W$2:$W$1001,0),MATCH(COLUMNS($AD$1006:AI1006),$AD$1006:$AU$1006,0)), HYPERLINK("#",""), HYPERLINK(CONCATENATE("#metadata!", ADDRESS(INDEX($Y$2:$Y$1001,MATCH(ROWS($W$2:W582),$W$2:$W$1001,0),0), INDEX($AD$1004:$AU$1004,1,MATCH(COLUMNS($AD$1006:AI1006),$AD$1006:$AU$1006,0)))),"Fix")))</f>
        <v xml:space="preserve"> </v>
      </c>
      <c r="H582" s="4" t="str">
        <f ca="1">IF(OR(INDEX($X$2:$X$1001,MATCH(ROWS($W$2:W582),$W$2:$W$1001,0),1)&gt;=100000,INDEX($AD$1005:$AU$1005,1,MATCH(COLUMNS($AD$1006:AJ1006),$AD$1006:$AU$1006,0))&gt;=100000), " ",IF(INDEX($AD$2:$AU$1001,MATCH(ROWS($W$2:W582),$W$2:$W$1001,0),MATCH(COLUMNS($AD$1006:AJ1006),$AD$1006:$AU$1006,0)), HYPERLINK("#",""), HYPERLINK(CONCATENATE("#metadata!", ADDRESS(INDEX($Y$2:$Y$1001,MATCH(ROWS($W$2:W582),$W$2:$W$1001,0),0), INDEX($AD$1004:$AU$1004,1,MATCH(COLUMNS($AD$1006:AJ1006),$AD$1006:$AU$1006,0)))),"Fix")))</f>
        <v xml:space="preserve"> </v>
      </c>
      <c r="I582" s="4" t="str">
        <f ca="1">IF(OR(INDEX($X$2:$X$1001,MATCH(ROWS($W$2:W582),$W$2:$W$1001,0),1)&gt;=100000,INDEX($AD$1005:$AU$1005,1,MATCH(COLUMNS($AD$1006:AK1006),$AD$1006:$AU$1006,0))&gt;=100000), " ",IF(INDEX($AD$2:$AU$1001,MATCH(ROWS($W$2:W582),$W$2:$W$1001,0),MATCH(COLUMNS($AD$1006:AK1006),$AD$1006:$AU$1006,0)), HYPERLINK("#",""), HYPERLINK(CONCATENATE("#metadata!", ADDRESS(INDEX($Y$2:$Y$1001,MATCH(ROWS($W$2:W582),$W$2:$W$1001,0),0), INDEX($AD$1004:$AU$1004,1,MATCH(COLUMNS($AD$1006:AK1006),$AD$1006:$AU$1006,0)))),"Fix")))</f>
        <v xml:space="preserve"> </v>
      </c>
      <c r="J582" s="4" t="str">
        <f ca="1">IF(OR(INDEX($X$2:$X$1001,MATCH(ROWS($W$2:W582),$W$2:$W$1001,0),1)&gt;=100000,INDEX($AD$1005:$AU$1005,1,MATCH(COLUMNS($AD$1006:AL1006),$AD$1006:$AU$1006,0))&gt;=100000), " ",IF(INDEX($AD$2:$AU$1001,MATCH(ROWS($W$2:W582),$W$2:$W$1001,0),MATCH(COLUMNS($AD$1006:AL1006),$AD$1006:$AU$1006,0)), HYPERLINK("#",""), HYPERLINK(CONCATENATE("#metadata!", ADDRESS(INDEX($Y$2:$Y$1001,MATCH(ROWS($W$2:W582),$W$2:$W$1001,0),0), INDEX($AD$1004:$AU$1004,1,MATCH(COLUMNS($AD$1006:AL1006),$AD$1006:$AU$1006,0)))),"Fix")))</f>
        <v xml:space="preserve"> </v>
      </c>
      <c r="K582" s="4" t="str">
        <f ca="1">IF(OR(INDEX($X$2:$X$1001,MATCH(ROWS($W$2:W582),$W$2:$W$1001,0),1)&gt;=100000,INDEX($AD$1005:$AU$1005,1,MATCH(COLUMNS($AD$1006:AM1006),$AD$1006:$AU$1006,0))&gt;=100000), " ",IF(INDEX($AD$2:$AU$1001,MATCH(ROWS($W$2:W582),$W$2:$W$1001,0),MATCH(COLUMNS($AD$1006:AM1006),$AD$1006:$AU$1006,0)), HYPERLINK("#",""), HYPERLINK(CONCATENATE("#metadata!", ADDRESS(INDEX($Y$2:$Y$1001,MATCH(ROWS($W$2:W582),$W$2:$W$1001,0),0), INDEX($AD$1004:$AU$1004,1,MATCH(COLUMNS($AD$1006:AM1006),$AD$1006:$AU$1006,0)))),"Fix")))</f>
        <v xml:space="preserve"> </v>
      </c>
      <c r="L582" s="4" t="str">
        <f ca="1">IF(OR(INDEX($X$2:$X$1001,MATCH(ROWS($W$2:W582),$W$2:$W$1001,0),1)&gt;=100000,INDEX($AD$1005:$AU$1005,1,MATCH(COLUMNS($AD$1006:AN1006),$AD$1006:$AU$1006,0))&gt;=100000), " ",IF(INDEX($AD$2:$AU$1001,MATCH(ROWS($W$2:W582),$W$2:$W$1001,0),MATCH(COLUMNS($AD$1006:AN1006),$AD$1006:$AU$1006,0)), HYPERLINK("#",""), HYPERLINK(CONCATENATE("#metadata!", ADDRESS(INDEX($Y$2:$Y$1001,MATCH(ROWS($W$2:W582),$W$2:$W$1001,0),0), INDEX($AD$1004:$AU$1004,1,MATCH(COLUMNS($AD$1006:AN1006),$AD$1006:$AU$1006,0)))),"Fix")))</f>
        <v xml:space="preserve"> </v>
      </c>
      <c r="M582" s="4" t="str">
        <f ca="1">IF(OR(INDEX($X$2:$X$1001,MATCH(ROWS($W$2:W582),$W$2:$W$1001,0),1)&gt;=100000,INDEX($AD$1005:$AU$1005,1,MATCH(COLUMNS($AD$1006:AO1006),$AD$1006:$AU$1006,0))&gt;=100000), " ",IF(INDEX($AD$2:$AU$1001,MATCH(ROWS($W$2:W582),$W$2:$W$1001,0),MATCH(COLUMNS($AD$1006:AO1006),$AD$1006:$AU$1006,0)), HYPERLINK("#",""), HYPERLINK(CONCATENATE("#metadata!", ADDRESS(INDEX($Y$2:$Y$1001,MATCH(ROWS($W$2:W582),$W$2:$W$1001,0),0), INDEX($AD$1004:$AU$1004,1,MATCH(COLUMNS($AD$1006:AO1006),$AD$1006:$AU$1006,0)))),"Fix")))</f>
        <v xml:space="preserve"> </v>
      </c>
      <c r="N582" s="4" t="str">
        <f ca="1">IF(OR(INDEX($X$2:$X$1001,MATCH(ROWS($W$2:W582),$W$2:$W$1001,0),1)&gt;=100000,INDEX($AD$1005:$AU$1005,1,MATCH(COLUMNS($AD$1006:AP1006),$AD$1006:$AU$1006,0))&gt;=100000), " ",IF(INDEX($AD$2:$AU$1001,MATCH(ROWS($W$2:W582),$W$2:$W$1001,0),MATCH(COLUMNS($AD$1006:AP1006),$AD$1006:$AU$1006,0)), HYPERLINK("#",""), HYPERLINK(CONCATENATE("#metadata!", ADDRESS(INDEX($Y$2:$Y$1001,MATCH(ROWS($W$2:W582),$W$2:$W$1001,0),0), INDEX($AD$1004:$AU$1004,1,MATCH(COLUMNS($AD$1006:AP1006),$AD$1006:$AU$1006,0)))),"Fix")))</f>
        <v xml:space="preserve"> </v>
      </c>
      <c r="O582" s="4" t="str">
        <f ca="1">IF(OR(INDEX($X$2:$X$1001,MATCH(ROWS($W$2:W582),$W$2:$W$1001,0),1)&gt;=100000,INDEX($AD$1005:$AU$1005,1,MATCH(COLUMNS($AD$1006:AQ1006),$AD$1006:$AU$1006,0))&gt;=100000), " ",IF(INDEX($AD$2:$AU$1001,MATCH(ROWS($W$2:W582),$W$2:$W$1001,0),MATCH(COLUMNS($AD$1006:AQ1006),$AD$1006:$AU$1006,0)), HYPERLINK("#",""), HYPERLINK(CONCATENATE("#metadata!", ADDRESS(INDEX($Y$2:$Y$1001,MATCH(ROWS($W$2:W582),$W$2:$W$1001,0),0), INDEX($AD$1004:$AU$1004,1,MATCH(COLUMNS($AD$1006:AQ1006),$AD$1006:$AU$1006,0)))),"Fix")))</f>
        <v xml:space="preserve"> </v>
      </c>
      <c r="P582" s="4" t="str">
        <f ca="1">IF(OR(INDEX($X$2:$X$1001,MATCH(ROWS($W$2:W582),$W$2:$W$1001,0),1)&gt;=100000,INDEX($AD$1005:$AU$1005,1,MATCH(COLUMNS($AD$1006:AR1006),$AD$1006:$AU$1006,0))&gt;=100000), " ",IF(INDEX($AD$2:$AU$1001,MATCH(ROWS($W$2:W582),$W$2:$W$1001,0),MATCH(COLUMNS($AD$1006:AR1006),$AD$1006:$AU$1006,0)), HYPERLINK("#",""), HYPERLINK(CONCATENATE("#metadata!", ADDRESS(INDEX($Y$2:$Y$1001,MATCH(ROWS($W$2:W582),$W$2:$W$1001,0),0), INDEX($AD$1004:$AU$1004,1,MATCH(COLUMNS($AD$1006:AR1006),$AD$1006:$AU$1006,0)))),"Fix")))</f>
        <v xml:space="preserve"> </v>
      </c>
      <c r="Q582" s="4" t="str">
        <f ca="1">IF(OR(INDEX($X$2:$X$1001,MATCH(ROWS($W$2:W582),$W$2:$W$1001,0),1)&gt;=100000,INDEX($AD$1005:$AU$1005,1,MATCH(COLUMNS($AD$1006:AS1006),$AD$1006:$AU$1006,0))&gt;=100000), " ",IF(INDEX($AD$2:$AU$1001,MATCH(ROWS($W$2:W582),$W$2:$W$1001,0),MATCH(COLUMNS($AD$1006:AS1006),$AD$1006:$AU$1006,0)), HYPERLINK("#",""), HYPERLINK(CONCATENATE("#metadata!", ADDRESS(INDEX($Y$2:$Y$1001,MATCH(ROWS($W$2:W582),$W$2:$W$1001,0),0), INDEX($AD$1004:$AU$1004,1,MATCH(COLUMNS($AD$1006:AS1006),$AD$1006:$AU$1006,0)))),"Fix")))</f>
        <v xml:space="preserve"> </v>
      </c>
      <c r="R582" s="4" t="str">
        <f ca="1">IF(OR(INDEX($X$2:$X$1001,MATCH(ROWS($W$2:W582),$W$2:$W$1001,0),1)&gt;=100000,INDEX($AD$1005:$AU$1005,1,MATCH(COLUMNS($AD$1006:AT1006),$AD$1006:$AU$1006,0))&gt;=100000), " ",IF(INDEX($AD$2:$AU$1001,MATCH(ROWS($W$2:W582),$W$2:$W$1001,0),MATCH(COLUMNS($AD$1006:AT1006),$AD$1006:$AU$1006,0)), HYPERLINK("#",""), HYPERLINK(CONCATENATE("#metadata!", ADDRESS(INDEX($Y$2:$Y$1001,MATCH(ROWS($W$2:W582),$W$2:$W$1001,0),0), INDEX($AD$1004:$AU$1004,1,MATCH(COLUMNS($AD$1006:AT1006),$AD$1006:$AU$1006,0)))),"Fix")))</f>
        <v xml:space="preserve"> </v>
      </c>
      <c r="S582" s="4" t="str">
        <f ca="1">IF(OR(INDEX($X$2:$X$1001,MATCH(ROWS($W$2:W582),$W$2:$W$1001,0),1)&gt;=100000,INDEX($AD$1005:$AU$1005,1,MATCH(COLUMNS($AD$1006:AU1006),$AD$1006:$AU$1006,0))&gt;=100000), " ",IF(INDEX($AD$2:$AU$1001,MATCH(ROWS($W$2:W582),$W$2:$W$1001,0),MATCH(COLUMNS($AD$1006:AU1006),$AD$1006:$AU$1006,0)), HYPERLINK("#",""), HYPERLINK(CONCATENATE("#metadata!", ADDRESS(INDEX($Y$2:$Y$1001,MATCH(ROWS($W$2:W582),$W$2:$W$1001,0),0), INDEX($AD$1004:$AU$1004,1,MATCH(COLUMNS($AD$1006:AU1006),$AD$1006:$AU$1006,0)))),"Fix")))</f>
        <v xml:space="preserve"> </v>
      </c>
      <c r="W582">
        <v>581</v>
      </c>
      <c r="X582">
        <v>100582</v>
      </c>
      <c r="Y582">
        <v>582</v>
      </c>
      <c r="Z582" t="b">
        <f t="shared" si="9"/>
        <v>1</v>
      </c>
      <c r="AA582" t="b">
        <f>COUNTBLANK(metadata!B582:S582)=COLUMNS(metadata!B582:S582)</f>
        <v>1</v>
      </c>
      <c r="AB582" t="str">
        <v/>
      </c>
      <c r="AD582" t="b">
        <f ca="1">AND(IF(metadata!B582="",FALSE,TRUE),COUNTIF(metadata!B:B, metadata!B582) = 1,NOT(ISERROR(SUMPRODUCT(SEARCH(MID(metadata!B582,ROW(INDIRECT("1:"&amp;LEN(metadata!B582))), 1),"0123456789abcdefghijklmnopqrstuvwxyzABCDEFGHIJKLMNOPQRSTUVWXYZ.")))))</f>
        <v>0</v>
      </c>
      <c r="AE582" t="b">
        <f>OR(AND(IF(metadata!C582="",FALSE,TRUE),OR(EXACT(metadata!C582,"not applicable"),EXACT(metadata!C582,"missing: not collected"),EXACT(metadata!C582,"missing: not provided"),EXACT(metadata!C582,"missing: restricted access"))),AND(IF(metadata!C582="",FALSE,ISNUMBER(VALUE(metadata!C582))),metadata!C582&gt;0))</f>
        <v>0</v>
      </c>
      <c r="AF582" t="b">
        <f>AND(IF(metadata!D582="",FALSE,TRUE),EXACT(metadata!D582,"missing: not provided"))</f>
        <v>0</v>
      </c>
      <c r="AG582" t="b">
        <f>AND(IF(metadata!E582="",FALSE,TRUE),EXACT(metadata!E582,"Host-associated"))</f>
        <v>0</v>
      </c>
      <c r="AH582" t="b">
        <f>AND(IF(metadata!F582="",FALSE,TRUE),OR(EXACT(metadata!F582,"Animal"),EXACT(metadata!F582,"Fungus"),EXACT(metadata!F582,"Plant")))</f>
        <v>0</v>
      </c>
      <c r="AI582" t="b">
        <f>AND(IF(metadata!G582="",FALSE,TRUE),OR(EXACT(metadata!G582,"Plant secretion"),EXACT(metadata!G582,"Plant rhizosphere"),EXACT(metadata!G582,"Plant surface"),EXACT(metadata!G582,"Plant corpus"),EXACT(metadata!G582,"Fungus surface"),EXACT(metadata!G582,"Fungus corpus"),EXACT(metadata!G582,"Animal surface"),EXACT(metadata!G582,"Animal proximal gut"),EXACT(metadata!G582,"Animal corpus"),EXACT(metadata!G582,"Animal distal gut"),EXACT(metadata!G582,"Animal secretion")))</f>
        <v>0</v>
      </c>
      <c r="AJ582" t="b">
        <f>OR(AND(IF(metadata!H582="",FALSE,TRUE),OR(EXACT(metadata!H582,"missing: not collected"),EXACT(metadata!H582,"missing: not provided"),EXACT(metadata!H582,"missing: restricted access"))),AND(IF(metadata!H582="",FALSE,TRUE),OR(EXACT(metadata!H582,"organism-associated habitat"),EXACT(metadata!H582,"plant-associated habitat"),EXACT(metadata!H582,"animal-associated habitat"),EXACT(metadata!H582,"insecta-associated habitat"),EXACT(metadata!H582,"mammalia-associated habitat"),EXACT(metadata!H582,"human-associated habitat"),EXACT(metadata!H582,"livestock-associated habitat"))))</f>
        <v>0</v>
      </c>
      <c r="AK582" t="b">
        <f>AND(IF(metadata!I582="",FALSE,TRUE),EXACT(metadata!I582,"host-associated"))</f>
        <v>0</v>
      </c>
      <c r="AL582" t="b">
        <f>OR(AND(IF(metadata!J582="",FALSE,TRUE),OR(EXACT(metadata!J582,"not applicable"),EXACT(metadata!J582,"missing: not collected"),EXACT(metadata!J582,"missing: not provided"),EXACT(metadata!J582,"missing: restricted access"))),AND(IF(metadata!J582="",FALSE,ISNUMBER(VALUE(metadata!J582))),metadata!J582&gt;0))</f>
        <v>0</v>
      </c>
      <c r="AM582" t="b">
        <f>AND(IF(metadata!K582="",FALSE,TRUE),EXACT(metadata!K582,"missing: not provided"))</f>
        <v>0</v>
      </c>
      <c r="AN582" t="b">
        <f>IF(metadata!L582="",FALSE,TRUE)</f>
        <v>0</v>
      </c>
      <c r="AO582" t="b">
        <f>IF(metadata!M582="",FALSE,TRUE)</f>
        <v>0</v>
      </c>
      <c r="AP582" t="b">
        <f>OR(AND(IF(metadata!N582="",FALSE,TRUE),OR(EXACT(metadata!N582,"not applicable"),EXACT(metadata!N582,"missing: not collected"),EXACT(metadata!N582,"missing: not provided"))),AND(IF(metadata!N582="",FALSE,IF(ISERROR(INT(metadata!N582)),FALSE,INT(metadata!N582)=metadata!N582)),metadata!N582&gt;0))</f>
        <v>0</v>
      </c>
      <c r="AQ582" t="b">
        <f>AND(IF(metadata!O582="",FALSE,TRUE),EXACT(metadata!O582,"Not applicable"))</f>
        <v>0</v>
      </c>
      <c r="AR582" t="b">
        <f>OR(AND(IF(metadata!P582="",FALSE,TRUE),OR(EXACT(metadata!P582,"not applicable"),EXACT(metadata!P582,"missing: not collected"),EXACT(metadata!P582,"missing: not provided"),EXACT(metadata!P582,"missing: restricted access"))),IF(metadata!P582="",FALSE,IF(ISERROR(INT(metadata!P582)),FALSE,INT(metadata!P582)=metadata!P582)))</f>
        <v>0</v>
      </c>
      <c r="AS582" t="b">
        <f>AND(IF(metadata!Q582="",FALSE,TRUE),EXACT(metadata!Q582,"Not applicable"))</f>
        <v>0</v>
      </c>
      <c r="AT582" t="b">
        <f>OR(AND(IF(metadata!R582="",FALSE,TRUE),OR(EXACT(metadata!R582,"not applicable"),EXACT(metadata!R582,"missing: not collected"),EXACT(metadata!R582,"missing: not provided"),EXACT(metadata!R582,"missing: restricted access"))),AND(IF(metadata!R582="",FALSE,ISNUMBER(VALUE(metadata!R582))),metadata!R582&gt;0))</f>
        <v>0</v>
      </c>
      <c r="AU582" t="b">
        <f>AND(IF(metadata!S582="",FALSE,TRUE),EXACT(metadata!S582,"missing: not provided"))</f>
        <v>0</v>
      </c>
    </row>
    <row r="583" spans="1:47" x14ac:dyDescent="0.2">
      <c r="A583" s="5" t="str">
        <f ca="1">IF(B583=" "," ",HYPERLINK(CONCATENATE("#metadata!",ADDRESS(INDEX($Y$2:$Y$1001,MATCH(ROWS($W$2:W583),$W$2:$W$1001,0),0),1)),INDEX($AB$2:$AB$1001,MATCH(ROWS($W$2:W583),$W$2:$W$1001,0),0)))</f>
        <v xml:space="preserve"> </v>
      </c>
      <c r="B583" s="4" t="str">
        <f ca="1">IF(OR(INDEX($X$2:$X$1001,MATCH(ROWS($W$2:W583),$W$2:$W$1001,0),1)&gt;=100000,INDEX($AD$1005:$AU$1005,1,MATCH(COLUMNS($AD$1006:AD1006),$AD$1006:$AU$1006,0))&gt;=100000), " ",IF(INDEX($AD$2:$AU$1001,MATCH(ROWS($W$2:W583),$W$2:$W$1001,0),MATCH(COLUMNS($AD$1006:AD1006),$AD$1006:$AU$1006,0)), HYPERLINK("#",""), HYPERLINK(CONCATENATE("#metadata!", ADDRESS(INDEX($Y$2:$Y$1001,MATCH(ROWS($W$2:W583),$W$2:$W$1001,0),0), INDEX($AD$1004:$AU$1004,1,MATCH(COLUMNS($AD$1006:AD1006),$AD$1006:$AU$1006,0)))),"Fix")))</f>
        <v xml:space="preserve"> </v>
      </c>
      <c r="C583" s="4" t="str">
        <f ca="1">IF(OR(INDEX($X$2:$X$1001,MATCH(ROWS($W$2:W583),$W$2:$W$1001,0),1)&gt;=100000,INDEX($AD$1005:$AU$1005,1,MATCH(COLUMNS($AD$1006:AE1006),$AD$1006:$AU$1006,0))&gt;=100000), " ",IF(INDEX($AD$2:$AU$1001,MATCH(ROWS($W$2:W583),$W$2:$W$1001,0),MATCH(COLUMNS($AD$1006:AE1006),$AD$1006:$AU$1006,0)), HYPERLINK("#",""), HYPERLINK(CONCATENATE("#metadata!", ADDRESS(INDEX($Y$2:$Y$1001,MATCH(ROWS($W$2:W583),$W$2:$W$1001,0),0), INDEX($AD$1004:$AU$1004,1,MATCH(COLUMNS($AD$1006:AE1006),$AD$1006:$AU$1006,0)))),"Fix")))</f>
        <v xml:space="preserve"> </v>
      </c>
      <c r="D583" s="4" t="str">
        <f ca="1">IF(OR(INDEX($X$2:$X$1001,MATCH(ROWS($W$2:W583),$W$2:$W$1001,0),1)&gt;=100000,INDEX($AD$1005:$AU$1005,1,MATCH(COLUMNS($AD$1006:AF1006),$AD$1006:$AU$1006,0))&gt;=100000), " ",IF(INDEX($AD$2:$AU$1001,MATCH(ROWS($W$2:W583),$W$2:$W$1001,0),MATCH(COLUMNS($AD$1006:AF1006),$AD$1006:$AU$1006,0)), HYPERLINK("#",""), HYPERLINK(CONCATENATE("#metadata!", ADDRESS(INDEX($Y$2:$Y$1001,MATCH(ROWS($W$2:W583),$W$2:$W$1001,0),0), INDEX($AD$1004:$AU$1004,1,MATCH(COLUMNS($AD$1006:AF1006),$AD$1006:$AU$1006,0)))),"Fix")))</f>
        <v xml:space="preserve"> </v>
      </c>
      <c r="E583" s="4" t="str">
        <f ca="1">IF(OR(INDEX($X$2:$X$1001,MATCH(ROWS($W$2:W583),$W$2:$W$1001,0),1)&gt;=100000,INDEX($AD$1005:$AU$1005,1,MATCH(COLUMNS($AD$1006:AG1006),$AD$1006:$AU$1006,0))&gt;=100000), " ",IF(INDEX($AD$2:$AU$1001,MATCH(ROWS($W$2:W583),$W$2:$W$1001,0),MATCH(COLUMNS($AD$1006:AG1006),$AD$1006:$AU$1006,0)), HYPERLINK("#",""), HYPERLINK(CONCATENATE("#metadata!", ADDRESS(INDEX($Y$2:$Y$1001,MATCH(ROWS($W$2:W583),$W$2:$W$1001,0),0), INDEX($AD$1004:$AU$1004,1,MATCH(COLUMNS($AD$1006:AG1006),$AD$1006:$AU$1006,0)))),"Fix")))</f>
        <v xml:space="preserve"> </v>
      </c>
      <c r="F583" s="4" t="str">
        <f ca="1">IF(OR(INDEX($X$2:$X$1001,MATCH(ROWS($W$2:W583),$W$2:$W$1001,0),1)&gt;=100000,INDEX($AD$1005:$AU$1005,1,MATCH(COLUMNS($AD$1006:AH1006),$AD$1006:$AU$1006,0))&gt;=100000), " ",IF(INDEX($AD$2:$AU$1001,MATCH(ROWS($W$2:W583),$W$2:$W$1001,0),MATCH(COLUMNS($AD$1006:AH1006),$AD$1006:$AU$1006,0)), HYPERLINK("#",""), HYPERLINK(CONCATENATE("#metadata!", ADDRESS(INDEX($Y$2:$Y$1001,MATCH(ROWS($W$2:W583),$W$2:$W$1001,0),0), INDEX($AD$1004:$AU$1004,1,MATCH(COLUMNS($AD$1006:AH1006),$AD$1006:$AU$1006,0)))),"Fix")))</f>
        <v xml:space="preserve"> </v>
      </c>
      <c r="G583" s="4" t="str">
        <f ca="1">IF(OR(INDEX($X$2:$X$1001,MATCH(ROWS($W$2:W583),$W$2:$W$1001,0),1)&gt;=100000,INDEX($AD$1005:$AU$1005,1,MATCH(COLUMNS($AD$1006:AI1006),$AD$1006:$AU$1006,0))&gt;=100000), " ",IF(INDEX($AD$2:$AU$1001,MATCH(ROWS($W$2:W583),$W$2:$W$1001,0),MATCH(COLUMNS($AD$1006:AI1006),$AD$1006:$AU$1006,0)), HYPERLINK("#",""), HYPERLINK(CONCATENATE("#metadata!", ADDRESS(INDEX($Y$2:$Y$1001,MATCH(ROWS($W$2:W583),$W$2:$W$1001,0),0), INDEX($AD$1004:$AU$1004,1,MATCH(COLUMNS($AD$1006:AI1006),$AD$1006:$AU$1006,0)))),"Fix")))</f>
        <v xml:space="preserve"> </v>
      </c>
      <c r="H583" s="4" t="str">
        <f ca="1">IF(OR(INDEX($X$2:$X$1001,MATCH(ROWS($W$2:W583),$W$2:$W$1001,0),1)&gt;=100000,INDEX($AD$1005:$AU$1005,1,MATCH(COLUMNS($AD$1006:AJ1006),$AD$1006:$AU$1006,0))&gt;=100000), " ",IF(INDEX($AD$2:$AU$1001,MATCH(ROWS($W$2:W583),$W$2:$W$1001,0),MATCH(COLUMNS($AD$1006:AJ1006),$AD$1006:$AU$1006,0)), HYPERLINK("#",""), HYPERLINK(CONCATENATE("#metadata!", ADDRESS(INDEX($Y$2:$Y$1001,MATCH(ROWS($W$2:W583),$W$2:$W$1001,0),0), INDEX($AD$1004:$AU$1004,1,MATCH(COLUMNS($AD$1006:AJ1006),$AD$1006:$AU$1006,0)))),"Fix")))</f>
        <v xml:space="preserve"> </v>
      </c>
      <c r="I583" s="4" t="str">
        <f ca="1">IF(OR(INDEX($X$2:$X$1001,MATCH(ROWS($W$2:W583),$W$2:$W$1001,0),1)&gt;=100000,INDEX($AD$1005:$AU$1005,1,MATCH(COLUMNS($AD$1006:AK1006),$AD$1006:$AU$1006,0))&gt;=100000), " ",IF(INDEX($AD$2:$AU$1001,MATCH(ROWS($W$2:W583),$W$2:$W$1001,0),MATCH(COLUMNS($AD$1006:AK1006),$AD$1006:$AU$1006,0)), HYPERLINK("#",""), HYPERLINK(CONCATENATE("#metadata!", ADDRESS(INDEX($Y$2:$Y$1001,MATCH(ROWS($W$2:W583),$W$2:$W$1001,0),0), INDEX($AD$1004:$AU$1004,1,MATCH(COLUMNS($AD$1006:AK1006),$AD$1006:$AU$1006,0)))),"Fix")))</f>
        <v xml:space="preserve"> </v>
      </c>
      <c r="J583" s="4" t="str">
        <f ca="1">IF(OR(INDEX($X$2:$X$1001,MATCH(ROWS($W$2:W583),$W$2:$W$1001,0),1)&gt;=100000,INDEX($AD$1005:$AU$1005,1,MATCH(COLUMNS($AD$1006:AL1006),$AD$1006:$AU$1006,0))&gt;=100000), " ",IF(INDEX($AD$2:$AU$1001,MATCH(ROWS($W$2:W583),$W$2:$W$1001,0),MATCH(COLUMNS($AD$1006:AL1006),$AD$1006:$AU$1006,0)), HYPERLINK("#",""), HYPERLINK(CONCATENATE("#metadata!", ADDRESS(INDEX($Y$2:$Y$1001,MATCH(ROWS($W$2:W583),$W$2:$W$1001,0),0), INDEX($AD$1004:$AU$1004,1,MATCH(COLUMNS($AD$1006:AL1006),$AD$1006:$AU$1006,0)))),"Fix")))</f>
        <v xml:space="preserve"> </v>
      </c>
      <c r="K583" s="4" t="str">
        <f ca="1">IF(OR(INDEX($X$2:$X$1001,MATCH(ROWS($W$2:W583),$W$2:$W$1001,0),1)&gt;=100000,INDEX($AD$1005:$AU$1005,1,MATCH(COLUMNS($AD$1006:AM1006),$AD$1006:$AU$1006,0))&gt;=100000), " ",IF(INDEX($AD$2:$AU$1001,MATCH(ROWS($W$2:W583),$W$2:$W$1001,0),MATCH(COLUMNS($AD$1006:AM1006),$AD$1006:$AU$1006,0)), HYPERLINK("#",""), HYPERLINK(CONCATENATE("#metadata!", ADDRESS(INDEX($Y$2:$Y$1001,MATCH(ROWS($W$2:W583),$W$2:$W$1001,0),0), INDEX($AD$1004:$AU$1004,1,MATCH(COLUMNS($AD$1006:AM1006),$AD$1006:$AU$1006,0)))),"Fix")))</f>
        <v xml:space="preserve"> </v>
      </c>
      <c r="L583" s="4" t="str">
        <f ca="1">IF(OR(INDEX($X$2:$X$1001,MATCH(ROWS($W$2:W583),$W$2:$W$1001,0),1)&gt;=100000,INDEX($AD$1005:$AU$1005,1,MATCH(COLUMNS($AD$1006:AN1006),$AD$1006:$AU$1006,0))&gt;=100000), " ",IF(INDEX($AD$2:$AU$1001,MATCH(ROWS($W$2:W583),$W$2:$W$1001,0),MATCH(COLUMNS($AD$1006:AN1006),$AD$1006:$AU$1006,0)), HYPERLINK("#",""), HYPERLINK(CONCATENATE("#metadata!", ADDRESS(INDEX($Y$2:$Y$1001,MATCH(ROWS($W$2:W583),$W$2:$W$1001,0),0), INDEX($AD$1004:$AU$1004,1,MATCH(COLUMNS($AD$1006:AN1006),$AD$1006:$AU$1006,0)))),"Fix")))</f>
        <v xml:space="preserve"> </v>
      </c>
      <c r="M583" s="4" t="str">
        <f ca="1">IF(OR(INDEX($X$2:$X$1001,MATCH(ROWS($W$2:W583),$W$2:$W$1001,0),1)&gt;=100000,INDEX($AD$1005:$AU$1005,1,MATCH(COLUMNS($AD$1006:AO1006),$AD$1006:$AU$1006,0))&gt;=100000), " ",IF(INDEX($AD$2:$AU$1001,MATCH(ROWS($W$2:W583),$W$2:$W$1001,0),MATCH(COLUMNS($AD$1006:AO1006),$AD$1006:$AU$1006,0)), HYPERLINK("#",""), HYPERLINK(CONCATENATE("#metadata!", ADDRESS(INDEX($Y$2:$Y$1001,MATCH(ROWS($W$2:W583),$W$2:$W$1001,0),0), INDEX($AD$1004:$AU$1004,1,MATCH(COLUMNS($AD$1006:AO1006),$AD$1006:$AU$1006,0)))),"Fix")))</f>
        <v xml:space="preserve"> </v>
      </c>
      <c r="N583" s="4" t="str">
        <f ca="1">IF(OR(INDEX($X$2:$X$1001,MATCH(ROWS($W$2:W583),$W$2:$W$1001,0),1)&gt;=100000,INDEX($AD$1005:$AU$1005,1,MATCH(COLUMNS($AD$1006:AP1006),$AD$1006:$AU$1006,0))&gt;=100000), " ",IF(INDEX($AD$2:$AU$1001,MATCH(ROWS($W$2:W583),$W$2:$W$1001,0),MATCH(COLUMNS($AD$1006:AP1006),$AD$1006:$AU$1006,0)), HYPERLINK("#",""), HYPERLINK(CONCATENATE("#metadata!", ADDRESS(INDEX($Y$2:$Y$1001,MATCH(ROWS($W$2:W583),$W$2:$W$1001,0),0), INDEX($AD$1004:$AU$1004,1,MATCH(COLUMNS($AD$1006:AP1006),$AD$1006:$AU$1006,0)))),"Fix")))</f>
        <v xml:space="preserve"> </v>
      </c>
      <c r="O583" s="4" t="str">
        <f ca="1">IF(OR(INDEX($X$2:$X$1001,MATCH(ROWS($W$2:W583),$W$2:$W$1001,0),1)&gt;=100000,INDEX($AD$1005:$AU$1005,1,MATCH(COLUMNS($AD$1006:AQ1006),$AD$1006:$AU$1006,0))&gt;=100000), " ",IF(INDEX($AD$2:$AU$1001,MATCH(ROWS($W$2:W583),$W$2:$W$1001,0),MATCH(COLUMNS($AD$1006:AQ1006),$AD$1006:$AU$1006,0)), HYPERLINK("#",""), HYPERLINK(CONCATENATE("#metadata!", ADDRESS(INDEX($Y$2:$Y$1001,MATCH(ROWS($W$2:W583),$W$2:$W$1001,0),0), INDEX($AD$1004:$AU$1004,1,MATCH(COLUMNS($AD$1006:AQ1006),$AD$1006:$AU$1006,0)))),"Fix")))</f>
        <v xml:space="preserve"> </v>
      </c>
      <c r="P583" s="4" t="str">
        <f ca="1">IF(OR(INDEX($X$2:$X$1001,MATCH(ROWS($W$2:W583),$W$2:$W$1001,0),1)&gt;=100000,INDEX($AD$1005:$AU$1005,1,MATCH(COLUMNS($AD$1006:AR1006),$AD$1006:$AU$1006,0))&gt;=100000), " ",IF(INDEX($AD$2:$AU$1001,MATCH(ROWS($W$2:W583),$W$2:$W$1001,0),MATCH(COLUMNS($AD$1006:AR1006),$AD$1006:$AU$1006,0)), HYPERLINK("#",""), HYPERLINK(CONCATENATE("#metadata!", ADDRESS(INDEX($Y$2:$Y$1001,MATCH(ROWS($W$2:W583),$W$2:$W$1001,0),0), INDEX($AD$1004:$AU$1004,1,MATCH(COLUMNS($AD$1006:AR1006),$AD$1006:$AU$1006,0)))),"Fix")))</f>
        <v xml:space="preserve"> </v>
      </c>
      <c r="Q583" s="4" t="str">
        <f ca="1">IF(OR(INDEX($X$2:$X$1001,MATCH(ROWS($W$2:W583),$W$2:$W$1001,0),1)&gt;=100000,INDEX($AD$1005:$AU$1005,1,MATCH(COLUMNS($AD$1006:AS1006),$AD$1006:$AU$1006,0))&gt;=100000), " ",IF(INDEX($AD$2:$AU$1001,MATCH(ROWS($W$2:W583),$W$2:$W$1001,0),MATCH(COLUMNS($AD$1006:AS1006),$AD$1006:$AU$1006,0)), HYPERLINK("#",""), HYPERLINK(CONCATENATE("#metadata!", ADDRESS(INDEX($Y$2:$Y$1001,MATCH(ROWS($W$2:W583),$W$2:$W$1001,0),0), INDEX($AD$1004:$AU$1004,1,MATCH(COLUMNS($AD$1006:AS1006),$AD$1006:$AU$1006,0)))),"Fix")))</f>
        <v xml:space="preserve"> </v>
      </c>
      <c r="R583" s="4" t="str">
        <f ca="1">IF(OR(INDEX($X$2:$X$1001,MATCH(ROWS($W$2:W583),$W$2:$W$1001,0),1)&gt;=100000,INDEX($AD$1005:$AU$1005,1,MATCH(COLUMNS($AD$1006:AT1006),$AD$1006:$AU$1006,0))&gt;=100000), " ",IF(INDEX($AD$2:$AU$1001,MATCH(ROWS($W$2:W583),$W$2:$W$1001,0),MATCH(COLUMNS($AD$1006:AT1006),$AD$1006:$AU$1006,0)), HYPERLINK("#",""), HYPERLINK(CONCATENATE("#metadata!", ADDRESS(INDEX($Y$2:$Y$1001,MATCH(ROWS($W$2:W583),$W$2:$W$1001,0),0), INDEX($AD$1004:$AU$1004,1,MATCH(COLUMNS($AD$1006:AT1006),$AD$1006:$AU$1006,0)))),"Fix")))</f>
        <v xml:space="preserve"> </v>
      </c>
      <c r="S583" s="4" t="str">
        <f ca="1">IF(OR(INDEX($X$2:$X$1001,MATCH(ROWS($W$2:W583),$W$2:$W$1001,0),1)&gt;=100000,INDEX($AD$1005:$AU$1005,1,MATCH(COLUMNS($AD$1006:AU1006),$AD$1006:$AU$1006,0))&gt;=100000), " ",IF(INDEX($AD$2:$AU$1001,MATCH(ROWS($W$2:W583),$W$2:$W$1001,0),MATCH(COLUMNS($AD$1006:AU1006),$AD$1006:$AU$1006,0)), HYPERLINK("#",""), HYPERLINK(CONCATENATE("#metadata!", ADDRESS(INDEX($Y$2:$Y$1001,MATCH(ROWS($W$2:W583),$W$2:$W$1001,0),0), INDEX($AD$1004:$AU$1004,1,MATCH(COLUMNS($AD$1006:AU1006),$AD$1006:$AU$1006,0)))),"Fix")))</f>
        <v xml:space="preserve"> </v>
      </c>
      <c r="W583">
        <v>582</v>
      </c>
      <c r="X583">
        <v>100583</v>
      </c>
      <c r="Y583">
        <v>583</v>
      </c>
      <c r="Z583" t="b">
        <f t="shared" si="9"/>
        <v>1</v>
      </c>
      <c r="AA583" t="b">
        <f>COUNTBLANK(metadata!B583:S583)=COLUMNS(metadata!B583:S583)</f>
        <v>1</v>
      </c>
      <c r="AB583" t="str">
        <v/>
      </c>
      <c r="AD583" t="b">
        <f ca="1">AND(IF(metadata!B583="",FALSE,TRUE),COUNTIF(metadata!B:B, metadata!B583) = 1,NOT(ISERROR(SUMPRODUCT(SEARCH(MID(metadata!B583,ROW(INDIRECT("1:"&amp;LEN(metadata!B583))), 1),"0123456789abcdefghijklmnopqrstuvwxyzABCDEFGHIJKLMNOPQRSTUVWXYZ.")))))</f>
        <v>0</v>
      </c>
      <c r="AE583" t="b">
        <f>OR(AND(IF(metadata!C583="",FALSE,TRUE),OR(EXACT(metadata!C583,"not applicable"),EXACT(metadata!C583,"missing: not collected"),EXACT(metadata!C583,"missing: not provided"),EXACT(metadata!C583,"missing: restricted access"))),AND(IF(metadata!C583="",FALSE,ISNUMBER(VALUE(metadata!C583))),metadata!C583&gt;0))</f>
        <v>0</v>
      </c>
      <c r="AF583" t="b">
        <f>AND(IF(metadata!D583="",FALSE,TRUE),EXACT(metadata!D583,"missing: not provided"))</f>
        <v>0</v>
      </c>
      <c r="AG583" t="b">
        <f>AND(IF(metadata!E583="",FALSE,TRUE),EXACT(metadata!E583,"Host-associated"))</f>
        <v>0</v>
      </c>
      <c r="AH583" t="b">
        <f>AND(IF(metadata!F583="",FALSE,TRUE),OR(EXACT(metadata!F583,"Animal"),EXACT(metadata!F583,"Fungus"),EXACT(metadata!F583,"Plant")))</f>
        <v>0</v>
      </c>
      <c r="AI583" t="b">
        <f>AND(IF(metadata!G583="",FALSE,TRUE),OR(EXACT(metadata!G583,"Plant secretion"),EXACT(metadata!G583,"Plant rhizosphere"),EXACT(metadata!G583,"Plant surface"),EXACT(metadata!G583,"Plant corpus"),EXACT(metadata!G583,"Fungus surface"),EXACT(metadata!G583,"Fungus corpus"),EXACT(metadata!G583,"Animal surface"),EXACT(metadata!G583,"Animal proximal gut"),EXACT(metadata!G583,"Animal corpus"),EXACT(metadata!G583,"Animal distal gut"),EXACT(metadata!G583,"Animal secretion")))</f>
        <v>0</v>
      </c>
      <c r="AJ583" t="b">
        <f>OR(AND(IF(metadata!H583="",FALSE,TRUE),OR(EXACT(metadata!H583,"missing: not collected"),EXACT(metadata!H583,"missing: not provided"),EXACT(metadata!H583,"missing: restricted access"))),AND(IF(metadata!H583="",FALSE,TRUE),OR(EXACT(metadata!H583,"organism-associated habitat"),EXACT(metadata!H583,"plant-associated habitat"),EXACT(metadata!H583,"animal-associated habitat"),EXACT(metadata!H583,"insecta-associated habitat"),EXACT(metadata!H583,"mammalia-associated habitat"),EXACT(metadata!H583,"human-associated habitat"),EXACT(metadata!H583,"livestock-associated habitat"))))</f>
        <v>0</v>
      </c>
      <c r="AK583" t="b">
        <f>AND(IF(metadata!I583="",FALSE,TRUE),EXACT(metadata!I583,"host-associated"))</f>
        <v>0</v>
      </c>
      <c r="AL583" t="b">
        <f>OR(AND(IF(metadata!J583="",FALSE,TRUE),OR(EXACT(metadata!J583,"not applicable"),EXACT(metadata!J583,"missing: not collected"),EXACT(metadata!J583,"missing: not provided"),EXACT(metadata!J583,"missing: restricted access"))),AND(IF(metadata!J583="",FALSE,ISNUMBER(VALUE(metadata!J583))),metadata!J583&gt;0))</f>
        <v>0</v>
      </c>
      <c r="AM583" t="b">
        <f>AND(IF(metadata!K583="",FALSE,TRUE),EXACT(metadata!K583,"missing: not provided"))</f>
        <v>0</v>
      </c>
      <c r="AN583" t="b">
        <f>IF(metadata!L583="",FALSE,TRUE)</f>
        <v>0</v>
      </c>
      <c r="AO583" t="b">
        <f>IF(metadata!M583="",FALSE,TRUE)</f>
        <v>0</v>
      </c>
      <c r="AP583" t="b">
        <f>OR(AND(IF(metadata!N583="",FALSE,TRUE),OR(EXACT(metadata!N583,"not applicable"),EXACT(metadata!N583,"missing: not collected"),EXACT(metadata!N583,"missing: not provided"))),AND(IF(metadata!N583="",FALSE,IF(ISERROR(INT(metadata!N583)),FALSE,INT(metadata!N583)=metadata!N583)),metadata!N583&gt;0))</f>
        <v>0</v>
      </c>
      <c r="AQ583" t="b">
        <f>AND(IF(metadata!O583="",FALSE,TRUE),EXACT(metadata!O583,"Not applicable"))</f>
        <v>0</v>
      </c>
      <c r="AR583" t="b">
        <f>OR(AND(IF(metadata!P583="",FALSE,TRUE),OR(EXACT(metadata!P583,"not applicable"),EXACT(metadata!P583,"missing: not collected"),EXACT(metadata!P583,"missing: not provided"),EXACT(metadata!P583,"missing: restricted access"))),IF(metadata!P583="",FALSE,IF(ISERROR(INT(metadata!P583)),FALSE,INT(metadata!P583)=metadata!P583)))</f>
        <v>0</v>
      </c>
      <c r="AS583" t="b">
        <f>AND(IF(metadata!Q583="",FALSE,TRUE),EXACT(metadata!Q583,"Not applicable"))</f>
        <v>0</v>
      </c>
      <c r="AT583" t="b">
        <f>OR(AND(IF(metadata!R583="",FALSE,TRUE),OR(EXACT(metadata!R583,"not applicable"),EXACT(metadata!R583,"missing: not collected"),EXACT(metadata!R583,"missing: not provided"),EXACT(metadata!R583,"missing: restricted access"))),AND(IF(metadata!R583="",FALSE,ISNUMBER(VALUE(metadata!R583))),metadata!R583&gt;0))</f>
        <v>0</v>
      </c>
      <c r="AU583" t="b">
        <f>AND(IF(metadata!S583="",FALSE,TRUE),EXACT(metadata!S583,"missing: not provided"))</f>
        <v>0</v>
      </c>
    </row>
    <row r="584" spans="1:47" x14ac:dyDescent="0.2">
      <c r="A584" s="5" t="str">
        <f ca="1">IF(B584=" "," ",HYPERLINK(CONCATENATE("#metadata!",ADDRESS(INDEX($Y$2:$Y$1001,MATCH(ROWS($W$2:W584),$W$2:$W$1001,0),0),1)),INDEX($AB$2:$AB$1001,MATCH(ROWS($W$2:W584),$W$2:$W$1001,0),0)))</f>
        <v xml:space="preserve"> </v>
      </c>
      <c r="B584" s="4" t="str">
        <f ca="1">IF(OR(INDEX($X$2:$X$1001,MATCH(ROWS($W$2:W584),$W$2:$W$1001,0),1)&gt;=100000,INDEX($AD$1005:$AU$1005,1,MATCH(COLUMNS($AD$1006:AD1006),$AD$1006:$AU$1006,0))&gt;=100000), " ",IF(INDEX($AD$2:$AU$1001,MATCH(ROWS($W$2:W584),$W$2:$W$1001,0),MATCH(COLUMNS($AD$1006:AD1006),$AD$1006:$AU$1006,0)), HYPERLINK("#",""), HYPERLINK(CONCATENATE("#metadata!", ADDRESS(INDEX($Y$2:$Y$1001,MATCH(ROWS($W$2:W584),$W$2:$W$1001,0),0), INDEX($AD$1004:$AU$1004,1,MATCH(COLUMNS($AD$1006:AD1006),$AD$1006:$AU$1006,0)))),"Fix")))</f>
        <v xml:space="preserve"> </v>
      </c>
      <c r="C584" s="4" t="str">
        <f ca="1">IF(OR(INDEX($X$2:$X$1001,MATCH(ROWS($W$2:W584),$W$2:$W$1001,0),1)&gt;=100000,INDEX($AD$1005:$AU$1005,1,MATCH(COLUMNS($AD$1006:AE1006),$AD$1006:$AU$1006,0))&gt;=100000), " ",IF(INDEX($AD$2:$AU$1001,MATCH(ROWS($W$2:W584),$W$2:$W$1001,0),MATCH(COLUMNS($AD$1006:AE1006),$AD$1006:$AU$1006,0)), HYPERLINK("#",""), HYPERLINK(CONCATENATE("#metadata!", ADDRESS(INDEX($Y$2:$Y$1001,MATCH(ROWS($W$2:W584),$W$2:$W$1001,0),0), INDEX($AD$1004:$AU$1004,1,MATCH(COLUMNS($AD$1006:AE1006),$AD$1006:$AU$1006,0)))),"Fix")))</f>
        <v xml:space="preserve"> </v>
      </c>
      <c r="D584" s="4" t="str">
        <f ca="1">IF(OR(INDEX($X$2:$X$1001,MATCH(ROWS($W$2:W584),$W$2:$W$1001,0),1)&gt;=100000,INDEX($AD$1005:$AU$1005,1,MATCH(COLUMNS($AD$1006:AF1006),$AD$1006:$AU$1006,0))&gt;=100000), " ",IF(INDEX($AD$2:$AU$1001,MATCH(ROWS($W$2:W584),$W$2:$W$1001,0),MATCH(COLUMNS($AD$1006:AF1006),$AD$1006:$AU$1006,0)), HYPERLINK("#",""), HYPERLINK(CONCATENATE("#metadata!", ADDRESS(INDEX($Y$2:$Y$1001,MATCH(ROWS($W$2:W584),$W$2:$W$1001,0),0), INDEX($AD$1004:$AU$1004,1,MATCH(COLUMNS($AD$1006:AF1006),$AD$1006:$AU$1006,0)))),"Fix")))</f>
        <v xml:space="preserve"> </v>
      </c>
      <c r="E584" s="4" t="str">
        <f ca="1">IF(OR(INDEX($X$2:$X$1001,MATCH(ROWS($W$2:W584),$W$2:$W$1001,0),1)&gt;=100000,INDEX($AD$1005:$AU$1005,1,MATCH(COLUMNS($AD$1006:AG1006),$AD$1006:$AU$1006,0))&gt;=100000), " ",IF(INDEX($AD$2:$AU$1001,MATCH(ROWS($W$2:W584),$W$2:$W$1001,0),MATCH(COLUMNS($AD$1006:AG1006),$AD$1006:$AU$1006,0)), HYPERLINK("#",""), HYPERLINK(CONCATENATE("#metadata!", ADDRESS(INDEX($Y$2:$Y$1001,MATCH(ROWS($W$2:W584),$W$2:$W$1001,0),0), INDEX($AD$1004:$AU$1004,1,MATCH(COLUMNS($AD$1006:AG1006),$AD$1006:$AU$1006,0)))),"Fix")))</f>
        <v xml:space="preserve"> </v>
      </c>
      <c r="F584" s="4" t="str">
        <f ca="1">IF(OR(INDEX($X$2:$X$1001,MATCH(ROWS($W$2:W584),$W$2:$W$1001,0),1)&gt;=100000,INDEX($AD$1005:$AU$1005,1,MATCH(COLUMNS($AD$1006:AH1006),$AD$1006:$AU$1006,0))&gt;=100000), " ",IF(INDEX($AD$2:$AU$1001,MATCH(ROWS($W$2:W584),$W$2:$W$1001,0),MATCH(COLUMNS($AD$1006:AH1006),$AD$1006:$AU$1006,0)), HYPERLINK("#",""), HYPERLINK(CONCATENATE("#metadata!", ADDRESS(INDEX($Y$2:$Y$1001,MATCH(ROWS($W$2:W584),$W$2:$W$1001,0),0), INDEX($AD$1004:$AU$1004,1,MATCH(COLUMNS($AD$1006:AH1006),$AD$1006:$AU$1006,0)))),"Fix")))</f>
        <v xml:space="preserve"> </v>
      </c>
      <c r="G584" s="4" t="str">
        <f ca="1">IF(OR(INDEX($X$2:$X$1001,MATCH(ROWS($W$2:W584),$W$2:$W$1001,0),1)&gt;=100000,INDEX($AD$1005:$AU$1005,1,MATCH(COLUMNS($AD$1006:AI1006),$AD$1006:$AU$1006,0))&gt;=100000), " ",IF(INDEX($AD$2:$AU$1001,MATCH(ROWS($W$2:W584),$W$2:$W$1001,0),MATCH(COLUMNS($AD$1006:AI1006),$AD$1006:$AU$1006,0)), HYPERLINK("#",""), HYPERLINK(CONCATENATE("#metadata!", ADDRESS(INDEX($Y$2:$Y$1001,MATCH(ROWS($W$2:W584),$W$2:$W$1001,0),0), INDEX($AD$1004:$AU$1004,1,MATCH(COLUMNS($AD$1006:AI1006),$AD$1006:$AU$1006,0)))),"Fix")))</f>
        <v xml:space="preserve"> </v>
      </c>
      <c r="H584" s="4" t="str">
        <f ca="1">IF(OR(INDEX($X$2:$X$1001,MATCH(ROWS($W$2:W584),$W$2:$W$1001,0),1)&gt;=100000,INDEX($AD$1005:$AU$1005,1,MATCH(COLUMNS($AD$1006:AJ1006),$AD$1006:$AU$1006,0))&gt;=100000), " ",IF(INDEX($AD$2:$AU$1001,MATCH(ROWS($W$2:W584),$W$2:$W$1001,0),MATCH(COLUMNS($AD$1006:AJ1006),$AD$1006:$AU$1006,0)), HYPERLINK("#",""), HYPERLINK(CONCATENATE("#metadata!", ADDRESS(INDEX($Y$2:$Y$1001,MATCH(ROWS($W$2:W584),$W$2:$W$1001,0),0), INDEX($AD$1004:$AU$1004,1,MATCH(COLUMNS($AD$1006:AJ1006),$AD$1006:$AU$1006,0)))),"Fix")))</f>
        <v xml:space="preserve"> </v>
      </c>
      <c r="I584" s="4" t="str">
        <f ca="1">IF(OR(INDEX($X$2:$X$1001,MATCH(ROWS($W$2:W584),$W$2:$W$1001,0),1)&gt;=100000,INDEX($AD$1005:$AU$1005,1,MATCH(COLUMNS($AD$1006:AK1006),$AD$1006:$AU$1006,0))&gt;=100000), " ",IF(INDEX($AD$2:$AU$1001,MATCH(ROWS($W$2:W584),$W$2:$W$1001,0),MATCH(COLUMNS($AD$1006:AK1006),$AD$1006:$AU$1006,0)), HYPERLINK("#",""), HYPERLINK(CONCATENATE("#metadata!", ADDRESS(INDEX($Y$2:$Y$1001,MATCH(ROWS($W$2:W584),$W$2:$W$1001,0),0), INDEX($AD$1004:$AU$1004,1,MATCH(COLUMNS($AD$1006:AK1006),$AD$1006:$AU$1006,0)))),"Fix")))</f>
        <v xml:space="preserve"> </v>
      </c>
      <c r="J584" s="4" t="str">
        <f ca="1">IF(OR(INDEX($X$2:$X$1001,MATCH(ROWS($W$2:W584),$W$2:$W$1001,0),1)&gt;=100000,INDEX($AD$1005:$AU$1005,1,MATCH(COLUMNS($AD$1006:AL1006),$AD$1006:$AU$1006,0))&gt;=100000), " ",IF(INDEX($AD$2:$AU$1001,MATCH(ROWS($W$2:W584),$W$2:$W$1001,0),MATCH(COLUMNS($AD$1006:AL1006),$AD$1006:$AU$1006,0)), HYPERLINK("#",""), HYPERLINK(CONCATENATE("#metadata!", ADDRESS(INDEX($Y$2:$Y$1001,MATCH(ROWS($W$2:W584),$W$2:$W$1001,0),0), INDEX($AD$1004:$AU$1004,1,MATCH(COLUMNS($AD$1006:AL1006),$AD$1006:$AU$1006,0)))),"Fix")))</f>
        <v xml:space="preserve"> </v>
      </c>
      <c r="K584" s="4" t="str">
        <f ca="1">IF(OR(INDEX($X$2:$X$1001,MATCH(ROWS($W$2:W584),$W$2:$W$1001,0),1)&gt;=100000,INDEX($AD$1005:$AU$1005,1,MATCH(COLUMNS($AD$1006:AM1006),$AD$1006:$AU$1006,0))&gt;=100000), " ",IF(INDEX($AD$2:$AU$1001,MATCH(ROWS($W$2:W584),$W$2:$W$1001,0),MATCH(COLUMNS($AD$1006:AM1006),$AD$1006:$AU$1006,0)), HYPERLINK("#",""), HYPERLINK(CONCATENATE("#metadata!", ADDRESS(INDEX($Y$2:$Y$1001,MATCH(ROWS($W$2:W584),$W$2:$W$1001,0),0), INDEX($AD$1004:$AU$1004,1,MATCH(COLUMNS($AD$1006:AM1006),$AD$1006:$AU$1006,0)))),"Fix")))</f>
        <v xml:space="preserve"> </v>
      </c>
      <c r="L584" s="4" t="str">
        <f ca="1">IF(OR(INDEX($X$2:$X$1001,MATCH(ROWS($W$2:W584),$W$2:$W$1001,0),1)&gt;=100000,INDEX($AD$1005:$AU$1005,1,MATCH(COLUMNS($AD$1006:AN1006),$AD$1006:$AU$1006,0))&gt;=100000), " ",IF(INDEX($AD$2:$AU$1001,MATCH(ROWS($W$2:W584),$W$2:$W$1001,0),MATCH(COLUMNS($AD$1006:AN1006),$AD$1006:$AU$1006,0)), HYPERLINK("#",""), HYPERLINK(CONCATENATE("#metadata!", ADDRESS(INDEX($Y$2:$Y$1001,MATCH(ROWS($W$2:W584),$W$2:$W$1001,0),0), INDEX($AD$1004:$AU$1004,1,MATCH(COLUMNS($AD$1006:AN1006),$AD$1006:$AU$1006,0)))),"Fix")))</f>
        <v xml:space="preserve"> </v>
      </c>
      <c r="M584" s="4" t="str">
        <f ca="1">IF(OR(INDEX($X$2:$X$1001,MATCH(ROWS($W$2:W584),$W$2:$W$1001,0),1)&gt;=100000,INDEX($AD$1005:$AU$1005,1,MATCH(COLUMNS($AD$1006:AO1006),$AD$1006:$AU$1006,0))&gt;=100000), " ",IF(INDEX($AD$2:$AU$1001,MATCH(ROWS($W$2:W584),$W$2:$W$1001,0),MATCH(COLUMNS($AD$1006:AO1006),$AD$1006:$AU$1006,0)), HYPERLINK("#",""), HYPERLINK(CONCATENATE("#metadata!", ADDRESS(INDEX($Y$2:$Y$1001,MATCH(ROWS($W$2:W584),$W$2:$W$1001,0),0), INDEX($AD$1004:$AU$1004,1,MATCH(COLUMNS($AD$1006:AO1006),$AD$1006:$AU$1006,0)))),"Fix")))</f>
        <v xml:space="preserve"> </v>
      </c>
      <c r="N584" s="4" t="str">
        <f ca="1">IF(OR(INDEX($X$2:$X$1001,MATCH(ROWS($W$2:W584),$W$2:$W$1001,0),1)&gt;=100000,INDEX($AD$1005:$AU$1005,1,MATCH(COLUMNS($AD$1006:AP1006),$AD$1006:$AU$1006,0))&gt;=100000), " ",IF(INDEX($AD$2:$AU$1001,MATCH(ROWS($W$2:W584),$W$2:$W$1001,0),MATCH(COLUMNS($AD$1006:AP1006),$AD$1006:$AU$1006,0)), HYPERLINK("#",""), HYPERLINK(CONCATENATE("#metadata!", ADDRESS(INDEX($Y$2:$Y$1001,MATCH(ROWS($W$2:W584),$W$2:$W$1001,0),0), INDEX($AD$1004:$AU$1004,1,MATCH(COLUMNS($AD$1006:AP1006),$AD$1006:$AU$1006,0)))),"Fix")))</f>
        <v xml:space="preserve"> </v>
      </c>
      <c r="O584" s="4" t="str">
        <f ca="1">IF(OR(INDEX($X$2:$X$1001,MATCH(ROWS($W$2:W584),$W$2:$W$1001,0),1)&gt;=100000,INDEX($AD$1005:$AU$1005,1,MATCH(COLUMNS($AD$1006:AQ1006),$AD$1006:$AU$1006,0))&gt;=100000), " ",IF(INDEX($AD$2:$AU$1001,MATCH(ROWS($W$2:W584),$W$2:$W$1001,0),MATCH(COLUMNS($AD$1006:AQ1006),$AD$1006:$AU$1006,0)), HYPERLINK("#",""), HYPERLINK(CONCATENATE("#metadata!", ADDRESS(INDEX($Y$2:$Y$1001,MATCH(ROWS($W$2:W584),$W$2:$W$1001,0),0), INDEX($AD$1004:$AU$1004,1,MATCH(COLUMNS($AD$1006:AQ1006),$AD$1006:$AU$1006,0)))),"Fix")))</f>
        <v xml:space="preserve"> </v>
      </c>
      <c r="P584" s="4" t="str">
        <f ca="1">IF(OR(INDEX($X$2:$X$1001,MATCH(ROWS($W$2:W584),$W$2:$W$1001,0),1)&gt;=100000,INDEX($AD$1005:$AU$1005,1,MATCH(COLUMNS($AD$1006:AR1006),$AD$1006:$AU$1006,0))&gt;=100000), " ",IF(INDEX($AD$2:$AU$1001,MATCH(ROWS($W$2:W584),$W$2:$W$1001,0),MATCH(COLUMNS($AD$1006:AR1006),$AD$1006:$AU$1006,0)), HYPERLINK("#",""), HYPERLINK(CONCATENATE("#metadata!", ADDRESS(INDEX($Y$2:$Y$1001,MATCH(ROWS($W$2:W584),$W$2:$W$1001,0),0), INDEX($AD$1004:$AU$1004,1,MATCH(COLUMNS($AD$1006:AR1006),$AD$1006:$AU$1006,0)))),"Fix")))</f>
        <v xml:space="preserve"> </v>
      </c>
      <c r="Q584" s="4" t="str">
        <f ca="1">IF(OR(INDEX($X$2:$X$1001,MATCH(ROWS($W$2:W584),$W$2:$W$1001,0),1)&gt;=100000,INDEX($AD$1005:$AU$1005,1,MATCH(COLUMNS($AD$1006:AS1006),$AD$1006:$AU$1006,0))&gt;=100000), " ",IF(INDEX($AD$2:$AU$1001,MATCH(ROWS($W$2:W584),$W$2:$W$1001,0),MATCH(COLUMNS($AD$1006:AS1006),$AD$1006:$AU$1006,0)), HYPERLINK("#",""), HYPERLINK(CONCATENATE("#metadata!", ADDRESS(INDEX($Y$2:$Y$1001,MATCH(ROWS($W$2:W584),$W$2:$W$1001,0),0), INDEX($AD$1004:$AU$1004,1,MATCH(COLUMNS($AD$1006:AS1006),$AD$1006:$AU$1006,0)))),"Fix")))</f>
        <v xml:space="preserve"> </v>
      </c>
      <c r="R584" s="4" t="str">
        <f ca="1">IF(OR(INDEX($X$2:$X$1001,MATCH(ROWS($W$2:W584),$W$2:$W$1001,0),1)&gt;=100000,INDEX($AD$1005:$AU$1005,1,MATCH(COLUMNS($AD$1006:AT1006),$AD$1006:$AU$1006,0))&gt;=100000), " ",IF(INDEX($AD$2:$AU$1001,MATCH(ROWS($W$2:W584),$W$2:$W$1001,0),MATCH(COLUMNS($AD$1006:AT1006),$AD$1006:$AU$1006,0)), HYPERLINK("#",""), HYPERLINK(CONCATENATE("#metadata!", ADDRESS(INDEX($Y$2:$Y$1001,MATCH(ROWS($W$2:W584),$W$2:$W$1001,0),0), INDEX($AD$1004:$AU$1004,1,MATCH(COLUMNS($AD$1006:AT1006),$AD$1006:$AU$1006,0)))),"Fix")))</f>
        <v xml:space="preserve"> </v>
      </c>
      <c r="S584" s="4" t="str">
        <f ca="1">IF(OR(INDEX($X$2:$X$1001,MATCH(ROWS($W$2:W584),$W$2:$W$1001,0),1)&gt;=100000,INDEX($AD$1005:$AU$1005,1,MATCH(COLUMNS($AD$1006:AU1006),$AD$1006:$AU$1006,0))&gt;=100000), " ",IF(INDEX($AD$2:$AU$1001,MATCH(ROWS($W$2:W584),$W$2:$W$1001,0),MATCH(COLUMNS($AD$1006:AU1006),$AD$1006:$AU$1006,0)), HYPERLINK("#",""), HYPERLINK(CONCATENATE("#metadata!", ADDRESS(INDEX($Y$2:$Y$1001,MATCH(ROWS($W$2:W584),$W$2:$W$1001,0),0), INDEX($AD$1004:$AU$1004,1,MATCH(COLUMNS($AD$1006:AU1006),$AD$1006:$AU$1006,0)))),"Fix")))</f>
        <v xml:space="preserve"> </v>
      </c>
      <c r="W584">
        <v>583</v>
      </c>
      <c r="X584">
        <v>100584</v>
      </c>
      <c r="Y584">
        <v>584</v>
      </c>
      <c r="Z584" t="b">
        <f t="shared" si="9"/>
        <v>1</v>
      </c>
      <c r="AA584" t="b">
        <f>COUNTBLANK(metadata!B584:S584)=COLUMNS(metadata!B584:S584)</f>
        <v>1</v>
      </c>
      <c r="AB584" t="str">
        <v/>
      </c>
      <c r="AD584" t="b">
        <f ca="1">AND(IF(metadata!B584="",FALSE,TRUE),COUNTIF(metadata!B:B, metadata!B584) = 1,NOT(ISERROR(SUMPRODUCT(SEARCH(MID(metadata!B584,ROW(INDIRECT("1:"&amp;LEN(metadata!B584))), 1),"0123456789abcdefghijklmnopqrstuvwxyzABCDEFGHIJKLMNOPQRSTUVWXYZ.")))))</f>
        <v>0</v>
      </c>
      <c r="AE584" t="b">
        <f>OR(AND(IF(metadata!C584="",FALSE,TRUE),OR(EXACT(metadata!C584,"not applicable"),EXACT(metadata!C584,"missing: not collected"),EXACT(metadata!C584,"missing: not provided"),EXACT(metadata!C584,"missing: restricted access"))),AND(IF(metadata!C584="",FALSE,ISNUMBER(VALUE(metadata!C584))),metadata!C584&gt;0))</f>
        <v>0</v>
      </c>
      <c r="AF584" t="b">
        <f>AND(IF(metadata!D584="",FALSE,TRUE),EXACT(metadata!D584,"missing: not provided"))</f>
        <v>0</v>
      </c>
      <c r="AG584" t="b">
        <f>AND(IF(metadata!E584="",FALSE,TRUE),EXACT(metadata!E584,"Host-associated"))</f>
        <v>0</v>
      </c>
      <c r="AH584" t="b">
        <f>AND(IF(metadata!F584="",FALSE,TRUE),OR(EXACT(metadata!F584,"Animal"),EXACT(metadata!F584,"Fungus"),EXACT(metadata!F584,"Plant")))</f>
        <v>0</v>
      </c>
      <c r="AI584" t="b">
        <f>AND(IF(metadata!G584="",FALSE,TRUE),OR(EXACT(metadata!G584,"Plant secretion"),EXACT(metadata!G584,"Plant rhizosphere"),EXACT(metadata!G584,"Plant surface"),EXACT(metadata!G584,"Plant corpus"),EXACT(metadata!G584,"Fungus surface"),EXACT(metadata!G584,"Fungus corpus"),EXACT(metadata!G584,"Animal surface"),EXACT(metadata!G584,"Animal proximal gut"),EXACT(metadata!G584,"Animal corpus"),EXACT(metadata!G584,"Animal distal gut"),EXACT(metadata!G584,"Animal secretion")))</f>
        <v>0</v>
      </c>
      <c r="AJ584" t="b">
        <f>OR(AND(IF(metadata!H584="",FALSE,TRUE),OR(EXACT(metadata!H584,"missing: not collected"),EXACT(metadata!H584,"missing: not provided"),EXACT(metadata!H584,"missing: restricted access"))),AND(IF(metadata!H584="",FALSE,TRUE),OR(EXACT(metadata!H584,"organism-associated habitat"),EXACT(metadata!H584,"plant-associated habitat"),EXACT(metadata!H584,"animal-associated habitat"),EXACT(metadata!H584,"insecta-associated habitat"),EXACT(metadata!H584,"mammalia-associated habitat"),EXACT(metadata!H584,"human-associated habitat"),EXACT(metadata!H584,"livestock-associated habitat"))))</f>
        <v>0</v>
      </c>
      <c r="AK584" t="b">
        <f>AND(IF(metadata!I584="",FALSE,TRUE),EXACT(metadata!I584,"host-associated"))</f>
        <v>0</v>
      </c>
      <c r="AL584" t="b">
        <f>OR(AND(IF(metadata!J584="",FALSE,TRUE),OR(EXACT(metadata!J584,"not applicable"),EXACT(metadata!J584,"missing: not collected"),EXACT(metadata!J584,"missing: not provided"),EXACT(metadata!J584,"missing: restricted access"))),AND(IF(metadata!J584="",FALSE,ISNUMBER(VALUE(metadata!J584))),metadata!J584&gt;0))</f>
        <v>0</v>
      </c>
      <c r="AM584" t="b">
        <f>AND(IF(metadata!K584="",FALSE,TRUE),EXACT(metadata!K584,"missing: not provided"))</f>
        <v>0</v>
      </c>
      <c r="AN584" t="b">
        <f>IF(metadata!L584="",FALSE,TRUE)</f>
        <v>0</v>
      </c>
      <c r="AO584" t="b">
        <f>IF(metadata!M584="",FALSE,TRUE)</f>
        <v>0</v>
      </c>
      <c r="AP584" t="b">
        <f>OR(AND(IF(metadata!N584="",FALSE,TRUE),OR(EXACT(metadata!N584,"not applicable"),EXACT(metadata!N584,"missing: not collected"),EXACT(metadata!N584,"missing: not provided"))),AND(IF(metadata!N584="",FALSE,IF(ISERROR(INT(metadata!N584)),FALSE,INT(metadata!N584)=metadata!N584)),metadata!N584&gt;0))</f>
        <v>0</v>
      </c>
      <c r="AQ584" t="b">
        <f>AND(IF(metadata!O584="",FALSE,TRUE),EXACT(metadata!O584,"Not applicable"))</f>
        <v>0</v>
      </c>
      <c r="AR584" t="b">
        <f>OR(AND(IF(metadata!P584="",FALSE,TRUE),OR(EXACT(metadata!P584,"not applicable"),EXACT(metadata!P584,"missing: not collected"),EXACT(metadata!P584,"missing: not provided"),EXACT(metadata!P584,"missing: restricted access"))),IF(metadata!P584="",FALSE,IF(ISERROR(INT(metadata!P584)),FALSE,INT(metadata!P584)=metadata!P584)))</f>
        <v>0</v>
      </c>
      <c r="AS584" t="b">
        <f>AND(IF(metadata!Q584="",FALSE,TRUE),EXACT(metadata!Q584,"Not applicable"))</f>
        <v>0</v>
      </c>
      <c r="AT584" t="b">
        <f>OR(AND(IF(metadata!R584="",FALSE,TRUE),OR(EXACT(metadata!R584,"not applicable"),EXACT(metadata!R584,"missing: not collected"),EXACT(metadata!R584,"missing: not provided"),EXACT(metadata!R584,"missing: restricted access"))),AND(IF(metadata!R584="",FALSE,ISNUMBER(VALUE(metadata!R584))),metadata!R584&gt;0))</f>
        <v>0</v>
      </c>
      <c r="AU584" t="b">
        <f>AND(IF(metadata!S584="",FALSE,TRUE),EXACT(metadata!S584,"missing: not provided"))</f>
        <v>0</v>
      </c>
    </row>
    <row r="585" spans="1:47" x14ac:dyDescent="0.2">
      <c r="A585" s="5" t="str">
        <f ca="1">IF(B585=" "," ",HYPERLINK(CONCATENATE("#metadata!",ADDRESS(INDEX($Y$2:$Y$1001,MATCH(ROWS($W$2:W585),$W$2:$W$1001,0),0),1)),INDEX($AB$2:$AB$1001,MATCH(ROWS($W$2:W585),$W$2:$W$1001,0),0)))</f>
        <v xml:space="preserve"> </v>
      </c>
      <c r="B585" s="4" t="str">
        <f ca="1">IF(OR(INDEX($X$2:$X$1001,MATCH(ROWS($W$2:W585),$W$2:$W$1001,0),1)&gt;=100000,INDEX($AD$1005:$AU$1005,1,MATCH(COLUMNS($AD$1006:AD1006),$AD$1006:$AU$1006,0))&gt;=100000), " ",IF(INDEX($AD$2:$AU$1001,MATCH(ROWS($W$2:W585),$W$2:$W$1001,0),MATCH(COLUMNS($AD$1006:AD1006),$AD$1006:$AU$1006,0)), HYPERLINK("#",""), HYPERLINK(CONCATENATE("#metadata!", ADDRESS(INDEX($Y$2:$Y$1001,MATCH(ROWS($W$2:W585),$W$2:$W$1001,0),0), INDEX($AD$1004:$AU$1004,1,MATCH(COLUMNS($AD$1006:AD1006),$AD$1006:$AU$1006,0)))),"Fix")))</f>
        <v xml:space="preserve"> </v>
      </c>
      <c r="C585" s="4" t="str">
        <f ca="1">IF(OR(INDEX($X$2:$X$1001,MATCH(ROWS($W$2:W585),$W$2:$W$1001,0),1)&gt;=100000,INDEX($AD$1005:$AU$1005,1,MATCH(COLUMNS($AD$1006:AE1006),$AD$1006:$AU$1006,0))&gt;=100000), " ",IF(INDEX($AD$2:$AU$1001,MATCH(ROWS($W$2:W585),$W$2:$W$1001,0),MATCH(COLUMNS($AD$1006:AE1006),$AD$1006:$AU$1006,0)), HYPERLINK("#",""), HYPERLINK(CONCATENATE("#metadata!", ADDRESS(INDEX($Y$2:$Y$1001,MATCH(ROWS($W$2:W585),$W$2:$W$1001,0),0), INDEX($AD$1004:$AU$1004,1,MATCH(COLUMNS($AD$1006:AE1006),$AD$1006:$AU$1006,0)))),"Fix")))</f>
        <v xml:space="preserve"> </v>
      </c>
      <c r="D585" s="4" t="str">
        <f ca="1">IF(OR(INDEX($X$2:$X$1001,MATCH(ROWS($W$2:W585),$W$2:$W$1001,0),1)&gt;=100000,INDEX($AD$1005:$AU$1005,1,MATCH(COLUMNS($AD$1006:AF1006),$AD$1006:$AU$1006,0))&gt;=100000), " ",IF(INDEX($AD$2:$AU$1001,MATCH(ROWS($W$2:W585),$W$2:$W$1001,0),MATCH(COLUMNS($AD$1006:AF1006),$AD$1006:$AU$1006,0)), HYPERLINK("#",""), HYPERLINK(CONCATENATE("#metadata!", ADDRESS(INDEX($Y$2:$Y$1001,MATCH(ROWS($W$2:W585),$W$2:$W$1001,0),0), INDEX($AD$1004:$AU$1004,1,MATCH(COLUMNS($AD$1006:AF1006),$AD$1006:$AU$1006,0)))),"Fix")))</f>
        <v xml:space="preserve"> </v>
      </c>
      <c r="E585" s="4" t="str">
        <f ca="1">IF(OR(INDEX($X$2:$X$1001,MATCH(ROWS($W$2:W585),$W$2:$W$1001,0),1)&gt;=100000,INDEX($AD$1005:$AU$1005,1,MATCH(COLUMNS($AD$1006:AG1006),$AD$1006:$AU$1006,0))&gt;=100000), " ",IF(INDEX($AD$2:$AU$1001,MATCH(ROWS($W$2:W585),$W$2:$W$1001,0),MATCH(COLUMNS($AD$1006:AG1006),$AD$1006:$AU$1006,0)), HYPERLINK("#",""), HYPERLINK(CONCATENATE("#metadata!", ADDRESS(INDEX($Y$2:$Y$1001,MATCH(ROWS($W$2:W585),$W$2:$W$1001,0),0), INDEX($AD$1004:$AU$1004,1,MATCH(COLUMNS($AD$1006:AG1006),$AD$1006:$AU$1006,0)))),"Fix")))</f>
        <v xml:space="preserve"> </v>
      </c>
      <c r="F585" s="4" t="str">
        <f ca="1">IF(OR(INDEX($X$2:$X$1001,MATCH(ROWS($W$2:W585),$W$2:$W$1001,0),1)&gt;=100000,INDEX($AD$1005:$AU$1005,1,MATCH(COLUMNS($AD$1006:AH1006),$AD$1006:$AU$1006,0))&gt;=100000), " ",IF(INDEX($AD$2:$AU$1001,MATCH(ROWS($W$2:W585),$W$2:$W$1001,0),MATCH(COLUMNS($AD$1006:AH1006),$AD$1006:$AU$1006,0)), HYPERLINK("#",""), HYPERLINK(CONCATENATE("#metadata!", ADDRESS(INDEX($Y$2:$Y$1001,MATCH(ROWS($W$2:W585),$W$2:$W$1001,0),0), INDEX($AD$1004:$AU$1004,1,MATCH(COLUMNS($AD$1006:AH1006),$AD$1006:$AU$1006,0)))),"Fix")))</f>
        <v xml:space="preserve"> </v>
      </c>
      <c r="G585" s="4" t="str">
        <f ca="1">IF(OR(INDEX($X$2:$X$1001,MATCH(ROWS($W$2:W585),$W$2:$W$1001,0),1)&gt;=100000,INDEX($AD$1005:$AU$1005,1,MATCH(COLUMNS($AD$1006:AI1006),$AD$1006:$AU$1006,0))&gt;=100000), " ",IF(INDEX($AD$2:$AU$1001,MATCH(ROWS($W$2:W585),$W$2:$W$1001,0),MATCH(COLUMNS($AD$1006:AI1006),$AD$1006:$AU$1006,0)), HYPERLINK("#",""), HYPERLINK(CONCATENATE("#metadata!", ADDRESS(INDEX($Y$2:$Y$1001,MATCH(ROWS($W$2:W585),$W$2:$W$1001,0),0), INDEX($AD$1004:$AU$1004,1,MATCH(COLUMNS($AD$1006:AI1006),$AD$1006:$AU$1006,0)))),"Fix")))</f>
        <v xml:space="preserve"> </v>
      </c>
      <c r="H585" s="4" t="str">
        <f ca="1">IF(OR(INDEX($X$2:$X$1001,MATCH(ROWS($W$2:W585),$W$2:$W$1001,0),1)&gt;=100000,INDEX($AD$1005:$AU$1005,1,MATCH(COLUMNS($AD$1006:AJ1006),$AD$1006:$AU$1006,0))&gt;=100000), " ",IF(INDEX($AD$2:$AU$1001,MATCH(ROWS($W$2:W585),$W$2:$W$1001,0),MATCH(COLUMNS($AD$1006:AJ1006),$AD$1006:$AU$1006,0)), HYPERLINK("#",""), HYPERLINK(CONCATENATE("#metadata!", ADDRESS(INDEX($Y$2:$Y$1001,MATCH(ROWS($W$2:W585),$W$2:$W$1001,0),0), INDEX($AD$1004:$AU$1004,1,MATCH(COLUMNS($AD$1006:AJ1006),$AD$1006:$AU$1006,0)))),"Fix")))</f>
        <v xml:space="preserve"> </v>
      </c>
      <c r="I585" s="4" t="str">
        <f ca="1">IF(OR(INDEX($X$2:$X$1001,MATCH(ROWS($W$2:W585),$W$2:$W$1001,0),1)&gt;=100000,INDEX($AD$1005:$AU$1005,1,MATCH(COLUMNS($AD$1006:AK1006),$AD$1006:$AU$1006,0))&gt;=100000), " ",IF(INDEX($AD$2:$AU$1001,MATCH(ROWS($W$2:W585),$W$2:$W$1001,0),MATCH(COLUMNS($AD$1006:AK1006),$AD$1006:$AU$1006,0)), HYPERLINK("#",""), HYPERLINK(CONCATENATE("#metadata!", ADDRESS(INDEX($Y$2:$Y$1001,MATCH(ROWS($W$2:W585),$W$2:$W$1001,0),0), INDEX($AD$1004:$AU$1004,1,MATCH(COLUMNS($AD$1006:AK1006),$AD$1006:$AU$1006,0)))),"Fix")))</f>
        <v xml:space="preserve"> </v>
      </c>
      <c r="J585" s="4" t="str">
        <f ca="1">IF(OR(INDEX($X$2:$X$1001,MATCH(ROWS($W$2:W585),$W$2:$W$1001,0),1)&gt;=100000,INDEX($AD$1005:$AU$1005,1,MATCH(COLUMNS($AD$1006:AL1006),$AD$1006:$AU$1006,0))&gt;=100000), " ",IF(INDEX($AD$2:$AU$1001,MATCH(ROWS($W$2:W585),$W$2:$W$1001,0),MATCH(COLUMNS($AD$1006:AL1006),$AD$1006:$AU$1006,0)), HYPERLINK("#",""), HYPERLINK(CONCATENATE("#metadata!", ADDRESS(INDEX($Y$2:$Y$1001,MATCH(ROWS($W$2:W585),$W$2:$W$1001,0),0), INDEX($AD$1004:$AU$1004,1,MATCH(COLUMNS($AD$1006:AL1006),$AD$1006:$AU$1006,0)))),"Fix")))</f>
        <v xml:space="preserve"> </v>
      </c>
      <c r="K585" s="4" t="str">
        <f ca="1">IF(OR(INDEX($X$2:$X$1001,MATCH(ROWS($W$2:W585),$W$2:$W$1001,0),1)&gt;=100000,INDEX($AD$1005:$AU$1005,1,MATCH(COLUMNS($AD$1006:AM1006),$AD$1006:$AU$1006,0))&gt;=100000), " ",IF(INDEX($AD$2:$AU$1001,MATCH(ROWS($W$2:W585),$W$2:$W$1001,0),MATCH(COLUMNS($AD$1006:AM1006),$AD$1006:$AU$1006,0)), HYPERLINK("#",""), HYPERLINK(CONCATENATE("#metadata!", ADDRESS(INDEX($Y$2:$Y$1001,MATCH(ROWS($W$2:W585),$W$2:$W$1001,0),0), INDEX($AD$1004:$AU$1004,1,MATCH(COLUMNS($AD$1006:AM1006),$AD$1006:$AU$1006,0)))),"Fix")))</f>
        <v xml:space="preserve"> </v>
      </c>
      <c r="L585" s="4" t="str">
        <f ca="1">IF(OR(INDEX($X$2:$X$1001,MATCH(ROWS($W$2:W585),$W$2:$W$1001,0),1)&gt;=100000,INDEX($AD$1005:$AU$1005,1,MATCH(COLUMNS($AD$1006:AN1006),$AD$1006:$AU$1006,0))&gt;=100000), " ",IF(INDEX($AD$2:$AU$1001,MATCH(ROWS($W$2:W585),$W$2:$W$1001,0),MATCH(COLUMNS($AD$1006:AN1006),$AD$1006:$AU$1006,0)), HYPERLINK("#",""), HYPERLINK(CONCATENATE("#metadata!", ADDRESS(INDEX($Y$2:$Y$1001,MATCH(ROWS($W$2:W585),$W$2:$W$1001,0),0), INDEX($AD$1004:$AU$1004,1,MATCH(COLUMNS($AD$1006:AN1006),$AD$1006:$AU$1006,0)))),"Fix")))</f>
        <v xml:space="preserve"> </v>
      </c>
      <c r="M585" s="4" t="str">
        <f ca="1">IF(OR(INDEX($X$2:$X$1001,MATCH(ROWS($W$2:W585),$W$2:$W$1001,0),1)&gt;=100000,INDEX($AD$1005:$AU$1005,1,MATCH(COLUMNS($AD$1006:AO1006),$AD$1006:$AU$1006,0))&gt;=100000), " ",IF(INDEX($AD$2:$AU$1001,MATCH(ROWS($W$2:W585),$W$2:$W$1001,0),MATCH(COLUMNS($AD$1006:AO1006),$AD$1006:$AU$1006,0)), HYPERLINK("#",""), HYPERLINK(CONCATENATE("#metadata!", ADDRESS(INDEX($Y$2:$Y$1001,MATCH(ROWS($W$2:W585),$W$2:$W$1001,0),0), INDEX($AD$1004:$AU$1004,1,MATCH(COLUMNS($AD$1006:AO1006),$AD$1006:$AU$1006,0)))),"Fix")))</f>
        <v xml:space="preserve"> </v>
      </c>
      <c r="N585" s="4" t="str">
        <f ca="1">IF(OR(INDEX($X$2:$X$1001,MATCH(ROWS($W$2:W585),$W$2:$W$1001,0),1)&gt;=100000,INDEX($AD$1005:$AU$1005,1,MATCH(COLUMNS($AD$1006:AP1006),$AD$1006:$AU$1006,0))&gt;=100000), " ",IF(INDEX($AD$2:$AU$1001,MATCH(ROWS($W$2:W585),$W$2:$W$1001,0),MATCH(COLUMNS($AD$1006:AP1006),$AD$1006:$AU$1006,0)), HYPERLINK("#",""), HYPERLINK(CONCATENATE("#metadata!", ADDRESS(INDEX($Y$2:$Y$1001,MATCH(ROWS($W$2:W585),$W$2:$W$1001,0),0), INDEX($AD$1004:$AU$1004,1,MATCH(COLUMNS($AD$1006:AP1006),$AD$1006:$AU$1006,0)))),"Fix")))</f>
        <v xml:space="preserve"> </v>
      </c>
      <c r="O585" s="4" t="str">
        <f ca="1">IF(OR(INDEX($X$2:$X$1001,MATCH(ROWS($W$2:W585),$W$2:$W$1001,0),1)&gt;=100000,INDEX($AD$1005:$AU$1005,1,MATCH(COLUMNS($AD$1006:AQ1006),$AD$1006:$AU$1006,0))&gt;=100000), " ",IF(INDEX($AD$2:$AU$1001,MATCH(ROWS($W$2:W585),$W$2:$W$1001,0),MATCH(COLUMNS($AD$1006:AQ1006),$AD$1006:$AU$1006,0)), HYPERLINK("#",""), HYPERLINK(CONCATENATE("#metadata!", ADDRESS(INDEX($Y$2:$Y$1001,MATCH(ROWS($W$2:W585),$W$2:$W$1001,0),0), INDEX($AD$1004:$AU$1004,1,MATCH(COLUMNS($AD$1006:AQ1006),$AD$1006:$AU$1006,0)))),"Fix")))</f>
        <v xml:space="preserve"> </v>
      </c>
      <c r="P585" s="4" t="str">
        <f ca="1">IF(OR(INDEX($X$2:$X$1001,MATCH(ROWS($W$2:W585),$W$2:$W$1001,0),1)&gt;=100000,INDEX($AD$1005:$AU$1005,1,MATCH(COLUMNS($AD$1006:AR1006),$AD$1006:$AU$1006,0))&gt;=100000), " ",IF(INDEX($AD$2:$AU$1001,MATCH(ROWS($W$2:W585),$W$2:$W$1001,0),MATCH(COLUMNS($AD$1006:AR1006),$AD$1006:$AU$1006,0)), HYPERLINK("#",""), HYPERLINK(CONCATENATE("#metadata!", ADDRESS(INDEX($Y$2:$Y$1001,MATCH(ROWS($W$2:W585),$W$2:$W$1001,0),0), INDEX($AD$1004:$AU$1004,1,MATCH(COLUMNS($AD$1006:AR1006),$AD$1006:$AU$1006,0)))),"Fix")))</f>
        <v xml:space="preserve"> </v>
      </c>
      <c r="Q585" s="4" t="str">
        <f ca="1">IF(OR(INDEX($X$2:$X$1001,MATCH(ROWS($W$2:W585),$W$2:$W$1001,0),1)&gt;=100000,INDEX($AD$1005:$AU$1005,1,MATCH(COLUMNS($AD$1006:AS1006),$AD$1006:$AU$1006,0))&gt;=100000), " ",IF(INDEX($AD$2:$AU$1001,MATCH(ROWS($W$2:W585),$W$2:$W$1001,0),MATCH(COLUMNS($AD$1006:AS1006),$AD$1006:$AU$1006,0)), HYPERLINK("#",""), HYPERLINK(CONCATENATE("#metadata!", ADDRESS(INDEX($Y$2:$Y$1001,MATCH(ROWS($W$2:W585),$W$2:$W$1001,0),0), INDEX($AD$1004:$AU$1004,1,MATCH(COLUMNS($AD$1006:AS1006),$AD$1006:$AU$1006,0)))),"Fix")))</f>
        <v xml:space="preserve"> </v>
      </c>
      <c r="R585" s="4" t="str">
        <f ca="1">IF(OR(INDEX($X$2:$X$1001,MATCH(ROWS($W$2:W585),$W$2:$W$1001,0),1)&gt;=100000,INDEX($AD$1005:$AU$1005,1,MATCH(COLUMNS($AD$1006:AT1006),$AD$1006:$AU$1006,0))&gt;=100000), " ",IF(INDEX($AD$2:$AU$1001,MATCH(ROWS($W$2:W585),$W$2:$W$1001,0),MATCH(COLUMNS($AD$1006:AT1006),$AD$1006:$AU$1006,0)), HYPERLINK("#",""), HYPERLINK(CONCATENATE("#metadata!", ADDRESS(INDEX($Y$2:$Y$1001,MATCH(ROWS($W$2:W585),$W$2:$W$1001,0),0), INDEX($AD$1004:$AU$1004,1,MATCH(COLUMNS($AD$1006:AT1006),$AD$1006:$AU$1006,0)))),"Fix")))</f>
        <v xml:space="preserve"> </v>
      </c>
      <c r="S585" s="4" t="str">
        <f ca="1">IF(OR(INDEX($X$2:$X$1001,MATCH(ROWS($W$2:W585),$W$2:$W$1001,0),1)&gt;=100000,INDEX($AD$1005:$AU$1005,1,MATCH(COLUMNS($AD$1006:AU1006),$AD$1006:$AU$1006,0))&gt;=100000), " ",IF(INDEX($AD$2:$AU$1001,MATCH(ROWS($W$2:W585),$W$2:$W$1001,0),MATCH(COLUMNS($AD$1006:AU1006),$AD$1006:$AU$1006,0)), HYPERLINK("#",""), HYPERLINK(CONCATENATE("#metadata!", ADDRESS(INDEX($Y$2:$Y$1001,MATCH(ROWS($W$2:W585),$W$2:$W$1001,0),0), INDEX($AD$1004:$AU$1004,1,MATCH(COLUMNS($AD$1006:AU1006),$AD$1006:$AU$1006,0)))),"Fix")))</f>
        <v xml:space="preserve"> </v>
      </c>
      <c r="W585">
        <v>584</v>
      </c>
      <c r="X585">
        <v>100585</v>
      </c>
      <c r="Y585">
        <v>585</v>
      </c>
      <c r="Z585" t="b">
        <f t="shared" si="9"/>
        <v>1</v>
      </c>
      <c r="AA585" t="b">
        <f>COUNTBLANK(metadata!B585:S585)=COLUMNS(metadata!B585:S585)</f>
        <v>1</v>
      </c>
      <c r="AB585" t="str">
        <v/>
      </c>
      <c r="AD585" t="b">
        <f ca="1">AND(IF(metadata!B585="",FALSE,TRUE),COUNTIF(metadata!B:B, metadata!B585) = 1,NOT(ISERROR(SUMPRODUCT(SEARCH(MID(metadata!B585,ROW(INDIRECT("1:"&amp;LEN(metadata!B585))), 1),"0123456789abcdefghijklmnopqrstuvwxyzABCDEFGHIJKLMNOPQRSTUVWXYZ.")))))</f>
        <v>0</v>
      </c>
      <c r="AE585" t="b">
        <f>OR(AND(IF(metadata!C585="",FALSE,TRUE),OR(EXACT(metadata!C585,"not applicable"),EXACT(metadata!C585,"missing: not collected"),EXACT(metadata!C585,"missing: not provided"),EXACT(metadata!C585,"missing: restricted access"))),AND(IF(metadata!C585="",FALSE,ISNUMBER(VALUE(metadata!C585))),metadata!C585&gt;0))</f>
        <v>0</v>
      </c>
      <c r="AF585" t="b">
        <f>AND(IF(metadata!D585="",FALSE,TRUE),EXACT(metadata!D585,"missing: not provided"))</f>
        <v>0</v>
      </c>
      <c r="AG585" t="b">
        <f>AND(IF(metadata!E585="",FALSE,TRUE),EXACT(metadata!E585,"Host-associated"))</f>
        <v>0</v>
      </c>
      <c r="AH585" t="b">
        <f>AND(IF(metadata!F585="",FALSE,TRUE),OR(EXACT(metadata!F585,"Animal"),EXACT(metadata!F585,"Fungus"),EXACT(metadata!F585,"Plant")))</f>
        <v>0</v>
      </c>
      <c r="AI585" t="b">
        <f>AND(IF(metadata!G585="",FALSE,TRUE),OR(EXACT(metadata!G585,"Plant secretion"),EXACT(metadata!G585,"Plant rhizosphere"),EXACT(metadata!G585,"Plant surface"),EXACT(metadata!G585,"Plant corpus"),EXACT(metadata!G585,"Fungus surface"),EXACT(metadata!G585,"Fungus corpus"),EXACT(metadata!G585,"Animal surface"),EXACT(metadata!G585,"Animal proximal gut"),EXACT(metadata!G585,"Animal corpus"),EXACT(metadata!G585,"Animal distal gut"),EXACT(metadata!G585,"Animal secretion")))</f>
        <v>0</v>
      </c>
      <c r="AJ585" t="b">
        <f>OR(AND(IF(metadata!H585="",FALSE,TRUE),OR(EXACT(metadata!H585,"missing: not collected"),EXACT(metadata!H585,"missing: not provided"),EXACT(metadata!H585,"missing: restricted access"))),AND(IF(metadata!H585="",FALSE,TRUE),OR(EXACT(metadata!H585,"organism-associated habitat"),EXACT(metadata!H585,"plant-associated habitat"),EXACT(metadata!H585,"animal-associated habitat"),EXACT(metadata!H585,"insecta-associated habitat"),EXACT(metadata!H585,"mammalia-associated habitat"),EXACT(metadata!H585,"human-associated habitat"),EXACT(metadata!H585,"livestock-associated habitat"))))</f>
        <v>0</v>
      </c>
      <c r="AK585" t="b">
        <f>AND(IF(metadata!I585="",FALSE,TRUE),EXACT(metadata!I585,"host-associated"))</f>
        <v>0</v>
      </c>
      <c r="AL585" t="b">
        <f>OR(AND(IF(metadata!J585="",FALSE,TRUE),OR(EXACT(metadata!J585,"not applicable"),EXACT(metadata!J585,"missing: not collected"),EXACT(metadata!J585,"missing: not provided"),EXACT(metadata!J585,"missing: restricted access"))),AND(IF(metadata!J585="",FALSE,ISNUMBER(VALUE(metadata!J585))),metadata!J585&gt;0))</f>
        <v>0</v>
      </c>
      <c r="AM585" t="b">
        <f>AND(IF(metadata!K585="",FALSE,TRUE),EXACT(metadata!K585,"missing: not provided"))</f>
        <v>0</v>
      </c>
      <c r="AN585" t="b">
        <f>IF(metadata!L585="",FALSE,TRUE)</f>
        <v>0</v>
      </c>
      <c r="AO585" t="b">
        <f>IF(metadata!M585="",FALSE,TRUE)</f>
        <v>0</v>
      </c>
      <c r="AP585" t="b">
        <f>OR(AND(IF(metadata!N585="",FALSE,TRUE),OR(EXACT(metadata!N585,"not applicable"),EXACT(metadata!N585,"missing: not collected"),EXACT(metadata!N585,"missing: not provided"))),AND(IF(metadata!N585="",FALSE,IF(ISERROR(INT(metadata!N585)),FALSE,INT(metadata!N585)=metadata!N585)),metadata!N585&gt;0))</f>
        <v>0</v>
      </c>
      <c r="AQ585" t="b">
        <f>AND(IF(metadata!O585="",FALSE,TRUE),EXACT(metadata!O585,"Not applicable"))</f>
        <v>0</v>
      </c>
      <c r="AR585" t="b">
        <f>OR(AND(IF(metadata!P585="",FALSE,TRUE),OR(EXACT(metadata!P585,"not applicable"),EXACT(metadata!P585,"missing: not collected"),EXACT(metadata!P585,"missing: not provided"),EXACT(metadata!P585,"missing: restricted access"))),IF(metadata!P585="",FALSE,IF(ISERROR(INT(metadata!P585)),FALSE,INT(metadata!P585)=metadata!P585)))</f>
        <v>0</v>
      </c>
      <c r="AS585" t="b">
        <f>AND(IF(metadata!Q585="",FALSE,TRUE),EXACT(metadata!Q585,"Not applicable"))</f>
        <v>0</v>
      </c>
      <c r="AT585" t="b">
        <f>OR(AND(IF(metadata!R585="",FALSE,TRUE),OR(EXACT(metadata!R585,"not applicable"),EXACT(metadata!R585,"missing: not collected"),EXACT(metadata!R585,"missing: not provided"),EXACT(metadata!R585,"missing: restricted access"))),AND(IF(metadata!R585="",FALSE,ISNUMBER(VALUE(metadata!R585))),metadata!R585&gt;0))</f>
        <v>0</v>
      </c>
      <c r="AU585" t="b">
        <f>AND(IF(metadata!S585="",FALSE,TRUE),EXACT(metadata!S585,"missing: not provided"))</f>
        <v>0</v>
      </c>
    </row>
    <row r="586" spans="1:47" x14ac:dyDescent="0.2">
      <c r="A586" s="5" t="str">
        <f ca="1">IF(B586=" "," ",HYPERLINK(CONCATENATE("#metadata!",ADDRESS(INDEX($Y$2:$Y$1001,MATCH(ROWS($W$2:W586),$W$2:$W$1001,0),0),1)),INDEX($AB$2:$AB$1001,MATCH(ROWS($W$2:W586),$W$2:$W$1001,0),0)))</f>
        <v xml:space="preserve"> </v>
      </c>
      <c r="B586" s="4" t="str">
        <f ca="1">IF(OR(INDEX($X$2:$X$1001,MATCH(ROWS($W$2:W586),$W$2:$W$1001,0),1)&gt;=100000,INDEX($AD$1005:$AU$1005,1,MATCH(COLUMNS($AD$1006:AD1006),$AD$1006:$AU$1006,0))&gt;=100000), " ",IF(INDEX($AD$2:$AU$1001,MATCH(ROWS($W$2:W586),$W$2:$W$1001,0),MATCH(COLUMNS($AD$1006:AD1006),$AD$1006:$AU$1006,0)), HYPERLINK("#",""), HYPERLINK(CONCATENATE("#metadata!", ADDRESS(INDEX($Y$2:$Y$1001,MATCH(ROWS($W$2:W586),$W$2:$W$1001,0),0), INDEX($AD$1004:$AU$1004,1,MATCH(COLUMNS($AD$1006:AD1006),$AD$1006:$AU$1006,0)))),"Fix")))</f>
        <v xml:space="preserve"> </v>
      </c>
      <c r="C586" s="4" t="str">
        <f ca="1">IF(OR(INDEX($X$2:$X$1001,MATCH(ROWS($W$2:W586),$W$2:$W$1001,0),1)&gt;=100000,INDEX($AD$1005:$AU$1005,1,MATCH(COLUMNS($AD$1006:AE1006),$AD$1006:$AU$1006,0))&gt;=100000), " ",IF(INDEX($AD$2:$AU$1001,MATCH(ROWS($W$2:W586),$W$2:$W$1001,0),MATCH(COLUMNS($AD$1006:AE1006),$AD$1006:$AU$1006,0)), HYPERLINK("#",""), HYPERLINK(CONCATENATE("#metadata!", ADDRESS(INDEX($Y$2:$Y$1001,MATCH(ROWS($W$2:W586),$W$2:$W$1001,0),0), INDEX($AD$1004:$AU$1004,1,MATCH(COLUMNS($AD$1006:AE1006),$AD$1006:$AU$1006,0)))),"Fix")))</f>
        <v xml:space="preserve"> </v>
      </c>
      <c r="D586" s="4" t="str">
        <f ca="1">IF(OR(INDEX($X$2:$X$1001,MATCH(ROWS($W$2:W586),$W$2:$W$1001,0),1)&gt;=100000,INDEX($AD$1005:$AU$1005,1,MATCH(COLUMNS($AD$1006:AF1006),$AD$1006:$AU$1006,0))&gt;=100000), " ",IF(INDEX($AD$2:$AU$1001,MATCH(ROWS($W$2:W586),$W$2:$W$1001,0),MATCH(COLUMNS($AD$1006:AF1006),$AD$1006:$AU$1006,0)), HYPERLINK("#",""), HYPERLINK(CONCATENATE("#metadata!", ADDRESS(INDEX($Y$2:$Y$1001,MATCH(ROWS($W$2:W586),$W$2:$W$1001,0),0), INDEX($AD$1004:$AU$1004,1,MATCH(COLUMNS($AD$1006:AF1006),$AD$1006:$AU$1006,0)))),"Fix")))</f>
        <v xml:space="preserve"> </v>
      </c>
      <c r="E586" s="4" t="str">
        <f ca="1">IF(OR(INDEX($X$2:$X$1001,MATCH(ROWS($W$2:W586),$W$2:$W$1001,0),1)&gt;=100000,INDEX($AD$1005:$AU$1005,1,MATCH(COLUMNS($AD$1006:AG1006),$AD$1006:$AU$1006,0))&gt;=100000), " ",IF(INDEX($AD$2:$AU$1001,MATCH(ROWS($W$2:W586),$W$2:$W$1001,0),MATCH(COLUMNS($AD$1006:AG1006),$AD$1006:$AU$1006,0)), HYPERLINK("#",""), HYPERLINK(CONCATENATE("#metadata!", ADDRESS(INDEX($Y$2:$Y$1001,MATCH(ROWS($W$2:W586),$W$2:$W$1001,0),0), INDEX($AD$1004:$AU$1004,1,MATCH(COLUMNS($AD$1006:AG1006),$AD$1006:$AU$1006,0)))),"Fix")))</f>
        <v xml:space="preserve"> </v>
      </c>
      <c r="F586" s="4" t="str">
        <f ca="1">IF(OR(INDEX($X$2:$X$1001,MATCH(ROWS($W$2:W586),$W$2:$W$1001,0),1)&gt;=100000,INDEX($AD$1005:$AU$1005,1,MATCH(COLUMNS($AD$1006:AH1006),$AD$1006:$AU$1006,0))&gt;=100000), " ",IF(INDEX($AD$2:$AU$1001,MATCH(ROWS($W$2:W586),$W$2:$W$1001,0),MATCH(COLUMNS($AD$1006:AH1006),$AD$1006:$AU$1006,0)), HYPERLINK("#",""), HYPERLINK(CONCATENATE("#metadata!", ADDRESS(INDEX($Y$2:$Y$1001,MATCH(ROWS($W$2:W586),$W$2:$W$1001,0),0), INDEX($AD$1004:$AU$1004,1,MATCH(COLUMNS($AD$1006:AH1006),$AD$1006:$AU$1006,0)))),"Fix")))</f>
        <v xml:space="preserve"> </v>
      </c>
      <c r="G586" s="4" t="str">
        <f ca="1">IF(OR(INDEX($X$2:$X$1001,MATCH(ROWS($W$2:W586),$W$2:$W$1001,0),1)&gt;=100000,INDEX($AD$1005:$AU$1005,1,MATCH(COLUMNS($AD$1006:AI1006),$AD$1006:$AU$1006,0))&gt;=100000), " ",IF(INDEX($AD$2:$AU$1001,MATCH(ROWS($W$2:W586),$W$2:$W$1001,0),MATCH(COLUMNS($AD$1006:AI1006),$AD$1006:$AU$1006,0)), HYPERLINK("#",""), HYPERLINK(CONCATENATE("#metadata!", ADDRESS(INDEX($Y$2:$Y$1001,MATCH(ROWS($W$2:W586),$W$2:$W$1001,0),0), INDEX($AD$1004:$AU$1004,1,MATCH(COLUMNS($AD$1006:AI1006),$AD$1006:$AU$1006,0)))),"Fix")))</f>
        <v xml:space="preserve"> </v>
      </c>
      <c r="H586" s="4" t="str">
        <f ca="1">IF(OR(INDEX($X$2:$X$1001,MATCH(ROWS($W$2:W586),$W$2:$W$1001,0),1)&gt;=100000,INDEX($AD$1005:$AU$1005,1,MATCH(COLUMNS($AD$1006:AJ1006),$AD$1006:$AU$1006,0))&gt;=100000), " ",IF(INDEX($AD$2:$AU$1001,MATCH(ROWS($W$2:W586),$W$2:$W$1001,0),MATCH(COLUMNS($AD$1006:AJ1006),$AD$1006:$AU$1006,0)), HYPERLINK("#",""), HYPERLINK(CONCATENATE("#metadata!", ADDRESS(INDEX($Y$2:$Y$1001,MATCH(ROWS($W$2:W586),$W$2:$W$1001,0),0), INDEX($AD$1004:$AU$1004,1,MATCH(COLUMNS($AD$1006:AJ1006),$AD$1006:$AU$1006,0)))),"Fix")))</f>
        <v xml:space="preserve"> </v>
      </c>
      <c r="I586" s="4" t="str">
        <f ca="1">IF(OR(INDEX($X$2:$X$1001,MATCH(ROWS($W$2:W586),$W$2:$W$1001,0),1)&gt;=100000,INDEX($AD$1005:$AU$1005,1,MATCH(COLUMNS($AD$1006:AK1006),$AD$1006:$AU$1006,0))&gt;=100000), " ",IF(INDEX($AD$2:$AU$1001,MATCH(ROWS($W$2:W586),$W$2:$W$1001,0),MATCH(COLUMNS($AD$1006:AK1006),$AD$1006:$AU$1006,0)), HYPERLINK("#",""), HYPERLINK(CONCATENATE("#metadata!", ADDRESS(INDEX($Y$2:$Y$1001,MATCH(ROWS($W$2:W586),$W$2:$W$1001,0),0), INDEX($AD$1004:$AU$1004,1,MATCH(COLUMNS($AD$1006:AK1006),$AD$1006:$AU$1006,0)))),"Fix")))</f>
        <v xml:space="preserve"> </v>
      </c>
      <c r="J586" s="4" t="str">
        <f ca="1">IF(OR(INDEX($X$2:$X$1001,MATCH(ROWS($W$2:W586),$W$2:$W$1001,0),1)&gt;=100000,INDEX($AD$1005:$AU$1005,1,MATCH(COLUMNS($AD$1006:AL1006),$AD$1006:$AU$1006,0))&gt;=100000), " ",IF(INDEX($AD$2:$AU$1001,MATCH(ROWS($W$2:W586),$W$2:$W$1001,0),MATCH(COLUMNS($AD$1006:AL1006),$AD$1006:$AU$1006,0)), HYPERLINK("#",""), HYPERLINK(CONCATENATE("#metadata!", ADDRESS(INDEX($Y$2:$Y$1001,MATCH(ROWS($W$2:W586),$W$2:$W$1001,0),0), INDEX($AD$1004:$AU$1004,1,MATCH(COLUMNS($AD$1006:AL1006),$AD$1006:$AU$1006,0)))),"Fix")))</f>
        <v xml:space="preserve"> </v>
      </c>
      <c r="K586" s="4" t="str">
        <f ca="1">IF(OR(INDEX($X$2:$X$1001,MATCH(ROWS($W$2:W586),$W$2:$W$1001,0),1)&gt;=100000,INDEX($AD$1005:$AU$1005,1,MATCH(COLUMNS($AD$1006:AM1006),$AD$1006:$AU$1006,0))&gt;=100000), " ",IF(INDEX($AD$2:$AU$1001,MATCH(ROWS($W$2:W586),$W$2:$W$1001,0),MATCH(COLUMNS($AD$1006:AM1006),$AD$1006:$AU$1006,0)), HYPERLINK("#",""), HYPERLINK(CONCATENATE("#metadata!", ADDRESS(INDEX($Y$2:$Y$1001,MATCH(ROWS($W$2:W586),$W$2:$W$1001,0),0), INDEX($AD$1004:$AU$1004,1,MATCH(COLUMNS($AD$1006:AM1006),$AD$1006:$AU$1006,0)))),"Fix")))</f>
        <v xml:space="preserve"> </v>
      </c>
      <c r="L586" s="4" t="str">
        <f ca="1">IF(OR(INDEX($X$2:$X$1001,MATCH(ROWS($W$2:W586),$W$2:$W$1001,0),1)&gt;=100000,INDEX($AD$1005:$AU$1005,1,MATCH(COLUMNS($AD$1006:AN1006),$AD$1006:$AU$1006,0))&gt;=100000), " ",IF(INDEX($AD$2:$AU$1001,MATCH(ROWS($W$2:W586),$W$2:$W$1001,0),MATCH(COLUMNS($AD$1006:AN1006),$AD$1006:$AU$1006,0)), HYPERLINK("#",""), HYPERLINK(CONCATENATE("#metadata!", ADDRESS(INDEX($Y$2:$Y$1001,MATCH(ROWS($W$2:W586),$W$2:$W$1001,0),0), INDEX($AD$1004:$AU$1004,1,MATCH(COLUMNS($AD$1006:AN1006),$AD$1006:$AU$1006,0)))),"Fix")))</f>
        <v xml:space="preserve"> </v>
      </c>
      <c r="M586" s="4" t="str">
        <f ca="1">IF(OR(INDEX($X$2:$X$1001,MATCH(ROWS($W$2:W586),$W$2:$W$1001,0),1)&gt;=100000,INDEX($AD$1005:$AU$1005,1,MATCH(COLUMNS($AD$1006:AO1006),$AD$1006:$AU$1006,0))&gt;=100000), " ",IF(INDEX($AD$2:$AU$1001,MATCH(ROWS($W$2:W586),$W$2:$W$1001,0),MATCH(COLUMNS($AD$1006:AO1006),$AD$1006:$AU$1006,0)), HYPERLINK("#",""), HYPERLINK(CONCATENATE("#metadata!", ADDRESS(INDEX($Y$2:$Y$1001,MATCH(ROWS($W$2:W586),$W$2:$W$1001,0),0), INDEX($AD$1004:$AU$1004,1,MATCH(COLUMNS($AD$1006:AO1006),$AD$1006:$AU$1006,0)))),"Fix")))</f>
        <v xml:space="preserve"> </v>
      </c>
      <c r="N586" s="4" t="str">
        <f ca="1">IF(OR(INDEX($X$2:$X$1001,MATCH(ROWS($W$2:W586),$W$2:$W$1001,0),1)&gt;=100000,INDEX($AD$1005:$AU$1005,1,MATCH(COLUMNS($AD$1006:AP1006),$AD$1006:$AU$1006,0))&gt;=100000), " ",IF(INDEX($AD$2:$AU$1001,MATCH(ROWS($W$2:W586),$W$2:$W$1001,0),MATCH(COLUMNS($AD$1006:AP1006),$AD$1006:$AU$1006,0)), HYPERLINK("#",""), HYPERLINK(CONCATENATE("#metadata!", ADDRESS(INDEX($Y$2:$Y$1001,MATCH(ROWS($W$2:W586),$W$2:$W$1001,0),0), INDEX($AD$1004:$AU$1004,1,MATCH(COLUMNS($AD$1006:AP1006),$AD$1006:$AU$1006,0)))),"Fix")))</f>
        <v xml:space="preserve"> </v>
      </c>
      <c r="O586" s="4" t="str">
        <f ca="1">IF(OR(INDEX($X$2:$X$1001,MATCH(ROWS($W$2:W586),$W$2:$W$1001,0),1)&gt;=100000,INDEX($AD$1005:$AU$1005,1,MATCH(COLUMNS($AD$1006:AQ1006),$AD$1006:$AU$1006,0))&gt;=100000), " ",IF(INDEX($AD$2:$AU$1001,MATCH(ROWS($W$2:W586),$W$2:$W$1001,0),MATCH(COLUMNS($AD$1006:AQ1006),$AD$1006:$AU$1006,0)), HYPERLINK("#",""), HYPERLINK(CONCATENATE("#metadata!", ADDRESS(INDEX($Y$2:$Y$1001,MATCH(ROWS($W$2:W586),$W$2:$W$1001,0),0), INDEX($AD$1004:$AU$1004,1,MATCH(COLUMNS($AD$1006:AQ1006),$AD$1006:$AU$1006,0)))),"Fix")))</f>
        <v xml:space="preserve"> </v>
      </c>
      <c r="P586" s="4" t="str">
        <f ca="1">IF(OR(INDEX($X$2:$X$1001,MATCH(ROWS($W$2:W586),$W$2:$W$1001,0),1)&gt;=100000,INDEX($AD$1005:$AU$1005,1,MATCH(COLUMNS($AD$1006:AR1006),$AD$1006:$AU$1006,0))&gt;=100000), " ",IF(INDEX($AD$2:$AU$1001,MATCH(ROWS($W$2:W586),$W$2:$W$1001,0),MATCH(COLUMNS($AD$1006:AR1006),$AD$1006:$AU$1006,0)), HYPERLINK("#",""), HYPERLINK(CONCATENATE("#metadata!", ADDRESS(INDEX($Y$2:$Y$1001,MATCH(ROWS($W$2:W586),$W$2:$W$1001,0),0), INDEX($AD$1004:$AU$1004,1,MATCH(COLUMNS($AD$1006:AR1006),$AD$1006:$AU$1006,0)))),"Fix")))</f>
        <v xml:space="preserve"> </v>
      </c>
      <c r="Q586" s="4" t="str">
        <f ca="1">IF(OR(INDEX($X$2:$X$1001,MATCH(ROWS($W$2:W586),$W$2:$W$1001,0),1)&gt;=100000,INDEX($AD$1005:$AU$1005,1,MATCH(COLUMNS($AD$1006:AS1006),$AD$1006:$AU$1006,0))&gt;=100000), " ",IF(INDEX($AD$2:$AU$1001,MATCH(ROWS($W$2:W586),$W$2:$W$1001,0),MATCH(COLUMNS($AD$1006:AS1006),$AD$1006:$AU$1006,0)), HYPERLINK("#",""), HYPERLINK(CONCATENATE("#metadata!", ADDRESS(INDEX($Y$2:$Y$1001,MATCH(ROWS($W$2:W586),$W$2:$W$1001,0),0), INDEX($AD$1004:$AU$1004,1,MATCH(COLUMNS($AD$1006:AS1006),$AD$1006:$AU$1006,0)))),"Fix")))</f>
        <v xml:space="preserve"> </v>
      </c>
      <c r="R586" s="4" t="str">
        <f ca="1">IF(OR(INDEX($X$2:$X$1001,MATCH(ROWS($W$2:W586),$W$2:$W$1001,0),1)&gt;=100000,INDEX($AD$1005:$AU$1005,1,MATCH(COLUMNS($AD$1006:AT1006),$AD$1006:$AU$1006,0))&gt;=100000), " ",IF(INDEX($AD$2:$AU$1001,MATCH(ROWS($W$2:W586),$W$2:$W$1001,0),MATCH(COLUMNS($AD$1006:AT1006),$AD$1006:$AU$1006,0)), HYPERLINK("#",""), HYPERLINK(CONCATENATE("#metadata!", ADDRESS(INDEX($Y$2:$Y$1001,MATCH(ROWS($W$2:W586),$W$2:$W$1001,0),0), INDEX($AD$1004:$AU$1004,1,MATCH(COLUMNS($AD$1006:AT1006),$AD$1006:$AU$1006,0)))),"Fix")))</f>
        <v xml:space="preserve"> </v>
      </c>
      <c r="S586" s="4" t="str">
        <f ca="1">IF(OR(INDEX($X$2:$X$1001,MATCH(ROWS($W$2:W586),$W$2:$W$1001,0),1)&gt;=100000,INDEX($AD$1005:$AU$1005,1,MATCH(COLUMNS($AD$1006:AU1006),$AD$1006:$AU$1006,0))&gt;=100000), " ",IF(INDEX($AD$2:$AU$1001,MATCH(ROWS($W$2:W586),$W$2:$W$1001,0),MATCH(COLUMNS($AD$1006:AU1006),$AD$1006:$AU$1006,0)), HYPERLINK("#",""), HYPERLINK(CONCATENATE("#metadata!", ADDRESS(INDEX($Y$2:$Y$1001,MATCH(ROWS($W$2:W586),$W$2:$W$1001,0),0), INDEX($AD$1004:$AU$1004,1,MATCH(COLUMNS($AD$1006:AU1006),$AD$1006:$AU$1006,0)))),"Fix")))</f>
        <v xml:space="preserve"> </v>
      </c>
      <c r="W586">
        <v>585</v>
      </c>
      <c r="X586">
        <v>100586</v>
      </c>
      <c r="Y586">
        <v>586</v>
      </c>
      <c r="Z586" t="b">
        <f t="shared" si="9"/>
        <v>1</v>
      </c>
      <c r="AA586" t="b">
        <f>COUNTBLANK(metadata!B586:S586)=COLUMNS(metadata!B586:S586)</f>
        <v>1</v>
      </c>
      <c r="AB586" t="str">
        <v/>
      </c>
      <c r="AD586" t="b">
        <f ca="1">AND(IF(metadata!B586="",FALSE,TRUE),COUNTIF(metadata!B:B, metadata!B586) = 1,NOT(ISERROR(SUMPRODUCT(SEARCH(MID(metadata!B586,ROW(INDIRECT("1:"&amp;LEN(metadata!B586))), 1),"0123456789abcdefghijklmnopqrstuvwxyzABCDEFGHIJKLMNOPQRSTUVWXYZ.")))))</f>
        <v>0</v>
      </c>
      <c r="AE586" t="b">
        <f>OR(AND(IF(metadata!C586="",FALSE,TRUE),OR(EXACT(metadata!C586,"not applicable"),EXACT(metadata!C586,"missing: not collected"),EXACT(metadata!C586,"missing: not provided"),EXACT(metadata!C586,"missing: restricted access"))),AND(IF(metadata!C586="",FALSE,ISNUMBER(VALUE(metadata!C586))),metadata!C586&gt;0))</f>
        <v>0</v>
      </c>
      <c r="AF586" t="b">
        <f>AND(IF(metadata!D586="",FALSE,TRUE),EXACT(metadata!D586,"missing: not provided"))</f>
        <v>0</v>
      </c>
      <c r="AG586" t="b">
        <f>AND(IF(metadata!E586="",FALSE,TRUE),EXACT(metadata!E586,"Host-associated"))</f>
        <v>0</v>
      </c>
      <c r="AH586" t="b">
        <f>AND(IF(metadata!F586="",FALSE,TRUE),OR(EXACT(metadata!F586,"Animal"),EXACT(metadata!F586,"Fungus"),EXACT(metadata!F586,"Plant")))</f>
        <v>0</v>
      </c>
      <c r="AI586" t="b">
        <f>AND(IF(metadata!G586="",FALSE,TRUE),OR(EXACT(metadata!G586,"Plant secretion"),EXACT(metadata!G586,"Plant rhizosphere"),EXACT(metadata!G586,"Plant surface"),EXACT(metadata!G586,"Plant corpus"),EXACT(metadata!G586,"Fungus surface"),EXACT(metadata!G586,"Fungus corpus"),EXACT(metadata!G586,"Animal surface"),EXACT(metadata!G586,"Animal proximal gut"),EXACT(metadata!G586,"Animal corpus"),EXACT(metadata!G586,"Animal distal gut"),EXACT(metadata!G586,"Animal secretion")))</f>
        <v>0</v>
      </c>
      <c r="AJ586" t="b">
        <f>OR(AND(IF(metadata!H586="",FALSE,TRUE),OR(EXACT(metadata!H586,"missing: not collected"),EXACT(metadata!H586,"missing: not provided"),EXACT(metadata!H586,"missing: restricted access"))),AND(IF(metadata!H586="",FALSE,TRUE),OR(EXACT(metadata!H586,"organism-associated habitat"),EXACT(metadata!H586,"plant-associated habitat"),EXACT(metadata!H586,"animal-associated habitat"),EXACT(metadata!H586,"insecta-associated habitat"),EXACT(metadata!H586,"mammalia-associated habitat"),EXACT(metadata!H586,"human-associated habitat"),EXACT(metadata!H586,"livestock-associated habitat"))))</f>
        <v>0</v>
      </c>
      <c r="AK586" t="b">
        <f>AND(IF(metadata!I586="",FALSE,TRUE),EXACT(metadata!I586,"host-associated"))</f>
        <v>0</v>
      </c>
      <c r="AL586" t="b">
        <f>OR(AND(IF(metadata!J586="",FALSE,TRUE),OR(EXACT(metadata!J586,"not applicable"),EXACT(metadata!J586,"missing: not collected"),EXACT(metadata!J586,"missing: not provided"),EXACT(metadata!J586,"missing: restricted access"))),AND(IF(metadata!J586="",FALSE,ISNUMBER(VALUE(metadata!J586))),metadata!J586&gt;0))</f>
        <v>0</v>
      </c>
      <c r="AM586" t="b">
        <f>AND(IF(metadata!K586="",FALSE,TRUE),EXACT(metadata!K586,"missing: not provided"))</f>
        <v>0</v>
      </c>
      <c r="AN586" t="b">
        <f>IF(metadata!L586="",FALSE,TRUE)</f>
        <v>0</v>
      </c>
      <c r="AO586" t="b">
        <f>IF(metadata!M586="",FALSE,TRUE)</f>
        <v>0</v>
      </c>
      <c r="AP586" t="b">
        <f>OR(AND(IF(metadata!N586="",FALSE,TRUE),OR(EXACT(metadata!N586,"not applicable"),EXACT(metadata!N586,"missing: not collected"),EXACT(metadata!N586,"missing: not provided"))),AND(IF(metadata!N586="",FALSE,IF(ISERROR(INT(metadata!N586)),FALSE,INT(metadata!N586)=metadata!N586)),metadata!N586&gt;0))</f>
        <v>0</v>
      </c>
      <c r="AQ586" t="b">
        <f>AND(IF(metadata!O586="",FALSE,TRUE),EXACT(metadata!O586,"Not applicable"))</f>
        <v>0</v>
      </c>
      <c r="AR586" t="b">
        <f>OR(AND(IF(metadata!P586="",FALSE,TRUE),OR(EXACT(metadata!P586,"not applicable"),EXACT(metadata!P586,"missing: not collected"),EXACT(metadata!P586,"missing: not provided"),EXACT(metadata!P586,"missing: restricted access"))),IF(metadata!P586="",FALSE,IF(ISERROR(INT(metadata!P586)),FALSE,INT(metadata!P586)=metadata!P586)))</f>
        <v>0</v>
      </c>
      <c r="AS586" t="b">
        <f>AND(IF(metadata!Q586="",FALSE,TRUE),EXACT(metadata!Q586,"Not applicable"))</f>
        <v>0</v>
      </c>
      <c r="AT586" t="b">
        <f>OR(AND(IF(metadata!R586="",FALSE,TRUE),OR(EXACT(metadata!R586,"not applicable"),EXACT(metadata!R586,"missing: not collected"),EXACT(metadata!R586,"missing: not provided"),EXACT(metadata!R586,"missing: restricted access"))),AND(IF(metadata!R586="",FALSE,ISNUMBER(VALUE(metadata!R586))),metadata!R586&gt;0))</f>
        <v>0</v>
      </c>
      <c r="AU586" t="b">
        <f>AND(IF(metadata!S586="",FALSE,TRUE),EXACT(metadata!S586,"missing: not provided"))</f>
        <v>0</v>
      </c>
    </row>
    <row r="587" spans="1:47" x14ac:dyDescent="0.2">
      <c r="A587" s="5" t="str">
        <f ca="1">IF(B587=" "," ",HYPERLINK(CONCATENATE("#metadata!",ADDRESS(INDEX($Y$2:$Y$1001,MATCH(ROWS($W$2:W587),$W$2:$W$1001,0),0),1)),INDEX($AB$2:$AB$1001,MATCH(ROWS($W$2:W587),$W$2:$W$1001,0),0)))</f>
        <v xml:space="preserve"> </v>
      </c>
      <c r="B587" s="4" t="str">
        <f ca="1">IF(OR(INDEX($X$2:$X$1001,MATCH(ROWS($W$2:W587),$W$2:$W$1001,0),1)&gt;=100000,INDEX($AD$1005:$AU$1005,1,MATCH(COLUMNS($AD$1006:AD1006),$AD$1006:$AU$1006,0))&gt;=100000), " ",IF(INDEX($AD$2:$AU$1001,MATCH(ROWS($W$2:W587),$W$2:$W$1001,0),MATCH(COLUMNS($AD$1006:AD1006),$AD$1006:$AU$1006,0)), HYPERLINK("#",""), HYPERLINK(CONCATENATE("#metadata!", ADDRESS(INDEX($Y$2:$Y$1001,MATCH(ROWS($W$2:W587),$W$2:$W$1001,0),0), INDEX($AD$1004:$AU$1004,1,MATCH(COLUMNS($AD$1006:AD1006),$AD$1006:$AU$1006,0)))),"Fix")))</f>
        <v xml:space="preserve"> </v>
      </c>
      <c r="C587" s="4" t="str">
        <f ca="1">IF(OR(INDEX($X$2:$X$1001,MATCH(ROWS($W$2:W587),$W$2:$W$1001,0),1)&gt;=100000,INDEX($AD$1005:$AU$1005,1,MATCH(COLUMNS($AD$1006:AE1006),$AD$1006:$AU$1006,0))&gt;=100000), " ",IF(INDEX($AD$2:$AU$1001,MATCH(ROWS($W$2:W587),$W$2:$W$1001,0),MATCH(COLUMNS($AD$1006:AE1006),$AD$1006:$AU$1006,0)), HYPERLINK("#",""), HYPERLINK(CONCATENATE("#metadata!", ADDRESS(INDEX($Y$2:$Y$1001,MATCH(ROWS($W$2:W587),$W$2:$W$1001,0),0), INDEX($AD$1004:$AU$1004,1,MATCH(COLUMNS($AD$1006:AE1006),$AD$1006:$AU$1006,0)))),"Fix")))</f>
        <v xml:space="preserve"> </v>
      </c>
      <c r="D587" s="4" t="str">
        <f ca="1">IF(OR(INDEX($X$2:$X$1001,MATCH(ROWS($W$2:W587),$W$2:$W$1001,0),1)&gt;=100000,INDEX($AD$1005:$AU$1005,1,MATCH(COLUMNS($AD$1006:AF1006),$AD$1006:$AU$1006,0))&gt;=100000), " ",IF(INDEX($AD$2:$AU$1001,MATCH(ROWS($W$2:W587),$W$2:$W$1001,0),MATCH(COLUMNS($AD$1006:AF1006),$AD$1006:$AU$1006,0)), HYPERLINK("#",""), HYPERLINK(CONCATENATE("#metadata!", ADDRESS(INDEX($Y$2:$Y$1001,MATCH(ROWS($W$2:W587),$W$2:$W$1001,0),0), INDEX($AD$1004:$AU$1004,1,MATCH(COLUMNS($AD$1006:AF1006),$AD$1006:$AU$1006,0)))),"Fix")))</f>
        <v xml:space="preserve"> </v>
      </c>
      <c r="E587" s="4" t="str">
        <f ca="1">IF(OR(INDEX($X$2:$X$1001,MATCH(ROWS($W$2:W587),$W$2:$W$1001,0),1)&gt;=100000,INDEX($AD$1005:$AU$1005,1,MATCH(COLUMNS($AD$1006:AG1006),$AD$1006:$AU$1006,0))&gt;=100000), " ",IF(INDEX($AD$2:$AU$1001,MATCH(ROWS($W$2:W587),$W$2:$W$1001,0),MATCH(COLUMNS($AD$1006:AG1006),$AD$1006:$AU$1006,0)), HYPERLINK("#",""), HYPERLINK(CONCATENATE("#metadata!", ADDRESS(INDEX($Y$2:$Y$1001,MATCH(ROWS($W$2:W587),$W$2:$W$1001,0),0), INDEX($AD$1004:$AU$1004,1,MATCH(COLUMNS($AD$1006:AG1006),$AD$1006:$AU$1006,0)))),"Fix")))</f>
        <v xml:space="preserve"> </v>
      </c>
      <c r="F587" s="4" t="str">
        <f ca="1">IF(OR(INDEX($X$2:$X$1001,MATCH(ROWS($W$2:W587),$W$2:$W$1001,0),1)&gt;=100000,INDEX($AD$1005:$AU$1005,1,MATCH(COLUMNS($AD$1006:AH1006),$AD$1006:$AU$1006,0))&gt;=100000), " ",IF(INDEX($AD$2:$AU$1001,MATCH(ROWS($W$2:W587),$W$2:$W$1001,0),MATCH(COLUMNS($AD$1006:AH1006),$AD$1006:$AU$1006,0)), HYPERLINK("#",""), HYPERLINK(CONCATENATE("#metadata!", ADDRESS(INDEX($Y$2:$Y$1001,MATCH(ROWS($W$2:W587),$W$2:$W$1001,0),0), INDEX($AD$1004:$AU$1004,1,MATCH(COLUMNS($AD$1006:AH1006),$AD$1006:$AU$1006,0)))),"Fix")))</f>
        <v xml:space="preserve"> </v>
      </c>
      <c r="G587" s="4" t="str">
        <f ca="1">IF(OR(INDEX($X$2:$X$1001,MATCH(ROWS($W$2:W587),$W$2:$W$1001,0),1)&gt;=100000,INDEX($AD$1005:$AU$1005,1,MATCH(COLUMNS($AD$1006:AI1006),$AD$1006:$AU$1006,0))&gt;=100000), " ",IF(INDEX($AD$2:$AU$1001,MATCH(ROWS($W$2:W587),$W$2:$W$1001,0),MATCH(COLUMNS($AD$1006:AI1006),$AD$1006:$AU$1006,0)), HYPERLINK("#",""), HYPERLINK(CONCATENATE("#metadata!", ADDRESS(INDEX($Y$2:$Y$1001,MATCH(ROWS($W$2:W587),$W$2:$W$1001,0),0), INDEX($AD$1004:$AU$1004,1,MATCH(COLUMNS($AD$1006:AI1006),$AD$1006:$AU$1006,0)))),"Fix")))</f>
        <v xml:space="preserve"> </v>
      </c>
      <c r="H587" s="4" t="str">
        <f ca="1">IF(OR(INDEX($X$2:$X$1001,MATCH(ROWS($W$2:W587),$W$2:$W$1001,0),1)&gt;=100000,INDEX($AD$1005:$AU$1005,1,MATCH(COLUMNS($AD$1006:AJ1006),$AD$1006:$AU$1006,0))&gt;=100000), " ",IF(INDEX($AD$2:$AU$1001,MATCH(ROWS($W$2:W587),$W$2:$W$1001,0),MATCH(COLUMNS($AD$1006:AJ1006),$AD$1006:$AU$1006,0)), HYPERLINK("#",""), HYPERLINK(CONCATENATE("#metadata!", ADDRESS(INDEX($Y$2:$Y$1001,MATCH(ROWS($W$2:W587),$W$2:$W$1001,0),0), INDEX($AD$1004:$AU$1004,1,MATCH(COLUMNS($AD$1006:AJ1006),$AD$1006:$AU$1006,0)))),"Fix")))</f>
        <v xml:space="preserve"> </v>
      </c>
      <c r="I587" s="4" t="str">
        <f ca="1">IF(OR(INDEX($X$2:$X$1001,MATCH(ROWS($W$2:W587),$W$2:$W$1001,0),1)&gt;=100000,INDEX($AD$1005:$AU$1005,1,MATCH(COLUMNS($AD$1006:AK1006),$AD$1006:$AU$1006,0))&gt;=100000), " ",IF(INDEX($AD$2:$AU$1001,MATCH(ROWS($W$2:W587),$W$2:$W$1001,0),MATCH(COLUMNS($AD$1006:AK1006),$AD$1006:$AU$1006,0)), HYPERLINK("#",""), HYPERLINK(CONCATENATE("#metadata!", ADDRESS(INDEX($Y$2:$Y$1001,MATCH(ROWS($W$2:W587),$W$2:$W$1001,0),0), INDEX($AD$1004:$AU$1004,1,MATCH(COLUMNS($AD$1006:AK1006),$AD$1006:$AU$1006,0)))),"Fix")))</f>
        <v xml:space="preserve"> </v>
      </c>
      <c r="J587" s="4" t="str">
        <f ca="1">IF(OR(INDEX($X$2:$X$1001,MATCH(ROWS($W$2:W587),$W$2:$W$1001,0),1)&gt;=100000,INDEX($AD$1005:$AU$1005,1,MATCH(COLUMNS($AD$1006:AL1006),$AD$1006:$AU$1006,0))&gt;=100000), " ",IF(INDEX($AD$2:$AU$1001,MATCH(ROWS($W$2:W587),$W$2:$W$1001,0),MATCH(COLUMNS($AD$1006:AL1006),$AD$1006:$AU$1006,0)), HYPERLINK("#",""), HYPERLINK(CONCATENATE("#metadata!", ADDRESS(INDEX($Y$2:$Y$1001,MATCH(ROWS($W$2:W587),$W$2:$W$1001,0),0), INDEX($AD$1004:$AU$1004,1,MATCH(COLUMNS($AD$1006:AL1006),$AD$1006:$AU$1006,0)))),"Fix")))</f>
        <v xml:space="preserve"> </v>
      </c>
      <c r="K587" s="4" t="str">
        <f ca="1">IF(OR(INDEX($X$2:$X$1001,MATCH(ROWS($W$2:W587),$W$2:$W$1001,0),1)&gt;=100000,INDEX($AD$1005:$AU$1005,1,MATCH(COLUMNS($AD$1006:AM1006),$AD$1006:$AU$1006,0))&gt;=100000), " ",IF(INDEX($AD$2:$AU$1001,MATCH(ROWS($W$2:W587),$W$2:$W$1001,0),MATCH(COLUMNS($AD$1006:AM1006),$AD$1006:$AU$1006,0)), HYPERLINK("#",""), HYPERLINK(CONCATENATE("#metadata!", ADDRESS(INDEX($Y$2:$Y$1001,MATCH(ROWS($W$2:W587),$W$2:$W$1001,0),0), INDEX($AD$1004:$AU$1004,1,MATCH(COLUMNS($AD$1006:AM1006),$AD$1006:$AU$1006,0)))),"Fix")))</f>
        <v xml:space="preserve"> </v>
      </c>
      <c r="L587" s="4" t="str">
        <f ca="1">IF(OR(INDEX($X$2:$X$1001,MATCH(ROWS($W$2:W587),$W$2:$W$1001,0),1)&gt;=100000,INDEX($AD$1005:$AU$1005,1,MATCH(COLUMNS($AD$1006:AN1006),$AD$1006:$AU$1006,0))&gt;=100000), " ",IF(INDEX($AD$2:$AU$1001,MATCH(ROWS($W$2:W587),$W$2:$W$1001,0),MATCH(COLUMNS($AD$1006:AN1006),$AD$1006:$AU$1006,0)), HYPERLINK("#",""), HYPERLINK(CONCATENATE("#metadata!", ADDRESS(INDEX($Y$2:$Y$1001,MATCH(ROWS($W$2:W587),$W$2:$W$1001,0),0), INDEX($AD$1004:$AU$1004,1,MATCH(COLUMNS($AD$1006:AN1006),$AD$1006:$AU$1006,0)))),"Fix")))</f>
        <v xml:space="preserve"> </v>
      </c>
      <c r="M587" s="4" t="str">
        <f ca="1">IF(OR(INDEX($X$2:$X$1001,MATCH(ROWS($W$2:W587),$W$2:$W$1001,0),1)&gt;=100000,INDEX($AD$1005:$AU$1005,1,MATCH(COLUMNS($AD$1006:AO1006),$AD$1006:$AU$1006,0))&gt;=100000), " ",IF(INDEX($AD$2:$AU$1001,MATCH(ROWS($W$2:W587),$W$2:$W$1001,0),MATCH(COLUMNS($AD$1006:AO1006),$AD$1006:$AU$1006,0)), HYPERLINK("#",""), HYPERLINK(CONCATENATE("#metadata!", ADDRESS(INDEX($Y$2:$Y$1001,MATCH(ROWS($W$2:W587),$W$2:$W$1001,0),0), INDEX($AD$1004:$AU$1004,1,MATCH(COLUMNS($AD$1006:AO1006),$AD$1006:$AU$1006,0)))),"Fix")))</f>
        <v xml:space="preserve"> </v>
      </c>
      <c r="N587" s="4" t="str">
        <f ca="1">IF(OR(INDEX($X$2:$X$1001,MATCH(ROWS($W$2:W587),$W$2:$W$1001,0),1)&gt;=100000,INDEX($AD$1005:$AU$1005,1,MATCH(COLUMNS($AD$1006:AP1006),$AD$1006:$AU$1006,0))&gt;=100000), " ",IF(INDEX($AD$2:$AU$1001,MATCH(ROWS($W$2:W587),$W$2:$W$1001,0),MATCH(COLUMNS($AD$1006:AP1006),$AD$1006:$AU$1006,0)), HYPERLINK("#",""), HYPERLINK(CONCATENATE("#metadata!", ADDRESS(INDEX($Y$2:$Y$1001,MATCH(ROWS($W$2:W587),$W$2:$W$1001,0),0), INDEX($AD$1004:$AU$1004,1,MATCH(COLUMNS($AD$1006:AP1006),$AD$1006:$AU$1006,0)))),"Fix")))</f>
        <v xml:space="preserve"> </v>
      </c>
      <c r="O587" s="4" t="str">
        <f ca="1">IF(OR(INDEX($X$2:$X$1001,MATCH(ROWS($W$2:W587),$W$2:$W$1001,0),1)&gt;=100000,INDEX($AD$1005:$AU$1005,1,MATCH(COLUMNS($AD$1006:AQ1006),$AD$1006:$AU$1006,0))&gt;=100000), " ",IF(INDEX($AD$2:$AU$1001,MATCH(ROWS($W$2:W587),$W$2:$W$1001,0),MATCH(COLUMNS($AD$1006:AQ1006),$AD$1006:$AU$1006,0)), HYPERLINK("#",""), HYPERLINK(CONCATENATE("#metadata!", ADDRESS(INDEX($Y$2:$Y$1001,MATCH(ROWS($W$2:W587),$W$2:$W$1001,0),0), INDEX($AD$1004:$AU$1004,1,MATCH(COLUMNS($AD$1006:AQ1006),$AD$1006:$AU$1006,0)))),"Fix")))</f>
        <v xml:space="preserve"> </v>
      </c>
      <c r="P587" s="4" t="str">
        <f ca="1">IF(OR(INDEX($X$2:$X$1001,MATCH(ROWS($W$2:W587),$W$2:$W$1001,0),1)&gt;=100000,INDEX($AD$1005:$AU$1005,1,MATCH(COLUMNS($AD$1006:AR1006),$AD$1006:$AU$1006,0))&gt;=100000), " ",IF(INDEX($AD$2:$AU$1001,MATCH(ROWS($W$2:W587),$W$2:$W$1001,0),MATCH(COLUMNS($AD$1006:AR1006),$AD$1006:$AU$1006,0)), HYPERLINK("#",""), HYPERLINK(CONCATENATE("#metadata!", ADDRESS(INDEX($Y$2:$Y$1001,MATCH(ROWS($W$2:W587),$W$2:$W$1001,0),0), INDEX($AD$1004:$AU$1004,1,MATCH(COLUMNS($AD$1006:AR1006),$AD$1006:$AU$1006,0)))),"Fix")))</f>
        <v xml:space="preserve"> </v>
      </c>
      <c r="Q587" s="4" t="str">
        <f ca="1">IF(OR(INDEX($X$2:$X$1001,MATCH(ROWS($W$2:W587),$W$2:$W$1001,0),1)&gt;=100000,INDEX($AD$1005:$AU$1005,1,MATCH(COLUMNS($AD$1006:AS1006),$AD$1006:$AU$1006,0))&gt;=100000), " ",IF(INDEX($AD$2:$AU$1001,MATCH(ROWS($W$2:W587),$W$2:$W$1001,0),MATCH(COLUMNS($AD$1006:AS1006),$AD$1006:$AU$1006,0)), HYPERLINK("#",""), HYPERLINK(CONCATENATE("#metadata!", ADDRESS(INDEX($Y$2:$Y$1001,MATCH(ROWS($W$2:W587),$W$2:$W$1001,0),0), INDEX($AD$1004:$AU$1004,1,MATCH(COLUMNS($AD$1006:AS1006),$AD$1006:$AU$1006,0)))),"Fix")))</f>
        <v xml:space="preserve"> </v>
      </c>
      <c r="R587" s="4" t="str">
        <f ca="1">IF(OR(INDEX($X$2:$X$1001,MATCH(ROWS($W$2:W587),$W$2:$W$1001,0),1)&gt;=100000,INDEX($AD$1005:$AU$1005,1,MATCH(COLUMNS($AD$1006:AT1006),$AD$1006:$AU$1006,0))&gt;=100000), " ",IF(INDEX($AD$2:$AU$1001,MATCH(ROWS($W$2:W587),$W$2:$W$1001,0),MATCH(COLUMNS($AD$1006:AT1006),$AD$1006:$AU$1006,0)), HYPERLINK("#",""), HYPERLINK(CONCATENATE("#metadata!", ADDRESS(INDEX($Y$2:$Y$1001,MATCH(ROWS($W$2:W587),$W$2:$W$1001,0),0), INDEX($AD$1004:$AU$1004,1,MATCH(COLUMNS($AD$1006:AT1006),$AD$1006:$AU$1006,0)))),"Fix")))</f>
        <v xml:space="preserve"> </v>
      </c>
      <c r="S587" s="4" t="str">
        <f ca="1">IF(OR(INDEX($X$2:$X$1001,MATCH(ROWS($W$2:W587),$W$2:$W$1001,0),1)&gt;=100000,INDEX($AD$1005:$AU$1005,1,MATCH(COLUMNS($AD$1006:AU1006),$AD$1006:$AU$1006,0))&gt;=100000), " ",IF(INDEX($AD$2:$AU$1001,MATCH(ROWS($W$2:W587),$W$2:$W$1001,0),MATCH(COLUMNS($AD$1006:AU1006),$AD$1006:$AU$1006,0)), HYPERLINK("#",""), HYPERLINK(CONCATENATE("#metadata!", ADDRESS(INDEX($Y$2:$Y$1001,MATCH(ROWS($W$2:W587),$W$2:$W$1001,0),0), INDEX($AD$1004:$AU$1004,1,MATCH(COLUMNS($AD$1006:AU1006),$AD$1006:$AU$1006,0)))),"Fix")))</f>
        <v xml:space="preserve"> </v>
      </c>
      <c r="W587">
        <v>586</v>
      </c>
      <c r="X587">
        <v>100587</v>
      </c>
      <c r="Y587">
        <v>587</v>
      </c>
      <c r="Z587" t="b">
        <f t="shared" si="9"/>
        <v>1</v>
      </c>
      <c r="AA587" t="b">
        <f>COUNTBLANK(metadata!B587:S587)=COLUMNS(metadata!B587:S587)</f>
        <v>1</v>
      </c>
      <c r="AB587" t="str">
        <v/>
      </c>
      <c r="AD587" t="b">
        <f ca="1">AND(IF(metadata!B587="",FALSE,TRUE),COUNTIF(metadata!B:B, metadata!B587) = 1,NOT(ISERROR(SUMPRODUCT(SEARCH(MID(metadata!B587,ROW(INDIRECT("1:"&amp;LEN(metadata!B587))), 1),"0123456789abcdefghijklmnopqrstuvwxyzABCDEFGHIJKLMNOPQRSTUVWXYZ.")))))</f>
        <v>0</v>
      </c>
      <c r="AE587" t="b">
        <f>OR(AND(IF(metadata!C587="",FALSE,TRUE),OR(EXACT(metadata!C587,"not applicable"),EXACT(metadata!C587,"missing: not collected"),EXACT(metadata!C587,"missing: not provided"),EXACT(metadata!C587,"missing: restricted access"))),AND(IF(metadata!C587="",FALSE,ISNUMBER(VALUE(metadata!C587))),metadata!C587&gt;0))</f>
        <v>0</v>
      </c>
      <c r="AF587" t="b">
        <f>AND(IF(metadata!D587="",FALSE,TRUE),EXACT(metadata!D587,"missing: not provided"))</f>
        <v>0</v>
      </c>
      <c r="AG587" t="b">
        <f>AND(IF(metadata!E587="",FALSE,TRUE),EXACT(metadata!E587,"Host-associated"))</f>
        <v>0</v>
      </c>
      <c r="AH587" t="b">
        <f>AND(IF(metadata!F587="",FALSE,TRUE),OR(EXACT(metadata!F587,"Animal"),EXACT(metadata!F587,"Fungus"),EXACT(metadata!F587,"Plant")))</f>
        <v>0</v>
      </c>
      <c r="AI587" t="b">
        <f>AND(IF(metadata!G587="",FALSE,TRUE),OR(EXACT(metadata!G587,"Plant secretion"),EXACT(metadata!G587,"Plant rhizosphere"),EXACT(metadata!G587,"Plant surface"),EXACT(metadata!G587,"Plant corpus"),EXACT(metadata!G587,"Fungus surface"),EXACT(metadata!G587,"Fungus corpus"),EXACT(metadata!G587,"Animal surface"),EXACT(metadata!G587,"Animal proximal gut"),EXACT(metadata!G587,"Animal corpus"),EXACT(metadata!G587,"Animal distal gut"),EXACT(metadata!G587,"Animal secretion")))</f>
        <v>0</v>
      </c>
      <c r="AJ587" t="b">
        <f>OR(AND(IF(metadata!H587="",FALSE,TRUE),OR(EXACT(metadata!H587,"missing: not collected"),EXACT(metadata!H587,"missing: not provided"),EXACT(metadata!H587,"missing: restricted access"))),AND(IF(metadata!H587="",FALSE,TRUE),OR(EXACT(metadata!H587,"organism-associated habitat"),EXACT(metadata!H587,"plant-associated habitat"),EXACT(metadata!H587,"animal-associated habitat"),EXACT(metadata!H587,"insecta-associated habitat"),EXACT(metadata!H587,"mammalia-associated habitat"),EXACT(metadata!H587,"human-associated habitat"),EXACT(metadata!H587,"livestock-associated habitat"))))</f>
        <v>0</v>
      </c>
      <c r="AK587" t="b">
        <f>AND(IF(metadata!I587="",FALSE,TRUE),EXACT(metadata!I587,"host-associated"))</f>
        <v>0</v>
      </c>
      <c r="AL587" t="b">
        <f>OR(AND(IF(metadata!J587="",FALSE,TRUE),OR(EXACT(metadata!J587,"not applicable"),EXACT(metadata!J587,"missing: not collected"),EXACT(metadata!J587,"missing: not provided"),EXACT(metadata!J587,"missing: restricted access"))),AND(IF(metadata!J587="",FALSE,ISNUMBER(VALUE(metadata!J587))),metadata!J587&gt;0))</f>
        <v>0</v>
      </c>
      <c r="AM587" t="b">
        <f>AND(IF(metadata!K587="",FALSE,TRUE),EXACT(metadata!K587,"missing: not provided"))</f>
        <v>0</v>
      </c>
      <c r="AN587" t="b">
        <f>IF(metadata!L587="",FALSE,TRUE)</f>
        <v>0</v>
      </c>
      <c r="AO587" t="b">
        <f>IF(metadata!M587="",FALSE,TRUE)</f>
        <v>0</v>
      </c>
      <c r="AP587" t="b">
        <f>OR(AND(IF(metadata!N587="",FALSE,TRUE),OR(EXACT(metadata!N587,"not applicable"),EXACT(metadata!N587,"missing: not collected"),EXACT(metadata!N587,"missing: not provided"))),AND(IF(metadata!N587="",FALSE,IF(ISERROR(INT(metadata!N587)),FALSE,INT(metadata!N587)=metadata!N587)),metadata!N587&gt;0))</f>
        <v>0</v>
      </c>
      <c r="AQ587" t="b">
        <f>AND(IF(metadata!O587="",FALSE,TRUE),EXACT(metadata!O587,"Not applicable"))</f>
        <v>0</v>
      </c>
      <c r="AR587" t="b">
        <f>OR(AND(IF(metadata!P587="",FALSE,TRUE),OR(EXACT(metadata!P587,"not applicable"),EXACT(metadata!P587,"missing: not collected"),EXACT(metadata!P587,"missing: not provided"),EXACT(metadata!P587,"missing: restricted access"))),IF(metadata!P587="",FALSE,IF(ISERROR(INT(metadata!P587)),FALSE,INT(metadata!P587)=metadata!P587)))</f>
        <v>0</v>
      </c>
      <c r="AS587" t="b">
        <f>AND(IF(metadata!Q587="",FALSE,TRUE),EXACT(metadata!Q587,"Not applicable"))</f>
        <v>0</v>
      </c>
      <c r="AT587" t="b">
        <f>OR(AND(IF(metadata!R587="",FALSE,TRUE),OR(EXACT(metadata!R587,"not applicable"),EXACT(metadata!R587,"missing: not collected"),EXACT(metadata!R587,"missing: not provided"),EXACT(metadata!R587,"missing: restricted access"))),AND(IF(metadata!R587="",FALSE,ISNUMBER(VALUE(metadata!R587))),metadata!R587&gt;0))</f>
        <v>0</v>
      </c>
      <c r="AU587" t="b">
        <f>AND(IF(metadata!S587="",FALSE,TRUE),EXACT(metadata!S587,"missing: not provided"))</f>
        <v>0</v>
      </c>
    </row>
    <row r="588" spans="1:47" x14ac:dyDescent="0.2">
      <c r="A588" s="5" t="str">
        <f ca="1">IF(B588=" "," ",HYPERLINK(CONCATENATE("#metadata!",ADDRESS(INDEX($Y$2:$Y$1001,MATCH(ROWS($W$2:W588),$W$2:$W$1001,0),0),1)),INDEX($AB$2:$AB$1001,MATCH(ROWS($W$2:W588),$W$2:$W$1001,0),0)))</f>
        <v xml:space="preserve"> </v>
      </c>
      <c r="B588" s="4" t="str">
        <f ca="1">IF(OR(INDEX($X$2:$X$1001,MATCH(ROWS($W$2:W588),$W$2:$W$1001,0),1)&gt;=100000,INDEX($AD$1005:$AU$1005,1,MATCH(COLUMNS($AD$1006:AD1006),$AD$1006:$AU$1006,0))&gt;=100000), " ",IF(INDEX($AD$2:$AU$1001,MATCH(ROWS($W$2:W588),$W$2:$W$1001,0),MATCH(COLUMNS($AD$1006:AD1006),$AD$1006:$AU$1006,0)), HYPERLINK("#",""), HYPERLINK(CONCATENATE("#metadata!", ADDRESS(INDEX($Y$2:$Y$1001,MATCH(ROWS($W$2:W588),$W$2:$W$1001,0),0), INDEX($AD$1004:$AU$1004,1,MATCH(COLUMNS($AD$1006:AD1006),$AD$1006:$AU$1006,0)))),"Fix")))</f>
        <v xml:space="preserve"> </v>
      </c>
      <c r="C588" s="4" t="str">
        <f ca="1">IF(OR(INDEX($X$2:$X$1001,MATCH(ROWS($W$2:W588),$W$2:$W$1001,0),1)&gt;=100000,INDEX($AD$1005:$AU$1005,1,MATCH(COLUMNS($AD$1006:AE1006),$AD$1006:$AU$1006,0))&gt;=100000), " ",IF(INDEX($AD$2:$AU$1001,MATCH(ROWS($W$2:W588),$W$2:$W$1001,0),MATCH(COLUMNS($AD$1006:AE1006),$AD$1006:$AU$1006,0)), HYPERLINK("#",""), HYPERLINK(CONCATENATE("#metadata!", ADDRESS(INDEX($Y$2:$Y$1001,MATCH(ROWS($W$2:W588),$W$2:$W$1001,0),0), INDEX($AD$1004:$AU$1004,1,MATCH(COLUMNS($AD$1006:AE1006),$AD$1006:$AU$1006,0)))),"Fix")))</f>
        <v xml:space="preserve"> </v>
      </c>
      <c r="D588" s="4" t="str">
        <f ca="1">IF(OR(INDEX($X$2:$X$1001,MATCH(ROWS($W$2:W588),$W$2:$W$1001,0),1)&gt;=100000,INDEX($AD$1005:$AU$1005,1,MATCH(COLUMNS($AD$1006:AF1006),$AD$1006:$AU$1006,0))&gt;=100000), " ",IF(INDEX($AD$2:$AU$1001,MATCH(ROWS($W$2:W588),$W$2:$W$1001,0),MATCH(COLUMNS($AD$1006:AF1006),$AD$1006:$AU$1006,0)), HYPERLINK("#",""), HYPERLINK(CONCATENATE("#metadata!", ADDRESS(INDEX($Y$2:$Y$1001,MATCH(ROWS($W$2:W588),$W$2:$W$1001,0),0), INDEX($AD$1004:$AU$1004,1,MATCH(COLUMNS($AD$1006:AF1006),$AD$1006:$AU$1006,0)))),"Fix")))</f>
        <v xml:space="preserve"> </v>
      </c>
      <c r="E588" s="4" t="str">
        <f ca="1">IF(OR(INDEX($X$2:$X$1001,MATCH(ROWS($W$2:W588),$W$2:$W$1001,0),1)&gt;=100000,INDEX($AD$1005:$AU$1005,1,MATCH(COLUMNS($AD$1006:AG1006),$AD$1006:$AU$1006,0))&gt;=100000), " ",IF(INDEX($AD$2:$AU$1001,MATCH(ROWS($W$2:W588),$W$2:$W$1001,0),MATCH(COLUMNS($AD$1006:AG1006),$AD$1006:$AU$1006,0)), HYPERLINK("#",""), HYPERLINK(CONCATENATE("#metadata!", ADDRESS(INDEX($Y$2:$Y$1001,MATCH(ROWS($W$2:W588),$W$2:$W$1001,0),0), INDEX($AD$1004:$AU$1004,1,MATCH(COLUMNS($AD$1006:AG1006),$AD$1006:$AU$1006,0)))),"Fix")))</f>
        <v xml:space="preserve"> </v>
      </c>
      <c r="F588" s="4" t="str">
        <f ca="1">IF(OR(INDEX($X$2:$X$1001,MATCH(ROWS($W$2:W588),$W$2:$W$1001,0),1)&gt;=100000,INDEX($AD$1005:$AU$1005,1,MATCH(COLUMNS($AD$1006:AH1006),$AD$1006:$AU$1006,0))&gt;=100000), " ",IF(INDEX($AD$2:$AU$1001,MATCH(ROWS($W$2:W588),$W$2:$W$1001,0),MATCH(COLUMNS($AD$1006:AH1006),$AD$1006:$AU$1006,0)), HYPERLINK("#",""), HYPERLINK(CONCATENATE("#metadata!", ADDRESS(INDEX($Y$2:$Y$1001,MATCH(ROWS($W$2:W588),$W$2:$W$1001,0),0), INDEX($AD$1004:$AU$1004,1,MATCH(COLUMNS($AD$1006:AH1006),$AD$1006:$AU$1006,0)))),"Fix")))</f>
        <v xml:space="preserve"> </v>
      </c>
      <c r="G588" s="4" t="str">
        <f ca="1">IF(OR(INDEX($X$2:$X$1001,MATCH(ROWS($W$2:W588),$W$2:$W$1001,0),1)&gt;=100000,INDEX($AD$1005:$AU$1005,1,MATCH(COLUMNS($AD$1006:AI1006),$AD$1006:$AU$1006,0))&gt;=100000), " ",IF(INDEX($AD$2:$AU$1001,MATCH(ROWS($W$2:W588),$W$2:$W$1001,0),MATCH(COLUMNS($AD$1006:AI1006),$AD$1006:$AU$1006,0)), HYPERLINK("#",""), HYPERLINK(CONCATENATE("#metadata!", ADDRESS(INDEX($Y$2:$Y$1001,MATCH(ROWS($W$2:W588),$W$2:$W$1001,0),0), INDEX($AD$1004:$AU$1004,1,MATCH(COLUMNS($AD$1006:AI1006),$AD$1006:$AU$1006,0)))),"Fix")))</f>
        <v xml:space="preserve"> </v>
      </c>
      <c r="H588" s="4" t="str">
        <f ca="1">IF(OR(INDEX($X$2:$X$1001,MATCH(ROWS($W$2:W588),$W$2:$W$1001,0),1)&gt;=100000,INDEX($AD$1005:$AU$1005,1,MATCH(COLUMNS($AD$1006:AJ1006),$AD$1006:$AU$1006,0))&gt;=100000), " ",IF(INDEX($AD$2:$AU$1001,MATCH(ROWS($W$2:W588),$W$2:$W$1001,0),MATCH(COLUMNS($AD$1006:AJ1006),$AD$1006:$AU$1006,0)), HYPERLINK("#",""), HYPERLINK(CONCATENATE("#metadata!", ADDRESS(INDEX($Y$2:$Y$1001,MATCH(ROWS($W$2:W588),$W$2:$W$1001,0),0), INDEX($AD$1004:$AU$1004,1,MATCH(COLUMNS($AD$1006:AJ1006),$AD$1006:$AU$1006,0)))),"Fix")))</f>
        <v xml:space="preserve"> </v>
      </c>
      <c r="I588" s="4" t="str">
        <f ca="1">IF(OR(INDEX($X$2:$X$1001,MATCH(ROWS($W$2:W588),$W$2:$W$1001,0),1)&gt;=100000,INDEX($AD$1005:$AU$1005,1,MATCH(COLUMNS($AD$1006:AK1006),$AD$1006:$AU$1006,0))&gt;=100000), " ",IF(INDEX($AD$2:$AU$1001,MATCH(ROWS($W$2:W588),$W$2:$W$1001,0),MATCH(COLUMNS($AD$1006:AK1006),$AD$1006:$AU$1006,0)), HYPERLINK("#",""), HYPERLINK(CONCATENATE("#metadata!", ADDRESS(INDEX($Y$2:$Y$1001,MATCH(ROWS($W$2:W588),$W$2:$W$1001,0),0), INDEX($AD$1004:$AU$1004,1,MATCH(COLUMNS($AD$1006:AK1006),$AD$1006:$AU$1006,0)))),"Fix")))</f>
        <v xml:space="preserve"> </v>
      </c>
      <c r="J588" s="4" t="str">
        <f ca="1">IF(OR(INDEX($X$2:$X$1001,MATCH(ROWS($W$2:W588),$W$2:$W$1001,0),1)&gt;=100000,INDEX($AD$1005:$AU$1005,1,MATCH(COLUMNS($AD$1006:AL1006),$AD$1006:$AU$1006,0))&gt;=100000), " ",IF(INDEX($AD$2:$AU$1001,MATCH(ROWS($W$2:W588),$W$2:$W$1001,0),MATCH(COLUMNS($AD$1006:AL1006),$AD$1006:$AU$1006,0)), HYPERLINK("#",""), HYPERLINK(CONCATENATE("#metadata!", ADDRESS(INDEX($Y$2:$Y$1001,MATCH(ROWS($W$2:W588),$W$2:$W$1001,0),0), INDEX($AD$1004:$AU$1004,1,MATCH(COLUMNS($AD$1006:AL1006),$AD$1006:$AU$1006,0)))),"Fix")))</f>
        <v xml:space="preserve"> </v>
      </c>
      <c r="K588" s="4" t="str">
        <f ca="1">IF(OR(INDEX($X$2:$X$1001,MATCH(ROWS($W$2:W588),$W$2:$W$1001,0),1)&gt;=100000,INDEX($AD$1005:$AU$1005,1,MATCH(COLUMNS($AD$1006:AM1006),$AD$1006:$AU$1006,0))&gt;=100000), " ",IF(INDEX($AD$2:$AU$1001,MATCH(ROWS($W$2:W588),$W$2:$W$1001,0),MATCH(COLUMNS($AD$1006:AM1006),$AD$1006:$AU$1006,0)), HYPERLINK("#",""), HYPERLINK(CONCATENATE("#metadata!", ADDRESS(INDEX($Y$2:$Y$1001,MATCH(ROWS($W$2:W588),$W$2:$W$1001,0),0), INDEX($AD$1004:$AU$1004,1,MATCH(COLUMNS($AD$1006:AM1006),$AD$1006:$AU$1006,0)))),"Fix")))</f>
        <v xml:space="preserve"> </v>
      </c>
      <c r="L588" s="4" t="str">
        <f ca="1">IF(OR(INDEX($X$2:$X$1001,MATCH(ROWS($W$2:W588),$W$2:$W$1001,0),1)&gt;=100000,INDEX($AD$1005:$AU$1005,1,MATCH(COLUMNS($AD$1006:AN1006),$AD$1006:$AU$1006,0))&gt;=100000), " ",IF(INDEX($AD$2:$AU$1001,MATCH(ROWS($W$2:W588),$W$2:$W$1001,0),MATCH(COLUMNS($AD$1006:AN1006),$AD$1006:$AU$1006,0)), HYPERLINK("#",""), HYPERLINK(CONCATENATE("#metadata!", ADDRESS(INDEX($Y$2:$Y$1001,MATCH(ROWS($W$2:W588),$W$2:$W$1001,0),0), INDEX($AD$1004:$AU$1004,1,MATCH(COLUMNS($AD$1006:AN1006),$AD$1006:$AU$1006,0)))),"Fix")))</f>
        <v xml:space="preserve"> </v>
      </c>
      <c r="M588" s="4" t="str">
        <f ca="1">IF(OR(INDEX($X$2:$X$1001,MATCH(ROWS($W$2:W588),$W$2:$W$1001,0),1)&gt;=100000,INDEX($AD$1005:$AU$1005,1,MATCH(COLUMNS($AD$1006:AO1006),$AD$1006:$AU$1006,0))&gt;=100000), " ",IF(INDEX($AD$2:$AU$1001,MATCH(ROWS($W$2:W588),$W$2:$W$1001,0),MATCH(COLUMNS($AD$1006:AO1006),$AD$1006:$AU$1006,0)), HYPERLINK("#",""), HYPERLINK(CONCATENATE("#metadata!", ADDRESS(INDEX($Y$2:$Y$1001,MATCH(ROWS($W$2:W588),$W$2:$W$1001,0),0), INDEX($AD$1004:$AU$1004,1,MATCH(COLUMNS($AD$1006:AO1006),$AD$1006:$AU$1006,0)))),"Fix")))</f>
        <v xml:space="preserve"> </v>
      </c>
      <c r="N588" s="4" t="str">
        <f ca="1">IF(OR(INDEX($X$2:$X$1001,MATCH(ROWS($W$2:W588),$W$2:$W$1001,0),1)&gt;=100000,INDEX($AD$1005:$AU$1005,1,MATCH(COLUMNS($AD$1006:AP1006),$AD$1006:$AU$1006,0))&gt;=100000), " ",IF(INDEX($AD$2:$AU$1001,MATCH(ROWS($W$2:W588),$W$2:$W$1001,0),MATCH(COLUMNS($AD$1006:AP1006),$AD$1006:$AU$1006,0)), HYPERLINK("#",""), HYPERLINK(CONCATENATE("#metadata!", ADDRESS(INDEX($Y$2:$Y$1001,MATCH(ROWS($W$2:W588),$W$2:$W$1001,0),0), INDEX($AD$1004:$AU$1004,1,MATCH(COLUMNS($AD$1006:AP1006),$AD$1006:$AU$1006,0)))),"Fix")))</f>
        <v xml:space="preserve"> </v>
      </c>
      <c r="O588" s="4" t="str">
        <f ca="1">IF(OR(INDEX($X$2:$X$1001,MATCH(ROWS($W$2:W588),$W$2:$W$1001,0),1)&gt;=100000,INDEX($AD$1005:$AU$1005,1,MATCH(COLUMNS($AD$1006:AQ1006),$AD$1006:$AU$1006,0))&gt;=100000), " ",IF(INDEX($AD$2:$AU$1001,MATCH(ROWS($W$2:W588),$W$2:$W$1001,0),MATCH(COLUMNS($AD$1006:AQ1006),$AD$1006:$AU$1006,0)), HYPERLINK("#",""), HYPERLINK(CONCATENATE("#metadata!", ADDRESS(INDEX($Y$2:$Y$1001,MATCH(ROWS($W$2:W588),$W$2:$W$1001,0),0), INDEX($AD$1004:$AU$1004,1,MATCH(COLUMNS($AD$1006:AQ1006),$AD$1006:$AU$1006,0)))),"Fix")))</f>
        <v xml:space="preserve"> </v>
      </c>
      <c r="P588" s="4" t="str">
        <f ca="1">IF(OR(INDEX($X$2:$X$1001,MATCH(ROWS($W$2:W588),$W$2:$W$1001,0),1)&gt;=100000,INDEX($AD$1005:$AU$1005,1,MATCH(COLUMNS($AD$1006:AR1006),$AD$1006:$AU$1006,0))&gt;=100000), " ",IF(INDEX($AD$2:$AU$1001,MATCH(ROWS($W$2:W588),$W$2:$W$1001,0),MATCH(COLUMNS($AD$1006:AR1006),$AD$1006:$AU$1006,0)), HYPERLINK("#",""), HYPERLINK(CONCATENATE("#metadata!", ADDRESS(INDEX($Y$2:$Y$1001,MATCH(ROWS($W$2:W588),$W$2:$W$1001,0),0), INDEX($AD$1004:$AU$1004,1,MATCH(COLUMNS($AD$1006:AR1006),$AD$1006:$AU$1006,0)))),"Fix")))</f>
        <v xml:space="preserve"> </v>
      </c>
      <c r="Q588" s="4" t="str">
        <f ca="1">IF(OR(INDEX($X$2:$X$1001,MATCH(ROWS($W$2:W588),$W$2:$W$1001,0),1)&gt;=100000,INDEX($AD$1005:$AU$1005,1,MATCH(COLUMNS($AD$1006:AS1006),$AD$1006:$AU$1006,0))&gt;=100000), " ",IF(INDEX($AD$2:$AU$1001,MATCH(ROWS($W$2:W588),$W$2:$W$1001,0),MATCH(COLUMNS($AD$1006:AS1006),$AD$1006:$AU$1006,0)), HYPERLINK("#",""), HYPERLINK(CONCATENATE("#metadata!", ADDRESS(INDEX($Y$2:$Y$1001,MATCH(ROWS($W$2:W588),$W$2:$W$1001,0),0), INDEX($AD$1004:$AU$1004,1,MATCH(COLUMNS($AD$1006:AS1006),$AD$1006:$AU$1006,0)))),"Fix")))</f>
        <v xml:space="preserve"> </v>
      </c>
      <c r="R588" s="4" t="str">
        <f ca="1">IF(OR(INDEX($X$2:$X$1001,MATCH(ROWS($W$2:W588),$W$2:$W$1001,0),1)&gt;=100000,INDEX($AD$1005:$AU$1005,1,MATCH(COLUMNS($AD$1006:AT1006),$AD$1006:$AU$1006,0))&gt;=100000), " ",IF(INDEX($AD$2:$AU$1001,MATCH(ROWS($W$2:W588),$W$2:$W$1001,0),MATCH(COLUMNS($AD$1006:AT1006),$AD$1006:$AU$1006,0)), HYPERLINK("#",""), HYPERLINK(CONCATENATE("#metadata!", ADDRESS(INDEX($Y$2:$Y$1001,MATCH(ROWS($W$2:W588),$W$2:$W$1001,0),0), INDEX($AD$1004:$AU$1004,1,MATCH(COLUMNS($AD$1006:AT1006),$AD$1006:$AU$1006,0)))),"Fix")))</f>
        <v xml:space="preserve"> </v>
      </c>
      <c r="S588" s="4" t="str">
        <f ca="1">IF(OR(INDEX($X$2:$X$1001,MATCH(ROWS($W$2:W588),$W$2:$W$1001,0),1)&gt;=100000,INDEX($AD$1005:$AU$1005,1,MATCH(COLUMNS($AD$1006:AU1006),$AD$1006:$AU$1006,0))&gt;=100000), " ",IF(INDEX($AD$2:$AU$1001,MATCH(ROWS($W$2:W588),$W$2:$W$1001,0),MATCH(COLUMNS($AD$1006:AU1006),$AD$1006:$AU$1006,0)), HYPERLINK("#",""), HYPERLINK(CONCATENATE("#metadata!", ADDRESS(INDEX($Y$2:$Y$1001,MATCH(ROWS($W$2:W588),$W$2:$W$1001,0),0), INDEX($AD$1004:$AU$1004,1,MATCH(COLUMNS($AD$1006:AU1006),$AD$1006:$AU$1006,0)))),"Fix")))</f>
        <v xml:space="preserve"> </v>
      </c>
      <c r="W588">
        <v>587</v>
      </c>
      <c r="X588">
        <v>100588</v>
      </c>
      <c r="Y588">
        <v>588</v>
      </c>
      <c r="Z588" t="b">
        <f t="shared" si="9"/>
        <v>1</v>
      </c>
      <c r="AA588" t="b">
        <f>COUNTBLANK(metadata!B588:S588)=COLUMNS(metadata!B588:S588)</f>
        <v>1</v>
      </c>
      <c r="AB588" t="str">
        <v/>
      </c>
      <c r="AD588" t="b">
        <f ca="1">AND(IF(metadata!B588="",FALSE,TRUE),COUNTIF(metadata!B:B, metadata!B588) = 1,NOT(ISERROR(SUMPRODUCT(SEARCH(MID(metadata!B588,ROW(INDIRECT("1:"&amp;LEN(metadata!B588))), 1),"0123456789abcdefghijklmnopqrstuvwxyzABCDEFGHIJKLMNOPQRSTUVWXYZ.")))))</f>
        <v>0</v>
      </c>
      <c r="AE588" t="b">
        <f>OR(AND(IF(metadata!C588="",FALSE,TRUE),OR(EXACT(metadata!C588,"not applicable"),EXACT(metadata!C588,"missing: not collected"),EXACT(metadata!C588,"missing: not provided"),EXACT(metadata!C588,"missing: restricted access"))),AND(IF(metadata!C588="",FALSE,ISNUMBER(VALUE(metadata!C588))),metadata!C588&gt;0))</f>
        <v>0</v>
      </c>
      <c r="AF588" t="b">
        <f>AND(IF(metadata!D588="",FALSE,TRUE),EXACT(metadata!D588,"missing: not provided"))</f>
        <v>0</v>
      </c>
      <c r="AG588" t="b">
        <f>AND(IF(metadata!E588="",FALSE,TRUE),EXACT(metadata!E588,"Host-associated"))</f>
        <v>0</v>
      </c>
      <c r="AH588" t="b">
        <f>AND(IF(metadata!F588="",FALSE,TRUE),OR(EXACT(metadata!F588,"Animal"),EXACT(metadata!F588,"Fungus"),EXACT(metadata!F588,"Plant")))</f>
        <v>0</v>
      </c>
      <c r="AI588" t="b">
        <f>AND(IF(metadata!G588="",FALSE,TRUE),OR(EXACT(metadata!G588,"Plant secretion"),EXACT(metadata!G588,"Plant rhizosphere"),EXACT(metadata!G588,"Plant surface"),EXACT(metadata!G588,"Plant corpus"),EXACT(metadata!G588,"Fungus surface"),EXACT(metadata!G588,"Fungus corpus"),EXACT(metadata!G588,"Animal surface"),EXACT(metadata!G588,"Animal proximal gut"),EXACT(metadata!G588,"Animal corpus"),EXACT(metadata!G588,"Animal distal gut"),EXACT(metadata!G588,"Animal secretion")))</f>
        <v>0</v>
      </c>
      <c r="AJ588" t="b">
        <f>OR(AND(IF(metadata!H588="",FALSE,TRUE),OR(EXACT(metadata!H588,"missing: not collected"),EXACT(metadata!H588,"missing: not provided"),EXACT(metadata!H588,"missing: restricted access"))),AND(IF(metadata!H588="",FALSE,TRUE),OR(EXACT(metadata!H588,"organism-associated habitat"),EXACT(metadata!H588,"plant-associated habitat"),EXACT(metadata!H588,"animal-associated habitat"),EXACT(metadata!H588,"insecta-associated habitat"),EXACT(metadata!H588,"mammalia-associated habitat"),EXACT(metadata!H588,"human-associated habitat"),EXACT(metadata!H588,"livestock-associated habitat"))))</f>
        <v>0</v>
      </c>
      <c r="AK588" t="b">
        <f>AND(IF(metadata!I588="",FALSE,TRUE),EXACT(metadata!I588,"host-associated"))</f>
        <v>0</v>
      </c>
      <c r="AL588" t="b">
        <f>OR(AND(IF(metadata!J588="",FALSE,TRUE),OR(EXACT(metadata!J588,"not applicable"),EXACT(metadata!J588,"missing: not collected"),EXACT(metadata!J588,"missing: not provided"),EXACT(metadata!J588,"missing: restricted access"))),AND(IF(metadata!J588="",FALSE,ISNUMBER(VALUE(metadata!J588))),metadata!J588&gt;0))</f>
        <v>0</v>
      </c>
      <c r="AM588" t="b">
        <f>AND(IF(metadata!K588="",FALSE,TRUE),EXACT(metadata!K588,"missing: not provided"))</f>
        <v>0</v>
      </c>
      <c r="AN588" t="b">
        <f>IF(metadata!L588="",FALSE,TRUE)</f>
        <v>0</v>
      </c>
      <c r="AO588" t="b">
        <f>IF(metadata!M588="",FALSE,TRUE)</f>
        <v>0</v>
      </c>
      <c r="AP588" t="b">
        <f>OR(AND(IF(metadata!N588="",FALSE,TRUE),OR(EXACT(metadata!N588,"not applicable"),EXACT(metadata!N588,"missing: not collected"),EXACT(metadata!N588,"missing: not provided"))),AND(IF(metadata!N588="",FALSE,IF(ISERROR(INT(metadata!N588)),FALSE,INT(metadata!N588)=metadata!N588)),metadata!N588&gt;0))</f>
        <v>0</v>
      </c>
      <c r="AQ588" t="b">
        <f>AND(IF(metadata!O588="",FALSE,TRUE),EXACT(metadata!O588,"Not applicable"))</f>
        <v>0</v>
      </c>
      <c r="AR588" t="b">
        <f>OR(AND(IF(metadata!P588="",FALSE,TRUE),OR(EXACT(metadata!P588,"not applicable"),EXACT(metadata!P588,"missing: not collected"),EXACT(metadata!P588,"missing: not provided"),EXACT(metadata!P588,"missing: restricted access"))),IF(metadata!P588="",FALSE,IF(ISERROR(INT(metadata!P588)),FALSE,INT(metadata!P588)=metadata!P588)))</f>
        <v>0</v>
      </c>
      <c r="AS588" t="b">
        <f>AND(IF(metadata!Q588="",FALSE,TRUE),EXACT(metadata!Q588,"Not applicable"))</f>
        <v>0</v>
      </c>
      <c r="AT588" t="b">
        <f>OR(AND(IF(metadata!R588="",FALSE,TRUE),OR(EXACT(metadata!R588,"not applicable"),EXACT(metadata!R588,"missing: not collected"),EXACT(metadata!R588,"missing: not provided"),EXACT(metadata!R588,"missing: restricted access"))),AND(IF(metadata!R588="",FALSE,ISNUMBER(VALUE(metadata!R588))),metadata!R588&gt;0))</f>
        <v>0</v>
      </c>
      <c r="AU588" t="b">
        <f>AND(IF(metadata!S588="",FALSE,TRUE),EXACT(metadata!S588,"missing: not provided"))</f>
        <v>0</v>
      </c>
    </row>
    <row r="589" spans="1:47" x14ac:dyDescent="0.2">
      <c r="A589" s="5" t="str">
        <f ca="1">IF(B589=" "," ",HYPERLINK(CONCATENATE("#metadata!",ADDRESS(INDEX($Y$2:$Y$1001,MATCH(ROWS($W$2:W589),$W$2:$W$1001,0),0),1)),INDEX($AB$2:$AB$1001,MATCH(ROWS($W$2:W589),$W$2:$W$1001,0),0)))</f>
        <v xml:space="preserve"> </v>
      </c>
      <c r="B589" s="4" t="str">
        <f ca="1">IF(OR(INDEX($X$2:$X$1001,MATCH(ROWS($W$2:W589),$W$2:$W$1001,0),1)&gt;=100000,INDEX($AD$1005:$AU$1005,1,MATCH(COLUMNS($AD$1006:AD1006),$AD$1006:$AU$1006,0))&gt;=100000), " ",IF(INDEX($AD$2:$AU$1001,MATCH(ROWS($W$2:W589),$W$2:$W$1001,0),MATCH(COLUMNS($AD$1006:AD1006),$AD$1006:$AU$1006,0)), HYPERLINK("#",""), HYPERLINK(CONCATENATE("#metadata!", ADDRESS(INDEX($Y$2:$Y$1001,MATCH(ROWS($W$2:W589),$W$2:$W$1001,0),0), INDEX($AD$1004:$AU$1004,1,MATCH(COLUMNS($AD$1006:AD1006),$AD$1006:$AU$1006,0)))),"Fix")))</f>
        <v xml:space="preserve"> </v>
      </c>
      <c r="C589" s="4" t="str">
        <f ca="1">IF(OR(INDEX($X$2:$X$1001,MATCH(ROWS($W$2:W589),$W$2:$W$1001,0),1)&gt;=100000,INDEX($AD$1005:$AU$1005,1,MATCH(COLUMNS($AD$1006:AE1006),$AD$1006:$AU$1006,0))&gt;=100000), " ",IF(INDEX($AD$2:$AU$1001,MATCH(ROWS($W$2:W589),$W$2:$W$1001,0),MATCH(COLUMNS($AD$1006:AE1006),$AD$1006:$AU$1006,0)), HYPERLINK("#",""), HYPERLINK(CONCATENATE("#metadata!", ADDRESS(INDEX($Y$2:$Y$1001,MATCH(ROWS($W$2:W589),$W$2:$W$1001,0),0), INDEX($AD$1004:$AU$1004,1,MATCH(COLUMNS($AD$1006:AE1006),$AD$1006:$AU$1006,0)))),"Fix")))</f>
        <v xml:space="preserve"> </v>
      </c>
      <c r="D589" s="4" t="str">
        <f ca="1">IF(OR(INDEX($X$2:$X$1001,MATCH(ROWS($W$2:W589),$W$2:$W$1001,0),1)&gt;=100000,INDEX($AD$1005:$AU$1005,1,MATCH(COLUMNS($AD$1006:AF1006),$AD$1006:$AU$1006,0))&gt;=100000), " ",IF(INDEX($AD$2:$AU$1001,MATCH(ROWS($W$2:W589),$W$2:$W$1001,0),MATCH(COLUMNS($AD$1006:AF1006),$AD$1006:$AU$1006,0)), HYPERLINK("#",""), HYPERLINK(CONCATENATE("#metadata!", ADDRESS(INDEX($Y$2:$Y$1001,MATCH(ROWS($W$2:W589),$W$2:$W$1001,0),0), INDEX($AD$1004:$AU$1004,1,MATCH(COLUMNS($AD$1006:AF1006),$AD$1006:$AU$1006,0)))),"Fix")))</f>
        <v xml:space="preserve"> </v>
      </c>
      <c r="E589" s="4" t="str">
        <f ca="1">IF(OR(INDEX($X$2:$X$1001,MATCH(ROWS($W$2:W589),$W$2:$W$1001,0),1)&gt;=100000,INDEX($AD$1005:$AU$1005,1,MATCH(COLUMNS($AD$1006:AG1006),$AD$1006:$AU$1006,0))&gt;=100000), " ",IF(INDEX($AD$2:$AU$1001,MATCH(ROWS($W$2:W589),$W$2:$W$1001,0),MATCH(COLUMNS($AD$1006:AG1006),$AD$1006:$AU$1006,0)), HYPERLINK("#",""), HYPERLINK(CONCATENATE("#metadata!", ADDRESS(INDEX($Y$2:$Y$1001,MATCH(ROWS($W$2:W589),$W$2:$W$1001,0),0), INDEX($AD$1004:$AU$1004,1,MATCH(COLUMNS($AD$1006:AG1006),$AD$1006:$AU$1006,0)))),"Fix")))</f>
        <v xml:space="preserve"> </v>
      </c>
      <c r="F589" s="4" t="str">
        <f ca="1">IF(OR(INDEX($X$2:$X$1001,MATCH(ROWS($W$2:W589),$W$2:$W$1001,0),1)&gt;=100000,INDEX($AD$1005:$AU$1005,1,MATCH(COLUMNS($AD$1006:AH1006),$AD$1006:$AU$1006,0))&gt;=100000), " ",IF(INDEX($AD$2:$AU$1001,MATCH(ROWS($W$2:W589),$W$2:$W$1001,0),MATCH(COLUMNS($AD$1006:AH1006),$AD$1006:$AU$1006,0)), HYPERLINK("#",""), HYPERLINK(CONCATENATE("#metadata!", ADDRESS(INDEX($Y$2:$Y$1001,MATCH(ROWS($W$2:W589),$W$2:$W$1001,0),0), INDEX($AD$1004:$AU$1004,1,MATCH(COLUMNS($AD$1006:AH1006),$AD$1006:$AU$1006,0)))),"Fix")))</f>
        <v xml:space="preserve"> </v>
      </c>
      <c r="G589" s="4" t="str">
        <f ca="1">IF(OR(INDEX($X$2:$X$1001,MATCH(ROWS($W$2:W589),$W$2:$W$1001,0),1)&gt;=100000,INDEX($AD$1005:$AU$1005,1,MATCH(COLUMNS($AD$1006:AI1006),$AD$1006:$AU$1006,0))&gt;=100000), " ",IF(INDEX($AD$2:$AU$1001,MATCH(ROWS($W$2:W589),$W$2:$W$1001,0),MATCH(COLUMNS($AD$1006:AI1006),$AD$1006:$AU$1006,0)), HYPERLINK("#",""), HYPERLINK(CONCATENATE("#metadata!", ADDRESS(INDEX($Y$2:$Y$1001,MATCH(ROWS($W$2:W589),$W$2:$W$1001,0),0), INDEX($AD$1004:$AU$1004,1,MATCH(COLUMNS($AD$1006:AI1006),$AD$1006:$AU$1006,0)))),"Fix")))</f>
        <v xml:space="preserve"> </v>
      </c>
      <c r="H589" s="4" t="str">
        <f ca="1">IF(OR(INDEX($X$2:$X$1001,MATCH(ROWS($W$2:W589),$W$2:$W$1001,0),1)&gt;=100000,INDEX($AD$1005:$AU$1005,1,MATCH(COLUMNS($AD$1006:AJ1006),$AD$1006:$AU$1006,0))&gt;=100000), " ",IF(INDEX($AD$2:$AU$1001,MATCH(ROWS($W$2:W589),$W$2:$W$1001,0),MATCH(COLUMNS($AD$1006:AJ1006),$AD$1006:$AU$1006,0)), HYPERLINK("#",""), HYPERLINK(CONCATENATE("#metadata!", ADDRESS(INDEX($Y$2:$Y$1001,MATCH(ROWS($W$2:W589),$W$2:$W$1001,0),0), INDEX($AD$1004:$AU$1004,1,MATCH(COLUMNS($AD$1006:AJ1006),$AD$1006:$AU$1006,0)))),"Fix")))</f>
        <v xml:space="preserve"> </v>
      </c>
      <c r="I589" s="4" t="str">
        <f ca="1">IF(OR(INDEX($X$2:$X$1001,MATCH(ROWS($W$2:W589),$W$2:$W$1001,0),1)&gt;=100000,INDEX($AD$1005:$AU$1005,1,MATCH(COLUMNS($AD$1006:AK1006),$AD$1006:$AU$1006,0))&gt;=100000), " ",IF(INDEX($AD$2:$AU$1001,MATCH(ROWS($W$2:W589),$W$2:$W$1001,0),MATCH(COLUMNS($AD$1006:AK1006),$AD$1006:$AU$1006,0)), HYPERLINK("#",""), HYPERLINK(CONCATENATE("#metadata!", ADDRESS(INDEX($Y$2:$Y$1001,MATCH(ROWS($W$2:W589),$W$2:$W$1001,0),0), INDEX($AD$1004:$AU$1004,1,MATCH(COLUMNS($AD$1006:AK1006),$AD$1006:$AU$1006,0)))),"Fix")))</f>
        <v xml:space="preserve"> </v>
      </c>
      <c r="J589" s="4" t="str">
        <f ca="1">IF(OR(INDEX($X$2:$X$1001,MATCH(ROWS($W$2:W589),$W$2:$W$1001,0),1)&gt;=100000,INDEX($AD$1005:$AU$1005,1,MATCH(COLUMNS($AD$1006:AL1006),$AD$1006:$AU$1006,0))&gt;=100000), " ",IF(INDEX($AD$2:$AU$1001,MATCH(ROWS($W$2:W589),$W$2:$W$1001,0),MATCH(COLUMNS($AD$1006:AL1006),$AD$1006:$AU$1006,0)), HYPERLINK("#",""), HYPERLINK(CONCATENATE("#metadata!", ADDRESS(INDEX($Y$2:$Y$1001,MATCH(ROWS($W$2:W589),$W$2:$W$1001,0),0), INDEX($AD$1004:$AU$1004,1,MATCH(COLUMNS($AD$1006:AL1006),$AD$1006:$AU$1006,0)))),"Fix")))</f>
        <v xml:space="preserve"> </v>
      </c>
      <c r="K589" s="4" t="str">
        <f ca="1">IF(OR(INDEX($X$2:$X$1001,MATCH(ROWS($W$2:W589),$W$2:$W$1001,0),1)&gt;=100000,INDEX($AD$1005:$AU$1005,1,MATCH(COLUMNS($AD$1006:AM1006),$AD$1006:$AU$1006,0))&gt;=100000), " ",IF(INDEX($AD$2:$AU$1001,MATCH(ROWS($W$2:W589),$W$2:$W$1001,0),MATCH(COLUMNS($AD$1006:AM1006),$AD$1006:$AU$1006,0)), HYPERLINK("#",""), HYPERLINK(CONCATENATE("#metadata!", ADDRESS(INDEX($Y$2:$Y$1001,MATCH(ROWS($W$2:W589),$W$2:$W$1001,0),0), INDEX($AD$1004:$AU$1004,1,MATCH(COLUMNS($AD$1006:AM1006),$AD$1006:$AU$1006,0)))),"Fix")))</f>
        <v xml:space="preserve"> </v>
      </c>
      <c r="L589" s="4" t="str">
        <f ca="1">IF(OR(INDEX($X$2:$X$1001,MATCH(ROWS($W$2:W589),$W$2:$W$1001,0),1)&gt;=100000,INDEX($AD$1005:$AU$1005,1,MATCH(COLUMNS($AD$1006:AN1006),$AD$1006:$AU$1006,0))&gt;=100000), " ",IF(INDEX($AD$2:$AU$1001,MATCH(ROWS($W$2:W589),$W$2:$W$1001,0),MATCH(COLUMNS($AD$1006:AN1006),$AD$1006:$AU$1006,0)), HYPERLINK("#",""), HYPERLINK(CONCATENATE("#metadata!", ADDRESS(INDEX($Y$2:$Y$1001,MATCH(ROWS($W$2:W589),$W$2:$W$1001,0),0), INDEX($AD$1004:$AU$1004,1,MATCH(COLUMNS($AD$1006:AN1006),$AD$1006:$AU$1006,0)))),"Fix")))</f>
        <v xml:space="preserve"> </v>
      </c>
      <c r="M589" s="4" t="str">
        <f ca="1">IF(OR(INDEX($X$2:$X$1001,MATCH(ROWS($W$2:W589),$W$2:$W$1001,0),1)&gt;=100000,INDEX($AD$1005:$AU$1005,1,MATCH(COLUMNS($AD$1006:AO1006),$AD$1006:$AU$1006,0))&gt;=100000), " ",IF(INDEX($AD$2:$AU$1001,MATCH(ROWS($W$2:W589),$W$2:$W$1001,0),MATCH(COLUMNS($AD$1006:AO1006),$AD$1006:$AU$1006,0)), HYPERLINK("#",""), HYPERLINK(CONCATENATE("#metadata!", ADDRESS(INDEX($Y$2:$Y$1001,MATCH(ROWS($W$2:W589),$W$2:$W$1001,0),0), INDEX($AD$1004:$AU$1004,1,MATCH(COLUMNS($AD$1006:AO1006),$AD$1006:$AU$1006,0)))),"Fix")))</f>
        <v xml:space="preserve"> </v>
      </c>
      <c r="N589" s="4" t="str">
        <f ca="1">IF(OR(INDEX($X$2:$X$1001,MATCH(ROWS($W$2:W589),$W$2:$W$1001,0),1)&gt;=100000,INDEX($AD$1005:$AU$1005,1,MATCH(COLUMNS($AD$1006:AP1006),$AD$1006:$AU$1006,0))&gt;=100000), " ",IF(INDEX($AD$2:$AU$1001,MATCH(ROWS($W$2:W589),$W$2:$W$1001,0),MATCH(COLUMNS($AD$1006:AP1006),$AD$1006:$AU$1006,0)), HYPERLINK("#",""), HYPERLINK(CONCATENATE("#metadata!", ADDRESS(INDEX($Y$2:$Y$1001,MATCH(ROWS($W$2:W589),$W$2:$W$1001,0),0), INDEX($AD$1004:$AU$1004,1,MATCH(COLUMNS($AD$1006:AP1006),$AD$1006:$AU$1006,0)))),"Fix")))</f>
        <v xml:space="preserve"> </v>
      </c>
      <c r="O589" s="4" t="str">
        <f ca="1">IF(OR(INDEX($X$2:$X$1001,MATCH(ROWS($W$2:W589),$W$2:$W$1001,0),1)&gt;=100000,INDEX($AD$1005:$AU$1005,1,MATCH(COLUMNS($AD$1006:AQ1006),$AD$1006:$AU$1006,0))&gt;=100000), " ",IF(INDEX($AD$2:$AU$1001,MATCH(ROWS($W$2:W589),$W$2:$W$1001,0),MATCH(COLUMNS($AD$1006:AQ1006),$AD$1006:$AU$1006,0)), HYPERLINK("#",""), HYPERLINK(CONCATENATE("#metadata!", ADDRESS(INDEX($Y$2:$Y$1001,MATCH(ROWS($W$2:W589),$W$2:$W$1001,0),0), INDEX($AD$1004:$AU$1004,1,MATCH(COLUMNS($AD$1006:AQ1006),$AD$1006:$AU$1006,0)))),"Fix")))</f>
        <v xml:space="preserve"> </v>
      </c>
      <c r="P589" s="4" t="str">
        <f ca="1">IF(OR(INDEX($X$2:$X$1001,MATCH(ROWS($W$2:W589),$W$2:$W$1001,0),1)&gt;=100000,INDEX($AD$1005:$AU$1005,1,MATCH(COLUMNS($AD$1006:AR1006),$AD$1006:$AU$1006,0))&gt;=100000), " ",IF(INDEX($AD$2:$AU$1001,MATCH(ROWS($W$2:W589),$W$2:$W$1001,0),MATCH(COLUMNS($AD$1006:AR1006),$AD$1006:$AU$1006,0)), HYPERLINK("#",""), HYPERLINK(CONCATENATE("#metadata!", ADDRESS(INDEX($Y$2:$Y$1001,MATCH(ROWS($W$2:W589),$W$2:$W$1001,0),0), INDEX($AD$1004:$AU$1004,1,MATCH(COLUMNS($AD$1006:AR1006),$AD$1006:$AU$1006,0)))),"Fix")))</f>
        <v xml:space="preserve"> </v>
      </c>
      <c r="Q589" s="4" t="str">
        <f ca="1">IF(OR(INDEX($X$2:$X$1001,MATCH(ROWS($W$2:W589),$W$2:$W$1001,0),1)&gt;=100000,INDEX($AD$1005:$AU$1005,1,MATCH(COLUMNS($AD$1006:AS1006),$AD$1006:$AU$1006,0))&gt;=100000), " ",IF(INDEX($AD$2:$AU$1001,MATCH(ROWS($W$2:W589),$W$2:$W$1001,0),MATCH(COLUMNS($AD$1006:AS1006),$AD$1006:$AU$1006,0)), HYPERLINK("#",""), HYPERLINK(CONCATENATE("#metadata!", ADDRESS(INDEX($Y$2:$Y$1001,MATCH(ROWS($W$2:W589),$W$2:$W$1001,0),0), INDEX($AD$1004:$AU$1004,1,MATCH(COLUMNS($AD$1006:AS1006),$AD$1006:$AU$1006,0)))),"Fix")))</f>
        <v xml:space="preserve"> </v>
      </c>
      <c r="R589" s="4" t="str">
        <f ca="1">IF(OR(INDEX($X$2:$X$1001,MATCH(ROWS($W$2:W589),$W$2:$W$1001,0),1)&gt;=100000,INDEX($AD$1005:$AU$1005,1,MATCH(COLUMNS($AD$1006:AT1006),$AD$1006:$AU$1006,0))&gt;=100000), " ",IF(INDEX($AD$2:$AU$1001,MATCH(ROWS($W$2:W589),$W$2:$W$1001,0),MATCH(COLUMNS($AD$1006:AT1006),$AD$1006:$AU$1006,0)), HYPERLINK("#",""), HYPERLINK(CONCATENATE("#metadata!", ADDRESS(INDEX($Y$2:$Y$1001,MATCH(ROWS($W$2:W589),$W$2:$W$1001,0),0), INDEX($AD$1004:$AU$1004,1,MATCH(COLUMNS($AD$1006:AT1006),$AD$1006:$AU$1006,0)))),"Fix")))</f>
        <v xml:space="preserve"> </v>
      </c>
      <c r="S589" s="4" t="str">
        <f ca="1">IF(OR(INDEX($X$2:$X$1001,MATCH(ROWS($W$2:W589),$W$2:$W$1001,0),1)&gt;=100000,INDEX($AD$1005:$AU$1005,1,MATCH(COLUMNS($AD$1006:AU1006),$AD$1006:$AU$1006,0))&gt;=100000), " ",IF(INDEX($AD$2:$AU$1001,MATCH(ROWS($W$2:W589),$W$2:$W$1001,0),MATCH(COLUMNS($AD$1006:AU1006),$AD$1006:$AU$1006,0)), HYPERLINK("#",""), HYPERLINK(CONCATENATE("#metadata!", ADDRESS(INDEX($Y$2:$Y$1001,MATCH(ROWS($W$2:W589),$W$2:$W$1001,0),0), INDEX($AD$1004:$AU$1004,1,MATCH(COLUMNS($AD$1006:AU1006),$AD$1006:$AU$1006,0)))),"Fix")))</f>
        <v xml:space="preserve"> </v>
      </c>
      <c r="W589">
        <v>588</v>
      </c>
      <c r="X589">
        <v>100589</v>
      </c>
      <c r="Y589">
        <v>589</v>
      </c>
      <c r="Z589" t="b">
        <f t="shared" si="9"/>
        <v>1</v>
      </c>
      <c r="AA589" t="b">
        <f>COUNTBLANK(metadata!B589:S589)=COLUMNS(metadata!B589:S589)</f>
        <v>1</v>
      </c>
      <c r="AB589" t="str">
        <v/>
      </c>
      <c r="AD589" t="b">
        <f ca="1">AND(IF(metadata!B589="",FALSE,TRUE),COUNTIF(metadata!B:B, metadata!B589) = 1,NOT(ISERROR(SUMPRODUCT(SEARCH(MID(metadata!B589,ROW(INDIRECT("1:"&amp;LEN(metadata!B589))), 1),"0123456789abcdefghijklmnopqrstuvwxyzABCDEFGHIJKLMNOPQRSTUVWXYZ.")))))</f>
        <v>0</v>
      </c>
      <c r="AE589" t="b">
        <f>OR(AND(IF(metadata!C589="",FALSE,TRUE),OR(EXACT(metadata!C589,"not applicable"),EXACT(metadata!C589,"missing: not collected"),EXACT(metadata!C589,"missing: not provided"),EXACT(metadata!C589,"missing: restricted access"))),AND(IF(metadata!C589="",FALSE,ISNUMBER(VALUE(metadata!C589))),metadata!C589&gt;0))</f>
        <v>0</v>
      </c>
      <c r="AF589" t="b">
        <f>AND(IF(metadata!D589="",FALSE,TRUE),EXACT(metadata!D589,"missing: not provided"))</f>
        <v>0</v>
      </c>
      <c r="AG589" t="b">
        <f>AND(IF(metadata!E589="",FALSE,TRUE),EXACT(metadata!E589,"Host-associated"))</f>
        <v>0</v>
      </c>
      <c r="AH589" t="b">
        <f>AND(IF(metadata!F589="",FALSE,TRUE),OR(EXACT(metadata!F589,"Animal"),EXACT(metadata!F589,"Fungus"),EXACT(metadata!F589,"Plant")))</f>
        <v>0</v>
      </c>
      <c r="AI589" t="b">
        <f>AND(IF(metadata!G589="",FALSE,TRUE),OR(EXACT(metadata!G589,"Plant secretion"),EXACT(metadata!G589,"Plant rhizosphere"),EXACT(metadata!G589,"Plant surface"),EXACT(metadata!G589,"Plant corpus"),EXACT(metadata!G589,"Fungus surface"),EXACT(metadata!G589,"Fungus corpus"),EXACT(metadata!G589,"Animal surface"),EXACT(metadata!G589,"Animal proximal gut"),EXACT(metadata!G589,"Animal corpus"),EXACT(metadata!G589,"Animal distal gut"),EXACT(metadata!G589,"Animal secretion")))</f>
        <v>0</v>
      </c>
      <c r="AJ589" t="b">
        <f>OR(AND(IF(metadata!H589="",FALSE,TRUE),OR(EXACT(metadata!H589,"missing: not collected"),EXACT(metadata!H589,"missing: not provided"),EXACT(metadata!H589,"missing: restricted access"))),AND(IF(metadata!H589="",FALSE,TRUE),OR(EXACT(metadata!H589,"organism-associated habitat"),EXACT(metadata!H589,"plant-associated habitat"),EXACT(metadata!H589,"animal-associated habitat"),EXACT(metadata!H589,"insecta-associated habitat"),EXACT(metadata!H589,"mammalia-associated habitat"),EXACT(metadata!H589,"human-associated habitat"),EXACT(metadata!H589,"livestock-associated habitat"))))</f>
        <v>0</v>
      </c>
      <c r="AK589" t="b">
        <f>AND(IF(metadata!I589="",FALSE,TRUE),EXACT(metadata!I589,"host-associated"))</f>
        <v>0</v>
      </c>
      <c r="AL589" t="b">
        <f>OR(AND(IF(metadata!J589="",FALSE,TRUE),OR(EXACT(metadata!J589,"not applicable"),EXACT(metadata!J589,"missing: not collected"),EXACT(metadata!J589,"missing: not provided"),EXACT(metadata!J589,"missing: restricted access"))),AND(IF(metadata!J589="",FALSE,ISNUMBER(VALUE(metadata!J589))),metadata!J589&gt;0))</f>
        <v>0</v>
      </c>
      <c r="AM589" t="b">
        <f>AND(IF(metadata!K589="",FALSE,TRUE),EXACT(metadata!K589,"missing: not provided"))</f>
        <v>0</v>
      </c>
      <c r="AN589" t="b">
        <f>IF(metadata!L589="",FALSE,TRUE)</f>
        <v>0</v>
      </c>
      <c r="AO589" t="b">
        <f>IF(metadata!M589="",FALSE,TRUE)</f>
        <v>0</v>
      </c>
      <c r="AP589" t="b">
        <f>OR(AND(IF(metadata!N589="",FALSE,TRUE),OR(EXACT(metadata!N589,"not applicable"),EXACT(metadata!N589,"missing: not collected"),EXACT(metadata!N589,"missing: not provided"))),AND(IF(metadata!N589="",FALSE,IF(ISERROR(INT(metadata!N589)),FALSE,INT(metadata!N589)=metadata!N589)),metadata!N589&gt;0))</f>
        <v>0</v>
      </c>
      <c r="AQ589" t="b">
        <f>AND(IF(metadata!O589="",FALSE,TRUE),EXACT(metadata!O589,"Not applicable"))</f>
        <v>0</v>
      </c>
      <c r="AR589" t="b">
        <f>OR(AND(IF(metadata!P589="",FALSE,TRUE),OR(EXACT(metadata!P589,"not applicable"),EXACT(metadata!P589,"missing: not collected"),EXACT(metadata!P589,"missing: not provided"),EXACT(metadata!P589,"missing: restricted access"))),IF(metadata!P589="",FALSE,IF(ISERROR(INT(metadata!P589)),FALSE,INT(metadata!P589)=metadata!P589)))</f>
        <v>0</v>
      </c>
      <c r="AS589" t="b">
        <f>AND(IF(metadata!Q589="",FALSE,TRUE),EXACT(metadata!Q589,"Not applicable"))</f>
        <v>0</v>
      </c>
      <c r="AT589" t="b">
        <f>OR(AND(IF(metadata!R589="",FALSE,TRUE),OR(EXACT(metadata!R589,"not applicable"),EXACT(metadata!R589,"missing: not collected"),EXACT(metadata!R589,"missing: not provided"),EXACT(metadata!R589,"missing: restricted access"))),AND(IF(metadata!R589="",FALSE,ISNUMBER(VALUE(metadata!R589))),metadata!R589&gt;0))</f>
        <v>0</v>
      </c>
      <c r="AU589" t="b">
        <f>AND(IF(metadata!S589="",FALSE,TRUE),EXACT(metadata!S589,"missing: not provided"))</f>
        <v>0</v>
      </c>
    </row>
    <row r="590" spans="1:47" x14ac:dyDescent="0.2">
      <c r="A590" s="5" t="str">
        <f ca="1">IF(B590=" "," ",HYPERLINK(CONCATENATE("#metadata!",ADDRESS(INDEX($Y$2:$Y$1001,MATCH(ROWS($W$2:W590),$W$2:$W$1001,0),0),1)),INDEX($AB$2:$AB$1001,MATCH(ROWS($W$2:W590),$W$2:$W$1001,0),0)))</f>
        <v xml:space="preserve"> </v>
      </c>
      <c r="B590" s="4" t="str">
        <f ca="1">IF(OR(INDEX($X$2:$X$1001,MATCH(ROWS($W$2:W590),$W$2:$W$1001,0),1)&gt;=100000,INDEX($AD$1005:$AU$1005,1,MATCH(COLUMNS($AD$1006:AD1006),$AD$1006:$AU$1006,0))&gt;=100000), " ",IF(INDEX($AD$2:$AU$1001,MATCH(ROWS($W$2:W590),$W$2:$W$1001,0),MATCH(COLUMNS($AD$1006:AD1006),$AD$1006:$AU$1006,0)), HYPERLINK("#",""), HYPERLINK(CONCATENATE("#metadata!", ADDRESS(INDEX($Y$2:$Y$1001,MATCH(ROWS($W$2:W590),$W$2:$W$1001,0),0), INDEX($AD$1004:$AU$1004,1,MATCH(COLUMNS($AD$1006:AD1006),$AD$1006:$AU$1006,0)))),"Fix")))</f>
        <v xml:space="preserve"> </v>
      </c>
      <c r="C590" s="4" t="str">
        <f ca="1">IF(OR(INDEX($X$2:$X$1001,MATCH(ROWS($W$2:W590),$W$2:$W$1001,0),1)&gt;=100000,INDEX($AD$1005:$AU$1005,1,MATCH(COLUMNS($AD$1006:AE1006),$AD$1006:$AU$1006,0))&gt;=100000), " ",IF(INDEX($AD$2:$AU$1001,MATCH(ROWS($W$2:W590),$W$2:$W$1001,0),MATCH(COLUMNS($AD$1006:AE1006),$AD$1006:$AU$1006,0)), HYPERLINK("#",""), HYPERLINK(CONCATENATE("#metadata!", ADDRESS(INDEX($Y$2:$Y$1001,MATCH(ROWS($W$2:W590),$W$2:$W$1001,0),0), INDEX($AD$1004:$AU$1004,1,MATCH(COLUMNS($AD$1006:AE1006),$AD$1006:$AU$1006,0)))),"Fix")))</f>
        <v xml:space="preserve"> </v>
      </c>
      <c r="D590" s="4" t="str">
        <f ca="1">IF(OR(INDEX($X$2:$X$1001,MATCH(ROWS($W$2:W590),$W$2:$W$1001,0),1)&gt;=100000,INDEX($AD$1005:$AU$1005,1,MATCH(COLUMNS($AD$1006:AF1006),$AD$1006:$AU$1006,0))&gt;=100000), " ",IF(INDEX($AD$2:$AU$1001,MATCH(ROWS($W$2:W590),$W$2:$W$1001,0),MATCH(COLUMNS($AD$1006:AF1006),$AD$1006:$AU$1006,0)), HYPERLINK("#",""), HYPERLINK(CONCATENATE("#metadata!", ADDRESS(INDEX($Y$2:$Y$1001,MATCH(ROWS($W$2:W590),$W$2:$W$1001,0),0), INDEX($AD$1004:$AU$1004,1,MATCH(COLUMNS($AD$1006:AF1006),$AD$1006:$AU$1006,0)))),"Fix")))</f>
        <v xml:space="preserve"> </v>
      </c>
      <c r="E590" s="4" t="str">
        <f ca="1">IF(OR(INDEX($X$2:$X$1001,MATCH(ROWS($W$2:W590),$W$2:$W$1001,0),1)&gt;=100000,INDEX($AD$1005:$AU$1005,1,MATCH(COLUMNS($AD$1006:AG1006),$AD$1006:$AU$1006,0))&gt;=100000), " ",IF(INDEX($AD$2:$AU$1001,MATCH(ROWS($W$2:W590),$W$2:$W$1001,0),MATCH(COLUMNS($AD$1006:AG1006),$AD$1006:$AU$1006,0)), HYPERLINK("#",""), HYPERLINK(CONCATENATE("#metadata!", ADDRESS(INDEX($Y$2:$Y$1001,MATCH(ROWS($W$2:W590),$W$2:$W$1001,0),0), INDEX($AD$1004:$AU$1004,1,MATCH(COLUMNS($AD$1006:AG1006),$AD$1006:$AU$1006,0)))),"Fix")))</f>
        <v xml:space="preserve"> </v>
      </c>
      <c r="F590" s="4" t="str">
        <f ca="1">IF(OR(INDEX($X$2:$X$1001,MATCH(ROWS($W$2:W590),$W$2:$W$1001,0),1)&gt;=100000,INDEX($AD$1005:$AU$1005,1,MATCH(COLUMNS($AD$1006:AH1006),$AD$1006:$AU$1006,0))&gt;=100000), " ",IF(INDEX($AD$2:$AU$1001,MATCH(ROWS($W$2:W590),$W$2:$W$1001,0),MATCH(COLUMNS($AD$1006:AH1006),$AD$1006:$AU$1006,0)), HYPERLINK("#",""), HYPERLINK(CONCATENATE("#metadata!", ADDRESS(INDEX($Y$2:$Y$1001,MATCH(ROWS($W$2:W590),$W$2:$W$1001,0),0), INDEX($AD$1004:$AU$1004,1,MATCH(COLUMNS($AD$1006:AH1006),$AD$1006:$AU$1006,0)))),"Fix")))</f>
        <v xml:space="preserve"> </v>
      </c>
      <c r="G590" s="4" t="str">
        <f ca="1">IF(OR(INDEX($X$2:$X$1001,MATCH(ROWS($W$2:W590),$W$2:$W$1001,0),1)&gt;=100000,INDEX($AD$1005:$AU$1005,1,MATCH(COLUMNS($AD$1006:AI1006),$AD$1006:$AU$1006,0))&gt;=100000), " ",IF(INDEX($AD$2:$AU$1001,MATCH(ROWS($W$2:W590),$W$2:$W$1001,0),MATCH(COLUMNS($AD$1006:AI1006),$AD$1006:$AU$1006,0)), HYPERLINK("#",""), HYPERLINK(CONCATENATE("#metadata!", ADDRESS(INDEX($Y$2:$Y$1001,MATCH(ROWS($W$2:W590),$W$2:$W$1001,0),0), INDEX($AD$1004:$AU$1004,1,MATCH(COLUMNS($AD$1006:AI1006),$AD$1006:$AU$1006,0)))),"Fix")))</f>
        <v xml:space="preserve"> </v>
      </c>
      <c r="H590" s="4" t="str">
        <f ca="1">IF(OR(INDEX($X$2:$X$1001,MATCH(ROWS($W$2:W590),$W$2:$W$1001,0),1)&gt;=100000,INDEX($AD$1005:$AU$1005,1,MATCH(COLUMNS($AD$1006:AJ1006),$AD$1006:$AU$1006,0))&gt;=100000), " ",IF(INDEX($AD$2:$AU$1001,MATCH(ROWS($W$2:W590),$W$2:$W$1001,0),MATCH(COLUMNS($AD$1006:AJ1006),$AD$1006:$AU$1006,0)), HYPERLINK("#",""), HYPERLINK(CONCATENATE("#metadata!", ADDRESS(INDEX($Y$2:$Y$1001,MATCH(ROWS($W$2:W590),$W$2:$W$1001,0),0), INDEX($AD$1004:$AU$1004,1,MATCH(COLUMNS($AD$1006:AJ1006),$AD$1006:$AU$1006,0)))),"Fix")))</f>
        <v xml:space="preserve"> </v>
      </c>
      <c r="I590" s="4" t="str">
        <f ca="1">IF(OR(INDEX($X$2:$X$1001,MATCH(ROWS($W$2:W590),$W$2:$W$1001,0),1)&gt;=100000,INDEX($AD$1005:$AU$1005,1,MATCH(COLUMNS($AD$1006:AK1006),$AD$1006:$AU$1006,0))&gt;=100000), " ",IF(INDEX($AD$2:$AU$1001,MATCH(ROWS($W$2:W590),$W$2:$W$1001,0),MATCH(COLUMNS($AD$1006:AK1006),$AD$1006:$AU$1006,0)), HYPERLINK("#",""), HYPERLINK(CONCATENATE("#metadata!", ADDRESS(INDEX($Y$2:$Y$1001,MATCH(ROWS($W$2:W590),$W$2:$W$1001,0),0), INDEX($AD$1004:$AU$1004,1,MATCH(COLUMNS($AD$1006:AK1006),$AD$1006:$AU$1006,0)))),"Fix")))</f>
        <v xml:space="preserve"> </v>
      </c>
      <c r="J590" s="4" t="str">
        <f ca="1">IF(OR(INDEX($X$2:$X$1001,MATCH(ROWS($W$2:W590),$W$2:$W$1001,0),1)&gt;=100000,INDEX($AD$1005:$AU$1005,1,MATCH(COLUMNS($AD$1006:AL1006),$AD$1006:$AU$1006,0))&gt;=100000), " ",IF(INDEX($AD$2:$AU$1001,MATCH(ROWS($W$2:W590),$W$2:$W$1001,0),MATCH(COLUMNS($AD$1006:AL1006),$AD$1006:$AU$1006,0)), HYPERLINK("#",""), HYPERLINK(CONCATENATE("#metadata!", ADDRESS(INDEX($Y$2:$Y$1001,MATCH(ROWS($W$2:W590),$W$2:$W$1001,0),0), INDEX($AD$1004:$AU$1004,1,MATCH(COLUMNS($AD$1006:AL1006),$AD$1006:$AU$1006,0)))),"Fix")))</f>
        <v xml:space="preserve"> </v>
      </c>
      <c r="K590" s="4" t="str">
        <f ca="1">IF(OR(INDEX($X$2:$X$1001,MATCH(ROWS($W$2:W590),$W$2:$W$1001,0),1)&gt;=100000,INDEX($AD$1005:$AU$1005,1,MATCH(COLUMNS($AD$1006:AM1006),$AD$1006:$AU$1006,0))&gt;=100000), " ",IF(INDEX($AD$2:$AU$1001,MATCH(ROWS($W$2:W590),$W$2:$W$1001,0),MATCH(COLUMNS($AD$1006:AM1006),$AD$1006:$AU$1006,0)), HYPERLINK("#",""), HYPERLINK(CONCATENATE("#metadata!", ADDRESS(INDEX($Y$2:$Y$1001,MATCH(ROWS($W$2:W590),$W$2:$W$1001,0),0), INDEX($AD$1004:$AU$1004,1,MATCH(COLUMNS($AD$1006:AM1006),$AD$1006:$AU$1006,0)))),"Fix")))</f>
        <v xml:space="preserve"> </v>
      </c>
      <c r="L590" s="4" t="str">
        <f ca="1">IF(OR(INDEX($X$2:$X$1001,MATCH(ROWS($W$2:W590),$W$2:$W$1001,0),1)&gt;=100000,INDEX($AD$1005:$AU$1005,1,MATCH(COLUMNS($AD$1006:AN1006),$AD$1006:$AU$1006,0))&gt;=100000), " ",IF(INDEX($AD$2:$AU$1001,MATCH(ROWS($W$2:W590),$W$2:$W$1001,0),MATCH(COLUMNS($AD$1006:AN1006),$AD$1006:$AU$1006,0)), HYPERLINK("#",""), HYPERLINK(CONCATENATE("#metadata!", ADDRESS(INDEX($Y$2:$Y$1001,MATCH(ROWS($W$2:W590),$W$2:$W$1001,0),0), INDEX($AD$1004:$AU$1004,1,MATCH(COLUMNS($AD$1006:AN1006),$AD$1006:$AU$1006,0)))),"Fix")))</f>
        <v xml:space="preserve"> </v>
      </c>
      <c r="M590" s="4" t="str">
        <f ca="1">IF(OR(INDEX($X$2:$X$1001,MATCH(ROWS($W$2:W590),$W$2:$W$1001,0),1)&gt;=100000,INDEX($AD$1005:$AU$1005,1,MATCH(COLUMNS($AD$1006:AO1006),$AD$1006:$AU$1006,0))&gt;=100000), " ",IF(INDEX($AD$2:$AU$1001,MATCH(ROWS($W$2:W590),$W$2:$W$1001,0),MATCH(COLUMNS($AD$1006:AO1006),$AD$1006:$AU$1006,0)), HYPERLINK("#",""), HYPERLINK(CONCATENATE("#metadata!", ADDRESS(INDEX($Y$2:$Y$1001,MATCH(ROWS($W$2:W590),$W$2:$W$1001,0),0), INDEX($AD$1004:$AU$1004,1,MATCH(COLUMNS($AD$1006:AO1006),$AD$1006:$AU$1006,0)))),"Fix")))</f>
        <v xml:space="preserve"> </v>
      </c>
      <c r="N590" s="4" t="str">
        <f ca="1">IF(OR(INDEX($X$2:$X$1001,MATCH(ROWS($W$2:W590),$W$2:$W$1001,0),1)&gt;=100000,INDEX($AD$1005:$AU$1005,1,MATCH(COLUMNS($AD$1006:AP1006),$AD$1006:$AU$1006,0))&gt;=100000), " ",IF(INDEX($AD$2:$AU$1001,MATCH(ROWS($W$2:W590),$W$2:$W$1001,0),MATCH(COLUMNS($AD$1006:AP1006),$AD$1006:$AU$1006,0)), HYPERLINK("#",""), HYPERLINK(CONCATENATE("#metadata!", ADDRESS(INDEX($Y$2:$Y$1001,MATCH(ROWS($W$2:W590),$W$2:$W$1001,0),0), INDEX($AD$1004:$AU$1004,1,MATCH(COLUMNS($AD$1006:AP1006),$AD$1006:$AU$1006,0)))),"Fix")))</f>
        <v xml:space="preserve"> </v>
      </c>
      <c r="O590" s="4" t="str">
        <f ca="1">IF(OR(INDEX($X$2:$X$1001,MATCH(ROWS($W$2:W590),$W$2:$W$1001,0),1)&gt;=100000,INDEX($AD$1005:$AU$1005,1,MATCH(COLUMNS($AD$1006:AQ1006),$AD$1006:$AU$1006,0))&gt;=100000), " ",IF(INDEX($AD$2:$AU$1001,MATCH(ROWS($W$2:W590),$W$2:$W$1001,0),MATCH(COLUMNS($AD$1006:AQ1006),$AD$1006:$AU$1006,0)), HYPERLINK("#",""), HYPERLINK(CONCATENATE("#metadata!", ADDRESS(INDEX($Y$2:$Y$1001,MATCH(ROWS($W$2:W590),$W$2:$W$1001,0),0), INDEX($AD$1004:$AU$1004,1,MATCH(COLUMNS($AD$1006:AQ1006),$AD$1006:$AU$1006,0)))),"Fix")))</f>
        <v xml:space="preserve"> </v>
      </c>
      <c r="P590" s="4" t="str">
        <f ca="1">IF(OR(INDEX($X$2:$X$1001,MATCH(ROWS($W$2:W590),$W$2:$W$1001,0),1)&gt;=100000,INDEX($AD$1005:$AU$1005,1,MATCH(COLUMNS($AD$1006:AR1006),$AD$1006:$AU$1006,0))&gt;=100000), " ",IF(INDEX($AD$2:$AU$1001,MATCH(ROWS($W$2:W590),$W$2:$W$1001,0),MATCH(COLUMNS($AD$1006:AR1006),$AD$1006:$AU$1006,0)), HYPERLINK("#",""), HYPERLINK(CONCATENATE("#metadata!", ADDRESS(INDEX($Y$2:$Y$1001,MATCH(ROWS($W$2:W590),$W$2:$W$1001,0),0), INDEX($AD$1004:$AU$1004,1,MATCH(COLUMNS($AD$1006:AR1006),$AD$1006:$AU$1006,0)))),"Fix")))</f>
        <v xml:space="preserve"> </v>
      </c>
      <c r="Q590" s="4" t="str">
        <f ca="1">IF(OR(INDEX($X$2:$X$1001,MATCH(ROWS($W$2:W590),$W$2:$W$1001,0),1)&gt;=100000,INDEX($AD$1005:$AU$1005,1,MATCH(COLUMNS($AD$1006:AS1006),$AD$1006:$AU$1006,0))&gt;=100000), " ",IF(INDEX($AD$2:$AU$1001,MATCH(ROWS($W$2:W590),$W$2:$W$1001,0),MATCH(COLUMNS($AD$1006:AS1006),$AD$1006:$AU$1006,0)), HYPERLINK("#",""), HYPERLINK(CONCATENATE("#metadata!", ADDRESS(INDEX($Y$2:$Y$1001,MATCH(ROWS($W$2:W590),$W$2:$W$1001,0),0), INDEX($AD$1004:$AU$1004,1,MATCH(COLUMNS($AD$1006:AS1006),$AD$1006:$AU$1006,0)))),"Fix")))</f>
        <v xml:space="preserve"> </v>
      </c>
      <c r="R590" s="4" t="str">
        <f ca="1">IF(OR(INDEX($X$2:$X$1001,MATCH(ROWS($W$2:W590),$W$2:$W$1001,0),1)&gt;=100000,INDEX($AD$1005:$AU$1005,1,MATCH(COLUMNS($AD$1006:AT1006),$AD$1006:$AU$1006,0))&gt;=100000), " ",IF(INDEX($AD$2:$AU$1001,MATCH(ROWS($W$2:W590),$W$2:$W$1001,0),MATCH(COLUMNS($AD$1006:AT1006),$AD$1006:$AU$1006,0)), HYPERLINK("#",""), HYPERLINK(CONCATENATE("#metadata!", ADDRESS(INDEX($Y$2:$Y$1001,MATCH(ROWS($W$2:W590),$W$2:$W$1001,0),0), INDEX($AD$1004:$AU$1004,1,MATCH(COLUMNS($AD$1006:AT1006),$AD$1006:$AU$1006,0)))),"Fix")))</f>
        <v xml:space="preserve"> </v>
      </c>
      <c r="S590" s="4" t="str">
        <f ca="1">IF(OR(INDEX($X$2:$X$1001,MATCH(ROWS($W$2:W590),$W$2:$W$1001,0),1)&gt;=100000,INDEX($AD$1005:$AU$1005,1,MATCH(COLUMNS($AD$1006:AU1006),$AD$1006:$AU$1006,0))&gt;=100000), " ",IF(INDEX($AD$2:$AU$1001,MATCH(ROWS($W$2:W590),$W$2:$W$1001,0),MATCH(COLUMNS($AD$1006:AU1006),$AD$1006:$AU$1006,0)), HYPERLINK("#",""), HYPERLINK(CONCATENATE("#metadata!", ADDRESS(INDEX($Y$2:$Y$1001,MATCH(ROWS($W$2:W590),$W$2:$W$1001,0),0), INDEX($AD$1004:$AU$1004,1,MATCH(COLUMNS($AD$1006:AU1006),$AD$1006:$AU$1006,0)))),"Fix")))</f>
        <v xml:space="preserve"> </v>
      </c>
      <c r="W590">
        <v>589</v>
      </c>
      <c r="X590">
        <v>100590</v>
      </c>
      <c r="Y590">
        <v>590</v>
      </c>
      <c r="Z590" t="b">
        <f t="shared" si="9"/>
        <v>1</v>
      </c>
      <c r="AA590" t="b">
        <f>COUNTBLANK(metadata!B590:S590)=COLUMNS(metadata!B590:S590)</f>
        <v>1</v>
      </c>
      <c r="AB590" t="str">
        <v/>
      </c>
      <c r="AD590" t="b">
        <f ca="1">AND(IF(metadata!B590="",FALSE,TRUE),COUNTIF(metadata!B:B, metadata!B590) = 1,NOT(ISERROR(SUMPRODUCT(SEARCH(MID(metadata!B590,ROW(INDIRECT("1:"&amp;LEN(metadata!B590))), 1),"0123456789abcdefghijklmnopqrstuvwxyzABCDEFGHIJKLMNOPQRSTUVWXYZ.")))))</f>
        <v>0</v>
      </c>
      <c r="AE590" t="b">
        <f>OR(AND(IF(metadata!C590="",FALSE,TRUE),OR(EXACT(metadata!C590,"not applicable"),EXACT(metadata!C590,"missing: not collected"),EXACT(metadata!C590,"missing: not provided"),EXACT(metadata!C590,"missing: restricted access"))),AND(IF(metadata!C590="",FALSE,ISNUMBER(VALUE(metadata!C590))),metadata!C590&gt;0))</f>
        <v>0</v>
      </c>
      <c r="AF590" t="b">
        <f>AND(IF(metadata!D590="",FALSE,TRUE),EXACT(metadata!D590,"missing: not provided"))</f>
        <v>0</v>
      </c>
      <c r="AG590" t="b">
        <f>AND(IF(metadata!E590="",FALSE,TRUE),EXACT(metadata!E590,"Host-associated"))</f>
        <v>0</v>
      </c>
      <c r="AH590" t="b">
        <f>AND(IF(metadata!F590="",FALSE,TRUE),OR(EXACT(metadata!F590,"Animal"),EXACT(metadata!F590,"Fungus"),EXACT(metadata!F590,"Plant")))</f>
        <v>0</v>
      </c>
      <c r="AI590" t="b">
        <f>AND(IF(metadata!G590="",FALSE,TRUE),OR(EXACT(metadata!G590,"Plant secretion"),EXACT(metadata!G590,"Plant rhizosphere"),EXACT(metadata!G590,"Plant surface"),EXACT(metadata!G590,"Plant corpus"),EXACT(metadata!G590,"Fungus surface"),EXACT(metadata!G590,"Fungus corpus"),EXACT(metadata!G590,"Animal surface"),EXACT(metadata!G590,"Animal proximal gut"),EXACT(metadata!G590,"Animal corpus"),EXACT(metadata!G590,"Animal distal gut"),EXACT(metadata!G590,"Animal secretion")))</f>
        <v>0</v>
      </c>
      <c r="AJ590" t="b">
        <f>OR(AND(IF(metadata!H590="",FALSE,TRUE),OR(EXACT(metadata!H590,"missing: not collected"),EXACT(metadata!H590,"missing: not provided"),EXACT(metadata!H590,"missing: restricted access"))),AND(IF(metadata!H590="",FALSE,TRUE),OR(EXACT(metadata!H590,"organism-associated habitat"),EXACT(metadata!H590,"plant-associated habitat"),EXACT(metadata!H590,"animal-associated habitat"),EXACT(metadata!H590,"insecta-associated habitat"),EXACT(metadata!H590,"mammalia-associated habitat"),EXACT(metadata!H590,"human-associated habitat"),EXACT(metadata!H590,"livestock-associated habitat"))))</f>
        <v>0</v>
      </c>
      <c r="AK590" t="b">
        <f>AND(IF(metadata!I590="",FALSE,TRUE),EXACT(metadata!I590,"host-associated"))</f>
        <v>0</v>
      </c>
      <c r="AL590" t="b">
        <f>OR(AND(IF(metadata!J590="",FALSE,TRUE),OR(EXACT(metadata!J590,"not applicable"),EXACT(metadata!J590,"missing: not collected"),EXACT(metadata!J590,"missing: not provided"),EXACT(metadata!J590,"missing: restricted access"))),AND(IF(metadata!J590="",FALSE,ISNUMBER(VALUE(metadata!J590))),metadata!J590&gt;0))</f>
        <v>0</v>
      </c>
      <c r="AM590" t="b">
        <f>AND(IF(metadata!K590="",FALSE,TRUE),EXACT(metadata!K590,"missing: not provided"))</f>
        <v>0</v>
      </c>
      <c r="AN590" t="b">
        <f>IF(metadata!L590="",FALSE,TRUE)</f>
        <v>0</v>
      </c>
      <c r="AO590" t="b">
        <f>IF(metadata!M590="",FALSE,TRUE)</f>
        <v>0</v>
      </c>
      <c r="AP590" t="b">
        <f>OR(AND(IF(metadata!N590="",FALSE,TRUE),OR(EXACT(metadata!N590,"not applicable"),EXACT(metadata!N590,"missing: not collected"),EXACT(metadata!N590,"missing: not provided"))),AND(IF(metadata!N590="",FALSE,IF(ISERROR(INT(metadata!N590)),FALSE,INT(metadata!N590)=metadata!N590)),metadata!N590&gt;0))</f>
        <v>0</v>
      </c>
      <c r="AQ590" t="b">
        <f>AND(IF(metadata!O590="",FALSE,TRUE),EXACT(metadata!O590,"Not applicable"))</f>
        <v>0</v>
      </c>
      <c r="AR590" t="b">
        <f>OR(AND(IF(metadata!P590="",FALSE,TRUE),OR(EXACT(metadata!P590,"not applicable"),EXACT(metadata!P590,"missing: not collected"),EXACT(metadata!P590,"missing: not provided"),EXACT(metadata!P590,"missing: restricted access"))),IF(metadata!P590="",FALSE,IF(ISERROR(INT(metadata!P590)),FALSE,INT(metadata!P590)=metadata!P590)))</f>
        <v>0</v>
      </c>
      <c r="AS590" t="b">
        <f>AND(IF(metadata!Q590="",FALSE,TRUE),EXACT(metadata!Q590,"Not applicable"))</f>
        <v>0</v>
      </c>
      <c r="AT590" t="b">
        <f>OR(AND(IF(metadata!R590="",FALSE,TRUE),OR(EXACT(metadata!R590,"not applicable"),EXACT(metadata!R590,"missing: not collected"),EXACT(metadata!R590,"missing: not provided"),EXACT(metadata!R590,"missing: restricted access"))),AND(IF(metadata!R590="",FALSE,ISNUMBER(VALUE(metadata!R590))),metadata!R590&gt;0))</f>
        <v>0</v>
      </c>
      <c r="AU590" t="b">
        <f>AND(IF(metadata!S590="",FALSE,TRUE),EXACT(metadata!S590,"missing: not provided"))</f>
        <v>0</v>
      </c>
    </row>
    <row r="591" spans="1:47" x14ac:dyDescent="0.2">
      <c r="A591" s="5" t="str">
        <f ca="1">IF(B591=" "," ",HYPERLINK(CONCATENATE("#metadata!",ADDRESS(INDEX($Y$2:$Y$1001,MATCH(ROWS($W$2:W591),$W$2:$W$1001,0),0),1)),INDEX($AB$2:$AB$1001,MATCH(ROWS($W$2:W591),$W$2:$W$1001,0),0)))</f>
        <v xml:space="preserve"> </v>
      </c>
      <c r="B591" s="4" t="str">
        <f ca="1">IF(OR(INDEX($X$2:$X$1001,MATCH(ROWS($W$2:W591),$W$2:$W$1001,0),1)&gt;=100000,INDEX($AD$1005:$AU$1005,1,MATCH(COLUMNS($AD$1006:AD1006),$AD$1006:$AU$1006,0))&gt;=100000), " ",IF(INDEX($AD$2:$AU$1001,MATCH(ROWS($W$2:W591),$W$2:$W$1001,0),MATCH(COLUMNS($AD$1006:AD1006),$AD$1006:$AU$1006,0)), HYPERLINK("#",""), HYPERLINK(CONCATENATE("#metadata!", ADDRESS(INDEX($Y$2:$Y$1001,MATCH(ROWS($W$2:W591),$W$2:$W$1001,0),0), INDEX($AD$1004:$AU$1004,1,MATCH(COLUMNS($AD$1006:AD1006),$AD$1006:$AU$1006,0)))),"Fix")))</f>
        <v xml:space="preserve"> </v>
      </c>
      <c r="C591" s="4" t="str">
        <f ca="1">IF(OR(INDEX($X$2:$X$1001,MATCH(ROWS($W$2:W591),$W$2:$W$1001,0),1)&gt;=100000,INDEX($AD$1005:$AU$1005,1,MATCH(COLUMNS($AD$1006:AE1006),$AD$1006:$AU$1006,0))&gt;=100000), " ",IF(INDEX($AD$2:$AU$1001,MATCH(ROWS($W$2:W591),$W$2:$W$1001,0),MATCH(COLUMNS($AD$1006:AE1006),$AD$1006:$AU$1006,0)), HYPERLINK("#",""), HYPERLINK(CONCATENATE("#metadata!", ADDRESS(INDEX($Y$2:$Y$1001,MATCH(ROWS($W$2:W591),$W$2:$W$1001,0),0), INDEX($AD$1004:$AU$1004,1,MATCH(COLUMNS($AD$1006:AE1006),$AD$1006:$AU$1006,0)))),"Fix")))</f>
        <v xml:space="preserve"> </v>
      </c>
      <c r="D591" s="4" t="str">
        <f ca="1">IF(OR(INDEX($X$2:$X$1001,MATCH(ROWS($W$2:W591),$W$2:$W$1001,0),1)&gt;=100000,INDEX($AD$1005:$AU$1005,1,MATCH(COLUMNS($AD$1006:AF1006),$AD$1006:$AU$1006,0))&gt;=100000), " ",IF(INDEX($AD$2:$AU$1001,MATCH(ROWS($W$2:W591),$W$2:$W$1001,0),MATCH(COLUMNS($AD$1006:AF1006),$AD$1006:$AU$1006,0)), HYPERLINK("#",""), HYPERLINK(CONCATENATE("#metadata!", ADDRESS(INDEX($Y$2:$Y$1001,MATCH(ROWS($W$2:W591),$W$2:$W$1001,0),0), INDEX($AD$1004:$AU$1004,1,MATCH(COLUMNS($AD$1006:AF1006),$AD$1006:$AU$1006,0)))),"Fix")))</f>
        <v xml:space="preserve"> </v>
      </c>
      <c r="E591" s="4" t="str">
        <f ca="1">IF(OR(INDEX($X$2:$X$1001,MATCH(ROWS($W$2:W591),$W$2:$W$1001,0),1)&gt;=100000,INDEX($AD$1005:$AU$1005,1,MATCH(COLUMNS($AD$1006:AG1006),$AD$1006:$AU$1006,0))&gt;=100000), " ",IF(INDEX($AD$2:$AU$1001,MATCH(ROWS($W$2:W591),$W$2:$W$1001,0),MATCH(COLUMNS($AD$1006:AG1006),$AD$1006:$AU$1006,0)), HYPERLINK("#",""), HYPERLINK(CONCATENATE("#metadata!", ADDRESS(INDEX($Y$2:$Y$1001,MATCH(ROWS($W$2:W591),$W$2:$W$1001,0),0), INDEX($AD$1004:$AU$1004,1,MATCH(COLUMNS($AD$1006:AG1006),$AD$1006:$AU$1006,0)))),"Fix")))</f>
        <v xml:space="preserve"> </v>
      </c>
      <c r="F591" s="4" t="str">
        <f ca="1">IF(OR(INDEX($X$2:$X$1001,MATCH(ROWS($W$2:W591),$W$2:$W$1001,0),1)&gt;=100000,INDEX($AD$1005:$AU$1005,1,MATCH(COLUMNS($AD$1006:AH1006),$AD$1006:$AU$1006,0))&gt;=100000), " ",IF(INDEX($AD$2:$AU$1001,MATCH(ROWS($W$2:W591),$W$2:$W$1001,0),MATCH(COLUMNS($AD$1006:AH1006),$AD$1006:$AU$1006,0)), HYPERLINK("#",""), HYPERLINK(CONCATENATE("#metadata!", ADDRESS(INDEX($Y$2:$Y$1001,MATCH(ROWS($W$2:W591),$W$2:$W$1001,0),0), INDEX($AD$1004:$AU$1004,1,MATCH(COLUMNS($AD$1006:AH1006),$AD$1006:$AU$1006,0)))),"Fix")))</f>
        <v xml:space="preserve"> </v>
      </c>
      <c r="G591" s="4" t="str">
        <f ca="1">IF(OR(INDEX($X$2:$X$1001,MATCH(ROWS($W$2:W591),$W$2:$W$1001,0),1)&gt;=100000,INDEX($AD$1005:$AU$1005,1,MATCH(COLUMNS($AD$1006:AI1006),$AD$1006:$AU$1006,0))&gt;=100000), " ",IF(INDEX($AD$2:$AU$1001,MATCH(ROWS($W$2:W591),$W$2:$W$1001,0),MATCH(COLUMNS($AD$1006:AI1006),$AD$1006:$AU$1006,0)), HYPERLINK("#",""), HYPERLINK(CONCATENATE("#metadata!", ADDRESS(INDEX($Y$2:$Y$1001,MATCH(ROWS($W$2:W591),$W$2:$W$1001,0),0), INDEX($AD$1004:$AU$1004,1,MATCH(COLUMNS($AD$1006:AI1006),$AD$1006:$AU$1006,0)))),"Fix")))</f>
        <v xml:space="preserve"> </v>
      </c>
      <c r="H591" s="4" t="str">
        <f ca="1">IF(OR(INDEX($X$2:$X$1001,MATCH(ROWS($W$2:W591),$W$2:$W$1001,0),1)&gt;=100000,INDEX($AD$1005:$AU$1005,1,MATCH(COLUMNS($AD$1006:AJ1006),$AD$1006:$AU$1006,0))&gt;=100000), " ",IF(INDEX($AD$2:$AU$1001,MATCH(ROWS($W$2:W591),$W$2:$W$1001,0),MATCH(COLUMNS($AD$1006:AJ1006),$AD$1006:$AU$1006,0)), HYPERLINK("#",""), HYPERLINK(CONCATENATE("#metadata!", ADDRESS(INDEX($Y$2:$Y$1001,MATCH(ROWS($W$2:W591),$W$2:$W$1001,0),0), INDEX($AD$1004:$AU$1004,1,MATCH(COLUMNS($AD$1006:AJ1006),$AD$1006:$AU$1006,0)))),"Fix")))</f>
        <v xml:space="preserve"> </v>
      </c>
      <c r="I591" s="4" t="str">
        <f ca="1">IF(OR(INDEX($X$2:$X$1001,MATCH(ROWS($W$2:W591),$W$2:$W$1001,0),1)&gt;=100000,INDEX($AD$1005:$AU$1005,1,MATCH(COLUMNS($AD$1006:AK1006),$AD$1006:$AU$1006,0))&gt;=100000), " ",IF(INDEX($AD$2:$AU$1001,MATCH(ROWS($W$2:W591),$W$2:$W$1001,0),MATCH(COLUMNS($AD$1006:AK1006),$AD$1006:$AU$1006,0)), HYPERLINK("#",""), HYPERLINK(CONCATENATE("#metadata!", ADDRESS(INDEX($Y$2:$Y$1001,MATCH(ROWS($W$2:W591),$W$2:$W$1001,0),0), INDEX($AD$1004:$AU$1004,1,MATCH(COLUMNS($AD$1006:AK1006),$AD$1006:$AU$1006,0)))),"Fix")))</f>
        <v xml:space="preserve"> </v>
      </c>
      <c r="J591" s="4" t="str">
        <f ca="1">IF(OR(INDEX($X$2:$X$1001,MATCH(ROWS($W$2:W591),$W$2:$W$1001,0),1)&gt;=100000,INDEX($AD$1005:$AU$1005,1,MATCH(COLUMNS($AD$1006:AL1006),$AD$1006:$AU$1006,0))&gt;=100000), " ",IF(INDEX($AD$2:$AU$1001,MATCH(ROWS($W$2:W591),$W$2:$W$1001,0),MATCH(COLUMNS($AD$1006:AL1006),$AD$1006:$AU$1006,0)), HYPERLINK("#",""), HYPERLINK(CONCATENATE("#metadata!", ADDRESS(INDEX($Y$2:$Y$1001,MATCH(ROWS($W$2:W591),$W$2:$W$1001,0),0), INDEX($AD$1004:$AU$1004,1,MATCH(COLUMNS($AD$1006:AL1006),$AD$1006:$AU$1006,0)))),"Fix")))</f>
        <v xml:space="preserve"> </v>
      </c>
      <c r="K591" s="4" t="str">
        <f ca="1">IF(OR(INDEX($X$2:$X$1001,MATCH(ROWS($W$2:W591),$W$2:$W$1001,0),1)&gt;=100000,INDEX($AD$1005:$AU$1005,1,MATCH(COLUMNS($AD$1006:AM1006),$AD$1006:$AU$1006,0))&gt;=100000), " ",IF(INDEX($AD$2:$AU$1001,MATCH(ROWS($W$2:W591),$W$2:$W$1001,0),MATCH(COLUMNS($AD$1006:AM1006),$AD$1006:$AU$1006,0)), HYPERLINK("#",""), HYPERLINK(CONCATENATE("#metadata!", ADDRESS(INDEX($Y$2:$Y$1001,MATCH(ROWS($W$2:W591),$W$2:$W$1001,0),0), INDEX($AD$1004:$AU$1004,1,MATCH(COLUMNS($AD$1006:AM1006),$AD$1006:$AU$1006,0)))),"Fix")))</f>
        <v xml:space="preserve"> </v>
      </c>
      <c r="L591" s="4" t="str">
        <f ca="1">IF(OR(INDEX($X$2:$X$1001,MATCH(ROWS($W$2:W591),$W$2:$W$1001,0),1)&gt;=100000,INDEX($AD$1005:$AU$1005,1,MATCH(COLUMNS($AD$1006:AN1006),$AD$1006:$AU$1006,0))&gt;=100000), " ",IF(INDEX($AD$2:$AU$1001,MATCH(ROWS($W$2:W591),$W$2:$W$1001,0),MATCH(COLUMNS($AD$1006:AN1006),$AD$1006:$AU$1006,0)), HYPERLINK("#",""), HYPERLINK(CONCATENATE("#metadata!", ADDRESS(INDEX($Y$2:$Y$1001,MATCH(ROWS($W$2:W591),$W$2:$W$1001,0),0), INDEX($AD$1004:$AU$1004,1,MATCH(COLUMNS($AD$1006:AN1006),$AD$1006:$AU$1006,0)))),"Fix")))</f>
        <v xml:space="preserve"> </v>
      </c>
      <c r="M591" s="4" t="str">
        <f ca="1">IF(OR(INDEX($X$2:$X$1001,MATCH(ROWS($W$2:W591),$W$2:$W$1001,0),1)&gt;=100000,INDEX($AD$1005:$AU$1005,1,MATCH(COLUMNS($AD$1006:AO1006),$AD$1006:$AU$1006,0))&gt;=100000), " ",IF(INDEX($AD$2:$AU$1001,MATCH(ROWS($W$2:W591),$W$2:$W$1001,0),MATCH(COLUMNS($AD$1006:AO1006),$AD$1006:$AU$1006,0)), HYPERLINK("#",""), HYPERLINK(CONCATENATE("#metadata!", ADDRESS(INDEX($Y$2:$Y$1001,MATCH(ROWS($W$2:W591),$W$2:$W$1001,0),0), INDEX($AD$1004:$AU$1004,1,MATCH(COLUMNS($AD$1006:AO1006),$AD$1006:$AU$1006,0)))),"Fix")))</f>
        <v xml:space="preserve"> </v>
      </c>
      <c r="N591" s="4" t="str">
        <f ca="1">IF(OR(INDEX($X$2:$X$1001,MATCH(ROWS($W$2:W591),$W$2:$W$1001,0),1)&gt;=100000,INDEX($AD$1005:$AU$1005,1,MATCH(COLUMNS($AD$1006:AP1006),$AD$1006:$AU$1006,0))&gt;=100000), " ",IF(INDEX($AD$2:$AU$1001,MATCH(ROWS($W$2:W591),$W$2:$W$1001,0),MATCH(COLUMNS($AD$1006:AP1006),$AD$1006:$AU$1006,0)), HYPERLINK("#",""), HYPERLINK(CONCATENATE("#metadata!", ADDRESS(INDEX($Y$2:$Y$1001,MATCH(ROWS($W$2:W591),$W$2:$W$1001,0),0), INDEX($AD$1004:$AU$1004,1,MATCH(COLUMNS($AD$1006:AP1006),$AD$1006:$AU$1006,0)))),"Fix")))</f>
        <v xml:space="preserve"> </v>
      </c>
      <c r="O591" s="4" t="str">
        <f ca="1">IF(OR(INDEX($X$2:$X$1001,MATCH(ROWS($W$2:W591),$W$2:$W$1001,0),1)&gt;=100000,INDEX($AD$1005:$AU$1005,1,MATCH(COLUMNS($AD$1006:AQ1006),$AD$1006:$AU$1006,0))&gt;=100000), " ",IF(INDEX($AD$2:$AU$1001,MATCH(ROWS($W$2:W591),$W$2:$W$1001,0),MATCH(COLUMNS($AD$1006:AQ1006),$AD$1006:$AU$1006,0)), HYPERLINK("#",""), HYPERLINK(CONCATENATE("#metadata!", ADDRESS(INDEX($Y$2:$Y$1001,MATCH(ROWS($W$2:W591),$W$2:$W$1001,0),0), INDEX($AD$1004:$AU$1004,1,MATCH(COLUMNS($AD$1006:AQ1006),$AD$1006:$AU$1006,0)))),"Fix")))</f>
        <v xml:space="preserve"> </v>
      </c>
      <c r="P591" s="4" t="str">
        <f ca="1">IF(OR(INDEX($X$2:$X$1001,MATCH(ROWS($W$2:W591),$W$2:$W$1001,0),1)&gt;=100000,INDEX($AD$1005:$AU$1005,1,MATCH(COLUMNS($AD$1006:AR1006),$AD$1006:$AU$1006,0))&gt;=100000), " ",IF(INDEX($AD$2:$AU$1001,MATCH(ROWS($W$2:W591),$W$2:$W$1001,0),MATCH(COLUMNS($AD$1006:AR1006),$AD$1006:$AU$1006,0)), HYPERLINK("#",""), HYPERLINK(CONCATENATE("#metadata!", ADDRESS(INDEX($Y$2:$Y$1001,MATCH(ROWS($W$2:W591),$W$2:$W$1001,0),0), INDEX($AD$1004:$AU$1004,1,MATCH(COLUMNS($AD$1006:AR1006),$AD$1006:$AU$1006,0)))),"Fix")))</f>
        <v xml:space="preserve"> </v>
      </c>
      <c r="Q591" s="4" t="str">
        <f ca="1">IF(OR(INDEX($X$2:$X$1001,MATCH(ROWS($W$2:W591),$W$2:$W$1001,0),1)&gt;=100000,INDEX($AD$1005:$AU$1005,1,MATCH(COLUMNS($AD$1006:AS1006),$AD$1006:$AU$1006,0))&gt;=100000), " ",IF(INDEX($AD$2:$AU$1001,MATCH(ROWS($W$2:W591),$W$2:$W$1001,0),MATCH(COLUMNS($AD$1006:AS1006),$AD$1006:$AU$1006,0)), HYPERLINK("#",""), HYPERLINK(CONCATENATE("#metadata!", ADDRESS(INDEX($Y$2:$Y$1001,MATCH(ROWS($W$2:W591),$W$2:$W$1001,0),0), INDEX($AD$1004:$AU$1004,1,MATCH(COLUMNS($AD$1006:AS1006),$AD$1006:$AU$1006,0)))),"Fix")))</f>
        <v xml:space="preserve"> </v>
      </c>
      <c r="R591" s="4" t="str">
        <f ca="1">IF(OR(INDEX($X$2:$X$1001,MATCH(ROWS($W$2:W591),$W$2:$W$1001,0),1)&gt;=100000,INDEX($AD$1005:$AU$1005,1,MATCH(COLUMNS($AD$1006:AT1006),$AD$1006:$AU$1006,0))&gt;=100000), " ",IF(INDEX($AD$2:$AU$1001,MATCH(ROWS($W$2:W591),$W$2:$W$1001,0),MATCH(COLUMNS($AD$1006:AT1006),$AD$1006:$AU$1006,0)), HYPERLINK("#",""), HYPERLINK(CONCATENATE("#metadata!", ADDRESS(INDEX($Y$2:$Y$1001,MATCH(ROWS($W$2:W591),$W$2:$W$1001,0),0), INDEX($AD$1004:$AU$1004,1,MATCH(COLUMNS($AD$1006:AT1006),$AD$1006:$AU$1006,0)))),"Fix")))</f>
        <v xml:space="preserve"> </v>
      </c>
      <c r="S591" s="4" t="str">
        <f ca="1">IF(OR(INDEX($X$2:$X$1001,MATCH(ROWS($W$2:W591),$W$2:$W$1001,0),1)&gt;=100000,INDEX($AD$1005:$AU$1005,1,MATCH(COLUMNS($AD$1006:AU1006),$AD$1006:$AU$1006,0))&gt;=100000), " ",IF(INDEX($AD$2:$AU$1001,MATCH(ROWS($W$2:W591),$W$2:$W$1001,0),MATCH(COLUMNS($AD$1006:AU1006),$AD$1006:$AU$1006,0)), HYPERLINK("#",""), HYPERLINK(CONCATENATE("#metadata!", ADDRESS(INDEX($Y$2:$Y$1001,MATCH(ROWS($W$2:W591),$W$2:$W$1001,0),0), INDEX($AD$1004:$AU$1004,1,MATCH(COLUMNS($AD$1006:AU1006),$AD$1006:$AU$1006,0)))),"Fix")))</f>
        <v xml:space="preserve"> </v>
      </c>
      <c r="W591">
        <v>590</v>
      </c>
      <c r="X591">
        <v>100591</v>
      </c>
      <c r="Y591">
        <v>591</v>
      </c>
      <c r="Z591" t="b">
        <f t="shared" si="9"/>
        <v>1</v>
      </c>
      <c r="AA591" t="b">
        <f>COUNTBLANK(metadata!B591:S591)=COLUMNS(metadata!B591:S591)</f>
        <v>1</v>
      </c>
      <c r="AB591" t="str">
        <v/>
      </c>
      <c r="AD591" t="b">
        <f ca="1">AND(IF(metadata!B591="",FALSE,TRUE),COUNTIF(metadata!B:B, metadata!B591) = 1,NOT(ISERROR(SUMPRODUCT(SEARCH(MID(metadata!B591,ROW(INDIRECT("1:"&amp;LEN(metadata!B591))), 1),"0123456789abcdefghijklmnopqrstuvwxyzABCDEFGHIJKLMNOPQRSTUVWXYZ.")))))</f>
        <v>0</v>
      </c>
      <c r="AE591" t="b">
        <f>OR(AND(IF(metadata!C591="",FALSE,TRUE),OR(EXACT(metadata!C591,"not applicable"),EXACT(metadata!C591,"missing: not collected"),EXACT(metadata!C591,"missing: not provided"),EXACT(metadata!C591,"missing: restricted access"))),AND(IF(metadata!C591="",FALSE,ISNUMBER(VALUE(metadata!C591))),metadata!C591&gt;0))</f>
        <v>0</v>
      </c>
      <c r="AF591" t="b">
        <f>AND(IF(metadata!D591="",FALSE,TRUE),EXACT(metadata!D591,"missing: not provided"))</f>
        <v>0</v>
      </c>
      <c r="AG591" t="b">
        <f>AND(IF(metadata!E591="",FALSE,TRUE),EXACT(metadata!E591,"Host-associated"))</f>
        <v>0</v>
      </c>
      <c r="AH591" t="b">
        <f>AND(IF(metadata!F591="",FALSE,TRUE),OR(EXACT(metadata!F591,"Animal"),EXACT(metadata!F591,"Fungus"),EXACT(metadata!F591,"Plant")))</f>
        <v>0</v>
      </c>
      <c r="AI591" t="b">
        <f>AND(IF(metadata!G591="",FALSE,TRUE),OR(EXACT(metadata!G591,"Plant secretion"),EXACT(metadata!G591,"Plant rhizosphere"),EXACT(metadata!G591,"Plant surface"),EXACT(metadata!G591,"Plant corpus"),EXACT(metadata!G591,"Fungus surface"),EXACT(metadata!G591,"Fungus corpus"),EXACT(metadata!G591,"Animal surface"),EXACT(metadata!G591,"Animal proximal gut"),EXACT(metadata!G591,"Animal corpus"),EXACT(metadata!G591,"Animal distal gut"),EXACT(metadata!G591,"Animal secretion")))</f>
        <v>0</v>
      </c>
      <c r="AJ591" t="b">
        <f>OR(AND(IF(metadata!H591="",FALSE,TRUE),OR(EXACT(metadata!H591,"missing: not collected"),EXACT(metadata!H591,"missing: not provided"),EXACT(metadata!H591,"missing: restricted access"))),AND(IF(metadata!H591="",FALSE,TRUE),OR(EXACT(metadata!H591,"organism-associated habitat"),EXACT(metadata!H591,"plant-associated habitat"),EXACT(metadata!H591,"animal-associated habitat"),EXACT(metadata!H591,"insecta-associated habitat"),EXACT(metadata!H591,"mammalia-associated habitat"),EXACT(metadata!H591,"human-associated habitat"),EXACT(metadata!H591,"livestock-associated habitat"))))</f>
        <v>0</v>
      </c>
      <c r="AK591" t="b">
        <f>AND(IF(metadata!I591="",FALSE,TRUE),EXACT(metadata!I591,"host-associated"))</f>
        <v>0</v>
      </c>
      <c r="AL591" t="b">
        <f>OR(AND(IF(metadata!J591="",FALSE,TRUE),OR(EXACT(metadata!J591,"not applicable"),EXACT(metadata!J591,"missing: not collected"),EXACT(metadata!J591,"missing: not provided"),EXACT(metadata!J591,"missing: restricted access"))),AND(IF(metadata!J591="",FALSE,ISNUMBER(VALUE(metadata!J591))),metadata!J591&gt;0))</f>
        <v>0</v>
      </c>
      <c r="AM591" t="b">
        <f>AND(IF(metadata!K591="",FALSE,TRUE),EXACT(metadata!K591,"missing: not provided"))</f>
        <v>0</v>
      </c>
      <c r="AN591" t="b">
        <f>IF(metadata!L591="",FALSE,TRUE)</f>
        <v>0</v>
      </c>
      <c r="AO591" t="b">
        <f>IF(metadata!M591="",FALSE,TRUE)</f>
        <v>0</v>
      </c>
      <c r="AP591" t="b">
        <f>OR(AND(IF(metadata!N591="",FALSE,TRUE),OR(EXACT(metadata!N591,"not applicable"),EXACT(metadata!N591,"missing: not collected"),EXACT(metadata!N591,"missing: not provided"))),AND(IF(metadata!N591="",FALSE,IF(ISERROR(INT(metadata!N591)),FALSE,INT(metadata!N591)=metadata!N591)),metadata!N591&gt;0))</f>
        <v>0</v>
      </c>
      <c r="AQ591" t="b">
        <f>AND(IF(metadata!O591="",FALSE,TRUE),EXACT(metadata!O591,"Not applicable"))</f>
        <v>0</v>
      </c>
      <c r="AR591" t="b">
        <f>OR(AND(IF(metadata!P591="",FALSE,TRUE),OR(EXACT(metadata!P591,"not applicable"),EXACT(metadata!P591,"missing: not collected"),EXACT(metadata!P591,"missing: not provided"),EXACT(metadata!P591,"missing: restricted access"))),IF(metadata!P591="",FALSE,IF(ISERROR(INT(metadata!P591)),FALSE,INT(metadata!P591)=metadata!P591)))</f>
        <v>0</v>
      </c>
      <c r="AS591" t="b">
        <f>AND(IF(metadata!Q591="",FALSE,TRUE),EXACT(metadata!Q591,"Not applicable"))</f>
        <v>0</v>
      </c>
      <c r="AT591" t="b">
        <f>OR(AND(IF(metadata!R591="",FALSE,TRUE),OR(EXACT(metadata!R591,"not applicable"),EXACT(metadata!R591,"missing: not collected"),EXACT(metadata!R591,"missing: not provided"),EXACT(metadata!R591,"missing: restricted access"))),AND(IF(metadata!R591="",FALSE,ISNUMBER(VALUE(metadata!R591))),metadata!R591&gt;0))</f>
        <v>0</v>
      </c>
      <c r="AU591" t="b">
        <f>AND(IF(metadata!S591="",FALSE,TRUE),EXACT(metadata!S591,"missing: not provided"))</f>
        <v>0</v>
      </c>
    </row>
    <row r="592" spans="1:47" x14ac:dyDescent="0.2">
      <c r="A592" s="5" t="str">
        <f ca="1">IF(B592=" "," ",HYPERLINK(CONCATENATE("#metadata!",ADDRESS(INDEX($Y$2:$Y$1001,MATCH(ROWS($W$2:W592),$W$2:$W$1001,0),0),1)),INDEX($AB$2:$AB$1001,MATCH(ROWS($W$2:W592),$W$2:$W$1001,0),0)))</f>
        <v xml:space="preserve"> </v>
      </c>
      <c r="B592" s="4" t="str">
        <f ca="1">IF(OR(INDEX($X$2:$X$1001,MATCH(ROWS($W$2:W592),$W$2:$W$1001,0),1)&gt;=100000,INDEX($AD$1005:$AU$1005,1,MATCH(COLUMNS($AD$1006:AD1006),$AD$1006:$AU$1006,0))&gt;=100000), " ",IF(INDEX($AD$2:$AU$1001,MATCH(ROWS($W$2:W592),$W$2:$W$1001,0),MATCH(COLUMNS($AD$1006:AD1006),$AD$1006:$AU$1006,0)), HYPERLINK("#",""), HYPERLINK(CONCATENATE("#metadata!", ADDRESS(INDEX($Y$2:$Y$1001,MATCH(ROWS($W$2:W592),$W$2:$W$1001,0),0), INDEX($AD$1004:$AU$1004,1,MATCH(COLUMNS($AD$1006:AD1006),$AD$1006:$AU$1006,0)))),"Fix")))</f>
        <v xml:space="preserve"> </v>
      </c>
      <c r="C592" s="4" t="str">
        <f ca="1">IF(OR(INDEX($X$2:$X$1001,MATCH(ROWS($W$2:W592),$W$2:$W$1001,0),1)&gt;=100000,INDEX($AD$1005:$AU$1005,1,MATCH(COLUMNS($AD$1006:AE1006),$AD$1006:$AU$1006,0))&gt;=100000), " ",IF(INDEX($AD$2:$AU$1001,MATCH(ROWS($W$2:W592),$W$2:$W$1001,0),MATCH(COLUMNS($AD$1006:AE1006),$AD$1006:$AU$1006,0)), HYPERLINK("#",""), HYPERLINK(CONCATENATE("#metadata!", ADDRESS(INDEX($Y$2:$Y$1001,MATCH(ROWS($W$2:W592),$W$2:$W$1001,0),0), INDEX($AD$1004:$AU$1004,1,MATCH(COLUMNS($AD$1006:AE1006),$AD$1006:$AU$1006,0)))),"Fix")))</f>
        <v xml:space="preserve"> </v>
      </c>
      <c r="D592" s="4" t="str">
        <f ca="1">IF(OR(INDEX($X$2:$X$1001,MATCH(ROWS($W$2:W592),$W$2:$W$1001,0),1)&gt;=100000,INDEX($AD$1005:$AU$1005,1,MATCH(COLUMNS($AD$1006:AF1006),$AD$1006:$AU$1006,0))&gt;=100000), " ",IF(INDEX($AD$2:$AU$1001,MATCH(ROWS($W$2:W592),$W$2:$W$1001,0),MATCH(COLUMNS($AD$1006:AF1006),$AD$1006:$AU$1006,0)), HYPERLINK("#",""), HYPERLINK(CONCATENATE("#metadata!", ADDRESS(INDEX($Y$2:$Y$1001,MATCH(ROWS($W$2:W592),$W$2:$W$1001,0),0), INDEX($AD$1004:$AU$1004,1,MATCH(COLUMNS($AD$1006:AF1006),$AD$1006:$AU$1006,0)))),"Fix")))</f>
        <v xml:space="preserve"> </v>
      </c>
      <c r="E592" s="4" t="str">
        <f ca="1">IF(OR(INDEX($X$2:$X$1001,MATCH(ROWS($W$2:W592),$W$2:$W$1001,0),1)&gt;=100000,INDEX($AD$1005:$AU$1005,1,MATCH(COLUMNS($AD$1006:AG1006),$AD$1006:$AU$1006,0))&gt;=100000), " ",IF(INDEX($AD$2:$AU$1001,MATCH(ROWS($W$2:W592),$W$2:$W$1001,0),MATCH(COLUMNS($AD$1006:AG1006),$AD$1006:$AU$1006,0)), HYPERLINK("#",""), HYPERLINK(CONCATENATE("#metadata!", ADDRESS(INDEX($Y$2:$Y$1001,MATCH(ROWS($W$2:W592),$W$2:$W$1001,0),0), INDEX($AD$1004:$AU$1004,1,MATCH(COLUMNS($AD$1006:AG1006),$AD$1006:$AU$1006,0)))),"Fix")))</f>
        <v xml:space="preserve"> </v>
      </c>
      <c r="F592" s="4" t="str">
        <f ca="1">IF(OR(INDEX($X$2:$X$1001,MATCH(ROWS($W$2:W592),$W$2:$W$1001,0),1)&gt;=100000,INDEX($AD$1005:$AU$1005,1,MATCH(COLUMNS($AD$1006:AH1006),$AD$1006:$AU$1006,0))&gt;=100000), " ",IF(INDEX($AD$2:$AU$1001,MATCH(ROWS($W$2:W592),$W$2:$W$1001,0),MATCH(COLUMNS($AD$1006:AH1006),$AD$1006:$AU$1006,0)), HYPERLINK("#",""), HYPERLINK(CONCATENATE("#metadata!", ADDRESS(INDEX($Y$2:$Y$1001,MATCH(ROWS($W$2:W592),$W$2:$W$1001,0),0), INDEX($AD$1004:$AU$1004,1,MATCH(COLUMNS($AD$1006:AH1006),$AD$1006:$AU$1006,0)))),"Fix")))</f>
        <v xml:space="preserve"> </v>
      </c>
      <c r="G592" s="4" t="str">
        <f ca="1">IF(OR(INDEX($X$2:$X$1001,MATCH(ROWS($W$2:W592),$W$2:$W$1001,0),1)&gt;=100000,INDEX($AD$1005:$AU$1005,1,MATCH(COLUMNS($AD$1006:AI1006),$AD$1006:$AU$1006,0))&gt;=100000), " ",IF(INDEX($AD$2:$AU$1001,MATCH(ROWS($W$2:W592),$W$2:$W$1001,0),MATCH(COLUMNS($AD$1006:AI1006),$AD$1006:$AU$1006,0)), HYPERLINK("#",""), HYPERLINK(CONCATENATE("#metadata!", ADDRESS(INDEX($Y$2:$Y$1001,MATCH(ROWS($W$2:W592),$W$2:$W$1001,0),0), INDEX($AD$1004:$AU$1004,1,MATCH(COLUMNS($AD$1006:AI1006),$AD$1006:$AU$1006,0)))),"Fix")))</f>
        <v xml:space="preserve"> </v>
      </c>
      <c r="H592" s="4" t="str">
        <f ca="1">IF(OR(INDEX($X$2:$X$1001,MATCH(ROWS($W$2:W592),$W$2:$W$1001,0),1)&gt;=100000,INDEX($AD$1005:$AU$1005,1,MATCH(COLUMNS($AD$1006:AJ1006),$AD$1006:$AU$1006,0))&gt;=100000), " ",IF(INDEX($AD$2:$AU$1001,MATCH(ROWS($W$2:W592),$W$2:$W$1001,0),MATCH(COLUMNS($AD$1006:AJ1006),$AD$1006:$AU$1006,0)), HYPERLINK("#",""), HYPERLINK(CONCATENATE("#metadata!", ADDRESS(INDEX($Y$2:$Y$1001,MATCH(ROWS($W$2:W592),$W$2:$W$1001,0),0), INDEX($AD$1004:$AU$1004,1,MATCH(COLUMNS($AD$1006:AJ1006),$AD$1006:$AU$1006,0)))),"Fix")))</f>
        <v xml:space="preserve"> </v>
      </c>
      <c r="I592" s="4" t="str">
        <f ca="1">IF(OR(INDEX($X$2:$X$1001,MATCH(ROWS($W$2:W592),$W$2:$W$1001,0),1)&gt;=100000,INDEX($AD$1005:$AU$1005,1,MATCH(COLUMNS($AD$1006:AK1006),$AD$1006:$AU$1006,0))&gt;=100000), " ",IF(INDEX($AD$2:$AU$1001,MATCH(ROWS($W$2:W592),$W$2:$W$1001,0),MATCH(COLUMNS($AD$1006:AK1006),$AD$1006:$AU$1006,0)), HYPERLINK("#",""), HYPERLINK(CONCATENATE("#metadata!", ADDRESS(INDEX($Y$2:$Y$1001,MATCH(ROWS($W$2:W592),$W$2:$W$1001,0),0), INDEX($AD$1004:$AU$1004,1,MATCH(COLUMNS($AD$1006:AK1006),$AD$1006:$AU$1006,0)))),"Fix")))</f>
        <v xml:space="preserve"> </v>
      </c>
      <c r="J592" s="4" t="str">
        <f ca="1">IF(OR(INDEX($X$2:$X$1001,MATCH(ROWS($W$2:W592),$W$2:$W$1001,0),1)&gt;=100000,INDEX($AD$1005:$AU$1005,1,MATCH(COLUMNS($AD$1006:AL1006),$AD$1006:$AU$1006,0))&gt;=100000), " ",IF(INDEX($AD$2:$AU$1001,MATCH(ROWS($W$2:W592),$W$2:$W$1001,0),MATCH(COLUMNS($AD$1006:AL1006),$AD$1006:$AU$1006,0)), HYPERLINK("#",""), HYPERLINK(CONCATENATE("#metadata!", ADDRESS(INDEX($Y$2:$Y$1001,MATCH(ROWS($W$2:W592),$W$2:$W$1001,0),0), INDEX($AD$1004:$AU$1004,1,MATCH(COLUMNS($AD$1006:AL1006),$AD$1006:$AU$1006,0)))),"Fix")))</f>
        <v xml:space="preserve"> </v>
      </c>
      <c r="K592" s="4" t="str">
        <f ca="1">IF(OR(INDEX($X$2:$X$1001,MATCH(ROWS($W$2:W592),$W$2:$W$1001,0),1)&gt;=100000,INDEX($AD$1005:$AU$1005,1,MATCH(COLUMNS($AD$1006:AM1006),$AD$1006:$AU$1006,0))&gt;=100000), " ",IF(INDEX($AD$2:$AU$1001,MATCH(ROWS($W$2:W592),$W$2:$W$1001,0),MATCH(COLUMNS($AD$1006:AM1006),$AD$1006:$AU$1006,0)), HYPERLINK("#",""), HYPERLINK(CONCATENATE("#metadata!", ADDRESS(INDEX($Y$2:$Y$1001,MATCH(ROWS($W$2:W592),$W$2:$W$1001,0),0), INDEX($AD$1004:$AU$1004,1,MATCH(COLUMNS($AD$1006:AM1006),$AD$1006:$AU$1006,0)))),"Fix")))</f>
        <v xml:space="preserve"> </v>
      </c>
      <c r="L592" s="4" t="str">
        <f ca="1">IF(OR(INDEX($X$2:$X$1001,MATCH(ROWS($W$2:W592),$W$2:$W$1001,0),1)&gt;=100000,INDEX($AD$1005:$AU$1005,1,MATCH(COLUMNS($AD$1006:AN1006),$AD$1006:$AU$1006,0))&gt;=100000), " ",IF(INDEX($AD$2:$AU$1001,MATCH(ROWS($W$2:W592),$W$2:$W$1001,0),MATCH(COLUMNS($AD$1006:AN1006),$AD$1006:$AU$1006,0)), HYPERLINK("#",""), HYPERLINK(CONCATENATE("#metadata!", ADDRESS(INDEX($Y$2:$Y$1001,MATCH(ROWS($W$2:W592),$W$2:$W$1001,0),0), INDEX($AD$1004:$AU$1004,1,MATCH(COLUMNS($AD$1006:AN1006),$AD$1006:$AU$1006,0)))),"Fix")))</f>
        <v xml:space="preserve"> </v>
      </c>
      <c r="M592" s="4" t="str">
        <f ca="1">IF(OR(INDEX($X$2:$X$1001,MATCH(ROWS($W$2:W592),$W$2:$W$1001,0),1)&gt;=100000,INDEX($AD$1005:$AU$1005,1,MATCH(COLUMNS($AD$1006:AO1006),$AD$1006:$AU$1006,0))&gt;=100000), " ",IF(INDEX($AD$2:$AU$1001,MATCH(ROWS($W$2:W592),$W$2:$W$1001,0),MATCH(COLUMNS($AD$1006:AO1006),$AD$1006:$AU$1006,0)), HYPERLINK("#",""), HYPERLINK(CONCATENATE("#metadata!", ADDRESS(INDEX($Y$2:$Y$1001,MATCH(ROWS($W$2:W592),$W$2:$W$1001,0),0), INDEX($AD$1004:$AU$1004,1,MATCH(COLUMNS($AD$1006:AO1006),$AD$1006:$AU$1006,0)))),"Fix")))</f>
        <v xml:space="preserve"> </v>
      </c>
      <c r="N592" s="4" t="str">
        <f ca="1">IF(OR(INDEX($X$2:$X$1001,MATCH(ROWS($W$2:W592),$W$2:$W$1001,0),1)&gt;=100000,INDEX($AD$1005:$AU$1005,1,MATCH(COLUMNS($AD$1006:AP1006),$AD$1006:$AU$1006,0))&gt;=100000), " ",IF(INDEX($AD$2:$AU$1001,MATCH(ROWS($W$2:W592),$W$2:$W$1001,0),MATCH(COLUMNS($AD$1006:AP1006),$AD$1006:$AU$1006,0)), HYPERLINK("#",""), HYPERLINK(CONCATENATE("#metadata!", ADDRESS(INDEX($Y$2:$Y$1001,MATCH(ROWS($W$2:W592),$W$2:$W$1001,0),0), INDEX($AD$1004:$AU$1004,1,MATCH(COLUMNS($AD$1006:AP1006),$AD$1006:$AU$1006,0)))),"Fix")))</f>
        <v xml:space="preserve"> </v>
      </c>
      <c r="O592" s="4" t="str">
        <f ca="1">IF(OR(INDEX($X$2:$X$1001,MATCH(ROWS($W$2:W592),$W$2:$W$1001,0),1)&gt;=100000,INDEX($AD$1005:$AU$1005,1,MATCH(COLUMNS($AD$1006:AQ1006),$AD$1006:$AU$1006,0))&gt;=100000), " ",IF(INDEX($AD$2:$AU$1001,MATCH(ROWS($W$2:W592),$W$2:$W$1001,0),MATCH(COLUMNS($AD$1006:AQ1006),$AD$1006:$AU$1006,0)), HYPERLINK("#",""), HYPERLINK(CONCATENATE("#metadata!", ADDRESS(INDEX($Y$2:$Y$1001,MATCH(ROWS($W$2:W592),$W$2:$W$1001,0),0), INDEX($AD$1004:$AU$1004,1,MATCH(COLUMNS($AD$1006:AQ1006),$AD$1006:$AU$1006,0)))),"Fix")))</f>
        <v xml:space="preserve"> </v>
      </c>
      <c r="P592" s="4" t="str">
        <f ca="1">IF(OR(INDEX($X$2:$X$1001,MATCH(ROWS($W$2:W592),$W$2:$W$1001,0),1)&gt;=100000,INDEX($AD$1005:$AU$1005,1,MATCH(COLUMNS($AD$1006:AR1006),$AD$1006:$AU$1006,0))&gt;=100000), " ",IF(INDEX($AD$2:$AU$1001,MATCH(ROWS($W$2:W592),$W$2:$W$1001,0),MATCH(COLUMNS($AD$1006:AR1006),$AD$1006:$AU$1006,0)), HYPERLINK("#",""), HYPERLINK(CONCATENATE("#metadata!", ADDRESS(INDEX($Y$2:$Y$1001,MATCH(ROWS($W$2:W592),$W$2:$W$1001,0),0), INDEX($AD$1004:$AU$1004,1,MATCH(COLUMNS($AD$1006:AR1006),$AD$1006:$AU$1006,0)))),"Fix")))</f>
        <v xml:space="preserve"> </v>
      </c>
      <c r="Q592" s="4" t="str">
        <f ca="1">IF(OR(INDEX($X$2:$X$1001,MATCH(ROWS($W$2:W592),$W$2:$W$1001,0),1)&gt;=100000,INDEX($AD$1005:$AU$1005,1,MATCH(COLUMNS($AD$1006:AS1006),$AD$1006:$AU$1006,0))&gt;=100000), " ",IF(INDEX($AD$2:$AU$1001,MATCH(ROWS($W$2:W592),$W$2:$W$1001,0),MATCH(COLUMNS($AD$1006:AS1006),$AD$1006:$AU$1006,0)), HYPERLINK("#",""), HYPERLINK(CONCATENATE("#metadata!", ADDRESS(INDEX($Y$2:$Y$1001,MATCH(ROWS($W$2:W592),$W$2:$W$1001,0),0), INDEX($AD$1004:$AU$1004,1,MATCH(COLUMNS($AD$1006:AS1006),$AD$1006:$AU$1006,0)))),"Fix")))</f>
        <v xml:space="preserve"> </v>
      </c>
      <c r="R592" s="4" t="str">
        <f ca="1">IF(OR(INDEX($X$2:$X$1001,MATCH(ROWS($W$2:W592),$W$2:$W$1001,0),1)&gt;=100000,INDEX($AD$1005:$AU$1005,1,MATCH(COLUMNS($AD$1006:AT1006),$AD$1006:$AU$1006,0))&gt;=100000), " ",IF(INDEX($AD$2:$AU$1001,MATCH(ROWS($W$2:W592),$W$2:$W$1001,0),MATCH(COLUMNS($AD$1006:AT1006),$AD$1006:$AU$1006,0)), HYPERLINK("#",""), HYPERLINK(CONCATENATE("#metadata!", ADDRESS(INDEX($Y$2:$Y$1001,MATCH(ROWS($W$2:W592),$W$2:$W$1001,0),0), INDEX($AD$1004:$AU$1004,1,MATCH(COLUMNS($AD$1006:AT1006),$AD$1006:$AU$1006,0)))),"Fix")))</f>
        <v xml:space="preserve"> </v>
      </c>
      <c r="S592" s="4" t="str">
        <f ca="1">IF(OR(INDEX($X$2:$X$1001,MATCH(ROWS($W$2:W592),$W$2:$W$1001,0),1)&gt;=100000,INDEX($AD$1005:$AU$1005,1,MATCH(COLUMNS($AD$1006:AU1006),$AD$1006:$AU$1006,0))&gt;=100000), " ",IF(INDEX($AD$2:$AU$1001,MATCH(ROWS($W$2:W592),$W$2:$W$1001,0),MATCH(COLUMNS($AD$1006:AU1006),$AD$1006:$AU$1006,0)), HYPERLINK("#",""), HYPERLINK(CONCATENATE("#metadata!", ADDRESS(INDEX($Y$2:$Y$1001,MATCH(ROWS($W$2:W592),$W$2:$W$1001,0),0), INDEX($AD$1004:$AU$1004,1,MATCH(COLUMNS($AD$1006:AU1006),$AD$1006:$AU$1006,0)))),"Fix")))</f>
        <v xml:space="preserve"> </v>
      </c>
      <c r="W592">
        <v>591</v>
      </c>
      <c r="X592">
        <v>100592</v>
      </c>
      <c r="Y592">
        <v>592</v>
      </c>
      <c r="Z592" t="b">
        <f t="shared" si="9"/>
        <v>1</v>
      </c>
      <c r="AA592" t="b">
        <f>COUNTBLANK(metadata!B592:S592)=COLUMNS(metadata!B592:S592)</f>
        <v>1</v>
      </c>
      <c r="AB592" t="str">
        <v/>
      </c>
      <c r="AD592" t="b">
        <f ca="1">AND(IF(metadata!B592="",FALSE,TRUE),COUNTIF(metadata!B:B, metadata!B592) = 1,NOT(ISERROR(SUMPRODUCT(SEARCH(MID(metadata!B592,ROW(INDIRECT("1:"&amp;LEN(metadata!B592))), 1),"0123456789abcdefghijklmnopqrstuvwxyzABCDEFGHIJKLMNOPQRSTUVWXYZ.")))))</f>
        <v>0</v>
      </c>
      <c r="AE592" t="b">
        <f>OR(AND(IF(metadata!C592="",FALSE,TRUE),OR(EXACT(metadata!C592,"not applicable"),EXACT(metadata!C592,"missing: not collected"),EXACT(metadata!C592,"missing: not provided"),EXACT(metadata!C592,"missing: restricted access"))),AND(IF(metadata!C592="",FALSE,ISNUMBER(VALUE(metadata!C592))),metadata!C592&gt;0))</f>
        <v>0</v>
      </c>
      <c r="AF592" t="b">
        <f>AND(IF(metadata!D592="",FALSE,TRUE),EXACT(metadata!D592,"missing: not provided"))</f>
        <v>0</v>
      </c>
      <c r="AG592" t="b">
        <f>AND(IF(metadata!E592="",FALSE,TRUE),EXACT(metadata!E592,"Host-associated"))</f>
        <v>0</v>
      </c>
      <c r="AH592" t="b">
        <f>AND(IF(metadata!F592="",FALSE,TRUE),OR(EXACT(metadata!F592,"Animal"),EXACT(metadata!F592,"Fungus"),EXACT(metadata!F592,"Plant")))</f>
        <v>0</v>
      </c>
      <c r="AI592" t="b">
        <f>AND(IF(metadata!G592="",FALSE,TRUE),OR(EXACT(metadata!G592,"Plant secretion"),EXACT(metadata!G592,"Plant rhizosphere"),EXACT(metadata!G592,"Plant surface"),EXACT(metadata!G592,"Plant corpus"),EXACT(metadata!G592,"Fungus surface"),EXACT(metadata!G592,"Fungus corpus"),EXACT(metadata!G592,"Animal surface"),EXACT(metadata!G592,"Animal proximal gut"),EXACT(metadata!G592,"Animal corpus"),EXACT(metadata!G592,"Animal distal gut"),EXACT(metadata!G592,"Animal secretion")))</f>
        <v>0</v>
      </c>
      <c r="AJ592" t="b">
        <f>OR(AND(IF(metadata!H592="",FALSE,TRUE),OR(EXACT(metadata!H592,"missing: not collected"),EXACT(metadata!H592,"missing: not provided"),EXACT(metadata!H592,"missing: restricted access"))),AND(IF(metadata!H592="",FALSE,TRUE),OR(EXACT(metadata!H592,"organism-associated habitat"),EXACT(metadata!H592,"plant-associated habitat"),EXACT(metadata!H592,"animal-associated habitat"),EXACT(metadata!H592,"insecta-associated habitat"),EXACT(metadata!H592,"mammalia-associated habitat"),EXACT(metadata!H592,"human-associated habitat"),EXACT(metadata!H592,"livestock-associated habitat"))))</f>
        <v>0</v>
      </c>
      <c r="AK592" t="b">
        <f>AND(IF(metadata!I592="",FALSE,TRUE),EXACT(metadata!I592,"host-associated"))</f>
        <v>0</v>
      </c>
      <c r="AL592" t="b">
        <f>OR(AND(IF(metadata!J592="",FALSE,TRUE),OR(EXACT(metadata!J592,"not applicable"),EXACT(metadata!J592,"missing: not collected"),EXACT(metadata!J592,"missing: not provided"),EXACT(metadata!J592,"missing: restricted access"))),AND(IF(metadata!J592="",FALSE,ISNUMBER(VALUE(metadata!J592))),metadata!J592&gt;0))</f>
        <v>0</v>
      </c>
      <c r="AM592" t="b">
        <f>AND(IF(metadata!K592="",FALSE,TRUE),EXACT(metadata!K592,"missing: not provided"))</f>
        <v>0</v>
      </c>
      <c r="AN592" t="b">
        <f>IF(metadata!L592="",FALSE,TRUE)</f>
        <v>0</v>
      </c>
      <c r="AO592" t="b">
        <f>IF(metadata!M592="",FALSE,TRUE)</f>
        <v>0</v>
      </c>
      <c r="AP592" t="b">
        <f>OR(AND(IF(metadata!N592="",FALSE,TRUE),OR(EXACT(metadata!N592,"not applicable"),EXACT(metadata!N592,"missing: not collected"),EXACT(metadata!N592,"missing: not provided"))),AND(IF(metadata!N592="",FALSE,IF(ISERROR(INT(metadata!N592)),FALSE,INT(metadata!N592)=metadata!N592)),metadata!N592&gt;0))</f>
        <v>0</v>
      </c>
      <c r="AQ592" t="b">
        <f>AND(IF(metadata!O592="",FALSE,TRUE),EXACT(metadata!O592,"Not applicable"))</f>
        <v>0</v>
      </c>
      <c r="AR592" t="b">
        <f>OR(AND(IF(metadata!P592="",FALSE,TRUE),OR(EXACT(metadata!P592,"not applicable"),EXACT(metadata!P592,"missing: not collected"),EXACT(metadata!P592,"missing: not provided"),EXACT(metadata!P592,"missing: restricted access"))),IF(metadata!P592="",FALSE,IF(ISERROR(INT(metadata!P592)),FALSE,INT(metadata!P592)=metadata!P592)))</f>
        <v>0</v>
      </c>
      <c r="AS592" t="b">
        <f>AND(IF(metadata!Q592="",FALSE,TRUE),EXACT(metadata!Q592,"Not applicable"))</f>
        <v>0</v>
      </c>
      <c r="AT592" t="b">
        <f>OR(AND(IF(metadata!R592="",FALSE,TRUE),OR(EXACT(metadata!R592,"not applicable"),EXACT(metadata!R592,"missing: not collected"),EXACT(metadata!R592,"missing: not provided"),EXACT(metadata!R592,"missing: restricted access"))),AND(IF(metadata!R592="",FALSE,ISNUMBER(VALUE(metadata!R592))),metadata!R592&gt;0))</f>
        <v>0</v>
      </c>
      <c r="AU592" t="b">
        <f>AND(IF(metadata!S592="",FALSE,TRUE),EXACT(metadata!S592,"missing: not provided"))</f>
        <v>0</v>
      </c>
    </row>
    <row r="593" spans="1:47" x14ac:dyDescent="0.2">
      <c r="A593" s="5" t="str">
        <f ca="1">IF(B593=" "," ",HYPERLINK(CONCATENATE("#metadata!",ADDRESS(INDEX($Y$2:$Y$1001,MATCH(ROWS($W$2:W593),$W$2:$W$1001,0),0),1)),INDEX($AB$2:$AB$1001,MATCH(ROWS($W$2:W593),$W$2:$W$1001,0),0)))</f>
        <v xml:space="preserve"> </v>
      </c>
      <c r="B593" s="4" t="str">
        <f ca="1">IF(OR(INDEX($X$2:$X$1001,MATCH(ROWS($W$2:W593),$W$2:$W$1001,0),1)&gt;=100000,INDEX($AD$1005:$AU$1005,1,MATCH(COLUMNS($AD$1006:AD1006),$AD$1006:$AU$1006,0))&gt;=100000), " ",IF(INDEX($AD$2:$AU$1001,MATCH(ROWS($W$2:W593),$W$2:$W$1001,0),MATCH(COLUMNS($AD$1006:AD1006),$AD$1006:$AU$1006,0)), HYPERLINK("#",""), HYPERLINK(CONCATENATE("#metadata!", ADDRESS(INDEX($Y$2:$Y$1001,MATCH(ROWS($W$2:W593),$W$2:$W$1001,0),0), INDEX($AD$1004:$AU$1004,1,MATCH(COLUMNS($AD$1006:AD1006),$AD$1006:$AU$1006,0)))),"Fix")))</f>
        <v xml:space="preserve"> </v>
      </c>
      <c r="C593" s="4" t="str">
        <f ca="1">IF(OR(INDEX($X$2:$X$1001,MATCH(ROWS($W$2:W593),$W$2:$W$1001,0),1)&gt;=100000,INDEX($AD$1005:$AU$1005,1,MATCH(COLUMNS($AD$1006:AE1006),$AD$1006:$AU$1006,0))&gt;=100000), " ",IF(INDEX($AD$2:$AU$1001,MATCH(ROWS($W$2:W593),$W$2:$W$1001,0),MATCH(COLUMNS($AD$1006:AE1006),$AD$1006:$AU$1006,0)), HYPERLINK("#",""), HYPERLINK(CONCATENATE("#metadata!", ADDRESS(INDEX($Y$2:$Y$1001,MATCH(ROWS($W$2:W593),$W$2:$W$1001,0),0), INDEX($AD$1004:$AU$1004,1,MATCH(COLUMNS($AD$1006:AE1006),$AD$1006:$AU$1006,0)))),"Fix")))</f>
        <v xml:space="preserve"> </v>
      </c>
      <c r="D593" s="4" t="str">
        <f ca="1">IF(OR(INDEX($X$2:$X$1001,MATCH(ROWS($W$2:W593),$W$2:$W$1001,0),1)&gt;=100000,INDEX($AD$1005:$AU$1005,1,MATCH(COLUMNS($AD$1006:AF1006),$AD$1006:$AU$1006,0))&gt;=100000), " ",IF(INDEX($AD$2:$AU$1001,MATCH(ROWS($W$2:W593),$W$2:$W$1001,0),MATCH(COLUMNS($AD$1006:AF1006),$AD$1006:$AU$1006,0)), HYPERLINK("#",""), HYPERLINK(CONCATENATE("#metadata!", ADDRESS(INDEX($Y$2:$Y$1001,MATCH(ROWS($W$2:W593),$W$2:$W$1001,0),0), INDEX($AD$1004:$AU$1004,1,MATCH(COLUMNS($AD$1006:AF1006),$AD$1006:$AU$1006,0)))),"Fix")))</f>
        <v xml:space="preserve"> </v>
      </c>
      <c r="E593" s="4" t="str">
        <f ca="1">IF(OR(INDEX($X$2:$X$1001,MATCH(ROWS($W$2:W593),$W$2:$W$1001,0),1)&gt;=100000,INDEX($AD$1005:$AU$1005,1,MATCH(COLUMNS($AD$1006:AG1006),$AD$1006:$AU$1006,0))&gt;=100000), " ",IF(INDEX($AD$2:$AU$1001,MATCH(ROWS($W$2:W593),$W$2:$W$1001,0),MATCH(COLUMNS($AD$1006:AG1006),$AD$1006:$AU$1006,0)), HYPERLINK("#",""), HYPERLINK(CONCATENATE("#metadata!", ADDRESS(INDEX($Y$2:$Y$1001,MATCH(ROWS($W$2:W593),$W$2:$W$1001,0),0), INDEX($AD$1004:$AU$1004,1,MATCH(COLUMNS($AD$1006:AG1006),$AD$1006:$AU$1006,0)))),"Fix")))</f>
        <v xml:space="preserve"> </v>
      </c>
      <c r="F593" s="4" t="str">
        <f ca="1">IF(OR(INDEX($X$2:$X$1001,MATCH(ROWS($W$2:W593),$W$2:$W$1001,0),1)&gt;=100000,INDEX($AD$1005:$AU$1005,1,MATCH(COLUMNS($AD$1006:AH1006),$AD$1006:$AU$1006,0))&gt;=100000), " ",IF(INDEX($AD$2:$AU$1001,MATCH(ROWS($W$2:W593),$W$2:$W$1001,0),MATCH(COLUMNS($AD$1006:AH1006),$AD$1006:$AU$1006,0)), HYPERLINK("#",""), HYPERLINK(CONCATENATE("#metadata!", ADDRESS(INDEX($Y$2:$Y$1001,MATCH(ROWS($W$2:W593),$W$2:$W$1001,0),0), INDEX($AD$1004:$AU$1004,1,MATCH(COLUMNS($AD$1006:AH1006),$AD$1006:$AU$1006,0)))),"Fix")))</f>
        <v xml:space="preserve"> </v>
      </c>
      <c r="G593" s="4" t="str">
        <f ca="1">IF(OR(INDEX($X$2:$X$1001,MATCH(ROWS($W$2:W593),$W$2:$W$1001,0),1)&gt;=100000,INDEX($AD$1005:$AU$1005,1,MATCH(COLUMNS($AD$1006:AI1006),$AD$1006:$AU$1006,0))&gt;=100000), " ",IF(INDEX($AD$2:$AU$1001,MATCH(ROWS($W$2:W593),$W$2:$W$1001,0),MATCH(COLUMNS($AD$1006:AI1006),$AD$1006:$AU$1006,0)), HYPERLINK("#",""), HYPERLINK(CONCATENATE("#metadata!", ADDRESS(INDEX($Y$2:$Y$1001,MATCH(ROWS($W$2:W593),$W$2:$W$1001,0),0), INDEX($AD$1004:$AU$1004,1,MATCH(COLUMNS($AD$1006:AI1006),$AD$1006:$AU$1006,0)))),"Fix")))</f>
        <v xml:space="preserve"> </v>
      </c>
      <c r="H593" s="4" t="str">
        <f ca="1">IF(OR(INDEX($X$2:$X$1001,MATCH(ROWS($W$2:W593),$W$2:$W$1001,0),1)&gt;=100000,INDEX($AD$1005:$AU$1005,1,MATCH(COLUMNS($AD$1006:AJ1006),$AD$1006:$AU$1006,0))&gt;=100000), " ",IF(INDEX($AD$2:$AU$1001,MATCH(ROWS($W$2:W593),$W$2:$W$1001,0),MATCH(COLUMNS($AD$1006:AJ1006),$AD$1006:$AU$1006,0)), HYPERLINK("#",""), HYPERLINK(CONCATENATE("#metadata!", ADDRESS(INDEX($Y$2:$Y$1001,MATCH(ROWS($W$2:W593),$W$2:$W$1001,0),0), INDEX($AD$1004:$AU$1004,1,MATCH(COLUMNS($AD$1006:AJ1006),$AD$1006:$AU$1006,0)))),"Fix")))</f>
        <v xml:space="preserve"> </v>
      </c>
      <c r="I593" s="4" t="str">
        <f ca="1">IF(OR(INDEX($X$2:$X$1001,MATCH(ROWS($W$2:W593),$W$2:$W$1001,0),1)&gt;=100000,INDEX($AD$1005:$AU$1005,1,MATCH(COLUMNS($AD$1006:AK1006),$AD$1006:$AU$1006,0))&gt;=100000), " ",IF(INDEX($AD$2:$AU$1001,MATCH(ROWS($W$2:W593),$W$2:$W$1001,0),MATCH(COLUMNS($AD$1006:AK1006),$AD$1006:$AU$1006,0)), HYPERLINK("#",""), HYPERLINK(CONCATENATE("#metadata!", ADDRESS(INDEX($Y$2:$Y$1001,MATCH(ROWS($W$2:W593),$W$2:$W$1001,0),0), INDEX($AD$1004:$AU$1004,1,MATCH(COLUMNS($AD$1006:AK1006),$AD$1006:$AU$1006,0)))),"Fix")))</f>
        <v xml:space="preserve"> </v>
      </c>
      <c r="J593" s="4" t="str">
        <f ca="1">IF(OR(INDEX($X$2:$X$1001,MATCH(ROWS($W$2:W593),$W$2:$W$1001,0),1)&gt;=100000,INDEX($AD$1005:$AU$1005,1,MATCH(COLUMNS($AD$1006:AL1006),$AD$1006:$AU$1006,0))&gt;=100000), " ",IF(INDEX($AD$2:$AU$1001,MATCH(ROWS($W$2:W593),$W$2:$W$1001,0),MATCH(COLUMNS($AD$1006:AL1006),$AD$1006:$AU$1006,0)), HYPERLINK("#",""), HYPERLINK(CONCATENATE("#metadata!", ADDRESS(INDEX($Y$2:$Y$1001,MATCH(ROWS($W$2:W593),$W$2:$W$1001,0),0), INDEX($AD$1004:$AU$1004,1,MATCH(COLUMNS($AD$1006:AL1006),$AD$1006:$AU$1006,0)))),"Fix")))</f>
        <v xml:space="preserve"> </v>
      </c>
      <c r="K593" s="4" t="str">
        <f ca="1">IF(OR(INDEX($X$2:$X$1001,MATCH(ROWS($W$2:W593),$W$2:$W$1001,0),1)&gt;=100000,INDEX($AD$1005:$AU$1005,1,MATCH(COLUMNS($AD$1006:AM1006),$AD$1006:$AU$1006,0))&gt;=100000), " ",IF(INDEX($AD$2:$AU$1001,MATCH(ROWS($W$2:W593),$W$2:$W$1001,0),MATCH(COLUMNS($AD$1006:AM1006),$AD$1006:$AU$1006,0)), HYPERLINK("#",""), HYPERLINK(CONCATENATE("#metadata!", ADDRESS(INDEX($Y$2:$Y$1001,MATCH(ROWS($W$2:W593),$W$2:$W$1001,0),0), INDEX($AD$1004:$AU$1004,1,MATCH(COLUMNS($AD$1006:AM1006),$AD$1006:$AU$1006,0)))),"Fix")))</f>
        <v xml:space="preserve"> </v>
      </c>
      <c r="L593" s="4" t="str">
        <f ca="1">IF(OR(INDEX($X$2:$X$1001,MATCH(ROWS($W$2:W593),$W$2:$W$1001,0),1)&gt;=100000,INDEX($AD$1005:$AU$1005,1,MATCH(COLUMNS($AD$1006:AN1006),$AD$1006:$AU$1006,0))&gt;=100000), " ",IF(INDEX($AD$2:$AU$1001,MATCH(ROWS($W$2:W593),$W$2:$W$1001,0),MATCH(COLUMNS($AD$1006:AN1006),$AD$1006:$AU$1006,0)), HYPERLINK("#",""), HYPERLINK(CONCATENATE("#metadata!", ADDRESS(INDEX($Y$2:$Y$1001,MATCH(ROWS($W$2:W593),$W$2:$W$1001,0),0), INDEX($AD$1004:$AU$1004,1,MATCH(COLUMNS($AD$1006:AN1006),$AD$1006:$AU$1006,0)))),"Fix")))</f>
        <v xml:space="preserve"> </v>
      </c>
      <c r="M593" s="4" t="str">
        <f ca="1">IF(OR(INDEX($X$2:$X$1001,MATCH(ROWS($W$2:W593),$W$2:$W$1001,0),1)&gt;=100000,INDEX($AD$1005:$AU$1005,1,MATCH(COLUMNS($AD$1006:AO1006),$AD$1006:$AU$1006,0))&gt;=100000), " ",IF(INDEX($AD$2:$AU$1001,MATCH(ROWS($W$2:W593),$W$2:$W$1001,0),MATCH(COLUMNS($AD$1006:AO1006),$AD$1006:$AU$1006,0)), HYPERLINK("#",""), HYPERLINK(CONCATENATE("#metadata!", ADDRESS(INDEX($Y$2:$Y$1001,MATCH(ROWS($W$2:W593),$W$2:$W$1001,0),0), INDEX($AD$1004:$AU$1004,1,MATCH(COLUMNS($AD$1006:AO1006),$AD$1006:$AU$1006,0)))),"Fix")))</f>
        <v xml:space="preserve"> </v>
      </c>
      <c r="N593" s="4" t="str">
        <f ca="1">IF(OR(INDEX($X$2:$X$1001,MATCH(ROWS($W$2:W593),$W$2:$W$1001,0),1)&gt;=100000,INDEX($AD$1005:$AU$1005,1,MATCH(COLUMNS($AD$1006:AP1006),$AD$1006:$AU$1006,0))&gt;=100000), " ",IF(INDEX($AD$2:$AU$1001,MATCH(ROWS($W$2:W593),$W$2:$W$1001,0),MATCH(COLUMNS($AD$1006:AP1006),$AD$1006:$AU$1006,0)), HYPERLINK("#",""), HYPERLINK(CONCATENATE("#metadata!", ADDRESS(INDEX($Y$2:$Y$1001,MATCH(ROWS($W$2:W593),$W$2:$W$1001,0),0), INDEX($AD$1004:$AU$1004,1,MATCH(COLUMNS($AD$1006:AP1006),$AD$1006:$AU$1006,0)))),"Fix")))</f>
        <v xml:space="preserve"> </v>
      </c>
      <c r="O593" s="4" t="str">
        <f ca="1">IF(OR(INDEX($X$2:$X$1001,MATCH(ROWS($W$2:W593),$W$2:$W$1001,0),1)&gt;=100000,INDEX($AD$1005:$AU$1005,1,MATCH(COLUMNS($AD$1006:AQ1006),$AD$1006:$AU$1006,0))&gt;=100000), " ",IF(INDEX($AD$2:$AU$1001,MATCH(ROWS($W$2:W593),$W$2:$W$1001,0),MATCH(COLUMNS($AD$1006:AQ1006),$AD$1006:$AU$1006,0)), HYPERLINK("#",""), HYPERLINK(CONCATENATE("#metadata!", ADDRESS(INDEX($Y$2:$Y$1001,MATCH(ROWS($W$2:W593),$W$2:$W$1001,0),0), INDEX($AD$1004:$AU$1004,1,MATCH(COLUMNS($AD$1006:AQ1006),$AD$1006:$AU$1006,0)))),"Fix")))</f>
        <v xml:space="preserve"> </v>
      </c>
      <c r="P593" s="4" t="str">
        <f ca="1">IF(OR(INDEX($X$2:$X$1001,MATCH(ROWS($W$2:W593),$W$2:$W$1001,0),1)&gt;=100000,INDEX($AD$1005:$AU$1005,1,MATCH(COLUMNS($AD$1006:AR1006),$AD$1006:$AU$1006,0))&gt;=100000), " ",IF(INDEX($AD$2:$AU$1001,MATCH(ROWS($W$2:W593),$W$2:$W$1001,0),MATCH(COLUMNS($AD$1006:AR1006),$AD$1006:$AU$1006,0)), HYPERLINK("#",""), HYPERLINK(CONCATENATE("#metadata!", ADDRESS(INDEX($Y$2:$Y$1001,MATCH(ROWS($W$2:W593),$W$2:$W$1001,0),0), INDEX($AD$1004:$AU$1004,1,MATCH(COLUMNS($AD$1006:AR1006),$AD$1006:$AU$1006,0)))),"Fix")))</f>
        <v xml:space="preserve"> </v>
      </c>
      <c r="Q593" s="4" t="str">
        <f ca="1">IF(OR(INDEX($X$2:$X$1001,MATCH(ROWS($W$2:W593),$W$2:$W$1001,0),1)&gt;=100000,INDEX($AD$1005:$AU$1005,1,MATCH(COLUMNS($AD$1006:AS1006),$AD$1006:$AU$1006,0))&gt;=100000), " ",IF(INDEX($AD$2:$AU$1001,MATCH(ROWS($W$2:W593),$W$2:$W$1001,0),MATCH(COLUMNS($AD$1006:AS1006),$AD$1006:$AU$1006,0)), HYPERLINK("#",""), HYPERLINK(CONCATENATE("#metadata!", ADDRESS(INDEX($Y$2:$Y$1001,MATCH(ROWS($W$2:W593),$W$2:$W$1001,0),0), INDEX($AD$1004:$AU$1004,1,MATCH(COLUMNS($AD$1006:AS1006),$AD$1006:$AU$1006,0)))),"Fix")))</f>
        <v xml:space="preserve"> </v>
      </c>
      <c r="R593" s="4" t="str">
        <f ca="1">IF(OR(INDEX($X$2:$X$1001,MATCH(ROWS($W$2:W593),$W$2:$W$1001,0),1)&gt;=100000,INDEX($AD$1005:$AU$1005,1,MATCH(COLUMNS($AD$1006:AT1006),$AD$1006:$AU$1006,0))&gt;=100000), " ",IF(INDEX($AD$2:$AU$1001,MATCH(ROWS($W$2:W593),$W$2:$W$1001,0),MATCH(COLUMNS($AD$1006:AT1006),$AD$1006:$AU$1006,0)), HYPERLINK("#",""), HYPERLINK(CONCATENATE("#metadata!", ADDRESS(INDEX($Y$2:$Y$1001,MATCH(ROWS($W$2:W593),$W$2:$W$1001,0),0), INDEX($AD$1004:$AU$1004,1,MATCH(COLUMNS($AD$1006:AT1006),$AD$1006:$AU$1006,0)))),"Fix")))</f>
        <v xml:space="preserve"> </v>
      </c>
      <c r="S593" s="4" t="str">
        <f ca="1">IF(OR(INDEX($X$2:$X$1001,MATCH(ROWS($W$2:W593),$W$2:$W$1001,0),1)&gt;=100000,INDEX($AD$1005:$AU$1005,1,MATCH(COLUMNS($AD$1006:AU1006),$AD$1006:$AU$1006,0))&gt;=100000), " ",IF(INDEX($AD$2:$AU$1001,MATCH(ROWS($W$2:W593),$W$2:$W$1001,0),MATCH(COLUMNS($AD$1006:AU1006),$AD$1006:$AU$1006,0)), HYPERLINK("#",""), HYPERLINK(CONCATENATE("#metadata!", ADDRESS(INDEX($Y$2:$Y$1001,MATCH(ROWS($W$2:W593),$W$2:$W$1001,0),0), INDEX($AD$1004:$AU$1004,1,MATCH(COLUMNS($AD$1006:AU1006),$AD$1006:$AU$1006,0)))),"Fix")))</f>
        <v xml:space="preserve"> </v>
      </c>
      <c r="W593">
        <v>592</v>
      </c>
      <c r="X593">
        <v>100593</v>
      </c>
      <c r="Y593">
        <v>593</v>
      </c>
      <c r="Z593" t="b">
        <f t="shared" si="9"/>
        <v>1</v>
      </c>
      <c r="AA593" t="b">
        <f>COUNTBLANK(metadata!B593:S593)=COLUMNS(metadata!B593:S593)</f>
        <v>1</v>
      </c>
      <c r="AB593" t="str">
        <v/>
      </c>
      <c r="AD593" t="b">
        <f ca="1">AND(IF(metadata!B593="",FALSE,TRUE),COUNTIF(metadata!B:B, metadata!B593) = 1,NOT(ISERROR(SUMPRODUCT(SEARCH(MID(metadata!B593,ROW(INDIRECT("1:"&amp;LEN(metadata!B593))), 1),"0123456789abcdefghijklmnopqrstuvwxyzABCDEFGHIJKLMNOPQRSTUVWXYZ.")))))</f>
        <v>0</v>
      </c>
      <c r="AE593" t="b">
        <f>OR(AND(IF(metadata!C593="",FALSE,TRUE),OR(EXACT(metadata!C593,"not applicable"),EXACT(metadata!C593,"missing: not collected"),EXACT(metadata!C593,"missing: not provided"),EXACT(metadata!C593,"missing: restricted access"))),AND(IF(metadata!C593="",FALSE,ISNUMBER(VALUE(metadata!C593))),metadata!C593&gt;0))</f>
        <v>0</v>
      </c>
      <c r="AF593" t="b">
        <f>AND(IF(metadata!D593="",FALSE,TRUE),EXACT(metadata!D593,"missing: not provided"))</f>
        <v>0</v>
      </c>
      <c r="AG593" t="b">
        <f>AND(IF(metadata!E593="",FALSE,TRUE),EXACT(metadata!E593,"Host-associated"))</f>
        <v>0</v>
      </c>
      <c r="AH593" t="b">
        <f>AND(IF(metadata!F593="",FALSE,TRUE),OR(EXACT(metadata!F593,"Animal"),EXACT(metadata!F593,"Fungus"),EXACT(metadata!F593,"Plant")))</f>
        <v>0</v>
      </c>
      <c r="AI593" t="b">
        <f>AND(IF(metadata!G593="",FALSE,TRUE),OR(EXACT(metadata!G593,"Plant secretion"),EXACT(metadata!G593,"Plant rhizosphere"),EXACT(metadata!G593,"Plant surface"),EXACT(metadata!G593,"Plant corpus"),EXACT(metadata!G593,"Fungus surface"),EXACT(metadata!G593,"Fungus corpus"),EXACT(metadata!G593,"Animal surface"),EXACT(metadata!G593,"Animal proximal gut"),EXACT(metadata!G593,"Animal corpus"),EXACT(metadata!G593,"Animal distal gut"),EXACT(metadata!G593,"Animal secretion")))</f>
        <v>0</v>
      </c>
      <c r="AJ593" t="b">
        <f>OR(AND(IF(metadata!H593="",FALSE,TRUE),OR(EXACT(metadata!H593,"missing: not collected"),EXACT(metadata!H593,"missing: not provided"),EXACT(metadata!H593,"missing: restricted access"))),AND(IF(metadata!H593="",FALSE,TRUE),OR(EXACT(metadata!H593,"organism-associated habitat"),EXACT(metadata!H593,"plant-associated habitat"),EXACT(metadata!H593,"animal-associated habitat"),EXACT(metadata!H593,"insecta-associated habitat"),EXACT(metadata!H593,"mammalia-associated habitat"),EXACT(metadata!H593,"human-associated habitat"),EXACT(metadata!H593,"livestock-associated habitat"))))</f>
        <v>0</v>
      </c>
      <c r="AK593" t="b">
        <f>AND(IF(metadata!I593="",FALSE,TRUE),EXACT(metadata!I593,"host-associated"))</f>
        <v>0</v>
      </c>
      <c r="AL593" t="b">
        <f>OR(AND(IF(metadata!J593="",FALSE,TRUE),OR(EXACT(metadata!J593,"not applicable"),EXACT(metadata!J593,"missing: not collected"),EXACT(metadata!J593,"missing: not provided"),EXACT(metadata!J593,"missing: restricted access"))),AND(IF(metadata!J593="",FALSE,ISNUMBER(VALUE(metadata!J593))),metadata!J593&gt;0))</f>
        <v>0</v>
      </c>
      <c r="AM593" t="b">
        <f>AND(IF(metadata!K593="",FALSE,TRUE),EXACT(metadata!K593,"missing: not provided"))</f>
        <v>0</v>
      </c>
      <c r="AN593" t="b">
        <f>IF(metadata!L593="",FALSE,TRUE)</f>
        <v>0</v>
      </c>
      <c r="AO593" t="b">
        <f>IF(metadata!M593="",FALSE,TRUE)</f>
        <v>0</v>
      </c>
      <c r="AP593" t="b">
        <f>OR(AND(IF(metadata!N593="",FALSE,TRUE),OR(EXACT(metadata!N593,"not applicable"),EXACT(metadata!N593,"missing: not collected"),EXACT(metadata!N593,"missing: not provided"))),AND(IF(metadata!N593="",FALSE,IF(ISERROR(INT(metadata!N593)),FALSE,INT(metadata!N593)=metadata!N593)),metadata!N593&gt;0))</f>
        <v>0</v>
      </c>
      <c r="AQ593" t="b">
        <f>AND(IF(metadata!O593="",FALSE,TRUE),EXACT(metadata!O593,"Not applicable"))</f>
        <v>0</v>
      </c>
      <c r="AR593" t="b">
        <f>OR(AND(IF(metadata!P593="",FALSE,TRUE),OR(EXACT(metadata!P593,"not applicable"),EXACT(metadata!P593,"missing: not collected"),EXACT(metadata!P593,"missing: not provided"),EXACT(metadata!P593,"missing: restricted access"))),IF(metadata!P593="",FALSE,IF(ISERROR(INT(metadata!P593)),FALSE,INT(metadata!P593)=metadata!P593)))</f>
        <v>0</v>
      </c>
      <c r="AS593" t="b">
        <f>AND(IF(metadata!Q593="",FALSE,TRUE),EXACT(metadata!Q593,"Not applicable"))</f>
        <v>0</v>
      </c>
      <c r="AT593" t="b">
        <f>OR(AND(IF(metadata!R593="",FALSE,TRUE),OR(EXACT(metadata!R593,"not applicable"),EXACT(metadata!R593,"missing: not collected"),EXACT(metadata!R593,"missing: not provided"),EXACT(metadata!R593,"missing: restricted access"))),AND(IF(metadata!R593="",FALSE,ISNUMBER(VALUE(metadata!R593))),metadata!R593&gt;0))</f>
        <v>0</v>
      </c>
      <c r="AU593" t="b">
        <f>AND(IF(metadata!S593="",FALSE,TRUE),EXACT(metadata!S593,"missing: not provided"))</f>
        <v>0</v>
      </c>
    </row>
    <row r="594" spans="1:47" x14ac:dyDescent="0.2">
      <c r="A594" s="5" t="str">
        <f ca="1">IF(B594=" "," ",HYPERLINK(CONCATENATE("#metadata!",ADDRESS(INDEX($Y$2:$Y$1001,MATCH(ROWS($W$2:W594),$W$2:$W$1001,0),0),1)),INDEX($AB$2:$AB$1001,MATCH(ROWS($W$2:W594),$W$2:$W$1001,0),0)))</f>
        <v xml:space="preserve"> </v>
      </c>
      <c r="B594" s="4" t="str">
        <f ca="1">IF(OR(INDEX($X$2:$X$1001,MATCH(ROWS($W$2:W594),$W$2:$W$1001,0),1)&gt;=100000,INDEX($AD$1005:$AU$1005,1,MATCH(COLUMNS($AD$1006:AD1006),$AD$1006:$AU$1006,0))&gt;=100000), " ",IF(INDEX($AD$2:$AU$1001,MATCH(ROWS($W$2:W594),$W$2:$W$1001,0),MATCH(COLUMNS($AD$1006:AD1006),$AD$1006:$AU$1006,0)), HYPERLINK("#",""), HYPERLINK(CONCATENATE("#metadata!", ADDRESS(INDEX($Y$2:$Y$1001,MATCH(ROWS($W$2:W594),$W$2:$W$1001,0),0), INDEX($AD$1004:$AU$1004,1,MATCH(COLUMNS($AD$1006:AD1006),$AD$1006:$AU$1006,0)))),"Fix")))</f>
        <v xml:space="preserve"> </v>
      </c>
      <c r="C594" s="4" t="str">
        <f ca="1">IF(OR(INDEX($X$2:$X$1001,MATCH(ROWS($W$2:W594),$W$2:$W$1001,0),1)&gt;=100000,INDEX($AD$1005:$AU$1005,1,MATCH(COLUMNS($AD$1006:AE1006),$AD$1006:$AU$1006,0))&gt;=100000), " ",IF(INDEX($AD$2:$AU$1001,MATCH(ROWS($W$2:W594),$W$2:$W$1001,0),MATCH(COLUMNS($AD$1006:AE1006),$AD$1006:$AU$1006,0)), HYPERLINK("#",""), HYPERLINK(CONCATENATE("#metadata!", ADDRESS(INDEX($Y$2:$Y$1001,MATCH(ROWS($W$2:W594),$W$2:$W$1001,0),0), INDEX($AD$1004:$AU$1004,1,MATCH(COLUMNS($AD$1006:AE1006),$AD$1006:$AU$1006,0)))),"Fix")))</f>
        <v xml:space="preserve"> </v>
      </c>
      <c r="D594" s="4" t="str">
        <f ca="1">IF(OR(INDEX($X$2:$X$1001,MATCH(ROWS($W$2:W594),$W$2:$W$1001,0),1)&gt;=100000,INDEX($AD$1005:$AU$1005,1,MATCH(COLUMNS($AD$1006:AF1006),$AD$1006:$AU$1006,0))&gt;=100000), " ",IF(INDEX($AD$2:$AU$1001,MATCH(ROWS($W$2:W594),$W$2:$W$1001,0),MATCH(COLUMNS($AD$1006:AF1006),$AD$1006:$AU$1006,0)), HYPERLINK("#",""), HYPERLINK(CONCATENATE("#metadata!", ADDRESS(INDEX($Y$2:$Y$1001,MATCH(ROWS($W$2:W594),$W$2:$W$1001,0),0), INDEX($AD$1004:$AU$1004,1,MATCH(COLUMNS($AD$1006:AF1006),$AD$1006:$AU$1006,0)))),"Fix")))</f>
        <v xml:space="preserve"> </v>
      </c>
      <c r="E594" s="4" t="str">
        <f ca="1">IF(OR(INDEX($X$2:$X$1001,MATCH(ROWS($W$2:W594),$W$2:$W$1001,0),1)&gt;=100000,INDEX($AD$1005:$AU$1005,1,MATCH(COLUMNS($AD$1006:AG1006),$AD$1006:$AU$1006,0))&gt;=100000), " ",IF(INDEX($AD$2:$AU$1001,MATCH(ROWS($W$2:W594),$W$2:$W$1001,0),MATCH(COLUMNS($AD$1006:AG1006),$AD$1006:$AU$1006,0)), HYPERLINK("#",""), HYPERLINK(CONCATENATE("#metadata!", ADDRESS(INDEX($Y$2:$Y$1001,MATCH(ROWS($W$2:W594),$W$2:$W$1001,0),0), INDEX($AD$1004:$AU$1004,1,MATCH(COLUMNS($AD$1006:AG1006),$AD$1006:$AU$1006,0)))),"Fix")))</f>
        <v xml:space="preserve"> </v>
      </c>
      <c r="F594" s="4" t="str">
        <f ca="1">IF(OR(INDEX($X$2:$X$1001,MATCH(ROWS($W$2:W594),$W$2:$W$1001,0),1)&gt;=100000,INDEX($AD$1005:$AU$1005,1,MATCH(COLUMNS($AD$1006:AH1006),$AD$1006:$AU$1006,0))&gt;=100000), " ",IF(INDEX($AD$2:$AU$1001,MATCH(ROWS($W$2:W594),$W$2:$W$1001,0),MATCH(COLUMNS($AD$1006:AH1006),$AD$1006:$AU$1006,0)), HYPERLINK("#",""), HYPERLINK(CONCATENATE("#metadata!", ADDRESS(INDEX($Y$2:$Y$1001,MATCH(ROWS($W$2:W594),$W$2:$W$1001,0),0), INDEX($AD$1004:$AU$1004,1,MATCH(COLUMNS($AD$1006:AH1006),$AD$1006:$AU$1006,0)))),"Fix")))</f>
        <v xml:space="preserve"> </v>
      </c>
      <c r="G594" s="4" t="str">
        <f ca="1">IF(OR(INDEX($X$2:$X$1001,MATCH(ROWS($W$2:W594),$W$2:$W$1001,0),1)&gt;=100000,INDEX($AD$1005:$AU$1005,1,MATCH(COLUMNS($AD$1006:AI1006),$AD$1006:$AU$1006,0))&gt;=100000), " ",IF(INDEX($AD$2:$AU$1001,MATCH(ROWS($W$2:W594),$W$2:$W$1001,0),MATCH(COLUMNS($AD$1006:AI1006),$AD$1006:$AU$1006,0)), HYPERLINK("#",""), HYPERLINK(CONCATENATE("#metadata!", ADDRESS(INDEX($Y$2:$Y$1001,MATCH(ROWS($W$2:W594),$W$2:$W$1001,0),0), INDEX($AD$1004:$AU$1004,1,MATCH(COLUMNS($AD$1006:AI1006),$AD$1006:$AU$1006,0)))),"Fix")))</f>
        <v xml:space="preserve"> </v>
      </c>
      <c r="H594" s="4" t="str">
        <f ca="1">IF(OR(INDEX($X$2:$X$1001,MATCH(ROWS($W$2:W594),$W$2:$W$1001,0),1)&gt;=100000,INDEX($AD$1005:$AU$1005,1,MATCH(COLUMNS($AD$1006:AJ1006),$AD$1006:$AU$1006,0))&gt;=100000), " ",IF(INDEX($AD$2:$AU$1001,MATCH(ROWS($W$2:W594),$W$2:$W$1001,0),MATCH(COLUMNS($AD$1006:AJ1006),$AD$1006:$AU$1006,0)), HYPERLINK("#",""), HYPERLINK(CONCATENATE("#metadata!", ADDRESS(INDEX($Y$2:$Y$1001,MATCH(ROWS($W$2:W594),$W$2:$W$1001,0),0), INDEX($AD$1004:$AU$1004,1,MATCH(COLUMNS($AD$1006:AJ1006),$AD$1006:$AU$1006,0)))),"Fix")))</f>
        <v xml:space="preserve"> </v>
      </c>
      <c r="I594" s="4" t="str">
        <f ca="1">IF(OR(INDEX($X$2:$X$1001,MATCH(ROWS($W$2:W594),$W$2:$W$1001,0),1)&gt;=100000,INDEX($AD$1005:$AU$1005,1,MATCH(COLUMNS($AD$1006:AK1006),$AD$1006:$AU$1006,0))&gt;=100000), " ",IF(INDEX($AD$2:$AU$1001,MATCH(ROWS($W$2:W594),$W$2:$W$1001,0),MATCH(COLUMNS($AD$1006:AK1006),$AD$1006:$AU$1006,0)), HYPERLINK("#",""), HYPERLINK(CONCATENATE("#metadata!", ADDRESS(INDEX($Y$2:$Y$1001,MATCH(ROWS($W$2:W594),$W$2:$W$1001,0),0), INDEX($AD$1004:$AU$1004,1,MATCH(COLUMNS($AD$1006:AK1006),$AD$1006:$AU$1006,0)))),"Fix")))</f>
        <v xml:space="preserve"> </v>
      </c>
      <c r="J594" s="4" t="str">
        <f ca="1">IF(OR(INDEX($X$2:$X$1001,MATCH(ROWS($W$2:W594),$W$2:$W$1001,0),1)&gt;=100000,INDEX($AD$1005:$AU$1005,1,MATCH(COLUMNS($AD$1006:AL1006),$AD$1006:$AU$1006,0))&gt;=100000), " ",IF(INDEX($AD$2:$AU$1001,MATCH(ROWS($W$2:W594),$W$2:$W$1001,0),MATCH(COLUMNS($AD$1006:AL1006),$AD$1006:$AU$1006,0)), HYPERLINK("#",""), HYPERLINK(CONCATENATE("#metadata!", ADDRESS(INDEX($Y$2:$Y$1001,MATCH(ROWS($W$2:W594),$W$2:$W$1001,0),0), INDEX($AD$1004:$AU$1004,1,MATCH(COLUMNS($AD$1006:AL1006),$AD$1006:$AU$1006,0)))),"Fix")))</f>
        <v xml:space="preserve"> </v>
      </c>
      <c r="K594" s="4" t="str">
        <f ca="1">IF(OR(INDEX($X$2:$X$1001,MATCH(ROWS($W$2:W594),$W$2:$W$1001,0),1)&gt;=100000,INDEX($AD$1005:$AU$1005,1,MATCH(COLUMNS($AD$1006:AM1006),$AD$1006:$AU$1006,0))&gt;=100000), " ",IF(INDEX($AD$2:$AU$1001,MATCH(ROWS($W$2:W594),$W$2:$W$1001,0),MATCH(COLUMNS($AD$1006:AM1006),$AD$1006:$AU$1006,0)), HYPERLINK("#",""), HYPERLINK(CONCATENATE("#metadata!", ADDRESS(INDEX($Y$2:$Y$1001,MATCH(ROWS($W$2:W594),$W$2:$W$1001,0),0), INDEX($AD$1004:$AU$1004,1,MATCH(COLUMNS($AD$1006:AM1006),$AD$1006:$AU$1006,0)))),"Fix")))</f>
        <v xml:space="preserve"> </v>
      </c>
      <c r="L594" s="4" t="str">
        <f ca="1">IF(OR(INDEX($X$2:$X$1001,MATCH(ROWS($W$2:W594),$W$2:$W$1001,0),1)&gt;=100000,INDEX($AD$1005:$AU$1005,1,MATCH(COLUMNS($AD$1006:AN1006),$AD$1006:$AU$1006,0))&gt;=100000), " ",IF(INDEX($AD$2:$AU$1001,MATCH(ROWS($W$2:W594),$W$2:$W$1001,0),MATCH(COLUMNS($AD$1006:AN1006),$AD$1006:$AU$1006,0)), HYPERLINK("#",""), HYPERLINK(CONCATENATE("#metadata!", ADDRESS(INDEX($Y$2:$Y$1001,MATCH(ROWS($W$2:W594),$W$2:$W$1001,0),0), INDEX($AD$1004:$AU$1004,1,MATCH(COLUMNS($AD$1006:AN1006),$AD$1006:$AU$1006,0)))),"Fix")))</f>
        <v xml:space="preserve"> </v>
      </c>
      <c r="M594" s="4" t="str">
        <f ca="1">IF(OR(INDEX($X$2:$X$1001,MATCH(ROWS($W$2:W594),$W$2:$W$1001,0),1)&gt;=100000,INDEX($AD$1005:$AU$1005,1,MATCH(COLUMNS($AD$1006:AO1006),$AD$1006:$AU$1006,0))&gt;=100000), " ",IF(INDEX($AD$2:$AU$1001,MATCH(ROWS($W$2:W594),$W$2:$W$1001,0),MATCH(COLUMNS($AD$1006:AO1006),$AD$1006:$AU$1006,0)), HYPERLINK("#",""), HYPERLINK(CONCATENATE("#metadata!", ADDRESS(INDEX($Y$2:$Y$1001,MATCH(ROWS($W$2:W594),$W$2:$W$1001,0),0), INDEX($AD$1004:$AU$1004,1,MATCH(COLUMNS($AD$1006:AO1006),$AD$1006:$AU$1006,0)))),"Fix")))</f>
        <v xml:space="preserve"> </v>
      </c>
      <c r="N594" s="4" t="str">
        <f ca="1">IF(OR(INDEX($X$2:$X$1001,MATCH(ROWS($W$2:W594),$W$2:$W$1001,0),1)&gt;=100000,INDEX($AD$1005:$AU$1005,1,MATCH(COLUMNS($AD$1006:AP1006),$AD$1006:$AU$1006,0))&gt;=100000), " ",IF(INDEX($AD$2:$AU$1001,MATCH(ROWS($W$2:W594),$W$2:$W$1001,0),MATCH(COLUMNS($AD$1006:AP1006),$AD$1006:$AU$1006,0)), HYPERLINK("#",""), HYPERLINK(CONCATENATE("#metadata!", ADDRESS(INDEX($Y$2:$Y$1001,MATCH(ROWS($W$2:W594),$W$2:$W$1001,0),0), INDEX($AD$1004:$AU$1004,1,MATCH(COLUMNS($AD$1006:AP1006),$AD$1006:$AU$1006,0)))),"Fix")))</f>
        <v xml:space="preserve"> </v>
      </c>
      <c r="O594" s="4" t="str">
        <f ca="1">IF(OR(INDEX($X$2:$X$1001,MATCH(ROWS($W$2:W594),$W$2:$W$1001,0),1)&gt;=100000,INDEX($AD$1005:$AU$1005,1,MATCH(COLUMNS($AD$1006:AQ1006),$AD$1006:$AU$1006,0))&gt;=100000), " ",IF(INDEX($AD$2:$AU$1001,MATCH(ROWS($W$2:W594),$W$2:$W$1001,0),MATCH(COLUMNS($AD$1006:AQ1006),$AD$1006:$AU$1006,0)), HYPERLINK("#",""), HYPERLINK(CONCATENATE("#metadata!", ADDRESS(INDEX($Y$2:$Y$1001,MATCH(ROWS($W$2:W594),$W$2:$W$1001,0),0), INDEX($AD$1004:$AU$1004,1,MATCH(COLUMNS($AD$1006:AQ1006),$AD$1006:$AU$1006,0)))),"Fix")))</f>
        <v xml:space="preserve"> </v>
      </c>
      <c r="P594" s="4" t="str">
        <f ca="1">IF(OR(INDEX($X$2:$X$1001,MATCH(ROWS($W$2:W594),$W$2:$W$1001,0),1)&gt;=100000,INDEX($AD$1005:$AU$1005,1,MATCH(COLUMNS($AD$1006:AR1006),$AD$1006:$AU$1006,0))&gt;=100000), " ",IF(INDEX($AD$2:$AU$1001,MATCH(ROWS($W$2:W594),$W$2:$W$1001,0),MATCH(COLUMNS($AD$1006:AR1006),$AD$1006:$AU$1006,0)), HYPERLINK("#",""), HYPERLINK(CONCATENATE("#metadata!", ADDRESS(INDEX($Y$2:$Y$1001,MATCH(ROWS($W$2:W594),$W$2:$W$1001,0),0), INDEX($AD$1004:$AU$1004,1,MATCH(COLUMNS($AD$1006:AR1006),$AD$1006:$AU$1006,0)))),"Fix")))</f>
        <v xml:space="preserve"> </v>
      </c>
      <c r="Q594" s="4" t="str">
        <f ca="1">IF(OR(INDEX($X$2:$X$1001,MATCH(ROWS($W$2:W594),$W$2:$W$1001,0),1)&gt;=100000,INDEX($AD$1005:$AU$1005,1,MATCH(COLUMNS($AD$1006:AS1006),$AD$1006:$AU$1006,0))&gt;=100000), " ",IF(INDEX($AD$2:$AU$1001,MATCH(ROWS($W$2:W594),$W$2:$W$1001,0),MATCH(COLUMNS($AD$1006:AS1006),$AD$1006:$AU$1006,0)), HYPERLINK("#",""), HYPERLINK(CONCATENATE("#metadata!", ADDRESS(INDEX($Y$2:$Y$1001,MATCH(ROWS($W$2:W594),$W$2:$W$1001,0),0), INDEX($AD$1004:$AU$1004,1,MATCH(COLUMNS($AD$1006:AS1006),$AD$1006:$AU$1006,0)))),"Fix")))</f>
        <v xml:space="preserve"> </v>
      </c>
      <c r="R594" s="4" t="str">
        <f ca="1">IF(OR(INDEX($X$2:$X$1001,MATCH(ROWS($W$2:W594),$W$2:$W$1001,0),1)&gt;=100000,INDEX($AD$1005:$AU$1005,1,MATCH(COLUMNS($AD$1006:AT1006),$AD$1006:$AU$1006,0))&gt;=100000), " ",IF(INDEX($AD$2:$AU$1001,MATCH(ROWS($W$2:W594),$W$2:$W$1001,0),MATCH(COLUMNS($AD$1006:AT1006),$AD$1006:$AU$1006,0)), HYPERLINK("#",""), HYPERLINK(CONCATENATE("#metadata!", ADDRESS(INDEX($Y$2:$Y$1001,MATCH(ROWS($W$2:W594),$W$2:$W$1001,0),0), INDEX($AD$1004:$AU$1004,1,MATCH(COLUMNS($AD$1006:AT1006),$AD$1006:$AU$1006,0)))),"Fix")))</f>
        <v xml:space="preserve"> </v>
      </c>
      <c r="S594" s="4" t="str">
        <f ca="1">IF(OR(INDEX($X$2:$X$1001,MATCH(ROWS($W$2:W594),$W$2:$W$1001,0),1)&gt;=100000,INDEX($AD$1005:$AU$1005,1,MATCH(COLUMNS($AD$1006:AU1006),$AD$1006:$AU$1006,0))&gt;=100000), " ",IF(INDEX($AD$2:$AU$1001,MATCH(ROWS($W$2:W594),$W$2:$W$1001,0),MATCH(COLUMNS($AD$1006:AU1006),$AD$1006:$AU$1006,0)), HYPERLINK("#",""), HYPERLINK(CONCATENATE("#metadata!", ADDRESS(INDEX($Y$2:$Y$1001,MATCH(ROWS($W$2:W594),$W$2:$W$1001,0),0), INDEX($AD$1004:$AU$1004,1,MATCH(COLUMNS($AD$1006:AU1006),$AD$1006:$AU$1006,0)))),"Fix")))</f>
        <v xml:space="preserve"> </v>
      </c>
      <c r="W594">
        <v>593</v>
      </c>
      <c r="X594">
        <v>100594</v>
      </c>
      <c r="Y594">
        <v>594</v>
      </c>
      <c r="Z594" t="b">
        <f t="shared" si="9"/>
        <v>1</v>
      </c>
      <c r="AA594" t="b">
        <f>COUNTBLANK(metadata!B594:S594)=COLUMNS(metadata!B594:S594)</f>
        <v>1</v>
      </c>
      <c r="AB594" t="str">
        <v/>
      </c>
      <c r="AD594" t="b">
        <f ca="1">AND(IF(metadata!B594="",FALSE,TRUE),COUNTIF(metadata!B:B, metadata!B594) = 1,NOT(ISERROR(SUMPRODUCT(SEARCH(MID(metadata!B594,ROW(INDIRECT("1:"&amp;LEN(metadata!B594))), 1),"0123456789abcdefghijklmnopqrstuvwxyzABCDEFGHIJKLMNOPQRSTUVWXYZ.")))))</f>
        <v>0</v>
      </c>
      <c r="AE594" t="b">
        <f>OR(AND(IF(metadata!C594="",FALSE,TRUE),OR(EXACT(metadata!C594,"not applicable"),EXACT(metadata!C594,"missing: not collected"),EXACT(metadata!C594,"missing: not provided"),EXACT(metadata!C594,"missing: restricted access"))),AND(IF(metadata!C594="",FALSE,ISNUMBER(VALUE(metadata!C594))),metadata!C594&gt;0))</f>
        <v>0</v>
      </c>
      <c r="AF594" t="b">
        <f>AND(IF(metadata!D594="",FALSE,TRUE),EXACT(metadata!D594,"missing: not provided"))</f>
        <v>0</v>
      </c>
      <c r="AG594" t="b">
        <f>AND(IF(metadata!E594="",FALSE,TRUE),EXACT(metadata!E594,"Host-associated"))</f>
        <v>0</v>
      </c>
      <c r="AH594" t="b">
        <f>AND(IF(metadata!F594="",FALSE,TRUE),OR(EXACT(metadata!F594,"Animal"),EXACT(metadata!F594,"Fungus"),EXACT(metadata!F594,"Plant")))</f>
        <v>0</v>
      </c>
      <c r="AI594" t="b">
        <f>AND(IF(metadata!G594="",FALSE,TRUE),OR(EXACT(metadata!G594,"Plant secretion"),EXACT(metadata!G594,"Plant rhizosphere"),EXACT(metadata!G594,"Plant surface"),EXACT(metadata!G594,"Plant corpus"),EXACT(metadata!G594,"Fungus surface"),EXACT(metadata!G594,"Fungus corpus"),EXACT(metadata!G594,"Animal surface"),EXACT(metadata!G594,"Animal proximal gut"),EXACT(metadata!G594,"Animal corpus"),EXACT(metadata!G594,"Animal distal gut"),EXACT(metadata!G594,"Animal secretion")))</f>
        <v>0</v>
      </c>
      <c r="AJ594" t="b">
        <f>OR(AND(IF(metadata!H594="",FALSE,TRUE),OR(EXACT(metadata!H594,"missing: not collected"),EXACT(metadata!H594,"missing: not provided"),EXACT(metadata!H594,"missing: restricted access"))),AND(IF(metadata!H594="",FALSE,TRUE),OR(EXACT(metadata!H594,"organism-associated habitat"),EXACT(metadata!H594,"plant-associated habitat"),EXACT(metadata!H594,"animal-associated habitat"),EXACT(metadata!H594,"insecta-associated habitat"),EXACT(metadata!H594,"mammalia-associated habitat"),EXACT(metadata!H594,"human-associated habitat"),EXACT(metadata!H594,"livestock-associated habitat"))))</f>
        <v>0</v>
      </c>
      <c r="AK594" t="b">
        <f>AND(IF(metadata!I594="",FALSE,TRUE),EXACT(metadata!I594,"host-associated"))</f>
        <v>0</v>
      </c>
      <c r="AL594" t="b">
        <f>OR(AND(IF(metadata!J594="",FALSE,TRUE),OR(EXACT(metadata!J594,"not applicable"),EXACT(metadata!J594,"missing: not collected"),EXACT(metadata!J594,"missing: not provided"),EXACT(metadata!J594,"missing: restricted access"))),AND(IF(metadata!J594="",FALSE,ISNUMBER(VALUE(metadata!J594))),metadata!J594&gt;0))</f>
        <v>0</v>
      </c>
      <c r="AM594" t="b">
        <f>AND(IF(metadata!K594="",FALSE,TRUE),EXACT(metadata!K594,"missing: not provided"))</f>
        <v>0</v>
      </c>
      <c r="AN594" t="b">
        <f>IF(metadata!L594="",FALSE,TRUE)</f>
        <v>0</v>
      </c>
      <c r="AO594" t="b">
        <f>IF(metadata!M594="",FALSE,TRUE)</f>
        <v>0</v>
      </c>
      <c r="AP594" t="b">
        <f>OR(AND(IF(metadata!N594="",FALSE,TRUE),OR(EXACT(metadata!N594,"not applicable"),EXACT(metadata!N594,"missing: not collected"),EXACT(metadata!N594,"missing: not provided"))),AND(IF(metadata!N594="",FALSE,IF(ISERROR(INT(metadata!N594)),FALSE,INT(metadata!N594)=metadata!N594)),metadata!N594&gt;0))</f>
        <v>0</v>
      </c>
      <c r="AQ594" t="b">
        <f>AND(IF(metadata!O594="",FALSE,TRUE),EXACT(metadata!O594,"Not applicable"))</f>
        <v>0</v>
      </c>
      <c r="AR594" t="b">
        <f>OR(AND(IF(metadata!P594="",FALSE,TRUE),OR(EXACT(metadata!P594,"not applicable"),EXACT(metadata!P594,"missing: not collected"),EXACT(metadata!P594,"missing: not provided"),EXACT(metadata!P594,"missing: restricted access"))),IF(metadata!P594="",FALSE,IF(ISERROR(INT(metadata!P594)),FALSE,INT(metadata!P594)=metadata!P594)))</f>
        <v>0</v>
      </c>
      <c r="AS594" t="b">
        <f>AND(IF(metadata!Q594="",FALSE,TRUE),EXACT(metadata!Q594,"Not applicable"))</f>
        <v>0</v>
      </c>
      <c r="AT594" t="b">
        <f>OR(AND(IF(metadata!R594="",FALSE,TRUE),OR(EXACT(metadata!R594,"not applicable"),EXACT(metadata!R594,"missing: not collected"),EXACT(metadata!R594,"missing: not provided"),EXACT(metadata!R594,"missing: restricted access"))),AND(IF(metadata!R594="",FALSE,ISNUMBER(VALUE(metadata!R594))),metadata!R594&gt;0))</f>
        <v>0</v>
      </c>
      <c r="AU594" t="b">
        <f>AND(IF(metadata!S594="",FALSE,TRUE),EXACT(metadata!S594,"missing: not provided"))</f>
        <v>0</v>
      </c>
    </row>
    <row r="595" spans="1:47" x14ac:dyDescent="0.2">
      <c r="A595" s="5" t="str">
        <f ca="1">IF(B595=" "," ",HYPERLINK(CONCATENATE("#metadata!",ADDRESS(INDEX($Y$2:$Y$1001,MATCH(ROWS($W$2:W595),$W$2:$W$1001,0),0),1)),INDEX($AB$2:$AB$1001,MATCH(ROWS($W$2:W595),$W$2:$W$1001,0),0)))</f>
        <v xml:space="preserve"> </v>
      </c>
      <c r="B595" s="4" t="str">
        <f ca="1">IF(OR(INDEX($X$2:$X$1001,MATCH(ROWS($W$2:W595),$W$2:$W$1001,0),1)&gt;=100000,INDEX($AD$1005:$AU$1005,1,MATCH(COLUMNS($AD$1006:AD1006),$AD$1006:$AU$1006,0))&gt;=100000), " ",IF(INDEX($AD$2:$AU$1001,MATCH(ROWS($W$2:W595),$W$2:$W$1001,0),MATCH(COLUMNS($AD$1006:AD1006),$AD$1006:$AU$1006,0)), HYPERLINK("#",""), HYPERLINK(CONCATENATE("#metadata!", ADDRESS(INDEX($Y$2:$Y$1001,MATCH(ROWS($W$2:W595),$W$2:$W$1001,0),0), INDEX($AD$1004:$AU$1004,1,MATCH(COLUMNS($AD$1006:AD1006),$AD$1006:$AU$1006,0)))),"Fix")))</f>
        <v xml:space="preserve"> </v>
      </c>
      <c r="C595" s="4" t="str">
        <f ca="1">IF(OR(INDEX($X$2:$X$1001,MATCH(ROWS($W$2:W595),$W$2:$W$1001,0),1)&gt;=100000,INDEX($AD$1005:$AU$1005,1,MATCH(COLUMNS($AD$1006:AE1006),$AD$1006:$AU$1006,0))&gt;=100000), " ",IF(INDEX($AD$2:$AU$1001,MATCH(ROWS($W$2:W595),$W$2:$W$1001,0),MATCH(COLUMNS($AD$1006:AE1006),$AD$1006:$AU$1006,0)), HYPERLINK("#",""), HYPERLINK(CONCATENATE("#metadata!", ADDRESS(INDEX($Y$2:$Y$1001,MATCH(ROWS($W$2:W595),$W$2:$W$1001,0),0), INDEX($AD$1004:$AU$1004,1,MATCH(COLUMNS($AD$1006:AE1006),$AD$1006:$AU$1006,0)))),"Fix")))</f>
        <v xml:space="preserve"> </v>
      </c>
      <c r="D595" s="4" t="str">
        <f ca="1">IF(OR(INDEX($X$2:$X$1001,MATCH(ROWS($W$2:W595),$W$2:$W$1001,0),1)&gt;=100000,INDEX($AD$1005:$AU$1005,1,MATCH(COLUMNS($AD$1006:AF1006),$AD$1006:$AU$1006,0))&gt;=100000), " ",IF(INDEX($AD$2:$AU$1001,MATCH(ROWS($W$2:W595),$W$2:$W$1001,0),MATCH(COLUMNS($AD$1006:AF1006),$AD$1006:$AU$1006,0)), HYPERLINK("#",""), HYPERLINK(CONCATENATE("#metadata!", ADDRESS(INDEX($Y$2:$Y$1001,MATCH(ROWS($W$2:W595),$W$2:$W$1001,0),0), INDEX($AD$1004:$AU$1004,1,MATCH(COLUMNS($AD$1006:AF1006),$AD$1006:$AU$1006,0)))),"Fix")))</f>
        <v xml:space="preserve"> </v>
      </c>
      <c r="E595" s="4" t="str">
        <f ca="1">IF(OR(INDEX($X$2:$X$1001,MATCH(ROWS($W$2:W595),$W$2:$W$1001,0),1)&gt;=100000,INDEX($AD$1005:$AU$1005,1,MATCH(COLUMNS($AD$1006:AG1006),$AD$1006:$AU$1006,0))&gt;=100000), " ",IF(INDEX($AD$2:$AU$1001,MATCH(ROWS($W$2:W595),$W$2:$W$1001,0),MATCH(COLUMNS($AD$1006:AG1006),$AD$1006:$AU$1006,0)), HYPERLINK("#",""), HYPERLINK(CONCATENATE("#metadata!", ADDRESS(INDEX($Y$2:$Y$1001,MATCH(ROWS($W$2:W595),$W$2:$W$1001,0),0), INDEX($AD$1004:$AU$1004,1,MATCH(COLUMNS($AD$1006:AG1006),$AD$1006:$AU$1006,0)))),"Fix")))</f>
        <v xml:space="preserve"> </v>
      </c>
      <c r="F595" s="4" t="str">
        <f ca="1">IF(OR(INDEX($X$2:$X$1001,MATCH(ROWS($W$2:W595),$W$2:$W$1001,0),1)&gt;=100000,INDEX($AD$1005:$AU$1005,1,MATCH(COLUMNS($AD$1006:AH1006),$AD$1006:$AU$1006,0))&gt;=100000), " ",IF(INDEX($AD$2:$AU$1001,MATCH(ROWS($W$2:W595),$W$2:$W$1001,0),MATCH(COLUMNS($AD$1006:AH1006),$AD$1006:$AU$1006,0)), HYPERLINK("#",""), HYPERLINK(CONCATENATE("#metadata!", ADDRESS(INDEX($Y$2:$Y$1001,MATCH(ROWS($W$2:W595),$W$2:$W$1001,0),0), INDEX($AD$1004:$AU$1004,1,MATCH(COLUMNS($AD$1006:AH1006),$AD$1006:$AU$1006,0)))),"Fix")))</f>
        <v xml:space="preserve"> </v>
      </c>
      <c r="G595" s="4" t="str">
        <f ca="1">IF(OR(INDEX($X$2:$X$1001,MATCH(ROWS($W$2:W595),$W$2:$W$1001,0),1)&gt;=100000,INDEX($AD$1005:$AU$1005,1,MATCH(COLUMNS($AD$1006:AI1006),$AD$1006:$AU$1006,0))&gt;=100000), " ",IF(INDEX($AD$2:$AU$1001,MATCH(ROWS($W$2:W595),$W$2:$W$1001,0),MATCH(COLUMNS($AD$1006:AI1006),$AD$1006:$AU$1006,0)), HYPERLINK("#",""), HYPERLINK(CONCATENATE("#metadata!", ADDRESS(INDEX($Y$2:$Y$1001,MATCH(ROWS($W$2:W595),$W$2:$W$1001,0),0), INDEX($AD$1004:$AU$1004,1,MATCH(COLUMNS($AD$1006:AI1006),$AD$1006:$AU$1006,0)))),"Fix")))</f>
        <v xml:space="preserve"> </v>
      </c>
      <c r="H595" s="4" t="str">
        <f ca="1">IF(OR(INDEX($X$2:$X$1001,MATCH(ROWS($W$2:W595),$W$2:$W$1001,0),1)&gt;=100000,INDEX($AD$1005:$AU$1005,1,MATCH(COLUMNS($AD$1006:AJ1006),$AD$1006:$AU$1006,0))&gt;=100000), " ",IF(INDEX($AD$2:$AU$1001,MATCH(ROWS($W$2:W595),$W$2:$W$1001,0),MATCH(COLUMNS($AD$1006:AJ1006),$AD$1006:$AU$1006,0)), HYPERLINK("#",""), HYPERLINK(CONCATENATE("#metadata!", ADDRESS(INDEX($Y$2:$Y$1001,MATCH(ROWS($W$2:W595),$W$2:$W$1001,0),0), INDEX($AD$1004:$AU$1004,1,MATCH(COLUMNS($AD$1006:AJ1006),$AD$1006:$AU$1006,0)))),"Fix")))</f>
        <v xml:space="preserve"> </v>
      </c>
      <c r="I595" s="4" t="str">
        <f ca="1">IF(OR(INDEX($X$2:$X$1001,MATCH(ROWS($W$2:W595),$W$2:$W$1001,0),1)&gt;=100000,INDEX($AD$1005:$AU$1005,1,MATCH(COLUMNS($AD$1006:AK1006),$AD$1006:$AU$1006,0))&gt;=100000), " ",IF(INDEX($AD$2:$AU$1001,MATCH(ROWS($W$2:W595),$W$2:$W$1001,0),MATCH(COLUMNS($AD$1006:AK1006),$AD$1006:$AU$1006,0)), HYPERLINK("#",""), HYPERLINK(CONCATENATE("#metadata!", ADDRESS(INDEX($Y$2:$Y$1001,MATCH(ROWS($W$2:W595),$W$2:$W$1001,0),0), INDEX($AD$1004:$AU$1004,1,MATCH(COLUMNS($AD$1006:AK1006),$AD$1006:$AU$1006,0)))),"Fix")))</f>
        <v xml:space="preserve"> </v>
      </c>
      <c r="J595" s="4" t="str">
        <f ca="1">IF(OR(INDEX($X$2:$X$1001,MATCH(ROWS($W$2:W595),$W$2:$W$1001,0),1)&gt;=100000,INDEX($AD$1005:$AU$1005,1,MATCH(COLUMNS($AD$1006:AL1006),$AD$1006:$AU$1006,0))&gt;=100000), " ",IF(INDEX($AD$2:$AU$1001,MATCH(ROWS($W$2:W595),$W$2:$W$1001,0),MATCH(COLUMNS($AD$1006:AL1006),$AD$1006:$AU$1006,0)), HYPERLINK("#",""), HYPERLINK(CONCATENATE("#metadata!", ADDRESS(INDEX($Y$2:$Y$1001,MATCH(ROWS($W$2:W595),$W$2:$W$1001,0),0), INDEX($AD$1004:$AU$1004,1,MATCH(COLUMNS($AD$1006:AL1006),$AD$1006:$AU$1006,0)))),"Fix")))</f>
        <v xml:space="preserve"> </v>
      </c>
      <c r="K595" s="4" t="str">
        <f ca="1">IF(OR(INDEX($X$2:$X$1001,MATCH(ROWS($W$2:W595),$W$2:$W$1001,0),1)&gt;=100000,INDEX($AD$1005:$AU$1005,1,MATCH(COLUMNS($AD$1006:AM1006),$AD$1006:$AU$1006,0))&gt;=100000), " ",IF(INDEX($AD$2:$AU$1001,MATCH(ROWS($W$2:W595),$W$2:$W$1001,0),MATCH(COLUMNS($AD$1006:AM1006),$AD$1006:$AU$1006,0)), HYPERLINK("#",""), HYPERLINK(CONCATENATE("#metadata!", ADDRESS(INDEX($Y$2:$Y$1001,MATCH(ROWS($W$2:W595),$W$2:$W$1001,0),0), INDEX($AD$1004:$AU$1004,1,MATCH(COLUMNS($AD$1006:AM1006),$AD$1006:$AU$1006,0)))),"Fix")))</f>
        <v xml:space="preserve"> </v>
      </c>
      <c r="L595" s="4" t="str">
        <f ca="1">IF(OR(INDEX($X$2:$X$1001,MATCH(ROWS($W$2:W595),$W$2:$W$1001,0),1)&gt;=100000,INDEX($AD$1005:$AU$1005,1,MATCH(COLUMNS($AD$1006:AN1006),$AD$1006:$AU$1006,0))&gt;=100000), " ",IF(INDEX($AD$2:$AU$1001,MATCH(ROWS($W$2:W595),$W$2:$W$1001,0),MATCH(COLUMNS($AD$1006:AN1006),$AD$1006:$AU$1006,0)), HYPERLINK("#",""), HYPERLINK(CONCATENATE("#metadata!", ADDRESS(INDEX($Y$2:$Y$1001,MATCH(ROWS($W$2:W595),$W$2:$W$1001,0),0), INDEX($AD$1004:$AU$1004,1,MATCH(COLUMNS($AD$1006:AN1006),$AD$1006:$AU$1006,0)))),"Fix")))</f>
        <v xml:space="preserve"> </v>
      </c>
      <c r="M595" s="4" t="str">
        <f ca="1">IF(OR(INDEX($X$2:$X$1001,MATCH(ROWS($W$2:W595),$W$2:$W$1001,0),1)&gt;=100000,INDEX($AD$1005:$AU$1005,1,MATCH(COLUMNS($AD$1006:AO1006),$AD$1006:$AU$1006,0))&gt;=100000), " ",IF(INDEX($AD$2:$AU$1001,MATCH(ROWS($W$2:W595),$W$2:$W$1001,0),MATCH(COLUMNS($AD$1006:AO1006),$AD$1006:$AU$1006,0)), HYPERLINK("#",""), HYPERLINK(CONCATENATE("#metadata!", ADDRESS(INDEX($Y$2:$Y$1001,MATCH(ROWS($W$2:W595),$W$2:$W$1001,0),0), INDEX($AD$1004:$AU$1004,1,MATCH(COLUMNS($AD$1006:AO1006),$AD$1006:$AU$1006,0)))),"Fix")))</f>
        <v xml:space="preserve"> </v>
      </c>
      <c r="N595" s="4" t="str">
        <f ca="1">IF(OR(INDEX($X$2:$X$1001,MATCH(ROWS($W$2:W595),$W$2:$W$1001,0),1)&gt;=100000,INDEX($AD$1005:$AU$1005,1,MATCH(COLUMNS($AD$1006:AP1006),$AD$1006:$AU$1006,0))&gt;=100000), " ",IF(INDEX($AD$2:$AU$1001,MATCH(ROWS($W$2:W595),$W$2:$W$1001,0),MATCH(COLUMNS($AD$1006:AP1006),$AD$1006:$AU$1006,0)), HYPERLINK("#",""), HYPERLINK(CONCATENATE("#metadata!", ADDRESS(INDEX($Y$2:$Y$1001,MATCH(ROWS($W$2:W595),$W$2:$W$1001,0),0), INDEX($AD$1004:$AU$1004,1,MATCH(COLUMNS($AD$1006:AP1006),$AD$1006:$AU$1006,0)))),"Fix")))</f>
        <v xml:space="preserve"> </v>
      </c>
      <c r="O595" s="4" t="str">
        <f ca="1">IF(OR(INDEX($X$2:$X$1001,MATCH(ROWS($W$2:W595),$W$2:$W$1001,0),1)&gt;=100000,INDEX($AD$1005:$AU$1005,1,MATCH(COLUMNS($AD$1006:AQ1006),$AD$1006:$AU$1006,0))&gt;=100000), " ",IF(INDEX($AD$2:$AU$1001,MATCH(ROWS($W$2:W595),$W$2:$W$1001,0),MATCH(COLUMNS($AD$1006:AQ1006),$AD$1006:$AU$1006,0)), HYPERLINK("#",""), HYPERLINK(CONCATENATE("#metadata!", ADDRESS(INDEX($Y$2:$Y$1001,MATCH(ROWS($W$2:W595),$W$2:$W$1001,0),0), INDEX($AD$1004:$AU$1004,1,MATCH(COLUMNS($AD$1006:AQ1006),$AD$1006:$AU$1006,0)))),"Fix")))</f>
        <v xml:space="preserve"> </v>
      </c>
      <c r="P595" s="4" t="str">
        <f ca="1">IF(OR(INDEX($X$2:$X$1001,MATCH(ROWS($W$2:W595),$W$2:$W$1001,0),1)&gt;=100000,INDEX($AD$1005:$AU$1005,1,MATCH(COLUMNS($AD$1006:AR1006),$AD$1006:$AU$1006,0))&gt;=100000), " ",IF(INDEX($AD$2:$AU$1001,MATCH(ROWS($W$2:W595),$W$2:$W$1001,0),MATCH(COLUMNS($AD$1006:AR1006),$AD$1006:$AU$1006,0)), HYPERLINK("#",""), HYPERLINK(CONCATENATE("#metadata!", ADDRESS(INDEX($Y$2:$Y$1001,MATCH(ROWS($W$2:W595),$W$2:$W$1001,0),0), INDEX($AD$1004:$AU$1004,1,MATCH(COLUMNS($AD$1006:AR1006),$AD$1006:$AU$1006,0)))),"Fix")))</f>
        <v xml:space="preserve"> </v>
      </c>
      <c r="Q595" s="4" t="str">
        <f ca="1">IF(OR(INDEX($X$2:$X$1001,MATCH(ROWS($W$2:W595),$W$2:$W$1001,0),1)&gt;=100000,INDEX($AD$1005:$AU$1005,1,MATCH(COLUMNS($AD$1006:AS1006),$AD$1006:$AU$1006,0))&gt;=100000), " ",IF(INDEX($AD$2:$AU$1001,MATCH(ROWS($W$2:W595),$W$2:$W$1001,0),MATCH(COLUMNS($AD$1006:AS1006),$AD$1006:$AU$1006,0)), HYPERLINK("#",""), HYPERLINK(CONCATENATE("#metadata!", ADDRESS(INDEX($Y$2:$Y$1001,MATCH(ROWS($W$2:W595),$W$2:$W$1001,0),0), INDEX($AD$1004:$AU$1004,1,MATCH(COLUMNS($AD$1006:AS1006),$AD$1006:$AU$1006,0)))),"Fix")))</f>
        <v xml:space="preserve"> </v>
      </c>
      <c r="R595" s="4" t="str">
        <f ca="1">IF(OR(INDEX($X$2:$X$1001,MATCH(ROWS($W$2:W595),$W$2:$W$1001,0),1)&gt;=100000,INDEX($AD$1005:$AU$1005,1,MATCH(COLUMNS($AD$1006:AT1006),$AD$1006:$AU$1006,0))&gt;=100000), " ",IF(INDEX($AD$2:$AU$1001,MATCH(ROWS($W$2:W595),$W$2:$W$1001,0),MATCH(COLUMNS($AD$1006:AT1006),$AD$1006:$AU$1006,0)), HYPERLINK("#",""), HYPERLINK(CONCATENATE("#metadata!", ADDRESS(INDEX($Y$2:$Y$1001,MATCH(ROWS($W$2:W595),$W$2:$W$1001,0),0), INDEX($AD$1004:$AU$1004,1,MATCH(COLUMNS($AD$1006:AT1006),$AD$1006:$AU$1006,0)))),"Fix")))</f>
        <v xml:space="preserve"> </v>
      </c>
      <c r="S595" s="4" t="str">
        <f ca="1">IF(OR(INDEX($X$2:$X$1001,MATCH(ROWS($W$2:W595),$W$2:$W$1001,0),1)&gt;=100000,INDEX($AD$1005:$AU$1005,1,MATCH(COLUMNS($AD$1006:AU1006),$AD$1006:$AU$1006,0))&gt;=100000), " ",IF(INDEX($AD$2:$AU$1001,MATCH(ROWS($W$2:W595),$W$2:$W$1001,0),MATCH(COLUMNS($AD$1006:AU1006),$AD$1006:$AU$1006,0)), HYPERLINK("#",""), HYPERLINK(CONCATENATE("#metadata!", ADDRESS(INDEX($Y$2:$Y$1001,MATCH(ROWS($W$2:W595),$W$2:$W$1001,0),0), INDEX($AD$1004:$AU$1004,1,MATCH(COLUMNS($AD$1006:AU1006),$AD$1006:$AU$1006,0)))),"Fix")))</f>
        <v xml:space="preserve"> </v>
      </c>
      <c r="W595">
        <v>594</v>
      </c>
      <c r="X595">
        <v>100595</v>
      </c>
      <c r="Y595">
        <v>595</v>
      </c>
      <c r="Z595" t="b">
        <f t="shared" si="9"/>
        <v>1</v>
      </c>
      <c r="AA595" t="b">
        <f>COUNTBLANK(metadata!B595:S595)=COLUMNS(metadata!B595:S595)</f>
        <v>1</v>
      </c>
      <c r="AB595" t="str">
        <v/>
      </c>
      <c r="AD595" t="b">
        <f ca="1">AND(IF(metadata!B595="",FALSE,TRUE),COUNTIF(metadata!B:B, metadata!B595) = 1,NOT(ISERROR(SUMPRODUCT(SEARCH(MID(metadata!B595,ROW(INDIRECT("1:"&amp;LEN(metadata!B595))), 1),"0123456789abcdefghijklmnopqrstuvwxyzABCDEFGHIJKLMNOPQRSTUVWXYZ.")))))</f>
        <v>0</v>
      </c>
      <c r="AE595" t="b">
        <f>OR(AND(IF(metadata!C595="",FALSE,TRUE),OR(EXACT(metadata!C595,"not applicable"),EXACT(metadata!C595,"missing: not collected"),EXACT(metadata!C595,"missing: not provided"),EXACT(metadata!C595,"missing: restricted access"))),AND(IF(metadata!C595="",FALSE,ISNUMBER(VALUE(metadata!C595))),metadata!C595&gt;0))</f>
        <v>0</v>
      </c>
      <c r="AF595" t="b">
        <f>AND(IF(metadata!D595="",FALSE,TRUE),EXACT(metadata!D595,"missing: not provided"))</f>
        <v>0</v>
      </c>
      <c r="AG595" t="b">
        <f>AND(IF(metadata!E595="",FALSE,TRUE),EXACT(metadata!E595,"Host-associated"))</f>
        <v>0</v>
      </c>
      <c r="AH595" t="b">
        <f>AND(IF(metadata!F595="",FALSE,TRUE),OR(EXACT(metadata!F595,"Animal"),EXACT(metadata!F595,"Fungus"),EXACT(metadata!F595,"Plant")))</f>
        <v>0</v>
      </c>
      <c r="AI595" t="b">
        <f>AND(IF(metadata!G595="",FALSE,TRUE),OR(EXACT(metadata!G595,"Plant secretion"),EXACT(metadata!G595,"Plant rhizosphere"),EXACT(metadata!G595,"Plant surface"),EXACT(metadata!G595,"Plant corpus"),EXACT(metadata!G595,"Fungus surface"),EXACT(metadata!G595,"Fungus corpus"),EXACT(metadata!G595,"Animal surface"),EXACT(metadata!G595,"Animal proximal gut"),EXACT(metadata!G595,"Animal corpus"),EXACT(metadata!G595,"Animal distal gut"),EXACT(metadata!G595,"Animal secretion")))</f>
        <v>0</v>
      </c>
      <c r="AJ595" t="b">
        <f>OR(AND(IF(metadata!H595="",FALSE,TRUE),OR(EXACT(metadata!H595,"missing: not collected"),EXACT(metadata!H595,"missing: not provided"),EXACT(metadata!H595,"missing: restricted access"))),AND(IF(metadata!H595="",FALSE,TRUE),OR(EXACT(metadata!H595,"organism-associated habitat"),EXACT(metadata!H595,"plant-associated habitat"),EXACT(metadata!H595,"animal-associated habitat"),EXACT(metadata!H595,"insecta-associated habitat"),EXACT(metadata!H595,"mammalia-associated habitat"),EXACT(metadata!H595,"human-associated habitat"),EXACT(metadata!H595,"livestock-associated habitat"))))</f>
        <v>0</v>
      </c>
      <c r="AK595" t="b">
        <f>AND(IF(metadata!I595="",FALSE,TRUE),EXACT(metadata!I595,"host-associated"))</f>
        <v>0</v>
      </c>
      <c r="AL595" t="b">
        <f>OR(AND(IF(metadata!J595="",FALSE,TRUE),OR(EXACT(metadata!J595,"not applicable"),EXACT(metadata!J595,"missing: not collected"),EXACT(metadata!J595,"missing: not provided"),EXACT(metadata!J595,"missing: restricted access"))),AND(IF(metadata!J595="",FALSE,ISNUMBER(VALUE(metadata!J595))),metadata!J595&gt;0))</f>
        <v>0</v>
      </c>
      <c r="AM595" t="b">
        <f>AND(IF(metadata!K595="",FALSE,TRUE),EXACT(metadata!K595,"missing: not provided"))</f>
        <v>0</v>
      </c>
      <c r="AN595" t="b">
        <f>IF(metadata!L595="",FALSE,TRUE)</f>
        <v>0</v>
      </c>
      <c r="AO595" t="b">
        <f>IF(metadata!M595="",FALSE,TRUE)</f>
        <v>0</v>
      </c>
      <c r="AP595" t="b">
        <f>OR(AND(IF(metadata!N595="",FALSE,TRUE),OR(EXACT(metadata!N595,"not applicable"),EXACT(metadata!N595,"missing: not collected"),EXACT(metadata!N595,"missing: not provided"))),AND(IF(metadata!N595="",FALSE,IF(ISERROR(INT(metadata!N595)),FALSE,INT(metadata!N595)=metadata!N595)),metadata!N595&gt;0))</f>
        <v>0</v>
      </c>
      <c r="AQ595" t="b">
        <f>AND(IF(metadata!O595="",FALSE,TRUE),EXACT(metadata!O595,"Not applicable"))</f>
        <v>0</v>
      </c>
      <c r="AR595" t="b">
        <f>OR(AND(IF(metadata!P595="",FALSE,TRUE),OR(EXACT(metadata!P595,"not applicable"),EXACT(metadata!P595,"missing: not collected"),EXACT(metadata!P595,"missing: not provided"),EXACT(metadata!P595,"missing: restricted access"))),IF(metadata!P595="",FALSE,IF(ISERROR(INT(metadata!P595)),FALSE,INT(metadata!P595)=metadata!P595)))</f>
        <v>0</v>
      </c>
      <c r="AS595" t="b">
        <f>AND(IF(metadata!Q595="",FALSE,TRUE),EXACT(metadata!Q595,"Not applicable"))</f>
        <v>0</v>
      </c>
      <c r="AT595" t="b">
        <f>OR(AND(IF(metadata!R595="",FALSE,TRUE),OR(EXACT(metadata!R595,"not applicable"),EXACT(metadata!R595,"missing: not collected"),EXACT(metadata!R595,"missing: not provided"),EXACT(metadata!R595,"missing: restricted access"))),AND(IF(metadata!R595="",FALSE,ISNUMBER(VALUE(metadata!R595))),metadata!R595&gt;0))</f>
        <v>0</v>
      </c>
      <c r="AU595" t="b">
        <f>AND(IF(metadata!S595="",FALSE,TRUE),EXACT(metadata!S595,"missing: not provided"))</f>
        <v>0</v>
      </c>
    </row>
    <row r="596" spans="1:47" x14ac:dyDescent="0.2">
      <c r="A596" s="5" t="str">
        <f ca="1">IF(B596=" "," ",HYPERLINK(CONCATENATE("#metadata!",ADDRESS(INDEX($Y$2:$Y$1001,MATCH(ROWS($W$2:W596),$W$2:$W$1001,0),0),1)),INDEX($AB$2:$AB$1001,MATCH(ROWS($W$2:W596),$W$2:$W$1001,0),0)))</f>
        <v xml:space="preserve"> </v>
      </c>
      <c r="B596" s="4" t="str">
        <f ca="1">IF(OR(INDEX($X$2:$X$1001,MATCH(ROWS($W$2:W596),$W$2:$W$1001,0),1)&gt;=100000,INDEX($AD$1005:$AU$1005,1,MATCH(COLUMNS($AD$1006:AD1006),$AD$1006:$AU$1006,0))&gt;=100000), " ",IF(INDEX($AD$2:$AU$1001,MATCH(ROWS($W$2:W596),$W$2:$W$1001,0),MATCH(COLUMNS($AD$1006:AD1006),$AD$1006:$AU$1006,0)), HYPERLINK("#",""), HYPERLINK(CONCATENATE("#metadata!", ADDRESS(INDEX($Y$2:$Y$1001,MATCH(ROWS($W$2:W596),$W$2:$W$1001,0),0), INDEX($AD$1004:$AU$1004,1,MATCH(COLUMNS($AD$1006:AD1006),$AD$1006:$AU$1006,0)))),"Fix")))</f>
        <v xml:space="preserve"> </v>
      </c>
      <c r="C596" s="4" t="str">
        <f ca="1">IF(OR(INDEX($X$2:$X$1001,MATCH(ROWS($W$2:W596),$W$2:$W$1001,0),1)&gt;=100000,INDEX($AD$1005:$AU$1005,1,MATCH(COLUMNS($AD$1006:AE1006),$AD$1006:$AU$1006,0))&gt;=100000), " ",IF(INDEX($AD$2:$AU$1001,MATCH(ROWS($W$2:W596),$W$2:$W$1001,0),MATCH(COLUMNS($AD$1006:AE1006),$AD$1006:$AU$1006,0)), HYPERLINK("#",""), HYPERLINK(CONCATENATE("#metadata!", ADDRESS(INDEX($Y$2:$Y$1001,MATCH(ROWS($W$2:W596),$W$2:$W$1001,0),0), INDEX($AD$1004:$AU$1004,1,MATCH(COLUMNS($AD$1006:AE1006),$AD$1006:$AU$1006,0)))),"Fix")))</f>
        <v xml:space="preserve"> </v>
      </c>
      <c r="D596" s="4" t="str">
        <f ca="1">IF(OR(INDEX($X$2:$X$1001,MATCH(ROWS($W$2:W596),$W$2:$W$1001,0),1)&gt;=100000,INDEX($AD$1005:$AU$1005,1,MATCH(COLUMNS($AD$1006:AF1006),$AD$1006:$AU$1006,0))&gt;=100000), " ",IF(INDEX($AD$2:$AU$1001,MATCH(ROWS($W$2:W596),$W$2:$W$1001,0),MATCH(COLUMNS($AD$1006:AF1006),$AD$1006:$AU$1006,0)), HYPERLINK("#",""), HYPERLINK(CONCATENATE("#metadata!", ADDRESS(INDEX($Y$2:$Y$1001,MATCH(ROWS($W$2:W596),$W$2:$W$1001,0),0), INDEX($AD$1004:$AU$1004,1,MATCH(COLUMNS($AD$1006:AF1006),$AD$1006:$AU$1006,0)))),"Fix")))</f>
        <v xml:space="preserve"> </v>
      </c>
      <c r="E596" s="4" t="str">
        <f ca="1">IF(OR(INDEX($X$2:$X$1001,MATCH(ROWS($W$2:W596),$W$2:$W$1001,0),1)&gt;=100000,INDEX($AD$1005:$AU$1005,1,MATCH(COLUMNS($AD$1006:AG1006),$AD$1006:$AU$1006,0))&gt;=100000), " ",IF(INDEX($AD$2:$AU$1001,MATCH(ROWS($W$2:W596),$W$2:$W$1001,0),MATCH(COLUMNS($AD$1006:AG1006),$AD$1006:$AU$1006,0)), HYPERLINK("#",""), HYPERLINK(CONCATENATE("#metadata!", ADDRESS(INDEX($Y$2:$Y$1001,MATCH(ROWS($W$2:W596),$W$2:$W$1001,0),0), INDEX($AD$1004:$AU$1004,1,MATCH(COLUMNS($AD$1006:AG1006),$AD$1006:$AU$1006,0)))),"Fix")))</f>
        <v xml:space="preserve"> </v>
      </c>
      <c r="F596" s="4" t="str">
        <f ca="1">IF(OR(INDEX($X$2:$X$1001,MATCH(ROWS($W$2:W596),$W$2:$W$1001,0),1)&gt;=100000,INDEX($AD$1005:$AU$1005,1,MATCH(COLUMNS($AD$1006:AH1006),$AD$1006:$AU$1006,0))&gt;=100000), " ",IF(INDEX($AD$2:$AU$1001,MATCH(ROWS($W$2:W596),$W$2:$W$1001,0),MATCH(COLUMNS($AD$1006:AH1006),$AD$1006:$AU$1006,0)), HYPERLINK("#",""), HYPERLINK(CONCATENATE("#metadata!", ADDRESS(INDEX($Y$2:$Y$1001,MATCH(ROWS($W$2:W596),$W$2:$W$1001,0),0), INDEX($AD$1004:$AU$1004,1,MATCH(COLUMNS($AD$1006:AH1006),$AD$1006:$AU$1006,0)))),"Fix")))</f>
        <v xml:space="preserve"> </v>
      </c>
      <c r="G596" s="4" t="str">
        <f ca="1">IF(OR(INDEX($X$2:$X$1001,MATCH(ROWS($W$2:W596),$W$2:$W$1001,0),1)&gt;=100000,INDEX($AD$1005:$AU$1005,1,MATCH(COLUMNS($AD$1006:AI1006),$AD$1006:$AU$1006,0))&gt;=100000), " ",IF(INDEX($AD$2:$AU$1001,MATCH(ROWS($W$2:W596),$W$2:$W$1001,0),MATCH(COLUMNS($AD$1006:AI1006),$AD$1006:$AU$1006,0)), HYPERLINK("#",""), HYPERLINK(CONCATENATE("#metadata!", ADDRESS(INDEX($Y$2:$Y$1001,MATCH(ROWS($W$2:W596),$W$2:$W$1001,0),0), INDEX($AD$1004:$AU$1004,1,MATCH(COLUMNS($AD$1006:AI1006),$AD$1006:$AU$1006,0)))),"Fix")))</f>
        <v xml:space="preserve"> </v>
      </c>
      <c r="H596" s="4" t="str">
        <f ca="1">IF(OR(INDEX($X$2:$X$1001,MATCH(ROWS($W$2:W596),$W$2:$W$1001,0),1)&gt;=100000,INDEX($AD$1005:$AU$1005,1,MATCH(COLUMNS($AD$1006:AJ1006),$AD$1006:$AU$1006,0))&gt;=100000), " ",IF(INDEX($AD$2:$AU$1001,MATCH(ROWS($W$2:W596),$W$2:$W$1001,0),MATCH(COLUMNS($AD$1006:AJ1006),$AD$1006:$AU$1006,0)), HYPERLINK("#",""), HYPERLINK(CONCATENATE("#metadata!", ADDRESS(INDEX($Y$2:$Y$1001,MATCH(ROWS($W$2:W596),$W$2:$W$1001,0),0), INDEX($AD$1004:$AU$1004,1,MATCH(COLUMNS($AD$1006:AJ1006),$AD$1006:$AU$1006,0)))),"Fix")))</f>
        <v xml:space="preserve"> </v>
      </c>
      <c r="I596" s="4" t="str">
        <f ca="1">IF(OR(INDEX($X$2:$X$1001,MATCH(ROWS($W$2:W596),$W$2:$W$1001,0),1)&gt;=100000,INDEX($AD$1005:$AU$1005,1,MATCH(COLUMNS($AD$1006:AK1006),$AD$1006:$AU$1006,0))&gt;=100000), " ",IF(INDEX($AD$2:$AU$1001,MATCH(ROWS($W$2:W596),$W$2:$W$1001,0),MATCH(COLUMNS($AD$1006:AK1006),$AD$1006:$AU$1006,0)), HYPERLINK("#",""), HYPERLINK(CONCATENATE("#metadata!", ADDRESS(INDEX($Y$2:$Y$1001,MATCH(ROWS($W$2:W596),$W$2:$W$1001,0),0), INDEX($AD$1004:$AU$1004,1,MATCH(COLUMNS($AD$1006:AK1006),$AD$1006:$AU$1006,0)))),"Fix")))</f>
        <v xml:space="preserve"> </v>
      </c>
      <c r="J596" s="4" t="str">
        <f ca="1">IF(OR(INDEX($X$2:$X$1001,MATCH(ROWS($W$2:W596),$W$2:$W$1001,0),1)&gt;=100000,INDEX($AD$1005:$AU$1005,1,MATCH(COLUMNS($AD$1006:AL1006),$AD$1006:$AU$1006,0))&gt;=100000), " ",IF(INDEX($AD$2:$AU$1001,MATCH(ROWS($W$2:W596),$W$2:$W$1001,0),MATCH(COLUMNS($AD$1006:AL1006),$AD$1006:$AU$1006,0)), HYPERLINK("#",""), HYPERLINK(CONCATENATE("#metadata!", ADDRESS(INDEX($Y$2:$Y$1001,MATCH(ROWS($W$2:W596),$W$2:$W$1001,0),0), INDEX($AD$1004:$AU$1004,1,MATCH(COLUMNS($AD$1006:AL1006),$AD$1006:$AU$1006,0)))),"Fix")))</f>
        <v xml:space="preserve"> </v>
      </c>
      <c r="K596" s="4" t="str">
        <f ca="1">IF(OR(INDEX($X$2:$X$1001,MATCH(ROWS($W$2:W596),$W$2:$W$1001,0),1)&gt;=100000,INDEX($AD$1005:$AU$1005,1,MATCH(COLUMNS($AD$1006:AM1006),$AD$1006:$AU$1006,0))&gt;=100000), " ",IF(INDEX($AD$2:$AU$1001,MATCH(ROWS($W$2:W596),$W$2:$W$1001,0),MATCH(COLUMNS($AD$1006:AM1006),$AD$1006:$AU$1006,0)), HYPERLINK("#",""), HYPERLINK(CONCATENATE("#metadata!", ADDRESS(INDEX($Y$2:$Y$1001,MATCH(ROWS($W$2:W596),$W$2:$W$1001,0),0), INDEX($AD$1004:$AU$1004,1,MATCH(COLUMNS($AD$1006:AM1006),$AD$1006:$AU$1006,0)))),"Fix")))</f>
        <v xml:space="preserve"> </v>
      </c>
      <c r="L596" s="4" t="str">
        <f ca="1">IF(OR(INDEX($X$2:$X$1001,MATCH(ROWS($W$2:W596),$W$2:$W$1001,0),1)&gt;=100000,INDEX($AD$1005:$AU$1005,1,MATCH(COLUMNS($AD$1006:AN1006),$AD$1006:$AU$1006,0))&gt;=100000), " ",IF(INDEX($AD$2:$AU$1001,MATCH(ROWS($W$2:W596),$W$2:$W$1001,0),MATCH(COLUMNS($AD$1006:AN1006),$AD$1006:$AU$1006,0)), HYPERLINK("#",""), HYPERLINK(CONCATENATE("#metadata!", ADDRESS(INDEX($Y$2:$Y$1001,MATCH(ROWS($W$2:W596),$W$2:$W$1001,0),0), INDEX($AD$1004:$AU$1004,1,MATCH(COLUMNS($AD$1006:AN1006),$AD$1006:$AU$1006,0)))),"Fix")))</f>
        <v xml:space="preserve"> </v>
      </c>
      <c r="M596" s="4" t="str">
        <f ca="1">IF(OR(INDEX($X$2:$X$1001,MATCH(ROWS($W$2:W596),$W$2:$W$1001,0),1)&gt;=100000,INDEX($AD$1005:$AU$1005,1,MATCH(COLUMNS($AD$1006:AO1006),$AD$1006:$AU$1006,0))&gt;=100000), " ",IF(INDEX($AD$2:$AU$1001,MATCH(ROWS($W$2:W596),$W$2:$W$1001,0),MATCH(COLUMNS($AD$1006:AO1006),$AD$1006:$AU$1006,0)), HYPERLINK("#",""), HYPERLINK(CONCATENATE("#metadata!", ADDRESS(INDEX($Y$2:$Y$1001,MATCH(ROWS($W$2:W596),$W$2:$W$1001,0),0), INDEX($AD$1004:$AU$1004,1,MATCH(COLUMNS($AD$1006:AO1006),$AD$1006:$AU$1006,0)))),"Fix")))</f>
        <v xml:space="preserve"> </v>
      </c>
      <c r="N596" s="4" t="str">
        <f ca="1">IF(OR(INDEX($X$2:$X$1001,MATCH(ROWS($W$2:W596),$W$2:$W$1001,0),1)&gt;=100000,INDEX($AD$1005:$AU$1005,1,MATCH(COLUMNS($AD$1006:AP1006),$AD$1006:$AU$1006,0))&gt;=100000), " ",IF(INDEX($AD$2:$AU$1001,MATCH(ROWS($W$2:W596),$W$2:$W$1001,0),MATCH(COLUMNS($AD$1006:AP1006),$AD$1006:$AU$1006,0)), HYPERLINK("#",""), HYPERLINK(CONCATENATE("#metadata!", ADDRESS(INDEX($Y$2:$Y$1001,MATCH(ROWS($W$2:W596),$W$2:$W$1001,0),0), INDEX($AD$1004:$AU$1004,1,MATCH(COLUMNS($AD$1006:AP1006),$AD$1006:$AU$1006,0)))),"Fix")))</f>
        <v xml:space="preserve"> </v>
      </c>
      <c r="O596" s="4" t="str">
        <f ca="1">IF(OR(INDEX($X$2:$X$1001,MATCH(ROWS($W$2:W596),$W$2:$W$1001,0),1)&gt;=100000,INDEX($AD$1005:$AU$1005,1,MATCH(COLUMNS($AD$1006:AQ1006),$AD$1006:$AU$1006,0))&gt;=100000), " ",IF(INDEX($AD$2:$AU$1001,MATCH(ROWS($W$2:W596),$W$2:$W$1001,0),MATCH(COLUMNS($AD$1006:AQ1006),$AD$1006:$AU$1006,0)), HYPERLINK("#",""), HYPERLINK(CONCATENATE("#metadata!", ADDRESS(INDEX($Y$2:$Y$1001,MATCH(ROWS($W$2:W596),$W$2:$W$1001,0),0), INDEX($AD$1004:$AU$1004,1,MATCH(COLUMNS($AD$1006:AQ1006),$AD$1006:$AU$1006,0)))),"Fix")))</f>
        <v xml:space="preserve"> </v>
      </c>
      <c r="P596" s="4" t="str">
        <f ca="1">IF(OR(INDEX($X$2:$X$1001,MATCH(ROWS($W$2:W596),$W$2:$W$1001,0),1)&gt;=100000,INDEX($AD$1005:$AU$1005,1,MATCH(COLUMNS($AD$1006:AR1006),$AD$1006:$AU$1006,0))&gt;=100000), " ",IF(INDEX($AD$2:$AU$1001,MATCH(ROWS($W$2:W596),$W$2:$W$1001,0),MATCH(COLUMNS($AD$1006:AR1006),$AD$1006:$AU$1006,0)), HYPERLINK("#",""), HYPERLINK(CONCATENATE("#metadata!", ADDRESS(INDEX($Y$2:$Y$1001,MATCH(ROWS($W$2:W596),$W$2:$W$1001,0),0), INDEX($AD$1004:$AU$1004,1,MATCH(COLUMNS($AD$1006:AR1006),$AD$1006:$AU$1006,0)))),"Fix")))</f>
        <v xml:space="preserve"> </v>
      </c>
      <c r="Q596" s="4" t="str">
        <f ca="1">IF(OR(INDEX($X$2:$X$1001,MATCH(ROWS($W$2:W596),$W$2:$W$1001,0),1)&gt;=100000,INDEX($AD$1005:$AU$1005,1,MATCH(COLUMNS($AD$1006:AS1006),$AD$1006:$AU$1006,0))&gt;=100000), " ",IF(INDEX($AD$2:$AU$1001,MATCH(ROWS($W$2:W596),$W$2:$W$1001,0),MATCH(COLUMNS($AD$1006:AS1006),$AD$1006:$AU$1006,0)), HYPERLINK("#",""), HYPERLINK(CONCATENATE("#metadata!", ADDRESS(INDEX($Y$2:$Y$1001,MATCH(ROWS($W$2:W596),$W$2:$W$1001,0),0), INDEX($AD$1004:$AU$1004,1,MATCH(COLUMNS($AD$1006:AS1006),$AD$1006:$AU$1006,0)))),"Fix")))</f>
        <v xml:space="preserve"> </v>
      </c>
      <c r="R596" s="4" t="str">
        <f ca="1">IF(OR(INDEX($X$2:$X$1001,MATCH(ROWS($W$2:W596),$W$2:$W$1001,0),1)&gt;=100000,INDEX($AD$1005:$AU$1005,1,MATCH(COLUMNS($AD$1006:AT1006),$AD$1006:$AU$1006,0))&gt;=100000), " ",IF(INDEX($AD$2:$AU$1001,MATCH(ROWS($W$2:W596),$W$2:$W$1001,0),MATCH(COLUMNS($AD$1006:AT1006),$AD$1006:$AU$1006,0)), HYPERLINK("#",""), HYPERLINK(CONCATENATE("#metadata!", ADDRESS(INDEX($Y$2:$Y$1001,MATCH(ROWS($W$2:W596),$W$2:$W$1001,0),0), INDEX($AD$1004:$AU$1004,1,MATCH(COLUMNS($AD$1006:AT1006),$AD$1006:$AU$1006,0)))),"Fix")))</f>
        <v xml:space="preserve"> </v>
      </c>
      <c r="S596" s="4" t="str">
        <f ca="1">IF(OR(INDEX($X$2:$X$1001,MATCH(ROWS($W$2:W596),$W$2:$W$1001,0),1)&gt;=100000,INDEX($AD$1005:$AU$1005,1,MATCH(COLUMNS($AD$1006:AU1006),$AD$1006:$AU$1006,0))&gt;=100000), " ",IF(INDEX($AD$2:$AU$1001,MATCH(ROWS($W$2:W596),$W$2:$W$1001,0),MATCH(COLUMNS($AD$1006:AU1006),$AD$1006:$AU$1006,0)), HYPERLINK("#",""), HYPERLINK(CONCATENATE("#metadata!", ADDRESS(INDEX($Y$2:$Y$1001,MATCH(ROWS($W$2:W596),$W$2:$W$1001,0),0), INDEX($AD$1004:$AU$1004,1,MATCH(COLUMNS($AD$1006:AU1006),$AD$1006:$AU$1006,0)))),"Fix")))</f>
        <v xml:space="preserve"> </v>
      </c>
      <c r="W596">
        <v>595</v>
      </c>
      <c r="X596">
        <v>100596</v>
      </c>
      <c r="Y596">
        <v>596</v>
      </c>
      <c r="Z596" t="b">
        <f t="shared" si="9"/>
        <v>1</v>
      </c>
      <c r="AA596" t="b">
        <f>COUNTBLANK(metadata!B596:S596)=COLUMNS(metadata!B596:S596)</f>
        <v>1</v>
      </c>
      <c r="AB596" t="str">
        <v/>
      </c>
      <c r="AD596" t="b">
        <f ca="1">AND(IF(metadata!B596="",FALSE,TRUE),COUNTIF(metadata!B:B, metadata!B596) = 1,NOT(ISERROR(SUMPRODUCT(SEARCH(MID(metadata!B596,ROW(INDIRECT("1:"&amp;LEN(metadata!B596))), 1),"0123456789abcdefghijklmnopqrstuvwxyzABCDEFGHIJKLMNOPQRSTUVWXYZ.")))))</f>
        <v>0</v>
      </c>
      <c r="AE596" t="b">
        <f>OR(AND(IF(metadata!C596="",FALSE,TRUE),OR(EXACT(metadata!C596,"not applicable"),EXACT(metadata!C596,"missing: not collected"),EXACT(metadata!C596,"missing: not provided"),EXACT(metadata!C596,"missing: restricted access"))),AND(IF(metadata!C596="",FALSE,ISNUMBER(VALUE(metadata!C596))),metadata!C596&gt;0))</f>
        <v>0</v>
      </c>
      <c r="AF596" t="b">
        <f>AND(IF(metadata!D596="",FALSE,TRUE),EXACT(metadata!D596,"missing: not provided"))</f>
        <v>0</v>
      </c>
      <c r="AG596" t="b">
        <f>AND(IF(metadata!E596="",FALSE,TRUE),EXACT(metadata!E596,"Host-associated"))</f>
        <v>0</v>
      </c>
      <c r="AH596" t="b">
        <f>AND(IF(metadata!F596="",FALSE,TRUE),OR(EXACT(metadata!F596,"Animal"),EXACT(metadata!F596,"Fungus"),EXACT(metadata!F596,"Plant")))</f>
        <v>0</v>
      </c>
      <c r="AI596" t="b">
        <f>AND(IF(metadata!G596="",FALSE,TRUE),OR(EXACT(metadata!G596,"Plant secretion"),EXACT(metadata!G596,"Plant rhizosphere"),EXACT(metadata!G596,"Plant surface"),EXACT(metadata!G596,"Plant corpus"),EXACT(metadata!G596,"Fungus surface"),EXACT(metadata!G596,"Fungus corpus"),EXACT(metadata!G596,"Animal surface"),EXACT(metadata!G596,"Animal proximal gut"),EXACT(metadata!G596,"Animal corpus"),EXACT(metadata!G596,"Animal distal gut"),EXACT(metadata!G596,"Animal secretion")))</f>
        <v>0</v>
      </c>
      <c r="AJ596" t="b">
        <f>OR(AND(IF(metadata!H596="",FALSE,TRUE),OR(EXACT(metadata!H596,"missing: not collected"),EXACT(metadata!H596,"missing: not provided"),EXACT(metadata!H596,"missing: restricted access"))),AND(IF(metadata!H596="",FALSE,TRUE),OR(EXACT(metadata!H596,"organism-associated habitat"),EXACT(metadata!H596,"plant-associated habitat"),EXACT(metadata!H596,"animal-associated habitat"),EXACT(metadata!H596,"insecta-associated habitat"),EXACT(metadata!H596,"mammalia-associated habitat"),EXACT(metadata!H596,"human-associated habitat"),EXACT(metadata!H596,"livestock-associated habitat"))))</f>
        <v>0</v>
      </c>
      <c r="AK596" t="b">
        <f>AND(IF(metadata!I596="",FALSE,TRUE),EXACT(metadata!I596,"host-associated"))</f>
        <v>0</v>
      </c>
      <c r="AL596" t="b">
        <f>OR(AND(IF(metadata!J596="",FALSE,TRUE),OR(EXACT(metadata!J596,"not applicable"),EXACT(metadata!J596,"missing: not collected"),EXACT(metadata!J596,"missing: not provided"),EXACT(metadata!J596,"missing: restricted access"))),AND(IF(metadata!J596="",FALSE,ISNUMBER(VALUE(metadata!J596))),metadata!J596&gt;0))</f>
        <v>0</v>
      </c>
      <c r="AM596" t="b">
        <f>AND(IF(metadata!K596="",FALSE,TRUE),EXACT(metadata!K596,"missing: not provided"))</f>
        <v>0</v>
      </c>
      <c r="AN596" t="b">
        <f>IF(metadata!L596="",FALSE,TRUE)</f>
        <v>0</v>
      </c>
      <c r="AO596" t="b">
        <f>IF(metadata!M596="",FALSE,TRUE)</f>
        <v>0</v>
      </c>
      <c r="AP596" t="b">
        <f>OR(AND(IF(metadata!N596="",FALSE,TRUE),OR(EXACT(metadata!N596,"not applicable"),EXACT(metadata!N596,"missing: not collected"),EXACT(metadata!N596,"missing: not provided"))),AND(IF(metadata!N596="",FALSE,IF(ISERROR(INT(metadata!N596)),FALSE,INT(metadata!N596)=metadata!N596)),metadata!N596&gt;0))</f>
        <v>0</v>
      </c>
      <c r="AQ596" t="b">
        <f>AND(IF(metadata!O596="",FALSE,TRUE),EXACT(metadata!O596,"Not applicable"))</f>
        <v>0</v>
      </c>
      <c r="AR596" t="b">
        <f>OR(AND(IF(metadata!P596="",FALSE,TRUE),OR(EXACT(metadata!P596,"not applicable"),EXACT(metadata!P596,"missing: not collected"),EXACT(metadata!P596,"missing: not provided"),EXACT(metadata!P596,"missing: restricted access"))),IF(metadata!P596="",FALSE,IF(ISERROR(INT(metadata!P596)),FALSE,INT(metadata!P596)=metadata!P596)))</f>
        <v>0</v>
      </c>
      <c r="AS596" t="b">
        <f>AND(IF(metadata!Q596="",FALSE,TRUE),EXACT(metadata!Q596,"Not applicable"))</f>
        <v>0</v>
      </c>
      <c r="AT596" t="b">
        <f>OR(AND(IF(metadata!R596="",FALSE,TRUE),OR(EXACT(metadata!R596,"not applicable"),EXACT(metadata!R596,"missing: not collected"),EXACT(metadata!R596,"missing: not provided"),EXACT(metadata!R596,"missing: restricted access"))),AND(IF(metadata!R596="",FALSE,ISNUMBER(VALUE(metadata!R596))),metadata!R596&gt;0))</f>
        <v>0</v>
      </c>
      <c r="AU596" t="b">
        <f>AND(IF(metadata!S596="",FALSE,TRUE),EXACT(metadata!S596,"missing: not provided"))</f>
        <v>0</v>
      </c>
    </row>
    <row r="597" spans="1:47" x14ac:dyDescent="0.2">
      <c r="A597" s="5" t="str">
        <f ca="1">IF(B597=" "," ",HYPERLINK(CONCATENATE("#metadata!",ADDRESS(INDEX($Y$2:$Y$1001,MATCH(ROWS($W$2:W597),$W$2:$W$1001,0),0),1)),INDEX($AB$2:$AB$1001,MATCH(ROWS($W$2:W597),$W$2:$W$1001,0),0)))</f>
        <v xml:space="preserve"> </v>
      </c>
      <c r="B597" s="4" t="str">
        <f ca="1">IF(OR(INDEX($X$2:$X$1001,MATCH(ROWS($W$2:W597),$W$2:$W$1001,0),1)&gt;=100000,INDEX($AD$1005:$AU$1005,1,MATCH(COLUMNS($AD$1006:AD1006),$AD$1006:$AU$1006,0))&gt;=100000), " ",IF(INDEX($AD$2:$AU$1001,MATCH(ROWS($W$2:W597),$W$2:$W$1001,0),MATCH(COLUMNS($AD$1006:AD1006),$AD$1006:$AU$1006,0)), HYPERLINK("#",""), HYPERLINK(CONCATENATE("#metadata!", ADDRESS(INDEX($Y$2:$Y$1001,MATCH(ROWS($W$2:W597),$W$2:$W$1001,0),0), INDEX($AD$1004:$AU$1004,1,MATCH(COLUMNS($AD$1006:AD1006),$AD$1006:$AU$1006,0)))),"Fix")))</f>
        <v xml:space="preserve"> </v>
      </c>
      <c r="C597" s="4" t="str">
        <f ca="1">IF(OR(INDEX($X$2:$X$1001,MATCH(ROWS($W$2:W597),$W$2:$W$1001,0),1)&gt;=100000,INDEX($AD$1005:$AU$1005,1,MATCH(COLUMNS($AD$1006:AE1006),$AD$1006:$AU$1006,0))&gt;=100000), " ",IF(INDEX($AD$2:$AU$1001,MATCH(ROWS($W$2:W597),$W$2:$W$1001,0),MATCH(COLUMNS($AD$1006:AE1006),$AD$1006:$AU$1006,0)), HYPERLINK("#",""), HYPERLINK(CONCATENATE("#metadata!", ADDRESS(INDEX($Y$2:$Y$1001,MATCH(ROWS($W$2:W597),$W$2:$W$1001,0),0), INDEX($AD$1004:$AU$1004,1,MATCH(COLUMNS($AD$1006:AE1006),$AD$1006:$AU$1006,0)))),"Fix")))</f>
        <v xml:space="preserve"> </v>
      </c>
      <c r="D597" s="4" t="str">
        <f ca="1">IF(OR(INDEX($X$2:$X$1001,MATCH(ROWS($W$2:W597),$W$2:$W$1001,0),1)&gt;=100000,INDEX($AD$1005:$AU$1005,1,MATCH(COLUMNS($AD$1006:AF1006),$AD$1006:$AU$1006,0))&gt;=100000), " ",IF(INDEX($AD$2:$AU$1001,MATCH(ROWS($W$2:W597),$W$2:$W$1001,0),MATCH(COLUMNS($AD$1006:AF1006),$AD$1006:$AU$1006,0)), HYPERLINK("#",""), HYPERLINK(CONCATENATE("#metadata!", ADDRESS(INDEX($Y$2:$Y$1001,MATCH(ROWS($W$2:W597),$W$2:$W$1001,0),0), INDEX($AD$1004:$AU$1004,1,MATCH(COLUMNS($AD$1006:AF1006),$AD$1006:$AU$1006,0)))),"Fix")))</f>
        <v xml:space="preserve"> </v>
      </c>
      <c r="E597" s="4" t="str">
        <f ca="1">IF(OR(INDEX($X$2:$X$1001,MATCH(ROWS($W$2:W597),$W$2:$W$1001,0),1)&gt;=100000,INDEX($AD$1005:$AU$1005,1,MATCH(COLUMNS($AD$1006:AG1006),$AD$1006:$AU$1006,0))&gt;=100000), " ",IF(INDEX($AD$2:$AU$1001,MATCH(ROWS($W$2:W597),$W$2:$W$1001,0),MATCH(COLUMNS($AD$1006:AG1006),$AD$1006:$AU$1006,0)), HYPERLINK("#",""), HYPERLINK(CONCATENATE("#metadata!", ADDRESS(INDEX($Y$2:$Y$1001,MATCH(ROWS($W$2:W597),$W$2:$W$1001,0),0), INDEX($AD$1004:$AU$1004,1,MATCH(COLUMNS($AD$1006:AG1006),$AD$1006:$AU$1006,0)))),"Fix")))</f>
        <v xml:space="preserve"> </v>
      </c>
      <c r="F597" s="4" t="str">
        <f ca="1">IF(OR(INDEX($X$2:$X$1001,MATCH(ROWS($W$2:W597),$W$2:$W$1001,0),1)&gt;=100000,INDEX($AD$1005:$AU$1005,1,MATCH(COLUMNS($AD$1006:AH1006),$AD$1006:$AU$1006,0))&gt;=100000), " ",IF(INDEX($AD$2:$AU$1001,MATCH(ROWS($W$2:W597),$W$2:$W$1001,0),MATCH(COLUMNS($AD$1006:AH1006),$AD$1006:$AU$1006,0)), HYPERLINK("#",""), HYPERLINK(CONCATENATE("#metadata!", ADDRESS(INDEX($Y$2:$Y$1001,MATCH(ROWS($W$2:W597),$W$2:$W$1001,0),0), INDEX($AD$1004:$AU$1004,1,MATCH(COLUMNS($AD$1006:AH1006),$AD$1006:$AU$1006,0)))),"Fix")))</f>
        <v xml:space="preserve"> </v>
      </c>
      <c r="G597" s="4" t="str">
        <f ca="1">IF(OR(INDEX($X$2:$X$1001,MATCH(ROWS($W$2:W597),$W$2:$W$1001,0),1)&gt;=100000,INDEX($AD$1005:$AU$1005,1,MATCH(COLUMNS($AD$1006:AI1006),$AD$1006:$AU$1006,0))&gt;=100000), " ",IF(INDEX($AD$2:$AU$1001,MATCH(ROWS($W$2:W597),$W$2:$W$1001,0),MATCH(COLUMNS($AD$1006:AI1006),$AD$1006:$AU$1006,0)), HYPERLINK("#",""), HYPERLINK(CONCATENATE("#metadata!", ADDRESS(INDEX($Y$2:$Y$1001,MATCH(ROWS($W$2:W597),$W$2:$W$1001,0),0), INDEX($AD$1004:$AU$1004,1,MATCH(COLUMNS($AD$1006:AI1006),$AD$1006:$AU$1006,0)))),"Fix")))</f>
        <v xml:space="preserve"> </v>
      </c>
      <c r="H597" s="4" t="str">
        <f ca="1">IF(OR(INDEX($X$2:$X$1001,MATCH(ROWS($W$2:W597),$W$2:$W$1001,0),1)&gt;=100000,INDEX($AD$1005:$AU$1005,1,MATCH(COLUMNS($AD$1006:AJ1006),$AD$1006:$AU$1006,0))&gt;=100000), " ",IF(INDEX($AD$2:$AU$1001,MATCH(ROWS($W$2:W597),$W$2:$W$1001,0),MATCH(COLUMNS($AD$1006:AJ1006),$AD$1006:$AU$1006,0)), HYPERLINK("#",""), HYPERLINK(CONCATENATE("#metadata!", ADDRESS(INDEX($Y$2:$Y$1001,MATCH(ROWS($W$2:W597),$W$2:$W$1001,0),0), INDEX($AD$1004:$AU$1004,1,MATCH(COLUMNS($AD$1006:AJ1006),$AD$1006:$AU$1006,0)))),"Fix")))</f>
        <v xml:space="preserve"> </v>
      </c>
      <c r="I597" s="4" t="str">
        <f ca="1">IF(OR(INDEX($X$2:$X$1001,MATCH(ROWS($W$2:W597),$W$2:$W$1001,0),1)&gt;=100000,INDEX($AD$1005:$AU$1005,1,MATCH(COLUMNS($AD$1006:AK1006),$AD$1006:$AU$1006,0))&gt;=100000), " ",IF(INDEX($AD$2:$AU$1001,MATCH(ROWS($W$2:W597),$W$2:$W$1001,0),MATCH(COLUMNS($AD$1006:AK1006),$AD$1006:$AU$1006,0)), HYPERLINK("#",""), HYPERLINK(CONCATENATE("#metadata!", ADDRESS(INDEX($Y$2:$Y$1001,MATCH(ROWS($W$2:W597),$W$2:$W$1001,0),0), INDEX($AD$1004:$AU$1004,1,MATCH(COLUMNS($AD$1006:AK1006),$AD$1006:$AU$1006,0)))),"Fix")))</f>
        <v xml:space="preserve"> </v>
      </c>
      <c r="J597" s="4" t="str">
        <f ca="1">IF(OR(INDEX($X$2:$X$1001,MATCH(ROWS($W$2:W597),$W$2:$W$1001,0),1)&gt;=100000,INDEX($AD$1005:$AU$1005,1,MATCH(COLUMNS($AD$1006:AL1006),$AD$1006:$AU$1006,0))&gt;=100000), " ",IF(INDEX($AD$2:$AU$1001,MATCH(ROWS($W$2:W597),$W$2:$W$1001,0),MATCH(COLUMNS($AD$1006:AL1006),$AD$1006:$AU$1006,0)), HYPERLINK("#",""), HYPERLINK(CONCATENATE("#metadata!", ADDRESS(INDEX($Y$2:$Y$1001,MATCH(ROWS($W$2:W597),$W$2:$W$1001,0),0), INDEX($AD$1004:$AU$1004,1,MATCH(COLUMNS($AD$1006:AL1006),$AD$1006:$AU$1006,0)))),"Fix")))</f>
        <v xml:space="preserve"> </v>
      </c>
      <c r="K597" s="4" t="str">
        <f ca="1">IF(OR(INDEX($X$2:$X$1001,MATCH(ROWS($W$2:W597),$W$2:$W$1001,0),1)&gt;=100000,INDEX($AD$1005:$AU$1005,1,MATCH(COLUMNS($AD$1006:AM1006),$AD$1006:$AU$1006,0))&gt;=100000), " ",IF(INDEX($AD$2:$AU$1001,MATCH(ROWS($W$2:W597),$W$2:$W$1001,0),MATCH(COLUMNS($AD$1006:AM1006),$AD$1006:$AU$1006,0)), HYPERLINK("#",""), HYPERLINK(CONCATENATE("#metadata!", ADDRESS(INDEX($Y$2:$Y$1001,MATCH(ROWS($W$2:W597),$W$2:$W$1001,0),0), INDEX($AD$1004:$AU$1004,1,MATCH(COLUMNS($AD$1006:AM1006),$AD$1006:$AU$1006,0)))),"Fix")))</f>
        <v xml:space="preserve"> </v>
      </c>
      <c r="L597" s="4" t="str">
        <f ca="1">IF(OR(INDEX($X$2:$X$1001,MATCH(ROWS($W$2:W597),$W$2:$W$1001,0),1)&gt;=100000,INDEX($AD$1005:$AU$1005,1,MATCH(COLUMNS($AD$1006:AN1006),$AD$1006:$AU$1006,0))&gt;=100000), " ",IF(INDEX($AD$2:$AU$1001,MATCH(ROWS($W$2:W597),$W$2:$W$1001,0),MATCH(COLUMNS($AD$1006:AN1006),$AD$1006:$AU$1006,0)), HYPERLINK("#",""), HYPERLINK(CONCATENATE("#metadata!", ADDRESS(INDEX($Y$2:$Y$1001,MATCH(ROWS($W$2:W597),$W$2:$W$1001,0),0), INDEX($AD$1004:$AU$1004,1,MATCH(COLUMNS($AD$1006:AN1006),$AD$1006:$AU$1006,0)))),"Fix")))</f>
        <v xml:space="preserve"> </v>
      </c>
      <c r="M597" s="4" t="str">
        <f ca="1">IF(OR(INDEX($X$2:$X$1001,MATCH(ROWS($W$2:W597),$W$2:$W$1001,0),1)&gt;=100000,INDEX($AD$1005:$AU$1005,1,MATCH(COLUMNS($AD$1006:AO1006),$AD$1006:$AU$1006,0))&gt;=100000), " ",IF(INDEX($AD$2:$AU$1001,MATCH(ROWS($W$2:W597),$W$2:$W$1001,0),MATCH(COLUMNS($AD$1006:AO1006),$AD$1006:$AU$1006,0)), HYPERLINK("#",""), HYPERLINK(CONCATENATE("#metadata!", ADDRESS(INDEX($Y$2:$Y$1001,MATCH(ROWS($W$2:W597),$W$2:$W$1001,0),0), INDEX($AD$1004:$AU$1004,1,MATCH(COLUMNS($AD$1006:AO1006),$AD$1006:$AU$1006,0)))),"Fix")))</f>
        <v xml:space="preserve"> </v>
      </c>
      <c r="N597" s="4" t="str">
        <f ca="1">IF(OR(INDEX($X$2:$X$1001,MATCH(ROWS($W$2:W597),$W$2:$W$1001,0),1)&gt;=100000,INDEX($AD$1005:$AU$1005,1,MATCH(COLUMNS($AD$1006:AP1006),$AD$1006:$AU$1006,0))&gt;=100000), " ",IF(INDEX($AD$2:$AU$1001,MATCH(ROWS($W$2:W597),$W$2:$W$1001,0),MATCH(COLUMNS($AD$1006:AP1006),$AD$1006:$AU$1006,0)), HYPERLINK("#",""), HYPERLINK(CONCATENATE("#metadata!", ADDRESS(INDEX($Y$2:$Y$1001,MATCH(ROWS($W$2:W597),$W$2:$W$1001,0),0), INDEX($AD$1004:$AU$1004,1,MATCH(COLUMNS($AD$1006:AP1006),$AD$1006:$AU$1006,0)))),"Fix")))</f>
        <v xml:space="preserve"> </v>
      </c>
      <c r="O597" s="4" t="str">
        <f ca="1">IF(OR(INDEX($X$2:$X$1001,MATCH(ROWS($W$2:W597),$W$2:$W$1001,0),1)&gt;=100000,INDEX($AD$1005:$AU$1005,1,MATCH(COLUMNS($AD$1006:AQ1006),$AD$1006:$AU$1006,0))&gt;=100000), " ",IF(INDEX($AD$2:$AU$1001,MATCH(ROWS($W$2:W597),$W$2:$W$1001,0),MATCH(COLUMNS($AD$1006:AQ1006),$AD$1006:$AU$1006,0)), HYPERLINK("#",""), HYPERLINK(CONCATENATE("#metadata!", ADDRESS(INDEX($Y$2:$Y$1001,MATCH(ROWS($W$2:W597),$W$2:$W$1001,0),0), INDEX($AD$1004:$AU$1004,1,MATCH(COLUMNS($AD$1006:AQ1006),$AD$1006:$AU$1006,0)))),"Fix")))</f>
        <v xml:space="preserve"> </v>
      </c>
      <c r="P597" s="4" t="str">
        <f ca="1">IF(OR(INDEX($X$2:$X$1001,MATCH(ROWS($W$2:W597),$W$2:$W$1001,0),1)&gt;=100000,INDEX($AD$1005:$AU$1005,1,MATCH(COLUMNS($AD$1006:AR1006),$AD$1006:$AU$1006,0))&gt;=100000), " ",IF(INDEX($AD$2:$AU$1001,MATCH(ROWS($W$2:W597),$W$2:$W$1001,0),MATCH(COLUMNS($AD$1006:AR1006),$AD$1006:$AU$1006,0)), HYPERLINK("#",""), HYPERLINK(CONCATENATE("#metadata!", ADDRESS(INDEX($Y$2:$Y$1001,MATCH(ROWS($W$2:W597),$W$2:$W$1001,0),0), INDEX($AD$1004:$AU$1004,1,MATCH(COLUMNS($AD$1006:AR1006),$AD$1006:$AU$1006,0)))),"Fix")))</f>
        <v xml:space="preserve"> </v>
      </c>
      <c r="Q597" s="4" t="str">
        <f ca="1">IF(OR(INDEX($X$2:$X$1001,MATCH(ROWS($W$2:W597),$W$2:$W$1001,0),1)&gt;=100000,INDEX($AD$1005:$AU$1005,1,MATCH(COLUMNS($AD$1006:AS1006),$AD$1006:$AU$1006,0))&gt;=100000), " ",IF(INDEX($AD$2:$AU$1001,MATCH(ROWS($W$2:W597),$W$2:$W$1001,0),MATCH(COLUMNS($AD$1006:AS1006),$AD$1006:$AU$1006,0)), HYPERLINK("#",""), HYPERLINK(CONCATENATE("#metadata!", ADDRESS(INDEX($Y$2:$Y$1001,MATCH(ROWS($W$2:W597),$W$2:$W$1001,0),0), INDEX($AD$1004:$AU$1004,1,MATCH(COLUMNS($AD$1006:AS1006),$AD$1006:$AU$1006,0)))),"Fix")))</f>
        <v xml:space="preserve"> </v>
      </c>
      <c r="R597" s="4" t="str">
        <f ca="1">IF(OR(INDEX($X$2:$X$1001,MATCH(ROWS($W$2:W597),$W$2:$W$1001,0),1)&gt;=100000,INDEX($AD$1005:$AU$1005,1,MATCH(COLUMNS($AD$1006:AT1006),$AD$1006:$AU$1006,0))&gt;=100000), " ",IF(INDEX($AD$2:$AU$1001,MATCH(ROWS($W$2:W597),$W$2:$W$1001,0),MATCH(COLUMNS($AD$1006:AT1006),$AD$1006:$AU$1006,0)), HYPERLINK("#",""), HYPERLINK(CONCATENATE("#metadata!", ADDRESS(INDEX($Y$2:$Y$1001,MATCH(ROWS($W$2:W597),$W$2:$W$1001,0),0), INDEX($AD$1004:$AU$1004,1,MATCH(COLUMNS($AD$1006:AT1006),$AD$1006:$AU$1006,0)))),"Fix")))</f>
        <v xml:space="preserve"> </v>
      </c>
      <c r="S597" s="4" t="str">
        <f ca="1">IF(OR(INDEX($X$2:$X$1001,MATCH(ROWS($W$2:W597),$W$2:$W$1001,0),1)&gt;=100000,INDEX($AD$1005:$AU$1005,1,MATCH(COLUMNS($AD$1006:AU1006),$AD$1006:$AU$1006,0))&gt;=100000), " ",IF(INDEX($AD$2:$AU$1001,MATCH(ROWS($W$2:W597),$W$2:$W$1001,0),MATCH(COLUMNS($AD$1006:AU1006),$AD$1006:$AU$1006,0)), HYPERLINK("#",""), HYPERLINK(CONCATENATE("#metadata!", ADDRESS(INDEX($Y$2:$Y$1001,MATCH(ROWS($W$2:W597),$W$2:$W$1001,0),0), INDEX($AD$1004:$AU$1004,1,MATCH(COLUMNS($AD$1006:AU1006),$AD$1006:$AU$1006,0)))),"Fix")))</f>
        <v xml:space="preserve"> </v>
      </c>
      <c r="W597">
        <v>596</v>
      </c>
      <c r="X597">
        <v>100597</v>
      </c>
      <c r="Y597">
        <v>597</v>
      </c>
      <c r="Z597" t="b">
        <f t="shared" si="9"/>
        <v>1</v>
      </c>
      <c r="AA597" t="b">
        <f>COUNTBLANK(metadata!B597:S597)=COLUMNS(metadata!B597:S597)</f>
        <v>1</v>
      </c>
      <c r="AB597" t="str">
        <v/>
      </c>
      <c r="AD597" t="b">
        <f ca="1">AND(IF(metadata!B597="",FALSE,TRUE),COUNTIF(metadata!B:B, metadata!B597) = 1,NOT(ISERROR(SUMPRODUCT(SEARCH(MID(metadata!B597,ROW(INDIRECT("1:"&amp;LEN(metadata!B597))), 1),"0123456789abcdefghijklmnopqrstuvwxyzABCDEFGHIJKLMNOPQRSTUVWXYZ.")))))</f>
        <v>0</v>
      </c>
      <c r="AE597" t="b">
        <f>OR(AND(IF(metadata!C597="",FALSE,TRUE),OR(EXACT(metadata!C597,"not applicable"),EXACT(metadata!C597,"missing: not collected"),EXACT(metadata!C597,"missing: not provided"),EXACT(metadata!C597,"missing: restricted access"))),AND(IF(metadata!C597="",FALSE,ISNUMBER(VALUE(metadata!C597))),metadata!C597&gt;0))</f>
        <v>0</v>
      </c>
      <c r="AF597" t="b">
        <f>AND(IF(metadata!D597="",FALSE,TRUE),EXACT(metadata!D597,"missing: not provided"))</f>
        <v>0</v>
      </c>
      <c r="AG597" t="b">
        <f>AND(IF(metadata!E597="",FALSE,TRUE),EXACT(metadata!E597,"Host-associated"))</f>
        <v>0</v>
      </c>
      <c r="AH597" t="b">
        <f>AND(IF(metadata!F597="",FALSE,TRUE),OR(EXACT(metadata!F597,"Animal"),EXACT(metadata!F597,"Fungus"),EXACT(metadata!F597,"Plant")))</f>
        <v>0</v>
      </c>
      <c r="AI597" t="b">
        <f>AND(IF(metadata!G597="",FALSE,TRUE),OR(EXACT(metadata!G597,"Plant secretion"),EXACT(metadata!G597,"Plant rhizosphere"),EXACT(metadata!G597,"Plant surface"),EXACT(metadata!G597,"Plant corpus"),EXACT(metadata!G597,"Fungus surface"),EXACT(metadata!G597,"Fungus corpus"),EXACT(metadata!G597,"Animal surface"),EXACT(metadata!G597,"Animal proximal gut"),EXACT(metadata!G597,"Animal corpus"),EXACT(metadata!G597,"Animal distal gut"),EXACT(metadata!G597,"Animal secretion")))</f>
        <v>0</v>
      </c>
      <c r="AJ597" t="b">
        <f>OR(AND(IF(metadata!H597="",FALSE,TRUE),OR(EXACT(metadata!H597,"missing: not collected"),EXACT(metadata!H597,"missing: not provided"),EXACT(metadata!H597,"missing: restricted access"))),AND(IF(metadata!H597="",FALSE,TRUE),OR(EXACT(metadata!H597,"organism-associated habitat"),EXACT(metadata!H597,"plant-associated habitat"),EXACT(metadata!H597,"animal-associated habitat"),EXACT(metadata!H597,"insecta-associated habitat"),EXACT(metadata!H597,"mammalia-associated habitat"),EXACT(metadata!H597,"human-associated habitat"),EXACT(metadata!H597,"livestock-associated habitat"))))</f>
        <v>0</v>
      </c>
      <c r="AK597" t="b">
        <f>AND(IF(metadata!I597="",FALSE,TRUE),EXACT(metadata!I597,"host-associated"))</f>
        <v>0</v>
      </c>
      <c r="AL597" t="b">
        <f>OR(AND(IF(metadata!J597="",FALSE,TRUE),OR(EXACT(metadata!J597,"not applicable"),EXACT(metadata!J597,"missing: not collected"),EXACT(metadata!J597,"missing: not provided"),EXACT(metadata!J597,"missing: restricted access"))),AND(IF(metadata!J597="",FALSE,ISNUMBER(VALUE(metadata!J597))),metadata!J597&gt;0))</f>
        <v>0</v>
      </c>
      <c r="AM597" t="b">
        <f>AND(IF(metadata!K597="",FALSE,TRUE),EXACT(metadata!K597,"missing: not provided"))</f>
        <v>0</v>
      </c>
      <c r="AN597" t="b">
        <f>IF(metadata!L597="",FALSE,TRUE)</f>
        <v>0</v>
      </c>
      <c r="AO597" t="b">
        <f>IF(metadata!M597="",FALSE,TRUE)</f>
        <v>0</v>
      </c>
      <c r="AP597" t="b">
        <f>OR(AND(IF(metadata!N597="",FALSE,TRUE),OR(EXACT(metadata!N597,"not applicable"),EXACT(metadata!N597,"missing: not collected"),EXACT(metadata!N597,"missing: not provided"))),AND(IF(metadata!N597="",FALSE,IF(ISERROR(INT(metadata!N597)),FALSE,INT(metadata!N597)=metadata!N597)),metadata!N597&gt;0))</f>
        <v>0</v>
      </c>
      <c r="AQ597" t="b">
        <f>AND(IF(metadata!O597="",FALSE,TRUE),EXACT(metadata!O597,"Not applicable"))</f>
        <v>0</v>
      </c>
      <c r="AR597" t="b">
        <f>OR(AND(IF(metadata!P597="",FALSE,TRUE),OR(EXACT(metadata!P597,"not applicable"),EXACT(metadata!P597,"missing: not collected"),EXACT(metadata!P597,"missing: not provided"),EXACT(metadata!P597,"missing: restricted access"))),IF(metadata!P597="",FALSE,IF(ISERROR(INT(metadata!P597)),FALSE,INT(metadata!P597)=metadata!P597)))</f>
        <v>0</v>
      </c>
      <c r="AS597" t="b">
        <f>AND(IF(metadata!Q597="",FALSE,TRUE),EXACT(metadata!Q597,"Not applicable"))</f>
        <v>0</v>
      </c>
      <c r="AT597" t="b">
        <f>OR(AND(IF(metadata!R597="",FALSE,TRUE),OR(EXACT(metadata!R597,"not applicable"),EXACT(metadata!R597,"missing: not collected"),EXACT(metadata!R597,"missing: not provided"),EXACT(metadata!R597,"missing: restricted access"))),AND(IF(metadata!R597="",FALSE,ISNUMBER(VALUE(metadata!R597))),metadata!R597&gt;0))</f>
        <v>0</v>
      </c>
      <c r="AU597" t="b">
        <f>AND(IF(metadata!S597="",FALSE,TRUE),EXACT(metadata!S597,"missing: not provided"))</f>
        <v>0</v>
      </c>
    </row>
    <row r="598" spans="1:47" x14ac:dyDescent="0.2">
      <c r="A598" s="5" t="str">
        <f ca="1">IF(B598=" "," ",HYPERLINK(CONCATENATE("#metadata!",ADDRESS(INDEX($Y$2:$Y$1001,MATCH(ROWS($W$2:W598),$W$2:$W$1001,0),0),1)),INDEX($AB$2:$AB$1001,MATCH(ROWS($W$2:W598),$W$2:$W$1001,0),0)))</f>
        <v xml:space="preserve"> </v>
      </c>
      <c r="B598" s="4" t="str">
        <f ca="1">IF(OR(INDEX($X$2:$X$1001,MATCH(ROWS($W$2:W598),$W$2:$W$1001,0),1)&gt;=100000,INDEX($AD$1005:$AU$1005,1,MATCH(COLUMNS($AD$1006:AD1006),$AD$1006:$AU$1006,0))&gt;=100000), " ",IF(INDEX($AD$2:$AU$1001,MATCH(ROWS($W$2:W598),$W$2:$W$1001,0),MATCH(COLUMNS($AD$1006:AD1006),$AD$1006:$AU$1006,0)), HYPERLINK("#",""), HYPERLINK(CONCATENATE("#metadata!", ADDRESS(INDEX($Y$2:$Y$1001,MATCH(ROWS($W$2:W598),$W$2:$W$1001,0),0), INDEX($AD$1004:$AU$1004,1,MATCH(COLUMNS($AD$1006:AD1006),$AD$1006:$AU$1006,0)))),"Fix")))</f>
        <v xml:space="preserve"> </v>
      </c>
      <c r="C598" s="4" t="str">
        <f ca="1">IF(OR(INDEX($X$2:$X$1001,MATCH(ROWS($W$2:W598),$W$2:$W$1001,0),1)&gt;=100000,INDEX($AD$1005:$AU$1005,1,MATCH(COLUMNS($AD$1006:AE1006),$AD$1006:$AU$1006,0))&gt;=100000), " ",IF(INDEX($AD$2:$AU$1001,MATCH(ROWS($W$2:W598),$W$2:$W$1001,0),MATCH(COLUMNS($AD$1006:AE1006),$AD$1006:$AU$1006,0)), HYPERLINK("#",""), HYPERLINK(CONCATENATE("#metadata!", ADDRESS(INDEX($Y$2:$Y$1001,MATCH(ROWS($W$2:W598),$W$2:$W$1001,0),0), INDEX($AD$1004:$AU$1004,1,MATCH(COLUMNS($AD$1006:AE1006),$AD$1006:$AU$1006,0)))),"Fix")))</f>
        <v xml:space="preserve"> </v>
      </c>
      <c r="D598" s="4" t="str">
        <f ca="1">IF(OR(INDEX($X$2:$X$1001,MATCH(ROWS($W$2:W598),$W$2:$W$1001,0),1)&gt;=100000,INDEX($AD$1005:$AU$1005,1,MATCH(COLUMNS($AD$1006:AF1006),$AD$1006:$AU$1006,0))&gt;=100000), " ",IF(INDEX($AD$2:$AU$1001,MATCH(ROWS($W$2:W598),$W$2:$W$1001,0),MATCH(COLUMNS($AD$1006:AF1006),$AD$1006:$AU$1006,0)), HYPERLINK("#",""), HYPERLINK(CONCATENATE("#metadata!", ADDRESS(INDEX($Y$2:$Y$1001,MATCH(ROWS($W$2:W598),$W$2:$W$1001,0),0), INDEX($AD$1004:$AU$1004,1,MATCH(COLUMNS($AD$1006:AF1006),$AD$1006:$AU$1006,0)))),"Fix")))</f>
        <v xml:space="preserve"> </v>
      </c>
      <c r="E598" s="4" t="str">
        <f ca="1">IF(OR(INDEX($X$2:$X$1001,MATCH(ROWS($W$2:W598),$W$2:$W$1001,0),1)&gt;=100000,INDEX($AD$1005:$AU$1005,1,MATCH(COLUMNS($AD$1006:AG1006),$AD$1006:$AU$1006,0))&gt;=100000), " ",IF(INDEX($AD$2:$AU$1001,MATCH(ROWS($W$2:W598),$W$2:$W$1001,0),MATCH(COLUMNS($AD$1006:AG1006),$AD$1006:$AU$1006,0)), HYPERLINK("#",""), HYPERLINK(CONCATENATE("#metadata!", ADDRESS(INDEX($Y$2:$Y$1001,MATCH(ROWS($W$2:W598),$W$2:$W$1001,0),0), INDEX($AD$1004:$AU$1004,1,MATCH(COLUMNS($AD$1006:AG1006),$AD$1006:$AU$1006,0)))),"Fix")))</f>
        <v xml:space="preserve"> </v>
      </c>
      <c r="F598" s="4" t="str">
        <f ca="1">IF(OR(INDEX($X$2:$X$1001,MATCH(ROWS($W$2:W598),$W$2:$W$1001,0),1)&gt;=100000,INDEX($AD$1005:$AU$1005,1,MATCH(COLUMNS($AD$1006:AH1006),$AD$1006:$AU$1006,0))&gt;=100000), " ",IF(INDEX($AD$2:$AU$1001,MATCH(ROWS($W$2:W598),$W$2:$W$1001,0),MATCH(COLUMNS($AD$1006:AH1006),$AD$1006:$AU$1006,0)), HYPERLINK("#",""), HYPERLINK(CONCATENATE("#metadata!", ADDRESS(INDEX($Y$2:$Y$1001,MATCH(ROWS($W$2:W598),$W$2:$W$1001,0),0), INDEX($AD$1004:$AU$1004,1,MATCH(COLUMNS($AD$1006:AH1006),$AD$1006:$AU$1006,0)))),"Fix")))</f>
        <v xml:space="preserve"> </v>
      </c>
      <c r="G598" s="4" t="str">
        <f ca="1">IF(OR(INDEX($X$2:$X$1001,MATCH(ROWS($W$2:W598),$W$2:$W$1001,0),1)&gt;=100000,INDEX($AD$1005:$AU$1005,1,MATCH(COLUMNS($AD$1006:AI1006),$AD$1006:$AU$1006,0))&gt;=100000), " ",IF(INDEX($AD$2:$AU$1001,MATCH(ROWS($W$2:W598),$W$2:$W$1001,0),MATCH(COLUMNS($AD$1006:AI1006),$AD$1006:$AU$1006,0)), HYPERLINK("#",""), HYPERLINK(CONCATENATE("#metadata!", ADDRESS(INDEX($Y$2:$Y$1001,MATCH(ROWS($W$2:W598),$W$2:$W$1001,0),0), INDEX($AD$1004:$AU$1004,1,MATCH(COLUMNS($AD$1006:AI1006),$AD$1006:$AU$1006,0)))),"Fix")))</f>
        <v xml:space="preserve"> </v>
      </c>
      <c r="H598" s="4" t="str">
        <f ca="1">IF(OR(INDEX($X$2:$X$1001,MATCH(ROWS($W$2:W598),$W$2:$W$1001,0),1)&gt;=100000,INDEX($AD$1005:$AU$1005,1,MATCH(COLUMNS($AD$1006:AJ1006),$AD$1006:$AU$1006,0))&gt;=100000), " ",IF(INDEX($AD$2:$AU$1001,MATCH(ROWS($W$2:W598),$W$2:$W$1001,0),MATCH(COLUMNS($AD$1006:AJ1006),$AD$1006:$AU$1006,0)), HYPERLINK("#",""), HYPERLINK(CONCATENATE("#metadata!", ADDRESS(INDEX($Y$2:$Y$1001,MATCH(ROWS($W$2:W598),$W$2:$W$1001,0),0), INDEX($AD$1004:$AU$1004,1,MATCH(COLUMNS($AD$1006:AJ1006),$AD$1006:$AU$1006,0)))),"Fix")))</f>
        <v xml:space="preserve"> </v>
      </c>
      <c r="I598" s="4" t="str">
        <f ca="1">IF(OR(INDEX($X$2:$X$1001,MATCH(ROWS($W$2:W598),$W$2:$W$1001,0),1)&gt;=100000,INDEX($AD$1005:$AU$1005,1,MATCH(COLUMNS($AD$1006:AK1006),$AD$1006:$AU$1006,0))&gt;=100000), " ",IF(INDEX($AD$2:$AU$1001,MATCH(ROWS($W$2:W598),$W$2:$W$1001,0),MATCH(COLUMNS($AD$1006:AK1006),$AD$1006:$AU$1006,0)), HYPERLINK("#",""), HYPERLINK(CONCATENATE("#metadata!", ADDRESS(INDEX($Y$2:$Y$1001,MATCH(ROWS($W$2:W598),$W$2:$W$1001,0),0), INDEX($AD$1004:$AU$1004,1,MATCH(COLUMNS($AD$1006:AK1006),$AD$1006:$AU$1006,0)))),"Fix")))</f>
        <v xml:space="preserve"> </v>
      </c>
      <c r="J598" s="4" t="str">
        <f ca="1">IF(OR(INDEX($X$2:$X$1001,MATCH(ROWS($W$2:W598),$W$2:$W$1001,0),1)&gt;=100000,INDEX($AD$1005:$AU$1005,1,MATCH(COLUMNS($AD$1006:AL1006),$AD$1006:$AU$1006,0))&gt;=100000), " ",IF(INDEX($AD$2:$AU$1001,MATCH(ROWS($W$2:W598),$W$2:$W$1001,0),MATCH(COLUMNS($AD$1006:AL1006),$AD$1006:$AU$1006,0)), HYPERLINK("#",""), HYPERLINK(CONCATENATE("#metadata!", ADDRESS(INDEX($Y$2:$Y$1001,MATCH(ROWS($W$2:W598),$W$2:$W$1001,0),0), INDEX($AD$1004:$AU$1004,1,MATCH(COLUMNS($AD$1006:AL1006),$AD$1006:$AU$1006,0)))),"Fix")))</f>
        <v xml:space="preserve"> </v>
      </c>
      <c r="K598" s="4" t="str">
        <f ca="1">IF(OR(INDEX($X$2:$X$1001,MATCH(ROWS($W$2:W598),$W$2:$W$1001,0),1)&gt;=100000,INDEX($AD$1005:$AU$1005,1,MATCH(COLUMNS($AD$1006:AM1006),$AD$1006:$AU$1006,0))&gt;=100000), " ",IF(INDEX($AD$2:$AU$1001,MATCH(ROWS($W$2:W598),$W$2:$W$1001,0),MATCH(COLUMNS($AD$1006:AM1006),$AD$1006:$AU$1006,0)), HYPERLINK("#",""), HYPERLINK(CONCATENATE("#metadata!", ADDRESS(INDEX($Y$2:$Y$1001,MATCH(ROWS($W$2:W598),$W$2:$W$1001,0),0), INDEX($AD$1004:$AU$1004,1,MATCH(COLUMNS($AD$1006:AM1006),$AD$1006:$AU$1006,0)))),"Fix")))</f>
        <v xml:space="preserve"> </v>
      </c>
      <c r="L598" s="4" t="str">
        <f ca="1">IF(OR(INDEX($X$2:$X$1001,MATCH(ROWS($W$2:W598),$W$2:$W$1001,0),1)&gt;=100000,INDEX($AD$1005:$AU$1005,1,MATCH(COLUMNS($AD$1006:AN1006),$AD$1006:$AU$1006,0))&gt;=100000), " ",IF(INDEX($AD$2:$AU$1001,MATCH(ROWS($W$2:W598),$W$2:$W$1001,0),MATCH(COLUMNS($AD$1006:AN1006),$AD$1006:$AU$1006,0)), HYPERLINK("#",""), HYPERLINK(CONCATENATE("#metadata!", ADDRESS(INDEX($Y$2:$Y$1001,MATCH(ROWS($W$2:W598),$W$2:$W$1001,0),0), INDEX($AD$1004:$AU$1004,1,MATCH(COLUMNS($AD$1006:AN1006),$AD$1006:$AU$1006,0)))),"Fix")))</f>
        <v xml:space="preserve"> </v>
      </c>
      <c r="M598" s="4" t="str">
        <f ca="1">IF(OR(INDEX($X$2:$X$1001,MATCH(ROWS($W$2:W598),$W$2:$W$1001,0),1)&gt;=100000,INDEX($AD$1005:$AU$1005,1,MATCH(COLUMNS($AD$1006:AO1006),$AD$1006:$AU$1006,0))&gt;=100000), " ",IF(INDEX($AD$2:$AU$1001,MATCH(ROWS($W$2:W598),$W$2:$W$1001,0),MATCH(COLUMNS($AD$1006:AO1006),$AD$1006:$AU$1006,0)), HYPERLINK("#",""), HYPERLINK(CONCATENATE("#metadata!", ADDRESS(INDEX($Y$2:$Y$1001,MATCH(ROWS($W$2:W598),$W$2:$W$1001,0),0), INDEX($AD$1004:$AU$1004,1,MATCH(COLUMNS($AD$1006:AO1006),$AD$1006:$AU$1006,0)))),"Fix")))</f>
        <v xml:space="preserve"> </v>
      </c>
      <c r="N598" s="4" t="str">
        <f ca="1">IF(OR(INDEX($X$2:$X$1001,MATCH(ROWS($W$2:W598),$W$2:$W$1001,0),1)&gt;=100000,INDEX($AD$1005:$AU$1005,1,MATCH(COLUMNS($AD$1006:AP1006),$AD$1006:$AU$1006,0))&gt;=100000), " ",IF(INDEX($AD$2:$AU$1001,MATCH(ROWS($W$2:W598),$W$2:$W$1001,0),MATCH(COLUMNS($AD$1006:AP1006),$AD$1006:$AU$1006,0)), HYPERLINK("#",""), HYPERLINK(CONCATENATE("#metadata!", ADDRESS(INDEX($Y$2:$Y$1001,MATCH(ROWS($W$2:W598),$W$2:$W$1001,0),0), INDEX($AD$1004:$AU$1004,1,MATCH(COLUMNS($AD$1006:AP1006),$AD$1006:$AU$1006,0)))),"Fix")))</f>
        <v xml:space="preserve"> </v>
      </c>
      <c r="O598" s="4" t="str">
        <f ca="1">IF(OR(INDEX($X$2:$X$1001,MATCH(ROWS($W$2:W598),$W$2:$W$1001,0),1)&gt;=100000,INDEX($AD$1005:$AU$1005,1,MATCH(COLUMNS($AD$1006:AQ1006),$AD$1006:$AU$1006,0))&gt;=100000), " ",IF(INDEX($AD$2:$AU$1001,MATCH(ROWS($W$2:W598),$W$2:$W$1001,0),MATCH(COLUMNS($AD$1006:AQ1006),$AD$1006:$AU$1006,0)), HYPERLINK("#",""), HYPERLINK(CONCATENATE("#metadata!", ADDRESS(INDEX($Y$2:$Y$1001,MATCH(ROWS($W$2:W598),$W$2:$W$1001,0),0), INDEX($AD$1004:$AU$1004,1,MATCH(COLUMNS($AD$1006:AQ1006),$AD$1006:$AU$1006,0)))),"Fix")))</f>
        <v xml:space="preserve"> </v>
      </c>
      <c r="P598" s="4" t="str">
        <f ca="1">IF(OR(INDEX($X$2:$X$1001,MATCH(ROWS($W$2:W598),$W$2:$W$1001,0),1)&gt;=100000,INDEX($AD$1005:$AU$1005,1,MATCH(COLUMNS($AD$1006:AR1006),$AD$1006:$AU$1006,0))&gt;=100000), " ",IF(INDEX($AD$2:$AU$1001,MATCH(ROWS($W$2:W598),$W$2:$W$1001,0),MATCH(COLUMNS($AD$1006:AR1006),$AD$1006:$AU$1006,0)), HYPERLINK("#",""), HYPERLINK(CONCATENATE("#metadata!", ADDRESS(INDEX($Y$2:$Y$1001,MATCH(ROWS($W$2:W598),$W$2:$W$1001,0),0), INDEX($AD$1004:$AU$1004,1,MATCH(COLUMNS($AD$1006:AR1006),$AD$1006:$AU$1006,0)))),"Fix")))</f>
        <v xml:space="preserve"> </v>
      </c>
      <c r="Q598" s="4" t="str">
        <f ca="1">IF(OR(INDEX($X$2:$X$1001,MATCH(ROWS($W$2:W598),$W$2:$W$1001,0),1)&gt;=100000,INDEX($AD$1005:$AU$1005,1,MATCH(COLUMNS($AD$1006:AS1006),$AD$1006:$AU$1006,0))&gt;=100000), " ",IF(INDEX($AD$2:$AU$1001,MATCH(ROWS($W$2:W598),$W$2:$W$1001,0),MATCH(COLUMNS($AD$1006:AS1006),$AD$1006:$AU$1006,0)), HYPERLINK("#",""), HYPERLINK(CONCATENATE("#metadata!", ADDRESS(INDEX($Y$2:$Y$1001,MATCH(ROWS($W$2:W598),$W$2:$W$1001,0),0), INDEX($AD$1004:$AU$1004,1,MATCH(COLUMNS($AD$1006:AS1006),$AD$1006:$AU$1006,0)))),"Fix")))</f>
        <v xml:space="preserve"> </v>
      </c>
      <c r="R598" s="4" t="str">
        <f ca="1">IF(OR(INDEX($X$2:$X$1001,MATCH(ROWS($W$2:W598),$W$2:$W$1001,0),1)&gt;=100000,INDEX($AD$1005:$AU$1005,1,MATCH(COLUMNS($AD$1006:AT1006),$AD$1006:$AU$1006,0))&gt;=100000), " ",IF(INDEX($AD$2:$AU$1001,MATCH(ROWS($W$2:W598),$W$2:$W$1001,0),MATCH(COLUMNS($AD$1006:AT1006),$AD$1006:$AU$1006,0)), HYPERLINK("#",""), HYPERLINK(CONCATENATE("#metadata!", ADDRESS(INDEX($Y$2:$Y$1001,MATCH(ROWS($W$2:W598),$W$2:$W$1001,0),0), INDEX($AD$1004:$AU$1004,1,MATCH(COLUMNS($AD$1006:AT1006),$AD$1006:$AU$1006,0)))),"Fix")))</f>
        <v xml:space="preserve"> </v>
      </c>
      <c r="S598" s="4" t="str">
        <f ca="1">IF(OR(INDEX($X$2:$X$1001,MATCH(ROWS($W$2:W598),$W$2:$W$1001,0),1)&gt;=100000,INDEX($AD$1005:$AU$1005,1,MATCH(COLUMNS($AD$1006:AU1006),$AD$1006:$AU$1006,0))&gt;=100000), " ",IF(INDEX($AD$2:$AU$1001,MATCH(ROWS($W$2:W598),$W$2:$W$1001,0),MATCH(COLUMNS($AD$1006:AU1006),$AD$1006:$AU$1006,0)), HYPERLINK("#",""), HYPERLINK(CONCATENATE("#metadata!", ADDRESS(INDEX($Y$2:$Y$1001,MATCH(ROWS($W$2:W598),$W$2:$W$1001,0),0), INDEX($AD$1004:$AU$1004,1,MATCH(COLUMNS($AD$1006:AU1006),$AD$1006:$AU$1006,0)))),"Fix")))</f>
        <v xml:space="preserve"> </v>
      </c>
      <c r="W598">
        <v>597</v>
      </c>
      <c r="X598">
        <v>100598</v>
      </c>
      <c r="Y598">
        <v>598</v>
      </c>
      <c r="Z598" t="b">
        <f t="shared" si="9"/>
        <v>1</v>
      </c>
      <c r="AA598" t="b">
        <f>COUNTBLANK(metadata!B598:S598)=COLUMNS(metadata!B598:S598)</f>
        <v>1</v>
      </c>
      <c r="AB598" t="str">
        <v/>
      </c>
      <c r="AD598" t="b">
        <f ca="1">AND(IF(metadata!B598="",FALSE,TRUE),COUNTIF(metadata!B:B, metadata!B598) = 1,NOT(ISERROR(SUMPRODUCT(SEARCH(MID(metadata!B598,ROW(INDIRECT("1:"&amp;LEN(metadata!B598))), 1),"0123456789abcdefghijklmnopqrstuvwxyzABCDEFGHIJKLMNOPQRSTUVWXYZ.")))))</f>
        <v>0</v>
      </c>
      <c r="AE598" t="b">
        <f>OR(AND(IF(metadata!C598="",FALSE,TRUE),OR(EXACT(metadata!C598,"not applicable"),EXACT(metadata!C598,"missing: not collected"),EXACT(metadata!C598,"missing: not provided"),EXACT(metadata!C598,"missing: restricted access"))),AND(IF(metadata!C598="",FALSE,ISNUMBER(VALUE(metadata!C598))),metadata!C598&gt;0))</f>
        <v>0</v>
      </c>
      <c r="AF598" t="b">
        <f>AND(IF(metadata!D598="",FALSE,TRUE),EXACT(metadata!D598,"missing: not provided"))</f>
        <v>0</v>
      </c>
      <c r="AG598" t="b">
        <f>AND(IF(metadata!E598="",FALSE,TRUE),EXACT(metadata!E598,"Host-associated"))</f>
        <v>0</v>
      </c>
      <c r="AH598" t="b">
        <f>AND(IF(metadata!F598="",FALSE,TRUE),OR(EXACT(metadata!F598,"Animal"),EXACT(metadata!F598,"Fungus"),EXACT(metadata!F598,"Plant")))</f>
        <v>0</v>
      </c>
      <c r="AI598" t="b">
        <f>AND(IF(metadata!G598="",FALSE,TRUE),OR(EXACT(metadata!G598,"Plant secretion"),EXACT(metadata!G598,"Plant rhizosphere"),EXACT(metadata!G598,"Plant surface"),EXACT(metadata!G598,"Plant corpus"),EXACT(metadata!G598,"Fungus surface"),EXACT(metadata!G598,"Fungus corpus"),EXACT(metadata!G598,"Animal surface"),EXACT(metadata!G598,"Animal proximal gut"),EXACT(metadata!G598,"Animal corpus"),EXACT(metadata!G598,"Animal distal gut"),EXACT(metadata!G598,"Animal secretion")))</f>
        <v>0</v>
      </c>
      <c r="AJ598" t="b">
        <f>OR(AND(IF(metadata!H598="",FALSE,TRUE),OR(EXACT(metadata!H598,"missing: not collected"),EXACT(metadata!H598,"missing: not provided"),EXACT(metadata!H598,"missing: restricted access"))),AND(IF(metadata!H598="",FALSE,TRUE),OR(EXACT(metadata!H598,"organism-associated habitat"),EXACT(metadata!H598,"plant-associated habitat"),EXACT(metadata!H598,"animal-associated habitat"),EXACT(metadata!H598,"insecta-associated habitat"),EXACT(metadata!H598,"mammalia-associated habitat"),EXACT(metadata!H598,"human-associated habitat"),EXACT(metadata!H598,"livestock-associated habitat"))))</f>
        <v>0</v>
      </c>
      <c r="AK598" t="b">
        <f>AND(IF(metadata!I598="",FALSE,TRUE),EXACT(metadata!I598,"host-associated"))</f>
        <v>0</v>
      </c>
      <c r="AL598" t="b">
        <f>OR(AND(IF(metadata!J598="",FALSE,TRUE),OR(EXACT(metadata!J598,"not applicable"),EXACT(metadata!J598,"missing: not collected"),EXACT(metadata!J598,"missing: not provided"),EXACT(metadata!J598,"missing: restricted access"))),AND(IF(metadata!J598="",FALSE,ISNUMBER(VALUE(metadata!J598))),metadata!J598&gt;0))</f>
        <v>0</v>
      </c>
      <c r="AM598" t="b">
        <f>AND(IF(metadata!K598="",FALSE,TRUE),EXACT(metadata!K598,"missing: not provided"))</f>
        <v>0</v>
      </c>
      <c r="AN598" t="b">
        <f>IF(metadata!L598="",FALSE,TRUE)</f>
        <v>0</v>
      </c>
      <c r="AO598" t="b">
        <f>IF(metadata!M598="",FALSE,TRUE)</f>
        <v>0</v>
      </c>
      <c r="AP598" t="b">
        <f>OR(AND(IF(metadata!N598="",FALSE,TRUE),OR(EXACT(metadata!N598,"not applicable"),EXACT(metadata!N598,"missing: not collected"),EXACT(metadata!N598,"missing: not provided"))),AND(IF(metadata!N598="",FALSE,IF(ISERROR(INT(metadata!N598)),FALSE,INT(metadata!N598)=metadata!N598)),metadata!N598&gt;0))</f>
        <v>0</v>
      </c>
      <c r="AQ598" t="b">
        <f>AND(IF(metadata!O598="",FALSE,TRUE),EXACT(metadata!O598,"Not applicable"))</f>
        <v>0</v>
      </c>
      <c r="AR598" t="b">
        <f>OR(AND(IF(metadata!P598="",FALSE,TRUE),OR(EXACT(metadata!P598,"not applicable"),EXACT(metadata!P598,"missing: not collected"),EXACT(metadata!P598,"missing: not provided"),EXACT(metadata!P598,"missing: restricted access"))),IF(metadata!P598="",FALSE,IF(ISERROR(INT(metadata!P598)),FALSE,INT(metadata!P598)=metadata!P598)))</f>
        <v>0</v>
      </c>
      <c r="AS598" t="b">
        <f>AND(IF(metadata!Q598="",FALSE,TRUE),EXACT(metadata!Q598,"Not applicable"))</f>
        <v>0</v>
      </c>
      <c r="AT598" t="b">
        <f>OR(AND(IF(metadata!R598="",FALSE,TRUE),OR(EXACT(metadata!R598,"not applicable"),EXACT(metadata!R598,"missing: not collected"),EXACT(metadata!R598,"missing: not provided"),EXACT(metadata!R598,"missing: restricted access"))),AND(IF(metadata!R598="",FALSE,ISNUMBER(VALUE(metadata!R598))),metadata!R598&gt;0))</f>
        <v>0</v>
      </c>
      <c r="AU598" t="b">
        <f>AND(IF(metadata!S598="",FALSE,TRUE),EXACT(metadata!S598,"missing: not provided"))</f>
        <v>0</v>
      </c>
    </row>
    <row r="599" spans="1:47" x14ac:dyDescent="0.2">
      <c r="A599" s="5" t="str">
        <f ca="1">IF(B599=" "," ",HYPERLINK(CONCATENATE("#metadata!",ADDRESS(INDEX($Y$2:$Y$1001,MATCH(ROWS($W$2:W599),$W$2:$W$1001,0),0),1)),INDEX($AB$2:$AB$1001,MATCH(ROWS($W$2:W599),$W$2:$W$1001,0),0)))</f>
        <v xml:space="preserve"> </v>
      </c>
      <c r="B599" s="4" t="str">
        <f ca="1">IF(OR(INDEX($X$2:$X$1001,MATCH(ROWS($W$2:W599),$W$2:$W$1001,0),1)&gt;=100000,INDEX($AD$1005:$AU$1005,1,MATCH(COLUMNS($AD$1006:AD1006),$AD$1006:$AU$1006,0))&gt;=100000), " ",IF(INDEX($AD$2:$AU$1001,MATCH(ROWS($W$2:W599),$W$2:$W$1001,0),MATCH(COLUMNS($AD$1006:AD1006),$AD$1006:$AU$1006,0)), HYPERLINK("#",""), HYPERLINK(CONCATENATE("#metadata!", ADDRESS(INDEX($Y$2:$Y$1001,MATCH(ROWS($W$2:W599),$W$2:$W$1001,0),0), INDEX($AD$1004:$AU$1004,1,MATCH(COLUMNS($AD$1006:AD1006),$AD$1006:$AU$1006,0)))),"Fix")))</f>
        <v xml:space="preserve"> </v>
      </c>
      <c r="C599" s="4" t="str">
        <f ca="1">IF(OR(INDEX($X$2:$X$1001,MATCH(ROWS($W$2:W599),$W$2:$W$1001,0),1)&gt;=100000,INDEX($AD$1005:$AU$1005,1,MATCH(COLUMNS($AD$1006:AE1006),$AD$1006:$AU$1006,0))&gt;=100000), " ",IF(INDEX($AD$2:$AU$1001,MATCH(ROWS($W$2:W599),$W$2:$W$1001,0),MATCH(COLUMNS($AD$1006:AE1006),$AD$1006:$AU$1006,0)), HYPERLINK("#",""), HYPERLINK(CONCATENATE("#metadata!", ADDRESS(INDEX($Y$2:$Y$1001,MATCH(ROWS($W$2:W599),$W$2:$W$1001,0),0), INDEX($AD$1004:$AU$1004,1,MATCH(COLUMNS($AD$1006:AE1006),$AD$1006:$AU$1006,0)))),"Fix")))</f>
        <v xml:space="preserve"> </v>
      </c>
      <c r="D599" s="4" t="str">
        <f ca="1">IF(OR(INDEX($X$2:$X$1001,MATCH(ROWS($W$2:W599),$W$2:$W$1001,0),1)&gt;=100000,INDEX($AD$1005:$AU$1005,1,MATCH(COLUMNS($AD$1006:AF1006),$AD$1006:$AU$1006,0))&gt;=100000), " ",IF(INDEX($AD$2:$AU$1001,MATCH(ROWS($W$2:W599),$W$2:$W$1001,0),MATCH(COLUMNS($AD$1006:AF1006),$AD$1006:$AU$1006,0)), HYPERLINK("#",""), HYPERLINK(CONCATENATE("#metadata!", ADDRESS(INDEX($Y$2:$Y$1001,MATCH(ROWS($W$2:W599),$W$2:$W$1001,0),0), INDEX($AD$1004:$AU$1004,1,MATCH(COLUMNS($AD$1006:AF1006),$AD$1006:$AU$1006,0)))),"Fix")))</f>
        <v xml:space="preserve"> </v>
      </c>
      <c r="E599" s="4" t="str">
        <f ca="1">IF(OR(INDEX($X$2:$X$1001,MATCH(ROWS($W$2:W599),$W$2:$W$1001,0),1)&gt;=100000,INDEX($AD$1005:$AU$1005,1,MATCH(COLUMNS($AD$1006:AG1006),$AD$1006:$AU$1006,0))&gt;=100000), " ",IF(INDEX($AD$2:$AU$1001,MATCH(ROWS($W$2:W599),$W$2:$W$1001,0),MATCH(COLUMNS($AD$1006:AG1006),$AD$1006:$AU$1006,0)), HYPERLINK("#",""), HYPERLINK(CONCATENATE("#metadata!", ADDRESS(INDEX($Y$2:$Y$1001,MATCH(ROWS($W$2:W599),$W$2:$W$1001,0),0), INDEX($AD$1004:$AU$1004,1,MATCH(COLUMNS($AD$1006:AG1006),$AD$1006:$AU$1006,0)))),"Fix")))</f>
        <v xml:space="preserve"> </v>
      </c>
      <c r="F599" s="4" t="str">
        <f ca="1">IF(OR(INDEX($X$2:$X$1001,MATCH(ROWS($W$2:W599),$W$2:$W$1001,0),1)&gt;=100000,INDEX($AD$1005:$AU$1005,1,MATCH(COLUMNS($AD$1006:AH1006),$AD$1006:$AU$1006,0))&gt;=100000), " ",IF(INDEX($AD$2:$AU$1001,MATCH(ROWS($W$2:W599),$W$2:$W$1001,0),MATCH(COLUMNS($AD$1006:AH1006),$AD$1006:$AU$1006,0)), HYPERLINK("#",""), HYPERLINK(CONCATENATE("#metadata!", ADDRESS(INDEX($Y$2:$Y$1001,MATCH(ROWS($W$2:W599),$W$2:$W$1001,0),0), INDEX($AD$1004:$AU$1004,1,MATCH(COLUMNS($AD$1006:AH1006),$AD$1006:$AU$1006,0)))),"Fix")))</f>
        <v xml:space="preserve"> </v>
      </c>
      <c r="G599" s="4" t="str">
        <f ca="1">IF(OR(INDEX($X$2:$X$1001,MATCH(ROWS($W$2:W599),$W$2:$W$1001,0),1)&gt;=100000,INDEX($AD$1005:$AU$1005,1,MATCH(COLUMNS($AD$1006:AI1006),$AD$1006:$AU$1006,0))&gt;=100000), " ",IF(INDEX($AD$2:$AU$1001,MATCH(ROWS($W$2:W599),$W$2:$W$1001,0),MATCH(COLUMNS($AD$1006:AI1006),$AD$1006:$AU$1006,0)), HYPERLINK("#",""), HYPERLINK(CONCATENATE("#metadata!", ADDRESS(INDEX($Y$2:$Y$1001,MATCH(ROWS($W$2:W599),$W$2:$W$1001,0),0), INDEX($AD$1004:$AU$1004,1,MATCH(COLUMNS($AD$1006:AI1006),$AD$1006:$AU$1006,0)))),"Fix")))</f>
        <v xml:space="preserve"> </v>
      </c>
      <c r="H599" s="4" t="str">
        <f ca="1">IF(OR(INDEX($X$2:$X$1001,MATCH(ROWS($W$2:W599),$W$2:$W$1001,0),1)&gt;=100000,INDEX($AD$1005:$AU$1005,1,MATCH(COLUMNS($AD$1006:AJ1006),$AD$1006:$AU$1006,0))&gt;=100000), " ",IF(INDEX($AD$2:$AU$1001,MATCH(ROWS($W$2:W599),$W$2:$W$1001,0),MATCH(COLUMNS($AD$1006:AJ1006),$AD$1006:$AU$1006,0)), HYPERLINK("#",""), HYPERLINK(CONCATENATE("#metadata!", ADDRESS(INDEX($Y$2:$Y$1001,MATCH(ROWS($W$2:W599),$W$2:$W$1001,0),0), INDEX($AD$1004:$AU$1004,1,MATCH(COLUMNS($AD$1006:AJ1006),$AD$1006:$AU$1006,0)))),"Fix")))</f>
        <v xml:space="preserve"> </v>
      </c>
      <c r="I599" s="4" t="str">
        <f ca="1">IF(OR(INDEX($X$2:$X$1001,MATCH(ROWS($W$2:W599),$W$2:$W$1001,0),1)&gt;=100000,INDEX($AD$1005:$AU$1005,1,MATCH(COLUMNS($AD$1006:AK1006),$AD$1006:$AU$1006,0))&gt;=100000), " ",IF(INDEX($AD$2:$AU$1001,MATCH(ROWS($W$2:W599),$W$2:$W$1001,0),MATCH(COLUMNS($AD$1006:AK1006),$AD$1006:$AU$1006,0)), HYPERLINK("#",""), HYPERLINK(CONCATENATE("#metadata!", ADDRESS(INDEX($Y$2:$Y$1001,MATCH(ROWS($W$2:W599),$W$2:$W$1001,0),0), INDEX($AD$1004:$AU$1004,1,MATCH(COLUMNS($AD$1006:AK1006),$AD$1006:$AU$1006,0)))),"Fix")))</f>
        <v xml:space="preserve"> </v>
      </c>
      <c r="J599" s="4" t="str">
        <f ca="1">IF(OR(INDEX($X$2:$X$1001,MATCH(ROWS($W$2:W599),$W$2:$W$1001,0),1)&gt;=100000,INDEX($AD$1005:$AU$1005,1,MATCH(COLUMNS($AD$1006:AL1006),$AD$1006:$AU$1006,0))&gt;=100000), " ",IF(INDEX($AD$2:$AU$1001,MATCH(ROWS($W$2:W599),$W$2:$W$1001,0),MATCH(COLUMNS($AD$1006:AL1006),$AD$1006:$AU$1006,0)), HYPERLINK("#",""), HYPERLINK(CONCATENATE("#metadata!", ADDRESS(INDEX($Y$2:$Y$1001,MATCH(ROWS($W$2:W599),$W$2:$W$1001,0),0), INDEX($AD$1004:$AU$1004,1,MATCH(COLUMNS($AD$1006:AL1006),$AD$1006:$AU$1006,0)))),"Fix")))</f>
        <v xml:space="preserve"> </v>
      </c>
      <c r="K599" s="4" t="str">
        <f ca="1">IF(OR(INDEX($X$2:$X$1001,MATCH(ROWS($W$2:W599),$W$2:$W$1001,0),1)&gt;=100000,INDEX($AD$1005:$AU$1005,1,MATCH(COLUMNS($AD$1006:AM1006),$AD$1006:$AU$1006,0))&gt;=100000), " ",IF(INDEX($AD$2:$AU$1001,MATCH(ROWS($W$2:W599),$W$2:$W$1001,0),MATCH(COLUMNS($AD$1006:AM1006),$AD$1006:$AU$1006,0)), HYPERLINK("#",""), HYPERLINK(CONCATENATE("#metadata!", ADDRESS(INDEX($Y$2:$Y$1001,MATCH(ROWS($W$2:W599),$W$2:$W$1001,0),0), INDEX($AD$1004:$AU$1004,1,MATCH(COLUMNS($AD$1006:AM1006),$AD$1006:$AU$1006,0)))),"Fix")))</f>
        <v xml:space="preserve"> </v>
      </c>
      <c r="L599" s="4" t="str">
        <f ca="1">IF(OR(INDEX($X$2:$X$1001,MATCH(ROWS($W$2:W599),$W$2:$W$1001,0),1)&gt;=100000,INDEX($AD$1005:$AU$1005,1,MATCH(COLUMNS($AD$1006:AN1006),$AD$1006:$AU$1006,0))&gt;=100000), " ",IF(INDEX($AD$2:$AU$1001,MATCH(ROWS($W$2:W599),$W$2:$W$1001,0),MATCH(COLUMNS($AD$1006:AN1006),$AD$1006:$AU$1006,0)), HYPERLINK("#",""), HYPERLINK(CONCATENATE("#metadata!", ADDRESS(INDEX($Y$2:$Y$1001,MATCH(ROWS($W$2:W599),$W$2:$W$1001,0),0), INDEX($AD$1004:$AU$1004,1,MATCH(COLUMNS($AD$1006:AN1006),$AD$1006:$AU$1006,0)))),"Fix")))</f>
        <v xml:space="preserve"> </v>
      </c>
      <c r="M599" s="4" t="str">
        <f ca="1">IF(OR(INDEX($X$2:$X$1001,MATCH(ROWS($W$2:W599),$W$2:$W$1001,0),1)&gt;=100000,INDEX($AD$1005:$AU$1005,1,MATCH(COLUMNS($AD$1006:AO1006),$AD$1006:$AU$1006,0))&gt;=100000), " ",IF(INDEX($AD$2:$AU$1001,MATCH(ROWS($W$2:W599),$W$2:$W$1001,0),MATCH(COLUMNS($AD$1006:AO1006),$AD$1006:$AU$1006,0)), HYPERLINK("#",""), HYPERLINK(CONCATENATE("#metadata!", ADDRESS(INDEX($Y$2:$Y$1001,MATCH(ROWS($W$2:W599),$W$2:$W$1001,0),0), INDEX($AD$1004:$AU$1004,1,MATCH(COLUMNS($AD$1006:AO1006),$AD$1006:$AU$1006,0)))),"Fix")))</f>
        <v xml:space="preserve"> </v>
      </c>
      <c r="N599" s="4" t="str">
        <f ca="1">IF(OR(INDEX($X$2:$X$1001,MATCH(ROWS($W$2:W599),$W$2:$W$1001,0),1)&gt;=100000,INDEX($AD$1005:$AU$1005,1,MATCH(COLUMNS($AD$1006:AP1006),$AD$1006:$AU$1006,0))&gt;=100000), " ",IF(INDEX($AD$2:$AU$1001,MATCH(ROWS($W$2:W599),$W$2:$W$1001,0),MATCH(COLUMNS($AD$1006:AP1006),$AD$1006:$AU$1006,0)), HYPERLINK("#",""), HYPERLINK(CONCATENATE("#metadata!", ADDRESS(INDEX($Y$2:$Y$1001,MATCH(ROWS($W$2:W599),$W$2:$W$1001,0),0), INDEX($AD$1004:$AU$1004,1,MATCH(COLUMNS($AD$1006:AP1006),$AD$1006:$AU$1006,0)))),"Fix")))</f>
        <v xml:space="preserve"> </v>
      </c>
      <c r="O599" s="4" t="str">
        <f ca="1">IF(OR(INDEX($X$2:$X$1001,MATCH(ROWS($W$2:W599),$W$2:$W$1001,0),1)&gt;=100000,INDEX($AD$1005:$AU$1005,1,MATCH(COLUMNS($AD$1006:AQ1006),$AD$1006:$AU$1006,0))&gt;=100000), " ",IF(INDEX($AD$2:$AU$1001,MATCH(ROWS($W$2:W599),$W$2:$W$1001,0),MATCH(COLUMNS($AD$1006:AQ1006),$AD$1006:$AU$1006,0)), HYPERLINK("#",""), HYPERLINK(CONCATENATE("#metadata!", ADDRESS(INDEX($Y$2:$Y$1001,MATCH(ROWS($W$2:W599),$W$2:$W$1001,0),0), INDEX($AD$1004:$AU$1004,1,MATCH(COLUMNS($AD$1006:AQ1006),$AD$1006:$AU$1006,0)))),"Fix")))</f>
        <v xml:space="preserve"> </v>
      </c>
      <c r="P599" s="4" t="str">
        <f ca="1">IF(OR(INDEX($X$2:$X$1001,MATCH(ROWS($W$2:W599),$W$2:$W$1001,0),1)&gt;=100000,INDEX($AD$1005:$AU$1005,1,MATCH(COLUMNS($AD$1006:AR1006),$AD$1006:$AU$1006,0))&gt;=100000), " ",IF(INDEX($AD$2:$AU$1001,MATCH(ROWS($W$2:W599),$W$2:$W$1001,0),MATCH(COLUMNS($AD$1006:AR1006),$AD$1006:$AU$1006,0)), HYPERLINK("#",""), HYPERLINK(CONCATENATE("#metadata!", ADDRESS(INDEX($Y$2:$Y$1001,MATCH(ROWS($W$2:W599),$W$2:$W$1001,0),0), INDEX($AD$1004:$AU$1004,1,MATCH(COLUMNS($AD$1006:AR1006),$AD$1006:$AU$1006,0)))),"Fix")))</f>
        <v xml:space="preserve"> </v>
      </c>
      <c r="Q599" s="4" t="str">
        <f ca="1">IF(OR(INDEX($X$2:$X$1001,MATCH(ROWS($W$2:W599),$W$2:$W$1001,0),1)&gt;=100000,INDEX($AD$1005:$AU$1005,1,MATCH(COLUMNS($AD$1006:AS1006),$AD$1006:$AU$1006,0))&gt;=100000), " ",IF(INDEX($AD$2:$AU$1001,MATCH(ROWS($W$2:W599),$W$2:$W$1001,0),MATCH(COLUMNS($AD$1006:AS1006),$AD$1006:$AU$1006,0)), HYPERLINK("#",""), HYPERLINK(CONCATENATE("#metadata!", ADDRESS(INDEX($Y$2:$Y$1001,MATCH(ROWS($W$2:W599),$W$2:$W$1001,0),0), INDEX($AD$1004:$AU$1004,1,MATCH(COLUMNS($AD$1006:AS1006),$AD$1006:$AU$1006,0)))),"Fix")))</f>
        <v xml:space="preserve"> </v>
      </c>
      <c r="R599" s="4" t="str">
        <f ca="1">IF(OR(INDEX($X$2:$X$1001,MATCH(ROWS($W$2:W599),$W$2:$W$1001,0),1)&gt;=100000,INDEX($AD$1005:$AU$1005,1,MATCH(COLUMNS($AD$1006:AT1006),$AD$1006:$AU$1006,0))&gt;=100000), " ",IF(INDEX($AD$2:$AU$1001,MATCH(ROWS($W$2:W599),$W$2:$W$1001,0),MATCH(COLUMNS($AD$1006:AT1006),$AD$1006:$AU$1006,0)), HYPERLINK("#",""), HYPERLINK(CONCATENATE("#metadata!", ADDRESS(INDEX($Y$2:$Y$1001,MATCH(ROWS($W$2:W599),$W$2:$W$1001,0),0), INDEX($AD$1004:$AU$1004,1,MATCH(COLUMNS($AD$1006:AT1006),$AD$1006:$AU$1006,0)))),"Fix")))</f>
        <v xml:space="preserve"> </v>
      </c>
      <c r="S599" s="4" t="str">
        <f ca="1">IF(OR(INDEX($X$2:$X$1001,MATCH(ROWS($W$2:W599),$W$2:$W$1001,0),1)&gt;=100000,INDEX($AD$1005:$AU$1005,1,MATCH(COLUMNS($AD$1006:AU1006),$AD$1006:$AU$1006,0))&gt;=100000), " ",IF(INDEX($AD$2:$AU$1001,MATCH(ROWS($W$2:W599),$W$2:$W$1001,0),MATCH(COLUMNS($AD$1006:AU1006),$AD$1006:$AU$1006,0)), HYPERLINK("#",""), HYPERLINK(CONCATENATE("#metadata!", ADDRESS(INDEX($Y$2:$Y$1001,MATCH(ROWS($W$2:W599),$W$2:$W$1001,0),0), INDEX($AD$1004:$AU$1004,1,MATCH(COLUMNS($AD$1006:AU1006),$AD$1006:$AU$1006,0)))),"Fix")))</f>
        <v xml:space="preserve"> </v>
      </c>
      <c r="W599">
        <v>598</v>
      </c>
      <c r="X599">
        <v>100599</v>
      </c>
      <c r="Y599">
        <v>599</v>
      </c>
      <c r="Z599" t="b">
        <f t="shared" si="9"/>
        <v>1</v>
      </c>
      <c r="AA599" t="b">
        <f>COUNTBLANK(metadata!B599:S599)=COLUMNS(metadata!B599:S599)</f>
        <v>1</v>
      </c>
      <c r="AB599" t="str">
        <v/>
      </c>
      <c r="AD599" t="b">
        <f ca="1">AND(IF(metadata!B599="",FALSE,TRUE),COUNTIF(metadata!B:B, metadata!B599) = 1,NOT(ISERROR(SUMPRODUCT(SEARCH(MID(metadata!B599,ROW(INDIRECT("1:"&amp;LEN(metadata!B599))), 1),"0123456789abcdefghijklmnopqrstuvwxyzABCDEFGHIJKLMNOPQRSTUVWXYZ.")))))</f>
        <v>0</v>
      </c>
      <c r="AE599" t="b">
        <f>OR(AND(IF(metadata!C599="",FALSE,TRUE),OR(EXACT(metadata!C599,"not applicable"),EXACT(metadata!C599,"missing: not collected"),EXACT(metadata!C599,"missing: not provided"),EXACT(metadata!C599,"missing: restricted access"))),AND(IF(metadata!C599="",FALSE,ISNUMBER(VALUE(metadata!C599))),metadata!C599&gt;0))</f>
        <v>0</v>
      </c>
      <c r="AF599" t="b">
        <f>AND(IF(metadata!D599="",FALSE,TRUE),EXACT(metadata!D599,"missing: not provided"))</f>
        <v>0</v>
      </c>
      <c r="AG599" t="b">
        <f>AND(IF(metadata!E599="",FALSE,TRUE),EXACT(metadata!E599,"Host-associated"))</f>
        <v>0</v>
      </c>
      <c r="AH599" t="b">
        <f>AND(IF(metadata!F599="",FALSE,TRUE),OR(EXACT(metadata!F599,"Animal"),EXACT(metadata!F599,"Fungus"),EXACT(metadata!F599,"Plant")))</f>
        <v>0</v>
      </c>
      <c r="AI599" t="b">
        <f>AND(IF(metadata!G599="",FALSE,TRUE),OR(EXACT(metadata!G599,"Plant secretion"),EXACT(metadata!G599,"Plant rhizosphere"),EXACT(metadata!G599,"Plant surface"),EXACT(metadata!G599,"Plant corpus"),EXACT(metadata!G599,"Fungus surface"),EXACT(metadata!G599,"Fungus corpus"),EXACT(metadata!G599,"Animal surface"),EXACT(metadata!G599,"Animal proximal gut"),EXACT(metadata!G599,"Animal corpus"),EXACT(metadata!G599,"Animal distal gut"),EXACT(metadata!G599,"Animal secretion")))</f>
        <v>0</v>
      </c>
      <c r="AJ599" t="b">
        <f>OR(AND(IF(metadata!H599="",FALSE,TRUE),OR(EXACT(metadata!H599,"missing: not collected"),EXACT(metadata!H599,"missing: not provided"),EXACT(metadata!H599,"missing: restricted access"))),AND(IF(metadata!H599="",FALSE,TRUE),OR(EXACT(metadata!H599,"organism-associated habitat"),EXACT(metadata!H599,"plant-associated habitat"),EXACT(metadata!H599,"animal-associated habitat"),EXACT(metadata!H599,"insecta-associated habitat"),EXACT(metadata!H599,"mammalia-associated habitat"),EXACT(metadata!H599,"human-associated habitat"),EXACT(metadata!H599,"livestock-associated habitat"))))</f>
        <v>0</v>
      </c>
      <c r="AK599" t="b">
        <f>AND(IF(metadata!I599="",FALSE,TRUE),EXACT(metadata!I599,"host-associated"))</f>
        <v>0</v>
      </c>
      <c r="AL599" t="b">
        <f>OR(AND(IF(metadata!J599="",FALSE,TRUE),OR(EXACT(metadata!J599,"not applicable"),EXACT(metadata!J599,"missing: not collected"),EXACT(metadata!J599,"missing: not provided"),EXACT(metadata!J599,"missing: restricted access"))),AND(IF(metadata!J599="",FALSE,ISNUMBER(VALUE(metadata!J599))),metadata!J599&gt;0))</f>
        <v>0</v>
      </c>
      <c r="AM599" t="b">
        <f>AND(IF(metadata!K599="",FALSE,TRUE),EXACT(metadata!K599,"missing: not provided"))</f>
        <v>0</v>
      </c>
      <c r="AN599" t="b">
        <f>IF(metadata!L599="",FALSE,TRUE)</f>
        <v>0</v>
      </c>
      <c r="AO599" t="b">
        <f>IF(metadata!M599="",FALSE,TRUE)</f>
        <v>0</v>
      </c>
      <c r="AP599" t="b">
        <f>OR(AND(IF(metadata!N599="",FALSE,TRUE),OR(EXACT(metadata!N599,"not applicable"),EXACT(metadata!N599,"missing: not collected"),EXACT(metadata!N599,"missing: not provided"))),AND(IF(metadata!N599="",FALSE,IF(ISERROR(INT(metadata!N599)),FALSE,INT(metadata!N599)=metadata!N599)),metadata!N599&gt;0))</f>
        <v>0</v>
      </c>
      <c r="AQ599" t="b">
        <f>AND(IF(metadata!O599="",FALSE,TRUE),EXACT(metadata!O599,"Not applicable"))</f>
        <v>0</v>
      </c>
      <c r="AR599" t="b">
        <f>OR(AND(IF(metadata!P599="",FALSE,TRUE),OR(EXACT(metadata!P599,"not applicable"),EXACT(metadata!P599,"missing: not collected"),EXACT(metadata!P599,"missing: not provided"),EXACT(metadata!P599,"missing: restricted access"))),IF(metadata!P599="",FALSE,IF(ISERROR(INT(metadata!P599)),FALSE,INT(metadata!P599)=metadata!P599)))</f>
        <v>0</v>
      </c>
      <c r="AS599" t="b">
        <f>AND(IF(metadata!Q599="",FALSE,TRUE),EXACT(metadata!Q599,"Not applicable"))</f>
        <v>0</v>
      </c>
      <c r="AT599" t="b">
        <f>OR(AND(IF(metadata!R599="",FALSE,TRUE),OR(EXACT(metadata!R599,"not applicable"),EXACT(metadata!R599,"missing: not collected"),EXACT(metadata!R599,"missing: not provided"),EXACT(metadata!R599,"missing: restricted access"))),AND(IF(metadata!R599="",FALSE,ISNUMBER(VALUE(metadata!R599))),metadata!R599&gt;0))</f>
        <v>0</v>
      </c>
      <c r="AU599" t="b">
        <f>AND(IF(metadata!S599="",FALSE,TRUE),EXACT(metadata!S599,"missing: not provided"))</f>
        <v>0</v>
      </c>
    </row>
    <row r="600" spans="1:47" x14ac:dyDescent="0.2">
      <c r="A600" s="5" t="str">
        <f ca="1">IF(B600=" "," ",HYPERLINK(CONCATENATE("#metadata!",ADDRESS(INDEX($Y$2:$Y$1001,MATCH(ROWS($W$2:W600),$W$2:$W$1001,0),0),1)),INDEX($AB$2:$AB$1001,MATCH(ROWS($W$2:W600),$W$2:$W$1001,0),0)))</f>
        <v xml:space="preserve"> </v>
      </c>
      <c r="B600" s="4" t="str">
        <f ca="1">IF(OR(INDEX($X$2:$X$1001,MATCH(ROWS($W$2:W600),$W$2:$W$1001,0),1)&gt;=100000,INDEX($AD$1005:$AU$1005,1,MATCH(COLUMNS($AD$1006:AD1006),$AD$1006:$AU$1006,0))&gt;=100000), " ",IF(INDEX($AD$2:$AU$1001,MATCH(ROWS($W$2:W600),$W$2:$W$1001,0),MATCH(COLUMNS($AD$1006:AD1006),$AD$1006:$AU$1006,0)), HYPERLINK("#",""), HYPERLINK(CONCATENATE("#metadata!", ADDRESS(INDEX($Y$2:$Y$1001,MATCH(ROWS($W$2:W600),$W$2:$W$1001,0),0), INDEX($AD$1004:$AU$1004,1,MATCH(COLUMNS($AD$1006:AD1006),$AD$1006:$AU$1006,0)))),"Fix")))</f>
        <v xml:space="preserve"> </v>
      </c>
      <c r="C600" s="4" t="str">
        <f ca="1">IF(OR(INDEX($X$2:$X$1001,MATCH(ROWS($W$2:W600),$W$2:$W$1001,0),1)&gt;=100000,INDEX($AD$1005:$AU$1005,1,MATCH(COLUMNS($AD$1006:AE1006),$AD$1006:$AU$1006,0))&gt;=100000), " ",IF(INDEX($AD$2:$AU$1001,MATCH(ROWS($W$2:W600),$W$2:$W$1001,0),MATCH(COLUMNS($AD$1006:AE1006),$AD$1006:$AU$1006,0)), HYPERLINK("#",""), HYPERLINK(CONCATENATE("#metadata!", ADDRESS(INDEX($Y$2:$Y$1001,MATCH(ROWS($W$2:W600),$W$2:$W$1001,0),0), INDEX($AD$1004:$AU$1004,1,MATCH(COLUMNS($AD$1006:AE1006),$AD$1006:$AU$1006,0)))),"Fix")))</f>
        <v xml:space="preserve"> </v>
      </c>
      <c r="D600" s="4" t="str">
        <f ca="1">IF(OR(INDEX($X$2:$X$1001,MATCH(ROWS($W$2:W600),$W$2:$W$1001,0),1)&gt;=100000,INDEX($AD$1005:$AU$1005,1,MATCH(COLUMNS($AD$1006:AF1006),$AD$1006:$AU$1006,0))&gt;=100000), " ",IF(INDEX($AD$2:$AU$1001,MATCH(ROWS($W$2:W600),$W$2:$W$1001,0),MATCH(COLUMNS($AD$1006:AF1006),$AD$1006:$AU$1006,0)), HYPERLINK("#",""), HYPERLINK(CONCATENATE("#metadata!", ADDRESS(INDEX($Y$2:$Y$1001,MATCH(ROWS($W$2:W600),$W$2:$W$1001,0),0), INDEX($AD$1004:$AU$1004,1,MATCH(COLUMNS($AD$1006:AF1006),$AD$1006:$AU$1006,0)))),"Fix")))</f>
        <v xml:space="preserve"> </v>
      </c>
      <c r="E600" s="4" t="str">
        <f ca="1">IF(OR(INDEX($X$2:$X$1001,MATCH(ROWS($W$2:W600),$W$2:$W$1001,0),1)&gt;=100000,INDEX($AD$1005:$AU$1005,1,MATCH(COLUMNS($AD$1006:AG1006),$AD$1006:$AU$1006,0))&gt;=100000), " ",IF(INDEX($AD$2:$AU$1001,MATCH(ROWS($W$2:W600),$W$2:$W$1001,0),MATCH(COLUMNS($AD$1006:AG1006),$AD$1006:$AU$1006,0)), HYPERLINK("#",""), HYPERLINK(CONCATENATE("#metadata!", ADDRESS(INDEX($Y$2:$Y$1001,MATCH(ROWS($W$2:W600),$W$2:$W$1001,0),0), INDEX($AD$1004:$AU$1004,1,MATCH(COLUMNS($AD$1006:AG1006),$AD$1006:$AU$1006,0)))),"Fix")))</f>
        <v xml:space="preserve"> </v>
      </c>
      <c r="F600" s="4" t="str">
        <f ca="1">IF(OR(INDEX($X$2:$X$1001,MATCH(ROWS($W$2:W600),$W$2:$W$1001,0),1)&gt;=100000,INDEX($AD$1005:$AU$1005,1,MATCH(COLUMNS($AD$1006:AH1006),$AD$1006:$AU$1006,0))&gt;=100000), " ",IF(INDEX($AD$2:$AU$1001,MATCH(ROWS($W$2:W600),$W$2:$W$1001,0),MATCH(COLUMNS($AD$1006:AH1006),$AD$1006:$AU$1006,0)), HYPERLINK("#",""), HYPERLINK(CONCATENATE("#metadata!", ADDRESS(INDEX($Y$2:$Y$1001,MATCH(ROWS($W$2:W600),$W$2:$W$1001,0),0), INDEX($AD$1004:$AU$1004,1,MATCH(COLUMNS($AD$1006:AH1006),$AD$1006:$AU$1006,0)))),"Fix")))</f>
        <v xml:space="preserve"> </v>
      </c>
      <c r="G600" s="4" t="str">
        <f ca="1">IF(OR(INDEX($X$2:$X$1001,MATCH(ROWS($W$2:W600),$W$2:$W$1001,0),1)&gt;=100000,INDEX($AD$1005:$AU$1005,1,MATCH(COLUMNS($AD$1006:AI1006),$AD$1006:$AU$1006,0))&gt;=100000), " ",IF(INDEX($AD$2:$AU$1001,MATCH(ROWS($W$2:W600),$W$2:$W$1001,0),MATCH(COLUMNS($AD$1006:AI1006),$AD$1006:$AU$1006,0)), HYPERLINK("#",""), HYPERLINK(CONCATENATE("#metadata!", ADDRESS(INDEX($Y$2:$Y$1001,MATCH(ROWS($W$2:W600),$W$2:$W$1001,0),0), INDEX($AD$1004:$AU$1004,1,MATCH(COLUMNS($AD$1006:AI1006),$AD$1006:$AU$1006,0)))),"Fix")))</f>
        <v xml:space="preserve"> </v>
      </c>
      <c r="H600" s="4" t="str">
        <f ca="1">IF(OR(INDEX($X$2:$X$1001,MATCH(ROWS($W$2:W600),$W$2:$W$1001,0),1)&gt;=100000,INDEX($AD$1005:$AU$1005,1,MATCH(COLUMNS($AD$1006:AJ1006),$AD$1006:$AU$1006,0))&gt;=100000), " ",IF(INDEX($AD$2:$AU$1001,MATCH(ROWS($W$2:W600),$W$2:$W$1001,0),MATCH(COLUMNS($AD$1006:AJ1006),$AD$1006:$AU$1006,0)), HYPERLINK("#",""), HYPERLINK(CONCATENATE("#metadata!", ADDRESS(INDEX($Y$2:$Y$1001,MATCH(ROWS($W$2:W600),$W$2:$W$1001,0),0), INDEX($AD$1004:$AU$1004,1,MATCH(COLUMNS($AD$1006:AJ1006),$AD$1006:$AU$1006,0)))),"Fix")))</f>
        <v xml:space="preserve"> </v>
      </c>
      <c r="I600" s="4" t="str">
        <f ca="1">IF(OR(INDEX($X$2:$X$1001,MATCH(ROWS($W$2:W600),$W$2:$W$1001,0),1)&gt;=100000,INDEX($AD$1005:$AU$1005,1,MATCH(COLUMNS($AD$1006:AK1006),$AD$1006:$AU$1006,0))&gt;=100000), " ",IF(INDEX($AD$2:$AU$1001,MATCH(ROWS($W$2:W600),$W$2:$W$1001,0),MATCH(COLUMNS($AD$1006:AK1006),$AD$1006:$AU$1006,0)), HYPERLINK("#",""), HYPERLINK(CONCATENATE("#metadata!", ADDRESS(INDEX($Y$2:$Y$1001,MATCH(ROWS($W$2:W600),$W$2:$W$1001,0),0), INDEX($AD$1004:$AU$1004,1,MATCH(COLUMNS($AD$1006:AK1006),$AD$1006:$AU$1006,0)))),"Fix")))</f>
        <v xml:space="preserve"> </v>
      </c>
      <c r="J600" s="4" t="str">
        <f ca="1">IF(OR(INDEX($X$2:$X$1001,MATCH(ROWS($W$2:W600),$W$2:$W$1001,0),1)&gt;=100000,INDEX($AD$1005:$AU$1005,1,MATCH(COLUMNS($AD$1006:AL1006),$AD$1006:$AU$1006,0))&gt;=100000), " ",IF(INDEX($AD$2:$AU$1001,MATCH(ROWS($W$2:W600),$W$2:$W$1001,0),MATCH(COLUMNS($AD$1006:AL1006),$AD$1006:$AU$1006,0)), HYPERLINK("#",""), HYPERLINK(CONCATENATE("#metadata!", ADDRESS(INDEX($Y$2:$Y$1001,MATCH(ROWS($W$2:W600),$W$2:$W$1001,0),0), INDEX($AD$1004:$AU$1004,1,MATCH(COLUMNS($AD$1006:AL1006),$AD$1006:$AU$1006,0)))),"Fix")))</f>
        <v xml:space="preserve"> </v>
      </c>
      <c r="K600" s="4" t="str">
        <f ca="1">IF(OR(INDEX($X$2:$X$1001,MATCH(ROWS($W$2:W600),$W$2:$W$1001,0),1)&gt;=100000,INDEX($AD$1005:$AU$1005,1,MATCH(COLUMNS($AD$1006:AM1006),$AD$1006:$AU$1006,0))&gt;=100000), " ",IF(INDEX($AD$2:$AU$1001,MATCH(ROWS($W$2:W600),$W$2:$W$1001,0),MATCH(COLUMNS($AD$1006:AM1006),$AD$1006:$AU$1006,0)), HYPERLINK("#",""), HYPERLINK(CONCATENATE("#metadata!", ADDRESS(INDEX($Y$2:$Y$1001,MATCH(ROWS($W$2:W600),$W$2:$W$1001,0),0), INDEX($AD$1004:$AU$1004,1,MATCH(COLUMNS($AD$1006:AM1006),$AD$1006:$AU$1006,0)))),"Fix")))</f>
        <v xml:space="preserve"> </v>
      </c>
      <c r="L600" s="4" t="str">
        <f ca="1">IF(OR(INDEX($X$2:$X$1001,MATCH(ROWS($W$2:W600),$W$2:$W$1001,0),1)&gt;=100000,INDEX($AD$1005:$AU$1005,1,MATCH(COLUMNS($AD$1006:AN1006),$AD$1006:$AU$1006,0))&gt;=100000), " ",IF(INDEX($AD$2:$AU$1001,MATCH(ROWS($W$2:W600),$W$2:$W$1001,0),MATCH(COLUMNS($AD$1006:AN1006),$AD$1006:$AU$1006,0)), HYPERLINK("#",""), HYPERLINK(CONCATENATE("#metadata!", ADDRESS(INDEX($Y$2:$Y$1001,MATCH(ROWS($W$2:W600),$W$2:$W$1001,0),0), INDEX($AD$1004:$AU$1004,1,MATCH(COLUMNS($AD$1006:AN1006),$AD$1006:$AU$1006,0)))),"Fix")))</f>
        <v xml:space="preserve"> </v>
      </c>
      <c r="M600" s="4" t="str">
        <f ca="1">IF(OR(INDEX($X$2:$X$1001,MATCH(ROWS($W$2:W600),$W$2:$W$1001,0),1)&gt;=100000,INDEX($AD$1005:$AU$1005,1,MATCH(COLUMNS($AD$1006:AO1006),$AD$1006:$AU$1006,0))&gt;=100000), " ",IF(INDEX($AD$2:$AU$1001,MATCH(ROWS($W$2:W600),$W$2:$W$1001,0),MATCH(COLUMNS($AD$1006:AO1006),$AD$1006:$AU$1006,0)), HYPERLINK("#",""), HYPERLINK(CONCATENATE("#metadata!", ADDRESS(INDEX($Y$2:$Y$1001,MATCH(ROWS($W$2:W600),$W$2:$W$1001,0),0), INDEX($AD$1004:$AU$1004,1,MATCH(COLUMNS($AD$1006:AO1006),$AD$1006:$AU$1006,0)))),"Fix")))</f>
        <v xml:space="preserve"> </v>
      </c>
      <c r="N600" s="4" t="str">
        <f ca="1">IF(OR(INDEX($X$2:$X$1001,MATCH(ROWS($W$2:W600),$W$2:$W$1001,0),1)&gt;=100000,INDEX($AD$1005:$AU$1005,1,MATCH(COLUMNS($AD$1006:AP1006),$AD$1006:$AU$1006,0))&gt;=100000), " ",IF(INDEX($AD$2:$AU$1001,MATCH(ROWS($W$2:W600),$W$2:$W$1001,0),MATCH(COLUMNS($AD$1006:AP1006),$AD$1006:$AU$1006,0)), HYPERLINK("#",""), HYPERLINK(CONCATENATE("#metadata!", ADDRESS(INDEX($Y$2:$Y$1001,MATCH(ROWS($W$2:W600),$W$2:$W$1001,0),0), INDEX($AD$1004:$AU$1004,1,MATCH(COLUMNS($AD$1006:AP1006),$AD$1006:$AU$1006,0)))),"Fix")))</f>
        <v xml:space="preserve"> </v>
      </c>
      <c r="O600" s="4" t="str">
        <f ca="1">IF(OR(INDEX($X$2:$X$1001,MATCH(ROWS($W$2:W600),$W$2:$W$1001,0),1)&gt;=100000,INDEX($AD$1005:$AU$1005,1,MATCH(COLUMNS($AD$1006:AQ1006),$AD$1006:$AU$1006,0))&gt;=100000), " ",IF(INDEX($AD$2:$AU$1001,MATCH(ROWS($W$2:W600),$W$2:$W$1001,0),MATCH(COLUMNS($AD$1006:AQ1006),$AD$1006:$AU$1006,0)), HYPERLINK("#",""), HYPERLINK(CONCATENATE("#metadata!", ADDRESS(INDEX($Y$2:$Y$1001,MATCH(ROWS($W$2:W600),$W$2:$W$1001,0),0), INDEX($AD$1004:$AU$1004,1,MATCH(COLUMNS($AD$1006:AQ1006),$AD$1006:$AU$1006,0)))),"Fix")))</f>
        <v xml:space="preserve"> </v>
      </c>
      <c r="P600" s="4" t="str">
        <f ca="1">IF(OR(INDEX($X$2:$X$1001,MATCH(ROWS($W$2:W600),$W$2:$W$1001,0),1)&gt;=100000,INDEX($AD$1005:$AU$1005,1,MATCH(COLUMNS($AD$1006:AR1006),$AD$1006:$AU$1006,0))&gt;=100000), " ",IF(INDEX($AD$2:$AU$1001,MATCH(ROWS($W$2:W600),$W$2:$W$1001,0),MATCH(COLUMNS($AD$1006:AR1006),$AD$1006:$AU$1006,0)), HYPERLINK("#",""), HYPERLINK(CONCATENATE("#metadata!", ADDRESS(INDEX($Y$2:$Y$1001,MATCH(ROWS($W$2:W600),$W$2:$W$1001,0),0), INDEX($AD$1004:$AU$1004,1,MATCH(COLUMNS($AD$1006:AR1006),$AD$1006:$AU$1006,0)))),"Fix")))</f>
        <v xml:space="preserve"> </v>
      </c>
      <c r="Q600" s="4" t="str">
        <f ca="1">IF(OR(INDEX($X$2:$X$1001,MATCH(ROWS($W$2:W600),$W$2:$W$1001,0),1)&gt;=100000,INDEX($AD$1005:$AU$1005,1,MATCH(COLUMNS($AD$1006:AS1006),$AD$1006:$AU$1006,0))&gt;=100000), " ",IF(INDEX($AD$2:$AU$1001,MATCH(ROWS($W$2:W600),$W$2:$W$1001,0),MATCH(COLUMNS($AD$1006:AS1006),$AD$1006:$AU$1006,0)), HYPERLINK("#",""), HYPERLINK(CONCATENATE("#metadata!", ADDRESS(INDEX($Y$2:$Y$1001,MATCH(ROWS($W$2:W600),$W$2:$W$1001,0),0), INDEX($AD$1004:$AU$1004,1,MATCH(COLUMNS($AD$1006:AS1006),$AD$1006:$AU$1006,0)))),"Fix")))</f>
        <v xml:space="preserve"> </v>
      </c>
      <c r="R600" s="4" t="str">
        <f ca="1">IF(OR(INDEX($X$2:$X$1001,MATCH(ROWS($W$2:W600),$W$2:$W$1001,0),1)&gt;=100000,INDEX($AD$1005:$AU$1005,1,MATCH(COLUMNS($AD$1006:AT1006),$AD$1006:$AU$1006,0))&gt;=100000), " ",IF(INDEX($AD$2:$AU$1001,MATCH(ROWS($W$2:W600),$W$2:$W$1001,0),MATCH(COLUMNS($AD$1006:AT1006),$AD$1006:$AU$1006,0)), HYPERLINK("#",""), HYPERLINK(CONCATENATE("#metadata!", ADDRESS(INDEX($Y$2:$Y$1001,MATCH(ROWS($W$2:W600),$W$2:$W$1001,0),0), INDEX($AD$1004:$AU$1004,1,MATCH(COLUMNS($AD$1006:AT1006),$AD$1006:$AU$1006,0)))),"Fix")))</f>
        <v xml:space="preserve"> </v>
      </c>
      <c r="S600" s="4" t="str">
        <f ca="1">IF(OR(INDEX($X$2:$X$1001,MATCH(ROWS($W$2:W600),$W$2:$W$1001,0),1)&gt;=100000,INDEX($AD$1005:$AU$1005,1,MATCH(COLUMNS($AD$1006:AU1006),$AD$1006:$AU$1006,0))&gt;=100000), " ",IF(INDEX($AD$2:$AU$1001,MATCH(ROWS($W$2:W600),$W$2:$W$1001,0),MATCH(COLUMNS($AD$1006:AU1006),$AD$1006:$AU$1006,0)), HYPERLINK("#",""), HYPERLINK(CONCATENATE("#metadata!", ADDRESS(INDEX($Y$2:$Y$1001,MATCH(ROWS($W$2:W600),$W$2:$W$1001,0),0), INDEX($AD$1004:$AU$1004,1,MATCH(COLUMNS($AD$1006:AU1006),$AD$1006:$AU$1006,0)))),"Fix")))</f>
        <v xml:space="preserve"> </v>
      </c>
      <c r="W600">
        <v>599</v>
      </c>
      <c r="X600">
        <v>100600</v>
      </c>
      <c r="Y600">
        <v>600</v>
      </c>
      <c r="Z600" t="b">
        <f t="shared" si="9"/>
        <v>1</v>
      </c>
      <c r="AA600" t="b">
        <f>COUNTBLANK(metadata!B600:S600)=COLUMNS(metadata!B600:S600)</f>
        <v>1</v>
      </c>
      <c r="AB600" t="str">
        <v/>
      </c>
      <c r="AD600" t="b">
        <f ca="1">AND(IF(metadata!B600="",FALSE,TRUE),COUNTIF(metadata!B:B, metadata!B600) = 1,NOT(ISERROR(SUMPRODUCT(SEARCH(MID(metadata!B600,ROW(INDIRECT("1:"&amp;LEN(metadata!B600))), 1),"0123456789abcdefghijklmnopqrstuvwxyzABCDEFGHIJKLMNOPQRSTUVWXYZ.")))))</f>
        <v>0</v>
      </c>
      <c r="AE600" t="b">
        <f>OR(AND(IF(metadata!C600="",FALSE,TRUE),OR(EXACT(metadata!C600,"not applicable"),EXACT(metadata!C600,"missing: not collected"),EXACT(metadata!C600,"missing: not provided"),EXACT(metadata!C600,"missing: restricted access"))),AND(IF(metadata!C600="",FALSE,ISNUMBER(VALUE(metadata!C600))),metadata!C600&gt;0))</f>
        <v>0</v>
      </c>
      <c r="AF600" t="b">
        <f>AND(IF(metadata!D600="",FALSE,TRUE),EXACT(metadata!D600,"missing: not provided"))</f>
        <v>0</v>
      </c>
      <c r="AG600" t="b">
        <f>AND(IF(metadata!E600="",FALSE,TRUE),EXACT(metadata!E600,"Host-associated"))</f>
        <v>0</v>
      </c>
      <c r="AH600" t="b">
        <f>AND(IF(metadata!F600="",FALSE,TRUE),OR(EXACT(metadata!F600,"Animal"),EXACT(metadata!F600,"Fungus"),EXACT(metadata!F600,"Plant")))</f>
        <v>0</v>
      </c>
      <c r="AI600" t="b">
        <f>AND(IF(metadata!G600="",FALSE,TRUE),OR(EXACT(metadata!G600,"Plant secretion"),EXACT(metadata!G600,"Plant rhizosphere"),EXACT(metadata!G600,"Plant surface"),EXACT(metadata!G600,"Plant corpus"),EXACT(metadata!G600,"Fungus surface"),EXACT(metadata!G600,"Fungus corpus"),EXACT(metadata!G600,"Animal surface"),EXACT(metadata!G600,"Animal proximal gut"),EXACT(metadata!G600,"Animal corpus"),EXACT(metadata!G600,"Animal distal gut"),EXACT(metadata!G600,"Animal secretion")))</f>
        <v>0</v>
      </c>
      <c r="AJ600" t="b">
        <f>OR(AND(IF(metadata!H600="",FALSE,TRUE),OR(EXACT(metadata!H600,"missing: not collected"),EXACT(metadata!H600,"missing: not provided"),EXACT(metadata!H600,"missing: restricted access"))),AND(IF(metadata!H600="",FALSE,TRUE),OR(EXACT(metadata!H600,"organism-associated habitat"),EXACT(metadata!H600,"plant-associated habitat"),EXACT(metadata!H600,"animal-associated habitat"),EXACT(metadata!H600,"insecta-associated habitat"),EXACT(metadata!H600,"mammalia-associated habitat"),EXACT(metadata!H600,"human-associated habitat"),EXACT(metadata!H600,"livestock-associated habitat"))))</f>
        <v>0</v>
      </c>
      <c r="AK600" t="b">
        <f>AND(IF(metadata!I600="",FALSE,TRUE),EXACT(metadata!I600,"host-associated"))</f>
        <v>0</v>
      </c>
      <c r="AL600" t="b">
        <f>OR(AND(IF(metadata!J600="",FALSE,TRUE),OR(EXACT(metadata!J600,"not applicable"),EXACT(metadata!J600,"missing: not collected"),EXACT(metadata!J600,"missing: not provided"),EXACT(metadata!J600,"missing: restricted access"))),AND(IF(metadata!J600="",FALSE,ISNUMBER(VALUE(metadata!J600))),metadata!J600&gt;0))</f>
        <v>0</v>
      </c>
      <c r="AM600" t="b">
        <f>AND(IF(metadata!K600="",FALSE,TRUE),EXACT(metadata!K600,"missing: not provided"))</f>
        <v>0</v>
      </c>
      <c r="AN600" t="b">
        <f>IF(metadata!L600="",FALSE,TRUE)</f>
        <v>0</v>
      </c>
      <c r="AO600" t="b">
        <f>IF(metadata!M600="",FALSE,TRUE)</f>
        <v>0</v>
      </c>
      <c r="AP600" t="b">
        <f>OR(AND(IF(metadata!N600="",FALSE,TRUE),OR(EXACT(metadata!N600,"not applicable"),EXACT(metadata!N600,"missing: not collected"),EXACT(metadata!N600,"missing: not provided"))),AND(IF(metadata!N600="",FALSE,IF(ISERROR(INT(metadata!N600)),FALSE,INT(metadata!N600)=metadata!N600)),metadata!N600&gt;0))</f>
        <v>0</v>
      </c>
      <c r="AQ600" t="b">
        <f>AND(IF(metadata!O600="",FALSE,TRUE),EXACT(metadata!O600,"Not applicable"))</f>
        <v>0</v>
      </c>
      <c r="AR600" t="b">
        <f>OR(AND(IF(metadata!P600="",FALSE,TRUE),OR(EXACT(metadata!P600,"not applicable"),EXACT(metadata!P600,"missing: not collected"),EXACT(metadata!P600,"missing: not provided"),EXACT(metadata!P600,"missing: restricted access"))),IF(metadata!P600="",FALSE,IF(ISERROR(INT(metadata!P600)),FALSE,INT(metadata!P600)=metadata!P600)))</f>
        <v>0</v>
      </c>
      <c r="AS600" t="b">
        <f>AND(IF(metadata!Q600="",FALSE,TRUE),EXACT(metadata!Q600,"Not applicable"))</f>
        <v>0</v>
      </c>
      <c r="AT600" t="b">
        <f>OR(AND(IF(metadata!R600="",FALSE,TRUE),OR(EXACT(metadata!R600,"not applicable"),EXACT(metadata!R600,"missing: not collected"),EXACT(metadata!R600,"missing: not provided"),EXACT(metadata!R600,"missing: restricted access"))),AND(IF(metadata!R600="",FALSE,ISNUMBER(VALUE(metadata!R600))),metadata!R600&gt;0))</f>
        <v>0</v>
      </c>
      <c r="AU600" t="b">
        <f>AND(IF(metadata!S600="",FALSE,TRUE),EXACT(metadata!S600,"missing: not provided"))</f>
        <v>0</v>
      </c>
    </row>
    <row r="601" spans="1:47" x14ac:dyDescent="0.2">
      <c r="A601" s="5" t="str">
        <f ca="1">IF(B601=" "," ",HYPERLINK(CONCATENATE("#metadata!",ADDRESS(INDEX($Y$2:$Y$1001,MATCH(ROWS($W$2:W601),$W$2:$W$1001,0),0),1)),INDEX($AB$2:$AB$1001,MATCH(ROWS($W$2:W601),$W$2:$W$1001,0),0)))</f>
        <v xml:space="preserve"> </v>
      </c>
      <c r="B601" s="4" t="str">
        <f ca="1">IF(OR(INDEX($X$2:$X$1001,MATCH(ROWS($W$2:W601),$W$2:$W$1001,0),1)&gt;=100000,INDEX($AD$1005:$AU$1005,1,MATCH(COLUMNS($AD$1006:AD1006),$AD$1006:$AU$1006,0))&gt;=100000), " ",IF(INDEX($AD$2:$AU$1001,MATCH(ROWS($W$2:W601),$W$2:$W$1001,0),MATCH(COLUMNS($AD$1006:AD1006),$AD$1006:$AU$1006,0)), HYPERLINK("#",""), HYPERLINK(CONCATENATE("#metadata!", ADDRESS(INDEX($Y$2:$Y$1001,MATCH(ROWS($W$2:W601),$W$2:$W$1001,0),0), INDEX($AD$1004:$AU$1004,1,MATCH(COLUMNS($AD$1006:AD1006),$AD$1006:$AU$1006,0)))),"Fix")))</f>
        <v xml:space="preserve"> </v>
      </c>
      <c r="C601" s="4" t="str">
        <f ca="1">IF(OR(INDEX($X$2:$X$1001,MATCH(ROWS($W$2:W601),$W$2:$W$1001,0),1)&gt;=100000,INDEX($AD$1005:$AU$1005,1,MATCH(COLUMNS($AD$1006:AE1006),$AD$1006:$AU$1006,0))&gt;=100000), " ",IF(INDEX($AD$2:$AU$1001,MATCH(ROWS($W$2:W601),$W$2:$W$1001,0),MATCH(COLUMNS($AD$1006:AE1006),$AD$1006:$AU$1006,0)), HYPERLINK("#",""), HYPERLINK(CONCATENATE("#metadata!", ADDRESS(INDEX($Y$2:$Y$1001,MATCH(ROWS($W$2:W601),$W$2:$W$1001,0),0), INDEX($AD$1004:$AU$1004,1,MATCH(COLUMNS($AD$1006:AE1006),$AD$1006:$AU$1006,0)))),"Fix")))</f>
        <v xml:space="preserve"> </v>
      </c>
      <c r="D601" s="4" t="str">
        <f ca="1">IF(OR(INDEX($X$2:$X$1001,MATCH(ROWS($W$2:W601),$W$2:$W$1001,0),1)&gt;=100000,INDEX($AD$1005:$AU$1005,1,MATCH(COLUMNS($AD$1006:AF1006),$AD$1006:$AU$1006,0))&gt;=100000), " ",IF(INDEX($AD$2:$AU$1001,MATCH(ROWS($W$2:W601),$W$2:$W$1001,0),MATCH(COLUMNS($AD$1006:AF1006),$AD$1006:$AU$1006,0)), HYPERLINK("#",""), HYPERLINK(CONCATENATE("#metadata!", ADDRESS(INDEX($Y$2:$Y$1001,MATCH(ROWS($W$2:W601),$W$2:$W$1001,0),0), INDEX($AD$1004:$AU$1004,1,MATCH(COLUMNS($AD$1006:AF1006),$AD$1006:$AU$1006,0)))),"Fix")))</f>
        <v xml:space="preserve"> </v>
      </c>
      <c r="E601" s="4" t="str">
        <f ca="1">IF(OR(INDEX($X$2:$X$1001,MATCH(ROWS($W$2:W601),$W$2:$W$1001,0),1)&gt;=100000,INDEX($AD$1005:$AU$1005,1,MATCH(COLUMNS($AD$1006:AG1006),$AD$1006:$AU$1006,0))&gt;=100000), " ",IF(INDEX($AD$2:$AU$1001,MATCH(ROWS($W$2:W601),$W$2:$W$1001,0),MATCH(COLUMNS($AD$1006:AG1006),$AD$1006:$AU$1006,0)), HYPERLINK("#",""), HYPERLINK(CONCATENATE("#metadata!", ADDRESS(INDEX($Y$2:$Y$1001,MATCH(ROWS($W$2:W601),$W$2:$W$1001,0),0), INDEX($AD$1004:$AU$1004,1,MATCH(COLUMNS($AD$1006:AG1006),$AD$1006:$AU$1006,0)))),"Fix")))</f>
        <v xml:space="preserve"> </v>
      </c>
      <c r="F601" s="4" t="str">
        <f ca="1">IF(OR(INDEX($X$2:$X$1001,MATCH(ROWS($W$2:W601),$W$2:$W$1001,0),1)&gt;=100000,INDEX($AD$1005:$AU$1005,1,MATCH(COLUMNS($AD$1006:AH1006),$AD$1006:$AU$1006,0))&gt;=100000), " ",IF(INDEX($AD$2:$AU$1001,MATCH(ROWS($W$2:W601),$W$2:$W$1001,0),MATCH(COLUMNS($AD$1006:AH1006),$AD$1006:$AU$1006,0)), HYPERLINK("#",""), HYPERLINK(CONCATENATE("#metadata!", ADDRESS(INDEX($Y$2:$Y$1001,MATCH(ROWS($W$2:W601),$W$2:$W$1001,0),0), INDEX($AD$1004:$AU$1004,1,MATCH(COLUMNS($AD$1006:AH1006),$AD$1006:$AU$1006,0)))),"Fix")))</f>
        <v xml:space="preserve"> </v>
      </c>
      <c r="G601" s="4" t="str">
        <f ca="1">IF(OR(INDEX($X$2:$X$1001,MATCH(ROWS($W$2:W601),$W$2:$W$1001,0),1)&gt;=100000,INDEX($AD$1005:$AU$1005,1,MATCH(COLUMNS($AD$1006:AI1006),$AD$1006:$AU$1006,0))&gt;=100000), " ",IF(INDEX($AD$2:$AU$1001,MATCH(ROWS($W$2:W601),$W$2:$W$1001,0),MATCH(COLUMNS($AD$1006:AI1006),$AD$1006:$AU$1006,0)), HYPERLINK("#",""), HYPERLINK(CONCATENATE("#metadata!", ADDRESS(INDEX($Y$2:$Y$1001,MATCH(ROWS($W$2:W601),$W$2:$W$1001,0),0), INDEX($AD$1004:$AU$1004,1,MATCH(COLUMNS($AD$1006:AI1006),$AD$1006:$AU$1006,0)))),"Fix")))</f>
        <v xml:space="preserve"> </v>
      </c>
      <c r="H601" s="4" t="str">
        <f ca="1">IF(OR(INDEX($X$2:$X$1001,MATCH(ROWS($W$2:W601),$W$2:$W$1001,0),1)&gt;=100000,INDEX($AD$1005:$AU$1005,1,MATCH(COLUMNS($AD$1006:AJ1006),$AD$1006:$AU$1006,0))&gt;=100000), " ",IF(INDEX($AD$2:$AU$1001,MATCH(ROWS($W$2:W601),$W$2:$W$1001,0),MATCH(COLUMNS($AD$1006:AJ1006),$AD$1006:$AU$1006,0)), HYPERLINK("#",""), HYPERLINK(CONCATENATE("#metadata!", ADDRESS(INDEX($Y$2:$Y$1001,MATCH(ROWS($W$2:W601),$W$2:$W$1001,0),0), INDEX($AD$1004:$AU$1004,1,MATCH(COLUMNS($AD$1006:AJ1006),$AD$1006:$AU$1006,0)))),"Fix")))</f>
        <v xml:space="preserve"> </v>
      </c>
      <c r="I601" s="4" t="str">
        <f ca="1">IF(OR(INDEX($X$2:$X$1001,MATCH(ROWS($W$2:W601),$W$2:$W$1001,0),1)&gt;=100000,INDEX($AD$1005:$AU$1005,1,MATCH(COLUMNS($AD$1006:AK1006),$AD$1006:$AU$1006,0))&gt;=100000), " ",IF(INDEX($AD$2:$AU$1001,MATCH(ROWS($W$2:W601),$W$2:$W$1001,0),MATCH(COLUMNS($AD$1006:AK1006),$AD$1006:$AU$1006,0)), HYPERLINK("#",""), HYPERLINK(CONCATENATE("#metadata!", ADDRESS(INDEX($Y$2:$Y$1001,MATCH(ROWS($W$2:W601),$W$2:$W$1001,0),0), INDEX($AD$1004:$AU$1004,1,MATCH(COLUMNS($AD$1006:AK1006),$AD$1006:$AU$1006,0)))),"Fix")))</f>
        <v xml:space="preserve"> </v>
      </c>
      <c r="J601" s="4" t="str">
        <f ca="1">IF(OR(INDEX($X$2:$X$1001,MATCH(ROWS($W$2:W601),$W$2:$W$1001,0),1)&gt;=100000,INDEX($AD$1005:$AU$1005,1,MATCH(COLUMNS($AD$1006:AL1006),$AD$1006:$AU$1006,0))&gt;=100000), " ",IF(INDEX($AD$2:$AU$1001,MATCH(ROWS($W$2:W601),$W$2:$W$1001,0),MATCH(COLUMNS($AD$1006:AL1006),$AD$1006:$AU$1006,0)), HYPERLINK("#",""), HYPERLINK(CONCATENATE("#metadata!", ADDRESS(INDEX($Y$2:$Y$1001,MATCH(ROWS($W$2:W601),$W$2:$W$1001,0),0), INDEX($AD$1004:$AU$1004,1,MATCH(COLUMNS($AD$1006:AL1006),$AD$1006:$AU$1006,0)))),"Fix")))</f>
        <v xml:space="preserve"> </v>
      </c>
      <c r="K601" s="4" t="str">
        <f ca="1">IF(OR(INDEX($X$2:$X$1001,MATCH(ROWS($W$2:W601),$W$2:$W$1001,0),1)&gt;=100000,INDEX($AD$1005:$AU$1005,1,MATCH(COLUMNS($AD$1006:AM1006),$AD$1006:$AU$1006,0))&gt;=100000), " ",IF(INDEX($AD$2:$AU$1001,MATCH(ROWS($W$2:W601),$W$2:$W$1001,0),MATCH(COLUMNS($AD$1006:AM1006),$AD$1006:$AU$1006,0)), HYPERLINK("#",""), HYPERLINK(CONCATENATE("#metadata!", ADDRESS(INDEX($Y$2:$Y$1001,MATCH(ROWS($W$2:W601),$W$2:$W$1001,0),0), INDEX($AD$1004:$AU$1004,1,MATCH(COLUMNS($AD$1006:AM1006),$AD$1006:$AU$1006,0)))),"Fix")))</f>
        <v xml:space="preserve"> </v>
      </c>
      <c r="L601" s="4" t="str">
        <f ca="1">IF(OR(INDEX($X$2:$X$1001,MATCH(ROWS($W$2:W601),$W$2:$W$1001,0),1)&gt;=100000,INDEX($AD$1005:$AU$1005,1,MATCH(COLUMNS($AD$1006:AN1006),$AD$1006:$AU$1006,0))&gt;=100000), " ",IF(INDEX($AD$2:$AU$1001,MATCH(ROWS($W$2:W601),$W$2:$W$1001,0),MATCH(COLUMNS($AD$1006:AN1006),$AD$1006:$AU$1006,0)), HYPERLINK("#",""), HYPERLINK(CONCATENATE("#metadata!", ADDRESS(INDEX($Y$2:$Y$1001,MATCH(ROWS($W$2:W601),$W$2:$W$1001,0),0), INDEX($AD$1004:$AU$1004,1,MATCH(COLUMNS($AD$1006:AN1006),$AD$1006:$AU$1006,0)))),"Fix")))</f>
        <v xml:space="preserve"> </v>
      </c>
      <c r="M601" s="4" t="str">
        <f ca="1">IF(OR(INDEX($X$2:$X$1001,MATCH(ROWS($W$2:W601),$W$2:$W$1001,0),1)&gt;=100000,INDEX($AD$1005:$AU$1005,1,MATCH(COLUMNS($AD$1006:AO1006),$AD$1006:$AU$1006,0))&gt;=100000), " ",IF(INDEX($AD$2:$AU$1001,MATCH(ROWS($W$2:W601),$W$2:$W$1001,0),MATCH(COLUMNS($AD$1006:AO1006),$AD$1006:$AU$1006,0)), HYPERLINK("#",""), HYPERLINK(CONCATENATE("#metadata!", ADDRESS(INDEX($Y$2:$Y$1001,MATCH(ROWS($W$2:W601),$W$2:$W$1001,0),0), INDEX($AD$1004:$AU$1004,1,MATCH(COLUMNS($AD$1006:AO1006),$AD$1006:$AU$1006,0)))),"Fix")))</f>
        <v xml:space="preserve"> </v>
      </c>
      <c r="N601" s="4" t="str">
        <f ca="1">IF(OR(INDEX($X$2:$X$1001,MATCH(ROWS($W$2:W601),$W$2:$W$1001,0),1)&gt;=100000,INDEX($AD$1005:$AU$1005,1,MATCH(COLUMNS($AD$1006:AP1006),$AD$1006:$AU$1006,0))&gt;=100000), " ",IF(INDEX($AD$2:$AU$1001,MATCH(ROWS($W$2:W601),$W$2:$W$1001,0),MATCH(COLUMNS($AD$1006:AP1006),$AD$1006:$AU$1006,0)), HYPERLINK("#",""), HYPERLINK(CONCATENATE("#metadata!", ADDRESS(INDEX($Y$2:$Y$1001,MATCH(ROWS($W$2:W601),$W$2:$W$1001,0),0), INDEX($AD$1004:$AU$1004,1,MATCH(COLUMNS($AD$1006:AP1006),$AD$1006:$AU$1006,0)))),"Fix")))</f>
        <v xml:space="preserve"> </v>
      </c>
      <c r="O601" s="4" t="str">
        <f ca="1">IF(OR(INDEX($X$2:$X$1001,MATCH(ROWS($W$2:W601),$W$2:$W$1001,0),1)&gt;=100000,INDEX($AD$1005:$AU$1005,1,MATCH(COLUMNS($AD$1006:AQ1006),$AD$1006:$AU$1006,0))&gt;=100000), " ",IF(INDEX($AD$2:$AU$1001,MATCH(ROWS($W$2:W601),$W$2:$W$1001,0),MATCH(COLUMNS($AD$1006:AQ1006),$AD$1006:$AU$1006,0)), HYPERLINK("#",""), HYPERLINK(CONCATENATE("#metadata!", ADDRESS(INDEX($Y$2:$Y$1001,MATCH(ROWS($W$2:W601),$W$2:$W$1001,0),0), INDEX($AD$1004:$AU$1004,1,MATCH(COLUMNS($AD$1006:AQ1006),$AD$1006:$AU$1006,0)))),"Fix")))</f>
        <v xml:space="preserve"> </v>
      </c>
      <c r="P601" s="4" t="str">
        <f ca="1">IF(OR(INDEX($X$2:$X$1001,MATCH(ROWS($W$2:W601),$W$2:$W$1001,0),1)&gt;=100000,INDEX($AD$1005:$AU$1005,1,MATCH(COLUMNS($AD$1006:AR1006),$AD$1006:$AU$1006,0))&gt;=100000), " ",IF(INDEX($AD$2:$AU$1001,MATCH(ROWS($W$2:W601),$W$2:$W$1001,0),MATCH(COLUMNS($AD$1006:AR1006),$AD$1006:$AU$1006,0)), HYPERLINK("#",""), HYPERLINK(CONCATENATE("#metadata!", ADDRESS(INDEX($Y$2:$Y$1001,MATCH(ROWS($W$2:W601),$W$2:$W$1001,0),0), INDEX($AD$1004:$AU$1004,1,MATCH(COLUMNS($AD$1006:AR1006),$AD$1006:$AU$1006,0)))),"Fix")))</f>
        <v xml:space="preserve"> </v>
      </c>
      <c r="Q601" s="4" t="str">
        <f ca="1">IF(OR(INDEX($X$2:$X$1001,MATCH(ROWS($W$2:W601),$W$2:$W$1001,0),1)&gt;=100000,INDEX($AD$1005:$AU$1005,1,MATCH(COLUMNS($AD$1006:AS1006),$AD$1006:$AU$1006,0))&gt;=100000), " ",IF(INDEX($AD$2:$AU$1001,MATCH(ROWS($W$2:W601),$W$2:$W$1001,0),MATCH(COLUMNS($AD$1006:AS1006),$AD$1006:$AU$1006,0)), HYPERLINK("#",""), HYPERLINK(CONCATENATE("#metadata!", ADDRESS(INDEX($Y$2:$Y$1001,MATCH(ROWS($W$2:W601),$W$2:$W$1001,0),0), INDEX($AD$1004:$AU$1004,1,MATCH(COLUMNS($AD$1006:AS1006),$AD$1006:$AU$1006,0)))),"Fix")))</f>
        <v xml:space="preserve"> </v>
      </c>
      <c r="R601" s="4" t="str">
        <f ca="1">IF(OR(INDEX($X$2:$X$1001,MATCH(ROWS($W$2:W601),$W$2:$W$1001,0),1)&gt;=100000,INDEX($AD$1005:$AU$1005,1,MATCH(COLUMNS($AD$1006:AT1006),$AD$1006:$AU$1006,0))&gt;=100000), " ",IF(INDEX($AD$2:$AU$1001,MATCH(ROWS($W$2:W601),$W$2:$W$1001,0),MATCH(COLUMNS($AD$1006:AT1006),$AD$1006:$AU$1006,0)), HYPERLINK("#",""), HYPERLINK(CONCATENATE("#metadata!", ADDRESS(INDEX($Y$2:$Y$1001,MATCH(ROWS($W$2:W601),$W$2:$W$1001,0),0), INDEX($AD$1004:$AU$1004,1,MATCH(COLUMNS($AD$1006:AT1006),$AD$1006:$AU$1006,0)))),"Fix")))</f>
        <v xml:space="preserve"> </v>
      </c>
      <c r="S601" s="4" t="str">
        <f ca="1">IF(OR(INDEX($X$2:$X$1001,MATCH(ROWS($W$2:W601),$W$2:$W$1001,0),1)&gt;=100000,INDEX($AD$1005:$AU$1005,1,MATCH(COLUMNS($AD$1006:AU1006),$AD$1006:$AU$1006,0))&gt;=100000), " ",IF(INDEX($AD$2:$AU$1001,MATCH(ROWS($W$2:W601),$W$2:$W$1001,0),MATCH(COLUMNS($AD$1006:AU1006),$AD$1006:$AU$1006,0)), HYPERLINK("#",""), HYPERLINK(CONCATENATE("#metadata!", ADDRESS(INDEX($Y$2:$Y$1001,MATCH(ROWS($W$2:W601),$W$2:$W$1001,0),0), INDEX($AD$1004:$AU$1004,1,MATCH(COLUMNS($AD$1006:AU1006),$AD$1006:$AU$1006,0)))),"Fix")))</f>
        <v xml:space="preserve"> </v>
      </c>
      <c r="W601">
        <v>600</v>
      </c>
      <c r="X601">
        <v>100601</v>
      </c>
      <c r="Y601">
        <v>601</v>
      </c>
      <c r="Z601" t="b">
        <f t="shared" si="9"/>
        <v>1</v>
      </c>
      <c r="AA601" t="b">
        <f>COUNTBLANK(metadata!B601:S601)=COLUMNS(metadata!B601:S601)</f>
        <v>1</v>
      </c>
      <c r="AB601" t="str">
        <v/>
      </c>
      <c r="AD601" t="b">
        <f ca="1">AND(IF(metadata!B601="",FALSE,TRUE),COUNTIF(metadata!B:B, metadata!B601) = 1,NOT(ISERROR(SUMPRODUCT(SEARCH(MID(metadata!B601,ROW(INDIRECT("1:"&amp;LEN(metadata!B601))), 1),"0123456789abcdefghijklmnopqrstuvwxyzABCDEFGHIJKLMNOPQRSTUVWXYZ.")))))</f>
        <v>0</v>
      </c>
      <c r="AE601" t="b">
        <f>OR(AND(IF(metadata!C601="",FALSE,TRUE),OR(EXACT(metadata!C601,"not applicable"),EXACT(metadata!C601,"missing: not collected"),EXACT(metadata!C601,"missing: not provided"),EXACT(metadata!C601,"missing: restricted access"))),AND(IF(metadata!C601="",FALSE,ISNUMBER(VALUE(metadata!C601))),metadata!C601&gt;0))</f>
        <v>0</v>
      </c>
      <c r="AF601" t="b">
        <f>AND(IF(metadata!D601="",FALSE,TRUE),EXACT(metadata!D601,"missing: not provided"))</f>
        <v>0</v>
      </c>
      <c r="AG601" t="b">
        <f>AND(IF(metadata!E601="",FALSE,TRUE),EXACT(metadata!E601,"Host-associated"))</f>
        <v>0</v>
      </c>
      <c r="AH601" t="b">
        <f>AND(IF(metadata!F601="",FALSE,TRUE),OR(EXACT(metadata!F601,"Animal"),EXACT(metadata!F601,"Fungus"),EXACT(metadata!F601,"Plant")))</f>
        <v>0</v>
      </c>
      <c r="AI601" t="b">
        <f>AND(IF(metadata!G601="",FALSE,TRUE),OR(EXACT(metadata!G601,"Plant secretion"),EXACT(metadata!G601,"Plant rhizosphere"),EXACT(metadata!G601,"Plant surface"),EXACT(metadata!G601,"Plant corpus"),EXACT(metadata!G601,"Fungus surface"),EXACT(metadata!G601,"Fungus corpus"),EXACT(metadata!G601,"Animal surface"),EXACT(metadata!G601,"Animal proximal gut"),EXACT(metadata!G601,"Animal corpus"),EXACT(metadata!G601,"Animal distal gut"),EXACT(metadata!G601,"Animal secretion")))</f>
        <v>0</v>
      </c>
      <c r="AJ601" t="b">
        <f>OR(AND(IF(metadata!H601="",FALSE,TRUE),OR(EXACT(metadata!H601,"missing: not collected"),EXACT(metadata!H601,"missing: not provided"),EXACT(metadata!H601,"missing: restricted access"))),AND(IF(metadata!H601="",FALSE,TRUE),OR(EXACT(metadata!H601,"organism-associated habitat"),EXACT(metadata!H601,"plant-associated habitat"),EXACT(metadata!H601,"animal-associated habitat"),EXACT(metadata!H601,"insecta-associated habitat"),EXACT(metadata!H601,"mammalia-associated habitat"),EXACT(metadata!H601,"human-associated habitat"),EXACT(metadata!H601,"livestock-associated habitat"))))</f>
        <v>0</v>
      </c>
      <c r="AK601" t="b">
        <f>AND(IF(metadata!I601="",FALSE,TRUE),EXACT(metadata!I601,"host-associated"))</f>
        <v>0</v>
      </c>
      <c r="AL601" t="b">
        <f>OR(AND(IF(metadata!J601="",FALSE,TRUE),OR(EXACT(metadata!J601,"not applicable"),EXACT(metadata!J601,"missing: not collected"),EXACT(metadata!J601,"missing: not provided"),EXACT(metadata!J601,"missing: restricted access"))),AND(IF(metadata!J601="",FALSE,ISNUMBER(VALUE(metadata!J601))),metadata!J601&gt;0))</f>
        <v>0</v>
      </c>
      <c r="AM601" t="b">
        <f>AND(IF(metadata!K601="",FALSE,TRUE),EXACT(metadata!K601,"missing: not provided"))</f>
        <v>0</v>
      </c>
      <c r="AN601" t="b">
        <f>IF(metadata!L601="",FALSE,TRUE)</f>
        <v>0</v>
      </c>
      <c r="AO601" t="b">
        <f>IF(metadata!M601="",FALSE,TRUE)</f>
        <v>0</v>
      </c>
      <c r="AP601" t="b">
        <f>OR(AND(IF(metadata!N601="",FALSE,TRUE),OR(EXACT(metadata!N601,"not applicable"),EXACT(metadata!N601,"missing: not collected"),EXACT(metadata!N601,"missing: not provided"))),AND(IF(metadata!N601="",FALSE,IF(ISERROR(INT(metadata!N601)),FALSE,INT(metadata!N601)=metadata!N601)),metadata!N601&gt;0))</f>
        <v>0</v>
      </c>
      <c r="AQ601" t="b">
        <f>AND(IF(metadata!O601="",FALSE,TRUE),EXACT(metadata!O601,"Not applicable"))</f>
        <v>0</v>
      </c>
      <c r="AR601" t="b">
        <f>OR(AND(IF(metadata!P601="",FALSE,TRUE),OR(EXACT(metadata!P601,"not applicable"),EXACT(metadata!P601,"missing: not collected"),EXACT(metadata!P601,"missing: not provided"),EXACT(metadata!P601,"missing: restricted access"))),IF(metadata!P601="",FALSE,IF(ISERROR(INT(metadata!P601)),FALSE,INT(metadata!P601)=metadata!P601)))</f>
        <v>0</v>
      </c>
      <c r="AS601" t="b">
        <f>AND(IF(metadata!Q601="",FALSE,TRUE),EXACT(metadata!Q601,"Not applicable"))</f>
        <v>0</v>
      </c>
      <c r="AT601" t="b">
        <f>OR(AND(IF(metadata!R601="",FALSE,TRUE),OR(EXACT(metadata!R601,"not applicable"),EXACT(metadata!R601,"missing: not collected"),EXACT(metadata!R601,"missing: not provided"),EXACT(metadata!R601,"missing: restricted access"))),AND(IF(metadata!R601="",FALSE,ISNUMBER(VALUE(metadata!R601))),metadata!R601&gt;0))</f>
        <v>0</v>
      </c>
      <c r="AU601" t="b">
        <f>AND(IF(metadata!S601="",FALSE,TRUE),EXACT(metadata!S601,"missing: not provided"))</f>
        <v>0</v>
      </c>
    </row>
    <row r="602" spans="1:47" x14ac:dyDescent="0.2">
      <c r="A602" s="5" t="str">
        <f ca="1">IF(B602=" "," ",HYPERLINK(CONCATENATE("#metadata!",ADDRESS(INDEX($Y$2:$Y$1001,MATCH(ROWS($W$2:W602),$W$2:$W$1001,0),0),1)),INDEX($AB$2:$AB$1001,MATCH(ROWS($W$2:W602),$W$2:$W$1001,0),0)))</f>
        <v xml:space="preserve"> </v>
      </c>
      <c r="B602" s="4" t="str">
        <f ca="1">IF(OR(INDEX($X$2:$X$1001,MATCH(ROWS($W$2:W602),$W$2:$W$1001,0),1)&gt;=100000,INDEX($AD$1005:$AU$1005,1,MATCH(COLUMNS($AD$1006:AD1006),$AD$1006:$AU$1006,0))&gt;=100000), " ",IF(INDEX($AD$2:$AU$1001,MATCH(ROWS($W$2:W602),$W$2:$W$1001,0),MATCH(COLUMNS($AD$1006:AD1006),$AD$1006:$AU$1006,0)), HYPERLINK("#",""), HYPERLINK(CONCATENATE("#metadata!", ADDRESS(INDEX($Y$2:$Y$1001,MATCH(ROWS($W$2:W602),$W$2:$W$1001,0),0), INDEX($AD$1004:$AU$1004,1,MATCH(COLUMNS($AD$1006:AD1006),$AD$1006:$AU$1006,0)))),"Fix")))</f>
        <v xml:space="preserve"> </v>
      </c>
      <c r="C602" s="4" t="str">
        <f ca="1">IF(OR(INDEX($X$2:$X$1001,MATCH(ROWS($W$2:W602),$W$2:$W$1001,0),1)&gt;=100000,INDEX($AD$1005:$AU$1005,1,MATCH(COLUMNS($AD$1006:AE1006),$AD$1006:$AU$1006,0))&gt;=100000), " ",IF(INDEX($AD$2:$AU$1001,MATCH(ROWS($W$2:W602),$W$2:$W$1001,0),MATCH(COLUMNS($AD$1006:AE1006),$AD$1006:$AU$1006,0)), HYPERLINK("#",""), HYPERLINK(CONCATENATE("#metadata!", ADDRESS(INDEX($Y$2:$Y$1001,MATCH(ROWS($W$2:W602),$W$2:$W$1001,0),0), INDEX($AD$1004:$AU$1004,1,MATCH(COLUMNS($AD$1006:AE1006),$AD$1006:$AU$1006,0)))),"Fix")))</f>
        <v xml:space="preserve"> </v>
      </c>
      <c r="D602" s="4" t="str">
        <f ca="1">IF(OR(INDEX($X$2:$X$1001,MATCH(ROWS($W$2:W602),$W$2:$W$1001,0),1)&gt;=100000,INDEX($AD$1005:$AU$1005,1,MATCH(COLUMNS($AD$1006:AF1006),$AD$1006:$AU$1006,0))&gt;=100000), " ",IF(INDEX($AD$2:$AU$1001,MATCH(ROWS($W$2:W602),$W$2:$W$1001,0),MATCH(COLUMNS($AD$1006:AF1006),$AD$1006:$AU$1006,0)), HYPERLINK("#",""), HYPERLINK(CONCATENATE("#metadata!", ADDRESS(INDEX($Y$2:$Y$1001,MATCH(ROWS($W$2:W602),$W$2:$W$1001,0),0), INDEX($AD$1004:$AU$1004,1,MATCH(COLUMNS($AD$1006:AF1006),$AD$1006:$AU$1006,0)))),"Fix")))</f>
        <v xml:space="preserve"> </v>
      </c>
      <c r="E602" s="4" t="str">
        <f ca="1">IF(OR(INDEX($X$2:$X$1001,MATCH(ROWS($W$2:W602),$W$2:$W$1001,0),1)&gt;=100000,INDEX($AD$1005:$AU$1005,1,MATCH(COLUMNS($AD$1006:AG1006),$AD$1006:$AU$1006,0))&gt;=100000), " ",IF(INDEX($AD$2:$AU$1001,MATCH(ROWS($W$2:W602),$W$2:$W$1001,0),MATCH(COLUMNS($AD$1006:AG1006),$AD$1006:$AU$1006,0)), HYPERLINK("#",""), HYPERLINK(CONCATENATE("#metadata!", ADDRESS(INDEX($Y$2:$Y$1001,MATCH(ROWS($W$2:W602),$W$2:$W$1001,0),0), INDEX($AD$1004:$AU$1004,1,MATCH(COLUMNS($AD$1006:AG1006),$AD$1006:$AU$1006,0)))),"Fix")))</f>
        <v xml:space="preserve"> </v>
      </c>
      <c r="F602" s="4" t="str">
        <f ca="1">IF(OR(INDEX($X$2:$X$1001,MATCH(ROWS($W$2:W602),$W$2:$W$1001,0),1)&gt;=100000,INDEX($AD$1005:$AU$1005,1,MATCH(COLUMNS($AD$1006:AH1006),$AD$1006:$AU$1006,0))&gt;=100000), " ",IF(INDEX($AD$2:$AU$1001,MATCH(ROWS($W$2:W602),$W$2:$W$1001,0),MATCH(COLUMNS($AD$1006:AH1006),$AD$1006:$AU$1006,0)), HYPERLINK("#",""), HYPERLINK(CONCATENATE("#metadata!", ADDRESS(INDEX($Y$2:$Y$1001,MATCH(ROWS($W$2:W602),$W$2:$W$1001,0),0), INDEX($AD$1004:$AU$1004,1,MATCH(COLUMNS($AD$1006:AH1006),$AD$1006:$AU$1006,0)))),"Fix")))</f>
        <v xml:space="preserve"> </v>
      </c>
      <c r="G602" s="4" t="str">
        <f ca="1">IF(OR(INDEX($X$2:$X$1001,MATCH(ROWS($W$2:W602),$W$2:$W$1001,0),1)&gt;=100000,INDEX($AD$1005:$AU$1005,1,MATCH(COLUMNS($AD$1006:AI1006),$AD$1006:$AU$1006,0))&gt;=100000), " ",IF(INDEX($AD$2:$AU$1001,MATCH(ROWS($W$2:W602),$W$2:$W$1001,0),MATCH(COLUMNS($AD$1006:AI1006),$AD$1006:$AU$1006,0)), HYPERLINK("#",""), HYPERLINK(CONCATENATE("#metadata!", ADDRESS(INDEX($Y$2:$Y$1001,MATCH(ROWS($W$2:W602),$W$2:$W$1001,0),0), INDEX($AD$1004:$AU$1004,1,MATCH(COLUMNS($AD$1006:AI1006),$AD$1006:$AU$1006,0)))),"Fix")))</f>
        <v xml:space="preserve"> </v>
      </c>
      <c r="H602" s="4" t="str">
        <f ca="1">IF(OR(INDEX($X$2:$X$1001,MATCH(ROWS($W$2:W602),$W$2:$W$1001,0),1)&gt;=100000,INDEX($AD$1005:$AU$1005,1,MATCH(COLUMNS($AD$1006:AJ1006),$AD$1006:$AU$1006,0))&gt;=100000), " ",IF(INDEX($AD$2:$AU$1001,MATCH(ROWS($W$2:W602),$W$2:$W$1001,0),MATCH(COLUMNS($AD$1006:AJ1006),$AD$1006:$AU$1006,0)), HYPERLINK("#",""), HYPERLINK(CONCATENATE("#metadata!", ADDRESS(INDEX($Y$2:$Y$1001,MATCH(ROWS($W$2:W602),$W$2:$W$1001,0),0), INDEX($AD$1004:$AU$1004,1,MATCH(COLUMNS($AD$1006:AJ1006),$AD$1006:$AU$1006,0)))),"Fix")))</f>
        <v xml:space="preserve"> </v>
      </c>
      <c r="I602" s="4" t="str">
        <f ca="1">IF(OR(INDEX($X$2:$X$1001,MATCH(ROWS($W$2:W602),$W$2:$W$1001,0),1)&gt;=100000,INDEX($AD$1005:$AU$1005,1,MATCH(COLUMNS($AD$1006:AK1006),$AD$1006:$AU$1006,0))&gt;=100000), " ",IF(INDEX($AD$2:$AU$1001,MATCH(ROWS($W$2:W602),$W$2:$W$1001,0),MATCH(COLUMNS($AD$1006:AK1006),$AD$1006:$AU$1006,0)), HYPERLINK("#",""), HYPERLINK(CONCATENATE("#metadata!", ADDRESS(INDEX($Y$2:$Y$1001,MATCH(ROWS($W$2:W602),$W$2:$W$1001,0),0), INDEX($AD$1004:$AU$1004,1,MATCH(COLUMNS($AD$1006:AK1006),$AD$1006:$AU$1006,0)))),"Fix")))</f>
        <v xml:space="preserve"> </v>
      </c>
      <c r="J602" s="4" t="str">
        <f ca="1">IF(OR(INDEX($X$2:$X$1001,MATCH(ROWS($W$2:W602),$W$2:$W$1001,0),1)&gt;=100000,INDEX($AD$1005:$AU$1005,1,MATCH(COLUMNS($AD$1006:AL1006),$AD$1006:$AU$1006,0))&gt;=100000), " ",IF(INDEX($AD$2:$AU$1001,MATCH(ROWS($W$2:W602),$W$2:$W$1001,0),MATCH(COLUMNS($AD$1006:AL1006),$AD$1006:$AU$1006,0)), HYPERLINK("#",""), HYPERLINK(CONCATENATE("#metadata!", ADDRESS(INDEX($Y$2:$Y$1001,MATCH(ROWS($W$2:W602),$W$2:$W$1001,0),0), INDEX($AD$1004:$AU$1004,1,MATCH(COLUMNS($AD$1006:AL1006),$AD$1006:$AU$1006,0)))),"Fix")))</f>
        <v xml:space="preserve"> </v>
      </c>
      <c r="K602" s="4" t="str">
        <f ca="1">IF(OR(INDEX($X$2:$X$1001,MATCH(ROWS($W$2:W602),$W$2:$W$1001,0),1)&gt;=100000,INDEX($AD$1005:$AU$1005,1,MATCH(COLUMNS($AD$1006:AM1006),$AD$1006:$AU$1006,0))&gt;=100000), " ",IF(INDEX($AD$2:$AU$1001,MATCH(ROWS($W$2:W602),$W$2:$W$1001,0),MATCH(COLUMNS($AD$1006:AM1006),$AD$1006:$AU$1006,0)), HYPERLINK("#",""), HYPERLINK(CONCATENATE("#metadata!", ADDRESS(INDEX($Y$2:$Y$1001,MATCH(ROWS($W$2:W602),$W$2:$W$1001,0),0), INDEX($AD$1004:$AU$1004,1,MATCH(COLUMNS($AD$1006:AM1006),$AD$1006:$AU$1006,0)))),"Fix")))</f>
        <v xml:space="preserve"> </v>
      </c>
      <c r="L602" s="4" t="str">
        <f ca="1">IF(OR(INDEX($X$2:$X$1001,MATCH(ROWS($W$2:W602),$W$2:$W$1001,0),1)&gt;=100000,INDEX($AD$1005:$AU$1005,1,MATCH(COLUMNS($AD$1006:AN1006),$AD$1006:$AU$1006,0))&gt;=100000), " ",IF(INDEX($AD$2:$AU$1001,MATCH(ROWS($W$2:W602),$W$2:$W$1001,0),MATCH(COLUMNS($AD$1006:AN1006),$AD$1006:$AU$1006,0)), HYPERLINK("#",""), HYPERLINK(CONCATENATE("#metadata!", ADDRESS(INDEX($Y$2:$Y$1001,MATCH(ROWS($W$2:W602),$W$2:$W$1001,0),0), INDEX($AD$1004:$AU$1004,1,MATCH(COLUMNS($AD$1006:AN1006),$AD$1006:$AU$1006,0)))),"Fix")))</f>
        <v xml:space="preserve"> </v>
      </c>
      <c r="M602" s="4" t="str">
        <f ca="1">IF(OR(INDEX($X$2:$X$1001,MATCH(ROWS($W$2:W602),$W$2:$W$1001,0),1)&gt;=100000,INDEX($AD$1005:$AU$1005,1,MATCH(COLUMNS($AD$1006:AO1006),$AD$1006:$AU$1006,0))&gt;=100000), " ",IF(INDEX($AD$2:$AU$1001,MATCH(ROWS($W$2:W602),$W$2:$W$1001,0),MATCH(COLUMNS($AD$1006:AO1006),$AD$1006:$AU$1006,0)), HYPERLINK("#",""), HYPERLINK(CONCATENATE("#metadata!", ADDRESS(INDEX($Y$2:$Y$1001,MATCH(ROWS($W$2:W602),$W$2:$W$1001,0),0), INDEX($AD$1004:$AU$1004,1,MATCH(COLUMNS($AD$1006:AO1006),$AD$1006:$AU$1006,0)))),"Fix")))</f>
        <v xml:space="preserve"> </v>
      </c>
      <c r="N602" s="4" t="str">
        <f ca="1">IF(OR(INDEX($X$2:$X$1001,MATCH(ROWS($W$2:W602),$W$2:$W$1001,0),1)&gt;=100000,INDEX($AD$1005:$AU$1005,1,MATCH(COLUMNS($AD$1006:AP1006),$AD$1006:$AU$1006,0))&gt;=100000), " ",IF(INDEX($AD$2:$AU$1001,MATCH(ROWS($W$2:W602),$W$2:$W$1001,0),MATCH(COLUMNS($AD$1006:AP1006),$AD$1006:$AU$1006,0)), HYPERLINK("#",""), HYPERLINK(CONCATENATE("#metadata!", ADDRESS(INDEX($Y$2:$Y$1001,MATCH(ROWS($W$2:W602),$W$2:$W$1001,0),0), INDEX($AD$1004:$AU$1004,1,MATCH(COLUMNS($AD$1006:AP1006),$AD$1006:$AU$1006,0)))),"Fix")))</f>
        <v xml:space="preserve"> </v>
      </c>
      <c r="O602" s="4" t="str">
        <f ca="1">IF(OR(INDEX($X$2:$X$1001,MATCH(ROWS($W$2:W602),$W$2:$W$1001,0),1)&gt;=100000,INDEX($AD$1005:$AU$1005,1,MATCH(COLUMNS($AD$1006:AQ1006),$AD$1006:$AU$1006,0))&gt;=100000), " ",IF(INDEX($AD$2:$AU$1001,MATCH(ROWS($W$2:W602),$W$2:$W$1001,0),MATCH(COLUMNS($AD$1006:AQ1006),$AD$1006:$AU$1006,0)), HYPERLINK("#",""), HYPERLINK(CONCATENATE("#metadata!", ADDRESS(INDEX($Y$2:$Y$1001,MATCH(ROWS($W$2:W602),$W$2:$W$1001,0),0), INDEX($AD$1004:$AU$1004,1,MATCH(COLUMNS($AD$1006:AQ1006),$AD$1006:$AU$1006,0)))),"Fix")))</f>
        <v xml:space="preserve"> </v>
      </c>
      <c r="P602" s="4" t="str">
        <f ca="1">IF(OR(INDEX($X$2:$X$1001,MATCH(ROWS($W$2:W602),$W$2:$W$1001,0),1)&gt;=100000,INDEX($AD$1005:$AU$1005,1,MATCH(COLUMNS($AD$1006:AR1006),$AD$1006:$AU$1006,0))&gt;=100000), " ",IF(INDEX($AD$2:$AU$1001,MATCH(ROWS($W$2:W602),$W$2:$W$1001,0),MATCH(COLUMNS($AD$1006:AR1006),$AD$1006:$AU$1006,0)), HYPERLINK("#",""), HYPERLINK(CONCATENATE("#metadata!", ADDRESS(INDEX($Y$2:$Y$1001,MATCH(ROWS($W$2:W602),$W$2:$W$1001,0),0), INDEX($AD$1004:$AU$1004,1,MATCH(COLUMNS($AD$1006:AR1006),$AD$1006:$AU$1006,0)))),"Fix")))</f>
        <v xml:space="preserve"> </v>
      </c>
      <c r="Q602" s="4" t="str">
        <f ca="1">IF(OR(INDEX($X$2:$X$1001,MATCH(ROWS($W$2:W602),$W$2:$W$1001,0),1)&gt;=100000,INDEX($AD$1005:$AU$1005,1,MATCH(COLUMNS($AD$1006:AS1006),$AD$1006:$AU$1006,0))&gt;=100000), " ",IF(INDEX($AD$2:$AU$1001,MATCH(ROWS($W$2:W602),$W$2:$W$1001,0),MATCH(COLUMNS($AD$1006:AS1006),$AD$1006:$AU$1006,0)), HYPERLINK("#",""), HYPERLINK(CONCATENATE("#metadata!", ADDRESS(INDEX($Y$2:$Y$1001,MATCH(ROWS($W$2:W602),$W$2:$W$1001,0),0), INDEX($AD$1004:$AU$1004,1,MATCH(COLUMNS($AD$1006:AS1006),$AD$1006:$AU$1006,0)))),"Fix")))</f>
        <v xml:space="preserve"> </v>
      </c>
      <c r="R602" s="4" t="str">
        <f ca="1">IF(OR(INDEX($X$2:$X$1001,MATCH(ROWS($W$2:W602),$W$2:$W$1001,0),1)&gt;=100000,INDEX($AD$1005:$AU$1005,1,MATCH(COLUMNS($AD$1006:AT1006),$AD$1006:$AU$1006,0))&gt;=100000), " ",IF(INDEX($AD$2:$AU$1001,MATCH(ROWS($W$2:W602),$W$2:$W$1001,0),MATCH(COLUMNS($AD$1006:AT1006),$AD$1006:$AU$1006,0)), HYPERLINK("#",""), HYPERLINK(CONCATENATE("#metadata!", ADDRESS(INDEX($Y$2:$Y$1001,MATCH(ROWS($W$2:W602),$W$2:$W$1001,0),0), INDEX($AD$1004:$AU$1004,1,MATCH(COLUMNS($AD$1006:AT1006),$AD$1006:$AU$1006,0)))),"Fix")))</f>
        <v xml:space="preserve"> </v>
      </c>
      <c r="S602" s="4" t="str">
        <f ca="1">IF(OR(INDEX($X$2:$X$1001,MATCH(ROWS($W$2:W602),$W$2:$W$1001,0),1)&gt;=100000,INDEX($AD$1005:$AU$1005,1,MATCH(COLUMNS($AD$1006:AU1006),$AD$1006:$AU$1006,0))&gt;=100000), " ",IF(INDEX($AD$2:$AU$1001,MATCH(ROWS($W$2:W602),$W$2:$W$1001,0),MATCH(COLUMNS($AD$1006:AU1006),$AD$1006:$AU$1006,0)), HYPERLINK("#",""), HYPERLINK(CONCATENATE("#metadata!", ADDRESS(INDEX($Y$2:$Y$1001,MATCH(ROWS($W$2:W602),$W$2:$W$1001,0),0), INDEX($AD$1004:$AU$1004,1,MATCH(COLUMNS($AD$1006:AU1006),$AD$1006:$AU$1006,0)))),"Fix")))</f>
        <v xml:space="preserve"> </v>
      </c>
      <c r="W602">
        <v>601</v>
      </c>
      <c r="X602">
        <v>100602</v>
      </c>
      <c r="Y602">
        <v>602</v>
      </c>
      <c r="Z602" t="b">
        <f t="shared" si="9"/>
        <v>1</v>
      </c>
      <c r="AA602" t="b">
        <f>COUNTBLANK(metadata!B602:S602)=COLUMNS(metadata!B602:S602)</f>
        <v>1</v>
      </c>
      <c r="AB602" t="str">
        <v/>
      </c>
      <c r="AD602" t="b">
        <f ca="1">AND(IF(metadata!B602="",FALSE,TRUE),COUNTIF(metadata!B:B, metadata!B602) = 1,NOT(ISERROR(SUMPRODUCT(SEARCH(MID(metadata!B602,ROW(INDIRECT("1:"&amp;LEN(metadata!B602))), 1),"0123456789abcdefghijklmnopqrstuvwxyzABCDEFGHIJKLMNOPQRSTUVWXYZ.")))))</f>
        <v>0</v>
      </c>
      <c r="AE602" t="b">
        <f>OR(AND(IF(metadata!C602="",FALSE,TRUE),OR(EXACT(metadata!C602,"not applicable"),EXACT(metadata!C602,"missing: not collected"),EXACT(metadata!C602,"missing: not provided"),EXACT(metadata!C602,"missing: restricted access"))),AND(IF(metadata!C602="",FALSE,ISNUMBER(VALUE(metadata!C602))),metadata!C602&gt;0))</f>
        <v>0</v>
      </c>
      <c r="AF602" t="b">
        <f>AND(IF(metadata!D602="",FALSE,TRUE),EXACT(metadata!D602,"missing: not provided"))</f>
        <v>0</v>
      </c>
      <c r="AG602" t="b">
        <f>AND(IF(metadata!E602="",FALSE,TRUE),EXACT(metadata!E602,"Host-associated"))</f>
        <v>0</v>
      </c>
      <c r="AH602" t="b">
        <f>AND(IF(metadata!F602="",FALSE,TRUE),OR(EXACT(metadata!F602,"Animal"),EXACT(metadata!F602,"Fungus"),EXACT(metadata!F602,"Plant")))</f>
        <v>0</v>
      </c>
      <c r="AI602" t="b">
        <f>AND(IF(metadata!G602="",FALSE,TRUE),OR(EXACT(metadata!G602,"Plant secretion"),EXACT(metadata!G602,"Plant rhizosphere"),EXACT(metadata!G602,"Plant surface"),EXACT(metadata!G602,"Plant corpus"),EXACT(metadata!G602,"Fungus surface"),EXACT(metadata!G602,"Fungus corpus"),EXACT(metadata!G602,"Animal surface"),EXACT(metadata!G602,"Animal proximal gut"),EXACT(metadata!G602,"Animal corpus"),EXACT(metadata!G602,"Animal distal gut"),EXACT(metadata!G602,"Animal secretion")))</f>
        <v>0</v>
      </c>
      <c r="AJ602" t="b">
        <f>OR(AND(IF(metadata!H602="",FALSE,TRUE),OR(EXACT(metadata!H602,"missing: not collected"),EXACT(metadata!H602,"missing: not provided"),EXACT(metadata!H602,"missing: restricted access"))),AND(IF(metadata!H602="",FALSE,TRUE),OR(EXACT(metadata!H602,"organism-associated habitat"),EXACT(metadata!H602,"plant-associated habitat"),EXACT(metadata!H602,"animal-associated habitat"),EXACT(metadata!H602,"insecta-associated habitat"),EXACT(metadata!H602,"mammalia-associated habitat"),EXACT(metadata!H602,"human-associated habitat"),EXACT(metadata!H602,"livestock-associated habitat"))))</f>
        <v>0</v>
      </c>
      <c r="AK602" t="b">
        <f>AND(IF(metadata!I602="",FALSE,TRUE),EXACT(metadata!I602,"host-associated"))</f>
        <v>0</v>
      </c>
      <c r="AL602" t="b">
        <f>OR(AND(IF(metadata!J602="",FALSE,TRUE),OR(EXACT(metadata!J602,"not applicable"),EXACT(metadata!J602,"missing: not collected"),EXACT(metadata!J602,"missing: not provided"),EXACT(metadata!J602,"missing: restricted access"))),AND(IF(metadata!J602="",FALSE,ISNUMBER(VALUE(metadata!J602))),metadata!J602&gt;0))</f>
        <v>0</v>
      </c>
      <c r="AM602" t="b">
        <f>AND(IF(metadata!K602="",FALSE,TRUE),EXACT(metadata!K602,"missing: not provided"))</f>
        <v>0</v>
      </c>
      <c r="AN602" t="b">
        <f>IF(metadata!L602="",FALSE,TRUE)</f>
        <v>0</v>
      </c>
      <c r="AO602" t="b">
        <f>IF(metadata!M602="",FALSE,TRUE)</f>
        <v>0</v>
      </c>
      <c r="AP602" t="b">
        <f>OR(AND(IF(metadata!N602="",FALSE,TRUE),OR(EXACT(metadata!N602,"not applicable"),EXACT(metadata!N602,"missing: not collected"),EXACT(metadata!N602,"missing: not provided"))),AND(IF(metadata!N602="",FALSE,IF(ISERROR(INT(metadata!N602)),FALSE,INT(metadata!N602)=metadata!N602)),metadata!N602&gt;0))</f>
        <v>0</v>
      </c>
      <c r="AQ602" t="b">
        <f>AND(IF(metadata!O602="",FALSE,TRUE),EXACT(metadata!O602,"Not applicable"))</f>
        <v>0</v>
      </c>
      <c r="AR602" t="b">
        <f>OR(AND(IF(metadata!P602="",FALSE,TRUE),OR(EXACT(metadata!P602,"not applicable"),EXACT(metadata!P602,"missing: not collected"),EXACT(metadata!P602,"missing: not provided"),EXACT(metadata!P602,"missing: restricted access"))),IF(metadata!P602="",FALSE,IF(ISERROR(INT(metadata!P602)),FALSE,INT(metadata!P602)=metadata!P602)))</f>
        <v>0</v>
      </c>
      <c r="AS602" t="b">
        <f>AND(IF(metadata!Q602="",FALSE,TRUE),EXACT(metadata!Q602,"Not applicable"))</f>
        <v>0</v>
      </c>
      <c r="AT602" t="b">
        <f>OR(AND(IF(metadata!R602="",FALSE,TRUE),OR(EXACT(metadata!R602,"not applicable"),EXACT(metadata!R602,"missing: not collected"),EXACT(metadata!R602,"missing: not provided"),EXACT(metadata!R602,"missing: restricted access"))),AND(IF(metadata!R602="",FALSE,ISNUMBER(VALUE(metadata!R602))),metadata!R602&gt;0))</f>
        <v>0</v>
      </c>
      <c r="AU602" t="b">
        <f>AND(IF(metadata!S602="",FALSE,TRUE),EXACT(metadata!S602,"missing: not provided"))</f>
        <v>0</v>
      </c>
    </row>
    <row r="603" spans="1:47" x14ac:dyDescent="0.2">
      <c r="A603" s="5" t="str">
        <f ca="1">IF(B603=" "," ",HYPERLINK(CONCATENATE("#metadata!",ADDRESS(INDEX($Y$2:$Y$1001,MATCH(ROWS($W$2:W603),$W$2:$W$1001,0),0),1)),INDEX($AB$2:$AB$1001,MATCH(ROWS($W$2:W603),$W$2:$W$1001,0),0)))</f>
        <v xml:space="preserve"> </v>
      </c>
      <c r="B603" s="4" t="str">
        <f ca="1">IF(OR(INDEX($X$2:$X$1001,MATCH(ROWS($W$2:W603),$W$2:$W$1001,0),1)&gt;=100000,INDEX($AD$1005:$AU$1005,1,MATCH(COLUMNS($AD$1006:AD1006),$AD$1006:$AU$1006,0))&gt;=100000), " ",IF(INDEX($AD$2:$AU$1001,MATCH(ROWS($W$2:W603),$W$2:$W$1001,0),MATCH(COLUMNS($AD$1006:AD1006),$AD$1006:$AU$1006,0)), HYPERLINK("#",""), HYPERLINK(CONCATENATE("#metadata!", ADDRESS(INDEX($Y$2:$Y$1001,MATCH(ROWS($W$2:W603),$W$2:$W$1001,0),0), INDEX($AD$1004:$AU$1004,1,MATCH(COLUMNS($AD$1006:AD1006),$AD$1006:$AU$1006,0)))),"Fix")))</f>
        <v xml:space="preserve"> </v>
      </c>
      <c r="C603" s="4" t="str">
        <f ca="1">IF(OR(INDEX($X$2:$X$1001,MATCH(ROWS($W$2:W603),$W$2:$W$1001,0),1)&gt;=100000,INDEX($AD$1005:$AU$1005,1,MATCH(COLUMNS($AD$1006:AE1006),$AD$1006:$AU$1006,0))&gt;=100000), " ",IF(INDEX($AD$2:$AU$1001,MATCH(ROWS($W$2:W603),$W$2:$W$1001,0),MATCH(COLUMNS($AD$1006:AE1006),$AD$1006:$AU$1006,0)), HYPERLINK("#",""), HYPERLINK(CONCATENATE("#metadata!", ADDRESS(INDEX($Y$2:$Y$1001,MATCH(ROWS($W$2:W603),$W$2:$W$1001,0),0), INDEX($AD$1004:$AU$1004,1,MATCH(COLUMNS($AD$1006:AE1006),$AD$1006:$AU$1006,0)))),"Fix")))</f>
        <v xml:space="preserve"> </v>
      </c>
      <c r="D603" s="4" t="str">
        <f ca="1">IF(OR(INDEX($X$2:$X$1001,MATCH(ROWS($W$2:W603),$W$2:$W$1001,0),1)&gt;=100000,INDEX($AD$1005:$AU$1005,1,MATCH(COLUMNS($AD$1006:AF1006),$AD$1006:$AU$1006,0))&gt;=100000), " ",IF(INDEX($AD$2:$AU$1001,MATCH(ROWS($W$2:W603),$W$2:$W$1001,0),MATCH(COLUMNS($AD$1006:AF1006),$AD$1006:$AU$1006,0)), HYPERLINK("#",""), HYPERLINK(CONCATENATE("#metadata!", ADDRESS(INDEX($Y$2:$Y$1001,MATCH(ROWS($W$2:W603),$W$2:$W$1001,0),0), INDEX($AD$1004:$AU$1004,1,MATCH(COLUMNS($AD$1006:AF1006),$AD$1006:$AU$1006,0)))),"Fix")))</f>
        <v xml:space="preserve"> </v>
      </c>
      <c r="E603" s="4" t="str">
        <f ca="1">IF(OR(INDEX($X$2:$X$1001,MATCH(ROWS($W$2:W603),$W$2:$W$1001,0),1)&gt;=100000,INDEX($AD$1005:$AU$1005,1,MATCH(COLUMNS($AD$1006:AG1006),$AD$1006:$AU$1006,0))&gt;=100000), " ",IF(INDEX($AD$2:$AU$1001,MATCH(ROWS($W$2:W603),$W$2:$W$1001,0),MATCH(COLUMNS($AD$1006:AG1006),$AD$1006:$AU$1006,0)), HYPERLINK("#",""), HYPERLINK(CONCATENATE("#metadata!", ADDRESS(INDEX($Y$2:$Y$1001,MATCH(ROWS($W$2:W603),$W$2:$W$1001,0),0), INDEX($AD$1004:$AU$1004,1,MATCH(COLUMNS($AD$1006:AG1006),$AD$1006:$AU$1006,0)))),"Fix")))</f>
        <v xml:space="preserve"> </v>
      </c>
      <c r="F603" s="4" t="str">
        <f ca="1">IF(OR(INDEX($X$2:$X$1001,MATCH(ROWS($W$2:W603),$W$2:$W$1001,0),1)&gt;=100000,INDEX($AD$1005:$AU$1005,1,MATCH(COLUMNS($AD$1006:AH1006),$AD$1006:$AU$1006,0))&gt;=100000), " ",IF(INDEX($AD$2:$AU$1001,MATCH(ROWS($W$2:W603),$W$2:$W$1001,0),MATCH(COLUMNS($AD$1006:AH1006),$AD$1006:$AU$1006,0)), HYPERLINK("#",""), HYPERLINK(CONCATENATE("#metadata!", ADDRESS(INDEX($Y$2:$Y$1001,MATCH(ROWS($W$2:W603),$W$2:$W$1001,0),0), INDEX($AD$1004:$AU$1004,1,MATCH(COLUMNS($AD$1006:AH1006),$AD$1006:$AU$1006,0)))),"Fix")))</f>
        <v xml:space="preserve"> </v>
      </c>
      <c r="G603" s="4" t="str">
        <f ca="1">IF(OR(INDEX($X$2:$X$1001,MATCH(ROWS($W$2:W603),$W$2:$W$1001,0),1)&gt;=100000,INDEX($AD$1005:$AU$1005,1,MATCH(COLUMNS($AD$1006:AI1006),$AD$1006:$AU$1006,0))&gt;=100000), " ",IF(INDEX($AD$2:$AU$1001,MATCH(ROWS($W$2:W603),$W$2:$W$1001,0),MATCH(COLUMNS($AD$1006:AI1006),$AD$1006:$AU$1006,0)), HYPERLINK("#",""), HYPERLINK(CONCATENATE("#metadata!", ADDRESS(INDEX($Y$2:$Y$1001,MATCH(ROWS($W$2:W603),$W$2:$W$1001,0),0), INDEX($AD$1004:$AU$1004,1,MATCH(COLUMNS($AD$1006:AI1006),$AD$1006:$AU$1006,0)))),"Fix")))</f>
        <v xml:space="preserve"> </v>
      </c>
      <c r="H603" s="4" t="str">
        <f ca="1">IF(OR(INDEX($X$2:$X$1001,MATCH(ROWS($W$2:W603),$W$2:$W$1001,0),1)&gt;=100000,INDEX($AD$1005:$AU$1005,1,MATCH(COLUMNS($AD$1006:AJ1006),$AD$1006:$AU$1006,0))&gt;=100000), " ",IF(INDEX($AD$2:$AU$1001,MATCH(ROWS($W$2:W603),$W$2:$W$1001,0),MATCH(COLUMNS($AD$1006:AJ1006),$AD$1006:$AU$1006,0)), HYPERLINK("#",""), HYPERLINK(CONCATENATE("#metadata!", ADDRESS(INDEX($Y$2:$Y$1001,MATCH(ROWS($W$2:W603),$W$2:$W$1001,0),0), INDEX($AD$1004:$AU$1004,1,MATCH(COLUMNS($AD$1006:AJ1006),$AD$1006:$AU$1006,0)))),"Fix")))</f>
        <v xml:space="preserve"> </v>
      </c>
      <c r="I603" s="4" t="str">
        <f ca="1">IF(OR(INDEX($X$2:$X$1001,MATCH(ROWS($W$2:W603),$W$2:$W$1001,0),1)&gt;=100000,INDEX($AD$1005:$AU$1005,1,MATCH(COLUMNS($AD$1006:AK1006),$AD$1006:$AU$1006,0))&gt;=100000), " ",IF(INDEX($AD$2:$AU$1001,MATCH(ROWS($W$2:W603),$W$2:$W$1001,0),MATCH(COLUMNS($AD$1006:AK1006),$AD$1006:$AU$1006,0)), HYPERLINK("#",""), HYPERLINK(CONCATENATE("#metadata!", ADDRESS(INDEX($Y$2:$Y$1001,MATCH(ROWS($W$2:W603),$W$2:$W$1001,0),0), INDEX($AD$1004:$AU$1004,1,MATCH(COLUMNS($AD$1006:AK1006),$AD$1006:$AU$1006,0)))),"Fix")))</f>
        <v xml:space="preserve"> </v>
      </c>
      <c r="J603" s="4" t="str">
        <f ca="1">IF(OR(INDEX($X$2:$X$1001,MATCH(ROWS($W$2:W603),$W$2:$W$1001,0),1)&gt;=100000,INDEX($AD$1005:$AU$1005,1,MATCH(COLUMNS($AD$1006:AL1006),$AD$1006:$AU$1006,0))&gt;=100000), " ",IF(INDEX($AD$2:$AU$1001,MATCH(ROWS($W$2:W603),$W$2:$W$1001,0),MATCH(COLUMNS($AD$1006:AL1006),$AD$1006:$AU$1006,0)), HYPERLINK("#",""), HYPERLINK(CONCATENATE("#metadata!", ADDRESS(INDEX($Y$2:$Y$1001,MATCH(ROWS($W$2:W603),$W$2:$W$1001,0),0), INDEX($AD$1004:$AU$1004,1,MATCH(COLUMNS($AD$1006:AL1006),$AD$1006:$AU$1006,0)))),"Fix")))</f>
        <v xml:space="preserve"> </v>
      </c>
      <c r="K603" s="4" t="str">
        <f ca="1">IF(OR(INDEX($X$2:$X$1001,MATCH(ROWS($W$2:W603),$W$2:$W$1001,0),1)&gt;=100000,INDEX($AD$1005:$AU$1005,1,MATCH(COLUMNS($AD$1006:AM1006),$AD$1006:$AU$1006,0))&gt;=100000), " ",IF(INDEX($AD$2:$AU$1001,MATCH(ROWS($W$2:W603),$W$2:$W$1001,0),MATCH(COLUMNS($AD$1006:AM1006),$AD$1006:$AU$1006,0)), HYPERLINK("#",""), HYPERLINK(CONCATENATE("#metadata!", ADDRESS(INDEX($Y$2:$Y$1001,MATCH(ROWS($W$2:W603),$W$2:$W$1001,0),0), INDEX($AD$1004:$AU$1004,1,MATCH(COLUMNS($AD$1006:AM1006),$AD$1006:$AU$1006,0)))),"Fix")))</f>
        <v xml:space="preserve"> </v>
      </c>
      <c r="L603" s="4" t="str">
        <f ca="1">IF(OR(INDEX($X$2:$X$1001,MATCH(ROWS($W$2:W603),$W$2:$W$1001,0),1)&gt;=100000,INDEX($AD$1005:$AU$1005,1,MATCH(COLUMNS($AD$1006:AN1006),$AD$1006:$AU$1006,0))&gt;=100000), " ",IF(INDEX($AD$2:$AU$1001,MATCH(ROWS($W$2:W603),$W$2:$W$1001,0),MATCH(COLUMNS($AD$1006:AN1006),$AD$1006:$AU$1006,0)), HYPERLINK("#",""), HYPERLINK(CONCATENATE("#metadata!", ADDRESS(INDEX($Y$2:$Y$1001,MATCH(ROWS($W$2:W603),$W$2:$W$1001,0),0), INDEX($AD$1004:$AU$1004,1,MATCH(COLUMNS($AD$1006:AN1006),$AD$1006:$AU$1006,0)))),"Fix")))</f>
        <v xml:space="preserve"> </v>
      </c>
      <c r="M603" s="4" t="str">
        <f ca="1">IF(OR(INDEX($X$2:$X$1001,MATCH(ROWS($W$2:W603),$W$2:$W$1001,0),1)&gt;=100000,INDEX($AD$1005:$AU$1005,1,MATCH(COLUMNS($AD$1006:AO1006),$AD$1006:$AU$1006,0))&gt;=100000), " ",IF(INDEX($AD$2:$AU$1001,MATCH(ROWS($W$2:W603),$W$2:$W$1001,0),MATCH(COLUMNS($AD$1006:AO1006),$AD$1006:$AU$1006,0)), HYPERLINK("#",""), HYPERLINK(CONCATENATE("#metadata!", ADDRESS(INDEX($Y$2:$Y$1001,MATCH(ROWS($W$2:W603),$W$2:$W$1001,0),0), INDEX($AD$1004:$AU$1004,1,MATCH(COLUMNS($AD$1006:AO1006),$AD$1006:$AU$1006,0)))),"Fix")))</f>
        <v xml:space="preserve"> </v>
      </c>
      <c r="N603" s="4" t="str">
        <f ca="1">IF(OR(INDEX($X$2:$X$1001,MATCH(ROWS($W$2:W603),$W$2:$W$1001,0),1)&gt;=100000,INDEX($AD$1005:$AU$1005,1,MATCH(COLUMNS($AD$1006:AP1006),$AD$1006:$AU$1006,0))&gt;=100000), " ",IF(INDEX($AD$2:$AU$1001,MATCH(ROWS($W$2:W603),$W$2:$W$1001,0),MATCH(COLUMNS($AD$1006:AP1006),$AD$1006:$AU$1006,0)), HYPERLINK("#",""), HYPERLINK(CONCATENATE("#metadata!", ADDRESS(INDEX($Y$2:$Y$1001,MATCH(ROWS($W$2:W603),$W$2:$W$1001,0),0), INDEX($AD$1004:$AU$1004,1,MATCH(COLUMNS($AD$1006:AP1006),$AD$1006:$AU$1006,0)))),"Fix")))</f>
        <v xml:space="preserve"> </v>
      </c>
      <c r="O603" s="4" t="str">
        <f ca="1">IF(OR(INDEX($X$2:$X$1001,MATCH(ROWS($W$2:W603),$W$2:$W$1001,0),1)&gt;=100000,INDEX($AD$1005:$AU$1005,1,MATCH(COLUMNS($AD$1006:AQ1006),$AD$1006:$AU$1006,0))&gt;=100000), " ",IF(INDEX($AD$2:$AU$1001,MATCH(ROWS($W$2:W603),$W$2:$W$1001,0),MATCH(COLUMNS($AD$1006:AQ1006),$AD$1006:$AU$1006,0)), HYPERLINK("#",""), HYPERLINK(CONCATENATE("#metadata!", ADDRESS(INDEX($Y$2:$Y$1001,MATCH(ROWS($W$2:W603),$W$2:$W$1001,0),0), INDEX($AD$1004:$AU$1004,1,MATCH(COLUMNS($AD$1006:AQ1006),$AD$1006:$AU$1006,0)))),"Fix")))</f>
        <v xml:space="preserve"> </v>
      </c>
      <c r="P603" s="4" t="str">
        <f ca="1">IF(OR(INDEX($X$2:$X$1001,MATCH(ROWS($W$2:W603),$W$2:$W$1001,0),1)&gt;=100000,INDEX($AD$1005:$AU$1005,1,MATCH(COLUMNS($AD$1006:AR1006),$AD$1006:$AU$1006,0))&gt;=100000), " ",IF(INDEX($AD$2:$AU$1001,MATCH(ROWS($W$2:W603),$W$2:$W$1001,0),MATCH(COLUMNS($AD$1006:AR1006),$AD$1006:$AU$1006,0)), HYPERLINK("#",""), HYPERLINK(CONCATENATE("#metadata!", ADDRESS(INDEX($Y$2:$Y$1001,MATCH(ROWS($W$2:W603),$W$2:$W$1001,0),0), INDEX($AD$1004:$AU$1004,1,MATCH(COLUMNS($AD$1006:AR1006),$AD$1006:$AU$1006,0)))),"Fix")))</f>
        <v xml:space="preserve"> </v>
      </c>
      <c r="Q603" s="4" t="str">
        <f ca="1">IF(OR(INDEX($X$2:$X$1001,MATCH(ROWS($W$2:W603),$W$2:$W$1001,0),1)&gt;=100000,INDEX($AD$1005:$AU$1005,1,MATCH(COLUMNS($AD$1006:AS1006),$AD$1006:$AU$1006,0))&gt;=100000), " ",IF(INDEX($AD$2:$AU$1001,MATCH(ROWS($W$2:W603),$W$2:$W$1001,0),MATCH(COLUMNS($AD$1006:AS1006),$AD$1006:$AU$1006,0)), HYPERLINK("#",""), HYPERLINK(CONCATENATE("#metadata!", ADDRESS(INDEX($Y$2:$Y$1001,MATCH(ROWS($W$2:W603),$W$2:$W$1001,0),0), INDEX($AD$1004:$AU$1004,1,MATCH(COLUMNS($AD$1006:AS1006),$AD$1006:$AU$1006,0)))),"Fix")))</f>
        <v xml:space="preserve"> </v>
      </c>
      <c r="R603" s="4" t="str">
        <f ca="1">IF(OR(INDEX($X$2:$X$1001,MATCH(ROWS($W$2:W603),$W$2:$W$1001,0),1)&gt;=100000,INDEX($AD$1005:$AU$1005,1,MATCH(COLUMNS($AD$1006:AT1006),$AD$1006:$AU$1006,0))&gt;=100000), " ",IF(INDEX($AD$2:$AU$1001,MATCH(ROWS($W$2:W603),$W$2:$W$1001,0),MATCH(COLUMNS($AD$1006:AT1006),$AD$1006:$AU$1006,0)), HYPERLINK("#",""), HYPERLINK(CONCATENATE("#metadata!", ADDRESS(INDEX($Y$2:$Y$1001,MATCH(ROWS($W$2:W603),$W$2:$W$1001,0),0), INDEX($AD$1004:$AU$1004,1,MATCH(COLUMNS($AD$1006:AT1006),$AD$1006:$AU$1006,0)))),"Fix")))</f>
        <v xml:space="preserve"> </v>
      </c>
      <c r="S603" s="4" t="str">
        <f ca="1">IF(OR(INDEX($X$2:$X$1001,MATCH(ROWS($W$2:W603),$W$2:$W$1001,0),1)&gt;=100000,INDEX($AD$1005:$AU$1005,1,MATCH(COLUMNS($AD$1006:AU1006),$AD$1006:$AU$1006,0))&gt;=100000), " ",IF(INDEX($AD$2:$AU$1001,MATCH(ROWS($W$2:W603),$W$2:$W$1001,0),MATCH(COLUMNS($AD$1006:AU1006),$AD$1006:$AU$1006,0)), HYPERLINK("#",""), HYPERLINK(CONCATENATE("#metadata!", ADDRESS(INDEX($Y$2:$Y$1001,MATCH(ROWS($W$2:W603),$W$2:$W$1001,0),0), INDEX($AD$1004:$AU$1004,1,MATCH(COLUMNS($AD$1006:AU1006),$AD$1006:$AU$1006,0)))),"Fix")))</f>
        <v xml:space="preserve"> </v>
      </c>
      <c r="W603">
        <v>602</v>
      </c>
      <c r="X603">
        <v>100603</v>
      </c>
      <c r="Y603">
        <v>603</v>
      </c>
      <c r="Z603" t="b">
        <f t="shared" si="9"/>
        <v>1</v>
      </c>
      <c r="AA603" t="b">
        <f>COUNTBLANK(metadata!B603:S603)=COLUMNS(metadata!B603:S603)</f>
        <v>1</v>
      </c>
      <c r="AB603" t="str">
        <v/>
      </c>
      <c r="AD603" t="b">
        <f ca="1">AND(IF(metadata!B603="",FALSE,TRUE),COUNTIF(metadata!B:B, metadata!B603) = 1,NOT(ISERROR(SUMPRODUCT(SEARCH(MID(metadata!B603,ROW(INDIRECT("1:"&amp;LEN(metadata!B603))), 1),"0123456789abcdefghijklmnopqrstuvwxyzABCDEFGHIJKLMNOPQRSTUVWXYZ.")))))</f>
        <v>0</v>
      </c>
      <c r="AE603" t="b">
        <f>OR(AND(IF(metadata!C603="",FALSE,TRUE),OR(EXACT(metadata!C603,"not applicable"),EXACT(metadata!C603,"missing: not collected"),EXACT(metadata!C603,"missing: not provided"),EXACT(metadata!C603,"missing: restricted access"))),AND(IF(metadata!C603="",FALSE,ISNUMBER(VALUE(metadata!C603))),metadata!C603&gt;0))</f>
        <v>0</v>
      </c>
      <c r="AF603" t="b">
        <f>AND(IF(metadata!D603="",FALSE,TRUE),EXACT(metadata!D603,"missing: not provided"))</f>
        <v>0</v>
      </c>
      <c r="AG603" t="b">
        <f>AND(IF(metadata!E603="",FALSE,TRUE),EXACT(metadata!E603,"Host-associated"))</f>
        <v>0</v>
      </c>
      <c r="AH603" t="b">
        <f>AND(IF(metadata!F603="",FALSE,TRUE),OR(EXACT(metadata!F603,"Animal"),EXACT(metadata!F603,"Fungus"),EXACT(metadata!F603,"Plant")))</f>
        <v>0</v>
      </c>
      <c r="AI603" t="b">
        <f>AND(IF(metadata!G603="",FALSE,TRUE),OR(EXACT(metadata!G603,"Plant secretion"),EXACT(metadata!G603,"Plant rhizosphere"),EXACT(metadata!G603,"Plant surface"),EXACT(metadata!G603,"Plant corpus"),EXACT(metadata!G603,"Fungus surface"),EXACT(metadata!G603,"Fungus corpus"),EXACT(metadata!G603,"Animal surface"),EXACT(metadata!G603,"Animal proximal gut"),EXACT(metadata!G603,"Animal corpus"),EXACT(metadata!G603,"Animal distal gut"),EXACT(metadata!G603,"Animal secretion")))</f>
        <v>0</v>
      </c>
      <c r="AJ603" t="b">
        <f>OR(AND(IF(metadata!H603="",FALSE,TRUE),OR(EXACT(metadata!H603,"missing: not collected"),EXACT(metadata!H603,"missing: not provided"),EXACT(metadata!H603,"missing: restricted access"))),AND(IF(metadata!H603="",FALSE,TRUE),OR(EXACT(metadata!H603,"organism-associated habitat"),EXACT(metadata!H603,"plant-associated habitat"),EXACT(metadata!H603,"animal-associated habitat"),EXACT(metadata!H603,"insecta-associated habitat"),EXACT(metadata!H603,"mammalia-associated habitat"),EXACT(metadata!H603,"human-associated habitat"),EXACT(metadata!H603,"livestock-associated habitat"))))</f>
        <v>0</v>
      </c>
      <c r="AK603" t="b">
        <f>AND(IF(metadata!I603="",FALSE,TRUE),EXACT(metadata!I603,"host-associated"))</f>
        <v>0</v>
      </c>
      <c r="AL603" t="b">
        <f>OR(AND(IF(metadata!J603="",FALSE,TRUE),OR(EXACT(metadata!J603,"not applicable"),EXACT(metadata!J603,"missing: not collected"),EXACT(metadata!J603,"missing: not provided"),EXACT(metadata!J603,"missing: restricted access"))),AND(IF(metadata!J603="",FALSE,ISNUMBER(VALUE(metadata!J603))),metadata!J603&gt;0))</f>
        <v>0</v>
      </c>
      <c r="AM603" t="b">
        <f>AND(IF(metadata!K603="",FALSE,TRUE),EXACT(metadata!K603,"missing: not provided"))</f>
        <v>0</v>
      </c>
      <c r="AN603" t="b">
        <f>IF(metadata!L603="",FALSE,TRUE)</f>
        <v>0</v>
      </c>
      <c r="AO603" t="b">
        <f>IF(metadata!M603="",FALSE,TRUE)</f>
        <v>0</v>
      </c>
      <c r="AP603" t="b">
        <f>OR(AND(IF(metadata!N603="",FALSE,TRUE),OR(EXACT(metadata!N603,"not applicable"),EXACT(metadata!N603,"missing: not collected"),EXACT(metadata!N603,"missing: not provided"))),AND(IF(metadata!N603="",FALSE,IF(ISERROR(INT(metadata!N603)),FALSE,INT(metadata!N603)=metadata!N603)),metadata!N603&gt;0))</f>
        <v>0</v>
      </c>
      <c r="AQ603" t="b">
        <f>AND(IF(metadata!O603="",FALSE,TRUE),EXACT(metadata!O603,"Not applicable"))</f>
        <v>0</v>
      </c>
      <c r="AR603" t="b">
        <f>OR(AND(IF(metadata!P603="",FALSE,TRUE),OR(EXACT(metadata!P603,"not applicable"),EXACT(metadata!P603,"missing: not collected"),EXACT(metadata!P603,"missing: not provided"),EXACT(metadata!P603,"missing: restricted access"))),IF(metadata!P603="",FALSE,IF(ISERROR(INT(metadata!P603)),FALSE,INT(metadata!P603)=metadata!P603)))</f>
        <v>0</v>
      </c>
      <c r="AS603" t="b">
        <f>AND(IF(metadata!Q603="",FALSE,TRUE),EXACT(metadata!Q603,"Not applicable"))</f>
        <v>0</v>
      </c>
      <c r="AT603" t="b">
        <f>OR(AND(IF(metadata!R603="",FALSE,TRUE),OR(EXACT(metadata!R603,"not applicable"),EXACT(metadata!R603,"missing: not collected"),EXACT(metadata!R603,"missing: not provided"),EXACT(metadata!R603,"missing: restricted access"))),AND(IF(metadata!R603="",FALSE,ISNUMBER(VALUE(metadata!R603))),metadata!R603&gt;0))</f>
        <v>0</v>
      </c>
      <c r="AU603" t="b">
        <f>AND(IF(metadata!S603="",FALSE,TRUE),EXACT(metadata!S603,"missing: not provided"))</f>
        <v>0</v>
      </c>
    </row>
    <row r="604" spans="1:47" x14ac:dyDescent="0.2">
      <c r="A604" s="5" t="str">
        <f ca="1">IF(B604=" "," ",HYPERLINK(CONCATENATE("#metadata!",ADDRESS(INDEX($Y$2:$Y$1001,MATCH(ROWS($W$2:W604),$W$2:$W$1001,0),0),1)),INDEX($AB$2:$AB$1001,MATCH(ROWS($W$2:W604),$W$2:$W$1001,0),0)))</f>
        <v xml:space="preserve"> </v>
      </c>
      <c r="B604" s="4" t="str">
        <f ca="1">IF(OR(INDEX($X$2:$X$1001,MATCH(ROWS($W$2:W604),$W$2:$W$1001,0),1)&gt;=100000,INDEX($AD$1005:$AU$1005,1,MATCH(COLUMNS($AD$1006:AD1006),$AD$1006:$AU$1006,0))&gt;=100000), " ",IF(INDEX($AD$2:$AU$1001,MATCH(ROWS($W$2:W604),$W$2:$W$1001,0),MATCH(COLUMNS($AD$1006:AD1006),$AD$1006:$AU$1006,0)), HYPERLINK("#",""), HYPERLINK(CONCATENATE("#metadata!", ADDRESS(INDEX($Y$2:$Y$1001,MATCH(ROWS($W$2:W604),$W$2:$W$1001,0),0), INDEX($AD$1004:$AU$1004,1,MATCH(COLUMNS($AD$1006:AD1006),$AD$1006:$AU$1006,0)))),"Fix")))</f>
        <v xml:space="preserve"> </v>
      </c>
      <c r="C604" s="4" t="str">
        <f ca="1">IF(OR(INDEX($X$2:$X$1001,MATCH(ROWS($W$2:W604),$W$2:$W$1001,0),1)&gt;=100000,INDEX($AD$1005:$AU$1005,1,MATCH(COLUMNS($AD$1006:AE1006),$AD$1006:$AU$1006,0))&gt;=100000), " ",IF(INDEX($AD$2:$AU$1001,MATCH(ROWS($W$2:W604),$W$2:$W$1001,0),MATCH(COLUMNS($AD$1006:AE1006),$AD$1006:$AU$1006,0)), HYPERLINK("#",""), HYPERLINK(CONCATENATE("#metadata!", ADDRESS(INDEX($Y$2:$Y$1001,MATCH(ROWS($W$2:W604),$W$2:$W$1001,0),0), INDEX($AD$1004:$AU$1004,1,MATCH(COLUMNS($AD$1006:AE1006),$AD$1006:$AU$1006,0)))),"Fix")))</f>
        <v xml:space="preserve"> </v>
      </c>
      <c r="D604" s="4" t="str">
        <f ca="1">IF(OR(INDEX($X$2:$X$1001,MATCH(ROWS($W$2:W604),$W$2:$W$1001,0),1)&gt;=100000,INDEX($AD$1005:$AU$1005,1,MATCH(COLUMNS($AD$1006:AF1006),$AD$1006:$AU$1006,0))&gt;=100000), " ",IF(INDEX($AD$2:$AU$1001,MATCH(ROWS($W$2:W604),$W$2:$W$1001,0),MATCH(COLUMNS($AD$1006:AF1006),$AD$1006:$AU$1006,0)), HYPERLINK("#",""), HYPERLINK(CONCATENATE("#metadata!", ADDRESS(INDEX($Y$2:$Y$1001,MATCH(ROWS($W$2:W604),$W$2:$W$1001,0),0), INDEX($AD$1004:$AU$1004,1,MATCH(COLUMNS($AD$1006:AF1006),$AD$1006:$AU$1006,0)))),"Fix")))</f>
        <v xml:space="preserve"> </v>
      </c>
      <c r="E604" s="4" t="str">
        <f ca="1">IF(OR(INDEX($X$2:$X$1001,MATCH(ROWS($W$2:W604),$W$2:$W$1001,0),1)&gt;=100000,INDEX($AD$1005:$AU$1005,1,MATCH(COLUMNS($AD$1006:AG1006),$AD$1006:$AU$1006,0))&gt;=100000), " ",IF(INDEX($AD$2:$AU$1001,MATCH(ROWS($W$2:W604),$W$2:$W$1001,0),MATCH(COLUMNS($AD$1006:AG1006),$AD$1006:$AU$1006,0)), HYPERLINK("#",""), HYPERLINK(CONCATENATE("#metadata!", ADDRESS(INDEX($Y$2:$Y$1001,MATCH(ROWS($W$2:W604),$W$2:$W$1001,0),0), INDEX($AD$1004:$AU$1004,1,MATCH(COLUMNS($AD$1006:AG1006),$AD$1006:$AU$1006,0)))),"Fix")))</f>
        <v xml:space="preserve"> </v>
      </c>
      <c r="F604" s="4" t="str">
        <f ca="1">IF(OR(INDEX($X$2:$X$1001,MATCH(ROWS($W$2:W604),$W$2:$W$1001,0),1)&gt;=100000,INDEX($AD$1005:$AU$1005,1,MATCH(COLUMNS($AD$1006:AH1006),$AD$1006:$AU$1006,0))&gt;=100000), " ",IF(INDEX($AD$2:$AU$1001,MATCH(ROWS($W$2:W604),$W$2:$W$1001,0),MATCH(COLUMNS($AD$1006:AH1006),$AD$1006:$AU$1006,0)), HYPERLINK("#",""), HYPERLINK(CONCATENATE("#metadata!", ADDRESS(INDEX($Y$2:$Y$1001,MATCH(ROWS($W$2:W604),$W$2:$W$1001,0),0), INDEX($AD$1004:$AU$1004,1,MATCH(COLUMNS($AD$1006:AH1006),$AD$1006:$AU$1006,0)))),"Fix")))</f>
        <v xml:space="preserve"> </v>
      </c>
      <c r="G604" s="4" t="str">
        <f ca="1">IF(OR(INDEX($X$2:$X$1001,MATCH(ROWS($W$2:W604),$W$2:$W$1001,0),1)&gt;=100000,INDEX($AD$1005:$AU$1005,1,MATCH(COLUMNS($AD$1006:AI1006),$AD$1006:$AU$1006,0))&gt;=100000), " ",IF(INDEX($AD$2:$AU$1001,MATCH(ROWS($W$2:W604),$W$2:$W$1001,0),MATCH(COLUMNS($AD$1006:AI1006),$AD$1006:$AU$1006,0)), HYPERLINK("#",""), HYPERLINK(CONCATENATE("#metadata!", ADDRESS(INDEX($Y$2:$Y$1001,MATCH(ROWS($W$2:W604),$W$2:$W$1001,0),0), INDEX($AD$1004:$AU$1004,1,MATCH(COLUMNS($AD$1006:AI1006),$AD$1006:$AU$1006,0)))),"Fix")))</f>
        <v xml:space="preserve"> </v>
      </c>
      <c r="H604" s="4" t="str">
        <f ca="1">IF(OR(INDEX($X$2:$X$1001,MATCH(ROWS($W$2:W604),$W$2:$W$1001,0),1)&gt;=100000,INDEX($AD$1005:$AU$1005,1,MATCH(COLUMNS($AD$1006:AJ1006),$AD$1006:$AU$1006,0))&gt;=100000), " ",IF(INDEX($AD$2:$AU$1001,MATCH(ROWS($W$2:W604),$W$2:$W$1001,0),MATCH(COLUMNS($AD$1006:AJ1006),$AD$1006:$AU$1006,0)), HYPERLINK("#",""), HYPERLINK(CONCATENATE("#metadata!", ADDRESS(INDEX($Y$2:$Y$1001,MATCH(ROWS($W$2:W604),$W$2:$W$1001,0),0), INDEX($AD$1004:$AU$1004,1,MATCH(COLUMNS($AD$1006:AJ1006),$AD$1006:$AU$1006,0)))),"Fix")))</f>
        <v xml:space="preserve"> </v>
      </c>
      <c r="I604" s="4" t="str">
        <f ca="1">IF(OR(INDEX($X$2:$X$1001,MATCH(ROWS($W$2:W604),$W$2:$W$1001,0),1)&gt;=100000,INDEX($AD$1005:$AU$1005,1,MATCH(COLUMNS($AD$1006:AK1006),$AD$1006:$AU$1006,0))&gt;=100000), " ",IF(INDEX($AD$2:$AU$1001,MATCH(ROWS($W$2:W604),$W$2:$W$1001,0),MATCH(COLUMNS($AD$1006:AK1006),$AD$1006:$AU$1006,0)), HYPERLINK("#",""), HYPERLINK(CONCATENATE("#metadata!", ADDRESS(INDEX($Y$2:$Y$1001,MATCH(ROWS($W$2:W604),$W$2:$W$1001,0),0), INDEX($AD$1004:$AU$1004,1,MATCH(COLUMNS($AD$1006:AK1006),$AD$1006:$AU$1006,0)))),"Fix")))</f>
        <v xml:space="preserve"> </v>
      </c>
      <c r="J604" s="4" t="str">
        <f ca="1">IF(OR(INDEX($X$2:$X$1001,MATCH(ROWS($W$2:W604),$W$2:$W$1001,0),1)&gt;=100000,INDEX($AD$1005:$AU$1005,1,MATCH(COLUMNS($AD$1006:AL1006),$AD$1006:$AU$1006,0))&gt;=100000), " ",IF(INDEX($AD$2:$AU$1001,MATCH(ROWS($W$2:W604),$W$2:$W$1001,0),MATCH(COLUMNS($AD$1006:AL1006),$AD$1006:$AU$1006,0)), HYPERLINK("#",""), HYPERLINK(CONCATENATE("#metadata!", ADDRESS(INDEX($Y$2:$Y$1001,MATCH(ROWS($W$2:W604),$W$2:$W$1001,0),0), INDEX($AD$1004:$AU$1004,1,MATCH(COLUMNS($AD$1006:AL1006),$AD$1006:$AU$1006,0)))),"Fix")))</f>
        <v xml:space="preserve"> </v>
      </c>
      <c r="K604" s="4" t="str">
        <f ca="1">IF(OR(INDEX($X$2:$X$1001,MATCH(ROWS($W$2:W604),$W$2:$W$1001,0),1)&gt;=100000,INDEX($AD$1005:$AU$1005,1,MATCH(COLUMNS($AD$1006:AM1006),$AD$1006:$AU$1006,0))&gt;=100000), " ",IF(INDEX($AD$2:$AU$1001,MATCH(ROWS($W$2:W604),$W$2:$W$1001,0),MATCH(COLUMNS($AD$1006:AM1006),$AD$1006:$AU$1006,0)), HYPERLINK("#",""), HYPERLINK(CONCATENATE("#metadata!", ADDRESS(INDEX($Y$2:$Y$1001,MATCH(ROWS($W$2:W604),$W$2:$W$1001,0),0), INDEX($AD$1004:$AU$1004,1,MATCH(COLUMNS($AD$1006:AM1006),$AD$1006:$AU$1006,0)))),"Fix")))</f>
        <v xml:space="preserve"> </v>
      </c>
      <c r="L604" s="4" t="str">
        <f ca="1">IF(OR(INDEX($X$2:$X$1001,MATCH(ROWS($W$2:W604),$W$2:$W$1001,0),1)&gt;=100000,INDEX($AD$1005:$AU$1005,1,MATCH(COLUMNS($AD$1006:AN1006),$AD$1006:$AU$1006,0))&gt;=100000), " ",IF(INDEX($AD$2:$AU$1001,MATCH(ROWS($W$2:W604),$W$2:$W$1001,0),MATCH(COLUMNS($AD$1006:AN1006),$AD$1006:$AU$1006,0)), HYPERLINK("#",""), HYPERLINK(CONCATENATE("#metadata!", ADDRESS(INDEX($Y$2:$Y$1001,MATCH(ROWS($W$2:W604),$W$2:$W$1001,0),0), INDEX($AD$1004:$AU$1004,1,MATCH(COLUMNS($AD$1006:AN1006),$AD$1006:$AU$1006,0)))),"Fix")))</f>
        <v xml:space="preserve"> </v>
      </c>
      <c r="M604" s="4" t="str">
        <f ca="1">IF(OR(INDEX($X$2:$X$1001,MATCH(ROWS($W$2:W604),$W$2:$W$1001,0),1)&gt;=100000,INDEX($AD$1005:$AU$1005,1,MATCH(COLUMNS($AD$1006:AO1006),$AD$1006:$AU$1006,0))&gt;=100000), " ",IF(INDEX($AD$2:$AU$1001,MATCH(ROWS($W$2:W604),$W$2:$W$1001,0),MATCH(COLUMNS($AD$1006:AO1006),$AD$1006:$AU$1006,0)), HYPERLINK("#",""), HYPERLINK(CONCATENATE("#metadata!", ADDRESS(INDEX($Y$2:$Y$1001,MATCH(ROWS($W$2:W604),$W$2:$W$1001,0),0), INDEX($AD$1004:$AU$1004,1,MATCH(COLUMNS($AD$1006:AO1006),$AD$1006:$AU$1006,0)))),"Fix")))</f>
        <v xml:space="preserve"> </v>
      </c>
      <c r="N604" s="4" t="str">
        <f ca="1">IF(OR(INDEX($X$2:$X$1001,MATCH(ROWS($W$2:W604),$W$2:$W$1001,0),1)&gt;=100000,INDEX($AD$1005:$AU$1005,1,MATCH(COLUMNS($AD$1006:AP1006),$AD$1006:$AU$1006,0))&gt;=100000), " ",IF(INDEX($AD$2:$AU$1001,MATCH(ROWS($W$2:W604),$W$2:$W$1001,0),MATCH(COLUMNS($AD$1006:AP1006),$AD$1006:$AU$1006,0)), HYPERLINK("#",""), HYPERLINK(CONCATENATE("#metadata!", ADDRESS(INDEX($Y$2:$Y$1001,MATCH(ROWS($W$2:W604),$W$2:$W$1001,0),0), INDEX($AD$1004:$AU$1004,1,MATCH(COLUMNS($AD$1006:AP1006),$AD$1006:$AU$1006,0)))),"Fix")))</f>
        <v xml:space="preserve"> </v>
      </c>
      <c r="O604" s="4" t="str">
        <f ca="1">IF(OR(INDEX($X$2:$X$1001,MATCH(ROWS($W$2:W604),$W$2:$W$1001,0),1)&gt;=100000,INDEX($AD$1005:$AU$1005,1,MATCH(COLUMNS($AD$1006:AQ1006),$AD$1006:$AU$1006,0))&gt;=100000), " ",IF(INDEX($AD$2:$AU$1001,MATCH(ROWS($W$2:W604),$W$2:$W$1001,0),MATCH(COLUMNS($AD$1006:AQ1006),$AD$1006:$AU$1006,0)), HYPERLINK("#",""), HYPERLINK(CONCATENATE("#metadata!", ADDRESS(INDEX($Y$2:$Y$1001,MATCH(ROWS($W$2:W604),$W$2:$W$1001,0),0), INDEX($AD$1004:$AU$1004,1,MATCH(COLUMNS($AD$1006:AQ1006),$AD$1006:$AU$1006,0)))),"Fix")))</f>
        <v xml:space="preserve"> </v>
      </c>
      <c r="P604" s="4" t="str">
        <f ca="1">IF(OR(INDEX($X$2:$X$1001,MATCH(ROWS($W$2:W604),$W$2:$W$1001,0),1)&gt;=100000,INDEX($AD$1005:$AU$1005,1,MATCH(COLUMNS($AD$1006:AR1006),$AD$1006:$AU$1006,0))&gt;=100000), " ",IF(INDEX($AD$2:$AU$1001,MATCH(ROWS($W$2:W604),$W$2:$W$1001,0),MATCH(COLUMNS($AD$1006:AR1006),$AD$1006:$AU$1006,0)), HYPERLINK("#",""), HYPERLINK(CONCATENATE("#metadata!", ADDRESS(INDEX($Y$2:$Y$1001,MATCH(ROWS($W$2:W604),$W$2:$W$1001,0),0), INDEX($AD$1004:$AU$1004,1,MATCH(COLUMNS($AD$1006:AR1006),$AD$1006:$AU$1006,0)))),"Fix")))</f>
        <v xml:space="preserve"> </v>
      </c>
      <c r="Q604" s="4" t="str">
        <f ca="1">IF(OR(INDEX($X$2:$X$1001,MATCH(ROWS($W$2:W604),$W$2:$W$1001,0),1)&gt;=100000,INDEX($AD$1005:$AU$1005,1,MATCH(COLUMNS($AD$1006:AS1006),$AD$1006:$AU$1006,0))&gt;=100000), " ",IF(INDEX($AD$2:$AU$1001,MATCH(ROWS($W$2:W604),$W$2:$W$1001,0),MATCH(COLUMNS($AD$1006:AS1006),$AD$1006:$AU$1006,0)), HYPERLINK("#",""), HYPERLINK(CONCATENATE("#metadata!", ADDRESS(INDEX($Y$2:$Y$1001,MATCH(ROWS($W$2:W604),$W$2:$W$1001,0),0), INDEX($AD$1004:$AU$1004,1,MATCH(COLUMNS($AD$1006:AS1006),$AD$1006:$AU$1006,0)))),"Fix")))</f>
        <v xml:space="preserve"> </v>
      </c>
      <c r="R604" s="4" t="str">
        <f ca="1">IF(OR(INDEX($X$2:$X$1001,MATCH(ROWS($W$2:W604),$W$2:$W$1001,0),1)&gt;=100000,INDEX($AD$1005:$AU$1005,1,MATCH(COLUMNS($AD$1006:AT1006),$AD$1006:$AU$1006,0))&gt;=100000), " ",IF(INDEX($AD$2:$AU$1001,MATCH(ROWS($W$2:W604),$W$2:$W$1001,0),MATCH(COLUMNS($AD$1006:AT1006),$AD$1006:$AU$1006,0)), HYPERLINK("#",""), HYPERLINK(CONCATENATE("#metadata!", ADDRESS(INDEX($Y$2:$Y$1001,MATCH(ROWS($W$2:W604),$W$2:$W$1001,0),0), INDEX($AD$1004:$AU$1004,1,MATCH(COLUMNS($AD$1006:AT1006),$AD$1006:$AU$1006,0)))),"Fix")))</f>
        <v xml:space="preserve"> </v>
      </c>
      <c r="S604" s="4" t="str">
        <f ca="1">IF(OR(INDEX($X$2:$X$1001,MATCH(ROWS($W$2:W604),$W$2:$W$1001,0),1)&gt;=100000,INDEX($AD$1005:$AU$1005,1,MATCH(COLUMNS($AD$1006:AU1006),$AD$1006:$AU$1006,0))&gt;=100000), " ",IF(INDEX($AD$2:$AU$1001,MATCH(ROWS($W$2:W604),$W$2:$W$1001,0),MATCH(COLUMNS($AD$1006:AU1006),$AD$1006:$AU$1006,0)), HYPERLINK("#",""), HYPERLINK(CONCATENATE("#metadata!", ADDRESS(INDEX($Y$2:$Y$1001,MATCH(ROWS($W$2:W604),$W$2:$W$1001,0),0), INDEX($AD$1004:$AU$1004,1,MATCH(COLUMNS($AD$1006:AU1006),$AD$1006:$AU$1006,0)))),"Fix")))</f>
        <v xml:space="preserve"> </v>
      </c>
      <c r="W604">
        <v>603</v>
      </c>
      <c r="X604">
        <v>100604</v>
      </c>
      <c r="Y604">
        <v>604</v>
      </c>
      <c r="Z604" t="b">
        <f t="shared" si="9"/>
        <v>1</v>
      </c>
      <c r="AA604" t="b">
        <f>COUNTBLANK(metadata!B604:S604)=COLUMNS(metadata!B604:S604)</f>
        <v>1</v>
      </c>
      <c r="AB604" t="str">
        <v/>
      </c>
      <c r="AD604" t="b">
        <f ca="1">AND(IF(metadata!B604="",FALSE,TRUE),COUNTIF(metadata!B:B, metadata!B604) = 1,NOT(ISERROR(SUMPRODUCT(SEARCH(MID(metadata!B604,ROW(INDIRECT("1:"&amp;LEN(metadata!B604))), 1),"0123456789abcdefghijklmnopqrstuvwxyzABCDEFGHIJKLMNOPQRSTUVWXYZ.")))))</f>
        <v>0</v>
      </c>
      <c r="AE604" t="b">
        <f>OR(AND(IF(metadata!C604="",FALSE,TRUE),OR(EXACT(metadata!C604,"not applicable"),EXACT(metadata!C604,"missing: not collected"),EXACT(metadata!C604,"missing: not provided"),EXACT(metadata!C604,"missing: restricted access"))),AND(IF(metadata!C604="",FALSE,ISNUMBER(VALUE(metadata!C604))),metadata!C604&gt;0))</f>
        <v>0</v>
      </c>
      <c r="AF604" t="b">
        <f>AND(IF(metadata!D604="",FALSE,TRUE),EXACT(metadata!D604,"missing: not provided"))</f>
        <v>0</v>
      </c>
      <c r="AG604" t="b">
        <f>AND(IF(metadata!E604="",FALSE,TRUE),EXACT(metadata!E604,"Host-associated"))</f>
        <v>0</v>
      </c>
      <c r="AH604" t="b">
        <f>AND(IF(metadata!F604="",FALSE,TRUE),OR(EXACT(metadata!F604,"Animal"),EXACT(metadata!F604,"Fungus"),EXACT(metadata!F604,"Plant")))</f>
        <v>0</v>
      </c>
      <c r="AI604" t="b">
        <f>AND(IF(metadata!G604="",FALSE,TRUE),OR(EXACT(metadata!G604,"Plant secretion"),EXACT(metadata!G604,"Plant rhizosphere"),EXACT(metadata!G604,"Plant surface"),EXACT(metadata!G604,"Plant corpus"),EXACT(metadata!G604,"Fungus surface"),EXACT(metadata!G604,"Fungus corpus"),EXACT(metadata!G604,"Animal surface"),EXACT(metadata!G604,"Animal proximal gut"),EXACT(metadata!G604,"Animal corpus"),EXACT(metadata!G604,"Animal distal gut"),EXACT(metadata!G604,"Animal secretion")))</f>
        <v>0</v>
      </c>
      <c r="AJ604" t="b">
        <f>OR(AND(IF(metadata!H604="",FALSE,TRUE),OR(EXACT(metadata!H604,"missing: not collected"),EXACT(metadata!H604,"missing: not provided"),EXACT(metadata!H604,"missing: restricted access"))),AND(IF(metadata!H604="",FALSE,TRUE),OR(EXACT(metadata!H604,"organism-associated habitat"),EXACT(metadata!H604,"plant-associated habitat"),EXACT(metadata!H604,"animal-associated habitat"),EXACT(metadata!H604,"insecta-associated habitat"),EXACT(metadata!H604,"mammalia-associated habitat"),EXACT(metadata!H604,"human-associated habitat"),EXACT(metadata!H604,"livestock-associated habitat"))))</f>
        <v>0</v>
      </c>
      <c r="AK604" t="b">
        <f>AND(IF(metadata!I604="",FALSE,TRUE),EXACT(metadata!I604,"host-associated"))</f>
        <v>0</v>
      </c>
      <c r="AL604" t="b">
        <f>OR(AND(IF(metadata!J604="",FALSE,TRUE),OR(EXACT(metadata!J604,"not applicable"),EXACT(metadata!J604,"missing: not collected"),EXACT(metadata!J604,"missing: not provided"),EXACT(metadata!J604,"missing: restricted access"))),AND(IF(metadata!J604="",FALSE,ISNUMBER(VALUE(metadata!J604))),metadata!J604&gt;0))</f>
        <v>0</v>
      </c>
      <c r="AM604" t="b">
        <f>AND(IF(metadata!K604="",FALSE,TRUE),EXACT(metadata!K604,"missing: not provided"))</f>
        <v>0</v>
      </c>
      <c r="AN604" t="b">
        <f>IF(metadata!L604="",FALSE,TRUE)</f>
        <v>0</v>
      </c>
      <c r="AO604" t="b">
        <f>IF(metadata!M604="",FALSE,TRUE)</f>
        <v>0</v>
      </c>
      <c r="AP604" t="b">
        <f>OR(AND(IF(metadata!N604="",FALSE,TRUE),OR(EXACT(metadata!N604,"not applicable"),EXACT(metadata!N604,"missing: not collected"),EXACT(metadata!N604,"missing: not provided"))),AND(IF(metadata!N604="",FALSE,IF(ISERROR(INT(metadata!N604)),FALSE,INT(metadata!N604)=metadata!N604)),metadata!N604&gt;0))</f>
        <v>0</v>
      </c>
      <c r="AQ604" t="b">
        <f>AND(IF(metadata!O604="",FALSE,TRUE),EXACT(metadata!O604,"Not applicable"))</f>
        <v>0</v>
      </c>
      <c r="AR604" t="b">
        <f>OR(AND(IF(metadata!P604="",FALSE,TRUE),OR(EXACT(metadata!P604,"not applicable"),EXACT(metadata!P604,"missing: not collected"),EXACT(metadata!P604,"missing: not provided"),EXACT(metadata!P604,"missing: restricted access"))),IF(metadata!P604="",FALSE,IF(ISERROR(INT(metadata!P604)),FALSE,INT(metadata!P604)=metadata!P604)))</f>
        <v>0</v>
      </c>
      <c r="AS604" t="b">
        <f>AND(IF(metadata!Q604="",FALSE,TRUE),EXACT(metadata!Q604,"Not applicable"))</f>
        <v>0</v>
      </c>
      <c r="AT604" t="b">
        <f>OR(AND(IF(metadata!R604="",FALSE,TRUE),OR(EXACT(metadata!R604,"not applicable"),EXACT(metadata!R604,"missing: not collected"),EXACT(metadata!R604,"missing: not provided"),EXACT(metadata!R604,"missing: restricted access"))),AND(IF(metadata!R604="",FALSE,ISNUMBER(VALUE(metadata!R604))),metadata!R604&gt;0))</f>
        <v>0</v>
      </c>
      <c r="AU604" t="b">
        <f>AND(IF(metadata!S604="",FALSE,TRUE),EXACT(metadata!S604,"missing: not provided"))</f>
        <v>0</v>
      </c>
    </row>
    <row r="605" spans="1:47" x14ac:dyDescent="0.2">
      <c r="A605" s="5" t="str">
        <f ca="1">IF(B605=" "," ",HYPERLINK(CONCATENATE("#metadata!",ADDRESS(INDEX($Y$2:$Y$1001,MATCH(ROWS($W$2:W605),$W$2:$W$1001,0),0),1)),INDEX($AB$2:$AB$1001,MATCH(ROWS($W$2:W605),$W$2:$W$1001,0),0)))</f>
        <v xml:space="preserve"> </v>
      </c>
      <c r="B605" s="4" t="str">
        <f ca="1">IF(OR(INDEX($X$2:$X$1001,MATCH(ROWS($W$2:W605),$W$2:$W$1001,0),1)&gt;=100000,INDEX($AD$1005:$AU$1005,1,MATCH(COLUMNS($AD$1006:AD1006),$AD$1006:$AU$1006,0))&gt;=100000), " ",IF(INDEX($AD$2:$AU$1001,MATCH(ROWS($W$2:W605),$W$2:$W$1001,0),MATCH(COLUMNS($AD$1006:AD1006),$AD$1006:$AU$1006,0)), HYPERLINK("#",""), HYPERLINK(CONCATENATE("#metadata!", ADDRESS(INDEX($Y$2:$Y$1001,MATCH(ROWS($W$2:W605),$W$2:$W$1001,0),0), INDEX($AD$1004:$AU$1004,1,MATCH(COLUMNS($AD$1006:AD1006),$AD$1006:$AU$1006,0)))),"Fix")))</f>
        <v xml:space="preserve"> </v>
      </c>
      <c r="C605" s="4" t="str">
        <f ca="1">IF(OR(INDEX($X$2:$X$1001,MATCH(ROWS($W$2:W605),$W$2:$W$1001,0),1)&gt;=100000,INDEX($AD$1005:$AU$1005,1,MATCH(COLUMNS($AD$1006:AE1006),$AD$1006:$AU$1006,0))&gt;=100000), " ",IF(INDEX($AD$2:$AU$1001,MATCH(ROWS($W$2:W605),$W$2:$W$1001,0),MATCH(COLUMNS($AD$1006:AE1006),$AD$1006:$AU$1006,0)), HYPERLINK("#",""), HYPERLINK(CONCATENATE("#metadata!", ADDRESS(INDEX($Y$2:$Y$1001,MATCH(ROWS($W$2:W605),$W$2:$W$1001,0),0), INDEX($AD$1004:$AU$1004,1,MATCH(COLUMNS($AD$1006:AE1006),$AD$1006:$AU$1006,0)))),"Fix")))</f>
        <v xml:space="preserve"> </v>
      </c>
      <c r="D605" s="4" t="str">
        <f ca="1">IF(OR(INDEX($X$2:$X$1001,MATCH(ROWS($W$2:W605),$W$2:$W$1001,0),1)&gt;=100000,INDEX($AD$1005:$AU$1005,1,MATCH(COLUMNS($AD$1006:AF1006),$AD$1006:$AU$1006,0))&gt;=100000), " ",IF(INDEX($AD$2:$AU$1001,MATCH(ROWS($W$2:W605),$W$2:$W$1001,0),MATCH(COLUMNS($AD$1006:AF1006),$AD$1006:$AU$1006,0)), HYPERLINK("#",""), HYPERLINK(CONCATENATE("#metadata!", ADDRESS(INDEX($Y$2:$Y$1001,MATCH(ROWS($W$2:W605),$W$2:$W$1001,0),0), INDEX($AD$1004:$AU$1004,1,MATCH(COLUMNS($AD$1006:AF1006),$AD$1006:$AU$1006,0)))),"Fix")))</f>
        <v xml:space="preserve"> </v>
      </c>
      <c r="E605" s="4" t="str">
        <f ca="1">IF(OR(INDEX($X$2:$X$1001,MATCH(ROWS($W$2:W605),$W$2:$W$1001,0),1)&gt;=100000,INDEX($AD$1005:$AU$1005,1,MATCH(COLUMNS($AD$1006:AG1006),$AD$1006:$AU$1006,0))&gt;=100000), " ",IF(INDEX($AD$2:$AU$1001,MATCH(ROWS($W$2:W605),$W$2:$W$1001,0),MATCH(COLUMNS($AD$1006:AG1006),$AD$1006:$AU$1006,0)), HYPERLINK("#",""), HYPERLINK(CONCATENATE("#metadata!", ADDRESS(INDEX($Y$2:$Y$1001,MATCH(ROWS($W$2:W605),$W$2:$W$1001,0),0), INDEX($AD$1004:$AU$1004,1,MATCH(COLUMNS($AD$1006:AG1006),$AD$1006:$AU$1006,0)))),"Fix")))</f>
        <v xml:space="preserve"> </v>
      </c>
      <c r="F605" s="4" t="str">
        <f ca="1">IF(OR(INDEX($X$2:$X$1001,MATCH(ROWS($W$2:W605),$W$2:$W$1001,0),1)&gt;=100000,INDEX($AD$1005:$AU$1005,1,MATCH(COLUMNS($AD$1006:AH1006),$AD$1006:$AU$1006,0))&gt;=100000), " ",IF(INDEX($AD$2:$AU$1001,MATCH(ROWS($W$2:W605),$W$2:$W$1001,0),MATCH(COLUMNS($AD$1006:AH1006),$AD$1006:$AU$1006,0)), HYPERLINK("#",""), HYPERLINK(CONCATENATE("#metadata!", ADDRESS(INDEX($Y$2:$Y$1001,MATCH(ROWS($W$2:W605),$W$2:$W$1001,0),0), INDEX($AD$1004:$AU$1004,1,MATCH(COLUMNS($AD$1006:AH1006),$AD$1006:$AU$1006,0)))),"Fix")))</f>
        <v xml:space="preserve"> </v>
      </c>
      <c r="G605" s="4" t="str">
        <f ca="1">IF(OR(INDEX($X$2:$X$1001,MATCH(ROWS($W$2:W605),$W$2:$W$1001,0),1)&gt;=100000,INDEX($AD$1005:$AU$1005,1,MATCH(COLUMNS($AD$1006:AI1006),$AD$1006:$AU$1006,0))&gt;=100000), " ",IF(INDEX($AD$2:$AU$1001,MATCH(ROWS($W$2:W605),$W$2:$W$1001,0),MATCH(COLUMNS($AD$1006:AI1006),$AD$1006:$AU$1006,0)), HYPERLINK("#",""), HYPERLINK(CONCATENATE("#metadata!", ADDRESS(INDEX($Y$2:$Y$1001,MATCH(ROWS($W$2:W605),$W$2:$W$1001,0),0), INDEX($AD$1004:$AU$1004,1,MATCH(COLUMNS($AD$1006:AI1006),$AD$1006:$AU$1006,0)))),"Fix")))</f>
        <v xml:space="preserve"> </v>
      </c>
      <c r="H605" s="4" t="str">
        <f ca="1">IF(OR(INDEX($X$2:$X$1001,MATCH(ROWS($W$2:W605),$W$2:$W$1001,0),1)&gt;=100000,INDEX($AD$1005:$AU$1005,1,MATCH(COLUMNS($AD$1006:AJ1006),$AD$1006:$AU$1006,0))&gt;=100000), " ",IF(INDEX($AD$2:$AU$1001,MATCH(ROWS($W$2:W605),$W$2:$W$1001,0),MATCH(COLUMNS($AD$1006:AJ1006),$AD$1006:$AU$1006,0)), HYPERLINK("#",""), HYPERLINK(CONCATENATE("#metadata!", ADDRESS(INDEX($Y$2:$Y$1001,MATCH(ROWS($W$2:W605),$W$2:$W$1001,0),0), INDEX($AD$1004:$AU$1004,1,MATCH(COLUMNS($AD$1006:AJ1006),$AD$1006:$AU$1006,0)))),"Fix")))</f>
        <v xml:space="preserve"> </v>
      </c>
      <c r="I605" s="4" t="str">
        <f ca="1">IF(OR(INDEX($X$2:$X$1001,MATCH(ROWS($W$2:W605),$W$2:$W$1001,0),1)&gt;=100000,INDEX($AD$1005:$AU$1005,1,MATCH(COLUMNS($AD$1006:AK1006),$AD$1006:$AU$1006,0))&gt;=100000), " ",IF(INDEX($AD$2:$AU$1001,MATCH(ROWS($W$2:W605),$W$2:$W$1001,0),MATCH(COLUMNS($AD$1006:AK1006),$AD$1006:$AU$1006,0)), HYPERLINK("#",""), HYPERLINK(CONCATENATE("#metadata!", ADDRESS(INDEX($Y$2:$Y$1001,MATCH(ROWS($W$2:W605),$W$2:$W$1001,0),0), INDEX($AD$1004:$AU$1004,1,MATCH(COLUMNS($AD$1006:AK1006),$AD$1006:$AU$1006,0)))),"Fix")))</f>
        <v xml:space="preserve"> </v>
      </c>
      <c r="J605" s="4" t="str">
        <f ca="1">IF(OR(INDEX($X$2:$X$1001,MATCH(ROWS($W$2:W605),$W$2:$W$1001,0),1)&gt;=100000,INDEX($AD$1005:$AU$1005,1,MATCH(COLUMNS($AD$1006:AL1006),$AD$1006:$AU$1006,0))&gt;=100000), " ",IF(INDEX($AD$2:$AU$1001,MATCH(ROWS($W$2:W605),$W$2:$W$1001,0),MATCH(COLUMNS($AD$1006:AL1006),$AD$1006:$AU$1006,0)), HYPERLINK("#",""), HYPERLINK(CONCATENATE("#metadata!", ADDRESS(INDEX($Y$2:$Y$1001,MATCH(ROWS($W$2:W605),$W$2:$W$1001,0),0), INDEX($AD$1004:$AU$1004,1,MATCH(COLUMNS($AD$1006:AL1006),$AD$1006:$AU$1006,0)))),"Fix")))</f>
        <v xml:space="preserve"> </v>
      </c>
      <c r="K605" s="4" t="str">
        <f ca="1">IF(OR(INDEX($X$2:$X$1001,MATCH(ROWS($W$2:W605),$W$2:$W$1001,0),1)&gt;=100000,INDEX($AD$1005:$AU$1005,1,MATCH(COLUMNS($AD$1006:AM1006),$AD$1006:$AU$1006,0))&gt;=100000), " ",IF(INDEX($AD$2:$AU$1001,MATCH(ROWS($W$2:W605),$W$2:$W$1001,0),MATCH(COLUMNS($AD$1006:AM1006),$AD$1006:$AU$1006,0)), HYPERLINK("#",""), HYPERLINK(CONCATENATE("#metadata!", ADDRESS(INDEX($Y$2:$Y$1001,MATCH(ROWS($W$2:W605),$W$2:$W$1001,0),0), INDEX($AD$1004:$AU$1004,1,MATCH(COLUMNS($AD$1006:AM1006),$AD$1006:$AU$1006,0)))),"Fix")))</f>
        <v xml:space="preserve"> </v>
      </c>
      <c r="L605" s="4" t="str">
        <f ca="1">IF(OR(INDEX($X$2:$X$1001,MATCH(ROWS($W$2:W605),$W$2:$W$1001,0),1)&gt;=100000,INDEX($AD$1005:$AU$1005,1,MATCH(COLUMNS($AD$1006:AN1006),$AD$1006:$AU$1006,0))&gt;=100000), " ",IF(INDEX($AD$2:$AU$1001,MATCH(ROWS($W$2:W605),$W$2:$W$1001,0),MATCH(COLUMNS($AD$1006:AN1006),$AD$1006:$AU$1006,0)), HYPERLINK("#",""), HYPERLINK(CONCATENATE("#metadata!", ADDRESS(INDEX($Y$2:$Y$1001,MATCH(ROWS($W$2:W605),$W$2:$W$1001,0),0), INDEX($AD$1004:$AU$1004,1,MATCH(COLUMNS($AD$1006:AN1006),$AD$1006:$AU$1006,0)))),"Fix")))</f>
        <v xml:space="preserve"> </v>
      </c>
      <c r="M605" s="4" t="str">
        <f ca="1">IF(OR(INDEX($X$2:$X$1001,MATCH(ROWS($W$2:W605),$W$2:$W$1001,0),1)&gt;=100000,INDEX($AD$1005:$AU$1005,1,MATCH(COLUMNS($AD$1006:AO1006),$AD$1006:$AU$1006,0))&gt;=100000), " ",IF(INDEX($AD$2:$AU$1001,MATCH(ROWS($W$2:W605),$W$2:$W$1001,0),MATCH(COLUMNS($AD$1006:AO1006),$AD$1006:$AU$1006,0)), HYPERLINK("#",""), HYPERLINK(CONCATENATE("#metadata!", ADDRESS(INDEX($Y$2:$Y$1001,MATCH(ROWS($W$2:W605),$W$2:$W$1001,0),0), INDEX($AD$1004:$AU$1004,1,MATCH(COLUMNS($AD$1006:AO1006),$AD$1006:$AU$1006,0)))),"Fix")))</f>
        <v xml:space="preserve"> </v>
      </c>
      <c r="N605" s="4" t="str">
        <f ca="1">IF(OR(INDEX($X$2:$X$1001,MATCH(ROWS($W$2:W605),$W$2:$W$1001,0),1)&gt;=100000,INDEX($AD$1005:$AU$1005,1,MATCH(COLUMNS($AD$1006:AP1006),$AD$1006:$AU$1006,0))&gt;=100000), " ",IF(INDEX($AD$2:$AU$1001,MATCH(ROWS($W$2:W605),$W$2:$W$1001,0),MATCH(COLUMNS($AD$1006:AP1006),$AD$1006:$AU$1006,0)), HYPERLINK("#",""), HYPERLINK(CONCATENATE("#metadata!", ADDRESS(INDEX($Y$2:$Y$1001,MATCH(ROWS($W$2:W605),$W$2:$W$1001,0),0), INDEX($AD$1004:$AU$1004,1,MATCH(COLUMNS($AD$1006:AP1006),$AD$1006:$AU$1006,0)))),"Fix")))</f>
        <v xml:space="preserve"> </v>
      </c>
      <c r="O605" s="4" t="str">
        <f ca="1">IF(OR(INDEX($X$2:$X$1001,MATCH(ROWS($W$2:W605),$W$2:$W$1001,0),1)&gt;=100000,INDEX($AD$1005:$AU$1005,1,MATCH(COLUMNS($AD$1006:AQ1006),$AD$1006:$AU$1006,0))&gt;=100000), " ",IF(INDEX($AD$2:$AU$1001,MATCH(ROWS($W$2:W605),$W$2:$W$1001,0),MATCH(COLUMNS($AD$1006:AQ1006),$AD$1006:$AU$1006,0)), HYPERLINK("#",""), HYPERLINK(CONCATENATE("#metadata!", ADDRESS(INDEX($Y$2:$Y$1001,MATCH(ROWS($W$2:W605),$W$2:$W$1001,0),0), INDEX($AD$1004:$AU$1004,1,MATCH(COLUMNS($AD$1006:AQ1006),$AD$1006:$AU$1006,0)))),"Fix")))</f>
        <v xml:space="preserve"> </v>
      </c>
      <c r="P605" s="4" t="str">
        <f ca="1">IF(OR(INDEX($X$2:$X$1001,MATCH(ROWS($W$2:W605),$W$2:$W$1001,0),1)&gt;=100000,INDEX($AD$1005:$AU$1005,1,MATCH(COLUMNS($AD$1006:AR1006),$AD$1006:$AU$1006,0))&gt;=100000), " ",IF(INDEX($AD$2:$AU$1001,MATCH(ROWS($W$2:W605),$W$2:$W$1001,0),MATCH(COLUMNS($AD$1006:AR1006),$AD$1006:$AU$1006,0)), HYPERLINK("#",""), HYPERLINK(CONCATENATE("#metadata!", ADDRESS(INDEX($Y$2:$Y$1001,MATCH(ROWS($W$2:W605),$W$2:$W$1001,0),0), INDEX($AD$1004:$AU$1004,1,MATCH(COLUMNS($AD$1006:AR1006),$AD$1006:$AU$1006,0)))),"Fix")))</f>
        <v xml:space="preserve"> </v>
      </c>
      <c r="Q605" s="4" t="str">
        <f ca="1">IF(OR(INDEX($X$2:$X$1001,MATCH(ROWS($W$2:W605),$W$2:$W$1001,0),1)&gt;=100000,INDEX($AD$1005:$AU$1005,1,MATCH(COLUMNS($AD$1006:AS1006),$AD$1006:$AU$1006,0))&gt;=100000), " ",IF(INDEX($AD$2:$AU$1001,MATCH(ROWS($W$2:W605),$W$2:$W$1001,0),MATCH(COLUMNS($AD$1006:AS1006),$AD$1006:$AU$1006,0)), HYPERLINK("#",""), HYPERLINK(CONCATENATE("#metadata!", ADDRESS(INDEX($Y$2:$Y$1001,MATCH(ROWS($W$2:W605),$W$2:$W$1001,0),0), INDEX($AD$1004:$AU$1004,1,MATCH(COLUMNS($AD$1006:AS1006),$AD$1006:$AU$1006,0)))),"Fix")))</f>
        <v xml:space="preserve"> </v>
      </c>
      <c r="R605" s="4" t="str">
        <f ca="1">IF(OR(INDEX($X$2:$X$1001,MATCH(ROWS($W$2:W605),$W$2:$W$1001,0),1)&gt;=100000,INDEX($AD$1005:$AU$1005,1,MATCH(COLUMNS($AD$1006:AT1006),$AD$1006:$AU$1006,0))&gt;=100000), " ",IF(INDEX($AD$2:$AU$1001,MATCH(ROWS($W$2:W605),$W$2:$W$1001,0),MATCH(COLUMNS($AD$1006:AT1006),$AD$1006:$AU$1006,0)), HYPERLINK("#",""), HYPERLINK(CONCATENATE("#metadata!", ADDRESS(INDEX($Y$2:$Y$1001,MATCH(ROWS($W$2:W605),$W$2:$W$1001,0),0), INDEX($AD$1004:$AU$1004,1,MATCH(COLUMNS($AD$1006:AT1006),$AD$1006:$AU$1006,0)))),"Fix")))</f>
        <v xml:space="preserve"> </v>
      </c>
      <c r="S605" s="4" t="str">
        <f ca="1">IF(OR(INDEX($X$2:$X$1001,MATCH(ROWS($W$2:W605),$W$2:$W$1001,0),1)&gt;=100000,INDEX($AD$1005:$AU$1005,1,MATCH(COLUMNS($AD$1006:AU1006),$AD$1006:$AU$1006,0))&gt;=100000), " ",IF(INDEX($AD$2:$AU$1001,MATCH(ROWS($W$2:W605),$W$2:$W$1001,0),MATCH(COLUMNS($AD$1006:AU1006),$AD$1006:$AU$1006,0)), HYPERLINK("#",""), HYPERLINK(CONCATENATE("#metadata!", ADDRESS(INDEX($Y$2:$Y$1001,MATCH(ROWS($W$2:W605),$W$2:$W$1001,0),0), INDEX($AD$1004:$AU$1004,1,MATCH(COLUMNS($AD$1006:AU1006),$AD$1006:$AU$1006,0)))),"Fix")))</f>
        <v xml:space="preserve"> </v>
      </c>
      <c r="W605">
        <v>604</v>
      </c>
      <c r="X605">
        <v>100605</v>
      </c>
      <c r="Y605">
        <v>605</v>
      </c>
      <c r="Z605" t="b">
        <f t="shared" si="9"/>
        <v>1</v>
      </c>
      <c r="AA605" t="b">
        <f>COUNTBLANK(metadata!B605:S605)=COLUMNS(metadata!B605:S605)</f>
        <v>1</v>
      </c>
      <c r="AB605" t="str">
        <v/>
      </c>
      <c r="AD605" t="b">
        <f ca="1">AND(IF(metadata!B605="",FALSE,TRUE),COUNTIF(metadata!B:B, metadata!B605) = 1,NOT(ISERROR(SUMPRODUCT(SEARCH(MID(metadata!B605,ROW(INDIRECT("1:"&amp;LEN(metadata!B605))), 1),"0123456789abcdefghijklmnopqrstuvwxyzABCDEFGHIJKLMNOPQRSTUVWXYZ.")))))</f>
        <v>0</v>
      </c>
      <c r="AE605" t="b">
        <f>OR(AND(IF(metadata!C605="",FALSE,TRUE),OR(EXACT(metadata!C605,"not applicable"),EXACT(metadata!C605,"missing: not collected"),EXACT(metadata!C605,"missing: not provided"),EXACT(metadata!C605,"missing: restricted access"))),AND(IF(metadata!C605="",FALSE,ISNUMBER(VALUE(metadata!C605))),metadata!C605&gt;0))</f>
        <v>0</v>
      </c>
      <c r="AF605" t="b">
        <f>AND(IF(metadata!D605="",FALSE,TRUE),EXACT(metadata!D605,"missing: not provided"))</f>
        <v>0</v>
      </c>
      <c r="AG605" t="b">
        <f>AND(IF(metadata!E605="",FALSE,TRUE),EXACT(metadata!E605,"Host-associated"))</f>
        <v>0</v>
      </c>
      <c r="AH605" t="b">
        <f>AND(IF(metadata!F605="",FALSE,TRUE),OR(EXACT(metadata!F605,"Animal"),EXACT(metadata!F605,"Fungus"),EXACT(metadata!F605,"Plant")))</f>
        <v>0</v>
      </c>
      <c r="AI605" t="b">
        <f>AND(IF(metadata!G605="",FALSE,TRUE),OR(EXACT(metadata!G605,"Plant secretion"),EXACT(metadata!G605,"Plant rhizosphere"),EXACT(metadata!G605,"Plant surface"),EXACT(metadata!G605,"Plant corpus"),EXACT(metadata!G605,"Fungus surface"),EXACT(metadata!G605,"Fungus corpus"),EXACT(metadata!G605,"Animal surface"),EXACT(metadata!G605,"Animal proximal gut"),EXACT(metadata!G605,"Animal corpus"),EXACT(metadata!G605,"Animal distal gut"),EXACT(metadata!G605,"Animal secretion")))</f>
        <v>0</v>
      </c>
      <c r="AJ605" t="b">
        <f>OR(AND(IF(metadata!H605="",FALSE,TRUE),OR(EXACT(metadata!H605,"missing: not collected"),EXACT(metadata!H605,"missing: not provided"),EXACT(metadata!H605,"missing: restricted access"))),AND(IF(metadata!H605="",FALSE,TRUE),OR(EXACT(metadata!H605,"organism-associated habitat"),EXACT(metadata!H605,"plant-associated habitat"),EXACT(metadata!H605,"animal-associated habitat"),EXACT(metadata!H605,"insecta-associated habitat"),EXACT(metadata!H605,"mammalia-associated habitat"),EXACT(metadata!H605,"human-associated habitat"),EXACT(metadata!H605,"livestock-associated habitat"))))</f>
        <v>0</v>
      </c>
      <c r="AK605" t="b">
        <f>AND(IF(metadata!I605="",FALSE,TRUE),EXACT(metadata!I605,"host-associated"))</f>
        <v>0</v>
      </c>
      <c r="AL605" t="b">
        <f>OR(AND(IF(metadata!J605="",FALSE,TRUE),OR(EXACT(metadata!J605,"not applicable"),EXACT(metadata!J605,"missing: not collected"),EXACT(metadata!J605,"missing: not provided"),EXACT(metadata!J605,"missing: restricted access"))),AND(IF(metadata!J605="",FALSE,ISNUMBER(VALUE(metadata!J605))),metadata!J605&gt;0))</f>
        <v>0</v>
      </c>
      <c r="AM605" t="b">
        <f>AND(IF(metadata!K605="",FALSE,TRUE),EXACT(metadata!K605,"missing: not provided"))</f>
        <v>0</v>
      </c>
      <c r="AN605" t="b">
        <f>IF(metadata!L605="",FALSE,TRUE)</f>
        <v>0</v>
      </c>
      <c r="AO605" t="b">
        <f>IF(metadata!M605="",FALSE,TRUE)</f>
        <v>0</v>
      </c>
      <c r="AP605" t="b">
        <f>OR(AND(IF(metadata!N605="",FALSE,TRUE),OR(EXACT(metadata!N605,"not applicable"),EXACT(metadata!N605,"missing: not collected"),EXACT(metadata!N605,"missing: not provided"))),AND(IF(metadata!N605="",FALSE,IF(ISERROR(INT(metadata!N605)),FALSE,INT(metadata!N605)=metadata!N605)),metadata!N605&gt;0))</f>
        <v>0</v>
      </c>
      <c r="AQ605" t="b">
        <f>AND(IF(metadata!O605="",FALSE,TRUE),EXACT(metadata!O605,"Not applicable"))</f>
        <v>0</v>
      </c>
      <c r="AR605" t="b">
        <f>OR(AND(IF(metadata!P605="",FALSE,TRUE),OR(EXACT(metadata!P605,"not applicable"),EXACT(metadata!P605,"missing: not collected"),EXACT(metadata!P605,"missing: not provided"),EXACT(metadata!P605,"missing: restricted access"))),IF(metadata!P605="",FALSE,IF(ISERROR(INT(metadata!P605)),FALSE,INT(metadata!P605)=metadata!P605)))</f>
        <v>0</v>
      </c>
      <c r="AS605" t="b">
        <f>AND(IF(metadata!Q605="",FALSE,TRUE),EXACT(metadata!Q605,"Not applicable"))</f>
        <v>0</v>
      </c>
      <c r="AT605" t="b">
        <f>OR(AND(IF(metadata!R605="",FALSE,TRUE),OR(EXACT(metadata!R605,"not applicable"),EXACT(metadata!R605,"missing: not collected"),EXACT(metadata!R605,"missing: not provided"),EXACT(metadata!R605,"missing: restricted access"))),AND(IF(metadata!R605="",FALSE,ISNUMBER(VALUE(metadata!R605))),metadata!R605&gt;0))</f>
        <v>0</v>
      </c>
      <c r="AU605" t="b">
        <f>AND(IF(metadata!S605="",FALSE,TRUE),EXACT(metadata!S605,"missing: not provided"))</f>
        <v>0</v>
      </c>
    </row>
    <row r="606" spans="1:47" x14ac:dyDescent="0.2">
      <c r="A606" s="5" t="str">
        <f ca="1">IF(B606=" "," ",HYPERLINK(CONCATENATE("#metadata!",ADDRESS(INDEX($Y$2:$Y$1001,MATCH(ROWS($W$2:W606),$W$2:$W$1001,0),0),1)),INDEX($AB$2:$AB$1001,MATCH(ROWS($W$2:W606),$W$2:$W$1001,0),0)))</f>
        <v xml:space="preserve"> </v>
      </c>
      <c r="B606" s="4" t="str">
        <f ca="1">IF(OR(INDEX($X$2:$X$1001,MATCH(ROWS($W$2:W606),$W$2:$W$1001,0),1)&gt;=100000,INDEX($AD$1005:$AU$1005,1,MATCH(COLUMNS($AD$1006:AD1006),$AD$1006:$AU$1006,0))&gt;=100000), " ",IF(INDEX($AD$2:$AU$1001,MATCH(ROWS($W$2:W606),$W$2:$W$1001,0),MATCH(COLUMNS($AD$1006:AD1006),$AD$1006:$AU$1006,0)), HYPERLINK("#",""), HYPERLINK(CONCATENATE("#metadata!", ADDRESS(INDEX($Y$2:$Y$1001,MATCH(ROWS($W$2:W606),$W$2:$W$1001,0),0), INDEX($AD$1004:$AU$1004,1,MATCH(COLUMNS($AD$1006:AD1006),$AD$1006:$AU$1006,0)))),"Fix")))</f>
        <v xml:space="preserve"> </v>
      </c>
      <c r="C606" s="4" t="str">
        <f ca="1">IF(OR(INDEX($X$2:$X$1001,MATCH(ROWS($W$2:W606),$W$2:$W$1001,0),1)&gt;=100000,INDEX($AD$1005:$AU$1005,1,MATCH(COLUMNS($AD$1006:AE1006),$AD$1006:$AU$1006,0))&gt;=100000), " ",IF(INDEX($AD$2:$AU$1001,MATCH(ROWS($W$2:W606),$W$2:$W$1001,0),MATCH(COLUMNS($AD$1006:AE1006),$AD$1006:$AU$1006,0)), HYPERLINK("#",""), HYPERLINK(CONCATENATE("#metadata!", ADDRESS(INDEX($Y$2:$Y$1001,MATCH(ROWS($W$2:W606),$W$2:$W$1001,0),0), INDEX($AD$1004:$AU$1004,1,MATCH(COLUMNS($AD$1006:AE1006),$AD$1006:$AU$1006,0)))),"Fix")))</f>
        <v xml:space="preserve"> </v>
      </c>
      <c r="D606" s="4" t="str">
        <f ca="1">IF(OR(INDEX($X$2:$X$1001,MATCH(ROWS($W$2:W606),$W$2:$W$1001,0),1)&gt;=100000,INDEX($AD$1005:$AU$1005,1,MATCH(COLUMNS($AD$1006:AF1006),$AD$1006:$AU$1006,0))&gt;=100000), " ",IF(INDEX($AD$2:$AU$1001,MATCH(ROWS($W$2:W606),$W$2:$W$1001,0),MATCH(COLUMNS($AD$1006:AF1006),$AD$1006:$AU$1006,0)), HYPERLINK("#",""), HYPERLINK(CONCATENATE("#metadata!", ADDRESS(INDEX($Y$2:$Y$1001,MATCH(ROWS($W$2:W606),$W$2:$W$1001,0),0), INDEX($AD$1004:$AU$1004,1,MATCH(COLUMNS($AD$1006:AF1006),$AD$1006:$AU$1006,0)))),"Fix")))</f>
        <v xml:space="preserve"> </v>
      </c>
      <c r="E606" s="4" t="str">
        <f ca="1">IF(OR(INDEX($X$2:$X$1001,MATCH(ROWS($W$2:W606),$W$2:$W$1001,0),1)&gt;=100000,INDEX($AD$1005:$AU$1005,1,MATCH(COLUMNS($AD$1006:AG1006),$AD$1006:$AU$1006,0))&gt;=100000), " ",IF(INDEX($AD$2:$AU$1001,MATCH(ROWS($W$2:W606),$W$2:$W$1001,0),MATCH(COLUMNS($AD$1006:AG1006),$AD$1006:$AU$1006,0)), HYPERLINK("#",""), HYPERLINK(CONCATENATE("#metadata!", ADDRESS(INDEX($Y$2:$Y$1001,MATCH(ROWS($W$2:W606),$W$2:$W$1001,0),0), INDEX($AD$1004:$AU$1004,1,MATCH(COLUMNS($AD$1006:AG1006),$AD$1006:$AU$1006,0)))),"Fix")))</f>
        <v xml:space="preserve"> </v>
      </c>
      <c r="F606" s="4" t="str">
        <f ca="1">IF(OR(INDEX($X$2:$X$1001,MATCH(ROWS($W$2:W606),$W$2:$W$1001,0),1)&gt;=100000,INDEX($AD$1005:$AU$1005,1,MATCH(COLUMNS($AD$1006:AH1006),$AD$1006:$AU$1006,0))&gt;=100000), " ",IF(INDEX($AD$2:$AU$1001,MATCH(ROWS($W$2:W606),$W$2:$W$1001,0),MATCH(COLUMNS($AD$1006:AH1006),$AD$1006:$AU$1006,0)), HYPERLINK("#",""), HYPERLINK(CONCATENATE("#metadata!", ADDRESS(INDEX($Y$2:$Y$1001,MATCH(ROWS($W$2:W606),$W$2:$W$1001,0),0), INDEX($AD$1004:$AU$1004,1,MATCH(COLUMNS($AD$1006:AH1006),$AD$1006:$AU$1006,0)))),"Fix")))</f>
        <v xml:space="preserve"> </v>
      </c>
      <c r="G606" s="4" t="str">
        <f ca="1">IF(OR(INDEX($X$2:$X$1001,MATCH(ROWS($W$2:W606),$W$2:$W$1001,0),1)&gt;=100000,INDEX($AD$1005:$AU$1005,1,MATCH(COLUMNS($AD$1006:AI1006),$AD$1006:$AU$1006,0))&gt;=100000), " ",IF(INDEX($AD$2:$AU$1001,MATCH(ROWS($W$2:W606),$W$2:$W$1001,0),MATCH(COLUMNS($AD$1006:AI1006),$AD$1006:$AU$1006,0)), HYPERLINK("#",""), HYPERLINK(CONCATENATE("#metadata!", ADDRESS(INDEX($Y$2:$Y$1001,MATCH(ROWS($W$2:W606),$W$2:$W$1001,0),0), INDEX($AD$1004:$AU$1004,1,MATCH(COLUMNS($AD$1006:AI1006),$AD$1006:$AU$1006,0)))),"Fix")))</f>
        <v xml:space="preserve"> </v>
      </c>
      <c r="H606" s="4" t="str">
        <f ca="1">IF(OR(INDEX($X$2:$X$1001,MATCH(ROWS($W$2:W606),$W$2:$W$1001,0),1)&gt;=100000,INDEX($AD$1005:$AU$1005,1,MATCH(COLUMNS($AD$1006:AJ1006),$AD$1006:$AU$1006,0))&gt;=100000), " ",IF(INDEX($AD$2:$AU$1001,MATCH(ROWS($W$2:W606),$W$2:$W$1001,0),MATCH(COLUMNS($AD$1006:AJ1006),$AD$1006:$AU$1006,0)), HYPERLINK("#",""), HYPERLINK(CONCATENATE("#metadata!", ADDRESS(INDEX($Y$2:$Y$1001,MATCH(ROWS($W$2:W606),$W$2:$W$1001,0),0), INDEX($AD$1004:$AU$1004,1,MATCH(COLUMNS($AD$1006:AJ1006),$AD$1006:$AU$1006,0)))),"Fix")))</f>
        <v xml:space="preserve"> </v>
      </c>
      <c r="I606" s="4" t="str">
        <f ca="1">IF(OR(INDEX($X$2:$X$1001,MATCH(ROWS($W$2:W606),$W$2:$W$1001,0),1)&gt;=100000,INDEX($AD$1005:$AU$1005,1,MATCH(COLUMNS($AD$1006:AK1006),$AD$1006:$AU$1006,0))&gt;=100000), " ",IF(INDEX($AD$2:$AU$1001,MATCH(ROWS($W$2:W606),$W$2:$W$1001,0),MATCH(COLUMNS($AD$1006:AK1006),$AD$1006:$AU$1006,0)), HYPERLINK("#",""), HYPERLINK(CONCATENATE("#metadata!", ADDRESS(INDEX($Y$2:$Y$1001,MATCH(ROWS($W$2:W606),$W$2:$W$1001,0),0), INDEX($AD$1004:$AU$1004,1,MATCH(COLUMNS($AD$1006:AK1006),$AD$1006:$AU$1006,0)))),"Fix")))</f>
        <v xml:space="preserve"> </v>
      </c>
      <c r="J606" s="4" t="str">
        <f ca="1">IF(OR(INDEX($X$2:$X$1001,MATCH(ROWS($W$2:W606),$W$2:$W$1001,0),1)&gt;=100000,INDEX($AD$1005:$AU$1005,1,MATCH(COLUMNS($AD$1006:AL1006),$AD$1006:$AU$1006,0))&gt;=100000), " ",IF(INDEX($AD$2:$AU$1001,MATCH(ROWS($W$2:W606),$W$2:$W$1001,0),MATCH(COLUMNS($AD$1006:AL1006),$AD$1006:$AU$1006,0)), HYPERLINK("#",""), HYPERLINK(CONCATENATE("#metadata!", ADDRESS(INDEX($Y$2:$Y$1001,MATCH(ROWS($W$2:W606),$W$2:$W$1001,0),0), INDEX($AD$1004:$AU$1004,1,MATCH(COLUMNS($AD$1006:AL1006),$AD$1006:$AU$1006,0)))),"Fix")))</f>
        <v xml:space="preserve"> </v>
      </c>
      <c r="K606" s="4" t="str">
        <f ca="1">IF(OR(INDEX($X$2:$X$1001,MATCH(ROWS($W$2:W606),$W$2:$W$1001,0),1)&gt;=100000,INDEX($AD$1005:$AU$1005,1,MATCH(COLUMNS($AD$1006:AM1006),$AD$1006:$AU$1006,0))&gt;=100000), " ",IF(INDEX($AD$2:$AU$1001,MATCH(ROWS($W$2:W606),$W$2:$W$1001,0),MATCH(COLUMNS($AD$1006:AM1006),$AD$1006:$AU$1006,0)), HYPERLINK("#",""), HYPERLINK(CONCATENATE("#metadata!", ADDRESS(INDEX($Y$2:$Y$1001,MATCH(ROWS($W$2:W606),$W$2:$W$1001,0),0), INDEX($AD$1004:$AU$1004,1,MATCH(COLUMNS($AD$1006:AM1006),$AD$1006:$AU$1006,0)))),"Fix")))</f>
        <v xml:space="preserve"> </v>
      </c>
      <c r="L606" s="4" t="str">
        <f ca="1">IF(OR(INDEX($X$2:$X$1001,MATCH(ROWS($W$2:W606),$W$2:$W$1001,0),1)&gt;=100000,INDEX($AD$1005:$AU$1005,1,MATCH(COLUMNS($AD$1006:AN1006),$AD$1006:$AU$1006,0))&gt;=100000), " ",IF(INDEX($AD$2:$AU$1001,MATCH(ROWS($W$2:W606),$W$2:$W$1001,0),MATCH(COLUMNS($AD$1006:AN1006),$AD$1006:$AU$1006,0)), HYPERLINK("#",""), HYPERLINK(CONCATENATE("#metadata!", ADDRESS(INDEX($Y$2:$Y$1001,MATCH(ROWS($W$2:W606),$W$2:$W$1001,0),0), INDEX($AD$1004:$AU$1004,1,MATCH(COLUMNS($AD$1006:AN1006),$AD$1006:$AU$1006,0)))),"Fix")))</f>
        <v xml:space="preserve"> </v>
      </c>
      <c r="M606" s="4" t="str">
        <f ca="1">IF(OR(INDEX($X$2:$X$1001,MATCH(ROWS($W$2:W606),$W$2:$W$1001,0),1)&gt;=100000,INDEX($AD$1005:$AU$1005,1,MATCH(COLUMNS($AD$1006:AO1006),$AD$1006:$AU$1006,0))&gt;=100000), " ",IF(INDEX($AD$2:$AU$1001,MATCH(ROWS($W$2:W606),$W$2:$W$1001,0),MATCH(COLUMNS($AD$1006:AO1006),$AD$1006:$AU$1006,0)), HYPERLINK("#",""), HYPERLINK(CONCATENATE("#metadata!", ADDRESS(INDEX($Y$2:$Y$1001,MATCH(ROWS($W$2:W606),$W$2:$W$1001,0),0), INDEX($AD$1004:$AU$1004,1,MATCH(COLUMNS($AD$1006:AO1006),$AD$1006:$AU$1006,0)))),"Fix")))</f>
        <v xml:space="preserve"> </v>
      </c>
      <c r="N606" s="4" t="str">
        <f ca="1">IF(OR(INDEX($X$2:$X$1001,MATCH(ROWS($W$2:W606),$W$2:$W$1001,0),1)&gt;=100000,INDEX($AD$1005:$AU$1005,1,MATCH(COLUMNS($AD$1006:AP1006),$AD$1006:$AU$1006,0))&gt;=100000), " ",IF(INDEX($AD$2:$AU$1001,MATCH(ROWS($W$2:W606),$W$2:$W$1001,0),MATCH(COLUMNS($AD$1006:AP1006),$AD$1006:$AU$1006,0)), HYPERLINK("#",""), HYPERLINK(CONCATENATE("#metadata!", ADDRESS(INDEX($Y$2:$Y$1001,MATCH(ROWS($W$2:W606),$W$2:$W$1001,0),0), INDEX($AD$1004:$AU$1004,1,MATCH(COLUMNS($AD$1006:AP1006),$AD$1006:$AU$1006,0)))),"Fix")))</f>
        <v xml:space="preserve"> </v>
      </c>
      <c r="O606" s="4" t="str">
        <f ca="1">IF(OR(INDEX($X$2:$X$1001,MATCH(ROWS($W$2:W606),$W$2:$W$1001,0),1)&gt;=100000,INDEX($AD$1005:$AU$1005,1,MATCH(COLUMNS($AD$1006:AQ1006),$AD$1006:$AU$1006,0))&gt;=100000), " ",IF(INDEX($AD$2:$AU$1001,MATCH(ROWS($W$2:W606),$W$2:$W$1001,0),MATCH(COLUMNS($AD$1006:AQ1006),$AD$1006:$AU$1006,0)), HYPERLINK("#",""), HYPERLINK(CONCATENATE("#metadata!", ADDRESS(INDEX($Y$2:$Y$1001,MATCH(ROWS($W$2:W606),$W$2:$W$1001,0),0), INDEX($AD$1004:$AU$1004,1,MATCH(COLUMNS($AD$1006:AQ1006),$AD$1006:$AU$1006,0)))),"Fix")))</f>
        <v xml:space="preserve"> </v>
      </c>
      <c r="P606" s="4" t="str">
        <f ca="1">IF(OR(INDEX($X$2:$X$1001,MATCH(ROWS($W$2:W606),$W$2:$W$1001,0),1)&gt;=100000,INDEX($AD$1005:$AU$1005,1,MATCH(COLUMNS($AD$1006:AR1006),$AD$1006:$AU$1006,0))&gt;=100000), " ",IF(INDEX($AD$2:$AU$1001,MATCH(ROWS($W$2:W606),$W$2:$W$1001,0),MATCH(COLUMNS($AD$1006:AR1006),$AD$1006:$AU$1006,0)), HYPERLINK("#",""), HYPERLINK(CONCATENATE("#metadata!", ADDRESS(INDEX($Y$2:$Y$1001,MATCH(ROWS($W$2:W606),$W$2:$W$1001,0),0), INDEX($AD$1004:$AU$1004,1,MATCH(COLUMNS($AD$1006:AR1006),$AD$1006:$AU$1006,0)))),"Fix")))</f>
        <v xml:space="preserve"> </v>
      </c>
      <c r="Q606" s="4" t="str">
        <f ca="1">IF(OR(INDEX($X$2:$X$1001,MATCH(ROWS($W$2:W606),$W$2:$W$1001,0),1)&gt;=100000,INDEX($AD$1005:$AU$1005,1,MATCH(COLUMNS($AD$1006:AS1006),$AD$1006:$AU$1006,0))&gt;=100000), " ",IF(INDEX($AD$2:$AU$1001,MATCH(ROWS($W$2:W606),$W$2:$W$1001,0),MATCH(COLUMNS($AD$1006:AS1006),$AD$1006:$AU$1006,0)), HYPERLINK("#",""), HYPERLINK(CONCATENATE("#metadata!", ADDRESS(INDEX($Y$2:$Y$1001,MATCH(ROWS($W$2:W606),$W$2:$W$1001,0),0), INDEX($AD$1004:$AU$1004,1,MATCH(COLUMNS($AD$1006:AS1006),$AD$1006:$AU$1006,0)))),"Fix")))</f>
        <v xml:space="preserve"> </v>
      </c>
      <c r="R606" s="4" t="str">
        <f ca="1">IF(OR(INDEX($X$2:$X$1001,MATCH(ROWS($W$2:W606),$W$2:$W$1001,0),1)&gt;=100000,INDEX($AD$1005:$AU$1005,1,MATCH(COLUMNS($AD$1006:AT1006),$AD$1006:$AU$1006,0))&gt;=100000), " ",IF(INDEX($AD$2:$AU$1001,MATCH(ROWS($W$2:W606),$W$2:$W$1001,0),MATCH(COLUMNS($AD$1006:AT1006),$AD$1006:$AU$1006,0)), HYPERLINK("#",""), HYPERLINK(CONCATENATE("#metadata!", ADDRESS(INDEX($Y$2:$Y$1001,MATCH(ROWS($W$2:W606),$W$2:$W$1001,0),0), INDEX($AD$1004:$AU$1004,1,MATCH(COLUMNS($AD$1006:AT1006),$AD$1006:$AU$1006,0)))),"Fix")))</f>
        <v xml:space="preserve"> </v>
      </c>
      <c r="S606" s="4" t="str">
        <f ca="1">IF(OR(INDEX($X$2:$X$1001,MATCH(ROWS($W$2:W606),$W$2:$W$1001,0),1)&gt;=100000,INDEX($AD$1005:$AU$1005,1,MATCH(COLUMNS($AD$1006:AU1006),$AD$1006:$AU$1006,0))&gt;=100000), " ",IF(INDEX($AD$2:$AU$1001,MATCH(ROWS($W$2:W606),$W$2:$W$1001,0),MATCH(COLUMNS($AD$1006:AU1006),$AD$1006:$AU$1006,0)), HYPERLINK("#",""), HYPERLINK(CONCATENATE("#metadata!", ADDRESS(INDEX($Y$2:$Y$1001,MATCH(ROWS($W$2:W606),$W$2:$W$1001,0),0), INDEX($AD$1004:$AU$1004,1,MATCH(COLUMNS($AD$1006:AU1006),$AD$1006:$AU$1006,0)))),"Fix")))</f>
        <v xml:space="preserve"> </v>
      </c>
      <c r="W606">
        <v>605</v>
      </c>
      <c r="X606">
        <v>100606</v>
      </c>
      <c r="Y606">
        <v>606</v>
      </c>
      <c r="Z606" t="b">
        <f t="shared" si="9"/>
        <v>1</v>
      </c>
      <c r="AA606" t="b">
        <f>COUNTBLANK(metadata!B606:S606)=COLUMNS(metadata!B606:S606)</f>
        <v>1</v>
      </c>
      <c r="AB606" t="str">
        <v/>
      </c>
      <c r="AD606" t="b">
        <f ca="1">AND(IF(metadata!B606="",FALSE,TRUE),COUNTIF(metadata!B:B, metadata!B606) = 1,NOT(ISERROR(SUMPRODUCT(SEARCH(MID(metadata!B606,ROW(INDIRECT("1:"&amp;LEN(metadata!B606))), 1),"0123456789abcdefghijklmnopqrstuvwxyzABCDEFGHIJKLMNOPQRSTUVWXYZ.")))))</f>
        <v>0</v>
      </c>
      <c r="AE606" t="b">
        <f>OR(AND(IF(metadata!C606="",FALSE,TRUE),OR(EXACT(metadata!C606,"not applicable"),EXACT(metadata!C606,"missing: not collected"),EXACT(metadata!C606,"missing: not provided"),EXACT(metadata!C606,"missing: restricted access"))),AND(IF(metadata!C606="",FALSE,ISNUMBER(VALUE(metadata!C606))),metadata!C606&gt;0))</f>
        <v>0</v>
      </c>
      <c r="AF606" t="b">
        <f>AND(IF(metadata!D606="",FALSE,TRUE),EXACT(metadata!D606,"missing: not provided"))</f>
        <v>0</v>
      </c>
      <c r="AG606" t="b">
        <f>AND(IF(metadata!E606="",FALSE,TRUE),EXACT(metadata!E606,"Host-associated"))</f>
        <v>0</v>
      </c>
      <c r="AH606" t="b">
        <f>AND(IF(metadata!F606="",FALSE,TRUE),OR(EXACT(metadata!F606,"Animal"),EXACT(metadata!F606,"Fungus"),EXACT(metadata!F606,"Plant")))</f>
        <v>0</v>
      </c>
      <c r="AI606" t="b">
        <f>AND(IF(metadata!G606="",FALSE,TRUE),OR(EXACT(metadata!G606,"Plant secretion"),EXACT(metadata!G606,"Plant rhizosphere"),EXACT(metadata!G606,"Plant surface"),EXACT(metadata!G606,"Plant corpus"),EXACT(metadata!G606,"Fungus surface"),EXACT(metadata!G606,"Fungus corpus"),EXACT(metadata!G606,"Animal surface"),EXACT(metadata!G606,"Animal proximal gut"),EXACT(metadata!G606,"Animal corpus"),EXACT(metadata!G606,"Animal distal gut"),EXACT(metadata!G606,"Animal secretion")))</f>
        <v>0</v>
      </c>
      <c r="AJ606" t="b">
        <f>OR(AND(IF(metadata!H606="",FALSE,TRUE),OR(EXACT(metadata!H606,"missing: not collected"),EXACT(metadata!H606,"missing: not provided"),EXACT(metadata!H606,"missing: restricted access"))),AND(IF(metadata!H606="",FALSE,TRUE),OR(EXACT(metadata!H606,"organism-associated habitat"),EXACT(metadata!H606,"plant-associated habitat"),EXACT(metadata!H606,"animal-associated habitat"),EXACT(metadata!H606,"insecta-associated habitat"),EXACT(metadata!H606,"mammalia-associated habitat"),EXACT(metadata!H606,"human-associated habitat"),EXACT(metadata!H606,"livestock-associated habitat"))))</f>
        <v>0</v>
      </c>
      <c r="AK606" t="b">
        <f>AND(IF(metadata!I606="",FALSE,TRUE),EXACT(metadata!I606,"host-associated"))</f>
        <v>0</v>
      </c>
      <c r="AL606" t="b">
        <f>OR(AND(IF(metadata!J606="",FALSE,TRUE),OR(EXACT(metadata!J606,"not applicable"),EXACT(metadata!J606,"missing: not collected"),EXACT(metadata!J606,"missing: not provided"),EXACT(metadata!J606,"missing: restricted access"))),AND(IF(metadata!J606="",FALSE,ISNUMBER(VALUE(metadata!J606))),metadata!J606&gt;0))</f>
        <v>0</v>
      </c>
      <c r="AM606" t="b">
        <f>AND(IF(metadata!K606="",FALSE,TRUE),EXACT(metadata!K606,"missing: not provided"))</f>
        <v>0</v>
      </c>
      <c r="AN606" t="b">
        <f>IF(metadata!L606="",FALSE,TRUE)</f>
        <v>0</v>
      </c>
      <c r="AO606" t="b">
        <f>IF(metadata!M606="",FALSE,TRUE)</f>
        <v>0</v>
      </c>
      <c r="AP606" t="b">
        <f>OR(AND(IF(metadata!N606="",FALSE,TRUE),OR(EXACT(metadata!N606,"not applicable"),EXACT(metadata!N606,"missing: not collected"),EXACT(metadata!N606,"missing: not provided"))),AND(IF(metadata!N606="",FALSE,IF(ISERROR(INT(metadata!N606)),FALSE,INT(metadata!N606)=metadata!N606)),metadata!N606&gt;0))</f>
        <v>0</v>
      </c>
      <c r="AQ606" t="b">
        <f>AND(IF(metadata!O606="",FALSE,TRUE),EXACT(metadata!O606,"Not applicable"))</f>
        <v>0</v>
      </c>
      <c r="AR606" t="b">
        <f>OR(AND(IF(metadata!P606="",FALSE,TRUE),OR(EXACT(metadata!P606,"not applicable"),EXACT(metadata!P606,"missing: not collected"),EXACT(metadata!P606,"missing: not provided"),EXACT(metadata!P606,"missing: restricted access"))),IF(metadata!P606="",FALSE,IF(ISERROR(INT(metadata!P606)),FALSE,INT(metadata!P606)=metadata!P606)))</f>
        <v>0</v>
      </c>
      <c r="AS606" t="b">
        <f>AND(IF(metadata!Q606="",FALSE,TRUE),EXACT(metadata!Q606,"Not applicable"))</f>
        <v>0</v>
      </c>
      <c r="AT606" t="b">
        <f>OR(AND(IF(metadata!R606="",FALSE,TRUE),OR(EXACT(metadata!R606,"not applicable"),EXACT(metadata!R606,"missing: not collected"),EXACT(metadata!R606,"missing: not provided"),EXACT(metadata!R606,"missing: restricted access"))),AND(IF(metadata!R606="",FALSE,ISNUMBER(VALUE(metadata!R606))),metadata!R606&gt;0))</f>
        <v>0</v>
      </c>
      <c r="AU606" t="b">
        <f>AND(IF(metadata!S606="",FALSE,TRUE),EXACT(metadata!S606,"missing: not provided"))</f>
        <v>0</v>
      </c>
    </row>
    <row r="607" spans="1:47" x14ac:dyDescent="0.2">
      <c r="A607" s="5" t="str">
        <f ca="1">IF(B607=" "," ",HYPERLINK(CONCATENATE("#metadata!",ADDRESS(INDEX($Y$2:$Y$1001,MATCH(ROWS($W$2:W607),$W$2:$W$1001,0),0),1)),INDEX($AB$2:$AB$1001,MATCH(ROWS($W$2:W607),$W$2:$W$1001,0),0)))</f>
        <v xml:space="preserve"> </v>
      </c>
      <c r="B607" s="4" t="str">
        <f ca="1">IF(OR(INDEX($X$2:$X$1001,MATCH(ROWS($W$2:W607),$W$2:$W$1001,0),1)&gt;=100000,INDEX($AD$1005:$AU$1005,1,MATCH(COLUMNS($AD$1006:AD1006),$AD$1006:$AU$1006,0))&gt;=100000), " ",IF(INDEX($AD$2:$AU$1001,MATCH(ROWS($W$2:W607),$W$2:$W$1001,0),MATCH(COLUMNS($AD$1006:AD1006),$AD$1006:$AU$1006,0)), HYPERLINK("#",""), HYPERLINK(CONCATENATE("#metadata!", ADDRESS(INDEX($Y$2:$Y$1001,MATCH(ROWS($W$2:W607),$W$2:$W$1001,0),0), INDEX($AD$1004:$AU$1004,1,MATCH(COLUMNS($AD$1006:AD1006),$AD$1006:$AU$1006,0)))),"Fix")))</f>
        <v xml:space="preserve"> </v>
      </c>
      <c r="C607" s="4" t="str">
        <f ca="1">IF(OR(INDEX($X$2:$X$1001,MATCH(ROWS($W$2:W607),$W$2:$W$1001,0),1)&gt;=100000,INDEX($AD$1005:$AU$1005,1,MATCH(COLUMNS($AD$1006:AE1006),$AD$1006:$AU$1006,0))&gt;=100000), " ",IF(INDEX($AD$2:$AU$1001,MATCH(ROWS($W$2:W607),$W$2:$W$1001,0),MATCH(COLUMNS($AD$1006:AE1006),$AD$1006:$AU$1006,0)), HYPERLINK("#",""), HYPERLINK(CONCATENATE("#metadata!", ADDRESS(INDEX($Y$2:$Y$1001,MATCH(ROWS($W$2:W607),$W$2:$W$1001,0),0), INDEX($AD$1004:$AU$1004,1,MATCH(COLUMNS($AD$1006:AE1006),$AD$1006:$AU$1006,0)))),"Fix")))</f>
        <v xml:space="preserve"> </v>
      </c>
      <c r="D607" s="4" t="str">
        <f ca="1">IF(OR(INDEX($X$2:$X$1001,MATCH(ROWS($W$2:W607),$W$2:$W$1001,0),1)&gt;=100000,INDEX($AD$1005:$AU$1005,1,MATCH(COLUMNS($AD$1006:AF1006),$AD$1006:$AU$1006,0))&gt;=100000), " ",IF(INDEX($AD$2:$AU$1001,MATCH(ROWS($W$2:W607),$W$2:$W$1001,0),MATCH(COLUMNS($AD$1006:AF1006),$AD$1006:$AU$1006,0)), HYPERLINK("#",""), HYPERLINK(CONCATENATE("#metadata!", ADDRESS(INDEX($Y$2:$Y$1001,MATCH(ROWS($W$2:W607),$W$2:$W$1001,0),0), INDEX($AD$1004:$AU$1004,1,MATCH(COLUMNS($AD$1006:AF1006),$AD$1006:$AU$1006,0)))),"Fix")))</f>
        <v xml:space="preserve"> </v>
      </c>
      <c r="E607" s="4" t="str">
        <f ca="1">IF(OR(INDEX($X$2:$X$1001,MATCH(ROWS($W$2:W607),$W$2:$W$1001,0),1)&gt;=100000,INDEX($AD$1005:$AU$1005,1,MATCH(COLUMNS($AD$1006:AG1006),$AD$1006:$AU$1006,0))&gt;=100000), " ",IF(INDEX($AD$2:$AU$1001,MATCH(ROWS($W$2:W607),$W$2:$W$1001,0),MATCH(COLUMNS($AD$1006:AG1006),$AD$1006:$AU$1006,0)), HYPERLINK("#",""), HYPERLINK(CONCATENATE("#metadata!", ADDRESS(INDEX($Y$2:$Y$1001,MATCH(ROWS($W$2:W607),$W$2:$W$1001,0),0), INDEX($AD$1004:$AU$1004,1,MATCH(COLUMNS($AD$1006:AG1006),$AD$1006:$AU$1006,0)))),"Fix")))</f>
        <v xml:space="preserve"> </v>
      </c>
      <c r="F607" s="4" t="str">
        <f ca="1">IF(OR(INDEX($X$2:$X$1001,MATCH(ROWS($W$2:W607),$W$2:$W$1001,0),1)&gt;=100000,INDEX($AD$1005:$AU$1005,1,MATCH(COLUMNS($AD$1006:AH1006),$AD$1006:$AU$1006,0))&gt;=100000), " ",IF(INDEX($AD$2:$AU$1001,MATCH(ROWS($W$2:W607),$W$2:$W$1001,0),MATCH(COLUMNS($AD$1006:AH1006),$AD$1006:$AU$1006,0)), HYPERLINK("#",""), HYPERLINK(CONCATENATE("#metadata!", ADDRESS(INDEX($Y$2:$Y$1001,MATCH(ROWS($W$2:W607),$W$2:$W$1001,0),0), INDEX($AD$1004:$AU$1004,1,MATCH(COLUMNS($AD$1006:AH1006),$AD$1006:$AU$1006,0)))),"Fix")))</f>
        <v xml:space="preserve"> </v>
      </c>
      <c r="G607" s="4" t="str">
        <f ca="1">IF(OR(INDEX($X$2:$X$1001,MATCH(ROWS($W$2:W607),$W$2:$W$1001,0),1)&gt;=100000,INDEX($AD$1005:$AU$1005,1,MATCH(COLUMNS($AD$1006:AI1006),$AD$1006:$AU$1006,0))&gt;=100000), " ",IF(INDEX($AD$2:$AU$1001,MATCH(ROWS($W$2:W607),$W$2:$W$1001,0),MATCH(COLUMNS($AD$1006:AI1006),$AD$1006:$AU$1006,0)), HYPERLINK("#",""), HYPERLINK(CONCATENATE("#metadata!", ADDRESS(INDEX($Y$2:$Y$1001,MATCH(ROWS($W$2:W607),$W$2:$W$1001,0),0), INDEX($AD$1004:$AU$1004,1,MATCH(COLUMNS($AD$1006:AI1006),$AD$1006:$AU$1006,0)))),"Fix")))</f>
        <v xml:space="preserve"> </v>
      </c>
      <c r="H607" s="4" t="str">
        <f ca="1">IF(OR(INDEX($X$2:$X$1001,MATCH(ROWS($W$2:W607),$W$2:$W$1001,0),1)&gt;=100000,INDEX($AD$1005:$AU$1005,1,MATCH(COLUMNS($AD$1006:AJ1006),$AD$1006:$AU$1006,0))&gt;=100000), " ",IF(INDEX($AD$2:$AU$1001,MATCH(ROWS($W$2:W607),$W$2:$W$1001,0),MATCH(COLUMNS($AD$1006:AJ1006),$AD$1006:$AU$1006,0)), HYPERLINK("#",""), HYPERLINK(CONCATENATE("#metadata!", ADDRESS(INDEX($Y$2:$Y$1001,MATCH(ROWS($W$2:W607),$W$2:$W$1001,0),0), INDEX($AD$1004:$AU$1004,1,MATCH(COLUMNS($AD$1006:AJ1006),$AD$1006:$AU$1006,0)))),"Fix")))</f>
        <v xml:space="preserve"> </v>
      </c>
      <c r="I607" s="4" t="str">
        <f ca="1">IF(OR(INDEX($X$2:$X$1001,MATCH(ROWS($W$2:W607),$W$2:$W$1001,0),1)&gt;=100000,INDEX($AD$1005:$AU$1005,1,MATCH(COLUMNS($AD$1006:AK1006),$AD$1006:$AU$1006,0))&gt;=100000), " ",IF(INDEX($AD$2:$AU$1001,MATCH(ROWS($W$2:W607),$W$2:$W$1001,0),MATCH(COLUMNS($AD$1006:AK1006),$AD$1006:$AU$1006,0)), HYPERLINK("#",""), HYPERLINK(CONCATENATE("#metadata!", ADDRESS(INDEX($Y$2:$Y$1001,MATCH(ROWS($W$2:W607),$W$2:$W$1001,0),0), INDEX($AD$1004:$AU$1004,1,MATCH(COLUMNS($AD$1006:AK1006),$AD$1006:$AU$1006,0)))),"Fix")))</f>
        <v xml:space="preserve"> </v>
      </c>
      <c r="J607" s="4" t="str">
        <f ca="1">IF(OR(INDEX($X$2:$X$1001,MATCH(ROWS($W$2:W607),$W$2:$W$1001,0),1)&gt;=100000,INDEX($AD$1005:$AU$1005,1,MATCH(COLUMNS($AD$1006:AL1006),$AD$1006:$AU$1006,0))&gt;=100000), " ",IF(INDEX($AD$2:$AU$1001,MATCH(ROWS($W$2:W607),$W$2:$W$1001,0),MATCH(COLUMNS($AD$1006:AL1006),$AD$1006:$AU$1006,0)), HYPERLINK("#",""), HYPERLINK(CONCATENATE("#metadata!", ADDRESS(INDEX($Y$2:$Y$1001,MATCH(ROWS($W$2:W607),$W$2:$W$1001,0),0), INDEX($AD$1004:$AU$1004,1,MATCH(COLUMNS($AD$1006:AL1006),$AD$1006:$AU$1006,0)))),"Fix")))</f>
        <v xml:space="preserve"> </v>
      </c>
      <c r="K607" s="4" t="str">
        <f ca="1">IF(OR(INDEX($X$2:$X$1001,MATCH(ROWS($W$2:W607),$W$2:$W$1001,0),1)&gt;=100000,INDEX($AD$1005:$AU$1005,1,MATCH(COLUMNS($AD$1006:AM1006),$AD$1006:$AU$1006,0))&gt;=100000), " ",IF(INDEX($AD$2:$AU$1001,MATCH(ROWS($W$2:W607),$W$2:$W$1001,0),MATCH(COLUMNS($AD$1006:AM1006),$AD$1006:$AU$1006,0)), HYPERLINK("#",""), HYPERLINK(CONCATENATE("#metadata!", ADDRESS(INDEX($Y$2:$Y$1001,MATCH(ROWS($W$2:W607),$W$2:$W$1001,0),0), INDEX($AD$1004:$AU$1004,1,MATCH(COLUMNS($AD$1006:AM1006),$AD$1006:$AU$1006,0)))),"Fix")))</f>
        <v xml:space="preserve"> </v>
      </c>
      <c r="L607" s="4" t="str">
        <f ca="1">IF(OR(INDEX($X$2:$X$1001,MATCH(ROWS($W$2:W607),$W$2:$W$1001,0),1)&gt;=100000,INDEX($AD$1005:$AU$1005,1,MATCH(COLUMNS($AD$1006:AN1006),$AD$1006:$AU$1006,0))&gt;=100000), " ",IF(INDEX($AD$2:$AU$1001,MATCH(ROWS($W$2:W607),$W$2:$W$1001,0),MATCH(COLUMNS($AD$1006:AN1006),$AD$1006:$AU$1006,0)), HYPERLINK("#",""), HYPERLINK(CONCATENATE("#metadata!", ADDRESS(INDEX($Y$2:$Y$1001,MATCH(ROWS($W$2:W607),$W$2:$W$1001,0),0), INDEX($AD$1004:$AU$1004,1,MATCH(COLUMNS($AD$1006:AN1006),$AD$1006:$AU$1006,0)))),"Fix")))</f>
        <v xml:space="preserve"> </v>
      </c>
      <c r="M607" s="4" t="str">
        <f ca="1">IF(OR(INDEX($X$2:$X$1001,MATCH(ROWS($W$2:W607),$W$2:$W$1001,0),1)&gt;=100000,INDEX($AD$1005:$AU$1005,1,MATCH(COLUMNS($AD$1006:AO1006),$AD$1006:$AU$1006,0))&gt;=100000), " ",IF(INDEX($AD$2:$AU$1001,MATCH(ROWS($W$2:W607),$W$2:$W$1001,0),MATCH(COLUMNS($AD$1006:AO1006),$AD$1006:$AU$1006,0)), HYPERLINK("#",""), HYPERLINK(CONCATENATE("#metadata!", ADDRESS(INDEX($Y$2:$Y$1001,MATCH(ROWS($W$2:W607),$W$2:$W$1001,0),0), INDEX($AD$1004:$AU$1004,1,MATCH(COLUMNS($AD$1006:AO1006),$AD$1006:$AU$1006,0)))),"Fix")))</f>
        <v xml:space="preserve"> </v>
      </c>
      <c r="N607" s="4" t="str">
        <f ca="1">IF(OR(INDEX($X$2:$X$1001,MATCH(ROWS($W$2:W607),$W$2:$W$1001,0),1)&gt;=100000,INDEX($AD$1005:$AU$1005,1,MATCH(COLUMNS($AD$1006:AP1006),$AD$1006:$AU$1006,0))&gt;=100000), " ",IF(INDEX($AD$2:$AU$1001,MATCH(ROWS($W$2:W607),$W$2:$W$1001,0),MATCH(COLUMNS($AD$1006:AP1006),$AD$1006:$AU$1006,0)), HYPERLINK("#",""), HYPERLINK(CONCATENATE("#metadata!", ADDRESS(INDEX($Y$2:$Y$1001,MATCH(ROWS($W$2:W607),$W$2:$W$1001,0),0), INDEX($AD$1004:$AU$1004,1,MATCH(COLUMNS($AD$1006:AP1006),$AD$1006:$AU$1006,0)))),"Fix")))</f>
        <v xml:space="preserve"> </v>
      </c>
      <c r="O607" s="4" t="str">
        <f ca="1">IF(OR(INDEX($X$2:$X$1001,MATCH(ROWS($W$2:W607),$W$2:$W$1001,0),1)&gt;=100000,INDEX($AD$1005:$AU$1005,1,MATCH(COLUMNS($AD$1006:AQ1006),$AD$1006:$AU$1006,0))&gt;=100000), " ",IF(INDEX($AD$2:$AU$1001,MATCH(ROWS($W$2:W607),$W$2:$W$1001,0),MATCH(COLUMNS($AD$1006:AQ1006),$AD$1006:$AU$1006,0)), HYPERLINK("#",""), HYPERLINK(CONCATENATE("#metadata!", ADDRESS(INDEX($Y$2:$Y$1001,MATCH(ROWS($W$2:W607),$W$2:$W$1001,0),0), INDEX($AD$1004:$AU$1004,1,MATCH(COLUMNS($AD$1006:AQ1006),$AD$1006:$AU$1006,0)))),"Fix")))</f>
        <v xml:space="preserve"> </v>
      </c>
      <c r="P607" s="4" t="str">
        <f ca="1">IF(OR(INDEX($X$2:$X$1001,MATCH(ROWS($W$2:W607),$W$2:$W$1001,0),1)&gt;=100000,INDEX($AD$1005:$AU$1005,1,MATCH(COLUMNS($AD$1006:AR1006),$AD$1006:$AU$1006,0))&gt;=100000), " ",IF(INDEX($AD$2:$AU$1001,MATCH(ROWS($W$2:W607),$W$2:$W$1001,0),MATCH(COLUMNS($AD$1006:AR1006),$AD$1006:$AU$1006,0)), HYPERLINK("#",""), HYPERLINK(CONCATENATE("#metadata!", ADDRESS(INDEX($Y$2:$Y$1001,MATCH(ROWS($W$2:W607),$W$2:$W$1001,0),0), INDEX($AD$1004:$AU$1004,1,MATCH(COLUMNS($AD$1006:AR1006),$AD$1006:$AU$1006,0)))),"Fix")))</f>
        <v xml:space="preserve"> </v>
      </c>
      <c r="Q607" s="4" t="str">
        <f ca="1">IF(OR(INDEX($X$2:$X$1001,MATCH(ROWS($W$2:W607),$W$2:$W$1001,0),1)&gt;=100000,INDEX($AD$1005:$AU$1005,1,MATCH(COLUMNS($AD$1006:AS1006),$AD$1006:$AU$1006,0))&gt;=100000), " ",IF(INDEX($AD$2:$AU$1001,MATCH(ROWS($W$2:W607),$W$2:$W$1001,0),MATCH(COLUMNS($AD$1006:AS1006),$AD$1006:$AU$1006,0)), HYPERLINK("#",""), HYPERLINK(CONCATENATE("#metadata!", ADDRESS(INDEX($Y$2:$Y$1001,MATCH(ROWS($W$2:W607),$W$2:$W$1001,0),0), INDEX($AD$1004:$AU$1004,1,MATCH(COLUMNS($AD$1006:AS1006),$AD$1006:$AU$1006,0)))),"Fix")))</f>
        <v xml:space="preserve"> </v>
      </c>
      <c r="R607" s="4" t="str">
        <f ca="1">IF(OR(INDEX($X$2:$X$1001,MATCH(ROWS($W$2:W607),$W$2:$W$1001,0),1)&gt;=100000,INDEX($AD$1005:$AU$1005,1,MATCH(COLUMNS($AD$1006:AT1006),$AD$1006:$AU$1006,0))&gt;=100000), " ",IF(INDEX($AD$2:$AU$1001,MATCH(ROWS($W$2:W607),$W$2:$W$1001,0),MATCH(COLUMNS($AD$1006:AT1006),$AD$1006:$AU$1006,0)), HYPERLINK("#",""), HYPERLINK(CONCATENATE("#metadata!", ADDRESS(INDEX($Y$2:$Y$1001,MATCH(ROWS($W$2:W607),$W$2:$W$1001,0),0), INDEX($AD$1004:$AU$1004,1,MATCH(COLUMNS($AD$1006:AT1006),$AD$1006:$AU$1006,0)))),"Fix")))</f>
        <v xml:space="preserve"> </v>
      </c>
      <c r="S607" s="4" t="str">
        <f ca="1">IF(OR(INDEX($X$2:$X$1001,MATCH(ROWS($W$2:W607),$W$2:$W$1001,0),1)&gt;=100000,INDEX($AD$1005:$AU$1005,1,MATCH(COLUMNS($AD$1006:AU1006),$AD$1006:$AU$1006,0))&gt;=100000), " ",IF(INDEX($AD$2:$AU$1001,MATCH(ROWS($W$2:W607),$W$2:$W$1001,0),MATCH(COLUMNS($AD$1006:AU1006),$AD$1006:$AU$1006,0)), HYPERLINK("#",""), HYPERLINK(CONCATENATE("#metadata!", ADDRESS(INDEX($Y$2:$Y$1001,MATCH(ROWS($W$2:W607),$W$2:$W$1001,0),0), INDEX($AD$1004:$AU$1004,1,MATCH(COLUMNS($AD$1006:AU1006),$AD$1006:$AU$1006,0)))),"Fix")))</f>
        <v xml:space="preserve"> </v>
      </c>
      <c r="W607">
        <v>606</v>
      </c>
      <c r="X607">
        <v>100607</v>
      </c>
      <c r="Y607">
        <v>607</v>
      </c>
      <c r="Z607" t="b">
        <f t="shared" si="9"/>
        <v>1</v>
      </c>
      <c r="AA607" t="b">
        <f>COUNTBLANK(metadata!B607:S607)=COLUMNS(metadata!B607:S607)</f>
        <v>1</v>
      </c>
      <c r="AB607" t="str">
        <v/>
      </c>
      <c r="AD607" t="b">
        <f ca="1">AND(IF(metadata!B607="",FALSE,TRUE),COUNTIF(metadata!B:B, metadata!B607) = 1,NOT(ISERROR(SUMPRODUCT(SEARCH(MID(metadata!B607,ROW(INDIRECT("1:"&amp;LEN(metadata!B607))), 1),"0123456789abcdefghijklmnopqrstuvwxyzABCDEFGHIJKLMNOPQRSTUVWXYZ.")))))</f>
        <v>0</v>
      </c>
      <c r="AE607" t="b">
        <f>OR(AND(IF(metadata!C607="",FALSE,TRUE),OR(EXACT(metadata!C607,"not applicable"),EXACT(metadata!C607,"missing: not collected"),EXACT(metadata!C607,"missing: not provided"),EXACT(metadata!C607,"missing: restricted access"))),AND(IF(metadata!C607="",FALSE,ISNUMBER(VALUE(metadata!C607))),metadata!C607&gt;0))</f>
        <v>0</v>
      </c>
      <c r="AF607" t="b">
        <f>AND(IF(metadata!D607="",FALSE,TRUE),EXACT(metadata!D607,"missing: not provided"))</f>
        <v>0</v>
      </c>
      <c r="AG607" t="b">
        <f>AND(IF(metadata!E607="",FALSE,TRUE),EXACT(metadata!E607,"Host-associated"))</f>
        <v>0</v>
      </c>
      <c r="AH607" t="b">
        <f>AND(IF(metadata!F607="",FALSE,TRUE),OR(EXACT(metadata!F607,"Animal"),EXACT(metadata!F607,"Fungus"),EXACT(metadata!F607,"Plant")))</f>
        <v>0</v>
      </c>
      <c r="AI607" t="b">
        <f>AND(IF(metadata!G607="",FALSE,TRUE),OR(EXACT(metadata!G607,"Plant secretion"),EXACT(metadata!G607,"Plant rhizosphere"),EXACT(metadata!G607,"Plant surface"),EXACT(metadata!G607,"Plant corpus"),EXACT(metadata!G607,"Fungus surface"),EXACT(metadata!G607,"Fungus corpus"),EXACT(metadata!G607,"Animal surface"),EXACT(metadata!G607,"Animal proximal gut"),EXACT(metadata!G607,"Animal corpus"),EXACT(metadata!G607,"Animal distal gut"),EXACT(metadata!G607,"Animal secretion")))</f>
        <v>0</v>
      </c>
      <c r="AJ607" t="b">
        <f>OR(AND(IF(metadata!H607="",FALSE,TRUE),OR(EXACT(metadata!H607,"missing: not collected"),EXACT(metadata!H607,"missing: not provided"),EXACT(metadata!H607,"missing: restricted access"))),AND(IF(metadata!H607="",FALSE,TRUE),OR(EXACT(metadata!H607,"organism-associated habitat"),EXACT(metadata!H607,"plant-associated habitat"),EXACT(metadata!H607,"animal-associated habitat"),EXACT(metadata!H607,"insecta-associated habitat"),EXACT(metadata!H607,"mammalia-associated habitat"),EXACT(metadata!H607,"human-associated habitat"),EXACT(metadata!H607,"livestock-associated habitat"))))</f>
        <v>0</v>
      </c>
      <c r="AK607" t="b">
        <f>AND(IF(metadata!I607="",FALSE,TRUE),EXACT(metadata!I607,"host-associated"))</f>
        <v>0</v>
      </c>
      <c r="AL607" t="b">
        <f>OR(AND(IF(metadata!J607="",FALSE,TRUE),OR(EXACT(metadata!J607,"not applicable"),EXACT(metadata!J607,"missing: not collected"),EXACT(metadata!J607,"missing: not provided"),EXACT(metadata!J607,"missing: restricted access"))),AND(IF(metadata!J607="",FALSE,ISNUMBER(VALUE(metadata!J607))),metadata!J607&gt;0))</f>
        <v>0</v>
      </c>
      <c r="AM607" t="b">
        <f>AND(IF(metadata!K607="",FALSE,TRUE),EXACT(metadata!K607,"missing: not provided"))</f>
        <v>0</v>
      </c>
      <c r="AN607" t="b">
        <f>IF(metadata!L607="",FALSE,TRUE)</f>
        <v>0</v>
      </c>
      <c r="AO607" t="b">
        <f>IF(metadata!M607="",FALSE,TRUE)</f>
        <v>0</v>
      </c>
      <c r="AP607" t="b">
        <f>OR(AND(IF(metadata!N607="",FALSE,TRUE),OR(EXACT(metadata!N607,"not applicable"),EXACT(metadata!N607,"missing: not collected"),EXACT(metadata!N607,"missing: not provided"))),AND(IF(metadata!N607="",FALSE,IF(ISERROR(INT(metadata!N607)),FALSE,INT(metadata!N607)=metadata!N607)),metadata!N607&gt;0))</f>
        <v>0</v>
      </c>
      <c r="AQ607" t="b">
        <f>AND(IF(metadata!O607="",FALSE,TRUE),EXACT(metadata!O607,"Not applicable"))</f>
        <v>0</v>
      </c>
      <c r="AR607" t="b">
        <f>OR(AND(IF(metadata!P607="",FALSE,TRUE),OR(EXACT(metadata!P607,"not applicable"),EXACT(metadata!P607,"missing: not collected"),EXACT(metadata!P607,"missing: not provided"),EXACT(metadata!P607,"missing: restricted access"))),IF(metadata!P607="",FALSE,IF(ISERROR(INT(metadata!P607)),FALSE,INT(metadata!P607)=metadata!P607)))</f>
        <v>0</v>
      </c>
      <c r="AS607" t="b">
        <f>AND(IF(metadata!Q607="",FALSE,TRUE),EXACT(metadata!Q607,"Not applicable"))</f>
        <v>0</v>
      </c>
      <c r="AT607" t="b">
        <f>OR(AND(IF(metadata!R607="",FALSE,TRUE),OR(EXACT(metadata!R607,"not applicable"),EXACT(metadata!R607,"missing: not collected"),EXACT(metadata!R607,"missing: not provided"),EXACT(metadata!R607,"missing: restricted access"))),AND(IF(metadata!R607="",FALSE,ISNUMBER(VALUE(metadata!R607))),metadata!R607&gt;0))</f>
        <v>0</v>
      </c>
      <c r="AU607" t="b">
        <f>AND(IF(metadata!S607="",FALSE,TRUE),EXACT(metadata!S607,"missing: not provided"))</f>
        <v>0</v>
      </c>
    </row>
    <row r="608" spans="1:47" x14ac:dyDescent="0.2">
      <c r="A608" s="5" t="str">
        <f ca="1">IF(B608=" "," ",HYPERLINK(CONCATENATE("#metadata!",ADDRESS(INDEX($Y$2:$Y$1001,MATCH(ROWS($W$2:W608),$W$2:$W$1001,0),0),1)),INDEX($AB$2:$AB$1001,MATCH(ROWS($W$2:W608),$W$2:$W$1001,0),0)))</f>
        <v xml:space="preserve"> </v>
      </c>
      <c r="B608" s="4" t="str">
        <f ca="1">IF(OR(INDEX($X$2:$X$1001,MATCH(ROWS($W$2:W608),$W$2:$W$1001,0),1)&gt;=100000,INDEX($AD$1005:$AU$1005,1,MATCH(COLUMNS($AD$1006:AD1006),$AD$1006:$AU$1006,0))&gt;=100000), " ",IF(INDEX($AD$2:$AU$1001,MATCH(ROWS($W$2:W608),$W$2:$W$1001,0),MATCH(COLUMNS($AD$1006:AD1006),$AD$1006:$AU$1006,0)), HYPERLINK("#",""), HYPERLINK(CONCATENATE("#metadata!", ADDRESS(INDEX($Y$2:$Y$1001,MATCH(ROWS($W$2:W608),$W$2:$W$1001,0),0), INDEX($AD$1004:$AU$1004,1,MATCH(COLUMNS($AD$1006:AD1006),$AD$1006:$AU$1006,0)))),"Fix")))</f>
        <v xml:space="preserve"> </v>
      </c>
      <c r="C608" s="4" t="str">
        <f ca="1">IF(OR(INDEX($X$2:$X$1001,MATCH(ROWS($W$2:W608),$W$2:$W$1001,0),1)&gt;=100000,INDEX($AD$1005:$AU$1005,1,MATCH(COLUMNS($AD$1006:AE1006),$AD$1006:$AU$1006,0))&gt;=100000), " ",IF(INDEX($AD$2:$AU$1001,MATCH(ROWS($W$2:W608),$W$2:$W$1001,0),MATCH(COLUMNS($AD$1006:AE1006),$AD$1006:$AU$1006,0)), HYPERLINK("#",""), HYPERLINK(CONCATENATE("#metadata!", ADDRESS(INDEX($Y$2:$Y$1001,MATCH(ROWS($W$2:W608),$W$2:$W$1001,0),0), INDEX($AD$1004:$AU$1004,1,MATCH(COLUMNS($AD$1006:AE1006),$AD$1006:$AU$1006,0)))),"Fix")))</f>
        <v xml:space="preserve"> </v>
      </c>
      <c r="D608" s="4" t="str">
        <f ca="1">IF(OR(INDEX($X$2:$X$1001,MATCH(ROWS($W$2:W608),$W$2:$W$1001,0),1)&gt;=100000,INDEX($AD$1005:$AU$1005,1,MATCH(COLUMNS($AD$1006:AF1006),$AD$1006:$AU$1006,0))&gt;=100000), " ",IF(INDEX($AD$2:$AU$1001,MATCH(ROWS($W$2:W608),$W$2:$W$1001,0),MATCH(COLUMNS($AD$1006:AF1006),$AD$1006:$AU$1006,0)), HYPERLINK("#",""), HYPERLINK(CONCATENATE("#metadata!", ADDRESS(INDEX($Y$2:$Y$1001,MATCH(ROWS($W$2:W608),$W$2:$W$1001,0),0), INDEX($AD$1004:$AU$1004,1,MATCH(COLUMNS($AD$1006:AF1006),$AD$1006:$AU$1006,0)))),"Fix")))</f>
        <v xml:space="preserve"> </v>
      </c>
      <c r="E608" s="4" t="str">
        <f ca="1">IF(OR(INDEX($X$2:$X$1001,MATCH(ROWS($W$2:W608),$W$2:$W$1001,0),1)&gt;=100000,INDEX($AD$1005:$AU$1005,1,MATCH(COLUMNS($AD$1006:AG1006),$AD$1006:$AU$1006,0))&gt;=100000), " ",IF(INDEX($AD$2:$AU$1001,MATCH(ROWS($W$2:W608),$W$2:$W$1001,0),MATCH(COLUMNS($AD$1006:AG1006),$AD$1006:$AU$1006,0)), HYPERLINK("#",""), HYPERLINK(CONCATENATE("#metadata!", ADDRESS(INDEX($Y$2:$Y$1001,MATCH(ROWS($W$2:W608),$W$2:$W$1001,0),0), INDEX($AD$1004:$AU$1004,1,MATCH(COLUMNS($AD$1006:AG1006),$AD$1006:$AU$1006,0)))),"Fix")))</f>
        <v xml:space="preserve"> </v>
      </c>
      <c r="F608" s="4" t="str">
        <f ca="1">IF(OR(INDEX($X$2:$X$1001,MATCH(ROWS($W$2:W608),$W$2:$W$1001,0),1)&gt;=100000,INDEX($AD$1005:$AU$1005,1,MATCH(COLUMNS($AD$1006:AH1006),$AD$1006:$AU$1006,0))&gt;=100000), " ",IF(INDEX($AD$2:$AU$1001,MATCH(ROWS($W$2:W608),$W$2:$W$1001,0),MATCH(COLUMNS($AD$1006:AH1006),$AD$1006:$AU$1006,0)), HYPERLINK("#",""), HYPERLINK(CONCATENATE("#metadata!", ADDRESS(INDEX($Y$2:$Y$1001,MATCH(ROWS($W$2:W608),$W$2:$W$1001,0),0), INDEX($AD$1004:$AU$1004,1,MATCH(COLUMNS($AD$1006:AH1006),$AD$1006:$AU$1006,0)))),"Fix")))</f>
        <v xml:space="preserve"> </v>
      </c>
      <c r="G608" s="4" t="str">
        <f ca="1">IF(OR(INDEX($X$2:$X$1001,MATCH(ROWS($W$2:W608),$W$2:$W$1001,0),1)&gt;=100000,INDEX($AD$1005:$AU$1005,1,MATCH(COLUMNS($AD$1006:AI1006),$AD$1006:$AU$1006,0))&gt;=100000), " ",IF(INDEX($AD$2:$AU$1001,MATCH(ROWS($W$2:W608),$W$2:$W$1001,0),MATCH(COLUMNS($AD$1006:AI1006),$AD$1006:$AU$1006,0)), HYPERLINK("#",""), HYPERLINK(CONCATENATE("#metadata!", ADDRESS(INDEX($Y$2:$Y$1001,MATCH(ROWS($W$2:W608),$W$2:$W$1001,0),0), INDEX($AD$1004:$AU$1004,1,MATCH(COLUMNS($AD$1006:AI1006),$AD$1006:$AU$1006,0)))),"Fix")))</f>
        <v xml:space="preserve"> </v>
      </c>
      <c r="H608" s="4" t="str">
        <f ca="1">IF(OR(INDEX($X$2:$X$1001,MATCH(ROWS($W$2:W608),$W$2:$W$1001,0),1)&gt;=100000,INDEX($AD$1005:$AU$1005,1,MATCH(COLUMNS($AD$1006:AJ1006),$AD$1006:$AU$1006,0))&gt;=100000), " ",IF(INDEX($AD$2:$AU$1001,MATCH(ROWS($W$2:W608),$W$2:$W$1001,0),MATCH(COLUMNS($AD$1006:AJ1006),$AD$1006:$AU$1006,0)), HYPERLINK("#",""), HYPERLINK(CONCATENATE("#metadata!", ADDRESS(INDEX($Y$2:$Y$1001,MATCH(ROWS($W$2:W608),$W$2:$W$1001,0),0), INDEX($AD$1004:$AU$1004,1,MATCH(COLUMNS($AD$1006:AJ1006),$AD$1006:$AU$1006,0)))),"Fix")))</f>
        <v xml:space="preserve"> </v>
      </c>
      <c r="I608" s="4" t="str">
        <f ca="1">IF(OR(INDEX($X$2:$X$1001,MATCH(ROWS($W$2:W608),$W$2:$W$1001,0),1)&gt;=100000,INDEX($AD$1005:$AU$1005,1,MATCH(COLUMNS($AD$1006:AK1006),$AD$1006:$AU$1006,0))&gt;=100000), " ",IF(INDEX($AD$2:$AU$1001,MATCH(ROWS($W$2:W608),$W$2:$W$1001,0),MATCH(COLUMNS($AD$1006:AK1006),$AD$1006:$AU$1006,0)), HYPERLINK("#",""), HYPERLINK(CONCATENATE("#metadata!", ADDRESS(INDEX($Y$2:$Y$1001,MATCH(ROWS($W$2:W608),$W$2:$W$1001,0),0), INDEX($AD$1004:$AU$1004,1,MATCH(COLUMNS($AD$1006:AK1006),$AD$1006:$AU$1006,0)))),"Fix")))</f>
        <v xml:space="preserve"> </v>
      </c>
      <c r="J608" s="4" t="str">
        <f ca="1">IF(OR(INDEX($X$2:$X$1001,MATCH(ROWS($W$2:W608),$W$2:$W$1001,0),1)&gt;=100000,INDEX($AD$1005:$AU$1005,1,MATCH(COLUMNS($AD$1006:AL1006),$AD$1006:$AU$1006,0))&gt;=100000), " ",IF(INDEX($AD$2:$AU$1001,MATCH(ROWS($W$2:W608),$W$2:$W$1001,0),MATCH(COLUMNS($AD$1006:AL1006),$AD$1006:$AU$1006,0)), HYPERLINK("#",""), HYPERLINK(CONCATENATE("#metadata!", ADDRESS(INDEX($Y$2:$Y$1001,MATCH(ROWS($W$2:W608),$W$2:$W$1001,0),0), INDEX($AD$1004:$AU$1004,1,MATCH(COLUMNS($AD$1006:AL1006),$AD$1006:$AU$1006,0)))),"Fix")))</f>
        <v xml:space="preserve"> </v>
      </c>
      <c r="K608" s="4" t="str">
        <f ca="1">IF(OR(INDEX($X$2:$X$1001,MATCH(ROWS($W$2:W608),$W$2:$W$1001,0),1)&gt;=100000,INDEX($AD$1005:$AU$1005,1,MATCH(COLUMNS($AD$1006:AM1006),$AD$1006:$AU$1006,0))&gt;=100000), " ",IF(INDEX($AD$2:$AU$1001,MATCH(ROWS($W$2:W608),$W$2:$W$1001,0),MATCH(COLUMNS($AD$1006:AM1006),$AD$1006:$AU$1006,0)), HYPERLINK("#",""), HYPERLINK(CONCATENATE("#metadata!", ADDRESS(INDEX($Y$2:$Y$1001,MATCH(ROWS($W$2:W608),$W$2:$W$1001,0),0), INDEX($AD$1004:$AU$1004,1,MATCH(COLUMNS($AD$1006:AM1006),$AD$1006:$AU$1006,0)))),"Fix")))</f>
        <v xml:space="preserve"> </v>
      </c>
      <c r="L608" s="4" t="str">
        <f ca="1">IF(OR(INDEX($X$2:$X$1001,MATCH(ROWS($W$2:W608),$W$2:$W$1001,0),1)&gt;=100000,INDEX($AD$1005:$AU$1005,1,MATCH(COLUMNS($AD$1006:AN1006),$AD$1006:$AU$1006,0))&gt;=100000), " ",IF(INDEX($AD$2:$AU$1001,MATCH(ROWS($W$2:W608),$W$2:$W$1001,0),MATCH(COLUMNS($AD$1006:AN1006),$AD$1006:$AU$1006,0)), HYPERLINK("#",""), HYPERLINK(CONCATENATE("#metadata!", ADDRESS(INDEX($Y$2:$Y$1001,MATCH(ROWS($W$2:W608),$W$2:$W$1001,0),0), INDEX($AD$1004:$AU$1004,1,MATCH(COLUMNS($AD$1006:AN1006),$AD$1006:$AU$1006,0)))),"Fix")))</f>
        <v xml:space="preserve"> </v>
      </c>
      <c r="M608" s="4" t="str">
        <f ca="1">IF(OR(INDEX($X$2:$X$1001,MATCH(ROWS($W$2:W608),$W$2:$W$1001,0),1)&gt;=100000,INDEX($AD$1005:$AU$1005,1,MATCH(COLUMNS($AD$1006:AO1006),$AD$1006:$AU$1006,0))&gt;=100000), " ",IF(INDEX($AD$2:$AU$1001,MATCH(ROWS($W$2:W608),$W$2:$W$1001,0),MATCH(COLUMNS($AD$1006:AO1006),$AD$1006:$AU$1006,0)), HYPERLINK("#",""), HYPERLINK(CONCATENATE("#metadata!", ADDRESS(INDEX($Y$2:$Y$1001,MATCH(ROWS($W$2:W608),$W$2:$W$1001,0),0), INDEX($AD$1004:$AU$1004,1,MATCH(COLUMNS($AD$1006:AO1006),$AD$1006:$AU$1006,0)))),"Fix")))</f>
        <v xml:space="preserve"> </v>
      </c>
      <c r="N608" s="4" t="str">
        <f ca="1">IF(OR(INDEX($X$2:$X$1001,MATCH(ROWS($W$2:W608),$W$2:$W$1001,0),1)&gt;=100000,INDEX($AD$1005:$AU$1005,1,MATCH(COLUMNS($AD$1006:AP1006),$AD$1006:$AU$1006,0))&gt;=100000), " ",IF(INDEX($AD$2:$AU$1001,MATCH(ROWS($W$2:W608),$W$2:$W$1001,0),MATCH(COLUMNS($AD$1006:AP1006),$AD$1006:$AU$1006,0)), HYPERLINK("#",""), HYPERLINK(CONCATENATE("#metadata!", ADDRESS(INDEX($Y$2:$Y$1001,MATCH(ROWS($W$2:W608),$W$2:$W$1001,0),0), INDEX($AD$1004:$AU$1004,1,MATCH(COLUMNS($AD$1006:AP1006),$AD$1006:$AU$1006,0)))),"Fix")))</f>
        <v xml:space="preserve"> </v>
      </c>
      <c r="O608" s="4" t="str">
        <f ca="1">IF(OR(INDEX($X$2:$X$1001,MATCH(ROWS($W$2:W608),$W$2:$W$1001,0),1)&gt;=100000,INDEX($AD$1005:$AU$1005,1,MATCH(COLUMNS($AD$1006:AQ1006),$AD$1006:$AU$1006,0))&gt;=100000), " ",IF(INDEX($AD$2:$AU$1001,MATCH(ROWS($W$2:W608),$W$2:$W$1001,0),MATCH(COLUMNS($AD$1006:AQ1006),$AD$1006:$AU$1006,0)), HYPERLINK("#",""), HYPERLINK(CONCATENATE("#metadata!", ADDRESS(INDEX($Y$2:$Y$1001,MATCH(ROWS($W$2:W608),$W$2:$W$1001,0),0), INDEX($AD$1004:$AU$1004,1,MATCH(COLUMNS($AD$1006:AQ1006),$AD$1006:$AU$1006,0)))),"Fix")))</f>
        <v xml:space="preserve"> </v>
      </c>
      <c r="P608" s="4" t="str">
        <f ca="1">IF(OR(INDEX($X$2:$X$1001,MATCH(ROWS($W$2:W608),$W$2:$W$1001,0),1)&gt;=100000,INDEX($AD$1005:$AU$1005,1,MATCH(COLUMNS($AD$1006:AR1006),$AD$1006:$AU$1006,0))&gt;=100000), " ",IF(INDEX($AD$2:$AU$1001,MATCH(ROWS($W$2:W608),$W$2:$W$1001,0),MATCH(COLUMNS($AD$1006:AR1006),$AD$1006:$AU$1006,0)), HYPERLINK("#",""), HYPERLINK(CONCATENATE("#metadata!", ADDRESS(INDEX($Y$2:$Y$1001,MATCH(ROWS($W$2:W608),$W$2:$W$1001,0),0), INDEX($AD$1004:$AU$1004,1,MATCH(COLUMNS($AD$1006:AR1006),$AD$1006:$AU$1006,0)))),"Fix")))</f>
        <v xml:space="preserve"> </v>
      </c>
      <c r="Q608" s="4" t="str">
        <f ca="1">IF(OR(INDEX($X$2:$X$1001,MATCH(ROWS($W$2:W608),$W$2:$W$1001,0),1)&gt;=100000,INDEX($AD$1005:$AU$1005,1,MATCH(COLUMNS($AD$1006:AS1006),$AD$1006:$AU$1006,0))&gt;=100000), " ",IF(INDEX($AD$2:$AU$1001,MATCH(ROWS($W$2:W608),$W$2:$W$1001,0),MATCH(COLUMNS($AD$1006:AS1006),$AD$1006:$AU$1006,0)), HYPERLINK("#",""), HYPERLINK(CONCATENATE("#metadata!", ADDRESS(INDEX($Y$2:$Y$1001,MATCH(ROWS($W$2:W608),$W$2:$W$1001,0),0), INDEX($AD$1004:$AU$1004,1,MATCH(COLUMNS($AD$1006:AS1006),$AD$1006:$AU$1006,0)))),"Fix")))</f>
        <v xml:space="preserve"> </v>
      </c>
      <c r="R608" s="4" t="str">
        <f ca="1">IF(OR(INDEX($X$2:$X$1001,MATCH(ROWS($W$2:W608),$W$2:$W$1001,0),1)&gt;=100000,INDEX($AD$1005:$AU$1005,1,MATCH(COLUMNS($AD$1006:AT1006),$AD$1006:$AU$1006,0))&gt;=100000), " ",IF(INDEX($AD$2:$AU$1001,MATCH(ROWS($W$2:W608),$W$2:$W$1001,0),MATCH(COLUMNS($AD$1006:AT1006),$AD$1006:$AU$1006,0)), HYPERLINK("#",""), HYPERLINK(CONCATENATE("#metadata!", ADDRESS(INDEX($Y$2:$Y$1001,MATCH(ROWS($W$2:W608),$W$2:$W$1001,0),0), INDEX($AD$1004:$AU$1004,1,MATCH(COLUMNS($AD$1006:AT1006),$AD$1006:$AU$1006,0)))),"Fix")))</f>
        <v xml:space="preserve"> </v>
      </c>
      <c r="S608" s="4" t="str">
        <f ca="1">IF(OR(INDEX($X$2:$X$1001,MATCH(ROWS($W$2:W608),$W$2:$W$1001,0),1)&gt;=100000,INDEX($AD$1005:$AU$1005,1,MATCH(COLUMNS($AD$1006:AU1006),$AD$1006:$AU$1006,0))&gt;=100000), " ",IF(INDEX($AD$2:$AU$1001,MATCH(ROWS($W$2:W608),$W$2:$W$1001,0),MATCH(COLUMNS($AD$1006:AU1006),$AD$1006:$AU$1006,0)), HYPERLINK("#",""), HYPERLINK(CONCATENATE("#metadata!", ADDRESS(INDEX($Y$2:$Y$1001,MATCH(ROWS($W$2:W608),$W$2:$W$1001,0),0), INDEX($AD$1004:$AU$1004,1,MATCH(COLUMNS($AD$1006:AU1006),$AD$1006:$AU$1006,0)))),"Fix")))</f>
        <v xml:space="preserve"> </v>
      </c>
      <c r="W608">
        <v>607</v>
      </c>
      <c r="X608">
        <v>100608</v>
      </c>
      <c r="Y608">
        <v>608</v>
      </c>
      <c r="Z608" t="b">
        <f t="shared" si="9"/>
        <v>1</v>
      </c>
      <c r="AA608" t="b">
        <f>COUNTBLANK(metadata!B608:S608)=COLUMNS(metadata!B608:S608)</f>
        <v>1</v>
      </c>
      <c r="AB608" t="str">
        <v/>
      </c>
      <c r="AD608" t="b">
        <f ca="1">AND(IF(metadata!B608="",FALSE,TRUE),COUNTIF(metadata!B:B, metadata!B608) = 1,NOT(ISERROR(SUMPRODUCT(SEARCH(MID(metadata!B608,ROW(INDIRECT("1:"&amp;LEN(metadata!B608))), 1),"0123456789abcdefghijklmnopqrstuvwxyzABCDEFGHIJKLMNOPQRSTUVWXYZ.")))))</f>
        <v>0</v>
      </c>
      <c r="AE608" t="b">
        <f>OR(AND(IF(metadata!C608="",FALSE,TRUE),OR(EXACT(metadata!C608,"not applicable"),EXACT(metadata!C608,"missing: not collected"),EXACT(metadata!C608,"missing: not provided"),EXACT(metadata!C608,"missing: restricted access"))),AND(IF(metadata!C608="",FALSE,ISNUMBER(VALUE(metadata!C608))),metadata!C608&gt;0))</f>
        <v>0</v>
      </c>
      <c r="AF608" t="b">
        <f>AND(IF(metadata!D608="",FALSE,TRUE),EXACT(metadata!D608,"missing: not provided"))</f>
        <v>0</v>
      </c>
      <c r="AG608" t="b">
        <f>AND(IF(metadata!E608="",FALSE,TRUE),EXACT(metadata!E608,"Host-associated"))</f>
        <v>0</v>
      </c>
      <c r="AH608" t="b">
        <f>AND(IF(metadata!F608="",FALSE,TRUE),OR(EXACT(metadata!F608,"Animal"),EXACT(metadata!F608,"Fungus"),EXACT(metadata!F608,"Plant")))</f>
        <v>0</v>
      </c>
      <c r="AI608" t="b">
        <f>AND(IF(metadata!G608="",FALSE,TRUE),OR(EXACT(metadata!G608,"Plant secretion"),EXACT(metadata!G608,"Plant rhizosphere"),EXACT(metadata!G608,"Plant surface"),EXACT(metadata!G608,"Plant corpus"),EXACT(metadata!G608,"Fungus surface"),EXACT(metadata!G608,"Fungus corpus"),EXACT(metadata!G608,"Animal surface"),EXACT(metadata!G608,"Animal proximal gut"),EXACT(metadata!G608,"Animal corpus"),EXACT(metadata!G608,"Animal distal gut"),EXACT(metadata!G608,"Animal secretion")))</f>
        <v>0</v>
      </c>
      <c r="AJ608" t="b">
        <f>OR(AND(IF(metadata!H608="",FALSE,TRUE),OR(EXACT(metadata!H608,"missing: not collected"),EXACT(metadata!H608,"missing: not provided"),EXACT(metadata!H608,"missing: restricted access"))),AND(IF(metadata!H608="",FALSE,TRUE),OR(EXACT(metadata!H608,"organism-associated habitat"),EXACT(metadata!H608,"plant-associated habitat"),EXACT(metadata!H608,"animal-associated habitat"),EXACT(metadata!H608,"insecta-associated habitat"),EXACT(metadata!H608,"mammalia-associated habitat"),EXACT(metadata!H608,"human-associated habitat"),EXACT(metadata!H608,"livestock-associated habitat"))))</f>
        <v>0</v>
      </c>
      <c r="AK608" t="b">
        <f>AND(IF(metadata!I608="",FALSE,TRUE),EXACT(metadata!I608,"host-associated"))</f>
        <v>0</v>
      </c>
      <c r="AL608" t="b">
        <f>OR(AND(IF(metadata!J608="",FALSE,TRUE),OR(EXACT(metadata!J608,"not applicable"),EXACT(metadata!J608,"missing: not collected"),EXACT(metadata!J608,"missing: not provided"),EXACT(metadata!J608,"missing: restricted access"))),AND(IF(metadata!J608="",FALSE,ISNUMBER(VALUE(metadata!J608))),metadata!J608&gt;0))</f>
        <v>0</v>
      </c>
      <c r="AM608" t="b">
        <f>AND(IF(metadata!K608="",FALSE,TRUE),EXACT(metadata!K608,"missing: not provided"))</f>
        <v>0</v>
      </c>
      <c r="AN608" t="b">
        <f>IF(metadata!L608="",FALSE,TRUE)</f>
        <v>0</v>
      </c>
      <c r="AO608" t="b">
        <f>IF(metadata!M608="",FALSE,TRUE)</f>
        <v>0</v>
      </c>
      <c r="AP608" t="b">
        <f>OR(AND(IF(metadata!N608="",FALSE,TRUE),OR(EXACT(metadata!N608,"not applicable"),EXACT(metadata!N608,"missing: not collected"),EXACT(metadata!N608,"missing: not provided"))),AND(IF(metadata!N608="",FALSE,IF(ISERROR(INT(metadata!N608)),FALSE,INT(metadata!N608)=metadata!N608)),metadata!N608&gt;0))</f>
        <v>0</v>
      </c>
      <c r="AQ608" t="b">
        <f>AND(IF(metadata!O608="",FALSE,TRUE),EXACT(metadata!O608,"Not applicable"))</f>
        <v>0</v>
      </c>
      <c r="AR608" t="b">
        <f>OR(AND(IF(metadata!P608="",FALSE,TRUE),OR(EXACT(metadata!P608,"not applicable"),EXACT(metadata!P608,"missing: not collected"),EXACT(metadata!P608,"missing: not provided"),EXACT(metadata!P608,"missing: restricted access"))),IF(metadata!P608="",FALSE,IF(ISERROR(INT(metadata!P608)),FALSE,INT(metadata!P608)=metadata!P608)))</f>
        <v>0</v>
      </c>
      <c r="AS608" t="b">
        <f>AND(IF(metadata!Q608="",FALSE,TRUE),EXACT(metadata!Q608,"Not applicable"))</f>
        <v>0</v>
      </c>
      <c r="AT608" t="b">
        <f>OR(AND(IF(metadata!R608="",FALSE,TRUE),OR(EXACT(metadata!R608,"not applicable"),EXACT(metadata!R608,"missing: not collected"),EXACT(metadata!R608,"missing: not provided"),EXACT(metadata!R608,"missing: restricted access"))),AND(IF(metadata!R608="",FALSE,ISNUMBER(VALUE(metadata!R608))),metadata!R608&gt;0))</f>
        <v>0</v>
      </c>
      <c r="AU608" t="b">
        <f>AND(IF(metadata!S608="",FALSE,TRUE),EXACT(metadata!S608,"missing: not provided"))</f>
        <v>0</v>
      </c>
    </row>
    <row r="609" spans="1:47" x14ac:dyDescent="0.2">
      <c r="A609" s="5" t="str">
        <f ca="1">IF(B609=" "," ",HYPERLINK(CONCATENATE("#metadata!",ADDRESS(INDEX($Y$2:$Y$1001,MATCH(ROWS($W$2:W609),$W$2:$W$1001,0),0),1)),INDEX($AB$2:$AB$1001,MATCH(ROWS($W$2:W609),$W$2:$W$1001,0),0)))</f>
        <v xml:space="preserve"> </v>
      </c>
      <c r="B609" s="4" t="str">
        <f ca="1">IF(OR(INDEX($X$2:$X$1001,MATCH(ROWS($W$2:W609),$W$2:$W$1001,0),1)&gt;=100000,INDEX($AD$1005:$AU$1005,1,MATCH(COLUMNS($AD$1006:AD1006),$AD$1006:$AU$1006,0))&gt;=100000), " ",IF(INDEX($AD$2:$AU$1001,MATCH(ROWS($W$2:W609),$W$2:$W$1001,0),MATCH(COLUMNS($AD$1006:AD1006),$AD$1006:$AU$1006,0)), HYPERLINK("#",""), HYPERLINK(CONCATENATE("#metadata!", ADDRESS(INDEX($Y$2:$Y$1001,MATCH(ROWS($W$2:W609),$W$2:$W$1001,0),0), INDEX($AD$1004:$AU$1004,1,MATCH(COLUMNS($AD$1006:AD1006),$AD$1006:$AU$1006,0)))),"Fix")))</f>
        <v xml:space="preserve"> </v>
      </c>
      <c r="C609" s="4" t="str">
        <f ca="1">IF(OR(INDEX($X$2:$X$1001,MATCH(ROWS($W$2:W609),$W$2:$W$1001,0),1)&gt;=100000,INDEX($AD$1005:$AU$1005,1,MATCH(COLUMNS($AD$1006:AE1006),$AD$1006:$AU$1006,0))&gt;=100000), " ",IF(INDEX($AD$2:$AU$1001,MATCH(ROWS($W$2:W609),$W$2:$W$1001,0),MATCH(COLUMNS($AD$1006:AE1006),$AD$1006:$AU$1006,0)), HYPERLINK("#",""), HYPERLINK(CONCATENATE("#metadata!", ADDRESS(INDEX($Y$2:$Y$1001,MATCH(ROWS($W$2:W609),$W$2:$W$1001,0),0), INDEX($AD$1004:$AU$1004,1,MATCH(COLUMNS($AD$1006:AE1006),$AD$1006:$AU$1006,0)))),"Fix")))</f>
        <v xml:space="preserve"> </v>
      </c>
      <c r="D609" s="4" t="str">
        <f ca="1">IF(OR(INDEX($X$2:$X$1001,MATCH(ROWS($W$2:W609),$W$2:$W$1001,0),1)&gt;=100000,INDEX($AD$1005:$AU$1005,1,MATCH(COLUMNS($AD$1006:AF1006),$AD$1006:$AU$1006,0))&gt;=100000), " ",IF(INDEX($AD$2:$AU$1001,MATCH(ROWS($W$2:W609),$W$2:$W$1001,0),MATCH(COLUMNS($AD$1006:AF1006),$AD$1006:$AU$1006,0)), HYPERLINK("#",""), HYPERLINK(CONCATENATE("#metadata!", ADDRESS(INDEX($Y$2:$Y$1001,MATCH(ROWS($W$2:W609),$W$2:$W$1001,0),0), INDEX($AD$1004:$AU$1004,1,MATCH(COLUMNS($AD$1006:AF1006),$AD$1006:$AU$1006,0)))),"Fix")))</f>
        <v xml:space="preserve"> </v>
      </c>
      <c r="E609" s="4" t="str">
        <f ca="1">IF(OR(INDEX($X$2:$X$1001,MATCH(ROWS($W$2:W609),$W$2:$W$1001,0),1)&gt;=100000,INDEX($AD$1005:$AU$1005,1,MATCH(COLUMNS($AD$1006:AG1006),$AD$1006:$AU$1006,0))&gt;=100000), " ",IF(INDEX($AD$2:$AU$1001,MATCH(ROWS($W$2:W609),$W$2:$W$1001,0),MATCH(COLUMNS($AD$1006:AG1006),$AD$1006:$AU$1006,0)), HYPERLINK("#",""), HYPERLINK(CONCATENATE("#metadata!", ADDRESS(INDEX($Y$2:$Y$1001,MATCH(ROWS($W$2:W609),$W$2:$W$1001,0),0), INDEX($AD$1004:$AU$1004,1,MATCH(COLUMNS($AD$1006:AG1006),$AD$1006:$AU$1006,0)))),"Fix")))</f>
        <v xml:space="preserve"> </v>
      </c>
      <c r="F609" s="4" t="str">
        <f ca="1">IF(OR(INDEX($X$2:$X$1001,MATCH(ROWS($W$2:W609),$W$2:$W$1001,0),1)&gt;=100000,INDEX($AD$1005:$AU$1005,1,MATCH(COLUMNS($AD$1006:AH1006),$AD$1006:$AU$1006,0))&gt;=100000), " ",IF(INDEX($AD$2:$AU$1001,MATCH(ROWS($W$2:W609),$W$2:$W$1001,0),MATCH(COLUMNS($AD$1006:AH1006),$AD$1006:$AU$1006,0)), HYPERLINK("#",""), HYPERLINK(CONCATENATE("#metadata!", ADDRESS(INDEX($Y$2:$Y$1001,MATCH(ROWS($W$2:W609),$W$2:$W$1001,0),0), INDEX($AD$1004:$AU$1004,1,MATCH(COLUMNS($AD$1006:AH1006),$AD$1006:$AU$1006,0)))),"Fix")))</f>
        <v xml:space="preserve"> </v>
      </c>
      <c r="G609" s="4" t="str">
        <f ca="1">IF(OR(INDEX($X$2:$X$1001,MATCH(ROWS($W$2:W609),$W$2:$W$1001,0),1)&gt;=100000,INDEX($AD$1005:$AU$1005,1,MATCH(COLUMNS($AD$1006:AI1006),$AD$1006:$AU$1006,0))&gt;=100000), " ",IF(INDEX($AD$2:$AU$1001,MATCH(ROWS($W$2:W609),$W$2:$W$1001,0),MATCH(COLUMNS($AD$1006:AI1006),$AD$1006:$AU$1006,0)), HYPERLINK("#",""), HYPERLINK(CONCATENATE("#metadata!", ADDRESS(INDEX($Y$2:$Y$1001,MATCH(ROWS($W$2:W609),$W$2:$W$1001,0),0), INDEX($AD$1004:$AU$1004,1,MATCH(COLUMNS($AD$1006:AI1006),$AD$1006:$AU$1006,0)))),"Fix")))</f>
        <v xml:space="preserve"> </v>
      </c>
      <c r="H609" s="4" t="str">
        <f ca="1">IF(OR(INDEX($X$2:$X$1001,MATCH(ROWS($W$2:W609),$W$2:$W$1001,0),1)&gt;=100000,INDEX($AD$1005:$AU$1005,1,MATCH(COLUMNS($AD$1006:AJ1006),$AD$1006:$AU$1006,0))&gt;=100000), " ",IF(INDEX($AD$2:$AU$1001,MATCH(ROWS($W$2:W609),$W$2:$W$1001,0),MATCH(COLUMNS($AD$1006:AJ1006),$AD$1006:$AU$1006,0)), HYPERLINK("#",""), HYPERLINK(CONCATENATE("#metadata!", ADDRESS(INDEX($Y$2:$Y$1001,MATCH(ROWS($W$2:W609),$W$2:$W$1001,0),0), INDEX($AD$1004:$AU$1004,1,MATCH(COLUMNS($AD$1006:AJ1006),$AD$1006:$AU$1006,0)))),"Fix")))</f>
        <v xml:space="preserve"> </v>
      </c>
      <c r="I609" s="4" t="str">
        <f ca="1">IF(OR(INDEX($X$2:$X$1001,MATCH(ROWS($W$2:W609),$W$2:$W$1001,0),1)&gt;=100000,INDEX($AD$1005:$AU$1005,1,MATCH(COLUMNS($AD$1006:AK1006),$AD$1006:$AU$1006,0))&gt;=100000), " ",IF(INDEX($AD$2:$AU$1001,MATCH(ROWS($W$2:W609),$W$2:$W$1001,0),MATCH(COLUMNS($AD$1006:AK1006),$AD$1006:$AU$1006,0)), HYPERLINK("#",""), HYPERLINK(CONCATENATE("#metadata!", ADDRESS(INDEX($Y$2:$Y$1001,MATCH(ROWS($W$2:W609),$W$2:$W$1001,0),0), INDEX($AD$1004:$AU$1004,1,MATCH(COLUMNS($AD$1006:AK1006),$AD$1006:$AU$1006,0)))),"Fix")))</f>
        <v xml:space="preserve"> </v>
      </c>
      <c r="J609" s="4" t="str">
        <f ca="1">IF(OR(INDEX($X$2:$X$1001,MATCH(ROWS($W$2:W609),$W$2:$W$1001,0),1)&gt;=100000,INDEX($AD$1005:$AU$1005,1,MATCH(COLUMNS($AD$1006:AL1006),$AD$1006:$AU$1006,0))&gt;=100000), " ",IF(INDEX($AD$2:$AU$1001,MATCH(ROWS($W$2:W609),$W$2:$W$1001,0),MATCH(COLUMNS($AD$1006:AL1006),$AD$1006:$AU$1006,0)), HYPERLINK("#",""), HYPERLINK(CONCATENATE("#metadata!", ADDRESS(INDEX($Y$2:$Y$1001,MATCH(ROWS($W$2:W609),$W$2:$W$1001,0),0), INDEX($AD$1004:$AU$1004,1,MATCH(COLUMNS($AD$1006:AL1006),$AD$1006:$AU$1006,0)))),"Fix")))</f>
        <v xml:space="preserve"> </v>
      </c>
      <c r="K609" s="4" t="str">
        <f ca="1">IF(OR(INDEX($X$2:$X$1001,MATCH(ROWS($W$2:W609),$W$2:$W$1001,0),1)&gt;=100000,INDEX($AD$1005:$AU$1005,1,MATCH(COLUMNS($AD$1006:AM1006),$AD$1006:$AU$1006,0))&gt;=100000), " ",IF(INDEX($AD$2:$AU$1001,MATCH(ROWS($W$2:W609),$W$2:$W$1001,0),MATCH(COLUMNS($AD$1006:AM1006),$AD$1006:$AU$1006,0)), HYPERLINK("#",""), HYPERLINK(CONCATENATE("#metadata!", ADDRESS(INDEX($Y$2:$Y$1001,MATCH(ROWS($W$2:W609),$W$2:$W$1001,0),0), INDEX($AD$1004:$AU$1004,1,MATCH(COLUMNS($AD$1006:AM1006),$AD$1006:$AU$1006,0)))),"Fix")))</f>
        <v xml:space="preserve"> </v>
      </c>
      <c r="L609" s="4" t="str">
        <f ca="1">IF(OR(INDEX($X$2:$X$1001,MATCH(ROWS($W$2:W609),$W$2:$W$1001,0),1)&gt;=100000,INDEX($AD$1005:$AU$1005,1,MATCH(COLUMNS($AD$1006:AN1006),$AD$1006:$AU$1006,0))&gt;=100000), " ",IF(INDEX($AD$2:$AU$1001,MATCH(ROWS($W$2:W609),$W$2:$W$1001,0),MATCH(COLUMNS($AD$1006:AN1006),$AD$1006:$AU$1006,0)), HYPERLINK("#",""), HYPERLINK(CONCATENATE("#metadata!", ADDRESS(INDEX($Y$2:$Y$1001,MATCH(ROWS($W$2:W609),$W$2:$W$1001,0),0), INDEX($AD$1004:$AU$1004,1,MATCH(COLUMNS($AD$1006:AN1006),$AD$1006:$AU$1006,0)))),"Fix")))</f>
        <v xml:space="preserve"> </v>
      </c>
      <c r="M609" s="4" t="str">
        <f ca="1">IF(OR(INDEX($X$2:$X$1001,MATCH(ROWS($W$2:W609),$W$2:$W$1001,0),1)&gt;=100000,INDEX($AD$1005:$AU$1005,1,MATCH(COLUMNS($AD$1006:AO1006),$AD$1006:$AU$1006,0))&gt;=100000), " ",IF(INDEX($AD$2:$AU$1001,MATCH(ROWS($W$2:W609),$W$2:$W$1001,0),MATCH(COLUMNS($AD$1006:AO1006),$AD$1006:$AU$1006,0)), HYPERLINK("#",""), HYPERLINK(CONCATENATE("#metadata!", ADDRESS(INDEX($Y$2:$Y$1001,MATCH(ROWS($W$2:W609),$W$2:$W$1001,0),0), INDEX($AD$1004:$AU$1004,1,MATCH(COLUMNS($AD$1006:AO1006),$AD$1006:$AU$1006,0)))),"Fix")))</f>
        <v xml:space="preserve"> </v>
      </c>
      <c r="N609" s="4" t="str">
        <f ca="1">IF(OR(INDEX($X$2:$X$1001,MATCH(ROWS($W$2:W609),$W$2:$W$1001,0),1)&gt;=100000,INDEX($AD$1005:$AU$1005,1,MATCH(COLUMNS($AD$1006:AP1006),$AD$1006:$AU$1006,0))&gt;=100000), " ",IF(INDEX($AD$2:$AU$1001,MATCH(ROWS($W$2:W609),$W$2:$W$1001,0),MATCH(COLUMNS($AD$1006:AP1006),$AD$1006:$AU$1006,0)), HYPERLINK("#",""), HYPERLINK(CONCATENATE("#metadata!", ADDRESS(INDEX($Y$2:$Y$1001,MATCH(ROWS($W$2:W609),$W$2:$W$1001,0),0), INDEX($AD$1004:$AU$1004,1,MATCH(COLUMNS($AD$1006:AP1006),$AD$1006:$AU$1006,0)))),"Fix")))</f>
        <v xml:space="preserve"> </v>
      </c>
      <c r="O609" s="4" t="str">
        <f ca="1">IF(OR(INDEX($X$2:$X$1001,MATCH(ROWS($W$2:W609),$W$2:$W$1001,0),1)&gt;=100000,INDEX($AD$1005:$AU$1005,1,MATCH(COLUMNS($AD$1006:AQ1006),$AD$1006:$AU$1006,0))&gt;=100000), " ",IF(INDEX($AD$2:$AU$1001,MATCH(ROWS($W$2:W609),$W$2:$W$1001,0),MATCH(COLUMNS($AD$1006:AQ1006),$AD$1006:$AU$1006,0)), HYPERLINK("#",""), HYPERLINK(CONCATENATE("#metadata!", ADDRESS(INDEX($Y$2:$Y$1001,MATCH(ROWS($W$2:W609),$W$2:$W$1001,0),0), INDEX($AD$1004:$AU$1004,1,MATCH(COLUMNS($AD$1006:AQ1006),$AD$1006:$AU$1006,0)))),"Fix")))</f>
        <v xml:space="preserve"> </v>
      </c>
      <c r="P609" s="4" t="str">
        <f ca="1">IF(OR(INDEX($X$2:$X$1001,MATCH(ROWS($W$2:W609),$W$2:$W$1001,0),1)&gt;=100000,INDEX($AD$1005:$AU$1005,1,MATCH(COLUMNS($AD$1006:AR1006),$AD$1006:$AU$1006,0))&gt;=100000), " ",IF(INDEX($AD$2:$AU$1001,MATCH(ROWS($W$2:W609),$W$2:$W$1001,0),MATCH(COLUMNS($AD$1006:AR1006),$AD$1006:$AU$1006,0)), HYPERLINK("#",""), HYPERLINK(CONCATENATE("#metadata!", ADDRESS(INDEX($Y$2:$Y$1001,MATCH(ROWS($W$2:W609),$W$2:$W$1001,0),0), INDEX($AD$1004:$AU$1004,1,MATCH(COLUMNS($AD$1006:AR1006),$AD$1006:$AU$1006,0)))),"Fix")))</f>
        <v xml:space="preserve"> </v>
      </c>
      <c r="Q609" s="4" t="str">
        <f ca="1">IF(OR(INDEX($X$2:$X$1001,MATCH(ROWS($W$2:W609),$W$2:$W$1001,0),1)&gt;=100000,INDEX($AD$1005:$AU$1005,1,MATCH(COLUMNS($AD$1006:AS1006),$AD$1006:$AU$1006,0))&gt;=100000), " ",IF(INDEX($AD$2:$AU$1001,MATCH(ROWS($W$2:W609),$W$2:$W$1001,0),MATCH(COLUMNS($AD$1006:AS1006),$AD$1006:$AU$1006,0)), HYPERLINK("#",""), HYPERLINK(CONCATENATE("#metadata!", ADDRESS(INDEX($Y$2:$Y$1001,MATCH(ROWS($W$2:W609),$W$2:$W$1001,0),0), INDEX($AD$1004:$AU$1004,1,MATCH(COLUMNS($AD$1006:AS1006),$AD$1006:$AU$1006,0)))),"Fix")))</f>
        <v xml:space="preserve"> </v>
      </c>
      <c r="R609" s="4" t="str">
        <f ca="1">IF(OR(INDEX($X$2:$X$1001,MATCH(ROWS($W$2:W609),$W$2:$W$1001,0),1)&gt;=100000,INDEX($AD$1005:$AU$1005,1,MATCH(COLUMNS($AD$1006:AT1006),$AD$1006:$AU$1006,0))&gt;=100000), " ",IF(INDEX($AD$2:$AU$1001,MATCH(ROWS($W$2:W609),$W$2:$W$1001,0),MATCH(COLUMNS($AD$1006:AT1006),$AD$1006:$AU$1006,0)), HYPERLINK("#",""), HYPERLINK(CONCATENATE("#metadata!", ADDRESS(INDEX($Y$2:$Y$1001,MATCH(ROWS($W$2:W609),$W$2:$W$1001,0),0), INDEX($AD$1004:$AU$1004,1,MATCH(COLUMNS($AD$1006:AT1006),$AD$1006:$AU$1006,0)))),"Fix")))</f>
        <v xml:space="preserve"> </v>
      </c>
      <c r="S609" s="4" t="str">
        <f ca="1">IF(OR(INDEX($X$2:$X$1001,MATCH(ROWS($W$2:W609),$W$2:$W$1001,0),1)&gt;=100000,INDEX($AD$1005:$AU$1005,1,MATCH(COLUMNS($AD$1006:AU1006),$AD$1006:$AU$1006,0))&gt;=100000), " ",IF(INDEX($AD$2:$AU$1001,MATCH(ROWS($W$2:W609),$W$2:$W$1001,0),MATCH(COLUMNS($AD$1006:AU1006),$AD$1006:$AU$1006,0)), HYPERLINK("#",""), HYPERLINK(CONCATENATE("#metadata!", ADDRESS(INDEX($Y$2:$Y$1001,MATCH(ROWS($W$2:W609),$W$2:$W$1001,0),0), INDEX($AD$1004:$AU$1004,1,MATCH(COLUMNS($AD$1006:AU1006),$AD$1006:$AU$1006,0)))),"Fix")))</f>
        <v xml:space="preserve"> </v>
      </c>
      <c r="W609">
        <v>608</v>
      </c>
      <c r="X609">
        <v>100609</v>
      </c>
      <c r="Y609">
        <v>609</v>
      </c>
      <c r="Z609" t="b">
        <f t="shared" si="9"/>
        <v>1</v>
      </c>
      <c r="AA609" t="b">
        <f>COUNTBLANK(metadata!B609:S609)=COLUMNS(metadata!B609:S609)</f>
        <v>1</v>
      </c>
      <c r="AB609" t="str">
        <v/>
      </c>
      <c r="AD609" t="b">
        <f ca="1">AND(IF(metadata!B609="",FALSE,TRUE),COUNTIF(metadata!B:B, metadata!B609) = 1,NOT(ISERROR(SUMPRODUCT(SEARCH(MID(metadata!B609,ROW(INDIRECT("1:"&amp;LEN(metadata!B609))), 1),"0123456789abcdefghijklmnopqrstuvwxyzABCDEFGHIJKLMNOPQRSTUVWXYZ.")))))</f>
        <v>0</v>
      </c>
      <c r="AE609" t="b">
        <f>OR(AND(IF(metadata!C609="",FALSE,TRUE),OR(EXACT(metadata!C609,"not applicable"),EXACT(metadata!C609,"missing: not collected"),EXACT(metadata!C609,"missing: not provided"),EXACT(metadata!C609,"missing: restricted access"))),AND(IF(metadata!C609="",FALSE,ISNUMBER(VALUE(metadata!C609))),metadata!C609&gt;0))</f>
        <v>0</v>
      </c>
      <c r="AF609" t="b">
        <f>AND(IF(metadata!D609="",FALSE,TRUE),EXACT(metadata!D609,"missing: not provided"))</f>
        <v>0</v>
      </c>
      <c r="AG609" t="b">
        <f>AND(IF(metadata!E609="",FALSE,TRUE),EXACT(metadata!E609,"Host-associated"))</f>
        <v>0</v>
      </c>
      <c r="AH609" t="b">
        <f>AND(IF(metadata!F609="",FALSE,TRUE),OR(EXACT(metadata!F609,"Animal"),EXACT(metadata!F609,"Fungus"),EXACT(metadata!F609,"Plant")))</f>
        <v>0</v>
      </c>
      <c r="AI609" t="b">
        <f>AND(IF(metadata!G609="",FALSE,TRUE),OR(EXACT(metadata!G609,"Plant secretion"),EXACT(metadata!G609,"Plant rhizosphere"),EXACT(metadata!G609,"Plant surface"),EXACT(metadata!G609,"Plant corpus"),EXACT(metadata!G609,"Fungus surface"),EXACT(metadata!G609,"Fungus corpus"),EXACT(metadata!G609,"Animal surface"),EXACT(metadata!G609,"Animal proximal gut"),EXACT(metadata!G609,"Animal corpus"),EXACT(metadata!G609,"Animal distal gut"),EXACT(metadata!G609,"Animal secretion")))</f>
        <v>0</v>
      </c>
      <c r="AJ609" t="b">
        <f>OR(AND(IF(metadata!H609="",FALSE,TRUE),OR(EXACT(metadata!H609,"missing: not collected"),EXACT(metadata!H609,"missing: not provided"),EXACT(metadata!H609,"missing: restricted access"))),AND(IF(metadata!H609="",FALSE,TRUE),OR(EXACT(metadata!H609,"organism-associated habitat"),EXACT(metadata!H609,"plant-associated habitat"),EXACT(metadata!H609,"animal-associated habitat"),EXACT(metadata!H609,"insecta-associated habitat"),EXACT(metadata!H609,"mammalia-associated habitat"),EXACT(metadata!H609,"human-associated habitat"),EXACT(metadata!H609,"livestock-associated habitat"))))</f>
        <v>0</v>
      </c>
      <c r="AK609" t="b">
        <f>AND(IF(metadata!I609="",FALSE,TRUE),EXACT(metadata!I609,"host-associated"))</f>
        <v>0</v>
      </c>
      <c r="AL609" t="b">
        <f>OR(AND(IF(metadata!J609="",FALSE,TRUE),OR(EXACT(metadata!J609,"not applicable"),EXACT(metadata!J609,"missing: not collected"),EXACT(metadata!J609,"missing: not provided"),EXACT(metadata!J609,"missing: restricted access"))),AND(IF(metadata!J609="",FALSE,ISNUMBER(VALUE(metadata!J609))),metadata!J609&gt;0))</f>
        <v>0</v>
      </c>
      <c r="AM609" t="b">
        <f>AND(IF(metadata!K609="",FALSE,TRUE),EXACT(metadata!K609,"missing: not provided"))</f>
        <v>0</v>
      </c>
      <c r="AN609" t="b">
        <f>IF(metadata!L609="",FALSE,TRUE)</f>
        <v>0</v>
      </c>
      <c r="AO609" t="b">
        <f>IF(metadata!M609="",FALSE,TRUE)</f>
        <v>0</v>
      </c>
      <c r="AP609" t="b">
        <f>OR(AND(IF(metadata!N609="",FALSE,TRUE),OR(EXACT(metadata!N609,"not applicable"),EXACT(metadata!N609,"missing: not collected"),EXACT(metadata!N609,"missing: not provided"))),AND(IF(metadata!N609="",FALSE,IF(ISERROR(INT(metadata!N609)),FALSE,INT(metadata!N609)=metadata!N609)),metadata!N609&gt;0))</f>
        <v>0</v>
      </c>
      <c r="AQ609" t="b">
        <f>AND(IF(metadata!O609="",FALSE,TRUE),EXACT(metadata!O609,"Not applicable"))</f>
        <v>0</v>
      </c>
      <c r="AR609" t="b">
        <f>OR(AND(IF(metadata!P609="",FALSE,TRUE),OR(EXACT(metadata!P609,"not applicable"),EXACT(metadata!P609,"missing: not collected"),EXACT(metadata!P609,"missing: not provided"),EXACT(metadata!P609,"missing: restricted access"))),IF(metadata!P609="",FALSE,IF(ISERROR(INT(metadata!P609)),FALSE,INT(metadata!P609)=metadata!P609)))</f>
        <v>0</v>
      </c>
      <c r="AS609" t="b">
        <f>AND(IF(metadata!Q609="",FALSE,TRUE),EXACT(metadata!Q609,"Not applicable"))</f>
        <v>0</v>
      </c>
      <c r="AT609" t="b">
        <f>OR(AND(IF(metadata!R609="",FALSE,TRUE),OR(EXACT(metadata!R609,"not applicable"),EXACT(metadata!R609,"missing: not collected"),EXACT(metadata!R609,"missing: not provided"),EXACT(metadata!R609,"missing: restricted access"))),AND(IF(metadata!R609="",FALSE,ISNUMBER(VALUE(metadata!R609))),metadata!R609&gt;0))</f>
        <v>0</v>
      </c>
      <c r="AU609" t="b">
        <f>AND(IF(metadata!S609="",FALSE,TRUE),EXACT(metadata!S609,"missing: not provided"))</f>
        <v>0</v>
      </c>
    </row>
    <row r="610" spans="1:47" x14ac:dyDescent="0.2">
      <c r="A610" s="5" t="str">
        <f ca="1">IF(B610=" "," ",HYPERLINK(CONCATENATE("#metadata!",ADDRESS(INDEX($Y$2:$Y$1001,MATCH(ROWS($W$2:W610),$W$2:$W$1001,0),0),1)),INDEX($AB$2:$AB$1001,MATCH(ROWS($W$2:W610),$W$2:$W$1001,0),0)))</f>
        <v xml:space="preserve"> </v>
      </c>
      <c r="B610" s="4" t="str">
        <f ca="1">IF(OR(INDEX($X$2:$X$1001,MATCH(ROWS($W$2:W610),$W$2:$W$1001,0),1)&gt;=100000,INDEX($AD$1005:$AU$1005,1,MATCH(COLUMNS($AD$1006:AD1006),$AD$1006:$AU$1006,0))&gt;=100000), " ",IF(INDEX($AD$2:$AU$1001,MATCH(ROWS($W$2:W610),$W$2:$W$1001,0),MATCH(COLUMNS($AD$1006:AD1006),$AD$1006:$AU$1006,0)), HYPERLINK("#",""), HYPERLINK(CONCATENATE("#metadata!", ADDRESS(INDEX($Y$2:$Y$1001,MATCH(ROWS($W$2:W610),$W$2:$W$1001,0),0), INDEX($AD$1004:$AU$1004,1,MATCH(COLUMNS($AD$1006:AD1006),$AD$1006:$AU$1006,0)))),"Fix")))</f>
        <v xml:space="preserve"> </v>
      </c>
      <c r="C610" s="4" t="str">
        <f ca="1">IF(OR(INDEX($X$2:$X$1001,MATCH(ROWS($W$2:W610),$W$2:$W$1001,0),1)&gt;=100000,INDEX($AD$1005:$AU$1005,1,MATCH(COLUMNS($AD$1006:AE1006),$AD$1006:$AU$1006,0))&gt;=100000), " ",IF(INDEX($AD$2:$AU$1001,MATCH(ROWS($W$2:W610),$W$2:$W$1001,0),MATCH(COLUMNS($AD$1006:AE1006),$AD$1006:$AU$1006,0)), HYPERLINK("#",""), HYPERLINK(CONCATENATE("#metadata!", ADDRESS(INDEX($Y$2:$Y$1001,MATCH(ROWS($W$2:W610),$W$2:$W$1001,0),0), INDEX($AD$1004:$AU$1004,1,MATCH(COLUMNS($AD$1006:AE1006),$AD$1006:$AU$1006,0)))),"Fix")))</f>
        <v xml:space="preserve"> </v>
      </c>
      <c r="D610" s="4" t="str">
        <f ca="1">IF(OR(INDEX($X$2:$X$1001,MATCH(ROWS($W$2:W610),$W$2:$W$1001,0),1)&gt;=100000,INDEX($AD$1005:$AU$1005,1,MATCH(COLUMNS($AD$1006:AF1006),$AD$1006:$AU$1006,0))&gt;=100000), " ",IF(INDEX($AD$2:$AU$1001,MATCH(ROWS($W$2:W610),$W$2:$W$1001,0),MATCH(COLUMNS($AD$1006:AF1006),$AD$1006:$AU$1006,0)), HYPERLINK("#",""), HYPERLINK(CONCATENATE("#metadata!", ADDRESS(INDEX($Y$2:$Y$1001,MATCH(ROWS($W$2:W610),$W$2:$W$1001,0),0), INDEX($AD$1004:$AU$1004,1,MATCH(COLUMNS($AD$1006:AF1006),$AD$1006:$AU$1006,0)))),"Fix")))</f>
        <v xml:space="preserve"> </v>
      </c>
      <c r="E610" s="4" t="str">
        <f ca="1">IF(OR(INDEX($X$2:$X$1001,MATCH(ROWS($W$2:W610),$W$2:$W$1001,0),1)&gt;=100000,INDEX($AD$1005:$AU$1005,1,MATCH(COLUMNS($AD$1006:AG1006),$AD$1006:$AU$1006,0))&gt;=100000), " ",IF(INDEX($AD$2:$AU$1001,MATCH(ROWS($W$2:W610),$W$2:$W$1001,0),MATCH(COLUMNS($AD$1006:AG1006),$AD$1006:$AU$1006,0)), HYPERLINK("#",""), HYPERLINK(CONCATENATE("#metadata!", ADDRESS(INDEX($Y$2:$Y$1001,MATCH(ROWS($W$2:W610),$W$2:$W$1001,0),0), INDEX($AD$1004:$AU$1004,1,MATCH(COLUMNS($AD$1006:AG1006),$AD$1006:$AU$1006,0)))),"Fix")))</f>
        <v xml:space="preserve"> </v>
      </c>
      <c r="F610" s="4" t="str">
        <f ca="1">IF(OR(INDEX($X$2:$X$1001,MATCH(ROWS($W$2:W610),$W$2:$W$1001,0),1)&gt;=100000,INDEX($AD$1005:$AU$1005,1,MATCH(COLUMNS($AD$1006:AH1006),$AD$1006:$AU$1006,0))&gt;=100000), " ",IF(INDEX($AD$2:$AU$1001,MATCH(ROWS($W$2:W610),$W$2:$W$1001,0),MATCH(COLUMNS($AD$1006:AH1006),$AD$1006:$AU$1006,0)), HYPERLINK("#",""), HYPERLINK(CONCATENATE("#metadata!", ADDRESS(INDEX($Y$2:$Y$1001,MATCH(ROWS($W$2:W610),$W$2:$W$1001,0),0), INDEX($AD$1004:$AU$1004,1,MATCH(COLUMNS($AD$1006:AH1006),$AD$1006:$AU$1006,0)))),"Fix")))</f>
        <v xml:space="preserve"> </v>
      </c>
      <c r="G610" s="4" t="str">
        <f ca="1">IF(OR(INDEX($X$2:$X$1001,MATCH(ROWS($W$2:W610),$W$2:$W$1001,0),1)&gt;=100000,INDEX($AD$1005:$AU$1005,1,MATCH(COLUMNS($AD$1006:AI1006),$AD$1006:$AU$1006,0))&gt;=100000), " ",IF(INDEX($AD$2:$AU$1001,MATCH(ROWS($W$2:W610),$W$2:$W$1001,0),MATCH(COLUMNS($AD$1006:AI1006),$AD$1006:$AU$1006,0)), HYPERLINK("#",""), HYPERLINK(CONCATENATE("#metadata!", ADDRESS(INDEX($Y$2:$Y$1001,MATCH(ROWS($W$2:W610),$W$2:$W$1001,0),0), INDEX($AD$1004:$AU$1004,1,MATCH(COLUMNS($AD$1006:AI1006),$AD$1006:$AU$1006,0)))),"Fix")))</f>
        <v xml:space="preserve"> </v>
      </c>
      <c r="H610" s="4" t="str">
        <f ca="1">IF(OR(INDEX($X$2:$X$1001,MATCH(ROWS($W$2:W610),$W$2:$W$1001,0),1)&gt;=100000,INDEX($AD$1005:$AU$1005,1,MATCH(COLUMNS($AD$1006:AJ1006),$AD$1006:$AU$1006,0))&gt;=100000), " ",IF(INDEX($AD$2:$AU$1001,MATCH(ROWS($W$2:W610),$W$2:$W$1001,0),MATCH(COLUMNS($AD$1006:AJ1006),$AD$1006:$AU$1006,0)), HYPERLINK("#",""), HYPERLINK(CONCATENATE("#metadata!", ADDRESS(INDEX($Y$2:$Y$1001,MATCH(ROWS($W$2:W610),$W$2:$W$1001,0),0), INDEX($AD$1004:$AU$1004,1,MATCH(COLUMNS($AD$1006:AJ1006),$AD$1006:$AU$1006,0)))),"Fix")))</f>
        <v xml:space="preserve"> </v>
      </c>
      <c r="I610" s="4" t="str">
        <f ca="1">IF(OR(INDEX($X$2:$X$1001,MATCH(ROWS($W$2:W610),$W$2:$W$1001,0),1)&gt;=100000,INDEX($AD$1005:$AU$1005,1,MATCH(COLUMNS($AD$1006:AK1006),$AD$1006:$AU$1006,0))&gt;=100000), " ",IF(INDEX($AD$2:$AU$1001,MATCH(ROWS($W$2:W610),$W$2:$W$1001,0),MATCH(COLUMNS($AD$1006:AK1006),$AD$1006:$AU$1006,0)), HYPERLINK("#",""), HYPERLINK(CONCATENATE("#metadata!", ADDRESS(INDEX($Y$2:$Y$1001,MATCH(ROWS($W$2:W610),$W$2:$W$1001,0),0), INDEX($AD$1004:$AU$1004,1,MATCH(COLUMNS($AD$1006:AK1006),$AD$1006:$AU$1006,0)))),"Fix")))</f>
        <v xml:space="preserve"> </v>
      </c>
      <c r="J610" s="4" t="str">
        <f ca="1">IF(OR(INDEX($X$2:$X$1001,MATCH(ROWS($W$2:W610),$W$2:$W$1001,0),1)&gt;=100000,INDEX($AD$1005:$AU$1005,1,MATCH(COLUMNS($AD$1006:AL1006),$AD$1006:$AU$1006,0))&gt;=100000), " ",IF(INDEX($AD$2:$AU$1001,MATCH(ROWS($W$2:W610),$W$2:$W$1001,0),MATCH(COLUMNS($AD$1006:AL1006),$AD$1006:$AU$1006,0)), HYPERLINK("#",""), HYPERLINK(CONCATENATE("#metadata!", ADDRESS(INDEX($Y$2:$Y$1001,MATCH(ROWS($W$2:W610),$W$2:$W$1001,0),0), INDEX($AD$1004:$AU$1004,1,MATCH(COLUMNS($AD$1006:AL1006),$AD$1006:$AU$1006,0)))),"Fix")))</f>
        <v xml:space="preserve"> </v>
      </c>
      <c r="K610" s="4" t="str">
        <f ca="1">IF(OR(INDEX($X$2:$X$1001,MATCH(ROWS($W$2:W610),$W$2:$W$1001,0),1)&gt;=100000,INDEX($AD$1005:$AU$1005,1,MATCH(COLUMNS($AD$1006:AM1006),$AD$1006:$AU$1006,0))&gt;=100000), " ",IF(INDEX($AD$2:$AU$1001,MATCH(ROWS($W$2:W610),$W$2:$W$1001,0),MATCH(COLUMNS($AD$1006:AM1006),$AD$1006:$AU$1006,0)), HYPERLINK("#",""), HYPERLINK(CONCATENATE("#metadata!", ADDRESS(INDEX($Y$2:$Y$1001,MATCH(ROWS($W$2:W610),$W$2:$W$1001,0),0), INDEX($AD$1004:$AU$1004,1,MATCH(COLUMNS($AD$1006:AM1006),$AD$1006:$AU$1006,0)))),"Fix")))</f>
        <v xml:space="preserve"> </v>
      </c>
      <c r="L610" s="4" t="str">
        <f ca="1">IF(OR(INDEX($X$2:$X$1001,MATCH(ROWS($W$2:W610),$W$2:$W$1001,0),1)&gt;=100000,INDEX($AD$1005:$AU$1005,1,MATCH(COLUMNS($AD$1006:AN1006),$AD$1006:$AU$1006,0))&gt;=100000), " ",IF(INDEX($AD$2:$AU$1001,MATCH(ROWS($W$2:W610),$W$2:$W$1001,0),MATCH(COLUMNS($AD$1006:AN1006),$AD$1006:$AU$1006,0)), HYPERLINK("#",""), HYPERLINK(CONCATENATE("#metadata!", ADDRESS(INDEX($Y$2:$Y$1001,MATCH(ROWS($W$2:W610),$W$2:$W$1001,0),0), INDEX($AD$1004:$AU$1004,1,MATCH(COLUMNS($AD$1006:AN1006),$AD$1006:$AU$1006,0)))),"Fix")))</f>
        <v xml:space="preserve"> </v>
      </c>
      <c r="M610" s="4" t="str">
        <f ca="1">IF(OR(INDEX($X$2:$X$1001,MATCH(ROWS($W$2:W610),$W$2:$W$1001,0),1)&gt;=100000,INDEX($AD$1005:$AU$1005,1,MATCH(COLUMNS($AD$1006:AO1006),$AD$1006:$AU$1006,0))&gt;=100000), " ",IF(INDEX($AD$2:$AU$1001,MATCH(ROWS($W$2:W610),$W$2:$W$1001,0),MATCH(COLUMNS($AD$1006:AO1006),$AD$1006:$AU$1006,0)), HYPERLINK("#",""), HYPERLINK(CONCATENATE("#metadata!", ADDRESS(INDEX($Y$2:$Y$1001,MATCH(ROWS($W$2:W610),$W$2:$W$1001,0),0), INDEX($AD$1004:$AU$1004,1,MATCH(COLUMNS($AD$1006:AO1006),$AD$1006:$AU$1006,0)))),"Fix")))</f>
        <v xml:space="preserve"> </v>
      </c>
      <c r="N610" s="4" t="str">
        <f ca="1">IF(OR(INDEX($X$2:$X$1001,MATCH(ROWS($W$2:W610),$W$2:$W$1001,0),1)&gt;=100000,INDEX($AD$1005:$AU$1005,1,MATCH(COLUMNS($AD$1006:AP1006),$AD$1006:$AU$1006,0))&gt;=100000), " ",IF(INDEX($AD$2:$AU$1001,MATCH(ROWS($W$2:W610),$W$2:$W$1001,0),MATCH(COLUMNS($AD$1006:AP1006),$AD$1006:$AU$1006,0)), HYPERLINK("#",""), HYPERLINK(CONCATENATE("#metadata!", ADDRESS(INDEX($Y$2:$Y$1001,MATCH(ROWS($W$2:W610),$W$2:$W$1001,0),0), INDEX($AD$1004:$AU$1004,1,MATCH(COLUMNS($AD$1006:AP1006),$AD$1006:$AU$1006,0)))),"Fix")))</f>
        <v xml:space="preserve"> </v>
      </c>
      <c r="O610" s="4" t="str">
        <f ca="1">IF(OR(INDEX($X$2:$X$1001,MATCH(ROWS($W$2:W610),$W$2:$W$1001,0),1)&gt;=100000,INDEX($AD$1005:$AU$1005,1,MATCH(COLUMNS($AD$1006:AQ1006),$AD$1006:$AU$1006,0))&gt;=100000), " ",IF(INDEX($AD$2:$AU$1001,MATCH(ROWS($W$2:W610),$W$2:$W$1001,0),MATCH(COLUMNS($AD$1006:AQ1006),$AD$1006:$AU$1006,0)), HYPERLINK("#",""), HYPERLINK(CONCATENATE("#metadata!", ADDRESS(INDEX($Y$2:$Y$1001,MATCH(ROWS($W$2:W610),$W$2:$W$1001,0),0), INDEX($AD$1004:$AU$1004,1,MATCH(COLUMNS($AD$1006:AQ1006),$AD$1006:$AU$1006,0)))),"Fix")))</f>
        <v xml:space="preserve"> </v>
      </c>
      <c r="P610" s="4" t="str">
        <f ca="1">IF(OR(INDEX($X$2:$X$1001,MATCH(ROWS($W$2:W610),$W$2:$W$1001,0),1)&gt;=100000,INDEX($AD$1005:$AU$1005,1,MATCH(COLUMNS($AD$1006:AR1006),$AD$1006:$AU$1006,0))&gt;=100000), " ",IF(INDEX($AD$2:$AU$1001,MATCH(ROWS($W$2:W610),$W$2:$W$1001,0),MATCH(COLUMNS($AD$1006:AR1006),$AD$1006:$AU$1006,0)), HYPERLINK("#",""), HYPERLINK(CONCATENATE("#metadata!", ADDRESS(INDEX($Y$2:$Y$1001,MATCH(ROWS($W$2:W610),$W$2:$W$1001,0),0), INDEX($AD$1004:$AU$1004,1,MATCH(COLUMNS($AD$1006:AR1006),$AD$1006:$AU$1006,0)))),"Fix")))</f>
        <v xml:space="preserve"> </v>
      </c>
      <c r="Q610" s="4" t="str">
        <f ca="1">IF(OR(INDEX($X$2:$X$1001,MATCH(ROWS($W$2:W610),$W$2:$W$1001,0),1)&gt;=100000,INDEX($AD$1005:$AU$1005,1,MATCH(COLUMNS($AD$1006:AS1006),$AD$1006:$AU$1006,0))&gt;=100000), " ",IF(INDEX($AD$2:$AU$1001,MATCH(ROWS($W$2:W610),$W$2:$W$1001,0),MATCH(COLUMNS($AD$1006:AS1006),$AD$1006:$AU$1006,0)), HYPERLINK("#",""), HYPERLINK(CONCATENATE("#metadata!", ADDRESS(INDEX($Y$2:$Y$1001,MATCH(ROWS($W$2:W610),$W$2:$W$1001,0),0), INDEX($AD$1004:$AU$1004,1,MATCH(COLUMNS($AD$1006:AS1006),$AD$1006:$AU$1006,0)))),"Fix")))</f>
        <v xml:space="preserve"> </v>
      </c>
      <c r="R610" s="4" t="str">
        <f ca="1">IF(OR(INDEX($X$2:$X$1001,MATCH(ROWS($W$2:W610),$W$2:$W$1001,0),1)&gt;=100000,INDEX($AD$1005:$AU$1005,1,MATCH(COLUMNS($AD$1006:AT1006),$AD$1006:$AU$1006,0))&gt;=100000), " ",IF(INDEX($AD$2:$AU$1001,MATCH(ROWS($W$2:W610),$W$2:$W$1001,0),MATCH(COLUMNS($AD$1006:AT1006),$AD$1006:$AU$1006,0)), HYPERLINK("#",""), HYPERLINK(CONCATENATE("#metadata!", ADDRESS(INDEX($Y$2:$Y$1001,MATCH(ROWS($W$2:W610),$W$2:$W$1001,0),0), INDEX($AD$1004:$AU$1004,1,MATCH(COLUMNS($AD$1006:AT1006),$AD$1006:$AU$1006,0)))),"Fix")))</f>
        <v xml:space="preserve"> </v>
      </c>
      <c r="S610" s="4" t="str">
        <f ca="1">IF(OR(INDEX($X$2:$X$1001,MATCH(ROWS($W$2:W610),$W$2:$W$1001,0),1)&gt;=100000,INDEX($AD$1005:$AU$1005,1,MATCH(COLUMNS($AD$1006:AU1006),$AD$1006:$AU$1006,0))&gt;=100000), " ",IF(INDEX($AD$2:$AU$1001,MATCH(ROWS($W$2:W610),$W$2:$W$1001,0),MATCH(COLUMNS($AD$1006:AU1006),$AD$1006:$AU$1006,0)), HYPERLINK("#",""), HYPERLINK(CONCATENATE("#metadata!", ADDRESS(INDEX($Y$2:$Y$1001,MATCH(ROWS($W$2:W610),$W$2:$W$1001,0),0), INDEX($AD$1004:$AU$1004,1,MATCH(COLUMNS($AD$1006:AU1006),$AD$1006:$AU$1006,0)))),"Fix")))</f>
        <v xml:space="preserve"> </v>
      </c>
      <c r="W610">
        <v>609</v>
      </c>
      <c r="X610">
        <v>100610</v>
      </c>
      <c r="Y610">
        <v>610</v>
      </c>
      <c r="Z610" t="b">
        <f t="shared" si="9"/>
        <v>1</v>
      </c>
      <c r="AA610" t="b">
        <f>COUNTBLANK(metadata!B610:S610)=COLUMNS(metadata!B610:S610)</f>
        <v>1</v>
      </c>
      <c r="AB610" t="str">
        <v/>
      </c>
      <c r="AD610" t="b">
        <f ca="1">AND(IF(metadata!B610="",FALSE,TRUE),COUNTIF(metadata!B:B, metadata!B610) = 1,NOT(ISERROR(SUMPRODUCT(SEARCH(MID(metadata!B610,ROW(INDIRECT("1:"&amp;LEN(metadata!B610))), 1),"0123456789abcdefghijklmnopqrstuvwxyzABCDEFGHIJKLMNOPQRSTUVWXYZ.")))))</f>
        <v>0</v>
      </c>
      <c r="AE610" t="b">
        <f>OR(AND(IF(metadata!C610="",FALSE,TRUE),OR(EXACT(metadata!C610,"not applicable"),EXACT(metadata!C610,"missing: not collected"),EXACT(metadata!C610,"missing: not provided"),EXACT(metadata!C610,"missing: restricted access"))),AND(IF(metadata!C610="",FALSE,ISNUMBER(VALUE(metadata!C610))),metadata!C610&gt;0))</f>
        <v>0</v>
      </c>
      <c r="AF610" t="b">
        <f>AND(IF(metadata!D610="",FALSE,TRUE),EXACT(metadata!D610,"missing: not provided"))</f>
        <v>0</v>
      </c>
      <c r="AG610" t="b">
        <f>AND(IF(metadata!E610="",FALSE,TRUE),EXACT(metadata!E610,"Host-associated"))</f>
        <v>0</v>
      </c>
      <c r="AH610" t="b">
        <f>AND(IF(metadata!F610="",FALSE,TRUE),OR(EXACT(metadata!F610,"Animal"),EXACT(metadata!F610,"Fungus"),EXACT(metadata!F610,"Plant")))</f>
        <v>0</v>
      </c>
      <c r="AI610" t="b">
        <f>AND(IF(metadata!G610="",FALSE,TRUE),OR(EXACT(metadata!G610,"Plant secretion"),EXACT(metadata!G610,"Plant rhizosphere"),EXACT(metadata!G610,"Plant surface"),EXACT(metadata!G610,"Plant corpus"),EXACT(metadata!G610,"Fungus surface"),EXACT(metadata!G610,"Fungus corpus"),EXACT(metadata!G610,"Animal surface"),EXACT(metadata!G610,"Animal proximal gut"),EXACT(metadata!G610,"Animal corpus"),EXACT(metadata!G610,"Animal distal gut"),EXACT(metadata!G610,"Animal secretion")))</f>
        <v>0</v>
      </c>
      <c r="AJ610" t="b">
        <f>OR(AND(IF(metadata!H610="",FALSE,TRUE),OR(EXACT(metadata!H610,"missing: not collected"),EXACT(metadata!H610,"missing: not provided"),EXACT(metadata!H610,"missing: restricted access"))),AND(IF(metadata!H610="",FALSE,TRUE),OR(EXACT(metadata!H610,"organism-associated habitat"),EXACT(metadata!H610,"plant-associated habitat"),EXACT(metadata!H610,"animal-associated habitat"),EXACT(metadata!H610,"insecta-associated habitat"),EXACT(metadata!H610,"mammalia-associated habitat"),EXACT(metadata!H610,"human-associated habitat"),EXACT(metadata!H610,"livestock-associated habitat"))))</f>
        <v>0</v>
      </c>
      <c r="AK610" t="b">
        <f>AND(IF(metadata!I610="",FALSE,TRUE),EXACT(metadata!I610,"host-associated"))</f>
        <v>0</v>
      </c>
      <c r="AL610" t="b">
        <f>OR(AND(IF(metadata!J610="",FALSE,TRUE),OR(EXACT(metadata!J610,"not applicable"),EXACT(metadata!J610,"missing: not collected"),EXACT(metadata!J610,"missing: not provided"),EXACT(metadata!J610,"missing: restricted access"))),AND(IF(metadata!J610="",FALSE,ISNUMBER(VALUE(metadata!J610))),metadata!J610&gt;0))</f>
        <v>0</v>
      </c>
      <c r="AM610" t="b">
        <f>AND(IF(metadata!K610="",FALSE,TRUE),EXACT(metadata!K610,"missing: not provided"))</f>
        <v>0</v>
      </c>
      <c r="AN610" t="b">
        <f>IF(metadata!L610="",FALSE,TRUE)</f>
        <v>0</v>
      </c>
      <c r="AO610" t="b">
        <f>IF(metadata!M610="",FALSE,TRUE)</f>
        <v>0</v>
      </c>
      <c r="AP610" t="b">
        <f>OR(AND(IF(metadata!N610="",FALSE,TRUE),OR(EXACT(metadata!N610,"not applicable"),EXACT(metadata!N610,"missing: not collected"),EXACT(metadata!N610,"missing: not provided"))),AND(IF(metadata!N610="",FALSE,IF(ISERROR(INT(metadata!N610)),FALSE,INT(metadata!N610)=metadata!N610)),metadata!N610&gt;0))</f>
        <v>0</v>
      </c>
      <c r="AQ610" t="b">
        <f>AND(IF(metadata!O610="",FALSE,TRUE),EXACT(metadata!O610,"Not applicable"))</f>
        <v>0</v>
      </c>
      <c r="AR610" t="b">
        <f>OR(AND(IF(metadata!P610="",FALSE,TRUE),OR(EXACT(metadata!P610,"not applicable"),EXACT(metadata!P610,"missing: not collected"),EXACT(metadata!P610,"missing: not provided"),EXACT(metadata!P610,"missing: restricted access"))),IF(metadata!P610="",FALSE,IF(ISERROR(INT(metadata!P610)),FALSE,INT(metadata!P610)=metadata!P610)))</f>
        <v>0</v>
      </c>
      <c r="AS610" t="b">
        <f>AND(IF(metadata!Q610="",FALSE,TRUE),EXACT(metadata!Q610,"Not applicable"))</f>
        <v>0</v>
      </c>
      <c r="AT610" t="b">
        <f>OR(AND(IF(metadata!R610="",FALSE,TRUE),OR(EXACT(metadata!R610,"not applicable"),EXACT(metadata!R610,"missing: not collected"),EXACT(metadata!R610,"missing: not provided"),EXACT(metadata!R610,"missing: restricted access"))),AND(IF(metadata!R610="",FALSE,ISNUMBER(VALUE(metadata!R610))),metadata!R610&gt;0))</f>
        <v>0</v>
      </c>
      <c r="AU610" t="b">
        <f>AND(IF(metadata!S610="",FALSE,TRUE),EXACT(metadata!S610,"missing: not provided"))</f>
        <v>0</v>
      </c>
    </row>
    <row r="611" spans="1:47" x14ac:dyDescent="0.2">
      <c r="A611" s="5" t="str">
        <f ca="1">IF(B611=" "," ",HYPERLINK(CONCATENATE("#metadata!",ADDRESS(INDEX($Y$2:$Y$1001,MATCH(ROWS($W$2:W611),$W$2:$W$1001,0),0),1)),INDEX($AB$2:$AB$1001,MATCH(ROWS($W$2:W611),$W$2:$W$1001,0),0)))</f>
        <v xml:space="preserve"> </v>
      </c>
      <c r="B611" s="4" t="str">
        <f ca="1">IF(OR(INDEX($X$2:$X$1001,MATCH(ROWS($W$2:W611),$W$2:$W$1001,0),1)&gt;=100000,INDEX($AD$1005:$AU$1005,1,MATCH(COLUMNS($AD$1006:AD1006),$AD$1006:$AU$1006,0))&gt;=100000), " ",IF(INDEX($AD$2:$AU$1001,MATCH(ROWS($W$2:W611),$W$2:$W$1001,0),MATCH(COLUMNS($AD$1006:AD1006),$AD$1006:$AU$1006,0)), HYPERLINK("#",""), HYPERLINK(CONCATENATE("#metadata!", ADDRESS(INDEX($Y$2:$Y$1001,MATCH(ROWS($W$2:W611),$W$2:$W$1001,0),0), INDEX($AD$1004:$AU$1004,1,MATCH(COLUMNS($AD$1006:AD1006),$AD$1006:$AU$1006,0)))),"Fix")))</f>
        <v xml:space="preserve"> </v>
      </c>
      <c r="C611" s="4" t="str">
        <f ca="1">IF(OR(INDEX($X$2:$X$1001,MATCH(ROWS($W$2:W611),$W$2:$W$1001,0),1)&gt;=100000,INDEX($AD$1005:$AU$1005,1,MATCH(COLUMNS($AD$1006:AE1006),$AD$1006:$AU$1006,0))&gt;=100000), " ",IF(INDEX($AD$2:$AU$1001,MATCH(ROWS($W$2:W611),$W$2:$W$1001,0),MATCH(COLUMNS($AD$1006:AE1006),$AD$1006:$AU$1006,0)), HYPERLINK("#",""), HYPERLINK(CONCATENATE("#metadata!", ADDRESS(INDEX($Y$2:$Y$1001,MATCH(ROWS($W$2:W611),$W$2:$W$1001,0),0), INDEX($AD$1004:$AU$1004,1,MATCH(COLUMNS($AD$1006:AE1006),$AD$1006:$AU$1006,0)))),"Fix")))</f>
        <v xml:space="preserve"> </v>
      </c>
      <c r="D611" s="4" t="str">
        <f ca="1">IF(OR(INDEX($X$2:$X$1001,MATCH(ROWS($W$2:W611),$W$2:$W$1001,0),1)&gt;=100000,INDEX($AD$1005:$AU$1005,1,MATCH(COLUMNS($AD$1006:AF1006),$AD$1006:$AU$1006,0))&gt;=100000), " ",IF(INDEX($AD$2:$AU$1001,MATCH(ROWS($W$2:W611),$W$2:$W$1001,0),MATCH(COLUMNS($AD$1006:AF1006),$AD$1006:$AU$1006,0)), HYPERLINK("#",""), HYPERLINK(CONCATENATE("#metadata!", ADDRESS(INDEX($Y$2:$Y$1001,MATCH(ROWS($W$2:W611),$W$2:$W$1001,0),0), INDEX($AD$1004:$AU$1004,1,MATCH(COLUMNS($AD$1006:AF1006),$AD$1006:$AU$1006,0)))),"Fix")))</f>
        <v xml:space="preserve"> </v>
      </c>
      <c r="E611" s="4" t="str">
        <f ca="1">IF(OR(INDEX($X$2:$X$1001,MATCH(ROWS($W$2:W611),$W$2:$W$1001,0),1)&gt;=100000,INDEX($AD$1005:$AU$1005,1,MATCH(COLUMNS($AD$1006:AG1006),$AD$1006:$AU$1006,0))&gt;=100000), " ",IF(INDEX($AD$2:$AU$1001,MATCH(ROWS($W$2:W611),$W$2:$W$1001,0),MATCH(COLUMNS($AD$1006:AG1006),$AD$1006:$AU$1006,0)), HYPERLINK("#",""), HYPERLINK(CONCATENATE("#metadata!", ADDRESS(INDEX($Y$2:$Y$1001,MATCH(ROWS($W$2:W611),$W$2:$W$1001,0),0), INDEX($AD$1004:$AU$1004,1,MATCH(COLUMNS($AD$1006:AG1006),$AD$1006:$AU$1006,0)))),"Fix")))</f>
        <v xml:space="preserve"> </v>
      </c>
      <c r="F611" s="4" t="str">
        <f ca="1">IF(OR(INDEX($X$2:$X$1001,MATCH(ROWS($W$2:W611),$W$2:$W$1001,0),1)&gt;=100000,INDEX($AD$1005:$AU$1005,1,MATCH(COLUMNS($AD$1006:AH1006),$AD$1006:$AU$1006,0))&gt;=100000), " ",IF(INDEX($AD$2:$AU$1001,MATCH(ROWS($W$2:W611),$W$2:$W$1001,0),MATCH(COLUMNS($AD$1006:AH1006),$AD$1006:$AU$1006,0)), HYPERLINK("#",""), HYPERLINK(CONCATENATE("#metadata!", ADDRESS(INDEX($Y$2:$Y$1001,MATCH(ROWS($W$2:W611),$W$2:$W$1001,0),0), INDEX($AD$1004:$AU$1004,1,MATCH(COLUMNS($AD$1006:AH1006),$AD$1006:$AU$1006,0)))),"Fix")))</f>
        <v xml:space="preserve"> </v>
      </c>
      <c r="G611" s="4" t="str">
        <f ca="1">IF(OR(INDEX($X$2:$X$1001,MATCH(ROWS($W$2:W611),$W$2:$W$1001,0),1)&gt;=100000,INDEX($AD$1005:$AU$1005,1,MATCH(COLUMNS($AD$1006:AI1006),$AD$1006:$AU$1006,0))&gt;=100000), " ",IF(INDEX($AD$2:$AU$1001,MATCH(ROWS($W$2:W611),$W$2:$W$1001,0),MATCH(COLUMNS($AD$1006:AI1006),$AD$1006:$AU$1006,0)), HYPERLINK("#",""), HYPERLINK(CONCATENATE("#metadata!", ADDRESS(INDEX($Y$2:$Y$1001,MATCH(ROWS($W$2:W611),$W$2:$W$1001,0),0), INDEX($AD$1004:$AU$1004,1,MATCH(COLUMNS($AD$1006:AI1006),$AD$1006:$AU$1006,0)))),"Fix")))</f>
        <v xml:space="preserve"> </v>
      </c>
      <c r="H611" s="4" t="str">
        <f ca="1">IF(OR(INDEX($X$2:$X$1001,MATCH(ROWS($W$2:W611),$W$2:$W$1001,0),1)&gt;=100000,INDEX($AD$1005:$AU$1005,1,MATCH(COLUMNS($AD$1006:AJ1006),$AD$1006:$AU$1006,0))&gt;=100000), " ",IF(INDEX($AD$2:$AU$1001,MATCH(ROWS($W$2:W611),$W$2:$W$1001,0),MATCH(COLUMNS($AD$1006:AJ1006),$AD$1006:$AU$1006,0)), HYPERLINK("#",""), HYPERLINK(CONCATENATE("#metadata!", ADDRESS(INDEX($Y$2:$Y$1001,MATCH(ROWS($W$2:W611),$W$2:$W$1001,0),0), INDEX($AD$1004:$AU$1004,1,MATCH(COLUMNS($AD$1006:AJ1006),$AD$1006:$AU$1006,0)))),"Fix")))</f>
        <v xml:space="preserve"> </v>
      </c>
      <c r="I611" s="4" t="str">
        <f ca="1">IF(OR(INDEX($X$2:$X$1001,MATCH(ROWS($W$2:W611),$W$2:$W$1001,0),1)&gt;=100000,INDEX($AD$1005:$AU$1005,1,MATCH(COLUMNS($AD$1006:AK1006),$AD$1006:$AU$1006,0))&gt;=100000), " ",IF(INDEX($AD$2:$AU$1001,MATCH(ROWS($W$2:W611),$W$2:$W$1001,0),MATCH(COLUMNS($AD$1006:AK1006),$AD$1006:$AU$1006,0)), HYPERLINK("#",""), HYPERLINK(CONCATENATE("#metadata!", ADDRESS(INDEX($Y$2:$Y$1001,MATCH(ROWS($W$2:W611),$W$2:$W$1001,0),0), INDEX($AD$1004:$AU$1004,1,MATCH(COLUMNS($AD$1006:AK1006),$AD$1006:$AU$1006,0)))),"Fix")))</f>
        <v xml:space="preserve"> </v>
      </c>
      <c r="J611" s="4" t="str">
        <f ca="1">IF(OR(INDEX($X$2:$X$1001,MATCH(ROWS($W$2:W611),$W$2:$W$1001,0),1)&gt;=100000,INDEX($AD$1005:$AU$1005,1,MATCH(COLUMNS($AD$1006:AL1006),$AD$1006:$AU$1006,0))&gt;=100000), " ",IF(INDEX($AD$2:$AU$1001,MATCH(ROWS($W$2:W611),$W$2:$W$1001,0),MATCH(COLUMNS($AD$1006:AL1006),$AD$1006:$AU$1006,0)), HYPERLINK("#",""), HYPERLINK(CONCATENATE("#metadata!", ADDRESS(INDEX($Y$2:$Y$1001,MATCH(ROWS($W$2:W611),$W$2:$W$1001,0),0), INDEX($AD$1004:$AU$1004,1,MATCH(COLUMNS($AD$1006:AL1006),$AD$1006:$AU$1006,0)))),"Fix")))</f>
        <v xml:space="preserve"> </v>
      </c>
      <c r="K611" s="4" t="str">
        <f ca="1">IF(OR(INDEX($X$2:$X$1001,MATCH(ROWS($W$2:W611),$W$2:$W$1001,0),1)&gt;=100000,INDEX($AD$1005:$AU$1005,1,MATCH(COLUMNS($AD$1006:AM1006),$AD$1006:$AU$1006,0))&gt;=100000), " ",IF(INDEX($AD$2:$AU$1001,MATCH(ROWS($W$2:W611),$W$2:$W$1001,0),MATCH(COLUMNS($AD$1006:AM1006),$AD$1006:$AU$1006,0)), HYPERLINK("#",""), HYPERLINK(CONCATENATE("#metadata!", ADDRESS(INDEX($Y$2:$Y$1001,MATCH(ROWS($W$2:W611),$W$2:$W$1001,0),0), INDEX($AD$1004:$AU$1004,1,MATCH(COLUMNS($AD$1006:AM1006),$AD$1006:$AU$1006,0)))),"Fix")))</f>
        <v xml:space="preserve"> </v>
      </c>
      <c r="L611" s="4" t="str">
        <f ca="1">IF(OR(INDEX($X$2:$X$1001,MATCH(ROWS($W$2:W611),$W$2:$W$1001,0),1)&gt;=100000,INDEX($AD$1005:$AU$1005,1,MATCH(COLUMNS($AD$1006:AN1006),$AD$1006:$AU$1006,0))&gt;=100000), " ",IF(INDEX($AD$2:$AU$1001,MATCH(ROWS($W$2:W611),$W$2:$W$1001,0),MATCH(COLUMNS($AD$1006:AN1006),$AD$1006:$AU$1006,0)), HYPERLINK("#",""), HYPERLINK(CONCATENATE("#metadata!", ADDRESS(INDEX($Y$2:$Y$1001,MATCH(ROWS($W$2:W611),$W$2:$W$1001,0),0), INDEX($AD$1004:$AU$1004,1,MATCH(COLUMNS($AD$1006:AN1006),$AD$1006:$AU$1006,0)))),"Fix")))</f>
        <v xml:space="preserve"> </v>
      </c>
      <c r="M611" s="4" t="str">
        <f ca="1">IF(OR(INDEX($X$2:$X$1001,MATCH(ROWS($W$2:W611),$W$2:$W$1001,0),1)&gt;=100000,INDEX($AD$1005:$AU$1005,1,MATCH(COLUMNS($AD$1006:AO1006),$AD$1006:$AU$1006,0))&gt;=100000), " ",IF(INDEX($AD$2:$AU$1001,MATCH(ROWS($W$2:W611),$W$2:$W$1001,0),MATCH(COLUMNS($AD$1006:AO1006),$AD$1006:$AU$1006,0)), HYPERLINK("#",""), HYPERLINK(CONCATENATE("#metadata!", ADDRESS(INDEX($Y$2:$Y$1001,MATCH(ROWS($W$2:W611),$W$2:$W$1001,0),0), INDEX($AD$1004:$AU$1004,1,MATCH(COLUMNS($AD$1006:AO1006),$AD$1006:$AU$1006,0)))),"Fix")))</f>
        <v xml:space="preserve"> </v>
      </c>
      <c r="N611" s="4" t="str">
        <f ca="1">IF(OR(INDEX($X$2:$X$1001,MATCH(ROWS($W$2:W611),$W$2:$W$1001,0),1)&gt;=100000,INDEX($AD$1005:$AU$1005,1,MATCH(COLUMNS($AD$1006:AP1006),$AD$1006:$AU$1006,0))&gt;=100000), " ",IF(INDEX($AD$2:$AU$1001,MATCH(ROWS($W$2:W611),$W$2:$W$1001,0),MATCH(COLUMNS($AD$1006:AP1006),$AD$1006:$AU$1006,0)), HYPERLINK("#",""), HYPERLINK(CONCATENATE("#metadata!", ADDRESS(INDEX($Y$2:$Y$1001,MATCH(ROWS($W$2:W611),$W$2:$W$1001,0),0), INDEX($AD$1004:$AU$1004,1,MATCH(COLUMNS($AD$1006:AP1006),$AD$1006:$AU$1006,0)))),"Fix")))</f>
        <v xml:space="preserve"> </v>
      </c>
      <c r="O611" s="4" t="str">
        <f ca="1">IF(OR(INDEX($X$2:$X$1001,MATCH(ROWS($W$2:W611),$W$2:$W$1001,0),1)&gt;=100000,INDEX($AD$1005:$AU$1005,1,MATCH(COLUMNS($AD$1006:AQ1006),$AD$1006:$AU$1006,0))&gt;=100000), " ",IF(INDEX($AD$2:$AU$1001,MATCH(ROWS($W$2:W611),$W$2:$W$1001,0),MATCH(COLUMNS($AD$1006:AQ1006),$AD$1006:$AU$1006,0)), HYPERLINK("#",""), HYPERLINK(CONCATENATE("#metadata!", ADDRESS(INDEX($Y$2:$Y$1001,MATCH(ROWS($W$2:W611),$W$2:$W$1001,0),0), INDEX($AD$1004:$AU$1004,1,MATCH(COLUMNS($AD$1006:AQ1006),$AD$1006:$AU$1006,0)))),"Fix")))</f>
        <v xml:space="preserve"> </v>
      </c>
      <c r="P611" s="4" t="str">
        <f ca="1">IF(OR(INDEX($X$2:$X$1001,MATCH(ROWS($W$2:W611),$W$2:$W$1001,0),1)&gt;=100000,INDEX($AD$1005:$AU$1005,1,MATCH(COLUMNS($AD$1006:AR1006),$AD$1006:$AU$1006,0))&gt;=100000), " ",IF(INDEX($AD$2:$AU$1001,MATCH(ROWS($W$2:W611),$W$2:$W$1001,0),MATCH(COLUMNS($AD$1006:AR1006),$AD$1006:$AU$1006,0)), HYPERLINK("#",""), HYPERLINK(CONCATENATE("#metadata!", ADDRESS(INDEX($Y$2:$Y$1001,MATCH(ROWS($W$2:W611),$W$2:$W$1001,0),0), INDEX($AD$1004:$AU$1004,1,MATCH(COLUMNS($AD$1006:AR1006),$AD$1006:$AU$1006,0)))),"Fix")))</f>
        <v xml:space="preserve"> </v>
      </c>
      <c r="Q611" s="4" t="str">
        <f ca="1">IF(OR(INDEX($X$2:$X$1001,MATCH(ROWS($W$2:W611),$W$2:$W$1001,0),1)&gt;=100000,INDEX($AD$1005:$AU$1005,1,MATCH(COLUMNS($AD$1006:AS1006),$AD$1006:$AU$1006,0))&gt;=100000), " ",IF(INDEX($AD$2:$AU$1001,MATCH(ROWS($W$2:W611),$W$2:$W$1001,0),MATCH(COLUMNS($AD$1006:AS1006),$AD$1006:$AU$1006,0)), HYPERLINK("#",""), HYPERLINK(CONCATENATE("#metadata!", ADDRESS(INDEX($Y$2:$Y$1001,MATCH(ROWS($W$2:W611),$W$2:$W$1001,0),0), INDEX($AD$1004:$AU$1004,1,MATCH(COLUMNS($AD$1006:AS1006),$AD$1006:$AU$1006,0)))),"Fix")))</f>
        <v xml:space="preserve"> </v>
      </c>
      <c r="R611" s="4" t="str">
        <f ca="1">IF(OR(INDEX($X$2:$X$1001,MATCH(ROWS($W$2:W611),$W$2:$W$1001,0),1)&gt;=100000,INDEX($AD$1005:$AU$1005,1,MATCH(COLUMNS($AD$1006:AT1006),$AD$1006:$AU$1006,0))&gt;=100000), " ",IF(INDEX($AD$2:$AU$1001,MATCH(ROWS($W$2:W611),$W$2:$W$1001,0),MATCH(COLUMNS($AD$1006:AT1006),$AD$1006:$AU$1006,0)), HYPERLINK("#",""), HYPERLINK(CONCATENATE("#metadata!", ADDRESS(INDEX($Y$2:$Y$1001,MATCH(ROWS($W$2:W611),$W$2:$W$1001,0),0), INDEX($AD$1004:$AU$1004,1,MATCH(COLUMNS($AD$1006:AT1006),$AD$1006:$AU$1006,0)))),"Fix")))</f>
        <v xml:space="preserve"> </v>
      </c>
      <c r="S611" s="4" t="str">
        <f ca="1">IF(OR(INDEX($X$2:$X$1001,MATCH(ROWS($W$2:W611),$W$2:$W$1001,0),1)&gt;=100000,INDEX($AD$1005:$AU$1005,1,MATCH(COLUMNS($AD$1006:AU1006),$AD$1006:$AU$1006,0))&gt;=100000), " ",IF(INDEX($AD$2:$AU$1001,MATCH(ROWS($W$2:W611),$W$2:$W$1001,0),MATCH(COLUMNS($AD$1006:AU1006),$AD$1006:$AU$1006,0)), HYPERLINK("#",""), HYPERLINK(CONCATENATE("#metadata!", ADDRESS(INDEX($Y$2:$Y$1001,MATCH(ROWS($W$2:W611),$W$2:$W$1001,0),0), INDEX($AD$1004:$AU$1004,1,MATCH(COLUMNS($AD$1006:AU1006),$AD$1006:$AU$1006,0)))),"Fix")))</f>
        <v xml:space="preserve"> </v>
      </c>
      <c r="W611">
        <v>610</v>
      </c>
      <c r="X611">
        <v>100611</v>
      </c>
      <c r="Y611">
        <v>611</v>
      </c>
      <c r="Z611" t="b">
        <f t="shared" si="9"/>
        <v>1</v>
      </c>
      <c r="AA611" t="b">
        <f>COUNTBLANK(metadata!B611:S611)=COLUMNS(metadata!B611:S611)</f>
        <v>1</v>
      </c>
      <c r="AB611" t="str">
        <v/>
      </c>
      <c r="AD611" t="b">
        <f ca="1">AND(IF(metadata!B611="",FALSE,TRUE),COUNTIF(metadata!B:B, metadata!B611) = 1,NOT(ISERROR(SUMPRODUCT(SEARCH(MID(metadata!B611,ROW(INDIRECT("1:"&amp;LEN(metadata!B611))), 1),"0123456789abcdefghijklmnopqrstuvwxyzABCDEFGHIJKLMNOPQRSTUVWXYZ.")))))</f>
        <v>0</v>
      </c>
      <c r="AE611" t="b">
        <f>OR(AND(IF(metadata!C611="",FALSE,TRUE),OR(EXACT(metadata!C611,"not applicable"),EXACT(metadata!C611,"missing: not collected"),EXACT(metadata!C611,"missing: not provided"),EXACT(metadata!C611,"missing: restricted access"))),AND(IF(metadata!C611="",FALSE,ISNUMBER(VALUE(metadata!C611))),metadata!C611&gt;0))</f>
        <v>0</v>
      </c>
      <c r="AF611" t="b">
        <f>AND(IF(metadata!D611="",FALSE,TRUE),EXACT(metadata!D611,"missing: not provided"))</f>
        <v>0</v>
      </c>
      <c r="AG611" t="b">
        <f>AND(IF(metadata!E611="",FALSE,TRUE),EXACT(metadata!E611,"Host-associated"))</f>
        <v>0</v>
      </c>
      <c r="AH611" t="b">
        <f>AND(IF(metadata!F611="",FALSE,TRUE),OR(EXACT(metadata!F611,"Animal"),EXACT(metadata!F611,"Fungus"),EXACT(metadata!F611,"Plant")))</f>
        <v>0</v>
      </c>
      <c r="AI611" t="b">
        <f>AND(IF(metadata!G611="",FALSE,TRUE),OR(EXACT(metadata!G611,"Plant secretion"),EXACT(metadata!G611,"Plant rhizosphere"),EXACT(metadata!G611,"Plant surface"),EXACT(metadata!G611,"Plant corpus"),EXACT(metadata!G611,"Fungus surface"),EXACT(metadata!G611,"Fungus corpus"),EXACT(metadata!G611,"Animal surface"),EXACT(metadata!G611,"Animal proximal gut"),EXACT(metadata!G611,"Animal corpus"),EXACT(metadata!G611,"Animal distal gut"),EXACT(metadata!G611,"Animal secretion")))</f>
        <v>0</v>
      </c>
      <c r="AJ611" t="b">
        <f>OR(AND(IF(metadata!H611="",FALSE,TRUE),OR(EXACT(metadata!H611,"missing: not collected"),EXACT(metadata!H611,"missing: not provided"),EXACT(metadata!H611,"missing: restricted access"))),AND(IF(metadata!H611="",FALSE,TRUE),OR(EXACT(metadata!H611,"organism-associated habitat"),EXACT(metadata!H611,"plant-associated habitat"),EXACT(metadata!H611,"animal-associated habitat"),EXACT(metadata!H611,"insecta-associated habitat"),EXACT(metadata!H611,"mammalia-associated habitat"),EXACT(metadata!H611,"human-associated habitat"),EXACT(metadata!H611,"livestock-associated habitat"))))</f>
        <v>0</v>
      </c>
      <c r="AK611" t="b">
        <f>AND(IF(metadata!I611="",FALSE,TRUE),EXACT(metadata!I611,"host-associated"))</f>
        <v>0</v>
      </c>
      <c r="AL611" t="b">
        <f>OR(AND(IF(metadata!J611="",FALSE,TRUE),OR(EXACT(metadata!J611,"not applicable"),EXACT(metadata!J611,"missing: not collected"),EXACT(metadata!J611,"missing: not provided"),EXACT(metadata!J611,"missing: restricted access"))),AND(IF(metadata!J611="",FALSE,ISNUMBER(VALUE(metadata!J611))),metadata!J611&gt;0))</f>
        <v>0</v>
      </c>
      <c r="AM611" t="b">
        <f>AND(IF(metadata!K611="",FALSE,TRUE),EXACT(metadata!K611,"missing: not provided"))</f>
        <v>0</v>
      </c>
      <c r="AN611" t="b">
        <f>IF(metadata!L611="",FALSE,TRUE)</f>
        <v>0</v>
      </c>
      <c r="AO611" t="b">
        <f>IF(metadata!M611="",FALSE,TRUE)</f>
        <v>0</v>
      </c>
      <c r="AP611" t="b">
        <f>OR(AND(IF(metadata!N611="",FALSE,TRUE),OR(EXACT(metadata!N611,"not applicable"),EXACT(metadata!N611,"missing: not collected"),EXACT(metadata!N611,"missing: not provided"))),AND(IF(metadata!N611="",FALSE,IF(ISERROR(INT(metadata!N611)),FALSE,INT(metadata!N611)=metadata!N611)),metadata!N611&gt;0))</f>
        <v>0</v>
      </c>
      <c r="AQ611" t="b">
        <f>AND(IF(metadata!O611="",FALSE,TRUE),EXACT(metadata!O611,"Not applicable"))</f>
        <v>0</v>
      </c>
      <c r="AR611" t="b">
        <f>OR(AND(IF(metadata!P611="",FALSE,TRUE),OR(EXACT(metadata!P611,"not applicable"),EXACT(metadata!P611,"missing: not collected"),EXACT(metadata!P611,"missing: not provided"),EXACT(metadata!P611,"missing: restricted access"))),IF(metadata!P611="",FALSE,IF(ISERROR(INT(metadata!P611)),FALSE,INT(metadata!P611)=metadata!P611)))</f>
        <v>0</v>
      </c>
      <c r="AS611" t="b">
        <f>AND(IF(metadata!Q611="",FALSE,TRUE),EXACT(metadata!Q611,"Not applicable"))</f>
        <v>0</v>
      </c>
      <c r="AT611" t="b">
        <f>OR(AND(IF(metadata!R611="",FALSE,TRUE),OR(EXACT(metadata!R611,"not applicable"),EXACT(metadata!R611,"missing: not collected"),EXACT(metadata!R611,"missing: not provided"),EXACT(metadata!R611,"missing: restricted access"))),AND(IF(metadata!R611="",FALSE,ISNUMBER(VALUE(metadata!R611))),metadata!R611&gt;0))</f>
        <v>0</v>
      </c>
      <c r="AU611" t="b">
        <f>AND(IF(metadata!S611="",FALSE,TRUE),EXACT(metadata!S611,"missing: not provided"))</f>
        <v>0</v>
      </c>
    </row>
    <row r="612" spans="1:47" x14ac:dyDescent="0.2">
      <c r="A612" s="5" t="str">
        <f ca="1">IF(B612=" "," ",HYPERLINK(CONCATENATE("#metadata!",ADDRESS(INDEX($Y$2:$Y$1001,MATCH(ROWS($W$2:W612),$W$2:$W$1001,0),0),1)),INDEX($AB$2:$AB$1001,MATCH(ROWS($W$2:W612),$W$2:$W$1001,0),0)))</f>
        <v xml:space="preserve"> </v>
      </c>
      <c r="B612" s="4" t="str">
        <f ca="1">IF(OR(INDEX($X$2:$X$1001,MATCH(ROWS($W$2:W612),$W$2:$W$1001,0),1)&gt;=100000,INDEX($AD$1005:$AU$1005,1,MATCH(COLUMNS($AD$1006:AD1006),$AD$1006:$AU$1006,0))&gt;=100000), " ",IF(INDEX($AD$2:$AU$1001,MATCH(ROWS($W$2:W612),$W$2:$W$1001,0),MATCH(COLUMNS($AD$1006:AD1006),$AD$1006:$AU$1006,0)), HYPERLINK("#",""), HYPERLINK(CONCATENATE("#metadata!", ADDRESS(INDEX($Y$2:$Y$1001,MATCH(ROWS($W$2:W612),$W$2:$W$1001,0),0), INDEX($AD$1004:$AU$1004,1,MATCH(COLUMNS($AD$1006:AD1006),$AD$1006:$AU$1006,0)))),"Fix")))</f>
        <v xml:space="preserve"> </v>
      </c>
      <c r="C612" s="4" t="str">
        <f ca="1">IF(OR(INDEX($X$2:$X$1001,MATCH(ROWS($W$2:W612),$W$2:$W$1001,0),1)&gt;=100000,INDEX($AD$1005:$AU$1005,1,MATCH(COLUMNS($AD$1006:AE1006),$AD$1006:$AU$1006,0))&gt;=100000), " ",IF(INDEX($AD$2:$AU$1001,MATCH(ROWS($W$2:W612),$W$2:$W$1001,0),MATCH(COLUMNS($AD$1006:AE1006),$AD$1006:$AU$1006,0)), HYPERLINK("#",""), HYPERLINK(CONCATENATE("#metadata!", ADDRESS(INDEX($Y$2:$Y$1001,MATCH(ROWS($W$2:W612),$W$2:$W$1001,0),0), INDEX($AD$1004:$AU$1004,1,MATCH(COLUMNS($AD$1006:AE1006),$AD$1006:$AU$1006,0)))),"Fix")))</f>
        <v xml:space="preserve"> </v>
      </c>
      <c r="D612" s="4" t="str">
        <f ca="1">IF(OR(INDEX($X$2:$X$1001,MATCH(ROWS($W$2:W612),$W$2:$W$1001,0),1)&gt;=100000,INDEX($AD$1005:$AU$1005,1,MATCH(COLUMNS($AD$1006:AF1006),$AD$1006:$AU$1006,0))&gt;=100000), " ",IF(INDEX($AD$2:$AU$1001,MATCH(ROWS($W$2:W612),$W$2:$W$1001,0),MATCH(COLUMNS($AD$1006:AF1006),$AD$1006:$AU$1006,0)), HYPERLINK("#",""), HYPERLINK(CONCATENATE("#metadata!", ADDRESS(INDEX($Y$2:$Y$1001,MATCH(ROWS($W$2:W612),$W$2:$W$1001,0),0), INDEX($AD$1004:$AU$1004,1,MATCH(COLUMNS($AD$1006:AF1006),$AD$1006:$AU$1006,0)))),"Fix")))</f>
        <v xml:space="preserve"> </v>
      </c>
      <c r="E612" s="4" t="str">
        <f ca="1">IF(OR(INDEX($X$2:$X$1001,MATCH(ROWS($W$2:W612),$W$2:$W$1001,0),1)&gt;=100000,INDEX($AD$1005:$AU$1005,1,MATCH(COLUMNS($AD$1006:AG1006),$AD$1006:$AU$1006,0))&gt;=100000), " ",IF(INDEX($AD$2:$AU$1001,MATCH(ROWS($W$2:W612),$W$2:$W$1001,0),MATCH(COLUMNS($AD$1006:AG1006),$AD$1006:$AU$1006,0)), HYPERLINK("#",""), HYPERLINK(CONCATENATE("#metadata!", ADDRESS(INDEX($Y$2:$Y$1001,MATCH(ROWS($W$2:W612),$W$2:$W$1001,0),0), INDEX($AD$1004:$AU$1004,1,MATCH(COLUMNS($AD$1006:AG1006),$AD$1006:$AU$1006,0)))),"Fix")))</f>
        <v xml:space="preserve"> </v>
      </c>
      <c r="F612" s="4" t="str">
        <f ca="1">IF(OR(INDEX($X$2:$X$1001,MATCH(ROWS($W$2:W612),$W$2:$W$1001,0),1)&gt;=100000,INDEX($AD$1005:$AU$1005,1,MATCH(COLUMNS($AD$1006:AH1006),$AD$1006:$AU$1006,0))&gt;=100000), " ",IF(INDEX($AD$2:$AU$1001,MATCH(ROWS($W$2:W612),$W$2:$W$1001,0),MATCH(COLUMNS($AD$1006:AH1006),$AD$1006:$AU$1006,0)), HYPERLINK("#",""), HYPERLINK(CONCATENATE("#metadata!", ADDRESS(INDEX($Y$2:$Y$1001,MATCH(ROWS($W$2:W612),$W$2:$W$1001,0),0), INDEX($AD$1004:$AU$1004,1,MATCH(COLUMNS($AD$1006:AH1006),$AD$1006:$AU$1006,0)))),"Fix")))</f>
        <v xml:space="preserve"> </v>
      </c>
      <c r="G612" s="4" t="str">
        <f ca="1">IF(OR(INDEX($X$2:$X$1001,MATCH(ROWS($W$2:W612),$W$2:$W$1001,0),1)&gt;=100000,INDEX($AD$1005:$AU$1005,1,MATCH(COLUMNS($AD$1006:AI1006),$AD$1006:$AU$1006,0))&gt;=100000), " ",IF(INDEX($AD$2:$AU$1001,MATCH(ROWS($W$2:W612),$W$2:$W$1001,0),MATCH(COLUMNS($AD$1006:AI1006),$AD$1006:$AU$1006,0)), HYPERLINK("#",""), HYPERLINK(CONCATENATE("#metadata!", ADDRESS(INDEX($Y$2:$Y$1001,MATCH(ROWS($W$2:W612),$W$2:$W$1001,0),0), INDEX($AD$1004:$AU$1004,1,MATCH(COLUMNS($AD$1006:AI1006),$AD$1006:$AU$1006,0)))),"Fix")))</f>
        <v xml:space="preserve"> </v>
      </c>
      <c r="H612" s="4" t="str">
        <f ca="1">IF(OR(INDEX($X$2:$X$1001,MATCH(ROWS($W$2:W612),$W$2:$W$1001,0),1)&gt;=100000,INDEX($AD$1005:$AU$1005,1,MATCH(COLUMNS($AD$1006:AJ1006),$AD$1006:$AU$1006,0))&gt;=100000), " ",IF(INDEX($AD$2:$AU$1001,MATCH(ROWS($W$2:W612),$W$2:$W$1001,0),MATCH(COLUMNS($AD$1006:AJ1006),$AD$1006:$AU$1006,0)), HYPERLINK("#",""), HYPERLINK(CONCATENATE("#metadata!", ADDRESS(INDEX($Y$2:$Y$1001,MATCH(ROWS($W$2:W612),$W$2:$W$1001,0),0), INDEX($AD$1004:$AU$1004,1,MATCH(COLUMNS($AD$1006:AJ1006),$AD$1006:$AU$1006,0)))),"Fix")))</f>
        <v xml:space="preserve"> </v>
      </c>
      <c r="I612" s="4" t="str">
        <f ca="1">IF(OR(INDEX($X$2:$X$1001,MATCH(ROWS($W$2:W612),$W$2:$W$1001,0),1)&gt;=100000,INDEX($AD$1005:$AU$1005,1,MATCH(COLUMNS($AD$1006:AK1006),$AD$1006:$AU$1006,0))&gt;=100000), " ",IF(INDEX($AD$2:$AU$1001,MATCH(ROWS($W$2:W612),$W$2:$W$1001,0),MATCH(COLUMNS($AD$1006:AK1006),$AD$1006:$AU$1006,0)), HYPERLINK("#",""), HYPERLINK(CONCATENATE("#metadata!", ADDRESS(INDEX($Y$2:$Y$1001,MATCH(ROWS($W$2:W612),$W$2:$W$1001,0),0), INDEX($AD$1004:$AU$1004,1,MATCH(COLUMNS($AD$1006:AK1006),$AD$1006:$AU$1006,0)))),"Fix")))</f>
        <v xml:space="preserve"> </v>
      </c>
      <c r="J612" s="4" t="str">
        <f ca="1">IF(OR(INDEX($X$2:$X$1001,MATCH(ROWS($W$2:W612),$W$2:$W$1001,0),1)&gt;=100000,INDEX($AD$1005:$AU$1005,1,MATCH(COLUMNS($AD$1006:AL1006),$AD$1006:$AU$1006,0))&gt;=100000), " ",IF(INDEX($AD$2:$AU$1001,MATCH(ROWS($W$2:W612),$W$2:$W$1001,0),MATCH(COLUMNS($AD$1006:AL1006),$AD$1006:$AU$1006,0)), HYPERLINK("#",""), HYPERLINK(CONCATENATE("#metadata!", ADDRESS(INDEX($Y$2:$Y$1001,MATCH(ROWS($W$2:W612),$W$2:$W$1001,0),0), INDEX($AD$1004:$AU$1004,1,MATCH(COLUMNS($AD$1006:AL1006),$AD$1006:$AU$1006,0)))),"Fix")))</f>
        <v xml:space="preserve"> </v>
      </c>
      <c r="K612" s="4" t="str">
        <f ca="1">IF(OR(INDEX($X$2:$X$1001,MATCH(ROWS($W$2:W612),$W$2:$W$1001,0),1)&gt;=100000,INDEX($AD$1005:$AU$1005,1,MATCH(COLUMNS($AD$1006:AM1006),$AD$1006:$AU$1006,0))&gt;=100000), " ",IF(INDEX($AD$2:$AU$1001,MATCH(ROWS($W$2:W612),$W$2:$W$1001,0),MATCH(COLUMNS($AD$1006:AM1006),$AD$1006:$AU$1006,0)), HYPERLINK("#",""), HYPERLINK(CONCATENATE("#metadata!", ADDRESS(INDEX($Y$2:$Y$1001,MATCH(ROWS($W$2:W612),$W$2:$W$1001,0),0), INDEX($AD$1004:$AU$1004,1,MATCH(COLUMNS($AD$1006:AM1006),$AD$1006:$AU$1006,0)))),"Fix")))</f>
        <v xml:space="preserve"> </v>
      </c>
      <c r="L612" s="4" t="str">
        <f ca="1">IF(OR(INDEX($X$2:$X$1001,MATCH(ROWS($W$2:W612),$W$2:$W$1001,0),1)&gt;=100000,INDEX($AD$1005:$AU$1005,1,MATCH(COLUMNS($AD$1006:AN1006),$AD$1006:$AU$1006,0))&gt;=100000), " ",IF(INDEX($AD$2:$AU$1001,MATCH(ROWS($W$2:W612),$W$2:$W$1001,0),MATCH(COLUMNS($AD$1006:AN1006),$AD$1006:$AU$1006,0)), HYPERLINK("#",""), HYPERLINK(CONCATENATE("#metadata!", ADDRESS(INDEX($Y$2:$Y$1001,MATCH(ROWS($W$2:W612),$W$2:$W$1001,0),0), INDEX($AD$1004:$AU$1004,1,MATCH(COLUMNS($AD$1006:AN1006),$AD$1006:$AU$1006,0)))),"Fix")))</f>
        <v xml:space="preserve"> </v>
      </c>
      <c r="M612" s="4" t="str">
        <f ca="1">IF(OR(INDEX($X$2:$X$1001,MATCH(ROWS($W$2:W612),$W$2:$W$1001,0),1)&gt;=100000,INDEX($AD$1005:$AU$1005,1,MATCH(COLUMNS($AD$1006:AO1006),$AD$1006:$AU$1006,0))&gt;=100000), " ",IF(INDEX($AD$2:$AU$1001,MATCH(ROWS($W$2:W612),$W$2:$W$1001,0),MATCH(COLUMNS($AD$1006:AO1006),$AD$1006:$AU$1006,0)), HYPERLINK("#",""), HYPERLINK(CONCATENATE("#metadata!", ADDRESS(INDEX($Y$2:$Y$1001,MATCH(ROWS($W$2:W612),$W$2:$W$1001,0),0), INDEX($AD$1004:$AU$1004,1,MATCH(COLUMNS($AD$1006:AO1006),$AD$1006:$AU$1006,0)))),"Fix")))</f>
        <v xml:space="preserve"> </v>
      </c>
      <c r="N612" s="4" t="str">
        <f ca="1">IF(OR(INDEX($X$2:$X$1001,MATCH(ROWS($W$2:W612),$W$2:$W$1001,0),1)&gt;=100000,INDEX($AD$1005:$AU$1005,1,MATCH(COLUMNS($AD$1006:AP1006),$AD$1006:$AU$1006,0))&gt;=100000), " ",IF(INDEX($AD$2:$AU$1001,MATCH(ROWS($W$2:W612),$W$2:$W$1001,0),MATCH(COLUMNS($AD$1006:AP1006),$AD$1006:$AU$1006,0)), HYPERLINK("#",""), HYPERLINK(CONCATENATE("#metadata!", ADDRESS(INDEX($Y$2:$Y$1001,MATCH(ROWS($W$2:W612),$W$2:$W$1001,0),0), INDEX($AD$1004:$AU$1004,1,MATCH(COLUMNS($AD$1006:AP1006),$AD$1006:$AU$1006,0)))),"Fix")))</f>
        <v xml:space="preserve"> </v>
      </c>
      <c r="O612" s="4" t="str">
        <f ca="1">IF(OR(INDEX($X$2:$X$1001,MATCH(ROWS($W$2:W612),$W$2:$W$1001,0),1)&gt;=100000,INDEX($AD$1005:$AU$1005,1,MATCH(COLUMNS($AD$1006:AQ1006),$AD$1006:$AU$1006,0))&gt;=100000), " ",IF(INDEX($AD$2:$AU$1001,MATCH(ROWS($W$2:W612),$W$2:$W$1001,0),MATCH(COLUMNS($AD$1006:AQ1006),$AD$1006:$AU$1006,0)), HYPERLINK("#",""), HYPERLINK(CONCATENATE("#metadata!", ADDRESS(INDEX($Y$2:$Y$1001,MATCH(ROWS($W$2:W612),$W$2:$W$1001,0),0), INDEX($AD$1004:$AU$1004,1,MATCH(COLUMNS($AD$1006:AQ1006),$AD$1006:$AU$1006,0)))),"Fix")))</f>
        <v xml:space="preserve"> </v>
      </c>
      <c r="P612" s="4" t="str">
        <f ca="1">IF(OR(INDEX($X$2:$X$1001,MATCH(ROWS($W$2:W612),$W$2:$W$1001,0),1)&gt;=100000,INDEX($AD$1005:$AU$1005,1,MATCH(COLUMNS($AD$1006:AR1006),$AD$1006:$AU$1006,0))&gt;=100000), " ",IF(INDEX($AD$2:$AU$1001,MATCH(ROWS($W$2:W612),$W$2:$W$1001,0),MATCH(COLUMNS($AD$1006:AR1006),$AD$1006:$AU$1006,0)), HYPERLINK("#",""), HYPERLINK(CONCATENATE("#metadata!", ADDRESS(INDEX($Y$2:$Y$1001,MATCH(ROWS($W$2:W612),$W$2:$W$1001,0),0), INDEX($AD$1004:$AU$1004,1,MATCH(COLUMNS($AD$1006:AR1006),$AD$1006:$AU$1006,0)))),"Fix")))</f>
        <v xml:space="preserve"> </v>
      </c>
      <c r="Q612" s="4" t="str">
        <f ca="1">IF(OR(INDEX($X$2:$X$1001,MATCH(ROWS($W$2:W612),$W$2:$W$1001,0),1)&gt;=100000,INDEX($AD$1005:$AU$1005,1,MATCH(COLUMNS($AD$1006:AS1006),$AD$1006:$AU$1006,0))&gt;=100000), " ",IF(INDEX($AD$2:$AU$1001,MATCH(ROWS($W$2:W612),$W$2:$W$1001,0),MATCH(COLUMNS($AD$1006:AS1006),$AD$1006:$AU$1006,0)), HYPERLINK("#",""), HYPERLINK(CONCATENATE("#metadata!", ADDRESS(INDEX($Y$2:$Y$1001,MATCH(ROWS($W$2:W612),$W$2:$W$1001,0),0), INDEX($AD$1004:$AU$1004,1,MATCH(COLUMNS($AD$1006:AS1006),$AD$1006:$AU$1006,0)))),"Fix")))</f>
        <v xml:space="preserve"> </v>
      </c>
      <c r="R612" s="4" t="str">
        <f ca="1">IF(OR(INDEX($X$2:$X$1001,MATCH(ROWS($W$2:W612),$W$2:$W$1001,0),1)&gt;=100000,INDEX($AD$1005:$AU$1005,1,MATCH(COLUMNS($AD$1006:AT1006),$AD$1006:$AU$1006,0))&gt;=100000), " ",IF(INDEX($AD$2:$AU$1001,MATCH(ROWS($W$2:W612),$W$2:$W$1001,0),MATCH(COLUMNS($AD$1006:AT1006),$AD$1006:$AU$1006,0)), HYPERLINK("#",""), HYPERLINK(CONCATENATE("#metadata!", ADDRESS(INDEX($Y$2:$Y$1001,MATCH(ROWS($W$2:W612),$W$2:$W$1001,0),0), INDEX($AD$1004:$AU$1004,1,MATCH(COLUMNS($AD$1006:AT1006),$AD$1006:$AU$1006,0)))),"Fix")))</f>
        <v xml:space="preserve"> </v>
      </c>
      <c r="S612" s="4" t="str">
        <f ca="1">IF(OR(INDEX($X$2:$X$1001,MATCH(ROWS($W$2:W612),$W$2:$W$1001,0),1)&gt;=100000,INDEX($AD$1005:$AU$1005,1,MATCH(COLUMNS($AD$1006:AU1006),$AD$1006:$AU$1006,0))&gt;=100000), " ",IF(INDEX($AD$2:$AU$1001,MATCH(ROWS($W$2:W612),$W$2:$W$1001,0),MATCH(COLUMNS($AD$1006:AU1006),$AD$1006:$AU$1006,0)), HYPERLINK("#",""), HYPERLINK(CONCATENATE("#metadata!", ADDRESS(INDEX($Y$2:$Y$1001,MATCH(ROWS($W$2:W612),$W$2:$W$1001,0),0), INDEX($AD$1004:$AU$1004,1,MATCH(COLUMNS($AD$1006:AU1006),$AD$1006:$AU$1006,0)))),"Fix")))</f>
        <v xml:space="preserve"> </v>
      </c>
      <c r="W612">
        <v>611</v>
      </c>
      <c r="X612">
        <v>100612</v>
      </c>
      <c r="Y612">
        <v>612</v>
      </c>
      <c r="Z612" t="b">
        <f t="shared" si="9"/>
        <v>1</v>
      </c>
      <c r="AA612" t="b">
        <f>COUNTBLANK(metadata!B612:S612)=COLUMNS(metadata!B612:S612)</f>
        <v>1</v>
      </c>
      <c r="AB612" t="str">
        <v/>
      </c>
      <c r="AD612" t="b">
        <f ca="1">AND(IF(metadata!B612="",FALSE,TRUE),COUNTIF(metadata!B:B, metadata!B612) = 1,NOT(ISERROR(SUMPRODUCT(SEARCH(MID(metadata!B612,ROW(INDIRECT("1:"&amp;LEN(metadata!B612))), 1),"0123456789abcdefghijklmnopqrstuvwxyzABCDEFGHIJKLMNOPQRSTUVWXYZ.")))))</f>
        <v>0</v>
      </c>
      <c r="AE612" t="b">
        <f>OR(AND(IF(metadata!C612="",FALSE,TRUE),OR(EXACT(metadata!C612,"not applicable"),EXACT(metadata!C612,"missing: not collected"),EXACT(metadata!C612,"missing: not provided"),EXACT(metadata!C612,"missing: restricted access"))),AND(IF(metadata!C612="",FALSE,ISNUMBER(VALUE(metadata!C612))),metadata!C612&gt;0))</f>
        <v>0</v>
      </c>
      <c r="AF612" t="b">
        <f>AND(IF(metadata!D612="",FALSE,TRUE),EXACT(metadata!D612,"missing: not provided"))</f>
        <v>0</v>
      </c>
      <c r="AG612" t="b">
        <f>AND(IF(metadata!E612="",FALSE,TRUE),EXACT(metadata!E612,"Host-associated"))</f>
        <v>0</v>
      </c>
      <c r="AH612" t="b">
        <f>AND(IF(metadata!F612="",FALSE,TRUE),OR(EXACT(metadata!F612,"Animal"),EXACT(metadata!F612,"Fungus"),EXACT(metadata!F612,"Plant")))</f>
        <v>0</v>
      </c>
      <c r="AI612" t="b">
        <f>AND(IF(metadata!G612="",FALSE,TRUE),OR(EXACT(metadata!G612,"Plant secretion"),EXACT(metadata!G612,"Plant rhizosphere"),EXACT(metadata!G612,"Plant surface"),EXACT(metadata!G612,"Plant corpus"),EXACT(metadata!G612,"Fungus surface"),EXACT(metadata!G612,"Fungus corpus"),EXACT(metadata!G612,"Animal surface"),EXACT(metadata!G612,"Animal proximal gut"),EXACT(metadata!G612,"Animal corpus"),EXACT(metadata!G612,"Animal distal gut"),EXACT(metadata!G612,"Animal secretion")))</f>
        <v>0</v>
      </c>
      <c r="AJ612" t="b">
        <f>OR(AND(IF(metadata!H612="",FALSE,TRUE),OR(EXACT(metadata!H612,"missing: not collected"),EXACT(metadata!H612,"missing: not provided"),EXACT(metadata!H612,"missing: restricted access"))),AND(IF(metadata!H612="",FALSE,TRUE),OR(EXACT(metadata!H612,"organism-associated habitat"),EXACT(metadata!H612,"plant-associated habitat"),EXACT(metadata!H612,"animal-associated habitat"),EXACT(metadata!H612,"insecta-associated habitat"),EXACT(metadata!H612,"mammalia-associated habitat"),EXACT(metadata!H612,"human-associated habitat"),EXACT(metadata!H612,"livestock-associated habitat"))))</f>
        <v>0</v>
      </c>
      <c r="AK612" t="b">
        <f>AND(IF(metadata!I612="",FALSE,TRUE),EXACT(metadata!I612,"host-associated"))</f>
        <v>0</v>
      </c>
      <c r="AL612" t="b">
        <f>OR(AND(IF(metadata!J612="",FALSE,TRUE),OR(EXACT(metadata!J612,"not applicable"),EXACT(metadata!J612,"missing: not collected"),EXACT(metadata!J612,"missing: not provided"),EXACT(metadata!J612,"missing: restricted access"))),AND(IF(metadata!J612="",FALSE,ISNUMBER(VALUE(metadata!J612))),metadata!J612&gt;0))</f>
        <v>0</v>
      </c>
      <c r="AM612" t="b">
        <f>AND(IF(metadata!K612="",FALSE,TRUE),EXACT(metadata!K612,"missing: not provided"))</f>
        <v>0</v>
      </c>
      <c r="AN612" t="b">
        <f>IF(metadata!L612="",FALSE,TRUE)</f>
        <v>0</v>
      </c>
      <c r="AO612" t="b">
        <f>IF(metadata!M612="",FALSE,TRUE)</f>
        <v>0</v>
      </c>
      <c r="AP612" t="b">
        <f>OR(AND(IF(metadata!N612="",FALSE,TRUE),OR(EXACT(metadata!N612,"not applicable"),EXACT(metadata!N612,"missing: not collected"),EXACT(metadata!N612,"missing: not provided"))),AND(IF(metadata!N612="",FALSE,IF(ISERROR(INT(metadata!N612)),FALSE,INT(metadata!N612)=metadata!N612)),metadata!N612&gt;0))</f>
        <v>0</v>
      </c>
      <c r="AQ612" t="b">
        <f>AND(IF(metadata!O612="",FALSE,TRUE),EXACT(metadata!O612,"Not applicable"))</f>
        <v>0</v>
      </c>
      <c r="AR612" t="b">
        <f>OR(AND(IF(metadata!P612="",FALSE,TRUE),OR(EXACT(metadata!P612,"not applicable"),EXACT(metadata!P612,"missing: not collected"),EXACT(metadata!P612,"missing: not provided"),EXACT(metadata!P612,"missing: restricted access"))),IF(metadata!P612="",FALSE,IF(ISERROR(INT(metadata!P612)),FALSE,INT(metadata!P612)=metadata!P612)))</f>
        <v>0</v>
      </c>
      <c r="AS612" t="b">
        <f>AND(IF(metadata!Q612="",FALSE,TRUE),EXACT(metadata!Q612,"Not applicable"))</f>
        <v>0</v>
      </c>
      <c r="AT612" t="b">
        <f>OR(AND(IF(metadata!R612="",FALSE,TRUE),OR(EXACT(metadata!R612,"not applicable"),EXACT(metadata!R612,"missing: not collected"),EXACT(metadata!R612,"missing: not provided"),EXACT(metadata!R612,"missing: restricted access"))),AND(IF(metadata!R612="",FALSE,ISNUMBER(VALUE(metadata!R612))),metadata!R612&gt;0))</f>
        <v>0</v>
      </c>
      <c r="AU612" t="b">
        <f>AND(IF(metadata!S612="",FALSE,TRUE),EXACT(metadata!S612,"missing: not provided"))</f>
        <v>0</v>
      </c>
    </row>
    <row r="613" spans="1:47" x14ac:dyDescent="0.2">
      <c r="A613" s="5" t="str">
        <f ca="1">IF(B613=" "," ",HYPERLINK(CONCATENATE("#metadata!",ADDRESS(INDEX($Y$2:$Y$1001,MATCH(ROWS($W$2:W613),$W$2:$W$1001,0),0),1)),INDEX($AB$2:$AB$1001,MATCH(ROWS($W$2:W613),$W$2:$W$1001,0),0)))</f>
        <v xml:space="preserve"> </v>
      </c>
      <c r="B613" s="4" t="str">
        <f ca="1">IF(OR(INDEX($X$2:$X$1001,MATCH(ROWS($W$2:W613),$W$2:$W$1001,0),1)&gt;=100000,INDEX($AD$1005:$AU$1005,1,MATCH(COLUMNS($AD$1006:AD1006),$AD$1006:$AU$1006,0))&gt;=100000), " ",IF(INDEX($AD$2:$AU$1001,MATCH(ROWS($W$2:W613),$W$2:$W$1001,0),MATCH(COLUMNS($AD$1006:AD1006),$AD$1006:$AU$1006,0)), HYPERLINK("#",""), HYPERLINK(CONCATENATE("#metadata!", ADDRESS(INDEX($Y$2:$Y$1001,MATCH(ROWS($W$2:W613),$W$2:$W$1001,0),0), INDEX($AD$1004:$AU$1004,1,MATCH(COLUMNS($AD$1006:AD1006),$AD$1006:$AU$1006,0)))),"Fix")))</f>
        <v xml:space="preserve"> </v>
      </c>
      <c r="C613" s="4" t="str">
        <f ca="1">IF(OR(INDEX($X$2:$X$1001,MATCH(ROWS($W$2:W613),$W$2:$W$1001,0),1)&gt;=100000,INDEX($AD$1005:$AU$1005,1,MATCH(COLUMNS($AD$1006:AE1006),$AD$1006:$AU$1006,0))&gt;=100000), " ",IF(INDEX($AD$2:$AU$1001,MATCH(ROWS($W$2:W613),$W$2:$W$1001,0),MATCH(COLUMNS($AD$1006:AE1006),$AD$1006:$AU$1006,0)), HYPERLINK("#",""), HYPERLINK(CONCATENATE("#metadata!", ADDRESS(INDEX($Y$2:$Y$1001,MATCH(ROWS($W$2:W613),$W$2:$W$1001,0),0), INDEX($AD$1004:$AU$1004,1,MATCH(COLUMNS($AD$1006:AE1006),$AD$1006:$AU$1006,0)))),"Fix")))</f>
        <v xml:space="preserve"> </v>
      </c>
      <c r="D613" s="4" t="str">
        <f ca="1">IF(OR(INDEX($X$2:$X$1001,MATCH(ROWS($W$2:W613),$W$2:$W$1001,0),1)&gt;=100000,INDEX($AD$1005:$AU$1005,1,MATCH(COLUMNS($AD$1006:AF1006),$AD$1006:$AU$1006,0))&gt;=100000), " ",IF(INDEX($AD$2:$AU$1001,MATCH(ROWS($W$2:W613),$W$2:$W$1001,0),MATCH(COLUMNS($AD$1006:AF1006),$AD$1006:$AU$1006,0)), HYPERLINK("#",""), HYPERLINK(CONCATENATE("#metadata!", ADDRESS(INDEX($Y$2:$Y$1001,MATCH(ROWS($W$2:W613),$W$2:$W$1001,0),0), INDEX($AD$1004:$AU$1004,1,MATCH(COLUMNS($AD$1006:AF1006),$AD$1006:$AU$1006,0)))),"Fix")))</f>
        <v xml:space="preserve"> </v>
      </c>
      <c r="E613" s="4" t="str">
        <f ca="1">IF(OR(INDEX($X$2:$X$1001,MATCH(ROWS($W$2:W613),$W$2:$W$1001,0),1)&gt;=100000,INDEX($AD$1005:$AU$1005,1,MATCH(COLUMNS($AD$1006:AG1006),$AD$1006:$AU$1006,0))&gt;=100000), " ",IF(INDEX($AD$2:$AU$1001,MATCH(ROWS($W$2:W613),$W$2:$W$1001,0),MATCH(COLUMNS($AD$1006:AG1006),$AD$1006:$AU$1006,0)), HYPERLINK("#",""), HYPERLINK(CONCATENATE("#metadata!", ADDRESS(INDEX($Y$2:$Y$1001,MATCH(ROWS($W$2:W613),$W$2:$W$1001,0),0), INDEX($AD$1004:$AU$1004,1,MATCH(COLUMNS($AD$1006:AG1006),$AD$1006:$AU$1006,0)))),"Fix")))</f>
        <v xml:space="preserve"> </v>
      </c>
      <c r="F613" s="4" t="str">
        <f ca="1">IF(OR(INDEX($X$2:$X$1001,MATCH(ROWS($W$2:W613),$W$2:$W$1001,0),1)&gt;=100000,INDEX($AD$1005:$AU$1005,1,MATCH(COLUMNS($AD$1006:AH1006),$AD$1006:$AU$1006,0))&gt;=100000), " ",IF(INDEX($AD$2:$AU$1001,MATCH(ROWS($W$2:W613),$W$2:$W$1001,0),MATCH(COLUMNS($AD$1006:AH1006),$AD$1006:$AU$1006,0)), HYPERLINK("#",""), HYPERLINK(CONCATENATE("#metadata!", ADDRESS(INDEX($Y$2:$Y$1001,MATCH(ROWS($W$2:W613),$W$2:$W$1001,0),0), INDEX($AD$1004:$AU$1004,1,MATCH(COLUMNS($AD$1006:AH1006),$AD$1006:$AU$1006,0)))),"Fix")))</f>
        <v xml:space="preserve"> </v>
      </c>
      <c r="G613" s="4" t="str">
        <f ca="1">IF(OR(INDEX($X$2:$X$1001,MATCH(ROWS($W$2:W613),$W$2:$W$1001,0),1)&gt;=100000,INDEX($AD$1005:$AU$1005,1,MATCH(COLUMNS($AD$1006:AI1006),$AD$1006:$AU$1006,0))&gt;=100000), " ",IF(INDEX($AD$2:$AU$1001,MATCH(ROWS($W$2:W613),$W$2:$W$1001,0),MATCH(COLUMNS($AD$1006:AI1006),$AD$1006:$AU$1006,0)), HYPERLINK("#",""), HYPERLINK(CONCATENATE("#metadata!", ADDRESS(INDEX($Y$2:$Y$1001,MATCH(ROWS($W$2:W613),$W$2:$W$1001,0),0), INDEX($AD$1004:$AU$1004,1,MATCH(COLUMNS($AD$1006:AI1006),$AD$1006:$AU$1006,0)))),"Fix")))</f>
        <v xml:space="preserve"> </v>
      </c>
      <c r="H613" s="4" t="str">
        <f ca="1">IF(OR(INDEX($X$2:$X$1001,MATCH(ROWS($W$2:W613),$W$2:$W$1001,0),1)&gt;=100000,INDEX($AD$1005:$AU$1005,1,MATCH(COLUMNS($AD$1006:AJ1006),$AD$1006:$AU$1006,0))&gt;=100000), " ",IF(INDEX($AD$2:$AU$1001,MATCH(ROWS($W$2:W613),$W$2:$W$1001,0),MATCH(COLUMNS($AD$1006:AJ1006),$AD$1006:$AU$1006,0)), HYPERLINK("#",""), HYPERLINK(CONCATENATE("#metadata!", ADDRESS(INDEX($Y$2:$Y$1001,MATCH(ROWS($W$2:W613),$W$2:$W$1001,0),0), INDEX($AD$1004:$AU$1004,1,MATCH(COLUMNS($AD$1006:AJ1006),$AD$1006:$AU$1006,0)))),"Fix")))</f>
        <v xml:space="preserve"> </v>
      </c>
      <c r="I613" s="4" t="str">
        <f ca="1">IF(OR(INDEX($X$2:$X$1001,MATCH(ROWS($W$2:W613),$W$2:$W$1001,0),1)&gt;=100000,INDEX($AD$1005:$AU$1005,1,MATCH(COLUMNS($AD$1006:AK1006),$AD$1006:$AU$1006,0))&gt;=100000), " ",IF(INDEX($AD$2:$AU$1001,MATCH(ROWS($W$2:W613),$W$2:$W$1001,0),MATCH(COLUMNS($AD$1006:AK1006),$AD$1006:$AU$1006,0)), HYPERLINK("#",""), HYPERLINK(CONCATENATE("#metadata!", ADDRESS(INDEX($Y$2:$Y$1001,MATCH(ROWS($W$2:W613),$W$2:$W$1001,0),0), INDEX($AD$1004:$AU$1004,1,MATCH(COLUMNS($AD$1006:AK1006),$AD$1006:$AU$1006,0)))),"Fix")))</f>
        <v xml:space="preserve"> </v>
      </c>
      <c r="J613" s="4" t="str">
        <f ca="1">IF(OR(INDEX($X$2:$X$1001,MATCH(ROWS($W$2:W613),$W$2:$W$1001,0),1)&gt;=100000,INDEX($AD$1005:$AU$1005,1,MATCH(COLUMNS($AD$1006:AL1006),$AD$1006:$AU$1006,0))&gt;=100000), " ",IF(INDEX($AD$2:$AU$1001,MATCH(ROWS($W$2:W613),$W$2:$W$1001,0),MATCH(COLUMNS($AD$1006:AL1006),$AD$1006:$AU$1006,0)), HYPERLINK("#",""), HYPERLINK(CONCATENATE("#metadata!", ADDRESS(INDEX($Y$2:$Y$1001,MATCH(ROWS($W$2:W613),$W$2:$W$1001,0),0), INDEX($AD$1004:$AU$1004,1,MATCH(COLUMNS($AD$1006:AL1006),$AD$1006:$AU$1006,0)))),"Fix")))</f>
        <v xml:space="preserve"> </v>
      </c>
      <c r="K613" s="4" t="str">
        <f ca="1">IF(OR(INDEX($X$2:$X$1001,MATCH(ROWS($W$2:W613),$W$2:$W$1001,0),1)&gt;=100000,INDEX($AD$1005:$AU$1005,1,MATCH(COLUMNS($AD$1006:AM1006),$AD$1006:$AU$1006,0))&gt;=100000), " ",IF(INDEX($AD$2:$AU$1001,MATCH(ROWS($W$2:W613),$W$2:$W$1001,0),MATCH(COLUMNS($AD$1006:AM1006),$AD$1006:$AU$1006,0)), HYPERLINK("#",""), HYPERLINK(CONCATENATE("#metadata!", ADDRESS(INDEX($Y$2:$Y$1001,MATCH(ROWS($W$2:W613),$W$2:$W$1001,0),0), INDEX($AD$1004:$AU$1004,1,MATCH(COLUMNS($AD$1006:AM1006),$AD$1006:$AU$1006,0)))),"Fix")))</f>
        <v xml:space="preserve"> </v>
      </c>
      <c r="L613" s="4" t="str">
        <f ca="1">IF(OR(INDEX($X$2:$X$1001,MATCH(ROWS($W$2:W613),$W$2:$W$1001,0),1)&gt;=100000,INDEX($AD$1005:$AU$1005,1,MATCH(COLUMNS($AD$1006:AN1006),$AD$1006:$AU$1006,0))&gt;=100000), " ",IF(INDEX($AD$2:$AU$1001,MATCH(ROWS($W$2:W613),$W$2:$W$1001,0),MATCH(COLUMNS($AD$1006:AN1006),$AD$1006:$AU$1006,0)), HYPERLINK("#",""), HYPERLINK(CONCATENATE("#metadata!", ADDRESS(INDEX($Y$2:$Y$1001,MATCH(ROWS($W$2:W613),$W$2:$W$1001,0),0), INDEX($AD$1004:$AU$1004,1,MATCH(COLUMNS($AD$1006:AN1006),$AD$1006:$AU$1006,0)))),"Fix")))</f>
        <v xml:space="preserve"> </v>
      </c>
      <c r="M613" s="4" t="str">
        <f ca="1">IF(OR(INDEX($X$2:$X$1001,MATCH(ROWS($W$2:W613),$W$2:$W$1001,0),1)&gt;=100000,INDEX($AD$1005:$AU$1005,1,MATCH(COLUMNS($AD$1006:AO1006),$AD$1006:$AU$1006,0))&gt;=100000), " ",IF(INDEX($AD$2:$AU$1001,MATCH(ROWS($W$2:W613),$W$2:$W$1001,0),MATCH(COLUMNS($AD$1006:AO1006),$AD$1006:$AU$1006,0)), HYPERLINK("#",""), HYPERLINK(CONCATENATE("#metadata!", ADDRESS(INDEX($Y$2:$Y$1001,MATCH(ROWS($W$2:W613),$W$2:$W$1001,0),0), INDEX($AD$1004:$AU$1004,1,MATCH(COLUMNS($AD$1006:AO1006),$AD$1006:$AU$1006,0)))),"Fix")))</f>
        <v xml:space="preserve"> </v>
      </c>
      <c r="N613" s="4" t="str">
        <f ca="1">IF(OR(INDEX($X$2:$X$1001,MATCH(ROWS($W$2:W613),$W$2:$W$1001,0),1)&gt;=100000,INDEX($AD$1005:$AU$1005,1,MATCH(COLUMNS($AD$1006:AP1006),$AD$1006:$AU$1006,0))&gt;=100000), " ",IF(INDEX($AD$2:$AU$1001,MATCH(ROWS($W$2:W613),$W$2:$W$1001,0),MATCH(COLUMNS($AD$1006:AP1006),$AD$1006:$AU$1006,0)), HYPERLINK("#",""), HYPERLINK(CONCATENATE("#metadata!", ADDRESS(INDEX($Y$2:$Y$1001,MATCH(ROWS($W$2:W613),$W$2:$W$1001,0),0), INDEX($AD$1004:$AU$1004,1,MATCH(COLUMNS($AD$1006:AP1006),$AD$1006:$AU$1006,0)))),"Fix")))</f>
        <v xml:space="preserve"> </v>
      </c>
      <c r="O613" s="4" t="str">
        <f ca="1">IF(OR(INDEX($X$2:$X$1001,MATCH(ROWS($W$2:W613),$W$2:$W$1001,0),1)&gt;=100000,INDEX($AD$1005:$AU$1005,1,MATCH(COLUMNS($AD$1006:AQ1006),$AD$1006:$AU$1006,0))&gt;=100000), " ",IF(INDEX($AD$2:$AU$1001,MATCH(ROWS($W$2:W613),$W$2:$W$1001,0),MATCH(COLUMNS($AD$1006:AQ1006),$AD$1006:$AU$1006,0)), HYPERLINK("#",""), HYPERLINK(CONCATENATE("#metadata!", ADDRESS(INDEX($Y$2:$Y$1001,MATCH(ROWS($W$2:W613),$W$2:$W$1001,0),0), INDEX($AD$1004:$AU$1004,1,MATCH(COLUMNS($AD$1006:AQ1006),$AD$1006:$AU$1006,0)))),"Fix")))</f>
        <v xml:space="preserve"> </v>
      </c>
      <c r="P613" s="4" t="str">
        <f ca="1">IF(OR(INDEX($X$2:$X$1001,MATCH(ROWS($W$2:W613),$W$2:$W$1001,0),1)&gt;=100000,INDEX($AD$1005:$AU$1005,1,MATCH(COLUMNS($AD$1006:AR1006),$AD$1006:$AU$1006,0))&gt;=100000), " ",IF(INDEX($AD$2:$AU$1001,MATCH(ROWS($W$2:W613),$W$2:$W$1001,0),MATCH(COLUMNS($AD$1006:AR1006),$AD$1006:$AU$1006,0)), HYPERLINK("#",""), HYPERLINK(CONCATENATE("#metadata!", ADDRESS(INDEX($Y$2:$Y$1001,MATCH(ROWS($W$2:W613),$W$2:$W$1001,0),0), INDEX($AD$1004:$AU$1004,1,MATCH(COLUMNS($AD$1006:AR1006),$AD$1006:$AU$1006,0)))),"Fix")))</f>
        <v xml:space="preserve"> </v>
      </c>
      <c r="Q613" s="4" t="str">
        <f ca="1">IF(OR(INDEX($X$2:$X$1001,MATCH(ROWS($W$2:W613),$W$2:$W$1001,0),1)&gt;=100000,INDEX($AD$1005:$AU$1005,1,MATCH(COLUMNS($AD$1006:AS1006),$AD$1006:$AU$1006,0))&gt;=100000), " ",IF(INDEX($AD$2:$AU$1001,MATCH(ROWS($W$2:W613),$W$2:$W$1001,0),MATCH(COLUMNS($AD$1006:AS1006),$AD$1006:$AU$1006,0)), HYPERLINK("#",""), HYPERLINK(CONCATENATE("#metadata!", ADDRESS(INDEX($Y$2:$Y$1001,MATCH(ROWS($W$2:W613),$W$2:$W$1001,0),0), INDEX($AD$1004:$AU$1004,1,MATCH(COLUMNS($AD$1006:AS1006),$AD$1006:$AU$1006,0)))),"Fix")))</f>
        <v xml:space="preserve"> </v>
      </c>
      <c r="R613" s="4" t="str">
        <f ca="1">IF(OR(INDEX($X$2:$X$1001,MATCH(ROWS($W$2:W613),$W$2:$W$1001,0),1)&gt;=100000,INDEX($AD$1005:$AU$1005,1,MATCH(COLUMNS($AD$1006:AT1006),$AD$1006:$AU$1006,0))&gt;=100000), " ",IF(INDEX($AD$2:$AU$1001,MATCH(ROWS($W$2:W613),$W$2:$W$1001,0),MATCH(COLUMNS($AD$1006:AT1006),$AD$1006:$AU$1006,0)), HYPERLINK("#",""), HYPERLINK(CONCATENATE("#metadata!", ADDRESS(INDEX($Y$2:$Y$1001,MATCH(ROWS($W$2:W613),$W$2:$W$1001,0),0), INDEX($AD$1004:$AU$1004,1,MATCH(COLUMNS($AD$1006:AT1006),$AD$1006:$AU$1006,0)))),"Fix")))</f>
        <v xml:space="preserve"> </v>
      </c>
      <c r="S613" s="4" t="str">
        <f ca="1">IF(OR(INDEX($X$2:$X$1001,MATCH(ROWS($W$2:W613),$W$2:$W$1001,0),1)&gt;=100000,INDEX($AD$1005:$AU$1005,1,MATCH(COLUMNS($AD$1006:AU1006),$AD$1006:$AU$1006,0))&gt;=100000), " ",IF(INDEX($AD$2:$AU$1001,MATCH(ROWS($W$2:W613),$W$2:$W$1001,0),MATCH(COLUMNS($AD$1006:AU1006),$AD$1006:$AU$1006,0)), HYPERLINK("#",""), HYPERLINK(CONCATENATE("#metadata!", ADDRESS(INDEX($Y$2:$Y$1001,MATCH(ROWS($W$2:W613),$W$2:$W$1001,0),0), INDEX($AD$1004:$AU$1004,1,MATCH(COLUMNS($AD$1006:AU1006),$AD$1006:$AU$1006,0)))),"Fix")))</f>
        <v xml:space="preserve"> </v>
      </c>
      <c r="W613">
        <v>612</v>
      </c>
      <c r="X613">
        <v>100613</v>
      </c>
      <c r="Y613">
        <v>613</v>
      </c>
      <c r="Z613" t="b">
        <f t="shared" si="9"/>
        <v>1</v>
      </c>
      <c r="AA613" t="b">
        <f>COUNTBLANK(metadata!B613:S613)=COLUMNS(metadata!B613:S613)</f>
        <v>1</v>
      </c>
      <c r="AB613" t="str">
        <v/>
      </c>
      <c r="AD613" t="b">
        <f ca="1">AND(IF(metadata!B613="",FALSE,TRUE),COUNTIF(metadata!B:B, metadata!B613) = 1,NOT(ISERROR(SUMPRODUCT(SEARCH(MID(metadata!B613,ROW(INDIRECT("1:"&amp;LEN(metadata!B613))), 1),"0123456789abcdefghijklmnopqrstuvwxyzABCDEFGHIJKLMNOPQRSTUVWXYZ.")))))</f>
        <v>0</v>
      </c>
      <c r="AE613" t="b">
        <f>OR(AND(IF(metadata!C613="",FALSE,TRUE),OR(EXACT(metadata!C613,"not applicable"),EXACT(metadata!C613,"missing: not collected"),EXACT(metadata!C613,"missing: not provided"),EXACT(metadata!C613,"missing: restricted access"))),AND(IF(metadata!C613="",FALSE,ISNUMBER(VALUE(metadata!C613))),metadata!C613&gt;0))</f>
        <v>0</v>
      </c>
      <c r="AF613" t="b">
        <f>AND(IF(metadata!D613="",FALSE,TRUE),EXACT(metadata!D613,"missing: not provided"))</f>
        <v>0</v>
      </c>
      <c r="AG613" t="b">
        <f>AND(IF(metadata!E613="",FALSE,TRUE),EXACT(metadata!E613,"Host-associated"))</f>
        <v>0</v>
      </c>
      <c r="AH613" t="b">
        <f>AND(IF(metadata!F613="",FALSE,TRUE),OR(EXACT(metadata!F613,"Animal"),EXACT(metadata!F613,"Fungus"),EXACT(metadata!F613,"Plant")))</f>
        <v>0</v>
      </c>
      <c r="AI613" t="b">
        <f>AND(IF(metadata!G613="",FALSE,TRUE),OR(EXACT(metadata!G613,"Plant secretion"),EXACT(metadata!G613,"Plant rhizosphere"),EXACT(metadata!G613,"Plant surface"),EXACT(metadata!G613,"Plant corpus"),EXACT(metadata!G613,"Fungus surface"),EXACT(metadata!G613,"Fungus corpus"),EXACT(metadata!G613,"Animal surface"),EXACT(metadata!G613,"Animal proximal gut"),EXACT(metadata!G613,"Animal corpus"),EXACT(metadata!G613,"Animal distal gut"),EXACT(metadata!G613,"Animal secretion")))</f>
        <v>0</v>
      </c>
      <c r="AJ613" t="b">
        <f>OR(AND(IF(metadata!H613="",FALSE,TRUE),OR(EXACT(metadata!H613,"missing: not collected"),EXACT(metadata!H613,"missing: not provided"),EXACT(metadata!H613,"missing: restricted access"))),AND(IF(metadata!H613="",FALSE,TRUE),OR(EXACT(metadata!H613,"organism-associated habitat"),EXACT(metadata!H613,"plant-associated habitat"),EXACT(metadata!H613,"animal-associated habitat"),EXACT(metadata!H613,"insecta-associated habitat"),EXACT(metadata!H613,"mammalia-associated habitat"),EXACT(metadata!H613,"human-associated habitat"),EXACT(metadata!H613,"livestock-associated habitat"))))</f>
        <v>0</v>
      </c>
      <c r="AK613" t="b">
        <f>AND(IF(metadata!I613="",FALSE,TRUE),EXACT(metadata!I613,"host-associated"))</f>
        <v>0</v>
      </c>
      <c r="AL613" t="b">
        <f>OR(AND(IF(metadata!J613="",FALSE,TRUE),OR(EXACT(metadata!J613,"not applicable"),EXACT(metadata!J613,"missing: not collected"),EXACT(metadata!J613,"missing: not provided"),EXACT(metadata!J613,"missing: restricted access"))),AND(IF(metadata!J613="",FALSE,ISNUMBER(VALUE(metadata!J613))),metadata!J613&gt;0))</f>
        <v>0</v>
      </c>
      <c r="AM613" t="b">
        <f>AND(IF(metadata!K613="",FALSE,TRUE),EXACT(metadata!K613,"missing: not provided"))</f>
        <v>0</v>
      </c>
      <c r="AN613" t="b">
        <f>IF(metadata!L613="",FALSE,TRUE)</f>
        <v>0</v>
      </c>
      <c r="AO613" t="b">
        <f>IF(metadata!M613="",FALSE,TRUE)</f>
        <v>0</v>
      </c>
      <c r="AP613" t="b">
        <f>OR(AND(IF(metadata!N613="",FALSE,TRUE),OR(EXACT(metadata!N613,"not applicable"),EXACT(metadata!N613,"missing: not collected"),EXACT(metadata!N613,"missing: not provided"))),AND(IF(metadata!N613="",FALSE,IF(ISERROR(INT(metadata!N613)),FALSE,INT(metadata!N613)=metadata!N613)),metadata!N613&gt;0))</f>
        <v>0</v>
      </c>
      <c r="AQ613" t="b">
        <f>AND(IF(metadata!O613="",FALSE,TRUE),EXACT(metadata!O613,"Not applicable"))</f>
        <v>0</v>
      </c>
      <c r="AR613" t="b">
        <f>OR(AND(IF(metadata!P613="",FALSE,TRUE),OR(EXACT(metadata!P613,"not applicable"),EXACT(metadata!P613,"missing: not collected"),EXACT(metadata!P613,"missing: not provided"),EXACT(metadata!P613,"missing: restricted access"))),IF(metadata!P613="",FALSE,IF(ISERROR(INT(metadata!P613)),FALSE,INT(metadata!P613)=metadata!P613)))</f>
        <v>0</v>
      </c>
      <c r="AS613" t="b">
        <f>AND(IF(metadata!Q613="",FALSE,TRUE),EXACT(metadata!Q613,"Not applicable"))</f>
        <v>0</v>
      </c>
      <c r="AT613" t="b">
        <f>OR(AND(IF(metadata!R613="",FALSE,TRUE),OR(EXACT(metadata!R613,"not applicable"),EXACT(metadata!R613,"missing: not collected"),EXACT(metadata!R613,"missing: not provided"),EXACT(metadata!R613,"missing: restricted access"))),AND(IF(metadata!R613="",FALSE,ISNUMBER(VALUE(metadata!R613))),metadata!R613&gt;0))</f>
        <v>0</v>
      </c>
      <c r="AU613" t="b">
        <f>AND(IF(metadata!S613="",FALSE,TRUE),EXACT(metadata!S613,"missing: not provided"))</f>
        <v>0</v>
      </c>
    </row>
    <row r="614" spans="1:47" x14ac:dyDescent="0.2">
      <c r="A614" s="5" t="str">
        <f ca="1">IF(B614=" "," ",HYPERLINK(CONCATENATE("#metadata!",ADDRESS(INDEX($Y$2:$Y$1001,MATCH(ROWS($W$2:W614),$W$2:$W$1001,0),0),1)),INDEX($AB$2:$AB$1001,MATCH(ROWS($W$2:W614),$W$2:$W$1001,0),0)))</f>
        <v xml:space="preserve"> </v>
      </c>
      <c r="B614" s="4" t="str">
        <f ca="1">IF(OR(INDEX($X$2:$X$1001,MATCH(ROWS($W$2:W614),$W$2:$W$1001,0),1)&gt;=100000,INDEX($AD$1005:$AU$1005,1,MATCH(COLUMNS($AD$1006:AD1006),$AD$1006:$AU$1006,0))&gt;=100000), " ",IF(INDEX($AD$2:$AU$1001,MATCH(ROWS($W$2:W614),$W$2:$W$1001,0),MATCH(COLUMNS($AD$1006:AD1006),$AD$1006:$AU$1006,0)), HYPERLINK("#",""), HYPERLINK(CONCATENATE("#metadata!", ADDRESS(INDEX($Y$2:$Y$1001,MATCH(ROWS($W$2:W614),$W$2:$W$1001,0),0), INDEX($AD$1004:$AU$1004,1,MATCH(COLUMNS($AD$1006:AD1006),$AD$1006:$AU$1006,0)))),"Fix")))</f>
        <v xml:space="preserve"> </v>
      </c>
      <c r="C614" s="4" t="str">
        <f ca="1">IF(OR(INDEX($X$2:$X$1001,MATCH(ROWS($W$2:W614),$W$2:$W$1001,0),1)&gt;=100000,INDEX($AD$1005:$AU$1005,1,MATCH(COLUMNS($AD$1006:AE1006),$AD$1006:$AU$1006,0))&gt;=100000), " ",IF(INDEX($AD$2:$AU$1001,MATCH(ROWS($W$2:W614),$W$2:$W$1001,0),MATCH(COLUMNS($AD$1006:AE1006),$AD$1006:$AU$1006,0)), HYPERLINK("#",""), HYPERLINK(CONCATENATE("#metadata!", ADDRESS(INDEX($Y$2:$Y$1001,MATCH(ROWS($W$2:W614),$W$2:$W$1001,0),0), INDEX($AD$1004:$AU$1004,1,MATCH(COLUMNS($AD$1006:AE1006),$AD$1006:$AU$1006,0)))),"Fix")))</f>
        <v xml:space="preserve"> </v>
      </c>
      <c r="D614" s="4" t="str">
        <f ca="1">IF(OR(INDEX($X$2:$X$1001,MATCH(ROWS($W$2:W614),$W$2:$W$1001,0),1)&gt;=100000,INDEX($AD$1005:$AU$1005,1,MATCH(COLUMNS($AD$1006:AF1006),$AD$1006:$AU$1006,0))&gt;=100000), " ",IF(INDEX($AD$2:$AU$1001,MATCH(ROWS($W$2:W614),$W$2:$W$1001,0),MATCH(COLUMNS($AD$1006:AF1006),$AD$1006:$AU$1006,0)), HYPERLINK("#",""), HYPERLINK(CONCATENATE("#metadata!", ADDRESS(INDEX($Y$2:$Y$1001,MATCH(ROWS($W$2:W614),$W$2:$W$1001,0),0), INDEX($AD$1004:$AU$1004,1,MATCH(COLUMNS($AD$1006:AF1006),$AD$1006:$AU$1006,0)))),"Fix")))</f>
        <v xml:space="preserve"> </v>
      </c>
      <c r="E614" s="4" t="str">
        <f ca="1">IF(OR(INDEX($X$2:$X$1001,MATCH(ROWS($W$2:W614),$W$2:$W$1001,0),1)&gt;=100000,INDEX($AD$1005:$AU$1005,1,MATCH(COLUMNS($AD$1006:AG1006),$AD$1006:$AU$1006,0))&gt;=100000), " ",IF(INDEX($AD$2:$AU$1001,MATCH(ROWS($W$2:W614),$W$2:$W$1001,0),MATCH(COLUMNS($AD$1006:AG1006),$AD$1006:$AU$1006,0)), HYPERLINK("#",""), HYPERLINK(CONCATENATE("#metadata!", ADDRESS(INDEX($Y$2:$Y$1001,MATCH(ROWS($W$2:W614),$W$2:$W$1001,0),0), INDEX($AD$1004:$AU$1004,1,MATCH(COLUMNS($AD$1006:AG1006),$AD$1006:$AU$1006,0)))),"Fix")))</f>
        <v xml:space="preserve"> </v>
      </c>
      <c r="F614" s="4" t="str">
        <f ca="1">IF(OR(INDEX($X$2:$X$1001,MATCH(ROWS($W$2:W614),$W$2:$W$1001,0),1)&gt;=100000,INDEX($AD$1005:$AU$1005,1,MATCH(COLUMNS($AD$1006:AH1006),$AD$1006:$AU$1006,0))&gt;=100000), " ",IF(INDEX($AD$2:$AU$1001,MATCH(ROWS($W$2:W614),$W$2:$W$1001,0),MATCH(COLUMNS($AD$1006:AH1006),$AD$1006:$AU$1006,0)), HYPERLINK("#",""), HYPERLINK(CONCATENATE("#metadata!", ADDRESS(INDEX($Y$2:$Y$1001,MATCH(ROWS($W$2:W614),$W$2:$W$1001,0),0), INDEX($AD$1004:$AU$1004,1,MATCH(COLUMNS($AD$1006:AH1006),$AD$1006:$AU$1006,0)))),"Fix")))</f>
        <v xml:space="preserve"> </v>
      </c>
      <c r="G614" s="4" t="str">
        <f ca="1">IF(OR(INDEX($X$2:$X$1001,MATCH(ROWS($W$2:W614),$W$2:$W$1001,0),1)&gt;=100000,INDEX($AD$1005:$AU$1005,1,MATCH(COLUMNS($AD$1006:AI1006),$AD$1006:$AU$1006,0))&gt;=100000), " ",IF(INDEX($AD$2:$AU$1001,MATCH(ROWS($W$2:W614),$W$2:$W$1001,0),MATCH(COLUMNS($AD$1006:AI1006),$AD$1006:$AU$1006,0)), HYPERLINK("#",""), HYPERLINK(CONCATENATE("#metadata!", ADDRESS(INDEX($Y$2:$Y$1001,MATCH(ROWS($W$2:W614),$W$2:$W$1001,0),0), INDEX($AD$1004:$AU$1004,1,MATCH(COLUMNS($AD$1006:AI1006),$AD$1006:$AU$1006,0)))),"Fix")))</f>
        <v xml:space="preserve"> </v>
      </c>
      <c r="H614" s="4" t="str">
        <f ca="1">IF(OR(INDEX($X$2:$X$1001,MATCH(ROWS($W$2:W614),$W$2:$W$1001,0),1)&gt;=100000,INDEX($AD$1005:$AU$1005,1,MATCH(COLUMNS($AD$1006:AJ1006),$AD$1006:$AU$1006,0))&gt;=100000), " ",IF(INDEX($AD$2:$AU$1001,MATCH(ROWS($W$2:W614),$W$2:$W$1001,0),MATCH(COLUMNS($AD$1006:AJ1006),$AD$1006:$AU$1006,0)), HYPERLINK("#",""), HYPERLINK(CONCATENATE("#metadata!", ADDRESS(INDEX($Y$2:$Y$1001,MATCH(ROWS($W$2:W614),$W$2:$W$1001,0),0), INDEX($AD$1004:$AU$1004,1,MATCH(COLUMNS($AD$1006:AJ1006),$AD$1006:$AU$1006,0)))),"Fix")))</f>
        <v xml:space="preserve"> </v>
      </c>
      <c r="I614" s="4" t="str">
        <f ca="1">IF(OR(INDEX($X$2:$X$1001,MATCH(ROWS($W$2:W614),$W$2:$W$1001,0),1)&gt;=100000,INDEX($AD$1005:$AU$1005,1,MATCH(COLUMNS($AD$1006:AK1006),$AD$1006:$AU$1006,0))&gt;=100000), " ",IF(INDEX($AD$2:$AU$1001,MATCH(ROWS($W$2:W614),$W$2:$W$1001,0),MATCH(COLUMNS($AD$1006:AK1006),$AD$1006:$AU$1006,0)), HYPERLINK("#",""), HYPERLINK(CONCATENATE("#metadata!", ADDRESS(INDEX($Y$2:$Y$1001,MATCH(ROWS($W$2:W614),$W$2:$W$1001,0),0), INDEX($AD$1004:$AU$1004,1,MATCH(COLUMNS($AD$1006:AK1006),$AD$1006:$AU$1006,0)))),"Fix")))</f>
        <v xml:space="preserve"> </v>
      </c>
      <c r="J614" s="4" t="str">
        <f ca="1">IF(OR(INDEX($X$2:$X$1001,MATCH(ROWS($W$2:W614),$W$2:$W$1001,0),1)&gt;=100000,INDEX($AD$1005:$AU$1005,1,MATCH(COLUMNS($AD$1006:AL1006),$AD$1006:$AU$1006,0))&gt;=100000), " ",IF(INDEX($AD$2:$AU$1001,MATCH(ROWS($W$2:W614),$W$2:$W$1001,0),MATCH(COLUMNS($AD$1006:AL1006),$AD$1006:$AU$1006,0)), HYPERLINK("#",""), HYPERLINK(CONCATENATE("#metadata!", ADDRESS(INDEX($Y$2:$Y$1001,MATCH(ROWS($W$2:W614),$W$2:$W$1001,0),0), INDEX($AD$1004:$AU$1004,1,MATCH(COLUMNS($AD$1006:AL1006),$AD$1006:$AU$1006,0)))),"Fix")))</f>
        <v xml:space="preserve"> </v>
      </c>
      <c r="K614" s="4" t="str">
        <f ca="1">IF(OR(INDEX($X$2:$X$1001,MATCH(ROWS($W$2:W614),$W$2:$W$1001,0),1)&gt;=100000,INDEX($AD$1005:$AU$1005,1,MATCH(COLUMNS($AD$1006:AM1006),$AD$1006:$AU$1006,0))&gt;=100000), " ",IF(INDEX($AD$2:$AU$1001,MATCH(ROWS($W$2:W614),$W$2:$W$1001,0),MATCH(COLUMNS($AD$1006:AM1006),$AD$1006:$AU$1006,0)), HYPERLINK("#",""), HYPERLINK(CONCATENATE("#metadata!", ADDRESS(INDEX($Y$2:$Y$1001,MATCH(ROWS($W$2:W614),$W$2:$W$1001,0),0), INDEX($AD$1004:$AU$1004,1,MATCH(COLUMNS($AD$1006:AM1006),$AD$1006:$AU$1006,0)))),"Fix")))</f>
        <v xml:space="preserve"> </v>
      </c>
      <c r="L614" s="4" t="str">
        <f ca="1">IF(OR(INDEX($X$2:$X$1001,MATCH(ROWS($W$2:W614),$W$2:$W$1001,0),1)&gt;=100000,INDEX($AD$1005:$AU$1005,1,MATCH(COLUMNS($AD$1006:AN1006),$AD$1006:$AU$1006,0))&gt;=100000), " ",IF(INDEX($AD$2:$AU$1001,MATCH(ROWS($W$2:W614),$W$2:$W$1001,0),MATCH(COLUMNS($AD$1006:AN1006),$AD$1006:$AU$1006,0)), HYPERLINK("#",""), HYPERLINK(CONCATENATE("#metadata!", ADDRESS(INDEX($Y$2:$Y$1001,MATCH(ROWS($W$2:W614),$W$2:$W$1001,0),0), INDEX($AD$1004:$AU$1004,1,MATCH(COLUMNS($AD$1006:AN1006),$AD$1006:$AU$1006,0)))),"Fix")))</f>
        <v xml:space="preserve"> </v>
      </c>
      <c r="M614" s="4" t="str">
        <f ca="1">IF(OR(INDEX($X$2:$X$1001,MATCH(ROWS($W$2:W614),$W$2:$W$1001,0),1)&gt;=100000,INDEX($AD$1005:$AU$1005,1,MATCH(COLUMNS($AD$1006:AO1006),$AD$1006:$AU$1006,0))&gt;=100000), " ",IF(INDEX($AD$2:$AU$1001,MATCH(ROWS($W$2:W614),$W$2:$W$1001,0),MATCH(COLUMNS($AD$1006:AO1006),$AD$1006:$AU$1006,0)), HYPERLINK("#",""), HYPERLINK(CONCATENATE("#metadata!", ADDRESS(INDEX($Y$2:$Y$1001,MATCH(ROWS($W$2:W614),$W$2:$W$1001,0),0), INDEX($AD$1004:$AU$1004,1,MATCH(COLUMNS($AD$1006:AO1006),$AD$1006:$AU$1006,0)))),"Fix")))</f>
        <v xml:space="preserve"> </v>
      </c>
      <c r="N614" s="4" t="str">
        <f ca="1">IF(OR(INDEX($X$2:$X$1001,MATCH(ROWS($W$2:W614),$W$2:$W$1001,0),1)&gt;=100000,INDEX($AD$1005:$AU$1005,1,MATCH(COLUMNS($AD$1006:AP1006),$AD$1006:$AU$1006,0))&gt;=100000), " ",IF(INDEX($AD$2:$AU$1001,MATCH(ROWS($W$2:W614),$W$2:$W$1001,0),MATCH(COLUMNS($AD$1006:AP1006),$AD$1006:$AU$1006,0)), HYPERLINK("#",""), HYPERLINK(CONCATENATE("#metadata!", ADDRESS(INDEX($Y$2:$Y$1001,MATCH(ROWS($W$2:W614),$W$2:$W$1001,0),0), INDEX($AD$1004:$AU$1004,1,MATCH(COLUMNS($AD$1006:AP1006),$AD$1006:$AU$1006,0)))),"Fix")))</f>
        <v xml:space="preserve"> </v>
      </c>
      <c r="O614" s="4" t="str">
        <f ca="1">IF(OR(INDEX($X$2:$X$1001,MATCH(ROWS($W$2:W614),$W$2:$W$1001,0),1)&gt;=100000,INDEX($AD$1005:$AU$1005,1,MATCH(COLUMNS($AD$1006:AQ1006),$AD$1006:$AU$1006,0))&gt;=100000), " ",IF(INDEX($AD$2:$AU$1001,MATCH(ROWS($W$2:W614),$W$2:$W$1001,0),MATCH(COLUMNS($AD$1006:AQ1006),$AD$1006:$AU$1006,0)), HYPERLINK("#",""), HYPERLINK(CONCATENATE("#metadata!", ADDRESS(INDEX($Y$2:$Y$1001,MATCH(ROWS($W$2:W614),$W$2:$W$1001,0),0), INDEX($AD$1004:$AU$1004,1,MATCH(COLUMNS($AD$1006:AQ1006),$AD$1006:$AU$1006,0)))),"Fix")))</f>
        <v xml:space="preserve"> </v>
      </c>
      <c r="P614" s="4" t="str">
        <f ca="1">IF(OR(INDEX($X$2:$X$1001,MATCH(ROWS($W$2:W614),$W$2:$W$1001,0),1)&gt;=100000,INDEX($AD$1005:$AU$1005,1,MATCH(COLUMNS($AD$1006:AR1006),$AD$1006:$AU$1006,0))&gt;=100000), " ",IF(INDEX($AD$2:$AU$1001,MATCH(ROWS($W$2:W614),$W$2:$W$1001,0),MATCH(COLUMNS($AD$1006:AR1006),$AD$1006:$AU$1006,0)), HYPERLINK("#",""), HYPERLINK(CONCATENATE("#metadata!", ADDRESS(INDEX($Y$2:$Y$1001,MATCH(ROWS($W$2:W614),$W$2:$W$1001,0),0), INDEX($AD$1004:$AU$1004,1,MATCH(COLUMNS($AD$1006:AR1006),$AD$1006:$AU$1006,0)))),"Fix")))</f>
        <v xml:space="preserve"> </v>
      </c>
      <c r="Q614" s="4" t="str">
        <f ca="1">IF(OR(INDEX($X$2:$X$1001,MATCH(ROWS($W$2:W614),$W$2:$W$1001,0),1)&gt;=100000,INDEX($AD$1005:$AU$1005,1,MATCH(COLUMNS($AD$1006:AS1006),$AD$1006:$AU$1006,0))&gt;=100000), " ",IF(INDEX($AD$2:$AU$1001,MATCH(ROWS($W$2:W614),$W$2:$W$1001,0),MATCH(COLUMNS($AD$1006:AS1006),$AD$1006:$AU$1006,0)), HYPERLINK("#",""), HYPERLINK(CONCATENATE("#metadata!", ADDRESS(INDEX($Y$2:$Y$1001,MATCH(ROWS($W$2:W614),$W$2:$W$1001,0),0), INDEX($AD$1004:$AU$1004,1,MATCH(COLUMNS($AD$1006:AS1006),$AD$1006:$AU$1006,0)))),"Fix")))</f>
        <v xml:space="preserve"> </v>
      </c>
      <c r="R614" s="4" t="str">
        <f ca="1">IF(OR(INDEX($X$2:$X$1001,MATCH(ROWS($W$2:W614),$W$2:$W$1001,0),1)&gt;=100000,INDEX($AD$1005:$AU$1005,1,MATCH(COLUMNS($AD$1006:AT1006),$AD$1006:$AU$1006,0))&gt;=100000), " ",IF(INDEX($AD$2:$AU$1001,MATCH(ROWS($W$2:W614),$W$2:$W$1001,0),MATCH(COLUMNS($AD$1006:AT1006),$AD$1006:$AU$1006,0)), HYPERLINK("#",""), HYPERLINK(CONCATENATE("#metadata!", ADDRESS(INDEX($Y$2:$Y$1001,MATCH(ROWS($W$2:W614),$W$2:$W$1001,0),0), INDEX($AD$1004:$AU$1004,1,MATCH(COLUMNS($AD$1006:AT1006),$AD$1006:$AU$1006,0)))),"Fix")))</f>
        <v xml:space="preserve"> </v>
      </c>
      <c r="S614" s="4" t="str">
        <f ca="1">IF(OR(INDEX($X$2:$X$1001,MATCH(ROWS($W$2:W614),$W$2:$W$1001,0),1)&gt;=100000,INDEX($AD$1005:$AU$1005,1,MATCH(COLUMNS($AD$1006:AU1006),$AD$1006:$AU$1006,0))&gt;=100000), " ",IF(INDEX($AD$2:$AU$1001,MATCH(ROWS($W$2:W614),$W$2:$W$1001,0),MATCH(COLUMNS($AD$1006:AU1006),$AD$1006:$AU$1006,0)), HYPERLINK("#",""), HYPERLINK(CONCATENATE("#metadata!", ADDRESS(INDEX($Y$2:$Y$1001,MATCH(ROWS($W$2:W614),$W$2:$W$1001,0),0), INDEX($AD$1004:$AU$1004,1,MATCH(COLUMNS($AD$1006:AU1006),$AD$1006:$AU$1006,0)))),"Fix")))</f>
        <v xml:space="preserve"> </v>
      </c>
      <c r="W614">
        <v>613</v>
      </c>
      <c r="X614">
        <v>100614</v>
      </c>
      <c r="Y614">
        <v>614</v>
      </c>
      <c r="Z614" t="b">
        <f t="shared" si="9"/>
        <v>1</v>
      </c>
      <c r="AA614" t="b">
        <f>COUNTBLANK(metadata!B614:S614)=COLUMNS(metadata!B614:S614)</f>
        <v>1</v>
      </c>
      <c r="AB614" t="str">
        <v/>
      </c>
      <c r="AD614" t="b">
        <f ca="1">AND(IF(metadata!B614="",FALSE,TRUE),COUNTIF(metadata!B:B, metadata!B614) = 1,NOT(ISERROR(SUMPRODUCT(SEARCH(MID(metadata!B614,ROW(INDIRECT("1:"&amp;LEN(metadata!B614))), 1),"0123456789abcdefghijklmnopqrstuvwxyzABCDEFGHIJKLMNOPQRSTUVWXYZ.")))))</f>
        <v>0</v>
      </c>
      <c r="AE614" t="b">
        <f>OR(AND(IF(metadata!C614="",FALSE,TRUE),OR(EXACT(metadata!C614,"not applicable"),EXACT(metadata!C614,"missing: not collected"),EXACT(metadata!C614,"missing: not provided"),EXACT(metadata!C614,"missing: restricted access"))),AND(IF(metadata!C614="",FALSE,ISNUMBER(VALUE(metadata!C614))),metadata!C614&gt;0))</f>
        <v>0</v>
      </c>
      <c r="AF614" t="b">
        <f>AND(IF(metadata!D614="",FALSE,TRUE),EXACT(metadata!D614,"missing: not provided"))</f>
        <v>0</v>
      </c>
      <c r="AG614" t="b">
        <f>AND(IF(metadata!E614="",FALSE,TRUE),EXACT(metadata!E614,"Host-associated"))</f>
        <v>0</v>
      </c>
      <c r="AH614" t="b">
        <f>AND(IF(metadata!F614="",FALSE,TRUE),OR(EXACT(metadata!F614,"Animal"),EXACT(metadata!F614,"Fungus"),EXACT(metadata!F614,"Plant")))</f>
        <v>0</v>
      </c>
      <c r="AI614" t="b">
        <f>AND(IF(metadata!G614="",FALSE,TRUE),OR(EXACT(metadata!G614,"Plant secretion"),EXACT(metadata!G614,"Plant rhizosphere"),EXACT(metadata!G614,"Plant surface"),EXACT(metadata!G614,"Plant corpus"),EXACT(metadata!G614,"Fungus surface"),EXACT(metadata!G614,"Fungus corpus"),EXACT(metadata!G614,"Animal surface"),EXACT(metadata!G614,"Animal proximal gut"),EXACT(metadata!G614,"Animal corpus"),EXACT(metadata!G614,"Animal distal gut"),EXACT(metadata!G614,"Animal secretion")))</f>
        <v>0</v>
      </c>
      <c r="AJ614" t="b">
        <f>OR(AND(IF(metadata!H614="",FALSE,TRUE),OR(EXACT(metadata!H614,"missing: not collected"),EXACT(metadata!H614,"missing: not provided"),EXACT(metadata!H614,"missing: restricted access"))),AND(IF(metadata!H614="",FALSE,TRUE),OR(EXACT(metadata!H614,"organism-associated habitat"),EXACT(metadata!H614,"plant-associated habitat"),EXACT(metadata!H614,"animal-associated habitat"),EXACT(metadata!H614,"insecta-associated habitat"),EXACT(metadata!H614,"mammalia-associated habitat"),EXACT(metadata!H614,"human-associated habitat"),EXACT(metadata!H614,"livestock-associated habitat"))))</f>
        <v>0</v>
      </c>
      <c r="AK614" t="b">
        <f>AND(IF(metadata!I614="",FALSE,TRUE),EXACT(metadata!I614,"host-associated"))</f>
        <v>0</v>
      </c>
      <c r="AL614" t="b">
        <f>OR(AND(IF(metadata!J614="",FALSE,TRUE),OR(EXACT(metadata!J614,"not applicable"),EXACT(metadata!J614,"missing: not collected"),EXACT(metadata!J614,"missing: not provided"),EXACT(metadata!J614,"missing: restricted access"))),AND(IF(metadata!J614="",FALSE,ISNUMBER(VALUE(metadata!J614))),metadata!J614&gt;0))</f>
        <v>0</v>
      </c>
      <c r="AM614" t="b">
        <f>AND(IF(metadata!K614="",FALSE,TRUE),EXACT(metadata!K614,"missing: not provided"))</f>
        <v>0</v>
      </c>
      <c r="AN614" t="b">
        <f>IF(metadata!L614="",FALSE,TRUE)</f>
        <v>0</v>
      </c>
      <c r="AO614" t="b">
        <f>IF(metadata!M614="",FALSE,TRUE)</f>
        <v>0</v>
      </c>
      <c r="AP614" t="b">
        <f>OR(AND(IF(metadata!N614="",FALSE,TRUE),OR(EXACT(metadata!N614,"not applicable"),EXACT(metadata!N614,"missing: not collected"),EXACT(metadata!N614,"missing: not provided"))),AND(IF(metadata!N614="",FALSE,IF(ISERROR(INT(metadata!N614)),FALSE,INT(metadata!N614)=metadata!N614)),metadata!N614&gt;0))</f>
        <v>0</v>
      </c>
      <c r="AQ614" t="b">
        <f>AND(IF(metadata!O614="",FALSE,TRUE),EXACT(metadata!O614,"Not applicable"))</f>
        <v>0</v>
      </c>
      <c r="AR614" t="b">
        <f>OR(AND(IF(metadata!P614="",FALSE,TRUE),OR(EXACT(metadata!P614,"not applicable"),EXACT(metadata!P614,"missing: not collected"),EXACT(metadata!P614,"missing: not provided"),EXACT(metadata!P614,"missing: restricted access"))),IF(metadata!P614="",FALSE,IF(ISERROR(INT(metadata!P614)),FALSE,INT(metadata!P614)=metadata!P614)))</f>
        <v>0</v>
      </c>
      <c r="AS614" t="b">
        <f>AND(IF(metadata!Q614="",FALSE,TRUE),EXACT(metadata!Q614,"Not applicable"))</f>
        <v>0</v>
      </c>
      <c r="AT614" t="b">
        <f>OR(AND(IF(metadata!R614="",FALSE,TRUE),OR(EXACT(metadata!R614,"not applicable"),EXACT(metadata!R614,"missing: not collected"),EXACT(metadata!R614,"missing: not provided"),EXACT(metadata!R614,"missing: restricted access"))),AND(IF(metadata!R614="",FALSE,ISNUMBER(VALUE(metadata!R614))),metadata!R614&gt;0))</f>
        <v>0</v>
      </c>
      <c r="AU614" t="b">
        <f>AND(IF(metadata!S614="",FALSE,TRUE),EXACT(metadata!S614,"missing: not provided"))</f>
        <v>0</v>
      </c>
    </row>
    <row r="615" spans="1:47" x14ac:dyDescent="0.2">
      <c r="A615" s="5" t="str">
        <f ca="1">IF(B615=" "," ",HYPERLINK(CONCATENATE("#metadata!",ADDRESS(INDEX($Y$2:$Y$1001,MATCH(ROWS($W$2:W615),$W$2:$W$1001,0),0),1)),INDEX($AB$2:$AB$1001,MATCH(ROWS($W$2:W615),$W$2:$W$1001,0),0)))</f>
        <v xml:space="preserve"> </v>
      </c>
      <c r="B615" s="4" t="str">
        <f ca="1">IF(OR(INDEX($X$2:$X$1001,MATCH(ROWS($W$2:W615),$W$2:$W$1001,0),1)&gt;=100000,INDEX($AD$1005:$AU$1005,1,MATCH(COLUMNS($AD$1006:AD1006),$AD$1006:$AU$1006,0))&gt;=100000), " ",IF(INDEX($AD$2:$AU$1001,MATCH(ROWS($W$2:W615),$W$2:$W$1001,0),MATCH(COLUMNS($AD$1006:AD1006),$AD$1006:$AU$1006,0)), HYPERLINK("#",""), HYPERLINK(CONCATENATE("#metadata!", ADDRESS(INDEX($Y$2:$Y$1001,MATCH(ROWS($W$2:W615),$W$2:$W$1001,0),0), INDEX($AD$1004:$AU$1004,1,MATCH(COLUMNS($AD$1006:AD1006),$AD$1006:$AU$1006,0)))),"Fix")))</f>
        <v xml:space="preserve"> </v>
      </c>
      <c r="C615" s="4" t="str">
        <f ca="1">IF(OR(INDEX($X$2:$X$1001,MATCH(ROWS($W$2:W615),$W$2:$W$1001,0),1)&gt;=100000,INDEX($AD$1005:$AU$1005,1,MATCH(COLUMNS($AD$1006:AE1006),$AD$1006:$AU$1006,0))&gt;=100000), " ",IF(INDEX($AD$2:$AU$1001,MATCH(ROWS($W$2:W615),$W$2:$W$1001,0),MATCH(COLUMNS($AD$1006:AE1006),$AD$1006:$AU$1006,0)), HYPERLINK("#",""), HYPERLINK(CONCATENATE("#metadata!", ADDRESS(INDEX($Y$2:$Y$1001,MATCH(ROWS($W$2:W615),$W$2:$W$1001,0),0), INDEX($AD$1004:$AU$1004,1,MATCH(COLUMNS($AD$1006:AE1006),$AD$1006:$AU$1006,0)))),"Fix")))</f>
        <v xml:space="preserve"> </v>
      </c>
      <c r="D615" s="4" t="str">
        <f ca="1">IF(OR(INDEX($X$2:$X$1001,MATCH(ROWS($W$2:W615),$W$2:$W$1001,0),1)&gt;=100000,INDEX($AD$1005:$AU$1005,1,MATCH(COLUMNS($AD$1006:AF1006),$AD$1006:$AU$1006,0))&gt;=100000), " ",IF(INDEX($AD$2:$AU$1001,MATCH(ROWS($W$2:W615),$W$2:$W$1001,0),MATCH(COLUMNS($AD$1006:AF1006),$AD$1006:$AU$1006,0)), HYPERLINK("#",""), HYPERLINK(CONCATENATE("#metadata!", ADDRESS(INDEX($Y$2:$Y$1001,MATCH(ROWS($W$2:W615),$W$2:$W$1001,0),0), INDEX($AD$1004:$AU$1004,1,MATCH(COLUMNS($AD$1006:AF1006),$AD$1006:$AU$1006,0)))),"Fix")))</f>
        <v xml:space="preserve"> </v>
      </c>
      <c r="E615" s="4" t="str">
        <f ca="1">IF(OR(INDEX($X$2:$X$1001,MATCH(ROWS($W$2:W615),$W$2:$W$1001,0),1)&gt;=100000,INDEX($AD$1005:$AU$1005,1,MATCH(COLUMNS($AD$1006:AG1006),$AD$1006:$AU$1006,0))&gt;=100000), " ",IF(INDEX($AD$2:$AU$1001,MATCH(ROWS($W$2:W615),$W$2:$W$1001,0),MATCH(COLUMNS($AD$1006:AG1006),$AD$1006:$AU$1006,0)), HYPERLINK("#",""), HYPERLINK(CONCATENATE("#metadata!", ADDRESS(INDEX($Y$2:$Y$1001,MATCH(ROWS($W$2:W615),$W$2:$W$1001,0),0), INDEX($AD$1004:$AU$1004,1,MATCH(COLUMNS($AD$1006:AG1006),$AD$1006:$AU$1006,0)))),"Fix")))</f>
        <v xml:space="preserve"> </v>
      </c>
      <c r="F615" s="4" t="str">
        <f ca="1">IF(OR(INDEX($X$2:$X$1001,MATCH(ROWS($W$2:W615),$W$2:$W$1001,0),1)&gt;=100000,INDEX($AD$1005:$AU$1005,1,MATCH(COLUMNS($AD$1006:AH1006),$AD$1006:$AU$1006,0))&gt;=100000), " ",IF(INDEX($AD$2:$AU$1001,MATCH(ROWS($W$2:W615),$W$2:$W$1001,0),MATCH(COLUMNS($AD$1006:AH1006),$AD$1006:$AU$1006,0)), HYPERLINK("#",""), HYPERLINK(CONCATENATE("#metadata!", ADDRESS(INDEX($Y$2:$Y$1001,MATCH(ROWS($W$2:W615),$W$2:$W$1001,0),0), INDEX($AD$1004:$AU$1004,1,MATCH(COLUMNS($AD$1006:AH1006),$AD$1006:$AU$1006,0)))),"Fix")))</f>
        <v xml:space="preserve"> </v>
      </c>
      <c r="G615" s="4" t="str">
        <f ca="1">IF(OR(INDEX($X$2:$X$1001,MATCH(ROWS($W$2:W615),$W$2:$W$1001,0),1)&gt;=100000,INDEX($AD$1005:$AU$1005,1,MATCH(COLUMNS($AD$1006:AI1006),$AD$1006:$AU$1006,0))&gt;=100000), " ",IF(INDEX($AD$2:$AU$1001,MATCH(ROWS($W$2:W615),$W$2:$W$1001,0),MATCH(COLUMNS($AD$1006:AI1006),$AD$1006:$AU$1006,0)), HYPERLINK("#",""), HYPERLINK(CONCATENATE("#metadata!", ADDRESS(INDEX($Y$2:$Y$1001,MATCH(ROWS($W$2:W615),$W$2:$W$1001,0),0), INDEX($AD$1004:$AU$1004,1,MATCH(COLUMNS($AD$1006:AI1006),$AD$1006:$AU$1006,0)))),"Fix")))</f>
        <v xml:space="preserve"> </v>
      </c>
      <c r="H615" s="4" t="str">
        <f ca="1">IF(OR(INDEX($X$2:$X$1001,MATCH(ROWS($W$2:W615),$W$2:$W$1001,0),1)&gt;=100000,INDEX($AD$1005:$AU$1005,1,MATCH(COLUMNS($AD$1006:AJ1006),$AD$1006:$AU$1006,0))&gt;=100000), " ",IF(INDEX($AD$2:$AU$1001,MATCH(ROWS($W$2:W615),$W$2:$W$1001,0),MATCH(COLUMNS($AD$1006:AJ1006),$AD$1006:$AU$1006,0)), HYPERLINK("#",""), HYPERLINK(CONCATENATE("#metadata!", ADDRESS(INDEX($Y$2:$Y$1001,MATCH(ROWS($W$2:W615),$W$2:$W$1001,0),0), INDEX($AD$1004:$AU$1004,1,MATCH(COLUMNS($AD$1006:AJ1006),$AD$1006:$AU$1006,0)))),"Fix")))</f>
        <v xml:space="preserve"> </v>
      </c>
      <c r="I615" s="4" t="str">
        <f ca="1">IF(OR(INDEX($X$2:$X$1001,MATCH(ROWS($W$2:W615),$W$2:$W$1001,0),1)&gt;=100000,INDEX($AD$1005:$AU$1005,1,MATCH(COLUMNS($AD$1006:AK1006),$AD$1006:$AU$1006,0))&gt;=100000), " ",IF(INDEX($AD$2:$AU$1001,MATCH(ROWS($W$2:W615),$W$2:$W$1001,0),MATCH(COLUMNS($AD$1006:AK1006),$AD$1006:$AU$1006,0)), HYPERLINK("#",""), HYPERLINK(CONCATENATE("#metadata!", ADDRESS(INDEX($Y$2:$Y$1001,MATCH(ROWS($W$2:W615),$W$2:$W$1001,0),0), INDEX($AD$1004:$AU$1004,1,MATCH(COLUMNS($AD$1006:AK1006),$AD$1006:$AU$1006,0)))),"Fix")))</f>
        <v xml:space="preserve"> </v>
      </c>
      <c r="J615" s="4" t="str">
        <f ca="1">IF(OR(INDEX($X$2:$X$1001,MATCH(ROWS($W$2:W615),$W$2:$W$1001,0),1)&gt;=100000,INDEX($AD$1005:$AU$1005,1,MATCH(COLUMNS($AD$1006:AL1006),$AD$1006:$AU$1006,0))&gt;=100000), " ",IF(INDEX($AD$2:$AU$1001,MATCH(ROWS($W$2:W615),$W$2:$W$1001,0),MATCH(COLUMNS($AD$1006:AL1006),$AD$1006:$AU$1006,0)), HYPERLINK("#",""), HYPERLINK(CONCATENATE("#metadata!", ADDRESS(INDEX($Y$2:$Y$1001,MATCH(ROWS($W$2:W615),$W$2:$W$1001,0),0), INDEX($AD$1004:$AU$1004,1,MATCH(COLUMNS($AD$1006:AL1006),$AD$1006:$AU$1006,0)))),"Fix")))</f>
        <v xml:space="preserve"> </v>
      </c>
      <c r="K615" s="4" t="str">
        <f ca="1">IF(OR(INDEX($X$2:$X$1001,MATCH(ROWS($W$2:W615),$W$2:$W$1001,0),1)&gt;=100000,INDEX($AD$1005:$AU$1005,1,MATCH(COLUMNS($AD$1006:AM1006),$AD$1006:$AU$1006,0))&gt;=100000), " ",IF(INDEX($AD$2:$AU$1001,MATCH(ROWS($W$2:W615),$W$2:$W$1001,0),MATCH(COLUMNS($AD$1006:AM1006),$AD$1006:$AU$1006,0)), HYPERLINK("#",""), HYPERLINK(CONCATENATE("#metadata!", ADDRESS(INDEX($Y$2:$Y$1001,MATCH(ROWS($W$2:W615),$W$2:$W$1001,0),0), INDEX($AD$1004:$AU$1004,1,MATCH(COLUMNS($AD$1006:AM1006),$AD$1006:$AU$1006,0)))),"Fix")))</f>
        <v xml:space="preserve"> </v>
      </c>
      <c r="L615" s="4" t="str">
        <f ca="1">IF(OR(INDEX($X$2:$X$1001,MATCH(ROWS($W$2:W615),$W$2:$W$1001,0),1)&gt;=100000,INDEX($AD$1005:$AU$1005,1,MATCH(COLUMNS($AD$1006:AN1006),$AD$1006:$AU$1006,0))&gt;=100000), " ",IF(INDEX($AD$2:$AU$1001,MATCH(ROWS($W$2:W615),$W$2:$W$1001,0),MATCH(COLUMNS($AD$1006:AN1006),$AD$1006:$AU$1006,0)), HYPERLINK("#",""), HYPERLINK(CONCATENATE("#metadata!", ADDRESS(INDEX($Y$2:$Y$1001,MATCH(ROWS($W$2:W615),$W$2:$W$1001,0),0), INDEX($AD$1004:$AU$1004,1,MATCH(COLUMNS($AD$1006:AN1006),$AD$1006:$AU$1006,0)))),"Fix")))</f>
        <v xml:space="preserve"> </v>
      </c>
      <c r="M615" s="4" t="str">
        <f ca="1">IF(OR(INDEX($X$2:$X$1001,MATCH(ROWS($W$2:W615),$W$2:$W$1001,0),1)&gt;=100000,INDEX($AD$1005:$AU$1005,1,MATCH(COLUMNS($AD$1006:AO1006),$AD$1006:$AU$1006,0))&gt;=100000), " ",IF(INDEX($AD$2:$AU$1001,MATCH(ROWS($W$2:W615),$W$2:$W$1001,0),MATCH(COLUMNS($AD$1006:AO1006),$AD$1006:$AU$1006,0)), HYPERLINK("#",""), HYPERLINK(CONCATENATE("#metadata!", ADDRESS(INDEX($Y$2:$Y$1001,MATCH(ROWS($W$2:W615),$W$2:$W$1001,0),0), INDEX($AD$1004:$AU$1004,1,MATCH(COLUMNS($AD$1006:AO1006),$AD$1006:$AU$1006,0)))),"Fix")))</f>
        <v xml:space="preserve"> </v>
      </c>
      <c r="N615" s="4" t="str">
        <f ca="1">IF(OR(INDEX($X$2:$X$1001,MATCH(ROWS($W$2:W615),$W$2:$W$1001,0),1)&gt;=100000,INDEX($AD$1005:$AU$1005,1,MATCH(COLUMNS($AD$1006:AP1006),$AD$1006:$AU$1006,0))&gt;=100000), " ",IF(INDEX($AD$2:$AU$1001,MATCH(ROWS($W$2:W615),$W$2:$W$1001,0),MATCH(COLUMNS($AD$1006:AP1006),$AD$1006:$AU$1006,0)), HYPERLINK("#",""), HYPERLINK(CONCATENATE("#metadata!", ADDRESS(INDEX($Y$2:$Y$1001,MATCH(ROWS($W$2:W615),$W$2:$W$1001,0),0), INDEX($AD$1004:$AU$1004,1,MATCH(COLUMNS($AD$1006:AP1006),$AD$1006:$AU$1006,0)))),"Fix")))</f>
        <v xml:space="preserve"> </v>
      </c>
      <c r="O615" s="4" t="str">
        <f ca="1">IF(OR(INDEX($X$2:$X$1001,MATCH(ROWS($W$2:W615),$W$2:$W$1001,0),1)&gt;=100000,INDEX($AD$1005:$AU$1005,1,MATCH(COLUMNS($AD$1006:AQ1006),$AD$1006:$AU$1006,0))&gt;=100000), " ",IF(INDEX($AD$2:$AU$1001,MATCH(ROWS($W$2:W615),$W$2:$W$1001,0),MATCH(COLUMNS($AD$1006:AQ1006),$AD$1006:$AU$1006,0)), HYPERLINK("#",""), HYPERLINK(CONCATENATE("#metadata!", ADDRESS(INDEX($Y$2:$Y$1001,MATCH(ROWS($W$2:W615),$W$2:$W$1001,0),0), INDEX($AD$1004:$AU$1004,1,MATCH(COLUMNS($AD$1006:AQ1006),$AD$1006:$AU$1006,0)))),"Fix")))</f>
        <v xml:space="preserve"> </v>
      </c>
      <c r="P615" s="4" t="str">
        <f ca="1">IF(OR(INDEX($X$2:$X$1001,MATCH(ROWS($W$2:W615),$W$2:$W$1001,0),1)&gt;=100000,INDEX($AD$1005:$AU$1005,1,MATCH(COLUMNS($AD$1006:AR1006),$AD$1006:$AU$1006,0))&gt;=100000), " ",IF(INDEX($AD$2:$AU$1001,MATCH(ROWS($W$2:W615),$W$2:$W$1001,0),MATCH(COLUMNS($AD$1006:AR1006),$AD$1006:$AU$1006,0)), HYPERLINK("#",""), HYPERLINK(CONCATENATE("#metadata!", ADDRESS(INDEX($Y$2:$Y$1001,MATCH(ROWS($W$2:W615),$W$2:$W$1001,0),0), INDEX($AD$1004:$AU$1004,1,MATCH(COLUMNS($AD$1006:AR1006),$AD$1006:$AU$1006,0)))),"Fix")))</f>
        <v xml:space="preserve"> </v>
      </c>
      <c r="Q615" s="4" t="str">
        <f ca="1">IF(OR(INDEX($X$2:$X$1001,MATCH(ROWS($W$2:W615),$W$2:$W$1001,0),1)&gt;=100000,INDEX($AD$1005:$AU$1005,1,MATCH(COLUMNS($AD$1006:AS1006),$AD$1006:$AU$1006,0))&gt;=100000), " ",IF(INDEX($AD$2:$AU$1001,MATCH(ROWS($W$2:W615),$W$2:$W$1001,0),MATCH(COLUMNS($AD$1006:AS1006),$AD$1006:$AU$1006,0)), HYPERLINK("#",""), HYPERLINK(CONCATENATE("#metadata!", ADDRESS(INDEX($Y$2:$Y$1001,MATCH(ROWS($W$2:W615),$W$2:$W$1001,0),0), INDEX($AD$1004:$AU$1004,1,MATCH(COLUMNS($AD$1006:AS1006),$AD$1006:$AU$1006,0)))),"Fix")))</f>
        <v xml:space="preserve"> </v>
      </c>
      <c r="R615" s="4" t="str">
        <f ca="1">IF(OR(INDEX($X$2:$X$1001,MATCH(ROWS($W$2:W615),$W$2:$W$1001,0),1)&gt;=100000,INDEX($AD$1005:$AU$1005,1,MATCH(COLUMNS($AD$1006:AT1006),$AD$1006:$AU$1006,0))&gt;=100000), " ",IF(INDEX($AD$2:$AU$1001,MATCH(ROWS($W$2:W615),$W$2:$W$1001,0),MATCH(COLUMNS($AD$1006:AT1006),$AD$1006:$AU$1006,0)), HYPERLINK("#",""), HYPERLINK(CONCATENATE("#metadata!", ADDRESS(INDEX($Y$2:$Y$1001,MATCH(ROWS($W$2:W615),$W$2:$W$1001,0),0), INDEX($AD$1004:$AU$1004,1,MATCH(COLUMNS($AD$1006:AT1006),$AD$1006:$AU$1006,0)))),"Fix")))</f>
        <v xml:space="preserve"> </v>
      </c>
      <c r="S615" s="4" t="str">
        <f ca="1">IF(OR(INDEX($X$2:$X$1001,MATCH(ROWS($W$2:W615),$W$2:$W$1001,0),1)&gt;=100000,INDEX($AD$1005:$AU$1005,1,MATCH(COLUMNS($AD$1006:AU1006),$AD$1006:$AU$1006,0))&gt;=100000), " ",IF(INDEX($AD$2:$AU$1001,MATCH(ROWS($W$2:W615),$W$2:$W$1001,0),MATCH(COLUMNS($AD$1006:AU1006),$AD$1006:$AU$1006,0)), HYPERLINK("#",""), HYPERLINK(CONCATENATE("#metadata!", ADDRESS(INDEX($Y$2:$Y$1001,MATCH(ROWS($W$2:W615),$W$2:$W$1001,0),0), INDEX($AD$1004:$AU$1004,1,MATCH(COLUMNS($AD$1006:AU1006),$AD$1006:$AU$1006,0)))),"Fix")))</f>
        <v xml:space="preserve"> </v>
      </c>
      <c r="W615">
        <v>614</v>
      </c>
      <c r="X615">
        <v>100615</v>
      </c>
      <c r="Y615">
        <v>615</v>
      </c>
      <c r="Z615" t="b">
        <f t="shared" si="9"/>
        <v>1</v>
      </c>
      <c r="AA615" t="b">
        <f>COUNTBLANK(metadata!B615:S615)=COLUMNS(metadata!B615:S615)</f>
        <v>1</v>
      </c>
      <c r="AB615" t="str">
        <v/>
      </c>
      <c r="AD615" t="b">
        <f ca="1">AND(IF(metadata!B615="",FALSE,TRUE),COUNTIF(metadata!B:B, metadata!B615) = 1,NOT(ISERROR(SUMPRODUCT(SEARCH(MID(metadata!B615,ROW(INDIRECT("1:"&amp;LEN(metadata!B615))), 1),"0123456789abcdefghijklmnopqrstuvwxyzABCDEFGHIJKLMNOPQRSTUVWXYZ.")))))</f>
        <v>0</v>
      </c>
      <c r="AE615" t="b">
        <f>OR(AND(IF(metadata!C615="",FALSE,TRUE),OR(EXACT(metadata!C615,"not applicable"),EXACT(metadata!C615,"missing: not collected"),EXACT(metadata!C615,"missing: not provided"),EXACT(metadata!C615,"missing: restricted access"))),AND(IF(metadata!C615="",FALSE,ISNUMBER(VALUE(metadata!C615))),metadata!C615&gt;0))</f>
        <v>0</v>
      </c>
      <c r="AF615" t="b">
        <f>AND(IF(metadata!D615="",FALSE,TRUE),EXACT(metadata!D615,"missing: not provided"))</f>
        <v>0</v>
      </c>
      <c r="AG615" t="b">
        <f>AND(IF(metadata!E615="",FALSE,TRUE),EXACT(metadata!E615,"Host-associated"))</f>
        <v>0</v>
      </c>
      <c r="AH615" t="b">
        <f>AND(IF(metadata!F615="",FALSE,TRUE),OR(EXACT(metadata!F615,"Animal"),EXACT(metadata!F615,"Fungus"),EXACT(metadata!F615,"Plant")))</f>
        <v>0</v>
      </c>
      <c r="AI615" t="b">
        <f>AND(IF(metadata!G615="",FALSE,TRUE),OR(EXACT(metadata!G615,"Plant secretion"),EXACT(metadata!G615,"Plant rhizosphere"),EXACT(metadata!G615,"Plant surface"),EXACT(metadata!G615,"Plant corpus"),EXACT(metadata!G615,"Fungus surface"),EXACT(metadata!G615,"Fungus corpus"),EXACT(metadata!G615,"Animal surface"),EXACT(metadata!G615,"Animal proximal gut"),EXACT(metadata!G615,"Animal corpus"),EXACT(metadata!G615,"Animal distal gut"),EXACT(metadata!G615,"Animal secretion")))</f>
        <v>0</v>
      </c>
      <c r="AJ615" t="b">
        <f>OR(AND(IF(metadata!H615="",FALSE,TRUE),OR(EXACT(metadata!H615,"missing: not collected"),EXACT(metadata!H615,"missing: not provided"),EXACT(metadata!H615,"missing: restricted access"))),AND(IF(metadata!H615="",FALSE,TRUE),OR(EXACT(metadata!H615,"organism-associated habitat"),EXACT(metadata!H615,"plant-associated habitat"),EXACT(metadata!H615,"animal-associated habitat"),EXACT(metadata!H615,"insecta-associated habitat"),EXACT(metadata!H615,"mammalia-associated habitat"),EXACT(metadata!H615,"human-associated habitat"),EXACT(metadata!H615,"livestock-associated habitat"))))</f>
        <v>0</v>
      </c>
      <c r="AK615" t="b">
        <f>AND(IF(metadata!I615="",FALSE,TRUE),EXACT(metadata!I615,"host-associated"))</f>
        <v>0</v>
      </c>
      <c r="AL615" t="b">
        <f>OR(AND(IF(metadata!J615="",FALSE,TRUE),OR(EXACT(metadata!J615,"not applicable"),EXACT(metadata!J615,"missing: not collected"),EXACT(metadata!J615,"missing: not provided"),EXACT(metadata!J615,"missing: restricted access"))),AND(IF(metadata!J615="",FALSE,ISNUMBER(VALUE(metadata!J615))),metadata!J615&gt;0))</f>
        <v>0</v>
      </c>
      <c r="AM615" t="b">
        <f>AND(IF(metadata!K615="",FALSE,TRUE),EXACT(metadata!K615,"missing: not provided"))</f>
        <v>0</v>
      </c>
      <c r="AN615" t="b">
        <f>IF(metadata!L615="",FALSE,TRUE)</f>
        <v>0</v>
      </c>
      <c r="AO615" t="b">
        <f>IF(metadata!M615="",FALSE,TRUE)</f>
        <v>0</v>
      </c>
      <c r="AP615" t="b">
        <f>OR(AND(IF(metadata!N615="",FALSE,TRUE),OR(EXACT(metadata!N615,"not applicable"),EXACT(metadata!N615,"missing: not collected"),EXACT(metadata!N615,"missing: not provided"))),AND(IF(metadata!N615="",FALSE,IF(ISERROR(INT(metadata!N615)),FALSE,INT(metadata!N615)=metadata!N615)),metadata!N615&gt;0))</f>
        <v>0</v>
      </c>
      <c r="AQ615" t="b">
        <f>AND(IF(metadata!O615="",FALSE,TRUE),EXACT(metadata!O615,"Not applicable"))</f>
        <v>0</v>
      </c>
      <c r="AR615" t="b">
        <f>OR(AND(IF(metadata!P615="",FALSE,TRUE),OR(EXACT(metadata!P615,"not applicable"),EXACT(metadata!P615,"missing: not collected"),EXACT(metadata!P615,"missing: not provided"),EXACT(metadata!P615,"missing: restricted access"))),IF(metadata!P615="",FALSE,IF(ISERROR(INT(metadata!P615)),FALSE,INT(metadata!P615)=metadata!P615)))</f>
        <v>0</v>
      </c>
      <c r="AS615" t="b">
        <f>AND(IF(metadata!Q615="",FALSE,TRUE),EXACT(metadata!Q615,"Not applicable"))</f>
        <v>0</v>
      </c>
      <c r="AT615" t="b">
        <f>OR(AND(IF(metadata!R615="",FALSE,TRUE),OR(EXACT(metadata!R615,"not applicable"),EXACT(metadata!R615,"missing: not collected"),EXACT(metadata!R615,"missing: not provided"),EXACT(metadata!R615,"missing: restricted access"))),AND(IF(metadata!R615="",FALSE,ISNUMBER(VALUE(metadata!R615))),metadata!R615&gt;0))</f>
        <v>0</v>
      </c>
      <c r="AU615" t="b">
        <f>AND(IF(metadata!S615="",FALSE,TRUE),EXACT(metadata!S615,"missing: not provided"))</f>
        <v>0</v>
      </c>
    </row>
    <row r="616" spans="1:47" x14ac:dyDescent="0.2">
      <c r="A616" s="5" t="str">
        <f ca="1">IF(B616=" "," ",HYPERLINK(CONCATENATE("#metadata!",ADDRESS(INDEX($Y$2:$Y$1001,MATCH(ROWS($W$2:W616),$W$2:$W$1001,0),0),1)),INDEX($AB$2:$AB$1001,MATCH(ROWS($W$2:W616),$W$2:$W$1001,0),0)))</f>
        <v xml:space="preserve"> </v>
      </c>
      <c r="B616" s="4" t="str">
        <f ca="1">IF(OR(INDEX($X$2:$X$1001,MATCH(ROWS($W$2:W616),$W$2:$W$1001,0),1)&gt;=100000,INDEX($AD$1005:$AU$1005,1,MATCH(COLUMNS($AD$1006:AD1006),$AD$1006:$AU$1006,0))&gt;=100000), " ",IF(INDEX($AD$2:$AU$1001,MATCH(ROWS($W$2:W616),$W$2:$W$1001,0),MATCH(COLUMNS($AD$1006:AD1006),$AD$1006:$AU$1006,0)), HYPERLINK("#",""), HYPERLINK(CONCATENATE("#metadata!", ADDRESS(INDEX($Y$2:$Y$1001,MATCH(ROWS($W$2:W616),$W$2:$W$1001,0),0), INDEX($AD$1004:$AU$1004,1,MATCH(COLUMNS($AD$1006:AD1006),$AD$1006:$AU$1006,0)))),"Fix")))</f>
        <v xml:space="preserve"> </v>
      </c>
      <c r="C616" s="4" t="str">
        <f ca="1">IF(OR(INDEX($X$2:$X$1001,MATCH(ROWS($W$2:W616),$W$2:$W$1001,0),1)&gt;=100000,INDEX($AD$1005:$AU$1005,1,MATCH(COLUMNS($AD$1006:AE1006),$AD$1006:$AU$1006,0))&gt;=100000), " ",IF(INDEX($AD$2:$AU$1001,MATCH(ROWS($W$2:W616),$W$2:$W$1001,0),MATCH(COLUMNS($AD$1006:AE1006),$AD$1006:$AU$1006,0)), HYPERLINK("#",""), HYPERLINK(CONCATENATE("#metadata!", ADDRESS(INDEX($Y$2:$Y$1001,MATCH(ROWS($W$2:W616),$W$2:$W$1001,0),0), INDEX($AD$1004:$AU$1004,1,MATCH(COLUMNS($AD$1006:AE1006),$AD$1006:$AU$1006,0)))),"Fix")))</f>
        <v xml:space="preserve"> </v>
      </c>
      <c r="D616" s="4" t="str">
        <f ca="1">IF(OR(INDEX($X$2:$X$1001,MATCH(ROWS($W$2:W616),$W$2:$W$1001,0),1)&gt;=100000,INDEX($AD$1005:$AU$1005,1,MATCH(COLUMNS($AD$1006:AF1006),$AD$1006:$AU$1006,0))&gt;=100000), " ",IF(INDEX($AD$2:$AU$1001,MATCH(ROWS($W$2:W616),$W$2:$W$1001,0),MATCH(COLUMNS($AD$1006:AF1006),$AD$1006:$AU$1006,0)), HYPERLINK("#",""), HYPERLINK(CONCATENATE("#metadata!", ADDRESS(INDEX($Y$2:$Y$1001,MATCH(ROWS($W$2:W616),$W$2:$W$1001,0),0), INDEX($AD$1004:$AU$1004,1,MATCH(COLUMNS($AD$1006:AF1006),$AD$1006:$AU$1006,0)))),"Fix")))</f>
        <v xml:space="preserve"> </v>
      </c>
      <c r="E616" s="4" t="str">
        <f ca="1">IF(OR(INDEX($X$2:$X$1001,MATCH(ROWS($W$2:W616),$W$2:$W$1001,0),1)&gt;=100000,INDEX($AD$1005:$AU$1005,1,MATCH(COLUMNS($AD$1006:AG1006),$AD$1006:$AU$1006,0))&gt;=100000), " ",IF(INDEX($AD$2:$AU$1001,MATCH(ROWS($W$2:W616),$W$2:$W$1001,0),MATCH(COLUMNS($AD$1006:AG1006),$AD$1006:$AU$1006,0)), HYPERLINK("#",""), HYPERLINK(CONCATENATE("#metadata!", ADDRESS(INDEX($Y$2:$Y$1001,MATCH(ROWS($W$2:W616),$W$2:$W$1001,0),0), INDEX($AD$1004:$AU$1004,1,MATCH(COLUMNS($AD$1006:AG1006),$AD$1006:$AU$1006,0)))),"Fix")))</f>
        <v xml:space="preserve"> </v>
      </c>
      <c r="F616" s="4" t="str">
        <f ca="1">IF(OR(INDEX($X$2:$X$1001,MATCH(ROWS($W$2:W616),$W$2:$W$1001,0),1)&gt;=100000,INDEX($AD$1005:$AU$1005,1,MATCH(COLUMNS($AD$1006:AH1006),$AD$1006:$AU$1006,0))&gt;=100000), " ",IF(INDEX($AD$2:$AU$1001,MATCH(ROWS($W$2:W616),$W$2:$W$1001,0),MATCH(COLUMNS($AD$1006:AH1006),$AD$1006:$AU$1006,0)), HYPERLINK("#",""), HYPERLINK(CONCATENATE("#metadata!", ADDRESS(INDEX($Y$2:$Y$1001,MATCH(ROWS($W$2:W616),$W$2:$W$1001,0),0), INDEX($AD$1004:$AU$1004,1,MATCH(COLUMNS($AD$1006:AH1006),$AD$1006:$AU$1006,0)))),"Fix")))</f>
        <v xml:space="preserve"> </v>
      </c>
      <c r="G616" s="4" t="str">
        <f ca="1">IF(OR(INDEX($X$2:$X$1001,MATCH(ROWS($W$2:W616),$W$2:$W$1001,0),1)&gt;=100000,INDEX($AD$1005:$AU$1005,1,MATCH(COLUMNS($AD$1006:AI1006),$AD$1006:$AU$1006,0))&gt;=100000), " ",IF(INDEX($AD$2:$AU$1001,MATCH(ROWS($W$2:W616),$W$2:$W$1001,0),MATCH(COLUMNS($AD$1006:AI1006),$AD$1006:$AU$1006,0)), HYPERLINK("#",""), HYPERLINK(CONCATENATE("#metadata!", ADDRESS(INDEX($Y$2:$Y$1001,MATCH(ROWS($W$2:W616),$W$2:$W$1001,0),0), INDEX($AD$1004:$AU$1004,1,MATCH(COLUMNS($AD$1006:AI1006),$AD$1006:$AU$1006,0)))),"Fix")))</f>
        <v xml:space="preserve"> </v>
      </c>
      <c r="H616" s="4" t="str">
        <f ca="1">IF(OR(INDEX($X$2:$X$1001,MATCH(ROWS($W$2:W616),$W$2:$W$1001,0),1)&gt;=100000,INDEX($AD$1005:$AU$1005,1,MATCH(COLUMNS($AD$1006:AJ1006),$AD$1006:$AU$1006,0))&gt;=100000), " ",IF(INDEX($AD$2:$AU$1001,MATCH(ROWS($W$2:W616),$W$2:$W$1001,0),MATCH(COLUMNS($AD$1006:AJ1006),$AD$1006:$AU$1006,0)), HYPERLINK("#",""), HYPERLINK(CONCATENATE("#metadata!", ADDRESS(INDEX($Y$2:$Y$1001,MATCH(ROWS($W$2:W616),$W$2:$W$1001,0),0), INDEX($AD$1004:$AU$1004,1,MATCH(COLUMNS($AD$1006:AJ1006),$AD$1006:$AU$1006,0)))),"Fix")))</f>
        <v xml:space="preserve"> </v>
      </c>
      <c r="I616" s="4" t="str">
        <f ca="1">IF(OR(INDEX($X$2:$X$1001,MATCH(ROWS($W$2:W616),$W$2:$W$1001,0),1)&gt;=100000,INDEX($AD$1005:$AU$1005,1,MATCH(COLUMNS($AD$1006:AK1006),$AD$1006:$AU$1006,0))&gt;=100000), " ",IF(INDEX($AD$2:$AU$1001,MATCH(ROWS($W$2:W616),$W$2:$W$1001,0),MATCH(COLUMNS($AD$1006:AK1006),$AD$1006:$AU$1006,0)), HYPERLINK("#",""), HYPERLINK(CONCATENATE("#metadata!", ADDRESS(INDEX($Y$2:$Y$1001,MATCH(ROWS($W$2:W616),$W$2:$W$1001,0),0), INDEX($AD$1004:$AU$1004,1,MATCH(COLUMNS($AD$1006:AK1006),$AD$1006:$AU$1006,0)))),"Fix")))</f>
        <v xml:space="preserve"> </v>
      </c>
      <c r="J616" s="4" t="str">
        <f ca="1">IF(OR(INDEX($X$2:$X$1001,MATCH(ROWS($W$2:W616),$W$2:$W$1001,0),1)&gt;=100000,INDEX($AD$1005:$AU$1005,1,MATCH(COLUMNS($AD$1006:AL1006),$AD$1006:$AU$1006,0))&gt;=100000), " ",IF(INDEX($AD$2:$AU$1001,MATCH(ROWS($W$2:W616),$W$2:$W$1001,0),MATCH(COLUMNS($AD$1006:AL1006),$AD$1006:$AU$1006,0)), HYPERLINK("#",""), HYPERLINK(CONCATENATE("#metadata!", ADDRESS(INDEX($Y$2:$Y$1001,MATCH(ROWS($W$2:W616),$W$2:$W$1001,0),0), INDEX($AD$1004:$AU$1004,1,MATCH(COLUMNS($AD$1006:AL1006),$AD$1006:$AU$1006,0)))),"Fix")))</f>
        <v xml:space="preserve"> </v>
      </c>
      <c r="K616" s="4" t="str">
        <f ca="1">IF(OR(INDEX($X$2:$X$1001,MATCH(ROWS($W$2:W616),$W$2:$W$1001,0),1)&gt;=100000,INDEX($AD$1005:$AU$1005,1,MATCH(COLUMNS($AD$1006:AM1006),$AD$1006:$AU$1006,0))&gt;=100000), " ",IF(INDEX($AD$2:$AU$1001,MATCH(ROWS($W$2:W616),$W$2:$W$1001,0),MATCH(COLUMNS($AD$1006:AM1006),$AD$1006:$AU$1006,0)), HYPERLINK("#",""), HYPERLINK(CONCATENATE("#metadata!", ADDRESS(INDEX($Y$2:$Y$1001,MATCH(ROWS($W$2:W616),$W$2:$W$1001,0),0), INDEX($AD$1004:$AU$1004,1,MATCH(COLUMNS($AD$1006:AM1006),$AD$1006:$AU$1006,0)))),"Fix")))</f>
        <v xml:space="preserve"> </v>
      </c>
      <c r="L616" s="4" t="str">
        <f ca="1">IF(OR(INDEX($X$2:$X$1001,MATCH(ROWS($W$2:W616),$W$2:$W$1001,0),1)&gt;=100000,INDEX($AD$1005:$AU$1005,1,MATCH(COLUMNS($AD$1006:AN1006),$AD$1006:$AU$1006,0))&gt;=100000), " ",IF(INDEX($AD$2:$AU$1001,MATCH(ROWS($W$2:W616),$W$2:$W$1001,0),MATCH(COLUMNS($AD$1006:AN1006),$AD$1006:$AU$1006,0)), HYPERLINK("#",""), HYPERLINK(CONCATENATE("#metadata!", ADDRESS(INDEX($Y$2:$Y$1001,MATCH(ROWS($W$2:W616),$W$2:$W$1001,0),0), INDEX($AD$1004:$AU$1004,1,MATCH(COLUMNS($AD$1006:AN1006),$AD$1006:$AU$1006,0)))),"Fix")))</f>
        <v xml:space="preserve"> </v>
      </c>
      <c r="M616" s="4" t="str">
        <f ca="1">IF(OR(INDEX($X$2:$X$1001,MATCH(ROWS($W$2:W616),$W$2:$W$1001,0),1)&gt;=100000,INDEX($AD$1005:$AU$1005,1,MATCH(COLUMNS($AD$1006:AO1006),$AD$1006:$AU$1006,0))&gt;=100000), " ",IF(INDEX($AD$2:$AU$1001,MATCH(ROWS($W$2:W616),$W$2:$W$1001,0),MATCH(COLUMNS($AD$1006:AO1006),$AD$1006:$AU$1006,0)), HYPERLINK("#",""), HYPERLINK(CONCATENATE("#metadata!", ADDRESS(INDEX($Y$2:$Y$1001,MATCH(ROWS($W$2:W616),$W$2:$W$1001,0),0), INDEX($AD$1004:$AU$1004,1,MATCH(COLUMNS($AD$1006:AO1006),$AD$1006:$AU$1006,0)))),"Fix")))</f>
        <v xml:space="preserve"> </v>
      </c>
      <c r="N616" s="4" t="str">
        <f ca="1">IF(OR(INDEX($X$2:$X$1001,MATCH(ROWS($W$2:W616),$W$2:$W$1001,0),1)&gt;=100000,INDEX($AD$1005:$AU$1005,1,MATCH(COLUMNS($AD$1006:AP1006),$AD$1006:$AU$1006,0))&gt;=100000), " ",IF(INDEX($AD$2:$AU$1001,MATCH(ROWS($W$2:W616),$W$2:$W$1001,0),MATCH(COLUMNS($AD$1006:AP1006),$AD$1006:$AU$1006,0)), HYPERLINK("#",""), HYPERLINK(CONCATENATE("#metadata!", ADDRESS(INDEX($Y$2:$Y$1001,MATCH(ROWS($W$2:W616),$W$2:$W$1001,0),0), INDEX($AD$1004:$AU$1004,1,MATCH(COLUMNS($AD$1006:AP1006),$AD$1006:$AU$1006,0)))),"Fix")))</f>
        <v xml:space="preserve"> </v>
      </c>
      <c r="O616" s="4" t="str">
        <f ca="1">IF(OR(INDEX($X$2:$X$1001,MATCH(ROWS($W$2:W616),$W$2:$W$1001,0),1)&gt;=100000,INDEX($AD$1005:$AU$1005,1,MATCH(COLUMNS($AD$1006:AQ1006),$AD$1006:$AU$1006,0))&gt;=100000), " ",IF(INDEX($AD$2:$AU$1001,MATCH(ROWS($W$2:W616),$W$2:$W$1001,0),MATCH(COLUMNS($AD$1006:AQ1006),$AD$1006:$AU$1006,0)), HYPERLINK("#",""), HYPERLINK(CONCATENATE("#metadata!", ADDRESS(INDEX($Y$2:$Y$1001,MATCH(ROWS($W$2:W616),$W$2:$W$1001,0),0), INDEX($AD$1004:$AU$1004,1,MATCH(COLUMNS($AD$1006:AQ1006),$AD$1006:$AU$1006,0)))),"Fix")))</f>
        <v xml:space="preserve"> </v>
      </c>
      <c r="P616" s="4" t="str">
        <f ca="1">IF(OR(INDEX($X$2:$X$1001,MATCH(ROWS($W$2:W616),$W$2:$W$1001,0),1)&gt;=100000,INDEX($AD$1005:$AU$1005,1,MATCH(COLUMNS($AD$1006:AR1006),$AD$1006:$AU$1006,0))&gt;=100000), " ",IF(INDEX($AD$2:$AU$1001,MATCH(ROWS($W$2:W616),$W$2:$W$1001,0),MATCH(COLUMNS($AD$1006:AR1006),$AD$1006:$AU$1006,0)), HYPERLINK("#",""), HYPERLINK(CONCATENATE("#metadata!", ADDRESS(INDEX($Y$2:$Y$1001,MATCH(ROWS($W$2:W616),$W$2:$W$1001,0),0), INDEX($AD$1004:$AU$1004,1,MATCH(COLUMNS($AD$1006:AR1006),$AD$1006:$AU$1006,0)))),"Fix")))</f>
        <v xml:space="preserve"> </v>
      </c>
      <c r="Q616" s="4" t="str">
        <f ca="1">IF(OR(INDEX($X$2:$X$1001,MATCH(ROWS($W$2:W616),$W$2:$W$1001,0),1)&gt;=100000,INDEX($AD$1005:$AU$1005,1,MATCH(COLUMNS($AD$1006:AS1006),$AD$1006:$AU$1006,0))&gt;=100000), " ",IF(INDEX($AD$2:$AU$1001,MATCH(ROWS($W$2:W616),$W$2:$W$1001,0),MATCH(COLUMNS($AD$1006:AS1006),$AD$1006:$AU$1006,0)), HYPERLINK("#",""), HYPERLINK(CONCATENATE("#metadata!", ADDRESS(INDEX($Y$2:$Y$1001,MATCH(ROWS($W$2:W616),$W$2:$W$1001,0),0), INDEX($AD$1004:$AU$1004,1,MATCH(COLUMNS($AD$1006:AS1006),$AD$1006:$AU$1006,0)))),"Fix")))</f>
        <v xml:space="preserve"> </v>
      </c>
      <c r="R616" s="4" t="str">
        <f ca="1">IF(OR(INDEX($X$2:$X$1001,MATCH(ROWS($W$2:W616),$W$2:$W$1001,0),1)&gt;=100000,INDEX($AD$1005:$AU$1005,1,MATCH(COLUMNS($AD$1006:AT1006),$AD$1006:$AU$1006,0))&gt;=100000), " ",IF(INDEX($AD$2:$AU$1001,MATCH(ROWS($W$2:W616),$W$2:$W$1001,0),MATCH(COLUMNS($AD$1006:AT1006),$AD$1006:$AU$1006,0)), HYPERLINK("#",""), HYPERLINK(CONCATENATE("#metadata!", ADDRESS(INDEX($Y$2:$Y$1001,MATCH(ROWS($W$2:W616),$W$2:$W$1001,0),0), INDEX($AD$1004:$AU$1004,1,MATCH(COLUMNS($AD$1006:AT1006),$AD$1006:$AU$1006,0)))),"Fix")))</f>
        <v xml:space="preserve"> </v>
      </c>
      <c r="S616" s="4" t="str">
        <f ca="1">IF(OR(INDEX($X$2:$X$1001,MATCH(ROWS($W$2:W616),$W$2:$W$1001,0),1)&gt;=100000,INDEX($AD$1005:$AU$1005,1,MATCH(COLUMNS($AD$1006:AU1006),$AD$1006:$AU$1006,0))&gt;=100000), " ",IF(INDEX($AD$2:$AU$1001,MATCH(ROWS($W$2:W616),$W$2:$W$1001,0),MATCH(COLUMNS($AD$1006:AU1006),$AD$1006:$AU$1006,0)), HYPERLINK("#",""), HYPERLINK(CONCATENATE("#metadata!", ADDRESS(INDEX($Y$2:$Y$1001,MATCH(ROWS($W$2:W616),$W$2:$W$1001,0),0), INDEX($AD$1004:$AU$1004,1,MATCH(COLUMNS($AD$1006:AU1006),$AD$1006:$AU$1006,0)))),"Fix")))</f>
        <v xml:space="preserve"> </v>
      </c>
      <c r="W616">
        <v>615</v>
      </c>
      <c r="X616">
        <v>100616</v>
      </c>
      <c r="Y616">
        <v>616</v>
      </c>
      <c r="Z616" t="b">
        <f t="shared" si="9"/>
        <v>1</v>
      </c>
      <c r="AA616" t="b">
        <f>COUNTBLANK(metadata!B616:S616)=COLUMNS(metadata!B616:S616)</f>
        <v>1</v>
      </c>
      <c r="AB616" t="str">
        <v/>
      </c>
      <c r="AD616" t="b">
        <f ca="1">AND(IF(metadata!B616="",FALSE,TRUE),COUNTIF(metadata!B:B, metadata!B616) = 1,NOT(ISERROR(SUMPRODUCT(SEARCH(MID(metadata!B616,ROW(INDIRECT("1:"&amp;LEN(metadata!B616))), 1),"0123456789abcdefghijklmnopqrstuvwxyzABCDEFGHIJKLMNOPQRSTUVWXYZ.")))))</f>
        <v>0</v>
      </c>
      <c r="AE616" t="b">
        <f>OR(AND(IF(metadata!C616="",FALSE,TRUE),OR(EXACT(metadata!C616,"not applicable"),EXACT(metadata!C616,"missing: not collected"),EXACT(metadata!C616,"missing: not provided"),EXACT(metadata!C616,"missing: restricted access"))),AND(IF(metadata!C616="",FALSE,ISNUMBER(VALUE(metadata!C616))),metadata!C616&gt;0))</f>
        <v>0</v>
      </c>
      <c r="AF616" t="b">
        <f>AND(IF(metadata!D616="",FALSE,TRUE),EXACT(metadata!D616,"missing: not provided"))</f>
        <v>0</v>
      </c>
      <c r="AG616" t="b">
        <f>AND(IF(metadata!E616="",FALSE,TRUE),EXACT(metadata!E616,"Host-associated"))</f>
        <v>0</v>
      </c>
      <c r="AH616" t="b">
        <f>AND(IF(metadata!F616="",FALSE,TRUE),OR(EXACT(metadata!F616,"Animal"),EXACT(metadata!F616,"Fungus"),EXACT(metadata!F616,"Plant")))</f>
        <v>0</v>
      </c>
      <c r="AI616" t="b">
        <f>AND(IF(metadata!G616="",FALSE,TRUE),OR(EXACT(metadata!G616,"Plant secretion"),EXACT(metadata!G616,"Plant rhizosphere"),EXACT(metadata!G616,"Plant surface"),EXACT(metadata!G616,"Plant corpus"),EXACT(metadata!G616,"Fungus surface"),EXACT(metadata!G616,"Fungus corpus"),EXACT(metadata!G616,"Animal surface"),EXACT(metadata!G616,"Animal proximal gut"),EXACT(metadata!G616,"Animal corpus"),EXACT(metadata!G616,"Animal distal gut"),EXACT(metadata!G616,"Animal secretion")))</f>
        <v>0</v>
      </c>
      <c r="AJ616" t="b">
        <f>OR(AND(IF(metadata!H616="",FALSE,TRUE),OR(EXACT(metadata!H616,"missing: not collected"),EXACT(metadata!H616,"missing: not provided"),EXACT(metadata!H616,"missing: restricted access"))),AND(IF(metadata!H616="",FALSE,TRUE),OR(EXACT(metadata!H616,"organism-associated habitat"),EXACT(metadata!H616,"plant-associated habitat"),EXACT(metadata!H616,"animal-associated habitat"),EXACT(metadata!H616,"insecta-associated habitat"),EXACT(metadata!H616,"mammalia-associated habitat"),EXACT(metadata!H616,"human-associated habitat"),EXACT(metadata!H616,"livestock-associated habitat"))))</f>
        <v>0</v>
      </c>
      <c r="AK616" t="b">
        <f>AND(IF(metadata!I616="",FALSE,TRUE),EXACT(metadata!I616,"host-associated"))</f>
        <v>0</v>
      </c>
      <c r="AL616" t="b">
        <f>OR(AND(IF(metadata!J616="",FALSE,TRUE),OR(EXACT(metadata!J616,"not applicable"),EXACT(metadata!J616,"missing: not collected"),EXACT(metadata!J616,"missing: not provided"),EXACT(metadata!J616,"missing: restricted access"))),AND(IF(metadata!J616="",FALSE,ISNUMBER(VALUE(metadata!J616))),metadata!J616&gt;0))</f>
        <v>0</v>
      </c>
      <c r="AM616" t="b">
        <f>AND(IF(metadata!K616="",FALSE,TRUE),EXACT(metadata!K616,"missing: not provided"))</f>
        <v>0</v>
      </c>
      <c r="AN616" t="b">
        <f>IF(metadata!L616="",FALSE,TRUE)</f>
        <v>0</v>
      </c>
      <c r="AO616" t="b">
        <f>IF(metadata!M616="",FALSE,TRUE)</f>
        <v>0</v>
      </c>
      <c r="AP616" t="b">
        <f>OR(AND(IF(metadata!N616="",FALSE,TRUE),OR(EXACT(metadata!N616,"not applicable"),EXACT(metadata!N616,"missing: not collected"),EXACT(metadata!N616,"missing: not provided"))),AND(IF(metadata!N616="",FALSE,IF(ISERROR(INT(metadata!N616)),FALSE,INT(metadata!N616)=metadata!N616)),metadata!N616&gt;0))</f>
        <v>0</v>
      </c>
      <c r="AQ616" t="b">
        <f>AND(IF(metadata!O616="",FALSE,TRUE),EXACT(metadata!O616,"Not applicable"))</f>
        <v>0</v>
      </c>
      <c r="AR616" t="b">
        <f>OR(AND(IF(metadata!P616="",FALSE,TRUE),OR(EXACT(metadata!P616,"not applicable"),EXACT(metadata!P616,"missing: not collected"),EXACT(metadata!P616,"missing: not provided"),EXACT(metadata!P616,"missing: restricted access"))),IF(metadata!P616="",FALSE,IF(ISERROR(INT(metadata!P616)),FALSE,INT(metadata!P616)=metadata!P616)))</f>
        <v>0</v>
      </c>
      <c r="AS616" t="b">
        <f>AND(IF(metadata!Q616="",FALSE,TRUE),EXACT(metadata!Q616,"Not applicable"))</f>
        <v>0</v>
      </c>
      <c r="AT616" t="b">
        <f>OR(AND(IF(metadata!R616="",FALSE,TRUE),OR(EXACT(metadata!R616,"not applicable"),EXACT(metadata!R616,"missing: not collected"),EXACT(metadata!R616,"missing: not provided"),EXACT(metadata!R616,"missing: restricted access"))),AND(IF(metadata!R616="",FALSE,ISNUMBER(VALUE(metadata!R616))),metadata!R616&gt;0))</f>
        <v>0</v>
      </c>
      <c r="AU616" t="b">
        <f>AND(IF(metadata!S616="",FALSE,TRUE),EXACT(metadata!S616,"missing: not provided"))</f>
        <v>0</v>
      </c>
    </row>
    <row r="617" spans="1:47" x14ac:dyDescent="0.2">
      <c r="A617" s="5" t="str">
        <f ca="1">IF(B617=" "," ",HYPERLINK(CONCATENATE("#metadata!",ADDRESS(INDEX($Y$2:$Y$1001,MATCH(ROWS($W$2:W617),$W$2:$W$1001,0),0),1)),INDEX($AB$2:$AB$1001,MATCH(ROWS($W$2:W617),$W$2:$W$1001,0),0)))</f>
        <v xml:space="preserve"> </v>
      </c>
      <c r="B617" s="4" t="str">
        <f ca="1">IF(OR(INDEX($X$2:$X$1001,MATCH(ROWS($W$2:W617),$W$2:$W$1001,0),1)&gt;=100000,INDEX($AD$1005:$AU$1005,1,MATCH(COLUMNS($AD$1006:AD1006),$AD$1006:$AU$1006,0))&gt;=100000), " ",IF(INDEX($AD$2:$AU$1001,MATCH(ROWS($W$2:W617),$W$2:$W$1001,0),MATCH(COLUMNS($AD$1006:AD1006),$AD$1006:$AU$1006,0)), HYPERLINK("#",""), HYPERLINK(CONCATENATE("#metadata!", ADDRESS(INDEX($Y$2:$Y$1001,MATCH(ROWS($W$2:W617),$W$2:$W$1001,0),0), INDEX($AD$1004:$AU$1004,1,MATCH(COLUMNS($AD$1006:AD1006),$AD$1006:$AU$1006,0)))),"Fix")))</f>
        <v xml:space="preserve"> </v>
      </c>
      <c r="C617" s="4" t="str">
        <f ca="1">IF(OR(INDEX($X$2:$X$1001,MATCH(ROWS($W$2:W617),$W$2:$W$1001,0),1)&gt;=100000,INDEX($AD$1005:$AU$1005,1,MATCH(COLUMNS($AD$1006:AE1006),$AD$1006:$AU$1006,0))&gt;=100000), " ",IF(INDEX($AD$2:$AU$1001,MATCH(ROWS($W$2:W617),$W$2:$W$1001,0),MATCH(COLUMNS($AD$1006:AE1006),$AD$1006:$AU$1006,0)), HYPERLINK("#",""), HYPERLINK(CONCATENATE("#metadata!", ADDRESS(INDEX($Y$2:$Y$1001,MATCH(ROWS($W$2:W617),$W$2:$W$1001,0),0), INDEX($AD$1004:$AU$1004,1,MATCH(COLUMNS($AD$1006:AE1006),$AD$1006:$AU$1006,0)))),"Fix")))</f>
        <v xml:space="preserve"> </v>
      </c>
      <c r="D617" s="4" t="str">
        <f ca="1">IF(OR(INDEX($X$2:$X$1001,MATCH(ROWS($W$2:W617),$W$2:$W$1001,0),1)&gt;=100000,INDEX($AD$1005:$AU$1005,1,MATCH(COLUMNS($AD$1006:AF1006),$AD$1006:$AU$1006,0))&gt;=100000), " ",IF(INDEX($AD$2:$AU$1001,MATCH(ROWS($W$2:W617),$W$2:$W$1001,0),MATCH(COLUMNS($AD$1006:AF1006),$AD$1006:$AU$1006,0)), HYPERLINK("#",""), HYPERLINK(CONCATENATE("#metadata!", ADDRESS(INDEX($Y$2:$Y$1001,MATCH(ROWS($W$2:W617),$W$2:$W$1001,0),0), INDEX($AD$1004:$AU$1004,1,MATCH(COLUMNS($AD$1006:AF1006),$AD$1006:$AU$1006,0)))),"Fix")))</f>
        <v xml:space="preserve"> </v>
      </c>
      <c r="E617" s="4" t="str">
        <f ca="1">IF(OR(INDEX($X$2:$X$1001,MATCH(ROWS($W$2:W617),$W$2:$W$1001,0),1)&gt;=100000,INDEX($AD$1005:$AU$1005,1,MATCH(COLUMNS($AD$1006:AG1006),$AD$1006:$AU$1006,0))&gt;=100000), " ",IF(INDEX($AD$2:$AU$1001,MATCH(ROWS($W$2:W617),$W$2:$W$1001,0),MATCH(COLUMNS($AD$1006:AG1006),$AD$1006:$AU$1006,0)), HYPERLINK("#",""), HYPERLINK(CONCATENATE("#metadata!", ADDRESS(INDEX($Y$2:$Y$1001,MATCH(ROWS($W$2:W617),$W$2:$W$1001,0),0), INDEX($AD$1004:$AU$1004,1,MATCH(COLUMNS($AD$1006:AG1006),$AD$1006:$AU$1006,0)))),"Fix")))</f>
        <v xml:space="preserve"> </v>
      </c>
      <c r="F617" s="4" t="str">
        <f ca="1">IF(OR(INDEX($X$2:$X$1001,MATCH(ROWS($W$2:W617),$W$2:$W$1001,0),1)&gt;=100000,INDEX($AD$1005:$AU$1005,1,MATCH(COLUMNS($AD$1006:AH1006),$AD$1006:$AU$1006,0))&gt;=100000), " ",IF(INDEX($AD$2:$AU$1001,MATCH(ROWS($W$2:W617),$W$2:$W$1001,0),MATCH(COLUMNS($AD$1006:AH1006),$AD$1006:$AU$1006,0)), HYPERLINK("#",""), HYPERLINK(CONCATENATE("#metadata!", ADDRESS(INDEX($Y$2:$Y$1001,MATCH(ROWS($W$2:W617),$W$2:$W$1001,0),0), INDEX($AD$1004:$AU$1004,1,MATCH(COLUMNS($AD$1006:AH1006),$AD$1006:$AU$1006,0)))),"Fix")))</f>
        <v xml:space="preserve"> </v>
      </c>
      <c r="G617" s="4" t="str">
        <f ca="1">IF(OR(INDEX($X$2:$X$1001,MATCH(ROWS($W$2:W617),$W$2:$W$1001,0),1)&gt;=100000,INDEX($AD$1005:$AU$1005,1,MATCH(COLUMNS($AD$1006:AI1006),$AD$1006:$AU$1006,0))&gt;=100000), " ",IF(INDEX($AD$2:$AU$1001,MATCH(ROWS($W$2:W617),$W$2:$W$1001,0),MATCH(COLUMNS($AD$1006:AI1006),$AD$1006:$AU$1006,0)), HYPERLINK("#",""), HYPERLINK(CONCATENATE("#metadata!", ADDRESS(INDEX($Y$2:$Y$1001,MATCH(ROWS($W$2:W617),$W$2:$W$1001,0),0), INDEX($AD$1004:$AU$1004,1,MATCH(COLUMNS($AD$1006:AI1006),$AD$1006:$AU$1006,0)))),"Fix")))</f>
        <v xml:space="preserve"> </v>
      </c>
      <c r="H617" s="4" t="str">
        <f ca="1">IF(OR(INDEX($X$2:$X$1001,MATCH(ROWS($W$2:W617),$W$2:$W$1001,0),1)&gt;=100000,INDEX($AD$1005:$AU$1005,1,MATCH(COLUMNS($AD$1006:AJ1006),$AD$1006:$AU$1006,0))&gt;=100000), " ",IF(INDEX($AD$2:$AU$1001,MATCH(ROWS($W$2:W617),$W$2:$W$1001,0),MATCH(COLUMNS($AD$1006:AJ1006),$AD$1006:$AU$1006,0)), HYPERLINK("#",""), HYPERLINK(CONCATENATE("#metadata!", ADDRESS(INDEX($Y$2:$Y$1001,MATCH(ROWS($W$2:W617),$W$2:$W$1001,0),0), INDEX($AD$1004:$AU$1004,1,MATCH(COLUMNS($AD$1006:AJ1006),$AD$1006:$AU$1006,0)))),"Fix")))</f>
        <v xml:space="preserve"> </v>
      </c>
      <c r="I617" s="4" t="str">
        <f ca="1">IF(OR(INDEX($X$2:$X$1001,MATCH(ROWS($W$2:W617),$W$2:$W$1001,0),1)&gt;=100000,INDEX($AD$1005:$AU$1005,1,MATCH(COLUMNS($AD$1006:AK1006),$AD$1006:$AU$1006,0))&gt;=100000), " ",IF(INDEX($AD$2:$AU$1001,MATCH(ROWS($W$2:W617),$W$2:$W$1001,0),MATCH(COLUMNS($AD$1006:AK1006),$AD$1006:$AU$1006,0)), HYPERLINK("#",""), HYPERLINK(CONCATENATE("#metadata!", ADDRESS(INDEX($Y$2:$Y$1001,MATCH(ROWS($W$2:W617),$W$2:$W$1001,0),0), INDEX($AD$1004:$AU$1004,1,MATCH(COLUMNS($AD$1006:AK1006),$AD$1006:$AU$1006,0)))),"Fix")))</f>
        <v xml:space="preserve"> </v>
      </c>
      <c r="J617" s="4" t="str">
        <f ca="1">IF(OR(INDEX($X$2:$X$1001,MATCH(ROWS($W$2:W617),$W$2:$W$1001,0),1)&gt;=100000,INDEX($AD$1005:$AU$1005,1,MATCH(COLUMNS($AD$1006:AL1006),$AD$1006:$AU$1006,0))&gt;=100000), " ",IF(INDEX($AD$2:$AU$1001,MATCH(ROWS($W$2:W617),$W$2:$W$1001,0),MATCH(COLUMNS($AD$1006:AL1006),$AD$1006:$AU$1006,0)), HYPERLINK("#",""), HYPERLINK(CONCATENATE("#metadata!", ADDRESS(INDEX($Y$2:$Y$1001,MATCH(ROWS($W$2:W617),$W$2:$W$1001,0),0), INDEX($AD$1004:$AU$1004,1,MATCH(COLUMNS($AD$1006:AL1006),$AD$1006:$AU$1006,0)))),"Fix")))</f>
        <v xml:space="preserve"> </v>
      </c>
      <c r="K617" s="4" t="str">
        <f ca="1">IF(OR(INDEX($X$2:$X$1001,MATCH(ROWS($W$2:W617),$W$2:$W$1001,0),1)&gt;=100000,INDEX($AD$1005:$AU$1005,1,MATCH(COLUMNS($AD$1006:AM1006),$AD$1006:$AU$1006,0))&gt;=100000), " ",IF(INDEX($AD$2:$AU$1001,MATCH(ROWS($W$2:W617),$W$2:$W$1001,0),MATCH(COLUMNS($AD$1006:AM1006),$AD$1006:$AU$1006,0)), HYPERLINK("#",""), HYPERLINK(CONCATENATE("#metadata!", ADDRESS(INDEX($Y$2:$Y$1001,MATCH(ROWS($W$2:W617),$W$2:$W$1001,0),0), INDEX($AD$1004:$AU$1004,1,MATCH(COLUMNS($AD$1006:AM1006),$AD$1006:$AU$1006,0)))),"Fix")))</f>
        <v xml:space="preserve"> </v>
      </c>
      <c r="L617" s="4" t="str">
        <f ca="1">IF(OR(INDEX($X$2:$X$1001,MATCH(ROWS($W$2:W617),$W$2:$W$1001,0),1)&gt;=100000,INDEX($AD$1005:$AU$1005,1,MATCH(COLUMNS($AD$1006:AN1006),$AD$1006:$AU$1006,0))&gt;=100000), " ",IF(INDEX($AD$2:$AU$1001,MATCH(ROWS($W$2:W617),$W$2:$W$1001,0),MATCH(COLUMNS($AD$1006:AN1006),$AD$1006:$AU$1006,0)), HYPERLINK("#",""), HYPERLINK(CONCATENATE("#metadata!", ADDRESS(INDEX($Y$2:$Y$1001,MATCH(ROWS($W$2:W617),$W$2:$W$1001,0),0), INDEX($AD$1004:$AU$1004,1,MATCH(COLUMNS($AD$1006:AN1006),$AD$1006:$AU$1006,0)))),"Fix")))</f>
        <v xml:space="preserve"> </v>
      </c>
      <c r="M617" s="4" t="str">
        <f ca="1">IF(OR(INDEX($X$2:$X$1001,MATCH(ROWS($W$2:W617),$W$2:$W$1001,0),1)&gt;=100000,INDEX($AD$1005:$AU$1005,1,MATCH(COLUMNS($AD$1006:AO1006),$AD$1006:$AU$1006,0))&gt;=100000), " ",IF(INDEX($AD$2:$AU$1001,MATCH(ROWS($W$2:W617),$W$2:$W$1001,0),MATCH(COLUMNS($AD$1006:AO1006),$AD$1006:$AU$1006,0)), HYPERLINK("#",""), HYPERLINK(CONCATENATE("#metadata!", ADDRESS(INDEX($Y$2:$Y$1001,MATCH(ROWS($W$2:W617),$W$2:$W$1001,0),0), INDEX($AD$1004:$AU$1004,1,MATCH(COLUMNS($AD$1006:AO1006),$AD$1006:$AU$1006,0)))),"Fix")))</f>
        <v xml:space="preserve"> </v>
      </c>
      <c r="N617" s="4" t="str">
        <f ca="1">IF(OR(INDEX($X$2:$X$1001,MATCH(ROWS($W$2:W617),$W$2:$W$1001,0),1)&gt;=100000,INDEX($AD$1005:$AU$1005,1,MATCH(COLUMNS($AD$1006:AP1006),$AD$1006:$AU$1006,0))&gt;=100000), " ",IF(INDEX($AD$2:$AU$1001,MATCH(ROWS($W$2:W617),$W$2:$W$1001,0),MATCH(COLUMNS($AD$1006:AP1006),$AD$1006:$AU$1006,0)), HYPERLINK("#",""), HYPERLINK(CONCATENATE("#metadata!", ADDRESS(INDEX($Y$2:$Y$1001,MATCH(ROWS($W$2:W617),$W$2:$W$1001,0),0), INDEX($AD$1004:$AU$1004,1,MATCH(COLUMNS($AD$1006:AP1006),$AD$1006:$AU$1006,0)))),"Fix")))</f>
        <v xml:space="preserve"> </v>
      </c>
      <c r="O617" s="4" t="str">
        <f ca="1">IF(OR(INDEX($X$2:$X$1001,MATCH(ROWS($W$2:W617),$W$2:$W$1001,0),1)&gt;=100000,INDEX($AD$1005:$AU$1005,1,MATCH(COLUMNS($AD$1006:AQ1006),$AD$1006:$AU$1006,0))&gt;=100000), " ",IF(INDEX($AD$2:$AU$1001,MATCH(ROWS($W$2:W617),$W$2:$W$1001,0),MATCH(COLUMNS($AD$1006:AQ1006),$AD$1006:$AU$1006,0)), HYPERLINK("#",""), HYPERLINK(CONCATENATE("#metadata!", ADDRESS(INDEX($Y$2:$Y$1001,MATCH(ROWS($W$2:W617),$W$2:$W$1001,0),0), INDEX($AD$1004:$AU$1004,1,MATCH(COLUMNS($AD$1006:AQ1006),$AD$1006:$AU$1006,0)))),"Fix")))</f>
        <v xml:space="preserve"> </v>
      </c>
      <c r="P617" s="4" t="str">
        <f ca="1">IF(OR(INDEX($X$2:$X$1001,MATCH(ROWS($W$2:W617),$W$2:$W$1001,0),1)&gt;=100000,INDEX($AD$1005:$AU$1005,1,MATCH(COLUMNS($AD$1006:AR1006),$AD$1006:$AU$1006,0))&gt;=100000), " ",IF(INDEX($AD$2:$AU$1001,MATCH(ROWS($W$2:W617),$W$2:$W$1001,0),MATCH(COLUMNS($AD$1006:AR1006),$AD$1006:$AU$1006,0)), HYPERLINK("#",""), HYPERLINK(CONCATENATE("#metadata!", ADDRESS(INDEX($Y$2:$Y$1001,MATCH(ROWS($W$2:W617),$W$2:$W$1001,0),0), INDEX($AD$1004:$AU$1004,1,MATCH(COLUMNS($AD$1006:AR1006),$AD$1006:$AU$1006,0)))),"Fix")))</f>
        <v xml:space="preserve"> </v>
      </c>
      <c r="Q617" s="4" t="str">
        <f ca="1">IF(OR(INDEX($X$2:$X$1001,MATCH(ROWS($W$2:W617),$W$2:$W$1001,0),1)&gt;=100000,INDEX($AD$1005:$AU$1005,1,MATCH(COLUMNS($AD$1006:AS1006),$AD$1006:$AU$1006,0))&gt;=100000), " ",IF(INDEX($AD$2:$AU$1001,MATCH(ROWS($W$2:W617),$W$2:$W$1001,0),MATCH(COLUMNS($AD$1006:AS1006),$AD$1006:$AU$1006,0)), HYPERLINK("#",""), HYPERLINK(CONCATENATE("#metadata!", ADDRESS(INDEX($Y$2:$Y$1001,MATCH(ROWS($W$2:W617),$W$2:$W$1001,0),0), INDEX($AD$1004:$AU$1004,1,MATCH(COLUMNS($AD$1006:AS1006),$AD$1006:$AU$1006,0)))),"Fix")))</f>
        <v xml:space="preserve"> </v>
      </c>
      <c r="R617" s="4" t="str">
        <f ca="1">IF(OR(INDEX($X$2:$X$1001,MATCH(ROWS($W$2:W617),$W$2:$W$1001,0),1)&gt;=100000,INDEX($AD$1005:$AU$1005,1,MATCH(COLUMNS($AD$1006:AT1006),$AD$1006:$AU$1006,0))&gt;=100000), " ",IF(INDEX($AD$2:$AU$1001,MATCH(ROWS($W$2:W617),$W$2:$W$1001,0),MATCH(COLUMNS($AD$1006:AT1006),$AD$1006:$AU$1006,0)), HYPERLINK("#",""), HYPERLINK(CONCATENATE("#metadata!", ADDRESS(INDEX($Y$2:$Y$1001,MATCH(ROWS($W$2:W617),$W$2:$W$1001,0),0), INDEX($AD$1004:$AU$1004,1,MATCH(COLUMNS($AD$1006:AT1006),$AD$1006:$AU$1006,0)))),"Fix")))</f>
        <v xml:space="preserve"> </v>
      </c>
      <c r="S617" s="4" t="str">
        <f ca="1">IF(OR(INDEX($X$2:$X$1001,MATCH(ROWS($W$2:W617),$W$2:$W$1001,0),1)&gt;=100000,INDEX($AD$1005:$AU$1005,1,MATCH(COLUMNS($AD$1006:AU1006),$AD$1006:$AU$1006,0))&gt;=100000), " ",IF(INDEX($AD$2:$AU$1001,MATCH(ROWS($W$2:W617),$W$2:$W$1001,0),MATCH(COLUMNS($AD$1006:AU1006),$AD$1006:$AU$1006,0)), HYPERLINK("#",""), HYPERLINK(CONCATENATE("#metadata!", ADDRESS(INDEX($Y$2:$Y$1001,MATCH(ROWS($W$2:W617),$W$2:$W$1001,0),0), INDEX($AD$1004:$AU$1004,1,MATCH(COLUMNS($AD$1006:AU1006),$AD$1006:$AU$1006,0)))),"Fix")))</f>
        <v xml:space="preserve"> </v>
      </c>
      <c r="W617">
        <v>616</v>
      </c>
      <c r="X617">
        <v>100617</v>
      </c>
      <c r="Y617">
        <v>617</v>
      </c>
      <c r="Z617" t="b">
        <f t="shared" si="9"/>
        <v>1</v>
      </c>
      <c r="AA617" t="b">
        <f>COUNTBLANK(metadata!B617:S617)=COLUMNS(metadata!B617:S617)</f>
        <v>1</v>
      </c>
      <c r="AB617" t="str">
        <v/>
      </c>
      <c r="AD617" t="b">
        <f ca="1">AND(IF(metadata!B617="",FALSE,TRUE),COUNTIF(metadata!B:B, metadata!B617) = 1,NOT(ISERROR(SUMPRODUCT(SEARCH(MID(metadata!B617,ROW(INDIRECT("1:"&amp;LEN(metadata!B617))), 1),"0123456789abcdefghijklmnopqrstuvwxyzABCDEFGHIJKLMNOPQRSTUVWXYZ.")))))</f>
        <v>0</v>
      </c>
      <c r="AE617" t="b">
        <f>OR(AND(IF(metadata!C617="",FALSE,TRUE),OR(EXACT(metadata!C617,"not applicable"),EXACT(metadata!C617,"missing: not collected"),EXACT(metadata!C617,"missing: not provided"),EXACT(metadata!C617,"missing: restricted access"))),AND(IF(metadata!C617="",FALSE,ISNUMBER(VALUE(metadata!C617))),metadata!C617&gt;0))</f>
        <v>0</v>
      </c>
      <c r="AF617" t="b">
        <f>AND(IF(metadata!D617="",FALSE,TRUE),EXACT(metadata!D617,"missing: not provided"))</f>
        <v>0</v>
      </c>
      <c r="AG617" t="b">
        <f>AND(IF(metadata!E617="",FALSE,TRUE),EXACT(metadata!E617,"Host-associated"))</f>
        <v>0</v>
      </c>
      <c r="AH617" t="b">
        <f>AND(IF(metadata!F617="",FALSE,TRUE),OR(EXACT(metadata!F617,"Animal"),EXACT(metadata!F617,"Fungus"),EXACT(metadata!F617,"Plant")))</f>
        <v>0</v>
      </c>
      <c r="AI617" t="b">
        <f>AND(IF(metadata!G617="",FALSE,TRUE),OR(EXACT(metadata!G617,"Plant secretion"),EXACT(metadata!G617,"Plant rhizosphere"),EXACT(metadata!G617,"Plant surface"),EXACT(metadata!G617,"Plant corpus"),EXACT(metadata!G617,"Fungus surface"),EXACT(metadata!G617,"Fungus corpus"),EXACT(metadata!G617,"Animal surface"),EXACT(metadata!G617,"Animal proximal gut"),EXACT(metadata!G617,"Animal corpus"),EXACT(metadata!G617,"Animal distal gut"),EXACT(metadata!G617,"Animal secretion")))</f>
        <v>0</v>
      </c>
      <c r="AJ617" t="b">
        <f>OR(AND(IF(metadata!H617="",FALSE,TRUE),OR(EXACT(metadata!H617,"missing: not collected"),EXACT(metadata!H617,"missing: not provided"),EXACT(metadata!H617,"missing: restricted access"))),AND(IF(metadata!H617="",FALSE,TRUE),OR(EXACT(metadata!H617,"organism-associated habitat"),EXACT(metadata!H617,"plant-associated habitat"),EXACT(metadata!H617,"animal-associated habitat"),EXACT(metadata!H617,"insecta-associated habitat"),EXACT(metadata!H617,"mammalia-associated habitat"),EXACT(metadata!H617,"human-associated habitat"),EXACT(metadata!H617,"livestock-associated habitat"))))</f>
        <v>0</v>
      </c>
      <c r="AK617" t="b">
        <f>AND(IF(metadata!I617="",FALSE,TRUE),EXACT(metadata!I617,"host-associated"))</f>
        <v>0</v>
      </c>
      <c r="AL617" t="b">
        <f>OR(AND(IF(metadata!J617="",FALSE,TRUE),OR(EXACT(metadata!J617,"not applicable"),EXACT(metadata!J617,"missing: not collected"),EXACT(metadata!J617,"missing: not provided"),EXACT(metadata!J617,"missing: restricted access"))),AND(IF(metadata!J617="",FALSE,ISNUMBER(VALUE(metadata!J617))),metadata!J617&gt;0))</f>
        <v>0</v>
      </c>
      <c r="AM617" t="b">
        <f>AND(IF(metadata!K617="",FALSE,TRUE),EXACT(metadata!K617,"missing: not provided"))</f>
        <v>0</v>
      </c>
      <c r="AN617" t="b">
        <f>IF(metadata!L617="",FALSE,TRUE)</f>
        <v>0</v>
      </c>
      <c r="AO617" t="b">
        <f>IF(metadata!M617="",FALSE,TRUE)</f>
        <v>0</v>
      </c>
      <c r="AP617" t="b">
        <f>OR(AND(IF(metadata!N617="",FALSE,TRUE),OR(EXACT(metadata!N617,"not applicable"),EXACT(metadata!N617,"missing: not collected"),EXACT(metadata!N617,"missing: not provided"))),AND(IF(metadata!N617="",FALSE,IF(ISERROR(INT(metadata!N617)),FALSE,INT(metadata!N617)=metadata!N617)),metadata!N617&gt;0))</f>
        <v>0</v>
      </c>
      <c r="AQ617" t="b">
        <f>AND(IF(metadata!O617="",FALSE,TRUE),EXACT(metadata!O617,"Not applicable"))</f>
        <v>0</v>
      </c>
      <c r="AR617" t="b">
        <f>OR(AND(IF(metadata!P617="",FALSE,TRUE),OR(EXACT(metadata!P617,"not applicable"),EXACT(metadata!P617,"missing: not collected"),EXACT(metadata!P617,"missing: not provided"),EXACT(metadata!P617,"missing: restricted access"))),IF(metadata!P617="",FALSE,IF(ISERROR(INT(metadata!P617)),FALSE,INT(metadata!P617)=metadata!P617)))</f>
        <v>0</v>
      </c>
      <c r="AS617" t="b">
        <f>AND(IF(metadata!Q617="",FALSE,TRUE),EXACT(metadata!Q617,"Not applicable"))</f>
        <v>0</v>
      </c>
      <c r="AT617" t="b">
        <f>OR(AND(IF(metadata!R617="",FALSE,TRUE),OR(EXACT(metadata!R617,"not applicable"),EXACT(metadata!R617,"missing: not collected"),EXACT(metadata!R617,"missing: not provided"),EXACT(metadata!R617,"missing: restricted access"))),AND(IF(metadata!R617="",FALSE,ISNUMBER(VALUE(metadata!R617))),metadata!R617&gt;0))</f>
        <v>0</v>
      </c>
      <c r="AU617" t="b">
        <f>AND(IF(metadata!S617="",FALSE,TRUE),EXACT(metadata!S617,"missing: not provided"))</f>
        <v>0</v>
      </c>
    </row>
    <row r="618" spans="1:47" x14ac:dyDescent="0.2">
      <c r="A618" s="5" t="str">
        <f ca="1">IF(B618=" "," ",HYPERLINK(CONCATENATE("#metadata!",ADDRESS(INDEX($Y$2:$Y$1001,MATCH(ROWS($W$2:W618),$W$2:$W$1001,0),0),1)),INDEX($AB$2:$AB$1001,MATCH(ROWS($W$2:W618),$W$2:$W$1001,0),0)))</f>
        <v xml:space="preserve"> </v>
      </c>
      <c r="B618" s="4" t="str">
        <f ca="1">IF(OR(INDEX($X$2:$X$1001,MATCH(ROWS($W$2:W618),$W$2:$W$1001,0),1)&gt;=100000,INDEX($AD$1005:$AU$1005,1,MATCH(COLUMNS($AD$1006:AD1006),$AD$1006:$AU$1006,0))&gt;=100000), " ",IF(INDEX($AD$2:$AU$1001,MATCH(ROWS($W$2:W618),$W$2:$W$1001,0),MATCH(COLUMNS($AD$1006:AD1006),$AD$1006:$AU$1006,0)), HYPERLINK("#",""), HYPERLINK(CONCATENATE("#metadata!", ADDRESS(INDEX($Y$2:$Y$1001,MATCH(ROWS($W$2:W618),$W$2:$W$1001,0),0), INDEX($AD$1004:$AU$1004,1,MATCH(COLUMNS($AD$1006:AD1006),$AD$1006:$AU$1006,0)))),"Fix")))</f>
        <v xml:space="preserve"> </v>
      </c>
      <c r="C618" s="4" t="str">
        <f ca="1">IF(OR(INDEX($X$2:$X$1001,MATCH(ROWS($W$2:W618),$W$2:$W$1001,0),1)&gt;=100000,INDEX($AD$1005:$AU$1005,1,MATCH(COLUMNS($AD$1006:AE1006),$AD$1006:$AU$1006,0))&gt;=100000), " ",IF(INDEX($AD$2:$AU$1001,MATCH(ROWS($W$2:W618),$W$2:$W$1001,0),MATCH(COLUMNS($AD$1006:AE1006),$AD$1006:$AU$1006,0)), HYPERLINK("#",""), HYPERLINK(CONCATENATE("#metadata!", ADDRESS(INDEX($Y$2:$Y$1001,MATCH(ROWS($W$2:W618),$W$2:$W$1001,0),0), INDEX($AD$1004:$AU$1004,1,MATCH(COLUMNS($AD$1006:AE1006),$AD$1006:$AU$1006,0)))),"Fix")))</f>
        <v xml:space="preserve"> </v>
      </c>
      <c r="D618" s="4" t="str">
        <f ca="1">IF(OR(INDEX($X$2:$X$1001,MATCH(ROWS($W$2:W618),$W$2:$W$1001,0),1)&gt;=100000,INDEX($AD$1005:$AU$1005,1,MATCH(COLUMNS($AD$1006:AF1006),$AD$1006:$AU$1006,0))&gt;=100000), " ",IF(INDEX($AD$2:$AU$1001,MATCH(ROWS($W$2:W618),$W$2:$W$1001,0),MATCH(COLUMNS($AD$1006:AF1006),$AD$1006:$AU$1006,0)), HYPERLINK("#",""), HYPERLINK(CONCATENATE("#metadata!", ADDRESS(INDEX($Y$2:$Y$1001,MATCH(ROWS($W$2:W618),$W$2:$W$1001,0),0), INDEX($AD$1004:$AU$1004,1,MATCH(COLUMNS($AD$1006:AF1006),$AD$1006:$AU$1006,0)))),"Fix")))</f>
        <v xml:space="preserve"> </v>
      </c>
      <c r="E618" s="4" t="str">
        <f ca="1">IF(OR(INDEX($X$2:$X$1001,MATCH(ROWS($W$2:W618),$W$2:$W$1001,0),1)&gt;=100000,INDEX($AD$1005:$AU$1005,1,MATCH(COLUMNS($AD$1006:AG1006),$AD$1006:$AU$1006,0))&gt;=100000), " ",IF(INDEX($AD$2:$AU$1001,MATCH(ROWS($W$2:W618),$W$2:$W$1001,0),MATCH(COLUMNS($AD$1006:AG1006),$AD$1006:$AU$1006,0)), HYPERLINK("#",""), HYPERLINK(CONCATENATE("#metadata!", ADDRESS(INDEX($Y$2:$Y$1001,MATCH(ROWS($W$2:W618),$W$2:$W$1001,0),0), INDEX($AD$1004:$AU$1004,1,MATCH(COLUMNS($AD$1006:AG1006),$AD$1006:$AU$1006,0)))),"Fix")))</f>
        <v xml:space="preserve"> </v>
      </c>
      <c r="F618" s="4" t="str">
        <f ca="1">IF(OR(INDEX($X$2:$X$1001,MATCH(ROWS($W$2:W618),$W$2:$W$1001,0),1)&gt;=100000,INDEX($AD$1005:$AU$1005,1,MATCH(COLUMNS($AD$1006:AH1006),$AD$1006:$AU$1006,0))&gt;=100000), " ",IF(INDEX($AD$2:$AU$1001,MATCH(ROWS($W$2:W618),$W$2:$W$1001,0),MATCH(COLUMNS($AD$1006:AH1006),$AD$1006:$AU$1006,0)), HYPERLINK("#",""), HYPERLINK(CONCATENATE("#metadata!", ADDRESS(INDEX($Y$2:$Y$1001,MATCH(ROWS($W$2:W618),$W$2:$W$1001,0),0), INDEX($AD$1004:$AU$1004,1,MATCH(COLUMNS($AD$1006:AH1006),$AD$1006:$AU$1006,0)))),"Fix")))</f>
        <v xml:space="preserve"> </v>
      </c>
      <c r="G618" s="4" t="str">
        <f ca="1">IF(OR(INDEX($X$2:$X$1001,MATCH(ROWS($W$2:W618),$W$2:$W$1001,0),1)&gt;=100000,INDEX($AD$1005:$AU$1005,1,MATCH(COLUMNS($AD$1006:AI1006),$AD$1006:$AU$1006,0))&gt;=100000), " ",IF(INDEX($AD$2:$AU$1001,MATCH(ROWS($W$2:W618),$W$2:$W$1001,0),MATCH(COLUMNS($AD$1006:AI1006),$AD$1006:$AU$1006,0)), HYPERLINK("#",""), HYPERLINK(CONCATENATE("#metadata!", ADDRESS(INDEX($Y$2:$Y$1001,MATCH(ROWS($W$2:W618),$W$2:$W$1001,0),0), INDEX($AD$1004:$AU$1004,1,MATCH(COLUMNS($AD$1006:AI1006),$AD$1006:$AU$1006,0)))),"Fix")))</f>
        <v xml:space="preserve"> </v>
      </c>
      <c r="H618" s="4" t="str">
        <f ca="1">IF(OR(INDEX($X$2:$X$1001,MATCH(ROWS($W$2:W618),$W$2:$W$1001,0),1)&gt;=100000,INDEX($AD$1005:$AU$1005,1,MATCH(COLUMNS($AD$1006:AJ1006),$AD$1006:$AU$1006,0))&gt;=100000), " ",IF(INDEX($AD$2:$AU$1001,MATCH(ROWS($W$2:W618),$W$2:$W$1001,0),MATCH(COLUMNS($AD$1006:AJ1006),$AD$1006:$AU$1006,0)), HYPERLINK("#",""), HYPERLINK(CONCATENATE("#metadata!", ADDRESS(INDEX($Y$2:$Y$1001,MATCH(ROWS($W$2:W618),$W$2:$W$1001,0),0), INDEX($AD$1004:$AU$1004,1,MATCH(COLUMNS($AD$1006:AJ1006),$AD$1006:$AU$1006,0)))),"Fix")))</f>
        <v xml:space="preserve"> </v>
      </c>
      <c r="I618" s="4" t="str">
        <f ca="1">IF(OR(INDEX($X$2:$X$1001,MATCH(ROWS($W$2:W618),$W$2:$W$1001,0),1)&gt;=100000,INDEX($AD$1005:$AU$1005,1,MATCH(COLUMNS($AD$1006:AK1006),$AD$1006:$AU$1006,0))&gt;=100000), " ",IF(INDEX($AD$2:$AU$1001,MATCH(ROWS($W$2:W618),$W$2:$W$1001,0),MATCH(COLUMNS($AD$1006:AK1006),$AD$1006:$AU$1006,0)), HYPERLINK("#",""), HYPERLINK(CONCATENATE("#metadata!", ADDRESS(INDEX($Y$2:$Y$1001,MATCH(ROWS($W$2:W618),$W$2:$W$1001,0),0), INDEX($AD$1004:$AU$1004,1,MATCH(COLUMNS($AD$1006:AK1006),$AD$1006:$AU$1006,0)))),"Fix")))</f>
        <v xml:space="preserve"> </v>
      </c>
      <c r="J618" s="4" t="str">
        <f ca="1">IF(OR(INDEX($X$2:$X$1001,MATCH(ROWS($W$2:W618),$W$2:$W$1001,0),1)&gt;=100000,INDEX($AD$1005:$AU$1005,1,MATCH(COLUMNS($AD$1006:AL1006),$AD$1006:$AU$1006,0))&gt;=100000), " ",IF(INDEX($AD$2:$AU$1001,MATCH(ROWS($W$2:W618),$W$2:$W$1001,0),MATCH(COLUMNS($AD$1006:AL1006),$AD$1006:$AU$1006,0)), HYPERLINK("#",""), HYPERLINK(CONCATENATE("#metadata!", ADDRESS(INDEX($Y$2:$Y$1001,MATCH(ROWS($W$2:W618),$W$2:$W$1001,0),0), INDEX($AD$1004:$AU$1004,1,MATCH(COLUMNS($AD$1006:AL1006),$AD$1006:$AU$1006,0)))),"Fix")))</f>
        <v xml:space="preserve"> </v>
      </c>
      <c r="K618" s="4" t="str">
        <f ca="1">IF(OR(INDEX($X$2:$X$1001,MATCH(ROWS($W$2:W618),$W$2:$W$1001,0),1)&gt;=100000,INDEX($AD$1005:$AU$1005,1,MATCH(COLUMNS($AD$1006:AM1006),$AD$1006:$AU$1006,0))&gt;=100000), " ",IF(INDEX($AD$2:$AU$1001,MATCH(ROWS($W$2:W618),$W$2:$W$1001,0),MATCH(COLUMNS($AD$1006:AM1006),$AD$1006:$AU$1006,0)), HYPERLINK("#",""), HYPERLINK(CONCATENATE("#metadata!", ADDRESS(INDEX($Y$2:$Y$1001,MATCH(ROWS($W$2:W618),$W$2:$W$1001,0),0), INDEX($AD$1004:$AU$1004,1,MATCH(COLUMNS($AD$1006:AM1006),$AD$1006:$AU$1006,0)))),"Fix")))</f>
        <v xml:space="preserve"> </v>
      </c>
      <c r="L618" s="4" t="str">
        <f ca="1">IF(OR(INDEX($X$2:$X$1001,MATCH(ROWS($W$2:W618),$W$2:$W$1001,0),1)&gt;=100000,INDEX($AD$1005:$AU$1005,1,MATCH(COLUMNS($AD$1006:AN1006),$AD$1006:$AU$1006,0))&gt;=100000), " ",IF(INDEX($AD$2:$AU$1001,MATCH(ROWS($W$2:W618),$W$2:$W$1001,0),MATCH(COLUMNS($AD$1006:AN1006),$AD$1006:$AU$1006,0)), HYPERLINK("#",""), HYPERLINK(CONCATENATE("#metadata!", ADDRESS(INDEX($Y$2:$Y$1001,MATCH(ROWS($W$2:W618),$W$2:$W$1001,0),0), INDEX($AD$1004:$AU$1004,1,MATCH(COLUMNS($AD$1006:AN1006),$AD$1006:$AU$1006,0)))),"Fix")))</f>
        <v xml:space="preserve"> </v>
      </c>
      <c r="M618" s="4" t="str">
        <f ca="1">IF(OR(INDEX($X$2:$X$1001,MATCH(ROWS($W$2:W618),$W$2:$W$1001,0),1)&gt;=100000,INDEX($AD$1005:$AU$1005,1,MATCH(COLUMNS($AD$1006:AO1006),$AD$1006:$AU$1006,0))&gt;=100000), " ",IF(INDEX($AD$2:$AU$1001,MATCH(ROWS($W$2:W618),$W$2:$W$1001,0),MATCH(COLUMNS($AD$1006:AO1006),$AD$1006:$AU$1006,0)), HYPERLINK("#",""), HYPERLINK(CONCATENATE("#metadata!", ADDRESS(INDEX($Y$2:$Y$1001,MATCH(ROWS($W$2:W618),$W$2:$W$1001,0),0), INDEX($AD$1004:$AU$1004,1,MATCH(COLUMNS($AD$1006:AO1006),$AD$1006:$AU$1006,0)))),"Fix")))</f>
        <v xml:space="preserve"> </v>
      </c>
      <c r="N618" s="4" t="str">
        <f ca="1">IF(OR(INDEX($X$2:$X$1001,MATCH(ROWS($W$2:W618),$W$2:$W$1001,0),1)&gt;=100000,INDEX($AD$1005:$AU$1005,1,MATCH(COLUMNS($AD$1006:AP1006),$AD$1006:$AU$1006,0))&gt;=100000), " ",IF(INDEX($AD$2:$AU$1001,MATCH(ROWS($W$2:W618),$W$2:$W$1001,0),MATCH(COLUMNS($AD$1006:AP1006),$AD$1006:$AU$1006,0)), HYPERLINK("#",""), HYPERLINK(CONCATENATE("#metadata!", ADDRESS(INDEX($Y$2:$Y$1001,MATCH(ROWS($W$2:W618),$W$2:$W$1001,0),0), INDEX($AD$1004:$AU$1004,1,MATCH(COLUMNS($AD$1006:AP1006),$AD$1006:$AU$1006,0)))),"Fix")))</f>
        <v xml:space="preserve"> </v>
      </c>
      <c r="O618" s="4" t="str">
        <f ca="1">IF(OR(INDEX($X$2:$X$1001,MATCH(ROWS($W$2:W618),$W$2:$W$1001,0),1)&gt;=100000,INDEX($AD$1005:$AU$1005,1,MATCH(COLUMNS($AD$1006:AQ1006),$AD$1006:$AU$1006,0))&gt;=100000), " ",IF(INDEX($AD$2:$AU$1001,MATCH(ROWS($W$2:W618),$W$2:$W$1001,0),MATCH(COLUMNS($AD$1006:AQ1006),$AD$1006:$AU$1006,0)), HYPERLINK("#",""), HYPERLINK(CONCATENATE("#metadata!", ADDRESS(INDEX($Y$2:$Y$1001,MATCH(ROWS($W$2:W618),$W$2:$W$1001,0),0), INDEX($AD$1004:$AU$1004,1,MATCH(COLUMNS($AD$1006:AQ1006),$AD$1006:$AU$1006,0)))),"Fix")))</f>
        <v xml:space="preserve"> </v>
      </c>
      <c r="P618" s="4" t="str">
        <f ca="1">IF(OR(INDEX($X$2:$X$1001,MATCH(ROWS($W$2:W618),$W$2:$W$1001,0),1)&gt;=100000,INDEX($AD$1005:$AU$1005,1,MATCH(COLUMNS($AD$1006:AR1006),$AD$1006:$AU$1006,0))&gt;=100000), " ",IF(INDEX($AD$2:$AU$1001,MATCH(ROWS($W$2:W618),$W$2:$W$1001,0),MATCH(COLUMNS($AD$1006:AR1006),$AD$1006:$AU$1006,0)), HYPERLINK("#",""), HYPERLINK(CONCATENATE("#metadata!", ADDRESS(INDEX($Y$2:$Y$1001,MATCH(ROWS($W$2:W618),$W$2:$W$1001,0),0), INDEX($AD$1004:$AU$1004,1,MATCH(COLUMNS($AD$1006:AR1006),$AD$1006:$AU$1006,0)))),"Fix")))</f>
        <v xml:space="preserve"> </v>
      </c>
      <c r="Q618" s="4" t="str">
        <f ca="1">IF(OR(INDEX($X$2:$X$1001,MATCH(ROWS($W$2:W618),$W$2:$W$1001,0),1)&gt;=100000,INDEX($AD$1005:$AU$1005,1,MATCH(COLUMNS($AD$1006:AS1006),$AD$1006:$AU$1006,0))&gt;=100000), " ",IF(INDEX($AD$2:$AU$1001,MATCH(ROWS($W$2:W618),$W$2:$W$1001,0),MATCH(COLUMNS($AD$1006:AS1006),$AD$1006:$AU$1006,0)), HYPERLINK("#",""), HYPERLINK(CONCATENATE("#metadata!", ADDRESS(INDEX($Y$2:$Y$1001,MATCH(ROWS($W$2:W618),$W$2:$W$1001,0),0), INDEX($AD$1004:$AU$1004,1,MATCH(COLUMNS($AD$1006:AS1006),$AD$1006:$AU$1006,0)))),"Fix")))</f>
        <v xml:space="preserve"> </v>
      </c>
      <c r="R618" s="4" t="str">
        <f ca="1">IF(OR(INDEX($X$2:$X$1001,MATCH(ROWS($W$2:W618),$W$2:$W$1001,0),1)&gt;=100000,INDEX($AD$1005:$AU$1005,1,MATCH(COLUMNS($AD$1006:AT1006),$AD$1006:$AU$1006,0))&gt;=100000), " ",IF(INDEX($AD$2:$AU$1001,MATCH(ROWS($W$2:W618),$W$2:$W$1001,0),MATCH(COLUMNS($AD$1006:AT1006),$AD$1006:$AU$1006,0)), HYPERLINK("#",""), HYPERLINK(CONCATENATE("#metadata!", ADDRESS(INDEX($Y$2:$Y$1001,MATCH(ROWS($W$2:W618),$W$2:$W$1001,0),0), INDEX($AD$1004:$AU$1004,1,MATCH(COLUMNS($AD$1006:AT1006),$AD$1006:$AU$1006,0)))),"Fix")))</f>
        <v xml:space="preserve"> </v>
      </c>
      <c r="S618" s="4" t="str">
        <f ca="1">IF(OR(INDEX($X$2:$X$1001,MATCH(ROWS($W$2:W618),$W$2:$W$1001,0),1)&gt;=100000,INDEX($AD$1005:$AU$1005,1,MATCH(COLUMNS($AD$1006:AU1006),$AD$1006:$AU$1006,0))&gt;=100000), " ",IF(INDEX($AD$2:$AU$1001,MATCH(ROWS($W$2:W618),$W$2:$W$1001,0),MATCH(COLUMNS($AD$1006:AU1006),$AD$1006:$AU$1006,0)), HYPERLINK("#",""), HYPERLINK(CONCATENATE("#metadata!", ADDRESS(INDEX($Y$2:$Y$1001,MATCH(ROWS($W$2:W618),$W$2:$W$1001,0),0), INDEX($AD$1004:$AU$1004,1,MATCH(COLUMNS($AD$1006:AU1006),$AD$1006:$AU$1006,0)))),"Fix")))</f>
        <v xml:space="preserve"> </v>
      </c>
      <c r="W618">
        <v>617</v>
      </c>
      <c r="X618">
        <v>100618</v>
      </c>
      <c r="Y618">
        <v>618</v>
      </c>
      <c r="Z618" t="b">
        <f t="shared" si="9"/>
        <v>1</v>
      </c>
      <c r="AA618" t="b">
        <f>COUNTBLANK(metadata!B618:S618)=COLUMNS(metadata!B618:S618)</f>
        <v>1</v>
      </c>
      <c r="AB618" t="str">
        <v/>
      </c>
      <c r="AD618" t="b">
        <f ca="1">AND(IF(metadata!B618="",FALSE,TRUE),COUNTIF(metadata!B:B, metadata!B618) = 1,NOT(ISERROR(SUMPRODUCT(SEARCH(MID(metadata!B618,ROW(INDIRECT("1:"&amp;LEN(metadata!B618))), 1),"0123456789abcdefghijklmnopqrstuvwxyzABCDEFGHIJKLMNOPQRSTUVWXYZ.")))))</f>
        <v>0</v>
      </c>
      <c r="AE618" t="b">
        <f>OR(AND(IF(metadata!C618="",FALSE,TRUE),OR(EXACT(metadata!C618,"not applicable"),EXACT(metadata!C618,"missing: not collected"),EXACT(metadata!C618,"missing: not provided"),EXACT(metadata!C618,"missing: restricted access"))),AND(IF(metadata!C618="",FALSE,ISNUMBER(VALUE(metadata!C618))),metadata!C618&gt;0))</f>
        <v>0</v>
      </c>
      <c r="AF618" t="b">
        <f>AND(IF(metadata!D618="",FALSE,TRUE),EXACT(metadata!D618,"missing: not provided"))</f>
        <v>0</v>
      </c>
      <c r="AG618" t="b">
        <f>AND(IF(metadata!E618="",FALSE,TRUE),EXACT(metadata!E618,"Host-associated"))</f>
        <v>0</v>
      </c>
      <c r="AH618" t="b">
        <f>AND(IF(metadata!F618="",FALSE,TRUE),OR(EXACT(metadata!F618,"Animal"),EXACT(metadata!F618,"Fungus"),EXACT(metadata!F618,"Plant")))</f>
        <v>0</v>
      </c>
      <c r="AI618" t="b">
        <f>AND(IF(metadata!G618="",FALSE,TRUE),OR(EXACT(metadata!G618,"Plant secretion"),EXACT(metadata!G618,"Plant rhizosphere"),EXACT(metadata!G618,"Plant surface"),EXACT(metadata!G618,"Plant corpus"),EXACT(metadata!G618,"Fungus surface"),EXACT(metadata!G618,"Fungus corpus"),EXACT(metadata!G618,"Animal surface"),EXACT(metadata!G618,"Animal proximal gut"),EXACT(metadata!G618,"Animal corpus"),EXACT(metadata!G618,"Animal distal gut"),EXACT(metadata!G618,"Animal secretion")))</f>
        <v>0</v>
      </c>
      <c r="AJ618" t="b">
        <f>OR(AND(IF(metadata!H618="",FALSE,TRUE),OR(EXACT(metadata!H618,"missing: not collected"),EXACT(metadata!H618,"missing: not provided"),EXACT(metadata!H618,"missing: restricted access"))),AND(IF(metadata!H618="",FALSE,TRUE),OR(EXACT(metadata!H618,"organism-associated habitat"),EXACT(metadata!H618,"plant-associated habitat"),EXACT(metadata!H618,"animal-associated habitat"),EXACT(metadata!H618,"insecta-associated habitat"),EXACT(metadata!H618,"mammalia-associated habitat"),EXACT(metadata!H618,"human-associated habitat"),EXACT(metadata!H618,"livestock-associated habitat"))))</f>
        <v>0</v>
      </c>
      <c r="AK618" t="b">
        <f>AND(IF(metadata!I618="",FALSE,TRUE),EXACT(metadata!I618,"host-associated"))</f>
        <v>0</v>
      </c>
      <c r="AL618" t="b">
        <f>OR(AND(IF(metadata!J618="",FALSE,TRUE),OR(EXACT(metadata!J618,"not applicable"),EXACT(metadata!J618,"missing: not collected"),EXACT(metadata!J618,"missing: not provided"),EXACT(metadata!J618,"missing: restricted access"))),AND(IF(metadata!J618="",FALSE,ISNUMBER(VALUE(metadata!J618))),metadata!J618&gt;0))</f>
        <v>0</v>
      </c>
      <c r="AM618" t="b">
        <f>AND(IF(metadata!K618="",FALSE,TRUE),EXACT(metadata!K618,"missing: not provided"))</f>
        <v>0</v>
      </c>
      <c r="AN618" t="b">
        <f>IF(metadata!L618="",FALSE,TRUE)</f>
        <v>0</v>
      </c>
      <c r="AO618" t="b">
        <f>IF(metadata!M618="",FALSE,TRUE)</f>
        <v>0</v>
      </c>
      <c r="AP618" t="b">
        <f>OR(AND(IF(metadata!N618="",FALSE,TRUE),OR(EXACT(metadata!N618,"not applicable"),EXACT(metadata!N618,"missing: not collected"),EXACT(metadata!N618,"missing: not provided"))),AND(IF(metadata!N618="",FALSE,IF(ISERROR(INT(metadata!N618)),FALSE,INT(metadata!N618)=metadata!N618)),metadata!N618&gt;0))</f>
        <v>0</v>
      </c>
      <c r="AQ618" t="b">
        <f>AND(IF(metadata!O618="",FALSE,TRUE),EXACT(metadata!O618,"Not applicable"))</f>
        <v>0</v>
      </c>
      <c r="AR618" t="b">
        <f>OR(AND(IF(metadata!P618="",FALSE,TRUE),OR(EXACT(metadata!P618,"not applicable"),EXACT(metadata!P618,"missing: not collected"),EXACT(metadata!P618,"missing: not provided"),EXACT(metadata!P618,"missing: restricted access"))),IF(metadata!P618="",FALSE,IF(ISERROR(INT(metadata!P618)),FALSE,INT(metadata!P618)=metadata!P618)))</f>
        <v>0</v>
      </c>
      <c r="AS618" t="b">
        <f>AND(IF(metadata!Q618="",FALSE,TRUE),EXACT(metadata!Q618,"Not applicable"))</f>
        <v>0</v>
      </c>
      <c r="AT618" t="b">
        <f>OR(AND(IF(metadata!R618="",FALSE,TRUE),OR(EXACT(metadata!R618,"not applicable"),EXACT(metadata!R618,"missing: not collected"),EXACT(metadata!R618,"missing: not provided"),EXACT(metadata!R618,"missing: restricted access"))),AND(IF(metadata!R618="",FALSE,ISNUMBER(VALUE(metadata!R618))),metadata!R618&gt;0))</f>
        <v>0</v>
      </c>
      <c r="AU618" t="b">
        <f>AND(IF(metadata!S618="",FALSE,TRUE),EXACT(metadata!S618,"missing: not provided"))</f>
        <v>0</v>
      </c>
    </row>
    <row r="619" spans="1:47" x14ac:dyDescent="0.2">
      <c r="A619" s="5" t="str">
        <f ca="1">IF(B619=" "," ",HYPERLINK(CONCATENATE("#metadata!",ADDRESS(INDEX($Y$2:$Y$1001,MATCH(ROWS($W$2:W619),$W$2:$W$1001,0),0),1)),INDEX($AB$2:$AB$1001,MATCH(ROWS($W$2:W619),$W$2:$W$1001,0),0)))</f>
        <v xml:space="preserve"> </v>
      </c>
      <c r="B619" s="4" t="str">
        <f ca="1">IF(OR(INDEX($X$2:$X$1001,MATCH(ROWS($W$2:W619),$W$2:$W$1001,0),1)&gt;=100000,INDEX($AD$1005:$AU$1005,1,MATCH(COLUMNS($AD$1006:AD1006),$AD$1006:$AU$1006,0))&gt;=100000), " ",IF(INDEX($AD$2:$AU$1001,MATCH(ROWS($W$2:W619),$W$2:$W$1001,0),MATCH(COLUMNS($AD$1006:AD1006),$AD$1006:$AU$1006,0)), HYPERLINK("#",""), HYPERLINK(CONCATENATE("#metadata!", ADDRESS(INDEX($Y$2:$Y$1001,MATCH(ROWS($W$2:W619),$W$2:$W$1001,0),0), INDEX($AD$1004:$AU$1004,1,MATCH(COLUMNS($AD$1006:AD1006),$AD$1006:$AU$1006,0)))),"Fix")))</f>
        <v xml:space="preserve"> </v>
      </c>
      <c r="C619" s="4" t="str">
        <f ca="1">IF(OR(INDEX($X$2:$X$1001,MATCH(ROWS($W$2:W619),$W$2:$W$1001,0),1)&gt;=100000,INDEX($AD$1005:$AU$1005,1,MATCH(COLUMNS($AD$1006:AE1006),$AD$1006:$AU$1006,0))&gt;=100000), " ",IF(INDEX($AD$2:$AU$1001,MATCH(ROWS($W$2:W619),$W$2:$W$1001,0),MATCH(COLUMNS($AD$1006:AE1006),$AD$1006:$AU$1006,0)), HYPERLINK("#",""), HYPERLINK(CONCATENATE("#metadata!", ADDRESS(INDEX($Y$2:$Y$1001,MATCH(ROWS($W$2:W619),$W$2:$W$1001,0),0), INDEX($AD$1004:$AU$1004,1,MATCH(COLUMNS($AD$1006:AE1006),$AD$1006:$AU$1006,0)))),"Fix")))</f>
        <v xml:space="preserve"> </v>
      </c>
      <c r="D619" s="4" t="str">
        <f ca="1">IF(OR(INDEX($X$2:$X$1001,MATCH(ROWS($W$2:W619),$W$2:$W$1001,0),1)&gt;=100000,INDEX($AD$1005:$AU$1005,1,MATCH(COLUMNS($AD$1006:AF1006),$AD$1006:$AU$1006,0))&gt;=100000), " ",IF(INDEX($AD$2:$AU$1001,MATCH(ROWS($W$2:W619),$W$2:$W$1001,0),MATCH(COLUMNS($AD$1006:AF1006),$AD$1006:$AU$1006,0)), HYPERLINK("#",""), HYPERLINK(CONCATENATE("#metadata!", ADDRESS(INDEX($Y$2:$Y$1001,MATCH(ROWS($W$2:W619),$W$2:$W$1001,0),0), INDEX($AD$1004:$AU$1004,1,MATCH(COLUMNS($AD$1006:AF1006),$AD$1006:$AU$1006,0)))),"Fix")))</f>
        <v xml:space="preserve"> </v>
      </c>
      <c r="E619" s="4" t="str">
        <f ca="1">IF(OR(INDEX($X$2:$X$1001,MATCH(ROWS($W$2:W619),$W$2:$W$1001,0),1)&gt;=100000,INDEX($AD$1005:$AU$1005,1,MATCH(COLUMNS($AD$1006:AG1006),$AD$1006:$AU$1006,0))&gt;=100000), " ",IF(INDEX($AD$2:$AU$1001,MATCH(ROWS($W$2:W619),$W$2:$W$1001,0),MATCH(COLUMNS($AD$1006:AG1006),$AD$1006:$AU$1006,0)), HYPERLINK("#",""), HYPERLINK(CONCATENATE("#metadata!", ADDRESS(INDEX($Y$2:$Y$1001,MATCH(ROWS($W$2:W619),$W$2:$W$1001,0),0), INDEX($AD$1004:$AU$1004,1,MATCH(COLUMNS($AD$1006:AG1006),$AD$1006:$AU$1006,0)))),"Fix")))</f>
        <v xml:space="preserve"> </v>
      </c>
      <c r="F619" s="4" t="str">
        <f ca="1">IF(OR(INDEX($X$2:$X$1001,MATCH(ROWS($W$2:W619),$W$2:$W$1001,0),1)&gt;=100000,INDEX($AD$1005:$AU$1005,1,MATCH(COLUMNS($AD$1006:AH1006),$AD$1006:$AU$1006,0))&gt;=100000), " ",IF(INDEX($AD$2:$AU$1001,MATCH(ROWS($W$2:W619),$W$2:$W$1001,0),MATCH(COLUMNS($AD$1006:AH1006),$AD$1006:$AU$1006,0)), HYPERLINK("#",""), HYPERLINK(CONCATENATE("#metadata!", ADDRESS(INDEX($Y$2:$Y$1001,MATCH(ROWS($W$2:W619),$W$2:$W$1001,0),0), INDEX($AD$1004:$AU$1004,1,MATCH(COLUMNS($AD$1006:AH1006),$AD$1006:$AU$1006,0)))),"Fix")))</f>
        <v xml:space="preserve"> </v>
      </c>
      <c r="G619" s="4" t="str">
        <f ca="1">IF(OR(INDEX($X$2:$X$1001,MATCH(ROWS($W$2:W619),$W$2:$W$1001,0),1)&gt;=100000,INDEX($AD$1005:$AU$1005,1,MATCH(COLUMNS($AD$1006:AI1006),$AD$1006:$AU$1006,0))&gt;=100000), " ",IF(INDEX($AD$2:$AU$1001,MATCH(ROWS($W$2:W619),$W$2:$W$1001,0),MATCH(COLUMNS($AD$1006:AI1006),$AD$1006:$AU$1006,0)), HYPERLINK("#",""), HYPERLINK(CONCATENATE("#metadata!", ADDRESS(INDEX($Y$2:$Y$1001,MATCH(ROWS($W$2:W619),$W$2:$W$1001,0),0), INDEX($AD$1004:$AU$1004,1,MATCH(COLUMNS($AD$1006:AI1006),$AD$1006:$AU$1006,0)))),"Fix")))</f>
        <v xml:space="preserve"> </v>
      </c>
      <c r="H619" s="4" t="str">
        <f ca="1">IF(OR(INDEX($X$2:$X$1001,MATCH(ROWS($W$2:W619),$W$2:$W$1001,0),1)&gt;=100000,INDEX($AD$1005:$AU$1005,1,MATCH(COLUMNS($AD$1006:AJ1006),$AD$1006:$AU$1006,0))&gt;=100000), " ",IF(INDEX($AD$2:$AU$1001,MATCH(ROWS($W$2:W619),$W$2:$W$1001,0),MATCH(COLUMNS($AD$1006:AJ1006),$AD$1006:$AU$1006,0)), HYPERLINK("#",""), HYPERLINK(CONCATENATE("#metadata!", ADDRESS(INDEX($Y$2:$Y$1001,MATCH(ROWS($W$2:W619),$W$2:$W$1001,0),0), INDEX($AD$1004:$AU$1004,1,MATCH(COLUMNS($AD$1006:AJ1006),$AD$1006:$AU$1006,0)))),"Fix")))</f>
        <v xml:space="preserve"> </v>
      </c>
      <c r="I619" s="4" t="str">
        <f ca="1">IF(OR(INDEX($X$2:$X$1001,MATCH(ROWS($W$2:W619),$W$2:$W$1001,0),1)&gt;=100000,INDEX($AD$1005:$AU$1005,1,MATCH(COLUMNS($AD$1006:AK1006),$AD$1006:$AU$1006,0))&gt;=100000), " ",IF(INDEX($AD$2:$AU$1001,MATCH(ROWS($W$2:W619),$W$2:$W$1001,0),MATCH(COLUMNS($AD$1006:AK1006),$AD$1006:$AU$1006,0)), HYPERLINK("#",""), HYPERLINK(CONCATENATE("#metadata!", ADDRESS(INDEX($Y$2:$Y$1001,MATCH(ROWS($W$2:W619),$W$2:$W$1001,0),0), INDEX($AD$1004:$AU$1004,1,MATCH(COLUMNS($AD$1006:AK1006),$AD$1006:$AU$1006,0)))),"Fix")))</f>
        <v xml:space="preserve"> </v>
      </c>
      <c r="J619" s="4" t="str">
        <f ca="1">IF(OR(INDEX($X$2:$X$1001,MATCH(ROWS($W$2:W619),$W$2:$W$1001,0),1)&gt;=100000,INDEX($AD$1005:$AU$1005,1,MATCH(COLUMNS($AD$1006:AL1006),$AD$1006:$AU$1006,0))&gt;=100000), " ",IF(INDEX($AD$2:$AU$1001,MATCH(ROWS($W$2:W619),$W$2:$W$1001,0),MATCH(COLUMNS($AD$1006:AL1006),$AD$1006:$AU$1006,0)), HYPERLINK("#",""), HYPERLINK(CONCATENATE("#metadata!", ADDRESS(INDEX($Y$2:$Y$1001,MATCH(ROWS($W$2:W619),$W$2:$W$1001,0),0), INDEX($AD$1004:$AU$1004,1,MATCH(COLUMNS($AD$1006:AL1006),$AD$1006:$AU$1006,0)))),"Fix")))</f>
        <v xml:space="preserve"> </v>
      </c>
      <c r="K619" s="4" t="str">
        <f ca="1">IF(OR(INDEX($X$2:$X$1001,MATCH(ROWS($W$2:W619),$W$2:$W$1001,0),1)&gt;=100000,INDEX($AD$1005:$AU$1005,1,MATCH(COLUMNS($AD$1006:AM1006),$AD$1006:$AU$1006,0))&gt;=100000), " ",IF(INDEX($AD$2:$AU$1001,MATCH(ROWS($W$2:W619),$W$2:$W$1001,0),MATCH(COLUMNS($AD$1006:AM1006),$AD$1006:$AU$1006,0)), HYPERLINK("#",""), HYPERLINK(CONCATENATE("#metadata!", ADDRESS(INDEX($Y$2:$Y$1001,MATCH(ROWS($W$2:W619),$W$2:$W$1001,0),0), INDEX($AD$1004:$AU$1004,1,MATCH(COLUMNS($AD$1006:AM1006),$AD$1006:$AU$1006,0)))),"Fix")))</f>
        <v xml:space="preserve"> </v>
      </c>
      <c r="L619" s="4" t="str">
        <f ca="1">IF(OR(INDEX($X$2:$X$1001,MATCH(ROWS($W$2:W619),$W$2:$W$1001,0),1)&gt;=100000,INDEX($AD$1005:$AU$1005,1,MATCH(COLUMNS($AD$1006:AN1006),$AD$1006:$AU$1006,0))&gt;=100000), " ",IF(INDEX($AD$2:$AU$1001,MATCH(ROWS($W$2:W619),$W$2:$W$1001,0),MATCH(COLUMNS($AD$1006:AN1006),$AD$1006:$AU$1006,0)), HYPERLINK("#",""), HYPERLINK(CONCATENATE("#metadata!", ADDRESS(INDEX($Y$2:$Y$1001,MATCH(ROWS($W$2:W619),$W$2:$W$1001,0),0), INDEX($AD$1004:$AU$1004,1,MATCH(COLUMNS($AD$1006:AN1006),$AD$1006:$AU$1006,0)))),"Fix")))</f>
        <v xml:space="preserve"> </v>
      </c>
      <c r="M619" s="4" t="str">
        <f ca="1">IF(OR(INDEX($X$2:$X$1001,MATCH(ROWS($W$2:W619),$W$2:$W$1001,0),1)&gt;=100000,INDEX($AD$1005:$AU$1005,1,MATCH(COLUMNS($AD$1006:AO1006),$AD$1006:$AU$1006,0))&gt;=100000), " ",IF(INDEX($AD$2:$AU$1001,MATCH(ROWS($W$2:W619),$W$2:$W$1001,0),MATCH(COLUMNS($AD$1006:AO1006),$AD$1006:$AU$1006,0)), HYPERLINK("#",""), HYPERLINK(CONCATENATE("#metadata!", ADDRESS(INDEX($Y$2:$Y$1001,MATCH(ROWS($W$2:W619),$W$2:$W$1001,0),0), INDEX($AD$1004:$AU$1004,1,MATCH(COLUMNS($AD$1006:AO1006),$AD$1006:$AU$1006,0)))),"Fix")))</f>
        <v xml:space="preserve"> </v>
      </c>
      <c r="N619" s="4" t="str">
        <f ca="1">IF(OR(INDEX($X$2:$X$1001,MATCH(ROWS($W$2:W619),$W$2:$W$1001,0),1)&gt;=100000,INDEX($AD$1005:$AU$1005,1,MATCH(COLUMNS($AD$1006:AP1006),$AD$1006:$AU$1006,0))&gt;=100000), " ",IF(INDEX($AD$2:$AU$1001,MATCH(ROWS($W$2:W619),$W$2:$W$1001,0),MATCH(COLUMNS($AD$1006:AP1006),$AD$1006:$AU$1006,0)), HYPERLINK("#",""), HYPERLINK(CONCATENATE("#metadata!", ADDRESS(INDEX($Y$2:$Y$1001,MATCH(ROWS($W$2:W619),$W$2:$W$1001,0),0), INDEX($AD$1004:$AU$1004,1,MATCH(COLUMNS($AD$1006:AP1006),$AD$1006:$AU$1006,0)))),"Fix")))</f>
        <v xml:space="preserve"> </v>
      </c>
      <c r="O619" s="4" t="str">
        <f ca="1">IF(OR(INDEX($X$2:$X$1001,MATCH(ROWS($W$2:W619),$W$2:$W$1001,0),1)&gt;=100000,INDEX($AD$1005:$AU$1005,1,MATCH(COLUMNS($AD$1006:AQ1006),$AD$1006:$AU$1006,0))&gt;=100000), " ",IF(INDEX($AD$2:$AU$1001,MATCH(ROWS($W$2:W619),$W$2:$W$1001,0),MATCH(COLUMNS($AD$1006:AQ1006),$AD$1006:$AU$1006,0)), HYPERLINK("#",""), HYPERLINK(CONCATENATE("#metadata!", ADDRESS(INDEX($Y$2:$Y$1001,MATCH(ROWS($W$2:W619),$W$2:$W$1001,0),0), INDEX($AD$1004:$AU$1004,1,MATCH(COLUMNS($AD$1006:AQ1006),$AD$1006:$AU$1006,0)))),"Fix")))</f>
        <v xml:space="preserve"> </v>
      </c>
      <c r="P619" s="4" t="str">
        <f ca="1">IF(OR(INDEX($X$2:$X$1001,MATCH(ROWS($W$2:W619),$W$2:$W$1001,0),1)&gt;=100000,INDEX($AD$1005:$AU$1005,1,MATCH(COLUMNS($AD$1006:AR1006),$AD$1006:$AU$1006,0))&gt;=100000), " ",IF(INDEX($AD$2:$AU$1001,MATCH(ROWS($W$2:W619),$W$2:$W$1001,0),MATCH(COLUMNS($AD$1006:AR1006),$AD$1006:$AU$1006,0)), HYPERLINK("#",""), HYPERLINK(CONCATENATE("#metadata!", ADDRESS(INDEX($Y$2:$Y$1001,MATCH(ROWS($W$2:W619),$W$2:$W$1001,0),0), INDEX($AD$1004:$AU$1004,1,MATCH(COLUMNS($AD$1006:AR1006),$AD$1006:$AU$1006,0)))),"Fix")))</f>
        <v xml:space="preserve"> </v>
      </c>
      <c r="Q619" s="4" t="str">
        <f ca="1">IF(OR(INDEX($X$2:$X$1001,MATCH(ROWS($W$2:W619),$W$2:$W$1001,0),1)&gt;=100000,INDEX($AD$1005:$AU$1005,1,MATCH(COLUMNS($AD$1006:AS1006),$AD$1006:$AU$1006,0))&gt;=100000), " ",IF(INDEX($AD$2:$AU$1001,MATCH(ROWS($W$2:W619),$W$2:$W$1001,0),MATCH(COLUMNS($AD$1006:AS1006),$AD$1006:$AU$1006,0)), HYPERLINK("#",""), HYPERLINK(CONCATENATE("#metadata!", ADDRESS(INDEX($Y$2:$Y$1001,MATCH(ROWS($W$2:W619),$W$2:$W$1001,0),0), INDEX($AD$1004:$AU$1004,1,MATCH(COLUMNS($AD$1006:AS1006),$AD$1006:$AU$1006,0)))),"Fix")))</f>
        <v xml:space="preserve"> </v>
      </c>
      <c r="R619" s="4" t="str">
        <f ca="1">IF(OR(INDEX($X$2:$X$1001,MATCH(ROWS($W$2:W619),$W$2:$W$1001,0),1)&gt;=100000,INDEX($AD$1005:$AU$1005,1,MATCH(COLUMNS($AD$1006:AT1006),$AD$1006:$AU$1006,0))&gt;=100000), " ",IF(INDEX($AD$2:$AU$1001,MATCH(ROWS($W$2:W619),$W$2:$W$1001,0),MATCH(COLUMNS($AD$1006:AT1006),$AD$1006:$AU$1006,0)), HYPERLINK("#",""), HYPERLINK(CONCATENATE("#metadata!", ADDRESS(INDEX($Y$2:$Y$1001,MATCH(ROWS($W$2:W619),$W$2:$W$1001,0),0), INDEX($AD$1004:$AU$1004,1,MATCH(COLUMNS($AD$1006:AT1006),$AD$1006:$AU$1006,0)))),"Fix")))</f>
        <v xml:space="preserve"> </v>
      </c>
      <c r="S619" s="4" t="str">
        <f ca="1">IF(OR(INDEX($X$2:$X$1001,MATCH(ROWS($W$2:W619),$W$2:$W$1001,0),1)&gt;=100000,INDEX($AD$1005:$AU$1005,1,MATCH(COLUMNS($AD$1006:AU1006),$AD$1006:$AU$1006,0))&gt;=100000), " ",IF(INDEX($AD$2:$AU$1001,MATCH(ROWS($W$2:W619),$W$2:$W$1001,0),MATCH(COLUMNS($AD$1006:AU1006),$AD$1006:$AU$1006,0)), HYPERLINK("#",""), HYPERLINK(CONCATENATE("#metadata!", ADDRESS(INDEX($Y$2:$Y$1001,MATCH(ROWS($W$2:W619),$W$2:$W$1001,0),0), INDEX($AD$1004:$AU$1004,1,MATCH(COLUMNS($AD$1006:AU1006),$AD$1006:$AU$1006,0)))),"Fix")))</f>
        <v xml:space="preserve"> </v>
      </c>
      <c r="W619">
        <v>618</v>
      </c>
      <c r="X619">
        <v>100619</v>
      </c>
      <c r="Y619">
        <v>619</v>
      </c>
      <c r="Z619" t="b">
        <f t="shared" si="9"/>
        <v>1</v>
      </c>
      <c r="AA619" t="b">
        <f>COUNTBLANK(metadata!B619:S619)=COLUMNS(metadata!B619:S619)</f>
        <v>1</v>
      </c>
      <c r="AB619" t="str">
        <v/>
      </c>
      <c r="AD619" t="b">
        <f ca="1">AND(IF(metadata!B619="",FALSE,TRUE),COUNTIF(metadata!B:B, metadata!B619) = 1,NOT(ISERROR(SUMPRODUCT(SEARCH(MID(metadata!B619,ROW(INDIRECT("1:"&amp;LEN(metadata!B619))), 1),"0123456789abcdefghijklmnopqrstuvwxyzABCDEFGHIJKLMNOPQRSTUVWXYZ.")))))</f>
        <v>0</v>
      </c>
      <c r="AE619" t="b">
        <f>OR(AND(IF(metadata!C619="",FALSE,TRUE),OR(EXACT(metadata!C619,"not applicable"),EXACT(metadata!C619,"missing: not collected"),EXACT(metadata!C619,"missing: not provided"),EXACT(metadata!C619,"missing: restricted access"))),AND(IF(metadata!C619="",FALSE,ISNUMBER(VALUE(metadata!C619))),metadata!C619&gt;0))</f>
        <v>0</v>
      </c>
      <c r="AF619" t="b">
        <f>AND(IF(metadata!D619="",FALSE,TRUE),EXACT(metadata!D619,"missing: not provided"))</f>
        <v>0</v>
      </c>
      <c r="AG619" t="b">
        <f>AND(IF(metadata!E619="",FALSE,TRUE),EXACT(metadata!E619,"Host-associated"))</f>
        <v>0</v>
      </c>
      <c r="AH619" t="b">
        <f>AND(IF(metadata!F619="",FALSE,TRUE),OR(EXACT(metadata!F619,"Animal"),EXACT(metadata!F619,"Fungus"),EXACT(metadata!F619,"Plant")))</f>
        <v>0</v>
      </c>
      <c r="AI619" t="b">
        <f>AND(IF(metadata!G619="",FALSE,TRUE),OR(EXACT(metadata!G619,"Plant secretion"),EXACT(metadata!G619,"Plant rhizosphere"),EXACT(metadata!G619,"Plant surface"),EXACT(metadata!G619,"Plant corpus"),EXACT(metadata!G619,"Fungus surface"),EXACT(metadata!G619,"Fungus corpus"),EXACT(metadata!G619,"Animal surface"),EXACT(metadata!G619,"Animal proximal gut"),EXACT(metadata!G619,"Animal corpus"),EXACT(metadata!G619,"Animal distal gut"),EXACT(metadata!G619,"Animal secretion")))</f>
        <v>0</v>
      </c>
      <c r="AJ619" t="b">
        <f>OR(AND(IF(metadata!H619="",FALSE,TRUE),OR(EXACT(metadata!H619,"missing: not collected"),EXACT(metadata!H619,"missing: not provided"),EXACT(metadata!H619,"missing: restricted access"))),AND(IF(metadata!H619="",FALSE,TRUE),OR(EXACT(metadata!H619,"organism-associated habitat"),EXACT(metadata!H619,"plant-associated habitat"),EXACT(metadata!H619,"animal-associated habitat"),EXACT(metadata!H619,"insecta-associated habitat"),EXACT(metadata!H619,"mammalia-associated habitat"),EXACT(metadata!H619,"human-associated habitat"),EXACT(metadata!H619,"livestock-associated habitat"))))</f>
        <v>0</v>
      </c>
      <c r="AK619" t="b">
        <f>AND(IF(metadata!I619="",FALSE,TRUE),EXACT(metadata!I619,"host-associated"))</f>
        <v>0</v>
      </c>
      <c r="AL619" t="b">
        <f>OR(AND(IF(metadata!J619="",FALSE,TRUE),OR(EXACT(metadata!J619,"not applicable"),EXACT(metadata!J619,"missing: not collected"),EXACT(metadata!J619,"missing: not provided"),EXACT(metadata!J619,"missing: restricted access"))),AND(IF(metadata!J619="",FALSE,ISNUMBER(VALUE(metadata!J619))),metadata!J619&gt;0))</f>
        <v>0</v>
      </c>
      <c r="AM619" t="b">
        <f>AND(IF(metadata!K619="",FALSE,TRUE),EXACT(metadata!K619,"missing: not provided"))</f>
        <v>0</v>
      </c>
      <c r="AN619" t="b">
        <f>IF(metadata!L619="",FALSE,TRUE)</f>
        <v>0</v>
      </c>
      <c r="AO619" t="b">
        <f>IF(metadata!M619="",FALSE,TRUE)</f>
        <v>0</v>
      </c>
      <c r="AP619" t="b">
        <f>OR(AND(IF(metadata!N619="",FALSE,TRUE),OR(EXACT(metadata!N619,"not applicable"),EXACT(metadata!N619,"missing: not collected"),EXACT(metadata!N619,"missing: not provided"))),AND(IF(metadata!N619="",FALSE,IF(ISERROR(INT(metadata!N619)),FALSE,INT(metadata!N619)=metadata!N619)),metadata!N619&gt;0))</f>
        <v>0</v>
      </c>
      <c r="AQ619" t="b">
        <f>AND(IF(metadata!O619="",FALSE,TRUE),EXACT(metadata!O619,"Not applicable"))</f>
        <v>0</v>
      </c>
      <c r="AR619" t="b">
        <f>OR(AND(IF(metadata!P619="",FALSE,TRUE),OR(EXACT(metadata!P619,"not applicable"),EXACT(metadata!P619,"missing: not collected"),EXACT(metadata!P619,"missing: not provided"),EXACT(metadata!P619,"missing: restricted access"))),IF(metadata!P619="",FALSE,IF(ISERROR(INT(metadata!P619)),FALSE,INT(metadata!P619)=metadata!P619)))</f>
        <v>0</v>
      </c>
      <c r="AS619" t="b">
        <f>AND(IF(metadata!Q619="",FALSE,TRUE),EXACT(metadata!Q619,"Not applicable"))</f>
        <v>0</v>
      </c>
      <c r="AT619" t="b">
        <f>OR(AND(IF(metadata!R619="",FALSE,TRUE),OR(EXACT(metadata!R619,"not applicable"),EXACT(metadata!R619,"missing: not collected"),EXACT(metadata!R619,"missing: not provided"),EXACT(metadata!R619,"missing: restricted access"))),AND(IF(metadata!R619="",FALSE,ISNUMBER(VALUE(metadata!R619))),metadata!R619&gt;0))</f>
        <v>0</v>
      </c>
      <c r="AU619" t="b">
        <f>AND(IF(metadata!S619="",FALSE,TRUE),EXACT(metadata!S619,"missing: not provided"))</f>
        <v>0</v>
      </c>
    </row>
    <row r="620" spans="1:47" x14ac:dyDescent="0.2">
      <c r="A620" s="5" t="str">
        <f ca="1">IF(B620=" "," ",HYPERLINK(CONCATENATE("#metadata!",ADDRESS(INDEX($Y$2:$Y$1001,MATCH(ROWS($W$2:W620),$W$2:$W$1001,0),0),1)),INDEX($AB$2:$AB$1001,MATCH(ROWS($W$2:W620),$W$2:$W$1001,0),0)))</f>
        <v xml:space="preserve"> </v>
      </c>
      <c r="B620" s="4" t="str">
        <f ca="1">IF(OR(INDEX($X$2:$X$1001,MATCH(ROWS($W$2:W620),$W$2:$W$1001,0),1)&gt;=100000,INDEX($AD$1005:$AU$1005,1,MATCH(COLUMNS($AD$1006:AD1006),$AD$1006:$AU$1006,0))&gt;=100000), " ",IF(INDEX($AD$2:$AU$1001,MATCH(ROWS($W$2:W620),$W$2:$W$1001,0),MATCH(COLUMNS($AD$1006:AD1006),$AD$1006:$AU$1006,0)), HYPERLINK("#",""), HYPERLINK(CONCATENATE("#metadata!", ADDRESS(INDEX($Y$2:$Y$1001,MATCH(ROWS($W$2:W620),$W$2:$W$1001,0),0), INDEX($AD$1004:$AU$1004,1,MATCH(COLUMNS($AD$1006:AD1006),$AD$1006:$AU$1006,0)))),"Fix")))</f>
        <v xml:space="preserve"> </v>
      </c>
      <c r="C620" s="4" t="str">
        <f ca="1">IF(OR(INDEX($X$2:$X$1001,MATCH(ROWS($W$2:W620),$W$2:$W$1001,0),1)&gt;=100000,INDEX($AD$1005:$AU$1005,1,MATCH(COLUMNS($AD$1006:AE1006),$AD$1006:$AU$1006,0))&gt;=100000), " ",IF(INDEX($AD$2:$AU$1001,MATCH(ROWS($W$2:W620),$W$2:$W$1001,0),MATCH(COLUMNS($AD$1006:AE1006),$AD$1006:$AU$1006,0)), HYPERLINK("#",""), HYPERLINK(CONCATENATE("#metadata!", ADDRESS(INDEX($Y$2:$Y$1001,MATCH(ROWS($W$2:W620),$W$2:$W$1001,0),0), INDEX($AD$1004:$AU$1004,1,MATCH(COLUMNS($AD$1006:AE1006),$AD$1006:$AU$1006,0)))),"Fix")))</f>
        <v xml:space="preserve"> </v>
      </c>
      <c r="D620" s="4" t="str">
        <f ca="1">IF(OR(INDEX($X$2:$X$1001,MATCH(ROWS($W$2:W620),$W$2:$W$1001,0),1)&gt;=100000,INDEX($AD$1005:$AU$1005,1,MATCH(COLUMNS($AD$1006:AF1006),$AD$1006:$AU$1006,0))&gt;=100000), " ",IF(INDEX($AD$2:$AU$1001,MATCH(ROWS($W$2:W620),$W$2:$W$1001,0),MATCH(COLUMNS($AD$1006:AF1006),$AD$1006:$AU$1006,0)), HYPERLINK("#",""), HYPERLINK(CONCATENATE("#metadata!", ADDRESS(INDEX($Y$2:$Y$1001,MATCH(ROWS($W$2:W620),$W$2:$W$1001,0),0), INDEX($AD$1004:$AU$1004,1,MATCH(COLUMNS($AD$1006:AF1006),$AD$1006:$AU$1006,0)))),"Fix")))</f>
        <v xml:space="preserve"> </v>
      </c>
      <c r="E620" s="4" t="str">
        <f ca="1">IF(OR(INDEX($X$2:$X$1001,MATCH(ROWS($W$2:W620),$W$2:$W$1001,0),1)&gt;=100000,INDEX($AD$1005:$AU$1005,1,MATCH(COLUMNS($AD$1006:AG1006),$AD$1006:$AU$1006,0))&gt;=100000), " ",IF(INDEX($AD$2:$AU$1001,MATCH(ROWS($W$2:W620),$W$2:$W$1001,0),MATCH(COLUMNS($AD$1006:AG1006),$AD$1006:$AU$1006,0)), HYPERLINK("#",""), HYPERLINK(CONCATENATE("#metadata!", ADDRESS(INDEX($Y$2:$Y$1001,MATCH(ROWS($W$2:W620),$W$2:$W$1001,0),0), INDEX($AD$1004:$AU$1004,1,MATCH(COLUMNS($AD$1006:AG1006),$AD$1006:$AU$1006,0)))),"Fix")))</f>
        <v xml:space="preserve"> </v>
      </c>
      <c r="F620" s="4" t="str">
        <f ca="1">IF(OR(INDEX($X$2:$X$1001,MATCH(ROWS($W$2:W620),$W$2:$W$1001,0),1)&gt;=100000,INDEX($AD$1005:$AU$1005,1,MATCH(COLUMNS($AD$1006:AH1006),$AD$1006:$AU$1006,0))&gt;=100000), " ",IF(INDEX($AD$2:$AU$1001,MATCH(ROWS($W$2:W620),$W$2:$W$1001,0),MATCH(COLUMNS($AD$1006:AH1006),$AD$1006:$AU$1006,0)), HYPERLINK("#",""), HYPERLINK(CONCATENATE("#metadata!", ADDRESS(INDEX($Y$2:$Y$1001,MATCH(ROWS($W$2:W620),$W$2:$W$1001,0),0), INDEX($AD$1004:$AU$1004,1,MATCH(COLUMNS($AD$1006:AH1006),$AD$1006:$AU$1006,0)))),"Fix")))</f>
        <v xml:space="preserve"> </v>
      </c>
      <c r="G620" s="4" t="str">
        <f ca="1">IF(OR(INDEX($X$2:$X$1001,MATCH(ROWS($W$2:W620),$W$2:$W$1001,0),1)&gt;=100000,INDEX($AD$1005:$AU$1005,1,MATCH(COLUMNS($AD$1006:AI1006),$AD$1006:$AU$1006,0))&gt;=100000), " ",IF(INDEX($AD$2:$AU$1001,MATCH(ROWS($W$2:W620),$W$2:$W$1001,0),MATCH(COLUMNS($AD$1006:AI1006),$AD$1006:$AU$1006,0)), HYPERLINK("#",""), HYPERLINK(CONCATENATE("#metadata!", ADDRESS(INDEX($Y$2:$Y$1001,MATCH(ROWS($W$2:W620),$W$2:$W$1001,0),0), INDEX($AD$1004:$AU$1004,1,MATCH(COLUMNS($AD$1006:AI1006),$AD$1006:$AU$1006,0)))),"Fix")))</f>
        <v xml:space="preserve"> </v>
      </c>
      <c r="H620" s="4" t="str">
        <f ca="1">IF(OR(INDEX($X$2:$X$1001,MATCH(ROWS($W$2:W620),$W$2:$W$1001,0),1)&gt;=100000,INDEX($AD$1005:$AU$1005,1,MATCH(COLUMNS($AD$1006:AJ1006),$AD$1006:$AU$1006,0))&gt;=100000), " ",IF(INDEX($AD$2:$AU$1001,MATCH(ROWS($W$2:W620),$W$2:$W$1001,0),MATCH(COLUMNS($AD$1006:AJ1006),$AD$1006:$AU$1006,0)), HYPERLINK("#",""), HYPERLINK(CONCATENATE("#metadata!", ADDRESS(INDEX($Y$2:$Y$1001,MATCH(ROWS($W$2:W620),$W$2:$W$1001,0),0), INDEX($AD$1004:$AU$1004,1,MATCH(COLUMNS($AD$1006:AJ1006),$AD$1006:$AU$1006,0)))),"Fix")))</f>
        <v xml:space="preserve"> </v>
      </c>
      <c r="I620" s="4" t="str">
        <f ca="1">IF(OR(INDEX($X$2:$X$1001,MATCH(ROWS($W$2:W620),$W$2:$W$1001,0),1)&gt;=100000,INDEX($AD$1005:$AU$1005,1,MATCH(COLUMNS($AD$1006:AK1006),$AD$1006:$AU$1006,0))&gt;=100000), " ",IF(INDEX($AD$2:$AU$1001,MATCH(ROWS($W$2:W620),$W$2:$W$1001,0),MATCH(COLUMNS($AD$1006:AK1006),$AD$1006:$AU$1006,0)), HYPERLINK("#",""), HYPERLINK(CONCATENATE("#metadata!", ADDRESS(INDEX($Y$2:$Y$1001,MATCH(ROWS($W$2:W620),$W$2:$W$1001,0),0), INDEX($AD$1004:$AU$1004,1,MATCH(COLUMNS($AD$1006:AK1006),$AD$1006:$AU$1006,0)))),"Fix")))</f>
        <v xml:space="preserve"> </v>
      </c>
      <c r="J620" s="4" t="str">
        <f ca="1">IF(OR(INDEX($X$2:$X$1001,MATCH(ROWS($W$2:W620),$W$2:$W$1001,0),1)&gt;=100000,INDEX($AD$1005:$AU$1005,1,MATCH(COLUMNS($AD$1006:AL1006),$AD$1006:$AU$1006,0))&gt;=100000), " ",IF(INDEX($AD$2:$AU$1001,MATCH(ROWS($W$2:W620),$W$2:$W$1001,0),MATCH(COLUMNS($AD$1006:AL1006),$AD$1006:$AU$1006,0)), HYPERLINK("#",""), HYPERLINK(CONCATENATE("#metadata!", ADDRESS(INDEX($Y$2:$Y$1001,MATCH(ROWS($W$2:W620),$W$2:$W$1001,0),0), INDEX($AD$1004:$AU$1004,1,MATCH(COLUMNS($AD$1006:AL1006),$AD$1006:$AU$1006,0)))),"Fix")))</f>
        <v xml:space="preserve"> </v>
      </c>
      <c r="K620" s="4" t="str">
        <f ca="1">IF(OR(INDEX($X$2:$X$1001,MATCH(ROWS($W$2:W620),$W$2:$W$1001,0),1)&gt;=100000,INDEX($AD$1005:$AU$1005,1,MATCH(COLUMNS($AD$1006:AM1006),$AD$1006:$AU$1006,0))&gt;=100000), " ",IF(INDEX($AD$2:$AU$1001,MATCH(ROWS($W$2:W620),$W$2:$W$1001,0),MATCH(COLUMNS($AD$1006:AM1006),$AD$1006:$AU$1006,0)), HYPERLINK("#",""), HYPERLINK(CONCATENATE("#metadata!", ADDRESS(INDEX($Y$2:$Y$1001,MATCH(ROWS($W$2:W620),$W$2:$W$1001,0),0), INDEX($AD$1004:$AU$1004,1,MATCH(COLUMNS($AD$1006:AM1006),$AD$1006:$AU$1006,0)))),"Fix")))</f>
        <v xml:space="preserve"> </v>
      </c>
      <c r="L620" s="4" t="str">
        <f ca="1">IF(OR(INDEX($X$2:$X$1001,MATCH(ROWS($W$2:W620),$W$2:$W$1001,0),1)&gt;=100000,INDEX($AD$1005:$AU$1005,1,MATCH(COLUMNS($AD$1006:AN1006),$AD$1006:$AU$1006,0))&gt;=100000), " ",IF(INDEX($AD$2:$AU$1001,MATCH(ROWS($W$2:W620),$W$2:$W$1001,0),MATCH(COLUMNS($AD$1006:AN1006),$AD$1006:$AU$1006,0)), HYPERLINK("#",""), HYPERLINK(CONCATENATE("#metadata!", ADDRESS(INDEX($Y$2:$Y$1001,MATCH(ROWS($W$2:W620),$W$2:$W$1001,0),0), INDEX($AD$1004:$AU$1004,1,MATCH(COLUMNS($AD$1006:AN1006),$AD$1006:$AU$1006,0)))),"Fix")))</f>
        <v xml:space="preserve"> </v>
      </c>
      <c r="M620" s="4" t="str">
        <f ca="1">IF(OR(INDEX($X$2:$X$1001,MATCH(ROWS($W$2:W620),$W$2:$W$1001,0),1)&gt;=100000,INDEX($AD$1005:$AU$1005,1,MATCH(COLUMNS($AD$1006:AO1006),$AD$1006:$AU$1006,0))&gt;=100000), " ",IF(INDEX($AD$2:$AU$1001,MATCH(ROWS($W$2:W620),$W$2:$W$1001,0),MATCH(COLUMNS($AD$1006:AO1006),$AD$1006:$AU$1006,0)), HYPERLINK("#",""), HYPERLINK(CONCATENATE("#metadata!", ADDRESS(INDEX($Y$2:$Y$1001,MATCH(ROWS($W$2:W620),$W$2:$W$1001,0),0), INDEX($AD$1004:$AU$1004,1,MATCH(COLUMNS($AD$1006:AO1006),$AD$1006:$AU$1006,0)))),"Fix")))</f>
        <v xml:space="preserve"> </v>
      </c>
      <c r="N620" s="4" t="str">
        <f ca="1">IF(OR(INDEX($X$2:$X$1001,MATCH(ROWS($W$2:W620),$W$2:$W$1001,0),1)&gt;=100000,INDEX($AD$1005:$AU$1005,1,MATCH(COLUMNS($AD$1006:AP1006),$AD$1006:$AU$1006,0))&gt;=100000), " ",IF(INDEX($AD$2:$AU$1001,MATCH(ROWS($W$2:W620),$W$2:$W$1001,0),MATCH(COLUMNS($AD$1006:AP1006),$AD$1006:$AU$1006,0)), HYPERLINK("#",""), HYPERLINK(CONCATENATE("#metadata!", ADDRESS(INDEX($Y$2:$Y$1001,MATCH(ROWS($W$2:W620),$W$2:$W$1001,0),0), INDEX($AD$1004:$AU$1004,1,MATCH(COLUMNS($AD$1006:AP1006),$AD$1006:$AU$1006,0)))),"Fix")))</f>
        <v xml:space="preserve"> </v>
      </c>
      <c r="O620" s="4" t="str">
        <f ca="1">IF(OR(INDEX($X$2:$X$1001,MATCH(ROWS($W$2:W620),$W$2:$W$1001,0),1)&gt;=100000,INDEX($AD$1005:$AU$1005,1,MATCH(COLUMNS($AD$1006:AQ1006),$AD$1006:$AU$1006,0))&gt;=100000), " ",IF(INDEX($AD$2:$AU$1001,MATCH(ROWS($W$2:W620),$W$2:$W$1001,0),MATCH(COLUMNS($AD$1006:AQ1006),$AD$1006:$AU$1006,0)), HYPERLINK("#",""), HYPERLINK(CONCATENATE("#metadata!", ADDRESS(INDEX($Y$2:$Y$1001,MATCH(ROWS($W$2:W620),$W$2:$W$1001,0),0), INDEX($AD$1004:$AU$1004,1,MATCH(COLUMNS($AD$1006:AQ1006),$AD$1006:$AU$1006,0)))),"Fix")))</f>
        <v xml:space="preserve"> </v>
      </c>
      <c r="P620" s="4" t="str">
        <f ca="1">IF(OR(INDEX($X$2:$X$1001,MATCH(ROWS($W$2:W620),$W$2:$W$1001,0),1)&gt;=100000,INDEX($AD$1005:$AU$1005,1,MATCH(COLUMNS($AD$1006:AR1006),$AD$1006:$AU$1006,0))&gt;=100000), " ",IF(INDEX($AD$2:$AU$1001,MATCH(ROWS($W$2:W620),$W$2:$W$1001,0),MATCH(COLUMNS($AD$1006:AR1006),$AD$1006:$AU$1006,0)), HYPERLINK("#",""), HYPERLINK(CONCATENATE("#metadata!", ADDRESS(INDEX($Y$2:$Y$1001,MATCH(ROWS($W$2:W620),$W$2:$W$1001,0),0), INDEX($AD$1004:$AU$1004,1,MATCH(COLUMNS($AD$1006:AR1006),$AD$1006:$AU$1006,0)))),"Fix")))</f>
        <v xml:space="preserve"> </v>
      </c>
      <c r="Q620" s="4" t="str">
        <f ca="1">IF(OR(INDEX($X$2:$X$1001,MATCH(ROWS($W$2:W620),$W$2:$W$1001,0),1)&gt;=100000,INDEX($AD$1005:$AU$1005,1,MATCH(COLUMNS($AD$1006:AS1006),$AD$1006:$AU$1006,0))&gt;=100000), " ",IF(INDEX($AD$2:$AU$1001,MATCH(ROWS($W$2:W620),$W$2:$W$1001,0),MATCH(COLUMNS($AD$1006:AS1006),$AD$1006:$AU$1006,0)), HYPERLINK("#",""), HYPERLINK(CONCATENATE("#metadata!", ADDRESS(INDEX($Y$2:$Y$1001,MATCH(ROWS($W$2:W620),$W$2:$W$1001,0),0), INDEX($AD$1004:$AU$1004,1,MATCH(COLUMNS($AD$1006:AS1006),$AD$1006:$AU$1006,0)))),"Fix")))</f>
        <v xml:space="preserve"> </v>
      </c>
      <c r="R620" s="4" t="str">
        <f ca="1">IF(OR(INDEX($X$2:$X$1001,MATCH(ROWS($W$2:W620),$W$2:$W$1001,0),1)&gt;=100000,INDEX($AD$1005:$AU$1005,1,MATCH(COLUMNS($AD$1006:AT1006),$AD$1006:$AU$1006,0))&gt;=100000), " ",IF(INDEX($AD$2:$AU$1001,MATCH(ROWS($W$2:W620),$W$2:$W$1001,0),MATCH(COLUMNS($AD$1006:AT1006),$AD$1006:$AU$1006,0)), HYPERLINK("#",""), HYPERLINK(CONCATENATE("#metadata!", ADDRESS(INDEX($Y$2:$Y$1001,MATCH(ROWS($W$2:W620),$W$2:$W$1001,0),0), INDEX($AD$1004:$AU$1004,1,MATCH(COLUMNS($AD$1006:AT1006),$AD$1006:$AU$1006,0)))),"Fix")))</f>
        <v xml:space="preserve"> </v>
      </c>
      <c r="S620" s="4" t="str">
        <f ca="1">IF(OR(INDEX($X$2:$X$1001,MATCH(ROWS($W$2:W620),$W$2:$W$1001,0),1)&gt;=100000,INDEX($AD$1005:$AU$1005,1,MATCH(COLUMNS($AD$1006:AU1006),$AD$1006:$AU$1006,0))&gt;=100000), " ",IF(INDEX($AD$2:$AU$1001,MATCH(ROWS($W$2:W620),$W$2:$W$1001,0),MATCH(COLUMNS($AD$1006:AU1006),$AD$1006:$AU$1006,0)), HYPERLINK("#",""), HYPERLINK(CONCATENATE("#metadata!", ADDRESS(INDEX($Y$2:$Y$1001,MATCH(ROWS($W$2:W620),$W$2:$W$1001,0),0), INDEX($AD$1004:$AU$1004,1,MATCH(COLUMNS($AD$1006:AU1006),$AD$1006:$AU$1006,0)))),"Fix")))</f>
        <v xml:space="preserve"> </v>
      </c>
      <c r="W620">
        <v>619</v>
      </c>
      <c r="X620">
        <v>100620</v>
      </c>
      <c r="Y620">
        <v>620</v>
      </c>
      <c r="Z620" t="b">
        <f t="shared" si="9"/>
        <v>1</v>
      </c>
      <c r="AA620" t="b">
        <f>COUNTBLANK(metadata!B620:S620)=COLUMNS(metadata!B620:S620)</f>
        <v>1</v>
      </c>
      <c r="AB620" t="str">
        <v/>
      </c>
      <c r="AD620" t="b">
        <f ca="1">AND(IF(metadata!B620="",FALSE,TRUE),COUNTIF(metadata!B:B, metadata!B620) = 1,NOT(ISERROR(SUMPRODUCT(SEARCH(MID(metadata!B620,ROW(INDIRECT("1:"&amp;LEN(metadata!B620))), 1),"0123456789abcdefghijklmnopqrstuvwxyzABCDEFGHIJKLMNOPQRSTUVWXYZ.")))))</f>
        <v>0</v>
      </c>
      <c r="AE620" t="b">
        <f>OR(AND(IF(metadata!C620="",FALSE,TRUE),OR(EXACT(metadata!C620,"not applicable"),EXACT(metadata!C620,"missing: not collected"),EXACT(metadata!C620,"missing: not provided"),EXACT(metadata!C620,"missing: restricted access"))),AND(IF(metadata!C620="",FALSE,ISNUMBER(VALUE(metadata!C620))),metadata!C620&gt;0))</f>
        <v>0</v>
      </c>
      <c r="AF620" t="b">
        <f>AND(IF(metadata!D620="",FALSE,TRUE),EXACT(metadata!D620,"missing: not provided"))</f>
        <v>0</v>
      </c>
      <c r="AG620" t="b">
        <f>AND(IF(metadata!E620="",FALSE,TRUE),EXACT(metadata!E620,"Host-associated"))</f>
        <v>0</v>
      </c>
      <c r="AH620" t="b">
        <f>AND(IF(metadata!F620="",FALSE,TRUE),OR(EXACT(metadata!F620,"Animal"),EXACT(metadata!F620,"Fungus"),EXACT(metadata!F620,"Plant")))</f>
        <v>0</v>
      </c>
      <c r="AI620" t="b">
        <f>AND(IF(metadata!G620="",FALSE,TRUE),OR(EXACT(metadata!G620,"Plant secretion"),EXACT(metadata!G620,"Plant rhizosphere"),EXACT(metadata!G620,"Plant surface"),EXACT(metadata!G620,"Plant corpus"),EXACT(metadata!G620,"Fungus surface"),EXACT(metadata!G620,"Fungus corpus"),EXACT(metadata!G620,"Animal surface"),EXACT(metadata!G620,"Animal proximal gut"),EXACT(metadata!G620,"Animal corpus"),EXACT(metadata!G620,"Animal distal gut"),EXACT(metadata!G620,"Animal secretion")))</f>
        <v>0</v>
      </c>
      <c r="AJ620" t="b">
        <f>OR(AND(IF(metadata!H620="",FALSE,TRUE),OR(EXACT(metadata!H620,"missing: not collected"),EXACT(metadata!H620,"missing: not provided"),EXACT(metadata!H620,"missing: restricted access"))),AND(IF(metadata!H620="",FALSE,TRUE),OR(EXACT(metadata!H620,"organism-associated habitat"),EXACT(metadata!H620,"plant-associated habitat"),EXACT(metadata!H620,"animal-associated habitat"),EXACT(metadata!H620,"insecta-associated habitat"),EXACT(metadata!H620,"mammalia-associated habitat"),EXACT(metadata!H620,"human-associated habitat"),EXACT(metadata!H620,"livestock-associated habitat"))))</f>
        <v>0</v>
      </c>
      <c r="AK620" t="b">
        <f>AND(IF(metadata!I620="",FALSE,TRUE),EXACT(metadata!I620,"host-associated"))</f>
        <v>0</v>
      </c>
      <c r="AL620" t="b">
        <f>OR(AND(IF(metadata!J620="",FALSE,TRUE),OR(EXACT(metadata!J620,"not applicable"),EXACT(metadata!J620,"missing: not collected"),EXACT(metadata!J620,"missing: not provided"),EXACT(metadata!J620,"missing: restricted access"))),AND(IF(metadata!J620="",FALSE,ISNUMBER(VALUE(metadata!J620))),metadata!J620&gt;0))</f>
        <v>0</v>
      </c>
      <c r="AM620" t="b">
        <f>AND(IF(metadata!K620="",FALSE,TRUE),EXACT(metadata!K620,"missing: not provided"))</f>
        <v>0</v>
      </c>
      <c r="AN620" t="b">
        <f>IF(metadata!L620="",FALSE,TRUE)</f>
        <v>0</v>
      </c>
      <c r="AO620" t="b">
        <f>IF(metadata!M620="",FALSE,TRUE)</f>
        <v>0</v>
      </c>
      <c r="AP620" t="b">
        <f>OR(AND(IF(metadata!N620="",FALSE,TRUE),OR(EXACT(metadata!N620,"not applicable"),EXACT(metadata!N620,"missing: not collected"),EXACT(metadata!N620,"missing: not provided"))),AND(IF(metadata!N620="",FALSE,IF(ISERROR(INT(metadata!N620)),FALSE,INT(metadata!N620)=metadata!N620)),metadata!N620&gt;0))</f>
        <v>0</v>
      </c>
      <c r="AQ620" t="b">
        <f>AND(IF(metadata!O620="",FALSE,TRUE),EXACT(metadata!O620,"Not applicable"))</f>
        <v>0</v>
      </c>
      <c r="AR620" t="b">
        <f>OR(AND(IF(metadata!P620="",FALSE,TRUE),OR(EXACT(metadata!P620,"not applicable"),EXACT(metadata!P620,"missing: not collected"),EXACT(metadata!P620,"missing: not provided"),EXACT(metadata!P620,"missing: restricted access"))),IF(metadata!P620="",FALSE,IF(ISERROR(INT(metadata!P620)),FALSE,INT(metadata!P620)=metadata!P620)))</f>
        <v>0</v>
      </c>
      <c r="AS620" t="b">
        <f>AND(IF(metadata!Q620="",FALSE,TRUE),EXACT(metadata!Q620,"Not applicable"))</f>
        <v>0</v>
      </c>
      <c r="AT620" t="b">
        <f>OR(AND(IF(metadata!R620="",FALSE,TRUE),OR(EXACT(metadata!R620,"not applicable"),EXACT(metadata!R620,"missing: not collected"),EXACT(metadata!R620,"missing: not provided"),EXACT(metadata!R620,"missing: restricted access"))),AND(IF(metadata!R620="",FALSE,ISNUMBER(VALUE(metadata!R620))),metadata!R620&gt;0))</f>
        <v>0</v>
      </c>
      <c r="AU620" t="b">
        <f>AND(IF(metadata!S620="",FALSE,TRUE),EXACT(metadata!S620,"missing: not provided"))</f>
        <v>0</v>
      </c>
    </row>
    <row r="621" spans="1:47" x14ac:dyDescent="0.2">
      <c r="A621" s="5" t="str">
        <f ca="1">IF(B621=" "," ",HYPERLINK(CONCATENATE("#metadata!",ADDRESS(INDEX($Y$2:$Y$1001,MATCH(ROWS($W$2:W621),$W$2:$W$1001,0),0),1)),INDEX($AB$2:$AB$1001,MATCH(ROWS($W$2:W621),$W$2:$W$1001,0),0)))</f>
        <v xml:space="preserve"> </v>
      </c>
      <c r="B621" s="4" t="str">
        <f ca="1">IF(OR(INDEX($X$2:$X$1001,MATCH(ROWS($W$2:W621),$W$2:$W$1001,0),1)&gt;=100000,INDEX($AD$1005:$AU$1005,1,MATCH(COLUMNS($AD$1006:AD1006),$AD$1006:$AU$1006,0))&gt;=100000), " ",IF(INDEX($AD$2:$AU$1001,MATCH(ROWS($W$2:W621),$W$2:$W$1001,0),MATCH(COLUMNS($AD$1006:AD1006),$AD$1006:$AU$1006,0)), HYPERLINK("#",""), HYPERLINK(CONCATENATE("#metadata!", ADDRESS(INDEX($Y$2:$Y$1001,MATCH(ROWS($W$2:W621),$W$2:$W$1001,0),0), INDEX($AD$1004:$AU$1004,1,MATCH(COLUMNS($AD$1006:AD1006),$AD$1006:$AU$1006,0)))),"Fix")))</f>
        <v xml:space="preserve"> </v>
      </c>
      <c r="C621" s="4" t="str">
        <f ca="1">IF(OR(INDEX($X$2:$X$1001,MATCH(ROWS($W$2:W621),$W$2:$W$1001,0),1)&gt;=100000,INDEX($AD$1005:$AU$1005,1,MATCH(COLUMNS($AD$1006:AE1006),$AD$1006:$AU$1006,0))&gt;=100000), " ",IF(INDEX($AD$2:$AU$1001,MATCH(ROWS($W$2:W621),$W$2:$W$1001,0),MATCH(COLUMNS($AD$1006:AE1006),$AD$1006:$AU$1006,0)), HYPERLINK("#",""), HYPERLINK(CONCATENATE("#metadata!", ADDRESS(INDEX($Y$2:$Y$1001,MATCH(ROWS($W$2:W621),$W$2:$W$1001,0),0), INDEX($AD$1004:$AU$1004,1,MATCH(COLUMNS($AD$1006:AE1006),$AD$1006:$AU$1006,0)))),"Fix")))</f>
        <v xml:space="preserve"> </v>
      </c>
      <c r="D621" s="4" t="str">
        <f ca="1">IF(OR(INDEX($X$2:$X$1001,MATCH(ROWS($W$2:W621),$W$2:$W$1001,0),1)&gt;=100000,INDEX($AD$1005:$AU$1005,1,MATCH(COLUMNS($AD$1006:AF1006),$AD$1006:$AU$1006,0))&gt;=100000), " ",IF(INDEX($AD$2:$AU$1001,MATCH(ROWS($W$2:W621),$W$2:$W$1001,0),MATCH(COLUMNS($AD$1006:AF1006),$AD$1006:$AU$1006,0)), HYPERLINK("#",""), HYPERLINK(CONCATENATE("#metadata!", ADDRESS(INDEX($Y$2:$Y$1001,MATCH(ROWS($W$2:W621),$W$2:$W$1001,0),0), INDEX($AD$1004:$AU$1004,1,MATCH(COLUMNS($AD$1006:AF1006),$AD$1006:$AU$1006,0)))),"Fix")))</f>
        <v xml:space="preserve"> </v>
      </c>
      <c r="E621" s="4" t="str">
        <f ca="1">IF(OR(INDEX($X$2:$X$1001,MATCH(ROWS($W$2:W621),$W$2:$W$1001,0),1)&gt;=100000,INDEX($AD$1005:$AU$1005,1,MATCH(COLUMNS($AD$1006:AG1006),$AD$1006:$AU$1006,0))&gt;=100000), " ",IF(INDEX($AD$2:$AU$1001,MATCH(ROWS($W$2:W621),$W$2:$W$1001,0),MATCH(COLUMNS($AD$1006:AG1006),$AD$1006:$AU$1006,0)), HYPERLINK("#",""), HYPERLINK(CONCATENATE("#metadata!", ADDRESS(INDEX($Y$2:$Y$1001,MATCH(ROWS($W$2:W621),$W$2:$W$1001,0),0), INDEX($AD$1004:$AU$1004,1,MATCH(COLUMNS($AD$1006:AG1006),$AD$1006:$AU$1006,0)))),"Fix")))</f>
        <v xml:space="preserve"> </v>
      </c>
      <c r="F621" s="4" t="str">
        <f ca="1">IF(OR(INDEX($X$2:$X$1001,MATCH(ROWS($W$2:W621),$W$2:$W$1001,0),1)&gt;=100000,INDEX($AD$1005:$AU$1005,1,MATCH(COLUMNS($AD$1006:AH1006),$AD$1006:$AU$1006,0))&gt;=100000), " ",IF(INDEX($AD$2:$AU$1001,MATCH(ROWS($W$2:W621),$W$2:$W$1001,0),MATCH(COLUMNS($AD$1006:AH1006),$AD$1006:$AU$1006,0)), HYPERLINK("#",""), HYPERLINK(CONCATENATE("#metadata!", ADDRESS(INDEX($Y$2:$Y$1001,MATCH(ROWS($W$2:W621),$W$2:$W$1001,0),0), INDEX($AD$1004:$AU$1004,1,MATCH(COLUMNS($AD$1006:AH1006),$AD$1006:$AU$1006,0)))),"Fix")))</f>
        <v xml:space="preserve"> </v>
      </c>
      <c r="G621" s="4" t="str">
        <f ca="1">IF(OR(INDEX($X$2:$X$1001,MATCH(ROWS($W$2:W621),$W$2:$W$1001,0),1)&gt;=100000,INDEX($AD$1005:$AU$1005,1,MATCH(COLUMNS($AD$1006:AI1006),$AD$1006:$AU$1006,0))&gt;=100000), " ",IF(INDEX($AD$2:$AU$1001,MATCH(ROWS($W$2:W621),$W$2:$W$1001,0),MATCH(COLUMNS($AD$1006:AI1006),$AD$1006:$AU$1006,0)), HYPERLINK("#",""), HYPERLINK(CONCATENATE("#metadata!", ADDRESS(INDEX($Y$2:$Y$1001,MATCH(ROWS($W$2:W621),$W$2:$W$1001,0),0), INDEX($AD$1004:$AU$1004,1,MATCH(COLUMNS($AD$1006:AI1006),$AD$1006:$AU$1006,0)))),"Fix")))</f>
        <v xml:space="preserve"> </v>
      </c>
      <c r="H621" s="4" t="str">
        <f ca="1">IF(OR(INDEX($X$2:$X$1001,MATCH(ROWS($W$2:W621),$W$2:$W$1001,0),1)&gt;=100000,INDEX($AD$1005:$AU$1005,1,MATCH(COLUMNS($AD$1006:AJ1006),$AD$1006:$AU$1006,0))&gt;=100000), " ",IF(INDEX($AD$2:$AU$1001,MATCH(ROWS($W$2:W621),$W$2:$W$1001,0),MATCH(COLUMNS($AD$1006:AJ1006),$AD$1006:$AU$1006,0)), HYPERLINK("#",""), HYPERLINK(CONCATENATE("#metadata!", ADDRESS(INDEX($Y$2:$Y$1001,MATCH(ROWS($W$2:W621),$W$2:$W$1001,0),0), INDEX($AD$1004:$AU$1004,1,MATCH(COLUMNS($AD$1006:AJ1006),$AD$1006:$AU$1006,0)))),"Fix")))</f>
        <v xml:space="preserve"> </v>
      </c>
      <c r="I621" s="4" t="str">
        <f ca="1">IF(OR(INDEX($X$2:$X$1001,MATCH(ROWS($W$2:W621),$W$2:$W$1001,0),1)&gt;=100000,INDEX($AD$1005:$AU$1005,1,MATCH(COLUMNS($AD$1006:AK1006),$AD$1006:$AU$1006,0))&gt;=100000), " ",IF(INDEX($AD$2:$AU$1001,MATCH(ROWS($W$2:W621),$W$2:$W$1001,0),MATCH(COLUMNS($AD$1006:AK1006),$AD$1006:$AU$1006,0)), HYPERLINK("#",""), HYPERLINK(CONCATENATE("#metadata!", ADDRESS(INDEX($Y$2:$Y$1001,MATCH(ROWS($W$2:W621),$W$2:$W$1001,0),0), INDEX($AD$1004:$AU$1004,1,MATCH(COLUMNS($AD$1006:AK1006),$AD$1006:$AU$1006,0)))),"Fix")))</f>
        <v xml:space="preserve"> </v>
      </c>
      <c r="J621" s="4" t="str">
        <f ca="1">IF(OR(INDEX($X$2:$X$1001,MATCH(ROWS($W$2:W621),$W$2:$W$1001,0),1)&gt;=100000,INDEX($AD$1005:$AU$1005,1,MATCH(COLUMNS($AD$1006:AL1006),$AD$1006:$AU$1006,0))&gt;=100000), " ",IF(INDEX($AD$2:$AU$1001,MATCH(ROWS($W$2:W621),$W$2:$W$1001,0),MATCH(COLUMNS($AD$1006:AL1006),$AD$1006:$AU$1006,0)), HYPERLINK("#",""), HYPERLINK(CONCATENATE("#metadata!", ADDRESS(INDEX($Y$2:$Y$1001,MATCH(ROWS($W$2:W621),$W$2:$W$1001,0),0), INDEX($AD$1004:$AU$1004,1,MATCH(COLUMNS($AD$1006:AL1006),$AD$1006:$AU$1006,0)))),"Fix")))</f>
        <v xml:space="preserve"> </v>
      </c>
      <c r="K621" s="4" t="str">
        <f ca="1">IF(OR(INDEX($X$2:$X$1001,MATCH(ROWS($W$2:W621),$W$2:$W$1001,0),1)&gt;=100000,INDEX($AD$1005:$AU$1005,1,MATCH(COLUMNS($AD$1006:AM1006),$AD$1006:$AU$1006,0))&gt;=100000), " ",IF(INDEX($AD$2:$AU$1001,MATCH(ROWS($W$2:W621),$W$2:$W$1001,0),MATCH(COLUMNS($AD$1006:AM1006),$AD$1006:$AU$1006,0)), HYPERLINK("#",""), HYPERLINK(CONCATENATE("#metadata!", ADDRESS(INDEX($Y$2:$Y$1001,MATCH(ROWS($W$2:W621),$W$2:$W$1001,0),0), INDEX($AD$1004:$AU$1004,1,MATCH(COLUMNS($AD$1006:AM1006),$AD$1006:$AU$1006,0)))),"Fix")))</f>
        <v xml:space="preserve"> </v>
      </c>
      <c r="L621" s="4" t="str">
        <f ca="1">IF(OR(INDEX($X$2:$X$1001,MATCH(ROWS($W$2:W621),$W$2:$W$1001,0),1)&gt;=100000,INDEX($AD$1005:$AU$1005,1,MATCH(COLUMNS($AD$1006:AN1006),$AD$1006:$AU$1006,0))&gt;=100000), " ",IF(INDEX($AD$2:$AU$1001,MATCH(ROWS($W$2:W621),$W$2:$W$1001,0),MATCH(COLUMNS($AD$1006:AN1006),$AD$1006:$AU$1006,0)), HYPERLINK("#",""), HYPERLINK(CONCATENATE("#metadata!", ADDRESS(INDEX($Y$2:$Y$1001,MATCH(ROWS($W$2:W621),$W$2:$W$1001,0),0), INDEX($AD$1004:$AU$1004,1,MATCH(COLUMNS($AD$1006:AN1006),$AD$1006:$AU$1006,0)))),"Fix")))</f>
        <v xml:space="preserve"> </v>
      </c>
      <c r="M621" s="4" t="str">
        <f ca="1">IF(OR(INDEX($X$2:$X$1001,MATCH(ROWS($W$2:W621),$W$2:$W$1001,0),1)&gt;=100000,INDEX($AD$1005:$AU$1005,1,MATCH(COLUMNS($AD$1006:AO1006),$AD$1006:$AU$1006,0))&gt;=100000), " ",IF(INDEX($AD$2:$AU$1001,MATCH(ROWS($W$2:W621),$W$2:$W$1001,0),MATCH(COLUMNS($AD$1006:AO1006),$AD$1006:$AU$1006,0)), HYPERLINK("#",""), HYPERLINK(CONCATENATE("#metadata!", ADDRESS(INDEX($Y$2:$Y$1001,MATCH(ROWS($W$2:W621),$W$2:$W$1001,0),0), INDEX($AD$1004:$AU$1004,1,MATCH(COLUMNS($AD$1006:AO1006),$AD$1006:$AU$1006,0)))),"Fix")))</f>
        <v xml:space="preserve"> </v>
      </c>
      <c r="N621" s="4" t="str">
        <f ca="1">IF(OR(INDEX($X$2:$X$1001,MATCH(ROWS($W$2:W621),$W$2:$W$1001,0),1)&gt;=100000,INDEX($AD$1005:$AU$1005,1,MATCH(COLUMNS($AD$1006:AP1006),$AD$1006:$AU$1006,0))&gt;=100000), " ",IF(INDEX($AD$2:$AU$1001,MATCH(ROWS($W$2:W621),$W$2:$W$1001,0),MATCH(COLUMNS($AD$1006:AP1006),$AD$1006:$AU$1006,0)), HYPERLINK("#",""), HYPERLINK(CONCATENATE("#metadata!", ADDRESS(INDEX($Y$2:$Y$1001,MATCH(ROWS($W$2:W621),$W$2:$W$1001,0),0), INDEX($AD$1004:$AU$1004,1,MATCH(COLUMNS($AD$1006:AP1006),$AD$1006:$AU$1006,0)))),"Fix")))</f>
        <v xml:space="preserve"> </v>
      </c>
      <c r="O621" s="4" t="str">
        <f ca="1">IF(OR(INDEX($X$2:$X$1001,MATCH(ROWS($W$2:W621),$W$2:$W$1001,0),1)&gt;=100000,INDEX($AD$1005:$AU$1005,1,MATCH(COLUMNS($AD$1006:AQ1006),$AD$1006:$AU$1006,0))&gt;=100000), " ",IF(INDEX($AD$2:$AU$1001,MATCH(ROWS($W$2:W621),$W$2:$W$1001,0),MATCH(COLUMNS($AD$1006:AQ1006),$AD$1006:$AU$1006,0)), HYPERLINK("#",""), HYPERLINK(CONCATENATE("#metadata!", ADDRESS(INDEX($Y$2:$Y$1001,MATCH(ROWS($W$2:W621),$W$2:$W$1001,0),0), INDEX($AD$1004:$AU$1004,1,MATCH(COLUMNS($AD$1006:AQ1006),$AD$1006:$AU$1006,0)))),"Fix")))</f>
        <v xml:space="preserve"> </v>
      </c>
      <c r="P621" s="4" t="str">
        <f ca="1">IF(OR(INDEX($X$2:$X$1001,MATCH(ROWS($W$2:W621),$W$2:$W$1001,0),1)&gt;=100000,INDEX($AD$1005:$AU$1005,1,MATCH(COLUMNS($AD$1006:AR1006),$AD$1006:$AU$1006,0))&gt;=100000), " ",IF(INDEX($AD$2:$AU$1001,MATCH(ROWS($W$2:W621),$W$2:$W$1001,0),MATCH(COLUMNS($AD$1006:AR1006),$AD$1006:$AU$1006,0)), HYPERLINK("#",""), HYPERLINK(CONCATENATE("#metadata!", ADDRESS(INDEX($Y$2:$Y$1001,MATCH(ROWS($W$2:W621),$W$2:$W$1001,0),0), INDEX($AD$1004:$AU$1004,1,MATCH(COLUMNS($AD$1006:AR1006),$AD$1006:$AU$1006,0)))),"Fix")))</f>
        <v xml:space="preserve"> </v>
      </c>
      <c r="Q621" s="4" t="str">
        <f ca="1">IF(OR(INDEX($X$2:$X$1001,MATCH(ROWS($W$2:W621),$W$2:$W$1001,0),1)&gt;=100000,INDEX($AD$1005:$AU$1005,1,MATCH(COLUMNS($AD$1006:AS1006),$AD$1006:$AU$1006,0))&gt;=100000), " ",IF(INDEX($AD$2:$AU$1001,MATCH(ROWS($W$2:W621),$W$2:$W$1001,0),MATCH(COLUMNS($AD$1006:AS1006),$AD$1006:$AU$1006,0)), HYPERLINK("#",""), HYPERLINK(CONCATENATE("#metadata!", ADDRESS(INDEX($Y$2:$Y$1001,MATCH(ROWS($W$2:W621),$W$2:$W$1001,0),0), INDEX($AD$1004:$AU$1004,1,MATCH(COLUMNS($AD$1006:AS1006),$AD$1006:$AU$1006,0)))),"Fix")))</f>
        <v xml:space="preserve"> </v>
      </c>
      <c r="R621" s="4" t="str">
        <f ca="1">IF(OR(INDEX($X$2:$X$1001,MATCH(ROWS($W$2:W621),$W$2:$W$1001,0),1)&gt;=100000,INDEX($AD$1005:$AU$1005,1,MATCH(COLUMNS($AD$1006:AT1006),$AD$1006:$AU$1006,0))&gt;=100000), " ",IF(INDEX($AD$2:$AU$1001,MATCH(ROWS($W$2:W621),$W$2:$W$1001,0),MATCH(COLUMNS($AD$1006:AT1006),$AD$1006:$AU$1006,0)), HYPERLINK("#",""), HYPERLINK(CONCATENATE("#metadata!", ADDRESS(INDEX($Y$2:$Y$1001,MATCH(ROWS($W$2:W621),$W$2:$W$1001,0),0), INDEX($AD$1004:$AU$1004,1,MATCH(COLUMNS($AD$1006:AT1006),$AD$1006:$AU$1006,0)))),"Fix")))</f>
        <v xml:space="preserve"> </v>
      </c>
      <c r="S621" s="4" t="str">
        <f ca="1">IF(OR(INDEX($X$2:$X$1001,MATCH(ROWS($W$2:W621),$W$2:$W$1001,0),1)&gt;=100000,INDEX($AD$1005:$AU$1005,1,MATCH(COLUMNS($AD$1006:AU1006),$AD$1006:$AU$1006,0))&gt;=100000), " ",IF(INDEX($AD$2:$AU$1001,MATCH(ROWS($W$2:W621),$W$2:$W$1001,0),MATCH(COLUMNS($AD$1006:AU1006),$AD$1006:$AU$1006,0)), HYPERLINK("#",""), HYPERLINK(CONCATENATE("#metadata!", ADDRESS(INDEX($Y$2:$Y$1001,MATCH(ROWS($W$2:W621),$W$2:$W$1001,0),0), INDEX($AD$1004:$AU$1004,1,MATCH(COLUMNS($AD$1006:AU1006),$AD$1006:$AU$1006,0)))),"Fix")))</f>
        <v xml:space="preserve"> </v>
      </c>
      <c r="W621">
        <v>620</v>
      </c>
      <c r="X621">
        <v>100621</v>
      </c>
      <c r="Y621">
        <v>621</v>
      </c>
      <c r="Z621" t="b">
        <f t="shared" si="9"/>
        <v>1</v>
      </c>
      <c r="AA621" t="b">
        <f>COUNTBLANK(metadata!B621:S621)=COLUMNS(metadata!B621:S621)</f>
        <v>1</v>
      </c>
      <c r="AB621" t="str">
        <v/>
      </c>
      <c r="AD621" t="b">
        <f ca="1">AND(IF(metadata!B621="",FALSE,TRUE),COUNTIF(metadata!B:B, metadata!B621) = 1,NOT(ISERROR(SUMPRODUCT(SEARCH(MID(metadata!B621,ROW(INDIRECT("1:"&amp;LEN(metadata!B621))), 1),"0123456789abcdefghijklmnopqrstuvwxyzABCDEFGHIJKLMNOPQRSTUVWXYZ.")))))</f>
        <v>0</v>
      </c>
      <c r="AE621" t="b">
        <f>OR(AND(IF(metadata!C621="",FALSE,TRUE),OR(EXACT(metadata!C621,"not applicable"),EXACT(metadata!C621,"missing: not collected"),EXACT(metadata!C621,"missing: not provided"),EXACT(metadata!C621,"missing: restricted access"))),AND(IF(metadata!C621="",FALSE,ISNUMBER(VALUE(metadata!C621))),metadata!C621&gt;0))</f>
        <v>0</v>
      </c>
      <c r="AF621" t="b">
        <f>AND(IF(metadata!D621="",FALSE,TRUE),EXACT(metadata!D621,"missing: not provided"))</f>
        <v>0</v>
      </c>
      <c r="AG621" t="b">
        <f>AND(IF(metadata!E621="",FALSE,TRUE),EXACT(metadata!E621,"Host-associated"))</f>
        <v>0</v>
      </c>
      <c r="AH621" t="b">
        <f>AND(IF(metadata!F621="",FALSE,TRUE),OR(EXACT(metadata!F621,"Animal"),EXACT(metadata!F621,"Fungus"),EXACT(metadata!F621,"Plant")))</f>
        <v>0</v>
      </c>
      <c r="AI621" t="b">
        <f>AND(IF(metadata!G621="",FALSE,TRUE),OR(EXACT(metadata!G621,"Plant secretion"),EXACT(metadata!G621,"Plant rhizosphere"),EXACT(metadata!G621,"Plant surface"),EXACT(metadata!G621,"Plant corpus"),EXACT(metadata!G621,"Fungus surface"),EXACT(metadata!G621,"Fungus corpus"),EXACT(metadata!G621,"Animal surface"),EXACT(metadata!G621,"Animal proximal gut"),EXACT(metadata!G621,"Animal corpus"),EXACT(metadata!G621,"Animal distal gut"),EXACT(metadata!G621,"Animal secretion")))</f>
        <v>0</v>
      </c>
      <c r="AJ621" t="b">
        <f>OR(AND(IF(metadata!H621="",FALSE,TRUE),OR(EXACT(metadata!H621,"missing: not collected"),EXACT(metadata!H621,"missing: not provided"),EXACT(metadata!H621,"missing: restricted access"))),AND(IF(metadata!H621="",FALSE,TRUE),OR(EXACT(metadata!H621,"organism-associated habitat"),EXACT(metadata!H621,"plant-associated habitat"),EXACT(metadata!H621,"animal-associated habitat"),EXACT(metadata!H621,"insecta-associated habitat"),EXACT(metadata!H621,"mammalia-associated habitat"),EXACT(metadata!H621,"human-associated habitat"),EXACT(metadata!H621,"livestock-associated habitat"))))</f>
        <v>0</v>
      </c>
      <c r="AK621" t="b">
        <f>AND(IF(metadata!I621="",FALSE,TRUE),EXACT(metadata!I621,"host-associated"))</f>
        <v>0</v>
      </c>
      <c r="AL621" t="b">
        <f>OR(AND(IF(metadata!J621="",FALSE,TRUE),OR(EXACT(metadata!J621,"not applicable"),EXACT(metadata!J621,"missing: not collected"),EXACT(metadata!J621,"missing: not provided"),EXACT(metadata!J621,"missing: restricted access"))),AND(IF(metadata!J621="",FALSE,ISNUMBER(VALUE(metadata!J621))),metadata!J621&gt;0))</f>
        <v>0</v>
      </c>
      <c r="AM621" t="b">
        <f>AND(IF(metadata!K621="",FALSE,TRUE),EXACT(metadata!K621,"missing: not provided"))</f>
        <v>0</v>
      </c>
      <c r="AN621" t="b">
        <f>IF(metadata!L621="",FALSE,TRUE)</f>
        <v>0</v>
      </c>
      <c r="AO621" t="b">
        <f>IF(metadata!M621="",FALSE,TRUE)</f>
        <v>0</v>
      </c>
      <c r="AP621" t="b">
        <f>OR(AND(IF(metadata!N621="",FALSE,TRUE),OR(EXACT(metadata!N621,"not applicable"),EXACT(metadata!N621,"missing: not collected"),EXACT(metadata!N621,"missing: not provided"))),AND(IF(metadata!N621="",FALSE,IF(ISERROR(INT(metadata!N621)),FALSE,INT(metadata!N621)=metadata!N621)),metadata!N621&gt;0))</f>
        <v>0</v>
      </c>
      <c r="AQ621" t="b">
        <f>AND(IF(metadata!O621="",FALSE,TRUE),EXACT(metadata!O621,"Not applicable"))</f>
        <v>0</v>
      </c>
      <c r="AR621" t="b">
        <f>OR(AND(IF(metadata!P621="",FALSE,TRUE),OR(EXACT(metadata!P621,"not applicable"),EXACT(metadata!P621,"missing: not collected"),EXACT(metadata!P621,"missing: not provided"),EXACT(metadata!P621,"missing: restricted access"))),IF(metadata!P621="",FALSE,IF(ISERROR(INT(metadata!P621)),FALSE,INT(metadata!P621)=metadata!P621)))</f>
        <v>0</v>
      </c>
      <c r="AS621" t="b">
        <f>AND(IF(metadata!Q621="",FALSE,TRUE),EXACT(metadata!Q621,"Not applicable"))</f>
        <v>0</v>
      </c>
      <c r="AT621" t="b">
        <f>OR(AND(IF(metadata!R621="",FALSE,TRUE),OR(EXACT(metadata!R621,"not applicable"),EXACT(metadata!R621,"missing: not collected"),EXACT(metadata!R621,"missing: not provided"),EXACT(metadata!R621,"missing: restricted access"))),AND(IF(metadata!R621="",FALSE,ISNUMBER(VALUE(metadata!R621))),metadata!R621&gt;0))</f>
        <v>0</v>
      </c>
      <c r="AU621" t="b">
        <f>AND(IF(metadata!S621="",FALSE,TRUE),EXACT(metadata!S621,"missing: not provided"))</f>
        <v>0</v>
      </c>
    </row>
    <row r="622" spans="1:47" x14ac:dyDescent="0.2">
      <c r="A622" s="5" t="str">
        <f ca="1">IF(B622=" "," ",HYPERLINK(CONCATENATE("#metadata!",ADDRESS(INDEX($Y$2:$Y$1001,MATCH(ROWS($W$2:W622),$W$2:$W$1001,0),0),1)),INDEX($AB$2:$AB$1001,MATCH(ROWS($W$2:W622),$W$2:$W$1001,0),0)))</f>
        <v xml:space="preserve"> </v>
      </c>
      <c r="B622" s="4" t="str">
        <f ca="1">IF(OR(INDEX($X$2:$X$1001,MATCH(ROWS($W$2:W622),$W$2:$W$1001,0),1)&gt;=100000,INDEX($AD$1005:$AU$1005,1,MATCH(COLUMNS($AD$1006:AD1006),$AD$1006:$AU$1006,0))&gt;=100000), " ",IF(INDEX($AD$2:$AU$1001,MATCH(ROWS($W$2:W622),$W$2:$W$1001,0),MATCH(COLUMNS($AD$1006:AD1006),$AD$1006:$AU$1006,0)), HYPERLINK("#",""), HYPERLINK(CONCATENATE("#metadata!", ADDRESS(INDEX($Y$2:$Y$1001,MATCH(ROWS($W$2:W622),$W$2:$W$1001,0),0), INDEX($AD$1004:$AU$1004,1,MATCH(COLUMNS($AD$1006:AD1006),$AD$1006:$AU$1006,0)))),"Fix")))</f>
        <v xml:space="preserve"> </v>
      </c>
      <c r="C622" s="4" t="str">
        <f ca="1">IF(OR(INDEX($X$2:$X$1001,MATCH(ROWS($W$2:W622),$W$2:$W$1001,0),1)&gt;=100000,INDEX($AD$1005:$AU$1005,1,MATCH(COLUMNS($AD$1006:AE1006),$AD$1006:$AU$1006,0))&gt;=100000), " ",IF(INDEX($AD$2:$AU$1001,MATCH(ROWS($W$2:W622),$W$2:$W$1001,0),MATCH(COLUMNS($AD$1006:AE1006),$AD$1006:$AU$1006,0)), HYPERLINK("#",""), HYPERLINK(CONCATENATE("#metadata!", ADDRESS(INDEX($Y$2:$Y$1001,MATCH(ROWS($W$2:W622),$W$2:$W$1001,0),0), INDEX($AD$1004:$AU$1004,1,MATCH(COLUMNS($AD$1006:AE1006),$AD$1006:$AU$1006,0)))),"Fix")))</f>
        <v xml:space="preserve"> </v>
      </c>
      <c r="D622" s="4" t="str">
        <f ca="1">IF(OR(INDEX($X$2:$X$1001,MATCH(ROWS($W$2:W622),$W$2:$W$1001,0),1)&gt;=100000,INDEX($AD$1005:$AU$1005,1,MATCH(COLUMNS($AD$1006:AF1006),$AD$1006:$AU$1006,0))&gt;=100000), " ",IF(INDEX($AD$2:$AU$1001,MATCH(ROWS($W$2:W622),$W$2:$W$1001,0),MATCH(COLUMNS($AD$1006:AF1006),$AD$1006:$AU$1006,0)), HYPERLINK("#",""), HYPERLINK(CONCATENATE("#metadata!", ADDRESS(INDEX($Y$2:$Y$1001,MATCH(ROWS($W$2:W622),$W$2:$W$1001,0),0), INDEX($AD$1004:$AU$1004,1,MATCH(COLUMNS($AD$1006:AF1006),$AD$1006:$AU$1006,0)))),"Fix")))</f>
        <v xml:space="preserve"> </v>
      </c>
      <c r="E622" s="4" t="str">
        <f ca="1">IF(OR(INDEX($X$2:$X$1001,MATCH(ROWS($W$2:W622),$W$2:$W$1001,0),1)&gt;=100000,INDEX($AD$1005:$AU$1005,1,MATCH(COLUMNS($AD$1006:AG1006),$AD$1006:$AU$1006,0))&gt;=100000), " ",IF(INDEX($AD$2:$AU$1001,MATCH(ROWS($W$2:W622),$W$2:$W$1001,0),MATCH(COLUMNS($AD$1006:AG1006),$AD$1006:$AU$1006,0)), HYPERLINK("#",""), HYPERLINK(CONCATENATE("#metadata!", ADDRESS(INDEX($Y$2:$Y$1001,MATCH(ROWS($W$2:W622),$W$2:$W$1001,0),0), INDEX($AD$1004:$AU$1004,1,MATCH(COLUMNS($AD$1006:AG1006),$AD$1006:$AU$1006,0)))),"Fix")))</f>
        <v xml:space="preserve"> </v>
      </c>
      <c r="F622" s="4" t="str">
        <f ca="1">IF(OR(INDEX($X$2:$X$1001,MATCH(ROWS($W$2:W622),$W$2:$W$1001,0),1)&gt;=100000,INDEX($AD$1005:$AU$1005,1,MATCH(COLUMNS($AD$1006:AH1006),$AD$1006:$AU$1006,0))&gt;=100000), " ",IF(INDEX($AD$2:$AU$1001,MATCH(ROWS($W$2:W622),$W$2:$W$1001,0),MATCH(COLUMNS($AD$1006:AH1006),$AD$1006:$AU$1006,0)), HYPERLINK("#",""), HYPERLINK(CONCATENATE("#metadata!", ADDRESS(INDEX($Y$2:$Y$1001,MATCH(ROWS($W$2:W622),$W$2:$W$1001,0),0), INDEX($AD$1004:$AU$1004,1,MATCH(COLUMNS($AD$1006:AH1006),$AD$1006:$AU$1006,0)))),"Fix")))</f>
        <v xml:space="preserve"> </v>
      </c>
      <c r="G622" s="4" t="str">
        <f ca="1">IF(OR(INDEX($X$2:$X$1001,MATCH(ROWS($W$2:W622),$W$2:$W$1001,0),1)&gt;=100000,INDEX($AD$1005:$AU$1005,1,MATCH(COLUMNS($AD$1006:AI1006),$AD$1006:$AU$1006,0))&gt;=100000), " ",IF(INDEX($AD$2:$AU$1001,MATCH(ROWS($W$2:W622),$W$2:$W$1001,0),MATCH(COLUMNS($AD$1006:AI1006),$AD$1006:$AU$1006,0)), HYPERLINK("#",""), HYPERLINK(CONCATENATE("#metadata!", ADDRESS(INDEX($Y$2:$Y$1001,MATCH(ROWS($W$2:W622),$W$2:$W$1001,0),0), INDEX($AD$1004:$AU$1004,1,MATCH(COLUMNS($AD$1006:AI1006),$AD$1006:$AU$1006,0)))),"Fix")))</f>
        <v xml:space="preserve"> </v>
      </c>
      <c r="H622" s="4" t="str">
        <f ca="1">IF(OR(INDEX($X$2:$X$1001,MATCH(ROWS($W$2:W622),$W$2:$W$1001,0),1)&gt;=100000,INDEX($AD$1005:$AU$1005,1,MATCH(COLUMNS($AD$1006:AJ1006),$AD$1006:$AU$1006,0))&gt;=100000), " ",IF(INDEX($AD$2:$AU$1001,MATCH(ROWS($W$2:W622),$W$2:$W$1001,0),MATCH(COLUMNS($AD$1006:AJ1006),$AD$1006:$AU$1006,0)), HYPERLINK("#",""), HYPERLINK(CONCATENATE("#metadata!", ADDRESS(INDEX($Y$2:$Y$1001,MATCH(ROWS($W$2:W622),$W$2:$W$1001,0),0), INDEX($AD$1004:$AU$1004,1,MATCH(COLUMNS($AD$1006:AJ1006),$AD$1006:$AU$1006,0)))),"Fix")))</f>
        <v xml:space="preserve"> </v>
      </c>
      <c r="I622" s="4" t="str">
        <f ca="1">IF(OR(INDEX($X$2:$X$1001,MATCH(ROWS($W$2:W622),$W$2:$W$1001,0),1)&gt;=100000,INDEX($AD$1005:$AU$1005,1,MATCH(COLUMNS($AD$1006:AK1006),$AD$1006:$AU$1006,0))&gt;=100000), " ",IF(INDEX($AD$2:$AU$1001,MATCH(ROWS($W$2:W622),$W$2:$W$1001,0),MATCH(COLUMNS($AD$1006:AK1006),$AD$1006:$AU$1006,0)), HYPERLINK("#",""), HYPERLINK(CONCATENATE("#metadata!", ADDRESS(INDEX($Y$2:$Y$1001,MATCH(ROWS($W$2:W622),$W$2:$W$1001,0),0), INDEX($AD$1004:$AU$1004,1,MATCH(COLUMNS($AD$1006:AK1006),$AD$1006:$AU$1006,0)))),"Fix")))</f>
        <v xml:space="preserve"> </v>
      </c>
      <c r="J622" s="4" t="str">
        <f ca="1">IF(OR(INDEX($X$2:$X$1001,MATCH(ROWS($W$2:W622),$W$2:$W$1001,0),1)&gt;=100000,INDEX($AD$1005:$AU$1005,1,MATCH(COLUMNS($AD$1006:AL1006),$AD$1006:$AU$1006,0))&gt;=100000), " ",IF(INDEX($AD$2:$AU$1001,MATCH(ROWS($W$2:W622),$W$2:$W$1001,0),MATCH(COLUMNS($AD$1006:AL1006),$AD$1006:$AU$1006,0)), HYPERLINK("#",""), HYPERLINK(CONCATENATE("#metadata!", ADDRESS(INDEX($Y$2:$Y$1001,MATCH(ROWS($W$2:W622),$W$2:$W$1001,0),0), INDEX($AD$1004:$AU$1004,1,MATCH(COLUMNS($AD$1006:AL1006),$AD$1006:$AU$1006,0)))),"Fix")))</f>
        <v xml:space="preserve"> </v>
      </c>
      <c r="K622" s="4" t="str">
        <f ca="1">IF(OR(INDEX($X$2:$X$1001,MATCH(ROWS($W$2:W622),$W$2:$W$1001,0),1)&gt;=100000,INDEX($AD$1005:$AU$1005,1,MATCH(COLUMNS($AD$1006:AM1006),$AD$1006:$AU$1006,0))&gt;=100000), " ",IF(INDEX($AD$2:$AU$1001,MATCH(ROWS($W$2:W622),$W$2:$W$1001,0),MATCH(COLUMNS($AD$1006:AM1006),$AD$1006:$AU$1006,0)), HYPERLINK("#",""), HYPERLINK(CONCATENATE("#metadata!", ADDRESS(INDEX($Y$2:$Y$1001,MATCH(ROWS($W$2:W622),$W$2:$W$1001,0),0), INDEX($AD$1004:$AU$1004,1,MATCH(COLUMNS($AD$1006:AM1006),$AD$1006:$AU$1006,0)))),"Fix")))</f>
        <v xml:space="preserve"> </v>
      </c>
      <c r="L622" s="4" t="str">
        <f ca="1">IF(OR(INDEX($X$2:$X$1001,MATCH(ROWS($W$2:W622),$W$2:$W$1001,0),1)&gt;=100000,INDEX($AD$1005:$AU$1005,1,MATCH(COLUMNS($AD$1006:AN1006),$AD$1006:$AU$1006,0))&gt;=100000), " ",IF(INDEX($AD$2:$AU$1001,MATCH(ROWS($W$2:W622),$W$2:$W$1001,0),MATCH(COLUMNS($AD$1006:AN1006),$AD$1006:$AU$1006,0)), HYPERLINK("#",""), HYPERLINK(CONCATENATE("#metadata!", ADDRESS(INDEX($Y$2:$Y$1001,MATCH(ROWS($W$2:W622),$W$2:$W$1001,0),0), INDEX($AD$1004:$AU$1004,1,MATCH(COLUMNS($AD$1006:AN1006),$AD$1006:$AU$1006,0)))),"Fix")))</f>
        <v xml:space="preserve"> </v>
      </c>
      <c r="M622" s="4" t="str">
        <f ca="1">IF(OR(INDEX($X$2:$X$1001,MATCH(ROWS($W$2:W622),$W$2:$W$1001,0),1)&gt;=100000,INDEX($AD$1005:$AU$1005,1,MATCH(COLUMNS($AD$1006:AO1006),$AD$1006:$AU$1006,0))&gt;=100000), " ",IF(INDEX($AD$2:$AU$1001,MATCH(ROWS($W$2:W622),$W$2:$W$1001,0),MATCH(COLUMNS($AD$1006:AO1006),$AD$1006:$AU$1006,0)), HYPERLINK("#",""), HYPERLINK(CONCATENATE("#metadata!", ADDRESS(INDEX($Y$2:$Y$1001,MATCH(ROWS($W$2:W622),$W$2:$W$1001,0),0), INDEX($AD$1004:$AU$1004,1,MATCH(COLUMNS($AD$1006:AO1006),$AD$1006:$AU$1006,0)))),"Fix")))</f>
        <v xml:space="preserve"> </v>
      </c>
      <c r="N622" s="4" t="str">
        <f ca="1">IF(OR(INDEX($X$2:$X$1001,MATCH(ROWS($W$2:W622),$W$2:$W$1001,0),1)&gt;=100000,INDEX($AD$1005:$AU$1005,1,MATCH(COLUMNS($AD$1006:AP1006),$AD$1006:$AU$1006,0))&gt;=100000), " ",IF(INDEX($AD$2:$AU$1001,MATCH(ROWS($W$2:W622),$W$2:$W$1001,0),MATCH(COLUMNS($AD$1006:AP1006),$AD$1006:$AU$1006,0)), HYPERLINK("#",""), HYPERLINK(CONCATENATE("#metadata!", ADDRESS(INDEX($Y$2:$Y$1001,MATCH(ROWS($W$2:W622),$W$2:$W$1001,0),0), INDEX($AD$1004:$AU$1004,1,MATCH(COLUMNS($AD$1006:AP1006),$AD$1006:$AU$1006,0)))),"Fix")))</f>
        <v xml:space="preserve"> </v>
      </c>
      <c r="O622" s="4" t="str">
        <f ca="1">IF(OR(INDEX($X$2:$X$1001,MATCH(ROWS($W$2:W622),$W$2:$W$1001,0),1)&gt;=100000,INDEX($AD$1005:$AU$1005,1,MATCH(COLUMNS($AD$1006:AQ1006),$AD$1006:$AU$1006,0))&gt;=100000), " ",IF(INDEX($AD$2:$AU$1001,MATCH(ROWS($W$2:W622),$W$2:$W$1001,0),MATCH(COLUMNS($AD$1006:AQ1006),$AD$1006:$AU$1006,0)), HYPERLINK("#",""), HYPERLINK(CONCATENATE("#metadata!", ADDRESS(INDEX($Y$2:$Y$1001,MATCH(ROWS($W$2:W622),$W$2:$W$1001,0),0), INDEX($AD$1004:$AU$1004,1,MATCH(COLUMNS($AD$1006:AQ1006),$AD$1006:$AU$1006,0)))),"Fix")))</f>
        <v xml:space="preserve"> </v>
      </c>
      <c r="P622" s="4" t="str">
        <f ca="1">IF(OR(INDEX($X$2:$X$1001,MATCH(ROWS($W$2:W622),$W$2:$W$1001,0),1)&gt;=100000,INDEX($AD$1005:$AU$1005,1,MATCH(COLUMNS($AD$1006:AR1006),$AD$1006:$AU$1006,0))&gt;=100000), " ",IF(INDEX($AD$2:$AU$1001,MATCH(ROWS($W$2:W622),$W$2:$W$1001,0),MATCH(COLUMNS($AD$1006:AR1006),$AD$1006:$AU$1006,0)), HYPERLINK("#",""), HYPERLINK(CONCATENATE("#metadata!", ADDRESS(INDEX($Y$2:$Y$1001,MATCH(ROWS($W$2:W622),$W$2:$W$1001,0),0), INDEX($AD$1004:$AU$1004,1,MATCH(COLUMNS($AD$1006:AR1006),$AD$1006:$AU$1006,0)))),"Fix")))</f>
        <v xml:space="preserve"> </v>
      </c>
      <c r="Q622" s="4" t="str">
        <f ca="1">IF(OR(INDEX($X$2:$X$1001,MATCH(ROWS($W$2:W622),$W$2:$W$1001,0),1)&gt;=100000,INDEX($AD$1005:$AU$1005,1,MATCH(COLUMNS($AD$1006:AS1006),$AD$1006:$AU$1006,0))&gt;=100000), " ",IF(INDEX($AD$2:$AU$1001,MATCH(ROWS($W$2:W622),$W$2:$W$1001,0),MATCH(COLUMNS($AD$1006:AS1006),$AD$1006:$AU$1006,0)), HYPERLINK("#",""), HYPERLINK(CONCATENATE("#metadata!", ADDRESS(INDEX($Y$2:$Y$1001,MATCH(ROWS($W$2:W622),$W$2:$W$1001,0),0), INDEX($AD$1004:$AU$1004,1,MATCH(COLUMNS($AD$1006:AS1006),$AD$1006:$AU$1006,0)))),"Fix")))</f>
        <v xml:space="preserve"> </v>
      </c>
      <c r="R622" s="4" t="str">
        <f ca="1">IF(OR(INDEX($X$2:$X$1001,MATCH(ROWS($W$2:W622),$W$2:$W$1001,0),1)&gt;=100000,INDEX($AD$1005:$AU$1005,1,MATCH(COLUMNS($AD$1006:AT1006),$AD$1006:$AU$1006,0))&gt;=100000), " ",IF(INDEX($AD$2:$AU$1001,MATCH(ROWS($W$2:W622),$W$2:$W$1001,0),MATCH(COLUMNS($AD$1006:AT1006),$AD$1006:$AU$1006,0)), HYPERLINK("#",""), HYPERLINK(CONCATENATE("#metadata!", ADDRESS(INDEX($Y$2:$Y$1001,MATCH(ROWS($W$2:W622),$W$2:$W$1001,0),0), INDEX($AD$1004:$AU$1004,1,MATCH(COLUMNS($AD$1006:AT1006),$AD$1006:$AU$1006,0)))),"Fix")))</f>
        <v xml:space="preserve"> </v>
      </c>
      <c r="S622" s="4" t="str">
        <f ca="1">IF(OR(INDEX($X$2:$X$1001,MATCH(ROWS($W$2:W622),$W$2:$W$1001,0),1)&gt;=100000,INDEX($AD$1005:$AU$1005,1,MATCH(COLUMNS($AD$1006:AU1006),$AD$1006:$AU$1006,0))&gt;=100000), " ",IF(INDEX($AD$2:$AU$1001,MATCH(ROWS($W$2:W622),$W$2:$W$1001,0),MATCH(COLUMNS($AD$1006:AU1006),$AD$1006:$AU$1006,0)), HYPERLINK("#",""), HYPERLINK(CONCATENATE("#metadata!", ADDRESS(INDEX($Y$2:$Y$1001,MATCH(ROWS($W$2:W622),$W$2:$W$1001,0),0), INDEX($AD$1004:$AU$1004,1,MATCH(COLUMNS($AD$1006:AU1006),$AD$1006:$AU$1006,0)))),"Fix")))</f>
        <v xml:space="preserve"> </v>
      </c>
      <c r="W622">
        <v>621</v>
      </c>
      <c r="X622">
        <v>100622</v>
      </c>
      <c r="Y622">
        <v>622</v>
      </c>
      <c r="Z622" t="b">
        <f t="shared" si="9"/>
        <v>1</v>
      </c>
      <c r="AA622" t="b">
        <f>COUNTBLANK(metadata!B622:S622)=COLUMNS(metadata!B622:S622)</f>
        <v>1</v>
      </c>
      <c r="AB622" t="str">
        <v/>
      </c>
      <c r="AD622" t="b">
        <f ca="1">AND(IF(metadata!B622="",FALSE,TRUE),COUNTIF(metadata!B:B, metadata!B622) = 1,NOT(ISERROR(SUMPRODUCT(SEARCH(MID(metadata!B622,ROW(INDIRECT("1:"&amp;LEN(metadata!B622))), 1),"0123456789abcdefghijklmnopqrstuvwxyzABCDEFGHIJKLMNOPQRSTUVWXYZ.")))))</f>
        <v>0</v>
      </c>
      <c r="AE622" t="b">
        <f>OR(AND(IF(metadata!C622="",FALSE,TRUE),OR(EXACT(metadata!C622,"not applicable"),EXACT(metadata!C622,"missing: not collected"),EXACT(metadata!C622,"missing: not provided"),EXACT(metadata!C622,"missing: restricted access"))),AND(IF(metadata!C622="",FALSE,ISNUMBER(VALUE(metadata!C622))),metadata!C622&gt;0))</f>
        <v>0</v>
      </c>
      <c r="AF622" t="b">
        <f>AND(IF(metadata!D622="",FALSE,TRUE),EXACT(metadata!D622,"missing: not provided"))</f>
        <v>0</v>
      </c>
      <c r="AG622" t="b">
        <f>AND(IF(metadata!E622="",FALSE,TRUE),EXACT(metadata!E622,"Host-associated"))</f>
        <v>0</v>
      </c>
      <c r="AH622" t="b">
        <f>AND(IF(metadata!F622="",FALSE,TRUE),OR(EXACT(metadata!F622,"Animal"),EXACT(metadata!F622,"Fungus"),EXACT(metadata!F622,"Plant")))</f>
        <v>0</v>
      </c>
      <c r="AI622" t="b">
        <f>AND(IF(metadata!G622="",FALSE,TRUE),OR(EXACT(metadata!G622,"Plant secretion"),EXACT(metadata!G622,"Plant rhizosphere"),EXACT(metadata!G622,"Plant surface"),EXACT(metadata!G622,"Plant corpus"),EXACT(metadata!G622,"Fungus surface"),EXACT(metadata!G622,"Fungus corpus"),EXACT(metadata!G622,"Animal surface"),EXACT(metadata!G622,"Animal proximal gut"),EXACT(metadata!G622,"Animal corpus"),EXACT(metadata!G622,"Animal distal gut"),EXACT(metadata!G622,"Animal secretion")))</f>
        <v>0</v>
      </c>
      <c r="AJ622" t="b">
        <f>OR(AND(IF(metadata!H622="",FALSE,TRUE),OR(EXACT(metadata!H622,"missing: not collected"),EXACT(metadata!H622,"missing: not provided"),EXACT(metadata!H622,"missing: restricted access"))),AND(IF(metadata!H622="",FALSE,TRUE),OR(EXACT(metadata!H622,"organism-associated habitat"),EXACT(metadata!H622,"plant-associated habitat"),EXACT(metadata!H622,"animal-associated habitat"),EXACT(metadata!H622,"insecta-associated habitat"),EXACT(metadata!H622,"mammalia-associated habitat"),EXACT(metadata!H622,"human-associated habitat"),EXACT(metadata!H622,"livestock-associated habitat"))))</f>
        <v>0</v>
      </c>
      <c r="AK622" t="b">
        <f>AND(IF(metadata!I622="",FALSE,TRUE),EXACT(metadata!I622,"host-associated"))</f>
        <v>0</v>
      </c>
      <c r="AL622" t="b">
        <f>OR(AND(IF(metadata!J622="",FALSE,TRUE),OR(EXACT(metadata!J622,"not applicable"),EXACT(metadata!J622,"missing: not collected"),EXACT(metadata!J622,"missing: not provided"),EXACT(metadata!J622,"missing: restricted access"))),AND(IF(metadata!J622="",FALSE,ISNUMBER(VALUE(metadata!J622))),metadata!J622&gt;0))</f>
        <v>0</v>
      </c>
      <c r="AM622" t="b">
        <f>AND(IF(metadata!K622="",FALSE,TRUE),EXACT(metadata!K622,"missing: not provided"))</f>
        <v>0</v>
      </c>
      <c r="AN622" t="b">
        <f>IF(metadata!L622="",FALSE,TRUE)</f>
        <v>0</v>
      </c>
      <c r="AO622" t="b">
        <f>IF(metadata!M622="",FALSE,TRUE)</f>
        <v>0</v>
      </c>
      <c r="AP622" t="b">
        <f>OR(AND(IF(metadata!N622="",FALSE,TRUE),OR(EXACT(metadata!N622,"not applicable"),EXACT(metadata!N622,"missing: not collected"),EXACT(metadata!N622,"missing: not provided"))),AND(IF(metadata!N622="",FALSE,IF(ISERROR(INT(metadata!N622)),FALSE,INT(metadata!N622)=metadata!N622)),metadata!N622&gt;0))</f>
        <v>0</v>
      </c>
      <c r="AQ622" t="b">
        <f>AND(IF(metadata!O622="",FALSE,TRUE),EXACT(metadata!O622,"Not applicable"))</f>
        <v>0</v>
      </c>
      <c r="AR622" t="b">
        <f>OR(AND(IF(metadata!P622="",FALSE,TRUE),OR(EXACT(metadata!P622,"not applicable"),EXACT(metadata!P622,"missing: not collected"),EXACT(metadata!P622,"missing: not provided"),EXACT(metadata!P622,"missing: restricted access"))),IF(metadata!P622="",FALSE,IF(ISERROR(INT(metadata!P622)),FALSE,INT(metadata!P622)=metadata!P622)))</f>
        <v>0</v>
      </c>
      <c r="AS622" t="b">
        <f>AND(IF(metadata!Q622="",FALSE,TRUE),EXACT(metadata!Q622,"Not applicable"))</f>
        <v>0</v>
      </c>
      <c r="AT622" t="b">
        <f>OR(AND(IF(metadata!R622="",FALSE,TRUE),OR(EXACT(metadata!R622,"not applicable"),EXACT(metadata!R622,"missing: not collected"),EXACT(metadata!R622,"missing: not provided"),EXACT(metadata!R622,"missing: restricted access"))),AND(IF(metadata!R622="",FALSE,ISNUMBER(VALUE(metadata!R622))),metadata!R622&gt;0))</f>
        <v>0</v>
      </c>
      <c r="AU622" t="b">
        <f>AND(IF(metadata!S622="",FALSE,TRUE),EXACT(metadata!S622,"missing: not provided"))</f>
        <v>0</v>
      </c>
    </row>
    <row r="623" spans="1:47" x14ac:dyDescent="0.2">
      <c r="A623" s="5" t="str">
        <f ca="1">IF(B623=" "," ",HYPERLINK(CONCATENATE("#metadata!",ADDRESS(INDEX($Y$2:$Y$1001,MATCH(ROWS($W$2:W623),$W$2:$W$1001,0),0),1)),INDEX($AB$2:$AB$1001,MATCH(ROWS($W$2:W623),$W$2:$W$1001,0),0)))</f>
        <v xml:space="preserve"> </v>
      </c>
      <c r="B623" s="4" t="str">
        <f ca="1">IF(OR(INDEX($X$2:$X$1001,MATCH(ROWS($W$2:W623),$W$2:$W$1001,0),1)&gt;=100000,INDEX($AD$1005:$AU$1005,1,MATCH(COLUMNS($AD$1006:AD1006),$AD$1006:$AU$1006,0))&gt;=100000), " ",IF(INDEX($AD$2:$AU$1001,MATCH(ROWS($W$2:W623),$W$2:$W$1001,0),MATCH(COLUMNS($AD$1006:AD1006),$AD$1006:$AU$1006,0)), HYPERLINK("#",""), HYPERLINK(CONCATENATE("#metadata!", ADDRESS(INDEX($Y$2:$Y$1001,MATCH(ROWS($W$2:W623),$W$2:$W$1001,0),0), INDEX($AD$1004:$AU$1004,1,MATCH(COLUMNS($AD$1006:AD1006),$AD$1006:$AU$1006,0)))),"Fix")))</f>
        <v xml:space="preserve"> </v>
      </c>
      <c r="C623" s="4" t="str">
        <f ca="1">IF(OR(INDEX($X$2:$X$1001,MATCH(ROWS($W$2:W623),$W$2:$W$1001,0),1)&gt;=100000,INDEX($AD$1005:$AU$1005,1,MATCH(COLUMNS($AD$1006:AE1006),$AD$1006:$AU$1006,0))&gt;=100000), " ",IF(INDEX($AD$2:$AU$1001,MATCH(ROWS($W$2:W623),$W$2:$W$1001,0),MATCH(COLUMNS($AD$1006:AE1006),$AD$1006:$AU$1006,0)), HYPERLINK("#",""), HYPERLINK(CONCATENATE("#metadata!", ADDRESS(INDEX($Y$2:$Y$1001,MATCH(ROWS($W$2:W623),$W$2:$W$1001,0),0), INDEX($AD$1004:$AU$1004,1,MATCH(COLUMNS($AD$1006:AE1006),$AD$1006:$AU$1006,0)))),"Fix")))</f>
        <v xml:space="preserve"> </v>
      </c>
      <c r="D623" s="4" t="str">
        <f ca="1">IF(OR(INDEX($X$2:$X$1001,MATCH(ROWS($W$2:W623),$W$2:$W$1001,0),1)&gt;=100000,INDEX($AD$1005:$AU$1005,1,MATCH(COLUMNS($AD$1006:AF1006),$AD$1006:$AU$1006,0))&gt;=100000), " ",IF(INDEX($AD$2:$AU$1001,MATCH(ROWS($W$2:W623),$W$2:$W$1001,0),MATCH(COLUMNS($AD$1006:AF1006),$AD$1006:$AU$1006,0)), HYPERLINK("#",""), HYPERLINK(CONCATENATE("#metadata!", ADDRESS(INDEX($Y$2:$Y$1001,MATCH(ROWS($W$2:W623),$W$2:$W$1001,0),0), INDEX($AD$1004:$AU$1004,1,MATCH(COLUMNS($AD$1006:AF1006),$AD$1006:$AU$1006,0)))),"Fix")))</f>
        <v xml:space="preserve"> </v>
      </c>
      <c r="E623" s="4" t="str">
        <f ca="1">IF(OR(INDEX($X$2:$X$1001,MATCH(ROWS($W$2:W623),$W$2:$W$1001,0),1)&gt;=100000,INDEX($AD$1005:$AU$1005,1,MATCH(COLUMNS($AD$1006:AG1006),$AD$1006:$AU$1006,0))&gt;=100000), " ",IF(INDEX($AD$2:$AU$1001,MATCH(ROWS($W$2:W623),$W$2:$W$1001,0),MATCH(COLUMNS($AD$1006:AG1006),$AD$1006:$AU$1006,0)), HYPERLINK("#",""), HYPERLINK(CONCATENATE("#metadata!", ADDRESS(INDEX($Y$2:$Y$1001,MATCH(ROWS($W$2:W623),$W$2:$W$1001,0),0), INDEX($AD$1004:$AU$1004,1,MATCH(COLUMNS($AD$1006:AG1006),$AD$1006:$AU$1006,0)))),"Fix")))</f>
        <v xml:space="preserve"> </v>
      </c>
      <c r="F623" s="4" t="str">
        <f ca="1">IF(OR(INDEX($X$2:$X$1001,MATCH(ROWS($W$2:W623),$W$2:$W$1001,0),1)&gt;=100000,INDEX($AD$1005:$AU$1005,1,MATCH(COLUMNS($AD$1006:AH1006),$AD$1006:$AU$1006,0))&gt;=100000), " ",IF(INDEX($AD$2:$AU$1001,MATCH(ROWS($W$2:W623),$W$2:$W$1001,0),MATCH(COLUMNS($AD$1006:AH1006),$AD$1006:$AU$1006,0)), HYPERLINK("#",""), HYPERLINK(CONCATENATE("#metadata!", ADDRESS(INDEX($Y$2:$Y$1001,MATCH(ROWS($W$2:W623),$W$2:$W$1001,0),0), INDEX($AD$1004:$AU$1004,1,MATCH(COLUMNS($AD$1006:AH1006),$AD$1006:$AU$1006,0)))),"Fix")))</f>
        <v xml:space="preserve"> </v>
      </c>
      <c r="G623" s="4" t="str">
        <f ca="1">IF(OR(INDEX($X$2:$X$1001,MATCH(ROWS($W$2:W623),$W$2:$W$1001,0),1)&gt;=100000,INDEX($AD$1005:$AU$1005,1,MATCH(COLUMNS($AD$1006:AI1006),$AD$1006:$AU$1006,0))&gt;=100000), " ",IF(INDEX($AD$2:$AU$1001,MATCH(ROWS($W$2:W623),$W$2:$W$1001,0),MATCH(COLUMNS($AD$1006:AI1006),$AD$1006:$AU$1006,0)), HYPERLINK("#",""), HYPERLINK(CONCATENATE("#metadata!", ADDRESS(INDEX($Y$2:$Y$1001,MATCH(ROWS($W$2:W623),$W$2:$W$1001,0),0), INDEX($AD$1004:$AU$1004,1,MATCH(COLUMNS($AD$1006:AI1006),$AD$1006:$AU$1006,0)))),"Fix")))</f>
        <v xml:space="preserve"> </v>
      </c>
      <c r="H623" s="4" t="str">
        <f ca="1">IF(OR(INDEX($X$2:$X$1001,MATCH(ROWS($W$2:W623),$W$2:$W$1001,0),1)&gt;=100000,INDEX($AD$1005:$AU$1005,1,MATCH(COLUMNS($AD$1006:AJ1006),$AD$1006:$AU$1006,0))&gt;=100000), " ",IF(INDEX($AD$2:$AU$1001,MATCH(ROWS($W$2:W623),$W$2:$W$1001,0),MATCH(COLUMNS($AD$1006:AJ1006),$AD$1006:$AU$1006,0)), HYPERLINK("#",""), HYPERLINK(CONCATENATE("#metadata!", ADDRESS(INDEX($Y$2:$Y$1001,MATCH(ROWS($W$2:W623),$W$2:$W$1001,0),0), INDEX($AD$1004:$AU$1004,1,MATCH(COLUMNS($AD$1006:AJ1006),$AD$1006:$AU$1006,0)))),"Fix")))</f>
        <v xml:space="preserve"> </v>
      </c>
      <c r="I623" s="4" t="str">
        <f ca="1">IF(OR(INDEX($X$2:$X$1001,MATCH(ROWS($W$2:W623),$W$2:$W$1001,0),1)&gt;=100000,INDEX($AD$1005:$AU$1005,1,MATCH(COLUMNS($AD$1006:AK1006),$AD$1006:$AU$1006,0))&gt;=100000), " ",IF(INDEX($AD$2:$AU$1001,MATCH(ROWS($W$2:W623),$W$2:$W$1001,0),MATCH(COLUMNS($AD$1006:AK1006),$AD$1006:$AU$1006,0)), HYPERLINK("#",""), HYPERLINK(CONCATENATE("#metadata!", ADDRESS(INDEX($Y$2:$Y$1001,MATCH(ROWS($W$2:W623),$W$2:$W$1001,0),0), INDEX($AD$1004:$AU$1004,1,MATCH(COLUMNS($AD$1006:AK1006),$AD$1006:$AU$1006,0)))),"Fix")))</f>
        <v xml:space="preserve"> </v>
      </c>
      <c r="J623" s="4" t="str">
        <f ca="1">IF(OR(INDEX($X$2:$X$1001,MATCH(ROWS($W$2:W623),$W$2:$W$1001,0),1)&gt;=100000,INDEX($AD$1005:$AU$1005,1,MATCH(COLUMNS($AD$1006:AL1006),$AD$1006:$AU$1006,0))&gt;=100000), " ",IF(INDEX($AD$2:$AU$1001,MATCH(ROWS($W$2:W623),$W$2:$W$1001,0),MATCH(COLUMNS($AD$1006:AL1006),$AD$1006:$AU$1006,0)), HYPERLINK("#",""), HYPERLINK(CONCATENATE("#metadata!", ADDRESS(INDEX($Y$2:$Y$1001,MATCH(ROWS($W$2:W623),$W$2:$W$1001,0),0), INDEX($AD$1004:$AU$1004,1,MATCH(COLUMNS($AD$1006:AL1006),$AD$1006:$AU$1006,0)))),"Fix")))</f>
        <v xml:space="preserve"> </v>
      </c>
      <c r="K623" s="4" t="str">
        <f ca="1">IF(OR(INDEX($X$2:$X$1001,MATCH(ROWS($W$2:W623),$W$2:$W$1001,0),1)&gt;=100000,INDEX($AD$1005:$AU$1005,1,MATCH(COLUMNS($AD$1006:AM1006),$AD$1006:$AU$1006,0))&gt;=100000), " ",IF(INDEX($AD$2:$AU$1001,MATCH(ROWS($W$2:W623),$W$2:$W$1001,0),MATCH(COLUMNS($AD$1006:AM1006),$AD$1006:$AU$1006,0)), HYPERLINK("#",""), HYPERLINK(CONCATENATE("#metadata!", ADDRESS(INDEX($Y$2:$Y$1001,MATCH(ROWS($W$2:W623),$W$2:$W$1001,0),0), INDEX($AD$1004:$AU$1004,1,MATCH(COLUMNS($AD$1006:AM1006),$AD$1006:$AU$1006,0)))),"Fix")))</f>
        <v xml:space="preserve"> </v>
      </c>
      <c r="L623" s="4" t="str">
        <f ca="1">IF(OR(INDEX($X$2:$X$1001,MATCH(ROWS($W$2:W623),$W$2:$W$1001,0),1)&gt;=100000,INDEX($AD$1005:$AU$1005,1,MATCH(COLUMNS($AD$1006:AN1006),$AD$1006:$AU$1006,0))&gt;=100000), " ",IF(INDEX($AD$2:$AU$1001,MATCH(ROWS($W$2:W623),$W$2:$W$1001,0),MATCH(COLUMNS($AD$1006:AN1006),$AD$1006:$AU$1006,0)), HYPERLINK("#",""), HYPERLINK(CONCATENATE("#metadata!", ADDRESS(INDEX($Y$2:$Y$1001,MATCH(ROWS($W$2:W623),$W$2:$W$1001,0),0), INDEX($AD$1004:$AU$1004,1,MATCH(COLUMNS($AD$1006:AN1006),$AD$1006:$AU$1006,0)))),"Fix")))</f>
        <v xml:space="preserve"> </v>
      </c>
      <c r="M623" s="4" t="str">
        <f ca="1">IF(OR(INDEX($X$2:$X$1001,MATCH(ROWS($W$2:W623),$W$2:$W$1001,0),1)&gt;=100000,INDEX($AD$1005:$AU$1005,1,MATCH(COLUMNS($AD$1006:AO1006),$AD$1006:$AU$1006,0))&gt;=100000), " ",IF(INDEX($AD$2:$AU$1001,MATCH(ROWS($W$2:W623),$W$2:$W$1001,0),MATCH(COLUMNS($AD$1006:AO1006),$AD$1006:$AU$1006,0)), HYPERLINK("#",""), HYPERLINK(CONCATENATE("#metadata!", ADDRESS(INDEX($Y$2:$Y$1001,MATCH(ROWS($W$2:W623),$W$2:$W$1001,0),0), INDEX($AD$1004:$AU$1004,1,MATCH(COLUMNS($AD$1006:AO1006),$AD$1006:$AU$1006,0)))),"Fix")))</f>
        <v xml:space="preserve"> </v>
      </c>
      <c r="N623" s="4" t="str">
        <f ca="1">IF(OR(INDEX($X$2:$X$1001,MATCH(ROWS($W$2:W623),$W$2:$W$1001,0),1)&gt;=100000,INDEX($AD$1005:$AU$1005,1,MATCH(COLUMNS($AD$1006:AP1006),$AD$1006:$AU$1006,0))&gt;=100000), " ",IF(INDEX($AD$2:$AU$1001,MATCH(ROWS($W$2:W623),$W$2:$W$1001,0),MATCH(COLUMNS($AD$1006:AP1006),$AD$1006:$AU$1006,0)), HYPERLINK("#",""), HYPERLINK(CONCATENATE("#metadata!", ADDRESS(INDEX($Y$2:$Y$1001,MATCH(ROWS($W$2:W623),$W$2:$W$1001,0),0), INDEX($AD$1004:$AU$1004,1,MATCH(COLUMNS($AD$1006:AP1006),$AD$1006:$AU$1006,0)))),"Fix")))</f>
        <v xml:space="preserve"> </v>
      </c>
      <c r="O623" s="4" t="str">
        <f ca="1">IF(OR(INDEX($X$2:$X$1001,MATCH(ROWS($W$2:W623),$W$2:$W$1001,0),1)&gt;=100000,INDEX($AD$1005:$AU$1005,1,MATCH(COLUMNS($AD$1006:AQ1006),$AD$1006:$AU$1006,0))&gt;=100000), " ",IF(INDEX($AD$2:$AU$1001,MATCH(ROWS($W$2:W623),$W$2:$W$1001,0),MATCH(COLUMNS($AD$1006:AQ1006),$AD$1006:$AU$1006,0)), HYPERLINK("#",""), HYPERLINK(CONCATENATE("#metadata!", ADDRESS(INDEX($Y$2:$Y$1001,MATCH(ROWS($W$2:W623),$W$2:$W$1001,0),0), INDEX($AD$1004:$AU$1004,1,MATCH(COLUMNS($AD$1006:AQ1006),$AD$1006:$AU$1006,0)))),"Fix")))</f>
        <v xml:space="preserve"> </v>
      </c>
      <c r="P623" s="4" t="str">
        <f ca="1">IF(OR(INDEX($X$2:$X$1001,MATCH(ROWS($W$2:W623),$W$2:$W$1001,0),1)&gt;=100000,INDEX($AD$1005:$AU$1005,1,MATCH(COLUMNS($AD$1006:AR1006),$AD$1006:$AU$1006,0))&gt;=100000), " ",IF(INDEX($AD$2:$AU$1001,MATCH(ROWS($W$2:W623),$W$2:$W$1001,0),MATCH(COLUMNS($AD$1006:AR1006),$AD$1006:$AU$1006,0)), HYPERLINK("#",""), HYPERLINK(CONCATENATE("#metadata!", ADDRESS(INDEX($Y$2:$Y$1001,MATCH(ROWS($W$2:W623),$W$2:$W$1001,0),0), INDEX($AD$1004:$AU$1004,1,MATCH(COLUMNS($AD$1006:AR1006),$AD$1006:$AU$1006,0)))),"Fix")))</f>
        <v xml:space="preserve"> </v>
      </c>
      <c r="Q623" s="4" t="str">
        <f ca="1">IF(OR(INDEX($X$2:$X$1001,MATCH(ROWS($W$2:W623),$W$2:$W$1001,0),1)&gt;=100000,INDEX($AD$1005:$AU$1005,1,MATCH(COLUMNS($AD$1006:AS1006),$AD$1006:$AU$1006,0))&gt;=100000), " ",IF(INDEX($AD$2:$AU$1001,MATCH(ROWS($W$2:W623),$W$2:$W$1001,0),MATCH(COLUMNS($AD$1006:AS1006),$AD$1006:$AU$1006,0)), HYPERLINK("#",""), HYPERLINK(CONCATENATE("#metadata!", ADDRESS(INDEX($Y$2:$Y$1001,MATCH(ROWS($W$2:W623),$W$2:$W$1001,0),0), INDEX($AD$1004:$AU$1004,1,MATCH(COLUMNS($AD$1006:AS1006),$AD$1006:$AU$1006,0)))),"Fix")))</f>
        <v xml:space="preserve"> </v>
      </c>
      <c r="R623" s="4" t="str">
        <f ca="1">IF(OR(INDEX($X$2:$X$1001,MATCH(ROWS($W$2:W623),$W$2:$W$1001,0),1)&gt;=100000,INDEX($AD$1005:$AU$1005,1,MATCH(COLUMNS($AD$1006:AT1006),$AD$1006:$AU$1006,0))&gt;=100000), " ",IF(INDEX($AD$2:$AU$1001,MATCH(ROWS($W$2:W623),$W$2:$W$1001,0),MATCH(COLUMNS($AD$1006:AT1006),$AD$1006:$AU$1006,0)), HYPERLINK("#",""), HYPERLINK(CONCATENATE("#metadata!", ADDRESS(INDEX($Y$2:$Y$1001,MATCH(ROWS($W$2:W623),$W$2:$W$1001,0),0), INDEX($AD$1004:$AU$1004,1,MATCH(COLUMNS($AD$1006:AT1006),$AD$1006:$AU$1006,0)))),"Fix")))</f>
        <v xml:space="preserve"> </v>
      </c>
      <c r="S623" s="4" t="str">
        <f ca="1">IF(OR(INDEX($X$2:$X$1001,MATCH(ROWS($W$2:W623),$W$2:$W$1001,0),1)&gt;=100000,INDEX($AD$1005:$AU$1005,1,MATCH(COLUMNS($AD$1006:AU1006),$AD$1006:$AU$1006,0))&gt;=100000), " ",IF(INDEX($AD$2:$AU$1001,MATCH(ROWS($W$2:W623),$W$2:$W$1001,0),MATCH(COLUMNS($AD$1006:AU1006),$AD$1006:$AU$1006,0)), HYPERLINK("#",""), HYPERLINK(CONCATENATE("#metadata!", ADDRESS(INDEX($Y$2:$Y$1001,MATCH(ROWS($W$2:W623),$W$2:$W$1001,0),0), INDEX($AD$1004:$AU$1004,1,MATCH(COLUMNS($AD$1006:AU1006),$AD$1006:$AU$1006,0)))),"Fix")))</f>
        <v xml:space="preserve"> </v>
      </c>
      <c r="W623">
        <v>622</v>
      </c>
      <c r="X623">
        <v>100623</v>
      </c>
      <c r="Y623">
        <v>623</v>
      </c>
      <c r="Z623" t="b">
        <f t="shared" si="9"/>
        <v>1</v>
      </c>
      <c r="AA623" t="b">
        <f>COUNTBLANK(metadata!B623:S623)=COLUMNS(metadata!B623:S623)</f>
        <v>1</v>
      </c>
      <c r="AB623" t="str">
        <v/>
      </c>
      <c r="AD623" t="b">
        <f ca="1">AND(IF(metadata!B623="",FALSE,TRUE),COUNTIF(metadata!B:B, metadata!B623) = 1,NOT(ISERROR(SUMPRODUCT(SEARCH(MID(metadata!B623,ROW(INDIRECT("1:"&amp;LEN(metadata!B623))), 1),"0123456789abcdefghijklmnopqrstuvwxyzABCDEFGHIJKLMNOPQRSTUVWXYZ.")))))</f>
        <v>0</v>
      </c>
      <c r="AE623" t="b">
        <f>OR(AND(IF(metadata!C623="",FALSE,TRUE),OR(EXACT(metadata!C623,"not applicable"),EXACT(metadata!C623,"missing: not collected"),EXACT(metadata!C623,"missing: not provided"),EXACT(metadata!C623,"missing: restricted access"))),AND(IF(metadata!C623="",FALSE,ISNUMBER(VALUE(metadata!C623))),metadata!C623&gt;0))</f>
        <v>0</v>
      </c>
      <c r="AF623" t="b">
        <f>AND(IF(metadata!D623="",FALSE,TRUE),EXACT(metadata!D623,"missing: not provided"))</f>
        <v>0</v>
      </c>
      <c r="AG623" t="b">
        <f>AND(IF(metadata!E623="",FALSE,TRUE),EXACT(metadata!E623,"Host-associated"))</f>
        <v>0</v>
      </c>
      <c r="AH623" t="b">
        <f>AND(IF(metadata!F623="",FALSE,TRUE),OR(EXACT(metadata!F623,"Animal"),EXACT(metadata!F623,"Fungus"),EXACT(metadata!F623,"Plant")))</f>
        <v>0</v>
      </c>
      <c r="AI623" t="b">
        <f>AND(IF(metadata!G623="",FALSE,TRUE),OR(EXACT(metadata!G623,"Plant secretion"),EXACT(metadata!G623,"Plant rhizosphere"),EXACT(metadata!G623,"Plant surface"),EXACT(metadata!G623,"Plant corpus"),EXACT(metadata!G623,"Fungus surface"),EXACT(metadata!G623,"Fungus corpus"),EXACT(metadata!G623,"Animal surface"),EXACT(metadata!G623,"Animal proximal gut"),EXACT(metadata!G623,"Animal corpus"),EXACT(metadata!G623,"Animal distal gut"),EXACT(metadata!G623,"Animal secretion")))</f>
        <v>0</v>
      </c>
      <c r="AJ623" t="b">
        <f>OR(AND(IF(metadata!H623="",FALSE,TRUE),OR(EXACT(metadata!H623,"missing: not collected"),EXACT(metadata!H623,"missing: not provided"),EXACT(metadata!H623,"missing: restricted access"))),AND(IF(metadata!H623="",FALSE,TRUE),OR(EXACT(metadata!H623,"organism-associated habitat"),EXACT(metadata!H623,"plant-associated habitat"),EXACT(metadata!H623,"animal-associated habitat"),EXACT(metadata!H623,"insecta-associated habitat"),EXACT(metadata!H623,"mammalia-associated habitat"),EXACT(metadata!H623,"human-associated habitat"),EXACT(metadata!H623,"livestock-associated habitat"))))</f>
        <v>0</v>
      </c>
      <c r="AK623" t="b">
        <f>AND(IF(metadata!I623="",FALSE,TRUE),EXACT(metadata!I623,"host-associated"))</f>
        <v>0</v>
      </c>
      <c r="AL623" t="b">
        <f>OR(AND(IF(metadata!J623="",FALSE,TRUE),OR(EXACT(metadata!J623,"not applicable"),EXACT(metadata!J623,"missing: not collected"),EXACT(metadata!J623,"missing: not provided"),EXACT(metadata!J623,"missing: restricted access"))),AND(IF(metadata!J623="",FALSE,ISNUMBER(VALUE(metadata!J623))),metadata!J623&gt;0))</f>
        <v>0</v>
      </c>
      <c r="AM623" t="b">
        <f>AND(IF(metadata!K623="",FALSE,TRUE),EXACT(metadata!K623,"missing: not provided"))</f>
        <v>0</v>
      </c>
      <c r="AN623" t="b">
        <f>IF(metadata!L623="",FALSE,TRUE)</f>
        <v>0</v>
      </c>
      <c r="AO623" t="b">
        <f>IF(metadata!M623="",FALSE,TRUE)</f>
        <v>0</v>
      </c>
      <c r="AP623" t="b">
        <f>OR(AND(IF(metadata!N623="",FALSE,TRUE),OR(EXACT(metadata!N623,"not applicable"),EXACT(metadata!N623,"missing: not collected"),EXACT(metadata!N623,"missing: not provided"))),AND(IF(metadata!N623="",FALSE,IF(ISERROR(INT(metadata!N623)),FALSE,INT(metadata!N623)=metadata!N623)),metadata!N623&gt;0))</f>
        <v>0</v>
      </c>
      <c r="AQ623" t="b">
        <f>AND(IF(metadata!O623="",FALSE,TRUE),EXACT(metadata!O623,"Not applicable"))</f>
        <v>0</v>
      </c>
      <c r="AR623" t="b">
        <f>OR(AND(IF(metadata!P623="",FALSE,TRUE),OR(EXACT(metadata!P623,"not applicable"),EXACT(metadata!P623,"missing: not collected"),EXACT(metadata!P623,"missing: not provided"),EXACT(metadata!P623,"missing: restricted access"))),IF(metadata!P623="",FALSE,IF(ISERROR(INT(metadata!P623)),FALSE,INT(metadata!P623)=metadata!P623)))</f>
        <v>0</v>
      </c>
      <c r="AS623" t="b">
        <f>AND(IF(metadata!Q623="",FALSE,TRUE),EXACT(metadata!Q623,"Not applicable"))</f>
        <v>0</v>
      </c>
      <c r="AT623" t="b">
        <f>OR(AND(IF(metadata!R623="",FALSE,TRUE),OR(EXACT(metadata!R623,"not applicable"),EXACT(metadata!R623,"missing: not collected"),EXACT(metadata!R623,"missing: not provided"),EXACT(metadata!R623,"missing: restricted access"))),AND(IF(metadata!R623="",FALSE,ISNUMBER(VALUE(metadata!R623))),metadata!R623&gt;0))</f>
        <v>0</v>
      </c>
      <c r="AU623" t="b">
        <f>AND(IF(metadata!S623="",FALSE,TRUE),EXACT(metadata!S623,"missing: not provided"))</f>
        <v>0</v>
      </c>
    </row>
    <row r="624" spans="1:47" x14ac:dyDescent="0.2">
      <c r="A624" s="5" t="str">
        <f ca="1">IF(B624=" "," ",HYPERLINK(CONCATENATE("#metadata!",ADDRESS(INDEX($Y$2:$Y$1001,MATCH(ROWS($W$2:W624),$W$2:$W$1001,0),0),1)),INDEX($AB$2:$AB$1001,MATCH(ROWS($W$2:W624),$W$2:$W$1001,0),0)))</f>
        <v xml:space="preserve"> </v>
      </c>
      <c r="B624" s="4" t="str">
        <f ca="1">IF(OR(INDEX($X$2:$X$1001,MATCH(ROWS($W$2:W624),$W$2:$W$1001,0),1)&gt;=100000,INDEX($AD$1005:$AU$1005,1,MATCH(COLUMNS($AD$1006:AD1006),$AD$1006:$AU$1006,0))&gt;=100000), " ",IF(INDEX($AD$2:$AU$1001,MATCH(ROWS($W$2:W624),$W$2:$W$1001,0),MATCH(COLUMNS($AD$1006:AD1006),$AD$1006:$AU$1006,0)), HYPERLINK("#",""), HYPERLINK(CONCATENATE("#metadata!", ADDRESS(INDEX($Y$2:$Y$1001,MATCH(ROWS($W$2:W624),$W$2:$W$1001,0),0), INDEX($AD$1004:$AU$1004,1,MATCH(COLUMNS($AD$1006:AD1006),$AD$1006:$AU$1006,0)))),"Fix")))</f>
        <v xml:space="preserve"> </v>
      </c>
      <c r="C624" s="4" t="str">
        <f ca="1">IF(OR(INDEX($X$2:$X$1001,MATCH(ROWS($W$2:W624),$W$2:$W$1001,0),1)&gt;=100000,INDEX($AD$1005:$AU$1005,1,MATCH(COLUMNS($AD$1006:AE1006),$AD$1006:$AU$1006,0))&gt;=100000), " ",IF(INDEX($AD$2:$AU$1001,MATCH(ROWS($W$2:W624),$W$2:$W$1001,0),MATCH(COLUMNS($AD$1006:AE1006),$AD$1006:$AU$1006,0)), HYPERLINK("#",""), HYPERLINK(CONCATENATE("#metadata!", ADDRESS(INDEX($Y$2:$Y$1001,MATCH(ROWS($W$2:W624),$W$2:$W$1001,0),0), INDEX($AD$1004:$AU$1004,1,MATCH(COLUMNS($AD$1006:AE1006),$AD$1006:$AU$1006,0)))),"Fix")))</f>
        <v xml:space="preserve"> </v>
      </c>
      <c r="D624" s="4" t="str">
        <f ca="1">IF(OR(INDEX($X$2:$X$1001,MATCH(ROWS($W$2:W624),$W$2:$W$1001,0),1)&gt;=100000,INDEX($AD$1005:$AU$1005,1,MATCH(COLUMNS($AD$1006:AF1006),$AD$1006:$AU$1006,0))&gt;=100000), " ",IF(INDEX($AD$2:$AU$1001,MATCH(ROWS($W$2:W624),$W$2:$W$1001,0),MATCH(COLUMNS($AD$1006:AF1006),$AD$1006:$AU$1006,0)), HYPERLINK("#",""), HYPERLINK(CONCATENATE("#metadata!", ADDRESS(INDEX($Y$2:$Y$1001,MATCH(ROWS($W$2:W624),$W$2:$W$1001,0),0), INDEX($AD$1004:$AU$1004,1,MATCH(COLUMNS($AD$1006:AF1006),$AD$1006:$AU$1006,0)))),"Fix")))</f>
        <v xml:space="preserve"> </v>
      </c>
      <c r="E624" s="4" t="str">
        <f ca="1">IF(OR(INDEX($X$2:$X$1001,MATCH(ROWS($W$2:W624),$W$2:$W$1001,0),1)&gt;=100000,INDEX($AD$1005:$AU$1005,1,MATCH(COLUMNS($AD$1006:AG1006),$AD$1006:$AU$1006,0))&gt;=100000), " ",IF(INDEX($AD$2:$AU$1001,MATCH(ROWS($W$2:W624),$W$2:$W$1001,0),MATCH(COLUMNS($AD$1006:AG1006),$AD$1006:$AU$1006,0)), HYPERLINK("#",""), HYPERLINK(CONCATENATE("#metadata!", ADDRESS(INDEX($Y$2:$Y$1001,MATCH(ROWS($W$2:W624),$W$2:$W$1001,0),0), INDEX($AD$1004:$AU$1004,1,MATCH(COLUMNS($AD$1006:AG1006),$AD$1006:$AU$1006,0)))),"Fix")))</f>
        <v xml:space="preserve"> </v>
      </c>
      <c r="F624" s="4" t="str">
        <f ca="1">IF(OR(INDEX($X$2:$X$1001,MATCH(ROWS($W$2:W624),$W$2:$W$1001,0),1)&gt;=100000,INDEX($AD$1005:$AU$1005,1,MATCH(COLUMNS($AD$1006:AH1006),$AD$1006:$AU$1006,0))&gt;=100000), " ",IF(INDEX($AD$2:$AU$1001,MATCH(ROWS($W$2:W624),$W$2:$W$1001,0),MATCH(COLUMNS($AD$1006:AH1006),$AD$1006:$AU$1006,0)), HYPERLINK("#",""), HYPERLINK(CONCATENATE("#metadata!", ADDRESS(INDEX($Y$2:$Y$1001,MATCH(ROWS($W$2:W624),$W$2:$W$1001,0),0), INDEX($AD$1004:$AU$1004,1,MATCH(COLUMNS($AD$1006:AH1006),$AD$1006:$AU$1006,0)))),"Fix")))</f>
        <v xml:space="preserve"> </v>
      </c>
      <c r="G624" s="4" t="str">
        <f ca="1">IF(OR(INDEX($X$2:$X$1001,MATCH(ROWS($W$2:W624),$W$2:$W$1001,0),1)&gt;=100000,INDEX($AD$1005:$AU$1005,1,MATCH(COLUMNS($AD$1006:AI1006),$AD$1006:$AU$1006,0))&gt;=100000), " ",IF(INDEX($AD$2:$AU$1001,MATCH(ROWS($W$2:W624),$W$2:$W$1001,0),MATCH(COLUMNS($AD$1006:AI1006),$AD$1006:$AU$1006,0)), HYPERLINK("#",""), HYPERLINK(CONCATENATE("#metadata!", ADDRESS(INDEX($Y$2:$Y$1001,MATCH(ROWS($W$2:W624),$W$2:$W$1001,0),0), INDEX($AD$1004:$AU$1004,1,MATCH(COLUMNS($AD$1006:AI1006),$AD$1006:$AU$1006,0)))),"Fix")))</f>
        <v xml:space="preserve"> </v>
      </c>
      <c r="H624" s="4" t="str">
        <f ca="1">IF(OR(INDEX($X$2:$X$1001,MATCH(ROWS($W$2:W624),$W$2:$W$1001,0),1)&gt;=100000,INDEX($AD$1005:$AU$1005,1,MATCH(COLUMNS($AD$1006:AJ1006),$AD$1006:$AU$1006,0))&gt;=100000), " ",IF(INDEX($AD$2:$AU$1001,MATCH(ROWS($W$2:W624),$W$2:$W$1001,0),MATCH(COLUMNS($AD$1006:AJ1006),$AD$1006:$AU$1006,0)), HYPERLINK("#",""), HYPERLINK(CONCATENATE("#metadata!", ADDRESS(INDEX($Y$2:$Y$1001,MATCH(ROWS($W$2:W624),$W$2:$W$1001,0),0), INDEX($AD$1004:$AU$1004,1,MATCH(COLUMNS($AD$1006:AJ1006),$AD$1006:$AU$1006,0)))),"Fix")))</f>
        <v xml:space="preserve"> </v>
      </c>
      <c r="I624" s="4" t="str">
        <f ca="1">IF(OR(INDEX($X$2:$X$1001,MATCH(ROWS($W$2:W624),$W$2:$W$1001,0),1)&gt;=100000,INDEX($AD$1005:$AU$1005,1,MATCH(COLUMNS($AD$1006:AK1006),$AD$1006:$AU$1006,0))&gt;=100000), " ",IF(INDEX($AD$2:$AU$1001,MATCH(ROWS($W$2:W624),$W$2:$W$1001,0),MATCH(COLUMNS($AD$1006:AK1006),$AD$1006:$AU$1006,0)), HYPERLINK("#",""), HYPERLINK(CONCATENATE("#metadata!", ADDRESS(INDEX($Y$2:$Y$1001,MATCH(ROWS($W$2:W624),$W$2:$W$1001,0),0), INDEX($AD$1004:$AU$1004,1,MATCH(COLUMNS($AD$1006:AK1006),$AD$1006:$AU$1006,0)))),"Fix")))</f>
        <v xml:space="preserve"> </v>
      </c>
      <c r="J624" s="4" t="str">
        <f ca="1">IF(OR(INDEX($X$2:$X$1001,MATCH(ROWS($W$2:W624),$W$2:$W$1001,0),1)&gt;=100000,INDEX($AD$1005:$AU$1005,1,MATCH(COLUMNS($AD$1006:AL1006),$AD$1006:$AU$1006,0))&gt;=100000), " ",IF(INDEX($AD$2:$AU$1001,MATCH(ROWS($W$2:W624),$W$2:$W$1001,0),MATCH(COLUMNS($AD$1006:AL1006),$AD$1006:$AU$1006,0)), HYPERLINK("#",""), HYPERLINK(CONCATENATE("#metadata!", ADDRESS(INDEX($Y$2:$Y$1001,MATCH(ROWS($W$2:W624),$W$2:$W$1001,0),0), INDEX($AD$1004:$AU$1004,1,MATCH(COLUMNS($AD$1006:AL1006),$AD$1006:$AU$1006,0)))),"Fix")))</f>
        <v xml:space="preserve"> </v>
      </c>
      <c r="K624" s="4" t="str">
        <f ca="1">IF(OR(INDEX($X$2:$X$1001,MATCH(ROWS($W$2:W624),$W$2:$W$1001,0),1)&gt;=100000,INDEX($AD$1005:$AU$1005,1,MATCH(COLUMNS($AD$1006:AM1006),$AD$1006:$AU$1006,0))&gt;=100000), " ",IF(INDEX($AD$2:$AU$1001,MATCH(ROWS($W$2:W624),$W$2:$W$1001,0),MATCH(COLUMNS($AD$1006:AM1006),$AD$1006:$AU$1006,0)), HYPERLINK("#",""), HYPERLINK(CONCATENATE("#metadata!", ADDRESS(INDEX($Y$2:$Y$1001,MATCH(ROWS($W$2:W624),$W$2:$W$1001,0),0), INDEX($AD$1004:$AU$1004,1,MATCH(COLUMNS($AD$1006:AM1006),$AD$1006:$AU$1006,0)))),"Fix")))</f>
        <v xml:space="preserve"> </v>
      </c>
      <c r="L624" s="4" t="str">
        <f ca="1">IF(OR(INDEX($X$2:$X$1001,MATCH(ROWS($W$2:W624),$W$2:$W$1001,0),1)&gt;=100000,INDEX($AD$1005:$AU$1005,1,MATCH(COLUMNS($AD$1006:AN1006),$AD$1006:$AU$1006,0))&gt;=100000), " ",IF(INDEX($AD$2:$AU$1001,MATCH(ROWS($W$2:W624),$W$2:$W$1001,0),MATCH(COLUMNS($AD$1006:AN1006),$AD$1006:$AU$1006,0)), HYPERLINK("#",""), HYPERLINK(CONCATENATE("#metadata!", ADDRESS(INDEX($Y$2:$Y$1001,MATCH(ROWS($W$2:W624),$W$2:$W$1001,0),0), INDEX($AD$1004:$AU$1004,1,MATCH(COLUMNS($AD$1006:AN1006),$AD$1006:$AU$1006,0)))),"Fix")))</f>
        <v xml:space="preserve"> </v>
      </c>
      <c r="M624" s="4" t="str">
        <f ca="1">IF(OR(INDEX($X$2:$X$1001,MATCH(ROWS($W$2:W624),$W$2:$W$1001,0),1)&gt;=100000,INDEX($AD$1005:$AU$1005,1,MATCH(COLUMNS($AD$1006:AO1006),$AD$1006:$AU$1006,0))&gt;=100000), " ",IF(INDEX($AD$2:$AU$1001,MATCH(ROWS($W$2:W624),$W$2:$W$1001,0),MATCH(COLUMNS($AD$1006:AO1006),$AD$1006:$AU$1006,0)), HYPERLINK("#",""), HYPERLINK(CONCATENATE("#metadata!", ADDRESS(INDEX($Y$2:$Y$1001,MATCH(ROWS($W$2:W624),$W$2:$W$1001,0),0), INDEX($AD$1004:$AU$1004,1,MATCH(COLUMNS($AD$1006:AO1006),$AD$1006:$AU$1006,0)))),"Fix")))</f>
        <v xml:space="preserve"> </v>
      </c>
      <c r="N624" s="4" t="str">
        <f ca="1">IF(OR(INDEX($X$2:$X$1001,MATCH(ROWS($W$2:W624),$W$2:$W$1001,0),1)&gt;=100000,INDEX($AD$1005:$AU$1005,1,MATCH(COLUMNS($AD$1006:AP1006),$AD$1006:$AU$1006,0))&gt;=100000), " ",IF(INDEX($AD$2:$AU$1001,MATCH(ROWS($W$2:W624),$W$2:$W$1001,0),MATCH(COLUMNS($AD$1006:AP1006),$AD$1006:$AU$1006,0)), HYPERLINK("#",""), HYPERLINK(CONCATENATE("#metadata!", ADDRESS(INDEX($Y$2:$Y$1001,MATCH(ROWS($W$2:W624),$W$2:$W$1001,0),0), INDEX($AD$1004:$AU$1004,1,MATCH(COLUMNS($AD$1006:AP1006),$AD$1006:$AU$1006,0)))),"Fix")))</f>
        <v xml:space="preserve"> </v>
      </c>
      <c r="O624" s="4" t="str">
        <f ca="1">IF(OR(INDEX($X$2:$X$1001,MATCH(ROWS($W$2:W624),$W$2:$W$1001,0),1)&gt;=100000,INDEX($AD$1005:$AU$1005,1,MATCH(COLUMNS($AD$1006:AQ1006),$AD$1006:$AU$1006,0))&gt;=100000), " ",IF(INDEX($AD$2:$AU$1001,MATCH(ROWS($W$2:W624),$W$2:$W$1001,0),MATCH(COLUMNS($AD$1006:AQ1006),$AD$1006:$AU$1006,0)), HYPERLINK("#",""), HYPERLINK(CONCATENATE("#metadata!", ADDRESS(INDEX($Y$2:$Y$1001,MATCH(ROWS($W$2:W624),$W$2:$W$1001,0),0), INDEX($AD$1004:$AU$1004,1,MATCH(COLUMNS($AD$1006:AQ1006),$AD$1006:$AU$1006,0)))),"Fix")))</f>
        <v xml:space="preserve"> </v>
      </c>
      <c r="P624" s="4" t="str">
        <f ca="1">IF(OR(INDEX($X$2:$X$1001,MATCH(ROWS($W$2:W624),$W$2:$W$1001,0),1)&gt;=100000,INDEX($AD$1005:$AU$1005,1,MATCH(COLUMNS($AD$1006:AR1006),$AD$1006:$AU$1006,0))&gt;=100000), " ",IF(INDEX($AD$2:$AU$1001,MATCH(ROWS($W$2:W624),$W$2:$W$1001,0),MATCH(COLUMNS($AD$1006:AR1006),$AD$1006:$AU$1006,0)), HYPERLINK("#",""), HYPERLINK(CONCATENATE("#metadata!", ADDRESS(INDEX($Y$2:$Y$1001,MATCH(ROWS($W$2:W624),$W$2:$W$1001,0),0), INDEX($AD$1004:$AU$1004,1,MATCH(COLUMNS($AD$1006:AR1006),$AD$1006:$AU$1006,0)))),"Fix")))</f>
        <v xml:space="preserve"> </v>
      </c>
      <c r="Q624" s="4" t="str">
        <f ca="1">IF(OR(INDEX($X$2:$X$1001,MATCH(ROWS($W$2:W624),$W$2:$W$1001,0),1)&gt;=100000,INDEX($AD$1005:$AU$1005,1,MATCH(COLUMNS($AD$1006:AS1006),$AD$1006:$AU$1006,0))&gt;=100000), " ",IF(INDEX($AD$2:$AU$1001,MATCH(ROWS($W$2:W624),$W$2:$W$1001,0),MATCH(COLUMNS($AD$1006:AS1006),$AD$1006:$AU$1006,0)), HYPERLINK("#",""), HYPERLINK(CONCATENATE("#metadata!", ADDRESS(INDEX($Y$2:$Y$1001,MATCH(ROWS($W$2:W624),$W$2:$W$1001,0),0), INDEX($AD$1004:$AU$1004,1,MATCH(COLUMNS($AD$1006:AS1006),$AD$1006:$AU$1006,0)))),"Fix")))</f>
        <v xml:space="preserve"> </v>
      </c>
      <c r="R624" s="4" t="str">
        <f ca="1">IF(OR(INDEX($X$2:$X$1001,MATCH(ROWS($W$2:W624),$W$2:$W$1001,0),1)&gt;=100000,INDEX($AD$1005:$AU$1005,1,MATCH(COLUMNS($AD$1006:AT1006),$AD$1006:$AU$1006,0))&gt;=100000), " ",IF(INDEX($AD$2:$AU$1001,MATCH(ROWS($W$2:W624),$W$2:$W$1001,0),MATCH(COLUMNS($AD$1006:AT1006),$AD$1006:$AU$1006,0)), HYPERLINK("#",""), HYPERLINK(CONCATENATE("#metadata!", ADDRESS(INDEX($Y$2:$Y$1001,MATCH(ROWS($W$2:W624),$W$2:$W$1001,0),0), INDEX($AD$1004:$AU$1004,1,MATCH(COLUMNS($AD$1006:AT1006),$AD$1006:$AU$1006,0)))),"Fix")))</f>
        <v xml:space="preserve"> </v>
      </c>
      <c r="S624" s="4" t="str">
        <f ca="1">IF(OR(INDEX($X$2:$X$1001,MATCH(ROWS($W$2:W624),$W$2:$W$1001,0),1)&gt;=100000,INDEX($AD$1005:$AU$1005,1,MATCH(COLUMNS($AD$1006:AU1006),$AD$1006:$AU$1006,0))&gt;=100000), " ",IF(INDEX($AD$2:$AU$1001,MATCH(ROWS($W$2:W624),$W$2:$W$1001,0),MATCH(COLUMNS($AD$1006:AU1006),$AD$1006:$AU$1006,0)), HYPERLINK("#",""), HYPERLINK(CONCATENATE("#metadata!", ADDRESS(INDEX($Y$2:$Y$1001,MATCH(ROWS($W$2:W624),$W$2:$W$1001,0),0), INDEX($AD$1004:$AU$1004,1,MATCH(COLUMNS($AD$1006:AU1006),$AD$1006:$AU$1006,0)))),"Fix")))</f>
        <v xml:space="preserve"> </v>
      </c>
      <c r="W624">
        <v>623</v>
      </c>
      <c r="X624">
        <v>100624</v>
      </c>
      <c r="Y624">
        <v>624</v>
      </c>
      <c r="Z624" t="b">
        <f t="shared" si="9"/>
        <v>1</v>
      </c>
      <c r="AA624" t="b">
        <f>COUNTBLANK(metadata!B624:S624)=COLUMNS(metadata!B624:S624)</f>
        <v>1</v>
      </c>
      <c r="AB624" t="str">
        <v/>
      </c>
      <c r="AD624" t="b">
        <f ca="1">AND(IF(metadata!B624="",FALSE,TRUE),COUNTIF(metadata!B:B, metadata!B624) = 1,NOT(ISERROR(SUMPRODUCT(SEARCH(MID(metadata!B624,ROW(INDIRECT("1:"&amp;LEN(metadata!B624))), 1),"0123456789abcdefghijklmnopqrstuvwxyzABCDEFGHIJKLMNOPQRSTUVWXYZ.")))))</f>
        <v>0</v>
      </c>
      <c r="AE624" t="b">
        <f>OR(AND(IF(metadata!C624="",FALSE,TRUE),OR(EXACT(metadata!C624,"not applicable"),EXACT(metadata!C624,"missing: not collected"),EXACT(metadata!C624,"missing: not provided"),EXACT(metadata!C624,"missing: restricted access"))),AND(IF(metadata!C624="",FALSE,ISNUMBER(VALUE(metadata!C624))),metadata!C624&gt;0))</f>
        <v>0</v>
      </c>
      <c r="AF624" t="b">
        <f>AND(IF(metadata!D624="",FALSE,TRUE),EXACT(metadata!D624,"missing: not provided"))</f>
        <v>0</v>
      </c>
      <c r="AG624" t="b">
        <f>AND(IF(metadata!E624="",FALSE,TRUE),EXACT(metadata!E624,"Host-associated"))</f>
        <v>0</v>
      </c>
      <c r="AH624" t="b">
        <f>AND(IF(metadata!F624="",FALSE,TRUE),OR(EXACT(metadata!F624,"Animal"),EXACT(metadata!F624,"Fungus"),EXACT(metadata!F624,"Plant")))</f>
        <v>0</v>
      </c>
      <c r="AI624" t="b">
        <f>AND(IF(metadata!G624="",FALSE,TRUE),OR(EXACT(metadata!G624,"Plant secretion"),EXACT(metadata!G624,"Plant rhizosphere"),EXACT(metadata!G624,"Plant surface"),EXACT(metadata!G624,"Plant corpus"),EXACT(metadata!G624,"Fungus surface"),EXACT(metadata!G624,"Fungus corpus"),EXACT(metadata!G624,"Animal surface"),EXACT(metadata!G624,"Animal proximal gut"),EXACT(metadata!G624,"Animal corpus"),EXACT(metadata!G624,"Animal distal gut"),EXACT(metadata!G624,"Animal secretion")))</f>
        <v>0</v>
      </c>
      <c r="AJ624" t="b">
        <f>OR(AND(IF(metadata!H624="",FALSE,TRUE),OR(EXACT(metadata!H624,"missing: not collected"),EXACT(metadata!H624,"missing: not provided"),EXACT(metadata!H624,"missing: restricted access"))),AND(IF(metadata!H624="",FALSE,TRUE),OR(EXACT(metadata!H624,"organism-associated habitat"),EXACT(metadata!H624,"plant-associated habitat"),EXACT(metadata!H624,"animal-associated habitat"),EXACT(metadata!H624,"insecta-associated habitat"),EXACT(metadata!H624,"mammalia-associated habitat"),EXACT(metadata!H624,"human-associated habitat"),EXACT(metadata!H624,"livestock-associated habitat"))))</f>
        <v>0</v>
      </c>
      <c r="AK624" t="b">
        <f>AND(IF(metadata!I624="",FALSE,TRUE),EXACT(metadata!I624,"host-associated"))</f>
        <v>0</v>
      </c>
      <c r="AL624" t="b">
        <f>OR(AND(IF(metadata!J624="",FALSE,TRUE),OR(EXACT(metadata!J624,"not applicable"),EXACT(metadata!J624,"missing: not collected"),EXACT(metadata!J624,"missing: not provided"),EXACT(metadata!J624,"missing: restricted access"))),AND(IF(metadata!J624="",FALSE,ISNUMBER(VALUE(metadata!J624))),metadata!J624&gt;0))</f>
        <v>0</v>
      </c>
      <c r="AM624" t="b">
        <f>AND(IF(metadata!K624="",FALSE,TRUE),EXACT(metadata!K624,"missing: not provided"))</f>
        <v>0</v>
      </c>
      <c r="AN624" t="b">
        <f>IF(metadata!L624="",FALSE,TRUE)</f>
        <v>0</v>
      </c>
      <c r="AO624" t="b">
        <f>IF(metadata!M624="",FALSE,TRUE)</f>
        <v>0</v>
      </c>
      <c r="AP624" t="b">
        <f>OR(AND(IF(metadata!N624="",FALSE,TRUE),OR(EXACT(metadata!N624,"not applicable"),EXACT(metadata!N624,"missing: not collected"),EXACT(metadata!N624,"missing: not provided"))),AND(IF(metadata!N624="",FALSE,IF(ISERROR(INT(metadata!N624)),FALSE,INT(metadata!N624)=metadata!N624)),metadata!N624&gt;0))</f>
        <v>0</v>
      </c>
      <c r="AQ624" t="b">
        <f>AND(IF(metadata!O624="",FALSE,TRUE),EXACT(metadata!O624,"Not applicable"))</f>
        <v>0</v>
      </c>
      <c r="AR624" t="b">
        <f>OR(AND(IF(metadata!P624="",FALSE,TRUE),OR(EXACT(metadata!P624,"not applicable"),EXACT(metadata!P624,"missing: not collected"),EXACT(metadata!P624,"missing: not provided"),EXACT(metadata!P624,"missing: restricted access"))),IF(metadata!P624="",FALSE,IF(ISERROR(INT(metadata!P624)),FALSE,INT(metadata!P624)=metadata!P624)))</f>
        <v>0</v>
      </c>
      <c r="AS624" t="b">
        <f>AND(IF(metadata!Q624="",FALSE,TRUE),EXACT(metadata!Q624,"Not applicable"))</f>
        <v>0</v>
      </c>
      <c r="AT624" t="b">
        <f>OR(AND(IF(metadata!R624="",FALSE,TRUE),OR(EXACT(metadata!R624,"not applicable"),EXACT(metadata!R624,"missing: not collected"),EXACT(metadata!R624,"missing: not provided"),EXACT(metadata!R624,"missing: restricted access"))),AND(IF(metadata!R624="",FALSE,ISNUMBER(VALUE(metadata!R624))),metadata!R624&gt;0))</f>
        <v>0</v>
      </c>
      <c r="AU624" t="b">
        <f>AND(IF(metadata!S624="",FALSE,TRUE),EXACT(metadata!S624,"missing: not provided"))</f>
        <v>0</v>
      </c>
    </row>
    <row r="625" spans="1:47" x14ac:dyDescent="0.2">
      <c r="A625" s="5" t="str">
        <f ca="1">IF(B625=" "," ",HYPERLINK(CONCATENATE("#metadata!",ADDRESS(INDEX($Y$2:$Y$1001,MATCH(ROWS($W$2:W625),$W$2:$W$1001,0),0),1)),INDEX($AB$2:$AB$1001,MATCH(ROWS($W$2:W625),$W$2:$W$1001,0),0)))</f>
        <v xml:space="preserve"> </v>
      </c>
      <c r="B625" s="4" t="str">
        <f ca="1">IF(OR(INDEX($X$2:$X$1001,MATCH(ROWS($W$2:W625),$W$2:$W$1001,0),1)&gt;=100000,INDEX($AD$1005:$AU$1005,1,MATCH(COLUMNS($AD$1006:AD1006),$AD$1006:$AU$1006,0))&gt;=100000), " ",IF(INDEX($AD$2:$AU$1001,MATCH(ROWS($W$2:W625),$W$2:$W$1001,0),MATCH(COLUMNS($AD$1006:AD1006),$AD$1006:$AU$1006,0)), HYPERLINK("#",""), HYPERLINK(CONCATENATE("#metadata!", ADDRESS(INDEX($Y$2:$Y$1001,MATCH(ROWS($W$2:W625),$W$2:$W$1001,0),0), INDEX($AD$1004:$AU$1004,1,MATCH(COLUMNS($AD$1006:AD1006),$AD$1006:$AU$1006,0)))),"Fix")))</f>
        <v xml:space="preserve"> </v>
      </c>
      <c r="C625" s="4" t="str">
        <f ca="1">IF(OR(INDEX($X$2:$X$1001,MATCH(ROWS($W$2:W625),$W$2:$W$1001,0),1)&gt;=100000,INDEX($AD$1005:$AU$1005,1,MATCH(COLUMNS($AD$1006:AE1006),$AD$1006:$AU$1006,0))&gt;=100000), " ",IF(INDEX($AD$2:$AU$1001,MATCH(ROWS($W$2:W625),$W$2:$W$1001,0),MATCH(COLUMNS($AD$1006:AE1006),$AD$1006:$AU$1006,0)), HYPERLINK("#",""), HYPERLINK(CONCATENATE("#metadata!", ADDRESS(INDEX($Y$2:$Y$1001,MATCH(ROWS($W$2:W625),$W$2:$W$1001,0),0), INDEX($AD$1004:$AU$1004,1,MATCH(COLUMNS($AD$1006:AE1006),$AD$1006:$AU$1006,0)))),"Fix")))</f>
        <v xml:space="preserve"> </v>
      </c>
      <c r="D625" s="4" t="str">
        <f ca="1">IF(OR(INDEX($X$2:$X$1001,MATCH(ROWS($W$2:W625),$W$2:$W$1001,0),1)&gt;=100000,INDEX($AD$1005:$AU$1005,1,MATCH(COLUMNS($AD$1006:AF1006),$AD$1006:$AU$1006,0))&gt;=100000), " ",IF(INDEX($AD$2:$AU$1001,MATCH(ROWS($W$2:W625),$W$2:$W$1001,0),MATCH(COLUMNS($AD$1006:AF1006),$AD$1006:$AU$1006,0)), HYPERLINK("#",""), HYPERLINK(CONCATENATE("#metadata!", ADDRESS(INDEX($Y$2:$Y$1001,MATCH(ROWS($W$2:W625),$W$2:$W$1001,0),0), INDEX($AD$1004:$AU$1004,1,MATCH(COLUMNS($AD$1006:AF1006),$AD$1006:$AU$1006,0)))),"Fix")))</f>
        <v xml:space="preserve"> </v>
      </c>
      <c r="E625" s="4" t="str">
        <f ca="1">IF(OR(INDEX($X$2:$X$1001,MATCH(ROWS($W$2:W625),$W$2:$W$1001,0),1)&gt;=100000,INDEX($AD$1005:$AU$1005,1,MATCH(COLUMNS($AD$1006:AG1006),$AD$1006:$AU$1006,0))&gt;=100000), " ",IF(INDEX($AD$2:$AU$1001,MATCH(ROWS($W$2:W625),$W$2:$W$1001,0),MATCH(COLUMNS($AD$1006:AG1006),$AD$1006:$AU$1006,0)), HYPERLINK("#",""), HYPERLINK(CONCATENATE("#metadata!", ADDRESS(INDEX($Y$2:$Y$1001,MATCH(ROWS($W$2:W625),$W$2:$W$1001,0),0), INDEX($AD$1004:$AU$1004,1,MATCH(COLUMNS($AD$1006:AG1006),$AD$1006:$AU$1006,0)))),"Fix")))</f>
        <v xml:space="preserve"> </v>
      </c>
      <c r="F625" s="4" t="str">
        <f ca="1">IF(OR(INDEX($X$2:$X$1001,MATCH(ROWS($W$2:W625),$W$2:$W$1001,0),1)&gt;=100000,INDEX($AD$1005:$AU$1005,1,MATCH(COLUMNS($AD$1006:AH1006),$AD$1006:$AU$1006,0))&gt;=100000), " ",IF(INDEX($AD$2:$AU$1001,MATCH(ROWS($W$2:W625),$W$2:$W$1001,0),MATCH(COLUMNS($AD$1006:AH1006),$AD$1006:$AU$1006,0)), HYPERLINK("#",""), HYPERLINK(CONCATENATE("#metadata!", ADDRESS(INDEX($Y$2:$Y$1001,MATCH(ROWS($W$2:W625),$W$2:$W$1001,0),0), INDEX($AD$1004:$AU$1004,1,MATCH(COLUMNS($AD$1006:AH1006),$AD$1006:$AU$1006,0)))),"Fix")))</f>
        <v xml:space="preserve"> </v>
      </c>
      <c r="G625" s="4" t="str">
        <f ca="1">IF(OR(INDEX($X$2:$X$1001,MATCH(ROWS($W$2:W625),$W$2:$W$1001,0),1)&gt;=100000,INDEX($AD$1005:$AU$1005,1,MATCH(COLUMNS($AD$1006:AI1006),$AD$1006:$AU$1006,0))&gt;=100000), " ",IF(INDEX($AD$2:$AU$1001,MATCH(ROWS($W$2:W625),$W$2:$W$1001,0),MATCH(COLUMNS($AD$1006:AI1006),$AD$1006:$AU$1006,0)), HYPERLINK("#",""), HYPERLINK(CONCATENATE("#metadata!", ADDRESS(INDEX($Y$2:$Y$1001,MATCH(ROWS($W$2:W625),$W$2:$W$1001,0),0), INDEX($AD$1004:$AU$1004,1,MATCH(COLUMNS($AD$1006:AI1006),$AD$1006:$AU$1006,0)))),"Fix")))</f>
        <v xml:space="preserve"> </v>
      </c>
      <c r="H625" s="4" t="str">
        <f ca="1">IF(OR(INDEX($X$2:$X$1001,MATCH(ROWS($W$2:W625),$W$2:$W$1001,0),1)&gt;=100000,INDEX($AD$1005:$AU$1005,1,MATCH(COLUMNS($AD$1006:AJ1006),$AD$1006:$AU$1006,0))&gt;=100000), " ",IF(INDEX($AD$2:$AU$1001,MATCH(ROWS($W$2:W625),$W$2:$W$1001,0),MATCH(COLUMNS($AD$1006:AJ1006),$AD$1006:$AU$1006,0)), HYPERLINK("#",""), HYPERLINK(CONCATENATE("#metadata!", ADDRESS(INDEX($Y$2:$Y$1001,MATCH(ROWS($W$2:W625),$W$2:$W$1001,0),0), INDEX($AD$1004:$AU$1004,1,MATCH(COLUMNS($AD$1006:AJ1006),$AD$1006:$AU$1006,0)))),"Fix")))</f>
        <v xml:space="preserve"> </v>
      </c>
      <c r="I625" s="4" t="str">
        <f ca="1">IF(OR(INDEX($X$2:$X$1001,MATCH(ROWS($W$2:W625),$W$2:$W$1001,0),1)&gt;=100000,INDEX($AD$1005:$AU$1005,1,MATCH(COLUMNS($AD$1006:AK1006),$AD$1006:$AU$1006,0))&gt;=100000), " ",IF(INDEX($AD$2:$AU$1001,MATCH(ROWS($W$2:W625),$W$2:$W$1001,0),MATCH(COLUMNS($AD$1006:AK1006),$AD$1006:$AU$1006,0)), HYPERLINK("#",""), HYPERLINK(CONCATENATE("#metadata!", ADDRESS(INDEX($Y$2:$Y$1001,MATCH(ROWS($W$2:W625),$W$2:$W$1001,0),0), INDEX($AD$1004:$AU$1004,1,MATCH(COLUMNS($AD$1006:AK1006),$AD$1006:$AU$1006,0)))),"Fix")))</f>
        <v xml:space="preserve"> </v>
      </c>
      <c r="J625" s="4" t="str">
        <f ca="1">IF(OR(INDEX($X$2:$X$1001,MATCH(ROWS($W$2:W625),$W$2:$W$1001,0),1)&gt;=100000,INDEX($AD$1005:$AU$1005,1,MATCH(COLUMNS($AD$1006:AL1006),$AD$1006:$AU$1006,0))&gt;=100000), " ",IF(INDEX($AD$2:$AU$1001,MATCH(ROWS($W$2:W625),$W$2:$W$1001,0),MATCH(COLUMNS($AD$1006:AL1006),$AD$1006:$AU$1006,0)), HYPERLINK("#",""), HYPERLINK(CONCATENATE("#metadata!", ADDRESS(INDEX($Y$2:$Y$1001,MATCH(ROWS($W$2:W625),$W$2:$W$1001,0),0), INDEX($AD$1004:$AU$1004,1,MATCH(COLUMNS($AD$1006:AL1006),$AD$1006:$AU$1006,0)))),"Fix")))</f>
        <v xml:space="preserve"> </v>
      </c>
      <c r="K625" s="4" t="str">
        <f ca="1">IF(OR(INDEX($X$2:$X$1001,MATCH(ROWS($W$2:W625),$W$2:$W$1001,0),1)&gt;=100000,INDEX($AD$1005:$AU$1005,1,MATCH(COLUMNS($AD$1006:AM1006),$AD$1006:$AU$1006,0))&gt;=100000), " ",IF(INDEX($AD$2:$AU$1001,MATCH(ROWS($W$2:W625),$W$2:$W$1001,0),MATCH(COLUMNS($AD$1006:AM1006),$AD$1006:$AU$1006,0)), HYPERLINK("#",""), HYPERLINK(CONCATENATE("#metadata!", ADDRESS(INDEX($Y$2:$Y$1001,MATCH(ROWS($W$2:W625),$W$2:$W$1001,0),0), INDEX($AD$1004:$AU$1004,1,MATCH(COLUMNS($AD$1006:AM1006),$AD$1006:$AU$1006,0)))),"Fix")))</f>
        <v xml:space="preserve"> </v>
      </c>
      <c r="L625" s="4" t="str">
        <f ca="1">IF(OR(INDEX($X$2:$X$1001,MATCH(ROWS($W$2:W625),$W$2:$W$1001,0),1)&gt;=100000,INDEX($AD$1005:$AU$1005,1,MATCH(COLUMNS($AD$1006:AN1006),$AD$1006:$AU$1006,0))&gt;=100000), " ",IF(INDEX($AD$2:$AU$1001,MATCH(ROWS($W$2:W625),$W$2:$W$1001,0),MATCH(COLUMNS($AD$1006:AN1006),$AD$1006:$AU$1006,0)), HYPERLINK("#",""), HYPERLINK(CONCATENATE("#metadata!", ADDRESS(INDEX($Y$2:$Y$1001,MATCH(ROWS($W$2:W625),$W$2:$W$1001,0),0), INDEX($AD$1004:$AU$1004,1,MATCH(COLUMNS($AD$1006:AN1006),$AD$1006:$AU$1006,0)))),"Fix")))</f>
        <v xml:space="preserve"> </v>
      </c>
      <c r="M625" s="4" t="str">
        <f ca="1">IF(OR(INDEX($X$2:$X$1001,MATCH(ROWS($W$2:W625),$W$2:$W$1001,0),1)&gt;=100000,INDEX($AD$1005:$AU$1005,1,MATCH(COLUMNS($AD$1006:AO1006),$AD$1006:$AU$1006,0))&gt;=100000), " ",IF(INDEX($AD$2:$AU$1001,MATCH(ROWS($W$2:W625),$W$2:$W$1001,0),MATCH(COLUMNS($AD$1006:AO1006),$AD$1006:$AU$1006,0)), HYPERLINK("#",""), HYPERLINK(CONCATENATE("#metadata!", ADDRESS(INDEX($Y$2:$Y$1001,MATCH(ROWS($W$2:W625),$W$2:$W$1001,0),0), INDEX($AD$1004:$AU$1004,1,MATCH(COLUMNS($AD$1006:AO1006),$AD$1006:$AU$1006,0)))),"Fix")))</f>
        <v xml:space="preserve"> </v>
      </c>
      <c r="N625" s="4" t="str">
        <f ca="1">IF(OR(INDEX($X$2:$X$1001,MATCH(ROWS($W$2:W625),$W$2:$W$1001,0),1)&gt;=100000,INDEX($AD$1005:$AU$1005,1,MATCH(COLUMNS($AD$1006:AP1006),$AD$1006:$AU$1006,0))&gt;=100000), " ",IF(INDEX($AD$2:$AU$1001,MATCH(ROWS($W$2:W625),$W$2:$W$1001,0),MATCH(COLUMNS($AD$1006:AP1006),$AD$1006:$AU$1006,0)), HYPERLINK("#",""), HYPERLINK(CONCATENATE("#metadata!", ADDRESS(INDEX($Y$2:$Y$1001,MATCH(ROWS($W$2:W625),$W$2:$W$1001,0),0), INDEX($AD$1004:$AU$1004,1,MATCH(COLUMNS($AD$1006:AP1006),$AD$1006:$AU$1006,0)))),"Fix")))</f>
        <v xml:space="preserve"> </v>
      </c>
      <c r="O625" s="4" t="str">
        <f ca="1">IF(OR(INDEX($X$2:$X$1001,MATCH(ROWS($W$2:W625),$W$2:$W$1001,0),1)&gt;=100000,INDEX($AD$1005:$AU$1005,1,MATCH(COLUMNS($AD$1006:AQ1006),$AD$1006:$AU$1006,0))&gt;=100000), " ",IF(INDEX($AD$2:$AU$1001,MATCH(ROWS($W$2:W625),$W$2:$W$1001,0),MATCH(COLUMNS($AD$1006:AQ1006),$AD$1006:$AU$1006,0)), HYPERLINK("#",""), HYPERLINK(CONCATENATE("#metadata!", ADDRESS(INDEX($Y$2:$Y$1001,MATCH(ROWS($W$2:W625),$W$2:$W$1001,0),0), INDEX($AD$1004:$AU$1004,1,MATCH(COLUMNS($AD$1006:AQ1006),$AD$1006:$AU$1006,0)))),"Fix")))</f>
        <v xml:space="preserve"> </v>
      </c>
      <c r="P625" s="4" t="str">
        <f ca="1">IF(OR(INDEX($X$2:$X$1001,MATCH(ROWS($W$2:W625),$W$2:$W$1001,0),1)&gt;=100000,INDEX($AD$1005:$AU$1005,1,MATCH(COLUMNS($AD$1006:AR1006),$AD$1006:$AU$1006,0))&gt;=100000), " ",IF(INDEX($AD$2:$AU$1001,MATCH(ROWS($W$2:W625),$W$2:$W$1001,0),MATCH(COLUMNS($AD$1006:AR1006),$AD$1006:$AU$1006,0)), HYPERLINK("#",""), HYPERLINK(CONCATENATE("#metadata!", ADDRESS(INDEX($Y$2:$Y$1001,MATCH(ROWS($W$2:W625),$W$2:$W$1001,0),0), INDEX($AD$1004:$AU$1004,1,MATCH(COLUMNS($AD$1006:AR1006),$AD$1006:$AU$1006,0)))),"Fix")))</f>
        <v xml:space="preserve"> </v>
      </c>
      <c r="Q625" s="4" t="str">
        <f ca="1">IF(OR(INDEX($X$2:$X$1001,MATCH(ROWS($W$2:W625),$W$2:$W$1001,0),1)&gt;=100000,INDEX($AD$1005:$AU$1005,1,MATCH(COLUMNS($AD$1006:AS1006),$AD$1006:$AU$1006,0))&gt;=100000), " ",IF(INDEX($AD$2:$AU$1001,MATCH(ROWS($W$2:W625),$W$2:$W$1001,0),MATCH(COLUMNS($AD$1006:AS1006),$AD$1006:$AU$1006,0)), HYPERLINK("#",""), HYPERLINK(CONCATENATE("#metadata!", ADDRESS(INDEX($Y$2:$Y$1001,MATCH(ROWS($W$2:W625),$W$2:$W$1001,0),0), INDEX($AD$1004:$AU$1004,1,MATCH(COLUMNS($AD$1006:AS1006),$AD$1006:$AU$1006,0)))),"Fix")))</f>
        <v xml:space="preserve"> </v>
      </c>
      <c r="R625" s="4" t="str">
        <f ca="1">IF(OR(INDEX($X$2:$X$1001,MATCH(ROWS($W$2:W625),$W$2:$W$1001,0),1)&gt;=100000,INDEX($AD$1005:$AU$1005,1,MATCH(COLUMNS($AD$1006:AT1006),$AD$1006:$AU$1006,0))&gt;=100000), " ",IF(INDEX($AD$2:$AU$1001,MATCH(ROWS($W$2:W625),$W$2:$W$1001,0),MATCH(COLUMNS($AD$1006:AT1006),$AD$1006:$AU$1006,0)), HYPERLINK("#",""), HYPERLINK(CONCATENATE("#metadata!", ADDRESS(INDEX($Y$2:$Y$1001,MATCH(ROWS($W$2:W625),$W$2:$W$1001,0),0), INDEX($AD$1004:$AU$1004,1,MATCH(COLUMNS($AD$1006:AT1006),$AD$1006:$AU$1006,0)))),"Fix")))</f>
        <v xml:space="preserve"> </v>
      </c>
      <c r="S625" s="4" t="str">
        <f ca="1">IF(OR(INDEX($X$2:$X$1001,MATCH(ROWS($W$2:W625),$W$2:$W$1001,0),1)&gt;=100000,INDEX($AD$1005:$AU$1005,1,MATCH(COLUMNS($AD$1006:AU1006),$AD$1006:$AU$1006,0))&gt;=100000), " ",IF(INDEX($AD$2:$AU$1001,MATCH(ROWS($W$2:W625),$W$2:$W$1001,0),MATCH(COLUMNS($AD$1006:AU1006),$AD$1006:$AU$1006,0)), HYPERLINK("#",""), HYPERLINK(CONCATENATE("#metadata!", ADDRESS(INDEX($Y$2:$Y$1001,MATCH(ROWS($W$2:W625),$W$2:$W$1001,0),0), INDEX($AD$1004:$AU$1004,1,MATCH(COLUMNS($AD$1006:AU1006),$AD$1006:$AU$1006,0)))),"Fix")))</f>
        <v xml:space="preserve"> </v>
      </c>
      <c r="W625">
        <v>624</v>
      </c>
      <c r="X625">
        <v>100625</v>
      </c>
      <c r="Y625">
        <v>625</v>
      </c>
      <c r="Z625" t="b">
        <f t="shared" si="9"/>
        <v>1</v>
      </c>
      <c r="AA625" t="b">
        <f>COUNTBLANK(metadata!B625:S625)=COLUMNS(metadata!B625:S625)</f>
        <v>1</v>
      </c>
      <c r="AB625" t="str">
        <v/>
      </c>
      <c r="AD625" t="b">
        <f ca="1">AND(IF(metadata!B625="",FALSE,TRUE),COUNTIF(metadata!B:B, metadata!B625) = 1,NOT(ISERROR(SUMPRODUCT(SEARCH(MID(metadata!B625,ROW(INDIRECT("1:"&amp;LEN(metadata!B625))), 1),"0123456789abcdefghijklmnopqrstuvwxyzABCDEFGHIJKLMNOPQRSTUVWXYZ.")))))</f>
        <v>0</v>
      </c>
      <c r="AE625" t="b">
        <f>OR(AND(IF(metadata!C625="",FALSE,TRUE),OR(EXACT(metadata!C625,"not applicable"),EXACT(metadata!C625,"missing: not collected"),EXACT(metadata!C625,"missing: not provided"),EXACT(metadata!C625,"missing: restricted access"))),AND(IF(metadata!C625="",FALSE,ISNUMBER(VALUE(metadata!C625))),metadata!C625&gt;0))</f>
        <v>0</v>
      </c>
      <c r="AF625" t="b">
        <f>AND(IF(metadata!D625="",FALSE,TRUE),EXACT(metadata!D625,"missing: not provided"))</f>
        <v>0</v>
      </c>
      <c r="AG625" t="b">
        <f>AND(IF(metadata!E625="",FALSE,TRUE),EXACT(metadata!E625,"Host-associated"))</f>
        <v>0</v>
      </c>
      <c r="AH625" t="b">
        <f>AND(IF(metadata!F625="",FALSE,TRUE),OR(EXACT(metadata!F625,"Animal"),EXACT(metadata!F625,"Fungus"),EXACT(metadata!F625,"Plant")))</f>
        <v>0</v>
      </c>
      <c r="AI625" t="b">
        <f>AND(IF(metadata!G625="",FALSE,TRUE),OR(EXACT(metadata!G625,"Plant secretion"),EXACT(metadata!G625,"Plant rhizosphere"),EXACT(metadata!G625,"Plant surface"),EXACT(metadata!G625,"Plant corpus"),EXACT(metadata!G625,"Fungus surface"),EXACT(metadata!G625,"Fungus corpus"),EXACT(metadata!G625,"Animal surface"),EXACT(metadata!G625,"Animal proximal gut"),EXACT(metadata!G625,"Animal corpus"),EXACT(metadata!G625,"Animal distal gut"),EXACT(metadata!G625,"Animal secretion")))</f>
        <v>0</v>
      </c>
      <c r="AJ625" t="b">
        <f>OR(AND(IF(metadata!H625="",FALSE,TRUE),OR(EXACT(metadata!H625,"missing: not collected"),EXACT(metadata!H625,"missing: not provided"),EXACT(metadata!H625,"missing: restricted access"))),AND(IF(metadata!H625="",FALSE,TRUE),OR(EXACT(metadata!H625,"organism-associated habitat"),EXACT(metadata!H625,"plant-associated habitat"),EXACT(metadata!H625,"animal-associated habitat"),EXACT(metadata!H625,"insecta-associated habitat"),EXACT(metadata!H625,"mammalia-associated habitat"),EXACT(metadata!H625,"human-associated habitat"),EXACT(metadata!H625,"livestock-associated habitat"))))</f>
        <v>0</v>
      </c>
      <c r="AK625" t="b">
        <f>AND(IF(metadata!I625="",FALSE,TRUE),EXACT(metadata!I625,"host-associated"))</f>
        <v>0</v>
      </c>
      <c r="AL625" t="b">
        <f>OR(AND(IF(metadata!J625="",FALSE,TRUE),OR(EXACT(metadata!J625,"not applicable"),EXACT(metadata!J625,"missing: not collected"),EXACT(metadata!J625,"missing: not provided"),EXACT(metadata!J625,"missing: restricted access"))),AND(IF(metadata!J625="",FALSE,ISNUMBER(VALUE(metadata!J625))),metadata!J625&gt;0))</f>
        <v>0</v>
      </c>
      <c r="AM625" t="b">
        <f>AND(IF(metadata!K625="",FALSE,TRUE),EXACT(metadata!K625,"missing: not provided"))</f>
        <v>0</v>
      </c>
      <c r="AN625" t="b">
        <f>IF(metadata!L625="",FALSE,TRUE)</f>
        <v>0</v>
      </c>
      <c r="AO625" t="b">
        <f>IF(metadata!M625="",FALSE,TRUE)</f>
        <v>0</v>
      </c>
      <c r="AP625" t="b">
        <f>OR(AND(IF(metadata!N625="",FALSE,TRUE),OR(EXACT(metadata!N625,"not applicable"),EXACT(metadata!N625,"missing: not collected"),EXACT(metadata!N625,"missing: not provided"))),AND(IF(metadata!N625="",FALSE,IF(ISERROR(INT(metadata!N625)),FALSE,INT(metadata!N625)=metadata!N625)),metadata!N625&gt;0))</f>
        <v>0</v>
      </c>
      <c r="AQ625" t="b">
        <f>AND(IF(metadata!O625="",FALSE,TRUE),EXACT(metadata!O625,"Not applicable"))</f>
        <v>0</v>
      </c>
      <c r="AR625" t="b">
        <f>OR(AND(IF(metadata!P625="",FALSE,TRUE),OR(EXACT(metadata!P625,"not applicable"),EXACT(metadata!P625,"missing: not collected"),EXACT(metadata!P625,"missing: not provided"),EXACT(metadata!P625,"missing: restricted access"))),IF(metadata!P625="",FALSE,IF(ISERROR(INT(metadata!P625)),FALSE,INT(metadata!P625)=metadata!P625)))</f>
        <v>0</v>
      </c>
      <c r="AS625" t="b">
        <f>AND(IF(metadata!Q625="",FALSE,TRUE),EXACT(metadata!Q625,"Not applicable"))</f>
        <v>0</v>
      </c>
      <c r="AT625" t="b">
        <f>OR(AND(IF(metadata!R625="",FALSE,TRUE),OR(EXACT(metadata!R625,"not applicable"),EXACT(metadata!R625,"missing: not collected"),EXACT(metadata!R625,"missing: not provided"),EXACT(metadata!R625,"missing: restricted access"))),AND(IF(metadata!R625="",FALSE,ISNUMBER(VALUE(metadata!R625))),metadata!R625&gt;0))</f>
        <v>0</v>
      </c>
      <c r="AU625" t="b">
        <f>AND(IF(metadata!S625="",FALSE,TRUE),EXACT(metadata!S625,"missing: not provided"))</f>
        <v>0</v>
      </c>
    </row>
    <row r="626" spans="1:47" x14ac:dyDescent="0.2">
      <c r="A626" s="5" t="str">
        <f ca="1">IF(B626=" "," ",HYPERLINK(CONCATENATE("#metadata!",ADDRESS(INDEX($Y$2:$Y$1001,MATCH(ROWS($W$2:W626),$W$2:$W$1001,0),0),1)),INDEX($AB$2:$AB$1001,MATCH(ROWS($W$2:W626),$W$2:$W$1001,0),0)))</f>
        <v xml:space="preserve"> </v>
      </c>
      <c r="B626" s="4" t="str">
        <f ca="1">IF(OR(INDEX($X$2:$X$1001,MATCH(ROWS($W$2:W626),$W$2:$W$1001,0),1)&gt;=100000,INDEX($AD$1005:$AU$1005,1,MATCH(COLUMNS($AD$1006:AD1006),$AD$1006:$AU$1006,0))&gt;=100000), " ",IF(INDEX($AD$2:$AU$1001,MATCH(ROWS($W$2:W626),$W$2:$W$1001,0),MATCH(COLUMNS($AD$1006:AD1006),$AD$1006:$AU$1006,0)), HYPERLINK("#",""), HYPERLINK(CONCATENATE("#metadata!", ADDRESS(INDEX($Y$2:$Y$1001,MATCH(ROWS($W$2:W626),$W$2:$W$1001,0),0), INDEX($AD$1004:$AU$1004,1,MATCH(COLUMNS($AD$1006:AD1006),$AD$1006:$AU$1006,0)))),"Fix")))</f>
        <v xml:space="preserve"> </v>
      </c>
      <c r="C626" s="4" t="str">
        <f ca="1">IF(OR(INDEX($X$2:$X$1001,MATCH(ROWS($W$2:W626),$W$2:$W$1001,0),1)&gt;=100000,INDEX($AD$1005:$AU$1005,1,MATCH(COLUMNS($AD$1006:AE1006),$AD$1006:$AU$1006,0))&gt;=100000), " ",IF(INDEX($AD$2:$AU$1001,MATCH(ROWS($W$2:W626),$W$2:$W$1001,0),MATCH(COLUMNS($AD$1006:AE1006),$AD$1006:$AU$1006,0)), HYPERLINK("#",""), HYPERLINK(CONCATENATE("#metadata!", ADDRESS(INDEX($Y$2:$Y$1001,MATCH(ROWS($W$2:W626),$W$2:$W$1001,0),0), INDEX($AD$1004:$AU$1004,1,MATCH(COLUMNS($AD$1006:AE1006),$AD$1006:$AU$1006,0)))),"Fix")))</f>
        <v xml:space="preserve"> </v>
      </c>
      <c r="D626" s="4" t="str">
        <f ca="1">IF(OR(INDEX($X$2:$X$1001,MATCH(ROWS($W$2:W626),$W$2:$W$1001,0),1)&gt;=100000,INDEX($AD$1005:$AU$1005,1,MATCH(COLUMNS($AD$1006:AF1006),$AD$1006:$AU$1006,0))&gt;=100000), " ",IF(INDEX($AD$2:$AU$1001,MATCH(ROWS($W$2:W626),$W$2:$W$1001,0),MATCH(COLUMNS($AD$1006:AF1006),$AD$1006:$AU$1006,0)), HYPERLINK("#",""), HYPERLINK(CONCATENATE("#metadata!", ADDRESS(INDEX($Y$2:$Y$1001,MATCH(ROWS($W$2:W626),$W$2:$W$1001,0),0), INDEX($AD$1004:$AU$1004,1,MATCH(COLUMNS($AD$1006:AF1006),$AD$1006:$AU$1006,0)))),"Fix")))</f>
        <v xml:space="preserve"> </v>
      </c>
      <c r="E626" s="4" t="str">
        <f ca="1">IF(OR(INDEX($X$2:$X$1001,MATCH(ROWS($W$2:W626),$W$2:$W$1001,0),1)&gt;=100000,INDEX($AD$1005:$AU$1005,1,MATCH(COLUMNS($AD$1006:AG1006),$AD$1006:$AU$1006,0))&gt;=100000), " ",IF(INDEX($AD$2:$AU$1001,MATCH(ROWS($W$2:W626),$W$2:$W$1001,0),MATCH(COLUMNS($AD$1006:AG1006),$AD$1006:$AU$1006,0)), HYPERLINK("#",""), HYPERLINK(CONCATENATE("#metadata!", ADDRESS(INDEX($Y$2:$Y$1001,MATCH(ROWS($W$2:W626),$W$2:$W$1001,0),0), INDEX($AD$1004:$AU$1004,1,MATCH(COLUMNS($AD$1006:AG1006),$AD$1006:$AU$1006,0)))),"Fix")))</f>
        <v xml:space="preserve"> </v>
      </c>
      <c r="F626" s="4" t="str">
        <f ca="1">IF(OR(INDEX($X$2:$X$1001,MATCH(ROWS($W$2:W626),$W$2:$W$1001,0),1)&gt;=100000,INDEX($AD$1005:$AU$1005,1,MATCH(COLUMNS($AD$1006:AH1006),$AD$1006:$AU$1006,0))&gt;=100000), " ",IF(INDEX($AD$2:$AU$1001,MATCH(ROWS($W$2:W626),$W$2:$W$1001,0),MATCH(COLUMNS($AD$1006:AH1006),$AD$1006:$AU$1006,0)), HYPERLINK("#",""), HYPERLINK(CONCATENATE("#metadata!", ADDRESS(INDEX($Y$2:$Y$1001,MATCH(ROWS($W$2:W626),$W$2:$W$1001,0),0), INDEX($AD$1004:$AU$1004,1,MATCH(COLUMNS($AD$1006:AH1006),$AD$1006:$AU$1006,0)))),"Fix")))</f>
        <v xml:space="preserve"> </v>
      </c>
      <c r="G626" s="4" t="str">
        <f ca="1">IF(OR(INDEX($X$2:$X$1001,MATCH(ROWS($W$2:W626),$W$2:$W$1001,0),1)&gt;=100000,INDEX($AD$1005:$AU$1005,1,MATCH(COLUMNS($AD$1006:AI1006),$AD$1006:$AU$1006,0))&gt;=100000), " ",IF(INDEX($AD$2:$AU$1001,MATCH(ROWS($W$2:W626),$W$2:$W$1001,0),MATCH(COLUMNS($AD$1006:AI1006),$AD$1006:$AU$1006,0)), HYPERLINK("#",""), HYPERLINK(CONCATENATE("#metadata!", ADDRESS(INDEX($Y$2:$Y$1001,MATCH(ROWS($W$2:W626),$W$2:$W$1001,0),0), INDEX($AD$1004:$AU$1004,1,MATCH(COLUMNS($AD$1006:AI1006),$AD$1006:$AU$1006,0)))),"Fix")))</f>
        <v xml:space="preserve"> </v>
      </c>
      <c r="H626" s="4" t="str">
        <f ca="1">IF(OR(INDEX($X$2:$X$1001,MATCH(ROWS($W$2:W626),$W$2:$W$1001,0),1)&gt;=100000,INDEX($AD$1005:$AU$1005,1,MATCH(COLUMNS($AD$1006:AJ1006),$AD$1006:$AU$1006,0))&gt;=100000), " ",IF(INDEX($AD$2:$AU$1001,MATCH(ROWS($W$2:W626),$W$2:$W$1001,0),MATCH(COLUMNS($AD$1006:AJ1006),$AD$1006:$AU$1006,0)), HYPERLINK("#",""), HYPERLINK(CONCATENATE("#metadata!", ADDRESS(INDEX($Y$2:$Y$1001,MATCH(ROWS($W$2:W626),$W$2:$W$1001,0),0), INDEX($AD$1004:$AU$1004,1,MATCH(COLUMNS($AD$1006:AJ1006),$AD$1006:$AU$1006,0)))),"Fix")))</f>
        <v xml:space="preserve"> </v>
      </c>
      <c r="I626" s="4" t="str">
        <f ca="1">IF(OR(INDEX($X$2:$X$1001,MATCH(ROWS($W$2:W626),$W$2:$W$1001,0),1)&gt;=100000,INDEX($AD$1005:$AU$1005,1,MATCH(COLUMNS($AD$1006:AK1006),$AD$1006:$AU$1006,0))&gt;=100000), " ",IF(INDEX($AD$2:$AU$1001,MATCH(ROWS($W$2:W626),$W$2:$W$1001,0),MATCH(COLUMNS($AD$1006:AK1006),$AD$1006:$AU$1006,0)), HYPERLINK("#",""), HYPERLINK(CONCATENATE("#metadata!", ADDRESS(INDEX($Y$2:$Y$1001,MATCH(ROWS($W$2:W626),$W$2:$W$1001,0),0), INDEX($AD$1004:$AU$1004,1,MATCH(COLUMNS($AD$1006:AK1006),$AD$1006:$AU$1006,0)))),"Fix")))</f>
        <v xml:space="preserve"> </v>
      </c>
      <c r="J626" s="4" t="str">
        <f ca="1">IF(OR(INDEX($X$2:$X$1001,MATCH(ROWS($W$2:W626),$W$2:$W$1001,0),1)&gt;=100000,INDEX($AD$1005:$AU$1005,1,MATCH(COLUMNS($AD$1006:AL1006),$AD$1006:$AU$1006,0))&gt;=100000), " ",IF(INDEX($AD$2:$AU$1001,MATCH(ROWS($W$2:W626),$W$2:$W$1001,0),MATCH(COLUMNS($AD$1006:AL1006),$AD$1006:$AU$1006,0)), HYPERLINK("#",""), HYPERLINK(CONCATENATE("#metadata!", ADDRESS(INDEX($Y$2:$Y$1001,MATCH(ROWS($W$2:W626),$W$2:$W$1001,0),0), INDEX($AD$1004:$AU$1004,1,MATCH(COLUMNS($AD$1006:AL1006),$AD$1006:$AU$1006,0)))),"Fix")))</f>
        <v xml:space="preserve"> </v>
      </c>
      <c r="K626" s="4" t="str">
        <f ca="1">IF(OR(INDEX($X$2:$X$1001,MATCH(ROWS($W$2:W626),$W$2:$W$1001,0),1)&gt;=100000,INDEX($AD$1005:$AU$1005,1,MATCH(COLUMNS($AD$1006:AM1006),$AD$1006:$AU$1006,0))&gt;=100000), " ",IF(INDEX($AD$2:$AU$1001,MATCH(ROWS($W$2:W626),$W$2:$W$1001,0),MATCH(COLUMNS($AD$1006:AM1006),$AD$1006:$AU$1006,0)), HYPERLINK("#",""), HYPERLINK(CONCATENATE("#metadata!", ADDRESS(INDEX($Y$2:$Y$1001,MATCH(ROWS($W$2:W626),$W$2:$W$1001,0),0), INDEX($AD$1004:$AU$1004,1,MATCH(COLUMNS($AD$1006:AM1006),$AD$1006:$AU$1006,0)))),"Fix")))</f>
        <v xml:space="preserve"> </v>
      </c>
      <c r="L626" s="4" t="str">
        <f ca="1">IF(OR(INDEX($X$2:$X$1001,MATCH(ROWS($W$2:W626),$W$2:$W$1001,0),1)&gt;=100000,INDEX($AD$1005:$AU$1005,1,MATCH(COLUMNS($AD$1006:AN1006),$AD$1006:$AU$1006,0))&gt;=100000), " ",IF(INDEX($AD$2:$AU$1001,MATCH(ROWS($W$2:W626),$W$2:$W$1001,0),MATCH(COLUMNS($AD$1006:AN1006),$AD$1006:$AU$1006,0)), HYPERLINK("#",""), HYPERLINK(CONCATENATE("#metadata!", ADDRESS(INDEX($Y$2:$Y$1001,MATCH(ROWS($W$2:W626),$W$2:$W$1001,0),0), INDEX($AD$1004:$AU$1004,1,MATCH(COLUMNS($AD$1006:AN1006),$AD$1006:$AU$1006,0)))),"Fix")))</f>
        <v xml:space="preserve"> </v>
      </c>
      <c r="M626" s="4" t="str">
        <f ca="1">IF(OR(INDEX($X$2:$X$1001,MATCH(ROWS($W$2:W626),$W$2:$W$1001,0),1)&gt;=100000,INDEX($AD$1005:$AU$1005,1,MATCH(COLUMNS($AD$1006:AO1006),$AD$1006:$AU$1006,0))&gt;=100000), " ",IF(INDEX($AD$2:$AU$1001,MATCH(ROWS($W$2:W626),$W$2:$W$1001,0),MATCH(COLUMNS($AD$1006:AO1006),$AD$1006:$AU$1006,0)), HYPERLINK("#",""), HYPERLINK(CONCATENATE("#metadata!", ADDRESS(INDEX($Y$2:$Y$1001,MATCH(ROWS($W$2:W626),$W$2:$W$1001,0),0), INDEX($AD$1004:$AU$1004,1,MATCH(COLUMNS($AD$1006:AO1006),$AD$1006:$AU$1006,0)))),"Fix")))</f>
        <v xml:space="preserve"> </v>
      </c>
      <c r="N626" s="4" t="str">
        <f ca="1">IF(OR(INDEX($X$2:$X$1001,MATCH(ROWS($W$2:W626),$W$2:$W$1001,0),1)&gt;=100000,INDEX($AD$1005:$AU$1005,1,MATCH(COLUMNS($AD$1006:AP1006),$AD$1006:$AU$1006,0))&gt;=100000), " ",IF(INDEX($AD$2:$AU$1001,MATCH(ROWS($W$2:W626),$W$2:$W$1001,0),MATCH(COLUMNS($AD$1006:AP1006),$AD$1006:$AU$1006,0)), HYPERLINK("#",""), HYPERLINK(CONCATENATE("#metadata!", ADDRESS(INDEX($Y$2:$Y$1001,MATCH(ROWS($W$2:W626),$W$2:$W$1001,0),0), INDEX($AD$1004:$AU$1004,1,MATCH(COLUMNS($AD$1006:AP1006),$AD$1006:$AU$1006,0)))),"Fix")))</f>
        <v xml:space="preserve"> </v>
      </c>
      <c r="O626" s="4" t="str">
        <f ca="1">IF(OR(INDEX($X$2:$X$1001,MATCH(ROWS($W$2:W626),$W$2:$W$1001,0),1)&gt;=100000,INDEX($AD$1005:$AU$1005,1,MATCH(COLUMNS($AD$1006:AQ1006),$AD$1006:$AU$1006,0))&gt;=100000), " ",IF(INDEX($AD$2:$AU$1001,MATCH(ROWS($W$2:W626),$W$2:$W$1001,0),MATCH(COLUMNS($AD$1006:AQ1006),$AD$1006:$AU$1006,0)), HYPERLINK("#",""), HYPERLINK(CONCATENATE("#metadata!", ADDRESS(INDEX($Y$2:$Y$1001,MATCH(ROWS($W$2:W626),$W$2:$W$1001,0),0), INDEX($AD$1004:$AU$1004,1,MATCH(COLUMNS($AD$1006:AQ1006),$AD$1006:$AU$1006,0)))),"Fix")))</f>
        <v xml:space="preserve"> </v>
      </c>
      <c r="P626" s="4" t="str">
        <f ca="1">IF(OR(INDEX($X$2:$X$1001,MATCH(ROWS($W$2:W626),$W$2:$W$1001,0),1)&gt;=100000,INDEX($AD$1005:$AU$1005,1,MATCH(COLUMNS($AD$1006:AR1006),$AD$1006:$AU$1006,0))&gt;=100000), " ",IF(INDEX($AD$2:$AU$1001,MATCH(ROWS($W$2:W626),$W$2:$W$1001,0),MATCH(COLUMNS($AD$1006:AR1006),$AD$1006:$AU$1006,0)), HYPERLINK("#",""), HYPERLINK(CONCATENATE("#metadata!", ADDRESS(INDEX($Y$2:$Y$1001,MATCH(ROWS($W$2:W626),$W$2:$W$1001,0),0), INDEX($AD$1004:$AU$1004,1,MATCH(COLUMNS($AD$1006:AR1006),$AD$1006:$AU$1006,0)))),"Fix")))</f>
        <v xml:space="preserve"> </v>
      </c>
      <c r="Q626" s="4" t="str">
        <f ca="1">IF(OR(INDEX($X$2:$X$1001,MATCH(ROWS($W$2:W626),$W$2:$W$1001,0),1)&gt;=100000,INDEX($AD$1005:$AU$1005,1,MATCH(COLUMNS($AD$1006:AS1006),$AD$1006:$AU$1006,0))&gt;=100000), " ",IF(INDEX($AD$2:$AU$1001,MATCH(ROWS($W$2:W626),$W$2:$W$1001,0),MATCH(COLUMNS($AD$1006:AS1006),$AD$1006:$AU$1006,0)), HYPERLINK("#",""), HYPERLINK(CONCATENATE("#metadata!", ADDRESS(INDEX($Y$2:$Y$1001,MATCH(ROWS($W$2:W626),$W$2:$W$1001,0),0), INDEX($AD$1004:$AU$1004,1,MATCH(COLUMNS($AD$1006:AS1006),$AD$1006:$AU$1006,0)))),"Fix")))</f>
        <v xml:space="preserve"> </v>
      </c>
      <c r="R626" s="4" t="str">
        <f ca="1">IF(OR(INDEX($X$2:$X$1001,MATCH(ROWS($W$2:W626),$W$2:$W$1001,0),1)&gt;=100000,INDEX($AD$1005:$AU$1005,1,MATCH(COLUMNS($AD$1006:AT1006),$AD$1006:$AU$1006,0))&gt;=100000), " ",IF(INDEX($AD$2:$AU$1001,MATCH(ROWS($W$2:W626),$W$2:$W$1001,0),MATCH(COLUMNS($AD$1006:AT1006),$AD$1006:$AU$1006,0)), HYPERLINK("#",""), HYPERLINK(CONCATENATE("#metadata!", ADDRESS(INDEX($Y$2:$Y$1001,MATCH(ROWS($W$2:W626),$W$2:$W$1001,0),0), INDEX($AD$1004:$AU$1004,1,MATCH(COLUMNS($AD$1006:AT1006),$AD$1006:$AU$1006,0)))),"Fix")))</f>
        <v xml:space="preserve"> </v>
      </c>
      <c r="S626" s="4" t="str">
        <f ca="1">IF(OR(INDEX($X$2:$X$1001,MATCH(ROWS($W$2:W626),$W$2:$W$1001,0),1)&gt;=100000,INDEX($AD$1005:$AU$1005,1,MATCH(COLUMNS($AD$1006:AU1006),$AD$1006:$AU$1006,0))&gt;=100000), " ",IF(INDEX($AD$2:$AU$1001,MATCH(ROWS($W$2:W626),$W$2:$W$1001,0),MATCH(COLUMNS($AD$1006:AU1006),$AD$1006:$AU$1006,0)), HYPERLINK("#",""), HYPERLINK(CONCATENATE("#metadata!", ADDRESS(INDEX($Y$2:$Y$1001,MATCH(ROWS($W$2:W626),$W$2:$W$1001,0),0), INDEX($AD$1004:$AU$1004,1,MATCH(COLUMNS($AD$1006:AU1006),$AD$1006:$AU$1006,0)))),"Fix")))</f>
        <v xml:space="preserve"> </v>
      </c>
      <c r="W626">
        <v>625</v>
      </c>
      <c r="X626">
        <v>100626</v>
      </c>
      <c r="Y626">
        <v>626</v>
      </c>
      <c r="Z626" t="b">
        <f t="shared" si="9"/>
        <v>1</v>
      </c>
      <c r="AA626" t="b">
        <f>COUNTBLANK(metadata!B626:S626)=COLUMNS(metadata!B626:S626)</f>
        <v>1</v>
      </c>
      <c r="AB626" t="str">
        <v/>
      </c>
      <c r="AD626" t="b">
        <f ca="1">AND(IF(metadata!B626="",FALSE,TRUE),COUNTIF(metadata!B:B, metadata!B626) = 1,NOT(ISERROR(SUMPRODUCT(SEARCH(MID(metadata!B626,ROW(INDIRECT("1:"&amp;LEN(metadata!B626))), 1),"0123456789abcdefghijklmnopqrstuvwxyzABCDEFGHIJKLMNOPQRSTUVWXYZ.")))))</f>
        <v>0</v>
      </c>
      <c r="AE626" t="b">
        <f>OR(AND(IF(metadata!C626="",FALSE,TRUE),OR(EXACT(metadata!C626,"not applicable"),EXACT(metadata!C626,"missing: not collected"),EXACT(metadata!C626,"missing: not provided"),EXACT(metadata!C626,"missing: restricted access"))),AND(IF(metadata!C626="",FALSE,ISNUMBER(VALUE(metadata!C626))),metadata!C626&gt;0))</f>
        <v>0</v>
      </c>
      <c r="AF626" t="b">
        <f>AND(IF(metadata!D626="",FALSE,TRUE),EXACT(metadata!D626,"missing: not provided"))</f>
        <v>0</v>
      </c>
      <c r="AG626" t="b">
        <f>AND(IF(metadata!E626="",FALSE,TRUE),EXACT(metadata!E626,"Host-associated"))</f>
        <v>0</v>
      </c>
      <c r="AH626" t="b">
        <f>AND(IF(metadata!F626="",FALSE,TRUE),OR(EXACT(metadata!F626,"Animal"),EXACT(metadata!F626,"Fungus"),EXACT(metadata!F626,"Plant")))</f>
        <v>0</v>
      </c>
      <c r="AI626" t="b">
        <f>AND(IF(metadata!G626="",FALSE,TRUE),OR(EXACT(metadata!G626,"Plant secretion"),EXACT(metadata!G626,"Plant rhizosphere"),EXACT(metadata!G626,"Plant surface"),EXACT(metadata!G626,"Plant corpus"),EXACT(metadata!G626,"Fungus surface"),EXACT(metadata!G626,"Fungus corpus"),EXACT(metadata!G626,"Animal surface"),EXACT(metadata!G626,"Animal proximal gut"),EXACT(metadata!G626,"Animal corpus"),EXACT(metadata!G626,"Animal distal gut"),EXACT(metadata!G626,"Animal secretion")))</f>
        <v>0</v>
      </c>
      <c r="AJ626" t="b">
        <f>OR(AND(IF(metadata!H626="",FALSE,TRUE),OR(EXACT(metadata!H626,"missing: not collected"),EXACT(metadata!H626,"missing: not provided"),EXACT(metadata!H626,"missing: restricted access"))),AND(IF(metadata!H626="",FALSE,TRUE),OR(EXACT(metadata!H626,"organism-associated habitat"),EXACT(metadata!H626,"plant-associated habitat"),EXACT(metadata!H626,"animal-associated habitat"),EXACT(metadata!H626,"insecta-associated habitat"),EXACT(metadata!H626,"mammalia-associated habitat"),EXACT(metadata!H626,"human-associated habitat"),EXACT(metadata!H626,"livestock-associated habitat"))))</f>
        <v>0</v>
      </c>
      <c r="AK626" t="b">
        <f>AND(IF(metadata!I626="",FALSE,TRUE),EXACT(metadata!I626,"host-associated"))</f>
        <v>0</v>
      </c>
      <c r="AL626" t="b">
        <f>OR(AND(IF(metadata!J626="",FALSE,TRUE),OR(EXACT(metadata!J626,"not applicable"),EXACT(metadata!J626,"missing: not collected"),EXACT(metadata!J626,"missing: not provided"),EXACT(metadata!J626,"missing: restricted access"))),AND(IF(metadata!J626="",FALSE,ISNUMBER(VALUE(metadata!J626))),metadata!J626&gt;0))</f>
        <v>0</v>
      </c>
      <c r="AM626" t="b">
        <f>AND(IF(metadata!K626="",FALSE,TRUE),EXACT(metadata!K626,"missing: not provided"))</f>
        <v>0</v>
      </c>
      <c r="AN626" t="b">
        <f>IF(metadata!L626="",FALSE,TRUE)</f>
        <v>0</v>
      </c>
      <c r="AO626" t="b">
        <f>IF(metadata!M626="",FALSE,TRUE)</f>
        <v>0</v>
      </c>
      <c r="AP626" t="b">
        <f>OR(AND(IF(metadata!N626="",FALSE,TRUE),OR(EXACT(metadata!N626,"not applicable"),EXACT(metadata!N626,"missing: not collected"),EXACT(metadata!N626,"missing: not provided"))),AND(IF(metadata!N626="",FALSE,IF(ISERROR(INT(metadata!N626)),FALSE,INT(metadata!N626)=metadata!N626)),metadata!N626&gt;0))</f>
        <v>0</v>
      </c>
      <c r="AQ626" t="b">
        <f>AND(IF(metadata!O626="",FALSE,TRUE),EXACT(metadata!O626,"Not applicable"))</f>
        <v>0</v>
      </c>
      <c r="AR626" t="b">
        <f>OR(AND(IF(metadata!P626="",FALSE,TRUE),OR(EXACT(metadata!P626,"not applicable"),EXACT(metadata!P626,"missing: not collected"),EXACT(metadata!P626,"missing: not provided"),EXACT(metadata!P626,"missing: restricted access"))),IF(metadata!P626="",FALSE,IF(ISERROR(INT(metadata!P626)),FALSE,INT(metadata!P626)=metadata!P626)))</f>
        <v>0</v>
      </c>
      <c r="AS626" t="b">
        <f>AND(IF(metadata!Q626="",FALSE,TRUE),EXACT(metadata!Q626,"Not applicable"))</f>
        <v>0</v>
      </c>
      <c r="AT626" t="b">
        <f>OR(AND(IF(metadata!R626="",FALSE,TRUE),OR(EXACT(metadata!R626,"not applicable"),EXACT(metadata!R626,"missing: not collected"),EXACT(metadata!R626,"missing: not provided"),EXACT(metadata!R626,"missing: restricted access"))),AND(IF(metadata!R626="",FALSE,ISNUMBER(VALUE(metadata!R626))),metadata!R626&gt;0))</f>
        <v>0</v>
      </c>
      <c r="AU626" t="b">
        <f>AND(IF(metadata!S626="",FALSE,TRUE),EXACT(metadata!S626,"missing: not provided"))</f>
        <v>0</v>
      </c>
    </row>
    <row r="627" spans="1:47" x14ac:dyDescent="0.2">
      <c r="A627" s="5" t="str">
        <f ca="1">IF(B627=" "," ",HYPERLINK(CONCATENATE("#metadata!",ADDRESS(INDEX($Y$2:$Y$1001,MATCH(ROWS($W$2:W627),$W$2:$W$1001,0),0),1)),INDEX($AB$2:$AB$1001,MATCH(ROWS($W$2:W627),$W$2:$W$1001,0),0)))</f>
        <v xml:space="preserve"> </v>
      </c>
      <c r="B627" s="4" t="str">
        <f ca="1">IF(OR(INDEX($X$2:$X$1001,MATCH(ROWS($W$2:W627),$W$2:$W$1001,0),1)&gt;=100000,INDEX($AD$1005:$AU$1005,1,MATCH(COLUMNS($AD$1006:AD1006),$AD$1006:$AU$1006,0))&gt;=100000), " ",IF(INDEX($AD$2:$AU$1001,MATCH(ROWS($W$2:W627),$W$2:$W$1001,0),MATCH(COLUMNS($AD$1006:AD1006),$AD$1006:$AU$1006,0)), HYPERLINK("#",""), HYPERLINK(CONCATENATE("#metadata!", ADDRESS(INDEX($Y$2:$Y$1001,MATCH(ROWS($W$2:W627),$W$2:$W$1001,0),0), INDEX($AD$1004:$AU$1004,1,MATCH(COLUMNS($AD$1006:AD1006),$AD$1006:$AU$1006,0)))),"Fix")))</f>
        <v xml:space="preserve"> </v>
      </c>
      <c r="C627" s="4" t="str">
        <f ca="1">IF(OR(INDEX($X$2:$X$1001,MATCH(ROWS($W$2:W627),$W$2:$W$1001,0),1)&gt;=100000,INDEX($AD$1005:$AU$1005,1,MATCH(COLUMNS($AD$1006:AE1006),$AD$1006:$AU$1006,0))&gt;=100000), " ",IF(INDEX($AD$2:$AU$1001,MATCH(ROWS($W$2:W627),$W$2:$W$1001,0),MATCH(COLUMNS($AD$1006:AE1006),$AD$1006:$AU$1006,0)), HYPERLINK("#",""), HYPERLINK(CONCATENATE("#metadata!", ADDRESS(INDEX($Y$2:$Y$1001,MATCH(ROWS($W$2:W627),$W$2:$W$1001,0),0), INDEX($AD$1004:$AU$1004,1,MATCH(COLUMNS($AD$1006:AE1006),$AD$1006:$AU$1006,0)))),"Fix")))</f>
        <v xml:space="preserve"> </v>
      </c>
      <c r="D627" s="4" t="str">
        <f ca="1">IF(OR(INDEX($X$2:$X$1001,MATCH(ROWS($W$2:W627),$W$2:$W$1001,0),1)&gt;=100000,INDEX($AD$1005:$AU$1005,1,MATCH(COLUMNS($AD$1006:AF1006),$AD$1006:$AU$1006,0))&gt;=100000), " ",IF(INDEX($AD$2:$AU$1001,MATCH(ROWS($W$2:W627),$W$2:$W$1001,0),MATCH(COLUMNS($AD$1006:AF1006),$AD$1006:$AU$1006,0)), HYPERLINK("#",""), HYPERLINK(CONCATENATE("#metadata!", ADDRESS(INDEX($Y$2:$Y$1001,MATCH(ROWS($W$2:W627),$W$2:$W$1001,0),0), INDEX($AD$1004:$AU$1004,1,MATCH(COLUMNS($AD$1006:AF1006),$AD$1006:$AU$1006,0)))),"Fix")))</f>
        <v xml:space="preserve"> </v>
      </c>
      <c r="E627" s="4" t="str">
        <f ca="1">IF(OR(INDEX($X$2:$X$1001,MATCH(ROWS($W$2:W627),$W$2:$W$1001,0),1)&gt;=100000,INDEX($AD$1005:$AU$1005,1,MATCH(COLUMNS($AD$1006:AG1006),$AD$1006:$AU$1006,0))&gt;=100000), " ",IF(INDEX($AD$2:$AU$1001,MATCH(ROWS($W$2:W627),$W$2:$W$1001,0),MATCH(COLUMNS($AD$1006:AG1006),$AD$1006:$AU$1006,0)), HYPERLINK("#",""), HYPERLINK(CONCATENATE("#metadata!", ADDRESS(INDEX($Y$2:$Y$1001,MATCH(ROWS($W$2:W627),$W$2:$W$1001,0),0), INDEX($AD$1004:$AU$1004,1,MATCH(COLUMNS($AD$1006:AG1006),$AD$1006:$AU$1006,0)))),"Fix")))</f>
        <v xml:space="preserve"> </v>
      </c>
      <c r="F627" s="4" t="str">
        <f ca="1">IF(OR(INDEX($X$2:$X$1001,MATCH(ROWS($W$2:W627),$W$2:$W$1001,0),1)&gt;=100000,INDEX($AD$1005:$AU$1005,1,MATCH(COLUMNS($AD$1006:AH1006),$AD$1006:$AU$1006,0))&gt;=100000), " ",IF(INDEX($AD$2:$AU$1001,MATCH(ROWS($W$2:W627),$W$2:$W$1001,0),MATCH(COLUMNS($AD$1006:AH1006),$AD$1006:$AU$1006,0)), HYPERLINK("#",""), HYPERLINK(CONCATENATE("#metadata!", ADDRESS(INDEX($Y$2:$Y$1001,MATCH(ROWS($W$2:W627),$W$2:$W$1001,0),0), INDEX($AD$1004:$AU$1004,1,MATCH(COLUMNS($AD$1006:AH1006),$AD$1006:$AU$1006,0)))),"Fix")))</f>
        <v xml:space="preserve"> </v>
      </c>
      <c r="G627" s="4" t="str">
        <f ca="1">IF(OR(INDEX($X$2:$X$1001,MATCH(ROWS($W$2:W627),$W$2:$W$1001,0),1)&gt;=100000,INDEX($AD$1005:$AU$1005,1,MATCH(COLUMNS($AD$1006:AI1006),$AD$1006:$AU$1006,0))&gt;=100000), " ",IF(INDEX($AD$2:$AU$1001,MATCH(ROWS($W$2:W627),$W$2:$W$1001,0),MATCH(COLUMNS($AD$1006:AI1006),$AD$1006:$AU$1006,0)), HYPERLINK("#",""), HYPERLINK(CONCATENATE("#metadata!", ADDRESS(INDEX($Y$2:$Y$1001,MATCH(ROWS($W$2:W627),$W$2:$W$1001,0),0), INDEX($AD$1004:$AU$1004,1,MATCH(COLUMNS($AD$1006:AI1006),$AD$1006:$AU$1006,0)))),"Fix")))</f>
        <v xml:space="preserve"> </v>
      </c>
      <c r="H627" s="4" t="str">
        <f ca="1">IF(OR(INDEX($X$2:$X$1001,MATCH(ROWS($W$2:W627),$W$2:$W$1001,0),1)&gt;=100000,INDEX($AD$1005:$AU$1005,1,MATCH(COLUMNS($AD$1006:AJ1006),$AD$1006:$AU$1006,0))&gt;=100000), " ",IF(INDEX($AD$2:$AU$1001,MATCH(ROWS($W$2:W627),$W$2:$W$1001,0),MATCH(COLUMNS($AD$1006:AJ1006),$AD$1006:$AU$1006,0)), HYPERLINK("#",""), HYPERLINK(CONCATENATE("#metadata!", ADDRESS(INDEX($Y$2:$Y$1001,MATCH(ROWS($W$2:W627),$W$2:$W$1001,0),0), INDEX($AD$1004:$AU$1004,1,MATCH(COLUMNS($AD$1006:AJ1006),$AD$1006:$AU$1006,0)))),"Fix")))</f>
        <v xml:space="preserve"> </v>
      </c>
      <c r="I627" s="4" t="str">
        <f ca="1">IF(OR(INDEX($X$2:$X$1001,MATCH(ROWS($W$2:W627),$W$2:$W$1001,0),1)&gt;=100000,INDEX($AD$1005:$AU$1005,1,MATCH(COLUMNS($AD$1006:AK1006),$AD$1006:$AU$1006,0))&gt;=100000), " ",IF(INDEX($AD$2:$AU$1001,MATCH(ROWS($W$2:W627),$W$2:$W$1001,0),MATCH(COLUMNS($AD$1006:AK1006),$AD$1006:$AU$1006,0)), HYPERLINK("#",""), HYPERLINK(CONCATENATE("#metadata!", ADDRESS(INDEX($Y$2:$Y$1001,MATCH(ROWS($W$2:W627),$W$2:$W$1001,0),0), INDEX($AD$1004:$AU$1004,1,MATCH(COLUMNS($AD$1006:AK1006),$AD$1006:$AU$1006,0)))),"Fix")))</f>
        <v xml:space="preserve"> </v>
      </c>
      <c r="J627" s="4" t="str">
        <f ca="1">IF(OR(INDEX($X$2:$X$1001,MATCH(ROWS($W$2:W627),$W$2:$W$1001,0),1)&gt;=100000,INDEX($AD$1005:$AU$1005,1,MATCH(COLUMNS($AD$1006:AL1006),$AD$1006:$AU$1006,0))&gt;=100000), " ",IF(INDEX($AD$2:$AU$1001,MATCH(ROWS($W$2:W627),$W$2:$W$1001,0),MATCH(COLUMNS($AD$1006:AL1006),$AD$1006:$AU$1006,0)), HYPERLINK("#",""), HYPERLINK(CONCATENATE("#metadata!", ADDRESS(INDEX($Y$2:$Y$1001,MATCH(ROWS($W$2:W627),$W$2:$W$1001,0),0), INDEX($AD$1004:$AU$1004,1,MATCH(COLUMNS($AD$1006:AL1006),$AD$1006:$AU$1006,0)))),"Fix")))</f>
        <v xml:space="preserve"> </v>
      </c>
      <c r="K627" s="4" t="str">
        <f ca="1">IF(OR(INDEX($X$2:$X$1001,MATCH(ROWS($W$2:W627),$W$2:$W$1001,0),1)&gt;=100000,INDEX($AD$1005:$AU$1005,1,MATCH(COLUMNS($AD$1006:AM1006),$AD$1006:$AU$1006,0))&gt;=100000), " ",IF(INDEX($AD$2:$AU$1001,MATCH(ROWS($W$2:W627),$W$2:$W$1001,0),MATCH(COLUMNS($AD$1006:AM1006),$AD$1006:$AU$1006,0)), HYPERLINK("#",""), HYPERLINK(CONCATENATE("#metadata!", ADDRESS(INDEX($Y$2:$Y$1001,MATCH(ROWS($W$2:W627),$W$2:$W$1001,0),0), INDEX($AD$1004:$AU$1004,1,MATCH(COLUMNS($AD$1006:AM1006),$AD$1006:$AU$1006,0)))),"Fix")))</f>
        <v xml:space="preserve"> </v>
      </c>
      <c r="L627" s="4" t="str">
        <f ca="1">IF(OR(INDEX($X$2:$X$1001,MATCH(ROWS($W$2:W627),$W$2:$W$1001,0),1)&gt;=100000,INDEX($AD$1005:$AU$1005,1,MATCH(COLUMNS($AD$1006:AN1006),$AD$1006:$AU$1006,0))&gt;=100000), " ",IF(INDEX($AD$2:$AU$1001,MATCH(ROWS($W$2:W627),$W$2:$W$1001,0),MATCH(COLUMNS($AD$1006:AN1006),$AD$1006:$AU$1006,0)), HYPERLINK("#",""), HYPERLINK(CONCATENATE("#metadata!", ADDRESS(INDEX($Y$2:$Y$1001,MATCH(ROWS($W$2:W627),$W$2:$W$1001,0),0), INDEX($AD$1004:$AU$1004,1,MATCH(COLUMNS($AD$1006:AN1006),$AD$1006:$AU$1006,0)))),"Fix")))</f>
        <v xml:space="preserve"> </v>
      </c>
      <c r="M627" s="4" t="str">
        <f ca="1">IF(OR(INDEX($X$2:$X$1001,MATCH(ROWS($W$2:W627),$W$2:$W$1001,0),1)&gt;=100000,INDEX($AD$1005:$AU$1005,1,MATCH(COLUMNS($AD$1006:AO1006),$AD$1006:$AU$1006,0))&gt;=100000), " ",IF(INDEX($AD$2:$AU$1001,MATCH(ROWS($W$2:W627),$W$2:$W$1001,0),MATCH(COLUMNS($AD$1006:AO1006),$AD$1006:$AU$1006,0)), HYPERLINK("#",""), HYPERLINK(CONCATENATE("#metadata!", ADDRESS(INDEX($Y$2:$Y$1001,MATCH(ROWS($W$2:W627),$W$2:$W$1001,0),0), INDEX($AD$1004:$AU$1004,1,MATCH(COLUMNS($AD$1006:AO1006),$AD$1006:$AU$1006,0)))),"Fix")))</f>
        <v xml:space="preserve"> </v>
      </c>
      <c r="N627" s="4" t="str">
        <f ca="1">IF(OR(INDEX($X$2:$X$1001,MATCH(ROWS($W$2:W627),$W$2:$W$1001,0),1)&gt;=100000,INDEX($AD$1005:$AU$1005,1,MATCH(COLUMNS($AD$1006:AP1006),$AD$1006:$AU$1006,0))&gt;=100000), " ",IF(INDEX($AD$2:$AU$1001,MATCH(ROWS($W$2:W627),$W$2:$W$1001,0),MATCH(COLUMNS($AD$1006:AP1006),$AD$1006:$AU$1006,0)), HYPERLINK("#",""), HYPERLINK(CONCATENATE("#metadata!", ADDRESS(INDEX($Y$2:$Y$1001,MATCH(ROWS($W$2:W627),$W$2:$W$1001,0),0), INDEX($AD$1004:$AU$1004,1,MATCH(COLUMNS($AD$1006:AP1006),$AD$1006:$AU$1006,0)))),"Fix")))</f>
        <v xml:space="preserve"> </v>
      </c>
      <c r="O627" s="4" t="str">
        <f ca="1">IF(OR(INDEX($X$2:$X$1001,MATCH(ROWS($W$2:W627),$W$2:$W$1001,0),1)&gt;=100000,INDEX($AD$1005:$AU$1005,1,MATCH(COLUMNS($AD$1006:AQ1006),$AD$1006:$AU$1006,0))&gt;=100000), " ",IF(INDEX($AD$2:$AU$1001,MATCH(ROWS($W$2:W627),$W$2:$W$1001,0),MATCH(COLUMNS($AD$1006:AQ1006),$AD$1006:$AU$1006,0)), HYPERLINK("#",""), HYPERLINK(CONCATENATE("#metadata!", ADDRESS(INDEX($Y$2:$Y$1001,MATCH(ROWS($W$2:W627),$W$2:$W$1001,0),0), INDEX($AD$1004:$AU$1004,1,MATCH(COLUMNS($AD$1006:AQ1006),$AD$1006:$AU$1006,0)))),"Fix")))</f>
        <v xml:space="preserve"> </v>
      </c>
      <c r="P627" s="4" t="str">
        <f ca="1">IF(OR(INDEX($X$2:$X$1001,MATCH(ROWS($W$2:W627),$W$2:$W$1001,0),1)&gt;=100000,INDEX($AD$1005:$AU$1005,1,MATCH(COLUMNS($AD$1006:AR1006),$AD$1006:$AU$1006,0))&gt;=100000), " ",IF(INDEX($AD$2:$AU$1001,MATCH(ROWS($W$2:W627),$W$2:$W$1001,0),MATCH(COLUMNS($AD$1006:AR1006),$AD$1006:$AU$1006,0)), HYPERLINK("#",""), HYPERLINK(CONCATENATE("#metadata!", ADDRESS(INDEX($Y$2:$Y$1001,MATCH(ROWS($W$2:W627),$W$2:$W$1001,0),0), INDEX($AD$1004:$AU$1004,1,MATCH(COLUMNS($AD$1006:AR1006),$AD$1006:$AU$1006,0)))),"Fix")))</f>
        <v xml:space="preserve"> </v>
      </c>
      <c r="Q627" s="4" t="str">
        <f ca="1">IF(OR(INDEX($X$2:$X$1001,MATCH(ROWS($W$2:W627),$W$2:$W$1001,0),1)&gt;=100000,INDEX($AD$1005:$AU$1005,1,MATCH(COLUMNS($AD$1006:AS1006),$AD$1006:$AU$1006,0))&gt;=100000), " ",IF(INDEX($AD$2:$AU$1001,MATCH(ROWS($W$2:W627),$W$2:$W$1001,0),MATCH(COLUMNS($AD$1006:AS1006),$AD$1006:$AU$1006,0)), HYPERLINK("#",""), HYPERLINK(CONCATENATE("#metadata!", ADDRESS(INDEX($Y$2:$Y$1001,MATCH(ROWS($W$2:W627),$W$2:$W$1001,0),0), INDEX($AD$1004:$AU$1004,1,MATCH(COLUMNS($AD$1006:AS1006),$AD$1006:$AU$1006,0)))),"Fix")))</f>
        <v xml:space="preserve"> </v>
      </c>
      <c r="R627" s="4" t="str">
        <f ca="1">IF(OR(INDEX($X$2:$X$1001,MATCH(ROWS($W$2:W627),$W$2:$W$1001,0),1)&gt;=100000,INDEX($AD$1005:$AU$1005,1,MATCH(COLUMNS($AD$1006:AT1006),$AD$1006:$AU$1006,0))&gt;=100000), " ",IF(INDEX($AD$2:$AU$1001,MATCH(ROWS($W$2:W627),$W$2:$W$1001,0),MATCH(COLUMNS($AD$1006:AT1006),$AD$1006:$AU$1006,0)), HYPERLINK("#",""), HYPERLINK(CONCATENATE("#metadata!", ADDRESS(INDEX($Y$2:$Y$1001,MATCH(ROWS($W$2:W627),$W$2:$W$1001,0),0), INDEX($AD$1004:$AU$1004,1,MATCH(COLUMNS($AD$1006:AT1006),$AD$1006:$AU$1006,0)))),"Fix")))</f>
        <v xml:space="preserve"> </v>
      </c>
      <c r="S627" s="4" t="str">
        <f ca="1">IF(OR(INDEX($X$2:$X$1001,MATCH(ROWS($W$2:W627),$W$2:$W$1001,0),1)&gt;=100000,INDEX($AD$1005:$AU$1005,1,MATCH(COLUMNS($AD$1006:AU1006),$AD$1006:$AU$1006,0))&gt;=100000), " ",IF(INDEX($AD$2:$AU$1001,MATCH(ROWS($W$2:W627),$W$2:$W$1001,0),MATCH(COLUMNS($AD$1006:AU1006),$AD$1006:$AU$1006,0)), HYPERLINK("#",""), HYPERLINK(CONCATENATE("#metadata!", ADDRESS(INDEX($Y$2:$Y$1001,MATCH(ROWS($W$2:W627),$W$2:$W$1001,0),0), INDEX($AD$1004:$AU$1004,1,MATCH(COLUMNS($AD$1006:AU1006),$AD$1006:$AU$1006,0)))),"Fix")))</f>
        <v xml:space="preserve"> </v>
      </c>
      <c r="W627">
        <v>626</v>
      </c>
      <c r="X627">
        <v>100627</v>
      </c>
      <c r="Y627">
        <v>627</v>
      </c>
      <c r="Z627" t="b">
        <f t="shared" si="9"/>
        <v>1</v>
      </c>
      <c r="AA627" t="b">
        <f>COUNTBLANK(metadata!B627:S627)=COLUMNS(metadata!B627:S627)</f>
        <v>1</v>
      </c>
      <c r="AB627" t="str">
        <v/>
      </c>
      <c r="AD627" t="b">
        <f ca="1">AND(IF(metadata!B627="",FALSE,TRUE),COUNTIF(metadata!B:B, metadata!B627) = 1,NOT(ISERROR(SUMPRODUCT(SEARCH(MID(metadata!B627,ROW(INDIRECT("1:"&amp;LEN(metadata!B627))), 1),"0123456789abcdefghijklmnopqrstuvwxyzABCDEFGHIJKLMNOPQRSTUVWXYZ.")))))</f>
        <v>0</v>
      </c>
      <c r="AE627" t="b">
        <f>OR(AND(IF(metadata!C627="",FALSE,TRUE),OR(EXACT(metadata!C627,"not applicable"),EXACT(metadata!C627,"missing: not collected"),EXACT(metadata!C627,"missing: not provided"),EXACT(metadata!C627,"missing: restricted access"))),AND(IF(metadata!C627="",FALSE,ISNUMBER(VALUE(metadata!C627))),metadata!C627&gt;0))</f>
        <v>0</v>
      </c>
      <c r="AF627" t="b">
        <f>AND(IF(metadata!D627="",FALSE,TRUE),EXACT(metadata!D627,"missing: not provided"))</f>
        <v>0</v>
      </c>
      <c r="AG627" t="b">
        <f>AND(IF(metadata!E627="",FALSE,TRUE),EXACT(metadata!E627,"Host-associated"))</f>
        <v>0</v>
      </c>
      <c r="AH627" t="b">
        <f>AND(IF(metadata!F627="",FALSE,TRUE),OR(EXACT(metadata!F627,"Animal"),EXACT(metadata!F627,"Fungus"),EXACT(metadata!F627,"Plant")))</f>
        <v>0</v>
      </c>
      <c r="AI627" t="b">
        <f>AND(IF(metadata!G627="",FALSE,TRUE),OR(EXACT(metadata!G627,"Plant secretion"),EXACT(metadata!G627,"Plant rhizosphere"),EXACT(metadata!G627,"Plant surface"),EXACT(metadata!G627,"Plant corpus"),EXACT(metadata!G627,"Fungus surface"),EXACT(metadata!G627,"Fungus corpus"),EXACT(metadata!G627,"Animal surface"),EXACT(metadata!G627,"Animal proximal gut"),EXACT(metadata!G627,"Animal corpus"),EXACT(metadata!G627,"Animal distal gut"),EXACT(metadata!G627,"Animal secretion")))</f>
        <v>0</v>
      </c>
      <c r="AJ627" t="b">
        <f>OR(AND(IF(metadata!H627="",FALSE,TRUE),OR(EXACT(metadata!H627,"missing: not collected"),EXACT(metadata!H627,"missing: not provided"),EXACT(metadata!H627,"missing: restricted access"))),AND(IF(metadata!H627="",FALSE,TRUE),OR(EXACT(metadata!H627,"organism-associated habitat"),EXACT(metadata!H627,"plant-associated habitat"),EXACT(metadata!H627,"animal-associated habitat"),EXACT(metadata!H627,"insecta-associated habitat"),EXACT(metadata!H627,"mammalia-associated habitat"),EXACT(metadata!H627,"human-associated habitat"),EXACT(metadata!H627,"livestock-associated habitat"))))</f>
        <v>0</v>
      </c>
      <c r="AK627" t="b">
        <f>AND(IF(metadata!I627="",FALSE,TRUE),EXACT(metadata!I627,"host-associated"))</f>
        <v>0</v>
      </c>
      <c r="AL627" t="b">
        <f>OR(AND(IF(metadata!J627="",FALSE,TRUE),OR(EXACT(metadata!J627,"not applicable"),EXACT(metadata!J627,"missing: not collected"),EXACT(metadata!J627,"missing: not provided"),EXACT(metadata!J627,"missing: restricted access"))),AND(IF(metadata!J627="",FALSE,ISNUMBER(VALUE(metadata!J627))),metadata!J627&gt;0))</f>
        <v>0</v>
      </c>
      <c r="AM627" t="b">
        <f>AND(IF(metadata!K627="",FALSE,TRUE),EXACT(metadata!K627,"missing: not provided"))</f>
        <v>0</v>
      </c>
      <c r="AN627" t="b">
        <f>IF(metadata!L627="",FALSE,TRUE)</f>
        <v>0</v>
      </c>
      <c r="AO627" t="b">
        <f>IF(metadata!M627="",FALSE,TRUE)</f>
        <v>0</v>
      </c>
      <c r="AP627" t="b">
        <f>OR(AND(IF(metadata!N627="",FALSE,TRUE),OR(EXACT(metadata!N627,"not applicable"),EXACT(metadata!N627,"missing: not collected"),EXACT(metadata!N627,"missing: not provided"))),AND(IF(metadata!N627="",FALSE,IF(ISERROR(INT(metadata!N627)),FALSE,INT(metadata!N627)=metadata!N627)),metadata!N627&gt;0))</f>
        <v>0</v>
      </c>
      <c r="AQ627" t="b">
        <f>AND(IF(metadata!O627="",FALSE,TRUE),EXACT(metadata!O627,"Not applicable"))</f>
        <v>0</v>
      </c>
      <c r="AR627" t="b">
        <f>OR(AND(IF(metadata!P627="",FALSE,TRUE),OR(EXACT(metadata!P627,"not applicable"),EXACT(metadata!P627,"missing: not collected"),EXACT(metadata!P627,"missing: not provided"),EXACT(metadata!P627,"missing: restricted access"))),IF(metadata!P627="",FALSE,IF(ISERROR(INT(metadata!P627)),FALSE,INT(metadata!P627)=metadata!P627)))</f>
        <v>0</v>
      </c>
      <c r="AS627" t="b">
        <f>AND(IF(metadata!Q627="",FALSE,TRUE),EXACT(metadata!Q627,"Not applicable"))</f>
        <v>0</v>
      </c>
      <c r="AT627" t="b">
        <f>OR(AND(IF(metadata!R627="",FALSE,TRUE),OR(EXACT(metadata!R627,"not applicable"),EXACT(metadata!R627,"missing: not collected"),EXACT(metadata!R627,"missing: not provided"),EXACT(metadata!R627,"missing: restricted access"))),AND(IF(metadata!R627="",FALSE,ISNUMBER(VALUE(metadata!R627))),metadata!R627&gt;0))</f>
        <v>0</v>
      </c>
      <c r="AU627" t="b">
        <f>AND(IF(metadata!S627="",FALSE,TRUE),EXACT(metadata!S627,"missing: not provided"))</f>
        <v>0</v>
      </c>
    </row>
    <row r="628" spans="1:47" x14ac:dyDescent="0.2">
      <c r="A628" s="5" t="str">
        <f ca="1">IF(B628=" "," ",HYPERLINK(CONCATENATE("#metadata!",ADDRESS(INDEX($Y$2:$Y$1001,MATCH(ROWS($W$2:W628),$W$2:$W$1001,0),0),1)),INDEX($AB$2:$AB$1001,MATCH(ROWS($W$2:W628),$W$2:$W$1001,0),0)))</f>
        <v xml:space="preserve"> </v>
      </c>
      <c r="B628" s="4" t="str">
        <f ca="1">IF(OR(INDEX($X$2:$X$1001,MATCH(ROWS($W$2:W628),$W$2:$W$1001,0),1)&gt;=100000,INDEX($AD$1005:$AU$1005,1,MATCH(COLUMNS($AD$1006:AD1006),$AD$1006:$AU$1006,0))&gt;=100000), " ",IF(INDEX($AD$2:$AU$1001,MATCH(ROWS($W$2:W628),$W$2:$W$1001,0),MATCH(COLUMNS($AD$1006:AD1006),$AD$1006:$AU$1006,0)), HYPERLINK("#",""), HYPERLINK(CONCATENATE("#metadata!", ADDRESS(INDEX($Y$2:$Y$1001,MATCH(ROWS($W$2:W628),$W$2:$W$1001,0),0), INDEX($AD$1004:$AU$1004,1,MATCH(COLUMNS($AD$1006:AD1006),$AD$1006:$AU$1006,0)))),"Fix")))</f>
        <v xml:space="preserve"> </v>
      </c>
      <c r="C628" s="4" t="str">
        <f ca="1">IF(OR(INDEX($X$2:$X$1001,MATCH(ROWS($W$2:W628),$W$2:$W$1001,0),1)&gt;=100000,INDEX($AD$1005:$AU$1005,1,MATCH(COLUMNS($AD$1006:AE1006),$AD$1006:$AU$1006,0))&gt;=100000), " ",IF(INDEX($AD$2:$AU$1001,MATCH(ROWS($W$2:W628),$W$2:$W$1001,0),MATCH(COLUMNS($AD$1006:AE1006),$AD$1006:$AU$1006,0)), HYPERLINK("#",""), HYPERLINK(CONCATENATE("#metadata!", ADDRESS(INDEX($Y$2:$Y$1001,MATCH(ROWS($W$2:W628),$W$2:$W$1001,0),0), INDEX($AD$1004:$AU$1004,1,MATCH(COLUMNS($AD$1006:AE1006),$AD$1006:$AU$1006,0)))),"Fix")))</f>
        <v xml:space="preserve"> </v>
      </c>
      <c r="D628" s="4" t="str">
        <f ca="1">IF(OR(INDEX($X$2:$X$1001,MATCH(ROWS($W$2:W628),$W$2:$W$1001,0),1)&gt;=100000,INDEX($AD$1005:$AU$1005,1,MATCH(COLUMNS($AD$1006:AF1006),$AD$1006:$AU$1006,0))&gt;=100000), " ",IF(INDEX($AD$2:$AU$1001,MATCH(ROWS($W$2:W628),$W$2:$W$1001,0),MATCH(COLUMNS($AD$1006:AF1006),$AD$1006:$AU$1006,0)), HYPERLINK("#",""), HYPERLINK(CONCATENATE("#metadata!", ADDRESS(INDEX($Y$2:$Y$1001,MATCH(ROWS($W$2:W628),$W$2:$W$1001,0),0), INDEX($AD$1004:$AU$1004,1,MATCH(COLUMNS($AD$1006:AF1006),$AD$1006:$AU$1006,0)))),"Fix")))</f>
        <v xml:space="preserve"> </v>
      </c>
      <c r="E628" s="4" t="str">
        <f ca="1">IF(OR(INDEX($X$2:$X$1001,MATCH(ROWS($W$2:W628),$W$2:$W$1001,0),1)&gt;=100000,INDEX($AD$1005:$AU$1005,1,MATCH(COLUMNS($AD$1006:AG1006),$AD$1006:$AU$1006,0))&gt;=100000), " ",IF(INDEX($AD$2:$AU$1001,MATCH(ROWS($W$2:W628),$W$2:$W$1001,0),MATCH(COLUMNS($AD$1006:AG1006),$AD$1006:$AU$1006,0)), HYPERLINK("#",""), HYPERLINK(CONCATENATE("#metadata!", ADDRESS(INDEX($Y$2:$Y$1001,MATCH(ROWS($W$2:W628),$W$2:$W$1001,0),0), INDEX($AD$1004:$AU$1004,1,MATCH(COLUMNS($AD$1006:AG1006),$AD$1006:$AU$1006,0)))),"Fix")))</f>
        <v xml:space="preserve"> </v>
      </c>
      <c r="F628" s="4" t="str">
        <f ca="1">IF(OR(INDEX($X$2:$X$1001,MATCH(ROWS($W$2:W628),$W$2:$W$1001,0),1)&gt;=100000,INDEX($AD$1005:$AU$1005,1,MATCH(COLUMNS($AD$1006:AH1006),$AD$1006:$AU$1006,0))&gt;=100000), " ",IF(INDEX($AD$2:$AU$1001,MATCH(ROWS($W$2:W628),$W$2:$W$1001,0),MATCH(COLUMNS($AD$1006:AH1006),$AD$1006:$AU$1006,0)), HYPERLINK("#",""), HYPERLINK(CONCATENATE("#metadata!", ADDRESS(INDEX($Y$2:$Y$1001,MATCH(ROWS($W$2:W628),$W$2:$W$1001,0),0), INDEX($AD$1004:$AU$1004,1,MATCH(COLUMNS($AD$1006:AH1006),$AD$1006:$AU$1006,0)))),"Fix")))</f>
        <v xml:space="preserve"> </v>
      </c>
      <c r="G628" s="4" t="str">
        <f ca="1">IF(OR(INDEX($X$2:$X$1001,MATCH(ROWS($W$2:W628),$W$2:$W$1001,0),1)&gt;=100000,INDEX($AD$1005:$AU$1005,1,MATCH(COLUMNS($AD$1006:AI1006),$AD$1006:$AU$1006,0))&gt;=100000), " ",IF(INDEX($AD$2:$AU$1001,MATCH(ROWS($W$2:W628),$W$2:$W$1001,0),MATCH(COLUMNS($AD$1006:AI1006),$AD$1006:$AU$1006,0)), HYPERLINK("#",""), HYPERLINK(CONCATENATE("#metadata!", ADDRESS(INDEX($Y$2:$Y$1001,MATCH(ROWS($W$2:W628),$W$2:$W$1001,0),0), INDEX($AD$1004:$AU$1004,1,MATCH(COLUMNS($AD$1006:AI1006),$AD$1006:$AU$1006,0)))),"Fix")))</f>
        <v xml:space="preserve"> </v>
      </c>
      <c r="H628" s="4" t="str">
        <f ca="1">IF(OR(INDEX($X$2:$X$1001,MATCH(ROWS($W$2:W628),$W$2:$W$1001,0),1)&gt;=100000,INDEX($AD$1005:$AU$1005,1,MATCH(COLUMNS($AD$1006:AJ1006),$AD$1006:$AU$1006,0))&gt;=100000), " ",IF(INDEX($AD$2:$AU$1001,MATCH(ROWS($W$2:W628),$W$2:$W$1001,0),MATCH(COLUMNS($AD$1006:AJ1006),$AD$1006:$AU$1006,0)), HYPERLINK("#",""), HYPERLINK(CONCATENATE("#metadata!", ADDRESS(INDEX($Y$2:$Y$1001,MATCH(ROWS($W$2:W628),$W$2:$W$1001,0),0), INDEX($AD$1004:$AU$1004,1,MATCH(COLUMNS($AD$1006:AJ1006),$AD$1006:$AU$1006,0)))),"Fix")))</f>
        <v xml:space="preserve"> </v>
      </c>
      <c r="I628" s="4" t="str">
        <f ca="1">IF(OR(INDEX($X$2:$X$1001,MATCH(ROWS($W$2:W628),$W$2:$W$1001,0),1)&gt;=100000,INDEX($AD$1005:$AU$1005,1,MATCH(COLUMNS($AD$1006:AK1006),$AD$1006:$AU$1006,0))&gt;=100000), " ",IF(INDEX($AD$2:$AU$1001,MATCH(ROWS($W$2:W628),$W$2:$W$1001,0),MATCH(COLUMNS($AD$1006:AK1006),$AD$1006:$AU$1006,0)), HYPERLINK("#",""), HYPERLINK(CONCATENATE("#metadata!", ADDRESS(INDEX($Y$2:$Y$1001,MATCH(ROWS($W$2:W628),$W$2:$W$1001,0),0), INDEX($AD$1004:$AU$1004,1,MATCH(COLUMNS($AD$1006:AK1006),$AD$1006:$AU$1006,0)))),"Fix")))</f>
        <v xml:space="preserve"> </v>
      </c>
      <c r="J628" s="4" t="str">
        <f ca="1">IF(OR(INDEX($X$2:$X$1001,MATCH(ROWS($W$2:W628),$W$2:$W$1001,0),1)&gt;=100000,INDEX($AD$1005:$AU$1005,1,MATCH(COLUMNS($AD$1006:AL1006),$AD$1006:$AU$1006,0))&gt;=100000), " ",IF(INDEX($AD$2:$AU$1001,MATCH(ROWS($W$2:W628),$W$2:$W$1001,0),MATCH(COLUMNS($AD$1006:AL1006),$AD$1006:$AU$1006,0)), HYPERLINK("#",""), HYPERLINK(CONCATENATE("#metadata!", ADDRESS(INDEX($Y$2:$Y$1001,MATCH(ROWS($W$2:W628),$W$2:$W$1001,0),0), INDEX($AD$1004:$AU$1004,1,MATCH(COLUMNS($AD$1006:AL1006),$AD$1006:$AU$1006,0)))),"Fix")))</f>
        <v xml:space="preserve"> </v>
      </c>
      <c r="K628" s="4" t="str">
        <f ca="1">IF(OR(INDEX($X$2:$X$1001,MATCH(ROWS($W$2:W628),$W$2:$W$1001,0),1)&gt;=100000,INDEX($AD$1005:$AU$1005,1,MATCH(COLUMNS($AD$1006:AM1006),$AD$1006:$AU$1006,0))&gt;=100000), " ",IF(INDEX($AD$2:$AU$1001,MATCH(ROWS($W$2:W628),$W$2:$W$1001,0),MATCH(COLUMNS($AD$1006:AM1006),$AD$1006:$AU$1006,0)), HYPERLINK("#",""), HYPERLINK(CONCATENATE("#metadata!", ADDRESS(INDEX($Y$2:$Y$1001,MATCH(ROWS($W$2:W628),$W$2:$W$1001,0),0), INDEX($AD$1004:$AU$1004,1,MATCH(COLUMNS($AD$1006:AM1006),$AD$1006:$AU$1006,0)))),"Fix")))</f>
        <v xml:space="preserve"> </v>
      </c>
      <c r="L628" s="4" t="str">
        <f ca="1">IF(OR(INDEX($X$2:$X$1001,MATCH(ROWS($W$2:W628),$W$2:$W$1001,0),1)&gt;=100000,INDEX($AD$1005:$AU$1005,1,MATCH(COLUMNS($AD$1006:AN1006),$AD$1006:$AU$1006,0))&gt;=100000), " ",IF(INDEX($AD$2:$AU$1001,MATCH(ROWS($W$2:W628),$W$2:$W$1001,0),MATCH(COLUMNS($AD$1006:AN1006),$AD$1006:$AU$1006,0)), HYPERLINK("#",""), HYPERLINK(CONCATENATE("#metadata!", ADDRESS(INDEX($Y$2:$Y$1001,MATCH(ROWS($W$2:W628),$W$2:$W$1001,0),0), INDEX($AD$1004:$AU$1004,1,MATCH(COLUMNS($AD$1006:AN1006),$AD$1006:$AU$1006,0)))),"Fix")))</f>
        <v xml:space="preserve"> </v>
      </c>
      <c r="M628" s="4" t="str">
        <f ca="1">IF(OR(INDEX($X$2:$X$1001,MATCH(ROWS($W$2:W628),$W$2:$W$1001,0),1)&gt;=100000,INDEX($AD$1005:$AU$1005,1,MATCH(COLUMNS($AD$1006:AO1006),$AD$1006:$AU$1006,0))&gt;=100000), " ",IF(INDEX($AD$2:$AU$1001,MATCH(ROWS($W$2:W628),$W$2:$W$1001,0),MATCH(COLUMNS($AD$1006:AO1006),$AD$1006:$AU$1006,0)), HYPERLINK("#",""), HYPERLINK(CONCATENATE("#metadata!", ADDRESS(INDEX($Y$2:$Y$1001,MATCH(ROWS($W$2:W628),$W$2:$W$1001,0),0), INDEX($AD$1004:$AU$1004,1,MATCH(COLUMNS($AD$1006:AO1006),$AD$1006:$AU$1006,0)))),"Fix")))</f>
        <v xml:space="preserve"> </v>
      </c>
      <c r="N628" s="4" t="str">
        <f ca="1">IF(OR(INDEX($X$2:$X$1001,MATCH(ROWS($W$2:W628),$W$2:$W$1001,0),1)&gt;=100000,INDEX($AD$1005:$AU$1005,1,MATCH(COLUMNS($AD$1006:AP1006),$AD$1006:$AU$1006,0))&gt;=100000), " ",IF(INDEX($AD$2:$AU$1001,MATCH(ROWS($W$2:W628),$W$2:$W$1001,0),MATCH(COLUMNS($AD$1006:AP1006),$AD$1006:$AU$1006,0)), HYPERLINK("#",""), HYPERLINK(CONCATENATE("#metadata!", ADDRESS(INDEX($Y$2:$Y$1001,MATCH(ROWS($W$2:W628),$W$2:$W$1001,0),0), INDEX($AD$1004:$AU$1004,1,MATCH(COLUMNS($AD$1006:AP1006),$AD$1006:$AU$1006,0)))),"Fix")))</f>
        <v xml:space="preserve"> </v>
      </c>
      <c r="O628" s="4" t="str">
        <f ca="1">IF(OR(INDEX($X$2:$X$1001,MATCH(ROWS($W$2:W628),$W$2:$W$1001,0),1)&gt;=100000,INDEX($AD$1005:$AU$1005,1,MATCH(COLUMNS($AD$1006:AQ1006),$AD$1006:$AU$1006,0))&gt;=100000), " ",IF(INDEX($AD$2:$AU$1001,MATCH(ROWS($W$2:W628),$W$2:$W$1001,0),MATCH(COLUMNS($AD$1006:AQ1006),$AD$1006:$AU$1006,0)), HYPERLINK("#",""), HYPERLINK(CONCATENATE("#metadata!", ADDRESS(INDEX($Y$2:$Y$1001,MATCH(ROWS($W$2:W628),$W$2:$W$1001,0),0), INDEX($AD$1004:$AU$1004,1,MATCH(COLUMNS($AD$1006:AQ1006),$AD$1006:$AU$1006,0)))),"Fix")))</f>
        <v xml:space="preserve"> </v>
      </c>
      <c r="P628" s="4" t="str">
        <f ca="1">IF(OR(INDEX($X$2:$X$1001,MATCH(ROWS($W$2:W628),$W$2:$W$1001,0),1)&gt;=100000,INDEX($AD$1005:$AU$1005,1,MATCH(COLUMNS($AD$1006:AR1006),$AD$1006:$AU$1006,0))&gt;=100000), " ",IF(INDEX($AD$2:$AU$1001,MATCH(ROWS($W$2:W628),$W$2:$W$1001,0),MATCH(COLUMNS($AD$1006:AR1006),$AD$1006:$AU$1006,0)), HYPERLINK("#",""), HYPERLINK(CONCATENATE("#metadata!", ADDRESS(INDEX($Y$2:$Y$1001,MATCH(ROWS($W$2:W628),$W$2:$W$1001,0),0), INDEX($AD$1004:$AU$1004,1,MATCH(COLUMNS($AD$1006:AR1006),$AD$1006:$AU$1006,0)))),"Fix")))</f>
        <v xml:space="preserve"> </v>
      </c>
      <c r="Q628" s="4" t="str">
        <f ca="1">IF(OR(INDEX($X$2:$X$1001,MATCH(ROWS($W$2:W628),$W$2:$W$1001,0),1)&gt;=100000,INDEX($AD$1005:$AU$1005,1,MATCH(COLUMNS($AD$1006:AS1006),$AD$1006:$AU$1006,0))&gt;=100000), " ",IF(INDEX($AD$2:$AU$1001,MATCH(ROWS($W$2:W628),$W$2:$W$1001,0),MATCH(COLUMNS($AD$1006:AS1006),$AD$1006:$AU$1006,0)), HYPERLINK("#",""), HYPERLINK(CONCATENATE("#metadata!", ADDRESS(INDEX($Y$2:$Y$1001,MATCH(ROWS($W$2:W628),$W$2:$W$1001,0),0), INDEX($AD$1004:$AU$1004,1,MATCH(COLUMNS($AD$1006:AS1006),$AD$1006:$AU$1006,0)))),"Fix")))</f>
        <v xml:space="preserve"> </v>
      </c>
      <c r="R628" s="4" t="str">
        <f ca="1">IF(OR(INDEX($X$2:$X$1001,MATCH(ROWS($W$2:W628),$W$2:$W$1001,0),1)&gt;=100000,INDEX($AD$1005:$AU$1005,1,MATCH(COLUMNS($AD$1006:AT1006),$AD$1006:$AU$1006,0))&gt;=100000), " ",IF(INDEX($AD$2:$AU$1001,MATCH(ROWS($W$2:W628),$W$2:$W$1001,0),MATCH(COLUMNS($AD$1006:AT1006),$AD$1006:$AU$1006,0)), HYPERLINK("#",""), HYPERLINK(CONCATENATE("#metadata!", ADDRESS(INDEX($Y$2:$Y$1001,MATCH(ROWS($W$2:W628),$W$2:$W$1001,0),0), INDEX($AD$1004:$AU$1004,1,MATCH(COLUMNS($AD$1006:AT1006),$AD$1006:$AU$1006,0)))),"Fix")))</f>
        <v xml:space="preserve"> </v>
      </c>
      <c r="S628" s="4" t="str">
        <f ca="1">IF(OR(INDEX($X$2:$X$1001,MATCH(ROWS($W$2:W628),$W$2:$W$1001,0),1)&gt;=100000,INDEX($AD$1005:$AU$1005,1,MATCH(COLUMNS($AD$1006:AU1006),$AD$1006:$AU$1006,0))&gt;=100000), " ",IF(INDEX($AD$2:$AU$1001,MATCH(ROWS($W$2:W628),$W$2:$W$1001,0),MATCH(COLUMNS($AD$1006:AU1006),$AD$1006:$AU$1006,0)), HYPERLINK("#",""), HYPERLINK(CONCATENATE("#metadata!", ADDRESS(INDEX($Y$2:$Y$1001,MATCH(ROWS($W$2:W628),$W$2:$W$1001,0),0), INDEX($AD$1004:$AU$1004,1,MATCH(COLUMNS($AD$1006:AU1006),$AD$1006:$AU$1006,0)))),"Fix")))</f>
        <v xml:space="preserve"> </v>
      </c>
      <c r="W628">
        <v>627</v>
      </c>
      <c r="X628">
        <v>100628</v>
      </c>
      <c r="Y628">
        <v>628</v>
      </c>
      <c r="Z628" t="b">
        <f t="shared" si="9"/>
        <v>1</v>
      </c>
      <c r="AA628" t="b">
        <f>COUNTBLANK(metadata!B628:S628)=COLUMNS(metadata!B628:S628)</f>
        <v>1</v>
      </c>
      <c r="AB628" t="str">
        <v/>
      </c>
      <c r="AD628" t="b">
        <f ca="1">AND(IF(metadata!B628="",FALSE,TRUE),COUNTIF(metadata!B:B, metadata!B628) = 1,NOT(ISERROR(SUMPRODUCT(SEARCH(MID(metadata!B628,ROW(INDIRECT("1:"&amp;LEN(metadata!B628))), 1),"0123456789abcdefghijklmnopqrstuvwxyzABCDEFGHIJKLMNOPQRSTUVWXYZ.")))))</f>
        <v>0</v>
      </c>
      <c r="AE628" t="b">
        <f>OR(AND(IF(metadata!C628="",FALSE,TRUE),OR(EXACT(metadata!C628,"not applicable"),EXACT(metadata!C628,"missing: not collected"),EXACT(metadata!C628,"missing: not provided"),EXACT(metadata!C628,"missing: restricted access"))),AND(IF(metadata!C628="",FALSE,ISNUMBER(VALUE(metadata!C628))),metadata!C628&gt;0))</f>
        <v>0</v>
      </c>
      <c r="AF628" t="b">
        <f>AND(IF(metadata!D628="",FALSE,TRUE),EXACT(metadata!D628,"missing: not provided"))</f>
        <v>0</v>
      </c>
      <c r="AG628" t="b">
        <f>AND(IF(metadata!E628="",FALSE,TRUE),EXACT(metadata!E628,"Host-associated"))</f>
        <v>0</v>
      </c>
      <c r="AH628" t="b">
        <f>AND(IF(metadata!F628="",FALSE,TRUE),OR(EXACT(metadata!F628,"Animal"),EXACT(metadata!F628,"Fungus"),EXACT(metadata!F628,"Plant")))</f>
        <v>0</v>
      </c>
      <c r="AI628" t="b">
        <f>AND(IF(metadata!G628="",FALSE,TRUE),OR(EXACT(metadata!G628,"Plant secretion"),EXACT(metadata!G628,"Plant rhizosphere"),EXACT(metadata!G628,"Plant surface"),EXACT(metadata!G628,"Plant corpus"),EXACT(metadata!G628,"Fungus surface"),EXACT(metadata!G628,"Fungus corpus"),EXACT(metadata!G628,"Animal surface"),EXACT(metadata!G628,"Animal proximal gut"),EXACT(metadata!G628,"Animal corpus"),EXACT(metadata!G628,"Animal distal gut"),EXACT(metadata!G628,"Animal secretion")))</f>
        <v>0</v>
      </c>
      <c r="AJ628" t="b">
        <f>OR(AND(IF(metadata!H628="",FALSE,TRUE),OR(EXACT(metadata!H628,"missing: not collected"),EXACT(metadata!H628,"missing: not provided"),EXACT(metadata!H628,"missing: restricted access"))),AND(IF(metadata!H628="",FALSE,TRUE),OR(EXACT(metadata!H628,"organism-associated habitat"),EXACT(metadata!H628,"plant-associated habitat"),EXACT(metadata!H628,"animal-associated habitat"),EXACT(metadata!H628,"insecta-associated habitat"),EXACT(metadata!H628,"mammalia-associated habitat"),EXACT(metadata!H628,"human-associated habitat"),EXACT(metadata!H628,"livestock-associated habitat"))))</f>
        <v>0</v>
      </c>
      <c r="AK628" t="b">
        <f>AND(IF(metadata!I628="",FALSE,TRUE),EXACT(metadata!I628,"host-associated"))</f>
        <v>0</v>
      </c>
      <c r="AL628" t="b">
        <f>OR(AND(IF(metadata!J628="",FALSE,TRUE),OR(EXACT(metadata!J628,"not applicable"),EXACT(metadata!J628,"missing: not collected"),EXACT(metadata!J628,"missing: not provided"),EXACT(metadata!J628,"missing: restricted access"))),AND(IF(metadata!J628="",FALSE,ISNUMBER(VALUE(metadata!J628))),metadata!J628&gt;0))</f>
        <v>0</v>
      </c>
      <c r="AM628" t="b">
        <f>AND(IF(metadata!K628="",FALSE,TRUE),EXACT(metadata!K628,"missing: not provided"))</f>
        <v>0</v>
      </c>
      <c r="AN628" t="b">
        <f>IF(metadata!L628="",FALSE,TRUE)</f>
        <v>0</v>
      </c>
      <c r="AO628" t="b">
        <f>IF(metadata!M628="",FALSE,TRUE)</f>
        <v>0</v>
      </c>
      <c r="AP628" t="b">
        <f>OR(AND(IF(metadata!N628="",FALSE,TRUE),OR(EXACT(metadata!N628,"not applicable"),EXACT(metadata!N628,"missing: not collected"),EXACT(metadata!N628,"missing: not provided"))),AND(IF(metadata!N628="",FALSE,IF(ISERROR(INT(metadata!N628)),FALSE,INT(metadata!N628)=metadata!N628)),metadata!N628&gt;0))</f>
        <v>0</v>
      </c>
      <c r="AQ628" t="b">
        <f>AND(IF(metadata!O628="",FALSE,TRUE),EXACT(metadata!O628,"Not applicable"))</f>
        <v>0</v>
      </c>
      <c r="AR628" t="b">
        <f>OR(AND(IF(metadata!P628="",FALSE,TRUE),OR(EXACT(metadata!P628,"not applicable"),EXACT(metadata!P628,"missing: not collected"),EXACT(metadata!P628,"missing: not provided"),EXACT(metadata!P628,"missing: restricted access"))),IF(metadata!P628="",FALSE,IF(ISERROR(INT(metadata!P628)),FALSE,INT(metadata!P628)=metadata!P628)))</f>
        <v>0</v>
      </c>
      <c r="AS628" t="b">
        <f>AND(IF(metadata!Q628="",FALSE,TRUE),EXACT(metadata!Q628,"Not applicable"))</f>
        <v>0</v>
      </c>
      <c r="AT628" t="b">
        <f>OR(AND(IF(metadata!R628="",FALSE,TRUE),OR(EXACT(metadata!R628,"not applicable"),EXACT(metadata!R628,"missing: not collected"),EXACT(metadata!R628,"missing: not provided"),EXACT(metadata!R628,"missing: restricted access"))),AND(IF(metadata!R628="",FALSE,ISNUMBER(VALUE(metadata!R628))),metadata!R628&gt;0))</f>
        <v>0</v>
      </c>
      <c r="AU628" t="b">
        <f>AND(IF(metadata!S628="",FALSE,TRUE),EXACT(metadata!S628,"missing: not provided"))</f>
        <v>0</v>
      </c>
    </row>
    <row r="629" spans="1:47" x14ac:dyDescent="0.2">
      <c r="A629" s="5" t="str">
        <f ca="1">IF(B629=" "," ",HYPERLINK(CONCATENATE("#metadata!",ADDRESS(INDEX($Y$2:$Y$1001,MATCH(ROWS($W$2:W629),$W$2:$W$1001,0),0),1)),INDEX($AB$2:$AB$1001,MATCH(ROWS($W$2:W629),$W$2:$W$1001,0),0)))</f>
        <v xml:space="preserve"> </v>
      </c>
      <c r="B629" s="4" t="str">
        <f ca="1">IF(OR(INDEX($X$2:$X$1001,MATCH(ROWS($W$2:W629),$W$2:$W$1001,0),1)&gt;=100000,INDEX($AD$1005:$AU$1005,1,MATCH(COLUMNS($AD$1006:AD1006),$AD$1006:$AU$1006,0))&gt;=100000), " ",IF(INDEX($AD$2:$AU$1001,MATCH(ROWS($W$2:W629),$W$2:$W$1001,0),MATCH(COLUMNS($AD$1006:AD1006),$AD$1006:$AU$1006,0)), HYPERLINK("#",""), HYPERLINK(CONCATENATE("#metadata!", ADDRESS(INDEX($Y$2:$Y$1001,MATCH(ROWS($W$2:W629),$W$2:$W$1001,0),0), INDEX($AD$1004:$AU$1004,1,MATCH(COLUMNS($AD$1006:AD1006),$AD$1006:$AU$1006,0)))),"Fix")))</f>
        <v xml:space="preserve"> </v>
      </c>
      <c r="C629" s="4" t="str">
        <f ca="1">IF(OR(INDEX($X$2:$X$1001,MATCH(ROWS($W$2:W629),$W$2:$W$1001,0),1)&gt;=100000,INDEX($AD$1005:$AU$1005,1,MATCH(COLUMNS($AD$1006:AE1006),$AD$1006:$AU$1006,0))&gt;=100000), " ",IF(INDEX($AD$2:$AU$1001,MATCH(ROWS($W$2:W629),$W$2:$W$1001,0),MATCH(COLUMNS($AD$1006:AE1006),$AD$1006:$AU$1006,0)), HYPERLINK("#",""), HYPERLINK(CONCATENATE("#metadata!", ADDRESS(INDEX($Y$2:$Y$1001,MATCH(ROWS($W$2:W629),$W$2:$W$1001,0),0), INDEX($AD$1004:$AU$1004,1,MATCH(COLUMNS($AD$1006:AE1006),$AD$1006:$AU$1006,0)))),"Fix")))</f>
        <v xml:space="preserve"> </v>
      </c>
      <c r="D629" s="4" t="str">
        <f ca="1">IF(OR(INDEX($X$2:$X$1001,MATCH(ROWS($W$2:W629),$W$2:$W$1001,0),1)&gt;=100000,INDEX($AD$1005:$AU$1005,1,MATCH(COLUMNS($AD$1006:AF1006),$AD$1006:$AU$1006,0))&gt;=100000), " ",IF(INDEX($AD$2:$AU$1001,MATCH(ROWS($W$2:W629),$W$2:$W$1001,0),MATCH(COLUMNS($AD$1006:AF1006),$AD$1006:$AU$1006,0)), HYPERLINK("#",""), HYPERLINK(CONCATENATE("#metadata!", ADDRESS(INDEX($Y$2:$Y$1001,MATCH(ROWS($W$2:W629),$W$2:$W$1001,0),0), INDEX($AD$1004:$AU$1004,1,MATCH(COLUMNS($AD$1006:AF1006),$AD$1006:$AU$1006,0)))),"Fix")))</f>
        <v xml:space="preserve"> </v>
      </c>
      <c r="E629" s="4" t="str">
        <f ca="1">IF(OR(INDEX($X$2:$X$1001,MATCH(ROWS($W$2:W629),$W$2:$W$1001,0),1)&gt;=100000,INDEX($AD$1005:$AU$1005,1,MATCH(COLUMNS($AD$1006:AG1006),$AD$1006:$AU$1006,0))&gt;=100000), " ",IF(INDEX($AD$2:$AU$1001,MATCH(ROWS($W$2:W629),$W$2:$W$1001,0),MATCH(COLUMNS($AD$1006:AG1006),$AD$1006:$AU$1006,0)), HYPERLINK("#",""), HYPERLINK(CONCATENATE("#metadata!", ADDRESS(INDEX($Y$2:$Y$1001,MATCH(ROWS($W$2:W629),$W$2:$W$1001,0),0), INDEX($AD$1004:$AU$1004,1,MATCH(COLUMNS($AD$1006:AG1006),$AD$1006:$AU$1006,0)))),"Fix")))</f>
        <v xml:space="preserve"> </v>
      </c>
      <c r="F629" s="4" t="str">
        <f ca="1">IF(OR(INDEX($X$2:$X$1001,MATCH(ROWS($W$2:W629),$W$2:$W$1001,0),1)&gt;=100000,INDEX($AD$1005:$AU$1005,1,MATCH(COLUMNS($AD$1006:AH1006),$AD$1006:$AU$1006,0))&gt;=100000), " ",IF(INDEX($AD$2:$AU$1001,MATCH(ROWS($W$2:W629),$W$2:$W$1001,0),MATCH(COLUMNS($AD$1006:AH1006),$AD$1006:$AU$1006,0)), HYPERLINK("#",""), HYPERLINK(CONCATENATE("#metadata!", ADDRESS(INDEX($Y$2:$Y$1001,MATCH(ROWS($W$2:W629),$W$2:$W$1001,0),0), INDEX($AD$1004:$AU$1004,1,MATCH(COLUMNS($AD$1006:AH1006),$AD$1006:$AU$1006,0)))),"Fix")))</f>
        <v xml:space="preserve"> </v>
      </c>
      <c r="G629" s="4" t="str">
        <f ca="1">IF(OR(INDEX($X$2:$X$1001,MATCH(ROWS($W$2:W629),$W$2:$W$1001,0),1)&gt;=100000,INDEX($AD$1005:$AU$1005,1,MATCH(COLUMNS($AD$1006:AI1006),$AD$1006:$AU$1006,0))&gt;=100000), " ",IF(INDEX($AD$2:$AU$1001,MATCH(ROWS($W$2:W629),$W$2:$W$1001,0),MATCH(COLUMNS($AD$1006:AI1006),$AD$1006:$AU$1006,0)), HYPERLINK("#",""), HYPERLINK(CONCATENATE("#metadata!", ADDRESS(INDEX($Y$2:$Y$1001,MATCH(ROWS($W$2:W629),$W$2:$W$1001,0),0), INDEX($AD$1004:$AU$1004,1,MATCH(COLUMNS($AD$1006:AI1006),$AD$1006:$AU$1006,0)))),"Fix")))</f>
        <v xml:space="preserve"> </v>
      </c>
      <c r="H629" s="4" t="str">
        <f ca="1">IF(OR(INDEX($X$2:$X$1001,MATCH(ROWS($W$2:W629),$W$2:$W$1001,0),1)&gt;=100000,INDEX($AD$1005:$AU$1005,1,MATCH(COLUMNS($AD$1006:AJ1006),$AD$1006:$AU$1006,0))&gt;=100000), " ",IF(INDEX($AD$2:$AU$1001,MATCH(ROWS($W$2:W629),$W$2:$W$1001,0),MATCH(COLUMNS($AD$1006:AJ1006),$AD$1006:$AU$1006,0)), HYPERLINK("#",""), HYPERLINK(CONCATENATE("#metadata!", ADDRESS(INDEX($Y$2:$Y$1001,MATCH(ROWS($W$2:W629),$W$2:$W$1001,0),0), INDEX($AD$1004:$AU$1004,1,MATCH(COLUMNS($AD$1006:AJ1006),$AD$1006:$AU$1006,0)))),"Fix")))</f>
        <v xml:space="preserve"> </v>
      </c>
      <c r="I629" s="4" t="str">
        <f ca="1">IF(OR(INDEX($X$2:$X$1001,MATCH(ROWS($W$2:W629),$W$2:$W$1001,0),1)&gt;=100000,INDEX($AD$1005:$AU$1005,1,MATCH(COLUMNS($AD$1006:AK1006),$AD$1006:$AU$1006,0))&gt;=100000), " ",IF(INDEX($AD$2:$AU$1001,MATCH(ROWS($W$2:W629),$W$2:$W$1001,0),MATCH(COLUMNS($AD$1006:AK1006),$AD$1006:$AU$1006,0)), HYPERLINK("#",""), HYPERLINK(CONCATENATE("#metadata!", ADDRESS(INDEX($Y$2:$Y$1001,MATCH(ROWS($W$2:W629),$W$2:$W$1001,0),0), INDEX($AD$1004:$AU$1004,1,MATCH(COLUMNS($AD$1006:AK1006),$AD$1006:$AU$1006,0)))),"Fix")))</f>
        <v xml:space="preserve"> </v>
      </c>
      <c r="J629" s="4" t="str">
        <f ca="1">IF(OR(INDEX($X$2:$X$1001,MATCH(ROWS($W$2:W629),$W$2:$W$1001,0),1)&gt;=100000,INDEX($AD$1005:$AU$1005,1,MATCH(COLUMNS($AD$1006:AL1006),$AD$1006:$AU$1006,0))&gt;=100000), " ",IF(INDEX($AD$2:$AU$1001,MATCH(ROWS($W$2:W629),$W$2:$W$1001,0),MATCH(COLUMNS($AD$1006:AL1006),$AD$1006:$AU$1006,0)), HYPERLINK("#",""), HYPERLINK(CONCATENATE("#metadata!", ADDRESS(INDEX($Y$2:$Y$1001,MATCH(ROWS($W$2:W629),$W$2:$W$1001,0),0), INDEX($AD$1004:$AU$1004,1,MATCH(COLUMNS($AD$1006:AL1006),$AD$1006:$AU$1006,0)))),"Fix")))</f>
        <v xml:space="preserve"> </v>
      </c>
      <c r="K629" s="4" t="str">
        <f ca="1">IF(OR(INDEX($X$2:$X$1001,MATCH(ROWS($W$2:W629),$W$2:$W$1001,0),1)&gt;=100000,INDEX($AD$1005:$AU$1005,1,MATCH(COLUMNS($AD$1006:AM1006),$AD$1006:$AU$1006,0))&gt;=100000), " ",IF(INDEX($AD$2:$AU$1001,MATCH(ROWS($W$2:W629),$W$2:$W$1001,0),MATCH(COLUMNS($AD$1006:AM1006),$AD$1006:$AU$1006,0)), HYPERLINK("#",""), HYPERLINK(CONCATENATE("#metadata!", ADDRESS(INDEX($Y$2:$Y$1001,MATCH(ROWS($W$2:W629),$W$2:$W$1001,0),0), INDEX($AD$1004:$AU$1004,1,MATCH(COLUMNS($AD$1006:AM1006),$AD$1006:$AU$1006,0)))),"Fix")))</f>
        <v xml:space="preserve"> </v>
      </c>
      <c r="L629" s="4" t="str">
        <f ca="1">IF(OR(INDEX($X$2:$X$1001,MATCH(ROWS($W$2:W629),$W$2:$W$1001,0),1)&gt;=100000,INDEX($AD$1005:$AU$1005,1,MATCH(COLUMNS($AD$1006:AN1006),$AD$1006:$AU$1006,0))&gt;=100000), " ",IF(INDEX($AD$2:$AU$1001,MATCH(ROWS($W$2:W629),$W$2:$W$1001,0),MATCH(COLUMNS($AD$1006:AN1006),$AD$1006:$AU$1006,0)), HYPERLINK("#",""), HYPERLINK(CONCATENATE("#metadata!", ADDRESS(INDEX($Y$2:$Y$1001,MATCH(ROWS($W$2:W629),$W$2:$W$1001,0),0), INDEX($AD$1004:$AU$1004,1,MATCH(COLUMNS($AD$1006:AN1006),$AD$1006:$AU$1006,0)))),"Fix")))</f>
        <v xml:space="preserve"> </v>
      </c>
      <c r="M629" s="4" t="str">
        <f ca="1">IF(OR(INDEX($X$2:$X$1001,MATCH(ROWS($W$2:W629),$W$2:$W$1001,0),1)&gt;=100000,INDEX($AD$1005:$AU$1005,1,MATCH(COLUMNS($AD$1006:AO1006),$AD$1006:$AU$1006,0))&gt;=100000), " ",IF(INDEX($AD$2:$AU$1001,MATCH(ROWS($W$2:W629),$W$2:$W$1001,0),MATCH(COLUMNS($AD$1006:AO1006),$AD$1006:$AU$1006,0)), HYPERLINK("#",""), HYPERLINK(CONCATENATE("#metadata!", ADDRESS(INDEX($Y$2:$Y$1001,MATCH(ROWS($W$2:W629),$W$2:$W$1001,0),0), INDEX($AD$1004:$AU$1004,1,MATCH(COLUMNS($AD$1006:AO1006),$AD$1006:$AU$1006,0)))),"Fix")))</f>
        <v xml:space="preserve"> </v>
      </c>
      <c r="N629" s="4" t="str">
        <f ca="1">IF(OR(INDEX($X$2:$X$1001,MATCH(ROWS($W$2:W629),$W$2:$W$1001,0),1)&gt;=100000,INDEX($AD$1005:$AU$1005,1,MATCH(COLUMNS($AD$1006:AP1006),$AD$1006:$AU$1006,0))&gt;=100000), " ",IF(INDEX($AD$2:$AU$1001,MATCH(ROWS($W$2:W629),$W$2:$W$1001,0),MATCH(COLUMNS($AD$1006:AP1006),$AD$1006:$AU$1006,0)), HYPERLINK("#",""), HYPERLINK(CONCATENATE("#metadata!", ADDRESS(INDEX($Y$2:$Y$1001,MATCH(ROWS($W$2:W629),$W$2:$W$1001,0),0), INDEX($AD$1004:$AU$1004,1,MATCH(COLUMNS($AD$1006:AP1006),$AD$1006:$AU$1006,0)))),"Fix")))</f>
        <v xml:space="preserve"> </v>
      </c>
      <c r="O629" s="4" t="str">
        <f ca="1">IF(OR(INDEX($X$2:$X$1001,MATCH(ROWS($W$2:W629),$W$2:$W$1001,0),1)&gt;=100000,INDEX($AD$1005:$AU$1005,1,MATCH(COLUMNS($AD$1006:AQ1006),$AD$1006:$AU$1006,0))&gt;=100000), " ",IF(INDEX($AD$2:$AU$1001,MATCH(ROWS($W$2:W629),$W$2:$W$1001,0),MATCH(COLUMNS($AD$1006:AQ1006),$AD$1006:$AU$1006,0)), HYPERLINK("#",""), HYPERLINK(CONCATENATE("#metadata!", ADDRESS(INDEX($Y$2:$Y$1001,MATCH(ROWS($W$2:W629),$W$2:$W$1001,0),0), INDEX($AD$1004:$AU$1004,1,MATCH(COLUMNS($AD$1006:AQ1006),$AD$1006:$AU$1006,0)))),"Fix")))</f>
        <v xml:space="preserve"> </v>
      </c>
      <c r="P629" s="4" t="str">
        <f ca="1">IF(OR(INDEX($X$2:$X$1001,MATCH(ROWS($W$2:W629),$W$2:$W$1001,0),1)&gt;=100000,INDEX($AD$1005:$AU$1005,1,MATCH(COLUMNS($AD$1006:AR1006),$AD$1006:$AU$1006,0))&gt;=100000), " ",IF(INDEX($AD$2:$AU$1001,MATCH(ROWS($W$2:W629),$W$2:$W$1001,0),MATCH(COLUMNS($AD$1006:AR1006),$AD$1006:$AU$1006,0)), HYPERLINK("#",""), HYPERLINK(CONCATENATE("#metadata!", ADDRESS(INDEX($Y$2:$Y$1001,MATCH(ROWS($W$2:W629),$W$2:$W$1001,0),0), INDEX($AD$1004:$AU$1004,1,MATCH(COLUMNS($AD$1006:AR1006),$AD$1006:$AU$1006,0)))),"Fix")))</f>
        <v xml:space="preserve"> </v>
      </c>
      <c r="Q629" s="4" t="str">
        <f ca="1">IF(OR(INDEX($X$2:$X$1001,MATCH(ROWS($W$2:W629),$W$2:$W$1001,0),1)&gt;=100000,INDEX($AD$1005:$AU$1005,1,MATCH(COLUMNS($AD$1006:AS1006),$AD$1006:$AU$1006,0))&gt;=100000), " ",IF(INDEX($AD$2:$AU$1001,MATCH(ROWS($W$2:W629),$W$2:$W$1001,0),MATCH(COLUMNS($AD$1006:AS1006),$AD$1006:$AU$1006,0)), HYPERLINK("#",""), HYPERLINK(CONCATENATE("#metadata!", ADDRESS(INDEX($Y$2:$Y$1001,MATCH(ROWS($W$2:W629),$W$2:$W$1001,0),0), INDEX($AD$1004:$AU$1004,1,MATCH(COLUMNS($AD$1006:AS1006),$AD$1006:$AU$1006,0)))),"Fix")))</f>
        <v xml:space="preserve"> </v>
      </c>
      <c r="R629" s="4" t="str">
        <f ca="1">IF(OR(INDEX($X$2:$X$1001,MATCH(ROWS($W$2:W629),$W$2:$W$1001,0),1)&gt;=100000,INDEX($AD$1005:$AU$1005,1,MATCH(COLUMNS($AD$1006:AT1006),$AD$1006:$AU$1006,0))&gt;=100000), " ",IF(INDEX($AD$2:$AU$1001,MATCH(ROWS($W$2:W629),$W$2:$W$1001,0),MATCH(COLUMNS($AD$1006:AT1006),$AD$1006:$AU$1006,0)), HYPERLINK("#",""), HYPERLINK(CONCATENATE("#metadata!", ADDRESS(INDEX($Y$2:$Y$1001,MATCH(ROWS($W$2:W629),$W$2:$W$1001,0),0), INDEX($AD$1004:$AU$1004,1,MATCH(COLUMNS($AD$1006:AT1006),$AD$1006:$AU$1006,0)))),"Fix")))</f>
        <v xml:space="preserve"> </v>
      </c>
      <c r="S629" s="4" t="str">
        <f ca="1">IF(OR(INDEX($X$2:$X$1001,MATCH(ROWS($W$2:W629),$W$2:$W$1001,0),1)&gt;=100000,INDEX($AD$1005:$AU$1005,1,MATCH(COLUMNS($AD$1006:AU1006),$AD$1006:$AU$1006,0))&gt;=100000), " ",IF(INDEX($AD$2:$AU$1001,MATCH(ROWS($W$2:W629),$W$2:$W$1001,0),MATCH(COLUMNS($AD$1006:AU1006),$AD$1006:$AU$1006,0)), HYPERLINK("#",""), HYPERLINK(CONCATENATE("#metadata!", ADDRESS(INDEX($Y$2:$Y$1001,MATCH(ROWS($W$2:W629),$W$2:$W$1001,0),0), INDEX($AD$1004:$AU$1004,1,MATCH(COLUMNS($AD$1006:AU1006),$AD$1006:$AU$1006,0)))),"Fix")))</f>
        <v xml:space="preserve"> </v>
      </c>
      <c r="W629">
        <v>628</v>
      </c>
      <c r="X629">
        <v>100629</v>
      </c>
      <c r="Y629">
        <v>629</v>
      </c>
      <c r="Z629" t="b">
        <f t="shared" si="9"/>
        <v>1</v>
      </c>
      <c r="AA629" t="b">
        <f>COUNTBLANK(metadata!B629:S629)=COLUMNS(metadata!B629:S629)</f>
        <v>1</v>
      </c>
      <c r="AB629" t="str">
        <v/>
      </c>
      <c r="AD629" t="b">
        <f ca="1">AND(IF(metadata!B629="",FALSE,TRUE),COUNTIF(metadata!B:B, metadata!B629) = 1,NOT(ISERROR(SUMPRODUCT(SEARCH(MID(metadata!B629,ROW(INDIRECT("1:"&amp;LEN(metadata!B629))), 1),"0123456789abcdefghijklmnopqrstuvwxyzABCDEFGHIJKLMNOPQRSTUVWXYZ.")))))</f>
        <v>0</v>
      </c>
      <c r="AE629" t="b">
        <f>OR(AND(IF(metadata!C629="",FALSE,TRUE),OR(EXACT(metadata!C629,"not applicable"),EXACT(metadata!C629,"missing: not collected"),EXACT(metadata!C629,"missing: not provided"),EXACT(metadata!C629,"missing: restricted access"))),AND(IF(metadata!C629="",FALSE,ISNUMBER(VALUE(metadata!C629))),metadata!C629&gt;0))</f>
        <v>0</v>
      </c>
      <c r="AF629" t="b">
        <f>AND(IF(metadata!D629="",FALSE,TRUE),EXACT(metadata!D629,"missing: not provided"))</f>
        <v>0</v>
      </c>
      <c r="AG629" t="b">
        <f>AND(IF(metadata!E629="",FALSE,TRUE),EXACT(metadata!E629,"Host-associated"))</f>
        <v>0</v>
      </c>
      <c r="AH629" t="b">
        <f>AND(IF(metadata!F629="",FALSE,TRUE),OR(EXACT(metadata!F629,"Animal"),EXACT(metadata!F629,"Fungus"),EXACT(metadata!F629,"Plant")))</f>
        <v>0</v>
      </c>
      <c r="AI629" t="b">
        <f>AND(IF(metadata!G629="",FALSE,TRUE),OR(EXACT(metadata!G629,"Plant secretion"),EXACT(metadata!G629,"Plant rhizosphere"),EXACT(metadata!G629,"Plant surface"),EXACT(metadata!G629,"Plant corpus"),EXACT(metadata!G629,"Fungus surface"),EXACT(metadata!G629,"Fungus corpus"),EXACT(metadata!G629,"Animal surface"),EXACT(metadata!G629,"Animal proximal gut"),EXACT(metadata!G629,"Animal corpus"),EXACT(metadata!G629,"Animal distal gut"),EXACT(metadata!G629,"Animal secretion")))</f>
        <v>0</v>
      </c>
      <c r="AJ629" t="b">
        <f>OR(AND(IF(metadata!H629="",FALSE,TRUE),OR(EXACT(metadata!H629,"missing: not collected"),EXACT(metadata!H629,"missing: not provided"),EXACT(metadata!H629,"missing: restricted access"))),AND(IF(metadata!H629="",FALSE,TRUE),OR(EXACT(metadata!H629,"organism-associated habitat"),EXACT(metadata!H629,"plant-associated habitat"),EXACT(metadata!H629,"animal-associated habitat"),EXACT(metadata!H629,"insecta-associated habitat"),EXACT(metadata!H629,"mammalia-associated habitat"),EXACT(metadata!H629,"human-associated habitat"),EXACT(metadata!H629,"livestock-associated habitat"))))</f>
        <v>0</v>
      </c>
      <c r="AK629" t="b">
        <f>AND(IF(metadata!I629="",FALSE,TRUE),EXACT(metadata!I629,"host-associated"))</f>
        <v>0</v>
      </c>
      <c r="AL629" t="b">
        <f>OR(AND(IF(metadata!J629="",FALSE,TRUE),OR(EXACT(metadata!J629,"not applicable"),EXACT(metadata!J629,"missing: not collected"),EXACT(metadata!J629,"missing: not provided"),EXACT(metadata!J629,"missing: restricted access"))),AND(IF(metadata!J629="",FALSE,ISNUMBER(VALUE(metadata!J629))),metadata!J629&gt;0))</f>
        <v>0</v>
      </c>
      <c r="AM629" t="b">
        <f>AND(IF(metadata!K629="",FALSE,TRUE),EXACT(metadata!K629,"missing: not provided"))</f>
        <v>0</v>
      </c>
      <c r="AN629" t="b">
        <f>IF(metadata!L629="",FALSE,TRUE)</f>
        <v>0</v>
      </c>
      <c r="AO629" t="b">
        <f>IF(metadata!M629="",FALSE,TRUE)</f>
        <v>0</v>
      </c>
      <c r="AP629" t="b">
        <f>OR(AND(IF(metadata!N629="",FALSE,TRUE),OR(EXACT(metadata!N629,"not applicable"),EXACT(metadata!N629,"missing: not collected"),EXACT(metadata!N629,"missing: not provided"))),AND(IF(metadata!N629="",FALSE,IF(ISERROR(INT(metadata!N629)),FALSE,INT(metadata!N629)=metadata!N629)),metadata!N629&gt;0))</f>
        <v>0</v>
      </c>
      <c r="AQ629" t="b">
        <f>AND(IF(metadata!O629="",FALSE,TRUE),EXACT(metadata!O629,"Not applicable"))</f>
        <v>0</v>
      </c>
      <c r="AR629" t="b">
        <f>OR(AND(IF(metadata!P629="",FALSE,TRUE),OR(EXACT(metadata!P629,"not applicable"),EXACT(metadata!P629,"missing: not collected"),EXACT(metadata!P629,"missing: not provided"),EXACT(metadata!P629,"missing: restricted access"))),IF(metadata!P629="",FALSE,IF(ISERROR(INT(metadata!P629)),FALSE,INT(metadata!P629)=metadata!P629)))</f>
        <v>0</v>
      </c>
      <c r="AS629" t="b">
        <f>AND(IF(metadata!Q629="",FALSE,TRUE),EXACT(metadata!Q629,"Not applicable"))</f>
        <v>0</v>
      </c>
      <c r="AT629" t="b">
        <f>OR(AND(IF(metadata!R629="",FALSE,TRUE),OR(EXACT(metadata!R629,"not applicable"),EXACT(metadata!R629,"missing: not collected"),EXACT(metadata!R629,"missing: not provided"),EXACT(metadata!R629,"missing: restricted access"))),AND(IF(metadata!R629="",FALSE,ISNUMBER(VALUE(metadata!R629))),metadata!R629&gt;0))</f>
        <v>0</v>
      </c>
      <c r="AU629" t="b">
        <f>AND(IF(metadata!S629="",FALSE,TRUE),EXACT(metadata!S629,"missing: not provided"))</f>
        <v>0</v>
      </c>
    </row>
    <row r="630" spans="1:47" x14ac:dyDescent="0.2">
      <c r="A630" s="5" t="str">
        <f ca="1">IF(B630=" "," ",HYPERLINK(CONCATENATE("#metadata!",ADDRESS(INDEX($Y$2:$Y$1001,MATCH(ROWS($W$2:W630),$W$2:$W$1001,0),0),1)),INDEX($AB$2:$AB$1001,MATCH(ROWS($W$2:W630),$W$2:$W$1001,0),0)))</f>
        <v xml:space="preserve"> </v>
      </c>
      <c r="B630" s="4" t="str">
        <f ca="1">IF(OR(INDEX($X$2:$X$1001,MATCH(ROWS($W$2:W630),$W$2:$W$1001,0),1)&gt;=100000,INDEX($AD$1005:$AU$1005,1,MATCH(COLUMNS($AD$1006:AD1006),$AD$1006:$AU$1006,0))&gt;=100000), " ",IF(INDEX($AD$2:$AU$1001,MATCH(ROWS($W$2:W630),$W$2:$W$1001,0),MATCH(COLUMNS($AD$1006:AD1006),$AD$1006:$AU$1006,0)), HYPERLINK("#",""), HYPERLINK(CONCATENATE("#metadata!", ADDRESS(INDEX($Y$2:$Y$1001,MATCH(ROWS($W$2:W630),$W$2:$W$1001,0),0), INDEX($AD$1004:$AU$1004,1,MATCH(COLUMNS($AD$1006:AD1006),$AD$1006:$AU$1006,0)))),"Fix")))</f>
        <v xml:space="preserve"> </v>
      </c>
      <c r="C630" s="4" t="str">
        <f ca="1">IF(OR(INDEX($X$2:$X$1001,MATCH(ROWS($W$2:W630),$W$2:$W$1001,0),1)&gt;=100000,INDEX($AD$1005:$AU$1005,1,MATCH(COLUMNS($AD$1006:AE1006),$AD$1006:$AU$1006,0))&gt;=100000), " ",IF(INDEX($AD$2:$AU$1001,MATCH(ROWS($W$2:W630),$W$2:$W$1001,0),MATCH(COLUMNS($AD$1006:AE1006),$AD$1006:$AU$1006,0)), HYPERLINK("#",""), HYPERLINK(CONCATENATE("#metadata!", ADDRESS(INDEX($Y$2:$Y$1001,MATCH(ROWS($W$2:W630),$W$2:$W$1001,0),0), INDEX($AD$1004:$AU$1004,1,MATCH(COLUMNS($AD$1006:AE1006),$AD$1006:$AU$1006,0)))),"Fix")))</f>
        <v xml:space="preserve"> </v>
      </c>
      <c r="D630" s="4" t="str">
        <f ca="1">IF(OR(INDEX($X$2:$X$1001,MATCH(ROWS($W$2:W630),$W$2:$W$1001,0),1)&gt;=100000,INDEX($AD$1005:$AU$1005,1,MATCH(COLUMNS($AD$1006:AF1006),$AD$1006:$AU$1006,0))&gt;=100000), " ",IF(INDEX($AD$2:$AU$1001,MATCH(ROWS($W$2:W630),$W$2:$W$1001,0),MATCH(COLUMNS($AD$1006:AF1006),$AD$1006:$AU$1006,0)), HYPERLINK("#",""), HYPERLINK(CONCATENATE("#metadata!", ADDRESS(INDEX($Y$2:$Y$1001,MATCH(ROWS($W$2:W630),$W$2:$W$1001,0),0), INDEX($AD$1004:$AU$1004,1,MATCH(COLUMNS($AD$1006:AF1006),$AD$1006:$AU$1006,0)))),"Fix")))</f>
        <v xml:space="preserve"> </v>
      </c>
      <c r="E630" s="4" t="str">
        <f ca="1">IF(OR(INDEX($X$2:$X$1001,MATCH(ROWS($W$2:W630),$W$2:$W$1001,0),1)&gt;=100000,INDEX($AD$1005:$AU$1005,1,MATCH(COLUMNS($AD$1006:AG1006),$AD$1006:$AU$1006,0))&gt;=100000), " ",IF(INDEX($AD$2:$AU$1001,MATCH(ROWS($W$2:W630),$W$2:$W$1001,0),MATCH(COLUMNS($AD$1006:AG1006),$AD$1006:$AU$1006,0)), HYPERLINK("#",""), HYPERLINK(CONCATENATE("#metadata!", ADDRESS(INDEX($Y$2:$Y$1001,MATCH(ROWS($W$2:W630),$W$2:$W$1001,0),0), INDEX($AD$1004:$AU$1004,1,MATCH(COLUMNS($AD$1006:AG1006),$AD$1006:$AU$1006,0)))),"Fix")))</f>
        <v xml:space="preserve"> </v>
      </c>
      <c r="F630" s="4" t="str">
        <f ca="1">IF(OR(INDEX($X$2:$X$1001,MATCH(ROWS($W$2:W630),$W$2:$W$1001,0),1)&gt;=100000,INDEX($AD$1005:$AU$1005,1,MATCH(COLUMNS($AD$1006:AH1006),$AD$1006:$AU$1006,0))&gt;=100000), " ",IF(INDEX($AD$2:$AU$1001,MATCH(ROWS($W$2:W630),$W$2:$W$1001,0),MATCH(COLUMNS($AD$1006:AH1006),$AD$1006:$AU$1006,0)), HYPERLINK("#",""), HYPERLINK(CONCATENATE("#metadata!", ADDRESS(INDEX($Y$2:$Y$1001,MATCH(ROWS($W$2:W630),$W$2:$W$1001,0),0), INDEX($AD$1004:$AU$1004,1,MATCH(COLUMNS($AD$1006:AH1006),$AD$1006:$AU$1006,0)))),"Fix")))</f>
        <v xml:space="preserve"> </v>
      </c>
      <c r="G630" s="4" t="str">
        <f ca="1">IF(OR(INDEX($X$2:$X$1001,MATCH(ROWS($W$2:W630),$W$2:$W$1001,0),1)&gt;=100000,INDEX($AD$1005:$AU$1005,1,MATCH(COLUMNS($AD$1006:AI1006),$AD$1006:$AU$1006,0))&gt;=100000), " ",IF(INDEX($AD$2:$AU$1001,MATCH(ROWS($W$2:W630),$W$2:$W$1001,0),MATCH(COLUMNS($AD$1006:AI1006),$AD$1006:$AU$1006,0)), HYPERLINK("#",""), HYPERLINK(CONCATENATE("#metadata!", ADDRESS(INDEX($Y$2:$Y$1001,MATCH(ROWS($W$2:W630),$W$2:$W$1001,0),0), INDEX($AD$1004:$AU$1004,1,MATCH(COLUMNS($AD$1006:AI1006),$AD$1006:$AU$1006,0)))),"Fix")))</f>
        <v xml:space="preserve"> </v>
      </c>
      <c r="H630" s="4" t="str">
        <f ca="1">IF(OR(INDEX($X$2:$X$1001,MATCH(ROWS($W$2:W630),$W$2:$W$1001,0),1)&gt;=100000,INDEX($AD$1005:$AU$1005,1,MATCH(COLUMNS($AD$1006:AJ1006),$AD$1006:$AU$1006,0))&gt;=100000), " ",IF(INDEX($AD$2:$AU$1001,MATCH(ROWS($W$2:W630),$W$2:$W$1001,0),MATCH(COLUMNS($AD$1006:AJ1006),$AD$1006:$AU$1006,0)), HYPERLINK("#",""), HYPERLINK(CONCATENATE("#metadata!", ADDRESS(INDEX($Y$2:$Y$1001,MATCH(ROWS($W$2:W630),$W$2:$W$1001,0),0), INDEX($AD$1004:$AU$1004,1,MATCH(COLUMNS($AD$1006:AJ1006),$AD$1006:$AU$1006,0)))),"Fix")))</f>
        <v xml:space="preserve"> </v>
      </c>
      <c r="I630" s="4" t="str">
        <f ca="1">IF(OR(INDEX($X$2:$X$1001,MATCH(ROWS($W$2:W630),$W$2:$W$1001,0),1)&gt;=100000,INDEX($AD$1005:$AU$1005,1,MATCH(COLUMNS($AD$1006:AK1006),$AD$1006:$AU$1006,0))&gt;=100000), " ",IF(INDEX($AD$2:$AU$1001,MATCH(ROWS($W$2:W630),$W$2:$W$1001,0),MATCH(COLUMNS($AD$1006:AK1006),$AD$1006:$AU$1006,0)), HYPERLINK("#",""), HYPERLINK(CONCATENATE("#metadata!", ADDRESS(INDEX($Y$2:$Y$1001,MATCH(ROWS($W$2:W630),$W$2:$W$1001,0),0), INDEX($AD$1004:$AU$1004,1,MATCH(COLUMNS($AD$1006:AK1006),$AD$1006:$AU$1006,0)))),"Fix")))</f>
        <v xml:space="preserve"> </v>
      </c>
      <c r="J630" s="4" t="str">
        <f ca="1">IF(OR(INDEX($X$2:$X$1001,MATCH(ROWS($W$2:W630),$W$2:$W$1001,0),1)&gt;=100000,INDEX($AD$1005:$AU$1005,1,MATCH(COLUMNS($AD$1006:AL1006),$AD$1006:$AU$1006,0))&gt;=100000), " ",IF(INDEX($AD$2:$AU$1001,MATCH(ROWS($W$2:W630),$W$2:$W$1001,0),MATCH(COLUMNS($AD$1006:AL1006),$AD$1006:$AU$1006,0)), HYPERLINK("#",""), HYPERLINK(CONCATENATE("#metadata!", ADDRESS(INDEX($Y$2:$Y$1001,MATCH(ROWS($W$2:W630),$W$2:$W$1001,0),0), INDEX($AD$1004:$AU$1004,1,MATCH(COLUMNS($AD$1006:AL1006),$AD$1006:$AU$1006,0)))),"Fix")))</f>
        <v xml:space="preserve"> </v>
      </c>
      <c r="K630" s="4" t="str">
        <f ca="1">IF(OR(INDEX($X$2:$X$1001,MATCH(ROWS($W$2:W630),$W$2:$W$1001,0),1)&gt;=100000,INDEX($AD$1005:$AU$1005,1,MATCH(COLUMNS($AD$1006:AM1006),$AD$1006:$AU$1006,0))&gt;=100000), " ",IF(INDEX($AD$2:$AU$1001,MATCH(ROWS($W$2:W630),$W$2:$W$1001,0),MATCH(COLUMNS($AD$1006:AM1006),$AD$1006:$AU$1006,0)), HYPERLINK("#",""), HYPERLINK(CONCATENATE("#metadata!", ADDRESS(INDEX($Y$2:$Y$1001,MATCH(ROWS($W$2:W630),$W$2:$W$1001,0),0), INDEX($AD$1004:$AU$1004,1,MATCH(COLUMNS($AD$1006:AM1006),$AD$1006:$AU$1006,0)))),"Fix")))</f>
        <v xml:space="preserve"> </v>
      </c>
      <c r="L630" s="4" t="str">
        <f ca="1">IF(OR(INDEX($X$2:$X$1001,MATCH(ROWS($W$2:W630),$W$2:$W$1001,0),1)&gt;=100000,INDEX($AD$1005:$AU$1005,1,MATCH(COLUMNS($AD$1006:AN1006),$AD$1006:$AU$1006,0))&gt;=100000), " ",IF(INDEX($AD$2:$AU$1001,MATCH(ROWS($W$2:W630),$W$2:$W$1001,0),MATCH(COLUMNS($AD$1006:AN1006),$AD$1006:$AU$1006,0)), HYPERLINK("#",""), HYPERLINK(CONCATENATE("#metadata!", ADDRESS(INDEX($Y$2:$Y$1001,MATCH(ROWS($W$2:W630),$W$2:$W$1001,0),0), INDEX($AD$1004:$AU$1004,1,MATCH(COLUMNS($AD$1006:AN1006),$AD$1006:$AU$1006,0)))),"Fix")))</f>
        <v xml:space="preserve"> </v>
      </c>
      <c r="M630" s="4" t="str">
        <f ca="1">IF(OR(INDEX($X$2:$X$1001,MATCH(ROWS($W$2:W630),$W$2:$W$1001,0),1)&gt;=100000,INDEX($AD$1005:$AU$1005,1,MATCH(COLUMNS($AD$1006:AO1006),$AD$1006:$AU$1006,0))&gt;=100000), " ",IF(INDEX($AD$2:$AU$1001,MATCH(ROWS($W$2:W630),$W$2:$W$1001,0),MATCH(COLUMNS($AD$1006:AO1006),$AD$1006:$AU$1006,0)), HYPERLINK("#",""), HYPERLINK(CONCATENATE("#metadata!", ADDRESS(INDEX($Y$2:$Y$1001,MATCH(ROWS($W$2:W630),$W$2:$W$1001,0),0), INDEX($AD$1004:$AU$1004,1,MATCH(COLUMNS($AD$1006:AO1006),$AD$1006:$AU$1006,0)))),"Fix")))</f>
        <v xml:space="preserve"> </v>
      </c>
      <c r="N630" s="4" t="str">
        <f ca="1">IF(OR(INDEX($X$2:$X$1001,MATCH(ROWS($W$2:W630),$W$2:$W$1001,0),1)&gt;=100000,INDEX($AD$1005:$AU$1005,1,MATCH(COLUMNS($AD$1006:AP1006),$AD$1006:$AU$1006,0))&gt;=100000), " ",IF(INDEX($AD$2:$AU$1001,MATCH(ROWS($W$2:W630),$W$2:$W$1001,0),MATCH(COLUMNS($AD$1006:AP1006),$AD$1006:$AU$1006,0)), HYPERLINK("#",""), HYPERLINK(CONCATENATE("#metadata!", ADDRESS(INDEX($Y$2:$Y$1001,MATCH(ROWS($W$2:W630),$W$2:$W$1001,0),0), INDEX($AD$1004:$AU$1004,1,MATCH(COLUMNS($AD$1006:AP1006),$AD$1006:$AU$1006,0)))),"Fix")))</f>
        <v xml:space="preserve"> </v>
      </c>
      <c r="O630" s="4" t="str">
        <f ca="1">IF(OR(INDEX($X$2:$X$1001,MATCH(ROWS($W$2:W630),$W$2:$W$1001,0),1)&gt;=100000,INDEX($AD$1005:$AU$1005,1,MATCH(COLUMNS($AD$1006:AQ1006),$AD$1006:$AU$1006,0))&gt;=100000), " ",IF(INDEX($AD$2:$AU$1001,MATCH(ROWS($W$2:W630),$W$2:$W$1001,0),MATCH(COLUMNS($AD$1006:AQ1006),$AD$1006:$AU$1006,0)), HYPERLINK("#",""), HYPERLINK(CONCATENATE("#metadata!", ADDRESS(INDEX($Y$2:$Y$1001,MATCH(ROWS($W$2:W630),$W$2:$W$1001,0),0), INDEX($AD$1004:$AU$1004,1,MATCH(COLUMNS($AD$1006:AQ1006),$AD$1006:$AU$1006,0)))),"Fix")))</f>
        <v xml:space="preserve"> </v>
      </c>
      <c r="P630" s="4" t="str">
        <f ca="1">IF(OR(INDEX($X$2:$X$1001,MATCH(ROWS($W$2:W630),$W$2:$W$1001,0),1)&gt;=100000,INDEX($AD$1005:$AU$1005,1,MATCH(COLUMNS($AD$1006:AR1006),$AD$1006:$AU$1006,0))&gt;=100000), " ",IF(INDEX($AD$2:$AU$1001,MATCH(ROWS($W$2:W630),$W$2:$W$1001,0),MATCH(COLUMNS($AD$1006:AR1006),$AD$1006:$AU$1006,0)), HYPERLINK("#",""), HYPERLINK(CONCATENATE("#metadata!", ADDRESS(INDEX($Y$2:$Y$1001,MATCH(ROWS($W$2:W630),$W$2:$W$1001,0),0), INDEX($AD$1004:$AU$1004,1,MATCH(COLUMNS($AD$1006:AR1006),$AD$1006:$AU$1006,0)))),"Fix")))</f>
        <v xml:space="preserve"> </v>
      </c>
      <c r="Q630" s="4" t="str">
        <f ca="1">IF(OR(INDEX($X$2:$X$1001,MATCH(ROWS($W$2:W630),$W$2:$W$1001,0),1)&gt;=100000,INDEX($AD$1005:$AU$1005,1,MATCH(COLUMNS($AD$1006:AS1006),$AD$1006:$AU$1006,0))&gt;=100000), " ",IF(INDEX($AD$2:$AU$1001,MATCH(ROWS($W$2:W630),$W$2:$W$1001,0),MATCH(COLUMNS($AD$1006:AS1006),$AD$1006:$AU$1006,0)), HYPERLINK("#",""), HYPERLINK(CONCATENATE("#metadata!", ADDRESS(INDEX($Y$2:$Y$1001,MATCH(ROWS($W$2:W630),$W$2:$W$1001,0),0), INDEX($AD$1004:$AU$1004,1,MATCH(COLUMNS($AD$1006:AS1006),$AD$1006:$AU$1006,0)))),"Fix")))</f>
        <v xml:space="preserve"> </v>
      </c>
      <c r="R630" s="4" t="str">
        <f ca="1">IF(OR(INDEX($X$2:$X$1001,MATCH(ROWS($W$2:W630),$W$2:$W$1001,0),1)&gt;=100000,INDEX($AD$1005:$AU$1005,1,MATCH(COLUMNS($AD$1006:AT1006),$AD$1006:$AU$1006,0))&gt;=100000), " ",IF(INDEX($AD$2:$AU$1001,MATCH(ROWS($W$2:W630),$W$2:$W$1001,0),MATCH(COLUMNS($AD$1006:AT1006),$AD$1006:$AU$1006,0)), HYPERLINK("#",""), HYPERLINK(CONCATENATE("#metadata!", ADDRESS(INDEX($Y$2:$Y$1001,MATCH(ROWS($W$2:W630),$W$2:$W$1001,0),0), INDEX($AD$1004:$AU$1004,1,MATCH(COLUMNS($AD$1006:AT1006),$AD$1006:$AU$1006,0)))),"Fix")))</f>
        <v xml:space="preserve"> </v>
      </c>
      <c r="S630" s="4" t="str">
        <f ca="1">IF(OR(INDEX($X$2:$X$1001,MATCH(ROWS($W$2:W630),$W$2:$W$1001,0),1)&gt;=100000,INDEX($AD$1005:$AU$1005,1,MATCH(COLUMNS($AD$1006:AU1006),$AD$1006:$AU$1006,0))&gt;=100000), " ",IF(INDEX($AD$2:$AU$1001,MATCH(ROWS($W$2:W630),$W$2:$W$1001,0),MATCH(COLUMNS($AD$1006:AU1006),$AD$1006:$AU$1006,0)), HYPERLINK("#",""), HYPERLINK(CONCATENATE("#metadata!", ADDRESS(INDEX($Y$2:$Y$1001,MATCH(ROWS($W$2:W630),$W$2:$W$1001,0),0), INDEX($AD$1004:$AU$1004,1,MATCH(COLUMNS($AD$1006:AU1006),$AD$1006:$AU$1006,0)))),"Fix")))</f>
        <v xml:space="preserve"> </v>
      </c>
      <c r="W630">
        <v>629</v>
      </c>
      <c r="X630">
        <v>100630</v>
      </c>
      <c r="Y630">
        <v>630</v>
      </c>
      <c r="Z630" t="b">
        <f t="shared" si="9"/>
        <v>1</v>
      </c>
      <c r="AA630" t="b">
        <f>COUNTBLANK(metadata!B630:S630)=COLUMNS(metadata!B630:S630)</f>
        <v>1</v>
      </c>
      <c r="AB630" t="str">
        <v/>
      </c>
      <c r="AD630" t="b">
        <f ca="1">AND(IF(metadata!B630="",FALSE,TRUE),COUNTIF(metadata!B:B, metadata!B630) = 1,NOT(ISERROR(SUMPRODUCT(SEARCH(MID(metadata!B630,ROW(INDIRECT("1:"&amp;LEN(metadata!B630))), 1),"0123456789abcdefghijklmnopqrstuvwxyzABCDEFGHIJKLMNOPQRSTUVWXYZ.")))))</f>
        <v>0</v>
      </c>
      <c r="AE630" t="b">
        <f>OR(AND(IF(metadata!C630="",FALSE,TRUE),OR(EXACT(metadata!C630,"not applicable"),EXACT(metadata!C630,"missing: not collected"),EXACT(metadata!C630,"missing: not provided"),EXACT(metadata!C630,"missing: restricted access"))),AND(IF(metadata!C630="",FALSE,ISNUMBER(VALUE(metadata!C630))),metadata!C630&gt;0))</f>
        <v>0</v>
      </c>
      <c r="AF630" t="b">
        <f>AND(IF(metadata!D630="",FALSE,TRUE),EXACT(metadata!D630,"missing: not provided"))</f>
        <v>0</v>
      </c>
      <c r="AG630" t="b">
        <f>AND(IF(metadata!E630="",FALSE,TRUE),EXACT(metadata!E630,"Host-associated"))</f>
        <v>0</v>
      </c>
      <c r="AH630" t="b">
        <f>AND(IF(metadata!F630="",FALSE,TRUE),OR(EXACT(metadata!F630,"Animal"),EXACT(metadata!F630,"Fungus"),EXACT(metadata!F630,"Plant")))</f>
        <v>0</v>
      </c>
      <c r="AI630" t="b">
        <f>AND(IF(metadata!G630="",FALSE,TRUE),OR(EXACT(metadata!G630,"Plant secretion"),EXACT(metadata!G630,"Plant rhizosphere"),EXACT(metadata!G630,"Plant surface"),EXACT(metadata!G630,"Plant corpus"),EXACT(metadata!G630,"Fungus surface"),EXACT(metadata!G630,"Fungus corpus"),EXACT(metadata!G630,"Animal surface"),EXACT(metadata!G630,"Animal proximal gut"),EXACT(metadata!G630,"Animal corpus"),EXACT(metadata!G630,"Animal distal gut"),EXACT(metadata!G630,"Animal secretion")))</f>
        <v>0</v>
      </c>
      <c r="AJ630" t="b">
        <f>OR(AND(IF(metadata!H630="",FALSE,TRUE),OR(EXACT(metadata!H630,"missing: not collected"),EXACT(metadata!H630,"missing: not provided"),EXACT(metadata!H630,"missing: restricted access"))),AND(IF(metadata!H630="",FALSE,TRUE),OR(EXACT(metadata!H630,"organism-associated habitat"),EXACT(metadata!H630,"plant-associated habitat"),EXACT(metadata!H630,"animal-associated habitat"),EXACT(metadata!H630,"insecta-associated habitat"),EXACT(metadata!H630,"mammalia-associated habitat"),EXACT(metadata!H630,"human-associated habitat"),EXACT(metadata!H630,"livestock-associated habitat"))))</f>
        <v>0</v>
      </c>
      <c r="AK630" t="b">
        <f>AND(IF(metadata!I630="",FALSE,TRUE),EXACT(metadata!I630,"host-associated"))</f>
        <v>0</v>
      </c>
      <c r="AL630" t="b">
        <f>OR(AND(IF(metadata!J630="",FALSE,TRUE),OR(EXACT(metadata!J630,"not applicable"),EXACT(metadata!J630,"missing: not collected"),EXACT(metadata!J630,"missing: not provided"),EXACT(metadata!J630,"missing: restricted access"))),AND(IF(metadata!J630="",FALSE,ISNUMBER(VALUE(metadata!J630))),metadata!J630&gt;0))</f>
        <v>0</v>
      </c>
      <c r="AM630" t="b">
        <f>AND(IF(metadata!K630="",FALSE,TRUE),EXACT(metadata!K630,"missing: not provided"))</f>
        <v>0</v>
      </c>
      <c r="AN630" t="b">
        <f>IF(metadata!L630="",FALSE,TRUE)</f>
        <v>0</v>
      </c>
      <c r="AO630" t="b">
        <f>IF(metadata!M630="",FALSE,TRUE)</f>
        <v>0</v>
      </c>
      <c r="AP630" t="b">
        <f>OR(AND(IF(metadata!N630="",FALSE,TRUE),OR(EXACT(metadata!N630,"not applicable"),EXACT(metadata!N630,"missing: not collected"),EXACT(metadata!N630,"missing: not provided"))),AND(IF(metadata!N630="",FALSE,IF(ISERROR(INT(metadata!N630)),FALSE,INT(metadata!N630)=metadata!N630)),metadata!N630&gt;0))</f>
        <v>0</v>
      </c>
      <c r="AQ630" t="b">
        <f>AND(IF(metadata!O630="",FALSE,TRUE),EXACT(metadata!O630,"Not applicable"))</f>
        <v>0</v>
      </c>
      <c r="AR630" t="b">
        <f>OR(AND(IF(metadata!P630="",FALSE,TRUE),OR(EXACT(metadata!P630,"not applicable"),EXACT(metadata!P630,"missing: not collected"),EXACT(metadata!P630,"missing: not provided"),EXACT(metadata!P630,"missing: restricted access"))),IF(metadata!P630="",FALSE,IF(ISERROR(INT(metadata!P630)),FALSE,INT(metadata!P630)=metadata!P630)))</f>
        <v>0</v>
      </c>
      <c r="AS630" t="b">
        <f>AND(IF(metadata!Q630="",FALSE,TRUE),EXACT(metadata!Q630,"Not applicable"))</f>
        <v>0</v>
      </c>
      <c r="AT630" t="b">
        <f>OR(AND(IF(metadata!R630="",FALSE,TRUE),OR(EXACT(metadata!R630,"not applicable"),EXACT(metadata!R630,"missing: not collected"),EXACT(metadata!R630,"missing: not provided"),EXACT(metadata!R630,"missing: restricted access"))),AND(IF(metadata!R630="",FALSE,ISNUMBER(VALUE(metadata!R630))),metadata!R630&gt;0))</f>
        <v>0</v>
      </c>
      <c r="AU630" t="b">
        <f>AND(IF(metadata!S630="",FALSE,TRUE),EXACT(metadata!S630,"missing: not provided"))</f>
        <v>0</v>
      </c>
    </row>
    <row r="631" spans="1:47" x14ac:dyDescent="0.2">
      <c r="A631" s="5" t="str">
        <f ca="1">IF(B631=" "," ",HYPERLINK(CONCATENATE("#metadata!",ADDRESS(INDEX($Y$2:$Y$1001,MATCH(ROWS($W$2:W631),$W$2:$W$1001,0),0),1)),INDEX($AB$2:$AB$1001,MATCH(ROWS($W$2:W631),$W$2:$W$1001,0),0)))</f>
        <v xml:space="preserve"> </v>
      </c>
      <c r="B631" s="4" t="str">
        <f ca="1">IF(OR(INDEX($X$2:$X$1001,MATCH(ROWS($W$2:W631),$W$2:$W$1001,0),1)&gt;=100000,INDEX($AD$1005:$AU$1005,1,MATCH(COLUMNS($AD$1006:AD1006),$AD$1006:$AU$1006,0))&gt;=100000), " ",IF(INDEX($AD$2:$AU$1001,MATCH(ROWS($W$2:W631),$W$2:$W$1001,0),MATCH(COLUMNS($AD$1006:AD1006),$AD$1006:$AU$1006,0)), HYPERLINK("#",""), HYPERLINK(CONCATENATE("#metadata!", ADDRESS(INDEX($Y$2:$Y$1001,MATCH(ROWS($W$2:W631),$W$2:$W$1001,0),0), INDEX($AD$1004:$AU$1004,1,MATCH(COLUMNS($AD$1006:AD1006),$AD$1006:$AU$1006,0)))),"Fix")))</f>
        <v xml:space="preserve"> </v>
      </c>
      <c r="C631" s="4" t="str">
        <f ca="1">IF(OR(INDEX($X$2:$X$1001,MATCH(ROWS($W$2:W631),$W$2:$W$1001,0),1)&gt;=100000,INDEX($AD$1005:$AU$1005,1,MATCH(COLUMNS($AD$1006:AE1006),$AD$1006:$AU$1006,0))&gt;=100000), " ",IF(INDEX($AD$2:$AU$1001,MATCH(ROWS($W$2:W631),$W$2:$W$1001,0),MATCH(COLUMNS($AD$1006:AE1006),$AD$1006:$AU$1006,0)), HYPERLINK("#",""), HYPERLINK(CONCATENATE("#metadata!", ADDRESS(INDEX($Y$2:$Y$1001,MATCH(ROWS($W$2:W631),$W$2:$W$1001,0),0), INDEX($AD$1004:$AU$1004,1,MATCH(COLUMNS($AD$1006:AE1006),$AD$1006:$AU$1006,0)))),"Fix")))</f>
        <v xml:space="preserve"> </v>
      </c>
      <c r="D631" s="4" t="str">
        <f ca="1">IF(OR(INDEX($X$2:$X$1001,MATCH(ROWS($W$2:W631),$W$2:$W$1001,0),1)&gt;=100000,INDEX($AD$1005:$AU$1005,1,MATCH(COLUMNS($AD$1006:AF1006),$AD$1006:$AU$1006,0))&gt;=100000), " ",IF(INDEX($AD$2:$AU$1001,MATCH(ROWS($W$2:W631),$W$2:$W$1001,0),MATCH(COLUMNS($AD$1006:AF1006),$AD$1006:$AU$1006,0)), HYPERLINK("#",""), HYPERLINK(CONCATENATE("#metadata!", ADDRESS(INDEX($Y$2:$Y$1001,MATCH(ROWS($W$2:W631),$W$2:$W$1001,0),0), INDEX($AD$1004:$AU$1004,1,MATCH(COLUMNS($AD$1006:AF1006),$AD$1006:$AU$1006,0)))),"Fix")))</f>
        <v xml:space="preserve"> </v>
      </c>
      <c r="E631" s="4" t="str">
        <f ca="1">IF(OR(INDEX($X$2:$X$1001,MATCH(ROWS($W$2:W631),$W$2:$W$1001,0),1)&gt;=100000,INDEX($AD$1005:$AU$1005,1,MATCH(COLUMNS($AD$1006:AG1006),$AD$1006:$AU$1006,0))&gt;=100000), " ",IF(INDEX($AD$2:$AU$1001,MATCH(ROWS($W$2:W631),$W$2:$W$1001,0),MATCH(COLUMNS($AD$1006:AG1006),$AD$1006:$AU$1006,0)), HYPERLINK("#",""), HYPERLINK(CONCATENATE("#metadata!", ADDRESS(INDEX($Y$2:$Y$1001,MATCH(ROWS($W$2:W631),$W$2:$W$1001,0),0), INDEX($AD$1004:$AU$1004,1,MATCH(COLUMNS($AD$1006:AG1006),$AD$1006:$AU$1006,0)))),"Fix")))</f>
        <v xml:space="preserve"> </v>
      </c>
      <c r="F631" s="4" t="str">
        <f ca="1">IF(OR(INDEX($X$2:$X$1001,MATCH(ROWS($W$2:W631),$W$2:$W$1001,0),1)&gt;=100000,INDEX($AD$1005:$AU$1005,1,MATCH(COLUMNS($AD$1006:AH1006),$AD$1006:$AU$1006,0))&gt;=100000), " ",IF(INDEX($AD$2:$AU$1001,MATCH(ROWS($W$2:W631),$W$2:$W$1001,0),MATCH(COLUMNS($AD$1006:AH1006),$AD$1006:$AU$1006,0)), HYPERLINK("#",""), HYPERLINK(CONCATENATE("#metadata!", ADDRESS(INDEX($Y$2:$Y$1001,MATCH(ROWS($W$2:W631),$W$2:$W$1001,0),0), INDEX($AD$1004:$AU$1004,1,MATCH(COLUMNS($AD$1006:AH1006),$AD$1006:$AU$1006,0)))),"Fix")))</f>
        <v xml:space="preserve"> </v>
      </c>
      <c r="G631" s="4" t="str">
        <f ca="1">IF(OR(INDEX($X$2:$X$1001,MATCH(ROWS($W$2:W631),$W$2:$W$1001,0),1)&gt;=100000,INDEX($AD$1005:$AU$1005,1,MATCH(COLUMNS($AD$1006:AI1006),$AD$1006:$AU$1006,0))&gt;=100000), " ",IF(INDEX($AD$2:$AU$1001,MATCH(ROWS($W$2:W631),$W$2:$W$1001,0),MATCH(COLUMNS($AD$1006:AI1006),$AD$1006:$AU$1006,0)), HYPERLINK("#",""), HYPERLINK(CONCATENATE("#metadata!", ADDRESS(INDEX($Y$2:$Y$1001,MATCH(ROWS($W$2:W631),$W$2:$W$1001,0),0), INDEX($AD$1004:$AU$1004,1,MATCH(COLUMNS($AD$1006:AI1006),$AD$1006:$AU$1006,0)))),"Fix")))</f>
        <v xml:space="preserve"> </v>
      </c>
      <c r="H631" s="4" t="str">
        <f ca="1">IF(OR(INDEX($X$2:$X$1001,MATCH(ROWS($W$2:W631),$W$2:$W$1001,0),1)&gt;=100000,INDEX($AD$1005:$AU$1005,1,MATCH(COLUMNS($AD$1006:AJ1006),$AD$1006:$AU$1006,0))&gt;=100000), " ",IF(INDEX($AD$2:$AU$1001,MATCH(ROWS($W$2:W631),$W$2:$W$1001,0),MATCH(COLUMNS($AD$1006:AJ1006),$AD$1006:$AU$1006,0)), HYPERLINK("#",""), HYPERLINK(CONCATENATE("#metadata!", ADDRESS(INDEX($Y$2:$Y$1001,MATCH(ROWS($W$2:W631),$W$2:$W$1001,0),0), INDEX($AD$1004:$AU$1004,1,MATCH(COLUMNS($AD$1006:AJ1006),$AD$1006:$AU$1006,0)))),"Fix")))</f>
        <v xml:space="preserve"> </v>
      </c>
      <c r="I631" s="4" t="str">
        <f ca="1">IF(OR(INDEX($X$2:$X$1001,MATCH(ROWS($W$2:W631),$W$2:$W$1001,0),1)&gt;=100000,INDEX($AD$1005:$AU$1005,1,MATCH(COLUMNS($AD$1006:AK1006),$AD$1006:$AU$1006,0))&gt;=100000), " ",IF(INDEX($AD$2:$AU$1001,MATCH(ROWS($W$2:W631),$W$2:$W$1001,0),MATCH(COLUMNS($AD$1006:AK1006),$AD$1006:$AU$1006,0)), HYPERLINK("#",""), HYPERLINK(CONCATENATE("#metadata!", ADDRESS(INDEX($Y$2:$Y$1001,MATCH(ROWS($W$2:W631),$W$2:$W$1001,0),0), INDEX($AD$1004:$AU$1004,1,MATCH(COLUMNS($AD$1006:AK1006),$AD$1006:$AU$1006,0)))),"Fix")))</f>
        <v xml:space="preserve"> </v>
      </c>
      <c r="J631" s="4" t="str">
        <f ca="1">IF(OR(INDEX($X$2:$X$1001,MATCH(ROWS($W$2:W631),$W$2:$W$1001,0),1)&gt;=100000,INDEX($AD$1005:$AU$1005,1,MATCH(COLUMNS($AD$1006:AL1006),$AD$1006:$AU$1006,0))&gt;=100000), " ",IF(INDEX($AD$2:$AU$1001,MATCH(ROWS($W$2:W631),$W$2:$W$1001,0),MATCH(COLUMNS($AD$1006:AL1006),$AD$1006:$AU$1006,0)), HYPERLINK("#",""), HYPERLINK(CONCATENATE("#metadata!", ADDRESS(INDEX($Y$2:$Y$1001,MATCH(ROWS($W$2:W631),$W$2:$W$1001,0),0), INDEX($AD$1004:$AU$1004,1,MATCH(COLUMNS($AD$1006:AL1006),$AD$1006:$AU$1006,0)))),"Fix")))</f>
        <v xml:space="preserve"> </v>
      </c>
      <c r="K631" s="4" t="str">
        <f ca="1">IF(OR(INDEX($X$2:$X$1001,MATCH(ROWS($W$2:W631),$W$2:$W$1001,0),1)&gt;=100000,INDEX($AD$1005:$AU$1005,1,MATCH(COLUMNS($AD$1006:AM1006),$AD$1006:$AU$1006,0))&gt;=100000), " ",IF(INDEX($AD$2:$AU$1001,MATCH(ROWS($W$2:W631),$W$2:$W$1001,0),MATCH(COLUMNS($AD$1006:AM1006),$AD$1006:$AU$1006,0)), HYPERLINK("#",""), HYPERLINK(CONCATENATE("#metadata!", ADDRESS(INDEX($Y$2:$Y$1001,MATCH(ROWS($W$2:W631),$W$2:$W$1001,0),0), INDEX($AD$1004:$AU$1004,1,MATCH(COLUMNS($AD$1006:AM1006),$AD$1006:$AU$1006,0)))),"Fix")))</f>
        <v xml:space="preserve"> </v>
      </c>
      <c r="L631" s="4" t="str">
        <f ca="1">IF(OR(INDEX($X$2:$X$1001,MATCH(ROWS($W$2:W631),$W$2:$W$1001,0),1)&gt;=100000,INDEX($AD$1005:$AU$1005,1,MATCH(COLUMNS($AD$1006:AN1006),$AD$1006:$AU$1006,0))&gt;=100000), " ",IF(INDEX($AD$2:$AU$1001,MATCH(ROWS($W$2:W631),$W$2:$W$1001,0),MATCH(COLUMNS($AD$1006:AN1006),$AD$1006:$AU$1006,0)), HYPERLINK("#",""), HYPERLINK(CONCATENATE("#metadata!", ADDRESS(INDEX($Y$2:$Y$1001,MATCH(ROWS($W$2:W631),$W$2:$W$1001,0),0), INDEX($AD$1004:$AU$1004,1,MATCH(COLUMNS($AD$1006:AN1006),$AD$1006:$AU$1006,0)))),"Fix")))</f>
        <v xml:space="preserve"> </v>
      </c>
      <c r="M631" s="4" t="str">
        <f ca="1">IF(OR(INDEX($X$2:$X$1001,MATCH(ROWS($W$2:W631),$W$2:$W$1001,0),1)&gt;=100000,INDEX($AD$1005:$AU$1005,1,MATCH(COLUMNS($AD$1006:AO1006),$AD$1006:$AU$1006,0))&gt;=100000), " ",IF(INDEX($AD$2:$AU$1001,MATCH(ROWS($W$2:W631),$W$2:$W$1001,0),MATCH(COLUMNS($AD$1006:AO1006),$AD$1006:$AU$1006,0)), HYPERLINK("#",""), HYPERLINK(CONCATENATE("#metadata!", ADDRESS(INDEX($Y$2:$Y$1001,MATCH(ROWS($W$2:W631),$W$2:$W$1001,0),0), INDEX($AD$1004:$AU$1004,1,MATCH(COLUMNS($AD$1006:AO1006),$AD$1006:$AU$1006,0)))),"Fix")))</f>
        <v xml:space="preserve"> </v>
      </c>
      <c r="N631" s="4" t="str">
        <f ca="1">IF(OR(INDEX($X$2:$X$1001,MATCH(ROWS($W$2:W631),$W$2:$W$1001,0),1)&gt;=100000,INDEX($AD$1005:$AU$1005,1,MATCH(COLUMNS($AD$1006:AP1006),$AD$1006:$AU$1006,0))&gt;=100000), " ",IF(INDEX($AD$2:$AU$1001,MATCH(ROWS($W$2:W631),$W$2:$W$1001,0),MATCH(COLUMNS($AD$1006:AP1006),$AD$1006:$AU$1006,0)), HYPERLINK("#",""), HYPERLINK(CONCATENATE("#metadata!", ADDRESS(INDEX($Y$2:$Y$1001,MATCH(ROWS($W$2:W631),$W$2:$W$1001,0),0), INDEX($AD$1004:$AU$1004,1,MATCH(COLUMNS($AD$1006:AP1006),$AD$1006:$AU$1006,0)))),"Fix")))</f>
        <v xml:space="preserve"> </v>
      </c>
      <c r="O631" s="4" t="str">
        <f ca="1">IF(OR(INDEX($X$2:$X$1001,MATCH(ROWS($W$2:W631),$W$2:$W$1001,0),1)&gt;=100000,INDEX($AD$1005:$AU$1005,1,MATCH(COLUMNS($AD$1006:AQ1006),$AD$1006:$AU$1006,0))&gt;=100000), " ",IF(INDEX($AD$2:$AU$1001,MATCH(ROWS($W$2:W631),$W$2:$W$1001,0),MATCH(COLUMNS($AD$1006:AQ1006),$AD$1006:$AU$1006,0)), HYPERLINK("#",""), HYPERLINK(CONCATENATE("#metadata!", ADDRESS(INDEX($Y$2:$Y$1001,MATCH(ROWS($W$2:W631),$W$2:$W$1001,0),0), INDEX($AD$1004:$AU$1004,1,MATCH(COLUMNS($AD$1006:AQ1006),$AD$1006:$AU$1006,0)))),"Fix")))</f>
        <v xml:space="preserve"> </v>
      </c>
      <c r="P631" s="4" t="str">
        <f ca="1">IF(OR(INDEX($X$2:$X$1001,MATCH(ROWS($W$2:W631),$W$2:$W$1001,0),1)&gt;=100000,INDEX($AD$1005:$AU$1005,1,MATCH(COLUMNS($AD$1006:AR1006),$AD$1006:$AU$1006,0))&gt;=100000), " ",IF(INDEX($AD$2:$AU$1001,MATCH(ROWS($W$2:W631),$W$2:$W$1001,0),MATCH(COLUMNS($AD$1006:AR1006),$AD$1006:$AU$1006,0)), HYPERLINK("#",""), HYPERLINK(CONCATENATE("#metadata!", ADDRESS(INDEX($Y$2:$Y$1001,MATCH(ROWS($W$2:W631),$W$2:$W$1001,0),0), INDEX($AD$1004:$AU$1004,1,MATCH(COLUMNS($AD$1006:AR1006),$AD$1006:$AU$1006,0)))),"Fix")))</f>
        <v xml:space="preserve"> </v>
      </c>
      <c r="Q631" s="4" t="str">
        <f ca="1">IF(OR(INDEX($X$2:$X$1001,MATCH(ROWS($W$2:W631),$W$2:$W$1001,0),1)&gt;=100000,INDEX($AD$1005:$AU$1005,1,MATCH(COLUMNS($AD$1006:AS1006),$AD$1006:$AU$1006,0))&gt;=100000), " ",IF(INDEX($AD$2:$AU$1001,MATCH(ROWS($W$2:W631),$W$2:$W$1001,0),MATCH(COLUMNS($AD$1006:AS1006),$AD$1006:$AU$1006,0)), HYPERLINK("#",""), HYPERLINK(CONCATENATE("#metadata!", ADDRESS(INDEX($Y$2:$Y$1001,MATCH(ROWS($W$2:W631),$W$2:$W$1001,0),0), INDEX($AD$1004:$AU$1004,1,MATCH(COLUMNS($AD$1006:AS1006),$AD$1006:$AU$1006,0)))),"Fix")))</f>
        <v xml:space="preserve"> </v>
      </c>
      <c r="R631" s="4" t="str">
        <f ca="1">IF(OR(INDEX($X$2:$X$1001,MATCH(ROWS($W$2:W631),$W$2:$W$1001,0),1)&gt;=100000,INDEX($AD$1005:$AU$1005,1,MATCH(COLUMNS($AD$1006:AT1006),$AD$1006:$AU$1006,0))&gt;=100000), " ",IF(INDEX($AD$2:$AU$1001,MATCH(ROWS($W$2:W631),$W$2:$W$1001,0),MATCH(COLUMNS($AD$1006:AT1006),$AD$1006:$AU$1006,0)), HYPERLINK("#",""), HYPERLINK(CONCATENATE("#metadata!", ADDRESS(INDEX($Y$2:$Y$1001,MATCH(ROWS($W$2:W631),$W$2:$W$1001,0),0), INDEX($AD$1004:$AU$1004,1,MATCH(COLUMNS($AD$1006:AT1006),$AD$1006:$AU$1006,0)))),"Fix")))</f>
        <v xml:space="preserve"> </v>
      </c>
      <c r="S631" s="4" t="str">
        <f ca="1">IF(OR(INDEX($X$2:$X$1001,MATCH(ROWS($W$2:W631),$W$2:$W$1001,0),1)&gt;=100000,INDEX($AD$1005:$AU$1005,1,MATCH(COLUMNS($AD$1006:AU1006),$AD$1006:$AU$1006,0))&gt;=100000), " ",IF(INDEX($AD$2:$AU$1001,MATCH(ROWS($W$2:W631),$W$2:$W$1001,0),MATCH(COLUMNS($AD$1006:AU1006),$AD$1006:$AU$1006,0)), HYPERLINK("#",""), HYPERLINK(CONCATENATE("#metadata!", ADDRESS(INDEX($Y$2:$Y$1001,MATCH(ROWS($W$2:W631),$W$2:$W$1001,0),0), INDEX($AD$1004:$AU$1004,1,MATCH(COLUMNS($AD$1006:AU1006),$AD$1006:$AU$1006,0)))),"Fix")))</f>
        <v xml:space="preserve"> </v>
      </c>
      <c r="W631">
        <v>630</v>
      </c>
      <c r="X631">
        <v>100631</v>
      </c>
      <c r="Y631">
        <v>631</v>
      </c>
      <c r="Z631" t="b">
        <f t="shared" si="9"/>
        <v>1</v>
      </c>
      <c r="AA631" t="b">
        <f>COUNTBLANK(metadata!B631:S631)=COLUMNS(metadata!B631:S631)</f>
        <v>1</v>
      </c>
      <c r="AB631" t="str">
        <v/>
      </c>
      <c r="AD631" t="b">
        <f ca="1">AND(IF(metadata!B631="",FALSE,TRUE),COUNTIF(metadata!B:B, metadata!B631) = 1,NOT(ISERROR(SUMPRODUCT(SEARCH(MID(metadata!B631,ROW(INDIRECT("1:"&amp;LEN(metadata!B631))), 1),"0123456789abcdefghijklmnopqrstuvwxyzABCDEFGHIJKLMNOPQRSTUVWXYZ.")))))</f>
        <v>0</v>
      </c>
      <c r="AE631" t="b">
        <f>OR(AND(IF(metadata!C631="",FALSE,TRUE),OR(EXACT(metadata!C631,"not applicable"),EXACT(metadata!C631,"missing: not collected"),EXACT(metadata!C631,"missing: not provided"),EXACT(metadata!C631,"missing: restricted access"))),AND(IF(metadata!C631="",FALSE,ISNUMBER(VALUE(metadata!C631))),metadata!C631&gt;0))</f>
        <v>0</v>
      </c>
      <c r="AF631" t="b">
        <f>AND(IF(metadata!D631="",FALSE,TRUE),EXACT(metadata!D631,"missing: not provided"))</f>
        <v>0</v>
      </c>
      <c r="AG631" t="b">
        <f>AND(IF(metadata!E631="",FALSE,TRUE),EXACT(metadata!E631,"Host-associated"))</f>
        <v>0</v>
      </c>
      <c r="AH631" t="b">
        <f>AND(IF(metadata!F631="",FALSE,TRUE),OR(EXACT(metadata!F631,"Animal"),EXACT(metadata!F631,"Fungus"),EXACT(metadata!F631,"Plant")))</f>
        <v>0</v>
      </c>
      <c r="AI631" t="b">
        <f>AND(IF(metadata!G631="",FALSE,TRUE),OR(EXACT(metadata!G631,"Plant secretion"),EXACT(metadata!G631,"Plant rhizosphere"),EXACT(metadata!G631,"Plant surface"),EXACT(metadata!G631,"Plant corpus"),EXACT(metadata!G631,"Fungus surface"),EXACT(metadata!G631,"Fungus corpus"),EXACT(metadata!G631,"Animal surface"),EXACT(metadata!G631,"Animal proximal gut"),EXACT(metadata!G631,"Animal corpus"),EXACT(metadata!G631,"Animal distal gut"),EXACT(metadata!G631,"Animal secretion")))</f>
        <v>0</v>
      </c>
      <c r="AJ631" t="b">
        <f>OR(AND(IF(metadata!H631="",FALSE,TRUE),OR(EXACT(metadata!H631,"missing: not collected"),EXACT(metadata!H631,"missing: not provided"),EXACT(metadata!H631,"missing: restricted access"))),AND(IF(metadata!H631="",FALSE,TRUE),OR(EXACT(metadata!H631,"organism-associated habitat"),EXACT(metadata!H631,"plant-associated habitat"),EXACT(metadata!H631,"animal-associated habitat"),EXACT(metadata!H631,"insecta-associated habitat"),EXACT(metadata!H631,"mammalia-associated habitat"),EXACT(metadata!H631,"human-associated habitat"),EXACT(metadata!H631,"livestock-associated habitat"))))</f>
        <v>0</v>
      </c>
      <c r="AK631" t="b">
        <f>AND(IF(metadata!I631="",FALSE,TRUE),EXACT(metadata!I631,"host-associated"))</f>
        <v>0</v>
      </c>
      <c r="AL631" t="b">
        <f>OR(AND(IF(metadata!J631="",FALSE,TRUE),OR(EXACT(metadata!J631,"not applicable"),EXACT(metadata!J631,"missing: not collected"),EXACT(metadata!J631,"missing: not provided"),EXACT(metadata!J631,"missing: restricted access"))),AND(IF(metadata!J631="",FALSE,ISNUMBER(VALUE(metadata!J631))),metadata!J631&gt;0))</f>
        <v>0</v>
      </c>
      <c r="AM631" t="b">
        <f>AND(IF(metadata!K631="",FALSE,TRUE),EXACT(metadata!K631,"missing: not provided"))</f>
        <v>0</v>
      </c>
      <c r="AN631" t="b">
        <f>IF(metadata!L631="",FALSE,TRUE)</f>
        <v>0</v>
      </c>
      <c r="AO631" t="b">
        <f>IF(metadata!M631="",FALSE,TRUE)</f>
        <v>0</v>
      </c>
      <c r="AP631" t="b">
        <f>OR(AND(IF(metadata!N631="",FALSE,TRUE),OR(EXACT(metadata!N631,"not applicable"),EXACT(metadata!N631,"missing: not collected"),EXACT(metadata!N631,"missing: not provided"))),AND(IF(metadata!N631="",FALSE,IF(ISERROR(INT(metadata!N631)),FALSE,INT(metadata!N631)=metadata!N631)),metadata!N631&gt;0))</f>
        <v>0</v>
      </c>
      <c r="AQ631" t="b">
        <f>AND(IF(metadata!O631="",FALSE,TRUE),EXACT(metadata!O631,"Not applicable"))</f>
        <v>0</v>
      </c>
      <c r="AR631" t="b">
        <f>OR(AND(IF(metadata!P631="",FALSE,TRUE),OR(EXACT(metadata!P631,"not applicable"),EXACT(metadata!P631,"missing: not collected"),EXACT(metadata!P631,"missing: not provided"),EXACT(metadata!P631,"missing: restricted access"))),IF(metadata!P631="",FALSE,IF(ISERROR(INT(metadata!P631)),FALSE,INT(metadata!P631)=metadata!P631)))</f>
        <v>0</v>
      </c>
      <c r="AS631" t="b">
        <f>AND(IF(metadata!Q631="",FALSE,TRUE),EXACT(metadata!Q631,"Not applicable"))</f>
        <v>0</v>
      </c>
      <c r="AT631" t="b">
        <f>OR(AND(IF(metadata!R631="",FALSE,TRUE),OR(EXACT(metadata!R631,"not applicable"),EXACT(metadata!R631,"missing: not collected"),EXACT(metadata!R631,"missing: not provided"),EXACT(metadata!R631,"missing: restricted access"))),AND(IF(metadata!R631="",FALSE,ISNUMBER(VALUE(metadata!R631))),metadata!R631&gt;0))</f>
        <v>0</v>
      </c>
      <c r="AU631" t="b">
        <f>AND(IF(metadata!S631="",FALSE,TRUE),EXACT(metadata!S631,"missing: not provided"))</f>
        <v>0</v>
      </c>
    </row>
    <row r="632" spans="1:47" x14ac:dyDescent="0.2">
      <c r="A632" s="5" t="str">
        <f ca="1">IF(B632=" "," ",HYPERLINK(CONCATENATE("#metadata!",ADDRESS(INDEX($Y$2:$Y$1001,MATCH(ROWS($W$2:W632),$W$2:$W$1001,0),0),1)),INDEX($AB$2:$AB$1001,MATCH(ROWS($W$2:W632),$W$2:$W$1001,0),0)))</f>
        <v xml:space="preserve"> </v>
      </c>
      <c r="B632" s="4" t="str">
        <f ca="1">IF(OR(INDEX($X$2:$X$1001,MATCH(ROWS($W$2:W632),$W$2:$W$1001,0),1)&gt;=100000,INDEX($AD$1005:$AU$1005,1,MATCH(COLUMNS($AD$1006:AD1006),$AD$1006:$AU$1006,0))&gt;=100000), " ",IF(INDEX($AD$2:$AU$1001,MATCH(ROWS($W$2:W632),$W$2:$W$1001,0),MATCH(COLUMNS($AD$1006:AD1006),$AD$1006:$AU$1006,0)), HYPERLINK("#",""), HYPERLINK(CONCATENATE("#metadata!", ADDRESS(INDEX($Y$2:$Y$1001,MATCH(ROWS($W$2:W632),$W$2:$W$1001,0),0), INDEX($AD$1004:$AU$1004,1,MATCH(COLUMNS($AD$1006:AD1006),$AD$1006:$AU$1006,0)))),"Fix")))</f>
        <v xml:space="preserve"> </v>
      </c>
      <c r="C632" s="4" t="str">
        <f ca="1">IF(OR(INDEX($X$2:$X$1001,MATCH(ROWS($W$2:W632),$W$2:$W$1001,0),1)&gt;=100000,INDEX($AD$1005:$AU$1005,1,MATCH(COLUMNS($AD$1006:AE1006),$AD$1006:$AU$1006,0))&gt;=100000), " ",IF(INDEX($AD$2:$AU$1001,MATCH(ROWS($W$2:W632),$W$2:$W$1001,0),MATCH(COLUMNS($AD$1006:AE1006),$AD$1006:$AU$1006,0)), HYPERLINK("#",""), HYPERLINK(CONCATENATE("#metadata!", ADDRESS(INDEX($Y$2:$Y$1001,MATCH(ROWS($W$2:W632),$W$2:$W$1001,0),0), INDEX($AD$1004:$AU$1004,1,MATCH(COLUMNS($AD$1006:AE1006),$AD$1006:$AU$1006,0)))),"Fix")))</f>
        <v xml:space="preserve"> </v>
      </c>
      <c r="D632" s="4" t="str">
        <f ca="1">IF(OR(INDEX($X$2:$X$1001,MATCH(ROWS($W$2:W632),$W$2:$W$1001,0),1)&gt;=100000,INDEX($AD$1005:$AU$1005,1,MATCH(COLUMNS($AD$1006:AF1006),$AD$1006:$AU$1006,0))&gt;=100000), " ",IF(INDEX($AD$2:$AU$1001,MATCH(ROWS($W$2:W632),$W$2:$W$1001,0),MATCH(COLUMNS($AD$1006:AF1006),$AD$1006:$AU$1006,0)), HYPERLINK("#",""), HYPERLINK(CONCATENATE("#metadata!", ADDRESS(INDEX($Y$2:$Y$1001,MATCH(ROWS($W$2:W632),$W$2:$W$1001,0),0), INDEX($AD$1004:$AU$1004,1,MATCH(COLUMNS($AD$1006:AF1006),$AD$1006:$AU$1006,0)))),"Fix")))</f>
        <v xml:space="preserve"> </v>
      </c>
      <c r="E632" s="4" t="str">
        <f ca="1">IF(OR(INDEX($X$2:$X$1001,MATCH(ROWS($W$2:W632),$W$2:$W$1001,0),1)&gt;=100000,INDEX($AD$1005:$AU$1005,1,MATCH(COLUMNS($AD$1006:AG1006),$AD$1006:$AU$1006,0))&gt;=100000), " ",IF(INDEX($AD$2:$AU$1001,MATCH(ROWS($W$2:W632),$W$2:$W$1001,0),MATCH(COLUMNS($AD$1006:AG1006),$AD$1006:$AU$1006,0)), HYPERLINK("#",""), HYPERLINK(CONCATENATE("#metadata!", ADDRESS(INDEX($Y$2:$Y$1001,MATCH(ROWS($W$2:W632),$W$2:$W$1001,0),0), INDEX($AD$1004:$AU$1004,1,MATCH(COLUMNS($AD$1006:AG1006),$AD$1006:$AU$1006,0)))),"Fix")))</f>
        <v xml:space="preserve"> </v>
      </c>
      <c r="F632" s="4" t="str">
        <f ca="1">IF(OR(INDEX($X$2:$X$1001,MATCH(ROWS($W$2:W632),$W$2:$W$1001,0),1)&gt;=100000,INDEX($AD$1005:$AU$1005,1,MATCH(COLUMNS($AD$1006:AH1006),$AD$1006:$AU$1006,0))&gt;=100000), " ",IF(INDEX($AD$2:$AU$1001,MATCH(ROWS($W$2:W632),$W$2:$W$1001,0),MATCH(COLUMNS($AD$1006:AH1006),$AD$1006:$AU$1006,0)), HYPERLINK("#",""), HYPERLINK(CONCATENATE("#metadata!", ADDRESS(INDEX($Y$2:$Y$1001,MATCH(ROWS($W$2:W632),$W$2:$W$1001,0),0), INDEX($AD$1004:$AU$1004,1,MATCH(COLUMNS($AD$1006:AH1006),$AD$1006:$AU$1006,0)))),"Fix")))</f>
        <v xml:space="preserve"> </v>
      </c>
      <c r="G632" s="4" t="str">
        <f ca="1">IF(OR(INDEX($X$2:$X$1001,MATCH(ROWS($W$2:W632),$W$2:$W$1001,0),1)&gt;=100000,INDEX($AD$1005:$AU$1005,1,MATCH(COLUMNS($AD$1006:AI1006),$AD$1006:$AU$1006,0))&gt;=100000), " ",IF(INDEX($AD$2:$AU$1001,MATCH(ROWS($W$2:W632),$W$2:$W$1001,0),MATCH(COLUMNS($AD$1006:AI1006),$AD$1006:$AU$1006,0)), HYPERLINK("#",""), HYPERLINK(CONCATENATE("#metadata!", ADDRESS(INDEX($Y$2:$Y$1001,MATCH(ROWS($W$2:W632),$W$2:$W$1001,0),0), INDEX($AD$1004:$AU$1004,1,MATCH(COLUMNS($AD$1006:AI1006),$AD$1006:$AU$1006,0)))),"Fix")))</f>
        <v xml:space="preserve"> </v>
      </c>
      <c r="H632" s="4" t="str">
        <f ca="1">IF(OR(INDEX($X$2:$X$1001,MATCH(ROWS($W$2:W632),$W$2:$W$1001,0),1)&gt;=100000,INDEX($AD$1005:$AU$1005,1,MATCH(COLUMNS($AD$1006:AJ1006),$AD$1006:$AU$1006,0))&gt;=100000), " ",IF(INDEX($AD$2:$AU$1001,MATCH(ROWS($W$2:W632),$W$2:$W$1001,0),MATCH(COLUMNS($AD$1006:AJ1006),$AD$1006:$AU$1006,0)), HYPERLINK("#",""), HYPERLINK(CONCATENATE("#metadata!", ADDRESS(INDEX($Y$2:$Y$1001,MATCH(ROWS($W$2:W632),$W$2:$W$1001,0),0), INDEX($AD$1004:$AU$1004,1,MATCH(COLUMNS($AD$1006:AJ1006),$AD$1006:$AU$1006,0)))),"Fix")))</f>
        <v xml:space="preserve"> </v>
      </c>
      <c r="I632" s="4" t="str">
        <f ca="1">IF(OR(INDEX($X$2:$X$1001,MATCH(ROWS($W$2:W632),$W$2:$W$1001,0),1)&gt;=100000,INDEX($AD$1005:$AU$1005,1,MATCH(COLUMNS($AD$1006:AK1006),$AD$1006:$AU$1006,0))&gt;=100000), " ",IF(INDEX($AD$2:$AU$1001,MATCH(ROWS($W$2:W632),$W$2:$W$1001,0),MATCH(COLUMNS($AD$1006:AK1006),$AD$1006:$AU$1006,0)), HYPERLINK("#",""), HYPERLINK(CONCATENATE("#metadata!", ADDRESS(INDEX($Y$2:$Y$1001,MATCH(ROWS($W$2:W632),$W$2:$W$1001,0),0), INDEX($AD$1004:$AU$1004,1,MATCH(COLUMNS($AD$1006:AK1006),$AD$1006:$AU$1006,0)))),"Fix")))</f>
        <v xml:space="preserve"> </v>
      </c>
      <c r="J632" s="4" t="str">
        <f ca="1">IF(OR(INDEX($X$2:$X$1001,MATCH(ROWS($W$2:W632),$W$2:$W$1001,0),1)&gt;=100000,INDEX($AD$1005:$AU$1005,1,MATCH(COLUMNS($AD$1006:AL1006),$AD$1006:$AU$1006,0))&gt;=100000), " ",IF(INDEX($AD$2:$AU$1001,MATCH(ROWS($W$2:W632),$W$2:$W$1001,0),MATCH(COLUMNS($AD$1006:AL1006),$AD$1006:$AU$1006,0)), HYPERLINK("#",""), HYPERLINK(CONCATENATE("#metadata!", ADDRESS(INDEX($Y$2:$Y$1001,MATCH(ROWS($W$2:W632),$W$2:$W$1001,0),0), INDEX($AD$1004:$AU$1004,1,MATCH(COLUMNS($AD$1006:AL1006),$AD$1006:$AU$1006,0)))),"Fix")))</f>
        <v xml:space="preserve"> </v>
      </c>
      <c r="K632" s="4" t="str">
        <f ca="1">IF(OR(INDEX($X$2:$X$1001,MATCH(ROWS($W$2:W632),$W$2:$W$1001,0),1)&gt;=100000,INDEX($AD$1005:$AU$1005,1,MATCH(COLUMNS($AD$1006:AM1006),$AD$1006:$AU$1006,0))&gt;=100000), " ",IF(INDEX($AD$2:$AU$1001,MATCH(ROWS($W$2:W632),$W$2:$W$1001,0),MATCH(COLUMNS($AD$1006:AM1006),$AD$1006:$AU$1006,0)), HYPERLINK("#",""), HYPERLINK(CONCATENATE("#metadata!", ADDRESS(INDEX($Y$2:$Y$1001,MATCH(ROWS($W$2:W632),$W$2:$W$1001,0),0), INDEX($AD$1004:$AU$1004,1,MATCH(COLUMNS($AD$1006:AM1006),$AD$1006:$AU$1006,0)))),"Fix")))</f>
        <v xml:space="preserve"> </v>
      </c>
      <c r="L632" s="4" t="str">
        <f ca="1">IF(OR(INDEX($X$2:$X$1001,MATCH(ROWS($W$2:W632),$W$2:$W$1001,0),1)&gt;=100000,INDEX($AD$1005:$AU$1005,1,MATCH(COLUMNS($AD$1006:AN1006),$AD$1006:$AU$1006,0))&gt;=100000), " ",IF(INDEX($AD$2:$AU$1001,MATCH(ROWS($W$2:W632),$W$2:$W$1001,0),MATCH(COLUMNS($AD$1006:AN1006),$AD$1006:$AU$1006,0)), HYPERLINK("#",""), HYPERLINK(CONCATENATE("#metadata!", ADDRESS(INDEX($Y$2:$Y$1001,MATCH(ROWS($W$2:W632),$W$2:$W$1001,0),0), INDEX($AD$1004:$AU$1004,1,MATCH(COLUMNS($AD$1006:AN1006),$AD$1006:$AU$1006,0)))),"Fix")))</f>
        <v xml:space="preserve"> </v>
      </c>
      <c r="M632" s="4" t="str">
        <f ca="1">IF(OR(INDEX($X$2:$X$1001,MATCH(ROWS($W$2:W632),$W$2:$W$1001,0),1)&gt;=100000,INDEX($AD$1005:$AU$1005,1,MATCH(COLUMNS($AD$1006:AO1006),$AD$1006:$AU$1006,0))&gt;=100000), " ",IF(INDEX($AD$2:$AU$1001,MATCH(ROWS($W$2:W632),$W$2:$W$1001,0),MATCH(COLUMNS($AD$1006:AO1006),$AD$1006:$AU$1006,0)), HYPERLINK("#",""), HYPERLINK(CONCATENATE("#metadata!", ADDRESS(INDEX($Y$2:$Y$1001,MATCH(ROWS($W$2:W632),$W$2:$W$1001,0),0), INDEX($AD$1004:$AU$1004,1,MATCH(COLUMNS($AD$1006:AO1006),$AD$1006:$AU$1006,0)))),"Fix")))</f>
        <v xml:space="preserve"> </v>
      </c>
      <c r="N632" s="4" t="str">
        <f ca="1">IF(OR(INDEX($X$2:$X$1001,MATCH(ROWS($W$2:W632),$W$2:$W$1001,0),1)&gt;=100000,INDEX($AD$1005:$AU$1005,1,MATCH(COLUMNS($AD$1006:AP1006),$AD$1006:$AU$1006,0))&gt;=100000), " ",IF(INDEX($AD$2:$AU$1001,MATCH(ROWS($W$2:W632),$W$2:$W$1001,0),MATCH(COLUMNS($AD$1006:AP1006),$AD$1006:$AU$1006,0)), HYPERLINK("#",""), HYPERLINK(CONCATENATE("#metadata!", ADDRESS(INDEX($Y$2:$Y$1001,MATCH(ROWS($W$2:W632),$W$2:$W$1001,0),0), INDEX($AD$1004:$AU$1004,1,MATCH(COLUMNS($AD$1006:AP1006),$AD$1006:$AU$1006,0)))),"Fix")))</f>
        <v xml:space="preserve"> </v>
      </c>
      <c r="O632" s="4" t="str">
        <f ca="1">IF(OR(INDEX($X$2:$X$1001,MATCH(ROWS($W$2:W632),$W$2:$W$1001,0),1)&gt;=100000,INDEX($AD$1005:$AU$1005,1,MATCH(COLUMNS($AD$1006:AQ1006),$AD$1006:$AU$1006,0))&gt;=100000), " ",IF(INDEX($AD$2:$AU$1001,MATCH(ROWS($W$2:W632),$W$2:$W$1001,0),MATCH(COLUMNS($AD$1006:AQ1006),$AD$1006:$AU$1006,0)), HYPERLINK("#",""), HYPERLINK(CONCATENATE("#metadata!", ADDRESS(INDEX($Y$2:$Y$1001,MATCH(ROWS($W$2:W632),$W$2:$W$1001,0),0), INDEX($AD$1004:$AU$1004,1,MATCH(COLUMNS($AD$1006:AQ1006),$AD$1006:$AU$1006,0)))),"Fix")))</f>
        <v xml:space="preserve"> </v>
      </c>
      <c r="P632" s="4" t="str">
        <f ca="1">IF(OR(INDEX($X$2:$X$1001,MATCH(ROWS($W$2:W632),$W$2:$W$1001,0),1)&gt;=100000,INDEX($AD$1005:$AU$1005,1,MATCH(COLUMNS($AD$1006:AR1006),$AD$1006:$AU$1006,0))&gt;=100000), " ",IF(INDEX($AD$2:$AU$1001,MATCH(ROWS($W$2:W632),$W$2:$W$1001,0),MATCH(COLUMNS($AD$1006:AR1006),$AD$1006:$AU$1006,0)), HYPERLINK("#",""), HYPERLINK(CONCATENATE("#metadata!", ADDRESS(INDEX($Y$2:$Y$1001,MATCH(ROWS($W$2:W632),$W$2:$W$1001,0),0), INDEX($AD$1004:$AU$1004,1,MATCH(COLUMNS($AD$1006:AR1006),$AD$1006:$AU$1006,0)))),"Fix")))</f>
        <v xml:space="preserve"> </v>
      </c>
      <c r="Q632" s="4" t="str">
        <f ca="1">IF(OR(INDEX($X$2:$X$1001,MATCH(ROWS($W$2:W632),$W$2:$W$1001,0),1)&gt;=100000,INDEX($AD$1005:$AU$1005,1,MATCH(COLUMNS($AD$1006:AS1006),$AD$1006:$AU$1006,0))&gt;=100000), " ",IF(INDEX($AD$2:$AU$1001,MATCH(ROWS($W$2:W632),$W$2:$W$1001,0),MATCH(COLUMNS($AD$1006:AS1006),$AD$1006:$AU$1006,0)), HYPERLINK("#",""), HYPERLINK(CONCATENATE("#metadata!", ADDRESS(INDEX($Y$2:$Y$1001,MATCH(ROWS($W$2:W632),$W$2:$W$1001,0),0), INDEX($AD$1004:$AU$1004,1,MATCH(COLUMNS($AD$1006:AS1006),$AD$1006:$AU$1006,0)))),"Fix")))</f>
        <v xml:space="preserve"> </v>
      </c>
      <c r="R632" s="4" t="str">
        <f ca="1">IF(OR(INDEX($X$2:$X$1001,MATCH(ROWS($W$2:W632),$W$2:$W$1001,0),1)&gt;=100000,INDEX($AD$1005:$AU$1005,1,MATCH(COLUMNS($AD$1006:AT1006),$AD$1006:$AU$1006,0))&gt;=100000), " ",IF(INDEX($AD$2:$AU$1001,MATCH(ROWS($W$2:W632),$W$2:$W$1001,0),MATCH(COLUMNS($AD$1006:AT1006),$AD$1006:$AU$1006,0)), HYPERLINK("#",""), HYPERLINK(CONCATENATE("#metadata!", ADDRESS(INDEX($Y$2:$Y$1001,MATCH(ROWS($W$2:W632),$W$2:$W$1001,0),0), INDEX($AD$1004:$AU$1004,1,MATCH(COLUMNS($AD$1006:AT1006),$AD$1006:$AU$1006,0)))),"Fix")))</f>
        <v xml:space="preserve"> </v>
      </c>
      <c r="S632" s="4" t="str">
        <f ca="1">IF(OR(INDEX($X$2:$X$1001,MATCH(ROWS($W$2:W632),$W$2:$W$1001,0),1)&gt;=100000,INDEX($AD$1005:$AU$1005,1,MATCH(COLUMNS($AD$1006:AU1006),$AD$1006:$AU$1006,0))&gt;=100000), " ",IF(INDEX($AD$2:$AU$1001,MATCH(ROWS($W$2:W632),$W$2:$W$1001,0),MATCH(COLUMNS($AD$1006:AU1006),$AD$1006:$AU$1006,0)), HYPERLINK("#",""), HYPERLINK(CONCATENATE("#metadata!", ADDRESS(INDEX($Y$2:$Y$1001,MATCH(ROWS($W$2:W632),$W$2:$W$1001,0),0), INDEX($AD$1004:$AU$1004,1,MATCH(COLUMNS($AD$1006:AU1006),$AD$1006:$AU$1006,0)))),"Fix")))</f>
        <v xml:space="preserve"> </v>
      </c>
      <c r="W632">
        <v>631</v>
      </c>
      <c r="X632">
        <v>100632</v>
      </c>
      <c r="Y632">
        <v>632</v>
      </c>
      <c r="Z632" t="b">
        <f t="shared" si="9"/>
        <v>1</v>
      </c>
      <c r="AA632" t="b">
        <f>COUNTBLANK(metadata!B632:S632)=COLUMNS(metadata!B632:S632)</f>
        <v>1</v>
      </c>
      <c r="AB632" t="str">
        <v/>
      </c>
      <c r="AD632" t="b">
        <f ca="1">AND(IF(metadata!B632="",FALSE,TRUE),COUNTIF(metadata!B:B, metadata!B632) = 1,NOT(ISERROR(SUMPRODUCT(SEARCH(MID(metadata!B632,ROW(INDIRECT("1:"&amp;LEN(metadata!B632))), 1),"0123456789abcdefghijklmnopqrstuvwxyzABCDEFGHIJKLMNOPQRSTUVWXYZ.")))))</f>
        <v>0</v>
      </c>
      <c r="AE632" t="b">
        <f>OR(AND(IF(metadata!C632="",FALSE,TRUE),OR(EXACT(metadata!C632,"not applicable"),EXACT(metadata!C632,"missing: not collected"),EXACT(metadata!C632,"missing: not provided"),EXACT(metadata!C632,"missing: restricted access"))),AND(IF(metadata!C632="",FALSE,ISNUMBER(VALUE(metadata!C632))),metadata!C632&gt;0))</f>
        <v>0</v>
      </c>
      <c r="AF632" t="b">
        <f>AND(IF(metadata!D632="",FALSE,TRUE),EXACT(metadata!D632,"missing: not provided"))</f>
        <v>0</v>
      </c>
      <c r="AG632" t="b">
        <f>AND(IF(metadata!E632="",FALSE,TRUE),EXACT(metadata!E632,"Host-associated"))</f>
        <v>0</v>
      </c>
      <c r="AH632" t="b">
        <f>AND(IF(metadata!F632="",FALSE,TRUE),OR(EXACT(metadata!F632,"Animal"),EXACT(metadata!F632,"Fungus"),EXACT(metadata!F632,"Plant")))</f>
        <v>0</v>
      </c>
      <c r="AI632" t="b">
        <f>AND(IF(metadata!G632="",FALSE,TRUE),OR(EXACT(metadata!G632,"Plant secretion"),EXACT(metadata!G632,"Plant rhizosphere"),EXACT(metadata!G632,"Plant surface"),EXACT(metadata!G632,"Plant corpus"),EXACT(metadata!G632,"Fungus surface"),EXACT(metadata!G632,"Fungus corpus"),EXACT(metadata!G632,"Animal surface"),EXACT(metadata!G632,"Animal proximal gut"),EXACT(metadata!G632,"Animal corpus"),EXACT(metadata!G632,"Animal distal gut"),EXACT(metadata!G632,"Animal secretion")))</f>
        <v>0</v>
      </c>
      <c r="AJ632" t="b">
        <f>OR(AND(IF(metadata!H632="",FALSE,TRUE),OR(EXACT(metadata!H632,"missing: not collected"),EXACT(metadata!H632,"missing: not provided"),EXACT(metadata!H632,"missing: restricted access"))),AND(IF(metadata!H632="",FALSE,TRUE),OR(EXACT(metadata!H632,"organism-associated habitat"),EXACT(metadata!H632,"plant-associated habitat"),EXACT(metadata!H632,"animal-associated habitat"),EXACT(metadata!H632,"insecta-associated habitat"),EXACT(metadata!H632,"mammalia-associated habitat"),EXACT(metadata!H632,"human-associated habitat"),EXACT(metadata!H632,"livestock-associated habitat"))))</f>
        <v>0</v>
      </c>
      <c r="AK632" t="b">
        <f>AND(IF(metadata!I632="",FALSE,TRUE),EXACT(metadata!I632,"host-associated"))</f>
        <v>0</v>
      </c>
      <c r="AL632" t="b">
        <f>OR(AND(IF(metadata!J632="",FALSE,TRUE),OR(EXACT(metadata!J632,"not applicable"),EXACT(metadata!J632,"missing: not collected"),EXACT(metadata!J632,"missing: not provided"),EXACT(metadata!J632,"missing: restricted access"))),AND(IF(metadata!J632="",FALSE,ISNUMBER(VALUE(metadata!J632))),metadata!J632&gt;0))</f>
        <v>0</v>
      </c>
      <c r="AM632" t="b">
        <f>AND(IF(metadata!K632="",FALSE,TRUE),EXACT(metadata!K632,"missing: not provided"))</f>
        <v>0</v>
      </c>
      <c r="AN632" t="b">
        <f>IF(metadata!L632="",FALSE,TRUE)</f>
        <v>0</v>
      </c>
      <c r="AO632" t="b">
        <f>IF(metadata!M632="",FALSE,TRUE)</f>
        <v>0</v>
      </c>
      <c r="AP632" t="b">
        <f>OR(AND(IF(metadata!N632="",FALSE,TRUE),OR(EXACT(metadata!N632,"not applicable"),EXACT(metadata!N632,"missing: not collected"),EXACT(metadata!N632,"missing: not provided"))),AND(IF(metadata!N632="",FALSE,IF(ISERROR(INT(metadata!N632)),FALSE,INT(metadata!N632)=metadata!N632)),metadata!N632&gt;0))</f>
        <v>0</v>
      </c>
      <c r="AQ632" t="b">
        <f>AND(IF(metadata!O632="",FALSE,TRUE),EXACT(metadata!O632,"Not applicable"))</f>
        <v>0</v>
      </c>
      <c r="AR632" t="b">
        <f>OR(AND(IF(metadata!P632="",FALSE,TRUE),OR(EXACT(metadata!P632,"not applicable"),EXACT(metadata!P632,"missing: not collected"),EXACT(metadata!P632,"missing: not provided"),EXACT(metadata!P632,"missing: restricted access"))),IF(metadata!P632="",FALSE,IF(ISERROR(INT(metadata!P632)),FALSE,INT(metadata!P632)=metadata!P632)))</f>
        <v>0</v>
      </c>
      <c r="AS632" t="b">
        <f>AND(IF(metadata!Q632="",FALSE,TRUE),EXACT(metadata!Q632,"Not applicable"))</f>
        <v>0</v>
      </c>
      <c r="AT632" t="b">
        <f>OR(AND(IF(metadata!R632="",FALSE,TRUE),OR(EXACT(metadata!R632,"not applicable"),EXACT(metadata!R632,"missing: not collected"),EXACT(metadata!R632,"missing: not provided"),EXACT(metadata!R632,"missing: restricted access"))),AND(IF(metadata!R632="",FALSE,ISNUMBER(VALUE(metadata!R632))),metadata!R632&gt;0))</f>
        <v>0</v>
      </c>
      <c r="AU632" t="b">
        <f>AND(IF(metadata!S632="",FALSE,TRUE),EXACT(metadata!S632,"missing: not provided"))</f>
        <v>0</v>
      </c>
    </row>
    <row r="633" spans="1:47" x14ac:dyDescent="0.2">
      <c r="A633" s="5" t="str">
        <f ca="1">IF(B633=" "," ",HYPERLINK(CONCATENATE("#metadata!",ADDRESS(INDEX($Y$2:$Y$1001,MATCH(ROWS($W$2:W633),$W$2:$W$1001,0),0),1)),INDEX($AB$2:$AB$1001,MATCH(ROWS($W$2:W633),$W$2:$W$1001,0),0)))</f>
        <v xml:space="preserve"> </v>
      </c>
      <c r="B633" s="4" t="str">
        <f ca="1">IF(OR(INDEX($X$2:$X$1001,MATCH(ROWS($W$2:W633),$W$2:$W$1001,0),1)&gt;=100000,INDEX($AD$1005:$AU$1005,1,MATCH(COLUMNS($AD$1006:AD1006),$AD$1006:$AU$1006,0))&gt;=100000), " ",IF(INDEX($AD$2:$AU$1001,MATCH(ROWS($W$2:W633),$W$2:$W$1001,0),MATCH(COLUMNS($AD$1006:AD1006),$AD$1006:$AU$1006,0)), HYPERLINK("#",""), HYPERLINK(CONCATENATE("#metadata!", ADDRESS(INDEX($Y$2:$Y$1001,MATCH(ROWS($W$2:W633),$W$2:$W$1001,0),0), INDEX($AD$1004:$AU$1004,1,MATCH(COLUMNS($AD$1006:AD1006),$AD$1006:$AU$1006,0)))),"Fix")))</f>
        <v xml:space="preserve"> </v>
      </c>
      <c r="C633" s="4" t="str">
        <f ca="1">IF(OR(INDEX($X$2:$X$1001,MATCH(ROWS($W$2:W633),$W$2:$W$1001,0),1)&gt;=100000,INDEX($AD$1005:$AU$1005,1,MATCH(COLUMNS($AD$1006:AE1006),$AD$1006:$AU$1006,0))&gt;=100000), " ",IF(INDEX($AD$2:$AU$1001,MATCH(ROWS($W$2:W633),$W$2:$W$1001,0),MATCH(COLUMNS($AD$1006:AE1006),$AD$1006:$AU$1006,0)), HYPERLINK("#",""), HYPERLINK(CONCATENATE("#metadata!", ADDRESS(INDEX($Y$2:$Y$1001,MATCH(ROWS($W$2:W633),$W$2:$W$1001,0),0), INDEX($AD$1004:$AU$1004,1,MATCH(COLUMNS($AD$1006:AE1006),$AD$1006:$AU$1006,0)))),"Fix")))</f>
        <v xml:space="preserve"> </v>
      </c>
      <c r="D633" s="4" t="str">
        <f ca="1">IF(OR(INDEX($X$2:$X$1001,MATCH(ROWS($W$2:W633),$W$2:$W$1001,0),1)&gt;=100000,INDEX($AD$1005:$AU$1005,1,MATCH(COLUMNS($AD$1006:AF1006),$AD$1006:$AU$1006,0))&gt;=100000), " ",IF(INDEX($AD$2:$AU$1001,MATCH(ROWS($W$2:W633),$W$2:$W$1001,0),MATCH(COLUMNS($AD$1006:AF1006),$AD$1006:$AU$1006,0)), HYPERLINK("#",""), HYPERLINK(CONCATENATE("#metadata!", ADDRESS(INDEX($Y$2:$Y$1001,MATCH(ROWS($W$2:W633),$W$2:$W$1001,0),0), INDEX($AD$1004:$AU$1004,1,MATCH(COLUMNS($AD$1006:AF1006),$AD$1006:$AU$1006,0)))),"Fix")))</f>
        <v xml:space="preserve"> </v>
      </c>
      <c r="E633" s="4" t="str">
        <f ca="1">IF(OR(INDEX($X$2:$X$1001,MATCH(ROWS($W$2:W633),$W$2:$W$1001,0),1)&gt;=100000,INDEX($AD$1005:$AU$1005,1,MATCH(COLUMNS($AD$1006:AG1006),$AD$1006:$AU$1006,0))&gt;=100000), " ",IF(INDEX($AD$2:$AU$1001,MATCH(ROWS($W$2:W633),$W$2:$W$1001,0),MATCH(COLUMNS($AD$1006:AG1006),$AD$1006:$AU$1006,0)), HYPERLINK("#",""), HYPERLINK(CONCATENATE("#metadata!", ADDRESS(INDEX($Y$2:$Y$1001,MATCH(ROWS($W$2:W633),$W$2:$W$1001,0),0), INDEX($AD$1004:$AU$1004,1,MATCH(COLUMNS($AD$1006:AG1006),$AD$1006:$AU$1006,0)))),"Fix")))</f>
        <v xml:space="preserve"> </v>
      </c>
      <c r="F633" s="4" t="str">
        <f ca="1">IF(OR(INDEX($X$2:$X$1001,MATCH(ROWS($W$2:W633),$W$2:$W$1001,0),1)&gt;=100000,INDEX($AD$1005:$AU$1005,1,MATCH(COLUMNS($AD$1006:AH1006),$AD$1006:$AU$1006,0))&gt;=100000), " ",IF(INDEX($AD$2:$AU$1001,MATCH(ROWS($W$2:W633),$W$2:$W$1001,0),MATCH(COLUMNS($AD$1006:AH1006),$AD$1006:$AU$1006,0)), HYPERLINK("#",""), HYPERLINK(CONCATENATE("#metadata!", ADDRESS(INDEX($Y$2:$Y$1001,MATCH(ROWS($W$2:W633),$W$2:$W$1001,0),0), INDEX($AD$1004:$AU$1004,1,MATCH(COLUMNS($AD$1006:AH1006),$AD$1006:$AU$1006,0)))),"Fix")))</f>
        <v xml:space="preserve"> </v>
      </c>
      <c r="G633" s="4" t="str">
        <f ca="1">IF(OR(INDEX($X$2:$X$1001,MATCH(ROWS($W$2:W633),$W$2:$W$1001,0),1)&gt;=100000,INDEX($AD$1005:$AU$1005,1,MATCH(COLUMNS($AD$1006:AI1006),$AD$1006:$AU$1006,0))&gt;=100000), " ",IF(INDEX($AD$2:$AU$1001,MATCH(ROWS($W$2:W633),$W$2:$W$1001,0),MATCH(COLUMNS($AD$1006:AI1006),$AD$1006:$AU$1006,0)), HYPERLINK("#",""), HYPERLINK(CONCATENATE("#metadata!", ADDRESS(INDEX($Y$2:$Y$1001,MATCH(ROWS($W$2:W633),$W$2:$W$1001,0),0), INDEX($AD$1004:$AU$1004,1,MATCH(COLUMNS($AD$1006:AI1006),$AD$1006:$AU$1006,0)))),"Fix")))</f>
        <v xml:space="preserve"> </v>
      </c>
      <c r="H633" s="4" t="str">
        <f ca="1">IF(OR(INDEX($X$2:$X$1001,MATCH(ROWS($W$2:W633),$W$2:$W$1001,0),1)&gt;=100000,INDEX($AD$1005:$AU$1005,1,MATCH(COLUMNS($AD$1006:AJ1006),$AD$1006:$AU$1006,0))&gt;=100000), " ",IF(INDEX($AD$2:$AU$1001,MATCH(ROWS($W$2:W633),$W$2:$W$1001,0),MATCH(COLUMNS($AD$1006:AJ1006),$AD$1006:$AU$1006,0)), HYPERLINK("#",""), HYPERLINK(CONCATENATE("#metadata!", ADDRESS(INDEX($Y$2:$Y$1001,MATCH(ROWS($W$2:W633),$W$2:$W$1001,0),0), INDEX($AD$1004:$AU$1004,1,MATCH(COLUMNS($AD$1006:AJ1006),$AD$1006:$AU$1006,0)))),"Fix")))</f>
        <v xml:space="preserve"> </v>
      </c>
      <c r="I633" s="4" t="str">
        <f ca="1">IF(OR(INDEX($X$2:$X$1001,MATCH(ROWS($W$2:W633),$W$2:$W$1001,0),1)&gt;=100000,INDEX($AD$1005:$AU$1005,1,MATCH(COLUMNS($AD$1006:AK1006),$AD$1006:$AU$1006,0))&gt;=100000), " ",IF(INDEX($AD$2:$AU$1001,MATCH(ROWS($W$2:W633),$W$2:$W$1001,0),MATCH(COLUMNS($AD$1006:AK1006),$AD$1006:$AU$1006,0)), HYPERLINK("#",""), HYPERLINK(CONCATENATE("#metadata!", ADDRESS(INDEX($Y$2:$Y$1001,MATCH(ROWS($W$2:W633),$W$2:$W$1001,0),0), INDEX($AD$1004:$AU$1004,1,MATCH(COLUMNS($AD$1006:AK1006),$AD$1006:$AU$1006,0)))),"Fix")))</f>
        <v xml:space="preserve"> </v>
      </c>
      <c r="J633" s="4" t="str">
        <f ca="1">IF(OR(INDEX($X$2:$X$1001,MATCH(ROWS($W$2:W633),$W$2:$W$1001,0),1)&gt;=100000,INDEX($AD$1005:$AU$1005,1,MATCH(COLUMNS($AD$1006:AL1006),$AD$1006:$AU$1006,0))&gt;=100000), " ",IF(INDEX($AD$2:$AU$1001,MATCH(ROWS($W$2:W633),$W$2:$W$1001,0),MATCH(COLUMNS($AD$1006:AL1006),$AD$1006:$AU$1006,0)), HYPERLINK("#",""), HYPERLINK(CONCATENATE("#metadata!", ADDRESS(INDEX($Y$2:$Y$1001,MATCH(ROWS($W$2:W633),$W$2:$W$1001,0),0), INDEX($AD$1004:$AU$1004,1,MATCH(COLUMNS($AD$1006:AL1006),$AD$1006:$AU$1006,0)))),"Fix")))</f>
        <v xml:space="preserve"> </v>
      </c>
      <c r="K633" s="4" t="str">
        <f ca="1">IF(OR(INDEX($X$2:$X$1001,MATCH(ROWS($W$2:W633),$W$2:$W$1001,0),1)&gt;=100000,INDEX($AD$1005:$AU$1005,1,MATCH(COLUMNS($AD$1006:AM1006),$AD$1006:$AU$1006,0))&gt;=100000), " ",IF(INDEX($AD$2:$AU$1001,MATCH(ROWS($W$2:W633),$W$2:$W$1001,0),MATCH(COLUMNS($AD$1006:AM1006),$AD$1006:$AU$1006,0)), HYPERLINK("#",""), HYPERLINK(CONCATENATE("#metadata!", ADDRESS(INDEX($Y$2:$Y$1001,MATCH(ROWS($W$2:W633),$W$2:$W$1001,0),0), INDEX($AD$1004:$AU$1004,1,MATCH(COLUMNS($AD$1006:AM1006),$AD$1006:$AU$1006,0)))),"Fix")))</f>
        <v xml:space="preserve"> </v>
      </c>
      <c r="L633" s="4" t="str">
        <f ca="1">IF(OR(INDEX($X$2:$X$1001,MATCH(ROWS($W$2:W633),$W$2:$W$1001,0),1)&gt;=100000,INDEX($AD$1005:$AU$1005,1,MATCH(COLUMNS($AD$1006:AN1006),$AD$1006:$AU$1006,0))&gt;=100000), " ",IF(INDEX($AD$2:$AU$1001,MATCH(ROWS($W$2:W633),$W$2:$W$1001,0),MATCH(COLUMNS($AD$1006:AN1006),$AD$1006:$AU$1006,0)), HYPERLINK("#",""), HYPERLINK(CONCATENATE("#metadata!", ADDRESS(INDEX($Y$2:$Y$1001,MATCH(ROWS($W$2:W633),$W$2:$W$1001,0),0), INDEX($AD$1004:$AU$1004,1,MATCH(COLUMNS($AD$1006:AN1006),$AD$1006:$AU$1006,0)))),"Fix")))</f>
        <v xml:space="preserve"> </v>
      </c>
      <c r="M633" s="4" t="str">
        <f ca="1">IF(OR(INDEX($X$2:$X$1001,MATCH(ROWS($W$2:W633),$W$2:$W$1001,0),1)&gt;=100000,INDEX($AD$1005:$AU$1005,1,MATCH(COLUMNS($AD$1006:AO1006),$AD$1006:$AU$1006,0))&gt;=100000), " ",IF(INDEX($AD$2:$AU$1001,MATCH(ROWS($W$2:W633),$W$2:$W$1001,0),MATCH(COLUMNS($AD$1006:AO1006),$AD$1006:$AU$1006,0)), HYPERLINK("#",""), HYPERLINK(CONCATENATE("#metadata!", ADDRESS(INDEX($Y$2:$Y$1001,MATCH(ROWS($W$2:W633),$W$2:$W$1001,0),0), INDEX($AD$1004:$AU$1004,1,MATCH(COLUMNS($AD$1006:AO1006),$AD$1006:$AU$1006,0)))),"Fix")))</f>
        <v xml:space="preserve"> </v>
      </c>
      <c r="N633" s="4" t="str">
        <f ca="1">IF(OR(INDEX($X$2:$X$1001,MATCH(ROWS($W$2:W633),$W$2:$W$1001,0),1)&gt;=100000,INDEX($AD$1005:$AU$1005,1,MATCH(COLUMNS($AD$1006:AP1006),$AD$1006:$AU$1006,0))&gt;=100000), " ",IF(INDEX($AD$2:$AU$1001,MATCH(ROWS($W$2:W633),$W$2:$W$1001,0),MATCH(COLUMNS($AD$1006:AP1006),$AD$1006:$AU$1006,0)), HYPERLINK("#",""), HYPERLINK(CONCATENATE("#metadata!", ADDRESS(INDEX($Y$2:$Y$1001,MATCH(ROWS($W$2:W633),$W$2:$W$1001,0),0), INDEX($AD$1004:$AU$1004,1,MATCH(COLUMNS($AD$1006:AP1006),$AD$1006:$AU$1006,0)))),"Fix")))</f>
        <v xml:space="preserve"> </v>
      </c>
      <c r="O633" s="4" t="str">
        <f ca="1">IF(OR(INDEX($X$2:$X$1001,MATCH(ROWS($W$2:W633),$W$2:$W$1001,0),1)&gt;=100000,INDEX($AD$1005:$AU$1005,1,MATCH(COLUMNS($AD$1006:AQ1006),$AD$1006:$AU$1006,0))&gt;=100000), " ",IF(INDEX($AD$2:$AU$1001,MATCH(ROWS($W$2:W633),$W$2:$W$1001,0),MATCH(COLUMNS($AD$1006:AQ1006),$AD$1006:$AU$1006,0)), HYPERLINK("#",""), HYPERLINK(CONCATENATE("#metadata!", ADDRESS(INDEX($Y$2:$Y$1001,MATCH(ROWS($W$2:W633),$W$2:$W$1001,0),0), INDEX($AD$1004:$AU$1004,1,MATCH(COLUMNS($AD$1006:AQ1006),$AD$1006:$AU$1006,0)))),"Fix")))</f>
        <v xml:space="preserve"> </v>
      </c>
      <c r="P633" s="4" t="str">
        <f ca="1">IF(OR(INDEX($X$2:$X$1001,MATCH(ROWS($W$2:W633),$W$2:$W$1001,0),1)&gt;=100000,INDEX($AD$1005:$AU$1005,1,MATCH(COLUMNS($AD$1006:AR1006),$AD$1006:$AU$1006,0))&gt;=100000), " ",IF(INDEX($AD$2:$AU$1001,MATCH(ROWS($W$2:W633),$W$2:$W$1001,0),MATCH(COLUMNS($AD$1006:AR1006),$AD$1006:$AU$1006,0)), HYPERLINK("#",""), HYPERLINK(CONCATENATE("#metadata!", ADDRESS(INDEX($Y$2:$Y$1001,MATCH(ROWS($W$2:W633),$W$2:$W$1001,0),0), INDEX($AD$1004:$AU$1004,1,MATCH(COLUMNS($AD$1006:AR1006),$AD$1006:$AU$1006,0)))),"Fix")))</f>
        <v xml:space="preserve"> </v>
      </c>
      <c r="Q633" s="4" t="str">
        <f ca="1">IF(OR(INDEX($X$2:$X$1001,MATCH(ROWS($W$2:W633),$W$2:$W$1001,0),1)&gt;=100000,INDEX($AD$1005:$AU$1005,1,MATCH(COLUMNS($AD$1006:AS1006),$AD$1006:$AU$1006,0))&gt;=100000), " ",IF(INDEX($AD$2:$AU$1001,MATCH(ROWS($W$2:W633),$W$2:$W$1001,0),MATCH(COLUMNS($AD$1006:AS1006),$AD$1006:$AU$1006,0)), HYPERLINK("#",""), HYPERLINK(CONCATENATE("#metadata!", ADDRESS(INDEX($Y$2:$Y$1001,MATCH(ROWS($W$2:W633),$W$2:$W$1001,0),0), INDEX($AD$1004:$AU$1004,1,MATCH(COLUMNS($AD$1006:AS1006),$AD$1006:$AU$1006,0)))),"Fix")))</f>
        <v xml:space="preserve"> </v>
      </c>
      <c r="R633" s="4" t="str">
        <f ca="1">IF(OR(INDEX($X$2:$X$1001,MATCH(ROWS($W$2:W633),$W$2:$W$1001,0),1)&gt;=100000,INDEX($AD$1005:$AU$1005,1,MATCH(COLUMNS($AD$1006:AT1006),$AD$1006:$AU$1006,0))&gt;=100000), " ",IF(INDEX($AD$2:$AU$1001,MATCH(ROWS($W$2:W633),$W$2:$W$1001,0),MATCH(COLUMNS($AD$1006:AT1006),$AD$1006:$AU$1006,0)), HYPERLINK("#",""), HYPERLINK(CONCATENATE("#metadata!", ADDRESS(INDEX($Y$2:$Y$1001,MATCH(ROWS($W$2:W633),$W$2:$W$1001,0),0), INDEX($AD$1004:$AU$1004,1,MATCH(COLUMNS($AD$1006:AT1006),$AD$1006:$AU$1006,0)))),"Fix")))</f>
        <v xml:space="preserve"> </v>
      </c>
      <c r="S633" s="4" t="str">
        <f ca="1">IF(OR(INDEX($X$2:$X$1001,MATCH(ROWS($W$2:W633),$W$2:$W$1001,0),1)&gt;=100000,INDEX($AD$1005:$AU$1005,1,MATCH(COLUMNS($AD$1006:AU1006),$AD$1006:$AU$1006,0))&gt;=100000), " ",IF(INDEX($AD$2:$AU$1001,MATCH(ROWS($W$2:W633),$W$2:$W$1001,0),MATCH(COLUMNS($AD$1006:AU1006),$AD$1006:$AU$1006,0)), HYPERLINK("#",""), HYPERLINK(CONCATENATE("#metadata!", ADDRESS(INDEX($Y$2:$Y$1001,MATCH(ROWS($W$2:W633),$W$2:$W$1001,0),0), INDEX($AD$1004:$AU$1004,1,MATCH(COLUMNS($AD$1006:AU1006),$AD$1006:$AU$1006,0)))),"Fix")))</f>
        <v xml:space="preserve"> </v>
      </c>
      <c r="W633">
        <v>632</v>
      </c>
      <c r="X633">
        <v>100633</v>
      </c>
      <c r="Y633">
        <v>633</v>
      </c>
      <c r="Z633" t="b">
        <f t="shared" si="9"/>
        <v>1</v>
      </c>
      <c r="AA633" t="b">
        <f>COUNTBLANK(metadata!B633:S633)=COLUMNS(metadata!B633:S633)</f>
        <v>1</v>
      </c>
      <c r="AB633" t="str">
        <v/>
      </c>
      <c r="AD633" t="b">
        <f ca="1">AND(IF(metadata!B633="",FALSE,TRUE),COUNTIF(metadata!B:B, metadata!B633) = 1,NOT(ISERROR(SUMPRODUCT(SEARCH(MID(metadata!B633,ROW(INDIRECT("1:"&amp;LEN(metadata!B633))), 1),"0123456789abcdefghijklmnopqrstuvwxyzABCDEFGHIJKLMNOPQRSTUVWXYZ.")))))</f>
        <v>0</v>
      </c>
      <c r="AE633" t="b">
        <f>OR(AND(IF(metadata!C633="",FALSE,TRUE),OR(EXACT(metadata!C633,"not applicable"),EXACT(metadata!C633,"missing: not collected"),EXACT(metadata!C633,"missing: not provided"),EXACT(metadata!C633,"missing: restricted access"))),AND(IF(metadata!C633="",FALSE,ISNUMBER(VALUE(metadata!C633))),metadata!C633&gt;0))</f>
        <v>0</v>
      </c>
      <c r="AF633" t="b">
        <f>AND(IF(metadata!D633="",FALSE,TRUE),EXACT(metadata!D633,"missing: not provided"))</f>
        <v>0</v>
      </c>
      <c r="AG633" t="b">
        <f>AND(IF(metadata!E633="",FALSE,TRUE),EXACT(metadata!E633,"Host-associated"))</f>
        <v>0</v>
      </c>
      <c r="AH633" t="b">
        <f>AND(IF(metadata!F633="",FALSE,TRUE),OR(EXACT(metadata!F633,"Animal"),EXACT(metadata!F633,"Fungus"),EXACT(metadata!F633,"Plant")))</f>
        <v>0</v>
      </c>
      <c r="AI633" t="b">
        <f>AND(IF(metadata!G633="",FALSE,TRUE),OR(EXACT(metadata!G633,"Plant secretion"),EXACT(metadata!G633,"Plant rhizosphere"),EXACT(metadata!G633,"Plant surface"),EXACT(metadata!G633,"Plant corpus"),EXACT(metadata!G633,"Fungus surface"),EXACT(metadata!G633,"Fungus corpus"),EXACT(metadata!G633,"Animal surface"),EXACT(metadata!G633,"Animal proximal gut"),EXACT(metadata!G633,"Animal corpus"),EXACT(metadata!G633,"Animal distal gut"),EXACT(metadata!G633,"Animal secretion")))</f>
        <v>0</v>
      </c>
      <c r="AJ633" t="b">
        <f>OR(AND(IF(metadata!H633="",FALSE,TRUE),OR(EXACT(metadata!H633,"missing: not collected"),EXACT(metadata!H633,"missing: not provided"),EXACT(metadata!H633,"missing: restricted access"))),AND(IF(metadata!H633="",FALSE,TRUE),OR(EXACT(metadata!H633,"organism-associated habitat"),EXACT(metadata!H633,"plant-associated habitat"),EXACT(metadata!H633,"animal-associated habitat"),EXACT(metadata!H633,"insecta-associated habitat"),EXACT(metadata!H633,"mammalia-associated habitat"),EXACT(metadata!H633,"human-associated habitat"),EXACT(metadata!H633,"livestock-associated habitat"))))</f>
        <v>0</v>
      </c>
      <c r="AK633" t="b">
        <f>AND(IF(metadata!I633="",FALSE,TRUE),EXACT(metadata!I633,"host-associated"))</f>
        <v>0</v>
      </c>
      <c r="AL633" t="b">
        <f>OR(AND(IF(metadata!J633="",FALSE,TRUE),OR(EXACT(metadata!J633,"not applicable"),EXACT(metadata!J633,"missing: not collected"),EXACT(metadata!J633,"missing: not provided"),EXACT(metadata!J633,"missing: restricted access"))),AND(IF(metadata!J633="",FALSE,ISNUMBER(VALUE(metadata!J633))),metadata!J633&gt;0))</f>
        <v>0</v>
      </c>
      <c r="AM633" t="b">
        <f>AND(IF(metadata!K633="",FALSE,TRUE),EXACT(metadata!K633,"missing: not provided"))</f>
        <v>0</v>
      </c>
      <c r="AN633" t="b">
        <f>IF(metadata!L633="",FALSE,TRUE)</f>
        <v>0</v>
      </c>
      <c r="AO633" t="b">
        <f>IF(metadata!M633="",FALSE,TRUE)</f>
        <v>0</v>
      </c>
      <c r="AP633" t="b">
        <f>OR(AND(IF(metadata!N633="",FALSE,TRUE),OR(EXACT(metadata!N633,"not applicable"),EXACT(metadata!N633,"missing: not collected"),EXACT(metadata!N633,"missing: not provided"))),AND(IF(metadata!N633="",FALSE,IF(ISERROR(INT(metadata!N633)),FALSE,INT(metadata!N633)=metadata!N633)),metadata!N633&gt;0))</f>
        <v>0</v>
      </c>
      <c r="AQ633" t="b">
        <f>AND(IF(metadata!O633="",FALSE,TRUE),EXACT(metadata!O633,"Not applicable"))</f>
        <v>0</v>
      </c>
      <c r="AR633" t="b">
        <f>OR(AND(IF(metadata!P633="",FALSE,TRUE),OR(EXACT(metadata!P633,"not applicable"),EXACT(metadata!P633,"missing: not collected"),EXACT(metadata!P633,"missing: not provided"),EXACT(metadata!P633,"missing: restricted access"))),IF(metadata!P633="",FALSE,IF(ISERROR(INT(metadata!P633)),FALSE,INT(metadata!P633)=metadata!P633)))</f>
        <v>0</v>
      </c>
      <c r="AS633" t="b">
        <f>AND(IF(metadata!Q633="",FALSE,TRUE),EXACT(metadata!Q633,"Not applicable"))</f>
        <v>0</v>
      </c>
      <c r="AT633" t="b">
        <f>OR(AND(IF(metadata!R633="",FALSE,TRUE),OR(EXACT(metadata!R633,"not applicable"),EXACT(metadata!R633,"missing: not collected"),EXACT(metadata!R633,"missing: not provided"),EXACT(metadata!R633,"missing: restricted access"))),AND(IF(metadata!R633="",FALSE,ISNUMBER(VALUE(metadata!R633))),metadata!R633&gt;0))</f>
        <v>0</v>
      </c>
      <c r="AU633" t="b">
        <f>AND(IF(metadata!S633="",FALSE,TRUE),EXACT(metadata!S633,"missing: not provided"))</f>
        <v>0</v>
      </c>
    </row>
    <row r="634" spans="1:47" x14ac:dyDescent="0.2">
      <c r="A634" s="5" t="str">
        <f ca="1">IF(B634=" "," ",HYPERLINK(CONCATENATE("#metadata!",ADDRESS(INDEX($Y$2:$Y$1001,MATCH(ROWS($W$2:W634),$W$2:$W$1001,0),0),1)),INDEX($AB$2:$AB$1001,MATCH(ROWS($W$2:W634),$W$2:$W$1001,0),0)))</f>
        <v xml:space="preserve"> </v>
      </c>
      <c r="B634" s="4" t="str">
        <f ca="1">IF(OR(INDEX($X$2:$X$1001,MATCH(ROWS($W$2:W634),$W$2:$W$1001,0),1)&gt;=100000,INDEX($AD$1005:$AU$1005,1,MATCH(COLUMNS($AD$1006:AD1006),$AD$1006:$AU$1006,0))&gt;=100000), " ",IF(INDEX($AD$2:$AU$1001,MATCH(ROWS($W$2:W634),$W$2:$W$1001,0),MATCH(COLUMNS($AD$1006:AD1006),$AD$1006:$AU$1006,0)), HYPERLINK("#",""), HYPERLINK(CONCATENATE("#metadata!", ADDRESS(INDEX($Y$2:$Y$1001,MATCH(ROWS($W$2:W634),$W$2:$W$1001,0),0), INDEX($AD$1004:$AU$1004,1,MATCH(COLUMNS($AD$1006:AD1006),$AD$1006:$AU$1006,0)))),"Fix")))</f>
        <v xml:space="preserve"> </v>
      </c>
      <c r="C634" s="4" t="str">
        <f ca="1">IF(OR(INDEX($X$2:$X$1001,MATCH(ROWS($W$2:W634),$W$2:$W$1001,0),1)&gt;=100000,INDEX($AD$1005:$AU$1005,1,MATCH(COLUMNS($AD$1006:AE1006),$AD$1006:$AU$1006,0))&gt;=100000), " ",IF(INDEX($AD$2:$AU$1001,MATCH(ROWS($W$2:W634),$W$2:$W$1001,0),MATCH(COLUMNS($AD$1006:AE1006),$AD$1006:$AU$1006,0)), HYPERLINK("#",""), HYPERLINK(CONCATENATE("#metadata!", ADDRESS(INDEX($Y$2:$Y$1001,MATCH(ROWS($W$2:W634),$W$2:$W$1001,0),0), INDEX($AD$1004:$AU$1004,1,MATCH(COLUMNS($AD$1006:AE1006),$AD$1006:$AU$1006,0)))),"Fix")))</f>
        <v xml:space="preserve"> </v>
      </c>
      <c r="D634" s="4" t="str">
        <f ca="1">IF(OR(INDEX($X$2:$X$1001,MATCH(ROWS($W$2:W634),$W$2:$W$1001,0),1)&gt;=100000,INDEX($AD$1005:$AU$1005,1,MATCH(COLUMNS($AD$1006:AF1006),$AD$1006:$AU$1006,0))&gt;=100000), " ",IF(INDEX($AD$2:$AU$1001,MATCH(ROWS($W$2:W634),$W$2:$W$1001,0),MATCH(COLUMNS($AD$1006:AF1006),$AD$1006:$AU$1006,0)), HYPERLINK("#",""), HYPERLINK(CONCATENATE("#metadata!", ADDRESS(INDEX($Y$2:$Y$1001,MATCH(ROWS($W$2:W634),$W$2:$W$1001,0),0), INDEX($AD$1004:$AU$1004,1,MATCH(COLUMNS($AD$1006:AF1006),$AD$1006:$AU$1006,0)))),"Fix")))</f>
        <v xml:space="preserve"> </v>
      </c>
      <c r="E634" s="4" t="str">
        <f ca="1">IF(OR(INDEX($X$2:$X$1001,MATCH(ROWS($W$2:W634),$W$2:$W$1001,0),1)&gt;=100000,INDEX($AD$1005:$AU$1005,1,MATCH(COLUMNS($AD$1006:AG1006),$AD$1006:$AU$1006,0))&gt;=100000), " ",IF(INDEX($AD$2:$AU$1001,MATCH(ROWS($W$2:W634),$W$2:$W$1001,0),MATCH(COLUMNS($AD$1006:AG1006),$AD$1006:$AU$1006,0)), HYPERLINK("#",""), HYPERLINK(CONCATENATE("#metadata!", ADDRESS(INDEX($Y$2:$Y$1001,MATCH(ROWS($W$2:W634),$W$2:$W$1001,0),0), INDEX($AD$1004:$AU$1004,1,MATCH(COLUMNS($AD$1006:AG1006),$AD$1006:$AU$1006,0)))),"Fix")))</f>
        <v xml:space="preserve"> </v>
      </c>
      <c r="F634" s="4" t="str">
        <f ca="1">IF(OR(INDEX($X$2:$X$1001,MATCH(ROWS($W$2:W634),$W$2:$W$1001,0),1)&gt;=100000,INDEX($AD$1005:$AU$1005,1,MATCH(COLUMNS($AD$1006:AH1006),$AD$1006:$AU$1006,0))&gt;=100000), " ",IF(INDEX($AD$2:$AU$1001,MATCH(ROWS($W$2:W634),$W$2:$W$1001,0),MATCH(COLUMNS($AD$1006:AH1006),$AD$1006:$AU$1006,0)), HYPERLINK("#",""), HYPERLINK(CONCATENATE("#metadata!", ADDRESS(INDEX($Y$2:$Y$1001,MATCH(ROWS($W$2:W634),$W$2:$W$1001,0),0), INDEX($AD$1004:$AU$1004,1,MATCH(COLUMNS($AD$1006:AH1006),$AD$1006:$AU$1006,0)))),"Fix")))</f>
        <v xml:space="preserve"> </v>
      </c>
      <c r="G634" s="4" t="str">
        <f ca="1">IF(OR(INDEX($X$2:$X$1001,MATCH(ROWS($W$2:W634),$W$2:$W$1001,0),1)&gt;=100000,INDEX($AD$1005:$AU$1005,1,MATCH(COLUMNS($AD$1006:AI1006),$AD$1006:$AU$1006,0))&gt;=100000), " ",IF(INDEX($AD$2:$AU$1001,MATCH(ROWS($W$2:W634),$W$2:$W$1001,0),MATCH(COLUMNS($AD$1006:AI1006),$AD$1006:$AU$1006,0)), HYPERLINK("#",""), HYPERLINK(CONCATENATE("#metadata!", ADDRESS(INDEX($Y$2:$Y$1001,MATCH(ROWS($W$2:W634),$W$2:$W$1001,0),0), INDEX($AD$1004:$AU$1004,1,MATCH(COLUMNS($AD$1006:AI1006),$AD$1006:$AU$1006,0)))),"Fix")))</f>
        <v xml:space="preserve"> </v>
      </c>
      <c r="H634" s="4" t="str">
        <f ca="1">IF(OR(INDEX($X$2:$X$1001,MATCH(ROWS($W$2:W634),$W$2:$W$1001,0),1)&gt;=100000,INDEX($AD$1005:$AU$1005,1,MATCH(COLUMNS($AD$1006:AJ1006),$AD$1006:$AU$1006,0))&gt;=100000), " ",IF(INDEX($AD$2:$AU$1001,MATCH(ROWS($W$2:W634),$W$2:$W$1001,0),MATCH(COLUMNS($AD$1006:AJ1006),$AD$1006:$AU$1006,0)), HYPERLINK("#",""), HYPERLINK(CONCATENATE("#metadata!", ADDRESS(INDEX($Y$2:$Y$1001,MATCH(ROWS($W$2:W634),$W$2:$W$1001,0),0), INDEX($AD$1004:$AU$1004,1,MATCH(COLUMNS($AD$1006:AJ1006),$AD$1006:$AU$1006,0)))),"Fix")))</f>
        <v xml:space="preserve"> </v>
      </c>
      <c r="I634" s="4" t="str">
        <f ca="1">IF(OR(INDEX($X$2:$X$1001,MATCH(ROWS($W$2:W634),$W$2:$W$1001,0),1)&gt;=100000,INDEX($AD$1005:$AU$1005,1,MATCH(COLUMNS($AD$1006:AK1006),$AD$1006:$AU$1006,0))&gt;=100000), " ",IF(INDEX($AD$2:$AU$1001,MATCH(ROWS($W$2:W634),$W$2:$W$1001,0),MATCH(COLUMNS($AD$1006:AK1006),$AD$1006:$AU$1006,0)), HYPERLINK("#",""), HYPERLINK(CONCATENATE("#metadata!", ADDRESS(INDEX($Y$2:$Y$1001,MATCH(ROWS($W$2:W634),$W$2:$W$1001,0),0), INDEX($AD$1004:$AU$1004,1,MATCH(COLUMNS($AD$1006:AK1006),$AD$1006:$AU$1006,0)))),"Fix")))</f>
        <v xml:space="preserve"> </v>
      </c>
      <c r="J634" s="4" t="str">
        <f ca="1">IF(OR(INDEX($X$2:$X$1001,MATCH(ROWS($W$2:W634),$W$2:$W$1001,0),1)&gt;=100000,INDEX($AD$1005:$AU$1005,1,MATCH(COLUMNS($AD$1006:AL1006),$AD$1006:$AU$1006,0))&gt;=100000), " ",IF(INDEX($AD$2:$AU$1001,MATCH(ROWS($W$2:W634),$W$2:$W$1001,0),MATCH(COLUMNS($AD$1006:AL1006),$AD$1006:$AU$1006,0)), HYPERLINK("#",""), HYPERLINK(CONCATENATE("#metadata!", ADDRESS(INDEX($Y$2:$Y$1001,MATCH(ROWS($W$2:W634),$W$2:$W$1001,0),0), INDEX($AD$1004:$AU$1004,1,MATCH(COLUMNS($AD$1006:AL1006),$AD$1006:$AU$1006,0)))),"Fix")))</f>
        <v xml:space="preserve"> </v>
      </c>
      <c r="K634" s="4" t="str">
        <f ca="1">IF(OR(INDEX($X$2:$X$1001,MATCH(ROWS($W$2:W634),$W$2:$W$1001,0),1)&gt;=100000,INDEX($AD$1005:$AU$1005,1,MATCH(COLUMNS($AD$1006:AM1006),$AD$1006:$AU$1006,0))&gt;=100000), " ",IF(INDEX($AD$2:$AU$1001,MATCH(ROWS($W$2:W634),$W$2:$W$1001,0),MATCH(COLUMNS($AD$1006:AM1006),$AD$1006:$AU$1006,0)), HYPERLINK("#",""), HYPERLINK(CONCATENATE("#metadata!", ADDRESS(INDEX($Y$2:$Y$1001,MATCH(ROWS($W$2:W634),$W$2:$W$1001,0),0), INDEX($AD$1004:$AU$1004,1,MATCH(COLUMNS($AD$1006:AM1006),$AD$1006:$AU$1006,0)))),"Fix")))</f>
        <v xml:space="preserve"> </v>
      </c>
      <c r="L634" s="4" t="str">
        <f ca="1">IF(OR(INDEX($X$2:$X$1001,MATCH(ROWS($W$2:W634),$W$2:$W$1001,0),1)&gt;=100000,INDEX($AD$1005:$AU$1005,1,MATCH(COLUMNS($AD$1006:AN1006),$AD$1006:$AU$1006,0))&gt;=100000), " ",IF(INDEX($AD$2:$AU$1001,MATCH(ROWS($W$2:W634),$W$2:$W$1001,0),MATCH(COLUMNS($AD$1006:AN1006),$AD$1006:$AU$1006,0)), HYPERLINK("#",""), HYPERLINK(CONCATENATE("#metadata!", ADDRESS(INDEX($Y$2:$Y$1001,MATCH(ROWS($W$2:W634),$W$2:$W$1001,0),0), INDEX($AD$1004:$AU$1004,1,MATCH(COLUMNS($AD$1006:AN1006),$AD$1006:$AU$1006,0)))),"Fix")))</f>
        <v xml:space="preserve"> </v>
      </c>
      <c r="M634" s="4" t="str">
        <f ca="1">IF(OR(INDEX($X$2:$X$1001,MATCH(ROWS($W$2:W634),$W$2:$W$1001,0),1)&gt;=100000,INDEX($AD$1005:$AU$1005,1,MATCH(COLUMNS($AD$1006:AO1006),$AD$1006:$AU$1006,0))&gt;=100000), " ",IF(INDEX($AD$2:$AU$1001,MATCH(ROWS($W$2:W634),$W$2:$W$1001,0),MATCH(COLUMNS($AD$1006:AO1006),$AD$1006:$AU$1006,0)), HYPERLINK("#",""), HYPERLINK(CONCATENATE("#metadata!", ADDRESS(INDEX($Y$2:$Y$1001,MATCH(ROWS($W$2:W634),$W$2:$W$1001,0),0), INDEX($AD$1004:$AU$1004,1,MATCH(COLUMNS($AD$1006:AO1006),$AD$1006:$AU$1006,0)))),"Fix")))</f>
        <v xml:space="preserve"> </v>
      </c>
      <c r="N634" s="4" t="str">
        <f ca="1">IF(OR(INDEX($X$2:$X$1001,MATCH(ROWS($W$2:W634),$W$2:$W$1001,0),1)&gt;=100000,INDEX($AD$1005:$AU$1005,1,MATCH(COLUMNS($AD$1006:AP1006),$AD$1006:$AU$1006,0))&gt;=100000), " ",IF(INDEX($AD$2:$AU$1001,MATCH(ROWS($W$2:W634),$W$2:$W$1001,0),MATCH(COLUMNS($AD$1006:AP1006),$AD$1006:$AU$1006,0)), HYPERLINK("#",""), HYPERLINK(CONCATENATE("#metadata!", ADDRESS(INDEX($Y$2:$Y$1001,MATCH(ROWS($W$2:W634),$W$2:$W$1001,0),0), INDEX($AD$1004:$AU$1004,1,MATCH(COLUMNS($AD$1006:AP1006),$AD$1006:$AU$1006,0)))),"Fix")))</f>
        <v xml:space="preserve"> </v>
      </c>
      <c r="O634" s="4" t="str">
        <f ca="1">IF(OR(INDEX($X$2:$X$1001,MATCH(ROWS($W$2:W634),$W$2:$W$1001,0),1)&gt;=100000,INDEX($AD$1005:$AU$1005,1,MATCH(COLUMNS($AD$1006:AQ1006),$AD$1006:$AU$1006,0))&gt;=100000), " ",IF(INDEX($AD$2:$AU$1001,MATCH(ROWS($W$2:W634),$W$2:$W$1001,0),MATCH(COLUMNS($AD$1006:AQ1006),$AD$1006:$AU$1006,0)), HYPERLINK("#",""), HYPERLINK(CONCATENATE("#metadata!", ADDRESS(INDEX($Y$2:$Y$1001,MATCH(ROWS($W$2:W634),$W$2:$W$1001,0),0), INDEX($AD$1004:$AU$1004,1,MATCH(COLUMNS($AD$1006:AQ1006),$AD$1006:$AU$1006,0)))),"Fix")))</f>
        <v xml:space="preserve"> </v>
      </c>
      <c r="P634" s="4" t="str">
        <f ca="1">IF(OR(INDEX($X$2:$X$1001,MATCH(ROWS($W$2:W634),$W$2:$W$1001,0),1)&gt;=100000,INDEX($AD$1005:$AU$1005,1,MATCH(COLUMNS($AD$1006:AR1006),$AD$1006:$AU$1006,0))&gt;=100000), " ",IF(INDEX($AD$2:$AU$1001,MATCH(ROWS($W$2:W634),$W$2:$W$1001,0),MATCH(COLUMNS($AD$1006:AR1006),$AD$1006:$AU$1006,0)), HYPERLINK("#",""), HYPERLINK(CONCATENATE("#metadata!", ADDRESS(INDEX($Y$2:$Y$1001,MATCH(ROWS($W$2:W634),$W$2:$W$1001,0),0), INDEX($AD$1004:$AU$1004,1,MATCH(COLUMNS($AD$1006:AR1006),$AD$1006:$AU$1006,0)))),"Fix")))</f>
        <v xml:space="preserve"> </v>
      </c>
      <c r="Q634" s="4" t="str">
        <f ca="1">IF(OR(INDEX($X$2:$X$1001,MATCH(ROWS($W$2:W634),$W$2:$W$1001,0),1)&gt;=100000,INDEX($AD$1005:$AU$1005,1,MATCH(COLUMNS($AD$1006:AS1006),$AD$1006:$AU$1006,0))&gt;=100000), " ",IF(INDEX($AD$2:$AU$1001,MATCH(ROWS($W$2:W634),$W$2:$W$1001,0),MATCH(COLUMNS($AD$1006:AS1006),$AD$1006:$AU$1006,0)), HYPERLINK("#",""), HYPERLINK(CONCATENATE("#metadata!", ADDRESS(INDEX($Y$2:$Y$1001,MATCH(ROWS($W$2:W634),$W$2:$W$1001,0),0), INDEX($AD$1004:$AU$1004,1,MATCH(COLUMNS($AD$1006:AS1006),$AD$1006:$AU$1006,0)))),"Fix")))</f>
        <v xml:space="preserve"> </v>
      </c>
      <c r="R634" s="4" t="str">
        <f ca="1">IF(OR(INDEX($X$2:$X$1001,MATCH(ROWS($W$2:W634),$W$2:$W$1001,0),1)&gt;=100000,INDEX($AD$1005:$AU$1005,1,MATCH(COLUMNS($AD$1006:AT1006),$AD$1006:$AU$1006,0))&gt;=100000), " ",IF(INDEX($AD$2:$AU$1001,MATCH(ROWS($W$2:W634),$W$2:$W$1001,0),MATCH(COLUMNS($AD$1006:AT1006),$AD$1006:$AU$1006,0)), HYPERLINK("#",""), HYPERLINK(CONCATENATE("#metadata!", ADDRESS(INDEX($Y$2:$Y$1001,MATCH(ROWS($W$2:W634),$W$2:$W$1001,0),0), INDEX($AD$1004:$AU$1004,1,MATCH(COLUMNS($AD$1006:AT1006),$AD$1006:$AU$1006,0)))),"Fix")))</f>
        <v xml:space="preserve"> </v>
      </c>
      <c r="S634" s="4" t="str">
        <f ca="1">IF(OR(INDEX($X$2:$X$1001,MATCH(ROWS($W$2:W634),$W$2:$W$1001,0),1)&gt;=100000,INDEX($AD$1005:$AU$1005,1,MATCH(COLUMNS($AD$1006:AU1006),$AD$1006:$AU$1006,0))&gt;=100000), " ",IF(INDEX($AD$2:$AU$1001,MATCH(ROWS($W$2:W634),$W$2:$W$1001,0),MATCH(COLUMNS($AD$1006:AU1006),$AD$1006:$AU$1006,0)), HYPERLINK("#",""), HYPERLINK(CONCATENATE("#metadata!", ADDRESS(INDEX($Y$2:$Y$1001,MATCH(ROWS($W$2:W634),$W$2:$W$1001,0),0), INDEX($AD$1004:$AU$1004,1,MATCH(COLUMNS($AD$1006:AU1006),$AD$1006:$AU$1006,0)))),"Fix")))</f>
        <v xml:space="preserve"> </v>
      </c>
      <c r="W634">
        <v>633</v>
      </c>
      <c r="X634">
        <v>100634</v>
      </c>
      <c r="Y634">
        <v>634</v>
      </c>
      <c r="Z634" t="b">
        <f t="shared" si="9"/>
        <v>1</v>
      </c>
      <c r="AA634" t="b">
        <f>COUNTBLANK(metadata!B634:S634)=COLUMNS(metadata!B634:S634)</f>
        <v>1</v>
      </c>
      <c r="AB634" t="str">
        <v/>
      </c>
      <c r="AD634" t="b">
        <f ca="1">AND(IF(metadata!B634="",FALSE,TRUE),COUNTIF(metadata!B:B, metadata!B634) = 1,NOT(ISERROR(SUMPRODUCT(SEARCH(MID(metadata!B634,ROW(INDIRECT("1:"&amp;LEN(metadata!B634))), 1),"0123456789abcdefghijklmnopqrstuvwxyzABCDEFGHIJKLMNOPQRSTUVWXYZ.")))))</f>
        <v>0</v>
      </c>
      <c r="AE634" t="b">
        <f>OR(AND(IF(metadata!C634="",FALSE,TRUE),OR(EXACT(metadata!C634,"not applicable"),EXACT(metadata!C634,"missing: not collected"),EXACT(metadata!C634,"missing: not provided"),EXACT(metadata!C634,"missing: restricted access"))),AND(IF(metadata!C634="",FALSE,ISNUMBER(VALUE(metadata!C634))),metadata!C634&gt;0))</f>
        <v>0</v>
      </c>
      <c r="AF634" t="b">
        <f>AND(IF(metadata!D634="",FALSE,TRUE),EXACT(metadata!D634,"missing: not provided"))</f>
        <v>0</v>
      </c>
      <c r="AG634" t="b">
        <f>AND(IF(metadata!E634="",FALSE,TRUE),EXACT(metadata!E634,"Host-associated"))</f>
        <v>0</v>
      </c>
      <c r="AH634" t="b">
        <f>AND(IF(metadata!F634="",FALSE,TRUE),OR(EXACT(metadata!F634,"Animal"),EXACT(metadata!F634,"Fungus"),EXACT(metadata!F634,"Plant")))</f>
        <v>0</v>
      </c>
      <c r="AI634" t="b">
        <f>AND(IF(metadata!G634="",FALSE,TRUE),OR(EXACT(metadata!G634,"Plant secretion"),EXACT(metadata!G634,"Plant rhizosphere"),EXACT(metadata!G634,"Plant surface"),EXACT(metadata!G634,"Plant corpus"),EXACT(metadata!G634,"Fungus surface"),EXACT(metadata!G634,"Fungus corpus"),EXACT(metadata!G634,"Animal surface"),EXACT(metadata!G634,"Animal proximal gut"),EXACT(metadata!G634,"Animal corpus"),EXACT(metadata!G634,"Animal distal gut"),EXACT(metadata!G634,"Animal secretion")))</f>
        <v>0</v>
      </c>
      <c r="AJ634" t="b">
        <f>OR(AND(IF(metadata!H634="",FALSE,TRUE),OR(EXACT(metadata!H634,"missing: not collected"),EXACT(metadata!H634,"missing: not provided"),EXACT(metadata!H634,"missing: restricted access"))),AND(IF(metadata!H634="",FALSE,TRUE),OR(EXACT(metadata!H634,"organism-associated habitat"),EXACT(metadata!H634,"plant-associated habitat"),EXACT(metadata!H634,"animal-associated habitat"),EXACT(metadata!H634,"insecta-associated habitat"),EXACT(metadata!H634,"mammalia-associated habitat"),EXACT(metadata!H634,"human-associated habitat"),EXACT(metadata!H634,"livestock-associated habitat"))))</f>
        <v>0</v>
      </c>
      <c r="AK634" t="b">
        <f>AND(IF(metadata!I634="",FALSE,TRUE),EXACT(metadata!I634,"host-associated"))</f>
        <v>0</v>
      </c>
      <c r="AL634" t="b">
        <f>OR(AND(IF(metadata!J634="",FALSE,TRUE),OR(EXACT(metadata!J634,"not applicable"),EXACT(metadata!J634,"missing: not collected"),EXACT(metadata!J634,"missing: not provided"),EXACT(metadata!J634,"missing: restricted access"))),AND(IF(metadata!J634="",FALSE,ISNUMBER(VALUE(metadata!J634))),metadata!J634&gt;0))</f>
        <v>0</v>
      </c>
      <c r="AM634" t="b">
        <f>AND(IF(metadata!K634="",FALSE,TRUE),EXACT(metadata!K634,"missing: not provided"))</f>
        <v>0</v>
      </c>
      <c r="AN634" t="b">
        <f>IF(metadata!L634="",FALSE,TRUE)</f>
        <v>0</v>
      </c>
      <c r="AO634" t="b">
        <f>IF(metadata!M634="",FALSE,TRUE)</f>
        <v>0</v>
      </c>
      <c r="AP634" t="b">
        <f>OR(AND(IF(metadata!N634="",FALSE,TRUE),OR(EXACT(metadata!N634,"not applicable"),EXACT(metadata!N634,"missing: not collected"),EXACT(metadata!N634,"missing: not provided"))),AND(IF(metadata!N634="",FALSE,IF(ISERROR(INT(metadata!N634)),FALSE,INT(metadata!N634)=metadata!N634)),metadata!N634&gt;0))</f>
        <v>0</v>
      </c>
      <c r="AQ634" t="b">
        <f>AND(IF(metadata!O634="",FALSE,TRUE),EXACT(metadata!O634,"Not applicable"))</f>
        <v>0</v>
      </c>
      <c r="AR634" t="b">
        <f>OR(AND(IF(metadata!P634="",FALSE,TRUE),OR(EXACT(metadata!P634,"not applicable"),EXACT(metadata!P634,"missing: not collected"),EXACT(metadata!P634,"missing: not provided"),EXACT(metadata!P634,"missing: restricted access"))),IF(metadata!P634="",FALSE,IF(ISERROR(INT(metadata!P634)),FALSE,INT(metadata!P634)=metadata!P634)))</f>
        <v>0</v>
      </c>
      <c r="AS634" t="b">
        <f>AND(IF(metadata!Q634="",FALSE,TRUE),EXACT(metadata!Q634,"Not applicable"))</f>
        <v>0</v>
      </c>
      <c r="AT634" t="b">
        <f>OR(AND(IF(metadata!R634="",FALSE,TRUE),OR(EXACT(metadata!R634,"not applicable"),EXACT(metadata!R634,"missing: not collected"),EXACT(metadata!R634,"missing: not provided"),EXACT(metadata!R634,"missing: restricted access"))),AND(IF(metadata!R634="",FALSE,ISNUMBER(VALUE(metadata!R634))),metadata!R634&gt;0))</f>
        <v>0</v>
      </c>
      <c r="AU634" t="b">
        <f>AND(IF(metadata!S634="",FALSE,TRUE),EXACT(metadata!S634,"missing: not provided"))</f>
        <v>0</v>
      </c>
    </row>
    <row r="635" spans="1:47" x14ac:dyDescent="0.2">
      <c r="A635" s="5" t="str">
        <f ca="1">IF(B635=" "," ",HYPERLINK(CONCATENATE("#metadata!",ADDRESS(INDEX($Y$2:$Y$1001,MATCH(ROWS($W$2:W635),$W$2:$W$1001,0),0),1)),INDEX($AB$2:$AB$1001,MATCH(ROWS($W$2:W635),$W$2:$W$1001,0),0)))</f>
        <v xml:space="preserve"> </v>
      </c>
      <c r="B635" s="4" t="str">
        <f ca="1">IF(OR(INDEX($X$2:$X$1001,MATCH(ROWS($W$2:W635),$W$2:$W$1001,0),1)&gt;=100000,INDEX($AD$1005:$AU$1005,1,MATCH(COLUMNS($AD$1006:AD1006),$AD$1006:$AU$1006,0))&gt;=100000), " ",IF(INDEX($AD$2:$AU$1001,MATCH(ROWS($W$2:W635),$W$2:$W$1001,0),MATCH(COLUMNS($AD$1006:AD1006),$AD$1006:$AU$1006,0)), HYPERLINK("#",""), HYPERLINK(CONCATENATE("#metadata!", ADDRESS(INDEX($Y$2:$Y$1001,MATCH(ROWS($W$2:W635),$W$2:$W$1001,0),0), INDEX($AD$1004:$AU$1004,1,MATCH(COLUMNS($AD$1006:AD1006),$AD$1006:$AU$1006,0)))),"Fix")))</f>
        <v xml:space="preserve"> </v>
      </c>
      <c r="C635" s="4" t="str">
        <f ca="1">IF(OR(INDEX($X$2:$X$1001,MATCH(ROWS($W$2:W635),$W$2:$W$1001,0),1)&gt;=100000,INDEX($AD$1005:$AU$1005,1,MATCH(COLUMNS($AD$1006:AE1006),$AD$1006:$AU$1006,0))&gt;=100000), " ",IF(INDEX($AD$2:$AU$1001,MATCH(ROWS($W$2:W635),$W$2:$W$1001,0),MATCH(COLUMNS($AD$1006:AE1006),$AD$1006:$AU$1006,0)), HYPERLINK("#",""), HYPERLINK(CONCATENATE("#metadata!", ADDRESS(INDEX($Y$2:$Y$1001,MATCH(ROWS($W$2:W635),$W$2:$W$1001,0),0), INDEX($AD$1004:$AU$1004,1,MATCH(COLUMNS($AD$1006:AE1006),$AD$1006:$AU$1006,0)))),"Fix")))</f>
        <v xml:space="preserve"> </v>
      </c>
      <c r="D635" s="4" t="str">
        <f ca="1">IF(OR(INDEX($X$2:$X$1001,MATCH(ROWS($W$2:W635),$W$2:$W$1001,0),1)&gt;=100000,INDEX($AD$1005:$AU$1005,1,MATCH(COLUMNS($AD$1006:AF1006),$AD$1006:$AU$1006,0))&gt;=100000), " ",IF(INDEX($AD$2:$AU$1001,MATCH(ROWS($W$2:W635),$W$2:$W$1001,0),MATCH(COLUMNS($AD$1006:AF1006),$AD$1006:$AU$1006,0)), HYPERLINK("#",""), HYPERLINK(CONCATENATE("#metadata!", ADDRESS(INDEX($Y$2:$Y$1001,MATCH(ROWS($W$2:W635),$W$2:$W$1001,0),0), INDEX($AD$1004:$AU$1004,1,MATCH(COLUMNS($AD$1006:AF1006),$AD$1006:$AU$1006,0)))),"Fix")))</f>
        <v xml:space="preserve"> </v>
      </c>
      <c r="E635" s="4" t="str">
        <f ca="1">IF(OR(INDEX($X$2:$X$1001,MATCH(ROWS($W$2:W635),$W$2:$W$1001,0),1)&gt;=100000,INDEX($AD$1005:$AU$1005,1,MATCH(COLUMNS($AD$1006:AG1006),$AD$1006:$AU$1006,0))&gt;=100000), " ",IF(INDEX($AD$2:$AU$1001,MATCH(ROWS($W$2:W635),$W$2:$W$1001,0),MATCH(COLUMNS($AD$1006:AG1006),$AD$1006:$AU$1006,0)), HYPERLINK("#",""), HYPERLINK(CONCATENATE("#metadata!", ADDRESS(INDEX($Y$2:$Y$1001,MATCH(ROWS($W$2:W635),$W$2:$W$1001,0),0), INDEX($AD$1004:$AU$1004,1,MATCH(COLUMNS($AD$1006:AG1006),$AD$1006:$AU$1006,0)))),"Fix")))</f>
        <v xml:space="preserve"> </v>
      </c>
      <c r="F635" s="4" t="str">
        <f ca="1">IF(OR(INDEX($X$2:$X$1001,MATCH(ROWS($W$2:W635),$W$2:$W$1001,0),1)&gt;=100000,INDEX($AD$1005:$AU$1005,1,MATCH(COLUMNS($AD$1006:AH1006),$AD$1006:$AU$1006,0))&gt;=100000), " ",IF(INDEX($AD$2:$AU$1001,MATCH(ROWS($W$2:W635),$W$2:$W$1001,0),MATCH(COLUMNS($AD$1006:AH1006),$AD$1006:$AU$1006,0)), HYPERLINK("#",""), HYPERLINK(CONCATENATE("#metadata!", ADDRESS(INDEX($Y$2:$Y$1001,MATCH(ROWS($W$2:W635),$W$2:$W$1001,0),0), INDEX($AD$1004:$AU$1004,1,MATCH(COLUMNS($AD$1006:AH1006),$AD$1006:$AU$1006,0)))),"Fix")))</f>
        <v xml:space="preserve"> </v>
      </c>
      <c r="G635" s="4" t="str">
        <f ca="1">IF(OR(INDEX($X$2:$X$1001,MATCH(ROWS($W$2:W635),$W$2:$W$1001,0),1)&gt;=100000,INDEX($AD$1005:$AU$1005,1,MATCH(COLUMNS($AD$1006:AI1006),$AD$1006:$AU$1006,0))&gt;=100000), " ",IF(INDEX($AD$2:$AU$1001,MATCH(ROWS($W$2:W635),$W$2:$W$1001,0),MATCH(COLUMNS($AD$1006:AI1006),$AD$1006:$AU$1006,0)), HYPERLINK("#",""), HYPERLINK(CONCATENATE("#metadata!", ADDRESS(INDEX($Y$2:$Y$1001,MATCH(ROWS($W$2:W635),$W$2:$W$1001,0),0), INDEX($AD$1004:$AU$1004,1,MATCH(COLUMNS($AD$1006:AI1006),$AD$1006:$AU$1006,0)))),"Fix")))</f>
        <v xml:space="preserve"> </v>
      </c>
      <c r="H635" s="4" t="str">
        <f ca="1">IF(OR(INDEX($X$2:$X$1001,MATCH(ROWS($W$2:W635),$W$2:$W$1001,0),1)&gt;=100000,INDEX($AD$1005:$AU$1005,1,MATCH(COLUMNS($AD$1006:AJ1006),$AD$1006:$AU$1006,0))&gt;=100000), " ",IF(INDEX($AD$2:$AU$1001,MATCH(ROWS($W$2:W635),$W$2:$W$1001,0),MATCH(COLUMNS($AD$1006:AJ1006),$AD$1006:$AU$1006,0)), HYPERLINK("#",""), HYPERLINK(CONCATENATE("#metadata!", ADDRESS(INDEX($Y$2:$Y$1001,MATCH(ROWS($W$2:W635),$W$2:$W$1001,0),0), INDEX($AD$1004:$AU$1004,1,MATCH(COLUMNS($AD$1006:AJ1006),$AD$1006:$AU$1006,0)))),"Fix")))</f>
        <v xml:space="preserve"> </v>
      </c>
      <c r="I635" s="4" t="str">
        <f ca="1">IF(OR(INDEX($X$2:$X$1001,MATCH(ROWS($W$2:W635),$W$2:$W$1001,0),1)&gt;=100000,INDEX($AD$1005:$AU$1005,1,MATCH(COLUMNS($AD$1006:AK1006),$AD$1006:$AU$1006,0))&gt;=100000), " ",IF(INDEX($AD$2:$AU$1001,MATCH(ROWS($W$2:W635),$W$2:$W$1001,0),MATCH(COLUMNS($AD$1006:AK1006),$AD$1006:$AU$1006,0)), HYPERLINK("#",""), HYPERLINK(CONCATENATE("#metadata!", ADDRESS(INDEX($Y$2:$Y$1001,MATCH(ROWS($W$2:W635),$W$2:$W$1001,0),0), INDEX($AD$1004:$AU$1004,1,MATCH(COLUMNS($AD$1006:AK1006),$AD$1006:$AU$1006,0)))),"Fix")))</f>
        <v xml:space="preserve"> </v>
      </c>
      <c r="J635" s="4" t="str">
        <f ca="1">IF(OR(INDEX($X$2:$X$1001,MATCH(ROWS($W$2:W635),$W$2:$W$1001,0),1)&gt;=100000,INDEX($AD$1005:$AU$1005,1,MATCH(COLUMNS($AD$1006:AL1006),$AD$1006:$AU$1006,0))&gt;=100000), " ",IF(INDEX($AD$2:$AU$1001,MATCH(ROWS($W$2:W635),$W$2:$W$1001,0),MATCH(COLUMNS($AD$1006:AL1006),$AD$1006:$AU$1006,0)), HYPERLINK("#",""), HYPERLINK(CONCATENATE("#metadata!", ADDRESS(INDEX($Y$2:$Y$1001,MATCH(ROWS($W$2:W635),$W$2:$W$1001,0),0), INDEX($AD$1004:$AU$1004,1,MATCH(COLUMNS($AD$1006:AL1006),$AD$1006:$AU$1006,0)))),"Fix")))</f>
        <v xml:space="preserve"> </v>
      </c>
      <c r="K635" s="4" t="str">
        <f ca="1">IF(OR(INDEX($X$2:$X$1001,MATCH(ROWS($W$2:W635),$W$2:$W$1001,0),1)&gt;=100000,INDEX($AD$1005:$AU$1005,1,MATCH(COLUMNS($AD$1006:AM1006),$AD$1006:$AU$1006,0))&gt;=100000), " ",IF(INDEX($AD$2:$AU$1001,MATCH(ROWS($W$2:W635),$W$2:$W$1001,0),MATCH(COLUMNS($AD$1006:AM1006),$AD$1006:$AU$1006,0)), HYPERLINK("#",""), HYPERLINK(CONCATENATE("#metadata!", ADDRESS(INDEX($Y$2:$Y$1001,MATCH(ROWS($W$2:W635),$W$2:$W$1001,0),0), INDEX($AD$1004:$AU$1004,1,MATCH(COLUMNS($AD$1006:AM1006),$AD$1006:$AU$1006,0)))),"Fix")))</f>
        <v xml:space="preserve"> </v>
      </c>
      <c r="L635" s="4" t="str">
        <f ca="1">IF(OR(INDEX($X$2:$X$1001,MATCH(ROWS($W$2:W635),$W$2:$W$1001,0),1)&gt;=100000,INDEX($AD$1005:$AU$1005,1,MATCH(COLUMNS($AD$1006:AN1006),$AD$1006:$AU$1006,0))&gt;=100000), " ",IF(INDEX($AD$2:$AU$1001,MATCH(ROWS($W$2:W635),$W$2:$W$1001,0),MATCH(COLUMNS($AD$1006:AN1006),$AD$1006:$AU$1006,0)), HYPERLINK("#",""), HYPERLINK(CONCATENATE("#metadata!", ADDRESS(INDEX($Y$2:$Y$1001,MATCH(ROWS($W$2:W635),$W$2:$W$1001,0),0), INDEX($AD$1004:$AU$1004,1,MATCH(COLUMNS($AD$1006:AN1006),$AD$1006:$AU$1006,0)))),"Fix")))</f>
        <v xml:space="preserve"> </v>
      </c>
      <c r="M635" s="4" t="str">
        <f ca="1">IF(OR(INDEX($X$2:$X$1001,MATCH(ROWS($W$2:W635),$W$2:$W$1001,0),1)&gt;=100000,INDEX($AD$1005:$AU$1005,1,MATCH(COLUMNS($AD$1006:AO1006),$AD$1006:$AU$1006,0))&gt;=100000), " ",IF(INDEX($AD$2:$AU$1001,MATCH(ROWS($W$2:W635),$W$2:$W$1001,0),MATCH(COLUMNS($AD$1006:AO1006),$AD$1006:$AU$1006,0)), HYPERLINK("#",""), HYPERLINK(CONCATENATE("#metadata!", ADDRESS(INDEX($Y$2:$Y$1001,MATCH(ROWS($W$2:W635),$W$2:$W$1001,0),0), INDEX($AD$1004:$AU$1004,1,MATCH(COLUMNS($AD$1006:AO1006),$AD$1006:$AU$1006,0)))),"Fix")))</f>
        <v xml:space="preserve"> </v>
      </c>
      <c r="N635" s="4" t="str">
        <f ca="1">IF(OR(INDEX($X$2:$X$1001,MATCH(ROWS($W$2:W635),$W$2:$W$1001,0),1)&gt;=100000,INDEX($AD$1005:$AU$1005,1,MATCH(COLUMNS($AD$1006:AP1006),$AD$1006:$AU$1006,0))&gt;=100000), " ",IF(INDEX($AD$2:$AU$1001,MATCH(ROWS($W$2:W635),$W$2:$W$1001,0),MATCH(COLUMNS($AD$1006:AP1006),$AD$1006:$AU$1006,0)), HYPERLINK("#",""), HYPERLINK(CONCATENATE("#metadata!", ADDRESS(INDEX($Y$2:$Y$1001,MATCH(ROWS($W$2:W635),$W$2:$W$1001,0),0), INDEX($AD$1004:$AU$1004,1,MATCH(COLUMNS($AD$1006:AP1006),$AD$1006:$AU$1006,0)))),"Fix")))</f>
        <v xml:space="preserve"> </v>
      </c>
      <c r="O635" s="4" t="str">
        <f ca="1">IF(OR(INDEX($X$2:$X$1001,MATCH(ROWS($W$2:W635),$W$2:$W$1001,0),1)&gt;=100000,INDEX($AD$1005:$AU$1005,1,MATCH(COLUMNS($AD$1006:AQ1006),$AD$1006:$AU$1006,0))&gt;=100000), " ",IF(INDEX($AD$2:$AU$1001,MATCH(ROWS($W$2:W635),$W$2:$W$1001,0),MATCH(COLUMNS($AD$1006:AQ1006),$AD$1006:$AU$1006,0)), HYPERLINK("#",""), HYPERLINK(CONCATENATE("#metadata!", ADDRESS(INDEX($Y$2:$Y$1001,MATCH(ROWS($W$2:W635),$W$2:$W$1001,0),0), INDEX($AD$1004:$AU$1004,1,MATCH(COLUMNS($AD$1006:AQ1006),$AD$1006:$AU$1006,0)))),"Fix")))</f>
        <v xml:space="preserve"> </v>
      </c>
      <c r="P635" s="4" t="str">
        <f ca="1">IF(OR(INDEX($X$2:$X$1001,MATCH(ROWS($W$2:W635),$W$2:$W$1001,0),1)&gt;=100000,INDEX($AD$1005:$AU$1005,1,MATCH(COLUMNS($AD$1006:AR1006),$AD$1006:$AU$1006,0))&gt;=100000), " ",IF(INDEX($AD$2:$AU$1001,MATCH(ROWS($W$2:W635),$W$2:$W$1001,0),MATCH(COLUMNS($AD$1006:AR1006),$AD$1006:$AU$1006,0)), HYPERLINK("#",""), HYPERLINK(CONCATENATE("#metadata!", ADDRESS(INDEX($Y$2:$Y$1001,MATCH(ROWS($W$2:W635),$W$2:$W$1001,0),0), INDEX($AD$1004:$AU$1004,1,MATCH(COLUMNS($AD$1006:AR1006),$AD$1006:$AU$1006,0)))),"Fix")))</f>
        <v xml:space="preserve"> </v>
      </c>
      <c r="Q635" s="4" t="str">
        <f ca="1">IF(OR(INDEX($X$2:$X$1001,MATCH(ROWS($W$2:W635),$W$2:$W$1001,0),1)&gt;=100000,INDEX($AD$1005:$AU$1005,1,MATCH(COLUMNS($AD$1006:AS1006),$AD$1006:$AU$1006,0))&gt;=100000), " ",IF(INDEX($AD$2:$AU$1001,MATCH(ROWS($W$2:W635),$W$2:$W$1001,0),MATCH(COLUMNS($AD$1006:AS1006),$AD$1006:$AU$1006,0)), HYPERLINK("#",""), HYPERLINK(CONCATENATE("#metadata!", ADDRESS(INDEX($Y$2:$Y$1001,MATCH(ROWS($W$2:W635),$W$2:$W$1001,0),0), INDEX($AD$1004:$AU$1004,1,MATCH(COLUMNS($AD$1006:AS1006),$AD$1006:$AU$1006,0)))),"Fix")))</f>
        <v xml:space="preserve"> </v>
      </c>
      <c r="R635" s="4" t="str">
        <f ca="1">IF(OR(INDEX($X$2:$X$1001,MATCH(ROWS($W$2:W635),$W$2:$W$1001,0),1)&gt;=100000,INDEX($AD$1005:$AU$1005,1,MATCH(COLUMNS($AD$1006:AT1006),$AD$1006:$AU$1006,0))&gt;=100000), " ",IF(INDEX($AD$2:$AU$1001,MATCH(ROWS($W$2:W635),$W$2:$W$1001,0),MATCH(COLUMNS($AD$1006:AT1006),$AD$1006:$AU$1006,0)), HYPERLINK("#",""), HYPERLINK(CONCATENATE("#metadata!", ADDRESS(INDEX($Y$2:$Y$1001,MATCH(ROWS($W$2:W635),$W$2:$W$1001,0),0), INDEX($AD$1004:$AU$1004,1,MATCH(COLUMNS($AD$1006:AT1006),$AD$1006:$AU$1006,0)))),"Fix")))</f>
        <v xml:space="preserve"> </v>
      </c>
      <c r="S635" s="4" t="str">
        <f ca="1">IF(OR(INDEX($X$2:$X$1001,MATCH(ROWS($W$2:W635),$W$2:$W$1001,0),1)&gt;=100000,INDEX($AD$1005:$AU$1005,1,MATCH(COLUMNS($AD$1006:AU1006),$AD$1006:$AU$1006,0))&gt;=100000), " ",IF(INDEX($AD$2:$AU$1001,MATCH(ROWS($W$2:W635),$W$2:$W$1001,0),MATCH(COLUMNS($AD$1006:AU1006),$AD$1006:$AU$1006,0)), HYPERLINK("#",""), HYPERLINK(CONCATENATE("#metadata!", ADDRESS(INDEX($Y$2:$Y$1001,MATCH(ROWS($W$2:W635),$W$2:$W$1001,0),0), INDEX($AD$1004:$AU$1004,1,MATCH(COLUMNS($AD$1006:AU1006),$AD$1006:$AU$1006,0)))),"Fix")))</f>
        <v xml:space="preserve"> </v>
      </c>
      <c r="W635">
        <v>634</v>
      </c>
      <c r="X635">
        <v>100635</v>
      </c>
      <c r="Y635">
        <v>635</v>
      </c>
      <c r="Z635" t="b">
        <f t="shared" si="9"/>
        <v>1</v>
      </c>
      <c r="AA635" t="b">
        <f>COUNTBLANK(metadata!B635:S635)=COLUMNS(metadata!B635:S635)</f>
        <v>1</v>
      </c>
      <c r="AB635" t="str">
        <v/>
      </c>
      <c r="AD635" t="b">
        <f ca="1">AND(IF(metadata!B635="",FALSE,TRUE),COUNTIF(metadata!B:B, metadata!B635) = 1,NOT(ISERROR(SUMPRODUCT(SEARCH(MID(metadata!B635,ROW(INDIRECT("1:"&amp;LEN(metadata!B635))), 1),"0123456789abcdefghijklmnopqrstuvwxyzABCDEFGHIJKLMNOPQRSTUVWXYZ.")))))</f>
        <v>0</v>
      </c>
      <c r="AE635" t="b">
        <f>OR(AND(IF(metadata!C635="",FALSE,TRUE),OR(EXACT(metadata!C635,"not applicable"),EXACT(metadata!C635,"missing: not collected"),EXACT(metadata!C635,"missing: not provided"),EXACT(metadata!C635,"missing: restricted access"))),AND(IF(metadata!C635="",FALSE,ISNUMBER(VALUE(metadata!C635))),metadata!C635&gt;0))</f>
        <v>0</v>
      </c>
      <c r="AF635" t="b">
        <f>AND(IF(metadata!D635="",FALSE,TRUE),EXACT(metadata!D635,"missing: not provided"))</f>
        <v>0</v>
      </c>
      <c r="AG635" t="b">
        <f>AND(IF(metadata!E635="",FALSE,TRUE),EXACT(metadata!E635,"Host-associated"))</f>
        <v>0</v>
      </c>
      <c r="AH635" t="b">
        <f>AND(IF(metadata!F635="",FALSE,TRUE),OR(EXACT(metadata!F635,"Animal"),EXACT(metadata!F635,"Fungus"),EXACT(metadata!F635,"Plant")))</f>
        <v>0</v>
      </c>
      <c r="AI635" t="b">
        <f>AND(IF(metadata!G635="",FALSE,TRUE),OR(EXACT(metadata!G635,"Plant secretion"),EXACT(metadata!G635,"Plant rhizosphere"),EXACT(metadata!G635,"Plant surface"),EXACT(metadata!G635,"Plant corpus"),EXACT(metadata!G635,"Fungus surface"),EXACT(metadata!G635,"Fungus corpus"),EXACT(metadata!G635,"Animal surface"),EXACT(metadata!G635,"Animal proximal gut"),EXACT(metadata!G635,"Animal corpus"),EXACT(metadata!G635,"Animal distal gut"),EXACT(metadata!G635,"Animal secretion")))</f>
        <v>0</v>
      </c>
      <c r="AJ635" t="b">
        <f>OR(AND(IF(metadata!H635="",FALSE,TRUE),OR(EXACT(metadata!H635,"missing: not collected"),EXACT(metadata!H635,"missing: not provided"),EXACT(metadata!H635,"missing: restricted access"))),AND(IF(metadata!H635="",FALSE,TRUE),OR(EXACT(metadata!H635,"organism-associated habitat"),EXACT(metadata!H635,"plant-associated habitat"),EXACT(metadata!H635,"animal-associated habitat"),EXACT(metadata!H635,"insecta-associated habitat"),EXACT(metadata!H635,"mammalia-associated habitat"),EXACT(metadata!H635,"human-associated habitat"),EXACT(metadata!H635,"livestock-associated habitat"))))</f>
        <v>0</v>
      </c>
      <c r="AK635" t="b">
        <f>AND(IF(metadata!I635="",FALSE,TRUE),EXACT(metadata!I635,"host-associated"))</f>
        <v>0</v>
      </c>
      <c r="AL635" t="b">
        <f>OR(AND(IF(metadata!J635="",FALSE,TRUE),OR(EXACT(metadata!J635,"not applicable"),EXACT(metadata!J635,"missing: not collected"),EXACT(metadata!J635,"missing: not provided"),EXACT(metadata!J635,"missing: restricted access"))),AND(IF(metadata!J635="",FALSE,ISNUMBER(VALUE(metadata!J635))),metadata!J635&gt;0))</f>
        <v>0</v>
      </c>
      <c r="AM635" t="b">
        <f>AND(IF(metadata!K635="",FALSE,TRUE),EXACT(metadata!K635,"missing: not provided"))</f>
        <v>0</v>
      </c>
      <c r="AN635" t="b">
        <f>IF(metadata!L635="",FALSE,TRUE)</f>
        <v>0</v>
      </c>
      <c r="AO635" t="b">
        <f>IF(metadata!M635="",FALSE,TRUE)</f>
        <v>0</v>
      </c>
      <c r="AP635" t="b">
        <f>OR(AND(IF(metadata!N635="",FALSE,TRUE),OR(EXACT(metadata!N635,"not applicable"),EXACT(metadata!N635,"missing: not collected"),EXACT(metadata!N635,"missing: not provided"))),AND(IF(metadata!N635="",FALSE,IF(ISERROR(INT(metadata!N635)),FALSE,INT(metadata!N635)=metadata!N635)),metadata!N635&gt;0))</f>
        <v>0</v>
      </c>
      <c r="AQ635" t="b">
        <f>AND(IF(metadata!O635="",FALSE,TRUE),EXACT(metadata!O635,"Not applicable"))</f>
        <v>0</v>
      </c>
      <c r="AR635" t="b">
        <f>OR(AND(IF(metadata!P635="",FALSE,TRUE),OR(EXACT(metadata!P635,"not applicable"),EXACT(metadata!P635,"missing: not collected"),EXACT(metadata!P635,"missing: not provided"),EXACT(metadata!P635,"missing: restricted access"))),IF(metadata!P635="",FALSE,IF(ISERROR(INT(metadata!P635)),FALSE,INT(metadata!P635)=metadata!P635)))</f>
        <v>0</v>
      </c>
      <c r="AS635" t="b">
        <f>AND(IF(metadata!Q635="",FALSE,TRUE),EXACT(metadata!Q635,"Not applicable"))</f>
        <v>0</v>
      </c>
      <c r="AT635" t="b">
        <f>OR(AND(IF(metadata!R635="",FALSE,TRUE),OR(EXACT(metadata!R635,"not applicable"),EXACT(metadata!R635,"missing: not collected"),EXACT(metadata!R635,"missing: not provided"),EXACT(metadata!R635,"missing: restricted access"))),AND(IF(metadata!R635="",FALSE,ISNUMBER(VALUE(metadata!R635))),metadata!R635&gt;0))</f>
        <v>0</v>
      </c>
      <c r="AU635" t="b">
        <f>AND(IF(metadata!S635="",FALSE,TRUE),EXACT(metadata!S635,"missing: not provided"))</f>
        <v>0</v>
      </c>
    </row>
    <row r="636" spans="1:47" x14ac:dyDescent="0.2">
      <c r="A636" s="5" t="str">
        <f ca="1">IF(B636=" "," ",HYPERLINK(CONCATENATE("#metadata!",ADDRESS(INDEX($Y$2:$Y$1001,MATCH(ROWS($W$2:W636),$W$2:$W$1001,0),0),1)),INDEX($AB$2:$AB$1001,MATCH(ROWS($W$2:W636),$W$2:$W$1001,0),0)))</f>
        <v xml:space="preserve"> </v>
      </c>
      <c r="B636" s="4" t="str">
        <f ca="1">IF(OR(INDEX($X$2:$X$1001,MATCH(ROWS($W$2:W636),$W$2:$W$1001,0),1)&gt;=100000,INDEX($AD$1005:$AU$1005,1,MATCH(COLUMNS($AD$1006:AD1006),$AD$1006:$AU$1006,0))&gt;=100000), " ",IF(INDEX($AD$2:$AU$1001,MATCH(ROWS($W$2:W636),$W$2:$W$1001,0),MATCH(COLUMNS($AD$1006:AD1006),$AD$1006:$AU$1006,0)), HYPERLINK("#",""), HYPERLINK(CONCATENATE("#metadata!", ADDRESS(INDEX($Y$2:$Y$1001,MATCH(ROWS($W$2:W636),$W$2:$W$1001,0),0), INDEX($AD$1004:$AU$1004,1,MATCH(COLUMNS($AD$1006:AD1006),$AD$1006:$AU$1006,0)))),"Fix")))</f>
        <v xml:space="preserve"> </v>
      </c>
      <c r="C636" s="4" t="str">
        <f ca="1">IF(OR(INDEX($X$2:$X$1001,MATCH(ROWS($W$2:W636),$W$2:$W$1001,0),1)&gt;=100000,INDEX($AD$1005:$AU$1005,1,MATCH(COLUMNS($AD$1006:AE1006),$AD$1006:$AU$1006,0))&gt;=100000), " ",IF(INDEX($AD$2:$AU$1001,MATCH(ROWS($W$2:W636),$W$2:$W$1001,0),MATCH(COLUMNS($AD$1006:AE1006),$AD$1006:$AU$1006,0)), HYPERLINK("#",""), HYPERLINK(CONCATENATE("#metadata!", ADDRESS(INDEX($Y$2:$Y$1001,MATCH(ROWS($W$2:W636),$W$2:$W$1001,0),0), INDEX($AD$1004:$AU$1004,1,MATCH(COLUMNS($AD$1006:AE1006),$AD$1006:$AU$1006,0)))),"Fix")))</f>
        <v xml:space="preserve"> </v>
      </c>
      <c r="D636" s="4" t="str">
        <f ca="1">IF(OR(INDEX($X$2:$X$1001,MATCH(ROWS($W$2:W636),$W$2:$W$1001,0),1)&gt;=100000,INDEX($AD$1005:$AU$1005,1,MATCH(COLUMNS($AD$1006:AF1006),$AD$1006:$AU$1006,0))&gt;=100000), " ",IF(INDEX($AD$2:$AU$1001,MATCH(ROWS($W$2:W636),$W$2:$W$1001,0),MATCH(COLUMNS($AD$1006:AF1006),$AD$1006:$AU$1006,0)), HYPERLINK("#",""), HYPERLINK(CONCATENATE("#metadata!", ADDRESS(INDEX($Y$2:$Y$1001,MATCH(ROWS($W$2:W636),$W$2:$W$1001,0),0), INDEX($AD$1004:$AU$1004,1,MATCH(COLUMNS($AD$1006:AF1006),$AD$1006:$AU$1006,0)))),"Fix")))</f>
        <v xml:space="preserve"> </v>
      </c>
      <c r="E636" s="4" t="str">
        <f ca="1">IF(OR(INDEX($X$2:$X$1001,MATCH(ROWS($W$2:W636),$W$2:$W$1001,0),1)&gt;=100000,INDEX($AD$1005:$AU$1005,1,MATCH(COLUMNS($AD$1006:AG1006),$AD$1006:$AU$1006,0))&gt;=100000), " ",IF(INDEX($AD$2:$AU$1001,MATCH(ROWS($W$2:W636),$W$2:$W$1001,0),MATCH(COLUMNS($AD$1006:AG1006),$AD$1006:$AU$1006,0)), HYPERLINK("#",""), HYPERLINK(CONCATENATE("#metadata!", ADDRESS(INDEX($Y$2:$Y$1001,MATCH(ROWS($W$2:W636),$W$2:$W$1001,0),0), INDEX($AD$1004:$AU$1004,1,MATCH(COLUMNS($AD$1006:AG1006),$AD$1006:$AU$1006,0)))),"Fix")))</f>
        <v xml:space="preserve"> </v>
      </c>
      <c r="F636" s="4" t="str">
        <f ca="1">IF(OR(INDEX($X$2:$X$1001,MATCH(ROWS($W$2:W636),$W$2:$W$1001,0),1)&gt;=100000,INDEX($AD$1005:$AU$1005,1,MATCH(COLUMNS($AD$1006:AH1006),$AD$1006:$AU$1006,0))&gt;=100000), " ",IF(INDEX($AD$2:$AU$1001,MATCH(ROWS($W$2:W636),$W$2:$W$1001,0),MATCH(COLUMNS($AD$1006:AH1006),$AD$1006:$AU$1006,0)), HYPERLINK("#",""), HYPERLINK(CONCATENATE("#metadata!", ADDRESS(INDEX($Y$2:$Y$1001,MATCH(ROWS($W$2:W636),$W$2:$W$1001,0),0), INDEX($AD$1004:$AU$1004,1,MATCH(COLUMNS($AD$1006:AH1006),$AD$1006:$AU$1006,0)))),"Fix")))</f>
        <v xml:space="preserve"> </v>
      </c>
      <c r="G636" s="4" t="str">
        <f ca="1">IF(OR(INDEX($X$2:$X$1001,MATCH(ROWS($W$2:W636),$W$2:$W$1001,0),1)&gt;=100000,INDEX($AD$1005:$AU$1005,1,MATCH(COLUMNS($AD$1006:AI1006),$AD$1006:$AU$1006,0))&gt;=100000), " ",IF(INDEX($AD$2:$AU$1001,MATCH(ROWS($W$2:W636),$W$2:$W$1001,0),MATCH(COLUMNS($AD$1006:AI1006),$AD$1006:$AU$1006,0)), HYPERLINK("#",""), HYPERLINK(CONCATENATE("#metadata!", ADDRESS(INDEX($Y$2:$Y$1001,MATCH(ROWS($W$2:W636),$W$2:$W$1001,0),0), INDEX($AD$1004:$AU$1004,1,MATCH(COLUMNS($AD$1006:AI1006),$AD$1006:$AU$1006,0)))),"Fix")))</f>
        <v xml:space="preserve"> </v>
      </c>
      <c r="H636" s="4" t="str">
        <f ca="1">IF(OR(INDEX($X$2:$X$1001,MATCH(ROWS($W$2:W636),$W$2:$W$1001,0),1)&gt;=100000,INDEX($AD$1005:$AU$1005,1,MATCH(COLUMNS($AD$1006:AJ1006),$AD$1006:$AU$1006,0))&gt;=100000), " ",IF(INDEX($AD$2:$AU$1001,MATCH(ROWS($W$2:W636),$W$2:$W$1001,0),MATCH(COLUMNS($AD$1006:AJ1006),$AD$1006:$AU$1006,0)), HYPERLINK("#",""), HYPERLINK(CONCATENATE("#metadata!", ADDRESS(INDEX($Y$2:$Y$1001,MATCH(ROWS($W$2:W636),$W$2:$W$1001,0),0), INDEX($AD$1004:$AU$1004,1,MATCH(COLUMNS($AD$1006:AJ1006),$AD$1006:$AU$1006,0)))),"Fix")))</f>
        <v xml:space="preserve"> </v>
      </c>
      <c r="I636" s="4" t="str">
        <f ca="1">IF(OR(INDEX($X$2:$X$1001,MATCH(ROWS($W$2:W636),$W$2:$W$1001,0),1)&gt;=100000,INDEX($AD$1005:$AU$1005,1,MATCH(COLUMNS($AD$1006:AK1006),$AD$1006:$AU$1006,0))&gt;=100000), " ",IF(INDEX($AD$2:$AU$1001,MATCH(ROWS($W$2:W636),$W$2:$W$1001,0),MATCH(COLUMNS($AD$1006:AK1006),$AD$1006:$AU$1006,0)), HYPERLINK("#",""), HYPERLINK(CONCATENATE("#metadata!", ADDRESS(INDEX($Y$2:$Y$1001,MATCH(ROWS($W$2:W636),$W$2:$W$1001,0),0), INDEX($AD$1004:$AU$1004,1,MATCH(COLUMNS($AD$1006:AK1006),$AD$1006:$AU$1006,0)))),"Fix")))</f>
        <v xml:space="preserve"> </v>
      </c>
      <c r="J636" s="4" t="str">
        <f ca="1">IF(OR(INDEX($X$2:$X$1001,MATCH(ROWS($W$2:W636),$W$2:$W$1001,0),1)&gt;=100000,INDEX($AD$1005:$AU$1005,1,MATCH(COLUMNS($AD$1006:AL1006),$AD$1006:$AU$1006,0))&gt;=100000), " ",IF(INDEX($AD$2:$AU$1001,MATCH(ROWS($W$2:W636),$W$2:$W$1001,0),MATCH(COLUMNS($AD$1006:AL1006),$AD$1006:$AU$1006,0)), HYPERLINK("#",""), HYPERLINK(CONCATENATE("#metadata!", ADDRESS(INDEX($Y$2:$Y$1001,MATCH(ROWS($W$2:W636),$W$2:$W$1001,0),0), INDEX($AD$1004:$AU$1004,1,MATCH(COLUMNS($AD$1006:AL1006),$AD$1006:$AU$1006,0)))),"Fix")))</f>
        <v xml:space="preserve"> </v>
      </c>
      <c r="K636" s="4" t="str">
        <f ca="1">IF(OR(INDEX($X$2:$X$1001,MATCH(ROWS($W$2:W636),$W$2:$W$1001,0),1)&gt;=100000,INDEX($AD$1005:$AU$1005,1,MATCH(COLUMNS($AD$1006:AM1006),$AD$1006:$AU$1006,0))&gt;=100000), " ",IF(INDEX($AD$2:$AU$1001,MATCH(ROWS($W$2:W636),$W$2:$W$1001,0),MATCH(COLUMNS($AD$1006:AM1006),$AD$1006:$AU$1006,0)), HYPERLINK("#",""), HYPERLINK(CONCATENATE("#metadata!", ADDRESS(INDEX($Y$2:$Y$1001,MATCH(ROWS($W$2:W636),$W$2:$W$1001,0),0), INDEX($AD$1004:$AU$1004,1,MATCH(COLUMNS($AD$1006:AM1006),$AD$1006:$AU$1006,0)))),"Fix")))</f>
        <v xml:space="preserve"> </v>
      </c>
      <c r="L636" s="4" t="str">
        <f ca="1">IF(OR(INDEX($X$2:$X$1001,MATCH(ROWS($W$2:W636),$W$2:$W$1001,0),1)&gt;=100000,INDEX($AD$1005:$AU$1005,1,MATCH(COLUMNS($AD$1006:AN1006),$AD$1006:$AU$1006,0))&gt;=100000), " ",IF(INDEX($AD$2:$AU$1001,MATCH(ROWS($W$2:W636),$W$2:$W$1001,0),MATCH(COLUMNS($AD$1006:AN1006),$AD$1006:$AU$1006,0)), HYPERLINK("#",""), HYPERLINK(CONCATENATE("#metadata!", ADDRESS(INDEX($Y$2:$Y$1001,MATCH(ROWS($W$2:W636),$W$2:$W$1001,0),0), INDEX($AD$1004:$AU$1004,1,MATCH(COLUMNS($AD$1006:AN1006),$AD$1006:$AU$1006,0)))),"Fix")))</f>
        <v xml:space="preserve"> </v>
      </c>
      <c r="M636" s="4" t="str">
        <f ca="1">IF(OR(INDEX($X$2:$X$1001,MATCH(ROWS($W$2:W636),$W$2:$W$1001,0),1)&gt;=100000,INDEX($AD$1005:$AU$1005,1,MATCH(COLUMNS($AD$1006:AO1006),$AD$1006:$AU$1006,0))&gt;=100000), " ",IF(INDEX($AD$2:$AU$1001,MATCH(ROWS($W$2:W636),$W$2:$W$1001,0),MATCH(COLUMNS($AD$1006:AO1006),$AD$1006:$AU$1006,0)), HYPERLINK("#",""), HYPERLINK(CONCATENATE("#metadata!", ADDRESS(INDEX($Y$2:$Y$1001,MATCH(ROWS($W$2:W636),$W$2:$W$1001,0),0), INDEX($AD$1004:$AU$1004,1,MATCH(COLUMNS($AD$1006:AO1006),$AD$1006:$AU$1006,0)))),"Fix")))</f>
        <v xml:space="preserve"> </v>
      </c>
      <c r="N636" s="4" t="str">
        <f ca="1">IF(OR(INDEX($X$2:$X$1001,MATCH(ROWS($W$2:W636),$W$2:$W$1001,0),1)&gt;=100000,INDEX($AD$1005:$AU$1005,1,MATCH(COLUMNS($AD$1006:AP1006),$AD$1006:$AU$1006,0))&gt;=100000), " ",IF(INDEX($AD$2:$AU$1001,MATCH(ROWS($W$2:W636),$W$2:$W$1001,0),MATCH(COLUMNS($AD$1006:AP1006),$AD$1006:$AU$1006,0)), HYPERLINK("#",""), HYPERLINK(CONCATENATE("#metadata!", ADDRESS(INDEX($Y$2:$Y$1001,MATCH(ROWS($W$2:W636),$W$2:$W$1001,0),0), INDEX($AD$1004:$AU$1004,1,MATCH(COLUMNS($AD$1006:AP1006),$AD$1006:$AU$1006,0)))),"Fix")))</f>
        <v xml:space="preserve"> </v>
      </c>
      <c r="O636" s="4" t="str">
        <f ca="1">IF(OR(INDEX($X$2:$X$1001,MATCH(ROWS($W$2:W636),$W$2:$W$1001,0),1)&gt;=100000,INDEX($AD$1005:$AU$1005,1,MATCH(COLUMNS($AD$1006:AQ1006),$AD$1006:$AU$1006,0))&gt;=100000), " ",IF(INDEX($AD$2:$AU$1001,MATCH(ROWS($W$2:W636),$W$2:$W$1001,0),MATCH(COLUMNS($AD$1006:AQ1006),$AD$1006:$AU$1006,0)), HYPERLINK("#",""), HYPERLINK(CONCATENATE("#metadata!", ADDRESS(INDEX($Y$2:$Y$1001,MATCH(ROWS($W$2:W636),$W$2:$W$1001,0),0), INDEX($AD$1004:$AU$1004,1,MATCH(COLUMNS($AD$1006:AQ1006),$AD$1006:$AU$1006,0)))),"Fix")))</f>
        <v xml:space="preserve"> </v>
      </c>
      <c r="P636" s="4" t="str">
        <f ca="1">IF(OR(INDEX($X$2:$X$1001,MATCH(ROWS($W$2:W636),$W$2:$W$1001,0),1)&gt;=100000,INDEX($AD$1005:$AU$1005,1,MATCH(COLUMNS($AD$1006:AR1006),$AD$1006:$AU$1006,0))&gt;=100000), " ",IF(INDEX($AD$2:$AU$1001,MATCH(ROWS($W$2:W636),$W$2:$W$1001,0),MATCH(COLUMNS($AD$1006:AR1006),$AD$1006:$AU$1006,0)), HYPERLINK("#",""), HYPERLINK(CONCATENATE("#metadata!", ADDRESS(INDEX($Y$2:$Y$1001,MATCH(ROWS($W$2:W636),$W$2:$W$1001,0),0), INDEX($AD$1004:$AU$1004,1,MATCH(COLUMNS($AD$1006:AR1006),$AD$1006:$AU$1006,0)))),"Fix")))</f>
        <v xml:space="preserve"> </v>
      </c>
      <c r="Q636" s="4" t="str">
        <f ca="1">IF(OR(INDEX($X$2:$X$1001,MATCH(ROWS($W$2:W636),$W$2:$W$1001,0),1)&gt;=100000,INDEX($AD$1005:$AU$1005,1,MATCH(COLUMNS($AD$1006:AS1006),$AD$1006:$AU$1006,0))&gt;=100000), " ",IF(INDEX($AD$2:$AU$1001,MATCH(ROWS($W$2:W636),$W$2:$W$1001,0),MATCH(COLUMNS($AD$1006:AS1006),$AD$1006:$AU$1006,0)), HYPERLINK("#",""), HYPERLINK(CONCATENATE("#metadata!", ADDRESS(INDEX($Y$2:$Y$1001,MATCH(ROWS($W$2:W636),$W$2:$W$1001,0),0), INDEX($AD$1004:$AU$1004,1,MATCH(COLUMNS($AD$1006:AS1006),$AD$1006:$AU$1006,0)))),"Fix")))</f>
        <v xml:space="preserve"> </v>
      </c>
      <c r="R636" s="4" t="str">
        <f ca="1">IF(OR(INDEX($X$2:$X$1001,MATCH(ROWS($W$2:W636),$W$2:$W$1001,0),1)&gt;=100000,INDEX($AD$1005:$AU$1005,1,MATCH(COLUMNS($AD$1006:AT1006),$AD$1006:$AU$1006,0))&gt;=100000), " ",IF(INDEX($AD$2:$AU$1001,MATCH(ROWS($W$2:W636),$W$2:$W$1001,0),MATCH(COLUMNS($AD$1006:AT1006),$AD$1006:$AU$1006,0)), HYPERLINK("#",""), HYPERLINK(CONCATENATE("#metadata!", ADDRESS(INDEX($Y$2:$Y$1001,MATCH(ROWS($W$2:W636),$W$2:$W$1001,0),0), INDEX($AD$1004:$AU$1004,1,MATCH(COLUMNS($AD$1006:AT1006),$AD$1006:$AU$1006,0)))),"Fix")))</f>
        <v xml:space="preserve"> </v>
      </c>
      <c r="S636" s="4" t="str">
        <f ca="1">IF(OR(INDEX($X$2:$X$1001,MATCH(ROWS($W$2:W636),$W$2:$W$1001,0),1)&gt;=100000,INDEX($AD$1005:$AU$1005,1,MATCH(COLUMNS($AD$1006:AU1006),$AD$1006:$AU$1006,0))&gt;=100000), " ",IF(INDEX($AD$2:$AU$1001,MATCH(ROWS($W$2:W636),$W$2:$W$1001,0),MATCH(COLUMNS($AD$1006:AU1006),$AD$1006:$AU$1006,0)), HYPERLINK("#",""), HYPERLINK(CONCATENATE("#metadata!", ADDRESS(INDEX($Y$2:$Y$1001,MATCH(ROWS($W$2:W636),$W$2:$W$1001,0),0), INDEX($AD$1004:$AU$1004,1,MATCH(COLUMNS($AD$1006:AU1006),$AD$1006:$AU$1006,0)))),"Fix")))</f>
        <v xml:space="preserve"> </v>
      </c>
      <c r="W636">
        <v>635</v>
      </c>
      <c r="X636">
        <v>100636</v>
      </c>
      <c r="Y636">
        <v>636</v>
      </c>
      <c r="Z636" t="b">
        <f t="shared" si="9"/>
        <v>1</v>
      </c>
      <c r="AA636" t="b">
        <f>COUNTBLANK(metadata!B636:S636)=COLUMNS(metadata!B636:S636)</f>
        <v>1</v>
      </c>
      <c r="AB636" t="str">
        <v/>
      </c>
      <c r="AD636" t="b">
        <f ca="1">AND(IF(metadata!B636="",FALSE,TRUE),COUNTIF(metadata!B:B, metadata!B636) = 1,NOT(ISERROR(SUMPRODUCT(SEARCH(MID(metadata!B636,ROW(INDIRECT("1:"&amp;LEN(metadata!B636))), 1),"0123456789abcdefghijklmnopqrstuvwxyzABCDEFGHIJKLMNOPQRSTUVWXYZ.")))))</f>
        <v>0</v>
      </c>
      <c r="AE636" t="b">
        <f>OR(AND(IF(metadata!C636="",FALSE,TRUE),OR(EXACT(metadata!C636,"not applicable"),EXACT(metadata!C636,"missing: not collected"),EXACT(metadata!C636,"missing: not provided"),EXACT(metadata!C636,"missing: restricted access"))),AND(IF(metadata!C636="",FALSE,ISNUMBER(VALUE(metadata!C636))),metadata!C636&gt;0))</f>
        <v>0</v>
      </c>
      <c r="AF636" t="b">
        <f>AND(IF(metadata!D636="",FALSE,TRUE),EXACT(metadata!D636,"missing: not provided"))</f>
        <v>0</v>
      </c>
      <c r="AG636" t="b">
        <f>AND(IF(metadata!E636="",FALSE,TRUE),EXACT(metadata!E636,"Host-associated"))</f>
        <v>0</v>
      </c>
      <c r="AH636" t="b">
        <f>AND(IF(metadata!F636="",FALSE,TRUE),OR(EXACT(metadata!F636,"Animal"),EXACT(metadata!F636,"Fungus"),EXACT(metadata!F636,"Plant")))</f>
        <v>0</v>
      </c>
      <c r="AI636" t="b">
        <f>AND(IF(metadata!G636="",FALSE,TRUE),OR(EXACT(metadata!G636,"Plant secretion"),EXACT(metadata!G636,"Plant rhizosphere"),EXACT(metadata!G636,"Plant surface"),EXACT(metadata!G636,"Plant corpus"),EXACT(metadata!G636,"Fungus surface"),EXACT(metadata!G636,"Fungus corpus"),EXACT(metadata!G636,"Animal surface"),EXACT(metadata!G636,"Animal proximal gut"),EXACT(metadata!G636,"Animal corpus"),EXACT(metadata!G636,"Animal distal gut"),EXACT(metadata!G636,"Animal secretion")))</f>
        <v>0</v>
      </c>
      <c r="AJ636" t="b">
        <f>OR(AND(IF(metadata!H636="",FALSE,TRUE),OR(EXACT(metadata!H636,"missing: not collected"),EXACT(metadata!H636,"missing: not provided"),EXACT(metadata!H636,"missing: restricted access"))),AND(IF(metadata!H636="",FALSE,TRUE),OR(EXACT(metadata!H636,"organism-associated habitat"),EXACT(metadata!H636,"plant-associated habitat"),EXACT(metadata!H636,"animal-associated habitat"),EXACT(metadata!H636,"insecta-associated habitat"),EXACT(metadata!H636,"mammalia-associated habitat"),EXACT(metadata!H636,"human-associated habitat"),EXACT(metadata!H636,"livestock-associated habitat"))))</f>
        <v>0</v>
      </c>
      <c r="AK636" t="b">
        <f>AND(IF(metadata!I636="",FALSE,TRUE),EXACT(metadata!I636,"host-associated"))</f>
        <v>0</v>
      </c>
      <c r="AL636" t="b">
        <f>OR(AND(IF(metadata!J636="",FALSE,TRUE),OR(EXACT(metadata!J636,"not applicable"),EXACT(metadata!J636,"missing: not collected"),EXACT(metadata!J636,"missing: not provided"),EXACT(metadata!J636,"missing: restricted access"))),AND(IF(metadata!J636="",FALSE,ISNUMBER(VALUE(metadata!J636))),metadata!J636&gt;0))</f>
        <v>0</v>
      </c>
      <c r="AM636" t="b">
        <f>AND(IF(metadata!K636="",FALSE,TRUE),EXACT(metadata!K636,"missing: not provided"))</f>
        <v>0</v>
      </c>
      <c r="AN636" t="b">
        <f>IF(metadata!L636="",FALSE,TRUE)</f>
        <v>0</v>
      </c>
      <c r="AO636" t="b">
        <f>IF(metadata!M636="",FALSE,TRUE)</f>
        <v>0</v>
      </c>
      <c r="AP636" t="b">
        <f>OR(AND(IF(metadata!N636="",FALSE,TRUE),OR(EXACT(metadata!N636,"not applicable"),EXACT(metadata!N636,"missing: not collected"),EXACT(metadata!N636,"missing: not provided"))),AND(IF(metadata!N636="",FALSE,IF(ISERROR(INT(metadata!N636)),FALSE,INT(metadata!N636)=metadata!N636)),metadata!N636&gt;0))</f>
        <v>0</v>
      </c>
      <c r="AQ636" t="b">
        <f>AND(IF(metadata!O636="",FALSE,TRUE),EXACT(metadata!O636,"Not applicable"))</f>
        <v>0</v>
      </c>
      <c r="AR636" t="b">
        <f>OR(AND(IF(metadata!P636="",FALSE,TRUE),OR(EXACT(metadata!P636,"not applicable"),EXACT(metadata!P636,"missing: not collected"),EXACT(metadata!P636,"missing: not provided"),EXACT(metadata!P636,"missing: restricted access"))),IF(metadata!P636="",FALSE,IF(ISERROR(INT(metadata!P636)),FALSE,INT(metadata!P636)=metadata!P636)))</f>
        <v>0</v>
      </c>
      <c r="AS636" t="b">
        <f>AND(IF(metadata!Q636="",FALSE,TRUE),EXACT(metadata!Q636,"Not applicable"))</f>
        <v>0</v>
      </c>
      <c r="AT636" t="b">
        <f>OR(AND(IF(metadata!R636="",FALSE,TRUE),OR(EXACT(metadata!R636,"not applicable"),EXACT(metadata!R636,"missing: not collected"),EXACT(metadata!R636,"missing: not provided"),EXACT(metadata!R636,"missing: restricted access"))),AND(IF(metadata!R636="",FALSE,ISNUMBER(VALUE(metadata!R636))),metadata!R636&gt;0))</f>
        <v>0</v>
      </c>
      <c r="AU636" t="b">
        <f>AND(IF(metadata!S636="",FALSE,TRUE),EXACT(metadata!S636,"missing: not provided"))</f>
        <v>0</v>
      </c>
    </row>
    <row r="637" spans="1:47" x14ac:dyDescent="0.2">
      <c r="A637" s="5" t="str">
        <f ca="1">IF(B637=" "," ",HYPERLINK(CONCATENATE("#metadata!",ADDRESS(INDEX($Y$2:$Y$1001,MATCH(ROWS($W$2:W637),$W$2:$W$1001,0),0),1)),INDEX($AB$2:$AB$1001,MATCH(ROWS($W$2:W637),$W$2:$W$1001,0),0)))</f>
        <v xml:space="preserve"> </v>
      </c>
      <c r="B637" s="4" t="str">
        <f ca="1">IF(OR(INDEX($X$2:$X$1001,MATCH(ROWS($W$2:W637),$W$2:$W$1001,0),1)&gt;=100000,INDEX($AD$1005:$AU$1005,1,MATCH(COLUMNS($AD$1006:AD1006),$AD$1006:$AU$1006,0))&gt;=100000), " ",IF(INDEX($AD$2:$AU$1001,MATCH(ROWS($W$2:W637),$W$2:$W$1001,0),MATCH(COLUMNS($AD$1006:AD1006),$AD$1006:$AU$1006,0)), HYPERLINK("#",""), HYPERLINK(CONCATENATE("#metadata!", ADDRESS(INDEX($Y$2:$Y$1001,MATCH(ROWS($W$2:W637),$W$2:$W$1001,0),0), INDEX($AD$1004:$AU$1004,1,MATCH(COLUMNS($AD$1006:AD1006),$AD$1006:$AU$1006,0)))),"Fix")))</f>
        <v xml:space="preserve"> </v>
      </c>
      <c r="C637" s="4" t="str">
        <f ca="1">IF(OR(INDEX($X$2:$X$1001,MATCH(ROWS($W$2:W637),$W$2:$W$1001,0),1)&gt;=100000,INDEX($AD$1005:$AU$1005,1,MATCH(COLUMNS($AD$1006:AE1006),$AD$1006:$AU$1006,0))&gt;=100000), " ",IF(INDEX($AD$2:$AU$1001,MATCH(ROWS($W$2:W637),$W$2:$W$1001,0),MATCH(COLUMNS($AD$1006:AE1006),$AD$1006:$AU$1006,0)), HYPERLINK("#",""), HYPERLINK(CONCATENATE("#metadata!", ADDRESS(INDEX($Y$2:$Y$1001,MATCH(ROWS($W$2:W637),$W$2:$W$1001,0),0), INDEX($AD$1004:$AU$1004,1,MATCH(COLUMNS($AD$1006:AE1006),$AD$1006:$AU$1006,0)))),"Fix")))</f>
        <v xml:space="preserve"> </v>
      </c>
      <c r="D637" s="4" t="str">
        <f ca="1">IF(OR(INDEX($X$2:$X$1001,MATCH(ROWS($W$2:W637),$W$2:$W$1001,0),1)&gt;=100000,INDEX($AD$1005:$AU$1005,1,MATCH(COLUMNS($AD$1006:AF1006),$AD$1006:$AU$1006,0))&gt;=100000), " ",IF(INDEX($AD$2:$AU$1001,MATCH(ROWS($W$2:W637),$W$2:$W$1001,0),MATCH(COLUMNS($AD$1006:AF1006),$AD$1006:$AU$1006,0)), HYPERLINK("#",""), HYPERLINK(CONCATENATE("#metadata!", ADDRESS(INDEX($Y$2:$Y$1001,MATCH(ROWS($W$2:W637),$W$2:$W$1001,0),0), INDEX($AD$1004:$AU$1004,1,MATCH(COLUMNS($AD$1006:AF1006),$AD$1006:$AU$1006,0)))),"Fix")))</f>
        <v xml:space="preserve"> </v>
      </c>
      <c r="E637" s="4" t="str">
        <f ca="1">IF(OR(INDEX($X$2:$X$1001,MATCH(ROWS($W$2:W637),$W$2:$W$1001,0),1)&gt;=100000,INDEX($AD$1005:$AU$1005,1,MATCH(COLUMNS($AD$1006:AG1006),$AD$1006:$AU$1006,0))&gt;=100000), " ",IF(INDEX($AD$2:$AU$1001,MATCH(ROWS($W$2:W637),$W$2:$W$1001,0),MATCH(COLUMNS($AD$1006:AG1006),$AD$1006:$AU$1006,0)), HYPERLINK("#",""), HYPERLINK(CONCATENATE("#metadata!", ADDRESS(INDEX($Y$2:$Y$1001,MATCH(ROWS($W$2:W637),$W$2:$W$1001,0),0), INDEX($AD$1004:$AU$1004,1,MATCH(COLUMNS($AD$1006:AG1006),$AD$1006:$AU$1006,0)))),"Fix")))</f>
        <v xml:space="preserve"> </v>
      </c>
      <c r="F637" s="4" t="str">
        <f ca="1">IF(OR(INDEX($X$2:$X$1001,MATCH(ROWS($W$2:W637),$W$2:$W$1001,0),1)&gt;=100000,INDEX($AD$1005:$AU$1005,1,MATCH(COLUMNS($AD$1006:AH1006),$AD$1006:$AU$1006,0))&gt;=100000), " ",IF(INDEX($AD$2:$AU$1001,MATCH(ROWS($W$2:W637),$W$2:$W$1001,0),MATCH(COLUMNS($AD$1006:AH1006),$AD$1006:$AU$1006,0)), HYPERLINK("#",""), HYPERLINK(CONCATENATE("#metadata!", ADDRESS(INDEX($Y$2:$Y$1001,MATCH(ROWS($W$2:W637),$W$2:$W$1001,0),0), INDEX($AD$1004:$AU$1004,1,MATCH(COLUMNS($AD$1006:AH1006),$AD$1006:$AU$1006,0)))),"Fix")))</f>
        <v xml:space="preserve"> </v>
      </c>
      <c r="G637" s="4" t="str">
        <f ca="1">IF(OR(INDEX($X$2:$X$1001,MATCH(ROWS($W$2:W637),$W$2:$W$1001,0),1)&gt;=100000,INDEX($AD$1005:$AU$1005,1,MATCH(COLUMNS($AD$1006:AI1006),$AD$1006:$AU$1006,0))&gt;=100000), " ",IF(INDEX($AD$2:$AU$1001,MATCH(ROWS($W$2:W637),$W$2:$W$1001,0),MATCH(COLUMNS($AD$1006:AI1006),$AD$1006:$AU$1006,0)), HYPERLINK("#",""), HYPERLINK(CONCATENATE("#metadata!", ADDRESS(INDEX($Y$2:$Y$1001,MATCH(ROWS($W$2:W637),$W$2:$W$1001,0),0), INDEX($AD$1004:$AU$1004,1,MATCH(COLUMNS($AD$1006:AI1006),$AD$1006:$AU$1006,0)))),"Fix")))</f>
        <v xml:space="preserve"> </v>
      </c>
      <c r="H637" s="4" t="str">
        <f ca="1">IF(OR(INDEX($X$2:$X$1001,MATCH(ROWS($W$2:W637),$W$2:$W$1001,0),1)&gt;=100000,INDEX($AD$1005:$AU$1005,1,MATCH(COLUMNS($AD$1006:AJ1006),$AD$1006:$AU$1006,0))&gt;=100000), " ",IF(INDEX($AD$2:$AU$1001,MATCH(ROWS($W$2:W637),$W$2:$W$1001,0),MATCH(COLUMNS($AD$1006:AJ1006),$AD$1006:$AU$1006,0)), HYPERLINK("#",""), HYPERLINK(CONCATENATE("#metadata!", ADDRESS(INDEX($Y$2:$Y$1001,MATCH(ROWS($W$2:W637),$W$2:$W$1001,0),0), INDEX($AD$1004:$AU$1004,1,MATCH(COLUMNS($AD$1006:AJ1006),$AD$1006:$AU$1006,0)))),"Fix")))</f>
        <v xml:space="preserve"> </v>
      </c>
      <c r="I637" s="4" t="str">
        <f ca="1">IF(OR(INDEX($X$2:$X$1001,MATCH(ROWS($W$2:W637),$W$2:$W$1001,0),1)&gt;=100000,INDEX($AD$1005:$AU$1005,1,MATCH(COLUMNS($AD$1006:AK1006),$AD$1006:$AU$1006,0))&gt;=100000), " ",IF(INDEX($AD$2:$AU$1001,MATCH(ROWS($W$2:W637),$W$2:$W$1001,0),MATCH(COLUMNS($AD$1006:AK1006),$AD$1006:$AU$1006,0)), HYPERLINK("#",""), HYPERLINK(CONCATENATE("#metadata!", ADDRESS(INDEX($Y$2:$Y$1001,MATCH(ROWS($W$2:W637),$W$2:$W$1001,0),0), INDEX($AD$1004:$AU$1004,1,MATCH(COLUMNS($AD$1006:AK1006),$AD$1006:$AU$1006,0)))),"Fix")))</f>
        <v xml:space="preserve"> </v>
      </c>
      <c r="J637" s="4" t="str">
        <f ca="1">IF(OR(INDEX($X$2:$X$1001,MATCH(ROWS($W$2:W637),$W$2:$W$1001,0),1)&gt;=100000,INDEX($AD$1005:$AU$1005,1,MATCH(COLUMNS($AD$1006:AL1006),$AD$1006:$AU$1006,0))&gt;=100000), " ",IF(INDEX($AD$2:$AU$1001,MATCH(ROWS($W$2:W637),$W$2:$W$1001,0),MATCH(COLUMNS($AD$1006:AL1006),$AD$1006:$AU$1006,0)), HYPERLINK("#",""), HYPERLINK(CONCATENATE("#metadata!", ADDRESS(INDEX($Y$2:$Y$1001,MATCH(ROWS($W$2:W637),$W$2:$W$1001,0),0), INDEX($AD$1004:$AU$1004,1,MATCH(COLUMNS($AD$1006:AL1006),$AD$1006:$AU$1006,0)))),"Fix")))</f>
        <v xml:space="preserve"> </v>
      </c>
      <c r="K637" s="4" t="str">
        <f ca="1">IF(OR(INDEX($X$2:$X$1001,MATCH(ROWS($W$2:W637),$W$2:$W$1001,0),1)&gt;=100000,INDEX($AD$1005:$AU$1005,1,MATCH(COLUMNS($AD$1006:AM1006),$AD$1006:$AU$1006,0))&gt;=100000), " ",IF(INDEX($AD$2:$AU$1001,MATCH(ROWS($W$2:W637),$W$2:$W$1001,0),MATCH(COLUMNS($AD$1006:AM1006),$AD$1006:$AU$1006,0)), HYPERLINK("#",""), HYPERLINK(CONCATENATE("#metadata!", ADDRESS(INDEX($Y$2:$Y$1001,MATCH(ROWS($W$2:W637),$W$2:$W$1001,0),0), INDEX($AD$1004:$AU$1004,1,MATCH(COLUMNS($AD$1006:AM1006),$AD$1006:$AU$1006,0)))),"Fix")))</f>
        <v xml:space="preserve"> </v>
      </c>
      <c r="L637" s="4" t="str">
        <f ca="1">IF(OR(INDEX($X$2:$X$1001,MATCH(ROWS($W$2:W637),$W$2:$W$1001,0),1)&gt;=100000,INDEX($AD$1005:$AU$1005,1,MATCH(COLUMNS($AD$1006:AN1006),$AD$1006:$AU$1006,0))&gt;=100000), " ",IF(INDEX($AD$2:$AU$1001,MATCH(ROWS($W$2:W637),$W$2:$W$1001,0),MATCH(COLUMNS($AD$1006:AN1006),$AD$1006:$AU$1006,0)), HYPERLINK("#",""), HYPERLINK(CONCATENATE("#metadata!", ADDRESS(INDEX($Y$2:$Y$1001,MATCH(ROWS($W$2:W637),$W$2:$W$1001,0),0), INDEX($AD$1004:$AU$1004,1,MATCH(COLUMNS($AD$1006:AN1006),$AD$1006:$AU$1006,0)))),"Fix")))</f>
        <v xml:space="preserve"> </v>
      </c>
      <c r="M637" s="4" t="str">
        <f ca="1">IF(OR(INDEX($X$2:$X$1001,MATCH(ROWS($W$2:W637),$W$2:$W$1001,0),1)&gt;=100000,INDEX($AD$1005:$AU$1005,1,MATCH(COLUMNS($AD$1006:AO1006),$AD$1006:$AU$1006,0))&gt;=100000), " ",IF(INDEX($AD$2:$AU$1001,MATCH(ROWS($W$2:W637),$W$2:$W$1001,0),MATCH(COLUMNS($AD$1006:AO1006),$AD$1006:$AU$1006,0)), HYPERLINK("#",""), HYPERLINK(CONCATENATE("#metadata!", ADDRESS(INDEX($Y$2:$Y$1001,MATCH(ROWS($W$2:W637),$W$2:$W$1001,0),0), INDEX($AD$1004:$AU$1004,1,MATCH(COLUMNS($AD$1006:AO1006),$AD$1006:$AU$1006,0)))),"Fix")))</f>
        <v xml:space="preserve"> </v>
      </c>
      <c r="N637" s="4" t="str">
        <f ca="1">IF(OR(INDEX($X$2:$X$1001,MATCH(ROWS($W$2:W637),$W$2:$W$1001,0),1)&gt;=100000,INDEX($AD$1005:$AU$1005,1,MATCH(COLUMNS($AD$1006:AP1006),$AD$1006:$AU$1006,0))&gt;=100000), " ",IF(INDEX($AD$2:$AU$1001,MATCH(ROWS($W$2:W637),$W$2:$W$1001,0),MATCH(COLUMNS($AD$1006:AP1006),$AD$1006:$AU$1006,0)), HYPERLINK("#",""), HYPERLINK(CONCATENATE("#metadata!", ADDRESS(INDEX($Y$2:$Y$1001,MATCH(ROWS($W$2:W637),$W$2:$W$1001,0),0), INDEX($AD$1004:$AU$1004,1,MATCH(COLUMNS($AD$1006:AP1006),$AD$1006:$AU$1006,0)))),"Fix")))</f>
        <v xml:space="preserve"> </v>
      </c>
      <c r="O637" s="4" t="str">
        <f ca="1">IF(OR(INDEX($X$2:$X$1001,MATCH(ROWS($W$2:W637),$W$2:$W$1001,0),1)&gt;=100000,INDEX($AD$1005:$AU$1005,1,MATCH(COLUMNS($AD$1006:AQ1006),$AD$1006:$AU$1006,0))&gt;=100000), " ",IF(INDEX($AD$2:$AU$1001,MATCH(ROWS($W$2:W637),$W$2:$W$1001,0),MATCH(COLUMNS($AD$1006:AQ1006),$AD$1006:$AU$1006,0)), HYPERLINK("#",""), HYPERLINK(CONCATENATE("#metadata!", ADDRESS(INDEX($Y$2:$Y$1001,MATCH(ROWS($W$2:W637),$W$2:$W$1001,0),0), INDEX($AD$1004:$AU$1004,1,MATCH(COLUMNS($AD$1006:AQ1006),$AD$1006:$AU$1006,0)))),"Fix")))</f>
        <v xml:space="preserve"> </v>
      </c>
      <c r="P637" s="4" t="str">
        <f ca="1">IF(OR(INDEX($X$2:$X$1001,MATCH(ROWS($W$2:W637),$W$2:$W$1001,0),1)&gt;=100000,INDEX($AD$1005:$AU$1005,1,MATCH(COLUMNS($AD$1006:AR1006),$AD$1006:$AU$1006,0))&gt;=100000), " ",IF(INDEX($AD$2:$AU$1001,MATCH(ROWS($W$2:W637),$W$2:$W$1001,0),MATCH(COLUMNS($AD$1006:AR1006),$AD$1006:$AU$1006,0)), HYPERLINK("#",""), HYPERLINK(CONCATENATE("#metadata!", ADDRESS(INDEX($Y$2:$Y$1001,MATCH(ROWS($W$2:W637),$W$2:$W$1001,0),0), INDEX($AD$1004:$AU$1004,1,MATCH(COLUMNS($AD$1006:AR1006),$AD$1006:$AU$1006,0)))),"Fix")))</f>
        <v xml:space="preserve"> </v>
      </c>
      <c r="Q637" s="4" t="str">
        <f ca="1">IF(OR(INDEX($X$2:$X$1001,MATCH(ROWS($W$2:W637),$W$2:$W$1001,0),1)&gt;=100000,INDEX($AD$1005:$AU$1005,1,MATCH(COLUMNS($AD$1006:AS1006),$AD$1006:$AU$1006,0))&gt;=100000), " ",IF(INDEX($AD$2:$AU$1001,MATCH(ROWS($W$2:W637),$W$2:$W$1001,0),MATCH(COLUMNS($AD$1006:AS1006),$AD$1006:$AU$1006,0)), HYPERLINK("#",""), HYPERLINK(CONCATENATE("#metadata!", ADDRESS(INDEX($Y$2:$Y$1001,MATCH(ROWS($W$2:W637),$W$2:$W$1001,0),0), INDEX($AD$1004:$AU$1004,1,MATCH(COLUMNS($AD$1006:AS1006),$AD$1006:$AU$1006,0)))),"Fix")))</f>
        <v xml:space="preserve"> </v>
      </c>
      <c r="R637" s="4" t="str">
        <f ca="1">IF(OR(INDEX($X$2:$X$1001,MATCH(ROWS($W$2:W637),$W$2:$W$1001,0),1)&gt;=100000,INDEX($AD$1005:$AU$1005,1,MATCH(COLUMNS($AD$1006:AT1006),$AD$1006:$AU$1006,0))&gt;=100000), " ",IF(INDEX($AD$2:$AU$1001,MATCH(ROWS($W$2:W637),$W$2:$W$1001,0),MATCH(COLUMNS($AD$1006:AT1006),$AD$1006:$AU$1006,0)), HYPERLINK("#",""), HYPERLINK(CONCATENATE("#metadata!", ADDRESS(INDEX($Y$2:$Y$1001,MATCH(ROWS($W$2:W637),$W$2:$W$1001,0),0), INDEX($AD$1004:$AU$1004,1,MATCH(COLUMNS($AD$1006:AT1006),$AD$1006:$AU$1006,0)))),"Fix")))</f>
        <v xml:space="preserve"> </v>
      </c>
      <c r="S637" s="4" t="str">
        <f ca="1">IF(OR(INDEX($X$2:$X$1001,MATCH(ROWS($W$2:W637),$W$2:$W$1001,0),1)&gt;=100000,INDEX($AD$1005:$AU$1005,1,MATCH(COLUMNS($AD$1006:AU1006),$AD$1006:$AU$1006,0))&gt;=100000), " ",IF(INDEX($AD$2:$AU$1001,MATCH(ROWS($W$2:W637),$W$2:$W$1001,0),MATCH(COLUMNS($AD$1006:AU1006),$AD$1006:$AU$1006,0)), HYPERLINK("#",""), HYPERLINK(CONCATENATE("#metadata!", ADDRESS(INDEX($Y$2:$Y$1001,MATCH(ROWS($W$2:W637),$W$2:$W$1001,0),0), INDEX($AD$1004:$AU$1004,1,MATCH(COLUMNS($AD$1006:AU1006),$AD$1006:$AU$1006,0)))),"Fix")))</f>
        <v xml:space="preserve"> </v>
      </c>
      <c r="W637">
        <v>636</v>
      </c>
      <c r="X637">
        <v>100637</v>
      </c>
      <c r="Y637">
        <v>637</v>
      </c>
      <c r="Z637" t="b">
        <f t="shared" si="9"/>
        <v>1</v>
      </c>
      <c r="AA637" t="b">
        <f>COUNTBLANK(metadata!B637:S637)=COLUMNS(metadata!B637:S637)</f>
        <v>1</v>
      </c>
      <c r="AB637" t="str">
        <v/>
      </c>
      <c r="AD637" t="b">
        <f ca="1">AND(IF(metadata!B637="",FALSE,TRUE),COUNTIF(metadata!B:B, metadata!B637) = 1,NOT(ISERROR(SUMPRODUCT(SEARCH(MID(metadata!B637,ROW(INDIRECT("1:"&amp;LEN(metadata!B637))), 1),"0123456789abcdefghijklmnopqrstuvwxyzABCDEFGHIJKLMNOPQRSTUVWXYZ.")))))</f>
        <v>0</v>
      </c>
      <c r="AE637" t="b">
        <f>OR(AND(IF(metadata!C637="",FALSE,TRUE),OR(EXACT(metadata!C637,"not applicable"),EXACT(metadata!C637,"missing: not collected"),EXACT(metadata!C637,"missing: not provided"),EXACT(metadata!C637,"missing: restricted access"))),AND(IF(metadata!C637="",FALSE,ISNUMBER(VALUE(metadata!C637))),metadata!C637&gt;0))</f>
        <v>0</v>
      </c>
      <c r="AF637" t="b">
        <f>AND(IF(metadata!D637="",FALSE,TRUE),EXACT(metadata!D637,"missing: not provided"))</f>
        <v>0</v>
      </c>
      <c r="AG637" t="b">
        <f>AND(IF(metadata!E637="",FALSE,TRUE),EXACT(metadata!E637,"Host-associated"))</f>
        <v>0</v>
      </c>
      <c r="AH637" t="b">
        <f>AND(IF(metadata!F637="",FALSE,TRUE),OR(EXACT(metadata!F637,"Animal"),EXACT(metadata!F637,"Fungus"),EXACT(metadata!F637,"Plant")))</f>
        <v>0</v>
      </c>
      <c r="AI637" t="b">
        <f>AND(IF(metadata!G637="",FALSE,TRUE),OR(EXACT(metadata!G637,"Plant secretion"),EXACT(metadata!G637,"Plant rhizosphere"),EXACT(metadata!G637,"Plant surface"),EXACT(metadata!G637,"Plant corpus"),EXACT(metadata!G637,"Fungus surface"),EXACT(metadata!G637,"Fungus corpus"),EXACT(metadata!G637,"Animal surface"),EXACT(metadata!G637,"Animal proximal gut"),EXACT(metadata!G637,"Animal corpus"),EXACT(metadata!G637,"Animal distal gut"),EXACT(metadata!G637,"Animal secretion")))</f>
        <v>0</v>
      </c>
      <c r="AJ637" t="b">
        <f>OR(AND(IF(metadata!H637="",FALSE,TRUE),OR(EXACT(metadata!H637,"missing: not collected"),EXACT(metadata!H637,"missing: not provided"),EXACT(metadata!H637,"missing: restricted access"))),AND(IF(metadata!H637="",FALSE,TRUE),OR(EXACT(metadata!H637,"organism-associated habitat"),EXACT(metadata!H637,"plant-associated habitat"),EXACT(metadata!H637,"animal-associated habitat"),EXACT(metadata!H637,"insecta-associated habitat"),EXACT(metadata!H637,"mammalia-associated habitat"),EXACT(metadata!H637,"human-associated habitat"),EXACT(metadata!H637,"livestock-associated habitat"))))</f>
        <v>0</v>
      </c>
      <c r="AK637" t="b">
        <f>AND(IF(metadata!I637="",FALSE,TRUE),EXACT(metadata!I637,"host-associated"))</f>
        <v>0</v>
      </c>
      <c r="AL637" t="b">
        <f>OR(AND(IF(metadata!J637="",FALSE,TRUE),OR(EXACT(metadata!J637,"not applicable"),EXACT(metadata!J637,"missing: not collected"),EXACT(metadata!J637,"missing: not provided"),EXACT(metadata!J637,"missing: restricted access"))),AND(IF(metadata!J637="",FALSE,ISNUMBER(VALUE(metadata!J637))),metadata!J637&gt;0))</f>
        <v>0</v>
      </c>
      <c r="AM637" t="b">
        <f>AND(IF(metadata!K637="",FALSE,TRUE),EXACT(metadata!K637,"missing: not provided"))</f>
        <v>0</v>
      </c>
      <c r="AN637" t="b">
        <f>IF(metadata!L637="",FALSE,TRUE)</f>
        <v>0</v>
      </c>
      <c r="AO637" t="b">
        <f>IF(metadata!M637="",FALSE,TRUE)</f>
        <v>0</v>
      </c>
      <c r="AP637" t="b">
        <f>OR(AND(IF(metadata!N637="",FALSE,TRUE),OR(EXACT(metadata!N637,"not applicable"),EXACT(metadata!N637,"missing: not collected"),EXACT(metadata!N637,"missing: not provided"))),AND(IF(metadata!N637="",FALSE,IF(ISERROR(INT(metadata!N637)),FALSE,INT(metadata!N637)=metadata!N637)),metadata!N637&gt;0))</f>
        <v>0</v>
      </c>
      <c r="AQ637" t="b">
        <f>AND(IF(metadata!O637="",FALSE,TRUE),EXACT(metadata!O637,"Not applicable"))</f>
        <v>0</v>
      </c>
      <c r="AR637" t="b">
        <f>OR(AND(IF(metadata!P637="",FALSE,TRUE),OR(EXACT(metadata!P637,"not applicable"),EXACT(metadata!P637,"missing: not collected"),EXACT(metadata!P637,"missing: not provided"),EXACT(metadata!P637,"missing: restricted access"))),IF(metadata!P637="",FALSE,IF(ISERROR(INT(metadata!P637)),FALSE,INT(metadata!P637)=metadata!P637)))</f>
        <v>0</v>
      </c>
      <c r="AS637" t="b">
        <f>AND(IF(metadata!Q637="",FALSE,TRUE),EXACT(metadata!Q637,"Not applicable"))</f>
        <v>0</v>
      </c>
      <c r="AT637" t="b">
        <f>OR(AND(IF(metadata!R637="",FALSE,TRUE),OR(EXACT(metadata!R637,"not applicable"),EXACT(metadata!R637,"missing: not collected"),EXACT(metadata!R637,"missing: not provided"),EXACT(metadata!R637,"missing: restricted access"))),AND(IF(metadata!R637="",FALSE,ISNUMBER(VALUE(metadata!R637))),metadata!R637&gt;0))</f>
        <v>0</v>
      </c>
      <c r="AU637" t="b">
        <f>AND(IF(metadata!S637="",FALSE,TRUE),EXACT(metadata!S637,"missing: not provided"))</f>
        <v>0</v>
      </c>
    </row>
    <row r="638" spans="1:47" x14ac:dyDescent="0.2">
      <c r="A638" s="5" t="str">
        <f ca="1">IF(B638=" "," ",HYPERLINK(CONCATENATE("#metadata!",ADDRESS(INDEX($Y$2:$Y$1001,MATCH(ROWS($W$2:W638),$W$2:$W$1001,0),0),1)),INDEX($AB$2:$AB$1001,MATCH(ROWS($W$2:W638),$W$2:$W$1001,0),0)))</f>
        <v xml:space="preserve"> </v>
      </c>
      <c r="B638" s="4" t="str">
        <f ca="1">IF(OR(INDEX($X$2:$X$1001,MATCH(ROWS($W$2:W638),$W$2:$W$1001,0),1)&gt;=100000,INDEX($AD$1005:$AU$1005,1,MATCH(COLUMNS($AD$1006:AD1006),$AD$1006:$AU$1006,0))&gt;=100000), " ",IF(INDEX($AD$2:$AU$1001,MATCH(ROWS($W$2:W638),$W$2:$W$1001,0),MATCH(COLUMNS($AD$1006:AD1006),$AD$1006:$AU$1006,0)), HYPERLINK("#",""), HYPERLINK(CONCATENATE("#metadata!", ADDRESS(INDEX($Y$2:$Y$1001,MATCH(ROWS($W$2:W638),$W$2:$W$1001,0),0), INDEX($AD$1004:$AU$1004,1,MATCH(COLUMNS($AD$1006:AD1006),$AD$1006:$AU$1006,0)))),"Fix")))</f>
        <v xml:space="preserve"> </v>
      </c>
      <c r="C638" s="4" t="str">
        <f ca="1">IF(OR(INDEX($X$2:$X$1001,MATCH(ROWS($W$2:W638),$W$2:$W$1001,0),1)&gt;=100000,INDEX($AD$1005:$AU$1005,1,MATCH(COLUMNS($AD$1006:AE1006),$AD$1006:$AU$1006,0))&gt;=100000), " ",IF(INDEX($AD$2:$AU$1001,MATCH(ROWS($W$2:W638),$W$2:$W$1001,0),MATCH(COLUMNS($AD$1006:AE1006),$AD$1006:$AU$1006,0)), HYPERLINK("#",""), HYPERLINK(CONCATENATE("#metadata!", ADDRESS(INDEX($Y$2:$Y$1001,MATCH(ROWS($W$2:W638),$W$2:$W$1001,0),0), INDEX($AD$1004:$AU$1004,1,MATCH(COLUMNS($AD$1006:AE1006),$AD$1006:$AU$1006,0)))),"Fix")))</f>
        <v xml:space="preserve"> </v>
      </c>
      <c r="D638" s="4" t="str">
        <f ca="1">IF(OR(INDEX($X$2:$X$1001,MATCH(ROWS($W$2:W638),$W$2:$W$1001,0),1)&gt;=100000,INDEX($AD$1005:$AU$1005,1,MATCH(COLUMNS($AD$1006:AF1006),$AD$1006:$AU$1006,0))&gt;=100000), " ",IF(INDEX($AD$2:$AU$1001,MATCH(ROWS($W$2:W638),$W$2:$W$1001,0),MATCH(COLUMNS($AD$1006:AF1006),$AD$1006:$AU$1006,0)), HYPERLINK("#",""), HYPERLINK(CONCATENATE("#metadata!", ADDRESS(INDEX($Y$2:$Y$1001,MATCH(ROWS($W$2:W638),$W$2:$W$1001,0),0), INDEX($AD$1004:$AU$1004,1,MATCH(COLUMNS($AD$1006:AF1006),$AD$1006:$AU$1006,0)))),"Fix")))</f>
        <v xml:space="preserve"> </v>
      </c>
      <c r="E638" s="4" t="str">
        <f ca="1">IF(OR(INDEX($X$2:$X$1001,MATCH(ROWS($W$2:W638),$W$2:$W$1001,0),1)&gt;=100000,INDEX($AD$1005:$AU$1005,1,MATCH(COLUMNS($AD$1006:AG1006),$AD$1006:$AU$1006,0))&gt;=100000), " ",IF(INDEX($AD$2:$AU$1001,MATCH(ROWS($W$2:W638),$W$2:$W$1001,0),MATCH(COLUMNS($AD$1006:AG1006),$AD$1006:$AU$1006,0)), HYPERLINK("#",""), HYPERLINK(CONCATENATE("#metadata!", ADDRESS(INDEX($Y$2:$Y$1001,MATCH(ROWS($W$2:W638),$W$2:$W$1001,0),0), INDEX($AD$1004:$AU$1004,1,MATCH(COLUMNS($AD$1006:AG1006),$AD$1006:$AU$1006,0)))),"Fix")))</f>
        <v xml:space="preserve"> </v>
      </c>
      <c r="F638" s="4" t="str">
        <f ca="1">IF(OR(INDEX($X$2:$X$1001,MATCH(ROWS($W$2:W638),$W$2:$W$1001,0),1)&gt;=100000,INDEX($AD$1005:$AU$1005,1,MATCH(COLUMNS($AD$1006:AH1006),$AD$1006:$AU$1006,0))&gt;=100000), " ",IF(INDEX($AD$2:$AU$1001,MATCH(ROWS($W$2:W638),$W$2:$W$1001,0),MATCH(COLUMNS($AD$1006:AH1006),$AD$1006:$AU$1006,0)), HYPERLINK("#",""), HYPERLINK(CONCATENATE("#metadata!", ADDRESS(INDEX($Y$2:$Y$1001,MATCH(ROWS($W$2:W638),$W$2:$W$1001,0),0), INDEX($AD$1004:$AU$1004,1,MATCH(COLUMNS($AD$1006:AH1006),$AD$1006:$AU$1006,0)))),"Fix")))</f>
        <v xml:space="preserve"> </v>
      </c>
      <c r="G638" s="4" t="str">
        <f ca="1">IF(OR(INDEX($X$2:$X$1001,MATCH(ROWS($W$2:W638),$W$2:$W$1001,0),1)&gt;=100000,INDEX($AD$1005:$AU$1005,1,MATCH(COLUMNS($AD$1006:AI1006),$AD$1006:$AU$1006,0))&gt;=100000), " ",IF(INDEX($AD$2:$AU$1001,MATCH(ROWS($W$2:W638),$W$2:$W$1001,0),MATCH(COLUMNS($AD$1006:AI1006),$AD$1006:$AU$1006,0)), HYPERLINK("#",""), HYPERLINK(CONCATENATE("#metadata!", ADDRESS(INDEX($Y$2:$Y$1001,MATCH(ROWS($W$2:W638),$W$2:$W$1001,0),0), INDEX($AD$1004:$AU$1004,1,MATCH(COLUMNS($AD$1006:AI1006),$AD$1006:$AU$1006,0)))),"Fix")))</f>
        <v xml:space="preserve"> </v>
      </c>
      <c r="H638" s="4" t="str">
        <f ca="1">IF(OR(INDEX($X$2:$X$1001,MATCH(ROWS($W$2:W638),$W$2:$W$1001,0),1)&gt;=100000,INDEX($AD$1005:$AU$1005,1,MATCH(COLUMNS($AD$1006:AJ1006),$AD$1006:$AU$1006,0))&gt;=100000), " ",IF(INDEX($AD$2:$AU$1001,MATCH(ROWS($W$2:W638),$W$2:$W$1001,0),MATCH(COLUMNS($AD$1006:AJ1006),$AD$1006:$AU$1006,0)), HYPERLINK("#",""), HYPERLINK(CONCATENATE("#metadata!", ADDRESS(INDEX($Y$2:$Y$1001,MATCH(ROWS($W$2:W638),$W$2:$W$1001,0),0), INDEX($AD$1004:$AU$1004,1,MATCH(COLUMNS($AD$1006:AJ1006),$AD$1006:$AU$1006,0)))),"Fix")))</f>
        <v xml:space="preserve"> </v>
      </c>
      <c r="I638" s="4" t="str">
        <f ca="1">IF(OR(INDEX($X$2:$X$1001,MATCH(ROWS($W$2:W638),$W$2:$W$1001,0),1)&gt;=100000,INDEX($AD$1005:$AU$1005,1,MATCH(COLUMNS($AD$1006:AK1006),$AD$1006:$AU$1006,0))&gt;=100000), " ",IF(INDEX($AD$2:$AU$1001,MATCH(ROWS($W$2:W638),$W$2:$W$1001,0),MATCH(COLUMNS($AD$1006:AK1006),$AD$1006:$AU$1006,0)), HYPERLINK("#",""), HYPERLINK(CONCATENATE("#metadata!", ADDRESS(INDEX($Y$2:$Y$1001,MATCH(ROWS($W$2:W638),$W$2:$W$1001,0),0), INDEX($AD$1004:$AU$1004,1,MATCH(COLUMNS($AD$1006:AK1006),$AD$1006:$AU$1006,0)))),"Fix")))</f>
        <v xml:space="preserve"> </v>
      </c>
      <c r="J638" s="4" t="str">
        <f ca="1">IF(OR(INDEX($X$2:$X$1001,MATCH(ROWS($W$2:W638),$W$2:$W$1001,0),1)&gt;=100000,INDEX($AD$1005:$AU$1005,1,MATCH(COLUMNS($AD$1006:AL1006),$AD$1006:$AU$1006,0))&gt;=100000), " ",IF(INDEX($AD$2:$AU$1001,MATCH(ROWS($W$2:W638),$W$2:$W$1001,0),MATCH(COLUMNS($AD$1006:AL1006),$AD$1006:$AU$1006,0)), HYPERLINK("#",""), HYPERLINK(CONCATENATE("#metadata!", ADDRESS(INDEX($Y$2:$Y$1001,MATCH(ROWS($W$2:W638),$W$2:$W$1001,0),0), INDEX($AD$1004:$AU$1004,1,MATCH(COLUMNS($AD$1006:AL1006),$AD$1006:$AU$1006,0)))),"Fix")))</f>
        <v xml:space="preserve"> </v>
      </c>
      <c r="K638" s="4" t="str">
        <f ca="1">IF(OR(INDEX($X$2:$X$1001,MATCH(ROWS($W$2:W638),$W$2:$W$1001,0),1)&gt;=100000,INDEX($AD$1005:$AU$1005,1,MATCH(COLUMNS($AD$1006:AM1006),$AD$1006:$AU$1006,0))&gt;=100000), " ",IF(INDEX($AD$2:$AU$1001,MATCH(ROWS($W$2:W638),$W$2:$W$1001,0),MATCH(COLUMNS($AD$1006:AM1006),$AD$1006:$AU$1006,0)), HYPERLINK("#",""), HYPERLINK(CONCATENATE("#metadata!", ADDRESS(INDEX($Y$2:$Y$1001,MATCH(ROWS($W$2:W638),$W$2:$W$1001,0),0), INDEX($AD$1004:$AU$1004,1,MATCH(COLUMNS($AD$1006:AM1006),$AD$1006:$AU$1006,0)))),"Fix")))</f>
        <v xml:space="preserve"> </v>
      </c>
      <c r="L638" s="4" t="str">
        <f ca="1">IF(OR(INDEX($X$2:$X$1001,MATCH(ROWS($W$2:W638),$W$2:$W$1001,0),1)&gt;=100000,INDEX($AD$1005:$AU$1005,1,MATCH(COLUMNS($AD$1006:AN1006),$AD$1006:$AU$1006,0))&gt;=100000), " ",IF(INDEX($AD$2:$AU$1001,MATCH(ROWS($W$2:W638),$W$2:$W$1001,0),MATCH(COLUMNS($AD$1006:AN1006),$AD$1006:$AU$1006,0)), HYPERLINK("#",""), HYPERLINK(CONCATENATE("#metadata!", ADDRESS(INDEX($Y$2:$Y$1001,MATCH(ROWS($W$2:W638),$W$2:$W$1001,0),0), INDEX($AD$1004:$AU$1004,1,MATCH(COLUMNS($AD$1006:AN1006),$AD$1006:$AU$1006,0)))),"Fix")))</f>
        <v xml:space="preserve"> </v>
      </c>
      <c r="M638" s="4" t="str">
        <f ca="1">IF(OR(INDEX($X$2:$X$1001,MATCH(ROWS($W$2:W638),$W$2:$W$1001,0),1)&gt;=100000,INDEX($AD$1005:$AU$1005,1,MATCH(COLUMNS($AD$1006:AO1006),$AD$1006:$AU$1006,0))&gt;=100000), " ",IF(INDEX($AD$2:$AU$1001,MATCH(ROWS($W$2:W638),$W$2:$W$1001,0),MATCH(COLUMNS($AD$1006:AO1006),$AD$1006:$AU$1006,0)), HYPERLINK("#",""), HYPERLINK(CONCATENATE("#metadata!", ADDRESS(INDEX($Y$2:$Y$1001,MATCH(ROWS($W$2:W638),$W$2:$W$1001,0),0), INDEX($AD$1004:$AU$1004,1,MATCH(COLUMNS($AD$1006:AO1006),$AD$1006:$AU$1006,0)))),"Fix")))</f>
        <v xml:space="preserve"> </v>
      </c>
      <c r="N638" s="4" t="str">
        <f ca="1">IF(OR(INDEX($X$2:$X$1001,MATCH(ROWS($W$2:W638),$W$2:$W$1001,0),1)&gt;=100000,INDEX($AD$1005:$AU$1005,1,MATCH(COLUMNS($AD$1006:AP1006),$AD$1006:$AU$1006,0))&gt;=100000), " ",IF(INDEX($AD$2:$AU$1001,MATCH(ROWS($W$2:W638),$W$2:$W$1001,0),MATCH(COLUMNS($AD$1006:AP1006),$AD$1006:$AU$1006,0)), HYPERLINK("#",""), HYPERLINK(CONCATENATE("#metadata!", ADDRESS(INDEX($Y$2:$Y$1001,MATCH(ROWS($W$2:W638),$W$2:$W$1001,0),0), INDEX($AD$1004:$AU$1004,1,MATCH(COLUMNS($AD$1006:AP1006),$AD$1006:$AU$1006,0)))),"Fix")))</f>
        <v xml:space="preserve"> </v>
      </c>
      <c r="O638" s="4" t="str">
        <f ca="1">IF(OR(INDEX($X$2:$X$1001,MATCH(ROWS($W$2:W638),$W$2:$W$1001,0),1)&gt;=100000,INDEX($AD$1005:$AU$1005,1,MATCH(COLUMNS($AD$1006:AQ1006),$AD$1006:$AU$1006,0))&gt;=100000), " ",IF(INDEX($AD$2:$AU$1001,MATCH(ROWS($W$2:W638),$W$2:$W$1001,0),MATCH(COLUMNS($AD$1006:AQ1006),$AD$1006:$AU$1006,0)), HYPERLINK("#",""), HYPERLINK(CONCATENATE("#metadata!", ADDRESS(INDEX($Y$2:$Y$1001,MATCH(ROWS($W$2:W638),$W$2:$W$1001,0),0), INDEX($AD$1004:$AU$1004,1,MATCH(COLUMNS($AD$1006:AQ1006),$AD$1006:$AU$1006,0)))),"Fix")))</f>
        <v xml:space="preserve"> </v>
      </c>
      <c r="P638" s="4" t="str">
        <f ca="1">IF(OR(INDEX($X$2:$X$1001,MATCH(ROWS($W$2:W638),$W$2:$W$1001,0),1)&gt;=100000,INDEX($AD$1005:$AU$1005,1,MATCH(COLUMNS($AD$1006:AR1006),$AD$1006:$AU$1006,0))&gt;=100000), " ",IF(INDEX($AD$2:$AU$1001,MATCH(ROWS($W$2:W638),$W$2:$W$1001,0),MATCH(COLUMNS($AD$1006:AR1006),$AD$1006:$AU$1006,0)), HYPERLINK("#",""), HYPERLINK(CONCATENATE("#metadata!", ADDRESS(INDEX($Y$2:$Y$1001,MATCH(ROWS($W$2:W638),$W$2:$W$1001,0),0), INDEX($AD$1004:$AU$1004,1,MATCH(COLUMNS($AD$1006:AR1006),$AD$1006:$AU$1006,0)))),"Fix")))</f>
        <v xml:space="preserve"> </v>
      </c>
      <c r="Q638" s="4" t="str">
        <f ca="1">IF(OR(INDEX($X$2:$X$1001,MATCH(ROWS($W$2:W638),$W$2:$W$1001,0),1)&gt;=100000,INDEX($AD$1005:$AU$1005,1,MATCH(COLUMNS($AD$1006:AS1006),$AD$1006:$AU$1006,0))&gt;=100000), " ",IF(INDEX($AD$2:$AU$1001,MATCH(ROWS($W$2:W638),$W$2:$W$1001,0),MATCH(COLUMNS($AD$1006:AS1006),$AD$1006:$AU$1006,0)), HYPERLINK("#",""), HYPERLINK(CONCATENATE("#metadata!", ADDRESS(INDEX($Y$2:$Y$1001,MATCH(ROWS($W$2:W638),$W$2:$W$1001,0),0), INDEX($AD$1004:$AU$1004,1,MATCH(COLUMNS($AD$1006:AS1006),$AD$1006:$AU$1006,0)))),"Fix")))</f>
        <v xml:space="preserve"> </v>
      </c>
      <c r="R638" s="4" t="str">
        <f ca="1">IF(OR(INDEX($X$2:$X$1001,MATCH(ROWS($W$2:W638),$W$2:$W$1001,0),1)&gt;=100000,INDEX($AD$1005:$AU$1005,1,MATCH(COLUMNS($AD$1006:AT1006),$AD$1006:$AU$1006,0))&gt;=100000), " ",IF(INDEX($AD$2:$AU$1001,MATCH(ROWS($W$2:W638),$W$2:$W$1001,0),MATCH(COLUMNS($AD$1006:AT1006),$AD$1006:$AU$1006,0)), HYPERLINK("#",""), HYPERLINK(CONCATENATE("#metadata!", ADDRESS(INDEX($Y$2:$Y$1001,MATCH(ROWS($W$2:W638),$W$2:$W$1001,0),0), INDEX($AD$1004:$AU$1004,1,MATCH(COLUMNS($AD$1006:AT1006),$AD$1006:$AU$1006,0)))),"Fix")))</f>
        <v xml:space="preserve"> </v>
      </c>
      <c r="S638" s="4" t="str">
        <f ca="1">IF(OR(INDEX($X$2:$X$1001,MATCH(ROWS($W$2:W638),$W$2:$W$1001,0),1)&gt;=100000,INDEX($AD$1005:$AU$1005,1,MATCH(COLUMNS($AD$1006:AU1006),$AD$1006:$AU$1006,0))&gt;=100000), " ",IF(INDEX($AD$2:$AU$1001,MATCH(ROWS($W$2:W638),$W$2:$W$1001,0),MATCH(COLUMNS($AD$1006:AU1006),$AD$1006:$AU$1006,0)), HYPERLINK("#",""), HYPERLINK(CONCATENATE("#metadata!", ADDRESS(INDEX($Y$2:$Y$1001,MATCH(ROWS($W$2:W638),$W$2:$W$1001,0),0), INDEX($AD$1004:$AU$1004,1,MATCH(COLUMNS($AD$1006:AU1006),$AD$1006:$AU$1006,0)))),"Fix")))</f>
        <v xml:space="preserve"> </v>
      </c>
      <c r="W638">
        <v>637</v>
      </c>
      <c r="X638">
        <v>100638</v>
      </c>
      <c r="Y638">
        <v>638</v>
      </c>
      <c r="Z638" t="b">
        <f t="shared" si="9"/>
        <v>1</v>
      </c>
      <c r="AA638" t="b">
        <f>COUNTBLANK(metadata!B638:S638)=COLUMNS(metadata!B638:S638)</f>
        <v>1</v>
      </c>
      <c r="AB638" t="str">
        <v/>
      </c>
      <c r="AD638" t="b">
        <f ca="1">AND(IF(metadata!B638="",FALSE,TRUE),COUNTIF(metadata!B:B, metadata!B638) = 1,NOT(ISERROR(SUMPRODUCT(SEARCH(MID(metadata!B638,ROW(INDIRECT("1:"&amp;LEN(metadata!B638))), 1),"0123456789abcdefghijklmnopqrstuvwxyzABCDEFGHIJKLMNOPQRSTUVWXYZ.")))))</f>
        <v>0</v>
      </c>
      <c r="AE638" t="b">
        <f>OR(AND(IF(metadata!C638="",FALSE,TRUE),OR(EXACT(metadata!C638,"not applicable"),EXACT(metadata!C638,"missing: not collected"),EXACT(metadata!C638,"missing: not provided"),EXACT(metadata!C638,"missing: restricted access"))),AND(IF(metadata!C638="",FALSE,ISNUMBER(VALUE(metadata!C638))),metadata!C638&gt;0))</f>
        <v>0</v>
      </c>
      <c r="AF638" t="b">
        <f>AND(IF(metadata!D638="",FALSE,TRUE),EXACT(metadata!D638,"missing: not provided"))</f>
        <v>0</v>
      </c>
      <c r="AG638" t="b">
        <f>AND(IF(metadata!E638="",FALSE,TRUE),EXACT(metadata!E638,"Host-associated"))</f>
        <v>0</v>
      </c>
      <c r="AH638" t="b">
        <f>AND(IF(metadata!F638="",FALSE,TRUE),OR(EXACT(metadata!F638,"Animal"),EXACT(metadata!F638,"Fungus"),EXACT(metadata!F638,"Plant")))</f>
        <v>0</v>
      </c>
      <c r="AI638" t="b">
        <f>AND(IF(metadata!G638="",FALSE,TRUE),OR(EXACT(metadata!G638,"Plant secretion"),EXACT(metadata!G638,"Plant rhizosphere"),EXACT(metadata!G638,"Plant surface"),EXACT(metadata!G638,"Plant corpus"),EXACT(metadata!G638,"Fungus surface"),EXACT(metadata!G638,"Fungus corpus"),EXACT(metadata!G638,"Animal surface"),EXACT(metadata!G638,"Animal proximal gut"),EXACT(metadata!G638,"Animal corpus"),EXACT(metadata!G638,"Animal distal gut"),EXACT(metadata!G638,"Animal secretion")))</f>
        <v>0</v>
      </c>
      <c r="AJ638" t="b">
        <f>OR(AND(IF(metadata!H638="",FALSE,TRUE),OR(EXACT(metadata!H638,"missing: not collected"),EXACT(metadata!H638,"missing: not provided"),EXACT(metadata!H638,"missing: restricted access"))),AND(IF(metadata!H638="",FALSE,TRUE),OR(EXACT(metadata!H638,"organism-associated habitat"),EXACT(metadata!H638,"plant-associated habitat"),EXACT(metadata!H638,"animal-associated habitat"),EXACT(metadata!H638,"insecta-associated habitat"),EXACT(metadata!H638,"mammalia-associated habitat"),EXACT(metadata!H638,"human-associated habitat"),EXACT(metadata!H638,"livestock-associated habitat"))))</f>
        <v>0</v>
      </c>
      <c r="AK638" t="b">
        <f>AND(IF(metadata!I638="",FALSE,TRUE),EXACT(metadata!I638,"host-associated"))</f>
        <v>0</v>
      </c>
      <c r="AL638" t="b">
        <f>OR(AND(IF(metadata!J638="",FALSE,TRUE),OR(EXACT(metadata!J638,"not applicable"),EXACT(metadata!J638,"missing: not collected"),EXACT(metadata!J638,"missing: not provided"),EXACT(metadata!J638,"missing: restricted access"))),AND(IF(metadata!J638="",FALSE,ISNUMBER(VALUE(metadata!J638))),metadata!J638&gt;0))</f>
        <v>0</v>
      </c>
      <c r="AM638" t="b">
        <f>AND(IF(metadata!K638="",FALSE,TRUE),EXACT(metadata!K638,"missing: not provided"))</f>
        <v>0</v>
      </c>
      <c r="AN638" t="b">
        <f>IF(metadata!L638="",FALSE,TRUE)</f>
        <v>0</v>
      </c>
      <c r="AO638" t="b">
        <f>IF(metadata!M638="",FALSE,TRUE)</f>
        <v>0</v>
      </c>
      <c r="AP638" t="b">
        <f>OR(AND(IF(metadata!N638="",FALSE,TRUE),OR(EXACT(metadata!N638,"not applicable"),EXACT(metadata!N638,"missing: not collected"),EXACT(metadata!N638,"missing: not provided"))),AND(IF(metadata!N638="",FALSE,IF(ISERROR(INT(metadata!N638)),FALSE,INT(metadata!N638)=metadata!N638)),metadata!N638&gt;0))</f>
        <v>0</v>
      </c>
      <c r="AQ638" t="b">
        <f>AND(IF(metadata!O638="",FALSE,TRUE),EXACT(metadata!O638,"Not applicable"))</f>
        <v>0</v>
      </c>
      <c r="AR638" t="b">
        <f>OR(AND(IF(metadata!P638="",FALSE,TRUE),OR(EXACT(metadata!P638,"not applicable"),EXACT(metadata!P638,"missing: not collected"),EXACT(metadata!P638,"missing: not provided"),EXACT(metadata!P638,"missing: restricted access"))),IF(metadata!P638="",FALSE,IF(ISERROR(INT(metadata!P638)),FALSE,INT(metadata!P638)=metadata!P638)))</f>
        <v>0</v>
      </c>
      <c r="AS638" t="b">
        <f>AND(IF(metadata!Q638="",FALSE,TRUE),EXACT(metadata!Q638,"Not applicable"))</f>
        <v>0</v>
      </c>
      <c r="AT638" t="b">
        <f>OR(AND(IF(metadata!R638="",FALSE,TRUE),OR(EXACT(metadata!R638,"not applicable"),EXACT(metadata!R638,"missing: not collected"),EXACT(metadata!R638,"missing: not provided"),EXACT(metadata!R638,"missing: restricted access"))),AND(IF(metadata!R638="",FALSE,ISNUMBER(VALUE(metadata!R638))),metadata!R638&gt;0))</f>
        <v>0</v>
      </c>
      <c r="AU638" t="b">
        <f>AND(IF(metadata!S638="",FALSE,TRUE),EXACT(metadata!S638,"missing: not provided"))</f>
        <v>0</v>
      </c>
    </row>
    <row r="639" spans="1:47" x14ac:dyDescent="0.2">
      <c r="A639" s="5" t="str">
        <f ca="1">IF(B639=" "," ",HYPERLINK(CONCATENATE("#metadata!",ADDRESS(INDEX($Y$2:$Y$1001,MATCH(ROWS($W$2:W639),$W$2:$W$1001,0),0),1)),INDEX($AB$2:$AB$1001,MATCH(ROWS($W$2:W639),$W$2:$W$1001,0),0)))</f>
        <v xml:space="preserve"> </v>
      </c>
      <c r="B639" s="4" t="str">
        <f ca="1">IF(OR(INDEX($X$2:$X$1001,MATCH(ROWS($W$2:W639),$W$2:$W$1001,0),1)&gt;=100000,INDEX($AD$1005:$AU$1005,1,MATCH(COLUMNS($AD$1006:AD1006),$AD$1006:$AU$1006,0))&gt;=100000), " ",IF(INDEX($AD$2:$AU$1001,MATCH(ROWS($W$2:W639),$W$2:$W$1001,0),MATCH(COLUMNS($AD$1006:AD1006),$AD$1006:$AU$1006,0)), HYPERLINK("#",""), HYPERLINK(CONCATENATE("#metadata!", ADDRESS(INDEX($Y$2:$Y$1001,MATCH(ROWS($W$2:W639),$W$2:$W$1001,0),0), INDEX($AD$1004:$AU$1004,1,MATCH(COLUMNS($AD$1006:AD1006),$AD$1006:$AU$1006,0)))),"Fix")))</f>
        <v xml:space="preserve"> </v>
      </c>
      <c r="C639" s="4" t="str">
        <f ca="1">IF(OR(INDEX($X$2:$X$1001,MATCH(ROWS($W$2:W639),$W$2:$W$1001,0),1)&gt;=100000,INDEX($AD$1005:$AU$1005,1,MATCH(COLUMNS($AD$1006:AE1006),$AD$1006:$AU$1006,0))&gt;=100000), " ",IF(INDEX($AD$2:$AU$1001,MATCH(ROWS($W$2:W639),$W$2:$W$1001,0),MATCH(COLUMNS($AD$1006:AE1006),$AD$1006:$AU$1006,0)), HYPERLINK("#",""), HYPERLINK(CONCATENATE("#metadata!", ADDRESS(INDEX($Y$2:$Y$1001,MATCH(ROWS($W$2:W639),$W$2:$W$1001,0),0), INDEX($AD$1004:$AU$1004,1,MATCH(COLUMNS($AD$1006:AE1006),$AD$1006:$AU$1006,0)))),"Fix")))</f>
        <v xml:space="preserve"> </v>
      </c>
      <c r="D639" s="4" t="str">
        <f ca="1">IF(OR(INDEX($X$2:$X$1001,MATCH(ROWS($W$2:W639),$W$2:$W$1001,0),1)&gt;=100000,INDEX($AD$1005:$AU$1005,1,MATCH(COLUMNS($AD$1006:AF1006),$AD$1006:$AU$1006,0))&gt;=100000), " ",IF(INDEX($AD$2:$AU$1001,MATCH(ROWS($W$2:W639),$W$2:$W$1001,0),MATCH(COLUMNS($AD$1006:AF1006),$AD$1006:$AU$1006,0)), HYPERLINK("#",""), HYPERLINK(CONCATENATE("#metadata!", ADDRESS(INDEX($Y$2:$Y$1001,MATCH(ROWS($W$2:W639),$W$2:$W$1001,0),0), INDEX($AD$1004:$AU$1004,1,MATCH(COLUMNS($AD$1006:AF1006),$AD$1006:$AU$1006,0)))),"Fix")))</f>
        <v xml:space="preserve"> </v>
      </c>
      <c r="E639" s="4" t="str">
        <f ca="1">IF(OR(INDEX($X$2:$X$1001,MATCH(ROWS($W$2:W639),$W$2:$W$1001,0),1)&gt;=100000,INDEX($AD$1005:$AU$1005,1,MATCH(COLUMNS($AD$1006:AG1006),$AD$1006:$AU$1006,0))&gt;=100000), " ",IF(INDEX($AD$2:$AU$1001,MATCH(ROWS($W$2:W639),$W$2:$W$1001,0),MATCH(COLUMNS($AD$1006:AG1006),$AD$1006:$AU$1006,0)), HYPERLINK("#",""), HYPERLINK(CONCATENATE("#metadata!", ADDRESS(INDEX($Y$2:$Y$1001,MATCH(ROWS($W$2:W639),$W$2:$W$1001,0),0), INDEX($AD$1004:$AU$1004,1,MATCH(COLUMNS($AD$1006:AG1006),$AD$1006:$AU$1006,0)))),"Fix")))</f>
        <v xml:space="preserve"> </v>
      </c>
      <c r="F639" s="4" t="str">
        <f ca="1">IF(OR(INDEX($X$2:$X$1001,MATCH(ROWS($W$2:W639),$W$2:$W$1001,0),1)&gt;=100000,INDEX($AD$1005:$AU$1005,1,MATCH(COLUMNS($AD$1006:AH1006),$AD$1006:$AU$1006,0))&gt;=100000), " ",IF(INDEX($AD$2:$AU$1001,MATCH(ROWS($W$2:W639),$W$2:$W$1001,0),MATCH(COLUMNS($AD$1006:AH1006),$AD$1006:$AU$1006,0)), HYPERLINK("#",""), HYPERLINK(CONCATENATE("#metadata!", ADDRESS(INDEX($Y$2:$Y$1001,MATCH(ROWS($W$2:W639),$W$2:$W$1001,0),0), INDEX($AD$1004:$AU$1004,1,MATCH(COLUMNS($AD$1006:AH1006),$AD$1006:$AU$1006,0)))),"Fix")))</f>
        <v xml:space="preserve"> </v>
      </c>
      <c r="G639" s="4" t="str">
        <f ca="1">IF(OR(INDEX($X$2:$X$1001,MATCH(ROWS($W$2:W639),$W$2:$W$1001,0),1)&gt;=100000,INDEX($AD$1005:$AU$1005,1,MATCH(COLUMNS($AD$1006:AI1006),$AD$1006:$AU$1006,0))&gt;=100000), " ",IF(INDEX($AD$2:$AU$1001,MATCH(ROWS($W$2:W639),$W$2:$W$1001,0),MATCH(COLUMNS($AD$1006:AI1006),$AD$1006:$AU$1006,0)), HYPERLINK("#",""), HYPERLINK(CONCATENATE("#metadata!", ADDRESS(INDEX($Y$2:$Y$1001,MATCH(ROWS($W$2:W639),$W$2:$W$1001,0),0), INDEX($AD$1004:$AU$1004,1,MATCH(COLUMNS($AD$1006:AI1006),$AD$1006:$AU$1006,0)))),"Fix")))</f>
        <v xml:space="preserve"> </v>
      </c>
      <c r="H639" s="4" t="str">
        <f ca="1">IF(OR(INDEX($X$2:$X$1001,MATCH(ROWS($W$2:W639),$W$2:$W$1001,0),1)&gt;=100000,INDEX($AD$1005:$AU$1005,1,MATCH(COLUMNS($AD$1006:AJ1006),$AD$1006:$AU$1006,0))&gt;=100000), " ",IF(INDEX($AD$2:$AU$1001,MATCH(ROWS($W$2:W639),$W$2:$W$1001,0),MATCH(COLUMNS($AD$1006:AJ1006),$AD$1006:$AU$1006,0)), HYPERLINK("#",""), HYPERLINK(CONCATENATE("#metadata!", ADDRESS(INDEX($Y$2:$Y$1001,MATCH(ROWS($W$2:W639),$W$2:$W$1001,0),0), INDEX($AD$1004:$AU$1004,1,MATCH(COLUMNS($AD$1006:AJ1006),$AD$1006:$AU$1006,0)))),"Fix")))</f>
        <v xml:space="preserve"> </v>
      </c>
      <c r="I639" s="4" t="str">
        <f ca="1">IF(OR(INDEX($X$2:$X$1001,MATCH(ROWS($W$2:W639),$W$2:$W$1001,0),1)&gt;=100000,INDEX($AD$1005:$AU$1005,1,MATCH(COLUMNS($AD$1006:AK1006),$AD$1006:$AU$1006,0))&gt;=100000), " ",IF(INDEX($AD$2:$AU$1001,MATCH(ROWS($W$2:W639),$W$2:$W$1001,0),MATCH(COLUMNS($AD$1006:AK1006),$AD$1006:$AU$1006,0)), HYPERLINK("#",""), HYPERLINK(CONCATENATE("#metadata!", ADDRESS(INDEX($Y$2:$Y$1001,MATCH(ROWS($W$2:W639),$W$2:$W$1001,0),0), INDEX($AD$1004:$AU$1004,1,MATCH(COLUMNS($AD$1006:AK1006),$AD$1006:$AU$1006,0)))),"Fix")))</f>
        <v xml:space="preserve"> </v>
      </c>
      <c r="J639" s="4" t="str">
        <f ca="1">IF(OR(INDEX($X$2:$X$1001,MATCH(ROWS($W$2:W639),$W$2:$W$1001,0),1)&gt;=100000,INDEX($AD$1005:$AU$1005,1,MATCH(COLUMNS($AD$1006:AL1006),$AD$1006:$AU$1006,0))&gt;=100000), " ",IF(INDEX($AD$2:$AU$1001,MATCH(ROWS($W$2:W639),$W$2:$W$1001,0),MATCH(COLUMNS($AD$1006:AL1006),$AD$1006:$AU$1006,0)), HYPERLINK("#",""), HYPERLINK(CONCATENATE("#metadata!", ADDRESS(INDEX($Y$2:$Y$1001,MATCH(ROWS($W$2:W639),$W$2:$W$1001,0),0), INDEX($AD$1004:$AU$1004,1,MATCH(COLUMNS($AD$1006:AL1006),$AD$1006:$AU$1006,0)))),"Fix")))</f>
        <v xml:space="preserve"> </v>
      </c>
      <c r="K639" s="4" t="str">
        <f ca="1">IF(OR(INDEX($X$2:$X$1001,MATCH(ROWS($W$2:W639),$W$2:$W$1001,0),1)&gt;=100000,INDEX($AD$1005:$AU$1005,1,MATCH(COLUMNS($AD$1006:AM1006),$AD$1006:$AU$1006,0))&gt;=100000), " ",IF(INDEX($AD$2:$AU$1001,MATCH(ROWS($W$2:W639),$W$2:$W$1001,0),MATCH(COLUMNS($AD$1006:AM1006),$AD$1006:$AU$1006,0)), HYPERLINK("#",""), HYPERLINK(CONCATENATE("#metadata!", ADDRESS(INDEX($Y$2:$Y$1001,MATCH(ROWS($W$2:W639),$W$2:$W$1001,0),0), INDEX($AD$1004:$AU$1004,1,MATCH(COLUMNS($AD$1006:AM1006),$AD$1006:$AU$1006,0)))),"Fix")))</f>
        <v xml:space="preserve"> </v>
      </c>
      <c r="L639" s="4" t="str">
        <f ca="1">IF(OR(INDEX($X$2:$X$1001,MATCH(ROWS($W$2:W639),$W$2:$W$1001,0),1)&gt;=100000,INDEX($AD$1005:$AU$1005,1,MATCH(COLUMNS($AD$1006:AN1006),$AD$1006:$AU$1006,0))&gt;=100000), " ",IF(INDEX($AD$2:$AU$1001,MATCH(ROWS($W$2:W639),$W$2:$W$1001,0),MATCH(COLUMNS($AD$1006:AN1006),$AD$1006:$AU$1006,0)), HYPERLINK("#",""), HYPERLINK(CONCATENATE("#metadata!", ADDRESS(INDEX($Y$2:$Y$1001,MATCH(ROWS($W$2:W639),$W$2:$W$1001,0),0), INDEX($AD$1004:$AU$1004,1,MATCH(COLUMNS($AD$1006:AN1006),$AD$1006:$AU$1006,0)))),"Fix")))</f>
        <v xml:space="preserve"> </v>
      </c>
      <c r="M639" s="4" t="str">
        <f ca="1">IF(OR(INDEX($X$2:$X$1001,MATCH(ROWS($W$2:W639),$W$2:$W$1001,0),1)&gt;=100000,INDEX($AD$1005:$AU$1005,1,MATCH(COLUMNS($AD$1006:AO1006),$AD$1006:$AU$1006,0))&gt;=100000), " ",IF(INDEX($AD$2:$AU$1001,MATCH(ROWS($W$2:W639),$W$2:$W$1001,0),MATCH(COLUMNS($AD$1006:AO1006),$AD$1006:$AU$1006,0)), HYPERLINK("#",""), HYPERLINK(CONCATENATE("#metadata!", ADDRESS(INDEX($Y$2:$Y$1001,MATCH(ROWS($W$2:W639),$W$2:$W$1001,0),0), INDEX($AD$1004:$AU$1004,1,MATCH(COLUMNS($AD$1006:AO1006),$AD$1006:$AU$1006,0)))),"Fix")))</f>
        <v xml:space="preserve"> </v>
      </c>
      <c r="N639" s="4" t="str">
        <f ca="1">IF(OR(INDEX($X$2:$X$1001,MATCH(ROWS($W$2:W639),$W$2:$W$1001,0),1)&gt;=100000,INDEX($AD$1005:$AU$1005,1,MATCH(COLUMNS($AD$1006:AP1006),$AD$1006:$AU$1006,0))&gt;=100000), " ",IF(INDEX($AD$2:$AU$1001,MATCH(ROWS($W$2:W639),$W$2:$W$1001,0),MATCH(COLUMNS($AD$1006:AP1006),$AD$1006:$AU$1006,0)), HYPERLINK("#",""), HYPERLINK(CONCATENATE("#metadata!", ADDRESS(INDEX($Y$2:$Y$1001,MATCH(ROWS($W$2:W639),$W$2:$W$1001,0),0), INDEX($AD$1004:$AU$1004,1,MATCH(COLUMNS($AD$1006:AP1006),$AD$1006:$AU$1006,0)))),"Fix")))</f>
        <v xml:space="preserve"> </v>
      </c>
      <c r="O639" s="4" t="str">
        <f ca="1">IF(OR(INDEX($X$2:$X$1001,MATCH(ROWS($W$2:W639),$W$2:$W$1001,0),1)&gt;=100000,INDEX($AD$1005:$AU$1005,1,MATCH(COLUMNS($AD$1006:AQ1006),$AD$1006:$AU$1006,0))&gt;=100000), " ",IF(INDEX($AD$2:$AU$1001,MATCH(ROWS($W$2:W639),$W$2:$W$1001,0),MATCH(COLUMNS($AD$1006:AQ1006),$AD$1006:$AU$1006,0)), HYPERLINK("#",""), HYPERLINK(CONCATENATE("#metadata!", ADDRESS(INDEX($Y$2:$Y$1001,MATCH(ROWS($W$2:W639),$W$2:$W$1001,0),0), INDEX($AD$1004:$AU$1004,1,MATCH(COLUMNS($AD$1006:AQ1006),$AD$1006:$AU$1006,0)))),"Fix")))</f>
        <v xml:space="preserve"> </v>
      </c>
      <c r="P639" s="4" t="str">
        <f ca="1">IF(OR(INDEX($X$2:$X$1001,MATCH(ROWS($W$2:W639),$W$2:$W$1001,0),1)&gt;=100000,INDEX($AD$1005:$AU$1005,1,MATCH(COLUMNS($AD$1006:AR1006),$AD$1006:$AU$1006,0))&gt;=100000), " ",IF(INDEX($AD$2:$AU$1001,MATCH(ROWS($W$2:W639),$W$2:$W$1001,0),MATCH(COLUMNS($AD$1006:AR1006),$AD$1006:$AU$1006,0)), HYPERLINK("#",""), HYPERLINK(CONCATENATE("#metadata!", ADDRESS(INDEX($Y$2:$Y$1001,MATCH(ROWS($W$2:W639),$W$2:$W$1001,0),0), INDEX($AD$1004:$AU$1004,1,MATCH(COLUMNS($AD$1006:AR1006),$AD$1006:$AU$1006,0)))),"Fix")))</f>
        <v xml:space="preserve"> </v>
      </c>
      <c r="Q639" s="4" t="str">
        <f ca="1">IF(OR(INDEX($X$2:$X$1001,MATCH(ROWS($W$2:W639),$W$2:$W$1001,0),1)&gt;=100000,INDEX($AD$1005:$AU$1005,1,MATCH(COLUMNS($AD$1006:AS1006),$AD$1006:$AU$1006,0))&gt;=100000), " ",IF(INDEX($AD$2:$AU$1001,MATCH(ROWS($W$2:W639),$W$2:$W$1001,0),MATCH(COLUMNS($AD$1006:AS1006),$AD$1006:$AU$1006,0)), HYPERLINK("#",""), HYPERLINK(CONCATENATE("#metadata!", ADDRESS(INDEX($Y$2:$Y$1001,MATCH(ROWS($W$2:W639),$W$2:$W$1001,0),0), INDEX($AD$1004:$AU$1004,1,MATCH(COLUMNS($AD$1006:AS1006),$AD$1006:$AU$1006,0)))),"Fix")))</f>
        <v xml:space="preserve"> </v>
      </c>
      <c r="R639" s="4" t="str">
        <f ca="1">IF(OR(INDEX($X$2:$X$1001,MATCH(ROWS($W$2:W639),$W$2:$W$1001,0),1)&gt;=100000,INDEX($AD$1005:$AU$1005,1,MATCH(COLUMNS($AD$1006:AT1006),$AD$1006:$AU$1006,0))&gt;=100000), " ",IF(INDEX($AD$2:$AU$1001,MATCH(ROWS($W$2:W639),$W$2:$W$1001,0),MATCH(COLUMNS($AD$1006:AT1006),$AD$1006:$AU$1006,0)), HYPERLINK("#",""), HYPERLINK(CONCATENATE("#metadata!", ADDRESS(INDEX($Y$2:$Y$1001,MATCH(ROWS($W$2:W639),$W$2:$W$1001,0),0), INDEX($AD$1004:$AU$1004,1,MATCH(COLUMNS($AD$1006:AT1006),$AD$1006:$AU$1006,0)))),"Fix")))</f>
        <v xml:space="preserve"> </v>
      </c>
      <c r="S639" s="4" t="str">
        <f ca="1">IF(OR(INDEX($X$2:$X$1001,MATCH(ROWS($W$2:W639),$W$2:$W$1001,0),1)&gt;=100000,INDEX($AD$1005:$AU$1005,1,MATCH(COLUMNS($AD$1006:AU1006),$AD$1006:$AU$1006,0))&gt;=100000), " ",IF(INDEX($AD$2:$AU$1001,MATCH(ROWS($W$2:W639),$W$2:$W$1001,0),MATCH(COLUMNS($AD$1006:AU1006),$AD$1006:$AU$1006,0)), HYPERLINK("#",""), HYPERLINK(CONCATENATE("#metadata!", ADDRESS(INDEX($Y$2:$Y$1001,MATCH(ROWS($W$2:W639),$W$2:$W$1001,0),0), INDEX($AD$1004:$AU$1004,1,MATCH(COLUMNS($AD$1006:AU1006),$AD$1006:$AU$1006,0)))),"Fix")))</f>
        <v xml:space="preserve"> </v>
      </c>
      <c r="W639">
        <v>638</v>
      </c>
      <c r="X639">
        <v>100639</v>
      </c>
      <c r="Y639">
        <v>639</v>
      </c>
      <c r="Z639" t="b">
        <f t="shared" si="9"/>
        <v>1</v>
      </c>
      <c r="AA639" t="b">
        <f>COUNTBLANK(metadata!B639:S639)=COLUMNS(metadata!B639:S639)</f>
        <v>1</v>
      </c>
      <c r="AB639" t="str">
        <v/>
      </c>
      <c r="AD639" t="b">
        <f ca="1">AND(IF(metadata!B639="",FALSE,TRUE),COUNTIF(metadata!B:B, metadata!B639) = 1,NOT(ISERROR(SUMPRODUCT(SEARCH(MID(metadata!B639,ROW(INDIRECT("1:"&amp;LEN(metadata!B639))), 1),"0123456789abcdefghijklmnopqrstuvwxyzABCDEFGHIJKLMNOPQRSTUVWXYZ.")))))</f>
        <v>0</v>
      </c>
      <c r="AE639" t="b">
        <f>OR(AND(IF(metadata!C639="",FALSE,TRUE),OR(EXACT(metadata!C639,"not applicable"),EXACT(metadata!C639,"missing: not collected"),EXACT(metadata!C639,"missing: not provided"),EXACT(metadata!C639,"missing: restricted access"))),AND(IF(metadata!C639="",FALSE,ISNUMBER(VALUE(metadata!C639))),metadata!C639&gt;0))</f>
        <v>0</v>
      </c>
      <c r="AF639" t="b">
        <f>AND(IF(metadata!D639="",FALSE,TRUE),EXACT(metadata!D639,"missing: not provided"))</f>
        <v>0</v>
      </c>
      <c r="AG639" t="b">
        <f>AND(IF(metadata!E639="",FALSE,TRUE),EXACT(metadata!E639,"Host-associated"))</f>
        <v>0</v>
      </c>
      <c r="AH639" t="b">
        <f>AND(IF(metadata!F639="",FALSE,TRUE),OR(EXACT(metadata!F639,"Animal"),EXACT(metadata!F639,"Fungus"),EXACT(metadata!F639,"Plant")))</f>
        <v>0</v>
      </c>
      <c r="AI639" t="b">
        <f>AND(IF(metadata!G639="",FALSE,TRUE),OR(EXACT(metadata!G639,"Plant secretion"),EXACT(metadata!G639,"Plant rhizosphere"),EXACT(metadata!G639,"Plant surface"),EXACT(metadata!G639,"Plant corpus"),EXACT(metadata!G639,"Fungus surface"),EXACT(metadata!G639,"Fungus corpus"),EXACT(metadata!G639,"Animal surface"),EXACT(metadata!G639,"Animal proximal gut"),EXACT(metadata!G639,"Animal corpus"),EXACT(metadata!G639,"Animal distal gut"),EXACT(metadata!G639,"Animal secretion")))</f>
        <v>0</v>
      </c>
      <c r="AJ639" t="b">
        <f>OR(AND(IF(metadata!H639="",FALSE,TRUE),OR(EXACT(metadata!H639,"missing: not collected"),EXACT(metadata!H639,"missing: not provided"),EXACT(metadata!H639,"missing: restricted access"))),AND(IF(metadata!H639="",FALSE,TRUE),OR(EXACT(metadata!H639,"organism-associated habitat"),EXACT(metadata!H639,"plant-associated habitat"),EXACT(metadata!H639,"animal-associated habitat"),EXACT(metadata!H639,"insecta-associated habitat"),EXACT(metadata!H639,"mammalia-associated habitat"),EXACT(metadata!H639,"human-associated habitat"),EXACT(metadata!H639,"livestock-associated habitat"))))</f>
        <v>0</v>
      </c>
      <c r="AK639" t="b">
        <f>AND(IF(metadata!I639="",FALSE,TRUE),EXACT(metadata!I639,"host-associated"))</f>
        <v>0</v>
      </c>
      <c r="AL639" t="b">
        <f>OR(AND(IF(metadata!J639="",FALSE,TRUE),OR(EXACT(metadata!J639,"not applicable"),EXACT(metadata!J639,"missing: not collected"),EXACT(metadata!J639,"missing: not provided"),EXACT(metadata!J639,"missing: restricted access"))),AND(IF(metadata!J639="",FALSE,ISNUMBER(VALUE(metadata!J639))),metadata!J639&gt;0))</f>
        <v>0</v>
      </c>
      <c r="AM639" t="b">
        <f>AND(IF(metadata!K639="",FALSE,TRUE),EXACT(metadata!K639,"missing: not provided"))</f>
        <v>0</v>
      </c>
      <c r="AN639" t="b">
        <f>IF(metadata!L639="",FALSE,TRUE)</f>
        <v>0</v>
      </c>
      <c r="AO639" t="b">
        <f>IF(metadata!M639="",FALSE,TRUE)</f>
        <v>0</v>
      </c>
      <c r="AP639" t="b">
        <f>OR(AND(IF(metadata!N639="",FALSE,TRUE),OR(EXACT(metadata!N639,"not applicable"),EXACT(metadata!N639,"missing: not collected"),EXACT(metadata!N639,"missing: not provided"))),AND(IF(metadata!N639="",FALSE,IF(ISERROR(INT(metadata!N639)),FALSE,INT(metadata!N639)=metadata!N639)),metadata!N639&gt;0))</f>
        <v>0</v>
      </c>
      <c r="AQ639" t="b">
        <f>AND(IF(metadata!O639="",FALSE,TRUE),EXACT(metadata!O639,"Not applicable"))</f>
        <v>0</v>
      </c>
      <c r="AR639" t="b">
        <f>OR(AND(IF(metadata!P639="",FALSE,TRUE),OR(EXACT(metadata!P639,"not applicable"),EXACT(metadata!P639,"missing: not collected"),EXACT(metadata!P639,"missing: not provided"),EXACT(metadata!P639,"missing: restricted access"))),IF(metadata!P639="",FALSE,IF(ISERROR(INT(metadata!P639)),FALSE,INT(metadata!P639)=metadata!P639)))</f>
        <v>0</v>
      </c>
      <c r="AS639" t="b">
        <f>AND(IF(metadata!Q639="",FALSE,TRUE),EXACT(metadata!Q639,"Not applicable"))</f>
        <v>0</v>
      </c>
      <c r="AT639" t="b">
        <f>OR(AND(IF(metadata!R639="",FALSE,TRUE),OR(EXACT(metadata!R639,"not applicable"),EXACT(metadata!R639,"missing: not collected"),EXACT(metadata!R639,"missing: not provided"),EXACT(metadata!R639,"missing: restricted access"))),AND(IF(metadata!R639="",FALSE,ISNUMBER(VALUE(metadata!R639))),metadata!R639&gt;0))</f>
        <v>0</v>
      </c>
      <c r="AU639" t="b">
        <f>AND(IF(metadata!S639="",FALSE,TRUE),EXACT(metadata!S639,"missing: not provided"))</f>
        <v>0</v>
      </c>
    </row>
    <row r="640" spans="1:47" x14ac:dyDescent="0.2">
      <c r="A640" s="5" t="str">
        <f ca="1">IF(B640=" "," ",HYPERLINK(CONCATENATE("#metadata!",ADDRESS(INDEX($Y$2:$Y$1001,MATCH(ROWS($W$2:W640),$W$2:$W$1001,0),0),1)),INDEX($AB$2:$AB$1001,MATCH(ROWS($W$2:W640),$W$2:$W$1001,0),0)))</f>
        <v xml:space="preserve"> </v>
      </c>
      <c r="B640" s="4" t="str">
        <f ca="1">IF(OR(INDEX($X$2:$X$1001,MATCH(ROWS($W$2:W640),$W$2:$W$1001,0),1)&gt;=100000,INDEX($AD$1005:$AU$1005,1,MATCH(COLUMNS($AD$1006:AD1006),$AD$1006:$AU$1006,0))&gt;=100000), " ",IF(INDEX($AD$2:$AU$1001,MATCH(ROWS($W$2:W640),$W$2:$W$1001,0),MATCH(COLUMNS($AD$1006:AD1006),$AD$1006:$AU$1006,0)), HYPERLINK("#",""), HYPERLINK(CONCATENATE("#metadata!", ADDRESS(INDEX($Y$2:$Y$1001,MATCH(ROWS($W$2:W640),$W$2:$W$1001,0),0), INDEX($AD$1004:$AU$1004,1,MATCH(COLUMNS($AD$1006:AD1006),$AD$1006:$AU$1006,0)))),"Fix")))</f>
        <v xml:space="preserve"> </v>
      </c>
      <c r="C640" s="4" t="str">
        <f ca="1">IF(OR(INDEX($X$2:$X$1001,MATCH(ROWS($W$2:W640),$W$2:$W$1001,0),1)&gt;=100000,INDEX($AD$1005:$AU$1005,1,MATCH(COLUMNS($AD$1006:AE1006),$AD$1006:$AU$1006,0))&gt;=100000), " ",IF(INDEX($AD$2:$AU$1001,MATCH(ROWS($W$2:W640),$W$2:$W$1001,0),MATCH(COLUMNS($AD$1006:AE1006),$AD$1006:$AU$1006,0)), HYPERLINK("#",""), HYPERLINK(CONCATENATE("#metadata!", ADDRESS(INDEX($Y$2:$Y$1001,MATCH(ROWS($W$2:W640),$W$2:$W$1001,0),0), INDEX($AD$1004:$AU$1004,1,MATCH(COLUMNS($AD$1006:AE1006),$AD$1006:$AU$1006,0)))),"Fix")))</f>
        <v xml:space="preserve"> </v>
      </c>
      <c r="D640" s="4" t="str">
        <f ca="1">IF(OR(INDEX($X$2:$X$1001,MATCH(ROWS($W$2:W640),$W$2:$W$1001,0),1)&gt;=100000,INDEX($AD$1005:$AU$1005,1,MATCH(COLUMNS($AD$1006:AF1006),$AD$1006:$AU$1006,0))&gt;=100000), " ",IF(INDEX($AD$2:$AU$1001,MATCH(ROWS($W$2:W640),$W$2:$W$1001,0),MATCH(COLUMNS($AD$1006:AF1006),$AD$1006:$AU$1006,0)), HYPERLINK("#",""), HYPERLINK(CONCATENATE("#metadata!", ADDRESS(INDEX($Y$2:$Y$1001,MATCH(ROWS($W$2:W640),$W$2:$W$1001,0),0), INDEX($AD$1004:$AU$1004,1,MATCH(COLUMNS($AD$1006:AF1006),$AD$1006:$AU$1006,0)))),"Fix")))</f>
        <v xml:space="preserve"> </v>
      </c>
      <c r="E640" s="4" t="str">
        <f ca="1">IF(OR(INDEX($X$2:$X$1001,MATCH(ROWS($W$2:W640),$W$2:$W$1001,0),1)&gt;=100000,INDEX($AD$1005:$AU$1005,1,MATCH(COLUMNS($AD$1006:AG1006),$AD$1006:$AU$1006,0))&gt;=100000), " ",IF(INDEX($AD$2:$AU$1001,MATCH(ROWS($W$2:W640),$W$2:$W$1001,0),MATCH(COLUMNS($AD$1006:AG1006),$AD$1006:$AU$1006,0)), HYPERLINK("#",""), HYPERLINK(CONCATENATE("#metadata!", ADDRESS(INDEX($Y$2:$Y$1001,MATCH(ROWS($W$2:W640),$W$2:$W$1001,0),0), INDEX($AD$1004:$AU$1004,1,MATCH(COLUMNS($AD$1006:AG1006),$AD$1006:$AU$1006,0)))),"Fix")))</f>
        <v xml:space="preserve"> </v>
      </c>
      <c r="F640" s="4" t="str">
        <f ca="1">IF(OR(INDEX($X$2:$X$1001,MATCH(ROWS($W$2:W640),$W$2:$W$1001,0),1)&gt;=100000,INDEX($AD$1005:$AU$1005,1,MATCH(COLUMNS($AD$1006:AH1006),$AD$1006:$AU$1006,0))&gt;=100000), " ",IF(INDEX($AD$2:$AU$1001,MATCH(ROWS($W$2:W640),$W$2:$W$1001,0),MATCH(COLUMNS($AD$1006:AH1006),$AD$1006:$AU$1006,0)), HYPERLINK("#",""), HYPERLINK(CONCATENATE("#metadata!", ADDRESS(INDEX($Y$2:$Y$1001,MATCH(ROWS($W$2:W640),$W$2:$W$1001,0),0), INDEX($AD$1004:$AU$1004,1,MATCH(COLUMNS($AD$1006:AH1006),$AD$1006:$AU$1006,0)))),"Fix")))</f>
        <v xml:space="preserve"> </v>
      </c>
      <c r="G640" s="4" t="str">
        <f ca="1">IF(OR(INDEX($X$2:$X$1001,MATCH(ROWS($W$2:W640),$W$2:$W$1001,0),1)&gt;=100000,INDEX($AD$1005:$AU$1005,1,MATCH(COLUMNS($AD$1006:AI1006),$AD$1006:$AU$1006,0))&gt;=100000), " ",IF(INDEX($AD$2:$AU$1001,MATCH(ROWS($W$2:W640),$W$2:$W$1001,0),MATCH(COLUMNS($AD$1006:AI1006),$AD$1006:$AU$1006,0)), HYPERLINK("#",""), HYPERLINK(CONCATENATE("#metadata!", ADDRESS(INDEX($Y$2:$Y$1001,MATCH(ROWS($W$2:W640),$W$2:$W$1001,0),0), INDEX($AD$1004:$AU$1004,1,MATCH(COLUMNS($AD$1006:AI1006),$AD$1006:$AU$1006,0)))),"Fix")))</f>
        <v xml:space="preserve"> </v>
      </c>
      <c r="H640" s="4" t="str">
        <f ca="1">IF(OR(INDEX($X$2:$X$1001,MATCH(ROWS($W$2:W640),$W$2:$W$1001,0),1)&gt;=100000,INDEX($AD$1005:$AU$1005,1,MATCH(COLUMNS($AD$1006:AJ1006),$AD$1006:$AU$1006,0))&gt;=100000), " ",IF(INDEX($AD$2:$AU$1001,MATCH(ROWS($W$2:W640),$W$2:$W$1001,0),MATCH(COLUMNS($AD$1006:AJ1006),$AD$1006:$AU$1006,0)), HYPERLINK("#",""), HYPERLINK(CONCATENATE("#metadata!", ADDRESS(INDEX($Y$2:$Y$1001,MATCH(ROWS($W$2:W640),$W$2:$W$1001,0),0), INDEX($AD$1004:$AU$1004,1,MATCH(COLUMNS($AD$1006:AJ1006),$AD$1006:$AU$1006,0)))),"Fix")))</f>
        <v xml:space="preserve"> </v>
      </c>
      <c r="I640" s="4" t="str">
        <f ca="1">IF(OR(INDEX($X$2:$X$1001,MATCH(ROWS($W$2:W640),$W$2:$W$1001,0),1)&gt;=100000,INDEX($AD$1005:$AU$1005,1,MATCH(COLUMNS($AD$1006:AK1006),$AD$1006:$AU$1006,0))&gt;=100000), " ",IF(INDEX($AD$2:$AU$1001,MATCH(ROWS($W$2:W640),$W$2:$W$1001,0),MATCH(COLUMNS($AD$1006:AK1006),$AD$1006:$AU$1006,0)), HYPERLINK("#",""), HYPERLINK(CONCATENATE("#metadata!", ADDRESS(INDEX($Y$2:$Y$1001,MATCH(ROWS($W$2:W640),$W$2:$W$1001,0),0), INDEX($AD$1004:$AU$1004,1,MATCH(COLUMNS($AD$1006:AK1006),$AD$1006:$AU$1006,0)))),"Fix")))</f>
        <v xml:space="preserve"> </v>
      </c>
      <c r="J640" s="4" t="str">
        <f ca="1">IF(OR(INDEX($X$2:$X$1001,MATCH(ROWS($W$2:W640),$W$2:$W$1001,0),1)&gt;=100000,INDEX($AD$1005:$AU$1005,1,MATCH(COLUMNS($AD$1006:AL1006),$AD$1006:$AU$1006,0))&gt;=100000), " ",IF(INDEX($AD$2:$AU$1001,MATCH(ROWS($W$2:W640),$W$2:$W$1001,0),MATCH(COLUMNS($AD$1006:AL1006),$AD$1006:$AU$1006,0)), HYPERLINK("#",""), HYPERLINK(CONCATENATE("#metadata!", ADDRESS(INDEX($Y$2:$Y$1001,MATCH(ROWS($W$2:W640),$W$2:$W$1001,0),0), INDEX($AD$1004:$AU$1004,1,MATCH(COLUMNS($AD$1006:AL1006),$AD$1006:$AU$1006,0)))),"Fix")))</f>
        <v xml:space="preserve"> </v>
      </c>
      <c r="K640" s="4" t="str">
        <f ca="1">IF(OR(INDEX($X$2:$X$1001,MATCH(ROWS($W$2:W640),$W$2:$W$1001,0),1)&gt;=100000,INDEX($AD$1005:$AU$1005,1,MATCH(COLUMNS($AD$1006:AM1006),$AD$1006:$AU$1006,0))&gt;=100000), " ",IF(INDEX($AD$2:$AU$1001,MATCH(ROWS($W$2:W640),$W$2:$W$1001,0),MATCH(COLUMNS($AD$1006:AM1006),$AD$1006:$AU$1006,0)), HYPERLINK("#",""), HYPERLINK(CONCATENATE("#metadata!", ADDRESS(INDEX($Y$2:$Y$1001,MATCH(ROWS($W$2:W640),$W$2:$W$1001,0),0), INDEX($AD$1004:$AU$1004,1,MATCH(COLUMNS($AD$1006:AM1006),$AD$1006:$AU$1006,0)))),"Fix")))</f>
        <v xml:space="preserve"> </v>
      </c>
      <c r="L640" s="4" t="str">
        <f ca="1">IF(OR(INDEX($X$2:$X$1001,MATCH(ROWS($W$2:W640),$W$2:$W$1001,0),1)&gt;=100000,INDEX($AD$1005:$AU$1005,1,MATCH(COLUMNS($AD$1006:AN1006),$AD$1006:$AU$1006,0))&gt;=100000), " ",IF(INDEX($AD$2:$AU$1001,MATCH(ROWS($W$2:W640),$W$2:$W$1001,0),MATCH(COLUMNS($AD$1006:AN1006),$AD$1006:$AU$1006,0)), HYPERLINK("#",""), HYPERLINK(CONCATENATE("#metadata!", ADDRESS(INDEX($Y$2:$Y$1001,MATCH(ROWS($W$2:W640),$W$2:$W$1001,0),0), INDEX($AD$1004:$AU$1004,1,MATCH(COLUMNS($AD$1006:AN1006),$AD$1006:$AU$1006,0)))),"Fix")))</f>
        <v xml:space="preserve"> </v>
      </c>
      <c r="M640" s="4" t="str">
        <f ca="1">IF(OR(INDEX($X$2:$X$1001,MATCH(ROWS($W$2:W640),$W$2:$W$1001,0),1)&gt;=100000,INDEX($AD$1005:$AU$1005,1,MATCH(COLUMNS($AD$1006:AO1006),$AD$1006:$AU$1006,0))&gt;=100000), " ",IF(INDEX($AD$2:$AU$1001,MATCH(ROWS($W$2:W640),$W$2:$W$1001,0),MATCH(COLUMNS($AD$1006:AO1006),$AD$1006:$AU$1006,0)), HYPERLINK("#",""), HYPERLINK(CONCATENATE("#metadata!", ADDRESS(INDEX($Y$2:$Y$1001,MATCH(ROWS($W$2:W640),$W$2:$W$1001,0),0), INDEX($AD$1004:$AU$1004,1,MATCH(COLUMNS($AD$1006:AO1006),$AD$1006:$AU$1006,0)))),"Fix")))</f>
        <v xml:space="preserve"> </v>
      </c>
      <c r="N640" s="4" t="str">
        <f ca="1">IF(OR(INDEX($X$2:$X$1001,MATCH(ROWS($W$2:W640),$W$2:$W$1001,0),1)&gt;=100000,INDEX($AD$1005:$AU$1005,1,MATCH(COLUMNS($AD$1006:AP1006),$AD$1006:$AU$1006,0))&gt;=100000), " ",IF(INDEX($AD$2:$AU$1001,MATCH(ROWS($W$2:W640),$W$2:$W$1001,0),MATCH(COLUMNS($AD$1006:AP1006),$AD$1006:$AU$1006,0)), HYPERLINK("#",""), HYPERLINK(CONCATENATE("#metadata!", ADDRESS(INDEX($Y$2:$Y$1001,MATCH(ROWS($W$2:W640),$W$2:$W$1001,0),0), INDEX($AD$1004:$AU$1004,1,MATCH(COLUMNS($AD$1006:AP1006),$AD$1006:$AU$1006,0)))),"Fix")))</f>
        <v xml:space="preserve"> </v>
      </c>
      <c r="O640" s="4" t="str">
        <f ca="1">IF(OR(INDEX($X$2:$X$1001,MATCH(ROWS($W$2:W640),$W$2:$W$1001,0),1)&gt;=100000,INDEX($AD$1005:$AU$1005,1,MATCH(COLUMNS($AD$1006:AQ1006),$AD$1006:$AU$1006,0))&gt;=100000), " ",IF(INDEX($AD$2:$AU$1001,MATCH(ROWS($W$2:W640),$W$2:$W$1001,0),MATCH(COLUMNS($AD$1006:AQ1006),$AD$1006:$AU$1006,0)), HYPERLINK("#",""), HYPERLINK(CONCATENATE("#metadata!", ADDRESS(INDEX($Y$2:$Y$1001,MATCH(ROWS($W$2:W640),$W$2:$W$1001,0),0), INDEX($AD$1004:$AU$1004,1,MATCH(COLUMNS($AD$1006:AQ1006),$AD$1006:$AU$1006,0)))),"Fix")))</f>
        <v xml:space="preserve"> </v>
      </c>
      <c r="P640" s="4" t="str">
        <f ca="1">IF(OR(INDEX($X$2:$X$1001,MATCH(ROWS($W$2:W640),$W$2:$W$1001,0),1)&gt;=100000,INDEX($AD$1005:$AU$1005,1,MATCH(COLUMNS($AD$1006:AR1006),$AD$1006:$AU$1006,0))&gt;=100000), " ",IF(INDEX($AD$2:$AU$1001,MATCH(ROWS($W$2:W640),$W$2:$W$1001,0),MATCH(COLUMNS($AD$1006:AR1006),$AD$1006:$AU$1006,0)), HYPERLINK("#",""), HYPERLINK(CONCATENATE("#metadata!", ADDRESS(INDEX($Y$2:$Y$1001,MATCH(ROWS($W$2:W640),$W$2:$W$1001,0),0), INDEX($AD$1004:$AU$1004,1,MATCH(COLUMNS($AD$1006:AR1006),$AD$1006:$AU$1006,0)))),"Fix")))</f>
        <v xml:space="preserve"> </v>
      </c>
      <c r="Q640" s="4" t="str">
        <f ca="1">IF(OR(INDEX($X$2:$X$1001,MATCH(ROWS($W$2:W640),$W$2:$W$1001,0),1)&gt;=100000,INDEX($AD$1005:$AU$1005,1,MATCH(COLUMNS($AD$1006:AS1006),$AD$1006:$AU$1006,0))&gt;=100000), " ",IF(INDEX($AD$2:$AU$1001,MATCH(ROWS($W$2:W640),$W$2:$W$1001,0),MATCH(COLUMNS($AD$1006:AS1006),$AD$1006:$AU$1006,0)), HYPERLINK("#",""), HYPERLINK(CONCATENATE("#metadata!", ADDRESS(INDEX($Y$2:$Y$1001,MATCH(ROWS($W$2:W640),$W$2:$W$1001,0),0), INDEX($AD$1004:$AU$1004,1,MATCH(COLUMNS($AD$1006:AS1006),$AD$1006:$AU$1006,0)))),"Fix")))</f>
        <v xml:space="preserve"> </v>
      </c>
      <c r="R640" s="4" t="str">
        <f ca="1">IF(OR(INDEX($X$2:$X$1001,MATCH(ROWS($W$2:W640),$W$2:$W$1001,0),1)&gt;=100000,INDEX($AD$1005:$AU$1005,1,MATCH(COLUMNS($AD$1006:AT1006),$AD$1006:$AU$1006,0))&gt;=100000), " ",IF(INDEX($AD$2:$AU$1001,MATCH(ROWS($W$2:W640),$W$2:$W$1001,0),MATCH(COLUMNS($AD$1006:AT1006),$AD$1006:$AU$1006,0)), HYPERLINK("#",""), HYPERLINK(CONCATENATE("#metadata!", ADDRESS(INDEX($Y$2:$Y$1001,MATCH(ROWS($W$2:W640),$W$2:$W$1001,0),0), INDEX($AD$1004:$AU$1004,1,MATCH(COLUMNS($AD$1006:AT1006),$AD$1006:$AU$1006,0)))),"Fix")))</f>
        <v xml:space="preserve"> </v>
      </c>
      <c r="S640" s="4" t="str">
        <f ca="1">IF(OR(INDEX($X$2:$X$1001,MATCH(ROWS($W$2:W640),$W$2:$W$1001,0),1)&gt;=100000,INDEX($AD$1005:$AU$1005,1,MATCH(COLUMNS($AD$1006:AU1006),$AD$1006:$AU$1006,0))&gt;=100000), " ",IF(INDEX($AD$2:$AU$1001,MATCH(ROWS($W$2:W640),$W$2:$W$1001,0),MATCH(COLUMNS($AD$1006:AU1006),$AD$1006:$AU$1006,0)), HYPERLINK("#",""), HYPERLINK(CONCATENATE("#metadata!", ADDRESS(INDEX($Y$2:$Y$1001,MATCH(ROWS($W$2:W640),$W$2:$W$1001,0),0), INDEX($AD$1004:$AU$1004,1,MATCH(COLUMNS($AD$1006:AU1006),$AD$1006:$AU$1006,0)))),"Fix")))</f>
        <v xml:space="preserve"> </v>
      </c>
      <c r="W640">
        <v>639</v>
      </c>
      <c r="X640">
        <v>100640</v>
      </c>
      <c r="Y640">
        <v>640</v>
      </c>
      <c r="Z640" t="b">
        <f t="shared" si="9"/>
        <v>1</v>
      </c>
      <c r="AA640" t="b">
        <f>COUNTBLANK(metadata!B640:S640)=COLUMNS(metadata!B640:S640)</f>
        <v>1</v>
      </c>
      <c r="AB640" t="str">
        <v/>
      </c>
      <c r="AD640" t="b">
        <f ca="1">AND(IF(metadata!B640="",FALSE,TRUE),COUNTIF(metadata!B:B, metadata!B640) = 1,NOT(ISERROR(SUMPRODUCT(SEARCH(MID(metadata!B640,ROW(INDIRECT("1:"&amp;LEN(metadata!B640))), 1),"0123456789abcdefghijklmnopqrstuvwxyzABCDEFGHIJKLMNOPQRSTUVWXYZ.")))))</f>
        <v>0</v>
      </c>
      <c r="AE640" t="b">
        <f>OR(AND(IF(metadata!C640="",FALSE,TRUE),OR(EXACT(metadata!C640,"not applicable"),EXACT(metadata!C640,"missing: not collected"),EXACT(metadata!C640,"missing: not provided"),EXACT(metadata!C640,"missing: restricted access"))),AND(IF(metadata!C640="",FALSE,ISNUMBER(VALUE(metadata!C640))),metadata!C640&gt;0))</f>
        <v>0</v>
      </c>
      <c r="AF640" t="b">
        <f>AND(IF(metadata!D640="",FALSE,TRUE),EXACT(metadata!D640,"missing: not provided"))</f>
        <v>0</v>
      </c>
      <c r="AG640" t="b">
        <f>AND(IF(metadata!E640="",FALSE,TRUE),EXACT(metadata!E640,"Host-associated"))</f>
        <v>0</v>
      </c>
      <c r="AH640" t="b">
        <f>AND(IF(metadata!F640="",FALSE,TRUE),OR(EXACT(metadata!F640,"Animal"),EXACT(metadata!F640,"Fungus"),EXACT(metadata!F640,"Plant")))</f>
        <v>0</v>
      </c>
      <c r="AI640" t="b">
        <f>AND(IF(metadata!G640="",FALSE,TRUE),OR(EXACT(metadata!G640,"Plant secretion"),EXACT(metadata!G640,"Plant rhizosphere"),EXACT(metadata!G640,"Plant surface"),EXACT(metadata!G640,"Plant corpus"),EXACT(metadata!G640,"Fungus surface"),EXACT(metadata!G640,"Fungus corpus"),EXACT(metadata!G640,"Animal surface"),EXACT(metadata!G640,"Animal proximal gut"),EXACT(metadata!G640,"Animal corpus"),EXACT(metadata!G640,"Animal distal gut"),EXACT(metadata!G640,"Animal secretion")))</f>
        <v>0</v>
      </c>
      <c r="AJ640" t="b">
        <f>OR(AND(IF(metadata!H640="",FALSE,TRUE),OR(EXACT(metadata!H640,"missing: not collected"),EXACT(metadata!H640,"missing: not provided"),EXACT(metadata!H640,"missing: restricted access"))),AND(IF(metadata!H640="",FALSE,TRUE),OR(EXACT(metadata!H640,"organism-associated habitat"),EXACT(metadata!H640,"plant-associated habitat"),EXACT(metadata!H640,"animal-associated habitat"),EXACT(metadata!H640,"insecta-associated habitat"),EXACT(metadata!H640,"mammalia-associated habitat"),EXACT(metadata!H640,"human-associated habitat"),EXACT(metadata!H640,"livestock-associated habitat"))))</f>
        <v>0</v>
      </c>
      <c r="AK640" t="b">
        <f>AND(IF(metadata!I640="",FALSE,TRUE),EXACT(metadata!I640,"host-associated"))</f>
        <v>0</v>
      </c>
      <c r="AL640" t="b">
        <f>OR(AND(IF(metadata!J640="",FALSE,TRUE),OR(EXACT(metadata!J640,"not applicable"),EXACT(metadata!J640,"missing: not collected"),EXACT(metadata!J640,"missing: not provided"),EXACT(metadata!J640,"missing: restricted access"))),AND(IF(metadata!J640="",FALSE,ISNUMBER(VALUE(metadata!J640))),metadata!J640&gt;0))</f>
        <v>0</v>
      </c>
      <c r="AM640" t="b">
        <f>AND(IF(metadata!K640="",FALSE,TRUE),EXACT(metadata!K640,"missing: not provided"))</f>
        <v>0</v>
      </c>
      <c r="AN640" t="b">
        <f>IF(metadata!L640="",FALSE,TRUE)</f>
        <v>0</v>
      </c>
      <c r="AO640" t="b">
        <f>IF(metadata!M640="",FALSE,TRUE)</f>
        <v>0</v>
      </c>
      <c r="AP640" t="b">
        <f>OR(AND(IF(metadata!N640="",FALSE,TRUE),OR(EXACT(metadata!N640,"not applicable"),EXACT(metadata!N640,"missing: not collected"),EXACT(metadata!N640,"missing: not provided"))),AND(IF(metadata!N640="",FALSE,IF(ISERROR(INT(metadata!N640)),FALSE,INT(metadata!N640)=metadata!N640)),metadata!N640&gt;0))</f>
        <v>0</v>
      </c>
      <c r="AQ640" t="b">
        <f>AND(IF(metadata!O640="",FALSE,TRUE),EXACT(metadata!O640,"Not applicable"))</f>
        <v>0</v>
      </c>
      <c r="AR640" t="b">
        <f>OR(AND(IF(metadata!P640="",FALSE,TRUE),OR(EXACT(metadata!P640,"not applicable"),EXACT(metadata!P640,"missing: not collected"),EXACT(metadata!P640,"missing: not provided"),EXACT(metadata!P640,"missing: restricted access"))),IF(metadata!P640="",FALSE,IF(ISERROR(INT(metadata!P640)),FALSE,INT(metadata!P640)=metadata!P640)))</f>
        <v>0</v>
      </c>
      <c r="AS640" t="b">
        <f>AND(IF(metadata!Q640="",FALSE,TRUE),EXACT(metadata!Q640,"Not applicable"))</f>
        <v>0</v>
      </c>
      <c r="AT640" t="b">
        <f>OR(AND(IF(metadata!R640="",FALSE,TRUE),OR(EXACT(metadata!R640,"not applicable"),EXACT(metadata!R640,"missing: not collected"),EXACT(metadata!R640,"missing: not provided"),EXACT(metadata!R640,"missing: restricted access"))),AND(IF(metadata!R640="",FALSE,ISNUMBER(VALUE(metadata!R640))),metadata!R640&gt;0))</f>
        <v>0</v>
      </c>
      <c r="AU640" t="b">
        <f>AND(IF(metadata!S640="",FALSE,TRUE),EXACT(metadata!S640,"missing: not provided"))</f>
        <v>0</v>
      </c>
    </row>
    <row r="641" spans="1:47" x14ac:dyDescent="0.2">
      <c r="A641" s="5" t="str">
        <f ca="1">IF(B641=" "," ",HYPERLINK(CONCATENATE("#metadata!",ADDRESS(INDEX($Y$2:$Y$1001,MATCH(ROWS($W$2:W641),$W$2:$W$1001,0),0),1)),INDEX($AB$2:$AB$1001,MATCH(ROWS($W$2:W641),$W$2:$W$1001,0),0)))</f>
        <v xml:space="preserve"> </v>
      </c>
      <c r="B641" s="4" t="str">
        <f ca="1">IF(OR(INDEX($X$2:$X$1001,MATCH(ROWS($W$2:W641),$W$2:$W$1001,0),1)&gt;=100000,INDEX($AD$1005:$AU$1005,1,MATCH(COLUMNS($AD$1006:AD1006),$AD$1006:$AU$1006,0))&gt;=100000), " ",IF(INDEX($AD$2:$AU$1001,MATCH(ROWS($W$2:W641),$W$2:$W$1001,0),MATCH(COLUMNS($AD$1006:AD1006),$AD$1006:$AU$1006,0)), HYPERLINK("#",""), HYPERLINK(CONCATENATE("#metadata!", ADDRESS(INDEX($Y$2:$Y$1001,MATCH(ROWS($W$2:W641),$W$2:$W$1001,0),0), INDEX($AD$1004:$AU$1004,1,MATCH(COLUMNS($AD$1006:AD1006),$AD$1006:$AU$1006,0)))),"Fix")))</f>
        <v xml:space="preserve"> </v>
      </c>
      <c r="C641" s="4" t="str">
        <f ca="1">IF(OR(INDEX($X$2:$X$1001,MATCH(ROWS($W$2:W641),$W$2:$W$1001,0),1)&gt;=100000,INDEX($AD$1005:$AU$1005,1,MATCH(COLUMNS($AD$1006:AE1006),$AD$1006:$AU$1006,0))&gt;=100000), " ",IF(INDEX($AD$2:$AU$1001,MATCH(ROWS($W$2:W641),$W$2:$W$1001,0),MATCH(COLUMNS($AD$1006:AE1006),$AD$1006:$AU$1006,0)), HYPERLINK("#",""), HYPERLINK(CONCATENATE("#metadata!", ADDRESS(INDEX($Y$2:$Y$1001,MATCH(ROWS($W$2:W641),$W$2:$W$1001,0),0), INDEX($AD$1004:$AU$1004,1,MATCH(COLUMNS($AD$1006:AE1006),$AD$1006:$AU$1006,0)))),"Fix")))</f>
        <v xml:space="preserve"> </v>
      </c>
      <c r="D641" s="4" t="str">
        <f ca="1">IF(OR(INDEX($X$2:$X$1001,MATCH(ROWS($W$2:W641),$W$2:$W$1001,0),1)&gt;=100000,INDEX($AD$1005:$AU$1005,1,MATCH(COLUMNS($AD$1006:AF1006),$AD$1006:$AU$1006,0))&gt;=100000), " ",IF(INDEX($AD$2:$AU$1001,MATCH(ROWS($W$2:W641),$W$2:$W$1001,0),MATCH(COLUMNS($AD$1006:AF1006),$AD$1006:$AU$1006,0)), HYPERLINK("#",""), HYPERLINK(CONCATENATE("#metadata!", ADDRESS(INDEX($Y$2:$Y$1001,MATCH(ROWS($W$2:W641),$W$2:$W$1001,0),0), INDEX($AD$1004:$AU$1004,1,MATCH(COLUMNS($AD$1006:AF1006),$AD$1006:$AU$1006,0)))),"Fix")))</f>
        <v xml:space="preserve"> </v>
      </c>
      <c r="E641" s="4" t="str">
        <f ca="1">IF(OR(INDEX($X$2:$X$1001,MATCH(ROWS($W$2:W641),$W$2:$W$1001,0),1)&gt;=100000,INDEX($AD$1005:$AU$1005,1,MATCH(COLUMNS($AD$1006:AG1006),$AD$1006:$AU$1006,0))&gt;=100000), " ",IF(INDEX($AD$2:$AU$1001,MATCH(ROWS($W$2:W641),$W$2:$W$1001,0),MATCH(COLUMNS($AD$1006:AG1006),$AD$1006:$AU$1006,0)), HYPERLINK("#",""), HYPERLINK(CONCATENATE("#metadata!", ADDRESS(INDEX($Y$2:$Y$1001,MATCH(ROWS($W$2:W641),$W$2:$W$1001,0),0), INDEX($AD$1004:$AU$1004,1,MATCH(COLUMNS($AD$1006:AG1006),$AD$1006:$AU$1006,0)))),"Fix")))</f>
        <v xml:space="preserve"> </v>
      </c>
      <c r="F641" s="4" t="str">
        <f ca="1">IF(OR(INDEX($X$2:$X$1001,MATCH(ROWS($W$2:W641),$W$2:$W$1001,0),1)&gt;=100000,INDEX($AD$1005:$AU$1005,1,MATCH(COLUMNS($AD$1006:AH1006),$AD$1006:$AU$1006,0))&gt;=100000), " ",IF(INDEX($AD$2:$AU$1001,MATCH(ROWS($W$2:W641),$W$2:$W$1001,0),MATCH(COLUMNS($AD$1006:AH1006),$AD$1006:$AU$1006,0)), HYPERLINK("#",""), HYPERLINK(CONCATENATE("#metadata!", ADDRESS(INDEX($Y$2:$Y$1001,MATCH(ROWS($W$2:W641),$W$2:$W$1001,0),0), INDEX($AD$1004:$AU$1004,1,MATCH(COLUMNS($AD$1006:AH1006),$AD$1006:$AU$1006,0)))),"Fix")))</f>
        <v xml:space="preserve"> </v>
      </c>
      <c r="G641" s="4" t="str">
        <f ca="1">IF(OR(INDEX($X$2:$X$1001,MATCH(ROWS($W$2:W641),$W$2:$W$1001,0),1)&gt;=100000,INDEX($AD$1005:$AU$1005,1,MATCH(COLUMNS($AD$1006:AI1006),$AD$1006:$AU$1006,0))&gt;=100000), " ",IF(INDEX($AD$2:$AU$1001,MATCH(ROWS($W$2:W641),$W$2:$W$1001,0),MATCH(COLUMNS($AD$1006:AI1006),$AD$1006:$AU$1006,0)), HYPERLINK("#",""), HYPERLINK(CONCATENATE("#metadata!", ADDRESS(INDEX($Y$2:$Y$1001,MATCH(ROWS($W$2:W641),$W$2:$W$1001,0),0), INDEX($AD$1004:$AU$1004,1,MATCH(COLUMNS($AD$1006:AI1006),$AD$1006:$AU$1006,0)))),"Fix")))</f>
        <v xml:space="preserve"> </v>
      </c>
      <c r="H641" s="4" t="str">
        <f ca="1">IF(OR(INDEX($X$2:$X$1001,MATCH(ROWS($W$2:W641),$W$2:$W$1001,0),1)&gt;=100000,INDEX($AD$1005:$AU$1005,1,MATCH(COLUMNS($AD$1006:AJ1006),$AD$1006:$AU$1006,0))&gt;=100000), " ",IF(INDEX($AD$2:$AU$1001,MATCH(ROWS($W$2:W641),$W$2:$W$1001,0),MATCH(COLUMNS($AD$1006:AJ1006),$AD$1006:$AU$1006,0)), HYPERLINK("#",""), HYPERLINK(CONCATENATE("#metadata!", ADDRESS(INDEX($Y$2:$Y$1001,MATCH(ROWS($W$2:W641),$W$2:$W$1001,0),0), INDEX($AD$1004:$AU$1004,1,MATCH(COLUMNS($AD$1006:AJ1006),$AD$1006:$AU$1006,0)))),"Fix")))</f>
        <v xml:space="preserve"> </v>
      </c>
      <c r="I641" s="4" t="str">
        <f ca="1">IF(OR(INDEX($X$2:$X$1001,MATCH(ROWS($W$2:W641),$W$2:$W$1001,0),1)&gt;=100000,INDEX($AD$1005:$AU$1005,1,MATCH(COLUMNS($AD$1006:AK1006),$AD$1006:$AU$1006,0))&gt;=100000), " ",IF(INDEX($AD$2:$AU$1001,MATCH(ROWS($W$2:W641),$W$2:$W$1001,0),MATCH(COLUMNS($AD$1006:AK1006),$AD$1006:$AU$1006,0)), HYPERLINK("#",""), HYPERLINK(CONCATENATE("#metadata!", ADDRESS(INDEX($Y$2:$Y$1001,MATCH(ROWS($W$2:W641),$W$2:$W$1001,0),0), INDEX($AD$1004:$AU$1004,1,MATCH(COLUMNS($AD$1006:AK1006),$AD$1006:$AU$1006,0)))),"Fix")))</f>
        <v xml:space="preserve"> </v>
      </c>
      <c r="J641" s="4" t="str">
        <f ca="1">IF(OR(INDEX($X$2:$X$1001,MATCH(ROWS($W$2:W641),$W$2:$W$1001,0),1)&gt;=100000,INDEX($AD$1005:$AU$1005,1,MATCH(COLUMNS($AD$1006:AL1006),$AD$1006:$AU$1006,0))&gt;=100000), " ",IF(INDEX($AD$2:$AU$1001,MATCH(ROWS($W$2:W641),$W$2:$W$1001,0),MATCH(COLUMNS($AD$1006:AL1006),$AD$1006:$AU$1006,0)), HYPERLINK("#",""), HYPERLINK(CONCATENATE("#metadata!", ADDRESS(INDEX($Y$2:$Y$1001,MATCH(ROWS($W$2:W641),$W$2:$W$1001,0),0), INDEX($AD$1004:$AU$1004,1,MATCH(COLUMNS($AD$1006:AL1006),$AD$1006:$AU$1006,0)))),"Fix")))</f>
        <v xml:space="preserve"> </v>
      </c>
      <c r="K641" s="4" t="str">
        <f ca="1">IF(OR(INDEX($X$2:$X$1001,MATCH(ROWS($W$2:W641),$W$2:$W$1001,0),1)&gt;=100000,INDEX($AD$1005:$AU$1005,1,MATCH(COLUMNS($AD$1006:AM1006),$AD$1006:$AU$1006,0))&gt;=100000), " ",IF(INDEX($AD$2:$AU$1001,MATCH(ROWS($W$2:W641),$W$2:$W$1001,0),MATCH(COLUMNS($AD$1006:AM1006),$AD$1006:$AU$1006,0)), HYPERLINK("#",""), HYPERLINK(CONCATENATE("#metadata!", ADDRESS(INDEX($Y$2:$Y$1001,MATCH(ROWS($W$2:W641),$W$2:$W$1001,0),0), INDEX($AD$1004:$AU$1004,1,MATCH(COLUMNS($AD$1006:AM1006),$AD$1006:$AU$1006,0)))),"Fix")))</f>
        <v xml:space="preserve"> </v>
      </c>
      <c r="L641" s="4" t="str">
        <f ca="1">IF(OR(INDEX($X$2:$X$1001,MATCH(ROWS($W$2:W641),$W$2:$W$1001,0),1)&gt;=100000,INDEX($AD$1005:$AU$1005,1,MATCH(COLUMNS($AD$1006:AN1006),$AD$1006:$AU$1006,0))&gt;=100000), " ",IF(INDEX($AD$2:$AU$1001,MATCH(ROWS($W$2:W641),$W$2:$W$1001,0),MATCH(COLUMNS($AD$1006:AN1006),$AD$1006:$AU$1006,0)), HYPERLINK("#",""), HYPERLINK(CONCATENATE("#metadata!", ADDRESS(INDEX($Y$2:$Y$1001,MATCH(ROWS($W$2:W641),$W$2:$W$1001,0),0), INDEX($AD$1004:$AU$1004,1,MATCH(COLUMNS($AD$1006:AN1006),$AD$1006:$AU$1006,0)))),"Fix")))</f>
        <v xml:space="preserve"> </v>
      </c>
      <c r="M641" s="4" t="str">
        <f ca="1">IF(OR(INDEX($X$2:$X$1001,MATCH(ROWS($W$2:W641),$W$2:$W$1001,0),1)&gt;=100000,INDEX($AD$1005:$AU$1005,1,MATCH(COLUMNS($AD$1006:AO1006),$AD$1006:$AU$1006,0))&gt;=100000), " ",IF(INDEX($AD$2:$AU$1001,MATCH(ROWS($W$2:W641),$W$2:$W$1001,0),MATCH(COLUMNS($AD$1006:AO1006),$AD$1006:$AU$1006,0)), HYPERLINK("#",""), HYPERLINK(CONCATENATE("#metadata!", ADDRESS(INDEX($Y$2:$Y$1001,MATCH(ROWS($W$2:W641),$W$2:$W$1001,0),0), INDEX($AD$1004:$AU$1004,1,MATCH(COLUMNS($AD$1006:AO1006),$AD$1006:$AU$1006,0)))),"Fix")))</f>
        <v xml:space="preserve"> </v>
      </c>
      <c r="N641" s="4" t="str">
        <f ca="1">IF(OR(INDEX($X$2:$X$1001,MATCH(ROWS($W$2:W641),$W$2:$W$1001,0),1)&gt;=100000,INDEX($AD$1005:$AU$1005,1,MATCH(COLUMNS($AD$1006:AP1006),$AD$1006:$AU$1006,0))&gt;=100000), " ",IF(INDEX($AD$2:$AU$1001,MATCH(ROWS($W$2:W641),$W$2:$W$1001,0),MATCH(COLUMNS($AD$1006:AP1006),$AD$1006:$AU$1006,0)), HYPERLINK("#",""), HYPERLINK(CONCATENATE("#metadata!", ADDRESS(INDEX($Y$2:$Y$1001,MATCH(ROWS($W$2:W641),$W$2:$W$1001,0),0), INDEX($AD$1004:$AU$1004,1,MATCH(COLUMNS($AD$1006:AP1006),$AD$1006:$AU$1006,0)))),"Fix")))</f>
        <v xml:space="preserve"> </v>
      </c>
      <c r="O641" s="4" t="str">
        <f ca="1">IF(OR(INDEX($X$2:$X$1001,MATCH(ROWS($W$2:W641),$W$2:$W$1001,0),1)&gt;=100000,INDEX($AD$1005:$AU$1005,1,MATCH(COLUMNS($AD$1006:AQ1006),$AD$1006:$AU$1006,0))&gt;=100000), " ",IF(INDEX($AD$2:$AU$1001,MATCH(ROWS($W$2:W641),$W$2:$W$1001,0),MATCH(COLUMNS($AD$1006:AQ1006),$AD$1006:$AU$1006,0)), HYPERLINK("#",""), HYPERLINK(CONCATENATE("#metadata!", ADDRESS(INDEX($Y$2:$Y$1001,MATCH(ROWS($W$2:W641),$W$2:$W$1001,0),0), INDEX($AD$1004:$AU$1004,1,MATCH(COLUMNS($AD$1006:AQ1006),$AD$1006:$AU$1006,0)))),"Fix")))</f>
        <v xml:space="preserve"> </v>
      </c>
      <c r="P641" s="4" t="str">
        <f ca="1">IF(OR(INDEX($X$2:$X$1001,MATCH(ROWS($W$2:W641),$W$2:$W$1001,0),1)&gt;=100000,INDEX($AD$1005:$AU$1005,1,MATCH(COLUMNS($AD$1006:AR1006),$AD$1006:$AU$1006,0))&gt;=100000), " ",IF(INDEX($AD$2:$AU$1001,MATCH(ROWS($W$2:W641),$W$2:$W$1001,0),MATCH(COLUMNS($AD$1006:AR1006),$AD$1006:$AU$1006,0)), HYPERLINK("#",""), HYPERLINK(CONCATENATE("#metadata!", ADDRESS(INDEX($Y$2:$Y$1001,MATCH(ROWS($W$2:W641),$W$2:$W$1001,0),0), INDEX($AD$1004:$AU$1004,1,MATCH(COLUMNS($AD$1006:AR1006),$AD$1006:$AU$1006,0)))),"Fix")))</f>
        <v xml:space="preserve"> </v>
      </c>
      <c r="Q641" s="4" t="str">
        <f ca="1">IF(OR(INDEX($X$2:$X$1001,MATCH(ROWS($W$2:W641),$W$2:$W$1001,0),1)&gt;=100000,INDEX($AD$1005:$AU$1005,1,MATCH(COLUMNS($AD$1006:AS1006),$AD$1006:$AU$1006,0))&gt;=100000), " ",IF(INDEX($AD$2:$AU$1001,MATCH(ROWS($W$2:W641),$W$2:$W$1001,0),MATCH(COLUMNS($AD$1006:AS1006),$AD$1006:$AU$1006,0)), HYPERLINK("#",""), HYPERLINK(CONCATENATE("#metadata!", ADDRESS(INDEX($Y$2:$Y$1001,MATCH(ROWS($W$2:W641),$W$2:$W$1001,0),0), INDEX($AD$1004:$AU$1004,1,MATCH(COLUMNS($AD$1006:AS1006),$AD$1006:$AU$1006,0)))),"Fix")))</f>
        <v xml:space="preserve"> </v>
      </c>
      <c r="R641" s="4" t="str">
        <f ca="1">IF(OR(INDEX($X$2:$X$1001,MATCH(ROWS($W$2:W641),$W$2:$W$1001,0),1)&gt;=100000,INDEX($AD$1005:$AU$1005,1,MATCH(COLUMNS($AD$1006:AT1006),$AD$1006:$AU$1006,0))&gt;=100000), " ",IF(INDEX($AD$2:$AU$1001,MATCH(ROWS($W$2:W641),$W$2:$W$1001,0),MATCH(COLUMNS($AD$1006:AT1006),$AD$1006:$AU$1006,0)), HYPERLINK("#",""), HYPERLINK(CONCATENATE("#metadata!", ADDRESS(INDEX($Y$2:$Y$1001,MATCH(ROWS($W$2:W641),$W$2:$W$1001,0),0), INDEX($AD$1004:$AU$1004,1,MATCH(COLUMNS($AD$1006:AT1006),$AD$1006:$AU$1006,0)))),"Fix")))</f>
        <v xml:space="preserve"> </v>
      </c>
      <c r="S641" s="4" t="str">
        <f ca="1">IF(OR(INDEX($X$2:$X$1001,MATCH(ROWS($W$2:W641),$W$2:$W$1001,0),1)&gt;=100000,INDEX($AD$1005:$AU$1005,1,MATCH(COLUMNS($AD$1006:AU1006),$AD$1006:$AU$1006,0))&gt;=100000), " ",IF(INDEX($AD$2:$AU$1001,MATCH(ROWS($W$2:W641),$W$2:$W$1001,0),MATCH(COLUMNS($AD$1006:AU1006),$AD$1006:$AU$1006,0)), HYPERLINK("#",""), HYPERLINK(CONCATENATE("#metadata!", ADDRESS(INDEX($Y$2:$Y$1001,MATCH(ROWS($W$2:W641),$W$2:$W$1001,0),0), INDEX($AD$1004:$AU$1004,1,MATCH(COLUMNS($AD$1006:AU1006),$AD$1006:$AU$1006,0)))),"Fix")))</f>
        <v xml:space="preserve"> </v>
      </c>
      <c r="W641">
        <v>640</v>
      </c>
      <c r="X641">
        <v>100641</v>
      </c>
      <c r="Y641">
        <v>641</v>
      </c>
      <c r="Z641" t="b">
        <f t="shared" si="9"/>
        <v>1</v>
      </c>
      <c r="AA641" t="b">
        <f>COUNTBLANK(metadata!B641:S641)=COLUMNS(metadata!B641:S641)</f>
        <v>1</v>
      </c>
      <c r="AB641" t="str">
        <v/>
      </c>
      <c r="AD641" t="b">
        <f ca="1">AND(IF(metadata!B641="",FALSE,TRUE),COUNTIF(metadata!B:B, metadata!B641) = 1,NOT(ISERROR(SUMPRODUCT(SEARCH(MID(metadata!B641,ROW(INDIRECT("1:"&amp;LEN(metadata!B641))), 1),"0123456789abcdefghijklmnopqrstuvwxyzABCDEFGHIJKLMNOPQRSTUVWXYZ.")))))</f>
        <v>0</v>
      </c>
      <c r="AE641" t="b">
        <f>OR(AND(IF(metadata!C641="",FALSE,TRUE),OR(EXACT(metadata!C641,"not applicable"),EXACT(metadata!C641,"missing: not collected"),EXACT(metadata!C641,"missing: not provided"),EXACT(metadata!C641,"missing: restricted access"))),AND(IF(metadata!C641="",FALSE,ISNUMBER(VALUE(metadata!C641))),metadata!C641&gt;0))</f>
        <v>0</v>
      </c>
      <c r="AF641" t="b">
        <f>AND(IF(metadata!D641="",FALSE,TRUE),EXACT(metadata!D641,"missing: not provided"))</f>
        <v>0</v>
      </c>
      <c r="AG641" t="b">
        <f>AND(IF(metadata!E641="",FALSE,TRUE),EXACT(metadata!E641,"Host-associated"))</f>
        <v>0</v>
      </c>
      <c r="AH641" t="b">
        <f>AND(IF(metadata!F641="",FALSE,TRUE),OR(EXACT(metadata!F641,"Animal"),EXACT(metadata!F641,"Fungus"),EXACT(metadata!F641,"Plant")))</f>
        <v>0</v>
      </c>
      <c r="AI641" t="b">
        <f>AND(IF(metadata!G641="",FALSE,TRUE),OR(EXACT(metadata!G641,"Plant secretion"),EXACT(metadata!G641,"Plant rhizosphere"),EXACT(metadata!G641,"Plant surface"),EXACT(metadata!G641,"Plant corpus"),EXACT(metadata!G641,"Fungus surface"),EXACT(metadata!G641,"Fungus corpus"),EXACT(metadata!G641,"Animal surface"),EXACT(metadata!G641,"Animal proximal gut"),EXACT(metadata!G641,"Animal corpus"),EXACT(metadata!G641,"Animal distal gut"),EXACT(metadata!G641,"Animal secretion")))</f>
        <v>0</v>
      </c>
      <c r="AJ641" t="b">
        <f>OR(AND(IF(metadata!H641="",FALSE,TRUE),OR(EXACT(metadata!H641,"missing: not collected"),EXACT(metadata!H641,"missing: not provided"),EXACT(metadata!H641,"missing: restricted access"))),AND(IF(metadata!H641="",FALSE,TRUE),OR(EXACT(metadata!H641,"organism-associated habitat"),EXACT(metadata!H641,"plant-associated habitat"),EXACT(metadata!H641,"animal-associated habitat"),EXACT(metadata!H641,"insecta-associated habitat"),EXACT(metadata!H641,"mammalia-associated habitat"),EXACT(metadata!H641,"human-associated habitat"),EXACT(metadata!H641,"livestock-associated habitat"))))</f>
        <v>0</v>
      </c>
      <c r="AK641" t="b">
        <f>AND(IF(metadata!I641="",FALSE,TRUE),EXACT(metadata!I641,"host-associated"))</f>
        <v>0</v>
      </c>
      <c r="AL641" t="b">
        <f>OR(AND(IF(metadata!J641="",FALSE,TRUE),OR(EXACT(metadata!J641,"not applicable"),EXACT(metadata!J641,"missing: not collected"),EXACT(metadata!J641,"missing: not provided"),EXACT(metadata!J641,"missing: restricted access"))),AND(IF(metadata!J641="",FALSE,ISNUMBER(VALUE(metadata!J641))),metadata!J641&gt;0))</f>
        <v>0</v>
      </c>
      <c r="AM641" t="b">
        <f>AND(IF(metadata!K641="",FALSE,TRUE),EXACT(metadata!K641,"missing: not provided"))</f>
        <v>0</v>
      </c>
      <c r="AN641" t="b">
        <f>IF(metadata!L641="",FALSE,TRUE)</f>
        <v>0</v>
      </c>
      <c r="AO641" t="b">
        <f>IF(metadata!M641="",FALSE,TRUE)</f>
        <v>0</v>
      </c>
      <c r="AP641" t="b">
        <f>OR(AND(IF(metadata!N641="",FALSE,TRUE),OR(EXACT(metadata!N641,"not applicable"),EXACT(metadata!N641,"missing: not collected"),EXACT(metadata!N641,"missing: not provided"))),AND(IF(metadata!N641="",FALSE,IF(ISERROR(INT(metadata!N641)),FALSE,INT(metadata!N641)=metadata!N641)),metadata!N641&gt;0))</f>
        <v>0</v>
      </c>
      <c r="AQ641" t="b">
        <f>AND(IF(metadata!O641="",FALSE,TRUE),EXACT(metadata!O641,"Not applicable"))</f>
        <v>0</v>
      </c>
      <c r="AR641" t="b">
        <f>OR(AND(IF(metadata!P641="",FALSE,TRUE),OR(EXACT(metadata!P641,"not applicable"),EXACT(metadata!P641,"missing: not collected"),EXACT(metadata!P641,"missing: not provided"),EXACT(metadata!P641,"missing: restricted access"))),IF(metadata!P641="",FALSE,IF(ISERROR(INT(metadata!P641)),FALSE,INT(metadata!P641)=metadata!P641)))</f>
        <v>0</v>
      </c>
      <c r="AS641" t="b">
        <f>AND(IF(metadata!Q641="",FALSE,TRUE),EXACT(metadata!Q641,"Not applicable"))</f>
        <v>0</v>
      </c>
      <c r="AT641" t="b">
        <f>OR(AND(IF(metadata!R641="",FALSE,TRUE),OR(EXACT(metadata!R641,"not applicable"),EXACT(metadata!R641,"missing: not collected"),EXACT(metadata!R641,"missing: not provided"),EXACT(metadata!R641,"missing: restricted access"))),AND(IF(metadata!R641="",FALSE,ISNUMBER(VALUE(metadata!R641))),metadata!R641&gt;0))</f>
        <v>0</v>
      </c>
      <c r="AU641" t="b">
        <f>AND(IF(metadata!S641="",FALSE,TRUE),EXACT(metadata!S641,"missing: not provided"))</f>
        <v>0</v>
      </c>
    </row>
    <row r="642" spans="1:47" x14ac:dyDescent="0.2">
      <c r="A642" s="5" t="str">
        <f ca="1">IF(B642=" "," ",HYPERLINK(CONCATENATE("#metadata!",ADDRESS(INDEX($Y$2:$Y$1001,MATCH(ROWS($W$2:W642),$W$2:$W$1001,0),0),1)),INDEX($AB$2:$AB$1001,MATCH(ROWS($W$2:W642),$W$2:$W$1001,0),0)))</f>
        <v xml:space="preserve"> </v>
      </c>
      <c r="B642" s="4" t="str">
        <f ca="1">IF(OR(INDEX($X$2:$X$1001,MATCH(ROWS($W$2:W642),$W$2:$W$1001,0),1)&gt;=100000,INDEX($AD$1005:$AU$1005,1,MATCH(COLUMNS($AD$1006:AD1006),$AD$1006:$AU$1006,0))&gt;=100000), " ",IF(INDEX($AD$2:$AU$1001,MATCH(ROWS($W$2:W642),$W$2:$W$1001,0),MATCH(COLUMNS($AD$1006:AD1006),$AD$1006:$AU$1006,0)), HYPERLINK("#",""), HYPERLINK(CONCATENATE("#metadata!", ADDRESS(INDEX($Y$2:$Y$1001,MATCH(ROWS($W$2:W642),$W$2:$W$1001,0),0), INDEX($AD$1004:$AU$1004,1,MATCH(COLUMNS($AD$1006:AD1006),$AD$1006:$AU$1006,0)))),"Fix")))</f>
        <v xml:space="preserve"> </v>
      </c>
      <c r="C642" s="4" t="str">
        <f ca="1">IF(OR(INDEX($X$2:$X$1001,MATCH(ROWS($W$2:W642),$W$2:$W$1001,0),1)&gt;=100000,INDEX($AD$1005:$AU$1005,1,MATCH(COLUMNS($AD$1006:AE1006),$AD$1006:$AU$1006,0))&gt;=100000), " ",IF(INDEX($AD$2:$AU$1001,MATCH(ROWS($W$2:W642),$W$2:$W$1001,0),MATCH(COLUMNS($AD$1006:AE1006),$AD$1006:$AU$1006,0)), HYPERLINK("#",""), HYPERLINK(CONCATENATE("#metadata!", ADDRESS(INDEX($Y$2:$Y$1001,MATCH(ROWS($W$2:W642),$W$2:$W$1001,0),0), INDEX($AD$1004:$AU$1004,1,MATCH(COLUMNS($AD$1006:AE1006),$AD$1006:$AU$1006,0)))),"Fix")))</f>
        <v xml:space="preserve"> </v>
      </c>
      <c r="D642" s="4" t="str">
        <f ca="1">IF(OR(INDEX($X$2:$X$1001,MATCH(ROWS($W$2:W642),$W$2:$W$1001,0),1)&gt;=100000,INDEX($AD$1005:$AU$1005,1,MATCH(COLUMNS($AD$1006:AF1006),$AD$1006:$AU$1006,0))&gt;=100000), " ",IF(INDEX($AD$2:$AU$1001,MATCH(ROWS($W$2:W642),$W$2:$W$1001,0),MATCH(COLUMNS($AD$1006:AF1006),$AD$1006:$AU$1006,0)), HYPERLINK("#",""), HYPERLINK(CONCATENATE("#metadata!", ADDRESS(INDEX($Y$2:$Y$1001,MATCH(ROWS($W$2:W642),$W$2:$W$1001,0),0), INDEX($AD$1004:$AU$1004,1,MATCH(COLUMNS($AD$1006:AF1006),$AD$1006:$AU$1006,0)))),"Fix")))</f>
        <v xml:space="preserve"> </v>
      </c>
      <c r="E642" s="4" t="str">
        <f ca="1">IF(OR(INDEX($X$2:$X$1001,MATCH(ROWS($W$2:W642),$W$2:$W$1001,0),1)&gt;=100000,INDEX($AD$1005:$AU$1005,1,MATCH(COLUMNS($AD$1006:AG1006),$AD$1006:$AU$1006,0))&gt;=100000), " ",IF(INDEX($AD$2:$AU$1001,MATCH(ROWS($W$2:W642),$W$2:$W$1001,0),MATCH(COLUMNS($AD$1006:AG1006),$AD$1006:$AU$1006,0)), HYPERLINK("#",""), HYPERLINK(CONCATENATE("#metadata!", ADDRESS(INDEX($Y$2:$Y$1001,MATCH(ROWS($W$2:W642),$W$2:$W$1001,0),0), INDEX($AD$1004:$AU$1004,1,MATCH(COLUMNS($AD$1006:AG1006),$AD$1006:$AU$1006,0)))),"Fix")))</f>
        <v xml:space="preserve"> </v>
      </c>
      <c r="F642" s="4" t="str">
        <f ca="1">IF(OR(INDEX($X$2:$X$1001,MATCH(ROWS($W$2:W642),$W$2:$W$1001,0),1)&gt;=100000,INDEX($AD$1005:$AU$1005,1,MATCH(COLUMNS($AD$1006:AH1006),$AD$1006:$AU$1006,0))&gt;=100000), " ",IF(INDEX($AD$2:$AU$1001,MATCH(ROWS($W$2:W642),$W$2:$W$1001,0),MATCH(COLUMNS($AD$1006:AH1006),$AD$1006:$AU$1006,0)), HYPERLINK("#",""), HYPERLINK(CONCATENATE("#metadata!", ADDRESS(INDEX($Y$2:$Y$1001,MATCH(ROWS($W$2:W642),$W$2:$W$1001,0),0), INDEX($AD$1004:$AU$1004,1,MATCH(COLUMNS($AD$1006:AH1006),$AD$1006:$AU$1006,0)))),"Fix")))</f>
        <v xml:space="preserve"> </v>
      </c>
      <c r="G642" s="4" t="str">
        <f ca="1">IF(OR(INDEX($X$2:$X$1001,MATCH(ROWS($W$2:W642),$W$2:$W$1001,0),1)&gt;=100000,INDEX($AD$1005:$AU$1005,1,MATCH(COLUMNS($AD$1006:AI1006),$AD$1006:$AU$1006,0))&gt;=100000), " ",IF(INDEX($AD$2:$AU$1001,MATCH(ROWS($W$2:W642),$W$2:$W$1001,0),MATCH(COLUMNS($AD$1006:AI1006),$AD$1006:$AU$1006,0)), HYPERLINK("#",""), HYPERLINK(CONCATENATE("#metadata!", ADDRESS(INDEX($Y$2:$Y$1001,MATCH(ROWS($W$2:W642),$W$2:$W$1001,0),0), INDEX($AD$1004:$AU$1004,1,MATCH(COLUMNS($AD$1006:AI1006),$AD$1006:$AU$1006,0)))),"Fix")))</f>
        <v xml:space="preserve"> </v>
      </c>
      <c r="H642" s="4" t="str">
        <f ca="1">IF(OR(INDEX($X$2:$X$1001,MATCH(ROWS($W$2:W642),$W$2:$W$1001,0),1)&gt;=100000,INDEX($AD$1005:$AU$1005,1,MATCH(COLUMNS($AD$1006:AJ1006),$AD$1006:$AU$1006,0))&gt;=100000), " ",IF(INDEX($AD$2:$AU$1001,MATCH(ROWS($W$2:W642),$W$2:$W$1001,0),MATCH(COLUMNS($AD$1006:AJ1006),$AD$1006:$AU$1006,0)), HYPERLINK("#",""), HYPERLINK(CONCATENATE("#metadata!", ADDRESS(INDEX($Y$2:$Y$1001,MATCH(ROWS($W$2:W642),$W$2:$W$1001,0),0), INDEX($AD$1004:$AU$1004,1,MATCH(COLUMNS($AD$1006:AJ1006),$AD$1006:$AU$1006,0)))),"Fix")))</f>
        <v xml:space="preserve"> </v>
      </c>
      <c r="I642" s="4" t="str">
        <f ca="1">IF(OR(INDEX($X$2:$X$1001,MATCH(ROWS($W$2:W642),$W$2:$W$1001,0),1)&gt;=100000,INDEX($AD$1005:$AU$1005,1,MATCH(COLUMNS($AD$1006:AK1006),$AD$1006:$AU$1006,0))&gt;=100000), " ",IF(INDEX($AD$2:$AU$1001,MATCH(ROWS($W$2:W642),$W$2:$W$1001,0),MATCH(COLUMNS($AD$1006:AK1006),$AD$1006:$AU$1006,0)), HYPERLINK("#",""), HYPERLINK(CONCATENATE("#metadata!", ADDRESS(INDEX($Y$2:$Y$1001,MATCH(ROWS($W$2:W642),$W$2:$W$1001,0),0), INDEX($AD$1004:$AU$1004,1,MATCH(COLUMNS($AD$1006:AK1006),$AD$1006:$AU$1006,0)))),"Fix")))</f>
        <v xml:space="preserve"> </v>
      </c>
      <c r="J642" s="4" t="str">
        <f ca="1">IF(OR(INDEX($X$2:$X$1001,MATCH(ROWS($W$2:W642),$W$2:$W$1001,0),1)&gt;=100000,INDEX($AD$1005:$AU$1005,1,MATCH(COLUMNS($AD$1006:AL1006),$AD$1006:$AU$1006,0))&gt;=100000), " ",IF(INDEX($AD$2:$AU$1001,MATCH(ROWS($W$2:W642),$W$2:$W$1001,0),MATCH(COLUMNS($AD$1006:AL1006),$AD$1006:$AU$1006,0)), HYPERLINK("#",""), HYPERLINK(CONCATENATE("#metadata!", ADDRESS(INDEX($Y$2:$Y$1001,MATCH(ROWS($W$2:W642),$W$2:$W$1001,0),0), INDEX($AD$1004:$AU$1004,1,MATCH(COLUMNS($AD$1006:AL1006),$AD$1006:$AU$1006,0)))),"Fix")))</f>
        <v xml:space="preserve"> </v>
      </c>
      <c r="K642" s="4" t="str">
        <f ca="1">IF(OR(INDEX($X$2:$X$1001,MATCH(ROWS($W$2:W642),$W$2:$W$1001,0),1)&gt;=100000,INDEX($AD$1005:$AU$1005,1,MATCH(COLUMNS($AD$1006:AM1006),$AD$1006:$AU$1006,0))&gt;=100000), " ",IF(INDEX($AD$2:$AU$1001,MATCH(ROWS($W$2:W642),$W$2:$W$1001,0),MATCH(COLUMNS($AD$1006:AM1006),$AD$1006:$AU$1006,0)), HYPERLINK("#",""), HYPERLINK(CONCATENATE("#metadata!", ADDRESS(INDEX($Y$2:$Y$1001,MATCH(ROWS($W$2:W642),$W$2:$W$1001,0),0), INDEX($AD$1004:$AU$1004,1,MATCH(COLUMNS($AD$1006:AM1006),$AD$1006:$AU$1006,0)))),"Fix")))</f>
        <v xml:space="preserve"> </v>
      </c>
      <c r="L642" s="4" t="str">
        <f ca="1">IF(OR(INDEX($X$2:$X$1001,MATCH(ROWS($W$2:W642),$W$2:$W$1001,0),1)&gt;=100000,INDEX($AD$1005:$AU$1005,1,MATCH(COLUMNS($AD$1006:AN1006),$AD$1006:$AU$1006,0))&gt;=100000), " ",IF(INDEX($AD$2:$AU$1001,MATCH(ROWS($W$2:W642),$W$2:$W$1001,0),MATCH(COLUMNS($AD$1006:AN1006),$AD$1006:$AU$1006,0)), HYPERLINK("#",""), HYPERLINK(CONCATENATE("#metadata!", ADDRESS(INDEX($Y$2:$Y$1001,MATCH(ROWS($W$2:W642),$W$2:$W$1001,0),0), INDEX($AD$1004:$AU$1004,1,MATCH(COLUMNS($AD$1006:AN1006),$AD$1006:$AU$1006,0)))),"Fix")))</f>
        <v xml:space="preserve"> </v>
      </c>
      <c r="M642" s="4" t="str">
        <f ca="1">IF(OR(INDEX($X$2:$X$1001,MATCH(ROWS($W$2:W642),$W$2:$W$1001,0),1)&gt;=100000,INDEX($AD$1005:$AU$1005,1,MATCH(COLUMNS($AD$1006:AO1006),$AD$1006:$AU$1006,0))&gt;=100000), " ",IF(INDEX($AD$2:$AU$1001,MATCH(ROWS($W$2:W642),$W$2:$W$1001,0),MATCH(COLUMNS($AD$1006:AO1006),$AD$1006:$AU$1006,0)), HYPERLINK("#",""), HYPERLINK(CONCATENATE("#metadata!", ADDRESS(INDEX($Y$2:$Y$1001,MATCH(ROWS($W$2:W642),$W$2:$W$1001,0),0), INDEX($AD$1004:$AU$1004,1,MATCH(COLUMNS($AD$1006:AO1006),$AD$1006:$AU$1006,0)))),"Fix")))</f>
        <v xml:space="preserve"> </v>
      </c>
      <c r="N642" s="4" t="str">
        <f ca="1">IF(OR(INDEX($X$2:$X$1001,MATCH(ROWS($W$2:W642),$W$2:$W$1001,0),1)&gt;=100000,INDEX($AD$1005:$AU$1005,1,MATCH(COLUMNS($AD$1006:AP1006),$AD$1006:$AU$1006,0))&gt;=100000), " ",IF(INDEX($AD$2:$AU$1001,MATCH(ROWS($W$2:W642),$W$2:$W$1001,0),MATCH(COLUMNS($AD$1006:AP1006),$AD$1006:$AU$1006,0)), HYPERLINK("#",""), HYPERLINK(CONCATENATE("#metadata!", ADDRESS(INDEX($Y$2:$Y$1001,MATCH(ROWS($W$2:W642),$W$2:$W$1001,0),0), INDEX($AD$1004:$AU$1004,1,MATCH(COLUMNS($AD$1006:AP1006),$AD$1006:$AU$1006,0)))),"Fix")))</f>
        <v xml:space="preserve"> </v>
      </c>
      <c r="O642" s="4" t="str">
        <f ca="1">IF(OR(INDEX($X$2:$X$1001,MATCH(ROWS($W$2:W642),$W$2:$W$1001,0),1)&gt;=100000,INDEX($AD$1005:$AU$1005,1,MATCH(COLUMNS($AD$1006:AQ1006),$AD$1006:$AU$1006,0))&gt;=100000), " ",IF(INDEX($AD$2:$AU$1001,MATCH(ROWS($W$2:W642),$W$2:$W$1001,0),MATCH(COLUMNS($AD$1006:AQ1006),$AD$1006:$AU$1006,0)), HYPERLINK("#",""), HYPERLINK(CONCATENATE("#metadata!", ADDRESS(INDEX($Y$2:$Y$1001,MATCH(ROWS($W$2:W642),$W$2:$W$1001,0),0), INDEX($AD$1004:$AU$1004,1,MATCH(COLUMNS($AD$1006:AQ1006),$AD$1006:$AU$1006,0)))),"Fix")))</f>
        <v xml:space="preserve"> </v>
      </c>
      <c r="P642" s="4" t="str">
        <f ca="1">IF(OR(INDEX($X$2:$X$1001,MATCH(ROWS($W$2:W642),$W$2:$W$1001,0),1)&gt;=100000,INDEX($AD$1005:$AU$1005,1,MATCH(COLUMNS($AD$1006:AR1006),$AD$1006:$AU$1006,0))&gt;=100000), " ",IF(INDEX($AD$2:$AU$1001,MATCH(ROWS($W$2:W642),$W$2:$W$1001,0),MATCH(COLUMNS($AD$1006:AR1006),$AD$1006:$AU$1006,0)), HYPERLINK("#",""), HYPERLINK(CONCATENATE("#metadata!", ADDRESS(INDEX($Y$2:$Y$1001,MATCH(ROWS($W$2:W642),$W$2:$W$1001,0),0), INDEX($AD$1004:$AU$1004,1,MATCH(COLUMNS($AD$1006:AR1006),$AD$1006:$AU$1006,0)))),"Fix")))</f>
        <v xml:space="preserve"> </v>
      </c>
      <c r="Q642" s="4" t="str">
        <f ca="1">IF(OR(INDEX($X$2:$X$1001,MATCH(ROWS($W$2:W642),$W$2:$W$1001,0),1)&gt;=100000,INDEX($AD$1005:$AU$1005,1,MATCH(COLUMNS($AD$1006:AS1006),$AD$1006:$AU$1006,0))&gt;=100000), " ",IF(INDEX($AD$2:$AU$1001,MATCH(ROWS($W$2:W642),$W$2:$W$1001,0),MATCH(COLUMNS($AD$1006:AS1006),$AD$1006:$AU$1006,0)), HYPERLINK("#",""), HYPERLINK(CONCATENATE("#metadata!", ADDRESS(INDEX($Y$2:$Y$1001,MATCH(ROWS($W$2:W642),$W$2:$W$1001,0),0), INDEX($AD$1004:$AU$1004,1,MATCH(COLUMNS($AD$1006:AS1006),$AD$1006:$AU$1006,0)))),"Fix")))</f>
        <v xml:space="preserve"> </v>
      </c>
      <c r="R642" s="4" t="str">
        <f ca="1">IF(OR(INDEX($X$2:$X$1001,MATCH(ROWS($W$2:W642),$W$2:$W$1001,0),1)&gt;=100000,INDEX($AD$1005:$AU$1005,1,MATCH(COLUMNS($AD$1006:AT1006),$AD$1006:$AU$1006,0))&gt;=100000), " ",IF(INDEX($AD$2:$AU$1001,MATCH(ROWS($W$2:W642),$W$2:$W$1001,0),MATCH(COLUMNS($AD$1006:AT1006),$AD$1006:$AU$1006,0)), HYPERLINK("#",""), HYPERLINK(CONCATENATE("#metadata!", ADDRESS(INDEX($Y$2:$Y$1001,MATCH(ROWS($W$2:W642),$W$2:$W$1001,0),0), INDEX($AD$1004:$AU$1004,1,MATCH(COLUMNS($AD$1006:AT1006),$AD$1006:$AU$1006,0)))),"Fix")))</f>
        <v xml:space="preserve"> </v>
      </c>
      <c r="S642" s="4" t="str">
        <f ca="1">IF(OR(INDEX($X$2:$X$1001,MATCH(ROWS($W$2:W642),$W$2:$W$1001,0),1)&gt;=100000,INDEX($AD$1005:$AU$1005,1,MATCH(COLUMNS($AD$1006:AU1006),$AD$1006:$AU$1006,0))&gt;=100000), " ",IF(INDEX($AD$2:$AU$1001,MATCH(ROWS($W$2:W642),$W$2:$W$1001,0),MATCH(COLUMNS($AD$1006:AU1006),$AD$1006:$AU$1006,0)), HYPERLINK("#",""), HYPERLINK(CONCATENATE("#metadata!", ADDRESS(INDEX($Y$2:$Y$1001,MATCH(ROWS($W$2:W642),$W$2:$W$1001,0),0), INDEX($AD$1004:$AU$1004,1,MATCH(COLUMNS($AD$1006:AU1006),$AD$1006:$AU$1006,0)))),"Fix")))</f>
        <v xml:space="preserve"> </v>
      </c>
      <c r="W642">
        <v>641</v>
      </c>
      <c r="X642">
        <v>100642</v>
      </c>
      <c r="Y642">
        <v>642</v>
      </c>
      <c r="Z642" t="b">
        <f t="shared" ref="Z642:Z705" si="10">IF(AA642,TRUE,AND(AD642:AU642))</f>
        <v>1</v>
      </c>
      <c r="AA642" t="b">
        <f>COUNTBLANK(metadata!B642:S642)=COLUMNS(metadata!B642:S642)</f>
        <v>1</v>
      </c>
      <c r="AB642" t="str">
        <v/>
      </c>
      <c r="AD642" t="b">
        <f ca="1">AND(IF(metadata!B642="",FALSE,TRUE),COUNTIF(metadata!B:B, metadata!B642) = 1,NOT(ISERROR(SUMPRODUCT(SEARCH(MID(metadata!B642,ROW(INDIRECT("1:"&amp;LEN(metadata!B642))), 1),"0123456789abcdefghijklmnopqrstuvwxyzABCDEFGHIJKLMNOPQRSTUVWXYZ.")))))</f>
        <v>0</v>
      </c>
      <c r="AE642" t="b">
        <f>OR(AND(IF(metadata!C642="",FALSE,TRUE),OR(EXACT(metadata!C642,"not applicable"),EXACT(metadata!C642,"missing: not collected"),EXACT(metadata!C642,"missing: not provided"),EXACT(metadata!C642,"missing: restricted access"))),AND(IF(metadata!C642="",FALSE,ISNUMBER(VALUE(metadata!C642))),metadata!C642&gt;0))</f>
        <v>0</v>
      </c>
      <c r="AF642" t="b">
        <f>AND(IF(metadata!D642="",FALSE,TRUE),EXACT(metadata!D642,"missing: not provided"))</f>
        <v>0</v>
      </c>
      <c r="AG642" t="b">
        <f>AND(IF(metadata!E642="",FALSE,TRUE),EXACT(metadata!E642,"Host-associated"))</f>
        <v>0</v>
      </c>
      <c r="AH642" t="b">
        <f>AND(IF(metadata!F642="",FALSE,TRUE),OR(EXACT(metadata!F642,"Animal"),EXACT(metadata!F642,"Fungus"),EXACT(metadata!F642,"Plant")))</f>
        <v>0</v>
      </c>
      <c r="AI642" t="b">
        <f>AND(IF(metadata!G642="",FALSE,TRUE),OR(EXACT(metadata!G642,"Plant secretion"),EXACT(metadata!G642,"Plant rhizosphere"),EXACT(metadata!G642,"Plant surface"),EXACT(metadata!G642,"Plant corpus"),EXACT(metadata!G642,"Fungus surface"),EXACT(metadata!G642,"Fungus corpus"),EXACT(metadata!G642,"Animal surface"),EXACT(metadata!G642,"Animal proximal gut"),EXACT(metadata!G642,"Animal corpus"),EXACT(metadata!G642,"Animal distal gut"),EXACT(metadata!G642,"Animal secretion")))</f>
        <v>0</v>
      </c>
      <c r="AJ642" t="b">
        <f>OR(AND(IF(metadata!H642="",FALSE,TRUE),OR(EXACT(metadata!H642,"missing: not collected"),EXACT(metadata!H642,"missing: not provided"),EXACT(metadata!H642,"missing: restricted access"))),AND(IF(metadata!H642="",FALSE,TRUE),OR(EXACT(metadata!H642,"organism-associated habitat"),EXACT(metadata!H642,"plant-associated habitat"),EXACT(metadata!H642,"animal-associated habitat"),EXACT(metadata!H642,"insecta-associated habitat"),EXACT(metadata!H642,"mammalia-associated habitat"),EXACT(metadata!H642,"human-associated habitat"),EXACT(metadata!H642,"livestock-associated habitat"))))</f>
        <v>0</v>
      </c>
      <c r="AK642" t="b">
        <f>AND(IF(metadata!I642="",FALSE,TRUE),EXACT(metadata!I642,"host-associated"))</f>
        <v>0</v>
      </c>
      <c r="AL642" t="b">
        <f>OR(AND(IF(metadata!J642="",FALSE,TRUE),OR(EXACT(metadata!J642,"not applicable"),EXACT(metadata!J642,"missing: not collected"),EXACT(metadata!J642,"missing: not provided"),EXACT(metadata!J642,"missing: restricted access"))),AND(IF(metadata!J642="",FALSE,ISNUMBER(VALUE(metadata!J642))),metadata!J642&gt;0))</f>
        <v>0</v>
      </c>
      <c r="AM642" t="b">
        <f>AND(IF(metadata!K642="",FALSE,TRUE),EXACT(metadata!K642,"missing: not provided"))</f>
        <v>0</v>
      </c>
      <c r="AN642" t="b">
        <f>IF(metadata!L642="",FALSE,TRUE)</f>
        <v>0</v>
      </c>
      <c r="AO642" t="b">
        <f>IF(metadata!M642="",FALSE,TRUE)</f>
        <v>0</v>
      </c>
      <c r="AP642" t="b">
        <f>OR(AND(IF(metadata!N642="",FALSE,TRUE),OR(EXACT(metadata!N642,"not applicable"),EXACT(metadata!N642,"missing: not collected"),EXACT(metadata!N642,"missing: not provided"))),AND(IF(metadata!N642="",FALSE,IF(ISERROR(INT(metadata!N642)),FALSE,INT(metadata!N642)=metadata!N642)),metadata!N642&gt;0))</f>
        <v>0</v>
      </c>
      <c r="AQ642" t="b">
        <f>AND(IF(metadata!O642="",FALSE,TRUE),EXACT(metadata!O642,"Not applicable"))</f>
        <v>0</v>
      </c>
      <c r="AR642" t="b">
        <f>OR(AND(IF(metadata!P642="",FALSE,TRUE),OR(EXACT(metadata!P642,"not applicable"),EXACT(metadata!P642,"missing: not collected"),EXACT(metadata!P642,"missing: not provided"),EXACT(metadata!P642,"missing: restricted access"))),IF(metadata!P642="",FALSE,IF(ISERROR(INT(metadata!P642)),FALSE,INT(metadata!P642)=metadata!P642)))</f>
        <v>0</v>
      </c>
      <c r="AS642" t="b">
        <f>AND(IF(metadata!Q642="",FALSE,TRUE),EXACT(metadata!Q642,"Not applicable"))</f>
        <v>0</v>
      </c>
      <c r="AT642" t="b">
        <f>OR(AND(IF(metadata!R642="",FALSE,TRUE),OR(EXACT(metadata!R642,"not applicable"),EXACT(metadata!R642,"missing: not collected"),EXACT(metadata!R642,"missing: not provided"),EXACT(metadata!R642,"missing: restricted access"))),AND(IF(metadata!R642="",FALSE,ISNUMBER(VALUE(metadata!R642))),metadata!R642&gt;0))</f>
        <v>0</v>
      </c>
      <c r="AU642" t="b">
        <f>AND(IF(metadata!S642="",FALSE,TRUE),EXACT(metadata!S642,"missing: not provided"))</f>
        <v>0</v>
      </c>
    </row>
    <row r="643" spans="1:47" x14ac:dyDescent="0.2">
      <c r="A643" s="5" t="str">
        <f ca="1">IF(B643=" "," ",HYPERLINK(CONCATENATE("#metadata!",ADDRESS(INDEX($Y$2:$Y$1001,MATCH(ROWS($W$2:W643),$W$2:$W$1001,0),0),1)),INDEX($AB$2:$AB$1001,MATCH(ROWS($W$2:W643),$W$2:$W$1001,0),0)))</f>
        <v xml:space="preserve"> </v>
      </c>
      <c r="B643" s="4" t="str">
        <f ca="1">IF(OR(INDEX($X$2:$X$1001,MATCH(ROWS($W$2:W643),$W$2:$W$1001,0),1)&gt;=100000,INDEX($AD$1005:$AU$1005,1,MATCH(COLUMNS($AD$1006:AD1006),$AD$1006:$AU$1006,0))&gt;=100000), " ",IF(INDEX($AD$2:$AU$1001,MATCH(ROWS($W$2:W643),$W$2:$W$1001,0),MATCH(COLUMNS($AD$1006:AD1006),$AD$1006:$AU$1006,0)), HYPERLINK("#",""), HYPERLINK(CONCATENATE("#metadata!", ADDRESS(INDEX($Y$2:$Y$1001,MATCH(ROWS($W$2:W643),$W$2:$W$1001,0),0), INDEX($AD$1004:$AU$1004,1,MATCH(COLUMNS($AD$1006:AD1006),$AD$1006:$AU$1006,0)))),"Fix")))</f>
        <v xml:space="preserve"> </v>
      </c>
      <c r="C643" s="4" t="str">
        <f ca="1">IF(OR(INDEX($X$2:$X$1001,MATCH(ROWS($W$2:W643),$W$2:$W$1001,0),1)&gt;=100000,INDEX($AD$1005:$AU$1005,1,MATCH(COLUMNS($AD$1006:AE1006),$AD$1006:$AU$1006,0))&gt;=100000), " ",IF(INDEX($AD$2:$AU$1001,MATCH(ROWS($W$2:W643),$W$2:$W$1001,0),MATCH(COLUMNS($AD$1006:AE1006),$AD$1006:$AU$1006,0)), HYPERLINK("#",""), HYPERLINK(CONCATENATE("#metadata!", ADDRESS(INDEX($Y$2:$Y$1001,MATCH(ROWS($W$2:W643),$W$2:$W$1001,0),0), INDEX($AD$1004:$AU$1004,1,MATCH(COLUMNS($AD$1006:AE1006),$AD$1006:$AU$1006,0)))),"Fix")))</f>
        <v xml:space="preserve"> </v>
      </c>
      <c r="D643" s="4" t="str">
        <f ca="1">IF(OR(INDEX($X$2:$X$1001,MATCH(ROWS($W$2:W643),$W$2:$W$1001,0),1)&gt;=100000,INDEX($AD$1005:$AU$1005,1,MATCH(COLUMNS($AD$1006:AF1006),$AD$1006:$AU$1006,0))&gt;=100000), " ",IF(INDEX($AD$2:$AU$1001,MATCH(ROWS($W$2:W643),$W$2:$W$1001,0),MATCH(COLUMNS($AD$1006:AF1006),$AD$1006:$AU$1006,0)), HYPERLINK("#",""), HYPERLINK(CONCATENATE("#metadata!", ADDRESS(INDEX($Y$2:$Y$1001,MATCH(ROWS($W$2:W643),$W$2:$W$1001,0),0), INDEX($AD$1004:$AU$1004,1,MATCH(COLUMNS($AD$1006:AF1006),$AD$1006:$AU$1006,0)))),"Fix")))</f>
        <v xml:space="preserve"> </v>
      </c>
      <c r="E643" s="4" t="str">
        <f ca="1">IF(OR(INDEX($X$2:$X$1001,MATCH(ROWS($W$2:W643),$W$2:$W$1001,0),1)&gt;=100000,INDEX($AD$1005:$AU$1005,1,MATCH(COLUMNS($AD$1006:AG1006),$AD$1006:$AU$1006,0))&gt;=100000), " ",IF(INDEX($AD$2:$AU$1001,MATCH(ROWS($W$2:W643),$W$2:$W$1001,0),MATCH(COLUMNS($AD$1006:AG1006),$AD$1006:$AU$1006,0)), HYPERLINK("#",""), HYPERLINK(CONCATENATE("#metadata!", ADDRESS(INDEX($Y$2:$Y$1001,MATCH(ROWS($W$2:W643),$W$2:$W$1001,0),0), INDEX($AD$1004:$AU$1004,1,MATCH(COLUMNS($AD$1006:AG1006),$AD$1006:$AU$1006,0)))),"Fix")))</f>
        <v xml:space="preserve"> </v>
      </c>
      <c r="F643" s="4" t="str">
        <f ca="1">IF(OR(INDEX($X$2:$X$1001,MATCH(ROWS($W$2:W643),$W$2:$W$1001,0),1)&gt;=100000,INDEX($AD$1005:$AU$1005,1,MATCH(COLUMNS($AD$1006:AH1006),$AD$1006:$AU$1006,0))&gt;=100000), " ",IF(INDEX($AD$2:$AU$1001,MATCH(ROWS($W$2:W643),$W$2:$W$1001,0),MATCH(COLUMNS($AD$1006:AH1006),$AD$1006:$AU$1006,0)), HYPERLINK("#",""), HYPERLINK(CONCATENATE("#metadata!", ADDRESS(INDEX($Y$2:$Y$1001,MATCH(ROWS($W$2:W643),$W$2:$W$1001,0),0), INDEX($AD$1004:$AU$1004,1,MATCH(COLUMNS($AD$1006:AH1006),$AD$1006:$AU$1006,0)))),"Fix")))</f>
        <v xml:space="preserve"> </v>
      </c>
      <c r="G643" s="4" t="str">
        <f ca="1">IF(OR(INDEX($X$2:$X$1001,MATCH(ROWS($W$2:W643),$W$2:$W$1001,0),1)&gt;=100000,INDEX($AD$1005:$AU$1005,1,MATCH(COLUMNS($AD$1006:AI1006),$AD$1006:$AU$1006,0))&gt;=100000), " ",IF(INDEX($AD$2:$AU$1001,MATCH(ROWS($W$2:W643),$W$2:$W$1001,0),MATCH(COLUMNS($AD$1006:AI1006),$AD$1006:$AU$1006,0)), HYPERLINK("#",""), HYPERLINK(CONCATENATE("#metadata!", ADDRESS(INDEX($Y$2:$Y$1001,MATCH(ROWS($W$2:W643),$W$2:$W$1001,0),0), INDEX($AD$1004:$AU$1004,1,MATCH(COLUMNS($AD$1006:AI1006),$AD$1006:$AU$1006,0)))),"Fix")))</f>
        <v xml:space="preserve"> </v>
      </c>
      <c r="H643" s="4" t="str">
        <f ca="1">IF(OR(INDEX($X$2:$X$1001,MATCH(ROWS($W$2:W643),$W$2:$W$1001,0),1)&gt;=100000,INDEX($AD$1005:$AU$1005,1,MATCH(COLUMNS($AD$1006:AJ1006),$AD$1006:$AU$1006,0))&gt;=100000), " ",IF(INDEX($AD$2:$AU$1001,MATCH(ROWS($W$2:W643),$W$2:$W$1001,0),MATCH(COLUMNS($AD$1006:AJ1006),$AD$1006:$AU$1006,0)), HYPERLINK("#",""), HYPERLINK(CONCATENATE("#metadata!", ADDRESS(INDEX($Y$2:$Y$1001,MATCH(ROWS($W$2:W643),$W$2:$W$1001,0),0), INDEX($AD$1004:$AU$1004,1,MATCH(COLUMNS($AD$1006:AJ1006),$AD$1006:$AU$1006,0)))),"Fix")))</f>
        <v xml:space="preserve"> </v>
      </c>
      <c r="I643" s="4" t="str">
        <f ca="1">IF(OR(INDEX($X$2:$X$1001,MATCH(ROWS($W$2:W643),$W$2:$W$1001,0),1)&gt;=100000,INDEX($AD$1005:$AU$1005,1,MATCH(COLUMNS($AD$1006:AK1006),$AD$1006:$AU$1006,0))&gt;=100000), " ",IF(INDEX($AD$2:$AU$1001,MATCH(ROWS($W$2:W643),$W$2:$W$1001,0),MATCH(COLUMNS($AD$1006:AK1006),$AD$1006:$AU$1006,0)), HYPERLINK("#",""), HYPERLINK(CONCATENATE("#metadata!", ADDRESS(INDEX($Y$2:$Y$1001,MATCH(ROWS($W$2:W643),$W$2:$W$1001,0),0), INDEX($AD$1004:$AU$1004,1,MATCH(COLUMNS($AD$1006:AK1006),$AD$1006:$AU$1006,0)))),"Fix")))</f>
        <v xml:space="preserve"> </v>
      </c>
      <c r="J643" s="4" t="str">
        <f ca="1">IF(OR(INDEX($X$2:$X$1001,MATCH(ROWS($W$2:W643),$W$2:$W$1001,0),1)&gt;=100000,INDEX($AD$1005:$AU$1005,1,MATCH(COLUMNS($AD$1006:AL1006),$AD$1006:$AU$1006,0))&gt;=100000), " ",IF(INDEX($AD$2:$AU$1001,MATCH(ROWS($W$2:W643),$W$2:$W$1001,0),MATCH(COLUMNS($AD$1006:AL1006),$AD$1006:$AU$1006,0)), HYPERLINK("#",""), HYPERLINK(CONCATENATE("#metadata!", ADDRESS(INDEX($Y$2:$Y$1001,MATCH(ROWS($W$2:W643),$W$2:$W$1001,0),0), INDEX($AD$1004:$AU$1004,1,MATCH(COLUMNS($AD$1006:AL1006),$AD$1006:$AU$1006,0)))),"Fix")))</f>
        <v xml:space="preserve"> </v>
      </c>
      <c r="K643" s="4" t="str">
        <f ca="1">IF(OR(INDEX($X$2:$X$1001,MATCH(ROWS($W$2:W643),$W$2:$W$1001,0),1)&gt;=100000,INDEX($AD$1005:$AU$1005,1,MATCH(COLUMNS($AD$1006:AM1006),$AD$1006:$AU$1006,0))&gt;=100000), " ",IF(INDEX($AD$2:$AU$1001,MATCH(ROWS($W$2:W643),$W$2:$W$1001,0),MATCH(COLUMNS($AD$1006:AM1006),$AD$1006:$AU$1006,0)), HYPERLINK("#",""), HYPERLINK(CONCATENATE("#metadata!", ADDRESS(INDEX($Y$2:$Y$1001,MATCH(ROWS($W$2:W643),$W$2:$W$1001,0),0), INDEX($AD$1004:$AU$1004,1,MATCH(COLUMNS($AD$1006:AM1006),$AD$1006:$AU$1006,0)))),"Fix")))</f>
        <v xml:space="preserve"> </v>
      </c>
      <c r="L643" s="4" t="str">
        <f ca="1">IF(OR(INDEX($X$2:$X$1001,MATCH(ROWS($W$2:W643),$W$2:$W$1001,0),1)&gt;=100000,INDEX($AD$1005:$AU$1005,1,MATCH(COLUMNS($AD$1006:AN1006),$AD$1006:$AU$1006,0))&gt;=100000), " ",IF(INDEX($AD$2:$AU$1001,MATCH(ROWS($W$2:W643),$W$2:$W$1001,0),MATCH(COLUMNS($AD$1006:AN1006),$AD$1006:$AU$1006,0)), HYPERLINK("#",""), HYPERLINK(CONCATENATE("#metadata!", ADDRESS(INDEX($Y$2:$Y$1001,MATCH(ROWS($W$2:W643),$W$2:$W$1001,0),0), INDEX($AD$1004:$AU$1004,1,MATCH(COLUMNS($AD$1006:AN1006),$AD$1006:$AU$1006,0)))),"Fix")))</f>
        <v xml:space="preserve"> </v>
      </c>
      <c r="M643" s="4" t="str">
        <f ca="1">IF(OR(INDEX($X$2:$X$1001,MATCH(ROWS($W$2:W643),$W$2:$W$1001,0),1)&gt;=100000,INDEX($AD$1005:$AU$1005,1,MATCH(COLUMNS($AD$1006:AO1006),$AD$1006:$AU$1006,0))&gt;=100000), " ",IF(INDEX($AD$2:$AU$1001,MATCH(ROWS($W$2:W643),$W$2:$W$1001,0),MATCH(COLUMNS($AD$1006:AO1006),$AD$1006:$AU$1006,0)), HYPERLINK("#",""), HYPERLINK(CONCATENATE("#metadata!", ADDRESS(INDEX($Y$2:$Y$1001,MATCH(ROWS($W$2:W643),$W$2:$W$1001,0),0), INDEX($AD$1004:$AU$1004,1,MATCH(COLUMNS($AD$1006:AO1006),$AD$1006:$AU$1006,0)))),"Fix")))</f>
        <v xml:space="preserve"> </v>
      </c>
      <c r="N643" s="4" t="str">
        <f ca="1">IF(OR(INDEX($X$2:$X$1001,MATCH(ROWS($W$2:W643),$W$2:$W$1001,0),1)&gt;=100000,INDEX($AD$1005:$AU$1005,1,MATCH(COLUMNS($AD$1006:AP1006),$AD$1006:$AU$1006,0))&gt;=100000), " ",IF(INDEX($AD$2:$AU$1001,MATCH(ROWS($W$2:W643),$W$2:$W$1001,0),MATCH(COLUMNS($AD$1006:AP1006),$AD$1006:$AU$1006,0)), HYPERLINK("#",""), HYPERLINK(CONCATENATE("#metadata!", ADDRESS(INDEX($Y$2:$Y$1001,MATCH(ROWS($W$2:W643),$W$2:$W$1001,0),0), INDEX($AD$1004:$AU$1004,1,MATCH(COLUMNS($AD$1006:AP1006),$AD$1006:$AU$1006,0)))),"Fix")))</f>
        <v xml:space="preserve"> </v>
      </c>
      <c r="O643" s="4" t="str">
        <f ca="1">IF(OR(INDEX($X$2:$X$1001,MATCH(ROWS($W$2:W643),$W$2:$W$1001,0),1)&gt;=100000,INDEX($AD$1005:$AU$1005,1,MATCH(COLUMNS($AD$1006:AQ1006),$AD$1006:$AU$1006,0))&gt;=100000), " ",IF(INDEX($AD$2:$AU$1001,MATCH(ROWS($W$2:W643),$W$2:$W$1001,0),MATCH(COLUMNS($AD$1006:AQ1006),$AD$1006:$AU$1006,0)), HYPERLINK("#",""), HYPERLINK(CONCATENATE("#metadata!", ADDRESS(INDEX($Y$2:$Y$1001,MATCH(ROWS($W$2:W643),$W$2:$W$1001,0),0), INDEX($AD$1004:$AU$1004,1,MATCH(COLUMNS($AD$1006:AQ1006),$AD$1006:$AU$1006,0)))),"Fix")))</f>
        <v xml:space="preserve"> </v>
      </c>
      <c r="P643" s="4" t="str">
        <f ca="1">IF(OR(INDEX($X$2:$X$1001,MATCH(ROWS($W$2:W643),$W$2:$W$1001,0),1)&gt;=100000,INDEX($AD$1005:$AU$1005,1,MATCH(COLUMNS($AD$1006:AR1006),$AD$1006:$AU$1006,0))&gt;=100000), " ",IF(INDEX($AD$2:$AU$1001,MATCH(ROWS($W$2:W643),$W$2:$W$1001,0),MATCH(COLUMNS($AD$1006:AR1006),$AD$1006:$AU$1006,0)), HYPERLINK("#",""), HYPERLINK(CONCATENATE("#metadata!", ADDRESS(INDEX($Y$2:$Y$1001,MATCH(ROWS($W$2:W643),$W$2:$W$1001,0),0), INDEX($AD$1004:$AU$1004,1,MATCH(COLUMNS($AD$1006:AR1006),$AD$1006:$AU$1006,0)))),"Fix")))</f>
        <v xml:space="preserve"> </v>
      </c>
      <c r="Q643" s="4" t="str">
        <f ca="1">IF(OR(INDEX($X$2:$X$1001,MATCH(ROWS($W$2:W643),$W$2:$W$1001,0),1)&gt;=100000,INDEX($AD$1005:$AU$1005,1,MATCH(COLUMNS($AD$1006:AS1006),$AD$1006:$AU$1006,0))&gt;=100000), " ",IF(INDEX($AD$2:$AU$1001,MATCH(ROWS($W$2:W643),$W$2:$W$1001,0),MATCH(COLUMNS($AD$1006:AS1006),$AD$1006:$AU$1006,0)), HYPERLINK("#",""), HYPERLINK(CONCATENATE("#metadata!", ADDRESS(INDEX($Y$2:$Y$1001,MATCH(ROWS($W$2:W643),$W$2:$W$1001,0),0), INDEX($AD$1004:$AU$1004,1,MATCH(COLUMNS($AD$1006:AS1006),$AD$1006:$AU$1006,0)))),"Fix")))</f>
        <v xml:space="preserve"> </v>
      </c>
      <c r="R643" s="4" t="str">
        <f ca="1">IF(OR(INDEX($X$2:$X$1001,MATCH(ROWS($W$2:W643),$W$2:$W$1001,0),1)&gt;=100000,INDEX($AD$1005:$AU$1005,1,MATCH(COLUMNS($AD$1006:AT1006),$AD$1006:$AU$1006,0))&gt;=100000), " ",IF(INDEX($AD$2:$AU$1001,MATCH(ROWS($W$2:W643),$W$2:$W$1001,0),MATCH(COLUMNS($AD$1006:AT1006),$AD$1006:$AU$1006,0)), HYPERLINK("#",""), HYPERLINK(CONCATENATE("#metadata!", ADDRESS(INDEX($Y$2:$Y$1001,MATCH(ROWS($W$2:W643),$W$2:$W$1001,0),0), INDEX($AD$1004:$AU$1004,1,MATCH(COLUMNS($AD$1006:AT1006),$AD$1006:$AU$1006,0)))),"Fix")))</f>
        <v xml:space="preserve"> </v>
      </c>
      <c r="S643" s="4" t="str">
        <f ca="1">IF(OR(INDEX($X$2:$X$1001,MATCH(ROWS($W$2:W643),$W$2:$W$1001,0),1)&gt;=100000,INDEX($AD$1005:$AU$1005,1,MATCH(COLUMNS($AD$1006:AU1006),$AD$1006:$AU$1006,0))&gt;=100000), " ",IF(INDEX($AD$2:$AU$1001,MATCH(ROWS($W$2:W643),$W$2:$W$1001,0),MATCH(COLUMNS($AD$1006:AU1006),$AD$1006:$AU$1006,0)), HYPERLINK("#",""), HYPERLINK(CONCATENATE("#metadata!", ADDRESS(INDEX($Y$2:$Y$1001,MATCH(ROWS($W$2:W643),$W$2:$W$1001,0),0), INDEX($AD$1004:$AU$1004,1,MATCH(COLUMNS($AD$1006:AU1006),$AD$1006:$AU$1006,0)))),"Fix")))</f>
        <v xml:space="preserve"> </v>
      </c>
      <c r="W643">
        <v>642</v>
      </c>
      <c r="X643">
        <v>100643</v>
      </c>
      <c r="Y643">
        <v>643</v>
      </c>
      <c r="Z643" t="b">
        <f t="shared" si="10"/>
        <v>1</v>
      </c>
      <c r="AA643" t="b">
        <f>COUNTBLANK(metadata!B643:S643)=COLUMNS(metadata!B643:S643)</f>
        <v>1</v>
      </c>
      <c r="AB643" t="str">
        <v/>
      </c>
      <c r="AD643" t="b">
        <f ca="1">AND(IF(metadata!B643="",FALSE,TRUE),COUNTIF(metadata!B:B, metadata!B643) = 1,NOT(ISERROR(SUMPRODUCT(SEARCH(MID(metadata!B643,ROW(INDIRECT("1:"&amp;LEN(metadata!B643))), 1),"0123456789abcdefghijklmnopqrstuvwxyzABCDEFGHIJKLMNOPQRSTUVWXYZ.")))))</f>
        <v>0</v>
      </c>
      <c r="AE643" t="b">
        <f>OR(AND(IF(metadata!C643="",FALSE,TRUE),OR(EXACT(metadata!C643,"not applicable"),EXACT(metadata!C643,"missing: not collected"),EXACT(metadata!C643,"missing: not provided"),EXACT(metadata!C643,"missing: restricted access"))),AND(IF(metadata!C643="",FALSE,ISNUMBER(VALUE(metadata!C643))),metadata!C643&gt;0))</f>
        <v>0</v>
      </c>
      <c r="AF643" t="b">
        <f>AND(IF(metadata!D643="",FALSE,TRUE),EXACT(metadata!D643,"missing: not provided"))</f>
        <v>0</v>
      </c>
      <c r="AG643" t="b">
        <f>AND(IF(metadata!E643="",FALSE,TRUE),EXACT(metadata!E643,"Host-associated"))</f>
        <v>0</v>
      </c>
      <c r="AH643" t="b">
        <f>AND(IF(metadata!F643="",FALSE,TRUE),OR(EXACT(metadata!F643,"Animal"),EXACT(metadata!F643,"Fungus"),EXACT(metadata!F643,"Plant")))</f>
        <v>0</v>
      </c>
      <c r="AI643" t="b">
        <f>AND(IF(metadata!G643="",FALSE,TRUE),OR(EXACT(metadata!G643,"Plant secretion"),EXACT(metadata!G643,"Plant rhizosphere"),EXACT(metadata!G643,"Plant surface"),EXACT(metadata!G643,"Plant corpus"),EXACT(metadata!G643,"Fungus surface"),EXACT(metadata!G643,"Fungus corpus"),EXACT(metadata!G643,"Animal surface"),EXACT(metadata!G643,"Animal proximal gut"),EXACT(metadata!G643,"Animal corpus"),EXACT(metadata!G643,"Animal distal gut"),EXACT(metadata!G643,"Animal secretion")))</f>
        <v>0</v>
      </c>
      <c r="AJ643" t="b">
        <f>OR(AND(IF(metadata!H643="",FALSE,TRUE),OR(EXACT(metadata!H643,"missing: not collected"),EXACT(metadata!H643,"missing: not provided"),EXACT(metadata!H643,"missing: restricted access"))),AND(IF(metadata!H643="",FALSE,TRUE),OR(EXACT(metadata!H643,"organism-associated habitat"),EXACT(metadata!H643,"plant-associated habitat"),EXACT(metadata!H643,"animal-associated habitat"),EXACT(metadata!H643,"insecta-associated habitat"),EXACT(metadata!H643,"mammalia-associated habitat"),EXACT(metadata!H643,"human-associated habitat"),EXACT(metadata!H643,"livestock-associated habitat"))))</f>
        <v>0</v>
      </c>
      <c r="AK643" t="b">
        <f>AND(IF(metadata!I643="",FALSE,TRUE),EXACT(metadata!I643,"host-associated"))</f>
        <v>0</v>
      </c>
      <c r="AL643" t="b">
        <f>OR(AND(IF(metadata!J643="",FALSE,TRUE),OR(EXACT(metadata!J643,"not applicable"),EXACT(metadata!J643,"missing: not collected"),EXACT(metadata!J643,"missing: not provided"),EXACT(metadata!J643,"missing: restricted access"))),AND(IF(metadata!J643="",FALSE,ISNUMBER(VALUE(metadata!J643))),metadata!J643&gt;0))</f>
        <v>0</v>
      </c>
      <c r="AM643" t="b">
        <f>AND(IF(metadata!K643="",FALSE,TRUE),EXACT(metadata!K643,"missing: not provided"))</f>
        <v>0</v>
      </c>
      <c r="AN643" t="b">
        <f>IF(metadata!L643="",FALSE,TRUE)</f>
        <v>0</v>
      </c>
      <c r="AO643" t="b">
        <f>IF(metadata!M643="",FALSE,TRUE)</f>
        <v>0</v>
      </c>
      <c r="AP643" t="b">
        <f>OR(AND(IF(metadata!N643="",FALSE,TRUE),OR(EXACT(metadata!N643,"not applicable"),EXACT(metadata!N643,"missing: not collected"),EXACT(metadata!N643,"missing: not provided"))),AND(IF(metadata!N643="",FALSE,IF(ISERROR(INT(metadata!N643)),FALSE,INT(metadata!N643)=metadata!N643)),metadata!N643&gt;0))</f>
        <v>0</v>
      </c>
      <c r="AQ643" t="b">
        <f>AND(IF(metadata!O643="",FALSE,TRUE),EXACT(metadata!O643,"Not applicable"))</f>
        <v>0</v>
      </c>
      <c r="AR643" t="b">
        <f>OR(AND(IF(metadata!P643="",FALSE,TRUE),OR(EXACT(metadata!P643,"not applicable"),EXACT(metadata!P643,"missing: not collected"),EXACT(metadata!P643,"missing: not provided"),EXACT(metadata!P643,"missing: restricted access"))),IF(metadata!P643="",FALSE,IF(ISERROR(INT(metadata!P643)),FALSE,INT(metadata!P643)=metadata!P643)))</f>
        <v>0</v>
      </c>
      <c r="AS643" t="b">
        <f>AND(IF(metadata!Q643="",FALSE,TRUE),EXACT(metadata!Q643,"Not applicable"))</f>
        <v>0</v>
      </c>
      <c r="AT643" t="b">
        <f>OR(AND(IF(metadata!R643="",FALSE,TRUE),OR(EXACT(metadata!R643,"not applicable"),EXACT(metadata!R643,"missing: not collected"),EXACT(metadata!R643,"missing: not provided"),EXACT(metadata!R643,"missing: restricted access"))),AND(IF(metadata!R643="",FALSE,ISNUMBER(VALUE(metadata!R643))),metadata!R643&gt;0))</f>
        <v>0</v>
      </c>
      <c r="AU643" t="b">
        <f>AND(IF(metadata!S643="",FALSE,TRUE),EXACT(metadata!S643,"missing: not provided"))</f>
        <v>0</v>
      </c>
    </row>
    <row r="644" spans="1:47" x14ac:dyDescent="0.2">
      <c r="A644" s="5" t="str">
        <f ca="1">IF(B644=" "," ",HYPERLINK(CONCATENATE("#metadata!",ADDRESS(INDEX($Y$2:$Y$1001,MATCH(ROWS($W$2:W644),$W$2:$W$1001,0),0),1)),INDEX($AB$2:$AB$1001,MATCH(ROWS($W$2:W644),$W$2:$W$1001,0),0)))</f>
        <v xml:space="preserve"> </v>
      </c>
      <c r="B644" s="4" t="str">
        <f ca="1">IF(OR(INDEX($X$2:$X$1001,MATCH(ROWS($W$2:W644),$W$2:$W$1001,0),1)&gt;=100000,INDEX($AD$1005:$AU$1005,1,MATCH(COLUMNS($AD$1006:AD1006),$AD$1006:$AU$1006,0))&gt;=100000), " ",IF(INDEX($AD$2:$AU$1001,MATCH(ROWS($W$2:W644),$W$2:$W$1001,0),MATCH(COLUMNS($AD$1006:AD1006),$AD$1006:$AU$1006,0)), HYPERLINK("#",""), HYPERLINK(CONCATENATE("#metadata!", ADDRESS(INDEX($Y$2:$Y$1001,MATCH(ROWS($W$2:W644),$W$2:$W$1001,0),0), INDEX($AD$1004:$AU$1004,1,MATCH(COLUMNS($AD$1006:AD1006),$AD$1006:$AU$1006,0)))),"Fix")))</f>
        <v xml:space="preserve"> </v>
      </c>
      <c r="C644" s="4" t="str">
        <f ca="1">IF(OR(INDEX($X$2:$X$1001,MATCH(ROWS($W$2:W644),$W$2:$W$1001,0),1)&gt;=100000,INDEX($AD$1005:$AU$1005,1,MATCH(COLUMNS($AD$1006:AE1006),$AD$1006:$AU$1006,0))&gt;=100000), " ",IF(INDEX($AD$2:$AU$1001,MATCH(ROWS($W$2:W644),$W$2:$W$1001,0),MATCH(COLUMNS($AD$1006:AE1006),$AD$1006:$AU$1006,0)), HYPERLINK("#",""), HYPERLINK(CONCATENATE("#metadata!", ADDRESS(INDEX($Y$2:$Y$1001,MATCH(ROWS($W$2:W644),$W$2:$W$1001,0),0), INDEX($AD$1004:$AU$1004,1,MATCH(COLUMNS($AD$1006:AE1006),$AD$1006:$AU$1006,0)))),"Fix")))</f>
        <v xml:space="preserve"> </v>
      </c>
      <c r="D644" s="4" t="str">
        <f ca="1">IF(OR(INDEX($X$2:$X$1001,MATCH(ROWS($W$2:W644),$W$2:$W$1001,0),1)&gt;=100000,INDEX($AD$1005:$AU$1005,1,MATCH(COLUMNS($AD$1006:AF1006),$AD$1006:$AU$1006,0))&gt;=100000), " ",IF(INDEX($AD$2:$AU$1001,MATCH(ROWS($W$2:W644),$W$2:$W$1001,0),MATCH(COLUMNS($AD$1006:AF1006),$AD$1006:$AU$1006,0)), HYPERLINK("#",""), HYPERLINK(CONCATENATE("#metadata!", ADDRESS(INDEX($Y$2:$Y$1001,MATCH(ROWS($W$2:W644),$W$2:$W$1001,0),0), INDEX($AD$1004:$AU$1004,1,MATCH(COLUMNS($AD$1006:AF1006),$AD$1006:$AU$1006,0)))),"Fix")))</f>
        <v xml:space="preserve"> </v>
      </c>
      <c r="E644" s="4" t="str">
        <f ca="1">IF(OR(INDEX($X$2:$X$1001,MATCH(ROWS($W$2:W644),$W$2:$W$1001,0),1)&gt;=100000,INDEX($AD$1005:$AU$1005,1,MATCH(COLUMNS($AD$1006:AG1006),$AD$1006:$AU$1006,0))&gt;=100000), " ",IF(INDEX($AD$2:$AU$1001,MATCH(ROWS($W$2:W644),$W$2:$W$1001,0),MATCH(COLUMNS($AD$1006:AG1006),$AD$1006:$AU$1006,0)), HYPERLINK("#",""), HYPERLINK(CONCATENATE("#metadata!", ADDRESS(INDEX($Y$2:$Y$1001,MATCH(ROWS($W$2:W644),$W$2:$W$1001,0),0), INDEX($AD$1004:$AU$1004,1,MATCH(COLUMNS($AD$1006:AG1006),$AD$1006:$AU$1006,0)))),"Fix")))</f>
        <v xml:space="preserve"> </v>
      </c>
      <c r="F644" s="4" t="str">
        <f ca="1">IF(OR(INDEX($X$2:$X$1001,MATCH(ROWS($W$2:W644),$W$2:$W$1001,0),1)&gt;=100000,INDEX($AD$1005:$AU$1005,1,MATCH(COLUMNS($AD$1006:AH1006),$AD$1006:$AU$1006,0))&gt;=100000), " ",IF(INDEX($AD$2:$AU$1001,MATCH(ROWS($W$2:W644),$W$2:$W$1001,0),MATCH(COLUMNS($AD$1006:AH1006),$AD$1006:$AU$1006,0)), HYPERLINK("#",""), HYPERLINK(CONCATENATE("#metadata!", ADDRESS(INDEX($Y$2:$Y$1001,MATCH(ROWS($W$2:W644),$W$2:$W$1001,0),0), INDEX($AD$1004:$AU$1004,1,MATCH(COLUMNS($AD$1006:AH1006),$AD$1006:$AU$1006,0)))),"Fix")))</f>
        <v xml:space="preserve"> </v>
      </c>
      <c r="G644" s="4" t="str">
        <f ca="1">IF(OR(INDEX($X$2:$X$1001,MATCH(ROWS($W$2:W644),$W$2:$W$1001,0),1)&gt;=100000,INDEX($AD$1005:$AU$1005,1,MATCH(COLUMNS($AD$1006:AI1006),$AD$1006:$AU$1006,0))&gt;=100000), " ",IF(INDEX($AD$2:$AU$1001,MATCH(ROWS($W$2:W644),$W$2:$W$1001,0),MATCH(COLUMNS($AD$1006:AI1006),$AD$1006:$AU$1006,0)), HYPERLINK("#",""), HYPERLINK(CONCATENATE("#metadata!", ADDRESS(INDEX($Y$2:$Y$1001,MATCH(ROWS($W$2:W644),$W$2:$W$1001,0),0), INDEX($AD$1004:$AU$1004,1,MATCH(COLUMNS($AD$1006:AI1006),$AD$1006:$AU$1006,0)))),"Fix")))</f>
        <v xml:space="preserve"> </v>
      </c>
      <c r="H644" s="4" t="str">
        <f ca="1">IF(OR(INDEX($X$2:$X$1001,MATCH(ROWS($W$2:W644),$W$2:$W$1001,0),1)&gt;=100000,INDEX($AD$1005:$AU$1005,1,MATCH(COLUMNS($AD$1006:AJ1006),$AD$1006:$AU$1006,0))&gt;=100000), " ",IF(INDEX($AD$2:$AU$1001,MATCH(ROWS($W$2:W644),$W$2:$W$1001,0),MATCH(COLUMNS($AD$1006:AJ1006),$AD$1006:$AU$1006,0)), HYPERLINK("#",""), HYPERLINK(CONCATENATE("#metadata!", ADDRESS(INDEX($Y$2:$Y$1001,MATCH(ROWS($W$2:W644),$W$2:$W$1001,0),0), INDEX($AD$1004:$AU$1004,1,MATCH(COLUMNS($AD$1006:AJ1006),$AD$1006:$AU$1006,0)))),"Fix")))</f>
        <v xml:space="preserve"> </v>
      </c>
      <c r="I644" s="4" t="str">
        <f ca="1">IF(OR(INDEX($X$2:$X$1001,MATCH(ROWS($W$2:W644),$W$2:$W$1001,0),1)&gt;=100000,INDEX($AD$1005:$AU$1005,1,MATCH(COLUMNS($AD$1006:AK1006),$AD$1006:$AU$1006,0))&gt;=100000), " ",IF(INDEX($AD$2:$AU$1001,MATCH(ROWS($W$2:W644),$W$2:$W$1001,0),MATCH(COLUMNS($AD$1006:AK1006),$AD$1006:$AU$1006,0)), HYPERLINK("#",""), HYPERLINK(CONCATENATE("#metadata!", ADDRESS(INDEX($Y$2:$Y$1001,MATCH(ROWS($W$2:W644),$W$2:$W$1001,0),0), INDEX($AD$1004:$AU$1004,1,MATCH(COLUMNS($AD$1006:AK1006),$AD$1006:$AU$1006,0)))),"Fix")))</f>
        <v xml:space="preserve"> </v>
      </c>
      <c r="J644" s="4" t="str">
        <f ca="1">IF(OR(INDEX($X$2:$X$1001,MATCH(ROWS($W$2:W644),$W$2:$W$1001,0),1)&gt;=100000,INDEX($AD$1005:$AU$1005,1,MATCH(COLUMNS($AD$1006:AL1006),$AD$1006:$AU$1006,0))&gt;=100000), " ",IF(INDEX($AD$2:$AU$1001,MATCH(ROWS($W$2:W644),$W$2:$W$1001,0),MATCH(COLUMNS($AD$1006:AL1006),$AD$1006:$AU$1006,0)), HYPERLINK("#",""), HYPERLINK(CONCATENATE("#metadata!", ADDRESS(INDEX($Y$2:$Y$1001,MATCH(ROWS($W$2:W644),$W$2:$W$1001,0),0), INDEX($AD$1004:$AU$1004,1,MATCH(COLUMNS($AD$1006:AL1006),$AD$1006:$AU$1006,0)))),"Fix")))</f>
        <v xml:space="preserve"> </v>
      </c>
      <c r="K644" s="4" t="str">
        <f ca="1">IF(OR(INDEX($X$2:$X$1001,MATCH(ROWS($W$2:W644),$W$2:$W$1001,0),1)&gt;=100000,INDEX($AD$1005:$AU$1005,1,MATCH(COLUMNS($AD$1006:AM1006),$AD$1006:$AU$1006,0))&gt;=100000), " ",IF(INDEX($AD$2:$AU$1001,MATCH(ROWS($W$2:W644),$W$2:$W$1001,0),MATCH(COLUMNS($AD$1006:AM1006),$AD$1006:$AU$1006,0)), HYPERLINK("#",""), HYPERLINK(CONCATENATE("#metadata!", ADDRESS(INDEX($Y$2:$Y$1001,MATCH(ROWS($W$2:W644),$W$2:$W$1001,0),0), INDEX($AD$1004:$AU$1004,1,MATCH(COLUMNS($AD$1006:AM1006),$AD$1006:$AU$1006,0)))),"Fix")))</f>
        <v xml:space="preserve"> </v>
      </c>
      <c r="L644" s="4" t="str">
        <f ca="1">IF(OR(INDEX($X$2:$X$1001,MATCH(ROWS($W$2:W644),$W$2:$W$1001,0),1)&gt;=100000,INDEX($AD$1005:$AU$1005,1,MATCH(COLUMNS($AD$1006:AN1006),$AD$1006:$AU$1006,0))&gt;=100000), " ",IF(INDEX($AD$2:$AU$1001,MATCH(ROWS($W$2:W644),$W$2:$W$1001,0),MATCH(COLUMNS($AD$1006:AN1006),$AD$1006:$AU$1006,0)), HYPERLINK("#",""), HYPERLINK(CONCATENATE("#metadata!", ADDRESS(INDEX($Y$2:$Y$1001,MATCH(ROWS($W$2:W644),$W$2:$W$1001,0),0), INDEX($AD$1004:$AU$1004,1,MATCH(COLUMNS($AD$1006:AN1006),$AD$1006:$AU$1006,0)))),"Fix")))</f>
        <v xml:space="preserve"> </v>
      </c>
      <c r="M644" s="4" t="str">
        <f ca="1">IF(OR(INDEX($X$2:$X$1001,MATCH(ROWS($W$2:W644),$W$2:$W$1001,0),1)&gt;=100000,INDEX($AD$1005:$AU$1005,1,MATCH(COLUMNS($AD$1006:AO1006),$AD$1006:$AU$1006,0))&gt;=100000), " ",IF(INDEX($AD$2:$AU$1001,MATCH(ROWS($W$2:W644),$W$2:$W$1001,0),MATCH(COLUMNS($AD$1006:AO1006),$AD$1006:$AU$1006,0)), HYPERLINK("#",""), HYPERLINK(CONCATENATE("#metadata!", ADDRESS(INDEX($Y$2:$Y$1001,MATCH(ROWS($W$2:W644),$W$2:$W$1001,0),0), INDEX($AD$1004:$AU$1004,1,MATCH(COLUMNS($AD$1006:AO1006),$AD$1006:$AU$1006,0)))),"Fix")))</f>
        <v xml:space="preserve"> </v>
      </c>
      <c r="N644" s="4" t="str">
        <f ca="1">IF(OR(INDEX($X$2:$X$1001,MATCH(ROWS($W$2:W644),$W$2:$W$1001,0),1)&gt;=100000,INDEX($AD$1005:$AU$1005,1,MATCH(COLUMNS($AD$1006:AP1006),$AD$1006:$AU$1006,0))&gt;=100000), " ",IF(INDEX($AD$2:$AU$1001,MATCH(ROWS($W$2:W644),$W$2:$W$1001,0),MATCH(COLUMNS($AD$1006:AP1006),$AD$1006:$AU$1006,0)), HYPERLINK("#",""), HYPERLINK(CONCATENATE("#metadata!", ADDRESS(INDEX($Y$2:$Y$1001,MATCH(ROWS($W$2:W644),$W$2:$W$1001,0),0), INDEX($AD$1004:$AU$1004,1,MATCH(COLUMNS($AD$1006:AP1006),$AD$1006:$AU$1006,0)))),"Fix")))</f>
        <v xml:space="preserve"> </v>
      </c>
      <c r="O644" s="4" t="str">
        <f ca="1">IF(OR(INDEX($X$2:$X$1001,MATCH(ROWS($W$2:W644),$W$2:$W$1001,0),1)&gt;=100000,INDEX($AD$1005:$AU$1005,1,MATCH(COLUMNS($AD$1006:AQ1006),$AD$1006:$AU$1006,0))&gt;=100000), " ",IF(INDEX($AD$2:$AU$1001,MATCH(ROWS($W$2:W644),$W$2:$W$1001,0),MATCH(COLUMNS($AD$1006:AQ1006),$AD$1006:$AU$1006,0)), HYPERLINK("#",""), HYPERLINK(CONCATENATE("#metadata!", ADDRESS(INDEX($Y$2:$Y$1001,MATCH(ROWS($W$2:W644),$W$2:$W$1001,0),0), INDEX($AD$1004:$AU$1004,1,MATCH(COLUMNS($AD$1006:AQ1006),$AD$1006:$AU$1006,0)))),"Fix")))</f>
        <v xml:space="preserve"> </v>
      </c>
      <c r="P644" s="4" t="str">
        <f ca="1">IF(OR(INDEX($X$2:$X$1001,MATCH(ROWS($W$2:W644),$W$2:$W$1001,0),1)&gt;=100000,INDEX($AD$1005:$AU$1005,1,MATCH(COLUMNS($AD$1006:AR1006),$AD$1006:$AU$1006,0))&gt;=100000), " ",IF(INDEX($AD$2:$AU$1001,MATCH(ROWS($W$2:W644),$W$2:$W$1001,0),MATCH(COLUMNS($AD$1006:AR1006),$AD$1006:$AU$1006,0)), HYPERLINK("#",""), HYPERLINK(CONCATENATE("#metadata!", ADDRESS(INDEX($Y$2:$Y$1001,MATCH(ROWS($W$2:W644),$W$2:$W$1001,0),0), INDEX($AD$1004:$AU$1004,1,MATCH(COLUMNS($AD$1006:AR1006),$AD$1006:$AU$1006,0)))),"Fix")))</f>
        <v xml:space="preserve"> </v>
      </c>
      <c r="Q644" s="4" t="str">
        <f ca="1">IF(OR(INDEX($X$2:$X$1001,MATCH(ROWS($W$2:W644),$W$2:$W$1001,0),1)&gt;=100000,INDEX($AD$1005:$AU$1005,1,MATCH(COLUMNS($AD$1006:AS1006),$AD$1006:$AU$1006,0))&gt;=100000), " ",IF(INDEX($AD$2:$AU$1001,MATCH(ROWS($W$2:W644),$W$2:$W$1001,0),MATCH(COLUMNS($AD$1006:AS1006),$AD$1006:$AU$1006,0)), HYPERLINK("#",""), HYPERLINK(CONCATENATE("#metadata!", ADDRESS(INDEX($Y$2:$Y$1001,MATCH(ROWS($W$2:W644),$W$2:$W$1001,0),0), INDEX($AD$1004:$AU$1004,1,MATCH(COLUMNS($AD$1006:AS1006),$AD$1006:$AU$1006,0)))),"Fix")))</f>
        <v xml:space="preserve"> </v>
      </c>
      <c r="R644" s="4" t="str">
        <f ca="1">IF(OR(INDEX($X$2:$X$1001,MATCH(ROWS($W$2:W644),$W$2:$W$1001,0),1)&gt;=100000,INDEX($AD$1005:$AU$1005,1,MATCH(COLUMNS($AD$1006:AT1006),$AD$1006:$AU$1006,0))&gt;=100000), " ",IF(INDEX($AD$2:$AU$1001,MATCH(ROWS($W$2:W644),$W$2:$W$1001,0),MATCH(COLUMNS($AD$1006:AT1006),$AD$1006:$AU$1006,0)), HYPERLINK("#",""), HYPERLINK(CONCATENATE("#metadata!", ADDRESS(INDEX($Y$2:$Y$1001,MATCH(ROWS($W$2:W644),$W$2:$W$1001,0),0), INDEX($AD$1004:$AU$1004,1,MATCH(COLUMNS($AD$1006:AT1006),$AD$1006:$AU$1006,0)))),"Fix")))</f>
        <v xml:space="preserve"> </v>
      </c>
      <c r="S644" s="4" t="str">
        <f ca="1">IF(OR(INDEX($X$2:$X$1001,MATCH(ROWS($W$2:W644),$W$2:$W$1001,0),1)&gt;=100000,INDEX($AD$1005:$AU$1005,1,MATCH(COLUMNS($AD$1006:AU1006),$AD$1006:$AU$1006,0))&gt;=100000), " ",IF(INDEX($AD$2:$AU$1001,MATCH(ROWS($W$2:W644),$W$2:$W$1001,0),MATCH(COLUMNS($AD$1006:AU1006),$AD$1006:$AU$1006,0)), HYPERLINK("#",""), HYPERLINK(CONCATENATE("#metadata!", ADDRESS(INDEX($Y$2:$Y$1001,MATCH(ROWS($W$2:W644),$W$2:$W$1001,0),0), INDEX($AD$1004:$AU$1004,1,MATCH(COLUMNS($AD$1006:AU1006),$AD$1006:$AU$1006,0)))),"Fix")))</f>
        <v xml:space="preserve"> </v>
      </c>
      <c r="W644">
        <v>643</v>
      </c>
      <c r="X644">
        <v>100644</v>
      </c>
      <c r="Y644">
        <v>644</v>
      </c>
      <c r="Z644" t="b">
        <f t="shared" si="10"/>
        <v>1</v>
      </c>
      <c r="AA644" t="b">
        <f>COUNTBLANK(metadata!B644:S644)=COLUMNS(metadata!B644:S644)</f>
        <v>1</v>
      </c>
      <c r="AB644" t="str">
        <v/>
      </c>
      <c r="AD644" t="b">
        <f ca="1">AND(IF(metadata!B644="",FALSE,TRUE),COUNTIF(metadata!B:B, metadata!B644) = 1,NOT(ISERROR(SUMPRODUCT(SEARCH(MID(metadata!B644,ROW(INDIRECT("1:"&amp;LEN(metadata!B644))), 1),"0123456789abcdefghijklmnopqrstuvwxyzABCDEFGHIJKLMNOPQRSTUVWXYZ.")))))</f>
        <v>0</v>
      </c>
      <c r="AE644" t="b">
        <f>OR(AND(IF(metadata!C644="",FALSE,TRUE),OR(EXACT(metadata!C644,"not applicable"),EXACT(metadata!C644,"missing: not collected"),EXACT(metadata!C644,"missing: not provided"),EXACT(metadata!C644,"missing: restricted access"))),AND(IF(metadata!C644="",FALSE,ISNUMBER(VALUE(metadata!C644))),metadata!C644&gt;0))</f>
        <v>0</v>
      </c>
      <c r="AF644" t="b">
        <f>AND(IF(metadata!D644="",FALSE,TRUE),EXACT(metadata!D644,"missing: not provided"))</f>
        <v>0</v>
      </c>
      <c r="AG644" t="b">
        <f>AND(IF(metadata!E644="",FALSE,TRUE),EXACT(metadata!E644,"Host-associated"))</f>
        <v>0</v>
      </c>
      <c r="AH644" t="b">
        <f>AND(IF(metadata!F644="",FALSE,TRUE),OR(EXACT(metadata!F644,"Animal"),EXACT(metadata!F644,"Fungus"),EXACT(metadata!F644,"Plant")))</f>
        <v>0</v>
      </c>
      <c r="AI644" t="b">
        <f>AND(IF(metadata!G644="",FALSE,TRUE),OR(EXACT(metadata!G644,"Plant secretion"),EXACT(metadata!G644,"Plant rhizosphere"),EXACT(metadata!G644,"Plant surface"),EXACT(metadata!G644,"Plant corpus"),EXACT(metadata!G644,"Fungus surface"),EXACT(metadata!G644,"Fungus corpus"),EXACT(metadata!G644,"Animal surface"),EXACT(metadata!G644,"Animal proximal gut"),EXACT(metadata!G644,"Animal corpus"),EXACT(metadata!G644,"Animal distal gut"),EXACT(metadata!G644,"Animal secretion")))</f>
        <v>0</v>
      </c>
      <c r="AJ644" t="b">
        <f>OR(AND(IF(metadata!H644="",FALSE,TRUE),OR(EXACT(metadata!H644,"missing: not collected"),EXACT(metadata!H644,"missing: not provided"),EXACT(metadata!H644,"missing: restricted access"))),AND(IF(metadata!H644="",FALSE,TRUE),OR(EXACT(metadata!H644,"organism-associated habitat"),EXACT(metadata!H644,"plant-associated habitat"),EXACT(metadata!H644,"animal-associated habitat"),EXACT(metadata!H644,"insecta-associated habitat"),EXACT(metadata!H644,"mammalia-associated habitat"),EXACT(metadata!H644,"human-associated habitat"),EXACT(metadata!H644,"livestock-associated habitat"))))</f>
        <v>0</v>
      </c>
      <c r="AK644" t="b">
        <f>AND(IF(metadata!I644="",FALSE,TRUE),EXACT(metadata!I644,"host-associated"))</f>
        <v>0</v>
      </c>
      <c r="AL644" t="b">
        <f>OR(AND(IF(metadata!J644="",FALSE,TRUE),OR(EXACT(metadata!J644,"not applicable"),EXACT(metadata!J644,"missing: not collected"),EXACT(metadata!J644,"missing: not provided"),EXACT(metadata!J644,"missing: restricted access"))),AND(IF(metadata!J644="",FALSE,ISNUMBER(VALUE(metadata!J644))),metadata!J644&gt;0))</f>
        <v>0</v>
      </c>
      <c r="AM644" t="b">
        <f>AND(IF(metadata!K644="",FALSE,TRUE),EXACT(metadata!K644,"missing: not provided"))</f>
        <v>0</v>
      </c>
      <c r="AN644" t="b">
        <f>IF(metadata!L644="",FALSE,TRUE)</f>
        <v>0</v>
      </c>
      <c r="AO644" t="b">
        <f>IF(metadata!M644="",FALSE,TRUE)</f>
        <v>0</v>
      </c>
      <c r="AP644" t="b">
        <f>OR(AND(IF(metadata!N644="",FALSE,TRUE),OR(EXACT(metadata!N644,"not applicable"),EXACT(metadata!N644,"missing: not collected"),EXACT(metadata!N644,"missing: not provided"))),AND(IF(metadata!N644="",FALSE,IF(ISERROR(INT(metadata!N644)),FALSE,INT(metadata!N644)=metadata!N644)),metadata!N644&gt;0))</f>
        <v>0</v>
      </c>
      <c r="AQ644" t="b">
        <f>AND(IF(metadata!O644="",FALSE,TRUE),EXACT(metadata!O644,"Not applicable"))</f>
        <v>0</v>
      </c>
      <c r="AR644" t="b">
        <f>OR(AND(IF(metadata!P644="",FALSE,TRUE),OR(EXACT(metadata!P644,"not applicable"),EXACT(metadata!P644,"missing: not collected"),EXACT(metadata!P644,"missing: not provided"),EXACT(metadata!P644,"missing: restricted access"))),IF(metadata!P644="",FALSE,IF(ISERROR(INT(metadata!P644)),FALSE,INT(metadata!P644)=metadata!P644)))</f>
        <v>0</v>
      </c>
      <c r="AS644" t="b">
        <f>AND(IF(metadata!Q644="",FALSE,TRUE),EXACT(metadata!Q644,"Not applicable"))</f>
        <v>0</v>
      </c>
      <c r="AT644" t="b">
        <f>OR(AND(IF(metadata!R644="",FALSE,TRUE),OR(EXACT(metadata!R644,"not applicable"),EXACT(metadata!R644,"missing: not collected"),EXACT(metadata!R644,"missing: not provided"),EXACT(metadata!R644,"missing: restricted access"))),AND(IF(metadata!R644="",FALSE,ISNUMBER(VALUE(metadata!R644))),metadata!R644&gt;0))</f>
        <v>0</v>
      </c>
      <c r="AU644" t="b">
        <f>AND(IF(metadata!S644="",FALSE,TRUE),EXACT(metadata!S644,"missing: not provided"))</f>
        <v>0</v>
      </c>
    </row>
    <row r="645" spans="1:47" x14ac:dyDescent="0.2">
      <c r="A645" s="5" t="str">
        <f ca="1">IF(B645=" "," ",HYPERLINK(CONCATENATE("#metadata!",ADDRESS(INDEX($Y$2:$Y$1001,MATCH(ROWS($W$2:W645),$W$2:$W$1001,0),0),1)),INDEX($AB$2:$AB$1001,MATCH(ROWS($W$2:W645),$W$2:$W$1001,0),0)))</f>
        <v xml:space="preserve"> </v>
      </c>
      <c r="B645" s="4" t="str">
        <f ca="1">IF(OR(INDEX($X$2:$X$1001,MATCH(ROWS($W$2:W645),$W$2:$W$1001,0),1)&gt;=100000,INDEX($AD$1005:$AU$1005,1,MATCH(COLUMNS($AD$1006:AD1006),$AD$1006:$AU$1006,0))&gt;=100000), " ",IF(INDEX($AD$2:$AU$1001,MATCH(ROWS($W$2:W645),$W$2:$W$1001,0),MATCH(COLUMNS($AD$1006:AD1006),$AD$1006:$AU$1006,0)), HYPERLINK("#",""), HYPERLINK(CONCATENATE("#metadata!", ADDRESS(INDEX($Y$2:$Y$1001,MATCH(ROWS($W$2:W645),$W$2:$W$1001,0),0), INDEX($AD$1004:$AU$1004,1,MATCH(COLUMNS($AD$1006:AD1006),$AD$1006:$AU$1006,0)))),"Fix")))</f>
        <v xml:space="preserve"> </v>
      </c>
      <c r="C645" s="4" t="str">
        <f ca="1">IF(OR(INDEX($X$2:$X$1001,MATCH(ROWS($W$2:W645),$W$2:$W$1001,0),1)&gt;=100000,INDEX($AD$1005:$AU$1005,1,MATCH(COLUMNS($AD$1006:AE1006),$AD$1006:$AU$1006,0))&gt;=100000), " ",IF(INDEX($AD$2:$AU$1001,MATCH(ROWS($W$2:W645),$W$2:$W$1001,0),MATCH(COLUMNS($AD$1006:AE1006),$AD$1006:$AU$1006,0)), HYPERLINK("#",""), HYPERLINK(CONCATENATE("#metadata!", ADDRESS(INDEX($Y$2:$Y$1001,MATCH(ROWS($W$2:W645),$W$2:$W$1001,0),0), INDEX($AD$1004:$AU$1004,1,MATCH(COLUMNS($AD$1006:AE1006),$AD$1006:$AU$1006,0)))),"Fix")))</f>
        <v xml:space="preserve"> </v>
      </c>
      <c r="D645" s="4" t="str">
        <f ca="1">IF(OR(INDEX($X$2:$X$1001,MATCH(ROWS($W$2:W645),$W$2:$W$1001,0),1)&gt;=100000,INDEX($AD$1005:$AU$1005,1,MATCH(COLUMNS($AD$1006:AF1006),$AD$1006:$AU$1006,0))&gt;=100000), " ",IF(INDEX($AD$2:$AU$1001,MATCH(ROWS($W$2:W645),$W$2:$W$1001,0),MATCH(COLUMNS($AD$1006:AF1006),$AD$1006:$AU$1006,0)), HYPERLINK("#",""), HYPERLINK(CONCATENATE("#metadata!", ADDRESS(INDEX($Y$2:$Y$1001,MATCH(ROWS($W$2:W645),$W$2:$W$1001,0),0), INDEX($AD$1004:$AU$1004,1,MATCH(COLUMNS($AD$1006:AF1006),$AD$1006:$AU$1006,0)))),"Fix")))</f>
        <v xml:space="preserve"> </v>
      </c>
      <c r="E645" s="4" t="str">
        <f ca="1">IF(OR(INDEX($X$2:$X$1001,MATCH(ROWS($W$2:W645),$W$2:$W$1001,0),1)&gt;=100000,INDEX($AD$1005:$AU$1005,1,MATCH(COLUMNS($AD$1006:AG1006),$AD$1006:$AU$1006,0))&gt;=100000), " ",IF(INDEX($AD$2:$AU$1001,MATCH(ROWS($W$2:W645),$W$2:$W$1001,0),MATCH(COLUMNS($AD$1006:AG1006),$AD$1006:$AU$1006,0)), HYPERLINK("#",""), HYPERLINK(CONCATENATE("#metadata!", ADDRESS(INDEX($Y$2:$Y$1001,MATCH(ROWS($W$2:W645),$W$2:$W$1001,0),0), INDEX($AD$1004:$AU$1004,1,MATCH(COLUMNS($AD$1006:AG1006),$AD$1006:$AU$1006,0)))),"Fix")))</f>
        <v xml:space="preserve"> </v>
      </c>
      <c r="F645" s="4" t="str">
        <f ca="1">IF(OR(INDEX($X$2:$X$1001,MATCH(ROWS($W$2:W645),$W$2:$W$1001,0),1)&gt;=100000,INDEX($AD$1005:$AU$1005,1,MATCH(COLUMNS($AD$1006:AH1006),$AD$1006:$AU$1006,0))&gt;=100000), " ",IF(INDEX($AD$2:$AU$1001,MATCH(ROWS($W$2:W645),$W$2:$W$1001,0),MATCH(COLUMNS($AD$1006:AH1006),$AD$1006:$AU$1006,0)), HYPERLINK("#",""), HYPERLINK(CONCATENATE("#metadata!", ADDRESS(INDEX($Y$2:$Y$1001,MATCH(ROWS($W$2:W645),$W$2:$W$1001,0),0), INDEX($AD$1004:$AU$1004,1,MATCH(COLUMNS($AD$1006:AH1006),$AD$1006:$AU$1006,0)))),"Fix")))</f>
        <v xml:space="preserve"> </v>
      </c>
      <c r="G645" s="4" t="str">
        <f ca="1">IF(OR(INDEX($X$2:$X$1001,MATCH(ROWS($W$2:W645),$W$2:$W$1001,0),1)&gt;=100000,INDEX($AD$1005:$AU$1005,1,MATCH(COLUMNS($AD$1006:AI1006),$AD$1006:$AU$1006,0))&gt;=100000), " ",IF(INDEX($AD$2:$AU$1001,MATCH(ROWS($W$2:W645),$W$2:$W$1001,0),MATCH(COLUMNS($AD$1006:AI1006),$AD$1006:$AU$1006,0)), HYPERLINK("#",""), HYPERLINK(CONCATENATE("#metadata!", ADDRESS(INDEX($Y$2:$Y$1001,MATCH(ROWS($W$2:W645),$W$2:$W$1001,0),0), INDEX($AD$1004:$AU$1004,1,MATCH(COLUMNS($AD$1006:AI1006),$AD$1006:$AU$1006,0)))),"Fix")))</f>
        <v xml:space="preserve"> </v>
      </c>
      <c r="H645" s="4" t="str">
        <f ca="1">IF(OR(INDEX($X$2:$X$1001,MATCH(ROWS($W$2:W645),$W$2:$W$1001,0),1)&gt;=100000,INDEX($AD$1005:$AU$1005,1,MATCH(COLUMNS($AD$1006:AJ1006),$AD$1006:$AU$1006,0))&gt;=100000), " ",IF(INDEX($AD$2:$AU$1001,MATCH(ROWS($W$2:W645),$W$2:$W$1001,0),MATCH(COLUMNS($AD$1006:AJ1006),$AD$1006:$AU$1006,0)), HYPERLINK("#",""), HYPERLINK(CONCATENATE("#metadata!", ADDRESS(INDEX($Y$2:$Y$1001,MATCH(ROWS($W$2:W645),$W$2:$W$1001,0),0), INDEX($AD$1004:$AU$1004,1,MATCH(COLUMNS($AD$1006:AJ1006),$AD$1006:$AU$1006,0)))),"Fix")))</f>
        <v xml:space="preserve"> </v>
      </c>
      <c r="I645" s="4" t="str">
        <f ca="1">IF(OR(INDEX($X$2:$X$1001,MATCH(ROWS($W$2:W645),$W$2:$W$1001,0),1)&gt;=100000,INDEX($AD$1005:$AU$1005,1,MATCH(COLUMNS($AD$1006:AK1006),$AD$1006:$AU$1006,0))&gt;=100000), " ",IF(INDEX($AD$2:$AU$1001,MATCH(ROWS($W$2:W645),$W$2:$W$1001,0),MATCH(COLUMNS($AD$1006:AK1006),$AD$1006:$AU$1006,0)), HYPERLINK("#",""), HYPERLINK(CONCATENATE("#metadata!", ADDRESS(INDEX($Y$2:$Y$1001,MATCH(ROWS($W$2:W645),$W$2:$W$1001,0),0), INDEX($AD$1004:$AU$1004,1,MATCH(COLUMNS($AD$1006:AK1006),$AD$1006:$AU$1006,0)))),"Fix")))</f>
        <v xml:space="preserve"> </v>
      </c>
      <c r="J645" s="4" t="str">
        <f ca="1">IF(OR(INDEX($X$2:$X$1001,MATCH(ROWS($W$2:W645),$W$2:$W$1001,0),1)&gt;=100000,INDEX($AD$1005:$AU$1005,1,MATCH(COLUMNS($AD$1006:AL1006),$AD$1006:$AU$1006,0))&gt;=100000), " ",IF(INDEX($AD$2:$AU$1001,MATCH(ROWS($W$2:W645),$W$2:$W$1001,0),MATCH(COLUMNS($AD$1006:AL1006),$AD$1006:$AU$1006,0)), HYPERLINK("#",""), HYPERLINK(CONCATENATE("#metadata!", ADDRESS(INDEX($Y$2:$Y$1001,MATCH(ROWS($W$2:W645),$W$2:$W$1001,0),0), INDEX($AD$1004:$AU$1004,1,MATCH(COLUMNS($AD$1006:AL1006),$AD$1006:$AU$1006,0)))),"Fix")))</f>
        <v xml:space="preserve"> </v>
      </c>
      <c r="K645" s="4" t="str">
        <f ca="1">IF(OR(INDEX($X$2:$X$1001,MATCH(ROWS($W$2:W645),$W$2:$W$1001,0),1)&gt;=100000,INDEX($AD$1005:$AU$1005,1,MATCH(COLUMNS($AD$1006:AM1006),$AD$1006:$AU$1006,0))&gt;=100000), " ",IF(INDEX($AD$2:$AU$1001,MATCH(ROWS($W$2:W645),$W$2:$W$1001,0),MATCH(COLUMNS($AD$1006:AM1006),$AD$1006:$AU$1006,0)), HYPERLINK("#",""), HYPERLINK(CONCATENATE("#metadata!", ADDRESS(INDEX($Y$2:$Y$1001,MATCH(ROWS($W$2:W645),$W$2:$W$1001,0),0), INDEX($AD$1004:$AU$1004,1,MATCH(COLUMNS($AD$1006:AM1006),$AD$1006:$AU$1006,0)))),"Fix")))</f>
        <v xml:space="preserve"> </v>
      </c>
      <c r="L645" s="4" t="str">
        <f ca="1">IF(OR(INDEX($X$2:$X$1001,MATCH(ROWS($W$2:W645),$W$2:$W$1001,0),1)&gt;=100000,INDEX($AD$1005:$AU$1005,1,MATCH(COLUMNS($AD$1006:AN1006),$AD$1006:$AU$1006,0))&gt;=100000), " ",IF(INDEX($AD$2:$AU$1001,MATCH(ROWS($W$2:W645),$W$2:$W$1001,0),MATCH(COLUMNS($AD$1006:AN1006),$AD$1006:$AU$1006,0)), HYPERLINK("#",""), HYPERLINK(CONCATENATE("#metadata!", ADDRESS(INDEX($Y$2:$Y$1001,MATCH(ROWS($W$2:W645),$W$2:$W$1001,0),0), INDEX($AD$1004:$AU$1004,1,MATCH(COLUMNS($AD$1006:AN1006),$AD$1006:$AU$1006,0)))),"Fix")))</f>
        <v xml:space="preserve"> </v>
      </c>
      <c r="M645" s="4" t="str">
        <f ca="1">IF(OR(INDEX($X$2:$X$1001,MATCH(ROWS($W$2:W645),$W$2:$W$1001,0),1)&gt;=100000,INDEX($AD$1005:$AU$1005,1,MATCH(COLUMNS($AD$1006:AO1006),$AD$1006:$AU$1006,0))&gt;=100000), " ",IF(INDEX($AD$2:$AU$1001,MATCH(ROWS($W$2:W645),$W$2:$W$1001,0),MATCH(COLUMNS($AD$1006:AO1006),$AD$1006:$AU$1006,0)), HYPERLINK("#",""), HYPERLINK(CONCATENATE("#metadata!", ADDRESS(INDEX($Y$2:$Y$1001,MATCH(ROWS($W$2:W645),$W$2:$W$1001,0),0), INDEX($AD$1004:$AU$1004,1,MATCH(COLUMNS($AD$1006:AO1006),$AD$1006:$AU$1006,0)))),"Fix")))</f>
        <v xml:space="preserve"> </v>
      </c>
      <c r="N645" s="4" t="str">
        <f ca="1">IF(OR(INDEX($X$2:$X$1001,MATCH(ROWS($W$2:W645),$W$2:$W$1001,0),1)&gt;=100000,INDEX($AD$1005:$AU$1005,1,MATCH(COLUMNS($AD$1006:AP1006),$AD$1006:$AU$1006,0))&gt;=100000), " ",IF(INDEX($AD$2:$AU$1001,MATCH(ROWS($W$2:W645),$W$2:$W$1001,0),MATCH(COLUMNS($AD$1006:AP1006),$AD$1006:$AU$1006,0)), HYPERLINK("#",""), HYPERLINK(CONCATENATE("#metadata!", ADDRESS(INDEX($Y$2:$Y$1001,MATCH(ROWS($W$2:W645),$W$2:$W$1001,0),0), INDEX($AD$1004:$AU$1004,1,MATCH(COLUMNS($AD$1006:AP1006),$AD$1006:$AU$1006,0)))),"Fix")))</f>
        <v xml:space="preserve"> </v>
      </c>
      <c r="O645" s="4" t="str">
        <f ca="1">IF(OR(INDEX($X$2:$X$1001,MATCH(ROWS($W$2:W645),$W$2:$W$1001,0),1)&gt;=100000,INDEX($AD$1005:$AU$1005,1,MATCH(COLUMNS($AD$1006:AQ1006),$AD$1006:$AU$1006,0))&gt;=100000), " ",IF(INDEX($AD$2:$AU$1001,MATCH(ROWS($W$2:W645),$W$2:$W$1001,0),MATCH(COLUMNS($AD$1006:AQ1006),$AD$1006:$AU$1006,0)), HYPERLINK("#",""), HYPERLINK(CONCATENATE("#metadata!", ADDRESS(INDEX($Y$2:$Y$1001,MATCH(ROWS($W$2:W645),$W$2:$W$1001,0),0), INDEX($AD$1004:$AU$1004,1,MATCH(COLUMNS($AD$1006:AQ1006),$AD$1006:$AU$1006,0)))),"Fix")))</f>
        <v xml:space="preserve"> </v>
      </c>
      <c r="P645" s="4" t="str">
        <f ca="1">IF(OR(INDEX($X$2:$X$1001,MATCH(ROWS($W$2:W645),$W$2:$W$1001,0),1)&gt;=100000,INDEX($AD$1005:$AU$1005,1,MATCH(COLUMNS($AD$1006:AR1006),$AD$1006:$AU$1006,0))&gt;=100000), " ",IF(INDEX($AD$2:$AU$1001,MATCH(ROWS($W$2:W645),$W$2:$W$1001,0),MATCH(COLUMNS($AD$1006:AR1006),$AD$1006:$AU$1006,0)), HYPERLINK("#",""), HYPERLINK(CONCATENATE("#metadata!", ADDRESS(INDEX($Y$2:$Y$1001,MATCH(ROWS($W$2:W645),$W$2:$W$1001,0),0), INDEX($AD$1004:$AU$1004,1,MATCH(COLUMNS($AD$1006:AR1006),$AD$1006:$AU$1006,0)))),"Fix")))</f>
        <v xml:space="preserve"> </v>
      </c>
      <c r="Q645" s="4" t="str">
        <f ca="1">IF(OR(INDEX($X$2:$X$1001,MATCH(ROWS($W$2:W645),$W$2:$W$1001,0),1)&gt;=100000,INDEX($AD$1005:$AU$1005,1,MATCH(COLUMNS($AD$1006:AS1006),$AD$1006:$AU$1006,0))&gt;=100000), " ",IF(INDEX($AD$2:$AU$1001,MATCH(ROWS($W$2:W645),$W$2:$W$1001,0),MATCH(COLUMNS($AD$1006:AS1006),$AD$1006:$AU$1006,0)), HYPERLINK("#",""), HYPERLINK(CONCATENATE("#metadata!", ADDRESS(INDEX($Y$2:$Y$1001,MATCH(ROWS($W$2:W645),$W$2:$W$1001,0),0), INDEX($AD$1004:$AU$1004,1,MATCH(COLUMNS($AD$1006:AS1006),$AD$1006:$AU$1006,0)))),"Fix")))</f>
        <v xml:space="preserve"> </v>
      </c>
      <c r="R645" s="4" t="str">
        <f ca="1">IF(OR(INDEX($X$2:$X$1001,MATCH(ROWS($W$2:W645),$W$2:$W$1001,0),1)&gt;=100000,INDEX($AD$1005:$AU$1005,1,MATCH(COLUMNS($AD$1006:AT1006),$AD$1006:$AU$1006,0))&gt;=100000), " ",IF(INDEX($AD$2:$AU$1001,MATCH(ROWS($W$2:W645),$W$2:$W$1001,0),MATCH(COLUMNS($AD$1006:AT1006),$AD$1006:$AU$1006,0)), HYPERLINK("#",""), HYPERLINK(CONCATENATE("#metadata!", ADDRESS(INDEX($Y$2:$Y$1001,MATCH(ROWS($W$2:W645),$W$2:$W$1001,0),0), INDEX($AD$1004:$AU$1004,1,MATCH(COLUMNS($AD$1006:AT1006),$AD$1006:$AU$1006,0)))),"Fix")))</f>
        <v xml:space="preserve"> </v>
      </c>
      <c r="S645" s="4" t="str">
        <f ca="1">IF(OR(INDEX($X$2:$X$1001,MATCH(ROWS($W$2:W645),$W$2:$W$1001,0),1)&gt;=100000,INDEX($AD$1005:$AU$1005,1,MATCH(COLUMNS($AD$1006:AU1006),$AD$1006:$AU$1006,0))&gt;=100000), " ",IF(INDEX($AD$2:$AU$1001,MATCH(ROWS($W$2:W645),$W$2:$W$1001,0),MATCH(COLUMNS($AD$1006:AU1006),$AD$1006:$AU$1006,0)), HYPERLINK("#",""), HYPERLINK(CONCATENATE("#metadata!", ADDRESS(INDEX($Y$2:$Y$1001,MATCH(ROWS($W$2:W645),$W$2:$W$1001,0),0), INDEX($AD$1004:$AU$1004,1,MATCH(COLUMNS($AD$1006:AU1006),$AD$1006:$AU$1006,0)))),"Fix")))</f>
        <v xml:space="preserve"> </v>
      </c>
      <c r="W645">
        <v>644</v>
      </c>
      <c r="X645">
        <v>100645</v>
      </c>
      <c r="Y645">
        <v>645</v>
      </c>
      <c r="Z645" t="b">
        <f t="shared" si="10"/>
        <v>1</v>
      </c>
      <c r="AA645" t="b">
        <f>COUNTBLANK(metadata!B645:S645)=COLUMNS(metadata!B645:S645)</f>
        <v>1</v>
      </c>
      <c r="AB645" t="str">
        <v/>
      </c>
      <c r="AD645" t="b">
        <f ca="1">AND(IF(metadata!B645="",FALSE,TRUE),COUNTIF(metadata!B:B, metadata!B645) = 1,NOT(ISERROR(SUMPRODUCT(SEARCH(MID(metadata!B645,ROW(INDIRECT("1:"&amp;LEN(metadata!B645))), 1),"0123456789abcdefghijklmnopqrstuvwxyzABCDEFGHIJKLMNOPQRSTUVWXYZ.")))))</f>
        <v>0</v>
      </c>
      <c r="AE645" t="b">
        <f>OR(AND(IF(metadata!C645="",FALSE,TRUE),OR(EXACT(metadata!C645,"not applicable"),EXACT(metadata!C645,"missing: not collected"),EXACT(metadata!C645,"missing: not provided"),EXACT(metadata!C645,"missing: restricted access"))),AND(IF(metadata!C645="",FALSE,ISNUMBER(VALUE(metadata!C645))),metadata!C645&gt;0))</f>
        <v>0</v>
      </c>
      <c r="AF645" t="b">
        <f>AND(IF(metadata!D645="",FALSE,TRUE),EXACT(metadata!D645,"missing: not provided"))</f>
        <v>0</v>
      </c>
      <c r="AG645" t="b">
        <f>AND(IF(metadata!E645="",FALSE,TRUE),EXACT(metadata!E645,"Host-associated"))</f>
        <v>0</v>
      </c>
      <c r="AH645" t="b">
        <f>AND(IF(metadata!F645="",FALSE,TRUE),OR(EXACT(metadata!F645,"Animal"),EXACT(metadata!F645,"Fungus"),EXACT(metadata!F645,"Plant")))</f>
        <v>0</v>
      </c>
      <c r="AI645" t="b">
        <f>AND(IF(metadata!G645="",FALSE,TRUE),OR(EXACT(metadata!G645,"Plant secretion"),EXACT(metadata!G645,"Plant rhizosphere"),EXACT(metadata!G645,"Plant surface"),EXACT(metadata!G645,"Plant corpus"),EXACT(metadata!G645,"Fungus surface"),EXACT(metadata!G645,"Fungus corpus"),EXACT(metadata!G645,"Animal surface"),EXACT(metadata!G645,"Animal proximal gut"),EXACT(metadata!G645,"Animal corpus"),EXACT(metadata!G645,"Animal distal gut"),EXACT(metadata!G645,"Animal secretion")))</f>
        <v>0</v>
      </c>
      <c r="AJ645" t="b">
        <f>OR(AND(IF(metadata!H645="",FALSE,TRUE),OR(EXACT(metadata!H645,"missing: not collected"),EXACT(metadata!H645,"missing: not provided"),EXACT(metadata!H645,"missing: restricted access"))),AND(IF(metadata!H645="",FALSE,TRUE),OR(EXACT(metadata!H645,"organism-associated habitat"),EXACT(metadata!H645,"plant-associated habitat"),EXACT(metadata!H645,"animal-associated habitat"),EXACT(metadata!H645,"insecta-associated habitat"),EXACT(metadata!H645,"mammalia-associated habitat"),EXACT(metadata!H645,"human-associated habitat"),EXACT(metadata!H645,"livestock-associated habitat"))))</f>
        <v>0</v>
      </c>
      <c r="AK645" t="b">
        <f>AND(IF(metadata!I645="",FALSE,TRUE),EXACT(metadata!I645,"host-associated"))</f>
        <v>0</v>
      </c>
      <c r="AL645" t="b">
        <f>OR(AND(IF(metadata!J645="",FALSE,TRUE),OR(EXACT(metadata!J645,"not applicable"),EXACT(metadata!J645,"missing: not collected"),EXACT(metadata!J645,"missing: not provided"),EXACT(metadata!J645,"missing: restricted access"))),AND(IF(metadata!J645="",FALSE,ISNUMBER(VALUE(metadata!J645))),metadata!J645&gt;0))</f>
        <v>0</v>
      </c>
      <c r="AM645" t="b">
        <f>AND(IF(metadata!K645="",FALSE,TRUE),EXACT(metadata!K645,"missing: not provided"))</f>
        <v>0</v>
      </c>
      <c r="AN645" t="b">
        <f>IF(metadata!L645="",FALSE,TRUE)</f>
        <v>0</v>
      </c>
      <c r="AO645" t="b">
        <f>IF(metadata!M645="",FALSE,TRUE)</f>
        <v>0</v>
      </c>
      <c r="AP645" t="b">
        <f>OR(AND(IF(metadata!N645="",FALSE,TRUE),OR(EXACT(metadata!N645,"not applicable"),EXACT(metadata!N645,"missing: not collected"),EXACT(metadata!N645,"missing: not provided"))),AND(IF(metadata!N645="",FALSE,IF(ISERROR(INT(metadata!N645)),FALSE,INT(metadata!N645)=metadata!N645)),metadata!N645&gt;0))</f>
        <v>0</v>
      </c>
      <c r="AQ645" t="b">
        <f>AND(IF(metadata!O645="",FALSE,TRUE),EXACT(metadata!O645,"Not applicable"))</f>
        <v>0</v>
      </c>
      <c r="AR645" t="b">
        <f>OR(AND(IF(metadata!P645="",FALSE,TRUE),OR(EXACT(metadata!P645,"not applicable"),EXACT(metadata!P645,"missing: not collected"),EXACT(metadata!P645,"missing: not provided"),EXACT(metadata!P645,"missing: restricted access"))),IF(metadata!P645="",FALSE,IF(ISERROR(INT(metadata!P645)),FALSE,INT(metadata!P645)=metadata!P645)))</f>
        <v>0</v>
      </c>
      <c r="AS645" t="b">
        <f>AND(IF(metadata!Q645="",FALSE,TRUE),EXACT(metadata!Q645,"Not applicable"))</f>
        <v>0</v>
      </c>
      <c r="AT645" t="b">
        <f>OR(AND(IF(metadata!R645="",FALSE,TRUE),OR(EXACT(metadata!R645,"not applicable"),EXACT(metadata!R645,"missing: not collected"),EXACT(metadata!R645,"missing: not provided"),EXACT(metadata!R645,"missing: restricted access"))),AND(IF(metadata!R645="",FALSE,ISNUMBER(VALUE(metadata!R645))),metadata!R645&gt;0))</f>
        <v>0</v>
      </c>
      <c r="AU645" t="b">
        <f>AND(IF(metadata!S645="",FALSE,TRUE),EXACT(metadata!S645,"missing: not provided"))</f>
        <v>0</v>
      </c>
    </row>
    <row r="646" spans="1:47" x14ac:dyDescent="0.2">
      <c r="A646" s="5" t="str">
        <f ca="1">IF(B646=" "," ",HYPERLINK(CONCATENATE("#metadata!",ADDRESS(INDEX($Y$2:$Y$1001,MATCH(ROWS($W$2:W646),$W$2:$W$1001,0),0),1)),INDEX($AB$2:$AB$1001,MATCH(ROWS($W$2:W646),$W$2:$W$1001,0),0)))</f>
        <v xml:space="preserve"> </v>
      </c>
      <c r="B646" s="4" t="str">
        <f ca="1">IF(OR(INDEX($X$2:$X$1001,MATCH(ROWS($W$2:W646),$W$2:$W$1001,0),1)&gt;=100000,INDEX($AD$1005:$AU$1005,1,MATCH(COLUMNS($AD$1006:AD1006),$AD$1006:$AU$1006,0))&gt;=100000), " ",IF(INDEX($AD$2:$AU$1001,MATCH(ROWS($W$2:W646),$W$2:$W$1001,0),MATCH(COLUMNS($AD$1006:AD1006),$AD$1006:$AU$1006,0)), HYPERLINK("#",""), HYPERLINK(CONCATENATE("#metadata!", ADDRESS(INDEX($Y$2:$Y$1001,MATCH(ROWS($W$2:W646),$W$2:$W$1001,0),0), INDEX($AD$1004:$AU$1004,1,MATCH(COLUMNS($AD$1006:AD1006),$AD$1006:$AU$1006,0)))),"Fix")))</f>
        <v xml:space="preserve"> </v>
      </c>
      <c r="C646" s="4" t="str">
        <f ca="1">IF(OR(INDEX($X$2:$X$1001,MATCH(ROWS($W$2:W646),$W$2:$W$1001,0),1)&gt;=100000,INDEX($AD$1005:$AU$1005,1,MATCH(COLUMNS($AD$1006:AE1006),$AD$1006:$AU$1006,0))&gt;=100000), " ",IF(INDEX($AD$2:$AU$1001,MATCH(ROWS($W$2:W646),$W$2:$W$1001,0),MATCH(COLUMNS($AD$1006:AE1006),$AD$1006:$AU$1006,0)), HYPERLINK("#",""), HYPERLINK(CONCATENATE("#metadata!", ADDRESS(INDEX($Y$2:$Y$1001,MATCH(ROWS($W$2:W646),$W$2:$W$1001,0),0), INDEX($AD$1004:$AU$1004,1,MATCH(COLUMNS($AD$1006:AE1006),$AD$1006:$AU$1006,0)))),"Fix")))</f>
        <v xml:space="preserve"> </v>
      </c>
      <c r="D646" s="4" t="str">
        <f ca="1">IF(OR(INDEX($X$2:$X$1001,MATCH(ROWS($W$2:W646),$W$2:$W$1001,0),1)&gt;=100000,INDEX($AD$1005:$AU$1005,1,MATCH(COLUMNS($AD$1006:AF1006),$AD$1006:$AU$1006,0))&gt;=100000), " ",IF(INDEX($AD$2:$AU$1001,MATCH(ROWS($W$2:W646),$W$2:$W$1001,0),MATCH(COLUMNS($AD$1006:AF1006),$AD$1006:$AU$1006,0)), HYPERLINK("#",""), HYPERLINK(CONCATENATE("#metadata!", ADDRESS(INDEX($Y$2:$Y$1001,MATCH(ROWS($W$2:W646),$W$2:$W$1001,0),0), INDEX($AD$1004:$AU$1004,1,MATCH(COLUMNS($AD$1006:AF1006),$AD$1006:$AU$1006,0)))),"Fix")))</f>
        <v xml:space="preserve"> </v>
      </c>
      <c r="E646" s="4" t="str">
        <f ca="1">IF(OR(INDEX($X$2:$X$1001,MATCH(ROWS($W$2:W646),$W$2:$W$1001,0),1)&gt;=100000,INDEX($AD$1005:$AU$1005,1,MATCH(COLUMNS($AD$1006:AG1006),$AD$1006:$AU$1006,0))&gt;=100000), " ",IF(INDEX($AD$2:$AU$1001,MATCH(ROWS($W$2:W646),$W$2:$W$1001,0),MATCH(COLUMNS($AD$1006:AG1006),$AD$1006:$AU$1006,0)), HYPERLINK("#",""), HYPERLINK(CONCATENATE("#metadata!", ADDRESS(INDEX($Y$2:$Y$1001,MATCH(ROWS($W$2:W646),$W$2:$W$1001,0),0), INDEX($AD$1004:$AU$1004,1,MATCH(COLUMNS($AD$1006:AG1006),$AD$1006:$AU$1006,0)))),"Fix")))</f>
        <v xml:space="preserve"> </v>
      </c>
      <c r="F646" s="4" t="str">
        <f ca="1">IF(OR(INDEX($X$2:$X$1001,MATCH(ROWS($W$2:W646),$W$2:$W$1001,0),1)&gt;=100000,INDEX($AD$1005:$AU$1005,1,MATCH(COLUMNS($AD$1006:AH1006),$AD$1006:$AU$1006,0))&gt;=100000), " ",IF(INDEX($AD$2:$AU$1001,MATCH(ROWS($W$2:W646),$W$2:$W$1001,0),MATCH(COLUMNS($AD$1006:AH1006),$AD$1006:$AU$1006,0)), HYPERLINK("#",""), HYPERLINK(CONCATENATE("#metadata!", ADDRESS(INDEX($Y$2:$Y$1001,MATCH(ROWS($W$2:W646),$W$2:$W$1001,0),0), INDEX($AD$1004:$AU$1004,1,MATCH(COLUMNS($AD$1006:AH1006),$AD$1006:$AU$1006,0)))),"Fix")))</f>
        <v xml:space="preserve"> </v>
      </c>
      <c r="G646" s="4" t="str">
        <f ca="1">IF(OR(INDEX($X$2:$X$1001,MATCH(ROWS($W$2:W646),$W$2:$W$1001,0),1)&gt;=100000,INDEX($AD$1005:$AU$1005,1,MATCH(COLUMNS($AD$1006:AI1006),$AD$1006:$AU$1006,0))&gt;=100000), " ",IF(INDEX($AD$2:$AU$1001,MATCH(ROWS($W$2:W646),$W$2:$W$1001,0),MATCH(COLUMNS($AD$1006:AI1006),$AD$1006:$AU$1006,0)), HYPERLINK("#",""), HYPERLINK(CONCATENATE("#metadata!", ADDRESS(INDEX($Y$2:$Y$1001,MATCH(ROWS($W$2:W646),$W$2:$W$1001,0),0), INDEX($AD$1004:$AU$1004,1,MATCH(COLUMNS($AD$1006:AI1006),$AD$1006:$AU$1006,0)))),"Fix")))</f>
        <v xml:space="preserve"> </v>
      </c>
      <c r="H646" s="4" t="str">
        <f ca="1">IF(OR(INDEX($X$2:$X$1001,MATCH(ROWS($W$2:W646),$W$2:$W$1001,0),1)&gt;=100000,INDEX($AD$1005:$AU$1005,1,MATCH(COLUMNS($AD$1006:AJ1006),$AD$1006:$AU$1006,0))&gt;=100000), " ",IF(INDEX($AD$2:$AU$1001,MATCH(ROWS($W$2:W646),$W$2:$W$1001,0),MATCH(COLUMNS($AD$1006:AJ1006),$AD$1006:$AU$1006,0)), HYPERLINK("#",""), HYPERLINK(CONCATENATE("#metadata!", ADDRESS(INDEX($Y$2:$Y$1001,MATCH(ROWS($W$2:W646),$W$2:$W$1001,0),0), INDEX($AD$1004:$AU$1004,1,MATCH(COLUMNS($AD$1006:AJ1006),$AD$1006:$AU$1006,0)))),"Fix")))</f>
        <v xml:space="preserve"> </v>
      </c>
      <c r="I646" s="4" t="str">
        <f ca="1">IF(OR(INDEX($X$2:$X$1001,MATCH(ROWS($W$2:W646),$W$2:$W$1001,0),1)&gt;=100000,INDEX($AD$1005:$AU$1005,1,MATCH(COLUMNS($AD$1006:AK1006),$AD$1006:$AU$1006,0))&gt;=100000), " ",IF(INDEX($AD$2:$AU$1001,MATCH(ROWS($W$2:W646),$W$2:$W$1001,0),MATCH(COLUMNS($AD$1006:AK1006),$AD$1006:$AU$1006,0)), HYPERLINK("#",""), HYPERLINK(CONCATENATE("#metadata!", ADDRESS(INDEX($Y$2:$Y$1001,MATCH(ROWS($W$2:W646),$W$2:$W$1001,0),0), INDEX($AD$1004:$AU$1004,1,MATCH(COLUMNS($AD$1006:AK1006),$AD$1006:$AU$1006,0)))),"Fix")))</f>
        <v xml:space="preserve"> </v>
      </c>
      <c r="J646" s="4" t="str">
        <f ca="1">IF(OR(INDEX($X$2:$X$1001,MATCH(ROWS($W$2:W646),$W$2:$W$1001,0),1)&gt;=100000,INDEX($AD$1005:$AU$1005,1,MATCH(COLUMNS($AD$1006:AL1006),$AD$1006:$AU$1006,0))&gt;=100000), " ",IF(INDEX($AD$2:$AU$1001,MATCH(ROWS($W$2:W646),$W$2:$W$1001,0),MATCH(COLUMNS($AD$1006:AL1006),$AD$1006:$AU$1006,0)), HYPERLINK("#",""), HYPERLINK(CONCATENATE("#metadata!", ADDRESS(INDEX($Y$2:$Y$1001,MATCH(ROWS($W$2:W646),$W$2:$W$1001,0),0), INDEX($AD$1004:$AU$1004,1,MATCH(COLUMNS($AD$1006:AL1006),$AD$1006:$AU$1006,0)))),"Fix")))</f>
        <v xml:space="preserve"> </v>
      </c>
      <c r="K646" s="4" t="str">
        <f ca="1">IF(OR(INDEX($X$2:$X$1001,MATCH(ROWS($W$2:W646),$W$2:$W$1001,0),1)&gt;=100000,INDEX($AD$1005:$AU$1005,1,MATCH(COLUMNS($AD$1006:AM1006),$AD$1006:$AU$1006,0))&gt;=100000), " ",IF(INDEX($AD$2:$AU$1001,MATCH(ROWS($W$2:W646),$W$2:$W$1001,0),MATCH(COLUMNS($AD$1006:AM1006),$AD$1006:$AU$1006,0)), HYPERLINK("#",""), HYPERLINK(CONCATENATE("#metadata!", ADDRESS(INDEX($Y$2:$Y$1001,MATCH(ROWS($W$2:W646),$W$2:$W$1001,0),0), INDEX($AD$1004:$AU$1004,1,MATCH(COLUMNS($AD$1006:AM1006),$AD$1006:$AU$1006,0)))),"Fix")))</f>
        <v xml:space="preserve"> </v>
      </c>
      <c r="L646" s="4" t="str">
        <f ca="1">IF(OR(INDEX($X$2:$X$1001,MATCH(ROWS($W$2:W646),$W$2:$W$1001,0),1)&gt;=100000,INDEX($AD$1005:$AU$1005,1,MATCH(COLUMNS($AD$1006:AN1006),$AD$1006:$AU$1006,0))&gt;=100000), " ",IF(INDEX($AD$2:$AU$1001,MATCH(ROWS($W$2:W646),$W$2:$W$1001,0),MATCH(COLUMNS($AD$1006:AN1006),$AD$1006:$AU$1006,0)), HYPERLINK("#",""), HYPERLINK(CONCATENATE("#metadata!", ADDRESS(INDEX($Y$2:$Y$1001,MATCH(ROWS($W$2:W646),$W$2:$W$1001,0),0), INDEX($AD$1004:$AU$1004,1,MATCH(COLUMNS($AD$1006:AN1006),$AD$1006:$AU$1006,0)))),"Fix")))</f>
        <v xml:space="preserve"> </v>
      </c>
      <c r="M646" s="4" t="str">
        <f ca="1">IF(OR(INDEX($X$2:$X$1001,MATCH(ROWS($W$2:W646),$W$2:$W$1001,0),1)&gt;=100000,INDEX($AD$1005:$AU$1005,1,MATCH(COLUMNS($AD$1006:AO1006),$AD$1006:$AU$1006,0))&gt;=100000), " ",IF(INDEX($AD$2:$AU$1001,MATCH(ROWS($W$2:W646),$W$2:$W$1001,0),MATCH(COLUMNS($AD$1006:AO1006),$AD$1006:$AU$1006,0)), HYPERLINK("#",""), HYPERLINK(CONCATENATE("#metadata!", ADDRESS(INDEX($Y$2:$Y$1001,MATCH(ROWS($W$2:W646),$W$2:$W$1001,0),0), INDEX($AD$1004:$AU$1004,1,MATCH(COLUMNS($AD$1006:AO1006),$AD$1006:$AU$1006,0)))),"Fix")))</f>
        <v xml:space="preserve"> </v>
      </c>
      <c r="N646" s="4" t="str">
        <f ca="1">IF(OR(INDEX($X$2:$X$1001,MATCH(ROWS($W$2:W646),$W$2:$W$1001,0),1)&gt;=100000,INDEX($AD$1005:$AU$1005,1,MATCH(COLUMNS($AD$1006:AP1006),$AD$1006:$AU$1006,0))&gt;=100000), " ",IF(INDEX($AD$2:$AU$1001,MATCH(ROWS($W$2:W646),$W$2:$W$1001,0),MATCH(COLUMNS($AD$1006:AP1006),$AD$1006:$AU$1006,0)), HYPERLINK("#",""), HYPERLINK(CONCATENATE("#metadata!", ADDRESS(INDEX($Y$2:$Y$1001,MATCH(ROWS($W$2:W646),$W$2:$W$1001,0),0), INDEX($AD$1004:$AU$1004,1,MATCH(COLUMNS($AD$1006:AP1006),$AD$1006:$AU$1006,0)))),"Fix")))</f>
        <v xml:space="preserve"> </v>
      </c>
      <c r="O646" s="4" t="str">
        <f ca="1">IF(OR(INDEX($X$2:$X$1001,MATCH(ROWS($W$2:W646),$W$2:$W$1001,0),1)&gt;=100000,INDEX($AD$1005:$AU$1005,1,MATCH(COLUMNS($AD$1006:AQ1006),$AD$1006:$AU$1006,0))&gt;=100000), " ",IF(INDEX($AD$2:$AU$1001,MATCH(ROWS($W$2:W646),$W$2:$W$1001,0),MATCH(COLUMNS($AD$1006:AQ1006),$AD$1006:$AU$1006,0)), HYPERLINK("#",""), HYPERLINK(CONCATENATE("#metadata!", ADDRESS(INDEX($Y$2:$Y$1001,MATCH(ROWS($W$2:W646),$W$2:$W$1001,0),0), INDEX($AD$1004:$AU$1004,1,MATCH(COLUMNS($AD$1006:AQ1006),$AD$1006:$AU$1006,0)))),"Fix")))</f>
        <v xml:space="preserve"> </v>
      </c>
      <c r="P646" s="4" t="str">
        <f ca="1">IF(OR(INDEX($X$2:$X$1001,MATCH(ROWS($W$2:W646),$W$2:$W$1001,0),1)&gt;=100000,INDEX($AD$1005:$AU$1005,1,MATCH(COLUMNS($AD$1006:AR1006),$AD$1006:$AU$1006,0))&gt;=100000), " ",IF(INDEX($AD$2:$AU$1001,MATCH(ROWS($W$2:W646),$W$2:$W$1001,0),MATCH(COLUMNS($AD$1006:AR1006),$AD$1006:$AU$1006,0)), HYPERLINK("#",""), HYPERLINK(CONCATENATE("#metadata!", ADDRESS(INDEX($Y$2:$Y$1001,MATCH(ROWS($W$2:W646),$W$2:$W$1001,0),0), INDEX($AD$1004:$AU$1004,1,MATCH(COLUMNS($AD$1006:AR1006),$AD$1006:$AU$1006,0)))),"Fix")))</f>
        <v xml:space="preserve"> </v>
      </c>
      <c r="Q646" s="4" t="str">
        <f ca="1">IF(OR(INDEX($X$2:$X$1001,MATCH(ROWS($W$2:W646),$W$2:$W$1001,0),1)&gt;=100000,INDEX($AD$1005:$AU$1005,1,MATCH(COLUMNS($AD$1006:AS1006),$AD$1006:$AU$1006,0))&gt;=100000), " ",IF(INDEX($AD$2:$AU$1001,MATCH(ROWS($W$2:W646),$W$2:$W$1001,0),MATCH(COLUMNS($AD$1006:AS1006),$AD$1006:$AU$1006,0)), HYPERLINK("#",""), HYPERLINK(CONCATENATE("#metadata!", ADDRESS(INDEX($Y$2:$Y$1001,MATCH(ROWS($W$2:W646),$W$2:$W$1001,0),0), INDEX($AD$1004:$AU$1004,1,MATCH(COLUMNS($AD$1006:AS1006),$AD$1006:$AU$1006,0)))),"Fix")))</f>
        <v xml:space="preserve"> </v>
      </c>
      <c r="R646" s="4" t="str">
        <f ca="1">IF(OR(INDEX($X$2:$X$1001,MATCH(ROWS($W$2:W646),$W$2:$W$1001,0),1)&gt;=100000,INDEX($AD$1005:$AU$1005,1,MATCH(COLUMNS($AD$1006:AT1006),$AD$1006:$AU$1006,0))&gt;=100000), " ",IF(INDEX($AD$2:$AU$1001,MATCH(ROWS($W$2:W646),$W$2:$W$1001,0),MATCH(COLUMNS($AD$1006:AT1006),$AD$1006:$AU$1006,0)), HYPERLINK("#",""), HYPERLINK(CONCATENATE("#metadata!", ADDRESS(INDEX($Y$2:$Y$1001,MATCH(ROWS($W$2:W646),$W$2:$W$1001,0),0), INDEX($AD$1004:$AU$1004,1,MATCH(COLUMNS($AD$1006:AT1006),$AD$1006:$AU$1006,0)))),"Fix")))</f>
        <v xml:space="preserve"> </v>
      </c>
      <c r="S646" s="4" t="str">
        <f ca="1">IF(OR(INDEX($X$2:$X$1001,MATCH(ROWS($W$2:W646),$W$2:$W$1001,0),1)&gt;=100000,INDEX($AD$1005:$AU$1005,1,MATCH(COLUMNS($AD$1006:AU1006),$AD$1006:$AU$1006,0))&gt;=100000), " ",IF(INDEX($AD$2:$AU$1001,MATCH(ROWS($W$2:W646),$W$2:$W$1001,0),MATCH(COLUMNS($AD$1006:AU1006),$AD$1006:$AU$1006,0)), HYPERLINK("#",""), HYPERLINK(CONCATENATE("#metadata!", ADDRESS(INDEX($Y$2:$Y$1001,MATCH(ROWS($W$2:W646),$W$2:$W$1001,0),0), INDEX($AD$1004:$AU$1004,1,MATCH(COLUMNS($AD$1006:AU1006),$AD$1006:$AU$1006,0)))),"Fix")))</f>
        <v xml:space="preserve"> </v>
      </c>
      <c r="W646">
        <v>645</v>
      </c>
      <c r="X646">
        <v>100646</v>
      </c>
      <c r="Y646">
        <v>646</v>
      </c>
      <c r="Z646" t="b">
        <f t="shared" si="10"/>
        <v>1</v>
      </c>
      <c r="AA646" t="b">
        <f>COUNTBLANK(metadata!B646:S646)=COLUMNS(metadata!B646:S646)</f>
        <v>1</v>
      </c>
      <c r="AB646" t="str">
        <v/>
      </c>
      <c r="AD646" t="b">
        <f ca="1">AND(IF(metadata!B646="",FALSE,TRUE),COUNTIF(metadata!B:B, metadata!B646) = 1,NOT(ISERROR(SUMPRODUCT(SEARCH(MID(metadata!B646,ROW(INDIRECT("1:"&amp;LEN(metadata!B646))), 1),"0123456789abcdefghijklmnopqrstuvwxyzABCDEFGHIJKLMNOPQRSTUVWXYZ.")))))</f>
        <v>0</v>
      </c>
      <c r="AE646" t="b">
        <f>OR(AND(IF(metadata!C646="",FALSE,TRUE),OR(EXACT(metadata!C646,"not applicable"),EXACT(metadata!C646,"missing: not collected"),EXACT(metadata!C646,"missing: not provided"),EXACT(metadata!C646,"missing: restricted access"))),AND(IF(metadata!C646="",FALSE,ISNUMBER(VALUE(metadata!C646))),metadata!C646&gt;0))</f>
        <v>0</v>
      </c>
      <c r="AF646" t="b">
        <f>AND(IF(metadata!D646="",FALSE,TRUE),EXACT(metadata!D646,"missing: not provided"))</f>
        <v>0</v>
      </c>
      <c r="AG646" t="b">
        <f>AND(IF(metadata!E646="",FALSE,TRUE),EXACT(metadata!E646,"Host-associated"))</f>
        <v>0</v>
      </c>
      <c r="AH646" t="b">
        <f>AND(IF(metadata!F646="",FALSE,TRUE),OR(EXACT(metadata!F646,"Animal"),EXACT(metadata!F646,"Fungus"),EXACT(metadata!F646,"Plant")))</f>
        <v>0</v>
      </c>
      <c r="AI646" t="b">
        <f>AND(IF(metadata!G646="",FALSE,TRUE),OR(EXACT(metadata!G646,"Plant secretion"),EXACT(metadata!G646,"Plant rhizosphere"),EXACT(metadata!G646,"Plant surface"),EXACT(metadata!G646,"Plant corpus"),EXACT(metadata!G646,"Fungus surface"),EXACT(metadata!G646,"Fungus corpus"),EXACT(metadata!G646,"Animal surface"),EXACT(metadata!G646,"Animal proximal gut"),EXACT(metadata!G646,"Animal corpus"),EXACT(metadata!G646,"Animal distal gut"),EXACT(metadata!G646,"Animal secretion")))</f>
        <v>0</v>
      </c>
      <c r="AJ646" t="b">
        <f>OR(AND(IF(metadata!H646="",FALSE,TRUE),OR(EXACT(metadata!H646,"missing: not collected"),EXACT(metadata!H646,"missing: not provided"),EXACT(metadata!H646,"missing: restricted access"))),AND(IF(metadata!H646="",FALSE,TRUE),OR(EXACT(metadata!H646,"organism-associated habitat"),EXACT(metadata!H646,"plant-associated habitat"),EXACT(metadata!H646,"animal-associated habitat"),EXACT(metadata!H646,"insecta-associated habitat"),EXACT(metadata!H646,"mammalia-associated habitat"),EXACT(metadata!H646,"human-associated habitat"),EXACT(metadata!H646,"livestock-associated habitat"))))</f>
        <v>0</v>
      </c>
      <c r="AK646" t="b">
        <f>AND(IF(metadata!I646="",FALSE,TRUE),EXACT(metadata!I646,"host-associated"))</f>
        <v>0</v>
      </c>
      <c r="AL646" t="b">
        <f>OR(AND(IF(metadata!J646="",FALSE,TRUE),OR(EXACT(metadata!J646,"not applicable"),EXACT(metadata!J646,"missing: not collected"),EXACT(metadata!J646,"missing: not provided"),EXACT(metadata!J646,"missing: restricted access"))),AND(IF(metadata!J646="",FALSE,ISNUMBER(VALUE(metadata!J646))),metadata!J646&gt;0))</f>
        <v>0</v>
      </c>
      <c r="AM646" t="b">
        <f>AND(IF(metadata!K646="",FALSE,TRUE),EXACT(metadata!K646,"missing: not provided"))</f>
        <v>0</v>
      </c>
      <c r="AN646" t="b">
        <f>IF(metadata!L646="",FALSE,TRUE)</f>
        <v>0</v>
      </c>
      <c r="AO646" t="b">
        <f>IF(metadata!M646="",FALSE,TRUE)</f>
        <v>0</v>
      </c>
      <c r="AP646" t="b">
        <f>OR(AND(IF(metadata!N646="",FALSE,TRUE),OR(EXACT(metadata!N646,"not applicable"),EXACT(metadata!N646,"missing: not collected"),EXACT(metadata!N646,"missing: not provided"))),AND(IF(metadata!N646="",FALSE,IF(ISERROR(INT(metadata!N646)),FALSE,INT(metadata!N646)=metadata!N646)),metadata!N646&gt;0))</f>
        <v>0</v>
      </c>
      <c r="AQ646" t="b">
        <f>AND(IF(metadata!O646="",FALSE,TRUE),EXACT(metadata!O646,"Not applicable"))</f>
        <v>0</v>
      </c>
      <c r="AR646" t="b">
        <f>OR(AND(IF(metadata!P646="",FALSE,TRUE),OR(EXACT(metadata!P646,"not applicable"),EXACT(metadata!P646,"missing: not collected"),EXACT(metadata!P646,"missing: not provided"),EXACT(metadata!P646,"missing: restricted access"))),IF(metadata!P646="",FALSE,IF(ISERROR(INT(metadata!P646)),FALSE,INT(metadata!P646)=metadata!P646)))</f>
        <v>0</v>
      </c>
      <c r="AS646" t="b">
        <f>AND(IF(metadata!Q646="",FALSE,TRUE),EXACT(metadata!Q646,"Not applicable"))</f>
        <v>0</v>
      </c>
      <c r="AT646" t="b">
        <f>OR(AND(IF(metadata!R646="",FALSE,TRUE),OR(EXACT(metadata!R646,"not applicable"),EXACT(metadata!R646,"missing: not collected"),EXACT(metadata!R646,"missing: not provided"),EXACT(metadata!R646,"missing: restricted access"))),AND(IF(metadata!R646="",FALSE,ISNUMBER(VALUE(metadata!R646))),metadata!R646&gt;0))</f>
        <v>0</v>
      </c>
      <c r="AU646" t="b">
        <f>AND(IF(metadata!S646="",FALSE,TRUE),EXACT(metadata!S646,"missing: not provided"))</f>
        <v>0</v>
      </c>
    </row>
    <row r="647" spans="1:47" x14ac:dyDescent="0.2">
      <c r="A647" s="5" t="str">
        <f ca="1">IF(B647=" "," ",HYPERLINK(CONCATENATE("#metadata!",ADDRESS(INDEX($Y$2:$Y$1001,MATCH(ROWS($W$2:W647),$W$2:$W$1001,0),0),1)),INDEX($AB$2:$AB$1001,MATCH(ROWS($W$2:W647),$W$2:$W$1001,0),0)))</f>
        <v xml:space="preserve"> </v>
      </c>
      <c r="B647" s="4" t="str">
        <f ca="1">IF(OR(INDEX($X$2:$X$1001,MATCH(ROWS($W$2:W647),$W$2:$W$1001,0),1)&gt;=100000,INDEX($AD$1005:$AU$1005,1,MATCH(COLUMNS($AD$1006:AD1006),$AD$1006:$AU$1006,0))&gt;=100000), " ",IF(INDEX($AD$2:$AU$1001,MATCH(ROWS($W$2:W647),$W$2:$W$1001,0),MATCH(COLUMNS($AD$1006:AD1006),$AD$1006:$AU$1006,0)), HYPERLINK("#",""), HYPERLINK(CONCATENATE("#metadata!", ADDRESS(INDEX($Y$2:$Y$1001,MATCH(ROWS($W$2:W647),$W$2:$W$1001,0),0), INDEX($AD$1004:$AU$1004,1,MATCH(COLUMNS($AD$1006:AD1006),$AD$1006:$AU$1006,0)))),"Fix")))</f>
        <v xml:space="preserve"> </v>
      </c>
      <c r="C647" s="4" t="str">
        <f ca="1">IF(OR(INDEX($X$2:$X$1001,MATCH(ROWS($W$2:W647),$W$2:$W$1001,0),1)&gt;=100000,INDEX($AD$1005:$AU$1005,1,MATCH(COLUMNS($AD$1006:AE1006),$AD$1006:$AU$1006,0))&gt;=100000), " ",IF(INDEX($AD$2:$AU$1001,MATCH(ROWS($W$2:W647),$W$2:$W$1001,0),MATCH(COLUMNS($AD$1006:AE1006),$AD$1006:$AU$1006,0)), HYPERLINK("#",""), HYPERLINK(CONCATENATE("#metadata!", ADDRESS(INDEX($Y$2:$Y$1001,MATCH(ROWS($W$2:W647),$W$2:$W$1001,0),0), INDEX($AD$1004:$AU$1004,1,MATCH(COLUMNS($AD$1006:AE1006),$AD$1006:$AU$1006,0)))),"Fix")))</f>
        <v xml:space="preserve"> </v>
      </c>
      <c r="D647" s="4" t="str">
        <f ca="1">IF(OR(INDEX($X$2:$X$1001,MATCH(ROWS($W$2:W647),$W$2:$W$1001,0),1)&gt;=100000,INDEX($AD$1005:$AU$1005,1,MATCH(COLUMNS($AD$1006:AF1006),$AD$1006:$AU$1006,0))&gt;=100000), " ",IF(INDEX($AD$2:$AU$1001,MATCH(ROWS($W$2:W647),$W$2:$W$1001,0),MATCH(COLUMNS($AD$1006:AF1006),$AD$1006:$AU$1006,0)), HYPERLINK("#",""), HYPERLINK(CONCATENATE("#metadata!", ADDRESS(INDEX($Y$2:$Y$1001,MATCH(ROWS($W$2:W647),$W$2:$W$1001,0),0), INDEX($AD$1004:$AU$1004,1,MATCH(COLUMNS($AD$1006:AF1006),$AD$1006:$AU$1006,0)))),"Fix")))</f>
        <v xml:space="preserve"> </v>
      </c>
      <c r="E647" s="4" t="str">
        <f ca="1">IF(OR(INDEX($X$2:$X$1001,MATCH(ROWS($W$2:W647),$W$2:$W$1001,0),1)&gt;=100000,INDEX($AD$1005:$AU$1005,1,MATCH(COLUMNS($AD$1006:AG1006),$AD$1006:$AU$1006,0))&gt;=100000), " ",IF(INDEX($AD$2:$AU$1001,MATCH(ROWS($W$2:W647),$W$2:$W$1001,0),MATCH(COLUMNS($AD$1006:AG1006),$AD$1006:$AU$1006,0)), HYPERLINK("#",""), HYPERLINK(CONCATENATE("#metadata!", ADDRESS(INDEX($Y$2:$Y$1001,MATCH(ROWS($W$2:W647),$W$2:$W$1001,0),0), INDEX($AD$1004:$AU$1004,1,MATCH(COLUMNS($AD$1006:AG1006),$AD$1006:$AU$1006,0)))),"Fix")))</f>
        <v xml:space="preserve"> </v>
      </c>
      <c r="F647" s="4" t="str">
        <f ca="1">IF(OR(INDEX($X$2:$X$1001,MATCH(ROWS($W$2:W647),$W$2:$W$1001,0),1)&gt;=100000,INDEX($AD$1005:$AU$1005,1,MATCH(COLUMNS($AD$1006:AH1006),$AD$1006:$AU$1006,0))&gt;=100000), " ",IF(INDEX($AD$2:$AU$1001,MATCH(ROWS($W$2:W647),$W$2:$W$1001,0),MATCH(COLUMNS($AD$1006:AH1006),$AD$1006:$AU$1006,0)), HYPERLINK("#",""), HYPERLINK(CONCATENATE("#metadata!", ADDRESS(INDEX($Y$2:$Y$1001,MATCH(ROWS($W$2:W647),$W$2:$W$1001,0),0), INDEX($AD$1004:$AU$1004,1,MATCH(COLUMNS($AD$1006:AH1006),$AD$1006:$AU$1006,0)))),"Fix")))</f>
        <v xml:space="preserve"> </v>
      </c>
      <c r="G647" s="4" t="str">
        <f ca="1">IF(OR(INDEX($X$2:$X$1001,MATCH(ROWS($W$2:W647),$W$2:$W$1001,0),1)&gt;=100000,INDEX($AD$1005:$AU$1005,1,MATCH(COLUMNS($AD$1006:AI1006),$AD$1006:$AU$1006,0))&gt;=100000), " ",IF(INDEX($AD$2:$AU$1001,MATCH(ROWS($W$2:W647),$W$2:$W$1001,0),MATCH(COLUMNS($AD$1006:AI1006),$AD$1006:$AU$1006,0)), HYPERLINK("#",""), HYPERLINK(CONCATENATE("#metadata!", ADDRESS(INDEX($Y$2:$Y$1001,MATCH(ROWS($W$2:W647),$W$2:$W$1001,0),0), INDEX($AD$1004:$AU$1004,1,MATCH(COLUMNS($AD$1006:AI1006),$AD$1006:$AU$1006,0)))),"Fix")))</f>
        <v xml:space="preserve"> </v>
      </c>
      <c r="H647" s="4" t="str">
        <f ca="1">IF(OR(INDEX($X$2:$X$1001,MATCH(ROWS($W$2:W647),$W$2:$W$1001,0),1)&gt;=100000,INDEX($AD$1005:$AU$1005,1,MATCH(COLUMNS($AD$1006:AJ1006),$AD$1006:$AU$1006,0))&gt;=100000), " ",IF(INDEX($AD$2:$AU$1001,MATCH(ROWS($W$2:W647),$W$2:$W$1001,0),MATCH(COLUMNS($AD$1006:AJ1006),$AD$1006:$AU$1006,0)), HYPERLINK("#",""), HYPERLINK(CONCATENATE("#metadata!", ADDRESS(INDEX($Y$2:$Y$1001,MATCH(ROWS($W$2:W647),$W$2:$W$1001,0),0), INDEX($AD$1004:$AU$1004,1,MATCH(COLUMNS($AD$1006:AJ1006),$AD$1006:$AU$1006,0)))),"Fix")))</f>
        <v xml:space="preserve"> </v>
      </c>
      <c r="I647" s="4" t="str">
        <f ca="1">IF(OR(INDEX($X$2:$X$1001,MATCH(ROWS($W$2:W647),$W$2:$W$1001,0),1)&gt;=100000,INDEX($AD$1005:$AU$1005,1,MATCH(COLUMNS($AD$1006:AK1006),$AD$1006:$AU$1006,0))&gt;=100000), " ",IF(INDEX($AD$2:$AU$1001,MATCH(ROWS($W$2:W647),$W$2:$W$1001,0),MATCH(COLUMNS($AD$1006:AK1006),$AD$1006:$AU$1006,0)), HYPERLINK("#",""), HYPERLINK(CONCATENATE("#metadata!", ADDRESS(INDEX($Y$2:$Y$1001,MATCH(ROWS($W$2:W647),$W$2:$W$1001,0),0), INDEX($AD$1004:$AU$1004,1,MATCH(COLUMNS($AD$1006:AK1006),$AD$1006:$AU$1006,0)))),"Fix")))</f>
        <v xml:space="preserve"> </v>
      </c>
      <c r="J647" s="4" t="str">
        <f ca="1">IF(OR(INDEX($X$2:$X$1001,MATCH(ROWS($W$2:W647),$W$2:$W$1001,0),1)&gt;=100000,INDEX($AD$1005:$AU$1005,1,MATCH(COLUMNS($AD$1006:AL1006),$AD$1006:$AU$1006,0))&gt;=100000), " ",IF(INDEX($AD$2:$AU$1001,MATCH(ROWS($W$2:W647),$W$2:$W$1001,0),MATCH(COLUMNS($AD$1006:AL1006),$AD$1006:$AU$1006,0)), HYPERLINK("#",""), HYPERLINK(CONCATENATE("#metadata!", ADDRESS(INDEX($Y$2:$Y$1001,MATCH(ROWS($W$2:W647),$W$2:$W$1001,0),0), INDEX($AD$1004:$AU$1004,1,MATCH(COLUMNS($AD$1006:AL1006),$AD$1006:$AU$1006,0)))),"Fix")))</f>
        <v xml:space="preserve"> </v>
      </c>
      <c r="K647" s="4" t="str">
        <f ca="1">IF(OR(INDEX($X$2:$X$1001,MATCH(ROWS($W$2:W647),$W$2:$W$1001,0),1)&gt;=100000,INDEX($AD$1005:$AU$1005,1,MATCH(COLUMNS($AD$1006:AM1006),$AD$1006:$AU$1006,0))&gt;=100000), " ",IF(INDEX($AD$2:$AU$1001,MATCH(ROWS($W$2:W647),$W$2:$W$1001,0),MATCH(COLUMNS($AD$1006:AM1006),$AD$1006:$AU$1006,0)), HYPERLINK("#",""), HYPERLINK(CONCATENATE("#metadata!", ADDRESS(INDEX($Y$2:$Y$1001,MATCH(ROWS($W$2:W647),$W$2:$W$1001,0),0), INDEX($AD$1004:$AU$1004,1,MATCH(COLUMNS($AD$1006:AM1006),$AD$1006:$AU$1006,0)))),"Fix")))</f>
        <v xml:space="preserve"> </v>
      </c>
      <c r="L647" s="4" t="str">
        <f ca="1">IF(OR(INDEX($X$2:$X$1001,MATCH(ROWS($W$2:W647),$W$2:$W$1001,0),1)&gt;=100000,INDEX($AD$1005:$AU$1005,1,MATCH(COLUMNS($AD$1006:AN1006),$AD$1006:$AU$1006,0))&gt;=100000), " ",IF(INDEX($AD$2:$AU$1001,MATCH(ROWS($W$2:W647),$W$2:$W$1001,0),MATCH(COLUMNS($AD$1006:AN1006),$AD$1006:$AU$1006,0)), HYPERLINK("#",""), HYPERLINK(CONCATENATE("#metadata!", ADDRESS(INDEX($Y$2:$Y$1001,MATCH(ROWS($W$2:W647),$W$2:$W$1001,0),0), INDEX($AD$1004:$AU$1004,1,MATCH(COLUMNS($AD$1006:AN1006),$AD$1006:$AU$1006,0)))),"Fix")))</f>
        <v xml:space="preserve"> </v>
      </c>
      <c r="M647" s="4" t="str">
        <f ca="1">IF(OR(INDEX($X$2:$X$1001,MATCH(ROWS($W$2:W647),$W$2:$W$1001,0),1)&gt;=100000,INDEX($AD$1005:$AU$1005,1,MATCH(COLUMNS($AD$1006:AO1006),$AD$1006:$AU$1006,0))&gt;=100000), " ",IF(INDEX($AD$2:$AU$1001,MATCH(ROWS($W$2:W647),$W$2:$W$1001,0),MATCH(COLUMNS($AD$1006:AO1006),$AD$1006:$AU$1006,0)), HYPERLINK("#",""), HYPERLINK(CONCATENATE("#metadata!", ADDRESS(INDEX($Y$2:$Y$1001,MATCH(ROWS($W$2:W647),$W$2:$W$1001,0),0), INDEX($AD$1004:$AU$1004,1,MATCH(COLUMNS($AD$1006:AO1006),$AD$1006:$AU$1006,0)))),"Fix")))</f>
        <v xml:space="preserve"> </v>
      </c>
      <c r="N647" s="4" t="str">
        <f ca="1">IF(OR(INDEX($X$2:$X$1001,MATCH(ROWS($W$2:W647),$W$2:$W$1001,0),1)&gt;=100000,INDEX($AD$1005:$AU$1005,1,MATCH(COLUMNS($AD$1006:AP1006),$AD$1006:$AU$1006,0))&gt;=100000), " ",IF(INDEX($AD$2:$AU$1001,MATCH(ROWS($W$2:W647),$W$2:$W$1001,0),MATCH(COLUMNS($AD$1006:AP1006),$AD$1006:$AU$1006,0)), HYPERLINK("#",""), HYPERLINK(CONCATENATE("#metadata!", ADDRESS(INDEX($Y$2:$Y$1001,MATCH(ROWS($W$2:W647),$W$2:$W$1001,0),0), INDEX($AD$1004:$AU$1004,1,MATCH(COLUMNS($AD$1006:AP1006),$AD$1006:$AU$1006,0)))),"Fix")))</f>
        <v xml:space="preserve"> </v>
      </c>
      <c r="O647" s="4" t="str">
        <f ca="1">IF(OR(INDEX($X$2:$X$1001,MATCH(ROWS($W$2:W647),$W$2:$W$1001,0),1)&gt;=100000,INDEX($AD$1005:$AU$1005,1,MATCH(COLUMNS($AD$1006:AQ1006),$AD$1006:$AU$1006,0))&gt;=100000), " ",IF(INDEX($AD$2:$AU$1001,MATCH(ROWS($W$2:W647),$W$2:$W$1001,0),MATCH(COLUMNS($AD$1006:AQ1006),$AD$1006:$AU$1006,0)), HYPERLINK("#",""), HYPERLINK(CONCATENATE("#metadata!", ADDRESS(INDEX($Y$2:$Y$1001,MATCH(ROWS($W$2:W647),$W$2:$W$1001,0),0), INDEX($AD$1004:$AU$1004,1,MATCH(COLUMNS($AD$1006:AQ1006),$AD$1006:$AU$1006,0)))),"Fix")))</f>
        <v xml:space="preserve"> </v>
      </c>
      <c r="P647" s="4" t="str">
        <f ca="1">IF(OR(INDEX($X$2:$X$1001,MATCH(ROWS($W$2:W647),$W$2:$W$1001,0),1)&gt;=100000,INDEX($AD$1005:$AU$1005,1,MATCH(COLUMNS($AD$1006:AR1006),$AD$1006:$AU$1006,0))&gt;=100000), " ",IF(INDEX($AD$2:$AU$1001,MATCH(ROWS($W$2:W647),$W$2:$W$1001,0),MATCH(COLUMNS($AD$1006:AR1006),$AD$1006:$AU$1006,0)), HYPERLINK("#",""), HYPERLINK(CONCATENATE("#metadata!", ADDRESS(INDEX($Y$2:$Y$1001,MATCH(ROWS($W$2:W647),$W$2:$W$1001,0),0), INDEX($AD$1004:$AU$1004,1,MATCH(COLUMNS($AD$1006:AR1006),$AD$1006:$AU$1006,0)))),"Fix")))</f>
        <v xml:space="preserve"> </v>
      </c>
      <c r="Q647" s="4" t="str">
        <f ca="1">IF(OR(INDEX($X$2:$X$1001,MATCH(ROWS($W$2:W647),$W$2:$W$1001,0),1)&gt;=100000,INDEX($AD$1005:$AU$1005,1,MATCH(COLUMNS($AD$1006:AS1006),$AD$1006:$AU$1006,0))&gt;=100000), " ",IF(INDEX($AD$2:$AU$1001,MATCH(ROWS($W$2:W647),$W$2:$W$1001,0),MATCH(COLUMNS($AD$1006:AS1006),$AD$1006:$AU$1006,0)), HYPERLINK("#",""), HYPERLINK(CONCATENATE("#metadata!", ADDRESS(INDEX($Y$2:$Y$1001,MATCH(ROWS($W$2:W647),$W$2:$W$1001,0),0), INDEX($AD$1004:$AU$1004,1,MATCH(COLUMNS($AD$1006:AS1006),$AD$1006:$AU$1006,0)))),"Fix")))</f>
        <v xml:space="preserve"> </v>
      </c>
      <c r="R647" s="4" t="str">
        <f ca="1">IF(OR(INDEX($X$2:$X$1001,MATCH(ROWS($W$2:W647),$W$2:$W$1001,0),1)&gt;=100000,INDEX($AD$1005:$AU$1005,1,MATCH(COLUMNS($AD$1006:AT1006),$AD$1006:$AU$1006,0))&gt;=100000), " ",IF(INDEX($AD$2:$AU$1001,MATCH(ROWS($W$2:W647),$W$2:$W$1001,0),MATCH(COLUMNS($AD$1006:AT1006),$AD$1006:$AU$1006,0)), HYPERLINK("#",""), HYPERLINK(CONCATENATE("#metadata!", ADDRESS(INDEX($Y$2:$Y$1001,MATCH(ROWS($W$2:W647),$W$2:$W$1001,0),0), INDEX($AD$1004:$AU$1004,1,MATCH(COLUMNS($AD$1006:AT1006),$AD$1006:$AU$1006,0)))),"Fix")))</f>
        <v xml:space="preserve"> </v>
      </c>
      <c r="S647" s="4" t="str">
        <f ca="1">IF(OR(INDEX($X$2:$X$1001,MATCH(ROWS($W$2:W647),$W$2:$W$1001,0),1)&gt;=100000,INDEX($AD$1005:$AU$1005,1,MATCH(COLUMNS($AD$1006:AU1006),$AD$1006:$AU$1006,0))&gt;=100000), " ",IF(INDEX($AD$2:$AU$1001,MATCH(ROWS($W$2:W647),$W$2:$W$1001,0),MATCH(COLUMNS($AD$1006:AU1006),$AD$1006:$AU$1006,0)), HYPERLINK("#",""), HYPERLINK(CONCATENATE("#metadata!", ADDRESS(INDEX($Y$2:$Y$1001,MATCH(ROWS($W$2:W647),$W$2:$W$1001,0),0), INDEX($AD$1004:$AU$1004,1,MATCH(COLUMNS($AD$1006:AU1006),$AD$1006:$AU$1006,0)))),"Fix")))</f>
        <v xml:space="preserve"> </v>
      </c>
      <c r="W647">
        <v>646</v>
      </c>
      <c r="X647">
        <v>100647</v>
      </c>
      <c r="Y647">
        <v>647</v>
      </c>
      <c r="Z647" t="b">
        <f t="shared" si="10"/>
        <v>1</v>
      </c>
      <c r="AA647" t="b">
        <f>COUNTBLANK(metadata!B647:S647)=COLUMNS(metadata!B647:S647)</f>
        <v>1</v>
      </c>
      <c r="AB647" t="str">
        <v/>
      </c>
      <c r="AD647" t="b">
        <f ca="1">AND(IF(metadata!B647="",FALSE,TRUE),COUNTIF(metadata!B:B, metadata!B647) = 1,NOT(ISERROR(SUMPRODUCT(SEARCH(MID(metadata!B647,ROW(INDIRECT("1:"&amp;LEN(metadata!B647))), 1),"0123456789abcdefghijklmnopqrstuvwxyzABCDEFGHIJKLMNOPQRSTUVWXYZ.")))))</f>
        <v>0</v>
      </c>
      <c r="AE647" t="b">
        <f>OR(AND(IF(metadata!C647="",FALSE,TRUE),OR(EXACT(metadata!C647,"not applicable"),EXACT(metadata!C647,"missing: not collected"),EXACT(metadata!C647,"missing: not provided"),EXACT(metadata!C647,"missing: restricted access"))),AND(IF(metadata!C647="",FALSE,ISNUMBER(VALUE(metadata!C647))),metadata!C647&gt;0))</f>
        <v>0</v>
      </c>
      <c r="AF647" t="b">
        <f>AND(IF(metadata!D647="",FALSE,TRUE),EXACT(metadata!D647,"missing: not provided"))</f>
        <v>0</v>
      </c>
      <c r="AG647" t="b">
        <f>AND(IF(metadata!E647="",FALSE,TRUE),EXACT(metadata!E647,"Host-associated"))</f>
        <v>0</v>
      </c>
      <c r="AH647" t="b">
        <f>AND(IF(metadata!F647="",FALSE,TRUE),OR(EXACT(metadata!F647,"Animal"),EXACT(metadata!F647,"Fungus"),EXACT(metadata!F647,"Plant")))</f>
        <v>0</v>
      </c>
      <c r="AI647" t="b">
        <f>AND(IF(metadata!G647="",FALSE,TRUE),OR(EXACT(metadata!G647,"Plant secretion"),EXACT(metadata!G647,"Plant rhizosphere"),EXACT(metadata!G647,"Plant surface"),EXACT(metadata!G647,"Plant corpus"),EXACT(metadata!G647,"Fungus surface"),EXACT(metadata!G647,"Fungus corpus"),EXACT(metadata!G647,"Animal surface"),EXACT(metadata!G647,"Animal proximal gut"),EXACT(metadata!G647,"Animal corpus"),EXACT(metadata!G647,"Animal distal gut"),EXACT(metadata!G647,"Animal secretion")))</f>
        <v>0</v>
      </c>
      <c r="AJ647" t="b">
        <f>OR(AND(IF(metadata!H647="",FALSE,TRUE),OR(EXACT(metadata!H647,"missing: not collected"),EXACT(metadata!H647,"missing: not provided"),EXACT(metadata!H647,"missing: restricted access"))),AND(IF(metadata!H647="",FALSE,TRUE),OR(EXACT(metadata!H647,"organism-associated habitat"),EXACT(metadata!H647,"plant-associated habitat"),EXACT(metadata!H647,"animal-associated habitat"),EXACT(metadata!H647,"insecta-associated habitat"),EXACT(metadata!H647,"mammalia-associated habitat"),EXACT(metadata!H647,"human-associated habitat"),EXACT(metadata!H647,"livestock-associated habitat"))))</f>
        <v>0</v>
      </c>
      <c r="AK647" t="b">
        <f>AND(IF(metadata!I647="",FALSE,TRUE),EXACT(metadata!I647,"host-associated"))</f>
        <v>0</v>
      </c>
      <c r="AL647" t="b">
        <f>OR(AND(IF(metadata!J647="",FALSE,TRUE),OR(EXACT(metadata!J647,"not applicable"),EXACT(metadata!J647,"missing: not collected"),EXACT(metadata!J647,"missing: not provided"),EXACT(metadata!J647,"missing: restricted access"))),AND(IF(metadata!J647="",FALSE,ISNUMBER(VALUE(metadata!J647))),metadata!J647&gt;0))</f>
        <v>0</v>
      </c>
      <c r="AM647" t="b">
        <f>AND(IF(metadata!K647="",FALSE,TRUE),EXACT(metadata!K647,"missing: not provided"))</f>
        <v>0</v>
      </c>
      <c r="AN647" t="b">
        <f>IF(metadata!L647="",FALSE,TRUE)</f>
        <v>0</v>
      </c>
      <c r="AO647" t="b">
        <f>IF(metadata!M647="",FALSE,TRUE)</f>
        <v>0</v>
      </c>
      <c r="AP647" t="b">
        <f>OR(AND(IF(metadata!N647="",FALSE,TRUE),OR(EXACT(metadata!N647,"not applicable"),EXACT(metadata!N647,"missing: not collected"),EXACT(metadata!N647,"missing: not provided"))),AND(IF(metadata!N647="",FALSE,IF(ISERROR(INT(metadata!N647)),FALSE,INT(metadata!N647)=metadata!N647)),metadata!N647&gt;0))</f>
        <v>0</v>
      </c>
      <c r="AQ647" t="b">
        <f>AND(IF(metadata!O647="",FALSE,TRUE),EXACT(metadata!O647,"Not applicable"))</f>
        <v>0</v>
      </c>
      <c r="AR647" t="b">
        <f>OR(AND(IF(metadata!P647="",FALSE,TRUE),OR(EXACT(metadata!P647,"not applicable"),EXACT(metadata!P647,"missing: not collected"),EXACT(metadata!P647,"missing: not provided"),EXACT(metadata!P647,"missing: restricted access"))),IF(metadata!P647="",FALSE,IF(ISERROR(INT(metadata!P647)),FALSE,INT(metadata!P647)=metadata!P647)))</f>
        <v>0</v>
      </c>
      <c r="AS647" t="b">
        <f>AND(IF(metadata!Q647="",FALSE,TRUE),EXACT(metadata!Q647,"Not applicable"))</f>
        <v>0</v>
      </c>
      <c r="AT647" t="b">
        <f>OR(AND(IF(metadata!R647="",FALSE,TRUE),OR(EXACT(metadata!R647,"not applicable"),EXACT(metadata!R647,"missing: not collected"),EXACT(metadata!R647,"missing: not provided"),EXACT(metadata!R647,"missing: restricted access"))),AND(IF(metadata!R647="",FALSE,ISNUMBER(VALUE(metadata!R647))),metadata!R647&gt;0))</f>
        <v>0</v>
      </c>
      <c r="AU647" t="b">
        <f>AND(IF(metadata!S647="",FALSE,TRUE),EXACT(metadata!S647,"missing: not provided"))</f>
        <v>0</v>
      </c>
    </row>
    <row r="648" spans="1:47" x14ac:dyDescent="0.2">
      <c r="A648" s="5" t="str">
        <f ca="1">IF(B648=" "," ",HYPERLINK(CONCATENATE("#metadata!",ADDRESS(INDEX($Y$2:$Y$1001,MATCH(ROWS($W$2:W648),$W$2:$W$1001,0),0),1)),INDEX($AB$2:$AB$1001,MATCH(ROWS($W$2:W648),$W$2:$W$1001,0),0)))</f>
        <v xml:space="preserve"> </v>
      </c>
      <c r="B648" s="4" t="str">
        <f ca="1">IF(OR(INDEX($X$2:$X$1001,MATCH(ROWS($W$2:W648),$W$2:$W$1001,0),1)&gt;=100000,INDEX($AD$1005:$AU$1005,1,MATCH(COLUMNS($AD$1006:AD1006),$AD$1006:$AU$1006,0))&gt;=100000), " ",IF(INDEX($AD$2:$AU$1001,MATCH(ROWS($W$2:W648),$W$2:$W$1001,0),MATCH(COLUMNS($AD$1006:AD1006),$AD$1006:$AU$1006,0)), HYPERLINK("#",""), HYPERLINK(CONCATENATE("#metadata!", ADDRESS(INDEX($Y$2:$Y$1001,MATCH(ROWS($W$2:W648),$W$2:$W$1001,0),0), INDEX($AD$1004:$AU$1004,1,MATCH(COLUMNS($AD$1006:AD1006),$AD$1006:$AU$1006,0)))),"Fix")))</f>
        <v xml:space="preserve"> </v>
      </c>
      <c r="C648" s="4" t="str">
        <f ca="1">IF(OR(INDEX($X$2:$X$1001,MATCH(ROWS($W$2:W648),$W$2:$W$1001,0),1)&gt;=100000,INDEX($AD$1005:$AU$1005,1,MATCH(COLUMNS($AD$1006:AE1006),$AD$1006:$AU$1006,0))&gt;=100000), " ",IF(INDEX($AD$2:$AU$1001,MATCH(ROWS($W$2:W648),$W$2:$W$1001,0),MATCH(COLUMNS($AD$1006:AE1006),$AD$1006:$AU$1006,0)), HYPERLINK("#",""), HYPERLINK(CONCATENATE("#metadata!", ADDRESS(INDEX($Y$2:$Y$1001,MATCH(ROWS($W$2:W648),$W$2:$W$1001,0),0), INDEX($AD$1004:$AU$1004,1,MATCH(COLUMNS($AD$1006:AE1006),$AD$1006:$AU$1006,0)))),"Fix")))</f>
        <v xml:space="preserve"> </v>
      </c>
      <c r="D648" s="4" t="str">
        <f ca="1">IF(OR(INDEX($X$2:$X$1001,MATCH(ROWS($W$2:W648),$W$2:$W$1001,0),1)&gt;=100000,INDEX($AD$1005:$AU$1005,1,MATCH(COLUMNS($AD$1006:AF1006),$AD$1006:$AU$1006,0))&gt;=100000), " ",IF(INDEX($AD$2:$AU$1001,MATCH(ROWS($W$2:W648),$W$2:$W$1001,0),MATCH(COLUMNS($AD$1006:AF1006),$AD$1006:$AU$1006,0)), HYPERLINK("#",""), HYPERLINK(CONCATENATE("#metadata!", ADDRESS(INDEX($Y$2:$Y$1001,MATCH(ROWS($W$2:W648),$W$2:$W$1001,0),0), INDEX($AD$1004:$AU$1004,1,MATCH(COLUMNS($AD$1006:AF1006),$AD$1006:$AU$1006,0)))),"Fix")))</f>
        <v xml:space="preserve"> </v>
      </c>
      <c r="E648" s="4" t="str">
        <f ca="1">IF(OR(INDEX($X$2:$X$1001,MATCH(ROWS($W$2:W648),$W$2:$W$1001,0),1)&gt;=100000,INDEX($AD$1005:$AU$1005,1,MATCH(COLUMNS($AD$1006:AG1006),$AD$1006:$AU$1006,0))&gt;=100000), " ",IF(INDEX($AD$2:$AU$1001,MATCH(ROWS($W$2:W648),$W$2:$W$1001,0),MATCH(COLUMNS($AD$1006:AG1006),$AD$1006:$AU$1006,0)), HYPERLINK("#",""), HYPERLINK(CONCATENATE("#metadata!", ADDRESS(INDEX($Y$2:$Y$1001,MATCH(ROWS($W$2:W648),$W$2:$W$1001,0),0), INDEX($AD$1004:$AU$1004,1,MATCH(COLUMNS($AD$1006:AG1006),$AD$1006:$AU$1006,0)))),"Fix")))</f>
        <v xml:space="preserve"> </v>
      </c>
      <c r="F648" s="4" t="str">
        <f ca="1">IF(OR(INDEX($X$2:$X$1001,MATCH(ROWS($W$2:W648),$W$2:$W$1001,0),1)&gt;=100000,INDEX($AD$1005:$AU$1005,1,MATCH(COLUMNS($AD$1006:AH1006),$AD$1006:$AU$1006,0))&gt;=100000), " ",IF(INDEX($AD$2:$AU$1001,MATCH(ROWS($W$2:W648),$W$2:$W$1001,0),MATCH(COLUMNS($AD$1006:AH1006),$AD$1006:$AU$1006,0)), HYPERLINK("#",""), HYPERLINK(CONCATENATE("#metadata!", ADDRESS(INDEX($Y$2:$Y$1001,MATCH(ROWS($W$2:W648),$W$2:$W$1001,0),0), INDEX($AD$1004:$AU$1004,1,MATCH(COLUMNS($AD$1006:AH1006),$AD$1006:$AU$1006,0)))),"Fix")))</f>
        <v xml:space="preserve"> </v>
      </c>
      <c r="G648" s="4" t="str">
        <f ca="1">IF(OR(INDEX($X$2:$X$1001,MATCH(ROWS($W$2:W648),$W$2:$W$1001,0),1)&gt;=100000,INDEX($AD$1005:$AU$1005,1,MATCH(COLUMNS($AD$1006:AI1006),$AD$1006:$AU$1006,0))&gt;=100000), " ",IF(INDEX($AD$2:$AU$1001,MATCH(ROWS($W$2:W648),$W$2:$W$1001,0),MATCH(COLUMNS($AD$1006:AI1006),$AD$1006:$AU$1006,0)), HYPERLINK("#",""), HYPERLINK(CONCATENATE("#metadata!", ADDRESS(INDEX($Y$2:$Y$1001,MATCH(ROWS($W$2:W648),$W$2:$W$1001,0),0), INDEX($AD$1004:$AU$1004,1,MATCH(COLUMNS($AD$1006:AI1006),$AD$1006:$AU$1006,0)))),"Fix")))</f>
        <v xml:space="preserve"> </v>
      </c>
      <c r="H648" s="4" t="str">
        <f ca="1">IF(OR(INDEX($X$2:$X$1001,MATCH(ROWS($W$2:W648),$W$2:$W$1001,0),1)&gt;=100000,INDEX($AD$1005:$AU$1005,1,MATCH(COLUMNS($AD$1006:AJ1006),$AD$1006:$AU$1006,0))&gt;=100000), " ",IF(INDEX($AD$2:$AU$1001,MATCH(ROWS($W$2:W648),$W$2:$W$1001,0),MATCH(COLUMNS($AD$1006:AJ1006),$AD$1006:$AU$1006,0)), HYPERLINK("#",""), HYPERLINK(CONCATENATE("#metadata!", ADDRESS(INDEX($Y$2:$Y$1001,MATCH(ROWS($W$2:W648),$W$2:$W$1001,0),0), INDEX($AD$1004:$AU$1004,1,MATCH(COLUMNS($AD$1006:AJ1006),$AD$1006:$AU$1006,0)))),"Fix")))</f>
        <v xml:space="preserve"> </v>
      </c>
      <c r="I648" s="4" t="str">
        <f ca="1">IF(OR(INDEX($X$2:$X$1001,MATCH(ROWS($W$2:W648),$W$2:$W$1001,0),1)&gt;=100000,INDEX($AD$1005:$AU$1005,1,MATCH(COLUMNS($AD$1006:AK1006),$AD$1006:$AU$1006,0))&gt;=100000), " ",IF(INDEX($AD$2:$AU$1001,MATCH(ROWS($W$2:W648),$W$2:$W$1001,0),MATCH(COLUMNS($AD$1006:AK1006),$AD$1006:$AU$1006,0)), HYPERLINK("#",""), HYPERLINK(CONCATENATE("#metadata!", ADDRESS(INDEX($Y$2:$Y$1001,MATCH(ROWS($W$2:W648),$W$2:$W$1001,0),0), INDEX($AD$1004:$AU$1004,1,MATCH(COLUMNS($AD$1006:AK1006),$AD$1006:$AU$1006,0)))),"Fix")))</f>
        <v xml:space="preserve"> </v>
      </c>
      <c r="J648" s="4" t="str">
        <f ca="1">IF(OR(INDEX($X$2:$X$1001,MATCH(ROWS($W$2:W648),$W$2:$W$1001,0),1)&gt;=100000,INDEX($AD$1005:$AU$1005,1,MATCH(COLUMNS($AD$1006:AL1006),$AD$1006:$AU$1006,0))&gt;=100000), " ",IF(INDEX($AD$2:$AU$1001,MATCH(ROWS($W$2:W648),$W$2:$W$1001,0),MATCH(COLUMNS($AD$1006:AL1006),$AD$1006:$AU$1006,0)), HYPERLINK("#",""), HYPERLINK(CONCATENATE("#metadata!", ADDRESS(INDEX($Y$2:$Y$1001,MATCH(ROWS($W$2:W648),$W$2:$W$1001,0),0), INDEX($AD$1004:$AU$1004,1,MATCH(COLUMNS($AD$1006:AL1006),$AD$1006:$AU$1006,0)))),"Fix")))</f>
        <v xml:space="preserve"> </v>
      </c>
      <c r="K648" s="4" t="str">
        <f ca="1">IF(OR(INDEX($X$2:$X$1001,MATCH(ROWS($W$2:W648),$W$2:$W$1001,0),1)&gt;=100000,INDEX($AD$1005:$AU$1005,1,MATCH(COLUMNS($AD$1006:AM1006),$AD$1006:$AU$1006,0))&gt;=100000), " ",IF(INDEX($AD$2:$AU$1001,MATCH(ROWS($W$2:W648),$W$2:$W$1001,0),MATCH(COLUMNS($AD$1006:AM1006),$AD$1006:$AU$1006,0)), HYPERLINK("#",""), HYPERLINK(CONCATENATE("#metadata!", ADDRESS(INDEX($Y$2:$Y$1001,MATCH(ROWS($W$2:W648),$W$2:$W$1001,0),0), INDEX($AD$1004:$AU$1004,1,MATCH(COLUMNS($AD$1006:AM1006),$AD$1006:$AU$1006,0)))),"Fix")))</f>
        <v xml:space="preserve"> </v>
      </c>
      <c r="L648" s="4" t="str">
        <f ca="1">IF(OR(INDEX($X$2:$X$1001,MATCH(ROWS($W$2:W648),$W$2:$W$1001,0),1)&gt;=100000,INDEX($AD$1005:$AU$1005,1,MATCH(COLUMNS($AD$1006:AN1006),$AD$1006:$AU$1006,0))&gt;=100000), " ",IF(INDEX($AD$2:$AU$1001,MATCH(ROWS($W$2:W648),$W$2:$W$1001,0),MATCH(COLUMNS($AD$1006:AN1006),$AD$1006:$AU$1006,0)), HYPERLINK("#",""), HYPERLINK(CONCATENATE("#metadata!", ADDRESS(INDEX($Y$2:$Y$1001,MATCH(ROWS($W$2:W648),$W$2:$W$1001,0),0), INDEX($AD$1004:$AU$1004,1,MATCH(COLUMNS($AD$1006:AN1006),$AD$1006:$AU$1006,0)))),"Fix")))</f>
        <v xml:space="preserve"> </v>
      </c>
      <c r="M648" s="4" t="str">
        <f ca="1">IF(OR(INDEX($X$2:$X$1001,MATCH(ROWS($W$2:W648),$W$2:$W$1001,0),1)&gt;=100000,INDEX($AD$1005:$AU$1005,1,MATCH(COLUMNS($AD$1006:AO1006),$AD$1006:$AU$1006,0))&gt;=100000), " ",IF(INDEX($AD$2:$AU$1001,MATCH(ROWS($W$2:W648),$W$2:$W$1001,0),MATCH(COLUMNS($AD$1006:AO1006),$AD$1006:$AU$1006,0)), HYPERLINK("#",""), HYPERLINK(CONCATENATE("#metadata!", ADDRESS(INDEX($Y$2:$Y$1001,MATCH(ROWS($W$2:W648),$W$2:$W$1001,0),0), INDEX($AD$1004:$AU$1004,1,MATCH(COLUMNS($AD$1006:AO1006),$AD$1006:$AU$1006,0)))),"Fix")))</f>
        <v xml:space="preserve"> </v>
      </c>
      <c r="N648" s="4" t="str">
        <f ca="1">IF(OR(INDEX($X$2:$X$1001,MATCH(ROWS($W$2:W648),$W$2:$W$1001,0),1)&gt;=100000,INDEX($AD$1005:$AU$1005,1,MATCH(COLUMNS($AD$1006:AP1006),$AD$1006:$AU$1006,0))&gt;=100000), " ",IF(INDEX($AD$2:$AU$1001,MATCH(ROWS($W$2:W648),$W$2:$W$1001,0),MATCH(COLUMNS($AD$1006:AP1006),$AD$1006:$AU$1006,0)), HYPERLINK("#",""), HYPERLINK(CONCATENATE("#metadata!", ADDRESS(INDEX($Y$2:$Y$1001,MATCH(ROWS($W$2:W648),$W$2:$W$1001,0),0), INDEX($AD$1004:$AU$1004,1,MATCH(COLUMNS($AD$1006:AP1006),$AD$1006:$AU$1006,0)))),"Fix")))</f>
        <v xml:space="preserve"> </v>
      </c>
      <c r="O648" s="4" t="str">
        <f ca="1">IF(OR(INDEX($X$2:$X$1001,MATCH(ROWS($W$2:W648),$W$2:$W$1001,0),1)&gt;=100000,INDEX($AD$1005:$AU$1005,1,MATCH(COLUMNS($AD$1006:AQ1006),$AD$1006:$AU$1006,0))&gt;=100000), " ",IF(INDEX($AD$2:$AU$1001,MATCH(ROWS($W$2:W648),$W$2:$W$1001,0),MATCH(COLUMNS($AD$1006:AQ1006),$AD$1006:$AU$1006,0)), HYPERLINK("#",""), HYPERLINK(CONCATENATE("#metadata!", ADDRESS(INDEX($Y$2:$Y$1001,MATCH(ROWS($W$2:W648),$W$2:$W$1001,0),0), INDEX($AD$1004:$AU$1004,1,MATCH(COLUMNS($AD$1006:AQ1006),$AD$1006:$AU$1006,0)))),"Fix")))</f>
        <v xml:space="preserve"> </v>
      </c>
      <c r="P648" s="4" t="str">
        <f ca="1">IF(OR(INDEX($X$2:$X$1001,MATCH(ROWS($W$2:W648),$W$2:$W$1001,0),1)&gt;=100000,INDEX($AD$1005:$AU$1005,1,MATCH(COLUMNS($AD$1006:AR1006),$AD$1006:$AU$1006,0))&gt;=100000), " ",IF(INDEX($AD$2:$AU$1001,MATCH(ROWS($W$2:W648),$W$2:$W$1001,0),MATCH(COLUMNS($AD$1006:AR1006),$AD$1006:$AU$1006,0)), HYPERLINK("#",""), HYPERLINK(CONCATENATE("#metadata!", ADDRESS(INDEX($Y$2:$Y$1001,MATCH(ROWS($W$2:W648),$W$2:$W$1001,0),0), INDEX($AD$1004:$AU$1004,1,MATCH(COLUMNS($AD$1006:AR1006),$AD$1006:$AU$1006,0)))),"Fix")))</f>
        <v xml:space="preserve"> </v>
      </c>
      <c r="Q648" s="4" t="str">
        <f ca="1">IF(OR(INDEX($X$2:$X$1001,MATCH(ROWS($W$2:W648),$W$2:$W$1001,0),1)&gt;=100000,INDEX($AD$1005:$AU$1005,1,MATCH(COLUMNS($AD$1006:AS1006),$AD$1006:$AU$1006,0))&gt;=100000), " ",IF(INDEX($AD$2:$AU$1001,MATCH(ROWS($W$2:W648),$W$2:$W$1001,0),MATCH(COLUMNS($AD$1006:AS1006),$AD$1006:$AU$1006,0)), HYPERLINK("#",""), HYPERLINK(CONCATENATE("#metadata!", ADDRESS(INDEX($Y$2:$Y$1001,MATCH(ROWS($W$2:W648),$W$2:$W$1001,0),0), INDEX($AD$1004:$AU$1004,1,MATCH(COLUMNS($AD$1006:AS1006),$AD$1006:$AU$1006,0)))),"Fix")))</f>
        <v xml:space="preserve"> </v>
      </c>
      <c r="R648" s="4" t="str">
        <f ca="1">IF(OR(INDEX($X$2:$X$1001,MATCH(ROWS($W$2:W648),$W$2:$W$1001,0),1)&gt;=100000,INDEX($AD$1005:$AU$1005,1,MATCH(COLUMNS($AD$1006:AT1006),$AD$1006:$AU$1006,0))&gt;=100000), " ",IF(INDEX($AD$2:$AU$1001,MATCH(ROWS($W$2:W648),$W$2:$W$1001,0),MATCH(COLUMNS($AD$1006:AT1006),$AD$1006:$AU$1006,0)), HYPERLINK("#",""), HYPERLINK(CONCATENATE("#metadata!", ADDRESS(INDEX($Y$2:$Y$1001,MATCH(ROWS($W$2:W648),$W$2:$W$1001,0),0), INDEX($AD$1004:$AU$1004,1,MATCH(COLUMNS($AD$1006:AT1006),$AD$1006:$AU$1006,0)))),"Fix")))</f>
        <v xml:space="preserve"> </v>
      </c>
      <c r="S648" s="4" t="str">
        <f ca="1">IF(OR(INDEX($X$2:$X$1001,MATCH(ROWS($W$2:W648),$W$2:$W$1001,0),1)&gt;=100000,INDEX($AD$1005:$AU$1005,1,MATCH(COLUMNS($AD$1006:AU1006),$AD$1006:$AU$1006,0))&gt;=100000), " ",IF(INDEX($AD$2:$AU$1001,MATCH(ROWS($W$2:W648),$W$2:$W$1001,0),MATCH(COLUMNS($AD$1006:AU1006),$AD$1006:$AU$1006,0)), HYPERLINK("#",""), HYPERLINK(CONCATENATE("#metadata!", ADDRESS(INDEX($Y$2:$Y$1001,MATCH(ROWS($W$2:W648),$W$2:$W$1001,0),0), INDEX($AD$1004:$AU$1004,1,MATCH(COLUMNS($AD$1006:AU1006),$AD$1006:$AU$1006,0)))),"Fix")))</f>
        <v xml:space="preserve"> </v>
      </c>
      <c r="W648">
        <v>647</v>
      </c>
      <c r="X648">
        <v>100648</v>
      </c>
      <c r="Y648">
        <v>648</v>
      </c>
      <c r="Z648" t="b">
        <f t="shared" si="10"/>
        <v>1</v>
      </c>
      <c r="AA648" t="b">
        <f>COUNTBLANK(metadata!B648:S648)=COLUMNS(metadata!B648:S648)</f>
        <v>1</v>
      </c>
      <c r="AB648" t="str">
        <v/>
      </c>
      <c r="AD648" t="b">
        <f ca="1">AND(IF(metadata!B648="",FALSE,TRUE),COUNTIF(metadata!B:B, metadata!B648) = 1,NOT(ISERROR(SUMPRODUCT(SEARCH(MID(metadata!B648,ROW(INDIRECT("1:"&amp;LEN(metadata!B648))), 1),"0123456789abcdefghijklmnopqrstuvwxyzABCDEFGHIJKLMNOPQRSTUVWXYZ.")))))</f>
        <v>0</v>
      </c>
      <c r="AE648" t="b">
        <f>OR(AND(IF(metadata!C648="",FALSE,TRUE),OR(EXACT(metadata!C648,"not applicable"),EXACT(metadata!C648,"missing: not collected"),EXACT(metadata!C648,"missing: not provided"),EXACT(metadata!C648,"missing: restricted access"))),AND(IF(metadata!C648="",FALSE,ISNUMBER(VALUE(metadata!C648))),metadata!C648&gt;0))</f>
        <v>0</v>
      </c>
      <c r="AF648" t="b">
        <f>AND(IF(metadata!D648="",FALSE,TRUE),EXACT(metadata!D648,"missing: not provided"))</f>
        <v>0</v>
      </c>
      <c r="AG648" t="b">
        <f>AND(IF(metadata!E648="",FALSE,TRUE),EXACT(metadata!E648,"Host-associated"))</f>
        <v>0</v>
      </c>
      <c r="AH648" t="b">
        <f>AND(IF(metadata!F648="",FALSE,TRUE),OR(EXACT(metadata!F648,"Animal"),EXACT(metadata!F648,"Fungus"),EXACT(metadata!F648,"Plant")))</f>
        <v>0</v>
      </c>
      <c r="AI648" t="b">
        <f>AND(IF(metadata!G648="",FALSE,TRUE),OR(EXACT(metadata!G648,"Plant secretion"),EXACT(metadata!G648,"Plant rhizosphere"),EXACT(metadata!G648,"Plant surface"),EXACT(metadata!G648,"Plant corpus"),EXACT(metadata!G648,"Fungus surface"),EXACT(metadata!G648,"Fungus corpus"),EXACT(metadata!G648,"Animal surface"),EXACT(metadata!G648,"Animal proximal gut"),EXACT(metadata!G648,"Animal corpus"),EXACT(metadata!G648,"Animal distal gut"),EXACT(metadata!G648,"Animal secretion")))</f>
        <v>0</v>
      </c>
      <c r="AJ648" t="b">
        <f>OR(AND(IF(metadata!H648="",FALSE,TRUE),OR(EXACT(metadata!H648,"missing: not collected"),EXACT(metadata!H648,"missing: not provided"),EXACT(metadata!H648,"missing: restricted access"))),AND(IF(metadata!H648="",FALSE,TRUE),OR(EXACT(metadata!H648,"organism-associated habitat"),EXACT(metadata!H648,"plant-associated habitat"),EXACT(metadata!H648,"animal-associated habitat"),EXACT(metadata!H648,"insecta-associated habitat"),EXACT(metadata!H648,"mammalia-associated habitat"),EXACT(metadata!H648,"human-associated habitat"),EXACT(metadata!H648,"livestock-associated habitat"))))</f>
        <v>0</v>
      </c>
      <c r="AK648" t="b">
        <f>AND(IF(metadata!I648="",FALSE,TRUE),EXACT(metadata!I648,"host-associated"))</f>
        <v>0</v>
      </c>
      <c r="AL648" t="b">
        <f>OR(AND(IF(metadata!J648="",FALSE,TRUE),OR(EXACT(metadata!J648,"not applicable"),EXACT(metadata!J648,"missing: not collected"),EXACT(metadata!J648,"missing: not provided"),EXACT(metadata!J648,"missing: restricted access"))),AND(IF(metadata!J648="",FALSE,ISNUMBER(VALUE(metadata!J648))),metadata!J648&gt;0))</f>
        <v>0</v>
      </c>
      <c r="AM648" t="b">
        <f>AND(IF(metadata!K648="",FALSE,TRUE),EXACT(metadata!K648,"missing: not provided"))</f>
        <v>0</v>
      </c>
      <c r="AN648" t="b">
        <f>IF(metadata!L648="",FALSE,TRUE)</f>
        <v>0</v>
      </c>
      <c r="AO648" t="b">
        <f>IF(metadata!M648="",FALSE,TRUE)</f>
        <v>0</v>
      </c>
      <c r="AP648" t="b">
        <f>OR(AND(IF(metadata!N648="",FALSE,TRUE),OR(EXACT(metadata!N648,"not applicable"),EXACT(metadata!N648,"missing: not collected"),EXACT(metadata!N648,"missing: not provided"))),AND(IF(metadata!N648="",FALSE,IF(ISERROR(INT(metadata!N648)),FALSE,INT(metadata!N648)=metadata!N648)),metadata!N648&gt;0))</f>
        <v>0</v>
      </c>
      <c r="AQ648" t="b">
        <f>AND(IF(metadata!O648="",FALSE,TRUE),EXACT(metadata!O648,"Not applicable"))</f>
        <v>0</v>
      </c>
      <c r="AR648" t="b">
        <f>OR(AND(IF(metadata!P648="",FALSE,TRUE),OR(EXACT(metadata!P648,"not applicable"),EXACT(metadata!P648,"missing: not collected"),EXACT(metadata!P648,"missing: not provided"),EXACT(metadata!P648,"missing: restricted access"))),IF(metadata!P648="",FALSE,IF(ISERROR(INT(metadata!P648)),FALSE,INT(metadata!P648)=metadata!P648)))</f>
        <v>0</v>
      </c>
      <c r="AS648" t="b">
        <f>AND(IF(metadata!Q648="",FALSE,TRUE),EXACT(metadata!Q648,"Not applicable"))</f>
        <v>0</v>
      </c>
      <c r="AT648" t="b">
        <f>OR(AND(IF(metadata!R648="",FALSE,TRUE),OR(EXACT(metadata!R648,"not applicable"),EXACT(metadata!R648,"missing: not collected"),EXACT(metadata!R648,"missing: not provided"),EXACT(metadata!R648,"missing: restricted access"))),AND(IF(metadata!R648="",FALSE,ISNUMBER(VALUE(metadata!R648))),metadata!R648&gt;0))</f>
        <v>0</v>
      </c>
      <c r="AU648" t="b">
        <f>AND(IF(metadata!S648="",FALSE,TRUE),EXACT(metadata!S648,"missing: not provided"))</f>
        <v>0</v>
      </c>
    </row>
    <row r="649" spans="1:47" x14ac:dyDescent="0.2">
      <c r="A649" s="5" t="str">
        <f ca="1">IF(B649=" "," ",HYPERLINK(CONCATENATE("#metadata!",ADDRESS(INDEX($Y$2:$Y$1001,MATCH(ROWS($W$2:W649),$W$2:$W$1001,0),0),1)),INDEX($AB$2:$AB$1001,MATCH(ROWS($W$2:W649),$W$2:$W$1001,0),0)))</f>
        <v xml:space="preserve"> </v>
      </c>
      <c r="B649" s="4" t="str">
        <f ca="1">IF(OR(INDEX($X$2:$X$1001,MATCH(ROWS($W$2:W649),$W$2:$W$1001,0),1)&gt;=100000,INDEX($AD$1005:$AU$1005,1,MATCH(COLUMNS($AD$1006:AD1006),$AD$1006:$AU$1006,0))&gt;=100000), " ",IF(INDEX($AD$2:$AU$1001,MATCH(ROWS($W$2:W649),$W$2:$W$1001,0),MATCH(COLUMNS($AD$1006:AD1006),$AD$1006:$AU$1006,0)), HYPERLINK("#",""), HYPERLINK(CONCATENATE("#metadata!", ADDRESS(INDEX($Y$2:$Y$1001,MATCH(ROWS($W$2:W649),$W$2:$W$1001,0),0), INDEX($AD$1004:$AU$1004,1,MATCH(COLUMNS($AD$1006:AD1006),$AD$1006:$AU$1006,0)))),"Fix")))</f>
        <v xml:space="preserve"> </v>
      </c>
      <c r="C649" s="4" t="str">
        <f ca="1">IF(OR(INDEX($X$2:$X$1001,MATCH(ROWS($W$2:W649),$W$2:$W$1001,0),1)&gt;=100000,INDEX($AD$1005:$AU$1005,1,MATCH(COLUMNS($AD$1006:AE1006),$AD$1006:$AU$1006,0))&gt;=100000), " ",IF(INDEX($AD$2:$AU$1001,MATCH(ROWS($W$2:W649),$W$2:$W$1001,0),MATCH(COLUMNS($AD$1006:AE1006),$AD$1006:$AU$1006,0)), HYPERLINK("#",""), HYPERLINK(CONCATENATE("#metadata!", ADDRESS(INDEX($Y$2:$Y$1001,MATCH(ROWS($W$2:W649),$W$2:$W$1001,0),0), INDEX($AD$1004:$AU$1004,1,MATCH(COLUMNS($AD$1006:AE1006),$AD$1006:$AU$1006,0)))),"Fix")))</f>
        <v xml:space="preserve"> </v>
      </c>
      <c r="D649" s="4" t="str">
        <f ca="1">IF(OR(INDEX($X$2:$X$1001,MATCH(ROWS($W$2:W649),$W$2:$W$1001,0),1)&gt;=100000,INDEX($AD$1005:$AU$1005,1,MATCH(COLUMNS($AD$1006:AF1006),$AD$1006:$AU$1006,0))&gt;=100000), " ",IF(INDEX($AD$2:$AU$1001,MATCH(ROWS($W$2:W649),$W$2:$W$1001,0),MATCH(COLUMNS($AD$1006:AF1006),$AD$1006:$AU$1006,0)), HYPERLINK("#",""), HYPERLINK(CONCATENATE("#metadata!", ADDRESS(INDEX($Y$2:$Y$1001,MATCH(ROWS($W$2:W649),$W$2:$W$1001,0),0), INDEX($AD$1004:$AU$1004,1,MATCH(COLUMNS($AD$1006:AF1006),$AD$1006:$AU$1006,0)))),"Fix")))</f>
        <v xml:space="preserve"> </v>
      </c>
      <c r="E649" s="4" t="str">
        <f ca="1">IF(OR(INDEX($X$2:$X$1001,MATCH(ROWS($W$2:W649),$W$2:$W$1001,0),1)&gt;=100000,INDEX($AD$1005:$AU$1005,1,MATCH(COLUMNS($AD$1006:AG1006),$AD$1006:$AU$1006,0))&gt;=100000), " ",IF(INDEX($AD$2:$AU$1001,MATCH(ROWS($W$2:W649),$W$2:$W$1001,0),MATCH(COLUMNS($AD$1006:AG1006),$AD$1006:$AU$1006,0)), HYPERLINK("#",""), HYPERLINK(CONCATENATE("#metadata!", ADDRESS(INDEX($Y$2:$Y$1001,MATCH(ROWS($W$2:W649),$W$2:$W$1001,0),0), INDEX($AD$1004:$AU$1004,1,MATCH(COLUMNS($AD$1006:AG1006),$AD$1006:$AU$1006,0)))),"Fix")))</f>
        <v xml:space="preserve"> </v>
      </c>
      <c r="F649" s="4" t="str">
        <f ca="1">IF(OR(INDEX($X$2:$X$1001,MATCH(ROWS($W$2:W649),$W$2:$W$1001,0),1)&gt;=100000,INDEX($AD$1005:$AU$1005,1,MATCH(COLUMNS($AD$1006:AH1006),$AD$1006:$AU$1006,0))&gt;=100000), " ",IF(INDEX($AD$2:$AU$1001,MATCH(ROWS($W$2:W649),$W$2:$W$1001,0),MATCH(COLUMNS($AD$1006:AH1006),$AD$1006:$AU$1006,0)), HYPERLINK("#",""), HYPERLINK(CONCATENATE("#metadata!", ADDRESS(INDEX($Y$2:$Y$1001,MATCH(ROWS($W$2:W649),$W$2:$W$1001,0),0), INDEX($AD$1004:$AU$1004,1,MATCH(COLUMNS($AD$1006:AH1006),$AD$1006:$AU$1006,0)))),"Fix")))</f>
        <v xml:space="preserve"> </v>
      </c>
      <c r="G649" s="4" t="str">
        <f ca="1">IF(OR(INDEX($X$2:$X$1001,MATCH(ROWS($W$2:W649),$W$2:$W$1001,0),1)&gt;=100000,INDEX($AD$1005:$AU$1005,1,MATCH(COLUMNS($AD$1006:AI1006),$AD$1006:$AU$1006,0))&gt;=100000), " ",IF(INDEX($AD$2:$AU$1001,MATCH(ROWS($W$2:W649),$W$2:$W$1001,0),MATCH(COLUMNS($AD$1006:AI1006),$AD$1006:$AU$1006,0)), HYPERLINK("#",""), HYPERLINK(CONCATENATE("#metadata!", ADDRESS(INDEX($Y$2:$Y$1001,MATCH(ROWS($W$2:W649),$W$2:$W$1001,0),0), INDEX($AD$1004:$AU$1004,1,MATCH(COLUMNS($AD$1006:AI1006),$AD$1006:$AU$1006,0)))),"Fix")))</f>
        <v xml:space="preserve"> </v>
      </c>
      <c r="H649" s="4" t="str">
        <f ca="1">IF(OR(INDEX($X$2:$X$1001,MATCH(ROWS($W$2:W649),$W$2:$W$1001,0),1)&gt;=100000,INDEX($AD$1005:$AU$1005,1,MATCH(COLUMNS($AD$1006:AJ1006),$AD$1006:$AU$1006,0))&gt;=100000), " ",IF(INDEX($AD$2:$AU$1001,MATCH(ROWS($W$2:W649),$W$2:$W$1001,0),MATCH(COLUMNS($AD$1006:AJ1006),$AD$1006:$AU$1006,0)), HYPERLINK("#",""), HYPERLINK(CONCATENATE("#metadata!", ADDRESS(INDEX($Y$2:$Y$1001,MATCH(ROWS($W$2:W649),$W$2:$W$1001,0),0), INDEX($AD$1004:$AU$1004,1,MATCH(COLUMNS($AD$1006:AJ1006),$AD$1006:$AU$1006,0)))),"Fix")))</f>
        <v xml:space="preserve"> </v>
      </c>
      <c r="I649" s="4" t="str">
        <f ca="1">IF(OR(INDEX($X$2:$X$1001,MATCH(ROWS($W$2:W649),$W$2:$W$1001,0),1)&gt;=100000,INDEX($AD$1005:$AU$1005,1,MATCH(COLUMNS($AD$1006:AK1006),$AD$1006:$AU$1006,0))&gt;=100000), " ",IF(INDEX($AD$2:$AU$1001,MATCH(ROWS($W$2:W649),$W$2:$W$1001,0),MATCH(COLUMNS($AD$1006:AK1006),$AD$1006:$AU$1006,0)), HYPERLINK("#",""), HYPERLINK(CONCATENATE("#metadata!", ADDRESS(INDEX($Y$2:$Y$1001,MATCH(ROWS($W$2:W649),$W$2:$W$1001,0),0), INDEX($AD$1004:$AU$1004,1,MATCH(COLUMNS($AD$1006:AK1006),$AD$1006:$AU$1006,0)))),"Fix")))</f>
        <v xml:space="preserve"> </v>
      </c>
      <c r="J649" s="4" t="str">
        <f ca="1">IF(OR(INDEX($X$2:$X$1001,MATCH(ROWS($W$2:W649),$W$2:$W$1001,0),1)&gt;=100000,INDEX($AD$1005:$AU$1005,1,MATCH(COLUMNS($AD$1006:AL1006),$AD$1006:$AU$1006,0))&gt;=100000), " ",IF(INDEX($AD$2:$AU$1001,MATCH(ROWS($W$2:W649),$W$2:$W$1001,0),MATCH(COLUMNS($AD$1006:AL1006),$AD$1006:$AU$1006,0)), HYPERLINK("#",""), HYPERLINK(CONCATENATE("#metadata!", ADDRESS(INDEX($Y$2:$Y$1001,MATCH(ROWS($W$2:W649),$W$2:$W$1001,0),0), INDEX($AD$1004:$AU$1004,1,MATCH(COLUMNS($AD$1006:AL1006),$AD$1006:$AU$1006,0)))),"Fix")))</f>
        <v xml:space="preserve"> </v>
      </c>
      <c r="K649" s="4" t="str">
        <f ca="1">IF(OR(INDEX($X$2:$X$1001,MATCH(ROWS($W$2:W649),$W$2:$W$1001,0),1)&gt;=100000,INDEX($AD$1005:$AU$1005,1,MATCH(COLUMNS($AD$1006:AM1006),$AD$1006:$AU$1006,0))&gt;=100000), " ",IF(INDEX($AD$2:$AU$1001,MATCH(ROWS($W$2:W649),$W$2:$W$1001,0),MATCH(COLUMNS($AD$1006:AM1006),$AD$1006:$AU$1006,0)), HYPERLINK("#",""), HYPERLINK(CONCATENATE("#metadata!", ADDRESS(INDEX($Y$2:$Y$1001,MATCH(ROWS($W$2:W649),$W$2:$W$1001,0),0), INDEX($AD$1004:$AU$1004,1,MATCH(COLUMNS($AD$1006:AM1006),$AD$1006:$AU$1006,0)))),"Fix")))</f>
        <v xml:space="preserve"> </v>
      </c>
      <c r="L649" s="4" t="str">
        <f ca="1">IF(OR(INDEX($X$2:$X$1001,MATCH(ROWS($W$2:W649),$W$2:$W$1001,0),1)&gt;=100000,INDEX($AD$1005:$AU$1005,1,MATCH(COLUMNS($AD$1006:AN1006),$AD$1006:$AU$1006,0))&gt;=100000), " ",IF(INDEX($AD$2:$AU$1001,MATCH(ROWS($W$2:W649),$W$2:$W$1001,0),MATCH(COLUMNS($AD$1006:AN1006),$AD$1006:$AU$1006,0)), HYPERLINK("#",""), HYPERLINK(CONCATENATE("#metadata!", ADDRESS(INDEX($Y$2:$Y$1001,MATCH(ROWS($W$2:W649),$W$2:$W$1001,0),0), INDEX($AD$1004:$AU$1004,1,MATCH(COLUMNS($AD$1006:AN1006),$AD$1006:$AU$1006,0)))),"Fix")))</f>
        <v xml:space="preserve"> </v>
      </c>
      <c r="M649" s="4" t="str">
        <f ca="1">IF(OR(INDEX($X$2:$X$1001,MATCH(ROWS($W$2:W649),$W$2:$W$1001,0),1)&gt;=100000,INDEX($AD$1005:$AU$1005,1,MATCH(COLUMNS($AD$1006:AO1006),$AD$1006:$AU$1006,0))&gt;=100000), " ",IF(INDEX($AD$2:$AU$1001,MATCH(ROWS($W$2:W649),$W$2:$W$1001,0),MATCH(COLUMNS($AD$1006:AO1006),$AD$1006:$AU$1006,0)), HYPERLINK("#",""), HYPERLINK(CONCATENATE("#metadata!", ADDRESS(INDEX($Y$2:$Y$1001,MATCH(ROWS($W$2:W649),$W$2:$W$1001,0),0), INDEX($AD$1004:$AU$1004,1,MATCH(COLUMNS($AD$1006:AO1006),$AD$1006:$AU$1006,0)))),"Fix")))</f>
        <v xml:space="preserve"> </v>
      </c>
      <c r="N649" s="4" t="str">
        <f ca="1">IF(OR(INDEX($X$2:$X$1001,MATCH(ROWS($W$2:W649),$W$2:$W$1001,0),1)&gt;=100000,INDEX($AD$1005:$AU$1005,1,MATCH(COLUMNS($AD$1006:AP1006),$AD$1006:$AU$1006,0))&gt;=100000), " ",IF(INDEX($AD$2:$AU$1001,MATCH(ROWS($W$2:W649),$W$2:$W$1001,0),MATCH(COLUMNS($AD$1006:AP1006),$AD$1006:$AU$1006,0)), HYPERLINK("#",""), HYPERLINK(CONCATENATE("#metadata!", ADDRESS(INDEX($Y$2:$Y$1001,MATCH(ROWS($W$2:W649),$W$2:$W$1001,0),0), INDEX($AD$1004:$AU$1004,1,MATCH(COLUMNS($AD$1006:AP1006),$AD$1006:$AU$1006,0)))),"Fix")))</f>
        <v xml:space="preserve"> </v>
      </c>
      <c r="O649" s="4" t="str">
        <f ca="1">IF(OR(INDEX($X$2:$X$1001,MATCH(ROWS($W$2:W649),$W$2:$W$1001,0),1)&gt;=100000,INDEX($AD$1005:$AU$1005,1,MATCH(COLUMNS($AD$1006:AQ1006),$AD$1006:$AU$1006,0))&gt;=100000), " ",IF(INDEX($AD$2:$AU$1001,MATCH(ROWS($W$2:W649),$W$2:$W$1001,0),MATCH(COLUMNS($AD$1006:AQ1006),$AD$1006:$AU$1006,0)), HYPERLINK("#",""), HYPERLINK(CONCATENATE("#metadata!", ADDRESS(INDEX($Y$2:$Y$1001,MATCH(ROWS($W$2:W649),$W$2:$W$1001,0),0), INDEX($AD$1004:$AU$1004,1,MATCH(COLUMNS($AD$1006:AQ1006),$AD$1006:$AU$1006,0)))),"Fix")))</f>
        <v xml:space="preserve"> </v>
      </c>
      <c r="P649" s="4" t="str">
        <f ca="1">IF(OR(INDEX($X$2:$X$1001,MATCH(ROWS($W$2:W649),$W$2:$W$1001,0),1)&gt;=100000,INDEX($AD$1005:$AU$1005,1,MATCH(COLUMNS($AD$1006:AR1006),$AD$1006:$AU$1006,0))&gt;=100000), " ",IF(INDEX($AD$2:$AU$1001,MATCH(ROWS($W$2:W649),$W$2:$W$1001,0),MATCH(COLUMNS($AD$1006:AR1006),$AD$1006:$AU$1006,0)), HYPERLINK("#",""), HYPERLINK(CONCATENATE("#metadata!", ADDRESS(INDEX($Y$2:$Y$1001,MATCH(ROWS($W$2:W649),$W$2:$W$1001,0),0), INDEX($AD$1004:$AU$1004,1,MATCH(COLUMNS($AD$1006:AR1006),$AD$1006:$AU$1006,0)))),"Fix")))</f>
        <v xml:space="preserve"> </v>
      </c>
      <c r="Q649" s="4" t="str">
        <f ca="1">IF(OR(INDEX($X$2:$X$1001,MATCH(ROWS($W$2:W649),$W$2:$W$1001,0),1)&gt;=100000,INDEX($AD$1005:$AU$1005,1,MATCH(COLUMNS($AD$1006:AS1006),$AD$1006:$AU$1006,0))&gt;=100000), " ",IF(INDEX($AD$2:$AU$1001,MATCH(ROWS($W$2:W649),$W$2:$W$1001,0),MATCH(COLUMNS($AD$1006:AS1006),$AD$1006:$AU$1006,0)), HYPERLINK("#",""), HYPERLINK(CONCATENATE("#metadata!", ADDRESS(INDEX($Y$2:$Y$1001,MATCH(ROWS($W$2:W649),$W$2:$W$1001,0),0), INDEX($AD$1004:$AU$1004,1,MATCH(COLUMNS($AD$1006:AS1006),$AD$1006:$AU$1006,0)))),"Fix")))</f>
        <v xml:space="preserve"> </v>
      </c>
      <c r="R649" s="4" t="str">
        <f ca="1">IF(OR(INDEX($X$2:$X$1001,MATCH(ROWS($W$2:W649),$W$2:$W$1001,0),1)&gt;=100000,INDEX($AD$1005:$AU$1005,1,MATCH(COLUMNS($AD$1006:AT1006),$AD$1006:$AU$1006,0))&gt;=100000), " ",IF(INDEX($AD$2:$AU$1001,MATCH(ROWS($W$2:W649),$W$2:$W$1001,0),MATCH(COLUMNS($AD$1006:AT1006),$AD$1006:$AU$1006,0)), HYPERLINK("#",""), HYPERLINK(CONCATENATE("#metadata!", ADDRESS(INDEX($Y$2:$Y$1001,MATCH(ROWS($W$2:W649),$W$2:$W$1001,0),0), INDEX($AD$1004:$AU$1004,1,MATCH(COLUMNS($AD$1006:AT1006),$AD$1006:$AU$1006,0)))),"Fix")))</f>
        <v xml:space="preserve"> </v>
      </c>
      <c r="S649" s="4" t="str">
        <f ca="1">IF(OR(INDEX($X$2:$X$1001,MATCH(ROWS($W$2:W649),$W$2:$W$1001,0),1)&gt;=100000,INDEX($AD$1005:$AU$1005,1,MATCH(COLUMNS($AD$1006:AU1006),$AD$1006:$AU$1006,0))&gt;=100000), " ",IF(INDEX($AD$2:$AU$1001,MATCH(ROWS($W$2:W649),$W$2:$W$1001,0),MATCH(COLUMNS($AD$1006:AU1006),$AD$1006:$AU$1006,0)), HYPERLINK("#",""), HYPERLINK(CONCATENATE("#metadata!", ADDRESS(INDEX($Y$2:$Y$1001,MATCH(ROWS($W$2:W649),$W$2:$W$1001,0),0), INDEX($AD$1004:$AU$1004,1,MATCH(COLUMNS($AD$1006:AU1006),$AD$1006:$AU$1006,0)))),"Fix")))</f>
        <v xml:space="preserve"> </v>
      </c>
      <c r="W649">
        <v>648</v>
      </c>
      <c r="X649">
        <v>100649</v>
      </c>
      <c r="Y649">
        <v>649</v>
      </c>
      <c r="Z649" t="b">
        <f t="shared" si="10"/>
        <v>1</v>
      </c>
      <c r="AA649" t="b">
        <f>COUNTBLANK(metadata!B649:S649)=COLUMNS(metadata!B649:S649)</f>
        <v>1</v>
      </c>
      <c r="AB649" t="str">
        <v/>
      </c>
      <c r="AD649" t="b">
        <f ca="1">AND(IF(metadata!B649="",FALSE,TRUE),COUNTIF(metadata!B:B, metadata!B649) = 1,NOT(ISERROR(SUMPRODUCT(SEARCH(MID(metadata!B649,ROW(INDIRECT("1:"&amp;LEN(metadata!B649))), 1),"0123456789abcdefghijklmnopqrstuvwxyzABCDEFGHIJKLMNOPQRSTUVWXYZ.")))))</f>
        <v>0</v>
      </c>
      <c r="AE649" t="b">
        <f>OR(AND(IF(metadata!C649="",FALSE,TRUE),OR(EXACT(metadata!C649,"not applicable"),EXACT(metadata!C649,"missing: not collected"),EXACT(metadata!C649,"missing: not provided"),EXACT(metadata!C649,"missing: restricted access"))),AND(IF(metadata!C649="",FALSE,ISNUMBER(VALUE(metadata!C649))),metadata!C649&gt;0))</f>
        <v>0</v>
      </c>
      <c r="AF649" t="b">
        <f>AND(IF(metadata!D649="",FALSE,TRUE),EXACT(metadata!D649,"missing: not provided"))</f>
        <v>0</v>
      </c>
      <c r="AG649" t="b">
        <f>AND(IF(metadata!E649="",FALSE,TRUE),EXACT(metadata!E649,"Host-associated"))</f>
        <v>0</v>
      </c>
      <c r="AH649" t="b">
        <f>AND(IF(metadata!F649="",FALSE,TRUE),OR(EXACT(metadata!F649,"Animal"),EXACT(metadata!F649,"Fungus"),EXACT(metadata!F649,"Plant")))</f>
        <v>0</v>
      </c>
      <c r="AI649" t="b">
        <f>AND(IF(metadata!G649="",FALSE,TRUE),OR(EXACT(metadata!G649,"Plant secretion"),EXACT(metadata!G649,"Plant rhizosphere"),EXACT(metadata!G649,"Plant surface"),EXACT(metadata!G649,"Plant corpus"),EXACT(metadata!G649,"Fungus surface"),EXACT(metadata!G649,"Fungus corpus"),EXACT(metadata!G649,"Animal surface"),EXACT(metadata!G649,"Animal proximal gut"),EXACT(metadata!G649,"Animal corpus"),EXACT(metadata!G649,"Animal distal gut"),EXACT(metadata!G649,"Animal secretion")))</f>
        <v>0</v>
      </c>
      <c r="AJ649" t="b">
        <f>OR(AND(IF(metadata!H649="",FALSE,TRUE),OR(EXACT(metadata!H649,"missing: not collected"),EXACT(metadata!H649,"missing: not provided"),EXACT(metadata!H649,"missing: restricted access"))),AND(IF(metadata!H649="",FALSE,TRUE),OR(EXACT(metadata!H649,"organism-associated habitat"),EXACT(metadata!H649,"plant-associated habitat"),EXACT(metadata!H649,"animal-associated habitat"),EXACT(metadata!H649,"insecta-associated habitat"),EXACT(metadata!H649,"mammalia-associated habitat"),EXACT(metadata!H649,"human-associated habitat"),EXACT(metadata!H649,"livestock-associated habitat"))))</f>
        <v>0</v>
      </c>
      <c r="AK649" t="b">
        <f>AND(IF(metadata!I649="",FALSE,TRUE),EXACT(metadata!I649,"host-associated"))</f>
        <v>0</v>
      </c>
      <c r="AL649" t="b">
        <f>OR(AND(IF(metadata!J649="",FALSE,TRUE),OR(EXACT(metadata!J649,"not applicable"),EXACT(metadata!J649,"missing: not collected"),EXACT(metadata!J649,"missing: not provided"),EXACT(metadata!J649,"missing: restricted access"))),AND(IF(metadata!J649="",FALSE,ISNUMBER(VALUE(metadata!J649))),metadata!J649&gt;0))</f>
        <v>0</v>
      </c>
      <c r="AM649" t="b">
        <f>AND(IF(metadata!K649="",FALSE,TRUE),EXACT(metadata!K649,"missing: not provided"))</f>
        <v>0</v>
      </c>
      <c r="AN649" t="b">
        <f>IF(metadata!L649="",FALSE,TRUE)</f>
        <v>0</v>
      </c>
      <c r="AO649" t="b">
        <f>IF(metadata!M649="",FALSE,TRUE)</f>
        <v>0</v>
      </c>
      <c r="AP649" t="b">
        <f>OR(AND(IF(metadata!N649="",FALSE,TRUE),OR(EXACT(metadata!N649,"not applicable"),EXACT(metadata!N649,"missing: not collected"),EXACT(metadata!N649,"missing: not provided"))),AND(IF(metadata!N649="",FALSE,IF(ISERROR(INT(metadata!N649)),FALSE,INT(metadata!N649)=metadata!N649)),metadata!N649&gt;0))</f>
        <v>0</v>
      </c>
      <c r="AQ649" t="b">
        <f>AND(IF(metadata!O649="",FALSE,TRUE),EXACT(metadata!O649,"Not applicable"))</f>
        <v>0</v>
      </c>
      <c r="AR649" t="b">
        <f>OR(AND(IF(metadata!P649="",FALSE,TRUE),OR(EXACT(metadata!P649,"not applicable"),EXACT(metadata!P649,"missing: not collected"),EXACT(metadata!P649,"missing: not provided"),EXACT(metadata!P649,"missing: restricted access"))),IF(metadata!P649="",FALSE,IF(ISERROR(INT(metadata!P649)),FALSE,INT(metadata!P649)=metadata!P649)))</f>
        <v>0</v>
      </c>
      <c r="AS649" t="b">
        <f>AND(IF(metadata!Q649="",FALSE,TRUE),EXACT(metadata!Q649,"Not applicable"))</f>
        <v>0</v>
      </c>
      <c r="AT649" t="b">
        <f>OR(AND(IF(metadata!R649="",FALSE,TRUE),OR(EXACT(metadata!R649,"not applicable"),EXACT(metadata!R649,"missing: not collected"),EXACT(metadata!R649,"missing: not provided"),EXACT(metadata!R649,"missing: restricted access"))),AND(IF(metadata!R649="",FALSE,ISNUMBER(VALUE(metadata!R649))),metadata!R649&gt;0))</f>
        <v>0</v>
      </c>
      <c r="AU649" t="b">
        <f>AND(IF(metadata!S649="",FALSE,TRUE),EXACT(metadata!S649,"missing: not provided"))</f>
        <v>0</v>
      </c>
    </row>
    <row r="650" spans="1:47" x14ac:dyDescent="0.2">
      <c r="A650" s="5" t="str">
        <f ca="1">IF(B650=" "," ",HYPERLINK(CONCATENATE("#metadata!",ADDRESS(INDEX($Y$2:$Y$1001,MATCH(ROWS($W$2:W650),$W$2:$W$1001,0),0),1)),INDEX($AB$2:$AB$1001,MATCH(ROWS($W$2:W650),$W$2:$W$1001,0),0)))</f>
        <v xml:space="preserve"> </v>
      </c>
      <c r="B650" s="4" t="str">
        <f ca="1">IF(OR(INDEX($X$2:$X$1001,MATCH(ROWS($W$2:W650),$W$2:$W$1001,0),1)&gt;=100000,INDEX($AD$1005:$AU$1005,1,MATCH(COLUMNS($AD$1006:AD1006),$AD$1006:$AU$1006,0))&gt;=100000), " ",IF(INDEX($AD$2:$AU$1001,MATCH(ROWS($W$2:W650),$W$2:$W$1001,0),MATCH(COLUMNS($AD$1006:AD1006),$AD$1006:$AU$1006,0)), HYPERLINK("#",""), HYPERLINK(CONCATENATE("#metadata!", ADDRESS(INDEX($Y$2:$Y$1001,MATCH(ROWS($W$2:W650),$W$2:$W$1001,0),0), INDEX($AD$1004:$AU$1004,1,MATCH(COLUMNS($AD$1006:AD1006),$AD$1006:$AU$1006,0)))),"Fix")))</f>
        <v xml:space="preserve"> </v>
      </c>
      <c r="C650" s="4" t="str">
        <f ca="1">IF(OR(INDEX($X$2:$X$1001,MATCH(ROWS($W$2:W650),$W$2:$W$1001,0),1)&gt;=100000,INDEX($AD$1005:$AU$1005,1,MATCH(COLUMNS($AD$1006:AE1006),$AD$1006:$AU$1006,0))&gt;=100000), " ",IF(INDEX($AD$2:$AU$1001,MATCH(ROWS($W$2:W650),$W$2:$W$1001,0),MATCH(COLUMNS($AD$1006:AE1006),$AD$1006:$AU$1006,0)), HYPERLINK("#",""), HYPERLINK(CONCATENATE("#metadata!", ADDRESS(INDEX($Y$2:$Y$1001,MATCH(ROWS($W$2:W650),$W$2:$W$1001,0),0), INDEX($AD$1004:$AU$1004,1,MATCH(COLUMNS($AD$1006:AE1006),$AD$1006:$AU$1006,0)))),"Fix")))</f>
        <v xml:space="preserve"> </v>
      </c>
      <c r="D650" s="4" t="str">
        <f ca="1">IF(OR(INDEX($X$2:$X$1001,MATCH(ROWS($W$2:W650),$W$2:$W$1001,0),1)&gt;=100000,INDEX($AD$1005:$AU$1005,1,MATCH(COLUMNS($AD$1006:AF1006),$AD$1006:$AU$1006,0))&gt;=100000), " ",IF(INDEX($AD$2:$AU$1001,MATCH(ROWS($W$2:W650),$W$2:$W$1001,0),MATCH(COLUMNS($AD$1006:AF1006),$AD$1006:$AU$1006,0)), HYPERLINK("#",""), HYPERLINK(CONCATENATE("#metadata!", ADDRESS(INDEX($Y$2:$Y$1001,MATCH(ROWS($W$2:W650),$W$2:$W$1001,0),0), INDEX($AD$1004:$AU$1004,1,MATCH(COLUMNS($AD$1006:AF1006),$AD$1006:$AU$1006,0)))),"Fix")))</f>
        <v xml:space="preserve"> </v>
      </c>
      <c r="E650" s="4" t="str">
        <f ca="1">IF(OR(INDEX($X$2:$X$1001,MATCH(ROWS($W$2:W650),$W$2:$W$1001,0),1)&gt;=100000,INDEX($AD$1005:$AU$1005,1,MATCH(COLUMNS($AD$1006:AG1006),$AD$1006:$AU$1006,0))&gt;=100000), " ",IF(INDEX($AD$2:$AU$1001,MATCH(ROWS($W$2:W650),$W$2:$W$1001,0),MATCH(COLUMNS($AD$1006:AG1006),$AD$1006:$AU$1006,0)), HYPERLINK("#",""), HYPERLINK(CONCATENATE("#metadata!", ADDRESS(INDEX($Y$2:$Y$1001,MATCH(ROWS($W$2:W650),$W$2:$W$1001,0),0), INDEX($AD$1004:$AU$1004,1,MATCH(COLUMNS($AD$1006:AG1006),$AD$1006:$AU$1006,0)))),"Fix")))</f>
        <v xml:space="preserve"> </v>
      </c>
      <c r="F650" s="4" t="str">
        <f ca="1">IF(OR(INDEX($X$2:$X$1001,MATCH(ROWS($W$2:W650),$W$2:$W$1001,0),1)&gt;=100000,INDEX($AD$1005:$AU$1005,1,MATCH(COLUMNS($AD$1006:AH1006),$AD$1006:$AU$1006,0))&gt;=100000), " ",IF(INDEX($AD$2:$AU$1001,MATCH(ROWS($W$2:W650),$W$2:$W$1001,0),MATCH(COLUMNS($AD$1006:AH1006),$AD$1006:$AU$1006,0)), HYPERLINK("#",""), HYPERLINK(CONCATENATE("#metadata!", ADDRESS(INDEX($Y$2:$Y$1001,MATCH(ROWS($W$2:W650),$W$2:$W$1001,0),0), INDEX($AD$1004:$AU$1004,1,MATCH(COLUMNS($AD$1006:AH1006),$AD$1006:$AU$1006,0)))),"Fix")))</f>
        <v xml:space="preserve"> </v>
      </c>
      <c r="G650" s="4" t="str">
        <f ca="1">IF(OR(INDEX($X$2:$X$1001,MATCH(ROWS($W$2:W650),$W$2:$W$1001,0),1)&gt;=100000,INDEX($AD$1005:$AU$1005,1,MATCH(COLUMNS($AD$1006:AI1006),$AD$1006:$AU$1006,0))&gt;=100000), " ",IF(INDEX($AD$2:$AU$1001,MATCH(ROWS($W$2:W650),$W$2:$W$1001,0),MATCH(COLUMNS($AD$1006:AI1006),$AD$1006:$AU$1006,0)), HYPERLINK("#",""), HYPERLINK(CONCATENATE("#metadata!", ADDRESS(INDEX($Y$2:$Y$1001,MATCH(ROWS($W$2:W650),$W$2:$W$1001,0),0), INDEX($AD$1004:$AU$1004,1,MATCH(COLUMNS($AD$1006:AI1006),$AD$1006:$AU$1006,0)))),"Fix")))</f>
        <v xml:space="preserve"> </v>
      </c>
      <c r="H650" s="4" t="str">
        <f ca="1">IF(OR(INDEX($X$2:$X$1001,MATCH(ROWS($W$2:W650),$W$2:$W$1001,0),1)&gt;=100000,INDEX($AD$1005:$AU$1005,1,MATCH(COLUMNS($AD$1006:AJ1006),$AD$1006:$AU$1006,0))&gt;=100000), " ",IF(INDEX($AD$2:$AU$1001,MATCH(ROWS($W$2:W650),$W$2:$W$1001,0),MATCH(COLUMNS($AD$1006:AJ1006),$AD$1006:$AU$1006,0)), HYPERLINK("#",""), HYPERLINK(CONCATENATE("#metadata!", ADDRESS(INDEX($Y$2:$Y$1001,MATCH(ROWS($W$2:W650),$W$2:$W$1001,0),0), INDEX($AD$1004:$AU$1004,1,MATCH(COLUMNS($AD$1006:AJ1006),$AD$1006:$AU$1006,0)))),"Fix")))</f>
        <v xml:space="preserve"> </v>
      </c>
      <c r="I650" s="4" t="str">
        <f ca="1">IF(OR(INDEX($X$2:$X$1001,MATCH(ROWS($W$2:W650),$W$2:$W$1001,0),1)&gt;=100000,INDEX($AD$1005:$AU$1005,1,MATCH(COLUMNS($AD$1006:AK1006),$AD$1006:$AU$1006,0))&gt;=100000), " ",IF(INDEX($AD$2:$AU$1001,MATCH(ROWS($W$2:W650),$W$2:$W$1001,0),MATCH(COLUMNS($AD$1006:AK1006),$AD$1006:$AU$1006,0)), HYPERLINK("#",""), HYPERLINK(CONCATENATE("#metadata!", ADDRESS(INDEX($Y$2:$Y$1001,MATCH(ROWS($W$2:W650),$W$2:$W$1001,0),0), INDEX($AD$1004:$AU$1004,1,MATCH(COLUMNS($AD$1006:AK1006),$AD$1006:$AU$1006,0)))),"Fix")))</f>
        <v xml:space="preserve"> </v>
      </c>
      <c r="J650" s="4" t="str">
        <f ca="1">IF(OR(INDEX($X$2:$X$1001,MATCH(ROWS($W$2:W650),$W$2:$W$1001,0),1)&gt;=100000,INDEX($AD$1005:$AU$1005,1,MATCH(COLUMNS($AD$1006:AL1006),$AD$1006:$AU$1006,0))&gt;=100000), " ",IF(INDEX($AD$2:$AU$1001,MATCH(ROWS($W$2:W650),$W$2:$W$1001,0),MATCH(COLUMNS($AD$1006:AL1006),$AD$1006:$AU$1006,0)), HYPERLINK("#",""), HYPERLINK(CONCATENATE("#metadata!", ADDRESS(INDEX($Y$2:$Y$1001,MATCH(ROWS($W$2:W650),$W$2:$W$1001,0),0), INDEX($AD$1004:$AU$1004,1,MATCH(COLUMNS($AD$1006:AL1006),$AD$1006:$AU$1006,0)))),"Fix")))</f>
        <v xml:space="preserve"> </v>
      </c>
      <c r="K650" s="4" t="str">
        <f ca="1">IF(OR(INDEX($X$2:$X$1001,MATCH(ROWS($W$2:W650),$W$2:$W$1001,0),1)&gt;=100000,INDEX($AD$1005:$AU$1005,1,MATCH(COLUMNS($AD$1006:AM1006),$AD$1006:$AU$1006,0))&gt;=100000), " ",IF(INDEX($AD$2:$AU$1001,MATCH(ROWS($W$2:W650),$W$2:$W$1001,0),MATCH(COLUMNS($AD$1006:AM1006),$AD$1006:$AU$1006,0)), HYPERLINK("#",""), HYPERLINK(CONCATENATE("#metadata!", ADDRESS(INDEX($Y$2:$Y$1001,MATCH(ROWS($W$2:W650),$W$2:$W$1001,0),0), INDEX($AD$1004:$AU$1004,1,MATCH(COLUMNS($AD$1006:AM1006),$AD$1006:$AU$1006,0)))),"Fix")))</f>
        <v xml:space="preserve"> </v>
      </c>
      <c r="L650" s="4" t="str">
        <f ca="1">IF(OR(INDEX($X$2:$X$1001,MATCH(ROWS($W$2:W650),$W$2:$W$1001,0),1)&gt;=100000,INDEX($AD$1005:$AU$1005,1,MATCH(COLUMNS($AD$1006:AN1006),$AD$1006:$AU$1006,0))&gt;=100000), " ",IF(INDEX($AD$2:$AU$1001,MATCH(ROWS($W$2:W650),$W$2:$W$1001,0),MATCH(COLUMNS($AD$1006:AN1006),$AD$1006:$AU$1006,0)), HYPERLINK("#",""), HYPERLINK(CONCATENATE("#metadata!", ADDRESS(INDEX($Y$2:$Y$1001,MATCH(ROWS($W$2:W650),$W$2:$W$1001,0),0), INDEX($AD$1004:$AU$1004,1,MATCH(COLUMNS($AD$1006:AN1006),$AD$1006:$AU$1006,0)))),"Fix")))</f>
        <v xml:space="preserve"> </v>
      </c>
      <c r="M650" s="4" t="str">
        <f ca="1">IF(OR(INDEX($X$2:$X$1001,MATCH(ROWS($W$2:W650),$W$2:$W$1001,0),1)&gt;=100000,INDEX($AD$1005:$AU$1005,1,MATCH(COLUMNS($AD$1006:AO1006),$AD$1006:$AU$1006,0))&gt;=100000), " ",IF(INDEX($AD$2:$AU$1001,MATCH(ROWS($W$2:W650),$W$2:$W$1001,0),MATCH(COLUMNS($AD$1006:AO1006),$AD$1006:$AU$1006,0)), HYPERLINK("#",""), HYPERLINK(CONCATENATE("#metadata!", ADDRESS(INDEX($Y$2:$Y$1001,MATCH(ROWS($W$2:W650),$W$2:$W$1001,0),0), INDEX($AD$1004:$AU$1004,1,MATCH(COLUMNS($AD$1006:AO1006),$AD$1006:$AU$1006,0)))),"Fix")))</f>
        <v xml:space="preserve"> </v>
      </c>
      <c r="N650" s="4" t="str">
        <f ca="1">IF(OR(INDEX($X$2:$X$1001,MATCH(ROWS($W$2:W650),$W$2:$W$1001,0),1)&gt;=100000,INDEX($AD$1005:$AU$1005,1,MATCH(COLUMNS($AD$1006:AP1006),$AD$1006:$AU$1006,0))&gt;=100000), " ",IF(INDEX($AD$2:$AU$1001,MATCH(ROWS($W$2:W650),$W$2:$W$1001,0),MATCH(COLUMNS($AD$1006:AP1006),$AD$1006:$AU$1006,0)), HYPERLINK("#",""), HYPERLINK(CONCATENATE("#metadata!", ADDRESS(INDEX($Y$2:$Y$1001,MATCH(ROWS($W$2:W650),$W$2:$W$1001,0),0), INDEX($AD$1004:$AU$1004,1,MATCH(COLUMNS($AD$1006:AP1006),$AD$1006:$AU$1006,0)))),"Fix")))</f>
        <v xml:space="preserve"> </v>
      </c>
      <c r="O650" s="4" t="str">
        <f ca="1">IF(OR(INDEX($X$2:$X$1001,MATCH(ROWS($W$2:W650),$W$2:$W$1001,0),1)&gt;=100000,INDEX($AD$1005:$AU$1005,1,MATCH(COLUMNS($AD$1006:AQ1006),$AD$1006:$AU$1006,0))&gt;=100000), " ",IF(INDEX($AD$2:$AU$1001,MATCH(ROWS($W$2:W650),$W$2:$W$1001,0),MATCH(COLUMNS($AD$1006:AQ1006),$AD$1006:$AU$1006,0)), HYPERLINK("#",""), HYPERLINK(CONCATENATE("#metadata!", ADDRESS(INDEX($Y$2:$Y$1001,MATCH(ROWS($W$2:W650),$W$2:$W$1001,0),0), INDEX($AD$1004:$AU$1004,1,MATCH(COLUMNS($AD$1006:AQ1006),$AD$1006:$AU$1006,0)))),"Fix")))</f>
        <v xml:space="preserve"> </v>
      </c>
      <c r="P650" s="4" t="str">
        <f ca="1">IF(OR(INDEX($X$2:$X$1001,MATCH(ROWS($W$2:W650),$W$2:$W$1001,0),1)&gt;=100000,INDEX($AD$1005:$AU$1005,1,MATCH(COLUMNS($AD$1006:AR1006),$AD$1006:$AU$1006,0))&gt;=100000), " ",IF(INDEX($AD$2:$AU$1001,MATCH(ROWS($W$2:W650),$W$2:$W$1001,0),MATCH(COLUMNS($AD$1006:AR1006),$AD$1006:$AU$1006,0)), HYPERLINK("#",""), HYPERLINK(CONCATENATE("#metadata!", ADDRESS(INDEX($Y$2:$Y$1001,MATCH(ROWS($W$2:W650),$W$2:$W$1001,0),0), INDEX($AD$1004:$AU$1004,1,MATCH(COLUMNS($AD$1006:AR1006),$AD$1006:$AU$1006,0)))),"Fix")))</f>
        <v xml:space="preserve"> </v>
      </c>
      <c r="Q650" s="4" t="str">
        <f ca="1">IF(OR(INDEX($X$2:$X$1001,MATCH(ROWS($W$2:W650),$W$2:$W$1001,0),1)&gt;=100000,INDEX($AD$1005:$AU$1005,1,MATCH(COLUMNS($AD$1006:AS1006),$AD$1006:$AU$1006,0))&gt;=100000), " ",IF(INDEX($AD$2:$AU$1001,MATCH(ROWS($W$2:W650),$W$2:$W$1001,0),MATCH(COLUMNS($AD$1006:AS1006),$AD$1006:$AU$1006,0)), HYPERLINK("#",""), HYPERLINK(CONCATENATE("#metadata!", ADDRESS(INDEX($Y$2:$Y$1001,MATCH(ROWS($W$2:W650),$W$2:$W$1001,0),0), INDEX($AD$1004:$AU$1004,1,MATCH(COLUMNS($AD$1006:AS1006),$AD$1006:$AU$1006,0)))),"Fix")))</f>
        <v xml:space="preserve"> </v>
      </c>
      <c r="R650" s="4" t="str">
        <f ca="1">IF(OR(INDEX($X$2:$X$1001,MATCH(ROWS($W$2:W650),$W$2:$W$1001,0),1)&gt;=100000,INDEX($AD$1005:$AU$1005,1,MATCH(COLUMNS($AD$1006:AT1006),$AD$1006:$AU$1006,0))&gt;=100000), " ",IF(INDEX($AD$2:$AU$1001,MATCH(ROWS($W$2:W650),$W$2:$W$1001,0),MATCH(COLUMNS($AD$1006:AT1006),$AD$1006:$AU$1006,0)), HYPERLINK("#",""), HYPERLINK(CONCATENATE("#metadata!", ADDRESS(INDEX($Y$2:$Y$1001,MATCH(ROWS($W$2:W650),$W$2:$W$1001,0),0), INDEX($AD$1004:$AU$1004,1,MATCH(COLUMNS($AD$1006:AT1006),$AD$1006:$AU$1006,0)))),"Fix")))</f>
        <v xml:space="preserve"> </v>
      </c>
      <c r="S650" s="4" t="str">
        <f ca="1">IF(OR(INDEX($X$2:$X$1001,MATCH(ROWS($W$2:W650),$W$2:$W$1001,0),1)&gt;=100000,INDEX($AD$1005:$AU$1005,1,MATCH(COLUMNS($AD$1006:AU1006),$AD$1006:$AU$1006,0))&gt;=100000), " ",IF(INDEX($AD$2:$AU$1001,MATCH(ROWS($W$2:W650),$W$2:$W$1001,0),MATCH(COLUMNS($AD$1006:AU1006),$AD$1006:$AU$1006,0)), HYPERLINK("#",""), HYPERLINK(CONCATENATE("#metadata!", ADDRESS(INDEX($Y$2:$Y$1001,MATCH(ROWS($W$2:W650),$W$2:$W$1001,0),0), INDEX($AD$1004:$AU$1004,1,MATCH(COLUMNS($AD$1006:AU1006),$AD$1006:$AU$1006,0)))),"Fix")))</f>
        <v xml:space="preserve"> </v>
      </c>
      <c r="W650">
        <v>649</v>
      </c>
      <c r="X650">
        <v>100650</v>
      </c>
      <c r="Y650">
        <v>650</v>
      </c>
      <c r="Z650" t="b">
        <f t="shared" si="10"/>
        <v>1</v>
      </c>
      <c r="AA650" t="b">
        <f>COUNTBLANK(metadata!B650:S650)=COLUMNS(metadata!B650:S650)</f>
        <v>1</v>
      </c>
      <c r="AB650" t="str">
        <v/>
      </c>
      <c r="AD650" t="b">
        <f ca="1">AND(IF(metadata!B650="",FALSE,TRUE),COUNTIF(metadata!B:B, metadata!B650) = 1,NOT(ISERROR(SUMPRODUCT(SEARCH(MID(metadata!B650,ROW(INDIRECT("1:"&amp;LEN(metadata!B650))), 1),"0123456789abcdefghijklmnopqrstuvwxyzABCDEFGHIJKLMNOPQRSTUVWXYZ.")))))</f>
        <v>0</v>
      </c>
      <c r="AE650" t="b">
        <f>OR(AND(IF(metadata!C650="",FALSE,TRUE),OR(EXACT(metadata!C650,"not applicable"),EXACT(metadata!C650,"missing: not collected"),EXACT(metadata!C650,"missing: not provided"),EXACT(metadata!C650,"missing: restricted access"))),AND(IF(metadata!C650="",FALSE,ISNUMBER(VALUE(metadata!C650))),metadata!C650&gt;0))</f>
        <v>0</v>
      </c>
      <c r="AF650" t="b">
        <f>AND(IF(metadata!D650="",FALSE,TRUE),EXACT(metadata!D650,"missing: not provided"))</f>
        <v>0</v>
      </c>
      <c r="AG650" t="b">
        <f>AND(IF(metadata!E650="",FALSE,TRUE),EXACT(metadata!E650,"Host-associated"))</f>
        <v>0</v>
      </c>
      <c r="AH650" t="b">
        <f>AND(IF(metadata!F650="",FALSE,TRUE),OR(EXACT(metadata!F650,"Animal"),EXACT(metadata!F650,"Fungus"),EXACT(metadata!F650,"Plant")))</f>
        <v>0</v>
      </c>
      <c r="AI650" t="b">
        <f>AND(IF(metadata!G650="",FALSE,TRUE),OR(EXACT(metadata!G650,"Plant secretion"),EXACT(metadata!G650,"Plant rhizosphere"),EXACT(metadata!G650,"Plant surface"),EXACT(metadata!G650,"Plant corpus"),EXACT(metadata!G650,"Fungus surface"),EXACT(metadata!G650,"Fungus corpus"),EXACT(metadata!G650,"Animal surface"),EXACT(metadata!G650,"Animal proximal gut"),EXACT(metadata!G650,"Animal corpus"),EXACT(metadata!G650,"Animal distal gut"),EXACT(metadata!G650,"Animal secretion")))</f>
        <v>0</v>
      </c>
      <c r="AJ650" t="b">
        <f>OR(AND(IF(metadata!H650="",FALSE,TRUE),OR(EXACT(metadata!H650,"missing: not collected"),EXACT(metadata!H650,"missing: not provided"),EXACT(metadata!H650,"missing: restricted access"))),AND(IF(metadata!H650="",FALSE,TRUE),OR(EXACT(metadata!H650,"organism-associated habitat"),EXACT(metadata!H650,"plant-associated habitat"),EXACT(metadata!H650,"animal-associated habitat"),EXACT(metadata!H650,"insecta-associated habitat"),EXACT(metadata!H650,"mammalia-associated habitat"),EXACT(metadata!H650,"human-associated habitat"),EXACT(metadata!H650,"livestock-associated habitat"))))</f>
        <v>0</v>
      </c>
      <c r="AK650" t="b">
        <f>AND(IF(metadata!I650="",FALSE,TRUE),EXACT(metadata!I650,"host-associated"))</f>
        <v>0</v>
      </c>
      <c r="AL650" t="b">
        <f>OR(AND(IF(metadata!J650="",FALSE,TRUE),OR(EXACT(metadata!J650,"not applicable"),EXACT(metadata!J650,"missing: not collected"),EXACT(metadata!J650,"missing: not provided"),EXACT(metadata!J650,"missing: restricted access"))),AND(IF(metadata!J650="",FALSE,ISNUMBER(VALUE(metadata!J650))),metadata!J650&gt;0))</f>
        <v>0</v>
      </c>
      <c r="AM650" t="b">
        <f>AND(IF(metadata!K650="",FALSE,TRUE),EXACT(metadata!K650,"missing: not provided"))</f>
        <v>0</v>
      </c>
      <c r="AN650" t="b">
        <f>IF(metadata!L650="",FALSE,TRUE)</f>
        <v>0</v>
      </c>
      <c r="AO650" t="b">
        <f>IF(metadata!M650="",FALSE,TRUE)</f>
        <v>0</v>
      </c>
      <c r="AP650" t="b">
        <f>OR(AND(IF(metadata!N650="",FALSE,TRUE),OR(EXACT(metadata!N650,"not applicable"),EXACT(metadata!N650,"missing: not collected"),EXACT(metadata!N650,"missing: not provided"))),AND(IF(metadata!N650="",FALSE,IF(ISERROR(INT(metadata!N650)),FALSE,INT(metadata!N650)=metadata!N650)),metadata!N650&gt;0))</f>
        <v>0</v>
      </c>
      <c r="AQ650" t="b">
        <f>AND(IF(metadata!O650="",FALSE,TRUE),EXACT(metadata!O650,"Not applicable"))</f>
        <v>0</v>
      </c>
      <c r="AR650" t="b">
        <f>OR(AND(IF(metadata!P650="",FALSE,TRUE),OR(EXACT(metadata!P650,"not applicable"),EXACT(metadata!P650,"missing: not collected"),EXACT(metadata!P650,"missing: not provided"),EXACT(metadata!P650,"missing: restricted access"))),IF(metadata!P650="",FALSE,IF(ISERROR(INT(metadata!P650)),FALSE,INT(metadata!P650)=metadata!P650)))</f>
        <v>0</v>
      </c>
      <c r="AS650" t="b">
        <f>AND(IF(metadata!Q650="",FALSE,TRUE),EXACT(metadata!Q650,"Not applicable"))</f>
        <v>0</v>
      </c>
      <c r="AT650" t="b">
        <f>OR(AND(IF(metadata!R650="",FALSE,TRUE),OR(EXACT(metadata!R650,"not applicable"),EXACT(metadata!R650,"missing: not collected"),EXACT(metadata!R650,"missing: not provided"),EXACT(metadata!R650,"missing: restricted access"))),AND(IF(metadata!R650="",FALSE,ISNUMBER(VALUE(metadata!R650))),metadata!R650&gt;0))</f>
        <v>0</v>
      </c>
      <c r="AU650" t="b">
        <f>AND(IF(metadata!S650="",FALSE,TRUE),EXACT(metadata!S650,"missing: not provided"))</f>
        <v>0</v>
      </c>
    </row>
    <row r="651" spans="1:47" x14ac:dyDescent="0.2">
      <c r="A651" s="5" t="str">
        <f ca="1">IF(B651=" "," ",HYPERLINK(CONCATENATE("#metadata!",ADDRESS(INDEX($Y$2:$Y$1001,MATCH(ROWS($W$2:W651),$W$2:$W$1001,0),0),1)),INDEX($AB$2:$AB$1001,MATCH(ROWS($W$2:W651),$W$2:$W$1001,0),0)))</f>
        <v xml:space="preserve"> </v>
      </c>
      <c r="B651" s="4" t="str">
        <f ca="1">IF(OR(INDEX($X$2:$X$1001,MATCH(ROWS($W$2:W651),$W$2:$W$1001,0),1)&gt;=100000,INDEX($AD$1005:$AU$1005,1,MATCH(COLUMNS($AD$1006:AD1006),$AD$1006:$AU$1006,0))&gt;=100000), " ",IF(INDEX($AD$2:$AU$1001,MATCH(ROWS($W$2:W651),$W$2:$W$1001,0),MATCH(COLUMNS($AD$1006:AD1006),$AD$1006:$AU$1006,0)), HYPERLINK("#",""), HYPERLINK(CONCATENATE("#metadata!", ADDRESS(INDEX($Y$2:$Y$1001,MATCH(ROWS($W$2:W651),$W$2:$W$1001,0),0), INDEX($AD$1004:$AU$1004,1,MATCH(COLUMNS($AD$1006:AD1006),$AD$1006:$AU$1006,0)))),"Fix")))</f>
        <v xml:space="preserve"> </v>
      </c>
      <c r="C651" s="4" t="str">
        <f ca="1">IF(OR(INDEX($X$2:$X$1001,MATCH(ROWS($W$2:W651),$W$2:$W$1001,0),1)&gt;=100000,INDEX($AD$1005:$AU$1005,1,MATCH(COLUMNS($AD$1006:AE1006),$AD$1006:$AU$1006,0))&gt;=100000), " ",IF(INDEX($AD$2:$AU$1001,MATCH(ROWS($W$2:W651),$W$2:$W$1001,0),MATCH(COLUMNS($AD$1006:AE1006),$AD$1006:$AU$1006,0)), HYPERLINK("#",""), HYPERLINK(CONCATENATE("#metadata!", ADDRESS(INDEX($Y$2:$Y$1001,MATCH(ROWS($W$2:W651),$W$2:$W$1001,0),0), INDEX($AD$1004:$AU$1004,1,MATCH(COLUMNS($AD$1006:AE1006),$AD$1006:$AU$1006,0)))),"Fix")))</f>
        <v xml:space="preserve"> </v>
      </c>
      <c r="D651" s="4" t="str">
        <f ca="1">IF(OR(INDEX($X$2:$X$1001,MATCH(ROWS($W$2:W651),$W$2:$W$1001,0),1)&gt;=100000,INDEX($AD$1005:$AU$1005,1,MATCH(COLUMNS($AD$1006:AF1006),$AD$1006:$AU$1006,0))&gt;=100000), " ",IF(INDEX($AD$2:$AU$1001,MATCH(ROWS($W$2:W651),$W$2:$W$1001,0),MATCH(COLUMNS($AD$1006:AF1006),$AD$1006:$AU$1006,0)), HYPERLINK("#",""), HYPERLINK(CONCATENATE("#metadata!", ADDRESS(INDEX($Y$2:$Y$1001,MATCH(ROWS($W$2:W651),$W$2:$W$1001,0),0), INDEX($AD$1004:$AU$1004,1,MATCH(COLUMNS($AD$1006:AF1006),$AD$1006:$AU$1006,0)))),"Fix")))</f>
        <v xml:space="preserve"> </v>
      </c>
      <c r="E651" s="4" t="str">
        <f ca="1">IF(OR(INDEX($X$2:$X$1001,MATCH(ROWS($W$2:W651),$W$2:$W$1001,0),1)&gt;=100000,INDEX($AD$1005:$AU$1005,1,MATCH(COLUMNS($AD$1006:AG1006),$AD$1006:$AU$1006,0))&gt;=100000), " ",IF(INDEX($AD$2:$AU$1001,MATCH(ROWS($W$2:W651),$W$2:$W$1001,0),MATCH(COLUMNS($AD$1006:AG1006),$AD$1006:$AU$1006,0)), HYPERLINK("#",""), HYPERLINK(CONCATENATE("#metadata!", ADDRESS(INDEX($Y$2:$Y$1001,MATCH(ROWS($W$2:W651),$W$2:$W$1001,0),0), INDEX($AD$1004:$AU$1004,1,MATCH(COLUMNS($AD$1006:AG1006),$AD$1006:$AU$1006,0)))),"Fix")))</f>
        <v xml:space="preserve"> </v>
      </c>
      <c r="F651" s="4" t="str">
        <f ca="1">IF(OR(INDEX($X$2:$X$1001,MATCH(ROWS($W$2:W651),$W$2:$W$1001,0),1)&gt;=100000,INDEX($AD$1005:$AU$1005,1,MATCH(COLUMNS($AD$1006:AH1006),$AD$1006:$AU$1006,0))&gt;=100000), " ",IF(INDEX($AD$2:$AU$1001,MATCH(ROWS($W$2:W651),$W$2:$W$1001,0),MATCH(COLUMNS($AD$1006:AH1006),$AD$1006:$AU$1006,0)), HYPERLINK("#",""), HYPERLINK(CONCATENATE("#metadata!", ADDRESS(INDEX($Y$2:$Y$1001,MATCH(ROWS($W$2:W651),$W$2:$W$1001,0),0), INDEX($AD$1004:$AU$1004,1,MATCH(COLUMNS($AD$1006:AH1006),$AD$1006:$AU$1006,0)))),"Fix")))</f>
        <v xml:space="preserve"> </v>
      </c>
      <c r="G651" s="4" t="str">
        <f ca="1">IF(OR(INDEX($X$2:$X$1001,MATCH(ROWS($W$2:W651),$W$2:$W$1001,0),1)&gt;=100000,INDEX($AD$1005:$AU$1005,1,MATCH(COLUMNS($AD$1006:AI1006),$AD$1006:$AU$1006,0))&gt;=100000), " ",IF(INDEX($AD$2:$AU$1001,MATCH(ROWS($W$2:W651),$W$2:$W$1001,0),MATCH(COLUMNS($AD$1006:AI1006),$AD$1006:$AU$1006,0)), HYPERLINK("#",""), HYPERLINK(CONCATENATE("#metadata!", ADDRESS(INDEX($Y$2:$Y$1001,MATCH(ROWS($W$2:W651),$W$2:$W$1001,0),0), INDEX($AD$1004:$AU$1004,1,MATCH(COLUMNS($AD$1006:AI1006),$AD$1006:$AU$1006,0)))),"Fix")))</f>
        <v xml:space="preserve"> </v>
      </c>
      <c r="H651" s="4" t="str">
        <f ca="1">IF(OR(INDEX($X$2:$X$1001,MATCH(ROWS($W$2:W651),$W$2:$W$1001,0),1)&gt;=100000,INDEX($AD$1005:$AU$1005,1,MATCH(COLUMNS($AD$1006:AJ1006),$AD$1006:$AU$1006,0))&gt;=100000), " ",IF(INDEX($AD$2:$AU$1001,MATCH(ROWS($W$2:W651),$W$2:$W$1001,0),MATCH(COLUMNS($AD$1006:AJ1006),$AD$1006:$AU$1006,0)), HYPERLINK("#",""), HYPERLINK(CONCATENATE("#metadata!", ADDRESS(INDEX($Y$2:$Y$1001,MATCH(ROWS($W$2:W651),$W$2:$W$1001,0),0), INDEX($AD$1004:$AU$1004,1,MATCH(COLUMNS($AD$1006:AJ1006),$AD$1006:$AU$1006,0)))),"Fix")))</f>
        <v xml:space="preserve"> </v>
      </c>
      <c r="I651" s="4" t="str">
        <f ca="1">IF(OR(INDEX($X$2:$X$1001,MATCH(ROWS($W$2:W651),$W$2:$W$1001,0),1)&gt;=100000,INDEX($AD$1005:$AU$1005,1,MATCH(COLUMNS($AD$1006:AK1006),$AD$1006:$AU$1006,0))&gt;=100000), " ",IF(INDEX($AD$2:$AU$1001,MATCH(ROWS($W$2:W651),$W$2:$W$1001,0),MATCH(COLUMNS($AD$1006:AK1006),$AD$1006:$AU$1006,0)), HYPERLINK("#",""), HYPERLINK(CONCATENATE("#metadata!", ADDRESS(INDEX($Y$2:$Y$1001,MATCH(ROWS($W$2:W651),$W$2:$W$1001,0),0), INDEX($AD$1004:$AU$1004,1,MATCH(COLUMNS($AD$1006:AK1006),$AD$1006:$AU$1006,0)))),"Fix")))</f>
        <v xml:space="preserve"> </v>
      </c>
      <c r="J651" s="4" t="str">
        <f ca="1">IF(OR(INDEX($X$2:$X$1001,MATCH(ROWS($W$2:W651),$W$2:$W$1001,0),1)&gt;=100000,INDEX($AD$1005:$AU$1005,1,MATCH(COLUMNS($AD$1006:AL1006),$AD$1006:$AU$1006,0))&gt;=100000), " ",IF(INDEX($AD$2:$AU$1001,MATCH(ROWS($W$2:W651),$W$2:$W$1001,0),MATCH(COLUMNS($AD$1006:AL1006),$AD$1006:$AU$1006,0)), HYPERLINK("#",""), HYPERLINK(CONCATENATE("#metadata!", ADDRESS(INDEX($Y$2:$Y$1001,MATCH(ROWS($W$2:W651),$W$2:$W$1001,0),0), INDEX($AD$1004:$AU$1004,1,MATCH(COLUMNS($AD$1006:AL1006),$AD$1006:$AU$1006,0)))),"Fix")))</f>
        <v xml:space="preserve"> </v>
      </c>
      <c r="K651" s="4" t="str">
        <f ca="1">IF(OR(INDEX($X$2:$X$1001,MATCH(ROWS($W$2:W651),$W$2:$W$1001,0),1)&gt;=100000,INDEX($AD$1005:$AU$1005,1,MATCH(COLUMNS($AD$1006:AM1006),$AD$1006:$AU$1006,0))&gt;=100000), " ",IF(INDEX($AD$2:$AU$1001,MATCH(ROWS($W$2:W651),$W$2:$W$1001,0),MATCH(COLUMNS($AD$1006:AM1006),$AD$1006:$AU$1006,0)), HYPERLINK("#",""), HYPERLINK(CONCATENATE("#metadata!", ADDRESS(INDEX($Y$2:$Y$1001,MATCH(ROWS($W$2:W651),$W$2:$W$1001,0),0), INDEX($AD$1004:$AU$1004,1,MATCH(COLUMNS($AD$1006:AM1006),$AD$1006:$AU$1006,0)))),"Fix")))</f>
        <v xml:space="preserve"> </v>
      </c>
      <c r="L651" s="4" t="str">
        <f ca="1">IF(OR(INDEX($X$2:$X$1001,MATCH(ROWS($W$2:W651),$W$2:$W$1001,0),1)&gt;=100000,INDEX($AD$1005:$AU$1005,1,MATCH(COLUMNS($AD$1006:AN1006),$AD$1006:$AU$1006,0))&gt;=100000), " ",IF(INDEX($AD$2:$AU$1001,MATCH(ROWS($W$2:W651),$W$2:$W$1001,0),MATCH(COLUMNS($AD$1006:AN1006),$AD$1006:$AU$1006,0)), HYPERLINK("#",""), HYPERLINK(CONCATENATE("#metadata!", ADDRESS(INDEX($Y$2:$Y$1001,MATCH(ROWS($W$2:W651),$W$2:$W$1001,0),0), INDEX($AD$1004:$AU$1004,1,MATCH(COLUMNS($AD$1006:AN1006),$AD$1006:$AU$1006,0)))),"Fix")))</f>
        <v xml:space="preserve"> </v>
      </c>
      <c r="M651" s="4" t="str">
        <f ca="1">IF(OR(INDEX($X$2:$X$1001,MATCH(ROWS($W$2:W651),$W$2:$W$1001,0),1)&gt;=100000,INDEX($AD$1005:$AU$1005,1,MATCH(COLUMNS($AD$1006:AO1006),$AD$1006:$AU$1006,0))&gt;=100000), " ",IF(INDEX($AD$2:$AU$1001,MATCH(ROWS($W$2:W651),$W$2:$W$1001,0),MATCH(COLUMNS($AD$1006:AO1006),$AD$1006:$AU$1006,0)), HYPERLINK("#",""), HYPERLINK(CONCATENATE("#metadata!", ADDRESS(INDEX($Y$2:$Y$1001,MATCH(ROWS($W$2:W651),$W$2:$W$1001,0),0), INDEX($AD$1004:$AU$1004,1,MATCH(COLUMNS($AD$1006:AO1006),$AD$1006:$AU$1006,0)))),"Fix")))</f>
        <v xml:space="preserve"> </v>
      </c>
      <c r="N651" s="4" t="str">
        <f ca="1">IF(OR(INDEX($X$2:$X$1001,MATCH(ROWS($W$2:W651),$W$2:$W$1001,0),1)&gt;=100000,INDEX($AD$1005:$AU$1005,1,MATCH(COLUMNS($AD$1006:AP1006),$AD$1006:$AU$1006,0))&gt;=100000), " ",IF(INDEX($AD$2:$AU$1001,MATCH(ROWS($W$2:W651),$W$2:$W$1001,0),MATCH(COLUMNS($AD$1006:AP1006),$AD$1006:$AU$1006,0)), HYPERLINK("#",""), HYPERLINK(CONCATENATE("#metadata!", ADDRESS(INDEX($Y$2:$Y$1001,MATCH(ROWS($W$2:W651),$W$2:$W$1001,0),0), INDEX($AD$1004:$AU$1004,1,MATCH(COLUMNS($AD$1006:AP1006),$AD$1006:$AU$1006,0)))),"Fix")))</f>
        <v xml:space="preserve"> </v>
      </c>
      <c r="O651" s="4" t="str">
        <f ca="1">IF(OR(INDEX($X$2:$X$1001,MATCH(ROWS($W$2:W651),$W$2:$W$1001,0),1)&gt;=100000,INDEX($AD$1005:$AU$1005,1,MATCH(COLUMNS($AD$1006:AQ1006),$AD$1006:$AU$1006,0))&gt;=100000), " ",IF(INDEX($AD$2:$AU$1001,MATCH(ROWS($W$2:W651),$W$2:$W$1001,0),MATCH(COLUMNS($AD$1006:AQ1006),$AD$1006:$AU$1006,0)), HYPERLINK("#",""), HYPERLINK(CONCATENATE("#metadata!", ADDRESS(INDEX($Y$2:$Y$1001,MATCH(ROWS($W$2:W651),$W$2:$W$1001,0),0), INDEX($AD$1004:$AU$1004,1,MATCH(COLUMNS($AD$1006:AQ1006),$AD$1006:$AU$1006,0)))),"Fix")))</f>
        <v xml:space="preserve"> </v>
      </c>
      <c r="P651" s="4" t="str">
        <f ca="1">IF(OR(INDEX($X$2:$X$1001,MATCH(ROWS($W$2:W651),$W$2:$W$1001,0),1)&gt;=100000,INDEX($AD$1005:$AU$1005,1,MATCH(COLUMNS($AD$1006:AR1006),$AD$1006:$AU$1006,0))&gt;=100000), " ",IF(INDEX($AD$2:$AU$1001,MATCH(ROWS($W$2:W651),$W$2:$W$1001,0),MATCH(COLUMNS($AD$1006:AR1006),$AD$1006:$AU$1006,0)), HYPERLINK("#",""), HYPERLINK(CONCATENATE("#metadata!", ADDRESS(INDEX($Y$2:$Y$1001,MATCH(ROWS($W$2:W651),$W$2:$W$1001,0),0), INDEX($AD$1004:$AU$1004,1,MATCH(COLUMNS($AD$1006:AR1006),$AD$1006:$AU$1006,0)))),"Fix")))</f>
        <v xml:space="preserve"> </v>
      </c>
      <c r="Q651" s="4" t="str">
        <f ca="1">IF(OR(INDEX($X$2:$X$1001,MATCH(ROWS($W$2:W651),$W$2:$W$1001,0),1)&gt;=100000,INDEX($AD$1005:$AU$1005,1,MATCH(COLUMNS($AD$1006:AS1006),$AD$1006:$AU$1006,0))&gt;=100000), " ",IF(INDEX($AD$2:$AU$1001,MATCH(ROWS($W$2:W651),$W$2:$W$1001,0),MATCH(COLUMNS($AD$1006:AS1006),$AD$1006:$AU$1006,0)), HYPERLINK("#",""), HYPERLINK(CONCATENATE("#metadata!", ADDRESS(INDEX($Y$2:$Y$1001,MATCH(ROWS($W$2:W651),$W$2:$W$1001,0),0), INDEX($AD$1004:$AU$1004,1,MATCH(COLUMNS($AD$1006:AS1006),$AD$1006:$AU$1006,0)))),"Fix")))</f>
        <v xml:space="preserve"> </v>
      </c>
      <c r="R651" s="4" t="str">
        <f ca="1">IF(OR(INDEX($X$2:$X$1001,MATCH(ROWS($W$2:W651),$W$2:$W$1001,0),1)&gt;=100000,INDEX($AD$1005:$AU$1005,1,MATCH(COLUMNS($AD$1006:AT1006),$AD$1006:$AU$1006,0))&gt;=100000), " ",IF(INDEX($AD$2:$AU$1001,MATCH(ROWS($W$2:W651),$W$2:$W$1001,0),MATCH(COLUMNS($AD$1006:AT1006),$AD$1006:$AU$1006,0)), HYPERLINK("#",""), HYPERLINK(CONCATENATE("#metadata!", ADDRESS(INDEX($Y$2:$Y$1001,MATCH(ROWS($W$2:W651),$W$2:$W$1001,0),0), INDEX($AD$1004:$AU$1004,1,MATCH(COLUMNS($AD$1006:AT1006),$AD$1006:$AU$1006,0)))),"Fix")))</f>
        <v xml:space="preserve"> </v>
      </c>
      <c r="S651" s="4" t="str">
        <f ca="1">IF(OR(INDEX($X$2:$X$1001,MATCH(ROWS($W$2:W651),$W$2:$W$1001,0),1)&gt;=100000,INDEX($AD$1005:$AU$1005,1,MATCH(COLUMNS($AD$1006:AU1006),$AD$1006:$AU$1006,0))&gt;=100000), " ",IF(INDEX($AD$2:$AU$1001,MATCH(ROWS($W$2:W651),$W$2:$W$1001,0),MATCH(COLUMNS($AD$1006:AU1006),$AD$1006:$AU$1006,0)), HYPERLINK("#",""), HYPERLINK(CONCATENATE("#metadata!", ADDRESS(INDEX($Y$2:$Y$1001,MATCH(ROWS($W$2:W651),$W$2:$W$1001,0),0), INDEX($AD$1004:$AU$1004,1,MATCH(COLUMNS($AD$1006:AU1006),$AD$1006:$AU$1006,0)))),"Fix")))</f>
        <v xml:space="preserve"> </v>
      </c>
      <c r="W651">
        <v>650</v>
      </c>
      <c r="X651">
        <v>100651</v>
      </c>
      <c r="Y651">
        <v>651</v>
      </c>
      <c r="Z651" t="b">
        <f t="shared" si="10"/>
        <v>1</v>
      </c>
      <c r="AA651" t="b">
        <f>COUNTBLANK(metadata!B651:S651)=COLUMNS(metadata!B651:S651)</f>
        <v>1</v>
      </c>
      <c r="AB651" t="str">
        <v/>
      </c>
      <c r="AD651" t="b">
        <f ca="1">AND(IF(metadata!B651="",FALSE,TRUE),COUNTIF(metadata!B:B, metadata!B651) = 1,NOT(ISERROR(SUMPRODUCT(SEARCH(MID(metadata!B651,ROW(INDIRECT("1:"&amp;LEN(metadata!B651))), 1),"0123456789abcdefghijklmnopqrstuvwxyzABCDEFGHIJKLMNOPQRSTUVWXYZ.")))))</f>
        <v>0</v>
      </c>
      <c r="AE651" t="b">
        <f>OR(AND(IF(metadata!C651="",FALSE,TRUE),OR(EXACT(metadata!C651,"not applicable"),EXACT(metadata!C651,"missing: not collected"),EXACT(metadata!C651,"missing: not provided"),EXACT(metadata!C651,"missing: restricted access"))),AND(IF(metadata!C651="",FALSE,ISNUMBER(VALUE(metadata!C651))),metadata!C651&gt;0))</f>
        <v>0</v>
      </c>
      <c r="AF651" t="b">
        <f>AND(IF(metadata!D651="",FALSE,TRUE),EXACT(metadata!D651,"missing: not provided"))</f>
        <v>0</v>
      </c>
      <c r="AG651" t="b">
        <f>AND(IF(metadata!E651="",FALSE,TRUE),EXACT(metadata!E651,"Host-associated"))</f>
        <v>0</v>
      </c>
      <c r="AH651" t="b">
        <f>AND(IF(metadata!F651="",FALSE,TRUE),OR(EXACT(metadata!F651,"Animal"),EXACT(metadata!F651,"Fungus"),EXACT(metadata!F651,"Plant")))</f>
        <v>0</v>
      </c>
      <c r="AI651" t="b">
        <f>AND(IF(metadata!G651="",FALSE,TRUE),OR(EXACT(metadata!G651,"Plant secretion"),EXACT(metadata!G651,"Plant rhizosphere"),EXACT(metadata!G651,"Plant surface"),EXACT(metadata!G651,"Plant corpus"),EXACT(metadata!G651,"Fungus surface"),EXACT(metadata!G651,"Fungus corpus"),EXACT(metadata!G651,"Animal surface"),EXACT(metadata!G651,"Animal proximal gut"),EXACT(metadata!G651,"Animal corpus"),EXACT(metadata!G651,"Animal distal gut"),EXACT(metadata!G651,"Animal secretion")))</f>
        <v>0</v>
      </c>
      <c r="AJ651" t="b">
        <f>OR(AND(IF(metadata!H651="",FALSE,TRUE),OR(EXACT(metadata!H651,"missing: not collected"),EXACT(metadata!H651,"missing: not provided"),EXACT(metadata!H651,"missing: restricted access"))),AND(IF(metadata!H651="",FALSE,TRUE),OR(EXACT(metadata!H651,"organism-associated habitat"),EXACT(metadata!H651,"plant-associated habitat"),EXACT(metadata!H651,"animal-associated habitat"),EXACT(metadata!H651,"insecta-associated habitat"),EXACT(metadata!H651,"mammalia-associated habitat"),EXACT(metadata!H651,"human-associated habitat"),EXACT(metadata!H651,"livestock-associated habitat"))))</f>
        <v>0</v>
      </c>
      <c r="AK651" t="b">
        <f>AND(IF(metadata!I651="",FALSE,TRUE),EXACT(metadata!I651,"host-associated"))</f>
        <v>0</v>
      </c>
      <c r="AL651" t="b">
        <f>OR(AND(IF(metadata!J651="",FALSE,TRUE),OR(EXACT(metadata!J651,"not applicable"),EXACT(metadata!J651,"missing: not collected"),EXACT(metadata!J651,"missing: not provided"),EXACT(metadata!J651,"missing: restricted access"))),AND(IF(metadata!J651="",FALSE,ISNUMBER(VALUE(metadata!J651))),metadata!J651&gt;0))</f>
        <v>0</v>
      </c>
      <c r="AM651" t="b">
        <f>AND(IF(metadata!K651="",FALSE,TRUE),EXACT(metadata!K651,"missing: not provided"))</f>
        <v>0</v>
      </c>
      <c r="AN651" t="b">
        <f>IF(metadata!L651="",FALSE,TRUE)</f>
        <v>0</v>
      </c>
      <c r="AO651" t="b">
        <f>IF(metadata!M651="",FALSE,TRUE)</f>
        <v>0</v>
      </c>
      <c r="AP651" t="b">
        <f>OR(AND(IF(metadata!N651="",FALSE,TRUE),OR(EXACT(metadata!N651,"not applicable"),EXACT(metadata!N651,"missing: not collected"),EXACT(metadata!N651,"missing: not provided"))),AND(IF(metadata!N651="",FALSE,IF(ISERROR(INT(metadata!N651)),FALSE,INT(metadata!N651)=metadata!N651)),metadata!N651&gt;0))</f>
        <v>0</v>
      </c>
      <c r="AQ651" t="b">
        <f>AND(IF(metadata!O651="",FALSE,TRUE),EXACT(metadata!O651,"Not applicable"))</f>
        <v>0</v>
      </c>
      <c r="AR651" t="b">
        <f>OR(AND(IF(metadata!P651="",FALSE,TRUE),OR(EXACT(metadata!P651,"not applicable"),EXACT(metadata!P651,"missing: not collected"),EXACT(metadata!P651,"missing: not provided"),EXACT(metadata!P651,"missing: restricted access"))),IF(metadata!P651="",FALSE,IF(ISERROR(INT(metadata!P651)),FALSE,INT(metadata!P651)=metadata!P651)))</f>
        <v>0</v>
      </c>
      <c r="AS651" t="b">
        <f>AND(IF(metadata!Q651="",FALSE,TRUE),EXACT(metadata!Q651,"Not applicable"))</f>
        <v>0</v>
      </c>
      <c r="AT651" t="b">
        <f>OR(AND(IF(metadata!R651="",FALSE,TRUE),OR(EXACT(metadata!R651,"not applicable"),EXACT(metadata!R651,"missing: not collected"),EXACT(metadata!R651,"missing: not provided"),EXACT(metadata!R651,"missing: restricted access"))),AND(IF(metadata!R651="",FALSE,ISNUMBER(VALUE(metadata!R651))),metadata!R651&gt;0))</f>
        <v>0</v>
      </c>
      <c r="AU651" t="b">
        <f>AND(IF(metadata!S651="",FALSE,TRUE),EXACT(metadata!S651,"missing: not provided"))</f>
        <v>0</v>
      </c>
    </row>
    <row r="652" spans="1:47" x14ac:dyDescent="0.2">
      <c r="A652" s="5" t="str">
        <f ca="1">IF(B652=" "," ",HYPERLINK(CONCATENATE("#metadata!",ADDRESS(INDEX($Y$2:$Y$1001,MATCH(ROWS($W$2:W652),$W$2:$W$1001,0),0),1)),INDEX($AB$2:$AB$1001,MATCH(ROWS($W$2:W652),$W$2:$W$1001,0),0)))</f>
        <v xml:space="preserve"> </v>
      </c>
      <c r="B652" s="4" t="str">
        <f ca="1">IF(OR(INDEX($X$2:$X$1001,MATCH(ROWS($W$2:W652),$W$2:$W$1001,0),1)&gt;=100000,INDEX($AD$1005:$AU$1005,1,MATCH(COLUMNS($AD$1006:AD1006),$AD$1006:$AU$1006,0))&gt;=100000), " ",IF(INDEX($AD$2:$AU$1001,MATCH(ROWS($W$2:W652),$W$2:$W$1001,0),MATCH(COLUMNS($AD$1006:AD1006),$AD$1006:$AU$1006,0)), HYPERLINK("#",""), HYPERLINK(CONCATENATE("#metadata!", ADDRESS(INDEX($Y$2:$Y$1001,MATCH(ROWS($W$2:W652),$W$2:$W$1001,0),0), INDEX($AD$1004:$AU$1004,1,MATCH(COLUMNS($AD$1006:AD1006),$AD$1006:$AU$1006,0)))),"Fix")))</f>
        <v xml:space="preserve"> </v>
      </c>
      <c r="C652" s="4" t="str">
        <f ca="1">IF(OR(INDEX($X$2:$X$1001,MATCH(ROWS($W$2:W652),$W$2:$W$1001,0),1)&gt;=100000,INDEX($AD$1005:$AU$1005,1,MATCH(COLUMNS($AD$1006:AE1006),$AD$1006:$AU$1006,0))&gt;=100000), " ",IF(INDEX($AD$2:$AU$1001,MATCH(ROWS($W$2:W652),$W$2:$W$1001,0),MATCH(COLUMNS($AD$1006:AE1006),$AD$1006:$AU$1006,0)), HYPERLINK("#",""), HYPERLINK(CONCATENATE("#metadata!", ADDRESS(INDEX($Y$2:$Y$1001,MATCH(ROWS($W$2:W652),$W$2:$W$1001,0),0), INDEX($AD$1004:$AU$1004,1,MATCH(COLUMNS($AD$1006:AE1006),$AD$1006:$AU$1006,0)))),"Fix")))</f>
        <v xml:space="preserve"> </v>
      </c>
      <c r="D652" s="4" t="str">
        <f ca="1">IF(OR(INDEX($X$2:$X$1001,MATCH(ROWS($W$2:W652),$W$2:$W$1001,0),1)&gt;=100000,INDEX($AD$1005:$AU$1005,1,MATCH(COLUMNS($AD$1006:AF1006),$AD$1006:$AU$1006,0))&gt;=100000), " ",IF(INDEX($AD$2:$AU$1001,MATCH(ROWS($W$2:W652),$W$2:$W$1001,0),MATCH(COLUMNS($AD$1006:AF1006),$AD$1006:$AU$1006,0)), HYPERLINK("#",""), HYPERLINK(CONCATENATE("#metadata!", ADDRESS(INDEX($Y$2:$Y$1001,MATCH(ROWS($W$2:W652),$W$2:$W$1001,0),0), INDEX($AD$1004:$AU$1004,1,MATCH(COLUMNS($AD$1006:AF1006),$AD$1006:$AU$1006,0)))),"Fix")))</f>
        <v xml:space="preserve"> </v>
      </c>
      <c r="E652" s="4" t="str">
        <f ca="1">IF(OR(INDEX($X$2:$X$1001,MATCH(ROWS($W$2:W652),$W$2:$W$1001,0),1)&gt;=100000,INDEX($AD$1005:$AU$1005,1,MATCH(COLUMNS($AD$1006:AG1006),$AD$1006:$AU$1006,0))&gt;=100000), " ",IF(INDEX($AD$2:$AU$1001,MATCH(ROWS($W$2:W652),$W$2:$W$1001,0),MATCH(COLUMNS($AD$1006:AG1006),$AD$1006:$AU$1006,0)), HYPERLINK("#",""), HYPERLINK(CONCATENATE("#metadata!", ADDRESS(INDEX($Y$2:$Y$1001,MATCH(ROWS($W$2:W652),$W$2:$W$1001,0),0), INDEX($AD$1004:$AU$1004,1,MATCH(COLUMNS($AD$1006:AG1006),$AD$1006:$AU$1006,0)))),"Fix")))</f>
        <v xml:space="preserve"> </v>
      </c>
      <c r="F652" s="4" t="str">
        <f ca="1">IF(OR(INDEX($X$2:$X$1001,MATCH(ROWS($W$2:W652),$W$2:$W$1001,0),1)&gt;=100000,INDEX($AD$1005:$AU$1005,1,MATCH(COLUMNS($AD$1006:AH1006),$AD$1006:$AU$1006,0))&gt;=100000), " ",IF(INDEX($AD$2:$AU$1001,MATCH(ROWS($W$2:W652),$W$2:$W$1001,0),MATCH(COLUMNS($AD$1006:AH1006),$AD$1006:$AU$1006,0)), HYPERLINK("#",""), HYPERLINK(CONCATENATE("#metadata!", ADDRESS(INDEX($Y$2:$Y$1001,MATCH(ROWS($W$2:W652),$W$2:$W$1001,0),0), INDEX($AD$1004:$AU$1004,1,MATCH(COLUMNS($AD$1006:AH1006),$AD$1006:$AU$1006,0)))),"Fix")))</f>
        <v xml:space="preserve"> </v>
      </c>
      <c r="G652" s="4" t="str">
        <f ca="1">IF(OR(INDEX($X$2:$X$1001,MATCH(ROWS($W$2:W652),$W$2:$W$1001,0),1)&gt;=100000,INDEX($AD$1005:$AU$1005,1,MATCH(COLUMNS($AD$1006:AI1006),$AD$1006:$AU$1006,0))&gt;=100000), " ",IF(INDEX($AD$2:$AU$1001,MATCH(ROWS($W$2:W652),$W$2:$W$1001,0),MATCH(COLUMNS($AD$1006:AI1006),$AD$1006:$AU$1006,0)), HYPERLINK("#",""), HYPERLINK(CONCATENATE("#metadata!", ADDRESS(INDEX($Y$2:$Y$1001,MATCH(ROWS($W$2:W652),$W$2:$W$1001,0),0), INDEX($AD$1004:$AU$1004,1,MATCH(COLUMNS($AD$1006:AI1006),$AD$1006:$AU$1006,0)))),"Fix")))</f>
        <v xml:space="preserve"> </v>
      </c>
      <c r="H652" s="4" t="str">
        <f ca="1">IF(OR(INDEX($X$2:$X$1001,MATCH(ROWS($W$2:W652),$W$2:$W$1001,0),1)&gt;=100000,INDEX($AD$1005:$AU$1005,1,MATCH(COLUMNS($AD$1006:AJ1006),$AD$1006:$AU$1006,0))&gt;=100000), " ",IF(INDEX($AD$2:$AU$1001,MATCH(ROWS($W$2:W652),$W$2:$W$1001,0),MATCH(COLUMNS($AD$1006:AJ1006),$AD$1006:$AU$1006,0)), HYPERLINK("#",""), HYPERLINK(CONCATENATE("#metadata!", ADDRESS(INDEX($Y$2:$Y$1001,MATCH(ROWS($W$2:W652),$W$2:$W$1001,0),0), INDEX($AD$1004:$AU$1004,1,MATCH(COLUMNS($AD$1006:AJ1006),$AD$1006:$AU$1006,0)))),"Fix")))</f>
        <v xml:space="preserve"> </v>
      </c>
      <c r="I652" s="4" t="str">
        <f ca="1">IF(OR(INDEX($X$2:$X$1001,MATCH(ROWS($W$2:W652),$W$2:$W$1001,0),1)&gt;=100000,INDEX($AD$1005:$AU$1005,1,MATCH(COLUMNS($AD$1006:AK1006),$AD$1006:$AU$1006,0))&gt;=100000), " ",IF(INDEX($AD$2:$AU$1001,MATCH(ROWS($W$2:W652),$W$2:$W$1001,0),MATCH(COLUMNS($AD$1006:AK1006),$AD$1006:$AU$1006,0)), HYPERLINK("#",""), HYPERLINK(CONCATENATE("#metadata!", ADDRESS(INDEX($Y$2:$Y$1001,MATCH(ROWS($W$2:W652),$W$2:$W$1001,0),0), INDEX($AD$1004:$AU$1004,1,MATCH(COLUMNS($AD$1006:AK1006),$AD$1006:$AU$1006,0)))),"Fix")))</f>
        <v xml:space="preserve"> </v>
      </c>
      <c r="J652" s="4" t="str">
        <f ca="1">IF(OR(INDEX($X$2:$X$1001,MATCH(ROWS($W$2:W652),$W$2:$W$1001,0),1)&gt;=100000,INDEX($AD$1005:$AU$1005,1,MATCH(COLUMNS($AD$1006:AL1006),$AD$1006:$AU$1006,0))&gt;=100000), " ",IF(INDEX($AD$2:$AU$1001,MATCH(ROWS($W$2:W652),$W$2:$W$1001,0),MATCH(COLUMNS($AD$1006:AL1006),$AD$1006:$AU$1006,0)), HYPERLINK("#",""), HYPERLINK(CONCATENATE("#metadata!", ADDRESS(INDEX($Y$2:$Y$1001,MATCH(ROWS($W$2:W652),$W$2:$W$1001,0),0), INDEX($AD$1004:$AU$1004,1,MATCH(COLUMNS($AD$1006:AL1006),$AD$1006:$AU$1006,0)))),"Fix")))</f>
        <v xml:space="preserve"> </v>
      </c>
      <c r="K652" s="4" t="str">
        <f ca="1">IF(OR(INDEX($X$2:$X$1001,MATCH(ROWS($W$2:W652),$W$2:$W$1001,0),1)&gt;=100000,INDEX($AD$1005:$AU$1005,1,MATCH(COLUMNS($AD$1006:AM1006),$AD$1006:$AU$1006,0))&gt;=100000), " ",IF(INDEX($AD$2:$AU$1001,MATCH(ROWS($W$2:W652),$W$2:$W$1001,0),MATCH(COLUMNS($AD$1006:AM1006),$AD$1006:$AU$1006,0)), HYPERLINK("#",""), HYPERLINK(CONCATENATE("#metadata!", ADDRESS(INDEX($Y$2:$Y$1001,MATCH(ROWS($W$2:W652),$W$2:$W$1001,0),0), INDEX($AD$1004:$AU$1004,1,MATCH(COLUMNS($AD$1006:AM1006),$AD$1006:$AU$1006,0)))),"Fix")))</f>
        <v xml:space="preserve"> </v>
      </c>
      <c r="L652" s="4" t="str">
        <f ca="1">IF(OR(INDEX($X$2:$X$1001,MATCH(ROWS($W$2:W652),$W$2:$W$1001,0),1)&gt;=100000,INDEX($AD$1005:$AU$1005,1,MATCH(COLUMNS($AD$1006:AN1006),$AD$1006:$AU$1006,0))&gt;=100000), " ",IF(INDEX($AD$2:$AU$1001,MATCH(ROWS($W$2:W652),$W$2:$W$1001,0),MATCH(COLUMNS($AD$1006:AN1006),$AD$1006:$AU$1006,0)), HYPERLINK("#",""), HYPERLINK(CONCATENATE("#metadata!", ADDRESS(INDEX($Y$2:$Y$1001,MATCH(ROWS($W$2:W652),$W$2:$W$1001,0),0), INDEX($AD$1004:$AU$1004,1,MATCH(COLUMNS($AD$1006:AN1006),$AD$1006:$AU$1006,0)))),"Fix")))</f>
        <v xml:space="preserve"> </v>
      </c>
      <c r="M652" s="4" t="str">
        <f ca="1">IF(OR(INDEX($X$2:$X$1001,MATCH(ROWS($W$2:W652),$W$2:$W$1001,0),1)&gt;=100000,INDEX($AD$1005:$AU$1005,1,MATCH(COLUMNS($AD$1006:AO1006),$AD$1006:$AU$1006,0))&gt;=100000), " ",IF(INDEX($AD$2:$AU$1001,MATCH(ROWS($W$2:W652),$W$2:$W$1001,0),MATCH(COLUMNS($AD$1006:AO1006),$AD$1006:$AU$1006,0)), HYPERLINK("#",""), HYPERLINK(CONCATENATE("#metadata!", ADDRESS(INDEX($Y$2:$Y$1001,MATCH(ROWS($W$2:W652),$W$2:$W$1001,0),0), INDEX($AD$1004:$AU$1004,1,MATCH(COLUMNS($AD$1006:AO1006),$AD$1006:$AU$1006,0)))),"Fix")))</f>
        <v xml:space="preserve"> </v>
      </c>
      <c r="N652" s="4" t="str">
        <f ca="1">IF(OR(INDEX($X$2:$X$1001,MATCH(ROWS($W$2:W652),$W$2:$W$1001,0),1)&gt;=100000,INDEX($AD$1005:$AU$1005,1,MATCH(COLUMNS($AD$1006:AP1006),$AD$1006:$AU$1006,0))&gt;=100000), " ",IF(INDEX($AD$2:$AU$1001,MATCH(ROWS($W$2:W652),$W$2:$W$1001,0),MATCH(COLUMNS($AD$1006:AP1006),$AD$1006:$AU$1006,0)), HYPERLINK("#",""), HYPERLINK(CONCATENATE("#metadata!", ADDRESS(INDEX($Y$2:$Y$1001,MATCH(ROWS($W$2:W652),$W$2:$W$1001,0),0), INDEX($AD$1004:$AU$1004,1,MATCH(COLUMNS($AD$1006:AP1006),$AD$1006:$AU$1006,0)))),"Fix")))</f>
        <v xml:space="preserve"> </v>
      </c>
      <c r="O652" s="4" t="str">
        <f ca="1">IF(OR(INDEX($X$2:$X$1001,MATCH(ROWS($W$2:W652),$W$2:$W$1001,0),1)&gt;=100000,INDEX($AD$1005:$AU$1005,1,MATCH(COLUMNS($AD$1006:AQ1006),$AD$1006:$AU$1006,0))&gt;=100000), " ",IF(INDEX($AD$2:$AU$1001,MATCH(ROWS($W$2:W652),$W$2:$W$1001,0),MATCH(COLUMNS($AD$1006:AQ1006),$AD$1006:$AU$1006,0)), HYPERLINK("#",""), HYPERLINK(CONCATENATE("#metadata!", ADDRESS(INDEX($Y$2:$Y$1001,MATCH(ROWS($W$2:W652),$W$2:$W$1001,0),0), INDEX($AD$1004:$AU$1004,1,MATCH(COLUMNS($AD$1006:AQ1006),$AD$1006:$AU$1006,0)))),"Fix")))</f>
        <v xml:space="preserve"> </v>
      </c>
      <c r="P652" s="4" t="str">
        <f ca="1">IF(OR(INDEX($X$2:$X$1001,MATCH(ROWS($W$2:W652),$W$2:$W$1001,0),1)&gt;=100000,INDEX($AD$1005:$AU$1005,1,MATCH(COLUMNS($AD$1006:AR1006),$AD$1006:$AU$1006,0))&gt;=100000), " ",IF(INDEX($AD$2:$AU$1001,MATCH(ROWS($W$2:W652),$W$2:$W$1001,0),MATCH(COLUMNS($AD$1006:AR1006),$AD$1006:$AU$1006,0)), HYPERLINK("#",""), HYPERLINK(CONCATENATE("#metadata!", ADDRESS(INDEX($Y$2:$Y$1001,MATCH(ROWS($W$2:W652),$W$2:$W$1001,0),0), INDEX($AD$1004:$AU$1004,1,MATCH(COLUMNS($AD$1006:AR1006),$AD$1006:$AU$1006,0)))),"Fix")))</f>
        <v xml:space="preserve"> </v>
      </c>
      <c r="Q652" s="4" t="str">
        <f ca="1">IF(OR(INDEX($X$2:$X$1001,MATCH(ROWS($W$2:W652),$W$2:$W$1001,0),1)&gt;=100000,INDEX($AD$1005:$AU$1005,1,MATCH(COLUMNS($AD$1006:AS1006),$AD$1006:$AU$1006,0))&gt;=100000), " ",IF(INDEX($AD$2:$AU$1001,MATCH(ROWS($W$2:W652),$W$2:$W$1001,0),MATCH(COLUMNS($AD$1006:AS1006),$AD$1006:$AU$1006,0)), HYPERLINK("#",""), HYPERLINK(CONCATENATE("#metadata!", ADDRESS(INDEX($Y$2:$Y$1001,MATCH(ROWS($W$2:W652),$W$2:$W$1001,0),0), INDEX($AD$1004:$AU$1004,1,MATCH(COLUMNS($AD$1006:AS1006),$AD$1006:$AU$1006,0)))),"Fix")))</f>
        <v xml:space="preserve"> </v>
      </c>
      <c r="R652" s="4" t="str">
        <f ca="1">IF(OR(INDEX($X$2:$X$1001,MATCH(ROWS($W$2:W652),$W$2:$W$1001,0),1)&gt;=100000,INDEX($AD$1005:$AU$1005,1,MATCH(COLUMNS($AD$1006:AT1006),$AD$1006:$AU$1006,0))&gt;=100000), " ",IF(INDEX($AD$2:$AU$1001,MATCH(ROWS($W$2:W652),$W$2:$W$1001,0),MATCH(COLUMNS($AD$1006:AT1006),$AD$1006:$AU$1006,0)), HYPERLINK("#",""), HYPERLINK(CONCATENATE("#metadata!", ADDRESS(INDEX($Y$2:$Y$1001,MATCH(ROWS($W$2:W652),$W$2:$W$1001,0),0), INDEX($AD$1004:$AU$1004,1,MATCH(COLUMNS($AD$1006:AT1006),$AD$1006:$AU$1006,0)))),"Fix")))</f>
        <v xml:space="preserve"> </v>
      </c>
      <c r="S652" s="4" t="str">
        <f ca="1">IF(OR(INDEX($X$2:$X$1001,MATCH(ROWS($W$2:W652),$W$2:$W$1001,0),1)&gt;=100000,INDEX($AD$1005:$AU$1005,1,MATCH(COLUMNS($AD$1006:AU1006),$AD$1006:$AU$1006,0))&gt;=100000), " ",IF(INDEX($AD$2:$AU$1001,MATCH(ROWS($W$2:W652),$W$2:$W$1001,0),MATCH(COLUMNS($AD$1006:AU1006),$AD$1006:$AU$1006,0)), HYPERLINK("#",""), HYPERLINK(CONCATENATE("#metadata!", ADDRESS(INDEX($Y$2:$Y$1001,MATCH(ROWS($W$2:W652),$W$2:$W$1001,0),0), INDEX($AD$1004:$AU$1004,1,MATCH(COLUMNS($AD$1006:AU1006),$AD$1006:$AU$1006,0)))),"Fix")))</f>
        <v xml:space="preserve"> </v>
      </c>
      <c r="W652">
        <v>651</v>
      </c>
      <c r="X652">
        <v>100652</v>
      </c>
      <c r="Y652">
        <v>652</v>
      </c>
      <c r="Z652" t="b">
        <f t="shared" si="10"/>
        <v>1</v>
      </c>
      <c r="AA652" t="b">
        <f>COUNTBLANK(metadata!B652:S652)=COLUMNS(metadata!B652:S652)</f>
        <v>1</v>
      </c>
      <c r="AB652" t="str">
        <v/>
      </c>
      <c r="AD652" t="b">
        <f ca="1">AND(IF(metadata!B652="",FALSE,TRUE),COUNTIF(metadata!B:B, metadata!B652) = 1,NOT(ISERROR(SUMPRODUCT(SEARCH(MID(metadata!B652,ROW(INDIRECT("1:"&amp;LEN(metadata!B652))), 1),"0123456789abcdefghijklmnopqrstuvwxyzABCDEFGHIJKLMNOPQRSTUVWXYZ.")))))</f>
        <v>0</v>
      </c>
      <c r="AE652" t="b">
        <f>OR(AND(IF(metadata!C652="",FALSE,TRUE),OR(EXACT(metadata!C652,"not applicable"),EXACT(metadata!C652,"missing: not collected"),EXACT(metadata!C652,"missing: not provided"),EXACT(metadata!C652,"missing: restricted access"))),AND(IF(metadata!C652="",FALSE,ISNUMBER(VALUE(metadata!C652))),metadata!C652&gt;0))</f>
        <v>0</v>
      </c>
      <c r="AF652" t="b">
        <f>AND(IF(metadata!D652="",FALSE,TRUE),EXACT(metadata!D652,"missing: not provided"))</f>
        <v>0</v>
      </c>
      <c r="AG652" t="b">
        <f>AND(IF(metadata!E652="",FALSE,TRUE),EXACT(metadata!E652,"Host-associated"))</f>
        <v>0</v>
      </c>
      <c r="AH652" t="b">
        <f>AND(IF(metadata!F652="",FALSE,TRUE),OR(EXACT(metadata!F652,"Animal"),EXACT(metadata!F652,"Fungus"),EXACT(metadata!F652,"Plant")))</f>
        <v>0</v>
      </c>
      <c r="AI652" t="b">
        <f>AND(IF(metadata!G652="",FALSE,TRUE),OR(EXACT(metadata!G652,"Plant secretion"),EXACT(metadata!G652,"Plant rhizosphere"),EXACT(metadata!G652,"Plant surface"),EXACT(metadata!G652,"Plant corpus"),EXACT(metadata!G652,"Fungus surface"),EXACT(metadata!G652,"Fungus corpus"),EXACT(metadata!G652,"Animal surface"),EXACT(metadata!G652,"Animal proximal gut"),EXACT(metadata!G652,"Animal corpus"),EXACT(metadata!G652,"Animal distal gut"),EXACT(metadata!G652,"Animal secretion")))</f>
        <v>0</v>
      </c>
      <c r="AJ652" t="b">
        <f>OR(AND(IF(metadata!H652="",FALSE,TRUE),OR(EXACT(metadata!H652,"missing: not collected"),EXACT(metadata!H652,"missing: not provided"),EXACT(metadata!H652,"missing: restricted access"))),AND(IF(metadata!H652="",FALSE,TRUE),OR(EXACT(metadata!H652,"organism-associated habitat"),EXACT(metadata!H652,"plant-associated habitat"),EXACT(metadata!H652,"animal-associated habitat"),EXACT(metadata!H652,"insecta-associated habitat"),EXACT(metadata!H652,"mammalia-associated habitat"),EXACT(metadata!H652,"human-associated habitat"),EXACT(metadata!H652,"livestock-associated habitat"))))</f>
        <v>0</v>
      </c>
      <c r="AK652" t="b">
        <f>AND(IF(metadata!I652="",FALSE,TRUE),EXACT(metadata!I652,"host-associated"))</f>
        <v>0</v>
      </c>
      <c r="AL652" t="b">
        <f>OR(AND(IF(metadata!J652="",FALSE,TRUE),OR(EXACT(metadata!J652,"not applicable"),EXACT(metadata!J652,"missing: not collected"),EXACT(metadata!J652,"missing: not provided"),EXACT(metadata!J652,"missing: restricted access"))),AND(IF(metadata!J652="",FALSE,ISNUMBER(VALUE(metadata!J652))),metadata!J652&gt;0))</f>
        <v>0</v>
      </c>
      <c r="AM652" t="b">
        <f>AND(IF(metadata!K652="",FALSE,TRUE),EXACT(metadata!K652,"missing: not provided"))</f>
        <v>0</v>
      </c>
      <c r="AN652" t="b">
        <f>IF(metadata!L652="",FALSE,TRUE)</f>
        <v>0</v>
      </c>
      <c r="AO652" t="b">
        <f>IF(metadata!M652="",FALSE,TRUE)</f>
        <v>0</v>
      </c>
      <c r="AP652" t="b">
        <f>OR(AND(IF(metadata!N652="",FALSE,TRUE),OR(EXACT(metadata!N652,"not applicable"),EXACT(metadata!N652,"missing: not collected"),EXACT(metadata!N652,"missing: not provided"))),AND(IF(metadata!N652="",FALSE,IF(ISERROR(INT(metadata!N652)),FALSE,INT(metadata!N652)=metadata!N652)),metadata!N652&gt;0))</f>
        <v>0</v>
      </c>
      <c r="AQ652" t="b">
        <f>AND(IF(metadata!O652="",FALSE,TRUE),EXACT(metadata!O652,"Not applicable"))</f>
        <v>0</v>
      </c>
      <c r="AR652" t="b">
        <f>OR(AND(IF(metadata!P652="",FALSE,TRUE),OR(EXACT(metadata!P652,"not applicable"),EXACT(metadata!P652,"missing: not collected"),EXACT(metadata!P652,"missing: not provided"),EXACT(metadata!P652,"missing: restricted access"))),IF(metadata!P652="",FALSE,IF(ISERROR(INT(metadata!P652)),FALSE,INT(metadata!P652)=metadata!P652)))</f>
        <v>0</v>
      </c>
      <c r="AS652" t="b">
        <f>AND(IF(metadata!Q652="",FALSE,TRUE),EXACT(metadata!Q652,"Not applicable"))</f>
        <v>0</v>
      </c>
      <c r="AT652" t="b">
        <f>OR(AND(IF(metadata!R652="",FALSE,TRUE),OR(EXACT(metadata!R652,"not applicable"),EXACT(metadata!R652,"missing: not collected"),EXACT(metadata!R652,"missing: not provided"),EXACT(metadata!R652,"missing: restricted access"))),AND(IF(metadata!R652="",FALSE,ISNUMBER(VALUE(metadata!R652))),metadata!R652&gt;0))</f>
        <v>0</v>
      </c>
      <c r="AU652" t="b">
        <f>AND(IF(metadata!S652="",FALSE,TRUE),EXACT(metadata!S652,"missing: not provided"))</f>
        <v>0</v>
      </c>
    </row>
    <row r="653" spans="1:47" x14ac:dyDescent="0.2">
      <c r="A653" s="5" t="str">
        <f ca="1">IF(B653=" "," ",HYPERLINK(CONCATENATE("#metadata!",ADDRESS(INDEX($Y$2:$Y$1001,MATCH(ROWS($W$2:W653),$W$2:$W$1001,0),0),1)),INDEX($AB$2:$AB$1001,MATCH(ROWS($W$2:W653),$W$2:$W$1001,0),0)))</f>
        <v xml:space="preserve"> </v>
      </c>
      <c r="B653" s="4" t="str">
        <f ca="1">IF(OR(INDEX($X$2:$X$1001,MATCH(ROWS($W$2:W653),$W$2:$W$1001,0),1)&gt;=100000,INDEX($AD$1005:$AU$1005,1,MATCH(COLUMNS($AD$1006:AD1006),$AD$1006:$AU$1006,0))&gt;=100000), " ",IF(INDEX($AD$2:$AU$1001,MATCH(ROWS($W$2:W653),$W$2:$W$1001,0),MATCH(COLUMNS($AD$1006:AD1006),$AD$1006:$AU$1006,0)), HYPERLINK("#",""), HYPERLINK(CONCATENATE("#metadata!", ADDRESS(INDEX($Y$2:$Y$1001,MATCH(ROWS($W$2:W653),$W$2:$W$1001,0),0), INDEX($AD$1004:$AU$1004,1,MATCH(COLUMNS($AD$1006:AD1006),$AD$1006:$AU$1006,0)))),"Fix")))</f>
        <v xml:space="preserve"> </v>
      </c>
      <c r="C653" s="4" t="str">
        <f ca="1">IF(OR(INDEX($X$2:$X$1001,MATCH(ROWS($W$2:W653),$W$2:$W$1001,0),1)&gt;=100000,INDEX($AD$1005:$AU$1005,1,MATCH(COLUMNS($AD$1006:AE1006),$AD$1006:$AU$1006,0))&gt;=100000), " ",IF(INDEX($AD$2:$AU$1001,MATCH(ROWS($W$2:W653),$W$2:$W$1001,0),MATCH(COLUMNS($AD$1006:AE1006),$AD$1006:$AU$1006,0)), HYPERLINK("#",""), HYPERLINK(CONCATENATE("#metadata!", ADDRESS(INDEX($Y$2:$Y$1001,MATCH(ROWS($W$2:W653),$W$2:$W$1001,0),0), INDEX($AD$1004:$AU$1004,1,MATCH(COLUMNS($AD$1006:AE1006),$AD$1006:$AU$1006,0)))),"Fix")))</f>
        <v xml:space="preserve"> </v>
      </c>
      <c r="D653" s="4" t="str">
        <f ca="1">IF(OR(INDEX($X$2:$X$1001,MATCH(ROWS($W$2:W653),$W$2:$W$1001,0),1)&gt;=100000,INDEX($AD$1005:$AU$1005,1,MATCH(COLUMNS($AD$1006:AF1006),$AD$1006:$AU$1006,0))&gt;=100000), " ",IF(INDEX($AD$2:$AU$1001,MATCH(ROWS($W$2:W653),$W$2:$W$1001,0),MATCH(COLUMNS($AD$1006:AF1006),$AD$1006:$AU$1006,0)), HYPERLINK("#",""), HYPERLINK(CONCATENATE("#metadata!", ADDRESS(INDEX($Y$2:$Y$1001,MATCH(ROWS($W$2:W653),$W$2:$W$1001,0),0), INDEX($AD$1004:$AU$1004,1,MATCH(COLUMNS($AD$1006:AF1006),$AD$1006:$AU$1006,0)))),"Fix")))</f>
        <v xml:space="preserve"> </v>
      </c>
      <c r="E653" s="4" t="str">
        <f ca="1">IF(OR(INDEX($X$2:$X$1001,MATCH(ROWS($W$2:W653),$W$2:$W$1001,0),1)&gt;=100000,INDEX($AD$1005:$AU$1005,1,MATCH(COLUMNS($AD$1006:AG1006),$AD$1006:$AU$1006,0))&gt;=100000), " ",IF(INDEX($AD$2:$AU$1001,MATCH(ROWS($W$2:W653),$W$2:$W$1001,0),MATCH(COLUMNS($AD$1006:AG1006),$AD$1006:$AU$1006,0)), HYPERLINK("#",""), HYPERLINK(CONCATENATE("#metadata!", ADDRESS(INDEX($Y$2:$Y$1001,MATCH(ROWS($W$2:W653),$W$2:$W$1001,0),0), INDEX($AD$1004:$AU$1004,1,MATCH(COLUMNS($AD$1006:AG1006),$AD$1006:$AU$1006,0)))),"Fix")))</f>
        <v xml:space="preserve"> </v>
      </c>
      <c r="F653" s="4" t="str">
        <f ca="1">IF(OR(INDEX($X$2:$X$1001,MATCH(ROWS($W$2:W653),$W$2:$W$1001,0),1)&gt;=100000,INDEX($AD$1005:$AU$1005,1,MATCH(COLUMNS($AD$1006:AH1006),$AD$1006:$AU$1006,0))&gt;=100000), " ",IF(INDEX($AD$2:$AU$1001,MATCH(ROWS($W$2:W653),$W$2:$W$1001,0),MATCH(COLUMNS($AD$1006:AH1006),$AD$1006:$AU$1006,0)), HYPERLINK("#",""), HYPERLINK(CONCATENATE("#metadata!", ADDRESS(INDEX($Y$2:$Y$1001,MATCH(ROWS($W$2:W653),$W$2:$W$1001,0),0), INDEX($AD$1004:$AU$1004,1,MATCH(COLUMNS($AD$1006:AH1006),$AD$1006:$AU$1006,0)))),"Fix")))</f>
        <v xml:space="preserve"> </v>
      </c>
      <c r="G653" s="4" t="str">
        <f ca="1">IF(OR(INDEX($X$2:$X$1001,MATCH(ROWS($W$2:W653),$W$2:$W$1001,0),1)&gt;=100000,INDEX($AD$1005:$AU$1005,1,MATCH(COLUMNS($AD$1006:AI1006),$AD$1006:$AU$1006,0))&gt;=100000), " ",IF(INDEX($AD$2:$AU$1001,MATCH(ROWS($W$2:W653),$W$2:$W$1001,0),MATCH(COLUMNS($AD$1006:AI1006),$AD$1006:$AU$1006,0)), HYPERLINK("#",""), HYPERLINK(CONCATENATE("#metadata!", ADDRESS(INDEX($Y$2:$Y$1001,MATCH(ROWS($W$2:W653),$W$2:$W$1001,0),0), INDEX($AD$1004:$AU$1004,1,MATCH(COLUMNS($AD$1006:AI1006),$AD$1006:$AU$1006,0)))),"Fix")))</f>
        <v xml:space="preserve"> </v>
      </c>
      <c r="H653" s="4" t="str">
        <f ca="1">IF(OR(INDEX($X$2:$X$1001,MATCH(ROWS($W$2:W653),$W$2:$W$1001,0),1)&gt;=100000,INDEX($AD$1005:$AU$1005,1,MATCH(COLUMNS($AD$1006:AJ1006),$AD$1006:$AU$1006,0))&gt;=100000), " ",IF(INDEX($AD$2:$AU$1001,MATCH(ROWS($W$2:W653),$W$2:$W$1001,0),MATCH(COLUMNS($AD$1006:AJ1006),$AD$1006:$AU$1006,0)), HYPERLINK("#",""), HYPERLINK(CONCATENATE("#metadata!", ADDRESS(INDEX($Y$2:$Y$1001,MATCH(ROWS($W$2:W653),$W$2:$W$1001,0),0), INDEX($AD$1004:$AU$1004,1,MATCH(COLUMNS($AD$1006:AJ1006),$AD$1006:$AU$1006,0)))),"Fix")))</f>
        <v xml:space="preserve"> </v>
      </c>
      <c r="I653" s="4" t="str">
        <f ca="1">IF(OR(INDEX($X$2:$X$1001,MATCH(ROWS($W$2:W653),$W$2:$W$1001,0),1)&gt;=100000,INDEX($AD$1005:$AU$1005,1,MATCH(COLUMNS($AD$1006:AK1006),$AD$1006:$AU$1006,0))&gt;=100000), " ",IF(INDEX($AD$2:$AU$1001,MATCH(ROWS($W$2:W653),$W$2:$W$1001,0),MATCH(COLUMNS($AD$1006:AK1006),$AD$1006:$AU$1006,0)), HYPERLINK("#",""), HYPERLINK(CONCATENATE("#metadata!", ADDRESS(INDEX($Y$2:$Y$1001,MATCH(ROWS($W$2:W653),$W$2:$W$1001,0),0), INDEX($AD$1004:$AU$1004,1,MATCH(COLUMNS($AD$1006:AK1006),$AD$1006:$AU$1006,0)))),"Fix")))</f>
        <v xml:space="preserve"> </v>
      </c>
      <c r="J653" s="4" t="str">
        <f ca="1">IF(OR(INDEX($X$2:$X$1001,MATCH(ROWS($W$2:W653),$W$2:$W$1001,0),1)&gt;=100000,INDEX($AD$1005:$AU$1005,1,MATCH(COLUMNS($AD$1006:AL1006),$AD$1006:$AU$1006,0))&gt;=100000), " ",IF(INDEX($AD$2:$AU$1001,MATCH(ROWS($W$2:W653),$W$2:$W$1001,0),MATCH(COLUMNS($AD$1006:AL1006),$AD$1006:$AU$1006,0)), HYPERLINK("#",""), HYPERLINK(CONCATENATE("#metadata!", ADDRESS(INDEX($Y$2:$Y$1001,MATCH(ROWS($W$2:W653),$W$2:$W$1001,0),0), INDEX($AD$1004:$AU$1004,1,MATCH(COLUMNS($AD$1006:AL1006),$AD$1006:$AU$1006,0)))),"Fix")))</f>
        <v xml:space="preserve"> </v>
      </c>
      <c r="K653" s="4" t="str">
        <f ca="1">IF(OR(INDEX($X$2:$X$1001,MATCH(ROWS($W$2:W653),$W$2:$W$1001,0),1)&gt;=100000,INDEX($AD$1005:$AU$1005,1,MATCH(COLUMNS($AD$1006:AM1006),$AD$1006:$AU$1006,0))&gt;=100000), " ",IF(INDEX($AD$2:$AU$1001,MATCH(ROWS($W$2:W653),$W$2:$W$1001,0),MATCH(COLUMNS($AD$1006:AM1006),$AD$1006:$AU$1006,0)), HYPERLINK("#",""), HYPERLINK(CONCATENATE("#metadata!", ADDRESS(INDEX($Y$2:$Y$1001,MATCH(ROWS($W$2:W653),$W$2:$W$1001,0),0), INDEX($AD$1004:$AU$1004,1,MATCH(COLUMNS($AD$1006:AM1006),$AD$1006:$AU$1006,0)))),"Fix")))</f>
        <v xml:space="preserve"> </v>
      </c>
      <c r="L653" s="4" t="str">
        <f ca="1">IF(OR(INDEX($X$2:$X$1001,MATCH(ROWS($W$2:W653),$W$2:$W$1001,0),1)&gt;=100000,INDEX($AD$1005:$AU$1005,1,MATCH(COLUMNS($AD$1006:AN1006),$AD$1006:$AU$1006,0))&gt;=100000), " ",IF(INDEX($AD$2:$AU$1001,MATCH(ROWS($W$2:W653),$W$2:$W$1001,0),MATCH(COLUMNS($AD$1006:AN1006),$AD$1006:$AU$1006,0)), HYPERLINK("#",""), HYPERLINK(CONCATENATE("#metadata!", ADDRESS(INDEX($Y$2:$Y$1001,MATCH(ROWS($W$2:W653),$W$2:$W$1001,0),0), INDEX($AD$1004:$AU$1004,1,MATCH(COLUMNS($AD$1006:AN1006),$AD$1006:$AU$1006,0)))),"Fix")))</f>
        <v xml:space="preserve"> </v>
      </c>
      <c r="M653" s="4" t="str">
        <f ca="1">IF(OR(INDEX($X$2:$X$1001,MATCH(ROWS($W$2:W653),$W$2:$W$1001,0),1)&gt;=100000,INDEX($AD$1005:$AU$1005,1,MATCH(COLUMNS($AD$1006:AO1006),$AD$1006:$AU$1006,0))&gt;=100000), " ",IF(INDEX($AD$2:$AU$1001,MATCH(ROWS($W$2:W653),$W$2:$W$1001,0),MATCH(COLUMNS($AD$1006:AO1006),$AD$1006:$AU$1006,0)), HYPERLINK("#",""), HYPERLINK(CONCATENATE("#metadata!", ADDRESS(INDEX($Y$2:$Y$1001,MATCH(ROWS($W$2:W653),$W$2:$W$1001,0),0), INDEX($AD$1004:$AU$1004,1,MATCH(COLUMNS($AD$1006:AO1006),$AD$1006:$AU$1006,0)))),"Fix")))</f>
        <v xml:space="preserve"> </v>
      </c>
      <c r="N653" s="4" t="str">
        <f ca="1">IF(OR(INDEX($X$2:$X$1001,MATCH(ROWS($W$2:W653),$W$2:$W$1001,0),1)&gt;=100000,INDEX($AD$1005:$AU$1005,1,MATCH(COLUMNS($AD$1006:AP1006),$AD$1006:$AU$1006,0))&gt;=100000), " ",IF(INDEX($AD$2:$AU$1001,MATCH(ROWS($W$2:W653),$W$2:$W$1001,0),MATCH(COLUMNS($AD$1006:AP1006),$AD$1006:$AU$1006,0)), HYPERLINK("#",""), HYPERLINK(CONCATENATE("#metadata!", ADDRESS(INDEX($Y$2:$Y$1001,MATCH(ROWS($W$2:W653),$W$2:$W$1001,0),0), INDEX($AD$1004:$AU$1004,1,MATCH(COLUMNS($AD$1006:AP1006),$AD$1006:$AU$1006,0)))),"Fix")))</f>
        <v xml:space="preserve"> </v>
      </c>
      <c r="O653" s="4" t="str">
        <f ca="1">IF(OR(INDEX($X$2:$X$1001,MATCH(ROWS($W$2:W653),$W$2:$W$1001,0),1)&gt;=100000,INDEX($AD$1005:$AU$1005,1,MATCH(COLUMNS($AD$1006:AQ1006),$AD$1006:$AU$1006,0))&gt;=100000), " ",IF(INDEX($AD$2:$AU$1001,MATCH(ROWS($W$2:W653),$W$2:$W$1001,0),MATCH(COLUMNS($AD$1006:AQ1006),$AD$1006:$AU$1006,0)), HYPERLINK("#",""), HYPERLINK(CONCATENATE("#metadata!", ADDRESS(INDEX($Y$2:$Y$1001,MATCH(ROWS($W$2:W653),$W$2:$W$1001,0),0), INDEX($AD$1004:$AU$1004,1,MATCH(COLUMNS($AD$1006:AQ1006),$AD$1006:$AU$1006,0)))),"Fix")))</f>
        <v xml:space="preserve"> </v>
      </c>
      <c r="P653" s="4" t="str">
        <f ca="1">IF(OR(INDEX($X$2:$X$1001,MATCH(ROWS($W$2:W653),$W$2:$W$1001,0),1)&gt;=100000,INDEX($AD$1005:$AU$1005,1,MATCH(COLUMNS($AD$1006:AR1006),$AD$1006:$AU$1006,0))&gt;=100000), " ",IF(INDEX($AD$2:$AU$1001,MATCH(ROWS($W$2:W653),$W$2:$W$1001,0),MATCH(COLUMNS($AD$1006:AR1006),$AD$1006:$AU$1006,0)), HYPERLINK("#",""), HYPERLINK(CONCATENATE("#metadata!", ADDRESS(INDEX($Y$2:$Y$1001,MATCH(ROWS($W$2:W653),$W$2:$W$1001,0),0), INDEX($AD$1004:$AU$1004,1,MATCH(COLUMNS($AD$1006:AR1006),$AD$1006:$AU$1006,0)))),"Fix")))</f>
        <v xml:space="preserve"> </v>
      </c>
      <c r="Q653" s="4" t="str">
        <f ca="1">IF(OR(INDEX($X$2:$X$1001,MATCH(ROWS($W$2:W653),$W$2:$W$1001,0),1)&gt;=100000,INDEX($AD$1005:$AU$1005,1,MATCH(COLUMNS($AD$1006:AS1006),$AD$1006:$AU$1006,0))&gt;=100000), " ",IF(INDEX($AD$2:$AU$1001,MATCH(ROWS($W$2:W653),$W$2:$W$1001,0),MATCH(COLUMNS($AD$1006:AS1006),$AD$1006:$AU$1006,0)), HYPERLINK("#",""), HYPERLINK(CONCATENATE("#metadata!", ADDRESS(INDEX($Y$2:$Y$1001,MATCH(ROWS($W$2:W653),$W$2:$W$1001,0),0), INDEX($AD$1004:$AU$1004,1,MATCH(COLUMNS($AD$1006:AS1006),$AD$1006:$AU$1006,0)))),"Fix")))</f>
        <v xml:space="preserve"> </v>
      </c>
      <c r="R653" s="4" t="str">
        <f ca="1">IF(OR(INDEX($X$2:$X$1001,MATCH(ROWS($W$2:W653),$W$2:$W$1001,0),1)&gt;=100000,INDEX($AD$1005:$AU$1005,1,MATCH(COLUMNS($AD$1006:AT1006),$AD$1006:$AU$1006,0))&gt;=100000), " ",IF(INDEX($AD$2:$AU$1001,MATCH(ROWS($W$2:W653),$W$2:$W$1001,0),MATCH(COLUMNS($AD$1006:AT1006),$AD$1006:$AU$1006,0)), HYPERLINK("#",""), HYPERLINK(CONCATENATE("#metadata!", ADDRESS(INDEX($Y$2:$Y$1001,MATCH(ROWS($W$2:W653),$W$2:$W$1001,0),0), INDEX($AD$1004:$AU$1004,1,MATCH(COLUMNS($AD$1006:AT1006),$AD$1006:$AU$1006,0)))),"Fix")))</f>
        <v xml:space="preserve"> </v>
      </c>
      <c r="S653" s="4" t="str">
        <f ca="1">IF(OR(INDEX($X$2:$X$1001,MATCH(ROWS($W$2:W653),$W$2:$W$1001,0),1)&gt;=100000,INDEX($AD$1005:$AU$1005,1,MATCH(COLUMNS($AD$1006:AU1006),$AD$1006:$AU$1006,0))&gt;=100000), " ",IF(INDEX($AD$2:$AU$1001,MATCH(ROWS($W$2:W653),$W$2:$W$1001,0),MATCH(COLUMNS($AD$1006:AU1006),$AD$1006:$AU$1006,0)), HYPERLINK("#",""), HYPERLINK(CONCATENATE("#metadata!", ADDRESS(INDEX($Y$2:$Y$1001,MATCH(ROWS($W$2:W653),$W$2:$W$1001,0),0), INDEX($AD$1004:$AU$1004,1,MATCH(COLUMNS($AD$1006:AU1006),$AD$1006:$AU$1006,0)))),"Fix")))</f>
        <v xml:space="preserve"> </v>
      </c>
      <c r="W653">
        <v>652</v>
      </c>
      <c r="X653">
        <v>100653</v>
      </c>
      <c r="Y653">
        <v>653</v>
      </c>
      <c r="Z653" t="b">
        <f t="shared" si="10"/>
        <v>1</v>
      </c>
      <c r="AA653" t="b">
        <f>COUNTBLANK(metadata!B653:S653)=COLUMNS(metadata!B653:S653)</f>
        <v>1</v>
      </c>
      <c r="AB653" t="str">
        <v/>
      </c>
      <c r="AD653" t="b">
        <f ca="1">AND(IF(metadata!B653="",FALSE,TRUE),COUNTIF(metadata!B:B, metadata!B653) = 1,NOT(ISERROR(SUMPRODUCT(SEARCH(MID(metadata!B653,ROW(INDIRECT("1:"&amp;LEN(metadata!B653))), 1),"0123456789abcdefghijklmnopqrstuvwxyzABCDEFGHIJKLMNOPQRSTUVWXYZ.")))))</f>
        <v>0</v>
      </c>
      <c r="AE653" t="b">
        <f>OR(AND(IF(metadata!C653="",FALSE,TRUE),OR(EXACT(metadata!C653,"not applicable"),EXACT(metadata!C653,"missing: not collected"),EXACT(metadata!C653,"missing: not provided"),EXACT(metadata!C653,"missing: restricted access"))),AND(IF(metadata!C653="",FALSE,ISNUMBER(VALUE(metadata!C653))),metadata!C653&gt;0))</f>
        <v>0</v>
      </c>
      <c r="AF653" t="b">
        <f>AND(IF(metadata!D653="",FALSE,TRUE),EXACT(metadata!D653,"missing: not provided"))</f>
        <v>0</v>
      </c>
      <c r="AG653" t="b">
        <f>AND(IF(metadata!E653="",FALSE,TRUE),EXACT(metadata!E653,"Host-associated"))</f>
        <v>0</v>
      </c>
      <c r="AH653" t="b">
        <f>AND(IF(metadata!F653="",FALSE,TRUE),OR(EXACT(metadata!F653,"Animal"),EXACT(metadata!F653,"Fungus"),EXACT(metadata!F653,"Plant")))</f>
        <v>0</v>
      </c>
      <c r="AI653" t="b">
        <f>AND(IF(metadata!G653="",FALSE,TRUE),OR(EXACT(metadata!G653,"Plant secretion"),EXACT(metadata!G653,"Plant rhizosphere"),EXACT(metadata!G653,"Plant surface"),EXACT(metadata!G653,"Plant corpus"),EXACT(metadata!G653,"Fungus surface"),EXACT(metadata!G653,"Fungus corpus"),EXACT(metadata!G653,"Animal surface"),EXACT(metadata!G653,"Animal proximal gut"),EXACT(metadata!G653,"Animal corpus"),EXACT(metadata!G653,"Animal distal gut"),EXACT(metadata!G653,"Animal secretion")))</f>
        <v>0</v>
      </c>
      <c r="AJ653" t="b">
        <f>OR(AND(IF(metadata!H653="",FALSE,TRUE),OR(EXACT(metadata!H653,"missing: not collected"),EXACT(metadata!H653,"missing: not provided"),EXACT(metadata!H653,"missing: restricted access"))),AND(IF(metadata!H653="",FALSE,TRUE),OR(EXACT(metadata!H653,"organism-associated habitat"),EXACT(metadata!H653,"plant-associated habitat"),EXACT(metadata!H653,"animal-associated habitat"),EXACT(metadata!H653,"insecta-associated habitat"),EXACT(metadata!H653,"mammalia-associated habitat"),EXACT(metadata!H653,"human-associated habitat"),EXACT(metadata!H653,"livestock-associated habitat"))))</f>
        <v>0</v>
      </c>
      <c r="AK653" t="b">
        <f>AND(IF(metadata!I653="",FALSE,TRUE),EXACT(metadata!I653,"host-associated"))</f>
        <v>0</v>
      </c>
      <c r="AL653" t="b">
        <f>OR(AND(IF(metadata!J653="",FALSE,TRUE),OR(EXACT(metadata!J653,"not applicable"),EXACT(metadata!J653,"missing: not collected"),EXACT(metadata!J653,"missing: not provided"),EXACT(metadata!J653,"missing: restricted access"))),AND(IF(metadata!J653="",FALSE,ISNUMBER(VALUE(metadata!J653))),metadata!J653&gt;0))</f>
        <v>0</v>
      </c>
      <c r="AM653" t="b">
        <f>AND(IF(metadata!K653="",FALSE,TRUE),EXACT(metadata!K653,"missing: not provided"))</f>
        <v>0</v>
      </c>
      <c r="AN653" t="b">
        <f>IF(metadata!L653="",FALSE,TRUE)</f>
        <v>0</v>
      </c>
      <c r="AO653" t="b">
        <f>IF(metadata!M653="",FALSE,TRUE)</f>
        <v>0</v>
      </c>
      <c r="AP653" t="b">
        <f>OR(AND(IF(metadata!N653="",FALSE,TRUE),OR(EXACT(metadata!N653,"not applicable"),EXACT(metadata!N653,"missing: not collected"),EXACT(metadata!N653,"missing: not provided"))),AND(IF(metadata!N653="",FALSE,IF(ISERROR(INT(metadata!N653)),FALSE,INT(metadata!N653)=metadata!N653)),metadata!N653&gt;0))</f>
        <v>0</v>
      </c>
      <c r="AQ653" t="b">
        <f>AND(IF(metadata!O653="",FALSE,TRUE),EXACT(metadata!O653,"Not applicable"))</f>
        <v>0</v>
      </c>
      <c r="AR653" t="b">
        <f>OR(AND(IF(metadata!P653="",FALSE,TRUE),OR(EXACT(metadata!P653,"not applicable"),EXACT(metadata!P653,"missing: not collected"),EXACT(metadata!P653,"missing: not provided"),EXACT(metadata!P653,"missing: restricted access"))),IF(metadata!P653="",FALSE,IF(ISERROR(INT(metadata!P653)),FALSE,INT(metadata!P653)=metadata!P653)))</f>
        <v>0</v>
      </c>
      <c r="AS653" t="b">
        <f>AND(IF(metadata!Q653="",FALSE,TRUE),EXACT(metadata!Q653,"Not applicable"))</f>
        <v>0</v>
      </c>
      <c r="AT653" t="b">
        <f>OR(AND(IF(metadata!R653="",FALSE,TRUE),OR(EXACT(metadata!R653,"not applicable"),EXACT(metadata!R653,"missing: not collected"),EXACT(metadata!R653,"missing: not provided"),EXACT(metadata!R653,"missing: restricted access"))),AND(IF(metadata!R653="",FALSE,ISNUMBER(VALUE(metadata!R653))),metadata!R653&gt;0))</f>
        <v>0</v>
      </c>
      <c r="AU653" t="b">
        <f>AND(IF(metadata!S653="",FALSE,TRUE),EXACT(metadata!S653,"missing: not provided"))</f>
        <v>0</v>
      </c>
    </row>
    <row r="654" spans="1:47" x14ac:dyDescent="0.2">
      <c r="A654" s="5" t="str">
        <f ca="1">IF(B654=" "," ",HYPERLINK(CONCATENATE("#metadata!",ADDRESS(INDEX($Y$2:$Y$1001,MATCH(ROWS($W$2:W654),$W$2:$W$1001,0),0),1)),INDEX($AB$2:$AB$1001,MATCH(ROWS($W$2:W654),$W$2:$W$1001,0),0)))</f>
        <v xml:space="preserve"> </v>
      </c>
      <c r="B654" s="4" t="str">
        <f ca="1">IF(OR(INDEX($X$2:$X$1001,MATCH(ROWS($W$2:W654),$W$2:$W$1001,0),1)&gt;=100000,INDEX($AD$1005:$AU$1005,1,MATCH(COLUMNS($AD$1006:AD1006),$AD$1006:$AU$1006,0))&gt;=100000), " ",IF(INDEX($AD$2:$AU$1001,MATCH(ROWS($W$2:W654),$W$2:$W$1001,0),MATCH(COLUMNS($AD$1006:AD1006),$AD$1006:$AU$1006,0)), HYPERLINK("#",""), HYPERLINK(CONCATENATE("#metadata!", ADDRESS(INDEX($Y$2:$Y$1001,MATCH(ROWS($W$2:W654),$W$2:$W$1001,0),0), INDEX($AD$1004:$AU$1004,1,MATCH(COLUMNS($AD$1006:AD1006),$AD$1006:$AU$1006,0)))),"Fix")))</f>
        <v xml:space="preserve"> </v>
      </c>
      <c r="C654" s="4" t="str">
        <f ca="1">IF(OR(INDEX($X$2:$X$1001,MATCH(ROWS($W$2:W654),$W$2:$W$1001,0),1)&gt;=100000,INDEX($AD$1005:$AU$1005,1,MATCH(COLUMNS($AD$1006:AE1006),$AD$1006:$AU$1006,0))&gt;=100000), " ",IF(INDEX($AD$2:$AU$1001,MATCH(ROWS($W$2:W654),$W$2:$W$1001,0),MATCH(COLUMNS($AD$1006:AE1006),$AD$1006:$AU$1006,0)), HYPERLINK("#",""), HYPERLINK(CONCATENATE("#metadata!", ADDRESS(INDEX($Y$2:$Y$1001,MATCH(ROWS($W$2:W654),$W$2:$W$1001,0),0), INDEX($AD$1004:$AU$1004,1,MATCH(COLUMNS($AD$1006:AE1006),$AD$1006:$AU$1006,0)))),"Fix")))</f>
        <v xml:space="preserve"> </v>
      </c>
      <c r="D654" s="4" t="str">
        <f ca="1">IF(OR(INDEX($X$2:$X$1001,MATCH(ROWS($W$2:W654),$W$2:$W$1001,0),1)&gt;=100000,INDEX($AD$1005:$AU$1005,1,MATCH(COLUMNS($AD$1006:AF1006),$AD$1006:$AU$1006,0))&gt;=100000), " ",IF(INDEX($AD$2:$AU$1001,MATCH(ROWS($W$2:W654),$W$2:$W$1001,0),MATCH(COLUMNS($AD$1006:AF1006),$AD$1006:$AU$1006,0)), HYPERLINK("#",""), HYPERLINK(CONCATENATE("#metadata!", ADDRESS(INDEX($Y$2:$Y$1001,MATCH(ROWS($W$2:W654),$W$2:$W$1001,0),0), INDEX($AD$1004:$AU$1004,1,MATCH(COLUMNS($AD$1006:AF1006),$AD$1006:$AU$1006,0)))),"Fix")))</f>
        <v xml:space="preserve"> </v>
      </c>
      <c r="E654" s="4" t="str">
        <f ca="1">IF(OR(INDEX($X$2:$X$1001,MATCH(ROWS($W$2:W654),$W$2:$W$1001,0),1)&gt;=100000,INDEX($AD$1005:$AU$1005,1,MATCH(COLUMNS($AD$1006:AG1006),$AD$1006:$AU$1006,0))&gt;=100000), " ",IF(INDEX($AD$2:$AU$1001,MATCH(ROWS($W$2:W654),$W$2:$W$1001,0),MATCH(COLUMNS($AD$1006:AG1006),$AD$1006:$AU$1006,0)), HYPERLINK("#",""), HYPERLINK(CONCATENATE("#metadata!", ADDRESS(INDEX($Y$2:$Y$1001,MATCH(ROWS($W$2:W654),$W$2:$W$1001,0),0), INDEX($AD$1004:$AU$1004,1,MATCH(COLUMNS($AD$1006:AG1006),$AD$1006:$AU$1006,0)))),"Fix")))</f>
        <v xml:space="preserve"> </v>
      </c>
      <c r="F654" s="4" t="str">
        <f ca="1">IF(OR(INDEX($X$2:$X$1001,MATCH(ROWS($W$2:W654),$W$2:$W$1001,0),1)&gt;=100000,INDEX($AD$1005:$AU$1005,1,MATCH(COLUMNS($AD$1006:AH1006),$AD$1006:$AU$1006,0))&gt;=100000), " ",IF(INDEX($AD$2:$AU$1001,MATCH(ROWS($W$2:W654),$W$2:$W$1001,0),MATCH(COLUMNS($AD$1006:AH1006),$AD$1006:$AU$1006,0)), HYPERLINK("#",""), HYPERLINK(CONCATENATE("#metadata!", ADDRESS(INDEX($Y$2:$Y$1001,MATCH(ROWS($W$2:W654),$W$2:$W$1001,0),0), INDEX($AD$1004:$AU$1004,1,MATCH(COLUMNS($AD$1006:AH1006),$AD$1006:$AU$1006,0)))),"Fix")))</f>
        <v xml:space="preserve"> </v>
      </c>
      <c r="G654" s="4" t="str">
        <f ca="1">IF(OR(INDEX($X$2:$X$1001,MATCH(ROWS($W$2:W654),$W$2:$W$1001,0),1)&gt;=100000,INDEX($AD$1005:$AU$1005,1,MATCH(COLUMNS($AD$1006:AI1006),$AD$1006:$AU$1006,0))&gt;=100000), " ",IF(INDEX($AD$2:$AU$1001,MATCH(ROWS($W$2:W654),$W$2:$W$1001,0),MATCH(COLUMNS($AD$1006:AI1006),$AD$1006:$AU$1006,0)), HYPERLINK("#",""), HYPERLINK(CONCATENATE("#metadata!", ADDRESS(INDEX($Y$2:$Y$1001,MATCH(ROWS($W$2:W654),$W$2:$W$1001,0),0), INDEX($AD$1004:$AU$1004,1,MATCH(COLUMNS($AD$1006:AI1006),$AD$1006:$AU$1006,0)))),"Fix")))</f>
        <v xml:space="preserve"> </v>
      </c>
      <c r="H654" s="4" t="str">
        <f ca="1">IF(OR(INDEX($X$2:$X$1001,MATCH(ROWS($W$2:W654),$W$2:$W$1001,0),1)&gt;=100000,INDEX($AD$1005:$AU$1005,1,MATCH(COLUMNS($AD$1006:AJ1006),$AD$1006:$AU$1006,0))&gt;=100000), " ",IF(INDEX($AD$2:$AU$1001,MATCH(ROWS($W$2:W654),$W$2:$W$1001,0),MATCH(COLUMNS($AD$1006:AJ1006),$AD$1006:$AU$1006,0)), HYPERLINK("#",""), HYPERLINK(CONCATENATE("#metadata!", ADDRESS(INDEX($Y$2:$Y$1001,MATCH(ROWS($W$2:W654),$W$2:$W$1001,0),0), INDEX($AD$1004:$AU$1004,1,MATCH(COLUMNS($AD$1006:AJ1006),$AD$1006:$AU$1006,0)))),"Fix")))</f>
        <v xml:space="preserve"> </v>
      </c>
      <c r="I654" s="4" t="str">
        <f ca="1">IF(OR(INDEX($X$2:$X$1001,MATCH(ROWS($W$2:W654),$W$2:$W$1001,0),1)&gt;=100000,INDEX($AD$1005:$AU$1005,1,MATCH(COLUMNS($AD$1006:AK1006),$AD$1006:$AU$1006,0))&gt;=100000), " ",IF(INDEX($AD$2:$AU$1001,MATCH(ROWS($W$2:W654),$W$2:$W$1001,0),MATCH(COLUMNS($AD$1006:AK1006),$AD$1006:$AU$1006,0)), HYPERLINK("#",""), HYPERLINK(CONCATENATE("#metadata!", ADDRESS(INDEX($Y$2:$Y$1001,MATCH(ROWS($W$2:W654),$W$2:$W$1001,0),0), INDEX($AD$1004:$AU$1004,1,MATCH(COLUMNS($AD$1006:AK1006),$AD$1006:$AU$1006,0)))),"Fix")))</f>
        <v xml:space="preserve"> </v>
      </c>
      <c r="J654" s="4" t="str">
        <f ca="1">IF(OR(INDEX($X$2:$X$1001,MATCH(ROWS($W$2:W654),$W$2:$W$1001,0),1)&gt;=100000,INDEX($AD$1005:$AU$1005,1,MATCH(COLUMNS($AD$1006:AL1006),$AD$1006:$AU$1006,0))&gt;=100000), " ",IF(INDEX($AD$2:$AU$1001,MATCH(ROWS($W$2:W654),$W$2:$W$1001,0),MATCH(COLUMNS($AD$1006:AL1006),$AD$1006:$AU$1006,0)), HYPERLINK("#",""), HYPERLINK(CONCATENATE("#metadata!", ADDRESS(INDEX($Y$2:$Y$1001,MATCH(ROWS($W$2:W654),$W$2:$W$1001,0),0), INDEX($AD$1004:$AU$1004,1,MATCH(COLUMNS($AD$1006:AL1006),$AD$1006:$AU$1006,0)))),"Fix")))</f>
        <v xml:space="preserve"> </v>
      </c>
      <c r="K654" s="4" t="str">
        <f ca="1">IF(OR(INDEX($X$2:$X$1001,MATCH(ROWS($W$2:W654),$W$2:$W$1001,0),1)&gt;=100000,INDEX($AD$1005:$AU$1005,1,MATCH(COLUMNS($AD$1006:AM1006),$AD$1006:$AU$1006,0))&gt;=100000), " ",IF(INDEX($AD$2:$AU$1001,MATCH(ROWS($W$2:W654),$W$2:$W$1001,0),MATCH(COLUMNS($AD$1006:AM1006),$AD$1006:$AU$1006,0)), HYPERLINK("#",""), HYPERLINK(CONCATENATE("#metadata!", ADDRESS(INDEX($Y$2:$Y$1001,MATCH(ROWS($W$2:W654),$W$2:$W$1001,0),0), INDEX($AD$1004:$AU$1004,1,MATCH(COLUMNS($AD$1006:AM1006),$AD$1006:$AU$1006,0)))),"Fix")))</f>
        <v xml:space="preserve"> </v>
      </c>
      <c r="L654" s="4" t="str">
        <f ca="1">IF(OR(INDEX($X$2:$X$1001,MATCH(ROWS($W$2:W654),$W$2:$W$1001,0),1)&gt;=100000,INDEX($AD$1005:$AU$1005,1,MATCH(COLUMNS($AD$1006:AN1006),$AD$1006:$AU$1006,0))&gt;=100000), " ",IF(INDEX($AD$2:$AU$1001,MATCH(ROWS($W$2:W654),$W$2:$W$1001,0),MATCH(COLUMNS($AD$1006:AN1006),$AD$1006:$AU$1006,0)), HYPERLINK("#",""), HYPERLINK(CONCATENATE("#metadata!", ADDRESS(INDEX($Y$2:$Y$1001,MATCH(ROWS($W$2:W654),$W$2:$W$1001,0),0), INDEX($AD$1004:$AU$1004,1,MATCH(COLUMNS($AD$1006:AN1006),$AD$1006:$AU$1006,0)))),"Fix")))</f>
        <v xml:space="preserve"> </v>
      </c>
      <c r="M654" s="4" t="str">
        <f ca="1">IF(OR(INDEX($X$2:$X$1001,MATCH(ROWS($W$2:W654),$W$2:$W$1001,0),1)&gt;=100000,INDEX($AD$1005:$AU$1005,1,MATCH(COLUMNS($AD$1006:AO1006),$AD$1006:$AU$1006,0))&gt;=100000), " ",IF(INDEX($AD$2:$AU$1001,MATCH(ROWS($W$2:W654),$W$2:$W$1001,0),MATCH(COLUMNS($AD$1006:AO1006),$AD$1006:$AU$1006,0)), HYPERLINK("#",""), HYPERLINK(CONCATENATE("#metadata!", ADDRESS(INDEX($Y$2:$Y$1001,MATCH(ROWS($W$2:W654),$W$2:$W$1001,0),0), INDEX($AD$1004:$AU$1004,1,MATCH(COLUMNS($AD$1006:AO1006),$AD$1006:$AU$1006,0)))),"Fix")))</f>
        <v xml:space="preserve"> </v>
      </c>
      <c r="N654" s="4" t="str">
        <f ca="1">IF(OR(INDEX($X$2:$X$1001,MATCH(ROWS($W$2:W654),$W$2:$W$1001,0),1)&gt;=100000,INDEX($AD$1005:$AU$1005,1,MATCH(COLUMNS($AD$1006:AP1006),$AD$1006:$AU$1006,0))&gt;=100000), " ",IF(INDEX($AD$2:$AU$1001,MATCH(ROWS($W$2:W654),$W$2:$W$1001,0),MATCH(COLUMNS($AD$1006:AP1006),$AD$1006:$AU$1006,0)), HYPERLINK("#",""), HYPERLINK(CONCATENATE("#metadata!", ADDRESS(INDEX($Y$2:$Y$1001,MATCH(ROWS($W$2:W654),$W$2:$W$1001,0),0), INDEX($AD$1004:$AU$1004,1,MATCH(COLUMNS($AD$1006:AP1006),$AD$1006:$AU$1006,0)))),"Fix")))</f>
        <v xml:space="preserve"> </v>
      </c>
      <c r="O654" s="4" t="str">
        <f ca="1">IF(OR(INDEX($X$2:$X$1001,MATCH(ROWS($W$2:W654),$W$2:$W$1001,0),1)&gt;=100000,INDEX($AD$1005:$AU$1005,1,MATCH(COLUMNS($AD$1006:AQ1006),$AD$1006:$AU$1006,0))&gt;=100000), " ",IF(INDEX($AD$2:$AU$1001,MATCH(ROWS($W$2:W654),$W$2:$W$1001,0),MATCH(COLUMNS($AD$1006:AQ1006),$AD$1006:$AU$1006,0)), HYPERLINK("#",""), HYPERLINK(CONCATENATE("#metadata!", ADDRESS(INDEX($Y$2:$Y$1001,MATCH(ROWS($W$2:W654),$W$2:$W$1001,0),0), INDEX($AD$1004:$AU$1004,1,MATCH(COLUMNS($AD$1006:AQ1006),$AD$1006:$AU$1006,0)))),"Fix")))</f>
        <v xml:space="preserve"> </v>
      </c>
      <c r="P654" s="4" t="str">
        <f ca="1">IF(OR(INDEX($X$2:$X$1001,MATCH(ROWS($W$2:W654),$W$2:$W$1001,0),1)&gt;=100000,INDEX($AD$1005:$AU$1005,1,MATCH(COLUMNS($AD$1006:AR1006),$AD$1006:$AU$1006,0))&gt;=100000), " ",IF(INDEX($AD$2:$AU$1001,MATCH(ROWS($W$2:W654),$W$2:$W$1001,0),MATCH(COLUMNS($AD$1006:AR1006),$AD$1006:$AU$1006,0)), HYPERLINK("#",""), HYPERLINK(CONCATENATE("#metadata!", ADDRESS(INDEX($Y$2:$Y$1001,MATCH(ROWS($W$2:W654),$W$2:$W$1001,0),0), INDEX($AD$1004:$AU$1004,1,MATCH(COLUMNS($AD$1006:AR1006),$AD$1006:$AU$1006,0)))),"Fix")))</f>
        <v xml:space="preserve"> </v>
      </c>
      <c r="Q654" s="4" t="str">
        <f ca="1">IF(OR(INDEX($X$2:$X$1001,MATCH(ROWS($W$2:W654),$W$2:$W$1001,0),1)&gt;=100000,INDEX($AD$1005:$AU$1005,1,MATCH(COLUMNS($AD$1006:AS1006),$AD$1006:$AU$1006,0))&gt;=100000), " ",IF(INDEX($AD$2:$AU$1001,MATCH(ROWS($W$2:W654),$W$2:$W$1001,0),MATCH(COLUMNS($AD$1006:AS1006),$AD$1006:$AU$1006,0)), HYPERLINK("#",""), HYPERLINK(CONCATENATE("#metadata!", ADDRESS(INDEX($Y$2:$Y$1001,MATCH(ROWS($W$2:W654),$W$2:$W$1001,0),0), INDEX($AD$1004:$AU$1004,1,MATCH(COLUMNS($AD$1006:AS1006),$AD$1006:$AU$1006,0)))),"Fix")))</f>
        <v xml:space="preserve"> </v>
      </c>
      <c r="R654" s="4" t="str">
        <f ca="1">IF(OR(INDEX($X$2:$X$1001,MATCH(ROWS($W$2:W654),$W$2:$W$1001,0),1)&gt;=100000,INDEX($AD$1005:$AU$1005,1,MATCH(COLUMNS($AD$1006:AT1006),$AD$1006:$AU$1006,0))&gt;=100000), " ",IF(INDEX($AD$2:$AU$1001,MATCH(ROWS($W$2:W654),$W$2:$W$1001,0),MATCH(COLUMNS($AD$1006:AT1006),$AD$1006:$AU$1006,0)), HYPERLINK("#",""), HYPERLINK(CONCATENATE("#metadata!", ADDRESS(INDEX($Y$2:$Y$1001,MATCH(ROWS($W$2:W654),$W$2:$W$1001,0),0), INDEX($AD$1004:$AU$1004,1,MATCH(COLUMNS($AD$1006:AT1006),$AD$1006:$AU$1006,0)))),"Fix")))</f>
        <v xml:space="preserve"> </v>
      </c>
      <c r="S654" s="4" t="str">
        <f ca="1">IF(OR(INDEX($X$2:$X$1001,MATCH(ROWS($W$2:W654),$W$2:$W$1001,0),1)&gt;=100000,INDEX($AD$1005:$AU$1005,1,MATCH(COLUMNS($AD$1006:AU1006),$AD$1006:$AU$1006,0))&gt;=100000), " ",IF(INDEX($AD$2:$AU$1001,MATCH(ROWS($W$2:W654),$W$2:$W$1001,0),MATCH(COLUMNS($AD$1006:AU1006),$AD$1006:$AU$1006,0)), HYPERLINK("#",""), HYPERLINK(CONCATENATE("#metadata!", ADDRESS(INDEX($Y$2:$Y$1001,MATCH(ROWS($W$2:W654),$W$2:$W$1001,0),0), INDEX($AD$1004:$AU$1004,1,MATCH(COLUMNS($AD$1006:AU1006),$AD$1006:$AU$1006,0)))),"Fix")))</f>
        <v xml:space="preserve"> </v>
      </c>
      <c r="W654">
        <v>653</v>
      </c>
      <c r="X654">
        <v>100654</v>
      </c>
      <c r="Y654">
        <v>654</v>
      </c>
      <c r="Z654" t="b">
        <f t="shared" si="10"/>
        <v>1</v>
      </c>
      <c r="AA654" t="b">
        <f>COUNTBLANK(metadata!B654:S654)=COLUMNS(metadata!B654:S654)</f>
        <v>1</v>
      </c>
      <c r="AB654" t="str">
        <v/>
      </c>
      <c r="AD654" t="b">
        <f ca="1">AND(IF(metadata!B654="",FALSE,TRUE),COUNTIF(metadata!B:B, metadata!B654) = 1,NOT(ISERROR(SUMPRODUCT(SEARCH(MID(metadata!B654,ROW(INDIRECT("1:"&amp;LEN(metadata!B654))), 1),"0123456789abcdefghijklmnopqrstuvwxyzABCDEFGHIJKLMNOPQRSTUVWXYZ.")))))</f>
        <v>0</v>
      </c>
      <c r="AE654" t="b">
        <f>OR(AND(IF(metadata!C654="",FALSE,TRUE),OR(EXACT(metadata!C654,"not applicable"),EXACT(metadata!C654,"missing: not collected"),EXACT(metadata!C654,"missing: not provided"),EXACT(metadata!C654,"missing: restricted access"))),AND(IF(metadata!C654="",FALSE,ISNUMBER(VALUE(metadata!C654))),metadata!C654&gt;0))</f>
        <v>0</v>
      </c>
      <c r="AF654" t="b">
        <f>AND(IF(metadata!D654="",FALSE,TRUE),EXACT(metadata!D654,"missing: not provided"))</f>
        <v>0</v>
      </c>
      <c r="AG654" t="b">
        <f>AND(IF(metadata!E654="",FALSE,TRUE),EXACT(metadata!E654,"Host-associated"))</f>
        <v>0</v>
      </c>
      <c r="AH654" t="b">
        <f>AND(IF(metadata!F654="",FALSE,TRUE),OR(EXACT(metadata!F654,"Animal"),EXACT(metadata!F654,"Fungus"),EXACT(metadata!F654,"Plant")))</f>
        <v>0</v>
      </c>
      <c r="AI654" t="b">
        <f>AND(IF(metadata!G654="",FALSE,TRUE),OR(EXACT(metadata!G654,"Plant secretion"),EXACT(metadata!G654,"Plant rhizosphere"),EXACT(metadata!G654,"Plant surface"),EXACT(metadata!G654,"Plant corpus"),EXACT(metadata!G654,"Fungus surface"),EXACT(metadata!G654,"Fungus corpus"),EXACT(metadata!G654,"Animal surface"),EXACT(metadata!G654,"Animal proximal gut"),EXACT(metadata!G654,"Animal corpus"),EXACT(metadata!G654,"Animal distal gut"),EXACT(metadata!G654,"Animal secretion")))</f>
        <v>0</v>
      </c>
      <c r="AJ654" t="b">
        <f>OR(AND(IF(metadata!H654="",FALSE,TRUE),OR(EXACT(metadata!H654,"missing: not collected"),EXACT(metadata!H654,"missing: not provided"),EXACT(metadata!H654,"missing: restricted access"))),AND(IF(metadata!H654="",FALSE,TRUE),OR(EXACT(metadata!H654,"organism-associated habitat"),EXACT(metadata!H654,"plant-associated habitat"),EXACT(metadata!H654,"animal-associated habitat"),EXACT(metadata!H654,"insecta-associated habitat"),EXACT(metadata!H654,"mammalia-associated habitat"),EXACT(metadata!H654,"human-associated habitat"),EXACT(metadata!H654,"livestock-associated habitat"))))</f>
        <v>0</v>
      </c>
      <c r="AK654" t="b">
        <f>AND(IF(metadata!I654="",FALSE,TRUE),EXACT(metadata!I654,"host-associated"))</f>
        <v>0</v>
      </c>
      <c r="AL654" t="b">
        <f>OR(AND(IF(metadata!J654="",FALSE,TRUE),OR(EXACT(metadata!J654,"not applicable"),EXACT(metadata!J654,"missing: not collected"),EXACT(metadata!J654,"missing: not provided"),EXACT(metadata!J654,"missing: restricted access"))),AND(IF(metadata!J654="",FALSE,ISNUMBER(VALUE(metadata!J654))),metadata!J654&gt;0))</f>
        <v>0</v>
      </c>
      <c r="AM654" t="b">
        <f>AND(IF(metadata!K654="",FALSE,TRUE),EXACT(metadata!K654,"missing: not provided"))</f>
        <v>0</v>
      </c>
      <c r="AN654" t="b">
        <f>IF(metadata!L654="",FALSE,TRUE)</f>
        <v>0</v>
      </c>
      <c r="AO654" t="b">
        <f>IF(metadata!M654="",FALSE,TRUE)</f>
        <v>0</v>
      </c>
      <c r="AP654" t="b">
        <f>OR(AND(IF(metadata!N654="",FALSE,TRUE),OR(EXACT(metadata!N654,"not applicable"),EXACT(metadata!N654,"missing: not collected"),EXACT(metadata!N654,"missing: not provided"))),AND(IF(metadata!N654="",FALSE,IF(ISERROR(INT(metadata!N654)),FALSE,INT(metadata!N654)=metadata!N654)),metadata!N654&gt;0))</f>
        <v>0</v>
      </c>
      <c r="AQ654" t="b">
        <f>AND(IF(metadata!O654="",FALSE,TRUE),EXACT(metadata!O654,"Not applicable"))</f>
        <v>0</v>
      </c>
      <c r="AR654" t="b">
        <f>OR(AND(IF(metadata!P654="",FALSE,TRUE),OR(EXACT(metadata!P654,"not applicable"),EXACT(metadata!P654,"missing: not collected"),EXACT(metadata!P654,"missing: not provided"),EXACT(metadata!P654,"missing: restricted access"))),IF(metadata!P654="",FALSE,IF(ISERROR(INT(metadata!P654)),FALSE,INT(metadata!P654)=metadata!P654)))</f>
        <v>0</v>
      </c>
      <c r="AS654" t="b">
        <f>AND(IF(metadata!Q654="",FALSE,TRUE),EXACT(metadata!Q654,"Not applicable"))</f>
        <v>0</v>
      </c>
      <c r="AT654" t="b">
        <f>OR(AND(IF(metadata!R654="",FALSE,TRUE),OR(EXACT(metadata!R654,"not applicable"),EXACT(metadata!R654,"missing: not collected"),EXACT(metadata!R654,"missing: not provided"),EXACT(metadata!R654,"missing: restricted access"))),AND(IF(metadata!R654="",FALSE,ISNUMBER(VALUE(metadata!R654))),metadata!R654&gt;0))</f>
        <v>0</v>
      </c>
      <c r="AU654" t="b">
        <f>AND(IF(metadata!S654="",FALSE,TRUE),EXACT(metadata!S654,"missing: not provided"))</f>
        <v>0</v>
      </c>
    </row>
    <row r="655" spans="1:47" x14ac:dyDescent="0.2">
      <c r="A655" s="5" t="str">
        <f ca="1">IF(B655=" "," ",HYPERLINK(CONCATENATE("#metadata!",ADDRESS(INDEX($Y$2:$Y$1001,MATCH(ROWS($W$2:W655),$W$2:$W$1001,0),0),1)),INDEX($AB$2:$AB$1001,MATCH(ROWS($W$2:W655),$W$2:$W$1001,0),0)))</f>
        <v xml:space="preserve"> </v>
      </c>
      <c r="B655" s="4" t="str">
        <f ca="1">IF(OR(INDEX($X$2:$X$1001,MATCH(ROWS($W$2:W655),$W$2:$W$1001,0),1)&gt;=100000,INDEX($AD$1005:$AU$1005,1,MATCH(COLUMNS($AD$1006:AD1006),$AD$1006:$AU$1006,0))&gt;=100000), " ",IF(INDEX($AD$2:$AU$1001,MATCH(ROWS($W$2:W655),$W$2:$W$1001,0),MATCH(COLUMNS($AD$1006:AD1006),$AD$1006:$AU$1006,0)), HYPERLINK("#",""), HYPERLINK(CONCATENATE("#metadata!", ADDRESS(INDEX($Y$2:$Y$1001,MATCH(ROWS($W$2:W655),$W$2:$W$1001,0),0), INDEX($AD$1004:$AU$1004,1,MATCH(COLUMNS($AD$1006:AD1006),$AD$1006:$AU$1006,0)))),"Fix")))</f>
        <v xml:space="preserve"> </v>
      </c>
      <c r="C655" s="4" t="str">
        <f ca="1">IF(OR(INDEX($X$2:$X$1001,MATCH(ROWS($W$2:W655),$W$2:$W$1001,0),1)&gt;=100000,INDEX($AD$1005:$AU$1005,1,MATCH(COLUMNS($AD$1006:AE1006),$AD$1006:$AU$1006,0))&gt;=100000), " ",IF(INDEX($AD$2:$AU$1001,MATCH(ROWS($W$2:W655),$W$2:$W$1001,0),MATCH(COLUMNS($AD$1006:AE1006),$AD$1006:$AU$1006,0)), HYPERLINK("#",""), HYPERLINK(CONCATENATE("#metadata!", ADDRESS(INDEX($Y$2:$Y$1001,MATCH(ROWS($W$2:W655),$W$2:$W$1001,0),0), INDEX($AD$1004:$AU$1004,1,MATCH(COLUMNS($AD$1006:AE1006),$AD$1006:$AU$1006,0)))),"Fix")))</f>
        <v xml:space="preserve"> </v>
      </c>
      <c r="D655" s="4" t="str">
        <f ca="1">IF(OR(INDEX($X$2:$X$1001,MATCH(ROWS($W$2:W655),$W$2:$W$1001,0),1)&gt;=100000,INDEX($AD$1005:$AU$1005,1,MATCH(COLUMNS($AD$1006:AF1006),$AD$1006:$AU$1006,0))&gt;=100000), " ",IF(INDEX($AD$2:$AU$1001,MATCH(ROWS($W$2:W655),$W$2:$W$1001,0),MATCH(COLUMNS($AD$1006:AF1006),$AD$1006:$AU$1006,0)), HYPERLINK("#",""), HYPERLINK(CONCATENATE("#metadata!", ADDRESS(INDEX($Y$2:$Y$1001,MATCH(ROWS($W$2:W655),$W$2:$W$1001,0),0), INDEX($AD$1004:$AU$1004,1,MATCH(COLUMNS($AD$1006:AF1006),$AD$1006:$AU$1006,0)))),"Fix")))</f>
        <v xml:space="preserve"> </v>
      </c>
      <c r="E655" s="4" t="str">
        <f ca="1">IF(OR(INDEX($X$2:$X$1001,MATCH(ROWS($W$2:W655),$W$2:$W$1001,0),1)&gt;=100000,INDEX($AD$1005:$AU$1005,1,MATCH(COLUMNS($AD$1006:AG1006),$AD$1006:$AU$1006,0))&gt;=100000), " ",IF(INDEX($AD$2:$AU$1001,MATCH(ROWS($W$2:W655),$W$2:$W$1001,0),MATCH(COLUMNS($AD$1006:AG1006),$AD$1006:$AU$1006,0)), HYPERLINK("#",""), HYPERLINK(CONCATENATE("#metadata!", ADDRESS(INDEX($Y$2:$Y$1001,MATCH(ROWS($W$2:W655),$W$2:$W$1001,0),0), INDEX($AD$1004:$AU$1004,1,MATCH(COLUMNS($AD$1006:AG1006),$AD$1006:$AU$1006,0)))),"Fix")))</f>
        <v xml:space="preserve"> </v>
      </c>
      <c r="F655" s="4" t="str">
        <f ca="1">IF(OR(INDEX($X$2:$X$1001,MATCH(ROWS($W$2:W655),$W$2:$W$1001,0),1)&gt;=100000,INDEX($AD$1005:$AU$1005,1,MATCH(COLUMNS($AD$1006:AH1006),$AD$1006:$AU$1006,0))&gt;=100000), " ",IF(INDEX($AD$2:$AU$1001,MATCH(ROWS($W$2:W655),$W$2:$W$1001,0),MATCH(COLUMNS($AD$1006:AH1006),$AD$1006:$AU$1006,0)), HYPERLINK("#",""), HYPERLINK(CONCATENATE("#metadata!", ADDRESS(INDEX($Y$2:$Y$1001,MATCH(ROWS($W$2:W655),$W$2:$W$1001,0),0), INDEX($AD$1004:$AU$1004,1,MATCH(COLUMNS($AD$1006:AH1006),$AD$1006:$AU$1006,0)))),"Fix")))</f>
        <v xml:space="preserve"> </v>
      </c>
      <c r="G655" s="4" t="str">
        <f ca="1">IF(OR(INDEX($X$2:$X$1001,MATCH(ROWS($W$2:W655),$W$2:$W$1001,0),1)&gt;=100000,INDEX($AD$1005:$AU$1005,1,MATCH(COLUMNS($AD$1006:AI1006),$AD$1006:$AU$1006,0))&gt;=100000), " ",IF(INDEX($AD$2:$AU$1001,MATCH(ROWS($W$2:W655),$W$2:$W$1001,0),MATCH(COLUMNS($AD$1006:AI1006),$AD$1006:$AU$1006,0)), HYPERLINK("#",""), HYPERLINK(CONCATENATE("#metadata!", ADDRESS(INDEX($Y$2:$Y$1001,MATCH(ROWS($W$2:W655),$W$2:$W$1001,0),0), INDEX($AD$1004:$AU$1004,1,MATCH(COLUMNS($AD$1006:AI1006),$AD$1006:$AU$1006,0)))),"Fix")))</f>
        <v xml:space="preserve"> </v>
      </c>
      <c r="H655" s="4" t="str">
        <f ca="1">IF(OR(INDEX($X$2:$X$1001,MATCH(ROWS($W$2:W655),$W$2:$W$1001,0),1)&gt;=100000,INDEX($AD$1005:$AU$1005,1,MATCH(COLUMNS($AD$1006:AJ1006),$AD$1006:$AU$1006,0))&gt;=100000), " ",IF(INDEX($AD$2:$AU$1001,MATCH(ROWS($W$2:W655),$W$2:$W$1001,0),MATCH(COLUMNS($AD$1006:AJ1006),$AD$1006:$AU$1006,0)), HYPERLINK("#",""), HYPERLINK(CONCATENATE("#metadata!", ADDRESS(INDEX($Y$2:$Y$1001,MATCH(ROWS($W$2:W655),$W$2:$W$1001,0),0), INDEX($AD$1004:$AU$1004,1,MATCH(COLUMNS($AD$1006:AJ1006),$AD$1006:$AU$1006,0)))),"Fix")))</f>
        <v xml:space="preserve"> </v>
      </c>
      <c r="I655" s="4" t="str">
        <f ca="1">IF(OR(INDEX($X$2:$X$1001,MATCH(ROWS($W$2:W655),$W$2:$W$1001,0),1)&gt;=100000,INDEX($AD$1005:$AU$1005,1,MATCH(COLUMNS($AD$1006:AK1006),$AD$1006:$AU$1006,0))&gt;=100000), " ",IF(INDEX($AD$2:$AU$1001,MATCH(ROWS($W$2:W655),$W$2:$W$1001,0),MATCH(COLUMNS($AD$1006:AK1006),$AD$1006:$AU$1006,0)), HYPERLINK("#",""), HYPERLINK(CONCATENATE("#metadata!", ADDRESS(INDEX($Y$2:$Y$1001,MATCH(ROWS($W$2:W655),$W$2:$W$1001,0),0), INDEX($AD$1004:$AU$1004,1,MATCH(COLUMNS($AD$1006:AK1006),$AD$1006:$AU$1006,0)))),"Fix")))</f>
        <v xml:space="preserve"> </v>
      </c>
      <c r="J655" s="4" t="str">
        <f ca="1">IF(OR(INDEX($X$2:$X$1001,MATCH(ROWS($W$2:W655),$W$2:$W$1001,0),1)&gt;=100000,INDEX($AD$1005:$AU$1005,1,MATCH(COLUMNS($AD$1006:AL1006),$AD$1006:$AU$1006,0))&gt;=100000), " ",IF(INDEX($AD$2:$AU$1001,MATCH(ROWS($W$2:W655),$W$2:$W$1001,0),MATCH(COLUMNS($AD$1006:AL1006),$AD$1006:$AU$1006,0)), HYPERLINK("#",""), HYPERLINK(CONCATENATE("#metadata!", ADDRESS(INDEX($Y$2:$Y$1001,MATCH(ROWS($W$2:W655),$W$2:$W$1001,0),0), INDEX($AD$1004:$AU$1004,1,MATCH(COLUMNS($AD$1006:AL1006),$AD$1006:$AU$1006,0)))),"Fix")))</f>
        <v xml:space="preserve"> </v>
      </c>
      <c r="K655" s="4" t="str">
        <f ca="1">IF(OR(INDEX($X$2:$X$1001,MATCH(ROWS($W$2:W655),$W$2:$W$1001,0),1)&gt;=100000,INDEX($AD$1005:$AU$1005,1,MATCH(COLUMNS($AD$1006:AM1006),$AD$1006:$AU$1006,0))&gt;=100000), " ",IF(INDEX($AD$2:$AU$1001,MATCH(ROWS($W$2:W655),$W$2:$W$1001,0),MATCH(COLUMNS($AD$1006:AM1006),$AD$1006:$AU$1006,0)), HYPERLINK("#",""), HYPERLINK(CONCATENATE("#metadata!", ADDRESS(INDEX($Y$2:$Y$1001,MATCH(ROWS($W$2:W655),$W$2:$W$1001,0),0), INDEX($AD$1004:$AU$1004,1,MATCH(COLUMNS($AD$1006:AM1006),$AD$1006:$AU$1006,0)))),"Fix")))</f>
        <v xml:space="preserve"> </v>
      </c>
      <c r="L655" s="4" t="str">
        <f ca="1">IF(OR(INDEX($X$2:$X$1001,MATCH(ROWS($W$2:W655),$W$2:$W$1001,0),1)&gt;=100000,INDEX($AD$1005:$AU$1005,1,MATCH(COLUMNS($AD$1006:AN1006),$AD$1006:$AU$1006,0))&gt;=100000), " ",IF(INDEX($AD$2:$AU$1001,MATCH(ROWS($W$2:W655),$W$2:$W$1001,0),MATCH(COLUMNS($AD$1006:AN1006),$AD$1006:$AU$1006,0)), HYPERLINK("#",""), HYPERLINK(CONCATENATE("#metadata!", ADDRESS(INDEX($Y$2:$Y$1001,MATCH(ROWS($W$2:W655),$W$2:$W$1001,0),0), INDEX($AD$1004:$AU$1004,1,MATCH(COLUMNS($AD$1006:AN1006),$AD$1006:$AU$1006,0)))),"Fix")))</f>
        <v xml:space="preserve"> </v>
      </c>
      <c r="M655" s="4" t="str">
        <f ca="1">IF(OR(INDEX($X$2:$X$1001,MATCH(ROWS($W$2:W655),$W$2:$W$1001,0),1)&gt;=100000,INDEX($AD$1005:$AU$1005,1,MATCH(COLUMNS($AD$1006:AO1006),$AD$1006:$AU$1006,0))&gt;=100000), " ",IF(INDEX($AD$2:$AU$1001,MATCH(ROWS($W$2:W655),$W$2:$W$1001,0),MATCH(COLUMNS($AD$1006:AO1006),$AD$1006:$AU$1006,0)), HYPERLINK("#",""), HYPERLINK(CONCATENATE("#metadata!", ADDRESS(INDEX($Y$2:$Y$1001,MATCH(ROWS($W$2:W655),$W$2:$W$1001,0),0), INDEX($AD$1004:$AU$1004,1,MATCH(COLUMNS($AD$1006:AO1006),$AD$1006:$AU$1006,0)))),"Fix")))</f>
        <v xml:space="preserve"> </v>
      </c>
      <c r="N655" s="4" t="str">
        <f ca="1">IF(OR(INDEX($X$2:$X$1001,MATCH(ROWS($W$2:W655),$W$2:$W$1001,0),1)&gt;=100000,INDEX($AD$1005:$AU$1005,1,MATCH(COLUMNS($AD$1006:AP1006),$AD$1006:$AU$1006,0))&gt;=100000), " ",IF(INDEX($AD$2:$AU$1001,MATCH(ROWS($W$2:W655),$W$2:$W$1001,0),MATCH(COLUMNS($AD$1006:AP1006),$AD$1006:$AU$1006,0)), HYPERLINK("#",""), HYPERLINK(CONCATENATE("#metadata!", ADDRESS(INDEX($Y$2:$Y$1001,MATCH(ROWS($W$2:W655),$W$2:$W$1001,0),0), INDEX($AD$1004:$AU$1004,1,MATCH(COLUMNS($AD$1006:AP1006),$AD$1006:$AU$1006,0)))),"Fix")))</f>
        <v xml:space="preserve"> </v>
      </c>
      <c r="O655" s="4" t="str">
        <f ca="1">IF(OR(INDEX($X$2:$X$1001,MATCH(ROWS($W$2:W655),$W$2:$W$1001,0),1)&gt;=100000,INDEX($AD$1005:$AU$1005,1,MATCH(COLUMNS($AD$1006:AQ1006),$AD$1006:$AU$1006,0))&gt;=100000), " ",IF(INDEX($AD$2:$AU$1001,MATCH(ROWS($W$2:W655),$W$2:$W$1001,0),MATCH(COLUMNS($AD$1006:AQ1006),$AD$1006:$AU$1006,0)), HYPERLINK("#",""), HYPERLINK(CONCATENATE("#metadata!", ADDRESS(INDEX($Y$2:$Y$1001,MATCH(ROWS($W$2:W655),$W$2:$W$1001,0),0), INDEX($AD$1004:$AU$1004,1,MATCH(COLUMNS($AD$1006:AQ1006),$AD$1006:$AU$1006,0)))),"Fix")))</f>
        <v xml:space="preserve"> </v>
      </c>
      <c r="P655" s="4" t="str">
        <f ca="1">IF(OR(INDEX($X$2:$X$1001,MATCH(ROWS($W$2:W655),$W$2:$W$1001,0),1)&gt;=100000,INDEX($AD$1005:$AU$1005,1,MATCH(COLUMNS($AD$1006:AR1006),$AD$1006:$AU$1006,0))&gt;=100000), " ",IF(INDEX($AD$2:$AU$1001,MATCH(ROWS($W$2:W655),$W$2:$W$1001,0),MATCH(COLUMNS($AD$1006:AR1006),$AD$1006:$AU$1006,0)), HYPERLINK("#",""), HYPERLINK(CONCATENATE("#metadata!", ADDRESS(INDEX($Y$2:$Y$1001,MATCH(ROWS($W$2:W655),$W$2:$W$1001,0),0), INDEX($AD$1004:$AU$1004,1,MATCH(COLUMNS($AD$1006:AR1006),$AD$1006:$AU$1006,0)))),"Fix")))</f>
        <v xml:space="preserve"> </v>
      </c>
      <c r="Q655" s="4" t="str">
        <f ca="1">IF(OR(INDEX($X$2:$X$1001,MATCH(ROWS($W$2:W655),$W$2:$W$1001,0),1)&gt;=100000,INDEX($AD$1005:$AU$1005,1,MATCH(COLUMNS($AD$1006:AS1006),$AD$1006:$AU$1006,0))&gt;=100000), " ",IF(INDEX($AD$2:$AU$1001,MATCH(ROWS($W$2:W655),$W$2:$W$1001,0),MATCH(COLUMNS($AD$1006:AS1006),$AD$1006:$AU$1006,0)), HYPERLINK("#",""), HYPERLINK(CONCATENATE("#metadata!", ADDRESS(INDEX($Y$2:$Y$1001,MATCH(ROWS($W$2:W655),$W$2:$W$1001,0),0), INDEX($AD$1004:$AU$1004,1,MATCH(COLUMNS($AD$1006:AS1006),$AD$1006:$AU$1006,0)))),"Fix")))</f>
        <v xml:space="preserve"> </v>
      </c>
      <c r="R655" s="4" t="str">
        <f ca="1">IF(OR(INDEX($X$2:$X$1001,MATCH(ROWS($W$2:W655),$W$2:$W$1001,0),1)&gt;=100000,INDEX($AD$1005:$AU$1005,1,MATCH(COLUMNS($AD$1006:AT1006),$AD$1006:$AU$1006,0))&gt;=100000), " ",IF(INDEX($AD$2:$AU$1001,MATCH(ROWS($W$2:W655),$W$2:$W$1001,0),MATCH(COLUMNS($AD$1006:AT1006),$AD$1006:$AU$1006,0)), HYPERLINK("#",""), HYPERLINK(CONCATENATE("#metadata!", ADDRESS(INDEX($Y$2:$Y$1001,MATCH(ROWS($W$2:W655),$W$2:$W$1001,0),0), INDEX($AD$1004:$AU$1004,1,MATCH(COLUMNS($AD$1006:AT1006),$AD$1006:$AU$1006,0)))),"Fix")))</f>
        <v xml:space="preserve"> </v>
      </c>
      <c r="S655" s="4" t="str">
        <f ca="1">IF(OR(INDEX($X$2:$X$1001,MATCH(ROWS($W$2:W655),$W$2:$W$1001,0),1)&gt;=100000,INDEX($AD$1005:$AU$1005,1,MATCH(COLUMNS($AD$1006:AU1006),$AD$1006:$AU$1006,0))&gt;=100000), " ",IF(INDEX($AD$2:$AU$1001,MATCH(ROWS($W$2:W655),$W$2:$W$1001,0),MATCH(COLUMNS($AD$1006:AU1006),$AD$1006:$AU$1006,0)), HYPERLINK("#",""), HYPERLINK(CONCATENATE("#metadata!", ADDRESS(INDEX($Y$2:$Y$1001,MATCH(ROWS($W$2:W655),$W$2:$W$1001,0),0), INDEX($AD$1004:$AU$1004,1,MATCH(COLUMNS($AD$1006:AU1006),$AD$1006:$AU$1006,0)))),"Fix")))</f>
        <v xml:space="preserve"> </v>
      </c>
      <c r="W655">
        <v>654</v>
      </c>
      <c r="X655">
        <v>100655</v>
      </c>
      <c r="Y655">
        <v>655</v>
      </c>
      <c r="Z655" t="b">
        <f t="shared" si="10"/>
        <v>1</v>
      </c>
      <c r="AA655" t="b">
        <f>COUNTBLANK(metadata!B655:S655)=COLUMNS(metadata!B655:S655)</f>
        <v>1</v>
      </c>
      <c r="AB655" t="str">
        <v/>
      </c>
      <c r="AD655" t="b">
        <f ca="1">AND(IF(metadata!B655="",FALSE,TRUE),COUNTIF(metadata!B:B, metadata!B655) = 1,NOT(ISERROR(SUMPRODUCT(SEARCH(MID(metadata!B655,ROW(INDIRECT("1:"&amp;LEN(metadata!B655))), 1),"0123456789abcdefghijklmnopqrstuvwxyzABCDEFGHIJKLMNOPQRSTUVWXYZ.")))))</f>
        <v>0</v>
      </c>
      <c r="AE655" t="b">
        <f>OR(AND(IF(metadata!C655="",FALSE,TRUE),OR(EXACT(metadata!C655,"not applicable"),EXACT(metadata!C655,"missing: not collected"),EXACT(metadata!C655,"missing: not provided"),EXACT(metadata!C655,"missing: restricted access"))),AND(IF(metadata!C655="",FALSE,ISNUMBER(VALUE(metadata!C655))),metadata!C655&gt;0))</f>
        <v>0</v>
      </c>
      <c r="AF655" t="b">
        <f>AND(IF(metadata!D655="",FALSE,TRUE),EXACT(metadata!D655,"missing: not provided"))</f>
        <v>0</v>
      </c>
      <c r="AG655" t="b">
        <f>AND(IF(metadata!E655="",FALSE,TRUE),EXACT(metadata!E655,"Host-associated"))</f>
        <v>0</v>
      </c>
      <c r="AH655" t="b">
        <f>AND(IF(metadata!F655="",FALSE,TRUE),OR(EXACT(metadata!F655,"Animal"),EXACT(metadata!F655,"Fungus"),EXACT(metadata!F655,"Plant")))</f>
        <v>0</v>
      </c>
      <c r="AI655" t="b">
        <f>AND(IF(metadata!G655="",FALSE,TRUE),OR(EXACT(metadata!G655,"Plant secretion"),EXACT(metadata!G655,"Plant rhizosphere"),EXACT(metadata!G655,"Plant surface"),EXACT(metadata!G655,"Plant corpus"),EXACT(metadata!G655,"Fungus surface"),EXACT(metadata!G655,"Fungus corpus"),EXACT(metadata!G655,"Animal surface"),EXACT(metadata!G655,"Animal proximal gut"),EXACT(metadata!G655,"Animal corpus"),EXACT(metadata!G655,"Animal distal gut"),EXACT(metadata!G655,"Animal secretion")))</f>
        <v>0</v>
      </c>
      <c r="AJ655" t="b">
        <f>OR(AND(IF(metadata!H655="",FALSE,TRUE),OR(EXACT(metadata!H655,"missing: not collected"),EXACT(metadata!H655,"missing: not provided"),EXACT(metadata!H655,"missing: restricted access"))),AND(IF(metadata!H655="",FALSE,TRUE),OR(EXACT(metadata!H655,"organism-associated habitat"),EXACT(metadata!H655,"plant-associated habitat"),EXACT(metadata!H655,"animal-associated habitat"),EXACT(metadata!H655,"insecta-associated habitat"),EXACT(metadata!H655,"mammalia-associated habitat"),EXACT(metadata!H655,"human-associated habitat"),EXACT(metadata!H655,"livestock-associated habitat"))))</f>
        <v>0</v>
      </c>
      <c r="AK655" t="b">
        <f>AND(IF(metadata!I655="",FALSE,TRUE),EXACT(metadata!I655,"host-associated"))</f>
        <v>0</v>
      </c>
      <c r="AL655" t="b">
        <f>OR(AND(IF(metadata!J655="",FALSE,TRUE),OR(EXACT(metadata!J655,"not applicable"),EXACT(metadata!J655,"missing: not collected"),EXACT(metadata!J655,"missing: not provided"),EXACT(metadata!J655,"missing: restricted access"))),AND(IF(metadata!J655="",FALSE,ISNUMBER(VALUE(metadata!J655))),metadata!J655&gt;0))</f>
        <v>0</v>
      </c>
      <c r="AM655" t="b">
        <f>AND(IF(metadata!K655="",FALSE,TRUE),EXACT(metadata!K655,"missing: not provided"))</f>
        <v>0</v>
      </c>
      <c r="AN655" t="b">
        <f>IF(metadata!L655="",FALSE,TRUE)</f>
        <v>0</v>
      </c>
      <c r="AO655" t="b">
        <f>IF(metadata!M655="",FALSE,TRUE)</f>
        <v>0</v>
      </c>
      <c r="AP655" t="b">
        <f>OR(AND(IF(metadata!N655="",FALSE,TRUE),OR(EXACT(metadata!N655,"not applicable"),EXACT(metadata!N655,"missing: not collected"),EXACT(metadata!N655,"missing: not provided"))),AND(IF(metadata!N655="",FALSE,IF(ISERROR(INT(metadata!N655)),FALSE,INT(metadata!N655)=metadata!N655)),metadata!N655&gt;0))</f>
        <v>0</v>
      </c>
      <c r="AQ655" t="b">
        <f>AND(IF(metadata!O655="",FALSE,TRUE),EXACT(metadata!O655,"Not applicable"))</f>
        <v>0</v>
      </c>
      <c r="AR655" t="b">
        <f>OR(AND(IF(metadata!P655="",FALSE,TRUE),OR(EXACT(metadata!P655,"not applicable"),EXACT(metadata!P655,"missing: not collected"),EXACT(metadata!P655,"missing: not provided"),EXACT(metadata!P655,"missing: restricted access"))),IF(metadata!P655="",FALSE,IF(ISERROR(INT(metadata!P655)),FALSE,INT(metadata!P655)=metadata!P655)))</f>
        <v>0</v>
      </c>
      <c r="AS655" t="b">
        <f>AND(IF(metadata!Q655="",FALSE,TRUE),EXACT(metadata!Q655,"Not applicable"))</f>
        <v>0</v>
      </c>
      <c r="AT655" t="b">
        <f>OR(AND(IF(metadata!R655="",FALSE,TRUE),OR(EXACT(metadata!R655,"not applicable"),EXACT(metadata!R655,"missing: not collected"),EXACT(metadata!R655,"missing: not provided"),EXACT(metadata!R655,"missing: restricted access"))),AND(IF(metadata!R655="",FALSE,ISNUMBER(VALUE(metadata!R655))),metadata!R655&gt;0))</f>
        <v>0</v>
      </c>
      <c r="AU655" t="b">
        <f>AND(IF(metadata!S655="",FALSE,TRUE),EXACT(metadata!S655,"missing: not provided"))</f>
        <v>0</v>
      </c>
    </row>
    <row r="656" spans="1:47" x14ac:dyDescent="0.2">
      <c r="A656" s="5" t="str">
        <f ca="1">IF(B656=" "," ",HYPERLINK(CONCATENATE("#metadata!",ADDRESS(INDEX($Y$2:$Y$1001,MATCH(ROWS($W$2:W656),$W$2:$W$1001,0),0),1)),INDEX($AB$2:$AB$1001,MATCH(ROWS($W$2:W656),$W$2:$W$1001,0),0)))</f>
        <v xml:space="preserve"> </v>
      </c>
      <c r="B656" s="4" t="str">
        <f ca="1">IF(OR(INDEX($X$2:$X$1001,MATCH(ROWS($W$2:W656),$W$2:$W$1001,0),1)&gt;=100000,INDEX($AD$1005:$AU$1005,1,MATCH(COLUMNS($AD$1006:AD1006),$AD$1006:$AU$1006,0))&gt;=100000), " ",IF(INDEX($AD$2:$AU$1001,MATCH(ROWS($W$2:W656),$W$2:$W$1001,0),MATCH(COLUMNS($AD$1006:AD1006),$AD$1006:$AU$1006,0)), HYPERLINK("#",""), HYPERLINK(CONCATENATE("#metadata!", ADDRESS(INDEX($Y$2:$Y$1001,MATCH(ROWS($W$2:W656),$W$2:$W$1001,0),0), INDEX($AD$1004:$AU$1004,1,MATCH(COLUMNS($AD$1006:AD1006),$AD$1006:$AU$1006,0)))),"Fix")))</f>
        <v xml:space="preserve"> </v>
      </c>
      <c r="C656" s="4" t="str">
        <f ca="1">IF(OR(INDEX($X$2:$X$1001,MATCH(ROWS($W$2:W656),$W$2:$W$1001,0),1)&gt;=100000,INDEX($AD$1005:$AU$1005,1,MATCH(COLUMNS($AD$1006:AE1006),$AD$1006:$AU$1006,0))&gt;=100000), " ",IF(INDEX($AD$2:$AU$1001,MATCH(ROWS($W$2:W656),$W$2:$W$1001,0),MATCH(COLUMNS($AD$1006:AE1006),$AD$1006:$AU$1006,0)), HYPERLINK("#",""), HYPERLINK(CONCATENATE("#metadata!", ADDRESS(INDEX($Y$2:$Y$1001,MATCH(ROWS($W$2:W656),$W$2:$W$1001,0),0), INDEX($AD$1004:$AU$1004,1,MATCH(COLUMNS($AD$1006:AE1006),$AD$1006:$AU$1006,0)))),"Fix")))</f>
        <v xml:space="preserve"> </v>
      </c>
      <c r="D656" s="4" t="str">
        <f ca="1">IF(OR(INDEX($X$2:$X$1001,MATCH(ROWS($W$2:W656),$W$2:$W$1001,0),1)&gt;=100000,INDEX($AD$1005:$AU$1005,1,MATCH(COLUMNS($AD$1006:AF1006),$AD$1006:$AU$1006,0))&gt;=100000), " ",IF(INDEX($AD$2:$AU$1001,MATCH(ROWS($W$2:W656),$W$2:$W$1001,0),MATCH(COLUMNS($AD$1006:AF1006),$AD$1006:$AU$1006,0)), HYPERLINK("#",""), HYPERLINK(CONCATENATE("#metadata!", ADDRESS(INDEX($Y$2:$Y$1001,MATCH(ROWS($W$2:W656),$W$2:$W$1001,0),0), INDEX($AD$1004:$AU$1004,1,MATCH(COLUMNS($AD$1006:AF1006),$AD$1006:$AU$1006,0)))),"Fix")))</f>
        <v xml:space="preserve"> </v>
      </c>
      <c r="E656" s="4" t="str">
        <f ca="1">IF(OR(INDEX($X$2:$X$1001,MATCH(ROWS($W$2:W656),$W$2:$W$1001,0),1)&gt;=100000,INDEX($AD$1005:$AU$1005,1,MATCH(COLUMNS($AD$1006:AG1006),$AD$1006:$AU$1006,0))&gt;=100000), " ",IF(INDEX($AD$2:$AU$1001,MATCH(ROWS($W$2:W656),$W$2:$W$1001,0),MATCH(COLUMNS($AD$1006:AG1006),$AD$1006:$AU$1006,0)), HYPERLINK("#",""), HYPERLINK(CONCATENATE("#metadata!", ADDRESS(INDEX($Y$2:$Y$1001,MATCH(ROWS($W$2:W656),$W$2:$W$1001,0),0), INDEX($AD$1004:$AU$1004,1,MATCH(COLUMNS($AD$1006:AG1006),$AD$1006:$AU$1006,0)))),"Fix")))</f>
        <v xml:space="preserve"> </v>
      </c>
      <c r="F656" s="4" t="str">
        <f ca="1">IF(OR(INDEX($X$2:$X$1001,MATCH(ROWS($W$2:W656),$W$2:$W$1001,0),1)&gt;=100000,INDEX($AD$1005:$AU$1005,1,MATCH(COLUMNS($AD$1006:AH1006),$AD$1006:$AU$1006,0))&gt;=100000), " ",IF(INDEX($AD$2:$AU$1001,MATCH(ROWS($W$2:W656),$W$2:$W$1001,0),MATCH(COLUMNS($AD$1006:AH1006),$AD$1006:$AU$1006,0)), HYPERLINK("#",""), HYPERLINK(CONCATENATE("#metadata!", ADDRESS(INDEX($Y$2:$Y$1001,MATCH(ROWS($W$2:W656),$W$2:$W$1001,0),0), INDEX($AD$1004:$AU$1004,1,MATCH(COLUMNS($AD$1006:AH1006),$AD$1006:$AU$1006,0)))),"Fix")))</f>
        <v xml:space="preserve"> </v>
      </c>
      <c r="G656" s="4" t="str">
        <f ca="1">IF(OR(INDEX($X$2:$X$1001,MATCH(ROWS($W$2:W656),$W$2:$W$1001,0),1)&gt;=100000,INDEX($AD$1005:$AU$1005,1,MATCH(COLUMNS($AD$1006:AI1006),$AD$1006:$AU$1006,0))&gt;=100000), " ",IF(INDEX($AD$2:$AU$1001,MATCH(ROWS($W$2:W656),$W$2:$W$1001,0),MATCH(COLUMNS($AD$1006:AI1006),$AD$1006:$AU$1006,0)), HYPERLINK("#",""), HYPERLINK(CONCATENATE("#metadata!", ADDRESS(INDEX($Y$2:$Y$1001,MATCH(ROWS($W$2:W656),$W$2:$W$1001,0),0), INDEX($AD$1004:$AU$1004,1,MATCH(COLUMNS($AD$1006:AI1006),$AD$1006:$AU$1006,0)))),"Fix")))</f>
        <v xml:space="preserve"> </v>
      </c>
      <c r="H656" s="4" t="str">
        <f ca="1">IF(OR(INDEX($X$2:$X$1001,MATCH(ROWS($W$2:W656),$W$2:$W$1001,0),1)&gt;=100000,INDEX($AD$1005:$AU$1005,1,MATCH(COLUMNS($AD$1006:AJ1006),$AD$1006:$AU$1006,0))&gt;=100000), " ",IF(INDEX($AD$2:$AU$1001,MATCH(ROWS($W$2:W656),$W$2:$W$1001,0),MATCH(COLUMNS($AD$1006:AJ1006),$AD$1006:$AU$1006,0)), HYPERLINK("#",""), HYPERLINK(CONCATENATE("#metadata!", ADDRESS(INDEX($Y$2:$Y$1001,MATCH(ROWS($W$2:W656),$W$2:$W$1001,0),0), INDEX($AD$1004:$AU$1004,1,MATCH(COLUMNS($AD$1006:AJ1006),$AD$1006:$AU$1006,0)))),"Fix")))</f>
        <v xml:space="preserve"> </v>
      </c>
      <c r="I656" s="4" t="str">
        <f ca="1">IF(OR(INDEX($X$2:$X$1001,MATCH(ROWS($W$2:W656),$W$2:$W$1001,0),1)&gt;=100000,INDEX($AD$1005:$AU$1005,1,MATCH(COLUMNS($AD$1006:AK1006),$AD$1006:$AU$1006,0))&gt;=100000), " ",IF(INDEX($AD$2:$AU$1001,MATCH(ROWS($W$2:W656),$W$2:$W$1001,0),MATCH(COLUMNS($AD$1006:AK1006),$AD$1006:$AU$1006,0)), HYPERLINK("#",""), HYPERLINK(CONCATENATE("#metadata!", ADDRESS(INDEX($Y$2:$Y$1001,MATCH(ROWS($W$2:W656),$W$2:$W$1001,0),0), INDEX($AD$1004:$AU$1004,1,MATCH(COLUMNS($AD$1006:AK1006),$AD$1006:$AU$1006,0)))),"Fix")))</f>
        <v xml:space="preserve"> </v>
      </c>
      <c r="J656" s="4" t="str">
        <f ca="1">IF(OR(INDEX($X$2:$X$1001,MATCH(ROWS($W$2:W656),$W$2:$W$1001,0),1)&gt;=100000,INDEX($AD$1005:$AU$1005,1,MATCH(COLUMNS($AD$1006:AL1006),$AD$1006:$AU$1006,0))&gt;=100000), " ",IF(INDEX($AD$2:$AU$1001,MATCH(ROWS($W$2:W656),$W$2:$W$1001,0),MATCH(COLUMNS($AD$1006:AL1006),$AD$1006:$AU$1006,0)), HYPERLINK("#",""), HYPERLINK(CONCATENATE("#metadata!", ADDRESS(INDEX($Y$2:$Y$1001,MATCH(ROWS($W$2:W656),$W$2:$W$1001,0),0), INDEX($AD$1004:$AU$1004,1,MATCH(COLUMNS($AD$1006:AL1006),$AD$1006:$AU$1006,0)))),"Fix")))</f>
        <v xml:space="preserve"> </v>
      </c>
      <c r="K656" s="4" t="str">
        <f ca="1">IF(OR(INDEX($X$2:$X$1001,MATCH(ROWS($W$2:W656),$W$2:$W$1001,0),1)&gt;=100000,INDEX($AD$1005:$AU$1005,1,MATCH(COLUMNS($AD$1006:AM1006),$AD$1006:$AU$1006,0))&gt;=100000), " ",IF(INDEX($AD$2:$AU$1001,MATCH(ROWS($W$2:W656),$W$2:$W$1001,0),MATCH(COLUMNS($AD$1006:AM1006),$AD$1006:$AU$1006,0)), HYPERLINK("#",""), HYPERLINK(CONCATENATE("#metadata!", ADDRESS(INDEX($Y$2:$Y$1001,MATCH(ROWS($W$2:W656),$W$2:$W$1001,0),0), INDEX($AD$1004:$AU$1004,1,MATCH(COLUMNS($AD$1006:AM1006),$AD$1006:$AU$1006,0)))),"Fix")))</f>
        <v xml:space="preserve"> </v>
      </c>
      <c r="L656" s="4" t="str">
        <f ca="1">IF(OR(INDEX($X$2:$X$1001,MATCH(ROWS($W$2:W656),$W$2:$W$1001,0),1)&gt;=100000,INDEX($AD$1005:$AU$1005,1,MATCH(COLUMNS($AD$1006:AN1006),$AD$1006:$AU$1006,0))&gt;=100000), " ",IF(INDEX($AD$2:$AU$1001,MATCH(ROWS($W$2:W656),$W$2:$W$1001,0),MATCH(COLUMNS($AD$1006:AN1006),$AD$1006:$AU$1006,0)), HYPERLINK("#",""), HYPERLINK(CONCATENATE("#metadata!", ADDRESS(INDEX($Y$2:$Y$1001,MATCH(ROWS($W$2:W656),$W$2:$W$1001,0),0), INDEX($AD$1004:$AU$1004,1,MATCH(COLUMNS($AD$1006:AN1006),$AD$1006:$AU$1006,0)))),"Fix")))</f>
        <v xml:space="preserve"> </v>
      </c>
      <c r="M656" s="4" t="str">
        <f ca="1">IF(OR(INDEX($X$2:$X$1001,MATCH(ROWS($W$2:W656),$W$2:$W$1001,0),1)&gt;=100000,INDEX($AD$1005:$AU$1005,1,MATCH(COLUMNS($AD$1006:AO1006),$AD$1006:$AU$1006,0))&gt;=100000), " ",IF(INDEX($AD$2:$AU$1001,MATCH(ROWS($W$2:W656),$W$2:$W$1001,0),MATCH(COLUMNS($AD$1006:AO1006),$AD$1006:$AU$1006,0)), HYPERLINK("#",""), HYPERLINK(CONCATENATE("#metadata!", ADDRESS(INDEX($Y$2:$Y$1001,MATCH(ROWS($W$2:W656),$W$2:$W$1001,0),0), INDEX($AD$1004:$AU$1004,1,MATCH(COLUMNS($AD$1006:AO1006),$AD$1006:$AU$1006,0)))),"Fix")))</f>
        <v xml:space="preserve"> </v>
      </c>
      <c r="N656" s="4" t="str">
        <f ca="1">IF(OR(INDEX($X$2:$X$1001,MATCH(ROWS($W$2:W656),$W$2:$W$1001,0),1)&gt;=100000,INDEX($AD$1005:$AU$1005,1,MATCH(COLUMNS($AD$1006:AP1006),$AD$1006:$AU$1006,0))&gt;=100000), " ",IF(INDEX($AD$2:$AU$1001,MATCH(ROWS($W$2:W656),$W$2:$W$1001,0),MATCH(COLUMNS($AD$1006:AP1006),$AD$1006:$AU$1006,0)), HYPERLINK("#",""), HYPERLINK(CONCATENATE("#metadata!", ADDRESS(INDEX($Y$2:$Y$1001,MATCH(ROWS($W$2:W656),$W$2:$W$1001,0),0), INDEX($AD$1004:$AU$1004,1,MATCH(COLUMNS($AD$1006:AP1006),$AD$1006:$AU$1006,0)))),"Fix")))</f>
        <v xml:space="preserve"> </v>
      </c>
      <c r="O656" s="4" t="str">
        <f ca="1">IF(OR(INDEX($X$2:$X$1001,MATCH(ROWS($W$2:W656),$W$2:$W$1001,0),1)&gt;=100000,INDEX($AD$1005:$AU$1005,1,MATCH(COLUMNS($AD$1006:AQ1006),$AD$1006:$AU$1006,0))&gt;=100000), " ",IF(INDEX($AD$2:$AU$1001,MATCH(ROWS($W$2:W656),$W$2:$W$1001,0),MATCH(COLUMNS($AD$1006:AQ1006),$AD$1006:$AU$1006,0)), HYPERLINK("#",""), HYPERLINK(CONCATENATE("#metadata!", ADDRESS(INDEX($Y$2:$Y$1001,MATCH(ROWS($W$2:W656),$W$2:$W$1001,0),0), INDEX($AD$1004:$AU$1004,1,MATCH(COLUMNS($AD$1006:AQ1006),$AD$1006:$AU$1006,0)))),"Fix")))</f>
        <v xml:space="preserve"> </v>
      </c>
      <c r="P656" s="4" t="str">
        <f ca="1">IF(OR(INDEX($X$2:$X$1001,MATCH(ROWS($W$2:W656),$W$2:$W$1001,0),1)&gt;=100000,INDEX($AD$1005:$AU$1005,1,MATCH(COLUMNS($AD$1006:AR1006),$AD$1006:$AU$1006,0))&gt;=100000), " ",IF(INDEX($AD$2:$AU$1001,MATCH(ROWS($W$2:W656),$W$2:$W$1001,0),MATCH(COLUMNS($AD$1006:AR1006),$AD$1006:$AU$1006,0)), HYPERLINK("#",""), HYPERLINK(CONCATENATE("#metadata!", ADDRESS(INDEX($Y$2:$Y$1001,MATCH(ROWS($W$2:W656),$W$2:$W$1001,0),0), INDEX($AD$1004:$AU$1004,1,MATCH(COLUMNS($AD$1006:AR1006),$AD$1006:$AU$1006,0)))),"Fix")))</f>
        <v xml:space="preserve"> </v>
      </c>
      <c r="Q656" s="4" t="str">
        <f ca="1">IF(OR(INDEX($X$2:$X$1001,MATCH(ROWS($W$2:W656),$W$2:$W$1001,0),1)&gt;=100000,INDEX($AD$1005:$AU$1005,1,MATCH(COLUMNS($AD$1006:AS1006),$AD$1006:$AU$1006,0))&gt;=100000), " ",IF(INDEX($AD$2:$AU$1001,MATCH(ROWS($W$2:W656),$W$2:$W$1001,0),MATCH(COLUMNS($AD$1006:AS1006),$AD$1006:$AU$1006,0)), HYPERLINK("#",""), HYPERLINK(CONCATENATE("#metadata!", ADDRESS(INDEX($Y$2:$Y$1001,MATCH(ROWS($W$2:W656),$W$2:$W$1001,0),0), INDEX($AD$1004:$AU$1004,1,MATCH(COLUMNS($AD$1006:AS1006),$AD$1006:$AU$1006,0)))),"Fix")))</f>
        <v xml:space="preserve"> </v>
      </c>
      <c r="R656" s="4" t="str">
        <f ca="1">IF(OR(INDEX($X$2:$X$1001,MATCH(ROWS($W$2:W656),$W$2:$W$1001,0),1)&gt;=100000,INDEX($AD$1005:$AU$1005,1,MATCH(COLUMNS($AD$1006:AT1006),$AD$1006:$AU$1006,0))&gt;=100000), " ",IF(INDEX($AD$2:$AU$1001,MATCH(ROWS($W$2:W656),$W$2:$W$1001,0),MATCH(COLUMNS($AD$1006:AT1006),$AD$1006:$AU$1006,0)), HYPERLINK("#",""), HYPERLINK(CONCATENATE("#metadata!", ADDRESS(INDEX($Y$2:$Y$1001,MATCH(ROWS($W$2:W656),$W$2:$W$1001,0),0), INDEX($AD$1004:$AU$1004,1,MATCH(COLUMNS($AD$1006:AT1006),$AD$1006:$AU$1006,0)))),"Fix")))</f>
        <v xml:space="preserve"> </v>
      </c>
      <c r="S656" s="4" t="str">
        <f ca="1">IF(OR(INDEX($X$2:$X$1001,MATCH(ROWS($W$2:W656),$W$2:$W$1001,0),1)&gt;=100000,INDEX($AD$1005:$AU$1005,1,MATCH(COLUMNS($AD$1006:AU1006),$AD$1006:$AU$1006,0))&gt;=100000), " ",IF(INDEX($AD$2:$AU$1001,MATCH(ROWS($W$2:W656),$W$2:$W$1001,0),MATCH(COLUMNS($AD$1006:AU1006),$AD$1006:$AU$1006,0)), HYPERLINK("#",""), HYPERLINK(CONCATENATE("#metadata!", ADDRESS(INDEX($Y$2:$Y$1001,MATCH(ROWS($W$2:W656),$W$2:$W$1001,0),0), INDEX($AD$1004:$AU$1004,1,MATCH(COLUMNS($AD$1006:AU1006),$AD$1006:$AU$1006,0)))),"Fix")))</f>
        <v xml:space="preserve"> </v>
      </c>
      <c r="W656">
        <v>655</v>
      </c>
      <c r="X656">
        <v>100656</v>
      </c>
      <c r="Y656">
        <v>656</v>
      </c>
      <c r="Z656" t="b">
        <f t="shared" si="10"/>
        <v>1</v>
      </c>
      <c r="AA656" t="b">
        <f>COUNTBLANK(metadata!B656:S656)=COLUMNS(metadata!B656:S656)</f>
        <v>1</v>
      </c>
      <c r="AB656" t="str">
        <v/>
      </c>
      <c r="AD656" t="b">
        <f ca="1">AND(IF(metadata!B656="",FALSE,TRUE),COUNTIF(metadata!B:B, metadata!B656) = 1,NOT(ISERROR(SUMPRODUCT(SEARCH(MID(metadata!B656,ROW(INDIRECT("1:"&amp;LEN(metadata!B656))), 1),"0123456789abcdefghijklmnopqrstuvwxyzABCDEFGHIJKLMNOPQRSTUVWXYZ.")))))</f>
        <v>0</v>
      </c>
      <c r="AE656" t="b">
        <f>OR(AND(IF(metadata!C656="",FALSE,TRUE),OR(EXACT(metadata!C656,"not applicable"),EXACT(metadata!C656,"missing: not collected"),EXACT(metadata!C656,"missing: not provided"),EXACT(metadata!C656,"missing: restricted access"))),AND(IF(metadata!C656="",FALSE,ISNUMBER(VALUE(metadata!C656))),metadata!C656&gt;0))</f>
        <v>0</v>
      </c>
      <c r="AF656" t="b">
        <f>AND(IF(metadata!D656="",FALSE,TRUE),EXACT(metadata!D656,"missing: not provided"))</f>
        <v>0</v>
      </c>
      <c r="AG656" t="b">
        <f>AND(IF(metadata!E656="",FALSE,TRUE),EXACT(metadata!E656,"Host-associated"))</f>
        <v>0</v>
      </c>
      <c r="AH656" t="b">
        <f>AND(IF(metadata!F656="",FALSE,TRUE),OR(EXACT(metadata!F656,"Animal"),EXACT(metadata!F656,"Fungus"),EXACT(metadata!F656,"Plant")))</f>
        <v>0</v>
      </c>
      <c r="AI656" t="b">
        <f>AND(IF(metadata!G656="",FALSE,TRUE),OR(EXACT(metadata!G656,"Plant secretion"),EXACT(metadata!G656,"Plant rhizosphere"),EXACT(metadata!G656,"Plant surface"),EXACT(metadata!G656,"Plant corpus"),EXACT(metadata!G656,"Fungus surface"),EXACT(metadata!G656,"Fungus corpus"),EXACT(metadata!G656,"Animal surface"),EXACT(metadata!G656,"Animal proximal gut"),EXACT(metadata!G656,"Animal corpus"),EXACT(metadata!G656,"Animal distal gut"),EXACT(metadata!G656,"Animal secretion")))</f>
        <v>0</v>
      </c>
      <c r="AJ656" t="b">
        <f>OR(AND(IF(metadata!H656="",FALSE,TRUE),OR(EXACT(metadata!H656,"missing: not collected"),EXACT(metadata!H656,"missing: not provided"),EXACT(metadata!H656,"missing: restricted access"))),AND(IF(metadata!H656="",FALSE,TRUE),OR(EXACT(metadata!H656,"organism-associated habitat"),EXACT(metadata!H656,"plant-associated habitat"),EXACT(metadata!H656,"animal-associated habitat"),EXACT(metadata!H656,"insecta-associated habitat"),EXACT(metadata!H656,"mammalia-associated habitat"),EXACT(metadata!H656,"human-associated habitat"),EXACT(metadata!H656,"livestock-associated habitat"))))</f>
        <v>0</v>
      </c>
      <c r="AK656" t="b">
        <f>AND(IF(metadata!I656="",FALSE,TRUE),EXACT(metadata!I656,"host-associated"))</f>
        <v>0</v>
      </c>
      <c r="AL656" t="b">
        <f>OR(AND(IF(metadata!J656="",FALSE,TRUE),OR(EXACT(metadata!J656,"not applicable"),EXACT(metadata!J656,"missing: not collected"),EXACT(metadata!J656,"missing: not provided"),EXACT(metadata!J656,"missing: restricted access"))),AND(IF(metadata!J656="",FALSE,ISNUMBER(VALUE(metadata!J656))),metadata!J656&gt;0))</f>
        <v>0</v>
      </c>
      <c r="AM656" t="b">
        <f>AND(IF(metadata!K656="",FALSE,TRUE),EXACT(metadata!K656,"missing: not provided"))</f>
        <v>0</v>
      </c>
      <c r="AN656" t="b">
        <f>IF(metadata!L656="",FALSE,TRUE)</f>
        <v>0</v>
      </c>
      <c r="AO656" t="b">
        <f>IF(metadata!M656="",FALSE,TRUE)</f>
        <v>0</v>
      </c>
      <c r="AP656" t="b">
        <f>OR(AND(IF(metadata!N656="",FALSE,TRUE),OR(EXACT(metadata!N656,"not applicable"),EXACT(metadata!N656,"missing: not collected"),EXACT(metadata!N656,"missing: not provided"))),AND(IF(metadata!N656="",FALSE,IF(ISERROR(INT(metadata!N656)),FALSE,INT(metadata!N656)=metadata!N656)),metadata!N656&gt;0))</f>
        <v>0</v>
      </c>
      <c r="AQ656" t="b">
        <f>AND(IF(metadata!O656="",FALSE,TRUE),EXACT(metadata!O656,"Not applicable"))</f>
        <v>0</v>
      </c>
      <c r="AR656" t="b">
        <f>OR(AND(IF(metadata!P656="",FALSE,TRUE),OR(EXACT(metadata!P656,"not applicable"),EXACT(metadata!P656,"missing: not collected"),EXACT(metadata!P656,"missing: not provided"),EXACT(metadata!P656,"missing: restricted access"))),IF(metadata!P656="",FALSE,IF(ISERROR(INT(metadata!P656)),FALSE,INT(metadata!P656)=metadata!P656)))</f>
        <v>0</v>
      </c>
      <c r="AS656" t="b">
        <f>AND(IF(metadata!Q656="",FALSE,TRUE),EXACT(metadata!Q656,"Not applicable"))</f>
        <v>0</v>
      </c>
      <c r="AT656" t="b">
        <f>OR(AND(IF(metadata!R656="",FALSE,TRUE),OR(EXACT(metadata!R656,"not applicable"),EXACT(metadata!R656,"missing: not collected"),EXACT(metadata!R656,"missing: not provided"),EXACT(metadata!R656,"missing: restricted access"))),AND(IF(metadata!R656="",FALSE,ISNUMBER(VALUE(metadata!R656))),metadata!R656&gt;0))</f>
        <v>0</v>
      </c>
      <c r="AU656" t="b">
        <f>AND(IF(metadata!S656="",FALSE,TRUE),EXACT(metadata!S656,"missing: not provided"))</f>
        <v>0</v>
      </c>
    </row>
    <row r="657" spans="1:47" x14ac:dyDescent="0.2">
      <c r="A657" s="5" t="str">
        <f ca="1">IF(B657=" "," ",HYPERLINK(CONCATENATE("#metadata!",ADDRESS(INDEX($Y$2:$Y$1001,MATCH(ROWS($W$2:W657),$W$2:$W$1001,0),0),1)),INDEX($AB$2:$AB$1001,MATCH(ROWS($W$2:W657),$W$2:$W$1001,0),0)))</f>
        <v xml:space="preserve"> </v>
      </c>
      <c r="B657" s="4" t="str">
        <f ca="1">IF(OR(INDEX($X$2:$X$1001,MATCH(ROWS($W$2:W657),$W$2:$W$1001,0),1)&gt;=100000,INDEX($AD$1005:$AU$1005,1,MATCH(COLUMNS($AD$1006:AD1006),$AD$1006:$AU$1006,0))&gt;=100000), " ",IF(INDEX($AD$2:$AU$1001,MATCH(ROWS($W$2:W657),$W$2:$W$1001,0),MATCH(COLUMNS($AD$1006:AD1006),$AD$1006:$AU$1006,0)), HYPERLINK("#",""), HYPERLINK(CONCATENATE("#metadata!", ADDRESS(INDEX($Y$2:$Y$1001,MATCH(ROWS($W$2:W657),$W$2:$W$1001,0),0), INDEX($AD$1004:$AU$1004,1,MATCH(COLUMNS($AD$1006:AD1006),$AD$1006:$AU$1006,0)))),"Fix")))</f>
        <v xml:space="preserve"> </v>
      </c>
      <c r="C657" s="4" t="str">
        <f ca="1">IF(OR(INDEX($X$2:$X$1001,MATCH(ROWS($W$2:W657),$W$2:$W$1001,0),1)&gt;=100000,INDEX($AD$1005:$AU$1005,1,MATCH(COLUMNS($AD$1006:AE1006),$AD$1006:$AU$1006,0))&gt;=100000), " ",IF(INDEX($AD$2:$AU$1001,MATCH(ROWS($W$2:W657),$W$2:$W$1001,0),MATCH(COLUMNS($AD$1006:AE1006),$AD$1006:$AU$1006,0)), HYPERLINK("#",""), HYPERLINK(CONCATENATE("#metadata!", ADDRESS(INDEX($Y$2:$Y$1001,MATCH(ROWS($W$2:W657),$W$2:$W$1001,0),0), INDEX($AD$1004:$AU$1004,1,MATCH(COLUMNS($AD$1006:AE1006),$AD$1006:$AU$1006,0)))),"Fix")))</f>
        <v xml:space="preserve"> </v>
      </c>
      <c r="D657" s="4" t="str">
        <f ca="1">IF(OR(INDEX($X$2:$X$1001,MATCH(ROWS($W$2:W657),$W$2:$W$1001,0),1)&gt;=100000,INDEX($AD$1005:$AU$1005,1,MATCH(COLUMNS($AD$1006:AF1006),$AD$1006:$AU$1006,0))&gt;=100000), " ",IF(INDEX($AD$2:$AU$1001,MATCH(ROWS($W$2:W657),$W$2:$W$1001,0),MATCH(COLUMNS($AD$1006:AF1006),$AD$1006:$AU$1006,0)), HYPERLINK("#",""), HYPERLINK(CONCATENATE("#metadata!", ADDRESS(INDEX($Y$2:$Y$1001,MATCH(ROWS($W$2:W657),$W$2:$W$1001,0),0), INDEX($AD$1004:$AU$1004,1,MATCH(COLUMNS($AD$1006:AF1006),$AD$1006:$AU$1006,0)))),"Fix")))</f>
        <v xml:space="preserve"> </v>
      </c>
      <c r="E657" s="4" t="str">
        <f ca="1">IF(OR(INDEX($X$2:$X$1001,MATCH(ROWS($W$2:W657),$W$2:$W$1001,0),1)&gt;=100000,INDEX($AD$1005:$AU$1005,1,MATCH(COLUMNS($AD$1006:AG1006),$AD$1006:$AU$1006,0))&gt;=100000), " ",IF(INDEX($AD$2:$AU$1001,MATCH(ROWS($W$2:W657),$W$2:$W$1001,0),MATCH(COLUMNS($AD$1006:AG1006),$AD$1006:$AU$1006,0)), HYPERLINK("#",""), HYPERLINK(CONCATENATE("#metadata!", ADDRESS(INDEX($Y$2:$Y$1001,MATCH(ROWS($W$2:W657),$W$2:$W$1001,0),0), INDEX($AD$1004:$AU$1004,1,MATCH(COLUMNS($AD$1006:AG1006),$AD$1006:$AU$1006,0)))),"Fix")))</f>
        <v xml:space="preserve"> </v>
      </c>
      <c r="F657" s="4" t="str">
        <f ca="1">IF(OR(INDEX($X$2:$X$1001,MATCH(ROWS($W$2:W657),$W$2:$W$1001,0),1)&gt;=100000,INDEX($AD$1005:$AU$1005,1,MATCH(COLUMNS($AD$1006:AH1006),$AD$1006:$AU$1006,0))&gt;=100000), " ",IF(INDEX($AD$2:$AU$1001,MATCH(ROWS($W$2:W657),$W$2:$W$1001,0),MATCH(COLUMNS($AD$1006:AH1006),$AD$1006:$AU$1006,0)), HYPERLINK("#",""), HYPERLINK(CONCATENATE("#metadata!", ADDRESS(INDEX($Y$2:$Y$1001,MATCH(ROWS($W$2:W657),$W$2:$W$1001,0),0), INDEX($AD$1004:$AU$1004,1,MATCH(COLUMNS($AD$1006:AH1006),$AD$1006:$AU$1006,0)))),"Fix")))</f>
        <v xml:space="preserve"> </v>
      </c>
      <c r="G657" s="4" t="str">
        <f ca="1">IF(OR(INDEX($X$2:$X$1001,MATCH(ROWS($W$2:W657),$W$2:$W$1001,0),1)&gt;=100000,INDEX($AD$1005:$AU$1005,1,MATCH(COLUMNS($AD$1006:AI1006),$AD$1006:$AU$1006,0))&gt;=100000), " ",IF(INDEX($AD$2:$AU$1001,MATCH(ROWS($W$2:W657),$W$2:$W$1001,0),MATCH(COLUMNS($AD$1006:AI1006),$AD$1006:$AU$1006,0)), HYPERLINK("#",""), HYPERLINK(CONCATENATE("#metadata!", ADDRESS(INDEX($Y$2:$Y$1001,MATCH(ROWS($W$2:W657),$W$2:$W$1001,0),0), INDEX($AD$1004:$AU$1004,1,MATCH(COLUMNS($AD$1006:AI1006),$AD$1006:$AU$1006,0)))),"Fix")))</f>
        <v xml:space="preserve"> </v>
      </c>
      <c r="H657" s="4" t="str">
        <f ca="1">IF(OR(INDEX($X$2:$X$1001,MATCH(ROWS($W$2:W657),$W$2:$W$1001,0),1)&gt;=100000,INDEX($AD$1005:$AU$1005,1,MATCH(COLUMNS($AD$1006:AJ1006),$AD$1006:$AU$1006,0))&gt;=100000), " ",IF(INDEX($AD$2:$AU$1001,MATCH(ROWS($W$2:W657),$W$2:$W$1001,0),MATCH(COLUMNS($AD$1006:AJ1006),$AD$1006:$AU$1006,0)), HYPERLINK("#",""), HYPERLINK(CONCATENATE("#metadata!", ADDRESS(INDEX($Y$2:$Y$1001,MATCH(ROWS($W$2:W657),$W$2:$W$1001,0),0), INDEX($AD$1004:$AU$1004,1,MATCH(COLUMNS($AD$1006:AJ1006),$AD$1006:$AU$1006,0)))),"Fix")))</f>
        <v xml:space="preserve"> </v>
      </c>
      <c r="I657" s="4" t="str">
        <f ca="1">IF(OR(INDEX($X$2:$X$1001,MATCH(ROWS($W$2:W657),$W$2:$W$1001,0),1)&gt;=100000,INDEX($AD$1005:$AU$1005,1,MATCH(COLUMNS($AD$1006:AK1006),$AD$1006:$AU$1006,0))&gt;=100000), " ",IF(INDEX($AD$2:$AU$1001,MATCH(ROWS($W$2:W657),$W$2:$W$1001,0),MATCH(COLUMNS($AD$1006:AK1006),$AD$1006:$AU$1006,0)), HYPERLINK("#",""), HYPERLINK(CONCATENATE("#metadata!", ADDRESS(INDEX($Y$2:$Y$1001,MATCH(ROWS($W$2:W657),$W$2:$W$1001,0),0), INDEX($AD$1004:$AU$1004,1,MATCH(COLUMNS($AD$1006:AK1006),$AD$1006:$AU$1006,0)))),"Fix")))</f>
        <v xml:space="preserve"> </v>
      </c>
      <c r="J657" s="4" t="str">
        <f ca="1">IF(OR(INDEX($X$2:$X$1001,MATCH(ROWS($W$2:W657),$W$2:$W$1001,0),1)&gt;=100000,INDEX($AD$1005:$AU$1005,1,MATCH(COLUMNS($AD$1006:AL1006),$AD$1006:$AU$1006,0))&gt;=100000), " ",IF(INDEX($AD$2:$AU$1001,MATCH(ROWS($W$2:W657),$W$2:$W$1001,0),MATCH(COLUMNS($AD$1006:AL1006),$AD$1006:$AU$1006,0)), HYPERLINK("#",""), HYPERLINK(CONCATENATE("#metadata!", ADDRESS(INDEX($Y$2:$Y$1001,MATCH(ROWS($W$2:W657),$W$2:$W$1001,0),0), INDEX($AD$1004:$AU$1004,1,MATCH(COLUMNS($AD$1006:AL1006),$AD$1006:$AU$1006,0)))),"Fix")))</f>
        <v xml:space="preserve"> </v>
      </c>
      <c r="K657" s="4" t="str">
        <f ca="1">IF(OR(INDEX($X$2:$X$1001,MATCH(ROWS($W$2:W657),$W$2:$W$1001,0),1)&gt;=100000,INDEX($AD$1005:$AU$1005,1,MATCH(COLUMNS($AD$1006:AM1006),$AD$1006:$AU$1006,0))&gt;=100000), " ",IF(INDEX($AD$2:$AU$1001,MATCH(ROWS($W$2:W657),$W$2:$W$1001,0),MATCH(COLUMNS($AD$1006:AM1006),$AD$1006:$AU$1006,0)), HYPERLINK("#",""), HYPERLINK(CONCATENATE("#metadata!", ADDRESS(INDEX($Y$2:$Y$1001,MATCH(ROWS($W$2:W657),$W$2:$W$1001,0),0), INDEX($AD$1004:$AU$1004,1,MATCH(COLUMNS($AD$1006:AM1006),$AD$1006:$AU$1006,0)))),"Fix")))</f>
        <v xml:space="preserve"> </v>
      </c>
      <c r="L657" s="4" t="str">
        <f ca="1">IF(OR(INDEX($X$2:$X$1001,MATCH(ROWS($W$2:W657),$W$2:$W$1001,0),1)&gt;=100000,INDEX($AD$1005:$AU$1005,1,MATCH(COLUMNS($AD$1006:AN1006),$AD$1006:$AU$1006,0))&gt;=100000), " ",IF(INDEX($AD$2:$AU$1001,MATCH(ROWS($W$2:W657),$W$2:$W$1001,0),MATCH(COLUMNS($AD$1006:AN1006),$AD$1006:$AU$1006,0)), HYPERLINK("#",""), HYPERLINK(CONCATENATE("#metadata!", ADDRESS(INDEX($Y$2:$Y$1001,MATCH(ROWS($W$2:W657),$W$2:$W$1001,0),0), INDEX($AD$1004:$AU$1004,1,MATCH(COLUMNS($AD$1006:AN1006),$AD$1006:$AU$1006,0)))),"Fix")))</f>
        <v xml:space="preserve"> </v>
      </c>
      <c r="M657" s="4" t="str">
        <f ca="1">IF(OR(INDEX($X$2:$X$1001,MATCH(ROWS($W$2:W657),$W$2:$W$1001,0),1)&gt;=100000,INDEX($AD$1005:$AU$1005,1,MATCH(COLUMNS($AD$1006:AO1006),$AD$1006:$AU$1006,0))&gt;=100000), " ",IF(INDEX($AD$2:$AU$1001,MATCH(ROWS($W$2:W657),$W$2:$W$1001,0),MATCH(COLUMNS($AD$1006:AO1006),$AD$1006:$AU$1006,0)), HYPERLINK("#",""), HYPERLINK(CONCATENATE("#metadata!", ADDRESS(INDEX($Y$2:$Y$1001,MATCH(ROWS($W$2:W657),$W$2:$W$1001,0),0), INDEX($AD$1004:$AU$1004,1,MATCH(COLUMNS($AD$1006:AO1006),$AD$1006:$AU$1006,0)))),"Fix")))</f>
        <v xml:space="preserve"> </v>
      </c>
      <c r="N657" s="4" t="str">
        <f ca="1">IF(OR(INDEX($X$2:$X$1001,MATCH(ROWS($W$2:W657),$W$2:$W$1001,0),1)&gt;=100000,INDEX($AD$1005:$AU$1005,1,MATCH(COLUMNS($AD$1006:AP1006),$AD$1006:$AU$1006,0))&gt;=100000), " ",IF(INDEX($AD$2:$AU$1001,MATCH(ROWS($W$2:W657),$W$2:$W$1001,0),MATCH(COLUMNS($AD$1006:AP1006),$AD$1006:$AU$1006,0)), HYPERLINK("#",""), HYPERLINK(CONCATENATE("#metadata!", ADDRESS(INDEX($Y$2:$Y$1001,MATCH(ROWS($W$2:W657),$W$2:$W$1001,0),0), INDEX($AD$1004:$AU$1004,1,MATCH(COLUMNS($AD$1006:AP1006),$AD$1006:$AU$1006,0)))),"Fix")))</f>
        <v xml:space="preserve"> </v>
      </c>
      <c r="O657" s="4" t="str">
        <f ca="1">IF(OR(INDEX($X$2:$X$1001,MATCH(ROWS($W$2:W657),$W$2:$W$1001,0),1)&gt;=100000,INDEX($AD$1005:$AU$1005,1,MATCH(COLUMNS($AD$1006:AQ1006),$AD$1006:$AU$1006,0))&gt;=100000), " ",IF(INDEX($AD$2:$AU$1001,MATCH(ROWS($W$2:W657),$W$2:$W$1001,0),MATCH(COLUMNS($AD$1006:AQ1006),$AD$1006:$AU$1006,0)), HYPERLINK("#",""), HYPERLINK(CONCATENATE("#metadata!", ADDRESS(INDEX($Y$2:$Y$1001,MATCH(ROWS($W$2:W657),$W$2:$W$1001,0),0), INDEX($AD$1004:$AU$1004,1,MATCH(COLUMNS($AD$1006:AQ1006),$AD$1006:$AU$1006,0)))),"Fix")))</f>
        <v xml:space="preserve"> </v>
      </c>
      <c r="P657" s="4" t="str">
        <f ca="1">IF(OR(INDEX($X$2:$X$1001,MATCH(ROWS($W$2:W657),$W$2:$W$1001,0),1)&gt;=100000,INDEX($AD$1005:$AU$1005,1,MATCH(COLUMNS($AD$1006:AR1006),$AD$1006:$AU$1006,0))&gt;=100000), " ",IF(INDEX($AD$2:$AU$1001,MATCH(ROWS($W$2:W657),$W$2:$W$1001,0),MATCH(COLUMNS($AD$1006:AR1006),$AD$1006:$AU$1006,0)), HYPERLINK("#",""), HYPERLINK(CONCATENATE("#metadata!", ADDRESS(INDEX($Y$2:$Y$1001,MATCH(ROWS($W$2:W657),$W$2:$W$1001,0),0), INDEX($AD$1004:$AU$1004,1,MATCH(COLUMNS($AD$1006:AR1006),$AD$1006:$AU$1006,0)))),"Fix")))</f>
        <v xml:space="preserve"> </v>
      </c>
      <c r="Q657" s="4" t="str">
        <f ca="1">IF(OR(INDEX($X$2:$X$1001,MATCH(ROWS($W$2:W657),$W$2:$W$1001,0),1)&gt;=100000,INDEX($AD$1005:$AU$1005,1,MATCH(COLUMNS($AD$1006:AS1006),$AD$1006:$AU$1006,0))&gt;=100000), " ",IF(INDEX($AD$2:$AU$1001,MATCH(ROWS($W$2:W657),$W$2:$W$1001,0),MATCH(COLUMNS($AD$1006:AS1006),$AD$1006:$AU$1006,0)), HYPERLINK("#",""), HYPERLINK(CONCATENATE("#metadata!", ADDRESS(INDEX($Y$2:$Y$1001,MATCH(ROWS($W$2:W657),$W$2:$W$1001,0),0), INDEX($AD$1004:$AU$1004,1,MATCH(COLUMNS($AD$1006:AS1006),$AD$1006:$AU$1006,0)))),"Fix")))</f>
        <v xml:space="preserve"> </v>
      </c>
      <c r="R657" s="4" t="str">
        <f ca="1">IF(OR(INDEX($X$2:$X$1001,MATCH(ROWS($W$2:W657),$W$2:$W$1001,0),1)&gt;=100000,INDEX($AD$1005:$AU$1005,1,MATCH(COLUMNS($AD$1006:AT1006),$AD$1006:$AU$1006,0))&gt;=100000), " ",IF(INDEX($AD$2:$AU$1001,MATCH(ROWS($W$2:W657),$W$2:$W$1001,0),MATCH(COLUMNS($AD$1006:AT1006),$AD$1006:$AU$1006,0)), HYPERLINK("#",""), HYPERLINK(CONCATENATE("#metadata!", ADDRESS(INDEX($Y$2:$Y$1001,MATCH(ROWS($W$2:W657),$W$2:$W$1001,0),0), INDEX($AD$1004:$AU$1004,1,MATCH(COLUMNS($AD$1006:AT1006),$AD$1006:$AU$1006,0)))),"Fix")))</f>
        <v xml:space="preserve"> </v>
      </c>
      <c r="S657" s="4" t="str">
        <f ca="1">IF(OR(INDEX($X$2:$X$1001,MATCH(ROWS($W$2:W657),$W$2:$W$1001,0),1)&gt;=100000,INDEX($AD$1005:$AU$1005,1,MATCH(COLUMNS($AD$1006:AU1006),$AD$1006:$AU$1006,0))&gt;=100000), " ",IF(INDEX($AD$2:$AU$1001,MATCH(ROWS($W$2:W657),$W$2:$W$1001,0),MATCH(COLUMNS($AD$1006:AU1006),$AD$1006:$AU$1006,0)), HYPERLINK("#",""), HYPERLINK(CONCATENATE("#metadata!", ADDRESS(INDEX($Y$2:$Y$1001,MATCH(ROWS($W$2:W657),$W$2:$W$1001,0),0), INDEX($AD$1004:$AU$1004,1,MATCH(COLUMNS($AD$1006:AU1006),$AD$1006:$AU$1006,0)))),"Fix")))</f>
        <v xml:space="preserve"> </v>
      </c>
      <c r="W657">
        <v>656</v>
      </c>
      <c r="X657">
        <v>100657</v>
      </c>
      <c r="Y657">
        <v>657</v>
      </c>
      <c r="Z657" t="b">
        <f t="shared" si="10"/>
        <v>1</v>
      </c>
      <c r="AA657" t="b">
        <f>COUNTBLANK(metadata!B657:S657)=COLUMNS(metadata!B657:S657)</f>
        <v>1</v>
      </c>
      <c r="AB657" t="str">
        <v/>
      </c>
      <c r="AD657" t="b">
        <f ca="1">AND(IF(metadata!B657="",FALSE,TRUE),COUNTIF(metadata!B:B, metadata!B657) = 1,NOT(ISERROR(SUMPRODUCT(SEARCH(MID(metadata!B657,ROW(INDIRECT("1:"&amp;LEN(metadata!B657))), 1),"0123456789abcdefghijklmnopqrstuvwxyzABCDEFGHIJKLMNOPQRSTUVWXYZ.")))))</f>
        <v>0</v>
      </c>
      <c r="AE657" t="b">
        <f>OR(AND(IF(metadata!C657="",FALSE,TRUE),OR(EXACT(metadata!C657,"not applicable"),EXACT(metadata!C657,"missing: not collected"),EXACT(metadata!C657,"missing: not provided"),EXACT(metadata!C657,"missing: restricted access"))),AND(IF(metadata!C657="",FALSE,ISNUMBER(VALUE(metadata!C657))),metadata!C657&gt;0))</f>
        <v>0</v>
      </c>
      <c r="AF657" t="b">
        <f>AND(IF(metadata!D657="",FALSE,TRUE),EXACT(metadata!D657,"missing: not provided"))</f>
        <v>0</v>
      </c>
      <c r="AG657" t="b">
        <f>AND(IF(metadata!E657="",FALSE,TRUE),EXACT(metadata!E657,"Host-associated"))</f>
        <v>0</v>
      </c>
      <c r="AH657" t="b">
        <f>AND(IF(metadata!F657="",FALSE,TRUE),OR(EXACT(metadata!F657,"Animal"),EXACT(metadata!F657,"Fungus"),EXACT(metadata!F657,"Plant")))</f>
        <v>0</v>
      </c>
      <c r="AI657" t="b">
        <f>AND(IF(metadata!G657="",FALSE,TRUE),OR(EXACT(metadata!G657,"Plant secretion"),EXACT(metadata!G657,"Plant rhizosphere"),EXACT(metadata!G657,"Plant surface"),EXACT(metadata!G657,"Plant corpus"),EXACT(metadata!G657,"Fungus surface"),EXACT(metadata!G657,"Fungus corpus"),EXACT(metadata!G657,"Animal surface"),EXACT(metadata!G657,"Animal proximal gut"),EXACT(metadata!G657,"Animal corpus"),EXACT(metadata!G657,"Animal distal gut"),EXACT(metadata!G657,"Animal secretion")))</f>
        <v>0</v>
      </c>
      <c r="AJ657" t="b">
        <f>OR(AND(IF(metadata!H657="",FALSE,TRUE),OR(EXACT(metadata!H657,"missing: not collected"),EXACT(metadata!H657,"missing: not provided"),EXACT(metadata!H657,"missing: restricted access"))),AND(IF(metadata!H657="",FALSE,TRUE),OR(EXACT(metadata!H657,"organism-associated habitat"),EXACT(metadata!H657,"plant-associated habitat"),EXACT(metadata!H657,"animal-associated habitat"),EXACT(metadata!H657,"insecta-associated habitat"),EXACT(metadata!H657,"mammalia-associated habitat"),EXACT(metadata!H657,"human-associated habitat"),EXACT(metadata!H657,"livestock-associated habitat"))))</f>
        <v>0</v>
      </c>
      <c r="AK657" t="b">
        <f>AND(IF(metadata!I657="",FALSE,TRUE),EXACT(metadata!I657,"host-associated"))</f>
        <v>0</v>
      </c>
      <c r="AL657" t="b">
        <f>OR(AND(IF(metadata!J657="",FALSE,TRUE),OR(EXACT(metadata!J657,"not applicable"),EXACT(metadata!J657,"missing: not collected"),EXACT(metadata!J657,"missing: not provided"),EXACT(metadata!J657,"missing: restricted access"))),AND(IF(metadata!J657="",FALSE,ISNUMBER(VALUE(metadata!J657))),metadata!J657&gt;0))</f>
        <v>0</v>
      </c>
      <c r="AM657" t="b">
        <f>AND(IF(metadata!K657="",FALSE,TRUE),EXACT(metadata!K657,"missing: not provided"))</f>
        <v>0</v>
      </c>
      <c r="AN657" t="b">
        <f>IF(metadata!L657="",FALSE,TRUE)</f>
        <v>0</v>
      </c>
      <c r="AO657" t="b">
        <f>IF(metadata!M657="",FALSE,TRUE)</f>
        <v>0</v>
      </c>
      <c r="AP657" t="b">
        <f>OR(AND(IF(metadata!N657="",FALSE,TRUE),OR(EXACT(metadata!N657,"not applicable"),EXACT(metadata!N657,"missing: not collected"),EXACT(metadata!N657,"missing: not provided"))),AND(IF(metadata!N657="",FALSE,IF(ISERROR(INT(metadata!N657)),FALSE,INT(metadata!N657)=metadata!N657)),metadata!N657&gt;0))</f>
        <v>0</v>
      </c>
      <c r="AQ657" t="b">
        <f>AND(IF(metadata!O657="",FALSE,TRUE),EXACT(metadata!O657,"Not applicable"))</f>
        <v>0</v>
      </c>
      <c r="AR657" t="b">
        <f>OR(AND(IF(metadata!P657="",FALSE,TRUE),OR(EXACT(metadata!P657,"not applicable"),EXACT(metadata!P657,"missing: not collected"),EXACT(metadata!P657,"missing: not provided"),EXACT(metadata!P657,"missing: restricted access"))),IF(metadata!P657="",FALSE,IF(ISERROR(INT(metadata!P657)),FALSE,INT(metadata!P657)=metadata!P657)))</f>
        <v>0</v>
      </c>
      <c r="AS657" t="b">
        <f>AND(IF(metadata!Q657="",FALSE,TRUE),EXACT(metadata!Q657,"Not applicable"))</f>
        <v>0</v>
      </c>
      <c r="AT657" t="b">
        <f>OR(AND(IF(metadata!R657="",FALSE,TRUE),OR(EXACT(metadata!R657,"not applicable"),EXACT(metadata!R657,"missing: not collected"),EXACT(metadata!R657,"missing: not provided"),EXACT(metadata!R657,"missing: restricted access"))),AND(IF(metadata!R657="",FALSE,ISNUMBER(VALUE(metadata!R657))),metadata!R657&gt;0))</f>
        <v>0</v>
      </c>
      <c r="AU657" t="b">
        <f>AND(IF(metadata!S657="",FALSE,TRUE),EXACT(metadata!S657,"missing: not provided"))</f>
        <v>0</v>
      </c>
    </row>
    <row r="658" spans="1:47" x14ac:dyDescent="0.2">
      <c r="A658" s="5" t="str">
        <f ca="1">IF(B658=" "," ",HYPERLINK(CONCATENATE("#metadata!",ADDRESS(INDEX($Y$2:$Y$1001,MATCH(ROWS($W$2:W658),$W$2:$W$1001,0),0),1)),INDEX($AB$2:$AB$1001,MATCH(ROWS($W$2:W658),$W$2:$W$1001,0),0)))</f>
        <v xml:space="preserve"> </v>
      </c>
      <c r="B658" s="4" t="str">
        <f ca="1">IF(OR(INDEX($X$2:$X$1001,MATCH(ROWS($W$2:W658),$W$2:$W$1001,0),1)&gt;=100000,INDEX($AD$1005:$AU$1005,1,MATCH(COLUMNS($AD$1006:AD1006),$AD$1006:$AU$1006,0))&gt;=100000), " ",IF(INDEX($AD$2:$AU$1001,MATCH(ROWS($W$2:W658),$W$2:$W$1001,0),MATCH(COLUMNS($AD$1006:AD1006),$AD$1006:$AU$1006,0)), HYPERLINK("#",""), HYPERLINK(CONCATENATE("#metadata!", ADDRESS(INDEX($Y$2:$Y$1001,MATCH(ROWS($W$2:W658),$W$2:$W$1001,0),0), INDEX($AD$1004:$AU$1004,1,MATCH(COLUMNS($AD$1006:AD1006),$AD$1006:$AU$1006,0)))),"Fix")))</f>
        <v xml:space="preserve"> </v>
      </c>
      <c r="C658" s="4" t="str">
        <f ca="1">IF(OR(INDEX($X$2:$X$1001,MATCH(ROWS($W$2:W658),$W$2:$W$1001,0),1)&gt;=100000,INDEX($AD$1005:$AU$1005,1,MATCH(COLUMNS($AD$1006:AE1006),$AD$1006:$AU$1006,0))&gt;=100000), " ",IF(INDEX($AD$2:$AU$1001,MATCH(ROWS($W$2:W658),$W$2:$W$1001,0),MATCH(COLUMNS($AD$1006:AE1006),$AD$1006:$AU$1006,0)), HYPERLINK("#",""), HYPERLINK(CONCATENATE("#metadata!", ADDRESS(INDEX($Y$2:$Y$1001,MATCH(ROWS($W$2:W658),$W$2:$W$1001,0),0), INDEX($AD$1004:$AU$1004,1,MATCH(COLUMNS($AD$1006:AE1006),$AD$1006:$AU$1006,0)))),"Fix")))</f>
        <v xml:space="preserve"> </v>
      </c>
      <c r="D658" s="4" t="str">
        <f ca="1">IF(OR(INDEX($X$2:$X$1001,MATCH(ROWS($W$2:W658),$W$2:$W$1001,0),1)&gt;=100000,INDEX($AD$1005:$AU$1005,1,MATCH(COLUMNS($AD$1006:AF1006),$AD$1006:$AU$1006,0))&gt;=100000), " ",IF(INDEX($AD$2:$AU$1001,MATCH(ROWS($W$2:W658),$W$2:$W$1001,0),MATCH(COLUMNS($AD$1006:AF1006),$AD$1006:$AU$1006,0)), HYPERLINK("#",""), HYPERLINK(CONCATENATE("#metadata!", ADDRESS(INDEX($Y$2:$Y$1001,MATCH(ROWS($W$2:W658),$W$2:$W$1001,0),0), INDEX($AD$1004:$AU$1004,1,MATCH(COLUMNS($AD$1006:AF1006),$AD$1006:$AU$1006,0)))),"Fix")))</f>
        <v xml:space="preserve"> </v>
      </c>
      <c r="E658" s="4" t="str">
        <f ca="1">IF(OR(INDEX($X$2:$X$1001,MATCH(ROWS($W$2:W658),$W$2:$W$1001,0),1)&gt;=100000,INDEX($AD$1005:$AU$1005,1,MATCH(COLUMNS($AD$1006:AG1006),$AD$1006:$AU$1006,0))&gt;=100000), " ",IF(INDEX($AD$2:$AU$1001,MATCH(ROWS($W$2:W658),$W$2:$W$1001,0),MATCH(COLUMNS($AD$1006:AG1006),$AD$1006:$AU$1006,0)), HYPERLINK("#",""), HYPERLINK(CONCATENATE("#metadata!", ADDRESS(INDEX($Y$2:$Y$1001,MATCH(ROWS($W$2:W658),$W$2:$W$1001,0),0), INDEX($AD$1004:$AU$1004,1,MATCH(COLUMNS($AD$1006:AG1006),$AD$1006:$AU$1006,0)))),"Fix")))</f>
        <v xml:space="preserve"> </v>
      </c>
      <c r="F658" s="4" t="str">
        <f ca="1">IF(OR(INDEX($X$2:$X$1001,MATCH(ROWS($W$2:W658),$W$2:$W$1001,0),1)&gt;=100000,INDEX($AD$1005:$AU$1005,1,MATCH(COLUMNS($AD$1006:AH1006),$AD$1006:$AU$1006,0))&gt;=100000), " ",IF(INDEX($AD$2:$AU$1001,MATCH(ROWS($W$2:W658),$W$2:$W$1001,0),MATCH(COLUMNS($AD$1006:AH1006),$AD$1006:$AU$1006,0)), HYPERLINK("#",""), HYPERLINK(CONCATENATE("#metadata!", ADDRESS(INDEX($Y$2:$Y$1001,MATCH(ROWS($W$2:W658),$W$2:$W$1001,0),0), INDEX($AD$1004:$AU$1004,1,MATCH(COLUMNS($AD$1006:AH1006),$AD$1006:$AU$1006,0)))),"Fix")))</f>
        <v xml:space="preserve"> </v>
      </c>
      <c r="G658" s="4" t="str">
        <f ca="1">IF(OR(INDEX($X$2:$X$1001,MATCH(ROWS($W$2:W658),$W$2:$W$1001,0),1)&gt;=100000,INDEX($AD$1005:$AU$1005,1,MATCH(COLUMNS($AD$1006:AI1006),$AD$1006:$AU$1006,0))&gt;=100000), " ",IF(INDEX($AD$2:$AU$1001,MATCH(ROWS($W$2:W658),$W$2:$W$1001,0),MATCH(COLUMNS($AD$1006:AI1006),$AD$1006:$AU$1006,0)), HYPERLINK("#",""), HYPERLINK(CONCATENATE("#metadata!", ADDRESS(INDEX($Y$2:$Y$1001,MATCH(ROWS($W$2:W658),$W$2:$W$1001,0),0), INDEX($AD$1004:$AU$1004,1,MATCH(COLUMNS($AD$1006:AI1006),$AD$1006:$AU$1006,0)))),"Fix")))</f>
        <v xml:space="preserve"> </v>
      </c>
      <c r="H658" s="4" t="str">
        <f ca="1">IF(OR(INDEX($X$2:$X$1001,MATCH(ROWS($W$2:W658),$W$2:$W$1001,0),1)&gt;=100000,INDEX($AD$1005:$AU$1005,1,MATCH(COLUMNS($AD$1006:AJ1006),$AD$1006:$AU$1006,0))&gt;=100000), " ",IF(INDEX($AD$2:$AU$1001,MATCH(ROWS($W$2:W658),$W$2:$W$1001,0),MATCH(COLUMNS($AD$1006:AJ1006),$AD$1006:$AU$1006,0)), HYPERLINK("#",""), HYPERLINK(CONCATENATE("#metadata!", ADDRESS(INDEX($Y$2:$Y$1001,MATCH(ROWS($W$2:W658),$W$2:$W$1001,0),0), INDEX($AD$1004:$AU$1004,1,MATCH(COLUMNS($AD$1006:AJ1006),$AD$1006:$AU$1006,0)))),"Fix")))</f>
        <v xml:space="preserve"> </v>
      </c>
      <c r="I658" s="4" t="str">
        <f ca="1">IF(OR(INDEX($X$2:$X$1001,MATCH(ROWS($W$2:W658),$W$2:$W$1001,0),1)&gt;=100000,INDEX($AD$1005:$AU$1005,1,MATCH(COLUMNS($AD$1006:AK1006),$AD$1006:$AU$1006,0))&gt;=100000), " ",IF(INDEX($AD$2:$AU$1001,MATCH(ROWS($W$2:W658),$W$2:$W$1001,0),MATCH(COLUMNS($AD$1006:AK1006),$AD$1006:$AU$1006,0)), HYPERLINK("#",""), HYPERLINK(CONCATENATE("#metadata!", ADDRESS(INDEX($Y$2:$Y$1001,MATCH(ROWS($W$2:W658),$W$2:$W$1001,0),0), INDEX($AD$1004:$AU$1004,1,MATCH(COLUMNS($AD$1006:AK1006),$AD$1006:$AU$1006,0)))),"Fix")))</f>
        <v xml:space="preserve"> </v>
      </c>
      <c r="J658" s="4" t="str">
        <f ca="1">IF(OR(INDEX($X$2:$X$1001,MATCH(ROWS($W$2:W658),$W$2:$W$1001,0),1)&gt;=100000,INDEX($AD$1005:$AU$1005,1,MATCH(COLUMNS($AD$1006:AL1006),$AD$1006:$AU$1006,0))&gt;=100000), " ",IF(INDEX($AD$2:$AU$1001,MATCH(ROWS($W$2:W658),$W$2:$W$1001,0),MATCH(COLUMNS($AD$1006:AL1006),$AD$1006:$AU$1006,0)), HYPERLINK("#",""), HYPERLINK(CONCATENATE("#metadata!", ADDRESS(INDEX($Y$2:$Y$1001,MATCH(ROWS($W$2:W658),$W$2:$W$1001,0),0), INDEX($AD$1004:$AU$1004,1,MATCH(COLUMNS($AD$1006:AL1006),$AD$1006:$AU$1006,0)))),"Fix")))</f>
        <v xml:space="preserve"> </v>
      </c>
      <c r="K658" s="4" t="str">
        <f ca="1">IF(OR(INDEX($X$2:$X$1001,MATCH(ROWS($W$2:W658),$W$2:$W$1001,0),1)&gt;=100000,INDEX($AD$1005:$AU$1005,1,MATCH(COLUMNS($AD$1006:AM1006),$AD$1006:$AU$1006,0))&gt;=100000), " ",IF(INDEX($AD$2:$AU$1001,MATCH(ROWS($W$2:W658),$W$2:$W$1001,0),MATCH(COLUMNS($AD$1006:AM1006),$AD$1006:$AU$1006,0)), HYPERLINK("#",""), HYPERLINK(CONCATENATE("#metadata!", ADDRESS(INDEX($Y$2:$Y$1001,MATCH(ROWS($W$2:W658),$W$2:$W$1001,0),0), INDEX($AD$1004:$AU$1004,1,MATCH(COLUMNS($AD$1006:AM1006),$AD$1006:$AU$1006,0)))),"Fix")))</f>
        <v xml:space="preserve"> </v>
      </c>
      <c r="L658" s="4" t="str">
        <f ca="1">IF(OR(INDEX($X$2:$X$1001,MATCH(ROWS($W$2:W658),$W$2:$W$1001,0),1)&gt;=100000,INDEX($AD$1005:$AU$1005,1,MATCH(COLUMNS($AD$1006:AN1006),$AD$1006:$AU$1006,0))&gt;=100000), " ",IF(INDEX($AD$2:$AU$1001,MATCH(ROWS($W$2:W658),$W$2:$W$1001,0),MATCH(COLUMNS($AD$1006:AN1006),$AD$1006:$AU$1006,0)), HYPERLINK("#",""), HYPERLINK(CONCATENATE("#metadata!", ADDRESS(INDEX($Y$2:$Y$1001,MATCH(ROWS($W$2:W658),$W$2:$W$1001,0),0), INDEX($AD$1004:$AU$1004,1,MATCH(COLUMNS($AD$1006:AN1006),$AD$1006:$AU$1006,0)))),"Fix")))</f>
        <v xml:space="preserve"> </v>
      </c>
      <c r="M658" s="4" t="str">
        <f ca="1">IF(OR(INDEX($X$2:$X$1001,MATCH(ROWS($W$2:W658),$W$2:$W$1001,0),1)&gt;=100000,INDEX($AD$1005:$AU$1005,1,MATCH(COLUMNS($AD$1006:AO1006),$AD$1006:$AU$1006,0))&gt;=100000), " ",IF(INDEX($AD$2:$AU$1001,MATCH(ROWS($W$2:W658),$W$2:$W$1001,0),MATCH(COLUMNS($AD$1006:AO1006),$AD$1006:$AU$1006,0)), HYPERLINK("#",""), HYPERLINK(CONCATENATE("#metadata!", ADDRESS(INDEX($Y$2:$Y$1001,MATCH(ROWS($W$2:W658),$W$2:$W$1001,0),0), INDEX($AD$1004:$AU$1004,1,MATCH(COLUMNS($AD$1006:AO1006),$AD$1006:$AU$1006,0)))),"Fix")))</f>
        <v xml:space="preserve"> </v>
      </c>
      <c r="N658" s="4" t="str">
        <f ca="1">IF(OR(INDEX($X$2:$X$1001,MATCH(ROWS($W$2:W658),$W$2:$W$1001,0),1)&gt;=100000,INDEX($AD$1005:$AU$1005,1,MATCH(COLUMNS($AD$1006:AP1006),$AD$1006:$AU$1006,0))&gt;=100000), " ",IF(INDEX($AD$2:$AU$1001,MATCH(ROWS($W$2:W658),$W$2:$W$1001,0),MATCH(COLUMNS($AD$1006:AP1006),$AD$1006:$AU$1006,0)), HYPERLINK("#",""), HYPERLINK(CONCATENATE("#metadata!", ADDRESS(INDEX($Y$2:$Y$1001,MATCH(ROWS($W$2:W658),$W$2:$W$1001,0),0), INDEX($AD$1004:$AU$1004,1,MATCH(COLUMNS($AD$1006:AP1006),$AD$1006:$AU$1006,0)))),"Fix")))</f>
        <v xml:space="preserve"> </v>
      </c>
      <c r="O658" s="4" t="str">
        <f ca="1">IF(OR(INDEX($X$2:$X$1001,MATCH(ROWS($W$2:W658),$W$2:$W$1001,0),1)&gt;=100000,INDEX($AD$1005:$AU$1005,1,MATCH(COLUMNS($AD$1006:AQ1006),$AD$1006:$AU$1006,0))&gt;=100000), " ",IF(INDEX($AD$2:$AU$1001,MATCH(ROWS($W$2:W658),$W$2:$W$1001,0),MATCH(COLUMNS($AD$1006:AQ1006),$AD$1006:$AU$1006,0)), HYPERLINK("#",""), HYPERLINK(CONCATENATE("#metadata!", ADDRESS(INDEX($Y$2:$Y$1001,MATCH(ROWS($W$2:W658),$W$2:$W$1001,0),0), INDEX($AD$1004:$AU$1004,1,MATCH(COLUMNS($AD$1006:AQ1006),$AD$1006:$AU$1006,0)))),"Fix")))</f>
        <v xml:space="preserve"> </v>
      </c>
      <c r="P658" s="4" t="str">
        <f ca="1">IF(OR(INDEX($X$2:$X$1001,MATCH(ROWS($W$2:W658),$W$2:$W$1001,0),1)&gt;=100000,INDEX($AD$1005:$AU$1005,1,MATCH(COLUMNS($AD$1006:AR1006),$AD$1006:$AU$1006,0))&gt;=100000), " ",IF(INDEX($AD$2:$AU$1001,MATCH(ROWS($W$2:W658),$W$2:$W$1001,0),MATCH(COLUMNS($AD$1006:AR1006),$AD$1006:$AU$1006,0)), HYPERLINK("#",""), HYPERLINK(CONCATENATE("#metadata!", ADDRESS(INDEX($Y$2:$Y$1001,MATCH(ROWS($W$2:W658),$W$2:$W$1001,0),0), INDEX($AD$1004:$AU$1004,1,MATCH(COLUMNS($AD$1006:AR1006),$AD$1006:$AU$1006,0)))),"Fix")))</f>
        <v xml:space="preserve"> </v>
      </c>
      <c r="Q658" s="4" t="str">
        <f ca="1">IF(OR(INDEX($X$2:$X$1001,MATCH(ROWS($W$2:W658),$W$2:$W$1001,0),1)&gt;=100000,INDEX($AD$1005:$AU$1005,1,MATCH(COLUMNS($AD$1006:AS1006),$AD$1006:$AU$1006,0))&gt;=100000), " ",IF(INDEX($AD$2:$AU$1001,MATCH(ROWS($W$2:W658),$W$2:$W$1001,0),MATCH(COLUMNS($AD$1006:AS1006),$AD$1006:$AU$1006,0)), HYPERLINK("#",""), HYPERLINK(CONCATENATE("#metadata!", ADDRESS(INDEX($Y$2:$Y$1001,MATCH(ROWS($W$2:W658),$W$2:$W$1001,0),0), INDEX($AD$1004:$AU$1004,1,MATCH(COLUMNS($AD$1006:AS1006),$AD$1006:$AU$1006,0)))),"Fix")))</f>
        <v xml:space="preserve"> </v>
      </c>
      <c r="R658" s="4" t="str">
        <f ca="1">IF(OR(INDEX($X$2:$X$1001,MATCH(ROWS($W$2:W658),$W$2:$W$1001,0),1)&gt;=100000,INDEX($AD$1005:$AU$1005,1,MATCH(COLUMNS($AD$1006:AT1006),$AD$1006:$AU$1006,0))&gt;=100000), " ",IF(INDEX($AD$2:$AU$1001,MATCH(ROWS($W$2:W658),$W$2:$W$1001,0),MATCH(COLUMNS($AD$1006:AT1006),$AD$1006:$AU$1006,0)), HYPERLINK("#",""), HYPERLINK(CONCATENATE("#metadata!", ADDRESS(INDEX($Y$2:$Y$1001,MATCH(ROWS($W$2:W658),$W$2:$W$1001,0),0), INDEX($AD$1004:$AU$1004,1,MATCH(COLUMNS($AD$1006:AT1006),$AD$1006:$AU$1006,0)))),"Fix")))</f>
        <v xml:space="preserve"> </v>
      </c>
      <c r="S658" s="4" t="str">
        <f ca="1">IF(OR(INDEX($X$2:$X$1001,MATCH(ROWS($W$2:W658),$W$2:$W$1001,0),1)&gt;=100000,INDEX($AD$1005:$AU$1005,1,MATCH(COLUMNS($AD$1006:AU1006),$AD$1006:$AU$1006,0))&gt;=100000), " ",IF(INDEX($AD$2:$AU$1001,MATCH(ROWS($W$2:W658),$W$2:$W$1001,0),MATCH(COLUMNS($AD$1006:AU1006),$AD$1006:$AU$1006,0)), HYPERLINK("#",""), HYPERLINK(CONCATENATE("#metadata!", ADDRESS(INDEX($Y$2:$Y$1001,MATCH(ROWS($W$2:W658),$W$2:$W$1001,0),0), INDEX($AD$1004:$AU$1004,1,MATCH(COLUMNS($AD$1006:AU1006),$AD$1006:$AU$1006,0)))),"Fix")))</f>
        <v xml:space="preserve"> </v>
      </c>
      <c r="W658">
        <v>657</v>
      </c>
      <c r="X658">
        <v>100658</v>
      </c>
      <c r="Y658">
        <v>658</v>
      </c>
      <c r="Z658" t="b">
        <f t="shared" si="10"/>
        <v>1</v>
      </c>
      <c r="AA658" t="b">
        <f>COUNTBLANK(metadata!B658:S658)=COLUMNS(metadata!B658:S658)</f>
        <v>1</v>
      </c>
      <c r="AB658" t="str">
        <v/>
      </c>
      <c r="AD658" t="b">
        <f ca="1">AND(IF(metadata!B658="",FALSE,TRUE),COUNTIF(metadata!B:B, metadata!B658) = 1,NOT(ISERROR(SUMPRODUCT(SEARCH(MID(metadata!B658,ROW(INDIRECT("1:"&amp;LEN(metadata!B658))), 1),"0123456789abcdefghijklmnopqrstuvwxyzABCDEFGHIJKLMNOPQRSTUVWXYZ.")))))</f>
        <v>0</v>
      </c>
      <c r="AE658" t="b">
        <f>OR(AND(IF(metadata!C658="",FALSE,TRUE),OR(EXACT(metadata!C658,"not applicable"),EXACT(metadata!C658,"missing: not collected"),EXACT(metadata!C658,"missing: not provided"),EXACT(metadata!C658,"missing: restricted access"))),AND(IF(metadata!C658="",FALSE,ISNUMBER(VALUE(metadata!C658))),metadata!C658&gt;0))</f>
        <v>0</v>
      </c>
      <c r="AF658" t="b">
        <f>AND(IF(metadata!D658="",FALSE,TRUE),EXACT(metadata!D658,"missing: not provided"))</f>
        <v>0</v>
      </c>
      <c r="AG658" t="b">
        <f>AND(IF(metadata!E658="",FALSE,TRUE),EXACT(metadata!E658,"Host-associated"))</f>
        <v>0</v>
      </c>
      <c r="AH658" t="b">
        <f>AND(IF(metadata!F658="",FALSE,TRUE),OR(EXACT(metadata!F658,"Animal"),EXACT(metadata!F658,"Fungus"),EXACT(metadata!F658,"Plant")))</f>
        <v>0</v>
      </c>
      <c r="AI658" t="b">
        <f>AND(IF(metadata!G658="",FALSE,TRUE),OR(EXACT(metadata!G658,"Plant secretion"),EXACT(metadata!G658,"Plant rhizosphere"),EXACT(metadata!G658,"Plant surface"),EXACT(metadata!G658,"Plant corpus"),EXACT(metadata!G658,"Fungus surface"),EXACT(metadata!G658,"Fungus corpus"),EXACT(metadata!G658,"Animal surface"),EXACT(metadata!G658,"Animal proximal gut"),EXACT(metadata!G658,"Animal corpus"),EXACT(metadata!G658,"Animal distal gut"),EXACT(metadata!G658,"Animal secretion")))</f>
        <v>0</v>
      </c>
      <c r="AJ658" t="b">
        <f>OR(AND(IF(metadata!H658="",FALSE,TRUE),OR(EXACT(metadata!H658,"missing: not collected"),EXACT(metadata!H658,"missing: not provided"),EXACT(metadata!H658,"missing: restricted access"))),AND(IF(metadata!H658="",FALSE,TRUE),OR(EXACT(metadata!H658,"organism-associated habitat"),EXACT(metadata!H658,"plant-associated habitat"),EXACT(metadata!H658,"animal-associated habitat"),EXACT(metadata!H658,"insecta-associated habitat"),EXACT(metadata!H658,"mammalia-associated habitat"),EXACT(metadata!H658,"human-associated habitat"),EXACT(metadata!H658,"livestock-associated habitat"))))</f>
        <v>0</v>
      </c>
      <c r="AK658" t="b">
        <f>AND(IF(metadata!I658="",FALSE,TRUE),EXACT(metadata!I658,"host-associated"))</f>
        <v>0</v>
      </c>
      <c r="AL658" t="b">
        <f>OR(AND(IF(metadata!J658="",FALSE,TRUE),OR(EXACT(metadata!J658,"not applicable"),EXACT(metadata!J658,"missing: not collected"),EXACT(metadata!J658,"missing: not provided"),EXACT(metadata!J658,"missing: restricted access"))),AND(IF(metadata!J658="",FALSE,ISNUMBER(VALUE(metadata!J658))),metadata!J658&gt;0))</f>
        <v>0</v>
      </c>
      <c r="AM658" t="b">
        <f>AND(IF(metadata!K658="",FALSE,TRUE),EXACT(metadata!K658,"missing: not provided"))</f>
        <v>0</v>
      </c>
      <c r="AN658" t="b">
        <f>IF(metadata!L658="",FALSE,TRUE)</f>
        <v>0</v>
      </c>
      <c r="AO658" t="b">
        <f>IF(metadata!M658="",FALSE,TRUE)</f>
        <v>0</v>
      </c>
      <c r="AP658" t="b">
        <f>OR(AND(IF(metadata!N658="",FALSE,TRUE),OR(EXACT(metadata!N658,"not applicable"),EXACT(metadata!N658,"missing: not collected"),EXACT(metadata!N658,"missing: not provided"))),AND(IF(metadata!N658="",FALSE,IF(ISERROR(INT(metadata!N658)),FALSE,INT(metadata!N658)=metadata!N658)),metadata!N658&gt;0))</f>
        <v>0</v>
      </c>
      <c r="AQ658" t="b">
        <f>AND(IF(metadata!O658="",FALSE,TRUE),EXACT(metadata!O658,"Not applicable"))</f>
        <v>0</v>
      </c>
      <c r="AR658" t="b">
        <f>OR(AND(IF(metadata!P658="",FALSE,TRUE),OR(EXACT(metadata!P658,"not applicable"),EXACT(metadata!P658,"missing: not collected"),EXACT(metadata!P658,"missing: not provided"),EXACT(metadata!P658,"missing: restricted access"))),IF(metadata!P658="",FALSE,IF(ISERROR(INT(metadata!P658)),FALSE,INT(metadata!P658)=metadata!P658)))</f>
        <v>0</v>
      </c>
      <c r="AS658" t="b">
        <f>AND(IF(metadata!Q658="",FALSE,TRUE),EXACT(metadata!Q658,"Not applicable"))</f>
        <v>0</v>
      </c>
      <c r="AT658" t="b">
        <f>OR(AND(IF(metadata!R658="",FALSE,TRUE),OR(EXACT(metadata!R658,"not applicable"),EXACT(metadata!R658,"missing: not collected"),EXACT(metadata!R658,"missing: not provided"),EXACT(metadata!R658,"missing: restricted access"))),AND(IF(metadata!R658="",FALSE,ISNUMBER(VALUE(metadata!R658))),metadata!R658&gt;0))</f>
        <v>0</v>
      </c>
      <c r="AU658" t="b">
        <f>AND(IF(metadata!S658="",FALSE,TRUE),EXACT(metadata!S658,"missing: not provided"))</f>
        <v>0</v>
      </c>
    </row>
    <row r="659" spans="1:47" x14ac:dyDescent="0.2">
      <c r="A659" s="5" t="str">
        <f ca="1">IF(B659=" "," ",HYPERLINK(CONCATENATE("#metadata!",ADDRESS(INDEX($Y$2:$Y$1001,MATCH(ROWS($W$2:W659),$W$2:$W$1001,0),0),1)),INDEX($AB$2:$AB$1001,MATCH(ROWS($W$2:W659),$W$2:$W$1001,0),0)))</f>
        <v xml:space="preserve"> </v>
      </c>
      <c r="B659" s="4" t="str">
        <f ca="1">IF(OR(INDEX($X$2:$X$1001,MATCH(ROWS($W$2:W659),$W$2:$W$1001,0),1)&gt;=100000,INDEX($AD$1005:$AU$1005,1,MATCH(COLUMNS($AD$1006:AD1006),$AD$1006:$AU$1006,0))&gt;=100000), " ",IF(INDEX($AD$2:$AU$1001,MATCH(ROWS($W$2:W659),$W$2:$W$1001,0),MATCH(COLUMNS($AD$1006:AD1006),$AD$1006:$AU$1006,0)), HYPERLINK("#",""), HYPERLINK(CONCATENATE("#metadata!", ADDRESS(INDEX($Y$2:$Y$1001,MATCH(ROWS($W$2:W659),$W$2:$W$1001,0),0), INDEX($AD$1004:$AU$1004,1,MATCH(COLUMNS($AD$1006:AD1006),$AD$1006:$AU$1006,0)))),"Fix")))</f>
        <v xml:space="preserve"> </v>
      </c>
      <c r="C659" s="4" t="str">
        <f ca="1">IF(OR(INDEX($X$2:$X$1001,MATCH(ROWS($W$2:W659),$W$2:$W$1001,0),1)&gt;=100000,INDEX($AD$1005:$AU$1005,1,MATCH(COLUMNS($AD$1006:AE1006),$AD$1006:$AU$1006,0))&gt;=100000), " ",IF(INDEX($AD$2:$AU$1001,MATCH(ROWS($W$2:W659),$W$2:$W$1001,0),MATCH(COLUMNS($AD$1006:AE1006),$AD$1006:$AU$1006,0)), HYPERLINK("#",""), HYPERLINK(CONCATENATE("#metadata!", ADDRESS(INDEX($Y$2:$Y$1001,MATCH(ROWS($W$2:W659),$W$2:$W$1001,0),0), INDEX($AD$1004:$AU$1004,1,MATCH(COLUMNS($AD$1006:AE1006),$AD$1006:$AU$1006,0)))),"Fix")))</f>
        <v xml:space="preserve"> </v>
      </c>
      <c r="D659" s="4" t="str">
        <f ca="1">IF(OR(INDEX($X$2:$X$1001,MATCH(ROWS($W$2:W659),$W$2:$W$1001,0),1)&gt;=100000,INDEX($AD$1005:$AU$1005,1,MATCH(COLUMNS($AD$1006:AF1006),$AD$1006:$AU$1006,0))&gt;=100000), " ",IF(INDEX($AD$2:$AU$1001,MATCH(ROWS($W$2:W659),$W$2:$W$1001,0),MATCH(COLUMNS($AD$1006:AF1006),$AD$1006:$AU$1006,0)), HYPERLINK("#",""), HYPERLINK(CONCATENATE("#metadata!", ADDRESS(INDEX($Y$2:$Y$1001,MATCH(ROWS($W$2:W659),$W$2:$W$1001,0),0), INDEX($AD$1004:$AU$1004,1,MATCH(COLUMNS($AD$1006:AF1006),$AD$1006:$AU$1006,0)))),"Fix")))</f>
        <v xml:space="preserve"> </v>
      </c>
      <c r="E659" s="4" t="str">
        <f ca="1">IF(OR(INDEX($X$2:$X$1001,MATCH(ROWS($W$2:W659),$W$2:$W$1001,0),1)&gt;=100000,INDEX($AD$1005:$AU$1005,1,MATCH(COLUMNS($AD$1006:AG1006),$AD$1006:$AU$1006,0))&gt;=100000), " ",IF(INDEX($AD$2:$AU$1001,MATCH(ROWS($W$2:W659),$W$2:$W$1001,0),MATCH(COLUMNS($AD$1006:AG1006),$AD$1006:$AU$1006,0)), HYPERLINK("#",""), HYPERLINK(CONCATENATE("#metadata!", ADDRESS(INDEX($Y$2:$Y$1001,MATCH(ROWS($W$2:W659),$W$2:$W$1001,0),0), INDEX($AD$1004:$AU$1004,1,MATCH(COLUMNS($AD$1006:AG1006),$AD$1006:$AU$1006,0)))),"Fix")))</f>
        <v xml:space="preserve"> </v>
      </c>
      <c r="F659" s="4" t="str">
        <f ca="1">IF(OR(INDEX($X$2:$X$1001,MATCH(ROWS($W$2:W659),$W$2:$W$1001,0),1)&gt;=100000,INDEX($AD$1005:$AU$1005,1,MATCH(COLUMNS($AD$1006:AH1006),$AD$1006:$AU$1006,0))&gt;=100000), " ",IF(INDEX($AD$2:$AU$1001,MATCH(ROWS($W$2:W659),$W$2:$W$1001,0),MATCH(COLUMNS($AD$1006:AH1006),$AD$1006:$AU$1006,0)), HYPERLINK("#",""), HYPERLINK(CONCATENATE("#metadata!", ADDRESS(INDEX($Y$2:$Y$1001,MATCH(ROWS($W$2:W659),$W$2:$W$1001,0),0), INDEX($AD$1004:$AU$1004,1,MATCH(COLUMNS($AD$1006:AH1006),$AD$1006:$AU$1006,0)))),"Fix")))</f>
        <v xml:space="preserve"> </v>
      </c>
      <c r="G659" s="4" t="str">
        <f ca="1">IF(OR(INDEX($X$2:$X$1001,MATCH(ROWS($W$2:W659),$W$2:$W$1001,0),1)&gt;=100000,INDEX($AD$1005:$AU$1005,1,MATCH(COLUMNS($AD$1006:AI1006),$AD$1006:$AU$1006,0))&gt;=100000), " ",IF(INDEX($AD$2:$AU$1001,MATCH(ROWS($W$2:W659),$W$2:$W$1001,0),MATCH(COLUMNS($AD$1006:AI1006),$AD$1006:$AU$1006,0)), HYPERLINK("#",""), HYPERLINK(CONCATENATE("#metadata!", ADDRESS(INDEX($Y$2:$Y$1001,MATCH(ROWS($W$2:W659),$W$2:$W$1001,0),0), INDEX($AD$1004:$AU$1004,1,MATCH(COLUMNS($AD$1006:AI1006),$AD$1006:$AU$1006,0)))),"Fix")))</f>
        <v xml:space="preserve"> </v>
      </c>
      <c r="H659" s="4" t="str">
        <f ca="1">IF(OR(INDEX($X$2:$X$1001,MATCH(ROWS($W$2:W659),$W$2:$W$1001,0),1)&gt;=100000,INDEX($AD$1005:$AU$1005,1,MATCH(COLUMNS($AD$1006:AJ1006),$AD$1006:$AU$1006,0))&gt;=100000), " ",IF(INDEX($AD$2:$AU$1001,MATCH(ROWS($W$2:W659),$W$2:$W$1001,0),MATCH(COLUMNS($AD$1006:AJ1006),$AD$1006:$AU$1006,0)), HYPERLINK("#",""), HYPERLINK(CONCATENATE("#metadata!", ADDRESS(INDEX($Y$2:$Y$1001,MATCH(ROWS($W$2:W659),$W$2:$W$1001,0),0), INDEX($AD$1004:$AU$1004,1,MATCH(COLUMNS($AD$1006:AJ1006),$AD$1006:$AU$1006,0)))),"Fix")))</f>
        <v xml:space="preserve"> </v>
      </c>
      <c r="I659" s="4" t="str">
        <f ca="1">IF(OR(INDEX($X$2:$X$1001,MATCH(ROWS($W$2:W659),$W$2:$W$1001,0),1)&gt;=100000,INDEX($AD$1005:$AU$1005,1,MATCH(COLUMNS($AD$1006:AK1006),$AD$1006:$AU$1006,0))&gt;=100000), " ",IF(INDEX($AD$2:$AU$1001,MATCH(ROWS($W$2:W659),$W$2:$W$1001,0),MATCH(COLUMNS($AD$1006:AK1006),$AD$1006:$AU$1006,0)), HYPERLINK("#",""), HYPERLINK(CONCATENATE("#metadata!", ADDRESS(INDEX($Y$2:$Y$1001,MATCH(ROWS($W$2:W659),$W$2:$W$1001,0),0), INDEX($AD$1004:$AU$1004,1,MATCH(COLUMNS($AD$1006:AK1006),$AD$1006:$AU$1006,0)))),"Fix")))</f>
        <v xml:space="preserve"> </v>
      </c>
      <c r="J659" s="4" t="str">
        <f ca="1">IF(OR(INDEX($X$2:$X$1001,MATCH(ROWS($W$2:W659),$W$2:$W$1001,0),1)&gt;=100000,INDEX($AD$1005:$AU$1005,1,MATCH(COLUMNS($AD$1006:AL1006),$AD$1006:$AU$1006,0))&gt;=100000), " ",IF(INDEX($AD$2:$AU$1001,MATCH(ROWS($W$2:W659),$W$2:$W$1001,0),MATCH(COLUMNS($AD$1006:AL1006),$AD$1006:$AU$1006,0)), HYPERLINK("#",""), HYPERLINK(CONCATENATE("#metadata!", ADDRESS(INDEX($Y$2:$Y$1001,MATCH(ROWS($W$2:W659),$W$2:$W$1001,0),0), INDEX($AD$1004:$AU$1004,1,MATCH(COLUMNS($AD$1006:AL1006),$AD$1006:$AU$1006,0)))),"Fix")))</f>
        <v xml:space="preserve"> </v>
      </c>
      <c r="K659" s="4" t="str">
        <f ca="1">IF(OR(INDEX($X$2:$X$1001,MATCH(ROWS($W$2:W659),$W$2:$W$1001,0),1)&gt;=100000,INDEX($AD$1005:$AU$1005,1,MATCH(COLUMNS($AD$1006:AM1006),$AD$1006:$AU$1006,0))&gt;=100000), " ",IF(INDEX($AD$2:$AU$1001,MATCH(ROWS($W$2:W659),$W$2:$W$1001,0),MATCH(COLUMNS($AD$1006:AM1006),$AD$1006:$AU$1006,0)), HYPERLINK("#",""), HYPERLINK(CONCATENATE("#metadata!", ADDRESS(INDEX($Y$2:$Y$1001,MATCH(ROWS($W$2:W659),$W$2:$W$1001,0),0), INDEX($AD$1004:$AU$1004,1,MATCH(COLUMNS($AD$1006:AM1006),$AD$1006:$AU$1006,0)))),"Fix")))</f>
        <v xml:space="preserve"> </v>
      </c>
      <c r="L659" s="4" t="str">
        <f ca="1">IF(OR(INDEX($X$2:$X$1001,MATCH(ROWS($W$2:W659),$W$2:$W$1001,0),1)&gt;=100000,INDEX($AD$1005:$AU$1005,1,MATCH(COLUMNS($AD$1006:AN1006),$AD$1006:$AU$1006,0))&gt;=100000), " ",IF(INDEX($AD$2:$AU$1001,MATCH(ROWS($W$2:W659),$W$2:$W$1001,0),MATCH(COLUMNS($AD$1006:AN1006),$AD$1006:$AU$1006,0)), HYPERLINK("#",""), HYPERLINK(CONCATENATE("#metadata!", ADDRESS(INDEX($Y$2:$Y$1001,MATCH(ROWS($W$2:W659),$W$2:$W$1001,0),0), INDEX($AD$1004:$AU$1004,1,MATCH(COLUMNS($AD$1006:AN1006),$AD$1006:$AU$1006,0)))),"Fix")))</f>
        <v xml:space="preserve"> </v>
      </c>
      <c r="M659" s="4" t="str">
        <f ca="1">IF(OR(INDEX($X$2:$X$1001,MATCH(ROWS($W$2:W659),$W$2:$W$1001,0),1)&gt;=100000,INDEX($AD$1005:$AU$1005,1,MATCH(COLUMNS($AD$1006:AO1006),$AD$1006:$AU$1006,0))&gt;=100000), " ",IF(INDEX($AD$2:$AU$1001,MATCH(ROWS($W$2:W659),$W$2:$W$1001,0),MATCH(COLUMNS($AD$1006:AO1006),$AD$1006:$AU$1006,0)), HYPERLINK("#",""), HYPERLINK(CONCATENATE("#metadata!", ADDRESS(INDEX($Y$2:$Y$1001,MATCH(ROWS($W$2:W659),$W$2:$W$1001,0),0), INDEX($AD$1004:$AU$1004,1,MATCH(COLUMNS($AD$1006:AO1006),$AD$1006:$AU$1006,0)))),"Fix")))</f>
        <v xml:space="preserve"> </v>
      </c>
      <c r="N659" s="4" t="str">
        <f ca="1">IF(OR(INDEX($X$2:$X$1001,MATCH(ROWS($W$2:W659),$W$2:$W$1001,0),1)&gt;=100000,INDEX($AD$1005:$AU$1005,1,MATCH(COLUMNS($AD$1006:AP1006),$AD$1006:$AU$1006,0))&gt;=100000), " ",IF(INDEX($AD$2:$AU$1001,MATCH(ROWS($W$2:W659),$W$2:$W$1001,0),MATCH(COLUMNS($AD$1006:AP1006),$AD$1006:$AU$1006,0)), HYPERLINK("#",""), HYPERLINK(CONCATENATE("#metadata!", ADDRESS(INDEX($Y$2:$Y$1001,MATCH(ROWS($W$2:W659),$W$2:$W$1001,0),0), INDEX($AD$1004:$AU$1004,1,MATCH(COLUMNS($AD$1006:AP1006),$AD$1006:$AU$1006,0)))),"Fix")))</f>
        <v xml:space="preserve"> </v>
      </c>
      <c r="O659" s="4" t="str">
        <f ca="1">IF(OR(INDEX($X$2:$X$1001,MATCH(ROWS($W$2:W659),$W$2:$W$1001,0),1)&gt;=100000,INDEX($AD$1005:$AU$1005,1,MATCH(COLUMNS($AD$1006:AQ1006),$AD$1006:$AU$1006,0))&gt;=100000), " ",IF(INDEX($AD$2:$AU$1001,MATCH(ROWS($W$2:W659),$W$2:$W$1001,0),MATCH(COLUMNS($AD$1006:AQ1006),$AD$1006:$AU$1006,0)), HYPERLINK("#",""), HYPERLINK(CONCATENATE("#metadata!", ADDRESS(INDEX($Y$2:$Y$1001,MATCH(ROWS($W$2:W659),$W$2:$W$1001,0),0), INDEX($AD$1004:$AU$1004,1,MATCH(COLUMNS($AD$1006:AQ1006),$AD$1006:$AU$1006,0)))),"Fix")))</f>
        <v xml:space="preserve"> </v>
      </c>
      <c r="P659" s="4" t="str">
        <f ca="1">IF(OR(INDEX($X$2:$X$1001,MATCH(ROWS($W$2:W659),$W$2:$W$1001,0),1)&gt;=100000,INDEX($AD$1005:$AU$1005,1,MATCH(COLUMNS($AD$1006:AR1006),$AD$1006:$AU$1006,0))&gt;=100000), " ",IF(INDEX($AD$2:$AU$1001,MATCH(ROWS($W$2:W659),$W$2:$W$1001,0),MATCH(COLUMNS($AD$1006:AR1006),$AD$1006:$AU$1006,0)), HYPERLINK("#",""), HYPERLINK(CONCATENATE("#metadata!", ADDRESS(INDEX($Y$2:$Y$1001,MATCH(ROWS($W$2:W659),$W$2:$W$1001,0),0), INDEX($AD$1004:$AU$1004,1,MATCH(COLUMNS($AD$1006:AR1006),$AD$1006:$AU$1006,0)))),"Fix")))</f>
        <v xml:space="preserve"> </v>
      </c>
      <c r="Q659" s="4" t="str">
        <f ca="1">IF(OR(INDEX($X$2:$X$1001,MATCH(ROWS($W$2:W659),$W$2:$W$1001,0),1)&gt;=100000,INDEX($AD$1005:$AU$1005,1,MATCH(COLUMNS($AD$1006:AS1006),$AD$1006:$AU$1006,0))&gt;=100000), " ",IF(INDEX($AD$2:$AU$1001,MATCH(ROWS($W$2:W659),$W$2:$W$1001,0),MATCH(COLUMNS($AD$1006:AS1006),$AD$1006:$AU$1006,0)), HYPERLINK("#",""), HYPERLINK(CONCATENATE("#metadata!", ADDRESS(INDEX($Y$2:$Y$1001,MATCH(ROWS($W$2:W659),$W$2:$W$1001,0),0), INDEX($AD$1004:$AU$1004,1,MATCH(COLUMNS($AD$1006:AS1006),$AD$1006:$AU$1006,0)))),"Fix")))</f>
        <v xml:space="preserve"> </v>
      </c>
      <c r="R659" s="4" t="str">
        <f ca="1">IF(OR(INDEX($X$2:$X$1001,MATCH(ROWS($W$2:W659),$W$2:$W$1001,0),1)&gt;=100000,INDEX($AD$1005:$AU$1005,1,MATCH(COLUMNS($AD$1006:AT1006),$AD$1006:$AU$1006,0))&gt;=100000), " ",IF(INDEX($AD$2:$AU$1001,MATCH(ROWS($W$2:W659),$W$2:$W$1001,0),MATCH(COLUMNS($AD$1006:AT1006),$AD$1006:$AU$1006,0)), HYPERLINK("#",""), HYPERLINK(CONCATENATE("#metadata!", ADDRESS(INDEX($Y$2:$Y$1001,MATCH(ROWS($W$2:W659),$W$2:$W$1001,0),0), INDEX($AD$1004:$AU$1004,1,MATCH(COLUMNS($AD$1006:AT1006),$AD$1006:$AU$1006,0)))),"Fix")))</f>
        <v xml:space="preserve"> </v>
      </c>
      <c r="S659" s="4" t="str">
        <f ca="1">IF(OR(INDEX($X$2:$X$1001,MATCH(ROWS($W$2:W659),$W$2:$W$1001,0),1)&gt;=100000,INDEX($AD$1005:$AU$1005,1,MATCH(COLUMNS($AD$1006:AU1006),$AD$1006:$AU$1006,0))&gt;=100000), " ",IF(INDEX($AD$2:$AU$1001,MATCH(ROWS($W$2:W659),$W$2:$W$1001,0),MATCH(COLUMNS($AD$1006:AU1006),$AD$1006:$AU$1006,0)), HYPERLINK("#",""), HYPERLINK(CONCATENATE("#metadata!", ADDRESS(INDEX($Y$2:$Y$1001,MATCH(ROWS($W$2:W659),$W$2:$W$1001,0),0), INDEX($AD$1004:$AU$1004,1,MATCH(COLUMNS($AD$1006:AU1006),$AD$1006:$AU$1006,0)))),"Fix")))</f>
        <v xml:space="preserve"> </v>
      </c>
      <c r="W659">
        <v>658</v>
      </c>
      <c r="X659">
        <v>100659</v>
      </c>
      <c r="Y659">
        <v>659</v>
      </c>
      <c r="Z659" t="b">
        <f t="shared" si="10"/>
        <v>1</v>
      </c>
      <c r="AA659" t="b">
        <f>COUNTBLANK(metadata!B659:S659)=COLUMNS(metadata!B659:S659)</f>
        <v>1</v>
      </c>
      <c r="AB659" t="str">
        <v/>
      </c>
      <c r="AD659" t="b">
        <f ca="1">AND(IF(metadata!B659="",FALSE,TRUE),COUNTIF(metadata!B:B, metadata!B659) = 1,NOT(ISERROR(SUMPRODUCT(SEARCH(MID(metadata!B659,ROW(INDIRECT("1:"&amp;LEN(metadata!B659))), 1),"0123456789abcdefghijklmnopqrstuvwxyzABCDEFGHIJKLMNOPQRSTUVWXYZ.")))))</f>
        <v>0</v>
      </c>
      <c r="AE659" t="b">
        <f>OR(AND(IF(metadata!C659="",FALSE,TRUE),OR(EXACT(metadata!C659,"not applicable"),EXACT(metadata!C659,"missing: not collected"),EXACT(metadata!C659,"missing: not provided"),EXACT(metadata!C659,"missing: restricted access"))),AND(IF(metadata!C659="",FALSE,ISNUMBER(VALUE(metadata!C659))),metadata!C659&gt;0))</f>
        <v>0</v>
      </c>
      <c r="AF659" t="b">
        <f>AND(IF(metadata!D659="",FALSE,TRUE),EXACT(metadata!D659,"missing: not provided"))</f>
        <v>0</v>
      </c>
      <c r="AG659" t="b">
        <f>AND(IF(metadata!E659="",FALSE,TRUE),EXACT(metadata!E659,"Host-associated"))</f>
        <v>0</v>
      </c>
      <c r="AH659" t="b">
        <f>AND(IF(metadata!F659="",FALSE,TRUE),OR(EXACT(metadata!F659,"Animal"),EXACT(metadata!F659,"Fungus"),EXACT(metadata!F659,"Plant")))</f>
        <v>0</v>
      </c>
      <c r="AI659" t="b">
        <f>AND(IF(metadata!G659="",FALSE,TRUE),OR(EXACT(metadata!G659,"Plant secretion"),EXACT(metadata!G659,"Plant rhizosphere"),EXACT(metadata!G659,"Plant surface"),EXACT(metadata!G659,"Plant corpus"),EXACT(metadata!G659,"Fungus surface"),EXACT(metadata!G659,"Fungus corpus"),EXACT(metadata!G659,"Animal surface"),EXACT(metadata!G659,"Animal proximal gut"),EXACT(metadata!G659,"Animal corpus"),EXACT(metadata!G659,"Animal distal gut"),EXACT(metadata!G659,"Animal secretion")))</f>
        <v>0</v>
      </c>
      <c r="AJ659" t="b">
        <f>OR(AND(IF(metadata!H659="",FALSE,TRUE),OR(EXACT(metadata!H659,"missing: not collected"),EXACT(metadata!H659,"missing: not provided"),EXACT(metadata!H659,"missing: restricted access"))),AND(IF(metadata!H659="",FALSE,TRUE),OR(EXACT(metadata!H659,"organism-associated habitat"),EXACT(metadata!H659,"plant-associated habitat"),EXACT(metadata!H659,"animal-associated habitat"),EXACT(metadata!H659,"insecta-associated habitat"),EXACT(metadata!H659,"mammalia-associated habitat"),EXACT(metadata!H659,"human-associated habitat"),EXACT(metadata!H659,"livestock-associated habitat"))))</f>
        <v>0</v>
      </c>
      <c r="AK659" t="b">
        <f>AND(IF(metadata!I659="",FALSE,TRUE),EXACT(metadata!I659,"host-associated"))</f>
        <v>0</v>
      </c>
      <c r="AL659" t="b">
        <f>OR(AND(IF(metadata!J659="",FALSE,TRUE),OR(EXACT(metadata!J659,"not applicable"),EXACT(metadata!J659,"missing: not collected"),EXACT(metadata!J659,"missing: not provided"),EXACT(metadata!J659,"missing: restricted access"))),AND(IF(metadata!J659="",FALSE,ISNUMBER(VALUE(metadata!J659))),metadata!J659&gt;0))</f>
        <v>0</v>
      </c>
      <c r="AM659" t="b">
        <f>AND(IF(metadata!K659="",FALSE,TRUE),EXACT(metadata!K659,"missing: not provided"))</f>
        <v>0</v>
      </c>
      <c r="AN659" t="b">
        <f>IF(metadata!L659="",FALSE,TRUE)</f>
        <v>0</v>
      </c>
      <c r="AO659" t="b">
        <f>IF(metadata!M659="",FALSE,TRUE)</f>
        <v>0</v>
      </c>
      <c r="AP659" t="b">
        <f>OR(AND(IF(metadata!N659="",FALSE,TRUE),OR(EXACT(metadata!N659,"not applicable"),EXACT(metadata!N659,"missing: not collected"),EXACT(metadata!N659,"missing: not provided"))),AND(IF(metadata!N659="",FALSE,IF(ISERROR(INT(metadata!N659)),FALSE,INT(metadata!N659)=metadata!N659)),metadata!N659&gt;0))</f>
        <v>0</v>
      </c>
      <c r="AQ659" t="b">
        <f>AND(IF(metadata!O659="",FALSE,TRUE),EXACT(metadata!O659,"Not applicable"))</f>
        <v>0</v>
      </c>
      <c r="AR659" t="b">
        <f>OR(AND(IF(metadata!P659="",FALSE,TRUE),OR(EXACT(metadata!P659,"not applicable"),EXACT(metadata!P659,"missing: not collected"),EXACT(metadata!P659,"missing: not provided"),EXACT(metadata!P659,"missing: restricted access"))),IF(metadata!P659="",FALSE,IF(ISERROR(INT(metadata!P659)),FALSE,INT(metadata!P659)=metadata!P659)))</f>
        <v>0</v>
      </c>
      <c r="AS659" t="b">
        <f>AND(IF(metadata!Q659="",FALSE,TRUE),EXACT(metadata!Q659,"Not applicable"))</f>
        <v>0</v>
      </c>
      <c r="AT659" t="b">
        <f>OR(AND(IF(metadata!R659="",FALSE,TRUE),OR(EXACT(metadata!R659,"not applicable"),EXACT(metadata!R659,"missing: not collected"),EXACT(metadata!R659,"missing: not provided"),EXACT(metadata!R659,"missing: restricted access"))),AND(IF(metadata!R659="",FALSE,ISNUMBER(VALUE(metadata!R659))),metadata!R659&gt;0))</f>
        <v>0</v>
      </c>
      <c r="AU659" t="b">
        <f>AND(IF(metadata!S659="",FALSE,TRUE),EXACT(metadata!S659,"missing: not provided"))</f>
        <v>0</v>
      </c>
    </row>
    <row r="660" spans="1:47" x14ac:dyDescent="0.2">
      <c r="A660" s="5" t="str">
        <f ca="1">IF(B660=" "," ",HYPERLINK(CONCATENATE("#metadata!",ADDRESS(INDEX($Y$2:$Y$1001,MATCH(ROWS($W$2:W660),$W$2:$W$1001,0),0),1)),INDEX($AB$2:$AB$1001,MATCH(ROWS($W$2:W660),$W$2:$W$1001,0),0)))</f>
        <v xml:space="preserve"> </v>
      </c>
      <c r="B660" s="4" t="str">
        <f ca="1">IF(OR(INDEX($X$2:$X$1001,MATCH(ROWS($W$2:W660),$W$2:$W$1001,0),1)&gt;=100000,INDEX($AD$1005:$AU$1005,1,MATCH(COLUMNS($AD$1006:AD1006),$AD$1006:$AU$1006,0))&gt;=100000), " ",IF(INDEX($AD$2:$AU$1001,MATCH(ROWS($W$2:W660),$W$2:$W$1001,0),MATCH(COLUMNS($AD$1006:AD1006),$AD$1006:$AU$1006,0)), HYPERLINK("#",""), HYPERLINK(CONCATENATE("#metadata!", ADDRESS(INDEX($Y$2:$Y$1001,MATCH(ROWS($W$2:W660),$W$2:$W$1001,0),0), INDEX($AD$1004:$AU$1004,1,MATCH(COLUMNS($AD$1006:AD1006),$AD$1006:$AU$1006,0)))),"Fix")))</f>
        <v xml:space="preserve"> </v>
      </c>
      <c r="C660" s="4" t="str">
        <f ca="1">IF(OR(INDEX($X$2:$X$1001,MATCH(ROWS($W$2:W660),$W$2:$W$1001,0),1)&gt;=100000,INDEX($AD$1005:$AU$1005,1,MATCH(COLUMNS($AD$1006:AE1006),$AD$1006:$AU$1006,0))&gt;=100000), " ",IF(INDEX($AD$2:$AU$1001,MATCH(ROWS($W$2:W660),$W$2:$W$1001,0),MATCH(COLUMNS($AD$1006:AE1006),$AD$1006:$AU$1006,0)), HYPERLINK("#",""), HYPERLINK(CONCATENATE("#metadata!", ADDRESS(INDEX($Y$2:$Y$1001,MATCH(ROWS($W$2:W660),$W$2:$W$1001,0),0), INDEX($AD$1004:$AU$1004,1,MATCH(COLUMNS($AD$1006:AE1006),$AD$1006:$AU$1006,0)))),"Fix")))</f>
        <v xml:space="preserve"> </v>
      </c>
      <c r="D660" s="4" t="str">
        <f ca="1">IF(OR(INDEX($X$2:$X$1001,MATCH(ROWS($W$2:W660),$W$2:$W$1001,0),1)&gt;=100000,INDEX($AD$1005:$AU$1005,1,MATCH(COLUMNS($AD$1006:AF1006),$AD$1006:$AU$1006,0))&gt;=100000), " ",IF(INDEX($AD$2:$AU$1001,MATCH(ROWS($W$2:W660),$W$2:$W$1001,0),MATCH(COLUMNS($AD$1006:AF1006),$AD$1006:$AU$1006,0)), HYPERLINK("#",""), HYPERLINK(CONCATENATE("#metadata!", ADDRESS(INDEX($Y$2:$Y$1001,MATCH(ROWS($W$2:W660),$W$2:$W$1001,0),0), INDEX($AD$1004:$AU$1004,1,MATCH(COLUMNS($AD$1006:AF1006),$AD$1006:$AU$1006,0)))),"Fix")))</f>
        <v xml:space="preserve"> </v>
      </c>
      <c r="E660" s="4" t="str">
        <f ca="1">IF(OR(INDEX($X$2:$X$1001,MATCH(ROWS($W$2:W660),$W$2:$W$1001,0),1)&gt;=100000,INDEX($AD$1005:$AU$1005,1,MATCH(COLUMNS($AD$1006:AG1006),$AD$1006:$AU$1006,0))&gt;=100000), " ",IF(INDEX($AD$2:$AU$1001,MATCH(ROWS($W$2:W660),$W$2:$W$1001,0),MATCH(COLUMNS($AD$1006:AG1006),$AD$1006:$AU$1006,0)), HYPERLINK("#",""), HYPERLINK(CONCATENATE("#metadata!", ADDRESS(INDEX($Y$2:$Y$1001,MATCH(ROWS($W$2:W660),$W$2:$W$1001,0),0), INDEX($AD$1004:$AU$1004,1,MATCH(COLUMNS($AD$1006:AG1006),$AD$1006:$AU$1006,0)))),"Fix")))</f>
        <v xml:space="preserve"> </v>
      </c>
      <c r="F660" s="4" t="str">
        <f ca="1">IF(OR(INDEX($X$2:$X$1001,MATCH(ROWS($W$2:W660),$W$2:$W$1001,0),1)&gt;=100000,INDEX($AD$1005:$AU$1005,1,MATCH(COLUMNS($AD$1006:AH1006),$AD$1006:$AU$1006,0))&gt;=100000), " ",IF(INDEX($AD$2:$AU$1001,MATCH(ROWS($W$2:W660),$W$2:$W$1001,0),MATCH(COLUMNS($AD$1006:AH1006),$AD$1006:$AU$1006,0)), HYPERLINK("#",""), HYPERLINK(CONCATENATE("#metadata!", ADDRESS(INDEX($Y$2:$Y$1001,MATCH(ROWS($W$2:W660),$W$2:$W$1001,0),0), INDEX($AD$1004:$AU$1004,1,MATCH(COLUMNS($AD$1006:AH1006),$AD$1006:$AU$1006,0)))),"Fix")))</f>
        <v xml:space="preserve"> </v>
      </c>
      <c r="G660" s="4" t="str">
        <f ca="1">IF(OR(INDEX($X$2:$X$1001,MATCH(ROWS($W$2:W660),$W$2:$W$1001,0),1)&gt;=100000,INDEX($AD$1005:$AU$1005,1,MATCH(COLUMNS($AD$1006:AI1006),$AD$1006:$AU$1006,0))&gt;=100000), " ",IF(INDEX($AD$2:$AU$1001,MATCH(ROWS($W$2:W660),$W$2:$W$1001,0),MATCH(COLUMNS($AD$1006:AI1006),$AD$1006:$AU$1006,0)), HYPERLINK("#",""), HYPERLINK(CONCATENATE("#metadata!", ADDRESS(INDEX($Y$2:$Y$1001,MATCH(ROWS($W$2:W660),$W$2:$W$1001,0),0), INDEX($AD$1004:$AU$1004,1,MATCH(COLUMNS($AD$1006:AI1006),$AD$1006:$AU$1006,0)))),"Fix")))</f>
        <v xml:space="preserve"> </v>
      </c>
      <c r="H660" s="4" t="str">
        <f ca="1">IF(OR(INDEX($X$2:$X$1001,MATCH(ROWS($W$2:W660),$W$2:$W$1001,0),1)&gt;=100000,INDEX($AD$1005:$AU$1005,1,MATCH(COLUMNS($AD$1006:AJ1006),$AD$1006:$AU$1006,0))&gt;=100000), " ",IF(INDEX($AD$2:$AU$1001,MATCH(ROWS($W$2:W660),$W$2:$W$1001,0),MATCH(COLUMNS($AD$1006:AJ1006),$AD$1006:$AU$1006,0)), HYPERLINK("#",""), HYPERLINK(CONCATENATE("#metadata!", ADDRESS(INDEX($Y$2:$Y$1001,MATCH(ROWS($W$2:W660),$W$2:$W$1001,0),0), INDEX($AD$1004:$AU$1004,1,MATCH(COLUMNS($AD$1006:AJ1006),$AD$1006:$AU$1006,0)))),"Fix")))</f>
        <v xml:space="preserve"> </v>
      </c>
      <c r="I660" s="4" t="str">
        <f ca="1">IF(OR(INDEX($X$2:$X$1001,MATCH(ROWS($W$2:W660),$W$2:$W$1001,0),1)&gt;=100000,INDEX($AD$1005:$AU$1005,1,MATCH(COLUMNS($AD$1006:AK1006),$AD$1006:$AU$1006,0))&gt;=100000), " ",IF(INDEX($AD$2:$AU$1001,MATCH(ROWS($W$2:W660),$W$2:$W$1001,0),MATCH(COLUMNS($AD$1006:AK1006),$AD$1006:$AU$1006,0)), HYPERLINK("#",""), HYPERLINK(CONCATENATE("#metadata!", ADDRESS(INDEX($Y$2:$Y$1001,MATCH(ROWS($W$2:W660),$W$2:$W$1001,0),0), INDEX($AD$1004:$AU$1004,1,MATCH(COLUMNS($AD$1006:AK1006),$AD$1006:$AU$1006,0)))),"Fix")))</f>
        <v xml:space="preserve"> </v>
      </c>
      <c r="J660" s="4" t="str">
        <f ca="1">IF(OR(INDEX($X$2:$X$1001,MATCH(ROWS($W$2:W660),$W$2:$W$1001,0),1)&gt;=100000,INDEX($AD$1005:$AU$1005,1,MATCH(COLUMNS($AD$1006:AL1006),$AD$1006:$AU$1006,0))&gt;=100000), " ",IF(INDEX($AD$2:$AU$1001,MATCH(ROWS($W$2:W660),$W$2:$W$1001,0),MATCH(COLUMNS($AD$1006:AL1006),$AD$1006:$AU$1006,0)), HYPERLINK("#",""), HYPERLINK(CONCATENATE("#metadata!", ADDRESS(INDEX($Y$2:$Y$1001,MATCH(ROWS($W$2:W660),$W$2:$W$1001,0),0), INDEX($AD$1004:$AU$1004,1,MATCH(COLUMNS($AD$1006:AL1006),$AD$1006:$AU$1006,0)))),"Fix")))</f>
        <v xml:space="preserve"> </v>
      </c>
      <c r="K660" s="4" t="str">
        <f ca="1">IF(OR(INDEX($X$2:$X$1001,MATCH(ROWS($W$2:W660),$W$2:$W$1001,0),1)&gt;=100000,INDEX($AD$1005:$AU$1005,1,MATCH(COLUMNS($AD$1006:AM1006),$AD$1006:$AU$1006,0))&gt;=100000), " ",IF(INDEX($AD$2:$AU$1001,MATCH(ROWS($W$2:W660),$W$2:$W$1001,0),MATCH(COLUMNS($AD$1006:AM1006),$AD$1006:$AU$1006,0)), HYPERLINK("#",""), HYPERLINK(CONCATENATE("#metadata!", ADDRESS(INDEX($Y$2:$Y$1001,MATCH(ROWS($W$2:W660),$W$2:$W$1001,0),0), INDEX($AD$1004:$AU$1004,1,MATCH(COLUMNS($AD$1006:AM1006),$AD$1006:$AU$1006,0)))),"Fix")))</f>
        <v xml:space="preserve"> </v>
      </c>
      <c r="L660" s="4" t="str">
        <f ca="1">IF(OR(INDEX($X$2:$X$1001,MATCH(ROWS($W$2:W660),$W$2:$W$1001,0),1)&gt;=100000,INDEX($AD$1005:$AU$1005,1,MATCH(COLUMNS($AD$1006:AN1006),$AD$1006:$AU$1006,0))&gt;=100000), " ",IF(INDEX($AD$2:$AU$1001,MATCH(ROWS($W$2:W660),$W$2:$W$1001,0),MATCH(COLUMNS($AD$1006:AN1006),$AD$1006:$AU$1006,0)), HYPERLINK("#",""), HYPERLINK(CONCATENATE("#metadata!", ADDRESS(INDEX($Y$2:$Y$1001,MATCH(ROWS($W$2:W660),$W$2:$W$1001,0),0), INDEX($AD$1004:$AU$1004,1,MATCH(COLUMNS($AD$1006:AN1006),$AD$1006:$AU$1006,0)))),"Fix")))</f>
        <v xml:space="preserve"> </v>
      </c>
      <c r="M660" s="4" t="str">
        <f ca="1">IF(OR(INDEX($X$2:$X$1001,MATCH(ROWS($W$2:W660),$W$2:$W$1001,0),1)&gt;=100000,INDEX($AD$1005:$AU$1005,1,MATCH(COLUMNS($AD$1006:AO1006),$AD$1006:$AU$1006,0))&gt;=100000), " ",IF(INDEX($AD$2:$AU$1001,MATCH(ROWS($W$2:W660),$W$2:$W$1001,0),MATCH(COLUMNS($AD$1006:AO1006),$AD$1006:$AU$1006,0)), HYPERLINK("#",""), HYPERLINK(CONCATENATE("#metadata!", ADDRESS(INDEX($Y$2:$Y$1001,MATCH(ROWS($W$2:W660),$W$2:$W$1001,0),0), INDEX($AD$1004:$AU$1004,1,MATCH(COLUMNS($AD$1006:AO1006),$AD$1006:$AU$1006,0)))),"Fix")))</f>
        <v xml:space="preserve"> </v>
      </c>
      <c r="N660" s="4" t="str">
        <f ca="1">IF(OR(INDEX($X$2:$X$1001,MATCH(ROWS($W$2:W660),$W$2:$W$1001,0),1)&gt;=100000,INDEX($AD$1005:$AU$1005,1,MATCH(COLUMNS($AD$1006:AP1006),$AD$1006:$AU$1006,0))&gt;=100000), " ",IF(INDEX($AD$2:$AU$1001,MATCH(ROWS($W$2:W660),$W$2:$W$1001,0),MATCH(COLUMNS($AD$1006:AP1006),$AD$1006:$AU$1006,0)), HYPERLINK("#",""), HYPERLINK(CONCATENATE("#metadata!", ADDRESS(INDEX($Y$2:$Y$1001,MATCH(ROWS($W$2:W660),$W$2:$W$1001,0),0), INDEX($AD$1004:$AU$1004,1,MATCH(COLUMNS($AD$1006:AP1006),$AD$1006:$AU$1006,0)))),"Fix")))</f>
        <v xml:space="preserve"> </v>
      </c>
      <c r="O660" s="4" t="str">
        <f ca="1">IF(OR(INDEX($X$2:$X$1001,MATCH(ROWS($W$2:W660),$W$2:$W$1001,0),1)&gt;=100000,INDEX($AD$1005:$AU$1005,1,MATCH(COLUMNS($AD$1006:AQ1006),$AD$1006:$AU$1006,0))&gt;=100000), " ",IF(INDEX($AD$2:$AU$1001,MATCH(ROWS($W$2:W660),$W$2:$W$1001,0),MATCH(COLUMNS($AD$1006:AQ1006),$AD$1006:$AU$1006,0)), HYPERLINK("#",""), HYPERLINK(CONCATENATE("#metadata!", ADDRESS(INDEX($Y$2:$Y$1001,MATCH(ROWS($W$2:W660),$W$2:$W$1001,0),0), INDEX($AD$1004:$AU$1004,1,MATCH(COLUMNS($AD$1006:AQ1006),$AD$1006:$AU$1006,0)))),"Fix")))</f>
        <v xml:space="preserve"> </v>
      </c>
      <c r="P660" s="4" t="str">
        <f ca="1">IF(OR(INDEX($X$2:$X$1001,MATCH(ROWS($W$2:W660),$W$2:$W$1001,0),1)&gt;=100000,INDEX($AD$1005:$AU$1005,1,MATCH(COLUMNS($AD$1006:AR1006),$AD$1006:$AU$1006,0))&gt;=100000), " ",IF(INDEX($AD$2:$AU$1001,MATCH(ROWS($W$2:W660),$W$2:$W$1001,0),MATCH(COLUMNS($AD$1006:AR1006),$AD$1006:$AU$1006,0)), HYPERLINK("#",""), HYPERLINK(CONCATENATE("#metadata!", ADDRESS(INDEX($Y$2:$Y$1001,MATCH(ROWS($W$2:W660),$W$2:$W$1001,0),0), INDEX($AD$1004:$AU$1004,1,MATCH(COLUMNS($AD$1006:AR1006),$AD$1006:$AU$1006,0)))),"Fix")))</f>
        <v xml:space="preserve"> </v>
      </c>
      <c r="Q660" s="4" t="str">
        <f ca="1">IF(OR(INDEX($X$2:$X$1001,MATCH(ROWS($W$2:W660),$W$2:$W$1001,0),1)&gt;=100000,INDEX($AD$1005:$AU$1005,1,MATCH(COLUMNS($AD$1006:AS1006),$AD$1006:$AU$1006,0))&gt;=100000), " ",IF(INDEX($AD$2:$AU$1001,MATCH(ROWS($W$2:W660),$W$2:$W$1001,0),MATCH(COLUMNS($AD$1006:AS1006),$AD$1006:$AU$1006,0)), HYPERLINK("#",""), HYPERLINK(CONCATENATE("#metadata!", ADDRESS(INDEX($Y$2:$Y$1001,MATCH(ROWS($W$2:W660),$W$2:$W$1001,0),0), INDEX($AD$1004:$AU$1004,1,MATCH(COLUMNS($AD$1006:AS1006),$AD$1006:$AU$1006,0)))),"Fix")))</f>
        <v xml:space="preserve"> </v>
      </c>
      <c r="R660" s="4" t="str">
        <f ca="1">IF(OR(INDEX($X$2:$X$1001,MATCH(ROWS($W$2:W660),$W$2:$W$1001,0),1)&gt;=100000,INDEX($AD$1005:$AU$1005,1,MATCH(COLUMNS($AD$1006:AT1006),$AD$1006:$AU$1006,0))&gt;=100000), " ",IF(INDEX($AD$2:$AU$1001,MATCH(ROWS($W$2:W660),$W$2:$W$1001,0),MATCH(COLUMNS($AD$1006:AT1006),$AD$1006:$AU$1006,0)), HYPERLINK("#",""), HYPERLINK(CONCATENATE("#metadata!", ADDRESS(INDEX($Y$2:$Y$1001,MATCH(ROWS($W$2:W660),$W$2:$W$1001,0),0), INDEX($AD$1004:$AU$1004,1,MATCH(COLUMNS($AD$1006:AT1006),$AD$1006:$AU$1006,0)))),"Fix")))</f>
        <v xml:space="preserve"> </v>
      </c>
      <c r="S660" s="4" t="str">
        <f ca="1">IF(OR(INDEX($X$2:$X$1001,MATCH(ROWS($W$2:W660),$W$2:$W$1001,0),1)&gt;=100000,INDEX($AD$1005:$AU$1005,1,MATCH(COLUMNS($AD$1006:AU1006),$AD$1006:$AU$1006,0))&gt;=100000), " ",IF(INDEX($AD$2:$AU$1001,MATCH(ROWS($W$2:W660),$W$2:$W$1001,0),MATCH(COLUMNS($AD$1006:AU1006),$AD$1006:$AU$1006,0)), HYPERLINK("#",""), HYPERLINK(CONCATENATE("#metadata!", ADDRESS(INDEX($Y$2:$Y$1001,MATCH(ROWS($W$2:W660),$W$2:$W$1001,0),0), INDEX($AD$1004:$AU$1004,1,MATCH(COLUMNS($AD$1006:AU1006),$AD$1006:$AU$1006,0)))),"Fix")))</f>
        <v xml:space="preserve"> </v>
      </c>
      <c r="W660">
        <v>659</v>
      </c>
      <c r="X660">
        <v>100660</v>
      </c>
      <c r="Y660">
        <v>660</v>
      </c>
      <c r="Z660" t="b">
        <f t="shared" si="10"/>
        <v>1</v>
      </c>
      <c r="AA660" t="b">
        <f>COUNTBLANK(metadata!B660:S660)=COLUMNS(metadata!B660:S660)</f>
        <v>1</v>
      </c>
      <c r="AB660" t="str">
        <v/>
      </c>
      <c r="AD660" t="b">
        <f ca="1">AND(IF(metadata!B660="",FALSE,TRUE),COUNTIF(metadata!B:B, metadata!B660) = 1,NOT(ISERROR(SUMPRODUCT(SEARCH(MID(metadata!B660,ROW(INDIRECT("1:"&amp;LEN(metadata!B660))), 1),"0123456789abcdefghijklmnopqrstuvwxyzABCDEFGHIJKLMNOPQRSTUVWXYZ.")))))</f>
        <v>0</v>
      </c>
      <c r="AE660" t="b">
        <f>OR(AND(IF(metadata!C660="",FALSE,TRUE),OR(EXACT(metadata!C660,"not applicable"),EXACT(metadata!C660,"missing: not collected"),EXACT(metadata!C660,"missing: not provided"),EXACT(metadata!C660,"missing: restricted access"))),AND(IF(metadata!C660="",FALSE,ISNUMBER(VALUE(metadata!C660))),metadata!C660&gt;0))</f>
        <v>0</v>
      </c>
      <c r="AF660" t="b">
        <f>AND(IF(metadata!D660="",FALSE,TRUE),EXACT(metadata!D660,"missing: not provided"))</f>
        <v>0</v>
      </c>
      <c r="AG660" t="b">
        <f>AND(IF(metadata!E660="",FALSE,TRUE),EXACT(metadata!E660,"Host-associated"))</f>
        <v>0</v>
      </c>
      <c r="AH660" t="b">
        <f>AND(IF(metadata!F660="",FALSE,TRUE),OR(EXACT(metadata!F660,"Animal"),EXACT(metadata!F660,"Fungus"),EXACT(metadata!F660,"Plant")))</f>
        <v>0</v>
      </c>
      <c r="AI660" t="b">
        <f>AND(IF(metadata!G660="",FALSE,TRUE),OR(EXACT(metadata!G660,"Plant secretion"),EXACT(metadata!G660,"Plant rhizosphere"),EXACT(metadata!G660,"Plant surface"),EXACT(metadata!G660,"Plant corpus"),EXACT(metadata!G660,"Fungus surface"),EXACT(metadata!G660,"Fungus corpus"),EXACT(metadata!G660,"Animal surface"),EXACT(metadata!G660,"Animal proximal gut"),EXACT(metadata!G660,"Animal corpus"),EXACT(metadata!G660,"Animal distal gut"),EXACT(metadata!G660,"Animal secretion")))</f>
        <v>0</v>
      </c>
      <c r="AJ660" t="b">
        <f>OR(AND(IF(metadata!H660="",FALSE,TRUE),OR(EXACT(metadata!H660,"missing: not collected"),EXACT(metadata!H660,"missing: not provided"),EXACT(metadata!H660,"missing: restricted access"))),AND(IF(metadata!H660="",FALSE,TRUE),OR(EXACT(metadata!H660,"organism-associated habitat"),EXACT(metadata!H660,"plant-associated habitat"),EXACT(metadata!H660,"animal-associated habitat"),EXACT(metadata!H660,"insecta-associated habitat"),EXACT(metadata!H660,"mammalia-associated habitat"),EXACT(metadata!H660,"human-associated habitat"),EXACT(metadata!H660,"livestock-associated habitat"))))</f>
        <v>0</v>
      </c>
      <c r="AK660" t="b">
        <f>AND(IF(metadata!I660="",FALSE,TRUE),EXACT(metadata!I660,"host-associated"))</f>
        <v>0</v>
      </c>
      <c r="AL660" t="b">
        <f>OR(AND(IF(metadata!J660="",FALSE,TRUE),OR(EXACT(metadata!J660,"not applicable"),EXACT(metadata!J660,"missing: not collected"),EXACT(metadata!J660,"missing: not provided"),EXACT(metadata!J660,"missing: restricted access"))),AND(IF(metadata!J660="",FALSE,ISNUMBER(VALUE(metadata!J660))),metadata!J660&gt;0))</f>
        <v>0</v>
      </c>
      <c r="AM660" t="b">
        <f>AND(IF(metadata!K660="",FALSE,TRUE),EXACT(metadata!K660,"missing: not provided"))</f>
        <v>0</v>
      </c>
      <c r="AN660" t="b">
        <f>IF(metadata!L660="",FALSE,TRUE)</f>
        <v>0</v>
      </c>
      <c r="AO660" t="b">
        <f>IF(metadata!M660="",FALSE,TRUE)</f>
        <v>0</v>
      </c>
      <c r="AP660" t="b">
        <f>OR(AND(IF(metadata!N660="",FALSE,TRUE),OR(EXACT(metadata!N660,"not applicable"),EXACT(metadata!N660,"missing: not collected"),EXACT(metadata!N660,"missing: not provided"))),AND(IF(metadata!N660="",FALSE,IF(ISERROR(INT(metadata!N660)),FALSE,INT(metadata!N660)=metadata!N660)),metadata!N660&gt;0))</f>
        <v>0</v>
      </c>
      <c r="AQ660" t="b">
        <f>AND(IF(metadata!O660="",FALSE,TRUE),EXACT(metadata!O660,"Not applicable"))</f>
        <v>0</v>
      </c>
      <c r="AR660" t="b">
        <f>OR(AND(IF(metadata!P660="",FALSE,TRUE),OR(EXACT(metadata!P660,"not applicable"),EXACT(metadata!P660,"missing: not collected"),EXACT(metadata!P660,"missing: not provided"),EXACT(metadata!P660,"missing: restricted access"))),IF(metadata!P660="",FALSE,IF(ISERROR(INT(metadata!P660)),FALSE,INT(metadata!P660)=metadata!P660)))</f>
        <v>0</v>
      </c>
      <c r="AS660" t="b">
        <f>AND(IF(metadata!Q660="",FALSE,TRUE),EXACT(metadata!Q660,"Not applicable"))</f>
        <v>0</v>
      </c>
      <c r="AT660" t="b">
        <f>OR(AND(IF(metadata!R660="",FALSE,TRUE),OR(EXACT(metadata!R660,"not applicable"),EXACT(metadata!R660,"missing: not collected"),EXACT(metadata!R660,"missing: not provided"),EXACT(metadata!R660,"missing: restricted access"))),AND(IF(metadata!R660="",FALSE,ISNUMBER(VALUE(metadata!R660))),metadata!R660&gt;0))</f>
        <v>0</v>
      </c>
      <c r="AU660" t="b">
        <f>AND(IF(metadata!S660="",FALSE,TRUE),EXACT(metadata!S660,"missing: not provided"))</f>
        <v>0</v>
      </c>
    </row>
    <row r="661" spans="1:47" x14ac:dyDescent="0.2">
      <c r="A661" s="5" t="str">
        <f ca="1">IF(B661=" "," ",HYPERLINK(CONCATENATE("#metadata!",ADDRESS(INDEX($Y$2:$Y$1001,MATCH(ROWS($W$2:W661),$W$2:$W$1001,0),0),1)),INDEX($AB$2:$AB$1001,MATCH(ROWS($W$2:W661),$W$2:$W$1001,0),0)))</f>
        <v xml:space="preserve"> </v>
      </c>
      <c r="B661" s="4" t="str">
        <f ca="1">IF(OR(INDEX($X$2:$X$1001,MATCH(ROWS($W$2:W661),$W$2:$W$1001,0),1)&gt;=100000,INDEX($AD$1005:$AU$1005,1,MATCH(COLUMNS($AD$1006:AD1006),$AD$1006:$AU$1006,0))&gt;=100000), " ",IF(INDEX($AD$2:$AU$1001,MATCH(ROWS($W$2:W661),$W$2:$W$1001,0),MATCH(COLUMNS($AD$1006:AD1006),$AD$1006:$AU$1006,0)), HYPERLINK("#",""), HYPERLINK(CONCATENATE("#metadata!", ADDRESS(INDEX($Y$2:$Y$1001,MATCH(ROWS($W$2:W661),$W$2:$W$1001,0),0), INDEX($AD$1004:$AU$1004,1,MATCH(COLUMNS($AD$1006:AD1006),$AD$1006:$AU$1006,0)))),"Fix")))</f>
        <v xml:space="preserve"> </v>
      </c>
      <c r="C661" s="4" t="str">
        <f ca="1">IF(OR(INDEX($X$2:$X$1001,MATCH(ROWS($W$2:W661),$W$2:$W$1001,0),1)&gt;=100000,INDEX($AD$1005:$AU$1005,1,MATCH(COLUMNS($AD$1006:AE1006),$AD$1006:$AU$1006,0))&gt;=100000), " ",IF(INDEX($AD$2:$AU$1001,MATCH(ROWS($W$2:W661),$W$2:$W$1001,0),MATCH(COLUMNS($AD$1006:AE1006),$AD$1006:$AU$1006,0)), HYPERLINK("#",""), HYPERLINK(CONCATENATE("#metadata!", ADDRESS(INDEX($Y$2:$Y$1001,MATCH(ROWS($W$2:W661),$W$2:$W$1001,0),0), INDEX($AD$1004:$AU$1004,1,MATCH(COLUMNS($AD$1006:AE1006),$AD$1006:$AU$1006,0)))),"Fix")))</f>
        <v xml:space="preserve"> </v>
      </c>
      <c r="D661" s="4" t="str">
        <f ca="1">IF(OR(INDEX($X$2:$X$1001,MATCH(ROWS($W$2:W661),$W$2:$W$1001,0),1)&gt;=100000,INDEX($AD$1005:$AU$1005,1,MATCH(COLUMNS($AD$1006:AF1006),$AD$1006:$AU$1006,0))&gt;=100000), " ",IF(INDEX($AD$2:$AU$1001,MATCH(ROWS($W$2:W661),$W$2:$W$1001,0),MATCH(COLUMNS($AD$1006:AF1006),$AD$1006:$AU$1006,0)), HYPERLINK("#",""), HYPERLINK(CONCATENATE("#metadata!", ADDRESS(INDEX($Y$2:$Y$1001,MATCH(ROWS($W$2:W661),$W$2:$W$1001,0),0), INDEX($AD$1004:$AU$1004,1,MATCH(COLUMNS($AD$1006:AF1006),$AD$1006:$AU$1006,0)))),"Fix")))</f>
        <v xml:space="preserve"> </v>
      </c>
      <c r="E661" s="4" t="str">
        <f ca="1">IF(OR(INDEX($X$2:$X$1001,MATCH(ROWS($W$2:W661),$W$2:$W$1001,0),1)&gt;=100000,INDEX($AD$1005:$AU$1005,1,MATCH(COLUMNS($AD$1006:AG1006),$AD$1006:$AU$1006,0))&gt;=100000), " ",IF(INDEX($AD$2:$AU$1001,MATCH(ROWS($W$2:W661),$W$2:$W$1001,0),MATCH(COLUMNS($AD$1006:AG1006),$AD$1006:$AU$1006,0)), HYPERLINK("#",""), HYPERLINK(CONCATENATE("#metadata!", ADDRESS(INDEX($Y$2:$Y$1001,MATCH(ROWS($W$2:W661),$W$2:$W$1001,0),0), INDEX($AD$1004:$AU$1004,1,MATCH(COLUMNS($AD$1006:AG1006),$AD$1006:$AU$1006,0)))),"Fix")))</f>
        <v xml:space="preserve"> </v>
      </c>
      <c r="F661" s="4" t="str">
        <f ca="1">IF(OR(INDEX($X$2:$X$1001,MATCH(ROWS($W$2:W661),$W$2:$W$1001,0),1)&gt;=100000,INDEX($AD$1005:$AU$1005,1,MATCH(COLUMNS($AD$1006:AH1006),$AD$1006:$AU$1006,0))&gt;=100000), " ",IF(INDEX($AD$2:$AU$1001,MATCH(ROWS($W$2:W661),$W$2:$W$1001,0),MATCH(COLUMNS($AD$1006:AH1006),$AD$1006:$AU$1006,0)), HYPERLINK("#",""), HYPERLINK(CONCATENATE("#metadata!", ADDRESS(INDEX($Y$2:$Y$1001,MATCH(ROWS($W$2:W661),$W$2:$W$1001,0),0), INDEX($AD$1004:$AU$1004,1,MATCH(COLUMNS($AD$1006:AH1006),$AD$1006:$AU$1006,0)))),"Fix")))</f>
        <v xml:space="preserve"> </v>
      </c>
      <c r="G661" s="4" t="str">
        <f ca="1">IF(OR(INDEX($X$2:$X$1001,MATCH(ROWS($W$2:W661),$W$2:$W$1001,0),1)&gt;=100000,INDEX($AD$1005:$AU$1005,1,MATCH(COLUMNS($AD$1006:AI1006),$AD$1006:$AU$1006,0))&gt;=100000), " ",IF(INDEX($AD$2:$AU$1001,MATCH(ROWS($W$2:W661),$W$2:$W$1001,0),MATCH(COLUMNS($AD$1006:AI1006),$AD$1006:$AU$1006,0)), HYPERLINK("#",""), HYPERLINK(CONCATENATE("#metadata!", ADDRESS(INDEX($Y$2:$Y$1001,MATCH(ROWS($W$2:W661),$W$2:$W$1001,0),0), INDEX($AD$1004:$AU$1004,1,MATCH(COLUMNS($AD$1006:AI1006),$AD$1006:$AU$1006,0)))),"Fix")))</f>
        <v xml:space="preserve"> </v>
      </c>
      <c r="H661" s="4" t="str">
        <f ca="1">IF(OR(INDEX($X$2:$X$1001,MATCH(ROWS($W$2:W661),$W$2:$W$1001,0),1)&gt;=100000,INDEX($AD$1005:$AU$1005,1,MATCH(COLUMNS($AD$1006:AJ1006),$AD$1006:$AU$1006,0))&gt;=100000), " ",IF(INDEX($AD$2:$AU$1001,MATCH(ROWS($W$2:W661),$W$2:$W$1001,0),MATCH(COLUMNS($AD$1006:AJ1006),$AD$1006:$AU$1006,0)), HYPERLINK("#",""), HYPERLINK(CONCATENATE("#metadata!", ADDRESS(INDEX($Y$2:$Y$1001,MATCH(ROWS($W$2:W661),$W$2:$W$1001,0),0), INDEX($AD$1004:$AU$1004,1,MATCH(COLUMNS($AD$1006:AJ1006),$AD$1006:$AU$1006,0)))),"Fix")))</f>
        <v xml:space="preserve"> </v>
      </c>
      <c r="I661" s="4" t="str">
        <f ca="1">IF(OR(INDEX($X$2:$X$1001,MATCH(ROWS($W$2:W661),$W$2:$W$1001,0),1)&gt;=100000,INDEX($AD$1005:$AU$1005,1,MATCH(COLUMNS($AD$1006:AK1006),$AD$1006:$AU$1006,0))&gt;=100000), " ",IF(INDEX($AD$2:$AU$1001,MATCH(ROWS($W$2:W661),$W$2:$W$1001,0),MATCH(COLUMNS($AD$1006:AK1006),$AD$1006:$AU$1006,0)), HYPERLINK("#",""), HYPERLINK(CONCATENATE("#metadata!", ADDRESS(INDEX($Y$2:$Y$1001,MATCH(ROWS($W$2:W661),$W$2:$W$1001,0),0), INDEX($AD$1004:$AU$1004,1,MATCH(COLUMNS($AD$1006:AK1006),$AD$1006:$AU$1006,0)))),"Fix")))</f>
        <v xml:space="preserve"> </v>
      </c>
      <c r="J661" s="4" t="str">
        <f ca="1">IF(OR(INDEX($X$2:$X$1001,MATCH(ROWS($W$2:W661),$W$2:$W$1001,0),1)&gt;=100000,INDEX($AD$1005:$AU$1005,1,MATCH(COLUMNS($AD$1006:AL1006),$AD$1006:$AU$1006,0))&gt;=100000), " ",IF(INDEX($AD$2:$AU$1001,MATCH(ROWS($W$2:W661),$W$2:$W$1001,0),MATCH(COLUMNS($AD$1006:AL1006),$AD$1006:$AU$1006,0)), HYPERLINK("#",""), HYPERLINK(CONCATENATE("#metadata!", ADDRESS(INDEX($Y$2:$Y$1001,MATCH(ROWS($W$2:W661),$W$2:$W$1001,0),0), INDEX($AD$1004:$AU$1004,1,MATCH(COLUMNS($AD$1006:AL1006),$AD$1006:$AU$1006,0)))),"Fix")))</f>
        <v xml:space="preserve"> </v>
      </c>
      <c r="K661" s="4" t="str">
        <f ca="1">IF(OR(INDEX($X$2:$X$1001,MATCH(ROWS($W$2:W661),$W$2:$W$1001,0),1)&gt;=100000,INDEX($AD$1005:$AU$1005,1,MATCH(COLUMNS($AD$1006:AM1006),$AD$1006:$AU$1006,0))&gt;=100000), " ",IF(INDEX($AD$2:$AU$1001,MATCH(ROWS($W$2:W661),$W$2:$W$1001,0),MATCH(COLUMNS($AD$1006:AM1006),$AD$1006:$AU$1006,0)), HYPERLINK("#",""), HYPERLINK(CONCATENATE("#metadata!", ADDRESS(INDEX($Y$2:$Y$1001,MATCH(ROWS($W$2:W661),$W$2:$W$1001,0),0), INDEX($AD$1004:$AU$1004,1,MATCH(COLUMNS($AD$1006:AM1006),$AD$1006:$AU$1006,0)))),"Fix")))</f>
        <v xml:space="preserve"> </v>
      </c>
      <c r="L661" s="4" t="str">
        <f ca="1">IF(OR(INDEX($X$2:$X$1001,MATCH(ROWS($W$2:W661),$W$2:$W$1001,0),1)&gt;=100000,INDEX($AD$1005:$AU$1005,1,MATCH(COLUMNS($AD$1006:AN1006),$AD$1006:$AU$1006,0))&gt;=100000), " ",IF(INDEX($AD$2:$AU$1001,MATCH(ROWS($W$2:W661),$W$2:$W$1001,0),MATCH(COLUMNS($AD$1006:AN1006),$AD$1006:$AU$1006,0)), HYPERLINK("#",""), HYPERLINK(CONCATENATE("#metadata!", ADDRESS(INDEX($Y$2:$Y$1001,MATCH(ROWS($W$2:W661),$W$2:$W$1001,0),0), INDEX($AD$1004:$AU$1004,1,MATCH(COLUMNS($AD$1006:AN1006),$AD$1006:$AU$1006,0)))),"Fix")))</f>
        <v xml:space="preserve"> </v>
      </c>
      <c r="M661" s="4" t="str">
        <f ca="1">IF(OR(INDEX($X$2:$X$1001,MATCH(ROWS($W$2:W661),$W$2:$W$1001,0),1)&gt;=100000,INDEX($AD$1005:$AU$1005,1,MATCH(COLUMNS($AD$1006:AO1006),$AD$1006:$AU$1006,0))&gt;=100000), " ",IF(INDEX($AD$2:$AU$1001,MATCH(ROWS($W$2:W661),$W$2:$W$1001,0),MATCH(COLUMNS($AD$1006:AO1006),$AD$1006:$AU$1006,0)), HYPERLINK("#",""), HYPERLINK(CONCATENATE("#metadata!", ADDRESS(INDEX($Y$2:$Y$1001,MATCH(ROWS($W$2:W661),$W$2:$W$1001,0),0), INDEX($AD$1004:$AU$1004,1,MATCH(COLUMNS($AD$1006:AO1006),$AD$1006:$AU$1006,0)))),"Fix")))</f>
        <v xml:space="preserve"> </v>
      </c>
      <c r="N661" s="4" t="str">
        <f ca="1">IF(OR(INDEX($X$2:$X$1001,MATCH(ROWS($W$2:W661),$W$2:$W$1001,0),1)&gt;=100000,INDEX($AD$1005:$AU$1005,1,MATCH(COLUMNS($AD$1006:AP1006),$AD$1006:$AU$1006,0))&gt;=100000), " ",IF(INDEX($AD$2:$AU$1001,MATCH(ROWS($W$2:W661),$W$2:$W$1001,0),MATCH(COLUMNS($AD$1006:AP1006),$AD$1006:$AU$1006,0)), HYPERLINK("#",""), HYPERLINK(CONCATENATE("#metadata!", ADDRESS(INDEX($Y$2:$Y$1001,MATCH(ROWS($W$2:W661),$W$2:$W$1001,0),0), INDEX($AD$1004:$AU$1004,1,MATCH(COLUMNS($AD$1006:AP1006),$AD$1006:$AU$1006,0)))),"Fix")))</f>
        <v xml:space="preserve"> </v>
      </c>
      <c r="O661" s="4" t="str">
        <f ca="1">IF(OR(INDEX($X$2:$X$1001,MATCH(ROWS($W$2:W661),$W$2:$W$1001,0),1)&gt;=100000,INDEX($AD$1005:$AU$1005,1,MATCH(COLUMNS($AD$1006:AQ1006),$AD$1006:$AU$1006,0))&gt;=100000), " ",IF(INDEX($AD$2:$AU$1001,MATCH(ROWS($W$2:W661),$W$2:$W$1001,0),MATCH(COLUMNS($AD$1006:AQ1006),$AD$1006:$AU$1006,0)), HYPERLINK("#",""), HYPERLINK(CONCATENATE("#metadata!", ADDRESS(INDEX($Y$2:$Y$1001,MATCH(ROWS($W$2:W661),$W$2:$W$1001,0),0), INDEX($AD$1004:$AU$1004,1,MATCH(COLUMNS($AD$1006:AQ1006),$AD$1006:$AU$1006,0)))),"Fix")))</f>
        <v xml:space="preserve"> </v>
      </c>
      <c r="P661" s="4" t="str">
        <f ca="1">IF(OR(INDEX($X$2:$X$1001,MATCH(ROWS($W$2:W661),$W$2:$W$1001,0),1)&gt;=100000,INDEX($AD$1005:$AU$1005,1,MATCH(COLUMNS($AD$1006:AR1006),$AD$1006:$AU$1006,0))&gt;=100000), " ",IF(INDEX($AD$2:$AU$1001,MATCH(ROWS($W$2:W661),$W$2:$W$1001,0),MATCH(COLUMNS($AD$1006:AR1006),$AD$1006:$AU$1006,0)), HYPERLINK("#",""), HYPERLINK(CONCATENATE("#metadata!", ADDRESS(INDEX($Y$2:$Y$1001,MATCH(ROWS($W$2:W661),$W$2:$W$1001,0),0), INDEX($AD$1004:$AU$1004,1,MATCH(COLUMNS($AD$1006:AR1006),$AD$1006:$AU$1006,0)))),"Fix")))</f>
        <v xml:space="preserve"> </v>
      </c>
      <c r="Q661" s="4" t="str">
        <f ca="1">IF(OR(INDEX($X$2:$X$1001,MATCH(ROWS($W$2:W661),$W$2:$W$1001,0),1)&gt;=100000,INDEX($AD$1005:$AU$1005,1,MATCH(COLUMNS($AD$1006:AS1006),$AD$1006:$AU$1006,0))&gt;=100000), " ",IF(INDEX($AD$2:$AU$1001,MATCH(ROWS($W$2:W661),$W$2:$W$1001,0),MATCH(COLUMNS($AD$1006:AS1006),$AD$1006:$AU$1006,0)), HYPERLINK("#",""), HYPERLINK(CONCATENATE("#metadata!", ADDRESS(INDEX($Y$2:$Y$1001,MATCH(ROWS($W$2:W661),$W$2:$W$1001,0),0), INDEX($AD$1004:$AU$1004,1,MATCH(COLUMNS($AD$1006:AS1006),$AD$1006:$AU$1006,0)))),"Fix")))</f>
        <v xml:space="preserve"> </v>
      </c>
      <c r="R661" s="4" t="str">
        <f ca="1">IF(OR(INDEX($X$2:$X$1001,MATCH(ROWS($W$2:W661),$W$2:$W$1001,0),1)&gt;=100000,INDEX($AD$1005:$AU$1005,1,MATCH(COLUMNS($AD$1006:AT1006),$AD$1006:$AU$1006,0))&gt;=100000), " ",IF(INDEX($AD$2:$AU$1001,MATCH(ROWS($W$2:W661),$W$2:$W$1001,0),MATCH(COLUMNS($AD$1006:AT1006),$AD$1006:$AU$1006,0)), HYPERLINK("#",""), HYPERLINK(CONCATENATE("#metadata!", ADDRESS(INDEX($Y$2:$Y$1001,MATCH(ROWS($W$2:W661),$W$2:$W$1001,0),0), INDEX($AD$1004:$AU$1004,1,MATCH(COLUMNS($AD$1006:AT1006),$AD$1006:$AU$1006,0)))),"Fix")))</f>
        <v xml:space="preserve"> </v>
      </c>
      <c r="S661" s="4" t="str">
        <f ca="1">IF(OR(INDEX($X$2:$X$1001,MATCH(ROWS($W$2:W661),$W$2:$W$1001,0),1)&gt;=100000,INDEX($AD$1005:$AU$1005,1,MATCH(COLUMNS($AD$1006:AU1006),$AD$1006:$AU$1006,0))&gt;=100000), " ",IF(INDEX($AD$2:$AU$1001,MATCH(ROWS($W$2:W661),$W$2:$W$1001,0),MATCH(COLUMNS($AD$1006:AU1006),$AD$1006:$AU$1006,0)), HYPERLINK("#",""), HYPERLINK(CONCATENATE("#metadata!", ADDRESS(INDEX($Y$2:$Y$1001,MATCH(ROWS($W$2:W661),$W$2:$W$1001,0),0), INDEX($AD$1004:$AU$1004,1,MATCH(COLUMNS($AD$1006:AU1006),$AD$1006:$AU$1006,0)))),"Fix")))</f>
        <v xml:space="preserve"> </v>
      </c>
      <c r="W661">
        <v>660</v>
      </c>
      <c r="X661">
        <v>100661</v>
      </c>
      <c r="Y661">
        <v>661</v>
      </c>
      <c r="Z661" t="b">
        <f t="shared" si="10"/>
        <v>1</v>
      </c>
      <c r="AA661" t="b">
        <f>COUNTBLANK(metadata!B661:S661)=COLUMNS(metadata!B661:S661)</f>
        <v>1</v>
      </c>
      <c r="AB661" t="str">
        <v/>
      </c>
      <c r="AD661" t="b">
        <f ca="1">AND(IF(metadata!B661="",FALSE,TRUE),COUNTIF(metadata!B:B, metadata!B661) = 1,NOT(ISERROR(SUMPRODUCT(SEARCH(MID(metadata!B661,ROW(INDIRECT("1:"&amp;LEN(metadata!B661))), 1),"0123456789abcdefghijklmnopqrstuvwxyzABCDEFGHIJKLMNOPQRSTUVWXYZ.")))))</f>
        <v>0</v>
      </c>
      <c r="AE661" t="b">
        <f>OR(AND(IF(metadata!C661="",FALSE,TRUE),OR(EXACT(metadata!C661,"not applicable"),EXACT(metadata!C661,"missing: not collected"),EXACT(metadata!C661,"missing: not provided"),EXACT(metadata!C661,"missing: restricted access"))),AND(IF(metadata!C661="",FALSE,ISNUMBER(VALUE(metadata!C661))),metadata!C661&gt;0))</f>
        <v>0</v>
      </c>
      <c r="AF661" t="b">
        <f>AND(IF(metadata!D661="",FALSE,TRUE),EXACT(metadata!D661,"missing: not provided"))</f>
        <v>0</v>
      </c>
      <c r="AG661" t="b">
        <f>AND(IF(metadata!E661="",FALSE,TRUE),EXACT(metadata!E661,"Host-associated"))</f>
        <v>0</v>
      </c>
      <c r="AH661" t="b">
        <f>AND(IF(metadata!F661="",FALSE,TRUE),OR(EXACT(metadata!F661,"Animal"),EXACT(metadata!F661,"Fungus"),EXACT(metadata!F661,"Plant")))</f>
        <v>0</v>
      </c>
      <c r="AI661" t="b">
        <f>AND(IF(metadata!G661="",FALSE,TRUE),OR(EXACT(metadata!G661,"Plant secretion"),EXACT(metadata!G661,"Plant rhizosphere"),EXACT(metadata!G661,"Plant surface"),EXACT(metadata!G661,"Plant corpus"),EXACT(metadata!G661,"Fungus surface"),EXACT(metadata!G661,"Fungus corpus"),EXACT(metadata!G661,"Animal surface"),EXACT(metadata!G661,"Animal proximal gut"),EXACT(metadata!G661,"Animal corpus"),EXACT(metadata!G661,"Animal distal gut"),EXACT(metadata!G661,"Animal secretion")))</f>
        <v>0</v>
      </c>
      <c r="AJ661" t="b">
        <f>OR(AND(IF(metadata!H661="",FALSE,TRUE),OR(EXACT(metadata!H661,"missing: not collected"),EXACT(metadata!H661,"missing: not provided"),EXACT(metadata!H661,"missing: restricted access"))),AND(IF(metadata!H661="",FALSE,TRUE),OR(EXACT(metadata!H661,"organism-associated habitat"),EXACT(metadata!H661,"plant-associated habitat"),EXACT(metadata!H661,"animal-associated habitat"),EXACT(metadata!H661,"insecta-associated habitat"),EXACT(metadata!H661,"mammalia-associated habitat"),EXACT(metadata!H661,"human-associated habitat"),EXACT(metadata!H661,"livestock-associated habitat"))))</f>
        <v>0</v>
      </c>
      <c r="AK661" t="b">
        <f>AND(IF(metadata!I661="",FALSE,TRUE),EXACT(metadata!I661,"host-associated"))</f>
        <v>0</v>
      </c>
      <c r="AL661" t="b">
        <f>OR(AND(IF(metadata!J661="",FALSE,TRUE),OR(EXACT(metadata!J661,"not applicable"),EXACT(metadata!J661,"missing: not collected"),EXACT(metadata!J661,"missing: not provided"),EXACT(metadata!J661,"missing: restricted access"))),AND(IF(metadata!J661="",FALSE,ISNUMBER(VALUE(metadata!J661))),metadata!J661&gt;0))</f>
        <v>0</v>
      </c>
      <c r="AM661" t="b">
        <f>AND(IF(metadata!K661="",FALSE,TRUE),EXACT(metadata!K661,"missing: not provided"))</f>
        <v>0</v>
      </c>
      <c r="AN661" t="b">
        <f>IF(metadata!L661="",FALSE,TRUE)</f>
        <v>0</v>
      </c>
      <c r="AO661" t="b">
        <f>IF(metadata!M661="",FALSE,TRUE)</f>
        <v>0</v>
      </c>
      <c r="AP661" t="b">
        <f>OR(AND(IF(metadata!N661="",FALSE,TRUE),OR(EXACT(metadata!N661,"not applicable"),EXACT(metadata!N661,"missing: not collected"),EXACT(metadata!N661,"missing: not provided"))),AND(IF(metadata!N661="",FALSE,IF(ISERROR(INT(metadata!N661)),FALSE,INT(metadata!N661)=metadata!N661)),metadata!N661&gt;0))</f>
        <v>0</v>
      </c>
      <c r="AQ661" t="b">
        <f>AND(IF(metadata!O661="",FALSE,TRUE),EXACT(metadata!O661,"Not applicable"))</f>
        <v>0</v>
      </c>
      <c r="AR661" t="b">
        <f>OR(AND(IF(metadata!P661="",FALSE,TRUE),OR(EXACT(metadata!P661,"not applicable"),EXACT(metadata!P661,"missing: not collected"),EXACT(metadata!P661,"missing: not provided"),EXACT(metadata!P661,"missing: restricted access"))),IF(metadata!P661="",FALSE,IF(ISERROR(INT(metadata!P661)),FALSE,INT(metadata!P661)=metadata!P661)))</f>
        <v>0</v>
      </c>
      <c r="AS661" t="b">
        <f>AND(IF(metadata!Q661="",FALSE,TRUE),EXACT(metadata!Q661,"Not applicable"))</f>
        <v>0</v>
      </c>
      <c r="AT661" t="b">
        <f>OR(AND(IF(metadata!R661="",FALSE,TRUE),OR(EXACT(metadata!R661,"not applicable"),EXACT(metadata!R661,"missing: not collected"),EXACT(metadata!R661,"missing: not provided"),EXACT(metadata!R661,"missing: restricted access"))),AND(IF(metadata!R661="",FALSE,ISNUMBER(VALUE(metadata!R661))),metadata!R661&gt;0))</f>
        <v>0</v>
      </c>
      <c r="AU661" t="b">
        <f>AND(IF(metadata!S661="",FALSE,TRUE),EXACT(metadata!S661,"missing: not provided"))</f>
        <v>0</v>
      </c>
    </row>
    <row r="662" spans="1:47" x14ac:dyDescent="0.2">
      <c r="A662" s="5" t="str">
        <f ca="1">IF(B662=" "," ",HYPERLINK(CONCATENATE("#metadata!",ADDRESS(INDEX($Y$2:$Y$1001,MATCH(ROWS($W$2:W662),$W$2:$W$1001,0),0),1)),INDEX($AB$2:$AB$1001,MATCH(ROWS($W$2:W662),$W$2:$W$1001,0),0)))</f>
        <v xml:space="preserve"> </v>
      </c>
      <c r="B662" s="4" t="str">
        <f ca="1">IF(OR(INDEX($X$2:$X$1001,MATCH(ROWS($W$2:W662),$W$2:$W$1001,0),1)&gt;=100000,INDEX($AD$1005:$AU$1005,1,MATCH(COLUMNS($AD$1006:AD1006),$AD$1006:$AU$1006,0))&gt;=100000), " ",IF(INDEX($AD$2:$AU$1001,MATCH(ROWS($W$2:W662),$W$2:$W$1001,0),MATCH(COLUMNS($AD$1006:AD1006),$AD$1006:$AU$1006,0)), HYPERLINK("#",""), HYPERLINK(CONCATENATE("#metadata!", ADDRESS(INDEX($Y$2:$Y$1001,MATCH(ROWS($W$2:W662),$W$2:$W$1001,0),0), INDEX($AD$1004:$AU$1004,1,MATCH(COLUMNS($AD$1006:AD1006),$AD$1006:$AU$1006,0)))),"Fix")))</f>
        <v xml:space="preserve"> </v>
      </c>
      <c r="C662" s="4" t="str">
        <f ca="1">IF(OR(INDEX($X$2:$X$1001,MATCH(ROWS($W$2:W662),$W$2:$W$1001,0),1)&gt;=100000,INDEX($AD$1005:$AU$1005,1,MATCH(COLUMNS($AD$1006:AE1006),$AD$1006:$AU$1006,0))&gt;=100000), " ",IF(INDEX($AD$2:$AU$1001,MATCH(ROWS($W$2:W662),$W$2:$W$1001,0),MATCH(COLUMNS($AD$1006:AE1006),$AD$1006:$AU$1006,0)), HYPERLINK("#",""), HYPERLINK(CONCATENATE("#metadata!", ADDRESS(INDEX($Y$2:$Y$1001,MATCH(ROWS($W$2:W662),$W$2:$W$1001,0),0), INDEX($AD$1004:$AU$1004,1,MATCH(COLUMNS($AD$1006:AE1006),$AD$1006:$AU$1006,0)))),"Fix")))</f>
        <v xml:space="preserve"> </v>
      </c>
      <c r="D662" s="4" t="str">
        <f ca="1">IF(OR(INDEX($X$2:$X$1001,MATCH(ROWS($W$2:W662),$W$2:$W$1001,0),1)&gt;=100000,INDEX($AD$1005:$AU$1005,1,MATCH(COLUMNS($AD$1006:AF1006),$AD$1006:$AU$1006,0))&gt;=100000), " ",IF(INDEX($AD$2:$AU$1001,MATCH(ROWS($W$2:W662),$W$2:$W$1001,0),MATCH(COLUMNS($AD$1006:AF1006),$AD$1006:$AU$1006,0)), HYPERLINK("#",""), HYPERLINK(CONCATENATE("#metadata!", ADDRESS(INDEX($Y$2:$Y$1001,MATCH(ROWS($W$2:W662),$W$2:$W$1001,0),0), INDEX($AD$1004:$AU$1004,1,MATCH(COLUMNS($AD$1006:AF1006),$AD$1006:$AU$1006,0)))),"Fix")))</f>
        <v xml:space="preserve"> </v>
      </c>
      <c r="E662" s="4" t="str">
        <f ca="1">IF(OR(INDEX($X$2:$X$1001,MATCH(ROWS($W$2:W662),$W$2:$W$1001,0),1)&gt;=100000,INDEX($AD$1005:$AU$1005,1,MATCH(COLUMNS($AD$1006:AG1006),$AD$1006:$AU$1006,0))&gt;=100000), " ",IF(INDEX($AD$2:$AU$1001,MATCH(ROWS($W$2:W662),$W$2:$W$1001,0),MATCH(COLUMNS($AD$1006:AG1006),$AD$1006:$AU$1006,0)), HYPERLINK("#",""), HYPERLINK(CONCATENATE("#metadata!", ADDRESS(INDEX($Y$2:$Y$1001,MATCH(ROWS($W$2:W662),$W$2:$W$1001,0),0), INDEX($AD$1004:$AU$1004,1,MATCH(COLUMNS($AD$1006:AG1006),$AD$1006:$AU$1006,0)))),"Fix")))</f>
        <v xml:space="preserve"> </v>
      </c>
      <c r="F662" s="4" t="str">
        <f ca="1">IF(OR(INDEX($X$2:$X$1001,MATCH(ROWS($W$2:W662),$W$2:$W$1001,0),1)&gt;=100000,INDEX($AD$1005:$AU$1005,1,MATCH(COLUMNS($AD$1006:AH1006),$AD$1006:$AU$1006,0))&gt;=100000), " ",IF(INDEX($AD$2:$AU$1001,MATCH(ROWS($W$2:W662),$W$2:$W$1001,0),MATCH(COLUMNS($AD$1006:AH1006),$AD$1006:$AU$1006,0)), HYPERLINK("#",""), HYPERLINK(CONCATENATE("#metadata!", ADDRESS(INDEX($Y$2:$Y$1001,MATCH(ROWS($W$2:W662),$W$2:$W$1001,0),0), INDEX($AD$1004:$AU$1004,1,MATCH(COLUMNS($AD$1006:AH1006),$AD$1006:$AU$1006,0)))),"Fix")))</f>
        <v xml:space="preserve"> </v>
      </c>
      <c r="G662" s="4" t="str">
        <f ca="1">IF(OR(INDEX($X$2:$X$1001,MATCH(ROWS($W$2:W662),$W$2:$W$1001,0),1)&gt;=100000,INDEX($AD$1005:$AU$1005,1,MATCH(COLUMNS($AD$1006:AI1006),$AD$1006:$AU$1006,0))&gt;=100000), " ",IF(INDEX($AD$2:$AU$1001,MATCH(ROWS($W$2:W662),$W$2:$W$1001,0),MATCH(COLUMNS($AD$1006:AI1006),$AD$1006:$AU$1006,0)), HYPERLINK("#",""), HYPERLINK(CONCATENATE("#metadata!", ADDRESS(INDEX($Y$2:$Y$1001,MATCH(ROWS($W$2:W662),$W$2:$W$1001,0),0), INDEX($AD$1004:$AU$1004,1,MATCH(COLUMNS($AD$1006:AI1006),$AD$1006:$AU$1006,0)))),"Fix")))</f>
        <v xml:space="preserve"> </v>
      </c>
      <c r="H662" s="4" t="str">
        <f ca="1">IF(OR(INDEX($X$2:$X$1001,MATCH(ROWS($W$2:W662),$W$2:$W$1001,0),1)&gt;=100000,INDEX($AD$1005:$AU$1005,1,MATCH(COLUMNS($AD$1006:AJ1006),$AD$1006:$AU$1006,0))&gt;=100000), " ",IF(INDEX($AD$2:$AU$1001,MATCH(ROWS($W$2:W662),$W$2:$W$1001,0),MATCH(COLUMNS($AD$1006:AJ1006),$AD$1006:$AU$1006,0)), HYPERLINK("#",""), HYPERLINK(CONCATENATE("#metadata!", ADDRESS(INDEX($Y$2:$Y$1001,MATCH(ROWS($W$2:W662),$W$2:$W$1001,0),0), INDEX($AD$1004:$AU$1004,1,MATCH(COLUMNS($AD$1006:AJ1006),$AD$1006:$AU$1006,0)))),"Fix")))</f>
        <v xml:space="preserve"> </v>
      </c>
      <c r="I662" s="4" t="str">
        <f ca="1">IF(OR(INDEX($X$2:$X$1001,MATCH(ROWS($W$2:W662),$W$2:$W$1001,0),1)&gt;=100000,INDEX($AD$1005:$AU$1005,1,MATCH(COLUMNS($AD$1006:AK1006),$AD$1006:$AU$1006,0))&gt;=100000), " ",IF(INDEX($AD$2:$AU$1001,MATCH(ROWS($W$2:W662),$W$2:$W$1001,0),MATCH(COLUMNS($AD$1006:AK1006),$AD$1006:$AU$1006,0)), HYPERLINK("#",""), HYPERLINK(CONCATENATE("#metadata!", ADDRESS(INDEX($Y$2:$Y$1001,MATCH(ROWS($W$2:W662),$W$2:$W$1001,0),0), INDEX($AD$1004:$AU$1004,1,MATCH(COLUMNS($AD$1006:AK1006),$AD$1006:$AU$1006,0)))),"Fix")))</f>
        <v xml:space="preserve"> </v>
      </c>
      <c r="J662" s="4" t="str">
        <f ca="1">IF(OR(INDEX($X$2:$X$1001,MATCH(ROWS($W$2:W662),$W$2:$W$1001,0),1)&gt;=100000,INDEX($AD$1005:$AU$1005,1,MATCH(COLUMNS($AD$1006:AL1006),$AD$1006:$AU$1006,0))&gt;=100000), " ",IF(INDEX($AD$2:$AU$1001,MATCH(ROWS($W$2:W662),$W$2:$W$1001,0),MATCH(COLUMNS($AD$1006:AL1006),$AD$1006:$AU$1006,0)), HYPERLINK("#",""), HYPERLINK(CONCATENATE("#metadata!", ADDRESS(INDEX($Y$2:$Y$1001,MATCH(ROWS($W$2:W662),$W$2:$W$1001,0),0), INDEX($AD$1004:$AU$1004,1,MATCH(COLUMNS($AD$1006:AL1006),$AD$1006:$AU$1006,0)))),"Fix")))</f>
        <v xml:space="preserve"> </v>
      </c>
      <c r="K662" s="4" t="str">
        <f ca="1">IF(OR(INDEX($X$2:$X$1001,MATCH(ROWS($W$2:W662),$W$2:$W$1001,0),1)&gt;=100000,INDEX($AD$1005:$AU$1005,1,MATCH(COLUMNS($AD$1006:AM1006),$AD$1006:$AU$1006,0))&gt;=100000), " ",IF(INDEX($AD$2:$AU$1001,MATCH(ROWS($W$2:W662),$W$2:$W$1001,0),MATCH(COLUMNS($AD$1006:AM1006),$AD$1006:$AU$1006,0)), HYPERLINK("#",""), HYPERLINK(CONCATENATE("#metadata!", ADDRESS(INDEX($Y$2:$Y$1001,MATCH(ROWS($W$2:W662),$W$2:$W$1001,0),0), INDEX($AD$1004:$AU$1004,1,MATCH(COLUMNS($AD$1006:AM1006),$AD$1006:$AU$1006,0)))),"Fix")))</f>
        <v xml:space="preserve"> </v>
      </c>
      <c r="L662" s="4" t="str">
        <f ca="1">IF(OR(INDEX($X$2:$X$1001,MATCH(ROWS($W$2:W662),$W$2:$W$1001,0),1)&gt;=100000,INDEX($AD$1005:$AU$1005,1,MATCH(COLUMNS($AD$1006:AN1006),$AD$1006:$AU$1006,0))&gt;=100000), " ",IF(INDEX($AD$2:$AU$1001,MATCH(ROWS($W$2:W662),$W$2:$W$1001,0),MATCH(COLUMNS($AD$1006:AN1006),$AD$1006:$AU$1006,0)), HYPERLINK("#",""), HYPERLINK(CONCATENATE("#metadata!", ADDRESS(INDEX($Y$2:$Y$1001,MATCH(ROWS($W$2:W662),$W$2:$W$1001,0),0), INDEX($AD$1004:$AU$1004,1,MATCH(COLUMNS($AD$1006:AN1006),$AD$1006:$AU$1006,0)))),"Fix")))</f>
        <v xml:space="preserve"> </v>
      </c>
      <c r="M662" s="4" t="str">
        <f ca="1">IF(OR(INDEX($X$2:$X$1001,MATCH(ROWS($W$2:W662),$W$2:$W$1001,0),1)&gt;=100000,INDEX($AD$1005:$AU$1005,1,MATCH(COLUMNS($AD$1006:AO1006),$AD$1006:$AU$1006,0))&gt;=100000), " ",IF(INDEX($AD$2:$AU$1001,MATCH(ROWS($W$2:W662),$W$2:$W$1001,0),MATCH(COLUMNS($AD$1006:AO1006),$AD$1006:$AU$1006,0)), HYPERLINK("#",""), HYPERLINK(CONCATENATE("#metadata!", ADDRESS(INDEX($Y$2:$Y$1001,MATCH(ROWS($W$2:W662),$W$2:$W$1001,0),0), INDEX($AD$1004:$AU$1004,1,MATCH(COLUMNS($AD$1006:AO1006),$AD$1006:$AU$1006,0)))),"Fix")))</f>
        <v xml:space="preserve"> </v>
      </c>
      <c r="N662" s="4" t="str">
        <f ca="1">IF(OR(INDEX($X$2:$X$1001,MATCH(ROWS($W$2:W662),$W$2:$W$1001,0),1)&gt;=100000,INDEX($AD$1005:$AU$1005,1,MATCH(COLUMNS($AD$1006:AP1006),$AD$1006:$AU$1006,0))&gt;=100000), " ",IF(INDEX($AD$2:$AU$1001,MATCH(ROWS($W$2:W662),$W$2:$W$1001,0),MATCH(COLUMNS($AD$1006:AP1006),$AD$1006:$AU$1006,0)), HYPERLINK("#",""), HYPERLINK(CONCATENATE("#metadata!", ADDRESS(INDEX($Y$2:$Y$1001,MATCH(ROWS($W$2:W662),$W$2:$W$1001,0),0), INDEX($AD$1004:$AU$1004,1,MATCH(COLUMNS($AD$1006:AP1006),$AD$1006:$AU$1006,0)))),"Fix")))</f>
        <v xml:space="preserve"> </v>
      </c>
      <c r="O662" s="4" t="str">
        <f ca="1">IF(OR(INDEX($X$2:$X$1001,MATCH(ROWS($W$2:W662),$W$2:$W$1001,0),1)&gt;=100000,INDEX($AD$1005:$AU$1005,1,MATCH(COLUMNS($AD$1006:AQ1006),$AD$1006:$AU$1006,0))&gt;=100000), " ",IF(INDEX($AD$2:$AU$1001,MATCH(ROWS($W$2:W662),$W$2:$W$1001,0),MATCH(COLUMNS($AD$1006:AQ1006),$AD$1006:$AU$1006,0)), HYPERLINK("#",""), HYPERLINK(CONCATENATE("#metadata!", ADDRESS(INDEX($Y$2:$Y$1001,MATCH(ROWS($W$2:W662),$W$2:$W$1001,0),0), INDEX($AD$1004:$AU$1004,1,MATCH(COLUMNS($AD$1006:AQ1006),$AD$1006:$AU$1006,0)))),"Fix")))</f>
        <v xml:space="preserve"> </v>
      </c>
      <c r="P662" s="4" t="str">
        <f ca="1">IF(OR(INDEX($X$2:$X$1001,MATCH(ROWS($W$2:W662),$W$2:$W$1001,0),1)&gt;=100000,INDEX($AD$1005:$AU$1005,1,MATCH(COLUMNS($AD$1006:AR1006),$AD$1006:$AU$1006,0))&gt;=100000), " ",IF(INDEX($AD$2:$AU$1001,MATCH(ROWS($W$2:W662),$W$2:$W$1001,0),MATCH(COLUMNS($AD$1006:AR1006),$AD$1006:$AU$1006,0)), HYPERLINK("#",""), HYPERLINK(CONCATENATE("#metadata!", ADDRESS(INDEX($Y$2:$Y$1001,MATCH(ROWS($W$2:W662),$W$2:$W$1001,0),0), INDEX($AD$1004:$AU$1004,1,MATCH(COLUMNS($AD$1006:AR1006),$AD$1006:$AU$1006,0)))),"Fix")))</f>
        <v xml:space="preserve"> </v>
      </c>
      <c r="Q662" s="4" t="str">
        <f ca="1">IF(OR(INDEX($X$2:$X$1001,MATCH(ROWS($W$2:W662),$W$2:$W$1001,0),1)&gt;=100000,INDEX($AD$1005:$AU$1005,1,MATCH(COLUMNS($AD$1006:AS1006),$AD$1006:$AU$1006,0))&gt;=100000), " ",IF(INDEX($AD$2:$AU$1001,MATCH(ROWS($W$2:W662),$W$2:$W$1001,0),MATCH(COLUMNS($AD$1006:AS1006),$AD$1006:$AU$1006,0)), HYPERLINK("#",""), HYPERLINK(CONCATENATE("#metadata!", ADDRESS(INDEX($Y$2:$Y$1001,MATCH(ROWS($W$2:W662),$W$2:$W$1001,0),0), INDEX($AD$1004:$AU$1004,1,MATCH(COLUMNS($AD$1006:AS1006),$AD$1006:$AU$1006,0)))),"Fix")))</f>
        <v xml:space="preserve"> </v>
      </c>
      <c r="R662" s="4" t="str">
        <f ca="1">IF(OR(INDEX($X$2:$X$1001,MATCH(ROWS($W$2:W662),$W$2:$W$1001,0),1)&gt;=100000,INDEX($AD$1005:$AU$1005,1,MATCH(COLUMNS($AD$1006:AT1006),$AD$1006:$AU$1006,0))&gt;=100000), " ",IF(INDEX($AD$2:$AU$1001,MATCH(ROWS($W$2:W662),$W$2:$W$1001,0),MATCH(COLUMNS($AD$1006:AT1006),$AD$1006:$AU$1006,0)), HYPERLINK("#",""), HYPERLINK(CONCATENATE("#metadata!", ADDRESS(INDEX($Y$2:$Y$1001,MATCH(ROWS($W$2:W662),$W$2:$W$1001,0),0), INDEX($AD$1004:$AU$1004,1,MATCH(COLUMNS($AD$1006:AT1006),$AD$1006:$AU$1006,0)))),"Fix")))</f>
        <v xml:space="preserve"> </v>
      </c>
      <c r="S662" s="4" t="str">
        <f ca="1">IF(OR(INDEX($X$2:$X$1001,MATCH(ROWS($W$2:W662),$W$2:$W$1001,0),1)&gt;=100000,INDEX($AD$1005:$AU$1005,1,MATCH(COLUMNS($AD$1006:AU1006),$AD$1006:$AU$1006,0))&gt;=100000), " ",IF(INDEX($AD$2:$AU$1001,MATCH(ROWS($W$2:W662),$W$2:$W$1001,0),MATCH(COLUMNS($AD$1006:AU1006),$AD$1006:$AU$1006,0)), HYPERLINK("#",""), HYPERLINK(CONCATENATE("#metadata!", ADDRESS(INDEX($Y$2:$Y$1001,MATCH(ROWS($W$2:W662),$W$2:$W$1001,0),0), INDEX($AD$1004:$AU$1004,1,MATCH(COLUMNS($AD$1006:AU1006),$AD$1006:$AU$1006,0)))),"Fix")))</f>
        <v xml:space="preserve"> </v>
      </c>
      <c r="W662">
        <v>661</v>
      </c>
      <c r="X662">
        <v>100662</v>
      </c>
      <c r="Y662">
        <v>662</v>
      </c>
      <c r="Z662" t="b">
        <f t="shared" si="10"/>
        <v>1</v>
      </c>
      <c r="AA662" t="b">
        <f>COUNTBLANK(metadata!B662:S662)=COLUMNS(metadata!B662:S662)</f>
        <v>1</v>
      </c>
      <c r="AB662" t="str">
        <v/>
      </c>
      <c r="AD662" t="b">
        <f ca="1">AND(IF(metadata!B662="",FALSE,TRUE),COUNTIF(metadata!B:B, metadata!B662) = 1,NOT(ISERROR(SUMPRODUCT(SEARCH(MID(metadata!B662,ROW(INDIRECT("1:"&amp;LEN(metadata!B662))), 1),"0123456789abcdefghijklmnopqrstuvwxyzABCDEFGHIJKLMNOPQRSTUVWXYZ.")))))</f>
        <v>0</v>
      </c>
      <c r="AE662" t="b">
        <f>OR(AND(IF(metadata!C662="",FALSE,TRUE),OR(EXACT(metadata!C662,"not applicable"),EXACT(metadata!C662,"missing: not collected"),EXACT(metadata!C662,"missing: not provided"),EXACT(metadata!C662,"missing: restricted access"))),AND(IF(metadata!C662="",FALSE,ISNUMBER(VALUE(metadata!C662))),metadata!C662&gt;0))</f>
        <v>0</v>
      </c>
      <c r="AF662" t="b">
        <f>AND(IF(metadata!D662="",FALSE,TRUE),EXACT(metadata!D662,"missing: not provided"))</f>
        <v>0</v>
      </c>
      <c r="AG662" t="b">
        <f>AND(IF(metadata!E662="",FALSE,TRUE),EXACT(metadata!E662,"Host-associated"))</f>
        <v>0</v>
      </c>
      <c r="AH662" t="b">
        <f>AND(IF(metadata!F662="",FALSE,TRUE),OR(EXACT(metadata!F662,"Animal"),EXACT(metadata!F662,"Fungus"),EXACT(metadata!F662,"Plant")))</f>
        <v>0</v>
      </c>
      <c r="AI662" t="b">
        <f>AND(IF(metadata!G662="",FALSE,TRUE),OR(EXACT(metadata!G662,"Plant secretion"),EXACT(metadata!G662,"Plant rhizosphere"),EXACT(metadata!G662,"Plant surface"),EXACT(metadata!G662,"Plant corpus"),EXACT(metadata!G662,"Fungus surface"),EXACT(metadata!G662,"Fungus corpus"),EXACT(metadata!G662,"Animal surface"),EXACT(metadata!G662,"Animal proximal gut"),EXACT(metadata!G662,"Animal corpus"),EXACT(metadata!G662,"Animal distal gut"),EXACT(metadata!G662,"Animal secretion")))</f>
        <v>0</v>
      </c>
      <c r="AJ662" t="b">
        <f>OR(AND(IF(metadata!H662="",FALSE,TRUE),OR(EXACT(metadata!H662,"missing: not collected"),EXACT(metadata!H662,"missing: not provided"),EXACT(metadata!H662,"missing: restricted access"))),AND(IF(metadata!H662="",FALSE,TRUE),OR(EXACT(metadata!H662,"organism-associated habitat"),EXACT(metadata!H662,"plant-associated habitat"),EXACT(metadata!H662,"animal-associated habitat"),EXACT(metadata!H662,"insecta-associated habitat"),EXACT(metadata!H662,"mammalia-associated habitat"),EXACT(metadata!H662,"human-associated habitat"),EXACT(metadata!H662,"livestock-associated habitat"))))</f>
        <v>0</v>
      </c>
      <c r="AK662" t="b">
        <f>AND(IF(metadata!I662="",FALSE,TRUE),EXACT(metadata!I662,"host-associated"))</f>
        <v>0</v>
      </c>
      <c r="AL662" t="b">
        <f>OR(AND(IF(metadata!J662="",FALSE,TRUE),OR(EXACT(metadata!J662,"not applicable"),EXACT(metadata!J662,"missing: not collected"),EXACT(metadata!J662,"missing: not provided"),EXACT(metadata!J662,"missing: restricted access"))),AND(IF(metadata!J662="",FALSE,ISNUMBER(VALUE(metadata!J662))),metadata!J662&gt;0))</f>
        <v>0</v>
      </c>
      <c r="AM662" t="b">
        <f>AND(IF(metadata!K662="",FALSE,TRUE),EXACT(metadata!K662,"missing: not provided"))</f>
        <v>0</v>
      </c>
      <c r="AN662" t="b">
        <f>IF(metadata!L662="",FALSE,TRUE)</f>
        <v>0</v>
      </c>
      <c r="AO662" t="b">
        <f>IF(metadata!M662="",FALSE,TRUE)</f>
        <v>0</v>
      </c>
      <c r="AP662" t="b">
        <f>OR(AND(IF(metadata!N662="",FALSE,TRUE),OR(EXACT(metadata!N662,"not applicable"),EXACT(metadata!N662,"missing: not collected"),EXACT(metadata!N662,"missing: not provided"))),AND(IF(metadata!N662="",FALSE,IF(ISERROR(INT(metadata!N662)),FALSE,INT(metadata!N662)=metadata!N662)),metadata!N662&gt;0))</f>
        <v>0</v>
      </c>
      <c r="AQ662" t="b">
        <f>AND(IF(metadata!O662="",FALSE,TRUE),EXACT(metadata!O662,"Not applicable"))</f>
        <v>0</v>
      </c>
      <c r="AR662" t="b">
        <f>OR(AND(IF(metadata!P662="",FALSE,TRUE),OR(EXACT(metadata!P662,"not applicable"),EXACT(metadata!P662,"missing: not collected"),EXACT(metadata!P662,"missing: not provided"),EXACT(metadata!P662,"missing: restricted access"))),IF(metadata!P662="",FALSE,IF(ISERROR(INT(metadata!P662)),FALSE,INT(metadata!P662)=metadata!P662)))</f>
        <v>0</v>
      </c>
      <c r="AS662" t="b">
        <f>AND(IF(metadata!Q662="",FALSE,TRUE),EXACT(metadata!Q662,"Not applicable"))</f>
        <v>0</v>
      </c>
      <c r="AT662" t="b">
        <f>OR(AND(IF(metadata!R662="",FALSE,TRUE),OR(EXACT(metadata!R662,"not applicable"),EXACT(metadata!R662,"missing: not collected"),EXACT(metadata!R662,"missing: not provided"),EXACT(metadata!R662,"missing: restricted access"))),AND(IF(metadata!R662="",FALSE,ISNUMBER(VALUE(metadata!R662))),metadata!R662&gt;0))</f>
        <v>0</v>
      </c>
      <c r="AU662" t="b">
        <f>AND(IF(metadata!S662="",FALSE,TRUE),EXACT(metadata!S662,"missing: not provided"))</f>
        <v>0</v>
      </c>
    </row>
    <row r="663" spans="1:47" x14ac:dyDescent="0.2">
      <c r="A663" s="5" t="str">
        <f ca="1">IF(B663=" "," ",HYPERLINK(CONCATENATE("#metadata!",ADDRESS(INDEX($Y$2:$Y$1001,MATCH(ROWS($W$2:W663),$W$2:$W$1001,0),0),1)),INDEX($AB$2:$AB$1001,MATCH(ROWS($W$2:W663),$W$2:$W$1001,0),0)))</f>
        <v xml:space="preserve"> </v>
      </c>
      <c r="B663" s="4" t="str">
        <f ca="1">IF(OR(INDEX($X$2:$X$1001,MATCH(ROWS($W$2:W663),$W$2:$W$1001,0),1)&gt;=100000,INDEX($AD$1005:$AU$1005,1,MATCH(COLUMNS($AD$1006:AD1006),$AD$1006:$AU$1006,0))&gt;=100000), " ",IF(INDEX($AD$2:$AU$1001,MATCH(ROWS($W$2:W663),$W$2:$W$1001,0),MATCH(COLUMNS($AD$1006:AD1006),$AD$1006:$AU$1006,0)), HYPERLINK("#",""), HYPERLINK(CONCATENATE("#metadata!", ADDRESS(INDEX($Y$2:$Y$1001,MATCH(ROWS($W$2:W663),$W$2:$W$1001,0),0), INDEX($AD$1004:$AU$1004,1,MATCH(COLUMNS($AD$1006:AD1006),$AD$1006:$AU$1006,0)))),"Fix")))</f>
        <v xml:space="preserve"> </v>
      </c>
      <c r="C663" s="4" t="str">
        <f ca="1">IF(OR(INDEX($X$2:$X$1001,MATCH(ROWS($W$2:W663),$W$2:$W$1001,0),1)&gt;=100000,INDEX($AD$1005:$AU$1005,1,MATCH(COLUMNS($AD$1006:AE1006),$AD$1006:$AU$1006,0))&gt;=100000), " ",IF(INDEX($AD$2:$AU$1001,MATCH(ROWS($W$2:W663),$W$2:$W$1001,0),MATCH(COLUMNS($AD$1006:AE1006),$AD$1006:$AU$1006,0)), HYPERLINK("#",""), HYPERLINK(CONCATENATE("#metadata!", ADDRESS(INDEX($Y$2:$Y$1001,MATCH(ROWS($W$2:W663),$W$2:$W$1001,0),0), INDEX($AD$1004:$AU$1004,1,MATCH(COLUMNS($AD$1006:AE1006),$AD$1006:$AU$1006,0)))),"Fix")))</f>
        <v xml:space="preserve"> </v>
      </c>
      <c r="D663" s="4" t="str">
        <f ca="1">IF(OR(INDEX($X$2:$X$1001,MATCH(ROWS($W$2:W663),$W$2:$W$1001,0),1)&gt;=100000,INDEX($AD$1005:$AU$1005,1,MATCH(COLUMNS($AD$1006:AF1006),$AD$1006:$AU$1006,0))&gt;=100000), " ",IF(INDEX($AD$2:$AU$1001,MATCH(ROWS($W$2:W663),$W$2:$W$1001,0),MATCH(COLUMNS($AD$1006:AF1006),$AD$1006:$AU$1006,0)), HYPERLINK("#",""), HYPERLINK(CONCATENATE("#metadata!", ADDRESS(INDEX($Y$2:$Y$1001,MATCH(ROWS($W$2:W663),$W$2:$W$1001,0),0), INDEX($AD$1004:$AU$1004,1,MATCH(COLUMNS($AD$1006:AF1006),$AD$1006:$AU$1006,0)))),"Fix")))</f>
        <v xml:space="preserve"> </v>
      </c>
      <c r="E663" s="4" t="str">
        <f ca="1">IF(OR(INDEX($X$2:$X$1001,MATCH(ROWS($W$2:W663),$W$2:$W$1001,0),1)&gt;=100000,INDEX($AD$1005:$AU$1005,1,MATCH(COLUMNS($AD$1006:AG1006),$AD$1006:$AU$1006,0))&gt;=100000), " ",IF(INDEX($AD$2:$AU$1001,MATCH(ROWS($W$2:W663),$W$2:$W$1001,0),MATCH(COLUMNS($AD$1006:AG1006),$AD$1006:$AU$1006,0)), HYPERLINK("#",""), HYPERLINK(CONCATENATE("#metadata!", ADDRESS(INDEX($Y$2:$Y$1001,MATCH(ROWS($W$2:W663),$W$2:$W$1001,0),0), INDEX($AD$1004:$AU$1004,1,MATCH(COLUMNS($AD$1006:AG1006),$AD$1006:$AU$1006,0)))),"Fix")))</f>
        <v xml:space="preserve"> </v>
      </c>
      <c r="F663" s="4" t="str">
        <f ca="1">IF(OR(INDEX($X$2:$X$1001,MATCH(ROWS($W$2:W663),$W$2:$W$1001,0),1)&gt;=100000,INDEX($AD$1005:$AU$1005,1,MATCH(COLUMNS($AD$1006:AH1006),$AD$1006:$AU$1006,0))&gt;=100000), " ",IF(INDEX($AD$2:$AU$1001,MATCH(ROWS($W$2:W663),$W$2:$W$1001,0),MATCH(COLUMNS($AD$1006:AH1006),$AD$1006:$AU$1006,0)), HYPERLINK("#",""), HYPERLINK(CONCATENATE("#metadata!", ADDRESS(INDEX($Y$2:$Y$1001,MATCH(ROWS($W$2:W663),$W$2:$W$1001,0),0), INDEX($AD$1004:$AU$1004,1,MATCH(COLUMNS($AD$1006:AH1006),$AD$1006:$AU$1006,0)))),"Fix")))</f>
        <v xml:space="preserve"> </v>
      </c>
      <c r="G663" s="4" t="str">
        <f ca="1">IF(OR(INDEX($X$2:$X$1001,MATCH(ROWS($W$2:W663),$W$2:$W$1001,0),1)&gt;=100000,INDEX($AD$1005:$AU$1005,1,MATCH(COLUMNS($AD$1006:AI1006),$AD$1006:$AU$1006,0))&gt;=100000), " ",IF(INDEX($AD$2:$AU$1001,MATCH(ROWS($W$2:W663),$W$2:$W$1001,0),MATCH(COLUMNS($AD$1006:AI1006),$AD$1006:$AU$1006,0)), HYPERLINK("#",""), HYPERLINK(CONCATENATE("#metadata!", ADDRESS(INDEX($Y$2:$Y$1001,MATCH(ROWS($W$2:W663),$W$2:$W$1001,0),0), INDEX($AD$1004:$AU$1004,1,MATCH(COLUMNS($AD$1006:AI1006),$AD$1006:$AU$1006,0)))),"Fix")))</f>
        <v xml:space="preserve"> </v>
      </c>
      <c r="H663" s="4" t="str">
        <f ca="1">IF(OR(INDEX($X$2:$X$1001,MATCH(ROWS($W$2:W663),$W$2:$W$1001,0),1)&gt;=100000,INDEX($AD$1005:$AU$1005,1,MATCH(COLUMNS($AD$1006:AJ1006),$AD$1006:$AU$1006,0))&gt;=100000), " ",IF(INDEX($AD$2:$AU$1001,MATCH(ROWS($W$2:W663),$W$2:$W$1001,0),MATCH(COLUMNS($AD$1006:AJ1006),$AD$1006:$AU$1006,0)), HYPERLINK("#",""), HYPERLINK(CONCATENATE("#metadata!", ADDRESS(INDEX($Y$2:$Y$1001,MATCH(ROWS($W$2:W663),$W$2:$W$1001,0),0), INDEX($AD$1004:$AU$1004,1,MATCH(COLUMNS($AD$1006:AJ1006),$AD$1006:$AU$1006,0)))),"Fix")))</f>
        <v xml:space="preserve"> </v>
      </c>
      <c r="I663" s="4" t="str">
        <f ca="1">IF(OR(INDEX($X$2:$X$1001,MATCH(ROWS($W$2:W663),$W$2:$W$1001,0),1)&gt;=100000,INDEX($AD$1005:$AU$1005,1,MATCH(COLUMNS($AD$1006:AK1006),$AD$1006:$AU$1006,0))&gt;=100000), " ",IF(INDEX($AD$2:$AU$1001,MATCH(ROWS($W$2:W663),$W$2:$W$1001,0),MATCH(COLUMNS($AD$1006:AK1006),$AD$1006:$AU$1006,0)), HYPERLINK("#",""), HYPERLINK(CONCATENATE("#metadata!", ADDRESS(INDEX($Y$2:$Y$1001,MATCH(ROWS($W$2:W663),$W$2:$W$1001,0),0), INDEX($AD$1004:$AU$1004,1,MATCH(COLUMNS($AD$1006:AK1006),$AD$1006:$AU$1006,0)))),"Fix")))</f>
        <v xml:space="preserve"> </v>
      </c>
      <c r="J663" s="4" t="str">
        <f ca="1">IF(OR(INDEX($X$2:$X$1001,MATCH(ROWS($W$2:W663),$W$2:$W$1001,0),1)&gt;=100000,INDEX($AD$1005:$AU$1005,1,MATCH(COLUMNS($AD$1006:AL1006),$AD$1006:$AU$1006,0))&gt;=100000), " ",IF(INDEX($AD$2:$AU$1001,MATCH(ROWS($W$2:W663),$W$2:$W$1001,0),MATCH(COLUMNS($AD$1006:AL1006),$AD$1006:$AU$1006,0)), HYPERLINK("#",""), HYPERLINK(CONCATENATE("#metadata!", ADDRESS(INDEX($Y$2:$Y$1001,MATCH(ROWS($W$2:W663),$W$2:$W$1001,0),0), INDEX($AD$1004:$AU$1004,1,MATCH(COLUMNS($AD$1006:AL1006),$AD$1006:$AU$1006,0)))),"Fix")))</f>
        <v xml:space="preserve"> </v>
      </c>
      <c r="K663" s="4" t="str">
        <f ca="1">IF(OR(INDEX($X$2:$X$1001,MATCH(ROWS($W$2:W663),$W$2:$W$1001,0),1)&gt;=100000,INDEX($AD$1005:$AU$1005,1,MATCH(COLUMNS($AD$1006:AM1006),$AD$1006:$AU$1006,0))&gt;=100000), " ",IF(INDEX($AD$2:$AU$1001,MATCH(ROWS($W$2:W663),$W$2:$W$1001,0),MATCH(COLUMNS($AD$1006:AM1006),$AD$1006:$AU$1006,0)), HYPERLINK("#",""), HYPERLINK(CONCATENATE("#metadata!", ADDRESS(INDEX($Y$2:$Y$1001,MATCH(ROWS($W$2:W663),$W$2:$W$1001,0),0), INDEX($AD$1004:$AU$1004,1,MATCH(COLUMNS($AD$1006:AM1006),$AD$1006:$AU$1006,0)))),"Fix")))</f>
        <v xml:space="preserve"> </v>
      </c>
      <c r="L663" s="4" t="str">
        <f ca="1">IF(OR(INDEX($X$2:$X$1001,MATCH(ROWS($W$2:W663),$W$2:$W$1001,0),1)&gt;=100000,INDEX($AD$1005:$AU$1005,1,MATCH(COLUMNS($AD$1006:AN1006),$AD$1006:$AU$1006,0))&gt;=100000), " ",IF(INDEX($AD$2:$AU$1001,MATCH(ROWS($W$2:W663),$W$2:$W$1001,0),MATCH(COLUMNS($AD$1006:AN1006),$AD$1006:$AU$1006,0)), HYPERLINK("#",""), HYPERLINK(CONCATENATE("#metadata!", ADDRESS(INDEX($Y$2:$Y$1001,MATCH(ROWS($W$2:W663),$W$2:$W$1001,0),0), INDEX($AD$1004:$AU$1004,1,MATCH(COLUMNS($AD$1006:AN1006),$AD$1006:$AU$1006,0)))),"Fix")))</f>
        <v xml:space="preserve"> </v>
      </c>
      <c r="M663" s="4" t="str">
        <f ca="1">IF(OR(INDEX($X$2:$X$1001,MATCH(ROWS($W$2:W663),$W$2:$W$1001,0),1)&gt;=100000,INDEX($AD$1005:$AU$1005,1,MATCH(COLUMNS($AD$1006:AO1006),$AD$1006:$AU$1006,0))&gt;=100000), " ",IF(INDEX($AD$2:$AU$1001,MATCH(ROWS($W$2:W663),$W$2:$W$1001,0),MATCH(COLUMNS($AD$1006:AO1006),$AD$1006:$AU$1006,0)), HYPERLINK("#",""), HYPERLINK(CONCATENATE("#metadata!", ADDRESS(INDEX($Y$2:$Y$1001,MATCH(ROWS($W$2:W663),$W$2:$W$1001,0),0), INDEX($AD$1004:$AU$1004,1,MATCH(COLUMNS($AD$1006:AO1006),$AD$1006:$AU$1006,0)))),"Fix")))</f>
        <v xml:space="preserve"> </v>
      </c>
      <c r="N663" s="4" t="str">
        <f ca="1">IF(OR(INDEX($X$2:$X$1001,MATCH(ROWS($W$2:W663),$W$2:$W$1001,0),1)&gt;=100000,INDEX($AD$1005:$AU$1005,1,MATCH(COLUMNS($AD$1006:AP1006),$AD$1006:$AU$1006,0))&gt;=100000), " ",IF(INDEX($AD$2:$AU$1001,MATCH(ROWS($W$2:W663),$W$2:$W$1001,0),MATCH(COLUMNS($AD$1006:AP1006),$AD$1006:$AU$1006,0)), HYPERLINK("#",""), HYPERLINK(CONCATENATE("#metadata!", ADDRESS(INDEX($Y$2:$Y$1001,MATCH(ROWS($W$2:W663),$W$2:$W$1001,0),0), INDEX($AD$1004:$AU$1004,1,MATCH(COLUMNS($AD$1006:AP1006),$AD$1006:$AU$1006,0)))),"Fix")))</f>
        <v xml:space="preserve"> </v>
      </c>
      <c r="O663" s="4" t="str">
        <f ca="1">IF(OR(INDEX($X$2:$X$1001,MATCH(ROWS($W$2:W663),$W$2:$W$1001,0),1)&gt;=100000,INDEX($AD$1005:$AU$1005,1,MATCH(COLUMNS($AD$1006:AQ1006),$AD$1006:$AU$1006,0))&gt;=100000), " ",IF(INDEX($AD$2:$AU$1001,MATCH(ROWS($W$2:W663),$W$2:$W$1001,0),MATCH(COLUMNS($AD$1006:AQ1006),$AD$1006:$AU$1006,0)), HYPERLINK("#",""), HYPERLINK(CONCATENATE("#metadata!", ADDRESS(INDEX($Y$2:$Y$1001,MATCH(ROWS($W$2:W663),$W$2:$W$1001,0),0), INDEX($AD$1004:$AU$1004,1,MATCH(COLUMNS($AD$1006:AQ1006),$AD$1006:$AU$1006,0)))),"Fix")))</f>
        <v xml:space="preserve"> </v>
      </c>
      <c r="P663" s="4" t="str">
        <f ca="1">IF(OR(INDEX($X$2:$X$1001,MATCH(ROWS($W$2:W663),$W$2:$W$1001,0),1)&gt;=100000,INDEX($AD$1005:$AU$1005,1,MATCH(COLUMNS($AD$1006:AR1006),$AD$1006:$AU$1006,0))&gt;=100000), " ",IF(INDEX($AD$2:$AU$1001,MATCH(ROWS($W$2:W663),$W$2:$W$1001,0),MATCH(COLUMNS($AD$1006:AR1006),$AD$1006:$AU$1006,0)), HYPERLINK("#",""), HYPERLINK(CONCATENATE("#metadata!", ADDRESS(INDEX($Y$2:$Y$1001,MATCH(ROWS($W$2:W663),$W$2:$W$1001,0),0), INDEX($AD$1004:$AU$1004,1,MATCH(COLUMNS($AD$1006:AR1006),$AD$1006:$AU$1006,0)))),"Fix")))</f>
        <v xml:space="preserve"> </v>
      </c>
      <c r="Q663" s="4" t="str">
        <f ca="1">IF(OR(INDEX($X$2:$X$1001,MATCH(ROWS($W$2:W663),$W$2:$W$1001,0),1)&gt;=100000,INDEX($AD$1005:$AU$1005,1,MATCH(COLUMNS($AD$1006:AS1006),$AD$1006:$AU$1006,0))&gt;=100000), " ",IF(INDEX($AD$2:$AU$1001,MATCH(ROWS($W$2:W663),$W$2:$W$1001,0),MATCH(COLUMNS($AD$1006:AS1006),$AD$1006:$AU$1006,0)), HYPERLINK("#",""), HYPERLINK(CONCATENATE("#metadata!", ADDRESS(INDEX($Y$2:$Y$1001,MATCH(ROWS($W$2:W663),$W$2:$W$1001,0),0), INDEX($AD$1004:$AU$1004,1,MATCH(COLUMNS($AD$1006:AS1006),$AD$1006:$AU$1006,0)))),"Fix")))</f>
        <v xml:space="preserve"> </v>
      </c>
      <c r="R663" s="4" t="str">
        <f ca="1">IF(OR(INDEX($X$2:$X$1001,MATCH(ROWS($W$2:W663),$W$2:$W$1001,0),1)&gt;=100000,INDEX($AD$1005:$AU$1005,1,MATCH(COLUMNS($AD$1006:AT1006),$AD$1006:$AU$1006,0))&gt;=100000), " ",IF(INDEX($AD$2:$AU$1001,MATCH(ROWS($W$2:W663),$W$2:$W$1001,0),MATCH(COLUMNS($AD$1006:AT1006),$AD$1006:$AU$1006,0)), HYPERLINK("#",""), HYPERLINK(CONCATENATE("#metadata!", ADDRESS(INDEX($Y$2:$Y$1001,MATCH(ROWS($W$2:W663),$W$2:$W$1001,0),0), INDEX($AD$1004:$AU$1004,1,MATCH(COLUMNS($AD$1006:AT1006),$AD$1006:$AU$1006,0)))),"Fix")))</f>
        <v xml:space="preserve"> </v>
      </c>
      <c r="S663" s="4" t="str">
        <f ca="1">IF(OR(INDEX($X$2:$X$1001,MATCH(ROWS($W$2:W663),$W$2:$W$1001,0),1)&gt;=100000,INDEX($AD$1005:$AU$1005,1,MATCH(COLUMNS($AD$1006:AU1006),$AD$1006:$AU$1006,0))&gt;=100000), " ",IF(INDEX($AD$2:$AU$1001,MATCH(ROWS($W$2:W663),$W$2:$W$1001,0),MATCH(COLUMNS($AD$1006:AU1006),$AD$1006:$AU$1006,0)), HYPERLINK("#",""), HYPERLINK(CONCATENATE("#metadata!", ADDRESS(INDEX($Y$2:$Y$1001,MATCH(ROWS($W$2:W663),$W$2:$W$1001,0),0), INDEX($AD$1004:$AU$1004,1,MATCH(COLUMNS($AD$1006:AU1006),$AD$1006:$AU$1006,0)))),"Fix")))</f>
        <v xml:space="preserve"> </v>
      </c>
      <c r="W663">
        <v>662</v>
      </c>
      <c r="X663">
        <v>100663</v>
      </c>
      <c r="Y663">
        <v>663</v>
      </c>
      <c r="Z663" t="b">
        <f t="shared" si="10"/>
        <v>1</v>
      </c>
      <c r="AA663" t="b">
        <f>COUNTBLANK(metadata!B663:S663)=COLUMNS(metadata!B663:S663)</f>
        <v>1</v>
      </c>
      <c r="AB663" t="str">
        <v/>
      </c>
      <c r="AD663" t="b">
        <f ca="1">AND(IF(metadata!B663="",FALSE,TRUE),COUNTIF(metadata!B:B, metadata!B663) = 1,NOT(ISERROR(SUMPRODUCT(SEARCH(MID(metadata!B663,ROW(INDIRECT("1:"&amp;LEN(metadata!B663))), 1),"0123456789abcdefghijklmnopqrstuvwxyzABCDEFGHIJKLMNOPQRSTUVWXYZ.")))))</f>
        <v>0</v>
      </c>
      <c r="AE663" t="b">
        <f>OR(AND(IF(metadata!C663="",FALSE,TRUE),OR(EXACT(metadata!C663,"not applicable"),EXACT(metadata!C663,"missing: not collected"),EXACT(metadata!C663,"missing: not provided"),EXACT(metadata!C663,"missing: restricted access"))),AND(IF(metadata!C663="",FALSE,ISNUMBER(VALUE(metadata!C663))),metadata!C663&gt;0))</f>
        <v>0</v>
      </c>
      <c r="AF663" t="b">
        <f>AND(IF(metadata!D663="",FALSE,TRUE),EXACT(metadata!D663,"missing: not provided"))</f>
        <v>0</v>
      </c>
      <c r="AG663" t="b">
        <f>AND(IF(metadata!E663="",FALSE,TRUE),EXACT(metadata!E663,"Host-associated"))</f>
        <v>0</v>
      </c>
      <c r="AH663" t="b">
        <f>AND(IF(metadata!F663="",FALSE,TRUE),OR(EXACT(metadata!F663,"Animal"),EXACT(metadata!F663,"Fungus"),EXACT(metadata!F663,"Plant")))</f>
        <v>0</v>
      </c>
      <c r="AI663" t="b">
        <f>AND(IF(metadata!G663="",FALSE,TRUE),OR(EXACT(metadata!G663,"Plant secretion"),EXACT(metadata!G663,"Plant rhizosphere"),EXACT(metadata!G663,"Plant surface"),EXACT(metadata!G663,"Plant corpus"),EXACT(metadata!G663,"Fungus surface"),EXACT(metadata!G663,"Fungus corpus"),EXACT(metadata!G663,"Animal surface"),EXACT(metadata!G663,"Animal proximal gut"),EXACT(metadata!G663,"Animal corpus"),EXACT(metadata!G663,"Animal distal gut"),EXACT(metadata!G663,"Animal secretion")))</f>
        <v>0</v>
      </c>
      <c r="AJ663" t="b">
        <f>OR(AND(IF(metadata!H663="",FALSE,TRUE),OR(EXACT(metadata!H663,"missing: not collected"),EXACT(metadata!H663,"missing: not provided"),EXACT(metadata!H663,"missing: restricted access"))),AND(IF(metadata!H663="",FALSE,TRUE),OR(EXACT(metadata!H663,"organism-associated habitat"),EXACT(metadata!H663,"plant-associated habitat"),EXACT(metadata!H663,"animal-associated habitat"),EXACT(metadata!H663,"insecta-associated habitat"),EXACT(metadata!H663,"mammalia-associated habitat"),EXACT(metadata!H663,"human-associated habitat"),EXACT(metadata!H663,"livestock-associated habitat"))))</f>
        <v>0</v>
      </c>
      <c r="AK663" t="b">
        <f>AND(IF(metadata!I663="",FALSE,TRUE),EXACT(metadata!I663,"host-associated"))</f>
        <v>0</v>
      </c>
      <c r="AL663" t="b">
        <f>OR(AND(IF(metadata!J663="",FALSE,TRUE),OR(EXACT(metadata!J663,"not applicable"),EXACT(metadata!J663,"missing: not collected"),EXACT(metadata!J663,"missing: not provided"),EXACT(metadata!J663,"missing: restricted access"))),AND(IF(metadata!J663="",FALSE,ISNUMBER(VALUE(metadata!J663))),metadata!J663&gt;0))</f>
        <v>0</v>
      </c>
      <c r="AM663" t="b">
        <f>AND(IF(metadata!K663="",FALSE,TRUE),EXACT(metadata!K663,"missing: not provided"))</f>
        <v>0</v>
      </c>
      <c r="AN663" t="b">
        <f>IF(metadata!L663="",FALSE,TRUE)</f>
        <v>0</v>
      </c>
      <c r="AO663" t="b">
        <f>IF(metadata!M663="",FALSE,TRUE)</f>
        <v>0</v>
      </c>
      <c r="AP663" t="b">
        <f>OR(AND(IF(metadata!N663="",FALSE,TRUE),OR(EXACT(metadata!N663,"not applicable"),EXACT(metadata!N663,"missing: not collected"),EXACT(metadata!N663,"missing: not provided"))),AND(IF(metadata!N663="",FALSE,IF(ISERROR(INT(metadata!N663)),FALSE,INT(metadata!N663)=metadata!N663)),metadata!N663&gt;0))</f>
        <v>0</v>
      </c>
      <c r="AQ663" t="b">
        <f>AND(IF(metadata!O663="",FALSE,TRUE),EXACT(metadata!O663,"Not applicable"))</f>
        <v>0</v>
      </c>
      <c r="AR663" t="b">
        <f>OR(AND(IF(metadata!P663="",FALSE,TRUE),OR(EXACT(metadata!P663,"not applicable"),EXACT(metadata!P663,"missing: not collected"),EXACT(metadata!P663,"missing: not provided"),EXACT(metadata!P663,"missing: restricted access"))),IF(metadata!P663="",FALSE,IF(ISERROR(INT(metadata!P663)),FALSE,INT(metadata!P663)=metadata!P663)))</f>
        <v>0</v>
      </c>
      <c r="AS663" t="b">
        <f>AND(IF(metadata!Q663="",FALSE,TRUE),EXACT(metadata!Q663,"Not applicable"))</f>
        <v>0</v>
      </c>
      <c r="AT663" t="b">
        <f>OR(AND(IF(metadata!R663="",FALSE,TRUE),OR(EXACT(metadata!R663,"not applicable"),EXACT(metadata!R663,"missing: not collected"),EXACT(metadata!R663,"missing: not provided"),EXACT(metadata!R663,"missing: restricted access"))),AND(IF(metadata!R663="",FALSE,ISNUMBER(VALUE(metadata!R663))),metadata!R663&gt;0))</f>
        <v>0</v>
      </c>
      <c r="AU663" t="b">
        <f>AND(IF(metadata!S663="",FALSE,TRUE),EXACT(metadata!S663,"missing: not provided"))</f>
        <v>0</v>
      </c>
    </row>
    <row r="664" spans="1:47" x14ac:dyDescent="0.2">
      <c r="A664" s="5" t="str">
        <f ca="1">IF(B664=" "," ",HYPERLINK(CONCATENATE("#metadata!",ADDRESS(INDEX($Y$2:$Y$1001,MATCH(ROWS($W$2:W664),$W$2:$W$1001,0),0),1)),INDEX($AB$2:$AB$1001,MATCH(ROWS($W$2:W664),$W$2:$W$1001,0),0)))</f>
        <v xml:space="preserve"> </v>
      </c>
      <c r="B664" s="4" t="str">
        <f ca="1">IF(OR(INDEX($X$2:$X$1001,MATCH(ROWS($W$2:W664),$W$2:$W$1001,0),1)&gt;=100000,INDEX($AD$1005:$AU$1005,1,MATCH(COLUMNS($AD$1006:AD1006),$AD$1006:$AU$1006,0))&gt;=100000), " ",IF(INDEX($AD$2:$AU$1001,MATCH(ROWS($W$2:W664),$W$2:$W$1001,0),MATCH(COLUMNS($AD$1006:AD1006),$AD$1006:$AU$1006,0)), HYPERLINK("#",""), HYPERLINK(CONCATENATE("#metadata!", ADDRESS(INDEX($Y$2:$Y$1001,MATCH(ROWS($W$2:W664),$W$2:$W$1001,0),0), INDEX($AD$1004:$AU$1004,1,MATCH(COLUMNS($AD$1006:AD1006),$AD$1006:$AU$1006,0)))),"Fix")))</f>
        <v xml:space="preserve"> </v>
      </c>
      <c r="C664" s="4" t="str">
        <f ca="1">IF(OR(INDEX($X$2:$X$1001,MATCH(ROWS($W$2:W664),$W$2:$W$1001,0),1)&gt;=100000,INDEX($AD$1005:$AU$1005,1,MATCH(COLUMNS($AD$1006:AE1006),$AD$1006:$AU$1006,0))&gt;=100000), " ",IF(INDEX($AD$2:$AU$1001,MATCH(ROWS($W$2:W664),$W$2:$W$1001,0),MATCH(COLUMNS($AD$1006:AE1006),$AD$1006:$AU$1006,0)), HYPERLINK("#",""), HYPERLINK(CONCATENATE("#metadata!", ADDRESS(INDEX($Y$2:$Y$1001,MATCH(ROWS($W$2:W664),$W$2:$W$1001,0),0), INDEX($AD$1004:$AU$1004,1,MATCH(COLUMNS($AD$1006:AE1006),$AD$1006:$AU$1006,0)))),"Fix")))</f>
        <v xml:space="preserve"> </v>
      </c>
      <c r="D664" s="4" t="str">
        <f ca="1">IF(OR(INDEX($X$2:$X$1001,MATCH(ROWS($W$2:W664),$W$2:$W$1001,0),1)&gt;=100000,INDEX($AD$1005:$AU$1005,1,MATCH(COLUMNS($AD$1006:AF1006),$AD$1006:$AU$1006,0))&gt;=100000), " ",IF(INDEX($AD$2:$AU$1001,MATCH(ROWS($W$2:W664),$W$2:$W$1001,0),MATCH(COLUMNS($AD$1006:AF1006),$AD$1006:$AU$1006,0)), HYPERLINK("#",""), HYPERLINK(CONCATENATE("#metadata!", ADDRESS(INDEX($Y$2:$Y$1001,MATCH(ROWS($W$2:W664),$W$2:$W$1001,0),0), INDEX($AD$1004:$AU$1004,1,MATCH(COLUMNS($AD$1006:AF1006),$AD$1006:$AU$1006,0)))),"Fix")))</f>
        <v xml:space="preserve"> </v>
      </c>
      <c r="E664" s="4" t="str">
        <f ca="1">IF(OR(INDEX($X$2:$X$1001,MATCH(ROWS($W$2:W664),$W$2:$W$1001,0),1)&gt;=100000,INDEX($AD$1005:$AU$1005,1,MATCH(COLUMNS($AD$1006:AG1006),$AD$1006:$AU$1006,0))&gt;=100000), " ",IF(INDEX($AD$2:$AU$1001,MATCH(ROWS($W$2:W664),$W$2:$W$1001,0),MATCH(COLUMNS($AD$1006:AG1006),$AD$1006:$AU$1006,0)), HYPERLINK("#",""), HYPERLINK(CONCATENATE("#metadata!", ADDRESS(INDEX($Y$2:$Y$1001,MATCH(ROWS($W$2:W664),$W$2:$W$1001,0),0), INDEX($AD$1004:$AU$1004,1,MATCH(COLUMNS($AD$1006:AG1006),$AD$1006:$AU$1006,0)))),"Fix")))</f>
        <v xml:space="preserve"> </v>
      </c>
      <c r="F664" s="4" t="str">
        <f ca="1">IF(OR(INDEX($X$2:$X$1001,MATCH(ROWS($W$2:W664),$W$2:$W$1001,0),1)&gt;=100000,INDEX($AD$1005:$AU$1005,1,MATCH(COLUMNS($AD$1006:AH1006),$AD$1006:$AU$1006,0))&gt;=100000), " ",IF(INDEX($AD$2:$AU$1001,MATCH(ROWS($W$2:W664),$W$2:$W$1001,0),MATCH(COLUMNS($AD$1006:AH1006),$AD$1006:$AU$1006,0)), HYPERLINK("#",""), HYPERLINK(CONCATENATE("#metadata!", ADDRESS(INDEX($Y$2:$Y$1001,MATCH(ROWS($W$2:W664),$W$2:$W$1001,0),0), INDEX($AD$1004:$AU$1004,1,MATCH(COLUMNS($AD$1006:AH1006),$AD$1006:$AU$1006,0)))),"Fix")))</f>
        <v xml:space="preserve"> </v>
      </c>
      <c r="G664" s="4" t="str">
        <f ca="1">IF(OR(INDEX($X$2:$X$1001,MATCH(ROWS($W$2:W664),$W$2:$W$1001,0),1)&gt;=100000,INDEX($AD$1005:$AU$1005,1,MATCH(COLUMNS($AD$1006:AI1006),$AD$1006:$AU$1006,0))&gt;=100000), " ",IF(INDEX($AD$2:$AU$1001,MATCH(ROWS($W$2:W664),$W$2:$W$1001,0),MATCH(COLUMNS($AD$1006:AI1006),$AD$1006:$AU$1006,0)), HYPERLINK("#",""), HYPERLINK(CONCATENATE("#metadata!", ADDRESS(INDEX($Y$2:$Y$1001,MATCH(ROWS($W$2:W664),$W$2:$W$1001,0),0), INDEX($AD$1004:$AU$1004,1,MATCH(COLUMNS($AD$1006:AI1006),$AD$1006:$AU$1006,0)))),"Fix")))</f>
        <v xml:space="preserve"> </v>
      </c>
      <c r="H664" s="4" t="str">
        <f ca="1">IF(OR(INDEX($X$2:$X$1001,MATCH(ROWS($W$2:W664),$W$2:$W$1001,0),1)&gt;=100000,INDEX($AD$1005:$AU$1005,1,MATCH(COLUMNS($AD$1006:AJ1006),$AD$1006:$AU$1006,0))&gt;=100000), " ",IF(INDEX($AD$2:$AU$1001,MATCH(ROWS($W$2:W664),$W$2:$W$1001,0),MATCH(COLUMNS($AD$1006:AJ1006),$AD$1006:$AU$1006,0)), HYPERLINK("#",""), HYPERLINK(CONCATENATE("#metadata!", ADDRESS(INDEX($Y$2:$Y$1001,MATCH(ROWS($W$2:W664),$W$2:$W$1001,0),0), INDEX($AD$1004:$AU$1004,1,MATCH(COLUMNS($AD$1006:AJ1006),$AD$1006:$AU$1006,0)))),"Fix")))</f>
        <v xml:space="preserve"> </v>
      </c>
      <c r="I664" s="4" t="str">
        <f ca="1">IF(OR(INDEX($X$2:$X$1001,MATCH(ROWS($W$2:W664),$W$2:$W$1001,0),1)&gt;=100000,INDEX($AD$1005:$AU$1005,1,MATCH(COLUMNS($AD$1006:AK1006),$AD$1006:$AU$1006,0))&gt;=100000), " ",IF(INDEX($AD$2:$AU$1001,MATCH(ROWS($W$2:W664),$W$2:$W$1001,0),MATCH(COLUMNS($AD$1006:AK1006),$AD$1006:$AU$1006,0)), HYPERLINK("#",""), HYPERLINK(CONCATENATE("#metadata!", ADDRESS(INDEX($Y$2:$Y$1001,MATCH(ROWS($W$2:W664),$W$2:$W$1001,0),0), INDEX($AD$1004:$AU$1004,1,MATCH(COLUMNS($AD$1006:AK1006),$AD$1006:$AU$1006,0)))),"Fix")))</f>
        <v xml:space="preserve"> </v>
      </c>
      <c r="J664" s="4" t="str">
        <f ca="1">IF(OR(INDEX($X$2:$X$1001,MATCH(ROWS($W$2:W664),$W$2:$W$1001,0),1)&gt;=100000,INDEX($AD$1005:$AU$1005,1,MATCH(COLUMNS($AD$1006:AL1006),$AD$1006:$AU$1006,0))&gt;=100000), " ",IF(INDEX($AD$2:$AU$1001,MATCH(ROWS($W$2:W664),$W$2:$W$1001,0),MATCH(COLUMNS($AD$1006:AL1006),$AD$1006:$AU$1006,0)), HYPERLINK("#",""), HYPERLINK(CONCATENATE("#metadata!", ADDRESS(INDEX($Y$2:$Y$1001,MATCH(ROWS($W$2:W664),$W$2:$W$1001,0),0), INDEX($AD$1004:$AU$1004,1,MATCH(COLUMNS($AD$1006:AL1006),$AD$1006:$AU$1006,0)))),"Fix")))</f>
        <v xml:space="preserve"> </v>
      </c>
      <c r="K664" s="4" t="str">
        <f ca="1">IF(OR(INDEX($X$2:$X$1001,MATCH(ROWS($W$2:W664),$W$2:$W$1001,0),1)&gt;=100000,INDEX($AD$1005:$AU$1005,1,MATCH(COLUMNS($AD$1006:AM1006),$AD$1006:$AU$1006,0))&gt;=100000), " ",IF(INDEX($AD$2:$AU$1001,MATCH(ROWS($W$2:W664),$W$2:$W$1001,0),MATCH(COLUMNS($AD$1006:AM1006),$AD$1006:$AU$1006,0)), HYPERLINK("#",""), HYPERLINK(CONCATENATE("#metadata!", ADDRESS(INDEX($Y$2:$Y$1001,MATCH(ROWS($W$2:W664),$W$2:$W$1001,0),0), INDEX($AD$1004:$AU$1004,1,MATCH(COLUMNS($AD$1006:AM1006),$AD$1006:$AU$1006,0)))),"Fix")))</f>
        <v xml:space="preserve"> </v>
      </c>
      <c r="L664" s="4" t="str">
        <f ca="1">IF(OR(INDEX($X$2:$X$1001,MATCH(ROWS($W$2:W664),$W$2:$W$1001,0),1)&gt;=100000,INDEX($AD$1005:$AU$1005,1,MATCH(COLUMNS($AD$1006:AN1006),$AD$1006:$AU$1006,0))&gt;=100000), " ",IF(INDEX($AD$2:$AU$1001,MATCH(ROWS($W$2:W664),$W$2:$W$1001,0),MATCH(COLUMNS($AD$1006:AN1006),$AD$1006:$AU$1006,0)), HYPERLINK("#",""), HYPERLINK(CONCATENATE("#metadata!", ADDRESS(INDEX($Y$2:$Y$1001,MATCH(ROWS($W$2:W664),$W$2:$W$1001,0),0), INDEX($AD$1004:$AU$1004,1,MATCH(COLUMNS($AD$1006:AN1006),$AD$1006:$AU$1006,0)))),"Fix")))</f>
        <v xml:space="preserve"> </v>
      </c>
      <c r="M664" s="4" t="str">
        <f ca="1">IF(OR(INDEX($X$2:$X$1001,MATCH(ROWS($W$2:W664),$W$2:$W$1001,0),1)&gt;=100000,INDEX($AD$1005:$AU$1005,1,MATCH(COLUMNS($AD$1006:AO1006),$AD$1006:$AU$1006,0))&gt;=100000), " ",IF(INDEX($AD$2:$AU$1001,MATCH(ROWS($W$2:W664),$W$2:$W$1001,0),MATCH(COLUMNS($AD$1006:AO1006),$AD$1006:$AU$1006,0)), HYPERLINK("#",""), HYPERLINK(CONCATENATE("#metadata!", ADDRESS(INDEX($Y$2:$Y$1001,MATCH(ROWS($W$2:W664),$W$2:$W$1001,0),0), INDEX($AD$1004:$AU$1004,1,MATCH(COLUMNS($AD$1006:AO1006),$AD$1006:$AU$1006,0)))),"Fix")))</f>
        <v xml:space="preserve"> </v>
      </c>
      <c r="N664" s="4" t="str">
        <f ca="1">IF(OR(INDEX($X$2:$X$1001,MATCH(ROWS($W$2:W664),$W$2:$W$1001,0),1)&gt;=100000,INDEX($AD$1005:$AU$1005,1,MATCH(COLUMNS($AD$1006:AP1006),$AD$1006:$AU$1006,0))&gt;=100000), " ",IF(INDEX($AD$2:$AU$1001,MATCH(ROWS($W$2:W664),$W$2:$W$1001,0),MATCH(COLUMNS($AD$1006:AP1006),$AD$1006:$AU$1006,0)), HYPERLINK("#",""), HYPERLINK(CONCATENATE("#metadata!", ADDRESS(INDEX($Y$2:$Y$1001,MATCH(ROWS($W$2:W664),$W$2:$W$1001,0),0), INDEX($AD$1004:$AU$1004,1,MATCH(COLUMNS($AD$1006:AP1006),$AD$1006:$AU$1006,0)))),"Fix")))</f>
        <v xml:space="preserve"> </v>
      </c>
      <c r="O664" s="4" t="str">
        <f ca="1">IF(OR(INDEX($X$2:$X$1001,MATCH(ROWS($W$2:W664),$W$2:$W$1001,0),1)&gt;=100000,INDEX($AD$1005:$AU$1005,1,MATCH(COLUMNS($AD$1006:AQ1006),$AD$1006:$AU$1006,0))&gt;=100000), " ",IF(INDEX($AD$2:$AU$1001,MATCH(ROWS($W$2:W664),$W$2:$W$1001,0),MATCH(COLUMNS($AD$1006:AQ1006),$AD$1006:$AU$1006,0)), HYPERLINK("#",""), HYPERLINK(CONCATENATE("#metadata!", ADDRESS(INDEX($Y$2:$Y$1001,MATCH(ROWS($W$2:W664),$W$2:$W$1001,0),0), INDEX($AD$1004:$AU$1004,1,MATCH(COLUMNS($AD$1006:AQ1006),$AD$1006:$AU$1006,0)))),"Fix")))</f>
        <v xml:space="preserve"> </v>
      </c>
      <c r="P664" s="4" t="str">
        <f ca="1">IF(OR(INDEX($X$2:$X$1001,MATCH(ROWS($W$2:W664),$W$2:$W$1001,0),1)&gt;=100000,INDEX($AD$1005:$AU$1005,1,MATCH(COLUMNS($AD$1006:AR1006),$AD$1006:$AU$1006,0))&gt;=100000), " ",IF(INDEX($AD$2:$AU$1001,MATCH(ROWS($W$2:W664),$W$2:$W$1001,0),MATCH(COLUMNS($AD$1006:AR1006),$AD$1006:$AU$1006,0)), HYPERLINK("#",""), HYPERLINK(CONCATENATE("#metadata!", ADDRESS(INDEX($Y$2:$Y$1001,MATCH(ROWS($W$2:W664),$W$2:$W$1001,0),0), INDEX($AD$1004:$AU$1004,1,MATCH(COLUMNS($AD$1006:AR1006),$AD$1006:$AU$1006,0)))),"Fix")))</f>
        <v xml:space="preserve"> </v>
      </c>
      <c r="Q664" s="4" t="str">
        <f ca="1">IF(OR(INDEX($X$2:$X$1001,MATCH(ROWS($W$2:W664),$W$2:$W$1001,0),1)&gt;=100000,INDEX($AD$1005:$AU$1005,1,MATCH(COLUMNS($AD$1006:AS1006),$AD$1006:$AU$1006,0))&gt;=100000), " ",IF(INDEX($AD$2:$AU$1001,MATCH(ROWS($W$2:W664),$W$2:$W$1001,0),MATCH(COLUMNS($AD$1006:AS1006),$AD$1006:$AU$1006,0)), HYPERLINK("#",""), HYPERLINK(CONCATENATE("#metadata!", ADDRESS(INDEX($Y$2:$Y$1001,MATCH(ROWS($W$2:W664),$W$2:$W$1001,0),0), INDEX($AD$1004:$AU$1004,1,MATCH(COLUMNS($AD$1006:AS1006),$AD$1006:$AU$1006,0)))),"Fix")))</f>
        <v xml:space="preserve"> </v>
      </c>
      <c r="R664" s="4" t="str">
        <f ca="1">IF(OR(INDEX($X$2:$X$1001,MATCH(ROWS($W$2:W664),$W$2:$W$1001,0),1)&gt;=100000,INDEX($AD$1005:$AU$1005,1,MATCH(COLUMNS($AD$1006:AT1006),$AD$1006:$AU$1006,0))&gt;=100000), " ",IF(INDEX($AD$2:$AU$1001,MATCH(ROWS($W$2:W664),$W$2:$W$1001,0),MATCH(COLUMNS($AD$1006:AT1006),$AD$1006:$AU$1006,0)), HYPERLINK("#",""), HYPERLINK(CONCATENATE("#metadata!", ADDRESS(INDEX($Y$2:$Y$1001,MATCH(ROWS($W$2:W664),$W$2:$W$1001,0),0), INDEX($AD$1004:$AU$1004,1,MATCH(COLUMNS($AD$1006:AT1006),$AD$1006:$AU$1006,0)))),"Fix")))</f>
        <v xml:space="preserve"> </v>
      </c>
      <c r="S664" s="4" t="str">
        <f ca="1">IF(OR(INDEX($X$2:$X$1001,MATCH(ROWS($W$2:W664),$W$2:$W$1001,0),1)&gt;=100000,INDEX($AD$1005:$AU$1005,1,MATCH(COLUMNS($AD$1006:AU1006),$AD$1006:$AU$1006,0))&gt;=100000), " ",IF(INDEX($AD$2:$AU$1001,MATCH(ROWS($W$2:W664),$W$2:$W$1001,0),MATCH(COLUMNS($AD$1006:AU1006),$AD$1006:$AU$1006,0)), HYPERLINK("#",""), HYPERLINK(CONCATENATE("#metadata!", ADDRESS(INDEX($Y$2:$Y$1001,MATCH(ROWS($W$2:W664),$W$2:$W$1001,0),0), INDEX($AD$1004:$AU$1004,1,MATCH(COLUMNS($AD$1006:AU1006),$AD$1006:$AU$1006,0)))),"Fix")))</f>
        <v xml:space="preserve"> </v>
      </c>
      <c r="W664">
        <v>663</v>
      </c>
      <c r="X664">
        <v>100664</v>
      </c>
      <c r="Y664">
        <v>664</v>
      </c>
      <c r="Z664" t="b">
        <f t="shared" si="10"/>
        <v>1</v>
      </c>
      <c r="AA664" t="b">
        <f>COUNTBLANK(metadata!B664:S664)=COLUMNS(metadata!B664:S664)</f>
        <v>1</v>
      </c>
      <c r="AB664" t="str">
        <v/>
      </c>
      <c r="AD664" t="b">
        <f ca="1">AND(IF(metadata!B664="",FALSE,TRUE),COUNTIF(metadata!B:B, metadata!B664) = 1,NOT(ISERROR(SUMPRODUCT(SEARCH(MID(metadata!B664,ROW(INDIRECT("1:"&amp;LEN(metadata!B664))), 1),"0123456789abcdefghijklmnopqrstuvwxyzABCDEFGHIJKLMNOPQRSTUVWXYZ.")))))</f>
        <v>0</v>
      </c>
      <c r="AE664" t="b">
        <f>OR(AND(IF(metadata!C664="",FALSE,TRUE),OR(EXACT(metadata!C664,"not applicable"),EXACT(metadata!C664,"missing: not collected"),EXACT(metadata!C664,"missing: not provided"),EXACT(metadata!C664,"missing: restricted access"))),AND(IF(metadata!C664="",FALSE,ISNUMBER(VALUE(metadata!C664))),metadata!C664&gt;0))</f>
        <v>0</v>
      </c>
      <c r="AF664" t="b">
        <f>AND(IF(metadata!D664="",FALSE,TRUE),EXACT(metadata!D664,"missing: not provided"))</f>
        <v>0</v>
      </c>
      <c r="AG664" t="b">
        <f>AND(IF(metadata!E664="",FALSE,TRUE),EXACT(metadata!E664,"Host-associated"))</f>
        <v>0</v>
      </c>
      <c r="AH664" t="b">
        <f>AND(IF(metadata!F664="",FALSE,TRUE),OR(EXACT(metadata!F664,"Animal"),EXACT(metadata!F664,"Fungus"),EXACT(metadata!F664,"Plant")))</f>
        <v>0</v>
      </c>
      <c r="AI664" t="b">
        <f>AND(IF(metadata!G664="",FALSE,TRUE),OR(EXACT(metadata!G664,"Plant secretion"),EXACT(metadata!G664,"Plant rhizosphere"),EXACT(metadata!G664,"Plant surface"),EXACT(metadata!G664,"Plant corpus"),EXACT(metadata!G664,"Fungus surface"),EXACT(metadata!G664,"Fungus corpus"),EXACT(metadata!G664,"Animal surface"),EXACT(metadata!G664,"Animal proximal gut"),EXACT(metadata!G664,"Animal corpus"),EXACT(metadata!G664,"Animal distal gut"),EXACT(metadata!G664,"Animal secretion")))</f>
        <v>0</v>
      </c>
      <c r="AJ664" t="b">
        <f>OR(AND(IF(metadata!H664="",FALSE,TRUE),OR(EXACT(metadata!H664,"missing: not collected"),EXACT(metadata!H664,"missing: not provided"),EXACT(metadata!H664,"missing: restricted access"))),AND(IF(metadata!H664="",FALSE,TRUE),OR(EXACT(metadata!H664,"organism-associated habitat"),EXACT(metadata!H664,"plant-associated habitat"),EXACT(metadata!H664,"animal-associated habitat"),EXACT(metadata!H664,"insecta-associated habitat"),EXACT(metadata!H664,"mammalia-associated habitat"),EXACT(metadata!H664,"human-associated habitat"),EXACT(metadata!H664,"livestock-associated habitat"))))</f>
        <v>0</v>
      </c>
      <c r="AK664" t="b">
        <f>AND(IF(metadata!I664="",FALSE,TRUE),EXACT(metadata!I664,"host-associated"))</f>
        <v>0</v>
      </c>
      <c r="AL664" t="b">
        <f>OR(AND(IF(metadata!J664="",FALSE,TRUE),OR(EXACT(metadata!J664,"not applicable"),EXACT(metadata!J664,"missing: not collected"),EXACT(metadata!J664,"missing: not provided"),EXACT(metadata!J664,"missing: restricted access"))),AND(IF(metadata!J664="",FALSE,ISNUMBER(VALUE(metadata!J664))),metadata!J664&gt;0))</f>
        <v>0</v>
      </c>
      <c r="AM664" t="b">
        <f>AND(IF(metadata!K664="",FALSE,TRUE),EXACT(metadata!K664,"missing: not provided"))</f>
        <v>0</v>
      </c>
      <c r="AN664" t="b">
        <f>IF(metadata!L664="",FALSE,TRUE)</f>
        <v>0</v>
      </c>
      <c r="AO664" t="b">
        <f>IF(metadata!M664="",FALSE,TRUE)</f>
        <v>0</v>
      </c>
      <c r="AP664" t="b">
        <f>OR(AND(IF(metadata!N664="",FALSE,TRUE),OR(EXACT(metadata!N664,"not applicable"),EXACT(metadata!N664,"missing: not collected"),EXACT(metadata!N664,"missing: not provided"))),AND(IF(metadata!N664="",FALSE,IF(ISERROR(INT(metadata!N664)),FALSE,INT(metadata!N664)=metadata!N664)),metadata!N664&gt;0))</f>
        <v>0</v>
      </c>
      <c r="AQ664" t="b">
        <f>AND(IF(metadata!O664="",FALSE,TRUE),EXACT(metadata!O664,"Not applicable"))</f>
        <v>0</v>
      </c>
      <c r="AR664" t="b">
        <f>OR(AND(IF(metadata!P664="",FALSE,TRUE),OR(EXACT(metadata!P664,"not applicable"),EXACT(metadata!P664,"missing: not collected"),EXACT(metadata!P664,"missing: not provided"),EXACT(metadata!P664,"missing: restricted access"))),IF(metadata!P664="",FALSE,IF(ISERROR(INT(metadata!P664)),FALSE,INT(metadata!P664)=metadata!P664)))</f>
        <v>0</v>
      </c>
      <c r="AS664" t="b">
        <f>AND(IF(metadata!Q664="",FALSE,TRUE),EXACT(metadata!Q664,"Not applicable"))</f>
        <v>0</v>
      </c>
      <c r="AT664" t="b">
        <f>OR(AND(IF(metadata!R664="",FALSE,TRUE),OR(EXACT(metadata!R664,"not applicable"),EXACT(metadata!R664,"missing: not collected"),EXACT(metadata!R664,"missing: not provided"),EXACT(metadata!R664,"missing: restricted access"))),AND(IF(metadata!R664="",FALSE,ISNUMBER(VALUE(metadata!R664))),metadata!R664&gt;0))</f>
        <v>0</v>
      </c>
      <c r="AU664" t="b">
        <f>AND(IF(metadata!S664="",FALSE,TRUE),EXACT(metadata!S664,"missing: not provided"))</f>
        <v>0</v>
      </c>
    </row>
    <row r="665" spans="1:47" x14ac:dyDescent="0.2">
      <c r="A665" s="5" t="str">
        <f ca="1">IF(B665=" "," ",HYPERLINK(CONCATENATE("#metadata!",ADDRESS(INDEX($Y$2:$Y$1001,MATCH(ROWS($W$2:W665),$W$2:$W$1001,0),0),1)),INDEX($AB$2:$AB$1001,MATCH(ROWS($W$2:W665),$W$2:$W$1001,0),0)))</f>
        <v xml:space="preserve"> </v>
      </c>
      <c r="B665" s="4" t="str">
        <f ca="1">IF(OR(INDEX($X$2:$X$1001,MATCH(ROWS($W$2:W665),$W$2:$W$1001,0),1)&gt;=100000,INDEX($AD$1005:$AU$1005,1,MATCH(COLUMNS($AD$1006:AD1006),$AD$1006:$AU$1006,0))&gt;=100000), " ",IF(INDEX($AD$2:$AU$1001,MATCH(ROWS($W$2:W665),$W$2:$W$1001,0),MATCH(COLUMNS($AD$1006:AD1006),$AD$1006:$AU$1006,0)), HYPERLINK("#",""), HYPERLINK(CONCATENATE("#metadata!", ADDRESS(INDEX($Y$2:$Y$1001,MATCH(ROWS($W$2:W665),$W$2:$W$1001,0),0), INDEX($AD$1004:$AU$1004,1,MATCH(COLUMNS($AD$1006:AD1006),$AD$1006:$AU$1006,0)))),"Fix")))</f>
        <v xml:space="preserve"> </v>
      </c>
      <c r="C665" s="4" t="str">
        <f ca="1">IF(OR(INDEX($X$2:$X$1001,MATCH(ROWS($W$2:W665),$W$2:$W$1001,0),1)&gt;=100000,INDEX($AD$1005:$AU$1005,1,MATCH(COLUMNS($AD$1006:AE1006),$AD$1006:$AU$1006,0))&gt;=100000), " ",IF(INDEX($AD$2:$AU$1001,MATCH(ROWS($W$2:W665),$W$2:$W$1001,0),MATCH(COLUMNS($AD$1006:AE1006),$AD$1006:$AU$1006,0)), HYPERLINK("#",""), HYPERLINK(CONCATENATE("#metadata!", ADDRESS(INDEX($Y$2:$Y$1001,MATCH(ROWS($W$2:W665),$W$2:$W$1001,0),0), INDEX($AD$1004:$AU$1004,1,MATCH(COLUMNS($AD$1006:AE1006),$AD$1006:$AU$1006,0)))),"Fix")))</f>
        <v xml:space="preserve"> </v>
      </c>
      <c r="D665" s="4" t="str">
        <f ca="1">IF(OR(INDEX($X$2:$X$1001,MATCH(ROWS($W$2:W665),$W$2:$W$1001,0),1)&gt;=100000,INDEX($AD$1005:$AU$1005,1,MATCH(COLUMNS($AD$1006:AF1006),$AD$1006:$AU$1006,0))&gt;=100000), " ",IF(INDEX($AD$2:$AU$1001,MATCH(ROWS($W$2:W665),$W$2:$W$1001,0),MATCH(COLUMNS($AD$1006:AF1006),$AD$1006:$AU$1006,0)), HYPERLINK("#",""), HYPERLINK(CONCATENATE("#metadata!", ADDRESS(INDEX($Y$2:$Y$1001,MATCH(ROWS($W$2:W665),$W$2:$W$1001,0),0), INDEX($AD$1004:$AU$1004,1,MATCH(COLUMNS($AD$1006:AF1006),$AD$1006:$AU$1006,0)))),"Fix")))</f>
        <v xml:space="preserve"> </v>
      </c>
      <c r="E665" s="4" t="str">
        <f ca="1">IF(OR(INDEX($X$2:$X$1001,MATCH(ROWS($W$2:W665),$W$2:$W$1001,0),1)&gt;=100000,INDEX($AD$1005:$AU$1005,1,MATCH(COLUMNS($AD$1006:AG1006),$AD$1006:$AU$1006,0))&gt;=100000), " ",IF(INDEX($AD$2:$AU$1001,MATCH(ROWS($W$2:W665),$W$2:$W$1001,0),MATCH(COLUMNS($AD$1006:AG1006),$AD$1006:$AU$1006,0)), HYPERLINK("#",""), HYPERLINK(CONCATENATE("#metadata!", ADDRESS(INDEX($Y$2:$Y$1001,MATCH(ROWS($W$2:W665),$W$2:$W$1001,0),0), INDEX($AD$1004:$AU$1004,1,MATCH(COLUMNS($AD$1006:AG1006),$AD$1006:$AU$1006,0)))),"Fix")))</f>
        <v xml:space="preserve"> </v>
      </c>
      <c r="F665" s="4" t="str">
        <f ca="1">IF(OR(INDEX($X$2:$X$1001,MATCH(ROWS($W$2:W665),$W$2:$W$1001,0),1)&gt;=100000,INDEX($AD$1005:$AU$1005,1,MATCH(COLUMNS($AD$1006:AH1006),$AD$1006:$AU$1006,0))&gt;=100000), " ",IF(INDEX($AD$2:$AU$1001,MATCH(ROWS($W$2:W665),$W$2:$W$1001,0),MATCH(COLUMNS($AD$1006:AH1006),$AD$1006:$AU$1006,0)), HYPERLINK("#",""), HYPERLINK(CONCATENATE("#metadata!", ADDRESS(INDEX($Y$2:$Y$1001,MATCH(ROWS($W$2:W665),$W$2:$W$1001,0),0), INDEX($AD$1004:$AU$1004,1,MATCH(COLUMNS($AD$1006:AH1006),$AD$1006:$AU$1006,0)))),"Fix")))</f>
        <v xml:space="preserve"> </v>
      </c>
      <c r="G665" s="4" t="str">
        <f ca="1">IF(OR(INDEX($X$2:$X$1001,MATCH(ROWS($W$2:W665),$W$2:$W$1001,0),1)&gt;=100000,INDEX($AD$1005:$AU$1005,1,MATCH(COLUMNS($AD$1006:AI1006),$AD$1006:$AU$1006,0))&gt;=100000), " ",IF(INDEX($AD$2:$AU$1001,MATCH(ROWS($W$2:W665),$W$2:$W$1001,0),MATCH(COLUMNS($AD$1006:AI1006),$AD$1006:$AU$1006,0)), HYPERLINK("#",""), HYPERLINK(CONCATENATE("#metadata!", ADDRESS(INDEX($Y$2:$Y$1001,MATCH(ROWS($W$2:W665),$W$2:$W$1001,0),0), INDEX($AD$1004:$AU$1004,1,MATCH(COLUMNS($AD$1006:AI1006),$AD$1006:$AU$1006,0)))),"Fix")))</f>
        <v xml:space="preserve"> </v>
      </c>
      <c r="H665" s="4" t="str">
        <f ca="1">IF(OR(INDEX($X$2:$X$1001,MATCH(ROWS($W$2:W665),$W$2:$W$1001,0),1)&gt;=100000,INDEX($AD$1005:$AU$1005,1,MATCH(COLUMNS($AD$1006:AJ1006),$AD$1006:$AU$1006,0))&gt;=100000), " ",IF(INDEX($AD$2:$AU$1001,MATCH(ROWS($W$2:W665),$W$2:$W$1001,0),MATCH(COLUMNS($AD$1006:AJ1006),$AD$1006:$AU$1006,0)), HYPERLINK("#",""), HYPERLINK(CONCATENATE("#metadata!", ADDRESS(INDEX($Y$2:$Y$1001,MATCH(ROWS($W$2:W665),$W$2:$W$1001,0),0), INDEX($AD$1004:$AU$1004,1,MATCH(COLUMNS($AD$1006:AJ1006),$AD$1006:$AU$1006,0)))),"Fix")))</f>
        <v xml:space="preserve"> </v>
      </c>
      <c r="I665" s="4" t="str">
        <f ca="1">IF(OR(INDEX($X$2:$X$1001,MATCH(ROWS($W$2:W665),$W$2:$W$1001,0),1)&gt;=100000,INDEX($AD$1005:$AU$1005,1,MATCH(COLUMNS($AD$1006:AK1006),$AD$1006:$AU$1006,0))&gt;=100000), " ",IF(INDEX($AD$2:$AU$1001,MATCH(ROWS($W$2:W665),$W$2:$W$1001,0),MATCH(COLUMNS($AD$1006:AK1006),$AD$1006:$AU$1006,0)), HYPERLINK("#",""), HYPERLINK(CONCATENATE("#metadata!", ADDRESS(INDEX($Y$2:$Y$1001,MATCH(ROWS($W$2:W665),$W$2:$W$1001,0),0), INDEX($AD$1004:$AU$1004,1,MATCH(COLUMNS($AD$1006:AK1006),$AD$1006:$AU$1006,0)))),"Fix")))</f>
        <v xml:space="preserve"> </v>
      </c>
      <c r="J665" s="4" t="str">
        <f ca="1">IF(OR(INDEX($X$2:$X$1001,MATCH(ROWS($W$2:W665),$W$2:$W$1001,0),1)&gt;=100000,INDEX($AD$1005:$AU$1005,1,MATCH(COLUMNS($AD$1006:AL1006),$AD$1006:$AU$1006,0))&gt;=100000), " ",IF(INDEX($AD$2:$AU$1001,MATCH(ROWS($W$2:W665),$W$2:$W$1001,0),MATCH(COLUMNS($AD$1006:AL1006),$AD$1006:$AU$1006,0)), HYPERLINK("#",""), HYPERLINK(CONCATENATE("#metadata!", ADDRESS(INDEX($Y$2:$Y$1001,MATCH(ROWS($W$2:W665),$W$2:$W$1001,0),0), INDEX($AD$1004:$AU$1004,1,MATCH(COLUMNS($AD$1006:AL1006),$AD$1006:$AU$1006,0)))),"Fix")))</f>
        <v xml:space="preserve"> </v>
      </c>
      <c r="K665" s="4" t="str">
        <f ca="1">IF(OR(INDEX($X$2:$X$1001,MATCH(ROWS($W$2:W665),$W$2:$W$1001,0),1)&gt;=100000,INDEX($AD$1005:$AU$1005,1,MATCH(COLUMNS($AD$1006:AM1006),$AD$1006:$AU$1006,0))&gt;=100000), " ",IF(INDEX($AD$2:$AU$1001,MATCH(ROWS($W$2:W665),$W$2:$W$1001,0),MATCH(COLUMNS($AD$1006:AM1006),$AD$1006:$AU$1006,0)), HYPERLINK("#",""), HYPERLINK(CONCATENATE("#metadata!", ADDRESS(INDEX($Y$2:$Y$1001,MATCH(ROWS($W$2:W665),$W$2:$W$1001,0),0), INDEX($AD$1004:$AU$1004,1,MATCH(COLUMNS($AD$1006:AM1006),$AD$1006:$AU$1006,0)))),"Fix")))</f>
        <v xml:space="preserve"> </v>
      </c>
      <c r="L665" s="4" t="str">
        <f ca="1">IF(OR(INDEX($X$2:$X$1001,MATCH(ROWS($W$2:W665),$W$2:$W$1001,0),1)&gt;=100000,INDEX($AD$1005:$AU$1005,1,MATCH(COLUMNS($AD$1006:AN1006),$AD$1006:$AU$1006,0))&gt;=100000), " ",IF(INDEX($AD$2:$AU$1001,MATCH(ROWS($W$2:W665),$W$2:$W$1001,0),MATCH(COLUMNS($AD$1006:AN1006),$AD$1006:$AU$1006,0)), HYPERLINK("#",""), HYPERLINK(CONCATENATE("#metadata!", ADDRESS(INDEX($Y$2:$Y$1001,MATCH(ROWS($W$2:W665),$W$2:$W$1001,0),0), INDEX($AD$1004:$AU$1004,1,MATCH(COLUMNS($AD$1006:AN1006),$AD$1006:$AU$1006,0)))),"Fix")))</f>
        <v xml:space="preserve"> </v>
      </c>
      <c r="M665" s="4" t="str">
        <f ca="1">IF(OR(INDEX($X$2:$X$1001,MATCH(ROWS($W$2:W665),$W$2:$W$1001,0),1)&gt;=100000,INDEX($AD$1005:$AU$1005,1,MATCH(COLUMNS($AD$1006:AO1006),$AD$1006:$AU$1006,0))&gt;=100000), " ",IF(INDEX($AD$2:$AU$1001,MATCH(ROWS($W$2:W665),$W$2:$W$1001,0),MATCH(COLUMNS($AD$1006:AO1006),$AD$1006:$AU$1006,0)), HYPERLINK("#",""), HYPERLINK(CONCATENATE("#metadata!", ADDRESS(INDEX($Y$2:$Y$1001,MATCH(ROWS($W$2:W665),$W$2:$W$1001,0),0), INDEX($AD$1004:$AU$1004,1,MATCH(COLUMNS($AD$1006:AO1006),$AD$1006:$AU$1006,0)))),"Fix")))</f>
        <v xml:space="preserve"> </v>
      </c>
      <c r="N665" s="4" t="str">
        <f ca="1">IF(OR(INDEX($X$2:$X$1001,MATCH(ROWS($W$2:W665),$W$2:$W$1001,0),1)&gt;=100000,INDEX($AD$1005:$AU$1005,1,MATCH(COLUMNS($AD$1006:AP1006),$AD$1006:$AU$1006,0))&gt;=100000), " ",IF(INDEX($AD$2:$AU$1001,MATCH(ROWS($W$2:W665),$W$2:$W$1001,0),MATCH(COLUMNS($AD$1006:AP1006),$AD$1006:$AU$1006,0)), HYPERLINK("#",""), HYPERLINK(CONCATENATE("#metadata!", ADDRESS(INDEX($Y$2:$Y$1001,MATCH(ROWS($W$2:W665),$W$2:$W$1001,0),0), INDEX($AD$1004:$AU$1004,1,MATCH(COLUMNS($AD$1006:AP1006),$AD$1006:$AU$1006,0)))),"Fix")))</f>
        <v xml:space="preserve"> </v>
      </c>
      <c r="O665" s="4" t="str">
        <f ca="1">IF(OR(INDEX($X$2:$X$1001,MATCH(ROWS($W$2:W665),$W$2:$W$1001,0),1)&gt;=100000,INDEX($AD$1005:$AU$1005,1,MATCH(COLUMNS($AD$1006:AQ1006),$AD$1006:$AU$1006,0))&gt;=100000), " ",IF(INDEX($AD$2:$AU$1001,MATCH(ROWS($W$2:W665),$W$2:$W$1001,0),MATCH(COLUMNS($AD$1006:AQ1006),$AD$1006:$AU$1006,0)), HYPERLINK("#",""), HYPERLINK(CONCATENATE("#metadata!", ADDRESS(INDEX($Y$2:$Y$1001,MATCH(ROWS($W$2:W665),$W$2:$W$1001,0),0), INDEX($AD$1004:$AU$1004,1,MATCH(COLUMNS($AD$1006:AQ1006),$AD$1006:$AU$1006,0)))),"Fix")))</f>
        <v xml:space="preserve"> </v>
      </c>
      <c r="P665" s="4" t="str">
        <f ca="1">IF(OR(INDEX($X$2:$X$1001,MATCH(ROWS($W$2:W665),$W$2:$W$1001,0),1)&gt;=100000,INDEX($AD$1005:$AU$1005,1,MATCH(COLUMNS($AD$1006:AR1006),$AD$1006:$AU$1006,0))&gt;=100000), " ",IF(INDEX($AD$2:$AU$1001,MATCH(ROWS($W$2:W665),$W$2:$W$1001,0),MATCH(COLUMNS($AD$1006:AR1006),$AD$1006:$AU$1006,0)), HYPERLINK("#",""), HYPERLINK(CONCATENATE("#metadata!", ADDRESS(INDEX($Y$2:$Y$1001,MATCH(ROWS($W$2:W665),$W$2:$W$1001,0),0), INDEX($AD$1004:$AU$1004,1,MATCH(COLUMNS($AD$1006:AR1006),$AD$1006:$AU$1006,0)))),"Fix")))</f>
        <v xml:space="preserve"> </v>
      </c>
      <c r="Q665" s="4" t="str">
        <f ca="1">IF(OR(INDEX($X$2:$X$1001,MATCH(ROWS($W$2:W665),$W$2:$W$1001,0),1)&gt;=100000,INDEX($AD$1005:$AU$1005,1,MATCH(COLUMNS($AD$1006:AS1006),$AD$1006:$AU$1006,0))&gt;=100000), " ",IF(INDEX($AD$2:$AU$1001,MATCH(ROWS($W$2:W665),$W$2:$W$1001,0),MATCH(COLUMNS($AD$1006:AS1006),$AD$1006:$AU$1006,0)), HYPERLINK("#",""), HYPERLINK(CONCATENATE("#metadata!", ADDRESS(INDEX($Y$2:$Y$1001,MATCH(ROWS($W$2:W665),$W$2:$W$1001,0),0), INDEX($AD$1004:$AU$1004,1,MATCH(COLUMNS($AD$1006:AS1006),$AD$1006:$AU$1006,0)))),"Fix")))</f>
        <v xml:space="preserve"> </v>
      </c>
      <c r="R665" s="4" t="str">
        <f ca="1">IF(OR(INDEX($X$2:$X$1001,MATCH(ROWS($W$2:W665),$W$2:$W$1001,0),1)&gt;=100000,INDEX($AD$1005:$AU$1005,1,MATCH(COLUMNS($AD$1006:AT1006),$AD$1006:$AU$1006,0))&gt;=100000), " ",IF(INDEX($AD$2:$AU$1001,MATCH(ROWS($W$2:W665),$W$2:$W$1001,0),MATCH(COLUMNS($AD$1006:AT1006),$AD$1006:$AU$1006,0)), HYPERLINK("#",""), HYPERLINK(CONCATENATE("#metadata!", ADDRESS(INDEX($Y$2:$Y$1001,MATCH(ROWS($W$2:W665),$W$2:$W$1001,0),0), INDEX($AD$1004:$AU$1004,1,MATCH(COLUMNS($AD$1006:AT1006),$AD$1006:$AU$1006,0)))),"Fix")))</f>
        <v xml:space="preserve"> </v>
      </c>
      <c r="S665" s="4" t="str">
        <f ca="1">IF(OR(INDEX($X$2:$X$1001,MATCH(ROWS($W$2:W665),$W$2:$W$1001,0),1)&gt;=100000,INDEX($AD$1005:$AU$1005,1,MATCH(COLUMNS($AD$1006:AU1006),$AD$1006:$AU$1006,0))&gt;=100000), " ",IF(INDEX($AD$2:$AU$1001,MATCH(ROWS($W$2:W665),$W$2:$W$1001,0),MATCH(COLUMNS($AD$1006:AU1006),$AD$1006:$AU$1006,0)), HYPERLINK("#",""), HYPERLINK(CONCATENATE("#metadata!", ADDRESS(INDEX($Y$2:$Y$1001,MATCH(ROWS($W$2:W665),$W$2:$W$1001,0),0), INDEX($AD$1004:$AU$1004,1,MATCH(COLUMNS($AD$1006:AU1006),$AD$1006:$AU$1006,0)))),"Fix")))</f>
        <v xml:space="preserve"> </v>
      </c>
      <c r="W665">
        <v>664</v>
      </c>
      <c r="X665">
        <v>100665</v>
      </c>
      <c r="Y665">
        <v>665</v>
      </c>
      <c r="Z665" t="b">
        <f t="shared" si="10"/>
        <v>1</v>
      </c>
      <c r="AA665" t="b">
        <f>COUNTBLANK(metadata!B665:S665)=COLUMNS(metadata!B665:S665)</f>
        <v>1</v>
      </c>
      <c r="AB665" t="str">
        <v/>
      </c>
      <c r="AD665" t="b">
        <f ca="1">AND(IF(metadata!B665="",FALSE,TRUE),COUNTIF(metadata!B:B, metadata!B665) = 1,NOT(ISERROR(SUMPRODUCT(SEARCH(MID(metadata!B665,ROW(INDIRECT("1:"&amp;LEN(metadata!B665))), 1),"0123456789abcdefghijklmnopqrstuvwxyzABCDEFGHIJKLMNOPQRSTUVWXYZ.")))))</f>
        <v>0</v>
      </c>
      <c r="AE665" t="b">
        <f>OR(AND(IF(metadata!C665="",FALSE,TRUE),OR(EXACT(metadata!C665,"not applicable"),EXACT(metadata!C665,"missing: not collected"),EXACT(metadata!C665,"missing: not provided"),EXACT(metadata!C665,"missing: restricted access"))),AND(IF(metadata!C665="",FALSE,ISNUMBER(VALUE(metadata!C665))),metadata!C665&gt;0))</f>
        <v>0</v>
      </c>
      <c r="AF665" t="b">
        <f>AND(IF(metadata!D665="",FALSE,TRUE),EXACT(metadata!D665,"missing: not provided"))</f>
        <v>0</v>
      </c>
      <c r="AG665" t="b">
        <f>AND(IF(metadata!E665="",FALSE,TRUE),EXACT(metadata!E665,"Host-associated"))</f>
        <v>0</v>
      </c>
      <c r="AH665" t="b">
        <f>AND(IF(metadata!F665="",FALSE,TRUE),OR(EXACT(metadata!F665,"Animal"),EXACT(metadata!F665,"Fungus"),EXACT(metadata!F665,"Plant")))</f>
        <v>0</v>
      </c>
      <c r="AI665" t="b">
        <f>AND(IF(metadata!G665="",FALSE,TRUE),OR(EXACT(metadata!G665,"Plant secretion"),EXACT(metadata!G665,"Plant rhizosphere"),EXACT(metadata!G665,"Plant surface"),EXACT(metadata!G665,"Plant corpus"),EXACT(metadata!G665,"Fungus surface"),EXACT(metadata!G665,"Fungus corpus"),EXACT(metadata!G665,"Animal surface"),EXACT(metadata!G665,"Animal proximal gut"),EXACT(metadata!G665,"Animal corpus"),EXACT(metadata!G665,"Animal distal gut"),EXACT(metadata!G665,"Animal secretion")))</f>
        <v>0</v>
      </c>
      <c r="AJ665" t="b">
        <f>OR(AND(IF(metadata!H665="",FALSE,TRUE),OR(EXACT(metadata!H665,"missing: not collected"),EXACT(metadata!H665,"missing: not provided"),EXACT(metadata!H665,"missing: restricted access"))),AND(IF(metadata!H665="",FALSE,TRUE),OR(EXACT(metadata!H665,"organism-associated habitat"),EXACT(metadata!H665,"plant-associated habitat"),EXACT(metadata!H665,"animal-associated habitat"),EXACT(metadata!H665,"insecta-associated habitat"),EXACT(metadata!H665,"mammalia-associated habitat"),EXACT(metadata!H665,"human-associated habitat"),EXACT(metadata!H665,"livestock-associated habitat"))))</f>
        <v>0</v>
      </c>
      <c r="AK665" t="b">
        <f>AND(IF(metadata!I665="",FALSE,TRUE),EXACT(metadata!I665,"host-associated"))</f>
        <v>0</v>
      </c>
      <c r="AL665" t="b">
        <f>OR(AND(IF(metadata!J665="",FALSE,TRUE),OR(EXACT(metadata!J665,"not applicable"),EXACT(metadata!J665,"missing: not collected"),EXACT(metadata!J665,"missing: not provided"),EXACT(metadata!J665,"missing: restricted access"))),AND(IF(metadata!J665="",FALSE,ISNUMBER(VALUE(metadata!J665))),metadata!J665&gt;0))</f>
        <v>0</v>
      </c>
      <c r="AM665" t="b">
        <f>AND(IF(metadata!K665="",FALSE,TRUE),EXACT(metadata!K665,"missing: not provided"))</f>
        <v>0</v>
      </c>
      <c r="AN665" t="b">
        <f>IF(metadata!L665="",FALSE,TRUE)</f>
        <v>0</v>
      </c>
      <c r="AO665" t="b">
        <f>IF(metadata!M665="",FALSE,TRUE)</f>
        <v>0</v>
      </c>
      <c r="AP665" t="b">
        <f>OR(AND(IF(metadata!N665="",FALSE,TRUE),OR(EXACT(metadata!N665,"not applicable"),EXACT(metadata!N665,"missing: not collected"),EXACT(metadata!N665,"missing: not provided"))),AND(IF(metadata!N665="",FALSE,IF(ISERROR(INT(metadata!N665)),FALSE,INT(metadata!N665)=metadata!N665)),metadata!N665&gt;0))</f>
        <v>0</v>
      </c>
      <c r="AQ665" t="b">
        <f>AND(IF(metadata!O665="",FALSE,TRUE),EXACT(metadata!O665,"Not applicable"))</f>
        <v>0</v>
      </c>
      <c r="AR665" t="b">
        <f>OR(AND(IF(metadata!P665="",FALSE,TRUE),OR(EXACT(metadata!P665,"not applicable"),EXACT(metadata!P665,"missing: not collected"),EXACT(metadata!P665,"missing: not provided"),EXACT(metadata!P665,"missing: restricted access"))),IF(metadata!P665="",FALSE,IF(ISERROR(INT(metadata!P665)),FALSE,INT(metadata!P665)=metadata!P665)))</f>
        <v>0</v>
      </c>
      <c r="AS665" t="b">
        <f>AND(IF(metadata!Q665="",FALSE,TRUE),EXACT(metadata!Q665,"Not applicable"))</f>
        <v>0</v>
      </c>
      <c r="AT665" t="b">
        <f>OR(AND(IF(metadata!R665="",FALSE,TRUE),OR(EXACT(metadata!R665,"not applicable"),EXACT(metadata!R665,"missing: not collected"),EXACT(metadata!R665,"missing: not provided"),EXACT(metadata!R665,"missing: restricted access"))),AND(IF(metadata!R665="",FALSE,ISNUMBER(VALUE(metadata!R665))),metadata!R665&gt;0))</f>
        <v>0</v>
      </c>
      <c r="AU665" t="b">
        <f>AND(IF(metadata!S665="",FALSE,TRUE),EXACT(metadata!S665,"missing: not provided"))</f>
        <v>0</v>
      </c>
    </row>
    <row r="666" spans="1:47" x14ac:dyDescent="0.2">
      <c r="A666" s="5" t="str">
        <f ca="1">IF(B666=" "," ",HYPERLINK(CONCATENATE("#metadata!",ADDRESS(INDEX($Y$2:$Y$1001,MATCH(ROWS($W$2:W666),$W$2:$W$1001,0),0),1)),INDEX($AB$2:$AB$1001,MATCH(ROWS($W$2:W666),$W$2:$W$1001,0),0)))</f>
        <v xml:space="preserve"> </v>
      </c>
      <c r="B666" s="4" t="str">
        <f ca="1">IF(OR(INDEX($X$2:$X$1001,MATCH(ROWS($W$2:W666),$W$2:$W$1001,0),1)&gt;=100000,INDEX($AD$1005:$AU$1005,1,MATCH(COLUMNS($AD$1006:AD1006),$AD$1006:$AU$1006,0))&gt;=100000), " ",IF(INDEX($AD$2:$AU$1001,MATCH(ROWS($W$2:W666),$W$2:$W$1001,0),MATCH(COLUMNS($AD$1006:AD1006),$AD$1006:$AU$1006,0)), HYPERLINK("#",""), HYPERLINK(CONCATENATE("#metadata!", ADDRESS(INDEX($Y$2:$Y$1001,MATCH(ROWS($W$2:W666),$W$2:$W$1001,0),0), INDEX($AD$1004:$AU$1004,1,MATCH(COLUMNS($AD$1006:AD1006),$AD$1006:$AU$1006,0)))),"Fix")))</f>
        <v xml:space="preserve"> </v>
      </c>
      <c r="C666" s="4" t="str">
        <f ca="1">IF(OR(INDEX($X$2:$X$1001,MATCH(ROWS($W$2:W666),$W$2:$W$1001,0),1)&gt;=100000,INDEX($AD$1005:$AU$1005,1,MATCH(COLUMNS($AD$1006:AE1006),$AD$1006:$AU$1006,0))&gt;=100000), " ",IF(INDEX($AD$2:$AU$1001,MATCH(ROWS($W$2:W666),$W$2:$W$1001,0),MATCH(COLUMNS($AD$1006:AE1006),$AD$1006:$AU$1006,0)), HYPERLINK("#",""), HYPERLINK(CONCATENATE("#metadata!", ADDRESS(INDEX($Y$2:$Y$1001,MATCH(ROWS($W$2:W666),$W$2:$W$1001,0),0), INDEX($AD$1004:$AU$1004,1,MATCH(COLUMNS($AD$1006:AE1006),$AD$1006:$AU$1006,0)))),"Fix")))</f>
        <v xml:space="preserve"> </v>
      </c>
      <c r="D666" s="4" t="str">
        <f ca="1">IF(OR(INDEX($X$2:$X$1001,MATCH(ROWS($W$2:W666),$W$2:$W$1001,0),1)&gt;=100000,INDEX($AD$1005:$AU$1005,1,MATCH(COLUMNS($AD$1006:AF1006),$AD$1006:$AU$1006,0))&gt;=100000), " ",IF(INDEX($AD$2:$AU$1001,MATCH(ROWS($W$2:W666),$W$2:$W$1001,0),MATCH(COLUMNS($AD$1006:AF1006),$AD$1006:$AU$1006,0)), HYPERLINK("#",""), HYPERLINK(CONCATENATE("#metadata!", ADDRESS(INDEX($Y$2:$Y$1001,MATCH(ROWS($W$2:W666),$W$2:$W$1001,0),0), INDEX($AD$1004:$AU$1004,1,MATCH(COLUMNS($AD$1006:AF1006),$AD$1006:$AU$1006,0)))),"Fix")))</f>
        <v xml:space="preserve"> </v>
      </c>
      <c r="E666" s="4" t="str">
        <f ca="1">IF(OR(INDEX($X$2:$X$1001,MATCH(ROWS($W$2:W666),$W$2:$W$1001,0),1)&gt;=100000,INDEX($AD$1005:$AU$1005,1,MATCH(COLUMNS($AD$1006:AG1006),$AD$1006:$AU$1006,0))&gt;=100000), " ",IF(INDEX($AD$2:$AU$1001,MATCH(ROWS($W$2:W666),$W$2:$W$1001,0),MATCH(COLUMNS($AD$1006:AG1006),$AD$1006:$AU$1006,0)), HYPERLINK("#",""), HYPERLINK(CONCATENATE("#metadata!", ADDRESS(INDEX($Y$2:$Y$1001,MATCH(ROWS($W$2:W666),$W$2:$W$1001,0),0), INDEX($AD$1004:$AU$1004,1,MATCH(COLUMNS($AD$1006:AG1006),$AD$1006:$AU$1006,0)))),"Fix")))</f>
        <v xml:space="preserve"> </v>
      </c>
      <c r="F666" s="4" t="str">
        <f ca="1">IF(OR(INDEX($X$2:$X$1001,MATCH(ROWS($W$2:W666),$W$2:$W$1001,0),1)&gt;=100000,INDEX($AD$1005:$AU$1005,1,MATCH(COLUMNS($AD$1006:AH1006),$AD$1006:$AU$1006,0))&gt;=100000), " ",IF(INDEX($AD$2:$AU$1001,MATCH(ROWS($W$2:W666),$W$2:$W$1001,0),MATCH(COLUMNS($AD$1006:AH1006),$AD$1006:$AU$1006,0)), HYPERLINK("#",""), HYPERLINK(CONCATENATE("#metadata!", ADDRESS(INDEX($Y$2:$Y$1001,MATCH(ROWS($W$2:W666),$W$2:$W$1001,0),0), INDEX($AD$1004:$AU$1004,1,MATCH(COLUMNS($AD$1006:AH1006),$AD$1006:$AU$1006,0)))),"Fix")))</f>
        <v xml:space="preserve"> </v>
      </c>
      <c r="G666" s="4" t="str">
        <f ca="1">IF(OR(INDEX($X$2:$X$1001,MATCH(ROWS($W$2:W666),$W$2:$W$1001,0),1)&gt;=100000,INDEX($AD$1005:$AU$1005,1,MATCH(COLUMNS($AD$1006:AI1006),$AD$1006:$AU$1006,0))&gt;=100000), " ",IF(INDEX($AD$2:$AU$1001,MATCH(ROWS($W$2:W666),$W$2:$W$1001,0),MATCH(COLUMNS($AD$1006:AI1006),$AD$1006:$AU$1006,0)), HYPERLINK("#",""), HYPERLINK(CONCATENATE("#metadata!", ADDRESS(INDEX($Y$2:$Y$1001,MATCH(ROWS($W$2:W666),$W$2:$W$1001,0),0), INDEX($AD$1004:$AU$1004,1,MATCH(COLUMNS($AD$1006:AI1006),$AD$1006:$AU$1006,0)))),"Fix")))</f>
        <v xml:space="preserve"> </v>
      </c>
      <c r="H666" s="4" t="str">
        <f ca="1">IF(OR(INDEX($X$2:$X$1001,MATCH(ROWS($W$2:W666),$W$2:$W$1001,0),1)&gt;=100000,INDEX($AD$1005:$AU$1005,1,MATCH(COLUMNS($AD$1006:AJ1006),$AD$1006:$AU$1006,0))&gt;=100000), " ",IF(INDEX($AD$2:$AU$1001,MATCH(ROWS($W$2:W666),$W$2:$W$1001,0),MATCH(COLUMNS($AD$1006:AJ1006),$AD$1006:$AU$1006,0)), HYPERLINK("#",""), HYPERLINK(CONCATENATE("#metadata!", ADDRESS(INDEX($Y$2:$Y$1001,MATCH(ROWS($W$2:W666),$W$2:$W$1001,0),0), INDEX($AD$1004:$AU$1004,1,MATCH(COLUMNS($AD$1006:AJ1006),$AD$1006:$AU$1006,0)))),"Fix")))</f>
        <v xml:space="preserve"> </v>
      </c>
      <c r="I666" s="4" t="str">
        <f ca="1">IF(OR(INDEX($X$2:$X$1001,MATCH(ROWS($W$2:W666),$W$2:$W$1001,0),1)&gt;=100000,INDEX($AD$1005:$AU$1005,1,MATCH(COLUMNS($AD$1006:AK1006),$AD$1006:$AU$1006,0))&gt;=100000), " ",IF(INDEX($AD$2:$AU$1001,MATCH(ROWS($W$2:W666),$W$2:$W$1001,0),MATCH(COLUMNS($AD$1006:AK1006),$AD$1006:$AU$1006,0)), HYPERLINK("#",""), HYPERLINK(CONCATENATE("#metadata!", ADDRESS(INDEX($Y$2:$Y$1001,MATCH(ROWS($W$2:W666),$W$2:$W$1001,0),0), INDEX($AD$1004:$AU$1004,1,MATCH(COLUMNS($AD$1006:AK1006),$AD$1006:$AU$1006,0)))),"Fix")))</f>
        <v xml:space="preserve"> </v>
      </c>
      <c r="J666" s="4" t="str">
        <f ca="1">IF(OR(INDEX($X$2:$X$1001,MATCH(ROWS($W$2:W666),$W$2:$W$1001,0),1)&gt;=100000,INDEX($AD$1005:$AU$1005,1,MATCH(COLUMNS($AD$1006:AL1006),$AD$1006:$AU$1006,0))&gt;=100000), " ",IF(INDEX($AD$2:$AU$1001,MATCH(ROWS($W$2:W666),$W$2:$W$1001,0),MATCH(COLUMNS($AD$1006:AL1006),$AD$1006:$AU$1006,0)), HYPERLINK("#",""), HYPERLINK(CONCATENATE("#metadata!", ADDRESS(INDEX($Y$2:$Y$1001,MATCH(ROWS($W$2:W666),$W$2:$W$1001,0),0), INDEX($AD$1004:$AU$1004,1,MATCH(COLUMNS($AD$1006:AL1006),$AD$1006:$AU$1006,0)))),"Fix")))</f>
        <v xml:space="preserve"> </v>
      </c>
      <c r="K666" s="4" t="str">
        <f ca="1">IF(OR(INDEX($X$2:$X$1001,MATCH(ROWS($W$2:W666),$W$2:$W$1001,0),1)&gt;=100000,INDEX($AD$1005:$AU$1005,1,MATCH(COLUMNS($AD$1006:AM1006),$AD$1006:$AU$1006,0))&gt;=100000), " ",IF(INDEX($AD$2:$AU$1001,MATCH(ROWS($W$2:W666),$W$2:$W$1001,0),MATCH(COLUMNS($AD$1006:AM1006),$AD$1006:$AU$1006,0)), HYPERLINK("#",""), HYPERLINK(CONCATENATE("#metadata!", ADDRESS(INDEX($Y$2:$Y$1001,MATCH(ROWS($W$2:W666),$W$2:$W$1001,0),0), INDEX($AD$1004:$AU$1004,1,MATCH(COLUMNS($AD$1006:AM1006),$AD$1006:$AU$1006,0)))),"Fix")))</f>
        <v xml:space="preserve"> </v>
      </c>
      <c r="L666" s="4" t="str">
        <f ca="1">IF(OR(INDEX($X$2:$X$1001,MATCH(ROWS($W$2:W666),$W$2:$W$1001,0),1)&gt;=100000,INDEX($AD$1005:$AU$1005,1,MATCH(COLUMNS($AD$1006:AN1006),$AD$1006:$AU$1006,0))&gt;=100000), " ",IF(INDEX($AD$2:$AU$1001,MATCH(ROWS($W$2:W666),$W$2:$W$1001,0),MATCH(COLUMNS($AD$1006:AN1006),$AD$1006:$AU$1006,0)), HYPERLINK("#",""), HYPERLINK(CONCATENATE("#metadata!", ADDRESS(INDEX($Y$2:$Y$1001,MATCH(ROWS($W$2:W666),$W$2:$W$1001,0),0), INDEX($AD$1004:$AU$1004,1,MATCH(COLUMNS($AD$1006:AN1006),$AD$1006:$AU$1006,0)))),"Fix")))</f>
        <v xml:space="preserve"> </v>
      </c>
      <c r="M666" s="4" t="str">
        <f ca="1">IF(OR(INDEX($X$2:$X$1001,MATCH(ROWS($W$2:W666),$W$2:$W$1001,0),1)&gt;=100000,INDEX($AD$1005:$AU$1005,1,MATCH(COLUMNS($AD$1006:AO1006),$AD$1006:$AU$1006,0))&gt;=100000), " ",IF(INDEX($AD$2:$AU$1001,MATCH(ROWS($W$2:W666),$W$2:$W$1001,0),MATCH(COLUMNS($AD$1006:AO1006),$AD$1006:$AU$1006,0)), HYPERLINK("#",""), HYPERLINK(CONCATENATE("#metadata!", ADDRESS(INDEX($Y$2:$Y$1001,MATCH(ROWS($W$2:W666),$W$2:$W$1001,0),0), INDEX($AD$1004:$AU$1004,1,MATCH(COLUMNS($AD$1006:AO1006),$AD$1006:$AU$1006,0)))),"Fix")))</f>
        <v xml:space="preserve"> </v>
      </c>
      <c r="N666" s="4" t="str">
        <f ca="1">IF(OR(INDEX($X$2:$X$1001,MATCH(ROWS($W$2:W666),$W$2:$W$1001,0),1)&gt;=100000,INDEX($AD$1005:$AU$1005,1,MATCH(COLUMNS($AD$1006:AP1006),$AD$1006:$AU$1006,0))&gt;=100000), " ",IF(INDEX($AD$2:$AU$1001,MATCH(ROWS($W$2:W666),$W$2:$W$1001,0),MATCH(COLUMNS($AD$1006:AP1006),$AD$1006:$AU$1006,0)), HYPERLINK("#",""), HYPERLINK(CONCATENATE("#metadata!", ADDRESS(INDEX($Y$2:$Y$1001,MATCH(ROWS($W$2:W666),$W$2:$W$1001,0),0), INDEX($AD$1004:$AU$1004,1,MATCH(COLUMNS($AD$1006:AP1006),$AD$1006:$AU$1006,0)))),"Fix")))</f>
        <v xml:space="preserve"> </v>
      </c>
      <c r="O666" s="4" t="str">
        <f ca="1">IF(OR(INDEX($X$2:$X$1001,MATCH(ROWS($W$2:W666),$W$2:$W$1001,0),1)&gt;=100000,INDEX($AD$1005:$AU$1005,1,MATCH(COLUMNS($AD$1006:AQ1006),$AD$1006:$AU$1006,0))&gt;=100000), " ",IF(INDEX($AD$2:$AU$1001,MATCH(ROWS($W$2:W666),$W$2:$W$1001,0),MATCH(COLUMNS($AD$1006:AQ1006),$AD$1006:$AU$1006,0)), HYPERLINK("#",""), HYPERLINK(CONCATENATE("#metadata!", ADDRESS(INDEX($Y$2:$Y$1001,MATCH(ROWS($W$2:W666),$W$2:$W$1001,0),0), INDEX($AD$1004:$AU$1004,1,MATCH(COLUMNS($AD$1006:AQ1006),$AD$1006:$AU$1006,0)))),"Fix")))</f>
        <v xml:space="preserve"> </v>
      </c>
      <c r="P666" s="4" t="str">
        <f ca="1">IF(OR(INDEX($X$2:$X$1001,MATCH(ROWS($W$2:W666),$W$2:$W$1001,0),1)&gt;=100000,INDEX($AD$1005:$AU$1005,1,MATCH(COLUMNS($AD$1006:AR1006),$AD$1006:$AU$1006,0))&gt;=100000), " ",IF(INDEX($AD$2:$AU$1001,MATCH(ROWS($W$2:W666),$W$2:$W$1001,0),MATCH(COLUMNS($AD$1006:AR1006),$AD$1006:$AU$1006,0)), HYPERLINK("#",""), HYPERLINK(CONCATENATE("#metadata!", ADDRESS(INDEX($Y$2:$Y$1001,MATCH(ROWS($W$2:W666),$W$2:$W$1001,0),0), INDEX($AD$1004:$AU$1004,1,MATCH(COLUMNS($AD$1006:AR1006),$AD$1006:$AU$1006,0)))),"Fix")))</f>
        <v xml:space="preserve"> </v>
      </c>
      <c r="Q666" s="4" t="str">
        <f ca="1">IF(OR(INDEX($X$2:$X$1001,MATCH(ROWS($W$2:W666),$W$2:$W$1001,0),1)&gt;=100000,INDEX($AD$1005:$AU$1005,1,MATCH(COLUMNS($AD$1006:AS1006),$AD$1006:$AU$1006,0))&gt;=100000), " ",IF(INDEX($AD$2:$AU$1001,MATCH(ROWS($W$2:W666),$W$2:$W$1001,0),MATCH(COLUMNS($AD$1006:AS1006),$AD$1006:$AU$1006,0)), HYPERLINK("#",""), HYPERLINK(CONCATENATE("#metadata!", ADDRESS(INDEX($Y$2:$Y$1001,MATCH(ROWS($W$2:W666),$W$2:$W$1001,0),0), INDEX($AD$1004:$AU$1004,1,MATCH(COLUMNS($AD$1006:AS1006),$AD$1006:$AU$1006,0)))),"Fix")))</f>
        <v xml:space="preserve"> </v>
      </c>
      <c r="R666" s="4" t="str">
        <f ca="1">IF(OR(INDEX($X$2:$X$1001,MATCH(ROWS($W$2:W666),$W$2:$W$1001,0),1)&gt;=100000,INDEX($AD$1005:$AU$1005,1,MATCH(COLUMNS($AD$1006:AT1006),$AD$1006:$AU$1006,0))&gt;=100000), " ",IF(INDEX($AD$2:$AU$1001,MATCH(ROWS($W$2:W666),$W$2:$W$1001,0),MATCH(COLUMNS($AD$1006:AT1006),$AD$1006:$AU$1006,0)), HYPERLINK("#",""), HYPERLINK(CONCATENATE("#metadata!", ADDRESS(INDEX($Y$2:$Y$1001,MATCH(ROWS($W$2:W666),$W$2:$W$1001,0),0), INDEX($AD$1004:$AU$1004,1,MATCH(COLUMNS($AD$1006:AT1006),$AD$1006:$AU$1006,0)))),"Fix")))</f>
        <v xml:space="preserve"> </v>
      </c>
      <c r="S666" s="4" t="str">
        <f ca="1">IF(OR(INDEX($X$2:$X$1001,MATCH(ROWS($W$2:W666),$W$2:$W$1001,0),1)&gt;=100000,INDEX($AD$1005:$AU$1005,1,MATCH(COLUMNS($AD$1006:AU1006),$AD$1006:$AU$1006,0))&gt;=100000), " ",IF(INDEX($AD$2:$AU$1001,MATCH(ROWS($W$2:W666),$W$2:$W$1001,0),MATCH(COLUMNS($AD$1006:AU1006),$AD$1006:$AU$1006,0)), HYPERLINK("#",""), HYPERLINK(CONCATENATE("#metadata!", ADDRESS(INDEX($Y$2:$Y$1001,MATCH(ROWS($W$2:W666),$W$2:$W$1001,0),0), INDEX($AD$1004:$AU$1004,1,MATCH(COLUMNS($AD$1006:AU1006),$AD$1006:$AU$1006,0)))),"Fix")))</f>
        <v xml:space="preserve"> </v>
      </c>
      <c r="W666">
        <v>665</v>
      </c>
      <c r="X666">
        <v>100666</v>
      </c>
      <c r="Y666">
        <v>666</v>
      </c>
      <c r="Z666" t="b">
        <f t="shared" si="10"/>
        <v>1</v>
      </c>
      <c r="AA666" t="b">
        <f>COUNTBLANK(metadata!B666:S666)=COLUMNS(metadata!B666:S666)</f>
        <v>1</v>
      </c>
      <c r="AB666" t="str">
        <v/>
      </c>
      <c r="AD666" t="b">
        <f ca="1">AND(IF(metadata!B666="",FALSE,TRUE),COUNTIF(metadata!B:B, metadata!B666) = 1,NOT(ISERROR(SUMPRODUCT(SEARCH(MID(metadata!B666,ROW(INDIRECT("1:"&amp;LEN(metadata!B666))), 1),"0123456789abcdefghijklmnopqrstuvwxyzABCDEFGHIJKLMNOPQRSTUVWXYZ.")))))</f>
        <v>0</v>
      </c>
      <c r="AE666" t="b">
        <f>OR(AND(IF(metadata!C666="",FALSE,TRUE),OR(EXACT(metadata!C666,"not applicable"),EXACT(metadata!C666,"missing: not collected"),EXACT(metadata!C666,"missing: not provided"),EXACT(metadata!C666,"missing: restricted access"))),AND(IF(metadata!C666="",FALSE,ISNUMBER(VALUE(metadata!C666))),metadata!C666&gt;0))</f>
        <v>0</v>
      </c>
      <c r="AF666" t="b">
        <f>AND(IF(metadata!D666="",FALSE,TRUE),EXACT(metadata!D666,"missing: not provided"))</f>
        <v>0</v>
      </c>
      <c r="AG666" t="b">
        <f>AND(IF(metadata!E666="",FALSE,TRUE),EXACT(metadata!E666,"Host-associated"))</f>
        <v>0</v>
      </c>
      <c r="AH666" t="b">
        <f>AND(IF(metadata!F666="",FALSE,TRUE),OR(EXACT(metadata!F666,"Animal"),EXACT(metadata!F666,"Fungus"),EXACT(metadata!F666,"Plant")))</f>
        <v>0</v>
      </c>
      <c r="AI666" t="b">
        <f>AND(IF(metadata!G666="",FALSE,TRUE),OR(EXACT(metadata!G666,"Plant secretion"),EXACT(metadata!G666,"Plant rhizosphere"),EXACT(metadata!G666,"Plant surface"),EXACT(metadata!G666,"Plant corpus"),EXACT(metadata!G666,"Fungus surface"),EXACT(metadata!G666,"Fungus corpus"),EXACT(metadata!G666,"Animal surface"),EXACT(metadata!G666,"Animal proximal gut"),EXACT(metadata!G666,"Animal corpus"),EXACT(metadata!G666,"Animal distal gut"),EXACT(metadata!G666,"Animal secretion")))</f>
        <v>0</v>
      </c>
      <c r="AJ666" t="b">
        <f>OR(AND(IF(metadata!H666="",FALSE,TRUE),OR(EXACT(metadata!H666,"missing: not collected"),EXACT(metadata!H666,"missing: not provided"),EXACT(metadata!H666,"missing: restricted access"))),AND(IF(metadata!H666="",FALSE,TRUE),OR(EXACT(metadata!H666,"organism-associated habitat"),EXACT(metadata!H666,"plant-associated habitat"),EXACT(metadata!H666,"animal-associated habitat"),EXACT(metadata!H666,"insecta-associated habitat"),EXACT(metadata!H666,"mammalia-associated habitat"),EXACT(metadata!H666,"human-associated habitat"),EXACT(metadata!H666,"livestock-associated habitat"))))</f>
        <v>0</v>
      </c>
      <c r="AK666" t="b">
        <f>AND(IF(metadata!I666="",FALSE,TRUE),EXACT(metadata!I666,"host-associated"))</f>
        <v>0</v>
      </c>
      <c r="AL666" t="b">
        <f>OR(AND(IF(metadata!J666="",FALSE,TRUE),OR(EXACT(metadata!J666,"not applicable"),EXACT(metadata!J666,"missing: not collected"),EXACT(metadata!J666,"missing: not provided"),EXACT(metadata!J666,"missing: restricted access"))),AND(IF(metadata!J666="",FALSE,ISNUMBER(VALUE(metadata!J666))),metadata!J666&gt;0))</f>
        <v>0</v>
      </c>
      <c r="AM666" t="b">
        <f>AND(IF(metadata!K666="",FALSE,TRUE),EXACT(metadata!K666,"missing: not provided"))</f>
        <v>0</v>
      </c>
      <c r="AN666" t="b">
        <f>IF(metadata!L666="",FALSE,TRUE)</f>
        <v>0</v>
      </c>
      <c r="AO666" t="b">
        <f>IF(metadata!M666="",FALSE,TRUE)</f>
        <v>0</v>
      </c>
      <c r="AP666" t="b">
        <f>OR(AND(IF(metadata!N666="",FALSE,TRUE),OR(EXACT(metadata!N666,"not applicable"),EXACT(metadata!N666,"missing: not collected"),EXACT(metadata!N666,"missing: not provided"))),AND(IF(metadata!N666="",FALSE,IF(ISERROR(INT(metadata!N666)),FALSE,INT(metadata!N666)=metadata!N666)),metadata!N666&gt;0))</f>
        <v>0</v>
      </c>
      <c r="AQ666" t="b">
        <f>AND(IF(metadata!O666="",FALSE,TRUE),EXACT(metadata!O666,"Not applicable"))</f>
        <v>0</v>
      </c>
      <c r="AR666" t="b">
        <f>OR(AND(IF(metadata!P666="",FALSE,TRUE),OR(EXACT(metadata!P666,"not applicable"),EXACT(metadata!P666,"missing: not collected"),EXACT(metadata!P666,"missing: not provided"),EXACT(metadata!P666,"missing: restricted access"))),IF(metadata!P666="",FALSE,IF(ISERROR(INT(metadata!P666)),FALSE,INT(metadata!P666)=metadata!P666)))</f>
        <v>0</v>
      </c>
      <c r="AS666" t="b">
        <f>AND(IF(metadata!Q666="",FALSE,TRUE),EXACT(metadata!Q666,"Not applicable"))</f>
        <v>0</v>
      </c>
      <c r="AT666" t="b">
        <f>OR(AND(IF(metadata!R666="",FALSE,TRUE),OR(EXACT(metadata!R666,"not applicable"),EXACT(metadata!R666,"missing: not collected"),EXACT(metadata!R666,"missing: not provided"),EXACT(metadata!R666,"missing: restricted access"))),AND(IF(metadata!R666="",FALSE,ISNUMBER(VALUE(metadata!R666))),metadata!R666&gt;0))</f>
        <v>0</v>
      </c>
      <c r="AU666" t="b">
        <f>AND(IF(metadata!S666="",FALSE,TRUE),EXACT(metadata!S666,"missing: not provided"))</f>
        <v>0</v>
      </c>
    </row>
    <row r="667" spans="1:47" x14ac:dyDescent="0.2">
      <c r="A667" s="5" t="str">
        <f ca="1">IF(B667=" "," ",HYPERLINK(CONCATENATE("#metadata!",ADDRESS(INDEX($Y$2:$Y$1001,MATCH(ROWS($W$2:W667),$W$2:$W$1001,0),0),1)),INDEX($AB$2:$AB$1001,MATCH(ROWS($W$2:W667),$W$2:$W$1001,0),0)))</f>
        <v xml:space="preserve"> </v>
      </c>
      <c r="B667" s="4" t="str">
        <f ca="1">IF(OR(INDEX($X$2:$X$1001,MATCH(ROWS($W$2:W667),$W$2:$W$1001,0),1)&gt;=100000,INDEX($AD$1005:$AU$1005,1,MATCH(COLUMNS($AD$1006:AD1006),$AD$1006:$AU$1006,0))&gt;=100000), " ",IF(INDEX($AD$2:$AU$1001,MATCH(ROWS($W$2:W667),$W$2:$W$1001,0),MATCH(COLUMNS($AD$1006:AD1006),$AD$1006:$AU$1006,0)), HYPERLINK("#",""), HYPERLINK(CONCATENATE("#metadata!", ADDRESS(INDEX($Y$2:$Y$1001,MATCH(ROWS($W$2:W667),$W$2:$W$1001,0),0), INDEX($AD$1004:$AU$1004,1,MATCH(COLUMNS($AD$1006:AD1006),$AD$1006:$AU$1006,0)))),"Fix")))</f>
        <v xml:space="preserve"> </v>
      </c>
      <c r="C667" s="4" t="str">
        <f ca="1">IF(OR(INDEX($X$2:$X$1001,MATCH(ROWS($W$2:W667),$W$2:$W$1001,0),1)&gt;=100000,INDEX($AD$1005:$AU$1005,1,MATCH(COLUMNS($AD$1006:AE1006),$AD$1006:$AU$1006,0))&gt;=100000), " ",IF(INDEX($AD$2:$AU$1001,MATCH(ROWS($W$2:W667),$W$2:$W$1001,0),MATCH(COLUMNS($AD$1006:AE1006),$AD$1006:$AU$1006,0)), HYPERLINK("#",""), HYPERLINK(CONCATENATE("#metadata!", ADDRESS(INDEX($Y$2:$Y$1001,MATCH(ROWS($W$2:W667),$W$2:$W$1001,0),0), INDEX($AD$1004:$AU$1004,1,MATCH(COLUMNS($AD$1006:AE1006),$AD$1006:$AU$1006,0)))),"Fix")))</f>
        <v xml:space="preserve"> </v>
      </c>
      <c r="D667" s="4" t="str">
        <f ca="1">IF(OR(INDEX($X$2:$X$1001,MATCH(ROWS($W$2:W667),$W$2:$W$1001,0),1)&gt;=100000,INDEX($AD$1005:$AU$1005,1,MATCH(COLUMNS($AD$1006:AF1006),$AD$1006:$AU$1006,0))&gt;=100000), " ",IF(INDEX($AD$2:$AU$1001,MATCH(ROWS($W$2:W667),$W$2:$W$1001,0),MATCH(COLUMNS($AD$1006:AF1006),$AD$1006:$AU$1006,0)), HYPERLINK("#",""), HYPERLINK(CONCATENATE("#metadata!", ADDRESS(INDEX($Y$2:$Y$1001,MATCH(ROWS($W$2:W667),$W$2:$W$1001,0),0), INDEX($AD$1004:$AU$1004,1,MATCH(COLUMNS($AD$1006:AF1006),$AD$1006:$AU$1006,0)))),"Fix")))</f>
        <v xml:space="preserve"> </v>
      </c>
      <c r="E667" s="4" t="str">
        <f ca="1">IF(OR(INDEX($X$2:$X$1001,MATCH(ROWS($W$2:W667),$W$2:$W$1001,0),1)&gt;=100000,INDEX($AD$1005:$AU$1005,1,MATCH(COLUMNS($AD$1006:AG1006),$AD$1006:$AU$1006,0))&gt;=100000), " ",IF(INDEX($AD$2:$AU$1001,MATCH(ROWS($W$2:W667),$W$2:$W$1001,0),MATCH(COLUMNS($AD$1006:AG1006),$AD$1006:$AU$1006,0)), HYPERLINK("#",""), HYPERLINK(CONCATENATE("#metadata!", ADDRESS(INDEX($Y$2:$Y$1001,MATCH(ROWS($W$2:W667),$W$2:$W$1001,0),0), INDEX($AD$1004:$AU$1004,1,MATCH(COLUMNS($AD$1006:AG1006),$AD$1006:$AU$1006,0)))),"Fix")))</f>
        <v xml:space="preserve"> </v>
      </c>
      <c r="F667" s="4" t="str">
        <f ca="1">IF(OR(INDEX($X$2:$X$1001,MATCH(ROWS($W$2:W667),$W$2:$W$1001,0),1)&gt;=100000,INDEX($AD$1005:$AU$1005,1,MATCH(COLUMNS($AD$1006:AH1006),$AD$1006:$AU$1006,0))&gt;=100000), " ",IF(INDEX($AD$2:$AU$1001,MATCH(ROWS($W$2:W667),$W$2:$W$1001,0),MATCH(COLUMNS($AD$1006:AH1006),$AD$1006:$AU$1006,0)), HYPERLINK("#",""), HYPERLINK(CONCATENATE("#metadata!", ADDRESS(INDEX($Y$2:$Y$1001,MATCH(ROWS($W$2:W667),$W$2:$W$1001,0),0), INDEX($AD$1004:$AU$1004,1,MATCH(COLUMNS($AD$1006:AH1006),$AD$1006:$AU$1006,0)))),"Fix")))</f>
        <v xml:space="preserve"> </v>
      </c>
      <c r="G667" s="4" t="str">
        <f ca="1">IF(OR(INDEX($X$2:$X$1001,MATCH(ROWS($W$2:W667),$W$2:$W$1001,0),1)&gt;=100000,INDEX($AD$1005:$AU$1005,1,MATCH(COLUMNS($AD$1006:AI1006),$AD$1006:$AU$1006,0))&gt;=100000), " ",IF(INDEX($AD$2:$AU$1001,MATCH(ROWS($W$2:W667),$W$2:$W$1001,0),MATCH(COLUMNS($AD$1006:AI1006),$AD$1006:$AU$1006,0)), HYPERLINK("#",""), HYPERLINK(CONCATENATE("#metadata!", ADDRESS(INDEX($Y$2:$Y$1001,MATCH(ROWS($W$2:W667),$W$2:$W$1001,0),0), INDEX($AD$1004:$AU$1004,1,MATCH(COLUMNS($AD$1006:AI1006),$AD$1006:$AU$1006,0)))),"Fix")))</f>
        <v xml:space="preserve"> </v>
      </c>
      <c r="H667" s="4" t="str">
        <f ca="1">IF(OR(INDEX($X$2:$X$1001,MATCH(ROWS($W$2:W667),$W$2:$W$1001,0),1)&gt;=100000,INDEX($AD$1005:$AU$1005,1,MATCH(COLUMNS($AD$1006:AJ1006),$AD$1006:$AU$1006,0))&gt;=100000), " ",IF(INDEX($AD$2:$AU$1001,MATCH(ROWS($W$2:W667),$W$2:$W$1001,0),MATCH(COLUMNS($AD$1006:AJ1006),$AD$1006:$AU$1006,0)), HYPERLINK("#",""), HYPERLINK(CONCATENATE("#metadata!", ADDRESS(INDEX($Y$2:$Y$1001,MATCH(ROWS($W$2:W667),$W$2:$W$1001,0),0), INDEX($AD$1004:$AU$1004,1,MATCH(COLUMNS($AD$1006:AJ1006),$AD$1006:$AU$1006,0)))),"Fix")))</f>
        <v xml:space="preserve"> </v>
      </c>
      <c r="I667" s="4" t="str">
        <f ca="1">IF(OR(INDEX($X$2:$X$1001,MATCH(ROWS($W$2:W667),$W$2:$W$1001,0),1)&gt;=100000,INDEX($AD$1005:$AU$1005,1,MATCH(COLUMNS($AD$1006:AK1006),$AD$1006:$AU$1006,0))&gt;=100000), " ",IF(INDEX($AD$2:$AU$1001,MATCH(ROWS($W$2:W667),$W$2:$W$1001,0),MATCH(COLUMNS($AD$1006:AK1006),$AD$1006:$AU$1006,0)), HYPERLINK("#",""), HYPERLINK(CONCATENATE("#metadata!", ADDRESS(INDEX($Y$2:$Y$1001,MATCH(ROWS($W$2:W667),$W$2:$W$1001,0),0), INDEX($AD$1004:$AU$1004,1,MATCH(COLUMNS($AD$1006:AK1006),$AD$1006:$AU$1006,0)))),"Fix")))</f>
        <v xml:space="preserve"> </v>
      </c>
      <c r="J667" s="4" t="str">
        <f ca="1">IF(OR(INDEX($X$2:$X$1001,MATCH(ROWS($W$2:W667),$W$2:$W$1001,0),1)&gt;=100000,INDEX($AD$1005:$AU$1005,1,MATCH(COLUMNS($AD$1006:AL1006),$AD$1006:$AU$1006,0))&gt;=100000), " ",IF(INDEX($AD$2:$AU$1001,MATCH(ROWS($W$2:W667),$W$2:$W$1001,0),MATCH(COLUMNS($AD$1006:AL1006),$AD$1006:$AU$1006,0)), HYPERLINK("#",""), HYPERLINK(CONCATENATE("#metadata!", ADDRESS(INDEX($Y$2:$Y$1001,MATCH(ROWS($W$2:W667),$W$2:$W$1001,0),0), INDEX($AD$1004:$AU$1004,1,MATCH(COLUMNS($AD$1006:AL1006),$AD$1006:$AU$1006,0)))),"Fix")))</f>
        <v xml:space="preserve"> </v>
      </c>
      <c r="K667" s="4" t="str">
        <f ca="1">IF(OR(INDEX($X$2:$X$1001,MATCH(ROWS($W$2:W667),$W$2:$W$1001,0),1)&gt;=100000,INDEX($AD$1005:$AU$1005,1,MATCH(COLUMNS($AD$1006:AM1006),$AD$1006:$AU$1006,0))&gt;=100000), " ",IF(INDEX($AD$2:$AU$1001,MATCH(ROWS($W$2:W667),$W$2:$W$1001,0),MATCH(COLUMNS($AD$1006:AM1006),$AD$1006:$AU$1006,0)), HYPERLINK("#",""), HYPERLINK(CONCATENATE("#metadata!", ADDRESS(INDEX($Y$2:$Y$1001,MATCH(ROWS($W$2:W667),$W$2:$W$1001,0),0), INDEX($AD$1004:$AU$1004,1,MATCH(COLUMNS($AD$1006:AM1006),$AD$1006:$AU$1006,0)))),"Fix")))</f>
        <v xml:space="preserve"> </v>
      </c>
      <c r="L667" s="4" t="str">
        <f ca="1">IF(OR(INDEX($X$2:$X$1001,MATCH(ROWS($W$2:W667),$W$2:$W$1001,0),1)&gt;=100000,INDEX($AD$1005:$AU$1005,1,MATCH(COLUMNS($AD$1006:AN1006),$AD$1006:$AU$1006,0))&gt;=100000), " ",IF(INDEX($AD$2:$AU$1001,MATCH(ROWS($W$2:W667),$W$2:$W$1001,0),MATCH(COLUMNS($AD$1006:AN1006),$AD$1006:$AU$1006,0)), HYPERLINK("#",""), HYPERLINK(CONCATENATE("#metadata!", ADDRESS(INDEX($Y$2:$Y$1001,MATCH(ROWS($W$2:W667),$W$2:$W$1001,0),0), INDEX($AD$1004:$AU$1004,1,MATCH(COLUMNS($AD$1006:AN1006),$AD$1006:$AU$1006,0)))),"Fix")))</f>
        <v xml:space="preserve"> </v>
      </c>
      <c r="M667" s="4" t="str">
        <f ca="1">IF(OR(INDEX($X$2:$X$1001,MATCH(ROWS($W$2:W667),$W$2:$W$1001,0),1)&gt;=100000,INDEX($AD$1005:$AU$1005,1,MATCH(COLUMNS($AD$1006:AO1006),$AD$1006:$AU$1006,0))&gt;=100000), " ",IF(INDEX($AD$2:$AU$1001,MATCH(ROWS($W$2:W667),$W$2:$W$1001,0),MATCH(COLUMNS($AD$1006:AO1006),$AD$1006:$AU$1006,0)), HYPERLINK("#",""), HYPERLINK(CONCATENATE("#metadata!", ADDRESS(INDEX($Y$2:$Y$1001,MATCH(ROWS($W$2:W667),$W$2:$W$1001,0),0), INDEX($AD$1004:$AU$1004,1,MATCH(COLUMNS($AD$1006:AO1006),$AD$1006:$AU$1006,0)))),"Fix")))</f>
        <v xml:space="preserve"> </v>
      </c>
      <c r="N667" s="4" t="str">
        <f ca="1">IF(OR(INDEX($X$2:$X$1001,MATCH(ROWS($W$2:W667),$W$2:$W$1001,0),1)&gt;=100000,INDEX($AD$1005:$AU$1005,1,MATCH(COLUMNS($AD$1006:AP1006),$AD$1006:$AU$1006,0))&gt;=100000), " ",IF(INDEX($AD$2:$AU$1001,MATCH(ROWS($W$2:W667),$W$2:$W$1001,0),MATCH(COLUMNS($AD$1006:AP1006),$AD$1006:$AU$1006,0)), HYPERLINK("#",""), HYPERLINK(CONCATENATE("#metadata!", ADDRESS(INDEX($Y$2:$Y$1001,MATCH(ROWS($W$2:W667),$W$2:$W$1001,0),0), INDEX($AD$1004:$AU$1004,1,MATCH(COLUMNS($AD$1006:AP1006),$AD$1006:$AU$1006,0)))),"Fix")))</f>
        <v xml:space="preserve"> </v>
      </c>
      <c r="O667" s="4" t="str">
        <f ca="1">IF(OR(INDEX($X$2:$X$1001,MATCH(ROWS($W$2:W667),$W$2:$W$1001,0),1)&gt;=100000,INDEX($AD$1005:$AU$1005,1,MATCH(COLUMNS($AD$1006:AQ1006),$AD$1006:$AU$1006,0))&gt;=100000), " ",IF(INDEX($AD$2:$AU$1001,MATCH(ROWS($W$2:W667),$W$2:$W$1001,0),MATCH(COLUMNS($AD$1006:AQ1006),$AD$1006:$AU$1006,0)), HYPERLINK("#",""), HYPERLINK(CONCATENATE("#metadata!", ADDRESS(INDEX($Y$2:$Y$1001,MATCH(ROWS($W$2:W667),$W$2:$W$1001,0),0), INDEX($AD$1004:$AU$1004,1,MATCH(COLUMNS($AD$1006:AQ1006),$AD$1006:$AU$1006,0)))),"Fix")))</f>
        <v xml:space="preserve"> </v>
      </c>
      <c r="P667" s="4" t="str">
        <f ca="1">IF(OR(INDEX($X$2:$X$1001,MATCH(ROWS($W$2:W667),$W$2:$W$1001,0),1)&gt;=100000,INDEX($AD$1005:$AU$1005,1,MATCH(COLUMNS($AD$1006:AR1006),$AD$1006:$AU$1006,0))&gt;=100000), " ",IF(INDEX($AD$2:$AU$1001,MATCH(ROWS($W$2:W667),$W$2:$W$1001,0),MATCH(COLUMNS($AD$1006:AR1006),$AD$1006:$AU$1006,0)), HYPERLINK("#",""), HYPERLINK(CONCATENATE("#metadata!", ADDRESS(INDEX($Y$2:$Y$1001,MATCH(ROWS($W$2:W667),$W$2:$W$1001,0),0), INDEX($AD$1004:$AU$1004,1,MATCH(COLUMNS($AD$1006:AR1006),$AD$1006:$AU$1006,0)))),"Fix")))</f>
        <v xml:space="preserve"> </v>
      </c>
      <c r="Q667" s="4" t="str">
        <f ca="1">IF(OR(INDEX($X$2:$X$1001,MATCH(ROWS($W$2:W667),$W$2:$W$1001,0),1)&gt;=100000,INDEX($AD$1005:$AU$1005,1,MATCH(COLUMNS($AD$1006:AS1006),$AD$1006:$AU$1006,0))&gt;=100000), " ",IF(INDEX($AD$2:$AU$1001,MATCH(ROWS($W$2:W667),$W$2:$W$1001,0),MATCH(COLUMNS($AD$1006:AS1006),$AD$1006:$AU$1006,0)), HYPERLINK("#",""), HYPERLINK(CONCATENATE("#metadata!", ADDRESS(INDEX($Y$2:$Y$1001,MATCH(ROWS($W$2:W667),$W$2:$W$1001,0),0), INDEX($AD$1004:$AU$1004,1,MATCH(COLUMNS($AD$1006:AS1006),$AD$1006:$AU$1006,0)))),"Fix")))</f>
        <v xml:space="preserve"> </v>
      </c>
      <c r="R667" s="4" t="str">
        <f ca="1">IF(OR(INDEX($X$2:$X$1001,MATCH(ROWS($W$2:W667),$W$2:$W$1001,0),1)&gt;=100000,INDEX($AD$1005:$AU$1005,1,MATCH(COLUMNS($AD$1006:AT1006),$AD$1006:$AU$1006,0))&gt;=100000), " ",IF(INDEX($AD$2:$AU$1001,MATCH(ROWS($W$2:W667),$W$2:$W$1001,0),MATCH(COLUMNS($AD$1006:AT1006),$AD$1006:$AU$1006,0)), HYPERLINK("#",""), HYPERLINK(CONCATENATE("#metadata!", ADDRESS(INDEX($Y$2:$Y$1001,MATCH(ROWS($W$2:W667),$W$2:$W$1001,0),0), INDEX($AD$1004:$AU$1004,1,MATCH(COLUMNS($AD$1006:AT1006),$AD$1006:$AU$1006,0)))),"Fix")))</f>
        <v xml:space="preserve"> </v>
      </c>
      <c r="S667" s="4" t="str">
        <f ca="1">IF(OR(INDEX($X$2:$X$1001,MATCH(ROWS($W$2:W667),$W$2:$W$1001,0),1)&gt;=100000,INDEX($AD$1005:$AU$1005,1,MATCH(COLUMNS($AD$1006:AU1006),$AD$1006:$AU$1006,0))&gt;=100000), " ",IF(INDEX($AD$2:$AU$1001,MATCH(ROWS($W$2:W667),$W$2:$W$1001,0),MATCH(COLUMNS($AD$1006:AU1006),$AD$1006:$AU$1006,0)), HYPERLINK("#",""), HYPERLINK(CONCATENATE("#metadata!", ADDRESS(INDEX($Y$2:$Y$1001,MATCH(ROWS($W$2:W667),$W$2:$W$1001,0),0), INDEX($AD$1004:$AU$1004,1,MATCH(COLUMNS($AD$1006:AU1006),$AD$1006:$AU$1006,0)))),"Fix")))</f>
        <v xml:space="preserve"> </v>
      </c>
      <c r="W667">
        <v>666</v>
      </c>
      <c r="X667">
        <v>100667</v>
      </c>
      <c r="Y667">
        <v>667</v>
      </c>
      <c r="Z667" t="b">
        <f t="shared" si="10"/>
        <v>1</v>
      </c>
      <c r="AA667" t="b">
        <f>COUNTBLANK(metadata!B667:S667)=COLUMNS(metadata!B667:S667)</f>
        <v>1</v>
      </c>
      <c r="AB667" t="str">
        <v/>
      </c>
      <c r="AD667" t="b">
        <f ca="1">AND(IF(metadata!B667="",FALSE,TRUE),COUNTIF(metadata!B:B, metadata!B667) = 1,NOT(ISERROR(SUMPRODUCT(SEARCH(MID(metadata!B667,ROW(INDIRECT("1:"&amp;LEN(metadata!B667))), 1),"0123456789abcdefghijklmnopqrstuvwxyzABCDEFGHIJKLMNOPQRSTUVWXYZ.")))))</f>
        <v>0</v>
      </c>
      <c r="AE667" t="b">
        <f>OR(AND(IF(metadata!C667="",FALSE,TRUE),OR(EXACT(metadata!C667,"not applicable"),EXACT(metadata!C667,"missing: not collected"),EXACT(metadata!C667,"missing: not provided"),EXACT(metadata!C667,"missing: restricted access"))),AND(IF(metadata!C667="",FALSE,ISNUMBER(VALUE(metadata!C667))),metadata!C667&gt;0))</f>
        <v>0</v>
      </c>
      <c r="AF667" t="b">
        <f>AND(IF(metadata!D667="",FALSE,TRUE),EXACT(metadata!D667,"missing: not provided"))</f>
        <v>0</v>
      </c>
      <c r="AG667" t="b">
        <f>AND(IF(metadata!E667="",FALSE,TRUE),EXACT(metadata!E667,"Host-associated"))</f>
        <v>0</v>
      </c>
      <c r="AH667" t="b">
        <f>AND(IF(metadata!F667="",FALSE,TRUE),OR(EXACT(metadata!F667,"Animal"),EXACT(metadata!F667,"Fungus"),EXACT(metadata!F667,"Plant")))</f>
        <v>0</v>
      </c>
      <c r="AI667" t="b">
        <f>AND(IF(metadata!G667="",FALSE,TRUE),OR(EXACT(metadata!G667,"Plant secretion"),EXACT(metadata!G667,"Plant rhizosphere"),EXACT(metadata!G667,"Plant surface"),EXACT(metadata!G667,"Plant corpus"),EXACT(metadata!G667,"Fungus surface"),EXACT(metadata!G667,"Fungus corpus"),EXACT(metadata!G667,"Animal surface"),EXACT(metadata!G667,"Animal proximal gut"),EXACT(metadata!G667,"Animal corpus"),EXACT(metadata!G667,"Animal distal gut"),EXACT(metadata!G667,"Animal secretion")))</f>
        <v>0</v>
      </c>
      <c r="AJ667" t="b">
        <f>OR(AND(IF(metadata!H667="",FALSE,TRUE),OR(EXACT(metadata!H667,"missing: not collected"),EXACT(metadata!H667,"missing: not provided"),EXACT(metadata!H667,"missing: restricted access"))),AND(IF(metadata!H667="",FALSE,TRUE),OR(EXACT(metadata!H667,"organism-associated habitat"),EXACT(metadata!H667,"plant-associated habitat"),EXACT(metadata!H667,"animal-associated habitat"),EXACT(metadata!H667,"insecta-associated habitat"),EXACT(metadata!H667,"mammalia-associated habitat"),EXACT(metadata!H667,"human-associated habitat"),EXACT(metadata!H667,"livestock-associated habitat"))))</f>
        <v>0</v>
      </c>
      <c r="AK667" t="b">
        <f>AND(IF(metadata!I667="",FALSE,TRUE),EXACT(metadata!I667,"host-associated"))</f>
        <v>0</v>
      </c>
      <c r="AL667" t="b">
        <f>OR(AND(IF(metadata!J667="",FALSE,TRUE),OR(EXACT(metadata!J667,"not applicable"),EXACT(metadata!J667,"missing: not collected"),EXACT(metadata!J667,"missing: not provided"),EXACT(metadata!J667,"missing: restricted access"))),AND(IF(metadata!J667="",FALSE,ISNUMBER(VALUE(metadata!J667))),metadata!J667&gt;0))</f>
        <v>0</v>
      </c>
      <c r="AM667" t="b">
        <f>AND(IF(metadata!K667="",FALSE,TRUE),EXACT(metadata!K667,"missing: not provided"))</f>
        <v>0</v>
      </c>
      <c r="AN667" t="b">
        <f>IF(metadata!L667="",FALSE,TRUE)</f>
        <v>0</v>
      </c>
      <c r="AO667" t="b">
        <f>IF(metadata!M667="",FALSE,TRUE)</f>
        <v>0</v>
      </c>
      <c r="AP667" t="b">
        <f>OR(AND(IF(metadata!N667="",FALSE,TRUE),OR(EXACT(metadata!N667,"not applicable"),EXACT(metadata!N667,"missing: not collected"),EXACT(metadata!N667,"missing: not provided"))),AND(IF(metadata!N667="",FALSE,IF(ISERROR(INT(metadata!N667)),FALSE,INT(metadata!N667)=metadata!N667)),metadata!N667&gt;0))</f>
        <v>0</v>
      </c>
      <c r="AQ667" t="b">
        <f>AND(IF(metadata!O667="",FALSE,TRUE),EXACT(metadata!O667,"Not applicable"))</f>
        <v>0</v>
      </c>
      <c r="AR667" t="b">
        <f>OR(AND(IF(metadata!P667="",FALSE,TRUE),OR(EXACT(metadata!P667,"not applicable"),EXACT(metadata!P667,"missing: not collected"),EXACT(metadata!P667,"missing: not provided"),EXACT(metadata!P667,"missing: restricted access"))),IF(metadata!P667="",FALSE,IF(ISERROR(INT(metadata!P667)),FALSE,INT(metadata!P667)=metadata!P667)))</f>
        <v>0</v>
      </c>
      <c r="AS667" t="b">
        <f>AND(IF(metadata!Q667="",FALSE,TRUE),EXACT(metadata!Q667,"Not applicable"))</f>
        <v>0</v>
      </c>
      <c r="AT667" t="b">
        <f>OR(AND(IF(metadata!R667="",FALSE,TRUE),OR(EXACT(metadata!R667,"not applicable"),EXACT(metadata!R667,"missing: not collected"),EXACT(metadata!R667,"missing: not provided"),EXACT(metadata!R667,"missing: restricted access"))),AND(IF(metadata!R667="",FALSE,ISNUMBER(VALUE(metadata!R667))),metadata!R667&gt;0))</f>
        <v>0</v>
      </c>
      <c r="AU667" t="b">
        <f>AND(IF(metadata!S667="",FALSE,TRUE),EXACT(metadata!S667,"missing: not provided"))</f>
        <v>0</v>
      </c>
    </row>
    <row r="668" spans="1:47" x14ac:dyDescent="0.2">
      <c r="A668" s="5" t="str">
        <f ca="1">IF(B668=" "," ",HYPERLINK(CONCATENATE("#metadata!",ADDRESS(INDEX($Y$2:$Y$1001,MATCH(ROWS($W$2:W668),$W$2:$W$1001,0),0),1)),INDEX($AB$2:$AB$1001,MATCH(ROWS($W$2:W668),$W$2:$W$1001,0),0)))</f>
        <v xml:space="preserve"> </v>
      </c>
      <c r="B668" s="4" t="str">
        <f ca="1">IF(OR(INDEX($X$2:$X$1001,MATCH(ROWS($W$2:W668),$W$2:$W$1001,0),1)&gt;=100000,INDEX($AD$1005:$AU$1005,1,MATCH(COLUMNS($AD$1006:AD1006),$AD$1006:$AU$1006,0))&gt;=100000), " ",IF(INDEX($AD$2:$AU$1001,MATCH(ROWS($W$2:W668),$W$2:$W$1001,0),MATCH(COLUMNS($AD$1006:AD1006),$AD$1006:$AU$1006,0)), HYPERLINK("#",""), HYPERLINK(CONCATENATE("#metadata!", ADDRESS(INDEX($Y$2:$Y$1001,MATCH(ROWS($W$2:W668),$W$2:$W$1001,0),0), INDEX($AD$1004:$AU$1004,1,MATCH(COLUMNS($AD$1006:AD1006),$AD$1006:$AU$1006,0)))),"Fix")))</f>
        <v xml:space="preserve"> </v>
      </c>
      <c r="C668" s="4" t="str">
        <f ca="1">IF(OR(INDEX($X$2:$X$1001,MATCH(ROWS($W$2:W668),$W$2:$W$1001,0),1)&gt;=100000,INDEX($AD$1005:$AU$1005,1,MATCH(COLUMNS($AD$1006:AE1006),$AD$1006:$AU$1006,0))&gt;=100000), " ",IF(INDEX($AD$2:$AU$1001,MATCH(ROWS($W$2:W668),$W$2:$W$1001,0),MATCH(COLUMNS($AD$1006:AE1006),$AD$1006:$AU$1006,0)), HYPERLINK("#",""), HYPERLINK(CONCATENATE("#metadata!", ADDRESS(INDEX($Y$2:$Y$1001,MATCH(ROWS($W$2:W668),$W$2:$W$1001,0),0), INDEX($AD$1004:$AU$1004,1,MATCH(COLUMNS($AD$1006:AE1006),$AD$1006:$AU$1006,0)))),"Fix")))</f>
        <v xml:space="preserve"> </v>
      </c>
      <c r="D668" s="4" t="str">
        <f ca="1">IF(OR(INDEX($X$2:$X$1001,MATCH(ROWS($W$2:W668),$W$2:$W$1001,0),1)&gt;=100000,INDEX($AD$1005:$AU$1005,1,MATCH(COLUMNS($AD$1006:AF1006),$AD$1006:$AU$1006,0))&gt;=100000), " ",IF(INDEX($AD$2:$AU$1001,MATCH(ROWS($W$2:W668),$W$2:$W$1001,0),MATCH(COLUMNS($AD$1006:AF1006),$AD$1006:$AU$1006,0)), HYPERLINK("#",""), HYPERLINK(CONCATENATE("#metadata!", ADDRESS(INDEX($Y$2:$Y$1001,MATCH(ROWS($W$2:W668),$W$2:$W$1001,0),0), INDEX($AD$1004:$AU$1004,1,MATCH(COLUMNS($AD$1006:AF1006),$AD$1006:$AU$1006,0)))),"Fix")))</f>
        <v xml:space="preserve"> </v>
      </c>
      <c r="E668" s="4" t="str">
        <f ca="1">IF(OR(INDEX($X$2:$X$1001,MATCH(ROWS($W$2:W668),$W$2:$W$1001,0),1)&gt;=100000,INDEX($AD$1005:$AU$1005,1,MATCH(COLUMNS($AD$1006:AG1006),$AD$1006:$AU$1006,0))&gt;=100000), " ",IF(INDEX($AD$2:$AU$1001,MATCH(ROWS($W$2:W668),$W$2:$W$1001,0),MATCH(COLUMNS($AD$1006:AG1006),$AD$1006:$AU$1006,0)), HYPERLINK("#",""), HYPERLINK(CONCATENATE("#metadata!", ADDRESS(INDEX($Y$2:$Y$1001,MATCH(ROWS($W$2:W668),$W$2:$W$1001,0),0), INDEX($AD$1004:$AU$1004,1,MATCH(COLUMNS($AD$1006:AG1006),$AD$1006:$AU$1006,0)))),"Fix")))</f>
        <v xml:space="preserve"> </v>
      </c>
      <c r="F668" s="4" t="str">
        <f ca="1">IF(OR(INDEX($X$2:$X$1001,MATCH(ROWS($W$2:W668),$W$2:$W$1001,0),1)&gt;=100000,INDEX($AD$1005:$AU$1005,1,MATCH(COLUMNS($AD$1006:AH1006),$AD$1006:$AU$1006,0))&gt;=100000), " ",IF(INDEX($AD$2:$AU$1001,MATCH(ROWS($W$2:W668),$W$2:$W$1001,0),MATCH(COLUMNS($AD$1006:AH1006),$AD$1006:$AU$1006,0)), HYPERLINK("#",""), HYPERLINK(CONCATENATE("#metadata!", ADDRESS(INDEX($Y$2:$Y$1001,MATCH(ROWS($W$2:W668),$W$2:$W$1001,0),0), INDEX($AD$1004:$AU$1004,1,MATCH(COLUMNS($AD$1006:AH1006),$AD$1006:$AU$1006,0)))),"Fix")))</f>
        <v xml:space="preserve"> </v>
      </c>
      <c r="G668" s="4" t="str">
        <f ca="1">IF(OR(INDEX($X$2:$X$1001,MATCH(ROWS($W$2:W668),$W$2:$W$1001,0),1)&gt;=100000,INDEX($AD$1005:$AU$1005,1,MATCH(COLUMNS($AD$1006:AI1006),$AD$1006:$AU$1006,0))&gt;=100000), " ",IF(INDEX($AD$2:$AU$1001,MATCH(ROWS($W$2:W668),$W$2:$W$1001,0),MATCH(COLUMNS($AD$1006:AI1006),$AD$1006:$AU$1006,0)), HYPERLINK("#",""), HYPERLINK(CONCATENATE("#metadata!", ADDRESS(INDEX($Y$2:$Y$1001,MATCH(ROWS($W$2:W668),$W$2:$W$1001,0),0), INDEX($AD$1004:$AU$1004,1,MATCH(COLUMNS($AD$1006:AI1006),$AD$1006:$AU$1006,0)))),"Fix")))</f>
        <v xml:space="preserve"> </v>
      </c>
      <c r="H668" s="4" t="str">
        <f ca="1">IF(OR(INDEX($X$2:$X$1001,MATCH(ROWS($W$2:W668),$W$2:$W$1001,0),1)&gt;=100000,INDEX($AD$1005:$AU$1005,1,MATCH(COLUMNS($AD$1006:AJ1006),$AD$1006:$AU$1006,0))&gt;=100000), " ",IF(INDEX($AD$2:$AU$1001,MATCH(ROWS($W$2:W668),$W$2:$W$1001,0),MATCH(COLUMNS($AD$1006:AJ1006),$AD$1006:$AU$1006,0)), HYPERLINK("#",""), HYPERLINK(CONCATENATE("#metadata!", ADDRESS(INDEX($Y$2:$Y$1001,MATCH(ROWS($W$2:W668),$W$2:$W$1001,0),0), INDEX($AD$1004:$AU$1004,1,MATCH(COLUMNS($AD$1006:AJ1006),$AD$1006:$AU$1006,0)))),"Fix")))</f>
        <v xml:space="preserve"> </v>
      </c>
      <c r="I668" s="4" t="str">
        <f ca="1">IF(OR(INDEX($X$2:$X$1001,MATCH(ROWS($W$2:W668),$W$2:$W$1001,0),1)&gt;=100000,INDEX($AD$1005:$AU$1005,1,MATCH(COLUMNS($AD$1006:AK1006),$AD$1006:$AU$1006,0))&gt;=100000), " ",IF(INDEX($AD$2:$AU$1001,MATCH(ROWS($W$2:W668),$W$2:$W$1001,0),MATCH(COLUMNS($AD$1006:AK1006),$AD$1006:$AU$1006,0)), HYPERLINK("#",""), HYPERLINK(CONCATENATE("#metadata!", ADDRESS(INDEX($Y$2:$Y$1001,MATCH(ROWS($W$2:W668),$W$2:$W$1001,0),0), INDEX($AD$1004:$AU$1004,1,MATCH(COLUMNS($AD$1006:AK1006),$AD$1006:$AU$1006,0)))),"Fix")))</f>
        <v xml:space="preserve"> </v>
      </c>
      <c r="J668" s="4" t="str">
        <f ca="1">IF(OR(INDEX($X$2:$X$1001,MATCH(ROWS($W$2:W668),$W$2:$W$1001,0),1)&gt;=100000,INDEX($AD$1005:$AU$1005,1,MATCH(COLUMNS($AD$1006:AL1006),$AD$1006:$AU$1006,0))&gt;=100000), " ",IF(INDEX($AD$2:$AU$1001,MATCH(ROWS($W$2:W668),$W$2:$W$1001,0),MATCH(COLUMNS($AD$1006:AL1006),$AD$1006:$AU$1006,0)), HYPERLINK("#",""), HYPERLINK(CONCATENATE("#metadata!", ADDRESS(INDEX($Y$2:$Y$1001,MATCH(ROWS($W$2:W668),$W$2:$W$1001,0),0), INDEX($AD$1004:$AU$1004,1,MATCH(COLUMNS($AD$1006:AL1006),$AD$1006:$AU$1006,0)))),"Fix")))</f>
        <v xml:space="preserve"> </v>
      </c>
      <c r="K668" s="4" t="str">
        <f ca="1">IF(OR(INDEX($X$2:$X$1001,MATCH(ROWS($W$2:W668),$W$2:$W$1001,0),1)&gt;=100000,INDEX($AD$1005:$AU$1005,1,MATCH(COLUMNS($AD$1006:AM1006),$AD$1006:$AU$1006,0))&gt;=100000), " ",IF(INDEX($AD$2:$AU$1001,MATCH(ROWS($W$2:W668),$W$2:$W$1001,0),MATCH(COLUMNS($AD$1006:AM1006),$AD$1006:$AU$1006,0)), HYPERLINK("#",""), HYPERLINK(CONCATENATE("#metadata!", ADDRESS(INDEX($Y$2:$Y$1001,MATCH(ROWS($W$2:W668),$W$2:$W$1001,0),0), INDEX($AD$1004:$AU$1004,1,MATCH(COLUMNS($AD$1006:AM1006),$AD$1006:$AU$1006,0)))),"Fix")))</f>
        <v xml:space="preserve"> </v>
      </c>
      <c r="L668" s="4" t="str">
        <f ca="1">IF(OR(INDEX($X$2:$X$1001,MATCH(ROWS($W$2:W668),$W$2:$W$1001,0),1)&gt;=100000,INDEX($AD$1005:$AU$1005,1,MATCH(COLUMNS($AD$1006:AN1006),$AD$1006:$AU$1006,0))&gt;=100000), " ",IF(INDEX($AD$2:$AU$1001,MATCH(ROWS($W$2:W668),$W$2:$W$1001,0),MATCH(COLUMNS($AD$1006:AN1006),$AD$1006:$AU$1006,0)), HYPERLINK("#",""), HYPERLINK(CONCATENATE("#metadata!", ADDRESS(INDEX($Y$2:$Y$1001,MATCH(ROWS($W$2:W668),$W$2:$W$1001,0),0), INDEX($AD$1004:$AU$1004,1,MATCH(COLUMNS($AD$1006:AN1006),$AD$1006:$AU$1006,0)))),"Fix")))</f>
        <v xml:space="preserve"> </v>
      </c>
      <c r="M668" s="4" t="str">
        <f ca="1">IF(OR(INDEX($X$2:$X$1001,MATCH(ROWS($W$2:W668),$W$2:$W$1001,0),1)&gt;=100000,INDEX($AD$1005:$AU$1005,1,MATCH(COLUMNS($AD$1006:AO1006),$AD$1006:$AU$1006,0))&gt;=100000), " ",IF(INDEX($AD$2:$AU$1001,MATCH(ROWS($W$2:W668),$W$2:$W$1001,0),MATCH(COLUMNS($AD$1006:AO1006),$AD$1006:$AU$1006,0)), HYPERLINK("#",""), HYPERLINK(CONCATENATE("#metadata!", ADDRESS(INDEX($Y$2:$Y$1001,MATCH(ROWS($W$2:W668),$W$2:$W$1001,0),0), INDEX($AD$1004:$AU$1004,1,MATCH(COLUMNS($AD$1006:AO1006),$AD$1006:$AU$1006,0)))),"Fix")))</f>
        <v xml:space="preserve"> </v>
      </c>
      <c r="N668" s="4" t="str">
        <f ca="1">IF(OR(INDEX($X$2:$X$1001,MATCH(ROWS($W$2:W668),$W$2:$W$1001,0),1)&gt;=100000,INDEX($AD$1005:$AU$1005,1,MATCH(COLUMNS($AD$1006:AP1006),$AD$1006:$AU$1006,0))&gt;=100000), " ",IF(INDEX($AD$2:$AU$1001,MATCH(ROWS($W$2:W668),$W$2:$W$1001,0),MATCH(COLUMNS($AD$1006:AP1006),$AD$1006:$AU$1006,0)), HYPERLINK("#",""), HYPERLINK(CONCATENATE("#metadata!", ADDRESS(INDEX($Y$2:$Y$1001,MATCH(ROWS($W$2:W668),$W$2:$W$1001,0),0), INDEX($AD$1004:$AU$1004,1,MATCH(COLUMNS($AD$1006:AP1006),$AD$1006:$AU$1006,0)))),"Fix")))</f>
        <v xml:space="preserve"> </v>
      </c>
      <c r="O668" s="4" t="str">
        <f ca="1">IF(OR(INDEX($X$2:$X$1001,MATCH(ROWS($W$2:W668),$W$2:$W$1001,0),1)&gt;=100000,INDEX($AD$1005:$AU$1005,1,MATCH(COLUMNS($AD$1006:AQ1006),$AD$1006:$AU$1006,0))&gt;=100000), " ",IF(INDEX($AD$2:$AU$1001,MATCH(ROWS($W$2:W668),$W$2:$W$1001,0),MATCH(COLUMNS($AD$1006:AQ1006),$AD$1006:$AU$1006,0)), HYPERLINK("#",""), HYPERLINK(CONCATENATE("#metadata!", ADDRESS(INDEX($Y$2:$Y$1001,MATCH(ROWS($W$2:W668),$W$2:$W$1001,0),0), INDEX($AD$1004:$AU$1004,1,MATCH(COLUMNS($AD$1006:AQ1006),$AD$1006:$AU$1006,0)))),"Fix")))</f>
        <v xml:space="preserve"> </v>
      </c>
      <c r="P668" s="4" t="str">
        <f ca="1">IF(OR(INDEX($X$2:$X$1001,MATCH(ROWS($W$2:W668),$W$2:$W$1001,0),1)&gt;=100000,INDEX($AD$1005:$AU$1005,1,MATCH(COLUMNS($AD$1006:AR1006),$AD$1006:$AU$1006,0))&gt;=100000), " ",IF(INDEX($AD$2:$AU$1001,MATCH(ROWS($W$2:W668),$W$2:$W$1001,0),MATCH(COLUMNS($AD$1006:AR1006),$AD$1006:$AU$1006,0)), HYPERLINK("#",""), HYPERLINK(CONCATENATE("#metadata!", ADDRESS(INDEX($Y$2:$Y$1001,MATCH(ROWS($W$2:W668),$W$2:$W$1001,0),0), INDEX($AD$1004:$AU$1004,1,MATCH(COLUMNS($AD$1006:AR1006),$AD$1006:$AU$1006,0)))),"Fix")))</f>
        <v xml:space="preserve"> </v>
      </c>
      <c r="Q668" s="4" t="str">
        <f ca="1">IF(OR(INDEX($X$2:$X$1001,MATCH(ROWS($W$2:W668),$W$2:$W$1001,0),1)&gt;=100000,INDEX($AD$1005:$AU$1005,1,MATCH(COLUMNS($AD$1006:AS1006),$AD$1006:$AU$1006,0))&gt;=100000), " ",IF(INDEX($AD$2:$AU$1001,MATCH(ROWS($W$2:W668),$W$2:$W$1001,0),MATCH(COLUMNS($AD$1006:AS1006),$AD$1006:$AU$1006,0)), HYPERLINK("#",""), HYPERLINK(CONCATENATE("#metadata!", ADDRESS(INDEX($Y$2:$Y$1001,MATCH(ROWS($W$2:W668),$W$2:$W$1001,0),0), INDEX($AD$1004:$AU$1004,1,MATCH(COLUMNS($AD$1006:AS1006),$AD$1006:$AU$1006,0)))),"Fix")))</f>
        <v xml:space="preserve"> </v>
      </c>
      <c r="R668" s="4" t="str">
        <f ca="1">IF(OR(INDEX($X$2:$X$1001,MATCH(ROWS($W$2:W668),$W$2:$W$1001,0),1)&gt;=100000,INDEX($AD$1005:$AU$1005,1,MATCH(COLUMNS($AD$1006:AT1006),$AD$1006:$AU$1006,0))&gt;=100000), " ",IF(INDEX($AD$2:$AU$1001,MATCH(ROWS($W$2:W668),$W$2:$W$1001,0),MATCH(COLUMNS($AD$1006:AT1006),$AD$1006:$AU$1006,0)), HYPERLINK("#",""), HYPERLINK(CONCATENATE("#metadata!", ADDRESS(INDEX($Y$2:$Y$1001,MATCH(ROWS($W$2:W668),$W$2:$W$1001,0),0), INDEX($AD$1004:$AU$1004,1,MATCH(COLUMNS($AD$1006:AT1006),$AD$1006:$AU$1006,0)))),"Fix")))</f>
        <v xml:space="preserve"> </v>
      </c>
      <c r="S668" s="4" t="str">
        <f ca="1">IF(OR(INDEX($X$2:$X$1001,MATCH(ROWS($W$2:W668),$W$2:$W$1001,0),1)&gt;=100000,INDEX($AD$1005:$AU$1005,1,MATCH(COLUMNS($AD$1006:AU1006),$AD$1006:$AU$1006,0))&gt;=100000), " ",IF(INDEX($AD$2:$AU$1001,MATCH(ROWS($W$2:W668),$W$2:$W$1001,0),MATCH(COLUMNS($AD$1006:AU1006),$AD$1006:$AU$1006,0)), HYPERLINK("#",""), HYPERLINK(CONCATENATE("#metadata!", ADDRESS(INDEX($Y$2:$Y$1001,MATCH(ROWS($W$2:W668),$W$2:$W$1001,0),0), INDEX($AD$1004:$AU$1004,1,MATCH(COLUMNS($AD$1006:AU1006),$AD$1006:$AU$1006,0)))),"Fix")))</f>
        <v xml:space="preserve"> </v>
      </c>
      <c r="W668">
        <v>667</v>
      </c>
      <c r="X668">
        <v>100668</v>
      </c>
      <c r="Y668">
        <v>668</v>
      </c>
      <c r="Z668" t="b">
        <f t="shared" si="10"/>
        <v>1</v>
      </c>
      <c r="AA668" t="b">
        <f>COUNTBLANK(metadata!B668:S668)=COLUMNS(metadata!B668:S668)</f>
        <v>1</v>
      </c>
      <c r="AB668" t="str">
        <v/>
      </c>
      <c r="AD668" t="b">
        <f ca="1">AND(IF(metadata!B668="",FALSE,TRUE),COUNTIF(metadata!B:B, metadata!B668) = 1,NOT(ISERROR(SUMPRODUCT(SEARCH(MID(metadata!B668,ROW(INDIRECT("1:"&amp;LEN(metadata!B668))), 1),"0123456789abcdefghijklmnopqrstuvwxyzABCDEFGHIJKLMNOPQRSTUVWXYZ.")))))</f>
        <v>0</v>
      </c>
      <c r="AE668" t="b">
        <f>OR(AND(IF(metadata!C668="",FALSE,TRUE),OR(EXACT(metadata!C668,"not applicable"),EXACT(metadata!C668,"missing: not collected"),EXACT(metadata!C668,"missing: not provided"),EXACT(metadata!C668,"missing: restricted access"))),AND(IF(metadata!C668="",FALSE,ISNUMBER(VALUE(metadata!C668))),metadata!C668&gt;0))</f>
        <v>0</v>
      </c>
      <c r="AF668" t="b">
        <f>AND(IF(metadata!D668="",FALSE,TRUE),EXACT(metadata!D668,"missing: not provided"))</f>
        <v>0</v>
      </c>
      <c r="AG668" t="b">
        <f>AND(IF(metadata!E668="",FALSE,TRUE),EXACT(metadata!E668,"Host-associated"))</f>
        <v>0</v>
      </c>
      <c r="AH668" t="b">
        <f>AND(IF(metadata!F668="",FALSE,TRUE),OR(EXACT(metadata!F668,"Animal"),EXACT(metadata!F668,"Fungus"),EXACT(metadata!F668,"Plant")))</f>
        <v>0</v>
      </c>
      <c r="AI668" t="b">
        <f>AND(IF(metadata!G668="",FALSE,TRUE),OR(EXACT(metadata!G668,"Plant secretion"),EXACT(metadata!G668,"Plant rhizosphere"),EXACT(metadata!G668,"Plant surface"),EXACT(metadata!G668,"Plant corpus"),EXACT(metadata!G668,"Fungus surface"),EXACT(metadata!G668,"Fungus corpus"),EXACT(metadata!G668,"Animal surface"),EXACT(metadata!G668,"Animal proximal gut"),EXACT(metadata!G668,"Animal corpus"),EXACT(metadata!G668,"Animal distal gut"),EXACT(metadata!G668,"Animal secretion")))</f>
        <v>0</v>
      </c>
      <c r="AJ668" t="b">
        <f>OR(AND(IF(metadata!H668="",FALSE,TRUE),OR(EXACT(metadata!H668,"missing: not collected"),EXACT(metadata!H668,"missing: not provided"),EXACT(metadata!H668,"missing: restricted access"))),AND(IF(metadata!H668="",FALSE,TRUE),OR(EXACT(metadata!H668,"organism-associated habitat"),EXACT(metadata!H668,"plant-associated habitat"),EXACT(metadata!H668,"animal-associated habitat"),EXACT(metadata!H668,"insecta-associated habitat"),EXACT(metadata!H668,"mammalia-associated habitat"),EXACT(metadata!H668,"human-associated habitat"),EXACT(metadata!H668,"livestock-associated habitat"))))</f>
        <v>0</v>
      </c>
      <c r="AK668" t="b">
        <f>AND(IF(metadata!I668="",FALSE,TRUE),EXACT(metadata!I668,"host-associated"))</f>
        <v>0</v>
      </c>
      <c r="AL668" t="b">
        <f>OR(AND(IF(metadata!J668="",FALSE,TRUE),OR(EXACT(metadata!J668,"not applicable"),EXACT(metadata!J668,"missing: not collected"),EXACT(metadata!J668,"missing: not provided"),EXACT(metadata!J668,"missing: restricted access"))),AND(IF(metadata!J668="",FALSE,ISNUMBER(VALUE(metadata!J668))),metadata!J668&gt;0))</f>
        <v>0</v>
      </c>
      <c r="AM668" t="b">
        <f>AND(IF(metadata!K668="",FALSE,TRUE),EXACT(metadata!K668,"missing: not provided"))</f>
        <v>0</v>
      </c>
      <c r="AN668" t="b">
        <f>IF(metadata!L668="",FALSE,TRUE)</f>
        <v>0</v>
      </c>
      <c r="AO668" t="b">
        <f>IF(metadata!M668="",FALSE,TRUE)</f>
        <v>0</v>
      </c>
      <c r="AP668" t="b">
        <f>OR(AND(IF(metadata!N668="",FALSE,TRUE),OR(EXACT(metadata!N668,"not applicable"),EXACT(metadata!N668,"missing: not collected"),EXACT(metadata!N668,"missing: not provided"))),AND(IF(metadata!N668="",FALSE,IF(ISERROR(INT(metadata!N668)),FALSE,INT(metadata!N668)=metadata!N668)),metadata!N668&gt;0))</f>
        <v>0</v>
      </c>
      <c r="AQ668" t="b">
        <f>AND(IF(metadata!O668="",FALSE,TRUE),EXACT(metadata!O668,"Not applicable"))</f>
        <v>0</v>
      </c>
      <c r="AR668" t="b">
        <f>OR(AND(IF(metadata!P668="",FALSE,TRUE),OR(EXACT(metadata!P668,"not applicable"),EXACT(metadata!P668,"missing: not collected"),EXACT(metadata!P668,"missing: not provided"),EXACT(metadata!P668,"missing: restricted access"))),IF(metadata!P668="",FALSE,IF(ISERROR(INT(metadata!P668)),FALSE,INT(metadata!P668)=metadata!P668)))</f>
        <v>0</v>
      </c>
      <c r="AS668" t="b">
        <f>AND(IF(metadata!Q668="",FALSE,TRUE),EXACT(metadata!Q668,"Not applicable"))</f>
        <v>0</v>
      </c>
      <c r="AT668" t="b">
        <f>OR(AND(IF(metadata!R668="",FALSE,TRUE),OR(EXACT(metadata!R668,"not applicable"),EXACT(metadata!R668,"missing: not collected"),EXACT(metadata!R668,"missing: not provided"),EXACT(metadata!R668,"missing: restricted access"))),AND(IF(metadata!R668="",FALSE,ISNUMBER(VALUE(metadata!R668))),metadata!R668&gt;0))</f>
        <v>0</v>
      </c>
      <c r="AU668" t="b">
        <f>AND(IF(metadata!S668="",FALSE,TRUE),EXACT(metadata!S668,"missing: not provided"))</f>
        <v>0</v>
      </c>
    </row>
    <row r="669" spans="1:47" x14ac:dyDescent="0.2">
      <c r="A669" s="5" t="str">
        <f ca="1">IF(B669=" "," ",HYPERLINK(CONCATENATE("#metadata!",ADDRESS(INDEX($Y$2:$Y$1001,MATCH(ROWS($W$2:W669),$W$2:$W$1001,0),0),1)),INDEX($AB$2:$AB$1001,MATCH(ROWS($W$2:W669),$W$2:$W$1001,0),0)))</f>
        <v xml:space="preserve"> </v>
      </c>
      <c r="B669" s="4" t="str">
        <f ca="1">IF(OR(INDEX($X$2:$X$1001,MATCH(ROWS($W$2:W669),$W$2:$W$1001,0),1)&gt;=100000,INDEX($AD$1005:$AU$1005,1,MATCH(COLUMNS($AD$1006:AD1006),$AD$1006:$AU$1006,0))&gt;=100000), " ",IF(INDEX($AD$2:$AU$1001,MATCH(ROWS($W$2:W669),$W$2:$W$1001,0),MATCH(COLUMNS($AD$1006:AD1006),$AD$1006:$AU$1006,0)), HYPERLINK("#",""), HYPERLINK(CONCATENATE("#metadata!", ADDRESS(INDEX($Y$2:$Y$1001,MATCH(ROWS($W$2:W669),$W$2:$W$1001,0),0), INDEX($AD$1004:$AU$1004,1,MATCH(COLUMNS($AD$1006:AD1006),$AD$1006:$AU$1006,0)))),"Fix")))</f>
        <v xml:space="preserve"> </v>
      </c>
      <c r="C669" s="4" t="str">
        <f ca="1">IF(OR(INDEX($X$2:$X$1001,MATCH(ROWS($W$2:W669),$W$2:$W$1001,0),1)&gt;=100000,INDEX($AD$1005:$AU$1005,1,MATCH(COLUMNS($AD$1006:AE1006),$AD$1006:$AU$1006,0))&gt;=100000), " ",IF(INDEX($AD$2:$AU$1001,MATCH(ROWS($W$2:W669),$W$2:$W$1001,0),MATCH(COLUMNS($AD$1006:AE1006),$AD$1006:$AU$1006,0)), HYPERLINK("#",""), HYPERLINK(CONCATENATE("#metadata!", ADDRESS(INDEX($Y$2:$Y$1001,MATCH(ROWS($W$2:W669),$W$2:$W$1001,0),0), INDEX($AD$1004:$AU$1004,1,MATCH(COLUMNS($AD$1006:AE1006),$AD$1006:$AU$1006,0)))),"Fix")))</f>
        <v xml:space="preserve"> </v>
      </c>
      <c r="D669" s="4" t="str">
        <f ca="1">IF(OR(INDEX($X$2:$X$1001,MATCH(ROWS($W$2:W669),$W$2:$W$1001,0),1)&gt;=100000,INDEX($AD$1005:$AU$1005,1,MATCH(COLUMNS($AD$1006:AF1006),$AD$1006:$AU$1006,0))&gt;=100000), " ",IF(INDEX($AD$2:$AU$1001,MATCH(ROWS($W$2:W669),$W$2:$W$1001,0),MATCH(COLUMNS($AD$1006:AF1006),$AD$1006:$AU$1006,0)), HYPERLINK("#",""), HYPERLINK(CONCATENATE("#metadata!", ADDRESS(INDEX($Y$2:$Y$1001,MATCH(ROWS($W$2:W669),$W$2:$W$1001,0),0), INDEX($AD$1004:$AU$1004,1,MATCH(COLUMNS($AD$1006:AF1006),$AD$1006:$AU$1006,0)))),"Fix")))</f>
        <v xml:space="preserve"> </v>
      </c>
      <c r="E669" s="4" t="str">
        <f ca="1">IF(OR(INDEX($X$2:$X$1001,MATCH(ROWS($W$2:W669),$W$2:$W$1001,0),1)&gt;=100000,INDEX($AD$1005:$AU$1005,1,MATCH(COLUMNS($AD$1006:AG1006),$AD$1006:$AU$1006,0))&gt;=100000), " ",IF(INDEX($AD$2:$AU$1001,MATCH(ROWS($W$2:W669),$W$2:$W$1001,0),MATCH(COLUMNS($AD$1006:AG1006),$AD$1006:$AU$1006,0)), HYPERLINK("#",""), HYPERLINK(CONCATENATE("#metadata!", ADDRESS(INDEX($Y$2:$Y$1001,MATCH(ROWS($W$2:W669),$W$2:$W$1001,0),0), INDEX($AD$1004:$AU$1004,1,MATCH(COLUMNS($AD$1006:AG1006),$AD$1006:$AU$1006,0)))),"Fix")))</f>
        <v xml:space="preserve"> </v>
      </c>
      <c r="F669" s="4" t="str">
        <f ca="1">IF(OR(INDEX($X$2:$X$1001,MATCH(ROWS($W$2:W669),$W$2:$W$1001,0),1)&gt;=100000,INDEX($AD$1005:$AU$1005,1,MATCH(COLUMNS($AD$1006:AH1006),$AD$1006:$AU$1006,0))&gt;=100000), " ",IF(INDEX($AD$2:$AU$1001,MATCH(ROWS($W$2:W669),$W$2:$W$1001,0),MATCH(COLUMNS($AD$1006:AH1006),$AD$1006:$AU$1006,0)), HYPERLINK("#",""), HYPERLINK(CONCATENATE("#metadata!", ADDRESS(INDEX($Y$2:$Y$1001,MATCH(ROWS($W$2:W669),$W$2:$W$1001,0),0), INDEX($AD$1004:$AU$1004,1,MATCH(COLUMNS($AD$1006:AH1006),$AD$1006:$AU$1006,0)))),"Fix")))</f>
        <v xml:space="preserve"> </v>
      </c>
      <c r="G669" s="4" t="str">
        <f ca="1">IF(OR(INDEX($X$2:$X$1001,MATCH(ROWS($W$2:W669),$W$2:$W$1001,0),1)&gt;=100000,INDEX($AD$1005:$AU$1005,1,MATCH(COLUMNS($AD$1006:AI1006),$AD$1006:$AU$1006,0))&gt;=100000), " ",IF(INDEX($AD$2:$AU$1001,MATCH(ROWS($W$2:W669),$W$2:$W$1001,0),MATCH(COLUMNS($AD$1006:AI1006),$AD$1006:$AU$1006,0)), HYPERLINK("#",""), HYPERLINK(CONCATENATE("#metadata!", ADDRESS(INDEX($Y$2:$Y$1001,MATCH(ROWS($W$2:W669),$W$2:$W$1001,0),0), INDEX($AD$1004:$AU$1004,1,MATCH(COLUMNS($AD$1006:AI1006),$AD$1006:$AU$1006,0)))),"Fix")))</f>
        <v xml:space="preserve"> </v>
      </c>
      <c r="H669" s="4" t="str">
        <f ca="1">IF(OR(INDEX($X$2:$X$1001,MATCH(ROWS($W$2:W669),$W$2:$W$1001,0),1)&gt;=100000,INDEX($AD$1005:$AU$1005,1,MATCH(COLUMNS($AD$1006:AJ1006),$AD$1006:$AU$1006,0))&gt;=100000), " ",IF(INDEX($AD$2:$AU$1001,MATCH(ROWS($W$2:W669),$W$2:$W$1001,0),MATCH(COLUMNS($AD$1006:AJ1006),$AD$1006:$AU$1006,0)), HYPERLINK("#",""), HYPERLINK(CONCATENATE("#metadata!", ADDRESS(INDEX($Y$2:$Y$1001,MATCH(ROWS($W$2:W669),$W$2:$W$1001,0),0), INDEX($AD$1004:$AU$1004,1,MATCH(COLUMNS($AD$1006:AJ1006),$AD$1006:$AU$1006,0)))),"Fix")))</f>
        <v xml:space="preserve"> </v>
      </c>
      <c r="I669" s="4" t="str">
        <f ca="1">IF(OR(INDEX($X$2:$X$1001,MATCH(ROWS($W$2:W669),$W$2:$W$1001,0),1)&gt;=100000,INDEX($AD$1005:$AU$1005,1,MATCH(COLUMNS($AD$1006:AK1006),$AD$1006:$AU$1006,0))&gt;=100000), " ",IF(INDEX($AD$2:$AU$1001,MATCH(ROWS($W$2:W669),$W$2:$W$1001,0),MATCH(COLUMNS($AD$1006:AK1006),$AD$1006:$AU$1006,0)), HYPERLINK("#",""), HYPERLINK(CONCATENATE("#metadata!", ADDRESS(INDEX($Y$2:$Y$1001,MATCH(ROWS($W$2:W669),$W$2:$W$1001,0),0), INDEX($AD$1004:$AU$1004,1,MATCH(COLUMNS($AD$1006:AK1006),$AD$1006:$AU$1006,0)))),"Fix")))</f>
        <v xml:space="preserve"> </v>
      </c>
      <c r="J669" s="4" t="str">
        <f ca="1">IF(OR(INDEX($X$2:$X$1001,MATCH(ROWS($W$2:W669),$W$2:$W$1001,0),1)&gt;=100000,INDEX($AD$1005:$AU$1005,1,MATCH(COLUMNS($AD$1006:AL1006),$AD$1006:$AU$1006,0))&gt;=100000), " ",IF(INDEX($AD$2:$AU$1001,MATCH(ROWS($W$2:W669),$W$2:$W$1001,0),MATCH(COLUMNS($AD$1006:AL1006),$AD$1006:$AU$1006,0)), HYPERLINK("#",""), HYPERLINK(CONCATENATE("#metadata!", ADDRESS(INDEX($Y$2:$Y$1001,MATCH(ROWS($W$2:W669),$W$2:$W$1001,0),0), INDEX($AD$1004:$AU$1004,1,MATCH(COLUMNS($AD$1006:AL1006),$AD$1006:$AU$1006,0)))),"Fix")))</f>
        <v xml:space="preserve"> </v>
      </c>
      <c r="K669" s="4" t="str">
        <f ca="1">IF(OR(INDEX($X$2:$X$1001,MATCH(ROWS($W$2:W669),$W$2:$W$1001,0),1)&gt;=100000,INDEX($AD$1005:$AU$1005,1,MATCH(COLUMNS($AD$1006:AM1006),$AD$1006:$AU$1006,0))&gt;=100000), " ",IF(INDEX($AD$2:$AU$1001,MATCH(ROWS($W$2:W669),$W$2:$W$1001,0),MATCH(COLUMNS($AD$1006:AM1006),$AD$1006:$AU$1006,0)), HYPERLINK("#",""), HYPERLINK(CONCATENATE("#metadata!", ADDRESS(INDEX($Y$2:$Y$1001,MATCH(ROWS($W$2:W669),$W$2:$W$1001,0),0), INDEX($AD$1004:$AU$1004,1,MATCH(COLUMNS($AD$1006:AM1006),$AD$1006:$AU$1006,0)))),"Fix")))</f>
        <v xml:space="preserve"> </v>
      </c>
      <c r="L669" s="4" t="str">
        <f ca="1">IF(OR(INDEX($X$2:$X$1001,MATCH(ROWS($W$2:W669),$W$2:$W$1001,0),1)&gt;=100000,INDEX($AD$1005:$AU$1005,1,MATCH(COLUMNS($AD$1006:AN1006),$AD$1006:$AU$1006,0))&gt;=100000), " ",IF(INDEX($AD$2:$AU$1001,MATCH(ROWS($W$2:W669),$W$2:$W$1001,0),MATCH(COLUMNS($AD$1006:AN1006),$AD$1006:$AU$1006,0)), HYPERLINK("#",""), HYPERLINK(CONCATENATE("#metadata!", ADDRESS(INDEX($Y$2:$Y$1001,MATCH(ROWS($W$2:W669),$W$2:$W$1001,0),0), INDEX($AD$1004:$AU$1004,1,MATCH(COLUMNS($AD$1006:AN1006),$AD$1006:$AU$1006,0)))),"Fix")))</f>
        <v xml:space="preserve"> </v>
      </c>
      <c r="M669" s="4" t="str">
        <f ca="1">IF(OR(INDEX($X$2:$X$1001,MATCH(ROWS($W$2:W669),$W$2:$W$1001,0),1)&gt;=100000,INDEX($AD$1005:$AU$1005,1,MATCH(COLUMNS($AD$1006:AO1006),$AD$1006:$AU$1006,0))&gt;=100000), " ",IF(INDEX($AD$2:$AU$1001,MATCH(ROWS($W$2:W669),$W$2:$W$1001,0),MATCH(COLUMNS($AD$1006:AO1006),$AD$1006:$AU$1006,0)), HYPERLINK("#",""), HYPERLINK(CONCATENATE("#metadata!", ADDRESS(INDEX($Y$2:$Y$1001,MATCH(ROWS($W$2:W669),$W$2:$W$1001,0),0), INDEX($AD$1004:$AU$1004,1,MATCH(COLUMNS($AD$1006:AO1006),$AD$1006:$AU$1006,0)))),"Fix")))</f>
        <v xml:space="preserve"> </v>
      </c>
      <c r="N669" s="4" t="str">
        <f ca="1">IF(OR(INDEX($X$2:$X$1001,MATCH(ROWS($W$2:W669),$W$2:$W$1001,0),1)&gt;=100000,INDEX($AD$1005:$AU$1005,1,MATCH(COLUMNS($AD$1006:AP1006),$AD$1006:$AU$1006,0))&gt;=100000), " ",IF(INDEX($AD$2:$AU$1001,MATCH(ROWS($W$2:W669),$W$2:$W$1001,0),MATCH(COLUMNS($AD$1006:AP1006),$AD$1006:$AU$1006,0)), HYPERLINK("#",""), HYPERLINK(CONCATENATE("#metadata!", ADDRESS(INDEX($Y$2:$Y$1001,MATCH(ROWS($W$2:W669),$W$2:$W$1001,0),0), INDEX($AD$1004:$AU$1004,1,MATCH(COLUMNS($AD$1006:AP1006),$AD$1006:$AU$1006,0)))),"Fix")))</f>
        <v xml:space="preserve"> </v>
      </c>
      <c r="O669" s="4" t="str">
        <f ca="1">IF(OR(INDEX($X$2:$X$1001,MATCH(ROWS($W$2:W669),$W$2:$W$1001,0),1)&gt;=100000,INDEX($AD$1005:$AU$1005,1,MATCH(COLUMNS($AD$1006:AQ1006),$AD$1006:$AU$1006,0))&gt;=100000), " ",IF(INDEX($AD$2:$AU$1001,MATCH(ROWS($W$2:W669),$W$2:$W$1001,0),MATCH(COLUMNS($AD$1006:AQ1006),$AD$1006:$AU$1006,0)), HYPERLINK("#",""), HYPERLINK(CONCATENATE("#metadata!", ADDRESS(INDEX($Y$2:$Y$1001,MATCH(ROWS($W$2:W669),$W$2:$W$1001,0),0), INDEX($AD$1004:$AU$1004,1,MATCH(COLUMNS($AD$1006:AQ1006),$AD$1006:$AU$1006,0)))),"Fix")))</f>
        <v xml:space="preserve"> </v>
      </c>
      <c r="P669" s="4" t="str">
        <f ca="1">IF(OR(INDEX($X$2:$X$1001,MATCH(ROWS($W$2:W669),$W$2:$W$1001,0),1)&gt;=100000,INDEX($AD$1005:$AU$1005,1,MATCH(COLUMNS($AD$1006:AR1006),$AD$1006:$AU$1006,0))&gt;=100000), " ",IF(INDEX($AD$2:$AU$1001,MATCH(ROWS($W$2:W669),$W$2:$W$1001,0),MATCH(COLUMNS($AD$1006:AR1006),$AD$1006:$AU$1006,0)), HYPERLINK("#",""), HYPERLINK(CONCATENATE("#metadata!", ADDRESS(INDEX($Y$2:$Y$1001,MATCH(ROWS($W$2:W669),$W$2:$W$1001,0),0), INDEX($AD$1004:$AU$1004,1,MATCH(COLUMNS($AD$1006:AR1006),$AD$1006:$AU$1006,0)))),"Fix")))</f>
        <v xml:space="preserve"> </v>
      </c>
      <c r="Q669" s="4" t="str">
        <f ca="1">IF(OR(INDEX($X$2:$X$1001,MATCH(ROWS($W$2:W669),$W$2:$W$1001,0),1)&gt;=100000,INDEX($AD$1005:$AU$1005,1,MATCH(COLUMNS($AD$1006:AS1006),$AD$1006:$AU$1006,0))&gt;=100000), " ",IF(INDEX($AD$2:$AU$1001,MATCH(ROWS($W$2:W669),$W$2:$W$1001,0),MATCH(COLUMNS($AD$1006:AS1006),$AD$1006:$AU$1006,0)), HYPERLINK("#",""), HYPERLINK(CONCATENATE("#metadata!", ADDRESS(INDEX($Y$2:$Y$1001,MATCH(ROWS($W$2:W669),$W$2:$W$1001,0),0), INDEX($AD$1004:$AU$1004,1,MATCH(COLUMNS($AD$1006:AS1006),$AD$1006:$AU$1006,0)))),"Fix")))</f>
        <v xml:space="preserve"> </v>
      </c>
      <c r="R669" s="4" t="str">
        <f ca="1">IF(OR(INDEX($X$2:$X$1001,MATCH(ROWS($W$2:W669),$W$2:$W$1001,0),1)&gt;=100000,INDEX($AD$1005:$AU$1005,1,MATCH(COLUMNS($AD$1006:AT1006),$AD$1006:$AU$1006,0))&gt;=100000), " ",IF(INDEX($AD$2:$AU$1001,MATCH(ROWS($W$2:W669),$W$2:$W$1001,0),MATCH(COLUMNS($AD$1006:AT1006),$AD$1006:$AU$1006,0)), HYPERLINK("#",""), HYPERLINK(CONCATENATE("#metadata!", ADDRESS(INDEX($Y$2:$Y$1001,MATCH(ROWS($W$2:W669),$W$2:$W$1001,0),0), INDEX($AD$1004:$AU$1004,1,MATCH(COLUMNS($AD$1006:AT1006),$AD$1006:$AU$1006,0)))),"Fix")))</f>
        <v xml:space="preserve"> </v>
      </c>
      <c r="S669" s="4" t="str">
        <f ca="1">IF(OR(INDEX($X$2:$X$1001,MATCH(ROWS($W$2:W669),$W$2:$W$1001,0),1)&gt;=100000,INDEX($AD$1005:$AU$1005,1,MATCH(COLUMNS($AD$1006:AU1006),$AD$1006:$AU$1006,0))&gt;=100000), " ",IF(INDEX($AD$2:$AU$1001,MATCH(ROWS($W$2:W669),$W$2:$W$1001,0),MATCH(COLUMNS($AD$1006:AU1006),$AD$1006:$AU$1006,0)), HYPERLINK("#",""), HYPERLINK(CONCATENATE("#metadata!", ADDRESS(INDEX($Y$2:$Y$1001,MATCH(ROWS($W$2:W669),$W$2:$W$1001,0),0), INDEX($AD$1004:$AU$1004,1,MATCH(COLUMNS($AD$1006:AU1006),$AD$1006:$AU$1006,0)))),"Fix")))</f>
        <v xml:space="preserve"> </v>
      </c>
      <c r="W669">
        <v>668</v>
      </c>
      <c r="X669">
        <v>100669</v>
      </c>
      <c r="Y669">
        <v>669</v>
      </c>
      <c r="Z669" t="b">
        <f t="shared" si="10"/>
        <v>1</v>
      </c>
      <c r="AA669" t="b">
        <f>COUNTBLANK(metadata!B669:S669)=COLUMNS(metadata!B669:S669)</f>
        <v>1</v>
      </c>
      <c r="AB669" t="str">
        <v/>
      </c>
      <c r="AD669" t="b">
        <f ca="1">AND(IF(metadata!B669="",FALSE,TRUE),COUNTIF(metadata!B:B, metadata!B669) = 1,NOT(ISERROR(SUMPRODUCT(SEARCH(MID(metadata!B669,ROW(INDIRECT("1:"&amp;LEN(metadata!B669))), 1),"0123456789abcdefghijklmnopqrstuvwxyzABCDEFGHIJKLMNOPQRSTUVWXYZ.")))))</f>
        <v>0</v>
      </c>
      <c r="AE669" t="b">
        <f>OR(AND(IF(metadata!C669="",FALSE,TRUE),OR(EXACT(metadata!C669,"not applicable"),EXACT(metadata!C669,"missing: not collected"),EXACT(metadata!C669,"missing: not provided"),EXACT(metadata!C669,"missing: restricted access"))),AND(IF(metadata!C669="",FALSE,ISNUMBER(VALUE(metadata!C669))),metadata!C669&gt;0))</f>
        <v>0</v>
      </c>
      <c r="AF669" t="b">
        <f>AND(IF(metadata!D669="",FALSE,TRUE),EXACT(metadata!D669,"missing: not provided"))</f>
        <v>0</v>
      </c>
      <c r="AG669" t="b">
        <f>AND(IF(metadata!E669="",FALSE,TRUE),EXACT(metadata!E669,"Host-associated"))</f>
        <v>0</v>
      </c>
      <c r="AH669" t="b">
        <f>AND(IF(metadata!F669="",FALSE,TRUE),OR(EXACT(metadata!F669,"Animal"),EXACT(metadata!F669,"Fungus"),EXACT(metadata!F669,"Plant")))</f>
        <v>0</v>
      </c>
      <c r="AI669" t="b">
        <f>AND(IF(metadata!G669="",FALSE,TRUE),OR(EXACT(metadata!G669,"Plant secretion"),EXACT(metadata!G669,"Plant rhizosphere"),EXACT(metadata!G669,"Plant surface"),EXACT(metadata!G669,"Plant corpus"),EXACT(metadata!G669,"Fungus surface"),EXACT(metadata!G669,"Fungus corpus"),EXACT(metadata!G669,"Animal surface"),EXACT(metadata!G669,"Animal proximal gut"),EXACT(metadata!G669,"Animal corpus"),EXACT(metadata!G669,"Animal distal gut"),EXACT(metadata!G669,"Animal secretion")))</f>
        <v>0</v>
      </c>
      <c r="AJ669" t="b">
        <f>OR(AND(IF(metadata!H669="",FALSE,TRUE),OR(EXACT(metadata!H669,"missing: not collected"),EXACT(metadata!H669,"missing: not provided"),EXACT(metadata!H669,"missing: restricted access"))),AND(IF(metadata!H669="",FALSE,TRUE),OR(EXACT(metadata!H669,"organism-associated habitat"),EXACT(metadata!H669,"plant-associated habitat"),EXACT(metadata!H669,"animal-associated habitat"),EXACT(metadata!H669,"insecta-associated habitat"),EXACT(metadata!H669,"mammalia-associated habitat"),EXACT(metadata!H669,"human-associated habitat"),EXACT(metadata!H669,"livestock-associated habitat"))))</f>
        <v>0</v>
      </c>
      <c r="AK669" t="b">
        <f>AND(IF(metadata!I669="",FALSE,TRUE),EXACT(metadata!I669,"host-associated"))</f>
        <v>0</v>
      </c>
      <c r="AL669" t="b">
        <f>OR(AND(IF(metadata!J669="",FALSE,TRUE),OR(EXACT(metadata!J669,"not applicable"),EXACT(metadata!J669,"missing: not collected"),EXACT(metadata!J669,"missing: not provided"),EXACT(metadata!J669,"missing: restricted access"))),AND(IF(metadata!J669="",FALSE,ISNUMBER(VALUE(metadata!J669))),metadata!J669&gt;0))</f>
        <v>0</v>
      </c>
      <c r="AM669" t="b">
        <f>AND(IF(metadata!K669="",FALSE,TRUE),EXACT(metadata!K669,"missing: not provided"))</f>
        <v>0</v>
      </c>
      <c r="AN669" t="b">
        <f>IF(metadata!L669="",FALSE,TRUE)</f>
        <v>0</v>
      </c>
      <c r="AO669" t="b">
        <f>IF(metadata!M669="",FALSE,TRUE)</f>
        <v>0</v>
      </c>
      <c r="AP669" t="b">
        <f>OR(AND(IF(metadata!N669="",FALSE,TRUE),OR(EXACT(metadata!N669,"not applicable"),EXACT(metadata!N669,"missing: not collected"),EXACT(metadata!N669,"missing: not provided"))),AND(IF(metadata!N669="",FALSE,IF(ISERROR(INT(metadata!N669)),FALSE,INT(metadata!N669)=metadata!N669)),metadata!N669&gt;0))</f>
        <v>0</v>
      </c>
      <c r="AQ669" t="b">
        <f>AND(IF(metadata!O669="",FALSE,TRUE),EXACT(metadata!O669,"Not applicable"))</f>
        <v>0</v>
      </c>
      <c r="AR669" t="b">
        <f>OR(AND(IF(metadata!P669="",FALSE,TRUE),OR(EXACT(metadata!P669,"not applicable"),EXACT(metadata!P669,"missing: not collected"),EXACT(metadata!P669,"missing: not provided"),EXACT(metadata!P669,"missing: restricted access"))),IF(metadata!P669="",FALSE,IF(ISERROR(INT(metadata!P669)),FALSE,INT(metadata!P669)=metadata!P669)))</f>
        <v>0</v>
      </c>
      <c r="AS669" t="b">
        <f>AND(IF(metadata!Q669="",FALSE,TRUE),EXACT(metadata!Q669,"Not applicable"))</f>
        <v>0</v>
      </c>
      <c r="AT669" t="b">
        <f>OR(AND(IF(metadata!R669="",FALSE,TRUE),OR(EXACT(metadata!R669,"not applicable"),EXACT(metadata!R669,"missing: not collected"),EXACT(metadata!R669,"missing: not provided"),EXACT(metadata!R669,"missing: restricted access"))),AND(IF(metadata!R669="",FALSE,ISNUMBER(VALUE(metadata!R669))),metadata!R669&gt;0))</f>
        <v>0</v>
      </c>
      <c r="AU669" t="b">
        <f>AND(IF(metadata!S669="",FALSE,TRUE),EXACT(metadata!S669,"missing: not provided"))</f>
        <v>0</v>
      </c>
    </row>
    <row r="670" spans="1:47" x14ac:dyDescent="0.2">
      <c r="A670" s="5" t="str">
        <f ca="1">IF(B670=" "," ",HYPERLINK(CONCATENATE("#metadata!",ADDRESS(INDEX($Y$2:$Y$1001,MATCH(ROWS($W$2:W670),$W$2:$W$1001,0),0),1)),INDEX($AB$2:$AB$1001,MATCH(ROWS($W$2:W670),$W$2:$W$1001,0),0)))</f>
        <v xml:space="preserve"> </v>
      </c>
      <c r="B670" s="4" t="str">
        <f ca="1">IF(OR(INDEX($X$2:$X$1001,MATCH(ROWS($W$2:W670),$W$2:$W$1001,0),1)&gt;=100000,INDEX($AD$1005:$AU$1005,1,MATCH(COLUMNS($AD$1006:AD1006),$AD$1006:$AU$1006,0))&gt;=100000), " ",IF(INDEX($AD$2:$AU$1001,MATCH(ROWS($W$2:W670),$W$2:$W$1001,0),MATCH(COLUMNS($AD$1006:AD1006),$AD$1006:$AU$1006,0)), HYPERLINK("#",""), HYPERLINK(CONCATENATE("#metadata!", ADDRESS(INDEX($Y$2:$Y$1001,MATCH(ROWS($W$2:W670),$W$2:$W$1001,0),0), INDEX($AD$1004:$AU$1004,1,MATCH(COLUMNS($AD$1006:AD1006),$AD$1006:$AU$1006,0)))),"Fix")))</f>
        <v xml:space="preserve"> </v>
      </c>
      <c r="C670" s="4" t="str">
        <f ca="1">IF(OR(INDEX($X$2:$X$1001,MATCH(ROWS($W$2:W670),$W$2:$W$1001,0),1)&gt;=100000,INDEX($AD$1005:$AU$1005,1,MATCH(COLUMNS($AD$1006:AE1006),$AD$1006:$AU$1006,0))&gt;=100000), " ",IF(INDEX($AD$2:$AU$1001,MATCH(ROWS($W$2:W670),$W$2:$W$1001,0),MATCH(COLUMNS($AD$1006:AE1006),$AD$1006:$AU$1006,0)), HYPERLINK("#",""), HYPERLINK(CONCATENATE("#metadata!", ADDRESS(INDEX($Y$2:$Y$1001,MATCH(ROWS($W$2:W670),$W$2:$W$1001,0),0), INDEX($AD$1004:$AU$1004,1,MATCH(COLUMNS($AD$1006:AE1006),$AD$1006:$AU$1006,0)))),"Fix")))</f>
        <v xml:space="preserve"> </v>
      </c>
      <c r="D670" s="4" t="str">
        <f ca="1">IF(OR(INDEX($X$2:$X$1001,MATCH(ROWS($W$2:W670),$W$2:$W$1001,0),1)&gt;=100000,INDEX($AD$1005:$AU$1005,1,MATCH(COLUMNS($AD$1006:AF1006),$AD$1006:$AU$1006,0))&gt;=100000), " ",IF(INDEX($AD$2:$AU$1001,MATCH(ROWS($W$2:W670),$W$2:$W$1001,0),MATCH(COLUMNS($AD$1006:AF1006),$AD$1006:$AU$1006,0)), HYPERLINK("#",""), HYPERLINK(CONCATENATE("#metadata!", ADDRESS(INDEX($Y$2:$Y$1001,MATCH(ROWS($W$2:W670),$W$2:$W$1001,0),0), INDEX($AD$1004:$AU$1004,1,MATCH(COLUMNS($AD$1006:AF1006),$AD$1006:$AU$1006,0)))),"Fix")))</f>
        <v xml:space="preserve"> </v>
      </c>
      <c r="E670" s="4" t="str">
        <f ca="1">IF(OR(INDEX($X$2:$X$1001,MATCH(ROWS($W$2:W670),$W$2:$W$1001,0),1)&gt;=100000,INDEX($AD$1005:$AU$1005,1,MATCH(COLUMNS($AD$1006:AG1006),$AD$1006:$AU$1006,0))&gt;=100000), " ",IF(INDEX($AD$2:$AU$1001,MATCH(ROWS($W$2:W670),$W$2:$W$1001,0),MATCH(COLUMNS($AD$1006:AG1006),$AD$1006:$AU$1006,0)), HYPERLINK("#",""), HYPERLINK(CONCATENATE("#metadata!", ADDRESS(INDEX($Y$2:$Y$1001,MATCH(ROWS($W$2:W670),$W$2:$W$1001,0),0), INDEX($AD$1004:$AU$1004,1,MATCH(COLUMNS($AD$1006:AG1006),$AD$1006:$AU$1006,0)))),"Fix")))</f>
        <v xml:space="preserve"> </v>
      </c>
      <c r="F670" s="4" t="str">
        <f ca="1">IF(OR(INDEX($X$2:$X$1001,MATCH(ROWS($W$2:W670),$W$2:$W$1001,0),1)&gt;=100000,INDEX($AD$1005:$AU$1005,1,MATCH(COLUMNS($AD$1006:AH1006),$AD$1006:$AU$1006,0))&gt;=100000), " ",IF(INDEX($AD$2:$AU$1001,MATCH(ROWS($W$2:W670),$W$2:$W$1001,0),MATCH(COLUMNS($AD$1006:AH1006),$AD$1006:$AU$1006,0)), HYPERLINK("#",""), HYPERLINK(CONCATENATE("#metadata!", ADDRESS(INDEX($Y$2:$Y$1001,MATCH(ROWS($W$2:W670),$W$2:$W$1001,0),0), INDEX($AD$1004:$AU$1004,1,MATCH(COLUMNS($AD$1006:AH1006),$AD$1006:$AU$1006,0)))),"Fix")))</f>
        <v xml:space="preserve"> </v>
      </c>
      <c r="G670" s="4" t="str">
        <f ca="1">IF(OR(INDEX($X$2:$X$1001,MATCH(ROWS($W$2:W670),$W$2:$W$1001,0),1)&gt;=100000,INDEX($AD$1005:$AU$1005,1,MATCH(COLUMNS($AD$1006:AI1006),$AD$1006:$AU$1006,0))&gt;=100000), " ",IF(INDEX($AD$2:$AU$1001,MATCH(ROWS($W$2:W670),$W$2:$W$1001,0),MATCH(COLUMNS($AD$1006:AI1006),$AD$1006:$AU$1006,0)), HYPERLINK("#",""), HYPERLINK(CONCATENATE("#metadata!", ADDRESS(INDEX($Y$2:$Y$1001,MATCH(ROWS($W$2:W670),$W$2:$W$1001,0),0), INDEX($AD$1004:$AU$1004,1,MATCH(COLUMNS($AD$1006:AI1006),$AD$1006:$AU$1006,0)))),"Fix")))</f>
        <v xml:space="preserve"> </v>
      </c>
      <c r="H670" s="4" t="str">
        <f ca="1">IF(OR(INDEX($X$2:$X$1001,MATCH(ROWS($W$2:W670),$W$2:$W$1001,0),1)&gt;=100000,INDEX($AD$1005:$AU$1005,1,MATCH(COLUMNS($AD$1006:AJ1006),$AD$1006:$AU$1006,0))&gt;=100000), " ",IF(INDEX($AD$2:$AU$1001,MATCH(ROWS($W$2:W670),$W$2:$W$1001,0),MATCH(COLUMNS($AD$1006:AJ1006),$AD$1006:$AU$1006,0)), HYPERLINK("#",""), HYPERLINK(CONCATENATE("#metadata!", ADDRESS(INDEX($Y$2:$Y$1001,MATCH(ROWS($W$2:W670),$W$2:$W$1001,0),0), INDEX($AD$1004:$AU$1004,1,MATCH(COLUMNS($AD$1006:AJ1006),$AD$1006:$AU$1006,0)))),"Fix")))</f>
        <v xml:space="preserve"> </v>
      </c>
      <c r="I670" s="4" t="str">
        <f ca="1">IF(OR(INDEX($X$2:$X$1001,MATCH(ROWS($W$2:W670),$W$2:$W$1001,0),1)&gt;=100000,INDEX($AD$1005:$AU$1005,1,MATCH(COLUMNS($AD$1006:AK1006),$AD$1006:$AU$1006,0))&gt;=100000), " ",IF(INDEX($AD$2:$AU$1001,MATCH(ROWS($W$2:W670),$W$2:$W$1001,0),MATCH(COLUMNS($AD$1006:AK1006),$AD$1006:$AU$1006,0)), HYPERLINK("#",""), HYPERLINK(CONCATENATE("#metadata!", ADDRESS(INDEX($Y$2:$Y$1001,MATCH(ROWS($W$2:W670),$W$2:$W$1001,0),0), INDEX($AD$1004:$AU$1004,1,MATCH(COLUMNS($AD$1006:AK1006),$AD$1006:$AU$1006,0)))),"Fix")))</f>
        <v xml:space="preserve"> </v>
      </c>
      <c r="J670" s="4" t="str">
        <f ca="1">IF(OR(INDEX($X$2:$X$1001,MATCH(ROWS($W$2:W670),$W$2:$W$1001,0),1)&gt;=100000,INDEX($AD$1005:$AU$1005,1,MATCH(COLUMNS($AD$1006:AL1006),$AD$1006:$AU$1006,0))&gt;=100000), " ",IF(INDEX($AD$2:$AU$1001,MATCH(ROWS($W$2:W670),$W$2:$W$1001,0),MATCH(COLUMNS($AD$1006:AL1006),$AD$1006:$AU$1006,0)), HYPERLINK("#",""), HYPERLINK(CONCATENATE("#metadata!", ADDRESS(INDEX($Y$2:$Y$1001,MATCH(ROWS($W$2:W670),$W$2:$W$1001,0),0), INDEX($AD$1004:$AU$1004,1,MATCH(COLUMNS($AD$1006:AL1006),$AD$1006:$AU$1006,0)))),"Fix")))</f>
        <v xml:space="preserve"> </v>
      </c>
      <c r="K670" s="4" t="str">
        <f ca="1">IF(OR(INDEX($X$2:$X$1001,MATCH(ROWS($W$2:W670),$W$2:$W$1001,0),1)&gt;=100000,INDEX($AD$1005:$AU$1005,1,MATCH(COLUMNS($AD$1006:AM1006),$AD$1006:$AU$1006,0))&gt;=100000), " ",IF(INDEX($AD$2:$AU$1001,MATCH(ROWS($W$2:W670),$W$2:$W$1001,0),MATCH(COLUMNS($AD$1006:AM1006),$AD$1006:$AU$1006,0)), HYPERLINK("#",""), HYPERLINK(CONCATENATE("#metadata!", ADDRESS(INDEX($Y$2:$Y$1001,MATCH(ROWS($W$2:W670),$W$2:$W$1001,0),0), INDEX($AD$1004:$AU$1004,1,MATCH(COLUMNS($AD$1006:AM1006),$AD$1006:$AU$1006,0)))),"Fix")))</f>
        <v xml:space="preserve"> </v>
      </c>
      <c r="L670" s="4" t="str">
        <f ca="1">IF(OR(INDEX($X$2:$X$1001,MATCH(ROWS($W$2:W670),$W$2:$W$1001,0),1)&gt;=100000,INDEX($AD$1005:$AU$1005,1,MATCH(COLUMNS($AD$1006:AN1006),$AD$1006:$AU$1006,0))&gt;=100000), " ",IF(INDEX($AD$2:$AU$1001,MATCH(ROWS($W$2:W670),$W$2:$W$1001,0),MATCH(COLUMNS($AD$1006:AN1006),$AD$1006:$AU$1006,0)), HYPERLINK("#",""), HYPERLINK(CONCATENATE("#metadata!", ADDRESS(INDEX($Y$2:$Y$1001,MATCH(ROWS($W$2:W670),$W$2:$W$1001,0),0), INDEX($AD$1004:$AU$1004,1,MATCH(COLUMNS($AD$1006:AN1006),$AD$1006:$AU$1006,0)))),"Fix")))</f>
        <v xml:space="preserve"> </v>
      </c>
      <c r="M670" s="4" t="str">
        <f ca="1">IF(OR(INDEX($X$2:$X$1001,MATCH(ROWS($W$2:W670),$W$2:$W$1001,0),1)&gt;=100000,INDEX($AD$1005:$AU$1005,1,MATCH(COLUMNS($AD$1006:AO1006),$AD$1006:$AU$1006,0))&gt;=100000), " ",IF(INDEX($AD$2:$AU$1001,MATCH(ROWS($W$2:W670),$W$2:$W$1001,0),MATCH(COLUMNS($AD$1006:AO1006),$AD$1006:$AU$1006,0)), HYPERLINK("#",""), HYPERLINK(CONCATENATE("#metadata!", ADDRESS(INDEX($Y$2:$Y$1001,MATCH(ROWS($W$2:W670),$W$2:$W$1001,0),0), INDEX($AD$1004:$AU$1004,1,MATCH(COLUMNS($AD$1006:AO1006),$AD$1006:$AU$1006,0)))),"Fix")))</f>
        <v xml:space="preserve"> </v>
      </c>
      <c r="N670" s="4" t="str">
        <f ca="1">IF(OR(INDEX($X$2:$X$1001,MATCH(ROWS($W$2:W670),$W$2:$W$1001,0),1)&gt;=100000,INDEX($AD$1005:$AU$1005,1,MATCH(COLUMNS($AD$1006:AP1006),$AD$1006:$AU$1006,0))&gt;=100000), " ",IF(INDEX($AD$2:$AU$1001,MATCH(ROWS($W$2:W670),$W$2:$W$1001,0),MATCH(COLUMNS($AD$1006:AP1006),$AD$1006:$AU$1006,0)), HYPERLINK("#",""), HYPERLINK(CONCATENATE("#metadata!", ADDRESS(INDEX($Y$2:$Y$1001,MATCH(ROWS($W$2:W670),$W$2:$W$1001,0),0), INDEX($AD$1004:$AU$1004,1,MATCH(COLUMNS($AD$1006:AP1006),$AD$1006:$AU$1006,0)))),"Fix")))</f>
        <v xml:space="preserve"> </v>
      </c>
      <c r="O670" s="4" t="str">
        <f ca="1">IF(OR(INDEX($X$2:$X$1001,MATCH(ROWS($W$2:W670),$W$2:$W$1001,0),1)&gt;=100000,INDEX($AD$1005:$AU$1005,1,MATCH(COLUMNS($AD$1006:AQ1006),$AD$1006:$AU$1006,0))&gt;=100000), " ",IF(INDEX($AD$2:$AU$1001,MATCH(ROWS($W$2:W670),$W$2:$W$1001,0),MATCH(COLUMNS($AD$1006:AQ1006),$AD$1006:$AU$1006,0)), HYPERLINK("#",""), HYPERLINK(CONCATENATE("#metadata!", ADDRESS(INDEX($Y$2:$Y$1001,MATCH(ROWS($W$2:W670),$W$2:$W$1001,0),0), INDEX($AD$1004:$AU$1004,1,MATCH(COLUMNS($AD$1006:AQ1006),$AD$1006:$AU$1006,0)))),"Fix")))</f>
        <v xml:space="preserve"> </v>
      </c>
      <c r="P670" s="4" t="str">
        <f ca="1">IF(OR(INDEX($X$2:$X$1001,MATCH(ROWS($W$2:W670),$W$2:$W$1001,0),1)&gt;=100000,INDEX($AD$1005:$AU$1005,1,MATCH(COLUMNS($AD$1006:AR1006),$AD$1006:$AU$1006,0))&gt;=100000), " ",IF(INDEX($AD$2:$AU$1001,MATCH(ROWS($W$2:W670),$W$2:$W$1001,0),MATCH(COLUMNS($AD$1006:AR1006),$AD$1006:$AU$1006,0)), HYPERLINK("#",""), HYPERLINK(CONCATENATE("#metadata!", ADDRESS(INDEX($Y$2:$Y$1001,MATCH(ROWS($W$2:W670),$W$2:$W$1001,0),0), INDEX($AD$1004:$AU$1004,1,MATCH(COLUMNS($AD$1006:AR1006),$AD$1006:$AU$1006,0)))),"Fix")))</f>
        <v xml:space="preserve"> </v>
      </c>
      <c r="Q670" s="4" t="str">
        <f ca="1">IF(OR(INDEX($X$2:$X$1001,MATCH(ROWS($W$2:W670),$W$2:$W$1001,0),1)&gt;=100000,INDEX($AD$1005:$AU$1005,1,MATCH(COLUMNS($AD$1006:AS1006),$AD$1006:$AU$1006,0))&gt;=100000), " ",IF(INDEX($AD$2:$AU$1001,MATCH(ROWS($W$2:W670),$W$2:$W$1001,0),MATCH(COLUMNS($AD$1006:AS1006),$AD$1006:$AU$1006,0)), HYPERLINK("#",""), HYPERLINK(CONCATENATE("#metadata!", ADDRESS(INDEX($Y$2:$Y$1001,MATCH(ROWS($W$2:W670),$W$2:$W$1001,0),0), INDEX($AD$1004:$AU$1004,1,MATCH(COLUMNS($AD$1006:AS1006),$AD$1006:$AU$1006,0)))),"Fix")))</f>
        <v xml:space="preserve"> </v>
      </c>
      <c r="R670" s="4" t="str">
        <f ca="1">IF(OR(INDEX($X$2:$X$1001,MATCH(ROWS($W$2:W670),$W$2:$W$1001,0),1)&gt;=100000,INDEX($AD$1005:$AU$1005,1,MATCH(COLUMNS($AD$1006:AT1006),$AD$1006:$AU$1006,0))&gt;=100000), " ",IF(INDEX($AD$2:$AU$1001,MATCH(ROWS($W$2:W670),$W$2:$W$1001,0),MATCH(COLUMNS($AD$1006:AT1006),$AD$1006:$AU$1006,0)), HYPERLINK("#",""), HYPERLINK(CONCATENATE("#metadata!", ADDRESS(INDEX($Y$2:$Y$1001,MATCH(ROWS($W$2:W670),$W$2:$W$1001,0),0), INDEX($AD$1004:$AU$1004,1,MATCH(COLUMNS($AD$1006:AT1006),$AD$1006:$AU$1006,0)))),"Fix")))</f>
        <v xml:space="preserve"> </v>
      </c>
      <c r="S670" s="4" t="str">
        <f ca="1">IF(OR(INDEX($X$2:$X$1001,MATCH(ROWS($W$2:W670),$W$2:$W$1001,0),1)&gt;=100000,INDEX($AD$1005:$AU$1005,1,MATCH(COLUMNS($AD$1006:AU1006),$AD$1006:$AU$1006,0))&gt;=100000), " ",IF(INDEX($AD$2:$AU$1001,MATCH(ROWS($W$2:W670),$W$2:$W$1001,0),MATCH(COLUMNS($AD$1006:AU1006),$AD$1006:$AU$1006,0)), HYPERLINK("#",""), HYPERLINK(CONCATENATE("#metadata!", ADDRESS(INDEX($Y$2:$Y$1001,MATCH(ROWS($W$2:W670),$W$2:$W$1001,0),0), INDEX($AD$1004:$AU$1004,1,MATCH(COLUMNS($AD$1006:AU1006),$AD$1006:$AU$1006,0)))),"Fix")))</f>
        <v xml:space="preserve"> </v>
      </c>
      <c r="W670">
        <v>669</v>
      </c>
      <c r="X670">
        <v>100670</v>
      </c>
      <c r="Y670">
        <v>670</v>
      </c>
      <c r="Z670" t="b">
        <f t="shared" si="10"/>
        <v>1</v>
      </c>
      <c r="AA670" t="b">
        <f>COUNTBLANK(metadata!B670:S670)=COLUMNS(metadata!B670:S670)</f>
        <v>1</v>
      </c>
      <c r="AB670" t="str">
        <v/>
      </c>
      <c r="AD670" t="b">
        <f ca="1">AND(IF(metadata!B670="",FALSE,TRUE),COUNTIF(metadata!B:B, metadata!B670) = 1,NOT(ISERROR(SUMPRODUCT(SEARCH(MID(metadata!B670,ROW(INDIRECT("1:"&amp;LEN(metadata!B670))), 1),"0123456789abcdefghijklmnopqrstuvwxyzABCDEFGHIJKLMNOPQRSTUVWXYZ.")))))</f>
        <v>0</v>
      </c>
      <c r="AE670" t="b">
        <f>OR(AND(IF(metadata!C670="",FALSE,TRUE),OR(EXACT(metadata!C670,"not applicable"),EXACT(metadata!C670,"missing: not collected"),EXACT(metadata!C670,"missing: not provided"),EXACT(metadata!C670,"missing: restricted access"))),AND(IF(metadata!C670="",FALSE,ISNUMBER(VALUE(metadata!C670))),metadata!C670&gt;0))</f>
        <v>0</v>
      </c>
      <c r="AF670" t="b">
        <f>AND(IF(metadata!D670="",FALSE,TRUE),EXACT(metadata!D670,"missing: not provided"))</f>
        <v>0</v>
      </c>
      <c r="AG670" t="b">
        <f>AND(IF(metadata!E670="",FALSE,TRUE),EXACT(metadata!E670,"Host-associated"))</f>
        <v>0</v>
      </c>
      <c r="AH670" t="b">
        <f>AND(IF(metadata!F670="",FALSE,TRUE),OR(EXACT(metadata!F670,"Animal"),EXACT(metadata!F670,"Fungus"),EXACT(metadata!F670,"Plant")))</f>
        <v>0</v>
      </c>
      <c r="AI670" t="b">
        <f>AND(IF(metadata!G670="",FALSE,TRUE),OR(EXACT(metadata!G670,"Plant secretion"),EXACT(metadata!G670,"Plant rhizosphere"),EXACT(metadata!G670,"Plant surface"),EXACT(metadata!G670,"Plant corpus"),EXACT(metadata!G670,"Fungus surface"),EXACT(metadata!G670,"Fungus corpus"),EXACT(metadata!G670,"Animal surface"),EXACT(metadata!G670,"Animal proximal gut"),EXACT(metadata!G670,"Animal corpus"),EXACT(metadata!G670,"Animal distal gut"),EXACT(metadata!G670,"Animal secretion")))</f>
        <v>0</v>
      </c>
      <c r="AJ670" t="b">
        <f>OR(AND(IF(metadata!H670="",FALSE,TRUE),OR(EXACT(metadata!H670,"missing: not collected"),EXACT(metadata!H670,"missing: not provided"),EXACT(metadata!H670,"missing: restricted access"))),AND(IF(metadata!H670="",FALSE,TRUE),OR(EXACT(metadata!H670,"organism-associated habitat"),EXACT(metadata!H670,"plant-associated habitat"),EXACT(metadata!H670,"animal-associated habitat"),EXACT(metadata!H670,"insecta-associated habitat"),EXACT(metadata!H670,"mammalia-associated habitat"),EXACT(metadata!H670,"human-associated habitat"),EXACT(metadata!H670,"livestock-associated habitat"))))</f>
        <v>0</v>
      </c>
      <c r="AK670" t="b">
        <f>AND(IF(metadata!I670="",FALSE,TRUE),EXACT(metadata!I670,"host-associated"))</f>
        <v>0</v>
      </c>
      <c r="AL670" t="b">
        <f>OR(AND(IF(metadata!J670="",FALSE,TRUE),OR(EXACT(metadata!J670,"not applicable"),EXACT(metadata!J670,"missing: not collected"),EXACT(metadata!J670,"missing: not provided"),EXACT(metadata!J670,"missing: restricted access"))),AND(IF(metadata!J670="",FALSE,ISNUMBER(VALUE(metadata!J670))),metadata!J670&gt;0))</f>
        <v>0</v>
      </c>
      <c r="AM670" t="b">
        <f>AND(IF(metadata!K670="",FALSE,TRUE),EXACT(metadata!K670,"missing: not provided"))</f>
        <v>0</v>
      </c>
      <c r="AN670" t="b">
        <f>IF(metadata!L670="",FALSE,TRUE)</f>
        <v>0</v>
      </c>
      <c r="AO670" t="b">
        <f>IF(metadata!M670="",FALSE,TRUE)</f>
        <v>0</v>
      </c>
      <c r="AP670" t="b">
        <f>OR(AND(IF(metadata!N670="",FALSE,TRUE),OR(EXACT(metadata!N670,"not applicable"),EXACT(metadata!N670,"missing: not collected"),EXACT(metadata!N670,"missing: not provided"))),AND(IF(metadata!N670="",FALSE,IF(ISERROR(INT(metadata!N670)),FALSE,INT(metadata!N670)=metadata!N670)),metadata!N670&gt;0))</f>
        <v>0</v>
      </c>
      <c r="AQ670" t="b">
        <f>AND(IF(metadata!O670="",FALSE,TRUE),EXACT(metadata!O670,"Not applicable"))</f>
        <v>0</v>
      </c>
      <c r="AR670" t="b">
        <f>OR(AND(IF(metadata!P670="",FALSE,TRUE),OR(EXACT(metadata!P670,"not applicable"),EXACT(metadata!P670,"missing: not collected"),EXACT(metadata!P670,"missing: not provided"),EXACT(metadata!P670,"missing: restricted access"))),IF(metadata!P670="",FALSE,IF(ISERROR(INT(metadata!P670)),FALSE,INT(metadata!P670)=metadata!P670)))</f>
        <v>0</v>
      </c>
      <c r="AS670" t="b">
        <f>AND(IF(metadata!Q670="",FALSE,TRUE),EXACT(metadata!Q670,"Not applicable"))</f>
        <v>0</v>
      </c>
      <c r="AT670" t="b">
        <f>OR(AND(IF(metadata!R670="",FALSE,TRUE),OR(EXACT(metadata!R670,"not applicable"),EXACT(metadata!R670,"missing: not collected"),EXACT(metadata!R670,"missing: not provided"),EXACT(metadata!R670,"missing: restricted access"))),AND(IF(metadata!R670="",FALSE,ISNUMBER(VALUE(metadata!R670))),metadata!R670&gt;0))</f>
        <v>0</v>
      </c>
      <c r="AU670" t="b">
        <f>AND(IF(metadata!S670="",FALSE,TRUE),EXACT(metadata!S670,"missing: not provided"))</f>
        <v>0</v>
      </c>
    </row>
    <row r="671" spans="1:47" x14ac:dyDescent="0.2">
      <c r="A671" s="5" t="str">
        <f ca="1">IF(B671=" "," ",HYPERLINK(CONCATENATE("#metadata!",ADDRESS(INDEX($Y$2:$Y$1001,MATCH(ROWS($W$2:W671),$W$2:$W$1001,0),0),1)),INDEX($AB$2:$AB$1001,MATCH(ROWS($W$2:W671),$W$2:$W$1001,0),0)))</f>
        <v xml:space="preserve"> </v>
      </c>
      <c r="B671" s="4" t="str">
        <f ca="1">IF(OR(INDEX($X$2:$X$1001,MATCH(ROWS($W$2:W671),$W$2:$W$1001,0),1)&gt;=100000,INDEX($AD$1005:$AU$1005,1,MATCH(COLUMNS($AD$1006:AD1006),$AD$1006:$AU$1006,0))&gt;=100000), " ",IF(INDEX($AD$2:$AU$1001,MATCH(ROWS($W$2:W671),$W$2:$W$1001,0),MATCH(COLUMNS($AD$1006:AD1006),$AD$1006:$AU$1006,0)), HYPERLINK("#",""), HYPERLINK(CONCATENATE("#metadata!", ADDRESS(INDEX($Y$2:$Y$1001,MATCH(ROWS($W$2:W671),$W$2:$W$1001,0),0), INDEX($AD$1004:$AU$1004,1,MATCH(COLUMNS($AD$1006:AD1006),$AD$1006:$AU$1006,0)))),"Fix")))</f>
        <v xml:space="preserve"> </v>
      </c>
      <c r="C671" s="4" t="str">
        <f ca="1">IF(OR(INDEX($X$2:$X$1001,MATCH(ROWS($W$2:W671),$W$2:$W$1001,0),1)&gt;=100000,INDEX($AD$1005:$AU$1005,1,MATCH(COLUMNS($AD$1006:AE1006),$AD$1006:$AU$1006,0))&gt;=100000), " ",IF(INDEX($AD$2:$AU$1001,MATCH(ROWS($W$2:W671),$W$2:$W$1001,0),MATCH(COLUMNS($AD$1006:AE1006),$AD$1006:$AU$1006,0)), HYPERLINK("#",""), HYPERLINK(CONCATENATE("#metadata!", ADDRESS(INDEX($Y$2:$Y$1001,MATCH(ROWS($W$2:W671),$W$2:$W$1001,0),0), INDEX($AD$1004:$AU$1004,1,MATCH(COLUMNS($AD$1006:AE1006),$AD$1006:$AU$1006,0)))),"Fix")))</f>
        <v xml:space="preserve"> </v>
      </c>
      <c r="D671" s="4" t="str">
        <f ca="1">IF(OR(INDEX($X$2:$X$1001,MATCH(ROWS($W$2:W671),$W$2:$W$1001,0),1)&gt;=100000,INDEX($AD$1005:$AU$1005,1,MATCH(COLUMNS($AD$1006:AF1006),$AD$1006:$AU$1006,0))&gt;=100000), " ",IF(INDEX($AD$2:$AU$1001,MATCH(ROWS($W$2:W671),$W$2:$W$1001,0),MATCH(COLUMNS($AD$1006:AF1006),$AD$1006:$AU$1006,0)), HYPERLINK("#",""), HYPERLINK(CONCATENATE("#metadata!", ADDRESS(INDEX($Y$2:$Y$1001,MATCH(ROWS($W$2:W671),$W$2:$W$1001,0),0), INDEX($AD$1004:$AU$1004,1,MATCH(COLUMNS($AD$1006:AF1006),$AD$1006:$AU$1006,0)))),"Fix")))</f>
        <v xml:space="preserve"> </v>
      </c>
      <c r="E671" s="4" t="str">
        <f ca="1">IF(OR(INDEX($X$2:$X$1001,MATCH(ROWS($W$2:W671),$W$2:$W$1001,0),1)&gt;=100000,INDEX($AD$1005:$AU$1005,1,MATCH(COLUMNS($AD$1006:AG1006),$AD$1006:$AU$1006,0))&gt;=100000), " ",IF(INDEX($AD$2:$AU$1001,MATCH(ROWS($W$2:W671),$W$2:$W$1001,0),MATCH(COLUMNS($AD$1006:AG1006),$AD$1006:$AU$1006,0)), HYPERLINK("#",""), HYPERLINK(CONCATENATE("#metadata!", ADDRESS(INDEX($Y$2:$Y$1001,MATCH(ROWS($W$2:W671),$W$2:$W$1001,0),0), INDEX($AD$1004:$AU$1004,1,MATCH(COLUMNS($AD$1006:AG1006),$AD$1006:$AU$1006,0)))),"Fix")))</f>
        <v xml:space="preserve"> </v>
      </c>
      <c r="F671" s="4" t="str">
        <f ca="1">IF(OR(INDEX($X$2:$X$1001,MATCH(ROWS($W$2:W671),$W$2:$W$1001,0),1)&gt;=100000,INDEX($AD$1005:$AU$1005,1,MATCH(COLUMNS($AD$1006:AH1006),$AD$1006:$AU$1006,0))&gt;=100000), " ",IF(INDEX($AD$2:$AU$1001,MATCH(ROWS($W$2:W671),$W$2:$W$1001,0),MATCH(COLUMNS($AD$1006:AH1006),$AD$1006:$AU$1006,0)), HYPERLINK("#",""), HYPERLINK(CONCATENATE("#metadata!", ADDRESS(INDEX($Y$2:$Y$1001,MATCH(ROWS($W$2:W671),$W$2:$W$1001,0),0), INDEX($AD$1004:$AU$1004,1,MATCH(COLUMNS($AD$1006:AH1006),$AD$1006:$AU$1006,0)))),"Fix")))</f>
        <v xml:space="preserve"> </v>
      </c>
      <c r="G671" s="4" t="str">
        <f ca="1">IF(OR(INDEX($X$2:$X$1001,MATCH(ROWS($W$2:W671),$W$2:$W$1001,0),1)&gt;=100000,INDEX($AD$1005:$AU$1005,1,MATCH(COLUMNS($AD$1006:AI1006),$AD$1006:$AU$1006,0))&gt;=100000), " ",IF(INDEX($AD$2:$AU$1001,MATCH(ROWS($W$2:W671),$W$2:$W$1001,0),MATCH(COLUMNS($AD$1006:AI1006),$AD$1006:$AU$1006,0)), HYPERLINK("#",""), HYPERLINK(CONCATENATE("#metadata!", ADDRESS(INDEX($Y$2:$Y$1001,MATCH(ROWS($W$2:W671),$W$2:$W$1001,0),0), INDEX($AD$1004:$AU$1004,1,MATCH(COLUMNS($AD$1006:AI1006),$AD$1006:$AU$1006,0)))),"Fix")))</f>
        <v xml:space="preserve"> </v>
      </c>
      <c r="H671" s="4" t="str">
        <f ca="1">IF(OR(INDEX($X$2:$X$1001,MATCH(ROWS($W$2:W671),$W$2:$W$1001,0),1)&gt;=100000,INDEX($AD$1005:$AU$1005,1,MATCH(COLUMNS($AD$1006:AJ1006),$AD$1006:$AU$1006,0))&gt;=100000), " ",IF(INDEX($AD$2:$AU$1001,MATCH(ROWS($W$2:W671),$W$2:$W$1001,0),MATCH(COLUMNS($AD$1006:AJ1006),$AD$1006:$AU$1006,0)), HYPERLINK("#",""), HYPERLINK(CONCATENATE("#metadata!", ADDRESS(INDEX($Y$2:$Y$1001,MATCH(ROWS($W$2:W671),$W$2:$W$1001,0),0), INDEX($AD$1004:$AU$1004,1,MATCH(COLUMNS($AD$1006:AJ1006),$AD$1006:$AU$1006,0)))),"Fix")))</f>
        <v xml:space="preserve"> </v>
      </c>
      <c r="I671" s="4" t="str">
        <f ca="1">IF(OR(INDEX($X$2:$X$1001,MATCH(ROWS($W$2:W671),$W$2:$W$1001,0),1)&gt;=100000,INDEX($AD$1005:$AU$1005,1,MATCH(COLUMNS($AD$1006:AK1006),$AD$1006:$AU$1006,0))&gt;=100000), " ",IF(INDEX($AD$2:$AU$1001,MATCH(ROWS($W$2:W671),$W$2:$W$1001,0),MATCH(COLUMNS($AD$1006:AK1006),$AD$1006:$AU$1006,0)), HYPERLINK("#",""), HYPERLINK(CONCATENATE("#metadata!", ADDRESS(INDEX($Y$2:$Y$1001,MATCH(ROWS($W$2:W671),$W$2:$W$1001,0),0), INDEX($AD$1004:$AU$1004,1,MATCH(COLUMNS($AD$1006:AK1006),$AD$1006:$AU$1006,0)))),"Fix")))</f>
        <v xml:space="preserve"> </v>
      </c>
      <c r="J671" s="4" t="str">
        <f ca="1">IF(OR(INDEX($X$2:$X$1001,MATCH(ROWS($W$2:W671),$W$2:$W$1001,0),1)&gt;=100000,INDEX($AD$1005:$AU$1005,1,MATCH(COLUMNS($AD$1006:AL1006),$AD$1006:$AU$1006,0))&gt;=100000), " ",IF(INDEX($AD$2:$AU$1001,MATCH(ROWS($W$2:W671),$W$2:$W$1001,0),MATCH(COLUMNS($AD$1006:AL1006),$AD$1006:$AU$1006,0)), HYPERLINK("#",""), HYPERLINK(CONCATENATE("#metadata!", ADDRESS(INDEX($Y$2:$Y$1001,MATCH(ROWS($W$2:W671),$W$2:$W$1001,0),0), INDEX($AD$1004:$AU$1004,1,MATCH(COLUMNS($AD$1006:AL1006),$AD$1006:$AU$1006,0)))),"Fix")))</f>
        <v xml:space="preserve"> </v>
      </c>
      <c r="K671" s="4" t="str">
        <f ca="1">IF(OR(INDEX($X$2:$X$1001,MATCH(ROWS($W$2:W671),$W$2:$W$1001,0),1)&gt;=100000,INDEX($AD$1005:$AU$1005,1,MATCH(COLUMNS($AD$1006:AM1006),$AD$1006:$AU$1006,0))&gt;=100000), " ",IF(INDEX($AD$2:$AU$1001,MATCH(ROWS($W$2:W671),$W$2:$W$1001,0),MATCH(COLUMNS($AD$1006:AM1006),$AD$1006:$AU$1006,0)), HYPERLINK("#",""), HYPERLINK(CONCATENATE("#metadata!", ADDRESS(INDEX($Y$2:$Y$1001,MATCH(ROWS($W$2:W671),$W$2:$W$1001,0),0), INDEX($AD$1004:$AU$1004,1,MATCH(COLUMNS($AD$1006:AM1006),$AD$1006:$AU$1006,0)))),"Fix")))</f>
        <v xml:space="preserve"> </v>
      </c>
      <c r="L671" s="4" t="str">
        <f ca="1">IF(OR(INDEX($X$2:$X$1001,MATCH(ROWS($W$2:W671),$W$2:$W$1001,0),1)&gt;=100000,INDEX($AD$1005:$AU$1005,1,MATCH(COLUMNS($AD$1006:AN1006),$AD$1006:$AU$1006,0))&gt;=100000), " ",IF(INDEX($AD$2:$AU$1001,MATCH(ROWS($W$2:W671),$W$2:$W$1001,0),MATCH(COLUMNS($AD$1006:AN1006),$AD$1006:$AU$1006,0)), HYPERLINK("#",""), HYPERLINK(CONCATENATE("#metadata!", ADDRESS(INDEX($Y$2:$Y$1001,MATCH(ROWS($W$2:W671),$W$2:$W$1001,0),0), INDEX($AD$1004:$AU$1004,1,MATCH(COLUMNS($AD$1006:AN1006),$AD$1006:$AU$1006,0)))),"Fix")))</f>
        <v xml:space="preserve"> </v>
      </c>
      <c r="M671" s="4" t="str">
        <f ca="1">IF(OR(INDEX($X$2:$X$1001,MATCH(ROWS($W$2:W671),$W$2:$W$1001,0),1)&gt;=100000,INDEX($AD$1005:$AU$1005,1,MATCH(COLUMNS($AD$1006:AO1006),$AD$1006:$AU$1006,0))&gt;=100000), " ",IF(INDEX($AD$2:$AU$1001,MATCH(ROWS($W$2:W671),$W$2:$W$1001,0),MATCH(COLUMNS($AD$1006:AO1006),$AD$1006:$AU$1006,0)), HYPERLINK("#",""), HYPERLINK(CONCATENATE("#metadata!", ADDRESS(INDEX($Y$2:$Y$1001,MATCH(ROWS($W$2:W671),$W$2:$W$1001,0),0), INDEX($AD$1004:$AU$1004,1,MATCH(COLUMNS($AD$1006:AO1006),$AD$1006:$AU$1006,0)))),"Fix")))</f>
        <v xml:space="preserve"> </v>
      </c>
      <c r="N671" s="4" t="str">
        <f ca="1">IF(OR(INDEX($X$2:$X$1001,MATCH(ROWS($W$2:W671),$W$2:$W$1001,0),1)&gt;=100000,INDEX($AD$1005:$AU$1005,1,MATCH(COLUMNS($AD$1006:AP1006),$AD$1006:$AU$1006,0))&gt;=100000), " ",IF(INDEX($AD$2:$AU$1001,MATCH(ROWS($W$2:W671),$W$2:$W$1001,0),MATCH(COLUMNS($AD$1006:AP1006),$AD$1006:$AU$1006,0)), HYPERLINK("#",""), HYPERLINK(CONCATENATE("#metadata!", ADDRESS(INDEX($Y$2:$Y$1001,MATCH(ROWS($W$2:W671),$W$2:$W$1001,0),0), INDEX($AD$1004:$AU$1004,1,MATCH(COLUMNS($AD$1006:AP1006),$AD$1006:$AU$1006,0)))),"Fix")))</f>
        <v xml:space="preserve"> </v>
      </c>
      <c r="O671" s="4" t="str">
        <f ca="1">IF(OR(INDEX($X$2:$X$1001,MATCH(ROWS($W$2:W671),$W$2:$W$1001,0),1)&gt;=100000,INDEX($AD$1005:$AU$1005,1,MATCH(COLUMNS($AD$1006:AQ1006),$AD$1006:$AU$1006,0))&gt;=100000), " ",IF(INDEX($AD$2:$AU$1001,MATCH(ROWS($W$2:W671),$W$2:$W$1001,0),MATCH(COLUMNS($AD$1006:AQ1006),$AD$1006:$AU$1006,0)), HYPERLINK("#",""), HYPERLINK(CONCATENATE("#metadata!", ADDRESS(INDEX($Y$2:$Y$1001,MATCH(ROWS($W$2:W671),$W$2:$W$1001,0),0), INDEX($AD$1004:$AU$1004,1,MATCH(COLUMNS($AD$1006:AQ1006),$AD$1006:$AU$1006,0)))),"Fix")))</f>
        <v xml:space="preserve"> </v>
      </c>
      <c r="P671" s="4" t="str">
        <f ca="1">IF(OR(INDEX($X$2:$X$1001,MATCH(ROWS($W$2:W671),$W$2:$W$1001,0),1)&gt;=100000,INDEX($AD$1005:$AU$1005,1,MATCH(COLUMNS($AD$1006:AR1006),$AD$1006:$AU$1006,0))&gt;=100000), " ",IF(INDEX($AD$2:$AU$1001,MATCH(ROWS($W$2:W671),$W$2:$W$1001,0),MATCH(COLUMNS($AD$1006:AR1006),$AD$1006:$AU$1006,0)), HYPERLINK("#",""), HYPERLINK(CONCATENATE("#metadata!", ADDRESS(INDEX($Y$2:$Y$1001,MATCH(ROWS($W$2:W671),$W$2:$W$1001,0),0), INDEX($AD$1004:$AU$1004,1,MATCH(COLUMNS($AD$1006:AR1006),$AD$1006:$AU$1006,0)))),"Fix")))</f>
        <v xml:space="preserve"> </v>
      </c>
      <c r="Q671" s="4" t="str">
        <f ca="1">IF(OR(INDEX($X$2:$X$1001,MATCH(ROWS($W$2:W671),$W$2:$W$1001,0),1)&gt;=100000,INDEX($AD$1005:$AU$1005,1,MATCH(COLUMNS($AD$1006:AS1006),$AD$1006:$AU$1006,0))&gt;=100000), " ",IF(INDEX($AD$2:$AU$1001,MATCH(ROWS($W$2:W671),$W$2:$W$1001,0),MATCH(COLUMNS($AD$1006:AS1006),$AD$1006:$AU$1006,0)), HYPERLINK("#",""), HYPERLINK(CONCATENATE("#metadata!", ADDRESS(INDEX($Y$2:$Y$1001,MATCH(ROWS($W$2:W671),$W$2:$W$1001,0),0), INDEX($AD$1004:$AU$1004,1,MATCH(COLUMNS($AD$1006:AS1006),$AD$1006:$AU$1006,0)))),"Fix")))</f>
        <v xml:space="preserve"> </v>
      </c>
      <c r="R671" s="4" t="str">
        <f ca="1">IF(OR(INDEX($X$2:$X$1001,MATCH(ROWS($W$2:W671),$W$2:$W$1001,0),1)&gt;=100000,INDEX($AD$1005:$AU$1005,1,MATCH(COLUMNS($AD$1006:AT1006),$AD$1006:$AU$1006,0))&gt;=100000), " ",IF(INDEX($AD$2:$AU$1001,MATCH(ROWS($W$2:W671),$W$2:$W$1001,0),MATCH(COLUMNS($AD$1006:AT1006),$AD$1006:$AU$1006,0)), HYPERLINK("#",""), HYPERLINK(CONCATENATE("#metadata!", ADDRESS(INDEX($Y$2:$Y$1001,MATCH(ROWS($W$2:W671),$W$2:$W$1001,0),0), INDEX($AD$1004:$AU$1004,1,MATCH(COLUMNS($AD$1006:AT1006),$AD$1006:$AU$1006,0)))),"Fix")))</f>
        <v xml:space="preserve"> </v>
      </c>
      <c r="S671" s="4" t="str">
        <f ca="1">IF(OR(INDEX($X$2:$X$1001,MATCH(ROWS($W$2:W671),$W$2:$W$1001,0),1)&gt;=100000,INDEX($AD$1005:$AU$1005,1,MATCH(COLUMNS($AD$1006:AU1006),$AD$1006:$AU$1006,0))&gt;=100000), " ",IF(INDEX($AD$2:$AU$1001,MATCH(ROWS($W$2:W671),$W$2:$W$1001,0),MATCH(COLUMNS($AD$1006:AU1006),$AD$1006:$AU$1006,0)), HYPERLINK("#",""), HYPERLINK(CONCATENATE("#metadata!", ADDRESS(INDEX($Y$2:$Y$1001,MATCH(ROWS($W$2:W671),$W$2:$W$1001,0),0), INDEX($AD$1004:$AU$1004,1,MATCH(COLUMNS($AD$1006:AU1006),$AD$1006:$AU$1006,0)))),"Fix")))</f>
        <v xml:space="preserve"> </v>
      </c>
      <c r="W671">
        <v>670</v>
      </c>
      <c r="X671">
        <v>100671</v>
      </c>
      <c r="Y671">
        <v>671</v>
      </c>
      <c r="Z671" t="b">
        <f t="shared" si="10"/>
        <v>1</v>
      </c>
      <c r="AA671" t="b">
        <f>COUNTBLANK(metadata!B671:S671)=COLUMNS(metadata!B671:S671)</f>
        <v>1</v>
      </c>
      <c r="AB671" t="str">
        <v/>
      </c>
      <c r="AD671" t="b">
        <f ca="1">AND(IF(metadata!B671="",FALSE,TRUE),COUNTIF(metadata!B:B, metadata!B671) = 1,NOT(ISERROR(SUMPRODUCT(SEARCH(MID(metadata!B671,ROW(INDIRECT("1:"&amp;LEN(metadata!B671))), 1),"0123456789abcdefghijklmnopqrstuvwxyzABCDEFGHIJKLMNOPQRSTUVWXYZ.")))))</f>
        <v>0</v>
      </c>
      <c r="AE671" t="b">
        <f>OR(AND(IF(metadata!C671="",FALSE,TRUE),OR(EXACT(metadata!C671,"not applicable"),EXACT(metadata!C671,"missing: not collected"),EXACT(metadata!C671,"missing: not provided"),EXACT(metadata!C671,"missing: restricted access"))),AND(IF(metadata!C671="",FALSE,ISNUMBER(VALUE(metadata!C671))),metadata!C671&gt;0))</f>
        <v>0</v>
      </c>
      <c r="AF671" t="b">
        <f>AND(IF(metadata!D671="",FALSE,TRUE),EXACT(metadata!D671,"missing: not provided"))</f>
        <v>0</v>
      </c>
      <c r="AG671" t="b">
        <f>AND(IF(metadata!E671="",FALSE,TRUE),EXACT(metadata!E671,"Host-associated"))</f>
        <v>0</v>
      </c>
      <c r="AH671" t="b">
        <f>AND(IF(metadata!F671="",FALSE,TRUE),OR(EXACT(metadata!F671,"Animal"),EXACT(metadata!F671,"Fungus"),EXACT(metadata!F671,"Plant")))</f>
        <v>0</v>
      </c>
      <c r="AI671" t="b">
        <f>AND(IF(metadata!G671="",FALSE,TRUE),OR(EXACT(metadata!G671,"Plant secretion"),EXACT(metadata!G671,"Plant rhizosphere"),EXACT(metadata!G671,"Plant surface"),EXACT(metadata!G671,"Plant corpus"),EXACT(metadata!G671,"Fungus surface"),EXACT(metadata!G671,"Fungus corpus"),EXACT(metadata!G671,"Animal surface"),EXACT(metadata!G671,"Animal proximal gut"),EXACT(metadata!G671,"Animal corpus"),EXACT(metadata!G671,"Animal distal gut"),EXACT(metadata!G671,"Animal secretion")))</f>
        <v>0</v>
      </c>
      <c r="AJ671" t="b">
        <f>OR(AND(IF(metadata!H671="",FALSE,TRUE),OR(EXACT(metadata!H671,"missing: not collected"),EXACT(metadata!H671,"missing: not provided"),EXACT(metadata!H671,"missing: restricted access"))),AND(IF(metadata!H671="",FALSE,TRUE),OR(EXACT(metadata!H671,"organism-associated habitat"),EXACT(metadata!H671,"plant-associated habitat"),EXACT(metadata!H671,"animal-associated habitat"),EXACT(metadata!H671,"insecta-associated habitat"),EXACT(metadata!H671,"mammalia-associated habitat"),EXACT(metadata!H671,"human-associated habitat"),EXACT(metadata!H671,"livestock-associated habitat"))))</f>
        <v>0</v>
      </c>
      <c r="AK671" t="b">
        <f>AND(IF(metadata!I671="",FALSE,TRUE),EXACT(metadata!I671,"host-associated"))</f>
        <v>0</v>
      </c>
      <c r="AL671" t="b">
        <f>OR(AND(IF(metadata!J671="",FALSE,TRUE),OR(EXACT(metadata!J671,"not applicable"),EXACT(metadata!J671,"missing: not collected"),EXACT(metadata!J671,"missing: not provided"),EXACT(metadata!J671,"missing: restricted access"))),AND(IF(metadata!J671="",FALSE,ISNUMBER(VALUE(metadata!J671))),metadata!J671&gt;0))</f>
        <v>0</v>
      </c>
      <c r="AM671" t="b">
        <f>AND(IF(metadata!K671="",FALSE,TRUE),EXACT(metadata!K671,"missing: not provided"))</f>
        <v>0</v>
      </c>
      <c r="AN671" t="b">
        <f>IF(metadata!L671="",FALSE,TRUE)</f>
        <v>0</v>
      </c>
      <c r="AO671" t="b">
        <f>IF(metadata!M671="",FALSE,TRUE)</f>
        <v>0</v>
      </c>
      <c r="AP671" t="b">
        <f>OR(AND(IF(metadata!N671="",FALSE,TRUE),OR(EXACT(metadata!N671,"not applicable"),EXACT(metadata!N671,"missing: not collected"),EXACT(metadata!N671,"missing: not provided"))),AND(IF(metadata!N671="",FALSE,IF(ISERROR(INT(metadata!N671)),FALSE,INT(metadata!N671)=metadata!N671)),metadata!N671&gt;0))</f>
        <v>0</v>
      </c>
      <c r="AQ671" t="b">
        <f>AND(IF(metadata!O671="",FALSE,TRUE),EXACT(metadata!O671,"Not applicable"))</f>
        <v>0</v>
      </c>
      <c r="AR671" t="b">
        <f>OR(AND(IF(metadata!P671="",FALSE,TRUE),OR(EXACT(metadata!P671,"not applicable"),EXACT(metadata!P671,"missing: not collected"),EXACT(metadata!P671,"missing: not provided"),EXACT(metadata!P671,"missing: restricted access"))),IF(metadata!P671="",FALSE,IF(ISERROR(INT(metadata!P671)),FALSE,INT(metadata!P671)=metadata!P671)))</f>
        <v>0</v>
      </c>
      <c r="AS671" t="b">
        <f>AND(IF(metadata!Q671="",FALSE,TRUE),EXACT(metadata!Q671,"Not applicable"))</f>
        <v>0</v>
      </c>
      <c r="AT671" t="b">
        <f>OR(AND(IF(metadata!R671="",FALSE,TRUE),OR(EXACT(metadata!R671,"not applicable"),EXACT(metadata!R671,"missing: not collected"),EXACT(metadata!R671,"missing: not provided"),EXACT(metadata!R671,"missing: restricted access"))),AND(IF(metadata!R671="",FALSE,ISNUMBER(VALUE(metadata!R671))),metadata!R671&gt;0))</f>
        <v>0</v>
      </c>
      <c r="AU671" t="b">
        <f>AND(IF(metadata!S671="",FALSE,TRUE),EXACT(metadata!S671,"missing: not provided"))</f>
        <v>0</v>
      </c>
    </row>
    <row r="672" spans="1:47" x14ac:dyDescent="0.2">
      <c r="A672" s="5" t="str">
        <f ca="1">IF(B672=" "," ",HYPERLINK(CONCATENATE("#metadata!",ADDRESS(INDEX($Y$2:$Y$1001,MATCH(ROWS($W$2:W672),$W$2:$W$1001,0),0),1)),INDEX($AB$2:$AB$1001,MATCH(ROWS($W$2:W672),$W$2:$W$1001,0),0)))</f>
        <v xml:space="preserve"> </v>
      </c>
      <c r="B672" s="4" t="str">
        <f ca="1">IF(OR(INDEX($X$2:$X$1001,MATCH(ROWS($W$2:W672),$W$2:$W$1001,0),1)&gt;=100000,INDEX($AD$1005:$AU$1005,1,MATCH(COLUMNS($AD$1006:AD1006),$AD$1006:$AU$1006,0))&gt;=100000), " ",IF(INDEX($AD$2:$AU$1001,MATCH(ROWS($W$2:W672),$W$2:$W$1001,0),MATCH(COLUMNS($AD$1006:AD1006),$AD$1006:$AU$1006,0)), HYPERLINK("#",""), HYPERLINK(CONCATENATE("#metadata!", ADDRESS(INDEX($Y$2:$Y$1001,MATCH(ROWS($W$2:W672),$W$2:$W$1001,0),0), INDEX($AD$1004:$AU$1004,1,MATCH(COLUMNS($AD$1006:AD1006),$AD$1006:$AU$1006,0)))),"Fix")))</f>
        <v xml:space="preserve"> </v>
      </c>
      <c r="C672" s="4" t="str">
        <f ca="1">IF(OR(INDEX($X$2:$X$1001,MATCH(ROWS($W$2:W672),$W$2:$W$1001,0),1)&gt;=100000,INDEX($AD$1005:$AU$1005,1,MATCH(COLUMNS($AD$1006:AE1006),$AD$1006:$AU$1006,0))&gt;=100000), " ",IF(INDEX($AD$2:$AU$1001,MATCH(ROWS($W$2:W672),$W$2:$W$1001,0),MATCH(COLUMNS($AD$1006:AE1006),$AD$1006:$AU$1006,0)), HYPERLINK("#",""), HYPERLINK(CONCATENATE("#metadata!", ADDRESS(INDEX($Y$2:$Y$1001,MATCH(ROWS($W$2:W672),$W$2:$W$1001,0),0), INDEX($AD$1004:$AU$1004,1,MATCH(COLUMNS($AD$1006:AE1006),$AD$1006:$AU$1006,0)))),"Fix")))</f>
        <v xml:space="preserve"> </v>
      </c>
      <c r="D672" s="4" t="str">
        <f ca="1">IF(OR(INDEX($X$2:$X$1001,MATCH(ROWS($W$2:W672),$W$2:$W$1001,0),1)&gt;=100000,INDEX($AD$1005:$AU$1005,1,MATCH(COLUMNS($AD$1006:AF1006),$AD$1006:$AU$1006,0))&gt;=100000), " ",IF(INDEX($AD$2:$AU$1001,MATCH(ROWS($W$2:W672),$W$2:$W$1001,0),MATCH(COLUMNS($AD$1006:AF1006),$AD$1006:$AU$1006,0)), HYPERLINK("#",""), HYPERLINK(CONCATENATE("#metadata!", ADDRESS(INDEX($Y$2:$Y$1001,MATCH(ROWS($W$2:W672),$W$2:$W$1001,0),0), INDEX($AD$1004:$AU$1004,1,MATCH(COLUMNS($AD$1006:AF1006),$AD$1006:$AU$1006,0)))),"Fix")))</f>
        <v xml:space="preserve"> </v>
      </c>
      <c r="E672" s="4" t="str">
        <f ca="1">IF(OR(INDEX($X$2:$X$1001,MATCH(ROWS($W$2:W672),$W$2:$W$1001,0),1)&gt;=100000,INDEX($AD$1005:$AU$1005,1,MATCH(COLUMNS($AD$1006:AG1006),$AD$1006:$AU$1006,0))&gt;=100000), " ",IF(INDEX($AD$2:$AU$1001,MATCH(ROWS($W$2:W672),$W$2:$W$1001,0),MATCH(COLUMNS($AD$1006:AG1006),$AD$1006:$AU$1006,0)), HYPERLINK("#",""), HYPERLINK(CONCATENATE("#metadata!", ADDRESS(INDEX($Y$2:$Y$1001,MATCH(ROWS($W$2:W672),$W$2:$W$1001,0),0), INDEX($AD$1004:$AU$1004,1,MATCH(COLUMNS($AD$1006:AG1006),$AD$1006:$AU$1006,0)))),"Fix")))</f>
        <v xml:space="preserve"> </v>
      </c>
      <c r="F672" s="4" t="str">
        <f ca="1">IF(OR(INDEX($X$2:$X$1001,MATCH(ROWS($W$2:W672),$W$2:$W$1001,0),1)&gt;=100000,INDEX($AD$1005:$AU$1005,1,MATCH(COLUMNS($AD$1006:AH1006),$AD$1006:$AU$1006,0))&gt;=100000), " ",IF(INDEX($AD$2:$AU$1001,MATCH(ROWS($W$2:W672),$W$2:$W$1001,0),MATCH(COLUMNS($AD$1006:AH1006),$AD$1006:$AU$1006,0)), HYPERLINK("#",""), HYPERLINK(CONCATENATE("#metadata!", ADDRESS(INDEX($Y$2:$Y$1001,MATCH(ROWS($W$2:W672),$W$2:$W$1001,0),0), INDEX($AD$1004:$AU$1004,1,MATCH(COLUMNS($AD$1006:AH1006),$AD$1006:$AU$1006,0)))),"Fix")))</f>
        <v xml:space="preserve"> </v>
      </c>
      <c r="G672" s="4" t="str">
        <f ca="1">IF(OR(INDEX($X$2:$X$1001,MATCH(ROWS($W$2:W672),$W$2:$W$1001,0),1)&gt;=100000,INDEX($AD$1005:$AU$1005,1,MATCH(COLUMNS($AD$1006:AI1006),$AD$1006:$AU$1006,0))&gt;=100000), " ",IF(INDEX($AD$2:$AU$1001,MATCH(ROWS($W$2:W672),$W$2:$W$1001,0),MATCH(COLUMNS($AD$1006:AI1006),$AD$1006:$AU$1006,0)), HYPERLINK("#",""), HYPERLINK(CONCATENATE("#metadata!", ADDRESS(INDEX($Y$2:$Y$1001,MATCH(ROWS($W$2:W672),$W$2:$W$1001,0),0), INDEX($AD$1004:$AU$1004,1,MATCH(COLUMNS($AD$1006:AI1006),$AD$1006:$AU$1006,0)))),"Fix")))</f>
        <v xml:space="preserve"> </v>
      </c>
      <c r="H672" s="4" t="str">
        <f ca="1">IF(OR(INDEX($X$2:$X$1001,MATCH(ROWS($W$2:W672),$W$2:$W$1001,0),1)&gt;=100000,INDEX($AD$1005:$AU$1005,1,MATCH(COLUMNS($AD$1006:AJ1006),$AD$1006:$AU$1006,0))&gt;=100000), " ",IF(INDEX($AD$2:$AU$1001,MATCH(ROWS($W$2:W672),$W$2:$W$1001,0),MATCH(COLUMNS($AD$1006:AJ1006),$AD$1006:$AU$1006,0)), HYPERLINK("#",""), HYPERLINK(CONCATENATE("#metadata!", ADDRESS(INDEX($Y$2:$Y$1001,MATCH(ROWS($W$2:W672),$W$2:$W$1001,0),0), INDEX($AD$1004:$AU$1004,1,MATCH(COLUMNS($AD$1006:AJ1006),$AD$1006:$AU$1006,0)))),"Fix")))</f>
        <v xml:space="preserve"> </v>
      </c>
      <c r="I672" s="4" t="str">
        <f ca="1">IF(OR(INDEX($X$2:$X$1001,MATCH(ROWS($W$2:W672),$W$2:$W$1001,0),1)&gt;=100000,INDEX($AD$1005:$AU$1005,1,MATCH(COLUMNS($AD$1006:AK1006),$AD$1006:$AU$1006,0))&gt;=100000), " ",IF(INDEX($AD$2:$AU$1001,MATCH(ROWS($W$2:W672),$W$2:$W$1001,0),MATCH(COLUMNS($AD$1006:AK1006),$AD$1006:$AU$1006,0)), HYPERLINK("#",""), HYPERLINK(CONCATENATE("#metadata!", ADDRESS(INDEX($Y$2:$Y$1001,MATCH(ROWS($W$2:W672),$W$2:$W$1001,0),0), INDEX($AD$1004:$AU$1004,1,MATCH(COLUMNS($AD$1006:AK1006),$AD$1006:$AU$1006,0)))),"Fix")))</f>
        <v xml:space="preserve"> </v>
      </c>
      <c r="J672" s="4" t="str">
        <f ca="1">IF(OR(INDEX($X$2:$X$1001,MATCH(ROWS($W$2:W672),$W$2:$W$1001,0),1)&gt;=100000,INDEX($AD$1005:$AU$1005,1,MATCH(COLUMNS($AD$1006:AL1006),$AD$1006:$AU$1006,0))&gt;=100000), " ",IF(INDEX($AD$2:$AU$1001,MATCH(ROWS($W$2:W672),$W$2:$W$1001,0),MATCH(COLUMNS($AD$1006:AL1006),$AD$1006:$AU$1006,0)), HYPERLINK("#",""), HYPERLINK(CONCATENATE("#metadata!", ADDRESS(INDEX($Y$2:$Y$1001,MATCH(ROWS($W$2:W672),$W$2:$W$1001,0),0), INDEX($AD$1004:$AU$1004,1,MATCH(COLUMNS($AD$1006:AL1006),$AD$1006:$AU$1006,0)))),"Fix")))</f>
        <v xml:space="preserve"> </v>
      </c>
      <c r="K672" s="4" t="str">
        <f ca="1">IF(OR(INDEX($X$2:$X$1001,MATCH(ROWS($W$2:W672),$W$2:$W$1001,0),1)&gt;=100000,INDEX($AD$1005:$AU$1005,1,MATCH(COLUMNS($AD$1006:AM1006),$AD$1006:$AU$1006,0))&gt;=100000), " ",IF(INDEX($AD$2:$AU$1001,MATCH(ROWS($W$2:W672),$W$2:$W$1001,0),MATCH(COLUMNS($AD$1006:AM1006),$AD$1006:$AU$1006,0)), HYPERLINK("#",""), HYPERLINK(CONCATENATE("#metadata!", ADDRESS(INDEX($Y$2:$Y$1001,MATCH(ROWS($W$2:W672),$W$2:$W$1001,0),0), INDEX($AD$1004:$AU$1004,1,MATCH(COLUMNS($AD$1006:AM1006),$AD$1006:$AU$1006,0)))),"Fix")))</f>
        <v xml:space="preserve"> </v>
      </c>
      <c r="L672" s="4" t="str">
        <f ca="1">IF(OR(INDEX($X$2:$X$1001,MATCH(ROWS($W$2:W672),$W$2:$W$1001,0),1)&gt;=100000,INDEX($AD$1005:$AU$1005,1,MATCH(COLUMNS($AD$1006:AN1006),$AD$1006:$AU$1006,0))&gt;=100000), " ",IF(INDEX($AD$2:$AU$1001,MATCH(ROWS($W$2:W672),$W$2:$W$1001,0),MATCH(COLUMNS($AD$1006:AN1006),$AD$1006:$AU$1006,0)), HYPERLINK("#",""), HYPERLINK(CONCATENATE("#metadata!", ADDRESS(INDEX($Y$2:$Y$1001,MATCH(ROWS($W$2:W672),$W$2:$W$1001,0),0), INDEX($AD$1004:$AU$1004,1,MATCH(COLUMNS($AD$1006:AN1006),$AD$1006:$AU$1006,0)))),"Fix")))</f>
        <v xml:space="preserve"> </v>
      </c>
      <c r="M672" s="4" t="str">
        <f ca="1">IF(OR(INDEX($X$2:$X$1001,MATCH(ROWS($W$2:W672),$W$2:$W$1001,0),1)&gt;=100000,INDEX($AD$1005:$AU$1005,1,MATCH(COLUMNS($AD$1006:AO1006),$AD$1006:$AU$1006,0))&gt;=100000), " ",IF(INDEX($AD$2:$AU$1001,MATCH(ROWS($W$2:W672),$W$2:$W$1001,0),MATCH(COLUMNS($AD$1006:AO1006),$AD$1006:$AU$1006,0)), HYPERLINK("#",""), HYPERLINK(CONCATENATE("#metadata!", ADDRESS(INDEX($Y$2:$Y$1001,MATCH(ROWS($W$2:W672),$W$2:$W$1001,0),0), INDEX($AD$1004:$AU$1004,1,MATCH(COLUMNS($AD$1006:AO1006),$AD$1006:$AU$1006,0)))),"Fix")))</f>
        <v xml:space="preserve"> </v>
      </c>
      <c r="N672" s="4" t="str">
        <f ca="1">IF(OR(INDEX($X$2:$X$1001,MATCH(ROWS($W$2:W672),$W$2:$W$1001,0),1)&gt;=100000,INDEX($AD$1005:$AU$1005,1,MATCH(COLUMNS($AD$1006:AP1006),$AD$1006:$AU$1006,0))&gt;=100000), " ",IF(INDEX($AD$2:$AU$1001,MATCH(ROWS($W$2:W672),$W$2:$W$1001,0),MATCH(COLUMNS($AD$1006:AP1006),$AD$1006:$AU$1006,0)), HYPERLINK("#",""), HYPERLINK(CONCATENATE("#metadata!", ADDRESS(INDEX($Y$2:$Y$1001,MATCH(ROWS($W$2:W672),$W$2:$W$1001,0),0), INDEX($AD$1004:$AU$1004,1,MATCH(COLUMNS($AD$1006:AP1006),$AD$1006:$AU$1006,0)))),"Fix")))</f>
        <v xml:space="preserve"> </v>
      </c>
      <c r="O672" s="4" t="str">
        <f ca="1">IF(OR(INDEX($X$2:$X$1001,MATCH(ROWS($W$2:W672),$W$2:$W$1001,0),1)&gt;=100000,INDEX($AD$1005:$AU$1005,1,MATCH(COLUMNS($AD$1006:AQ1006),$AD$1006:$AU$1006,0))&gt;=100000), " ",IF(INDEX($AD$2:$AU$1001,MATCH(ROWS($W$2:W672),$W$2:$W$1001,0),MATCH(COLUMNS($AD$1006:AQ1006),$AD$1006:$AU$1006,0)), HYPERLINK("#",""), HYPERLINK(CONCATENATE("#metadata!", ADDRESS(INDEX($Y$2:$Y$1001,MATCH(ROWS($W$2:W672),$W$2:$W$1001,0),0), INDEX($AD$1004:$AU$1004,1,MATCH(COLUMNS($AD$1006:AQ1006),$AD$1006:$AU$1006,0)))),"Fix")))</f>
        <v xml:space="preserve"> </v>
      </c>
      <c r="P672" s="4" t="str">
        <f ca="1">IF(OR(INDEX($X$2:$X$1001,MATCH(ROWS($W$2:W672),$W$2:$W$1001,0),1)&gt;=100000,INDEX($AD$1005:$AU$1005,1,MATCH(COLUMNS($AD$1006:AR1006),$AD$1006:$AU$1006,0))&gt;=100000), " ",IF(INDEX($AD$2:$AU$1001,MATCH(ROWS($W$2:W672),$W$2:$W$1001,0),MATCH(COLUMNS($AD$1006:AR1006),$AD$1006:$AU$1006,0)), HYPERLINK("#",""), HYPERLINK(CONCATENATE("#metadata!", ADDRESS(INDEX($Y$2:$Y$1001,MATCH(ROWS($W$2:W672),$W$2:$W$1001,0),0), INDEX($AD$1004:$AU$1004,1,MATCH(COLUMNS($AD$1006:AR1006),$AD$1006:$AU$1006,0)))),"Fix")))</f>
        <v xml:space="preserve"> </v>
      </c>
      <c r="Q672" s="4" t="str">
        <f ca="1">IF(OR(INDEX($X$2:$X$1001,MATCH(ROWS($W$2:W672),$W$2:$W$1001,0),1)&gt;=100000,INDEX($AD$1005:$AU$1005,1,MATCH(COLUMNS($AD$1006:AS1006),$AD$1006:$AU$1006,0))&gt;=100000), " ",IF(INDEX($AD$2:$AU$1001,MATCH(ROWS($W$2:W672),$W$2:$W$1001,0),MATCH(COLUMNS($AD$1006:AS1006),$AD$1006:$AU$1006,0)), HYPERLINK("#",""), HYPERLINK(CONCATENATE("#metadata!", ADDRESS(INDEX($Y$2:$Y$1001,MATCH(ROWS($W$2:W672),$W$2:$W$1001,0),0), INDEX($AD$1004:$AU$1004,1,MATCH(COLUMNS($AD$1006:AS1006),$AD$1006:$AU$1006,0)))),"Fix")))</f>
        <v xml:space="preserve"> </v>
      </c>
      <c r="R672" s="4" t="str">
        <f ca="1">IF(OR(INDEX($X$2:$X$1001,MATCH(ROWS($W$2:W672),$W$2:$W$1001,0),1)&gt;=100000,INDEX($AD$1005:$AU$1005,1,MATCH(COLUMNS($AD$1006:AT1006),$AD$1006:$AU$1006,0))&gt;=100000), " ",IF(INDEX($AD$2:$AU$1001,MATCH(ROWS($W$2:W672),$W$2:$W$1001,0),MATCH(COLUMNS($AD$1006:AT1006),$AD$1006:$AU$1006,0)), HYPERLINK("#",""), HYPERLINK(CONCATENATE("#metadata!", ADDRESS(INDEX($Y$2:$Y$1001,MATCH(ROWS($W$2:W672),$W$2:$W$1001,0),0), INDEX($AD$1004:$AU$1004,1,MATCH(COLUMNS($AD$1006:AT1006),$AD$1006:$AU$1006,0)))),"Fix")))</f>
        <v xml:space="preserve"> </v>
      </c>
      <c r="S672" s="4" t="str">
        <f ca="1">IF(OR(INDEX($X$2:$X$1001,MATCH(ROWS($W$2:W672),$W$2:$W$1001,0),1)&gt;=100000,INDEX($AD$1005:$AU$1005,1,MATCH(COLUMNS($AD$1006:AU1006),$AD$1006:$AU$1006,0))&gt;=100000), " ",IF(INDEX($AD$2:$AU$1001,MATCH(ROWS($W$2:W672),$W$2:$W$1001,0),MATCH(COLUMNS($AD$1006:AU1006),$AD$1006:$AU$1006,0)), HYPERLINK("#",""), HYPERLINK(CONCATENATE("#metadata!", ADDRESS(INDEX($Y$2:$Y$1001,MATCH(ROWS($W$2:W672),$W$2:$W$1001,0),0), INDEX($AD$1004:$AU$1004,1,MATCH(COLUMNS($AD$1006:AU1006),$AD$1006:$AU$1006,0)))),"Fix")))</f>
        <v xml:space="preserve"> </v>
      </c>
      <c r="W672">
        <v>671</v>
      </c>
      <c r="X672">
        <v>100672</v>
      </c>
      <c r="Y672">
        <v>672</v>
      </c>
      <c r="Z672" t="b">
        <f t="shared" si="10"/>
        <v>1</v>
      </c>
      <c r="AA672" t="b">
        <f>COUNTBLANK(metadata!B672:S672)=COLUMNS(metadata!B672:S672)</f>
        <v>1</v>
      </c>
      <c r="AB672" t="str">
        <v/>
      </c>
      <c r="AD672" t="b">
        <f ca="1">AND(IF(metadata!B672="",FALSE,TRUE),COUNTIF(metadata!B:B, metadata!B672) = 1,NOT(ISERROR(SUMPRODUCT(SEARCH(MID(metadata!B672,ROW(INDIRECT("1:"&amp;LEN(metadata!B672))), 1),"0123456789abcdefghijklmnopqrstuvwxyzABCDEFGHIJKLMNOPQRSTUVWXYZ.")))))</f>
        <v>0</v>
      </c>
      <c r="AE672" t="b">
        <f>OR(AND(IF(metadata!C672="",FALSE,TRUE),OR(EXACT(metadata!C672,"not applicable"),EXACT(metadata!C672,"missing: not collected"),EXACT(metadata!C672,"missing: not provided"),EXACT(metadata!C672,"missing: restricted access"))),AND(IF(metadata!C672="",FALSE,ISNUMBER(VALUE(metadata!C672))),metadata!C672&gt;0))</f>
        <v>0</v>
      </c>
      <c r="AF672" t="b">
        <f>AND(IF(metadata!D672="",FALSE,TRUE),EXACT(metadata!D672,"missing: not provided"))</f>
        <v>0</v>
      </c>
      <c r="AG672" t="b">
        <f>AND(IF(metadata!E672="",FALSE,TRUE),EXACT(metadata!E672,"Host-associated"))</f>
        <v>0</v>
      </c>
      <c r="AH672" t="b">
        <f>AND(IF(metadata!F672="",FALSE,TRUE),OR(EXACT(metadata!F672,"Animal"),EXACT(metadata!F672,"Fungus"),EXACT(metadata!F672,"Plant")))</f>
        <v>0</v>
      </c>
      <c r="AI672" t="b">
        <f>AND(IF(metadata!G672="",FALSE,TRUE),OR(EXACT(metadata!G672,"Plant secretion"),EXACT(metadata!G672,"Plant rhizosphere"),EXACT(metadata!G672,"Plant surface"),EXACT(metadata!G672,"Plant corpus"),EXACT(metadata!G672,"Fungus surface"),EXACT(metadata!G672,"Fungus corpus"),EXACT(metadata!G672,"Animal surface"),EXACT(metadata!G672,"Animal proximal gut"),EXACT(metadata!G672,"Animal corpus"),EXACT(metadata!G672,"Animal distal gut"),EXACT(metadata!G672,"Animal secretion")))</f>
        <v>0</v>
      </c>
      <c r="AJ672" t="b">
        <f>OR(AND(IF(metadata!H672="",FALSE,TRUE),OR(EXACT(metadata!H672,"missing: not collected"),EXACT(metadata!H672,"missing: not provided"),EXACT(metadata!H672,"missing: restricted access"))),AND(IF(metadata!H672="",FALSE,TRUE),OR(EXACT(metadata!H672,"organism-associated habitat"),EXACT(metadata!H672,"plant-associated habitat"),EXACT(metadata!H672,"animal-associated habitat"),EXACT(metadata!H672,"insecta-associated habitat"),EXACT(metadata!H672,"mammalia-associated habitat"),EXACT(metadata!H672,"human-associated habitat"),EXACT(metadata!H672,"livestock-associated habitat"))))</f>
        <v>0</v>
      </c>
      <c r="AK672" t="b">
        <f>AND(IF(metadata!I672="",FALSE,TRUE),EXACT(metadata!I672,"host-associated"))</f>
        <v>0</v>
      </c>
      <c r="AL672" t="b">
        <f>OR(AND(IF(metadata!J672="",FALSE,TRUE),OR(EXACT(metadata!J672,"not applicable"),EXACT(metadata!J672,"missing: not collected"),EXACT(metadata!J672,"missing: not provided"),EXACT(metadata!J672,"missing: restricted access"))),AND(IF(metadata!J672="",FALSE,ISNUMBER(VALUE(metadata!J672))),metadata!J672&gt;0))</f>
        <v>0</v>
      </c>
      <c r="AM672" t="b">
        <f>AND(IF(metadata!K672="",FALSE,TRUE),EXACT(metadata!K672,"missing: not provided"))</f>
        <v>0</v>
      </c>
      <c r="AN672" t="b">
        <f>IF(metadata!L672="",FALSE,TRUE)</f>
        <v>0</v>
      </c>
      <c r="AO672" t="b">
        <f>IF(metadata!M672="",FALSE,TRUE)</f>
        <v>0</v>
      </c>
      <c r="AP672" t="b">
        <f>OR(AND(IF(metadata!N672="",FALSE,TRUE),OR(EXACT(metadata!N672,"not applicable"),EXACT(metadata!N672,"missing: not collected"),EXACT(metadata!N672,"missing: not provided"))),AND(IF(metadata!N672="",FALSE,IF(ISERROR(INT(metadata!N672)),FALSE,INT(metadata!N672)=metadata!N672)),metadata!N672&gt;0))</f>
        <v>0</v>
      </c>
      <c r="AQ672" t="b">
        <f>AND(IF(metadata!O672="",FALSE,TRUE),EXACT(metadata!O672,"Not applicable"))</f>
        <v>0</v>
      </c>
      <c r="AR672" t="b">
        <f>OR(AND(IF(metadata!P672="",FALSE,TRUE),OR(EXACT(metadata!P672,"not applicable"),EXACT(metadata!P672,"missing: not collected"),EXACT(metadata!P672,"missing: not provided"),EXACT(metadata!P672,"missing: restricted access"))),IF(metadata!P672="",FALSE,IF(ISERROR(INT(metadata!P672)),FALSE,INT(metadata!P672)=metadata!P672)))</f>
        <v>0</v>
      </c>
      <c r="AS672" t="b">
        <f>AND(IF(metadata!Q672="",FALSE,TRUE),EXACT(metadata!Q672,"Not applicable"))</f>
        <v>0</v>
      </c>
      <c r="AT672" t="b">
        <f>OR(AND(IF(metadata!R672="",FALSE,TRUE),OR(EXACT(metadata!R672,"not applicable"),EXACT(metadata!R672,"missing: not collected"),EXACT(metadata!R672,"missing: not provided"),EXACT(metadata!R672,"missing: restricted access"))),AND(IF(metadata!R672="",FALSE,ISNUMBER(VALUE(metadata!R672))),metadata!R672&gt;0))</f>
        <v>0</v>
      </c>
      <c r="AU672" t="b">
        <f>AND(IF(metadata!S672="",FALSE,TRUE),EXACT(metadata!S672,"missing: not provided"))</f>
        <v>0</v>
      </c>
    </row>
    <row r="673" spans="1:47" x14ac:dyDescent="0.2">
      <c r="A673" s="5" t="str">
        <f ca="1">IF(B673=" "," ",HYPERLINK(CONCATENATE("#metadata!",ADDRESS(INDEX($Y$2:$Y$1001,MATCH(ROWS($W$2:W673),$W$2:$W$1001,0),0),1)),INDEX($AB$2:$AB$1001,MATCH(ROWS($W$2:W673),$W$2:$W$1001,0),0)))</f>
        <v xml:space="preserve"> </v>
      </c>
      <c r="B673" s="4" t="str">
        <f ca="1">IF(OR(INDEX($X$2:$X$1001,MATCH(ROWS($W$2:W673),$W$2:$W$1001,0),1)&gt;=100000,INDEX($AD$1005:$AU$1005,1,MATCH(COLUMNS($AD$1006:AD1006),$AD$1006:$AU$1006,0))&gt;=100000), " ",IF(INDEX($AD$2:$AU$1001,MATCH(ROWS($W$2:W673),$W$2:$W$1001,0),MATCH(COLUMNS($AD$1006:AD1006),$AD$1006:$AU$1006,0)), HYPERLINK("#",""), HYPERLINK(CONCATENATE("#metadata!", ADDRESS(INDEX($Y$2:$Y$1001,MATCH(ROWS($W$2:W673),$W$2:$W$1001,0),0), INDEX($AD$1004:$AU$1004,1,MATCH(COLUMNS($AD$1006:AD1006),$AD$1006:$AU$1006,0)))),"Fix")))</f>
        <v xml:space="preserve"> </v>
      </c>
      <c r="C673" s="4" t="str">
        <f ca="1">IF(OR(INDEX($X$2:$X$1001,MATCH(ROWS($W$2:W673),$W$2:$W$1001,0),1)&gt;=100000,INDEX($AD$1005:$AU$1005,1,MATCH(COLUMNS($AD$1006:AE1006),$AD$1006:$AU$1006,0))&gt;=100000), " ",IF(INDEX($AD$2:$AU$1001,MATCH(ROWS($W$2:W673),$W$2:$W$1001,0),MATCH(COLUMNS($AD$1006:AE1006),$AD$1006:$AU$1006,0)), HYPERLINK("#",""), HYPERLINK(CONCATENATE("#metadata!", ADDRESS(INDEX($Y$2:$Y$1001,MATCH(ROWS($W$2:W673),$W$2:$W$1001,0),0), INDEX($AD$1004:$AU$1004,1,MATCH(COLUMNS($AD$1006:AE1006),$AD$1006:$AU$1006,0)))),"Fix")))</f>
        <v xml:space="preserve"> </v>
      </c>
      <c r="D673" s="4" t="str">
        <f ca="1">IF(OR(INDEX($X$2:$X$1001,MATCH(ROWS($W$2:W673),$W$2:$W$1001,0),1)&gt;=100000,INDEX($AD$1005:$AU$1005,1,MATCH(COLUMNS($AD$1006:AF1006),$AD$1006:$AU$1006,0))&gt;=100000), " ",IF(INDEX($AD$2:$AU$1001,MATCH(ROWS($W$2:W673),$W$2:$W$1001,0),MATCH(COLUMNS($AD$1006:AF1006),$AD$1006:$AU$1006,0)), HYPERLINK("#",""), HYPERLINK(CONCATENATE("#metadata!", ADDRESS(INDEX($Y$2:$Y$1001,MATCH(ROWS($W$2:W673),$W$2:$W$1001,0),0), INDEX($AD$1004:$AU$1004,1,MATCH(COLUMNS($AD$1006:AF1006),$AD$1006:$AU$1006,0)))),"Fix")))</f>
        <v xml:space="preserve"> </v>
      </c>
      <c r="E673" s="4" t="str">
        <f ca="1">IF(OR(INDEX($X$2:$X$1001,MATCH(ROWS($W$2:W673),$W$2:$W$1001,0),1)&gt;=100000,INDEX($AD$1005:$AU$1005,1,MATCH(COLUMNS($AD$1006:AG1006),$AD$1006:$AU$1006,0))&gt;=100000), " ",IF(INDEX($AD$2:$AU$1001,MATCH(ROWS($W$2:W673),$W$2:$W$1001,0),MATCH(COLUMNS($AD$1006:AG1006),$AD$1006:$AU$1006,0)), HYPERLINK("#",""), HYPERLINK(CONCATENATE("#metadata!", ADDRESS(INDEX($Y$2:$Y$1001,MATCH(ROWS($W$2:W673),$W$2:$W$1001,0),0), INDEX($AD$1004:$AU$1004,1,MATCH(COLUMNS($AD$1006:AG1006),$AD$1006:$AU$1006,0)))),"Fix")))</f>
        <v xml:space="preserve"> </v>
      </c>
      <c r="F673" s="4" t="str">
        <f ca="1">IF(OR(INDEX($X$2:$X$1001,MATCH(ROWS($W$2:W673),$W$2:$W$1001,0),1)&gt;=100000,INDEX($AD$1005:$AU$1005,1,MATCH(COLUMNS($AD$1006:AH1006),$AD$1006:$AU$1006,0))&gt;=100000), " ",IF(INDEX($AD$2:$AU$1001,MATCH(ROWS($W$2:W673),$W$2:$W$1001,0),MATCH(COLUMNS($AD$1006:AH1006),$AD$1006:$AU$1006,0)), HYPERLINK("#",""), HYPERLINK(CONCATENATE("#metadata!", ADDRESS(INDEX($Y$2:$Y$1001,MATCH(ROWS($W$2:W673),$W$2:$W$1001,0),0), INDEX($AD$1004:$AU$1004,1,MATCH(COLUMNS($AD$1006:AH1006),$AD$1006:$AU$1006,0)))),"Fix")))</f>
        <v xml:space="preserve"> </v>
      </c>
      <c r="G673" s="4" t="str">
        <f ca="1">IF(OR(INDEX($X$2:$X$1001,MATCH(ROWS($W$2:W673),$W$2:$W$1001,0),1)&gt;=100000,INDEX($AD$1005:$AU$1005,1,MATCH(COLUMNS($AD$1006:AI1006),$AD$1006:$AU$1006,0))&gt;=100000), " ",IF(INDEX($AD$2:$AU$1001,MATCH(ROWS($W$2:W673),$W$2:$W$1001,0),MATCH(COLUMNS($AD$1006:AI1006),$AD$1006:$AU$1006,0)), HYPERLINK("#",""), HYPERLINK(CONCATENATE("#metadata!", ADDRESS(INDEX($Y$2:$Y$1001,MATCH(ROWS($W$2:W673),$W$2:$W$1001,0),0), INDEX($AD$1004:$AU$1004,1,MATCH(COLUMNS($AD$1006:AI1006),$AD$1006:$AU$1006,0)))),"Fix")))</f>
        <v xml:space="preserve"> </v>
      </c>
      <c r="H673" s="4" t="str">
        <f ca="1">IF(OR(INDEX($X$2:$X$1001,MATCH(ROWS($W$2:W673),$W$2:$W$1001,0),1)&gt;=100000,INDEX($AD$1005:$AU$1005,1,MATCH(COLUMNS($AD$1006:AJ1006),$AD$1006:$AU$1006,0))&gt;=100000), " ",IF(INDEX($AD$2:$AU$1001,MATCH(ROWS($W$2:W673),$W$2:$W$1001,0),MATCH(COLUMNS($AD$1006:AJ1006),$AD$1006:$AU$1006,0)), HYPERLINK("#",""), HYPERLINK(CONCATENATE("#metadata!", ADDRESS(INDEX($Y$2:$Y$1001,MATCH(ROWS($W$2:W673),$W$2:$W$1001,0),0), INDEX($AD$1004:$AU$1004,1,MATCH(COLUMNS($AD$1006:AJ1006),$AD$1006:$AU$1006,0)))),"Fix")))</f>
        <v xml:space="preserve"> </v>
      </c>
      <c r="I673" s="4" t="str">
        <f ca="1">IF(OR(INDEX($X$2:$X$1001,MATCH(ROWS($W$2:W673),$W$2:$W$1001,0),1)&gt;=100000,INDEX($AD$1005:$AU$1005,1,MATCH(COLUMNS($AD$1006:AK1006),$AD$1006:$AU$1006,0))&gt;=100000), " ",IF(INDEX($AD$2:$AU$1001,MATCH(ROWS($W$2:W673),$W$2:$W$1001,0),MATCH(COLUMNS($AD$1006:AK1006),$AD$1006:$AU$1006,0)), HYPERLINK("#",""), HYPERLINK(CONCATENATE("#metadata!", ADDRESS(INDEX($Y$2:$Y$1001,MATCH(ROWS($W$2:W673),$W$2:$W$1001,0),0), INDEX($AD$1004:$AU$1004,1,MATCH(COLUMNS($AD$1006:AK1006),$AD$1006:$AU$1006,0)))),"Fix")))</f>
        <v xml:space="preserve"> </v>
      </c>
      <c r="J673" s="4" t="str">
        <f ca="1">IF(OR(INDEX($X$2:$X$1001,MATCH(ROWS($W$2:W673),$W$2:$W$1001,0),1)&gt;=100000,INDEX($AD$1005:$AU$1005,1,MATCH(COLUMNS($AD$1006:AL1006),$AD$1006:$AU$1006,0))&gt;=100000), " ",IF(INDEX($AD$2:$AU$1001,MATCH(ROWS($W$2:W673),$W$2:$W$1001,0),MATCH(COLUMNS($AD$1006:AL1006),$AD$1006:$AU$1006,0)), HYPERLINK("#",""), HYPERLINK(CONCATENATE("#metadata!", ADDRESS(INDEX($Y$2:$Y$1001,MATCH(ROWS($W$2:W673),$W$2:$W$1001,0),0), INDEX($AD$1004:$AU$1004,1,MATCH(COLUMNS($AD$1006:AL1006),$AD$1006:$AU$1006,0)))),"Fix")))</f>
        <v xml:space="preserve"> </v>
      </c>
      <c r="K673" s="4" t="str">
        <f ca="1">IF(OR(INDEX($X$2:$X$1001,MATCH(ROWS($W$2:W673),$W$2:$W$1001,0),1)&gt;=100000,INDEX($AD$1005:$AU$1005,1,MATCH(COLUMNS($AD$1006:AM1006),$AD$1006:$AU$1006,0))&gt;=100000), " ",IF(INDEX($AD$2:$AU$1001,MATCH(ROWS($W$2:W673),$W$2:$W$1001,0),MATCH(COLUMNS($AD$1006:AM1006),$AD$1006:$AU$1006,0)), HYPERLINK("#",""), HYPERLINK(CONCATENATE("#metadata!", ADDRESS(INDEX($Y$2:$Y$1001,MATCH(ROWS($W$2:W673),$W$2:$W$1001,0),0), INDEX($AD$1004:$AU$1004,1,MATCH(COLUMNS($AD$1006:AM1006),$AD$1006:$AU$1006,0)))),"Fix")))</f>
        <v xml:space="preserve"> </v>
      </c>
      <c r="L673" s="4" t="str">
        <f ca="1">IF(OR(INDEX($X$2:$X$1001,MATCH(ROWS($W$2:W673),$W$2:$W$1001,0),1)&gt;=100000,INDEX($AD$1005:$AU$1005,1,MATCH(COLUMNS($AD$1006:AN1006),$AD$1006:$AU$1006,0))&gt;=100000), " ",IF(INDEX($AD$2:$AU$1001,MATCH(ROWS($W$2:W673),$W$2:$W$1001,0),MATCH(COLUMNS($AD$1006:AN1006),$AD$1006:$AU$1006,0)), HYPERLINK("#",""), HYPERLINK(CONCATENATE("#metadata!", ADDRESS(INDEX($Y$2:$Y$1001,MATCH(ROWS($W$2:W673),$W$2:$W$1001,0),0), INDEX($AD$1004:$AU$1004,1,MATCH(COLUMNS($AD$1006:AN1006),$AD$1006:$AU$1006,0)))),"Fix")))</f>
        <v xml:space="preserve"> </v>
      </c>
      <c r="M673" s="4" t="str">
        <f ca="1">IF(OR(INDEX($X$2:$X$1001,MATCH(ROWS($W$2:W673),$W$2:$W$1001,0),1)&gt;=100000,INDEX($AD$1005:$AU$1005,1,MATCH(COLUMNS($AD$1006:AO1006),$AD$1006:$AU$1006,0))&gt;=100000), " ",IF(INDEX($AD$2:$AU$1001,MATCH(ROWS($W$2:W673),$W$2:$W$1001,0),MATCH(COLUMNS($AD$1006:AO1006),$AD$1006:$AU$1006,0)), HYPERLINK("#",""), HYPERLINK(CONCATENATE("#metadata!", ADDRESS(INDEX($Y$2:$Y$1001,MATCH(ROWS($W$2:W673),$W$2:$W$1001,0),0), INDEX($AD$1004:$AU$1004,1,MATCH(COLUMNS($AD$1006:AO1006),$AD$1006:$AU$1006,0)))),"Fix")))</f>
        <v xml:space="preserve"> </v>
      </c>
      <c r="N673" s="4" t="str">
        <f ca="1">IF(OR(INDEX($X$2:$X$1001,MATCH(ROWS($W$2:W673),$W$2:$W$1001,0),1)&gt;=100000,INDEX($AD$1005:$AU$1005,1,MATCH(COLUMNS($AD$1006:AP1006),$AD$1006:$AU$1006,0))&gt;=100000), " ",IF(INDEX($AD$2:$AU$1001,MATCH(ROWS($W$2:W673),$W$2:$W$1001,0),MATCH(COLUMNS($AD$1006:AP1006),$AD$1006:$AU$1006,0)), HYPERLINK("#",""), HYPERLINK(CONCATENATE("#metadata!", ADDRESS(INDEX($Y$2:$Y$1001,MATCH(ROWS($W$2:W673),$W$2:$W$1001,0),0), INDEX($AD$1004:$AU$1004,1,MATCH(COLUMNS($AD$1006:AP1006),$AD$1006:$AU$1006,0)))),"Fix")))</f>
        <v xml:space="preserve"> </v>
      </c>
      <c r="O673" s="4" t="str">
        <f ca="1">IF(OR(INDEX($X$2:$X$1001,MATCH(ROWS($W$2:W673),$W$2:$W$1001,0),1)&gt;=100000,INDEX($AD$1005:$AU$1005,1,MATCH(COLUMNS($AD$1006:AQ1006),$AD$1006:$AU$1006,0))&gt;=100000), " ",IF(INDEX($AD$2:$AU$1001,MATCH(ROWS($W$2:W673),$W$2:$W$1001,0),MATCH(COLUMNS($AD$1006:AQ1006),$AD$1006:$AU$1006,0)), HYPERLINK("#",""), HYPERLINK(CONCATENATE("#metadata!", ADDRESS(INDEX($Y$2:$Y$1001,MATCH(ROWS($W$2:W673),$W$2:$W$1001,0),0), INDEX($AD$1004:$AU$1004,1,MATCH(COLUMNS($AD$1006:AQ1006),$AD$1006:$AU$1006,0)))),"Fix")))</f>
        <v xml:space="preserve"> </v>
      </c>
      <c r="P673" s="4" t="str">
        <f ca="1">IF(OR(INDEX($X$2:$X$1001,MATCH(ROWS($W$2:W673),$W$2:$W$1001,0),1)&gt;=100000,INDEX($AD$1005:$AU$1005,1,MATCH(COLUMNS($AD$1006:AR1006),$AD$1006:$AU$1006,0))&gt;=100000), " ",IF(INDEX($AD$2:$AU$1001,MATCH(ROWS($W$2:W673),$W$2:$W$1001,0),MATCH(COLUMNS($AD$1006:AR1006),$AD$1006:$AU$1006,0)), HYPERLINK("#",""), HYPERLINK(CONCATENATE("#metadata!", ADDRESS(INDEX($Y$2:$Y$1001,MATCH(ROWS($W$2:W673),$W$2:$W$1001,0),0), INDEX($AD$1004:$AU$1004,1,MATCH(COLUMNS($AD$1006:AR1006),$AD$1006:$AU$1006,0)))),"Fix")))</f>
        <v xml:space="preserve"> </v>
      </c>
      <c r="Q673" s="4" t="str">
        <f ca="1">IF(OR(INDEX($X$2:$X$1001,MATCH(ROWS($W$2:W673),$W$2:$W$1001,0),1)&gt;=100000,INDEX($AD$1005:$AU$1005,1,MATCH(COLUMNS($AD$1006:AS1006),$AD$1006:$AU$1006,0))&gt;=100000), " ",IF(INDEX($AD$2:$AU$1001,MATCH(ROWS($W$2:W673),$W$2:$W$1001,0),MATCH(COLUMNS($AD$1006:AS1006),$AD$1006:$AU$1006,0)), HYPERLINK("#",""), HYPERLINK(CONCATENATE("#metadata!", ADDRESS(INDEX($Y$2:$Y$1001,MATCH(ROWS($W$2:W673),$W$2:$W$1001,0),0), INDEX($AD$1004:$AU$1004,1,MATCH(COLUMNS($AD$1006:AS1006),$AD$1006:$AU$1006,0)))),"Fix")))</f>
        <v xml:space="preserve"> </v>
      </c>
      <c r="R673" s="4" t="str">
        <f ca="1">IF(OR(INDEX($X$2:$X$1001,MATCH(ROWS($W$2:W673),$W$2:$W$1001,0),1)&gt;=100000,INDEX($AD$1005:$AU$1005,1,MATCH(COLUMNS($AD$1006:AT1006),$AD$1006:$AU$1006,0))&gt;=100000), " ",IF(INDEX($AD$2:$AU$1001,MATCH(ROWS($W$2:W673),$W$2:$W$1001,0),MATCH(COLUMNS($AD$1006:AT1006),$AD$1006:$AU$1006,0)), HYPERLINK("#",""), HYPERLINK(CONCATENATE("#metadata!", ADDRESS(INDEX($Y$2:$Y$1001,MATCH(ROWS($W$2:W673),$W$2:$W$1001,0),0), INDEX($AD$1004:$AU$1004,1,MATCH(COLUMNS($AD$1006:AT1006),$AD$1006:$AU$1006,0)))),"Fix")))</f>
        <v xml:space="preserve"> </v>
      </c>
      <c r="S673" s="4" t="str">
        <f ca="1">IF(OR(INDEX($X$2:$X$1001,MATCH(ROWS($W$2:W673),$W$2:$W$1001,0),1)&gt;=100000,INDEX($AD$1005:$AU$1005,1,MATCH(COLUMNS($AD$1006:AU1006),$AD$1006:$AU$1006,0))&gt;=100000), " ",IF(INDEX($AD$2:$AU$1001,MATCH(ROWS($W$2:W673),$W$2:$W$1001,0),MATCH(COLUMNS($AD$1006:AU1006),$AD$1006:$AU$1006,0)), HYPERLINK("#",""), HYPERLINK(CONCATENATE("#metadata!", ADDRESS(INDEX($Y$2:$Y$1001,MATCH(ROWS($W$2:W673),$W$2:$W$1001,0),0), INDEX($AD$1004:$AU$1004,1,MATCH(COLUMNS($AD$1006:AU1006),$AD$1006:$AU$1006,0)))),"Fix")))</f>
        <v xml:space="preserve"> </v>
      </c>
      <c r="W673">
        <v>672</v>
      </c>
      <c r="X673">
        <v>100673</v>
      </c>
      <c r="Y673">
        <v>673</v>
      </c>
      <c r="Z673" t="b">
        <f t="shared" si="10"/>
        <v>1</v>
      </c>
      <c r="AA673" t="b">
        <f>COUNTBLANK(metadata!B673:S673)=COLUMNS(metadata!B673:S673)</f>
        <v>1</v>
      </c>
      <c r="AB673" t="str">
        <v/>
      </c>
      <c r="AD673" t="b">
        <f ca="1">AND(IF(metadata!B673="",FALSE,TRUE),COUNTIF(metadata!B:B, metadata!B673) = 1,NOT(ISERROR(SUMPRODUCT(SEARCH(MID(metadata!B673,ROW(INDIRECT("1:"&amp;LEN(metadata!B673))), 1),"0123456789abcdefghijklmnopqrstuvwxyzABCDEFGHIJKLMNOPQRSTUVWXYZ.")))))</f>
        <v>0</v>
      </c>
      <c r="AE673" t="b">
        <f>OR(AND(IF(metadata!C673="",FALSE,TRUE),OR(EXACT(metadata!C673,"not applicable"),EXACT(metadata!C673,"missing: not collected"),EXACT(metadata!C673,"missing: not provided"),EXACT(metadata!C673,"missing: restricted access"))),AND(IF(metadata!C673="",FALSE,ISNUMBER(VALUE(metadata!C673))),metadata!C673&gt;0))</f>
        <v>0</v>
      </c>
      <c r="AF673" t="b">
        <f>AND(IF(metadata!D673="",FALSE,TRUE),EXACT(metadata!D673,"missing: not provided"))</f>
        <v>0</v>
      </c>
      <c r="AG673" t="b">
        <f>AND(IF(metadata!E673="",FALSE,TRUE),EXACT(metadata!E673,"Host-associated"))</f>
        <v>0</v>
      </c>
      <c r="AH673" t="b">
        <f>AND(IF(metadata!F673="",FALSE,TRUE),OR(EXACT(metadata!F673,"Animal"),EXACT(metadata!F673,"Fungus"),EXACT(metadata!F673,"Plant")))</f>
        <v>0</v>
      </c>
      <c r="AI673" t="b">
        <f>AND(IF(metadata!G673="",FALSE,TRUE),OR(EXACT(metadata!G673,"Plant secretion"),EXACT(metadata!G673,"Plant rhizosphere"),EXACT(metadata!G673,"Plant surface"),EXACT(metadata!G673,"Plant corpus"),EXACT(metadata!G673,"Fungus surface"),EXACT(metadata!G673,"Fungus corpus"),EXACT(metadata!G673,"Animal surface"),EXACT(metadata!G673,"Animal proximal gut"),EXACT(metadata!G673,"Animal corpus"),EXACT(metadata!G673,"Animal distal gut"),EXACT(metadata!G673,"Animal secretion")))</f>
        <v>0</v>
      </c>
      <c r="AJ673" t="b">
        <f>OR(AND(IF(metadata!H673="",FALSE,TRUE),OR(EXACT(metadata!H673,"missing: not collected"),EXACT(metadata!H673,"missing: not provided"),EXACT(metadata!H673,"missing: restricted access"))),AND(IF(metadata!H673="",FALSE,TRUE),OR(EXACT(metadata!H673,"organism-associated habitat"),EXACT(metadata!H673,"plant-associated habitat"),EXACT(metadata!H673,"animal-associated habitat"),EXACT(metadata!H673,"insecta-associated habitat"),EXACT(metadata!H673,"mammalia-associated habitat"),EXACT(metadata!H673,"human-associated habitat"),EXACT(metadata!H673,"livestock-associated habitat"))))</f>
        <v>0</v>
      </c>
      <c r="AK673" t="b">
        <f>AND(IF(metadata!I673="",FALSE,TRUE),EXACT(metadata!I673,"host-associated"))</f>
        <v>0</v>
      </c>
      <c r="AL673" t="b">
        <f>OR(AND(IF(metadata!J673="",FALSE,TRUE),OR(EXACT(metadata!J673,"not applicable"),EXACT(metadata!J673,"missing: not collected"),EXACT(metadata!J673,"missing: not provided"),EXACT(metadata!J673,"missing: restricted access"))),AND(IF(metadata!J673="",FALSE,ISNUMBER(VALUE(metadata!J673))),metadata!J673&gt;0))</f>
        <v>0</v>
      </c>
      <c r="AM673" t="b">
        <f>AND(IF(metadata!K673="",FALSE,TRUE),EXACT(metadata!K673,"missing: not provided"))</f>
        <v>0</v>
      </c>
      <c r="AN673" t="b">
        <f>IF(metadata!L673="",FALSE,TRUE)</f>
        <v>0</v>
      </c>
      <c r="AO673" t="b">
        <f>IF(metadata!M673="",FALSE,TRUE)</f>
        <v>0</v>
      </c>
      <c r="AP673" t="b">
        <f>OR(AND(IF(metadata!N673="",FALSE,TRUE),OR(EXACT(metadata!N673,"not applicable"),EXACT(metadata!N673,"missing: not collected"),EXACT(metadata!N673,"missing: not provided"))),AND(IF(metadata!N673="",FALSE,IF(ISERROR(INT(metadata!N673)),FALSE,INT(metadata!N673)=metadata!N673)),metadata!N673&gt;0))</f>
        <v>0</v>
      </c>
      <c r="AQ673" t="b">
        <f>AND(IF(metadata!O673="",FALSE,TRUE),EXACT(metadata!O673,"Not applicable"))</f>
        <v>0</v>
      </c>
      <c r="AR673" t="b">
        <f>OR(AND(IF(metadata!P673="",FALSE,TRUE),OR(EXACT(metadata!P673,"not applicable"),EXACT(metadata!P673,"missing: not collected"),EXACT(metadata!P673,"missing: not provided"),EXACT(metadata!P673,"missing: restricted access"))),IF(metadata!P673="",FALSE,IF(ISERROR(INT(metadata!P673)),FALSE,INT(metadata!P673)=metadata!P673)))</f>
        <v>0</v>
      </c>
      <c r="AS673" t="b">
        <f>AND(IF(metadata!Q673="",FALSE,TRUE),EXACT(metadata!Q673,"Not applicable"))</f>
        <v>0</v>
      </c>
      <c r="AT673" t="b">
        <f>OR(AND(IF(metadata!R673="",FALSE,TRUE),OR(EXACT(metadata!R673,"not applicable"),EXACT(metadata!R673,"missing: not collected"),EXACT(metadata!R673,"missing: not provided"),EXACT(metadata!R673,"missing: restricted access"))),AND(IF(metadata!R673="",FALSE,ISNUMBER(VALUE(metadata!R673))),metadata!R673&gt;0))</f>
        <v>0</v>
      </c>
      <c r="AU673" t="b">
        <f>AND(IF(metadata!S673="",FALSE,TRUE),EXACT(metadata!S673,"missing: not provided"))</f>
        <v>0</v>
      </c>
    </row>
    <row r="674" spans="1:47" x14ac:dyDescent="0.2">
      <c r="A674" s="5" t="str">
        <f ca="1">IF(B674=" "," ",HYPERLINK(CONCATENATE("#metadata!",ADDRESS(INDEX($Y$2:$Y$1001,MATCH(ROWS($W$2:W674),$W$2:$W$1001,0),0),1)),INDEX($AB$2:$AB$1001,MATCH(ROWS($W$2:W674),$W$2:$W$1001,0),0)))</f>
        <v xml:space="preserve"> </v>
      </c>
      <c r="B674" s="4" t="str">
        <f ca="1">IF(OR(INDEX($X$2:$X$1001,MATCH(ROWS($W$2:W674),$W$2:$W$1001,0),1)&gt;=100000,INDEX($AD$1005:$AU$1005,1,MATCH(COLUMNS($AD$1006:AD1006),$AD$1006:$AU$1006,0))&gt;=100000), " ",IF(INDEX($AD$2:$AU$1001,MATCH(ROWS($W$2:W674),$W$2:$W$1001,0),MATCH(COLUMNS($AD$1006:AD1006),$AD$1006:$AU$1006,0)), HYPERLINK("#",""), HYPERLINK(CONCATENATE("#metadata!", ADDRESS(INDEX($Y$2:$Y$1001,MATCH(ROWS($W$2:W674),$W$2:$W$1001,0),0), INDEX($AD$1004:$AU$1004,1,MATCH(COLUMNS($AD$1006:AD1006),$AD$1006:$AU$1006,0)))),"Fix")))</f>
        <v xml:space="preserve"> </v>
      </c>
      <c r="C674" s="4" t="str">
        <f ca="1">IF(OR(INDEX($X$2:$X$1001,MATCH(ROWS($W$2:W674),$W$2:$W$1001,0),1)&gt;=100000,INDEX($AD$1005:$AU$1005,1,MATCH(COLUMNS($AD$1006:AE1006),$AD$1006:$AU$1006,0))&gt;=100000), " ",IF(INDEX($AD$2:$AU$1001,MATCH(ROWS($W$2:W674),$W$2:$W$1001,0),MATCH(COLUMNS($AD$1006:AE1006),$AD$1006:$AU$1006,0)), HYPERLINK("#",""), HYPERLINK(CONCATENATE("#metadata!", ADDRESS(INDEX($Y$2:$Y$1001,MATCH(ROWS($W$2:W674),$W$2:$W$1001,0),0), INDEX($AD$1004:$AU$1004,1,MATCH(COLUMNS($AD$1006:AE1006),$AD$1006:$AU$1006,0)))),"Fix")))</f>
        <v xml:space="preserve"> </v>
      </c>
      <c r="D674" s="4" t="str">
        <f ca="1">IF(OR(INDEX($X$2:$X$1001,MATCH(ROWS($W$2:W674),$W$2:$W$1001,0),1)&gt;=100000,INDEX($AD$1005:$AU$1005,1,MATCH(COLUMNS($AD$1006:AF1006),$AD$1006:$AU$1006,0))&gt;=100000), " ",IF(INDEX($AD$2:$AU$1001,MATCH(ROWS($W$2:W674),$W$2:$W$1001,0),MATCH(COLUMNS($AD$1006:AF1006),$AD$1006:$AU$1006,0)), HYPERLINK("#",""), HYPERLINK(CONCATENATE("#metadata!", ADDRESS(INDEX($Y$2:$Y$1001,MATCH(ROWS($W$2:W674),$W$2:$W$1001,0),0), INDEX($AD$1004:$AU$1004,1,MATCH(COLUMNS($AD$1006:AF1006),$AD$1006:$AU$1006,0)))),"Fix")))</f>
        <v xml:space="preserve"> </v>
      </c>
      <c r="E674" s="4" t="str">
        <f ca="1">IF(OR(INDEX($X$2:$X$1001,MATCH(ROWS($W$2:W674),$W$2:$W$1001,0),1)&gt;=100000,INDEX($AD$1005:$AU$1005,1,MATCH(COLUMNS($AD$1006:AG1006),$AD$1006:$AU$1006,0))&gt;=100000), " ",IF(INDEX($AD$2:$AU$1001,MATCH(ROWS($W$2:W674),$W$2:$W$1001,0),MATCH(COLUMNS($AD$1006:AG1006),$AD$1006:$AU$1006,0)), HYPERLINK("#",""), HYPERLINK(CONCATENATE("#metadata!", ADDRESS(INDEX($Y$2:$Y$1001,MATCH(ROWS($W$2:W674),$W$2:$W$1001,0),0), INDEX($AD$1004:$AU$1004,1,MATCH(COLUMNS($AD$1006:AG1006),$AD$1006:$AU$1006,0)))),"Fix")))</f>
        <v xml:space="preserve"> </v>
      </c>
      <c r="F674" s="4" t="str">
        <f ca="1">IF(OR(INDEX($X$2:$X$1001,MATCH(ROWS($W$2:W674),$W$2:$W$1001,0),1)&gt;=100000,INDEX($AD$1005:$AU$1005,1,MATCH(COLUMNS($AD$1006:AH1006),$AD$1006:$AU$1006,0))&gt;=100000), " ",IF(INDEX($AD$2:$AU$1001,MATCH(ROWS($W$2:W674),$W$2:$W$1001,0),MATCH(COLUMNS($AD$1006:AH1006),$AD$1006:$AU$1006,0)), HYPERLINK("#",""), HYPERLINK(CONCATENATE("#metadata!", ADDRESS(INDEX($Y$2:$Y$1001,MATCH(ROWS($W$2:W674),$W$2:$W$1001,0),0), INDEX($AD$1004:$AU$1004,1,MATCH(COLUMNS($AD$1006:AH1006),$AD$1006:$AU$1006,0)))),"Fix")))</f>
        <v xml:space="preserve"> </v>
      </c>
      <c r="G674" s="4" t="str">
        <f ca="1">IF(OR(INDEX($X$2:$X$1001,MATCH(ROWS($W$2:W674),$W$2:$W$1001,0),1)&gt;=100000,INDEX($AD$1005:$AU$1005,1,MATCH(COLUMNS($AD$1006:AI1006),$AD$1006:$AU$1006,0))&gt;=100000), " ",IF(INDEX($AD$2:$AU$1001,MATCH(ROWS($W$2:W674),$W$2:$W$1001,0),MATCH(COLUMNS($AD$1006:AI1006),$AD$1006:$AU$1006,0)), HYPERLINK("#",""), HYPERLINK(CONCATENATE("#metadata!", ADDRESS(INDEX($Y$2:$Y$1001,MATCH(ROWS($W$2:W674),$W$2:$W$1001,0),0), INDEX($AD$1004:$AU$1004,1,MATCH(COLUMNS($AD$1006:AI1006),$AD$1006:$AU$1006,0)))),"Fix")))</f>
        <v xml:space="preserve"> </v>
      </c>
      <c r="H674" s="4" t="str">
        <f ca="1">IF(OR(INDEX($X$2:$X$1001,MATCH(ROWS($W$2:W674),$W$2:$W$1001,0),1)&gt;=100000,INDEX($AD$1005:$AU$1005,1,MATCH(COLUMNS($AD$1006:AJ1006),$AD$1006:$AU$1006,0))&gt;=100000), " ",IF(INDEX($AD$2:$AU$1001,MATCH(ROWS($W$2:W674),$W$2:$W$1001,0),MATCH(COLUMNS($AD$1006:AJ1006),$AD$1006:$AU$1006,0)), HYPERLINK("#",""), HYPERLINK(CONCATENATE("#metadata!", ADDRESS(INDEX($Y$2:$Y$1001,MATCH(ROWS($W$2:W674),$W$2:$W$1001,0),0), INDEX($AD$1004:$AU$1004,1,MATCH(COLUMNS($AD$1006:AJ1006),$AD$1006:$AU$1006,0)))),"Fix")))</f>
        <v xml:space="preserve"> </v>
      </c>
      <c r="I674" s="4" t="str">
        <f ca="1">IF(OR(INDEX($X$2:$X$1001,MATCH(ROWS($W$2:W674),$W$2:$W$1001,0),1)&gt;=100000,INDEX($AD$1005:$AU$1005,1,MATCH(COLUMNS($AD$1006:AK1006),$AD$1006:$AU$1006,0))&gt;=100000), " ",IF(INDEX($AD$2:$AU$1001,MATCH(ROWS($W$2:W674),$W$2:$W$1001,0),MATCH(COLUMNS($AD$1006:AK1006),$AD$1006:$AU$1006,0)), HYPERLINK("#",""), HYPERLINK(CONCATENATE("#metadata!", ADDRESS(INDEX($Y$2:$Y$1001,MATCH(ROWS($W$2:W674),$W$2:$W$1001,0),0), INDEX($AD$1004:$AU$1004,1,MATCH(COLUMNS($AD$1006:AK1006),$AD$1006:$AU$1006,0)))),"Fix")))</f>
        <v xml:space="preserve"> </v>
      </c>
      <c r="J674" s="4" t="str">
        <f ca="1">IF(OR(INDEX($X$2:$X$1001,MATCH(ROWS($W$2:W674),$W$2:$W$1001,0),1)&gt;=100000,INDEX($AD$1005:$AU$1005,1,MATCH(COLUMNS($AD$1006:AL1006),$AD$1006:$AU$1006,0))&gt;=100000), " ",IF(INDEX($AD$2:$AU$1001,MATCH(ROWS($W$2:W674),$W$2:$W$1001,0),MATCH(COLUMNS($AD$1006:AL1006),$AD$1006:$AU$1006,0)), HYPERLINK("#",""), HYPERLINK(CONCATENATE("#metadata!", ADDRESS(INDEX($Y$2:$Y$1001,MATCH(ROWS($W$2:W674),$W$2:$W$1001,0),0), INDEX($AD$1004:$AU$1004,1,MATCH(COLUMNS($AD$1006:AL1006),$AD$1006:$AU$1006,0)))),"Fix")))</f>
        <v xml:space="preserve"> </v>
      </c>
      <c r="K674" s="4" t="str">
        <f ca="1">IF(OR(INDEX($X$2:$X$1001,MATCH(ROWS($W$2:W674),$W$2:$W$1001,0),1)&gt;=100000,INDEX($AD$1005:$AU$1005,1,MATCH(COLUMNS($AD$1006:AM1006),$AD$1006:$AU$1006,0))&gt;=100000), " ",IF(INDEX($AD$2:$AU$1001,MATCH(ROWS($W$2:W674),$W$2:$W$1001,0),MATCH(COLUMNS($AD$1006:AM1006),$AD$1006:$AU$1006,0)), HYPERLINK("#",""), HYPERLINK(CONCATENATE("#metadata!", ADDRESS(INDEX($Y$2:$Y$1001,MATCH(ROWS($W$2:W674),$W$2:$W$1001,0),0), INDEX($AD$1004:$AU$1004,1,MATCH(COLUMNS($AD$1006:AM1006),$AD$1006:$AU$1006,0)))),"Fix")))</f>
        <v xml:space="preserve"> </v>
      </c>
      <c r="L674" s="4" t="str">
        <f ca="1">IF(OR(INDEX($X$2:$X$1001,MATCH(ROWS($W$2:W674),$W$2:$W$1001,0),1)&gt;=100000,INDEX($AD$1005:$AU$1005,1,MATCH(COLUMNS($AD$1006:AN1006),$AD$1006:$AU$1006,0))&gt;=100000), " ",IF(INDEX($AD$2:$AU$1001,MATCH(ROWS($W$2:W674),$W$2:$W$1001,0),MATCH(COLUMNS($AD$1006:AN1006),$AD$1006:$AU$1006,0)), HYPERLINK("#",""), HYPERLINK(CONCATENATE("#metadata!", ADDRESS(INDEX($Y$2:$Y$1001,MATCH(ROWS($W$2:W674),$W$2:$W$1001,0),0), INDEX($AD$1004:$AU$1004,1,MATCH(COLUMNS($AD$1006:AN1006),$AD$1006:$AU$1006,0)))),"Fix")))</f>
        <v xml:space="preserve"> </v>
      </c>
      <c r="M674" s="4" t="str">
        <f ca="1">IF(OR(INDEX($X$2:$X$1001,MATCH(ROWS($W$2:W674),$W$2:$W$1001,0),1)&gt;=100000,INDEX($AD$1005:$AU$1005,1,MATCH(COLUMNS($AD$1006:AO1006),$AD$1006:$AU$1006,0))&gt;=100000), " ",IF(INDEX($AD$2:$AU$1001,MATCH(ROWS($W$2:W674),$W$2:$W$1001,0),MATCH(COLUMNS($AD$1006:AO1006),$AD$1006:$AU$1006,0)), HYPERLINK("#",""), HYPERLINK(CONCATENATE("#metadata!", ADDRESS(INDEX($Y$2:$Y$1001,MATCH(ROWS($W$2:W674),$W$2:$W$1001,0),0), INDEX($AD$1004:$AU$1004,1,MATCH(COLUMNS($AD$1006:AO1006),$AD$1006:$AU$1006,0)))),"Fix")))</f>
        <v xml:space="preserve"> </v>
      </c>
      <c r="N674" s="4" t="str">
        <f ca="1">IF(OR(INDEX($X$2:$X$1001,MATCH(ROWS($W$2:W674),$W$2:$W$1001,0),1)&gt;=100000,INDEX($AD$1005:$AU$1005,1,MATCH(COLUMNS($AD$1006:AP1006),$AD$1006:$AU$1006,0))&gt;=100000), " ",IF(INDEX($AD$2:$AU$1001,MATCH(ROWS($W$2:W674),$W$2:$W$1001,0),MATCH(COLUMNS($AD$1006:AP1006),$AD$1006:$AU$1006,0)), HYPERLINK("#",""), HYPERLINK(CONCATENATE("#metadata!", ADDRESS(INDEX($Y$2:$Y$1001,MATCH(ROWS($W$2:W674),$W$2:$W$1001,0),0), INDEX($AD$1004:$AU$1004,1,MATCH(COLUMNS($AD$1006:AP1006),$AD$1006:$AU$1006,0)))),"Fix")))</f>
        <v xml:space="preserve"> </v>
      </c>
      <c r="O674" s="4" t="str">
        <f ca="1">IF(OR(INDEX($X$2:$X$1001,MATCH(ROWS($W$2:W674),$W$2:$W$1001,0),1)&gt;=100000,INDEX($AD$1005:$AU$1005,1,MATCH(COLUMNS($AD$1006:AQ1006),$AD$1006:$AU$1006,0))&gt;=100000), " ",IF(INDEX($AD$2:$AU$1001,MATCH(ROWS($W$2:W674),$W$2:$W$1001,0),MATCH(COLUMNS($AD$1006:AQ1006),$AD$1006:$AU$1006,0)), HYPERLINK("#",""), HYPERLINK(CONCATENATE("#metadata!", ADDRESS(INDEX($Y$2:$Y$1001,MATCH(ROWS($W$2:W674),$W$2:$W$1001,0),0), INDEX($AD$1004:$AU$1004,1,MATCH(COLUMNS($AD$1006:AQ1006),$AD$1006:$AU$1006,0)))),"Fix")))</f>
        <v xml:space="preserve"> </v>
      </c>
      <c r="P674" s="4" t="str">
        <f ca="1">IF(OR(INDEX($X$2:$X$1001,MATCH(ROWS($W$2:W674),$W$2:$W$1001,0),1)&gt;=100000,INDEX($AD$1005:$AU$1005,1,MATCH(COLUMNS($AD$1006:AR1006),$AD$1006:$AU$1006,0))&gt;=100000), " ",IF(INDEX($AD$2:$AU$1001,MATCH(ROWS($W$2:W674),$W$2:$W$1001,0),MATCH(COLUMNS($AD$1006:AR1006),$AD$1006:$AU$1006,0)), HYPERLINK("#",""), HYPERLINK(CONCATENATE("#metadata!", ADDRESS(INDEX($Y$2:$Y$1001,MATCH(ROWS($W$2:W674),$W$2:$W$1001,0),0), INDEX($AD$1004:$AU$1004,1,MATCH(COLUMNS($AD$1006:AR1006),$AD$1006:$AU$1006,0)))),"Fix")))</f>
        <v xml:space="preserve"> </v>
      </c>
      <c r="Q674" s="4" t="str">
        <f ca="1">IF(OR(INDEX($X$2:$X$1001,MATCH(ROWS($W$2:W674),$W$2:$W$1001,0),1)&gt;=100000,INDEX($AD$1005:$AU$1005,1,MATCH(COLUMNS($AD$1006:AS1006),$AD$1006:$AU$1006,0))&gt;=100000), " ",IF(INDEX($AD$2:$AU$1001,MATCH(ROWS($W$2:W674),$W$2:$W$1001,0),MATCH(COLUMNS($AD$1006:AS1006),$AD$1006:$AU$1006,0)), HYPERLINK("#",""), HYPERLINK(CONCATENATE("#metadata!", ADDRESS(INDEX($Y$2:$Y$1001,MATCH(ROWS($W$2:W674),$W$2:$W$1001,0),0), INDEX($AD$1004:$AU$1004,1,MATCH(COLUMNS($AD$1006:AS1006),$AD$1006:$AU$1006,0)))),"Fix")))</f>
        <v xml:space="preserve"> </v>
      </c>
      <c r="R674" s="4" t="str">
        <f ca="1">IF(OR(INDEX($X$2:$X$1001,MATCH(ROWS($W$2:W674),$W$2:$W$1001,0),1)&gt;=100000,INDEX($AD$1005:$AU$1005,1,MATCH(COLUMNS($AD$1006:AT1006),$AD$1006:$AU$1006,0))&gt;=100000), " ",IF(INDEX($AD$2:$AU$1001,MATCH(ROWS($W$2:W674),$W$2:$W$1001,0),MATCH(COLUMNS($AD$1006:AT1006),$AD$1006:$AU$1006,0)), HYPERLINK("#",""), HYPERLINK(CONCATENATE("#metadata!", ADDRESS(INDEX($Y$2:$Y$1001,MATCH(ROWS($W$2:W674),$W$2:$W$1001,0),0), INDEX($AD$1004:$AU$1004,1,MATCH(COLUMNS($AD$1006:AT1006),$AD$1006:$AU$1006,0)))),"Fix")))</f>
        <v xml:space="preserve"> </v>
      </c>
      <c r="S674" s="4" t="str">
        <f ca="1">IF(OR(INDEX($X$2:$X$1001,MATCH(ROWS($W$2:W674),$W$2:$W$1001,0),1)&gt;=100000,INDEX($AD$1005:$AU$1005,1,MATCH(COLUMNS($AD$1006:AU1006),$AD$1006:$AU$1006,0))&gt;=100000), " ",IF(INDEX($AD$2:$AU$1001,MATCH(ROWS($W$2:W674),$W$2:$W$1001,0),MATCH(COLUMNS($AD$1006:AU1006),$AD$1006:$AU$1006,0)), HYPERLINK("#",""), HYPERLINK(CONCATENATE("#metadata!", ADDRESS(INDEX($Y$2:$Y$1001,MATCH(ROWS($W$2:W674),$W$2:$W$1001,0),0), INDEX($AD$1004:$AU$1004,1,MATCH(COLUMNS($AD$1006:AU1006),$AD$1006:$AU$1006,0)))),"Fix")))</f>
        <v xml:space="preserve"> </v>
      </c>
      <c r="W674">
        <v>673</v>
      </c>
      <c r="X674">
        <v>100674</v>
      </c>
      <c r="Y674">
        <v>674</v>
      </c>
      <c r="Z674" t="b">
        <f t="shared" si="10"/>
        <v>1</v>
      </c>
      <c r="AA674" t="b">
        <f>COUNTBLANK(metadata!B674:S674)=COLUMNS(metadata!B674:S674)</f>
        <v>1</v>
      </c>
      <c r="AB674" t="str">
        <v/>
      </c>
      <c r="AD674" t="b">
        <f ca="1">AND(IF(metadata!B674="",FALSE,TRUE),COUNTIF(metadata!B:B, metadata!B674) = 1,NOT(ISERROR(SUMPRODUCT(SEARCH(MID(metadata!B674,ROW(INDIRECT("1:"&amp;LEN(metadata!B674))), 1),"0123456789abcdefghijklmnopqrstuvwxyzABCDEFGHIJKLMNOPQRSTUVWXYZ.")))))</f>
        <v>0</v>
      </c>
      <c r="AE674" t="b">
        <f>OR(AND(IF(metadata!C674="",FALSE,TRUE),OR(EXACT(metadata!C674,"not applicable"),EXACT(metadata!C674,"missing: not collected"),EXACT(metadata!C674,"missing: not provided"),EXACT(metadata!C674,"missing: restricted access"))),AND(IF(metadata!C674="",FALSE,ISNUMBER(VALUE(metadata!C674))),metadata!C674&gt;0))</f>
        <v>0</v>
      </c>
      <c r="AF674" t="b">
        <f>AND(IF(metadata!D674="",FALSE,TRUE),EXACT(metadata!D674,"missing: not provided"))</f>
        <v>0</v>
      </c>
      <c r="AG674" t="b">
        <f>AND(IF(metadata!E674="",FALSE,TRUE),EXACT(metadata!E674,"Host-associated"))</f>
        <v>0</v>
      </c>
      <c r="AH674" t="b">
        <f>AND(IF(metadata!F674="",FALSE,TRUE),OR(EXACT(metadata!F674,"Animal"),EXACT(metadata!F674,"Fungus"),EXACT(metadata!F674,"Plant")))</f>
        <v>0</v>
      </c>
      <c r="AI674" t="b">
        <f>AND(IF(metadata!G674="",FALSE,TRUE),OR(EXACT(metadata!G674,"Plant secretion"),EXACT(metadata!G674,"Plant rhizosphere"),EXACT(metadata!G674,"Plant surface"),EXACT(metadata!G674,"Plant corpus"),EXACT(metadata!G674,"Fungus surface"),EXACT(metadata!G674,"Fungus corpus"),EXACT(metadata!G674,"Animal surface"),EXACT(metadata!G674,"Animal proximal gut"),EXACT(metadata!G674,"Animal corpus"),EXACT(metadata!G674,"Animal distal gut"),EXACT(metadata!G674,"Animal secretion")))</f>
        <v>0</v>
      </c>
      <c r="AJ674" t="b">
        <f>OR(AND(IF(metadata!H674="",FALSE,TRUE),OR(EXACT(metadata!H674,"missing: not collected"),EXACT(metadata!H674,"missing: not provided"),EXACT(metadata!H674,"missing: restricted access"))),AND(IF(metadata!H674="",FALSE,TRUE),OR(EXACT(metadata!H674,"organism-associated habitat"),EXACT(metadata!H674,"plant-associated habitat"),EXACT(metadata!H674,"animal-associated habitat"),EXACT(metadata!H674,"insecta-associated habitat"),EXACT(metadata!H674,"mammalia-associated habitat"),EXACT(metadata!H674,"human-associated habitat"),EXACT(metadata!H674,"livestock-associated habitat"))))</f>
        <v>0</v>
      </c>
      <c r="AK674" t="b">
        <f>AND(IF(metadata!I674="",FALSE,TRUE),EXACT(metadata!I674,"host-associated"))</f>
        <v>0</v>
      </c>
      <c r="AL674" t="b">
        <f>OR(AND(IF(metadata!J674="",FALSE,TRUE),OR(EXACT(metadata!J674,"not applicable"),EXACT(metadata!J674,"missing: not collected"),EXACT(metadata!J674,"missing: not provided"),EXACT(metadata!J674,"missing: restricted access"))),AND(IF(metadata!J674="",FALSE,ISNUMBER(VALUE(metadata!J674))),metadata!J674&gt;0))</f>
        <v>0</v>
      </c>
      <c r="AM674" t="b">
        <f>AND(IF(metadata!K674="",FALSE,TRUE),EXACT(metadata!K674,"missing: not provided"))</f>
        <v>0</v>
      </c>
      <c r="AN674" t="b">
        <f>IF(metadata!L674="",FALSE,TRUE)</f>
        <v>0</v>
      </c>
      <c r="AO674" t="b">
        <f>IF(metadata!M674="",FALSE,TRUE)</f>
        <v>0</v>
      </c>
      <c r="AP674" t="b">
        <f>OR(AND(IF(metadata!N674="",FALSE,TRUE),OR(EXACT(metadata!N674,"not applicable"),EXACT(metadata!N674,"missing: not collected"),EXACT(metadata!N674,"missing: not provided"))),AND(IF(metadata!N674="",FALSE,IF(ISERROR(INT(metadata!N674)),FALSE,INT(metadata!N674)=metadata!N674)),metadata!N674&gt;0))</f>
        <v>0</v>
      </c>
      <c r="AQ674" t="b">
        <f>AND(IF(metadata!O674="",FALSE,TRUE),EXACT(metadata!O674,"Not applicable"))</f>
        <v>0</v>
      </c>
      <c r="AR674" t="b">
        <f>OR(AND(IF(metadata!P674="",FALSE,TRUE),OR(EXACT(metadata!P674,"not applicable"),EXACT(metadata!P674,"missing: not collected"),EXACT(metadata!P674,"missing: not provided"),EXACT(metadata!P674,"missing: restricted access"))),IF(metadata!P674="",FALSE,IF(ISERROR(INT(metadata!P674)),FALSE,INT(metadata!P674)=metadata!P674)))</f>
        <v>0</v>
      </c>
      <c r="AS674" t="b">
        <f>AND(IF(metadata!Q674="",FALSE,TRUE),EXACT(metadata!Q674,"Not applicable"))</f>
        <v>0</v>
      </c>
      <c r="AT674" t="b">
        <f>OR(AND(IF(metadata!R674="",FALSE,TRUE),OR(EXACT(metadata!R674,"not applicable"),EXACT(metadata!R674,"missing: not collected"),EXACT(metadata!R674,"missing: not provided"),EXACT(metadata!R674,"missing: restricted access"))),AND(IF(metadata!R674="",FALSE,ISNUMBER(VALUE(metadata!R674))),metadata!R674&gt;0))</f>
        <v>0</v>
      </c>
      <c r="AU674" t="b">
        <f>AND(IF(metadata!S674="",FALSE,TRUE),EXACT(metadata!S674,"missing: not provided"))</f>
        <v>0</v>
      </c>
    </row>
    <row r="675" spans="1:47" x14ac:dyDescent="0.2">
      <c r="A675" s="5" t="str">
        <f ca="1">IF(B675=" "," ",HYPERLINK(CONCATENATE("#metadata!",ADDRESS(INDEX($Y$2:$Y$1001,MATCH(ROWS($W$2:W675),$W$2:$W$1001,0),0),1)),INDEX($AB$2:$AB$1001,MATCH(ROWS($W$2:W675),$W$2:$W$1001,0),0)))</f>
        <v xml:space="preserve"> </v>
      </c>
      <c r="B675" s="4" t="str">
        <f ca="1">IF(OR(INDEX($X$2:$X$1001,MATCH(ROWS($W$2:W675),$W$2:$W$1001,0),1)&gt;=100000,INDEX($AD$1005:$AU$1005,1,MATCH(COLUMNS($AD$1006:AD1006),$AD$1006:$AU$1006,0))&gt;=100000), " ",IF(INDEX($AD$2:$AU$1001,MATCH(ROWS($W$2:W675),$W$2:$W$1001,0),MATCH(COLUMNS($AD$1006:AD1006),$AD$1006:$AU$1006,0)), HYPERLINK("#",""), HYPERLINK(CONCATENATE("#metadata!", ADDRESS(INDEX($Y$2:$Y$1001,MATCH(ROWS($W$2:W675),$W$2:$W$1001,0),0), INDEX($AD$1004:$AU$1004,1,MATCH(COLUMNS($AD$1006:AD1006),$AD$1006:$AU$1006,0)))),"Fix")))</f>
        <v xml:space="preserve"> </v>
      </c>
      <c r="C675" s="4" t="str">
        <f ca="1">IF(OR(INDEX($X$2:$X$1001,MATCH(ROWS($W$2:W675),$W$2:$W$1001,0),1)&gt;=100000,INDEX($AD$1005:$AU$1005,1,MATCH(COLUMNS($AD$1006:AE1006),$AD$1006:$AU$1006,0))&gt;=100000), " ",IF(INDEX($AD$2:$AU$1001,MATCH(ROWS($W$2:W675),$W$2:$W$1001,0),MATCH(COLUMNS($AD$1006:AE1006),$AD$1006:$AU$1006,0)), HYPERLINK("#",""), HYPERLINK(CONCATENATE("#metadata!", ADDRESS(INDEX($Y$2:$Y$1001,MATCH(ROWS($W$2:W675),$W$2:$W$1001,0),0), INDEX($AD$1004:$AU$1004,1,MATCH(COLUMNS($AD$1006:AE1006),$AD$1006:$AU$1006,0)))),"Fix")))</f>
        <v xml:space="preserve"> </v>
      </c>
      <c r="D675" s="4" t="str">
        <f ca="1">IF(OR(INDEX($X$2:$X$1001,MATCH(ROWS($W$2:W675),$W$2:$W$1001,0),1)&gt;=100000,INDEX($AD$1005:$AU$1005,1,MATCH(COLUMNS($AD$1006:AF1006),$AD$1006:$AU$1006,0))&gt;=100000), " ",IF(INDEX($AD$2:$AU$1001,MATCH(ROWS($W$2:W675),$W$2:$W$1001,0),MATCH(COLUMNS($AD$1006:AF1006),$AD$1006:$AU$1006,0)), HYPERLINK("#",""), HYPERLINK(CONCATENATE("#metadata!", ADDRESS(INDEX($Y$2:$Y$1001,MATCH(ROWS($W$2:W675),$W$2:$W$1001,0),0), INDEX($AD$1004:$AU$1004,1,MATCH(COLUMNS($AD$1006:AF1006),$AD$1006:$AU$1006,0)))),"Fix")))</f>
        <v xml:space="preserve"> </v>
      </c>
      <c r="E675" s="4" t="str">
        <f ca="1">IF(OR(INDEX($X$2:$X$1001,MATCH(ROWS($W$2:W675),$W$2:$W$1001,0),1)&gt;=100000,INDEX($AD$1005:$AU$1005,1,MATCH(COLUMNS($AD$1006:AG1006),$AD$1006:$AU$1006,0))&gt;=100000), " ",IF(INDEX($AD$2:$AU$1001,MATCH(ROWS($W$2:W675),$W$2:$W$1001,0),MATCH(COLUMNS($AD$1006:AG1006),$AD$1006:$AU$1006,0)), HYPERLINK("#",""), HYPERLINK(CONCATENATE("#metadata!", ADDRESS(INDEX($Y$2:$Y$1001,MATCH(ROWS($W$2:W675),$W$2:$W$1001,0),0), INDEX($AD$1004:$AU$1004,1,MATCH(COLUMNS($AD$1006:AG1006),$AD$1006:$AU$1006,0)))),"Fix")))</f>
        <v xml:space="preserve"> </v>
      </c>
      <c r="F675" s="4" t="str">
        <f ca="1">IF(OR(INDEX($X$2:$X$1001,MATCH(ROWS($W$2:W675),$W$2:$W$1001,0),1)&gt;=100000,INDEX($AD$1005:$AU$1005,1,MATCH(COLUMNS($AD$1006:AH1006),$AD$1006:$AU$1006,0))&gt;=100000), " ",IF(INDEX($AD$2:$AU$1001,MATCH(ROWS($W$2:W675),$W$2:$W$1001,0),MATCH(COLUMNS($AD$1006:AH1006),$AD$1006:$AU$1006,0)), HYPERLINK("#",""), HYPERLINK(CONCATENATE("#metadata!", ADDRESS(INDEX($Y$2:$Y$1001,MATCH(ROWS($W$2:W675),$W$2:$W$1001,0),0), INDEX($AD$1004:$AU$1004,1,MATCH(COLUMNS($AD$1006:AH1006),$AD$1006:$AU$1006,0)))),"Fix")))</f>
        <v xml:space="preserve"> </v>
      </c>
      <c r="G675" s="4" t="str">
        <f ca="1">IF(OR(INDEX($X$2:$X$1001,MATCH(ROWS($W$2:W675),$W$2:$W$1001,0),1)&gt;=100000,INDEX($AD$1005:$AU$1005,1,MATCH(COLUMNS($AD$1006:AI1006),$AD$1006:$AU$1006,0))&gt;=100000), " ",IF(INDEX($AD$2:$AU$1001,MATCH(ROWS($W$2:W675),$W$2:$W$1001,0),MATCH(COLUMNS($AD$1006:AI1006),$AD$1006:$AU$1006,0)), HYPERLINK("#",""), HYPERLINK(CONCATENATE("#metadata!", ADDRESS(INDEX($Y$2:$Y$1001,MATCH(ROWS($W$2:W675),$W$2:$W$1001,0),0), INDEX($AD$1004:$AU$1004,1,MATCH(COLUMNS($AD$1006:AI1006),$AD$1006:$AU$1006,0)))),"Fix")))</f>
        <v xml:space="preserve"> </v>
      </c>
      <c r="H675" s="4" t="str">
        <f ca="1">IF(OR(INDEX($X$2:$X$1001,MATCH(ROWS($W$2:W675),$W$2:$W$1001,0),1)&gt;=100000,INDEX($AD$1005:$AU$1005,1,MATCH(COLUMNS($AD$1006:AJ1006),$AD$1006:$AU$1006,0))&gt;=100000), " ",IF(INDEX($AD$2:$AU$1001,MATCH(ROWS($W$2:W675),$W$2:$W$1001,0),MATCH(COLUMNS($AD$1006:AJ1006),$AD$1006:$AU$1006,0)), HYPERLINK("#",""), HYPERLINK(CONCATENATE("#metadata!", ADDRESS(INDEX($Y$2:$Y$1001,MATCH(ROWS($W$2:W675),$W$2:$W$1001,0),0), INDEX($AD$1004:$AU$1004,1,MATCH(COLUMNS($AD$1006:AJ1006),$AD$1006:$AU$1006,0)))),"Fix")))</f>
        <v xml:space="preserve"> </v>
      </c>
      <c r="I675" s="4" t="str">
        <f ca="1">IF(OR(INDEX($X$2:$X$1001,MATCH(ROWS($W$2:W675),$W$2:$W$1001,0),1)&gt;=100000,INDEX($AD$1005:$AU$1005,1,MATCH(COLUMNS($AD$1006:AK1006),$AD$1006:$AU$1006,0))&gt;=100000), " ",IF(INDEX($AD$2:$AU$1001,MATCH(ROWS($W$2:W675),$W$2:$W$1001,0),MATCH(COLUMNS($AD$1006:AK1006),$AD$1006:$AU$1006,0)), HYPERLINK("#",""), HYPERLINK(CONCATENATE("#metadata!", ADDRESS(INDEX($Y$2:$Y$1001,MATCH(ROWS($W$2:W675),$W$2:$W$1001,0),0), INDEX($AD$1004:$AU$1004,1,MATCH(COLUMNS($AD$1006:AK1006),$AD$1006:$AU$1006,0)))),"Fix")))</f>
        <v xml:space="preserve"> </v>
      </c>
      <c r="J675" s="4" t="str">
        <f ca="1">IF(OR(INDEX($X$2:$X$1001,MATCH(ROWS($W$2:W675),$W$2:$W$1001,0),1)&gt;=100000,INDEX($AD$1005:$AU$1005,1,MATCH(COLUMNS($AD$1006:AL1006),$AD$1006:$AU$1006,0))&gt;=100000), " ",IF(INDEX($AD$2:$AU$1001,MATCH(ROWS($W$2:W675),$W$2:$W$1001,0),MATCH(COLUMNS($AD$1006:AL1006),$AD$1006:$AU$1006,0)), HYPERLINK("#",""), HYPERLINK(CONCATENATE("#metadata!", ADDRESS(INDEX($Y$2:$Y$1001,MATCH(ROWS($W$2:W675),$W$2:$W$1001,0),0), INDEX($AD$1004:$AU$1004,1,MATCH(COLUMNS($AD$1006:AL1006),$AD$1006:$AU$1006,0)))),"Fix")))</f>
        <v xml:space="preserve"> </v>
      </c>
      <c r="K675" s="4" t="str">
        <f ca="1">IF(OR(INDEX($X$2:$X$1001,MATCH(ROWS($W$2:W675),$W$2:$W$1001,0),1)&gt;=100000,INDEX($AD$1005:$AU$1005,1,MATCH(COLUMNS($AD$1006:AM1006),$AD$1006:$AU$1006,0))&gt;=100000), " ",IF(INDEX($AD$2:$AU$1001,MATCH(ROWS($W$2:W675),$W$2:$W$1001,0),MATCH(COLUMNS($AD$1006:AM1006),$AD$1006:$AU$1006,0)), HYPERLINK("#",""), HYPERLINK(CONCATENATE("#metadata!", ADDRESS(INDEX($Y$2:$Y$1001,MATCH(ROWS($W$2:W675),$W$2:$W$1001,0),0), INDEX($AD$1004:$AU$1004,1,MATCH(COLUMNS($AD$1006:AM1006),$AD$1006:$AU$1006,0)))),"Fix")))</f>
        <v xml:space="preserve"> </v>
      </c>
      <c r="L675" s="4" t="str">
        <f ca="1">IF(OR(INDEX($X$2:$X$1001,MATCH(ROWS($W$2:W675),$W$2:$W$1001,0),1)&gt;=100000,INDEX($AD$1005:$AU$1005,1,MATCH(COLUMNS($AD$1006:AN1006),$AD$1006:$AU$1006,0))&gt;=100000), " ",IF(INDEX($AD$2:$AU$1001,MATCH(ROWS($W$2:W675),$W$2:$W$1001,0),MATCH(COLUMNS($AD$1006:AN1006),$AD$1006:$AU$1006,0)), HYPERLINK("#",""), HYPERLINK(CONCATENATE("#metadata!", ADDRESS(INDEX($Y$2:$Y$1001,MATCH(ROWS($W$2:W675),$W$2:$W$1001,0),0), INDEX($AD$1004:$AU$1004,1,MATCH(COLUMNS($AD$1006:AN1006),$AD$1006:$AU$1006,0)))),"Fix")))</f>
        <v xml:space="preserve"> </v>
      </c>
      <c r="M675" s="4" t="str">
        <f ca="1">IF(OR(INDEX($X$2:$X$1001,MATCH(ROWS($W$2:W675),$W$2:$W$1001,0),1)&gt;=100000,INDEX($AD$1005:$AU$1005,1,MATCH(COLUMNS($AD$1006:AO1006),$AD$1006:$AU$1006,0))&gt;=100000), " ",IF(INDEX($AD$2:$AU$1001,MATCH(ROWS($W$2:W675),$W$2:$W$1001,0),MATCH(COLUMNS($AD$1006:AO1006),$AD$1006:$AU$1006,0)), HYPERLINK("#",""), HYPERLINK(CONCATENATE("#metadata!", ADDRESS(INDEX($Y$2:$Y$1001,MATCH(ROWS($W$2:W675),$W$2:$W$1001,0),0), INDEX($AD$1004:$AU$1004,1,MATCH(COLUMNS($AD$1006:AO1006),$AD$1006:$AU$1006,0)))),"Fix")))</f>
        <v xml:space="preserve"> </v>
      </c>
      <c r="N675" s="4" t="str">
        <f ca="1">IF(OR(INDEX($X$2:$X$1001,MATCH(ROWS($W$2:W675),$W$2:$W$1001,0),1)&gt;=100000,INDEX($AD$1005:$AU$1005,1,MATCH(COLUMNS($AD$1006:AP1006),$AD$1006:$AU$1006,0))&gt;=100000), " ",IF(INDEX($AD$2:$AU$1001,MATCH(ROWS($W$2:W675),$W$2:$W$1001,0),MATCH(COLUMNS($AD$1006:AP1006),$AD$1006:$AU$1006,0)), HYPERLINK("#",""), HYPERLINK(CONCATENATE("#metadata!", ADDRESS(INDEX($Y$2:$Y$1001,MATCH(ROWS($W$2:W675),$W$2:$W$1001,0),0), INDEX($AD$1004:$AU$1004,1,MATCH(COLUMNS($AD$1006:AP1006),$AD$1006:$AU$1006,0)))),"Fix")))</f>
        <v xml:space="preserve"> </v>
      </c>
      <c r="O675" s="4" t="str">
        <f ca="1">IF(OR(INDEX($X$2:$X$1001,MATCH(ROWS($W$2:W675),$W$2:$W$1001,0),1)&gt;=100000,INDEX($AD$1005:$AU$1005,1,MATCH(COLUMNS($AD$1006:AQ1006),$AD$1006:$AU$1006,0))&gt;=100000), " ",IF(INDEX($AD$2:$AU$1001,MATCH(ROWS($W$2:W675),$W$2:$W$1001,0),MATCH(COLUMNS($AD$1006:AQ1006),$AD$1006:$AU$1006,0)), HYPERLINK("#",""), HYPERLINK(CONCATENATE("#metadata!", ADDRESS(INDEX($Y$2:$Y$1001,MATCH(ROWS($W$2:W675),$W$2:$W$1001,0),0), INDEX($AD$1004:$AU$1004,1,MATCH(COLUMNS($AD$1006:AQ1006),$AD$1006:$AU$1006,0)))),"Fix")))</f>
        <v xml:space="preserve"> </v>
      </c>
      <c r="P675" s="4" t="str">
        <f ca="1">IF(OR(INDEX($X$2:$X$1001,MATCH(ROWS($W$2:W675),$W$2:$W$1001,0),1)&gt;=100000,INDEX($AD$1005:$AU$1005,1,MATCH(COLUMNS($AD$1006:AR1006),$AD$1006:$AU$1006,0))&gt;=100000), " ",IF(INDEX($AD$2:$AU$1001,MATCH(ROWS($W$2:W675),$W$2:$W$1001,0),MATCH(COLUMNS($AD$1006:AR1006),$AD$1006:$AU$1006,0)), HYPERLINK("#",""), HYPERLINK(CONCATENATE("#metadata!", ADDRESS(INDEX($Y$2:$Y$1001,MATCH(ROWS($W$2:W675),$W$2:$W$1001,0),0), INDEX($AD$1004:$AU$1004,1,MATCH(COLUMNS($AD$1006:AR1006),$AD$1006:$AU$1006,0)))),"Fix")))</f>
        <v xml:space="preserve"> </v>
      </c>
      <c r="Q675" s="4" t="str">
        <f ca="1">IF(OR(INDEX($X$2:$X$1001,MATCH(ROWS($W$2:W675),$W$2:$W$1001,0),1)&gt;=100000,INDEX($AD$1005:$AU$1005,1,MATCH(COLUMNS($AD$1006:AS1006),$AD$1006:$AU$1006,0))&gt;=100000), " ",IF(INDEX($AD$2:$AU$1001,MATCH(ROWS($W$2:W675),$W$2:$W$1001,0),MATCH(COLUMNS($AD$1006:AS1006),$AD$1006:$AU$1006,0)), HYPERLINK("#",""), HYPERLINK(CONCATENATE("#metadata!", ADDRESS(INDEX($Y$2:$Y$1001,MATCH(ROWS($W$2:W675),$W$2:$W$1001,0),0), INDEX($AD$1004:$AU$1004,1,MATCH(COLUMNS($AD$1006:AS1006),$AD$1006:$AU$1006,0)))),"Fix")))</f>
        <v xml:space="preserve"> </v>
      </c>
      <c r="R675" s="4" t="str">
        <f ca="1">IF(OR(INDEX($X$2:$X$1001,MATCH(ROWS($W$2:W675),$W$2:$W$1001,0),1)&gt;=100000,INDEX($AD$1005:$AU$1005,1,MATCH(COLUMNS($AD$1006:AT1006),$AD$1006:$AU$1006,0))&gt;=100000), " ",IF(INDEX($AD$2:$AU$1001,MATCH(ROWS($W$2:W675),$W$2:$W$1001,0),MATCH(COLUMNS($AD$1006:AT1006),$AD$1006:$AU$1006,0)), HYPERLINK("#",""), HYPERLINK(CONCATENATE("#metadata!", ADDRESS(INDEX($Y$2:$Y$1001,MATCH(ROWS($W$2:W675),$W$2:$W$1001,0),0), INDEX($AD$1004:$AU$1004,1,MATCH(COLUMNS($AD$1006:AT1006),$AD$1006:$AU$1006,0)))),"Fix")))</f>
        <v xml:space="preserve"> </v>
      </c>
      <c r="S675" s="4" t="str">
        <f ca="1">IF(OR(INDEX($X$2:$X$1001,MATCH(ROWS($W$2:W675),$W$2:$W$1001,0),1)&gt;=100000,INDEX($AD$1005:$AU$1005,1,MATCH(COLUMNS($AD$1006:AU1006),$AD$1006:$AU$1006,0))&gt;=100000), " ",IF(INDEX($AD$2:$AU$1001,MATCH(ROWS($W$2:W675),$W$2:$W$1001,0),MATCH(COLUMNS($AD$1006:AU1006),$AD$1006:$AU$1006,0)), HYPERLINK("#",""), HYPERLINK(CONCATENATE("#metadata!", ADDRESS(INDEX($Y$2:$Y$1001,MATCH(ROWS($W$2:W675),$W$2:$W$1001,0),0), INDEX($AD$1004:$AU$1004,1,MATCH(COLUMNS($AD$1006:AU1006),$AD$1006:$AU$1006,0)))),"Fix")))</f>
        <v xml:space="preserve"> </v>
      </c>
      <c r="W675">
        <v>674</v>
      </c>
      <c r="X675">
        <v>100675</v>
      </c>
      <c r="Y675">
        <v>675</v>
      </c>
      <c r="Z675" t="b">
        <f t="shared" si="10"/>
        <v>1</v>
      </c>
      <c r="AA675" t="b">
        <f>COUNTBLANK(metadata!B675:S675)=COLUMNS(metadata!B675:S675)</f>
        <v>1</v>
      </c>
      <c r="AB675" t="str">
        <v/>
      </c>
      <c r="AD675" t="b">
        <f ca="1">AND(IF(metadata!B675="",FALSE,TRUE),COUNTIF(metadata!B:B, metadata!B675) = 1,NOT(ISERROR(SUMPRODUCT(SEARCH(MID(metadata!B675,ROW(INDIRECT("1:"&amp;LEN(metadata!B675))), 1),"0123456789abcdefghijklmnopqrstuvwxyzABCDEFGHIJKLMNOPQRSTUVWXYZ.")))))</f>
        <v>0</v>
      </c>
      <c r="AE675" t="b">
        <f>OR(AND(IF(metadata!C675="",FALSE,TRUE),OR(EXACT(metadata!C675,"not applicable"),EXACT(metadata!C675,"missing: not collected"),EXACT(metadata!C675,"missing: not provided"),EXACT(metadata!C675,"missing: restricted access"))),AND(IF(metadata!C675="",FALSE,ISNUMBER(VALUE(metadata!C675))),metadata!C675&gt;0))</f>
        <v>0</v>
      </c>
      <c r="AF675" t="b">
        <f>AND(IF(metadata!D675="",FALSE,TRUE),EXACT(metadata!D675,"missing: not provided"))</f>
        <v>0</v>
      </c>
      <c r="AG675" t="b">
        <f>AND(IF(metadata!E675="",FALSE,TRUE),EXACT(metadata!E675,"Host-associated"))</f>
        <v>0</v>
      </c>
      <c r="AH675" t="b">
        <f>AND(IF(metadata!F675="",FALSE,TRUE),OR(EXACT(metadata!F675,"Animal"),EXACT(metadata!F675,"Fungus"),EXACT(metadata!F675,"Plant")))</f>
        <v>0</v>
      </c>
      <c r="AI675" t="b">
        <f>AND(IF(metadata!G675="",FALSE,TRUE),OR(EXACT(metadata!G675,"Plant secretion"),EXACT(metadata!G675,"Plant rhizosphere"),EXACT(metadata!G675,"Plant surface"),EXACT(metadata!G675,"Plant corpus"),EXACT(metadata!G675,"Fungus surface"),EXACT(metadata!G675,"Fungus corpus"),EXACT(metadata!G675,"Animal surface"),EXACT(metadata!G675,"Animal proximal gut"),EXACT(metadata!G675,"Animal corpus"),EXACT(metadata!G675,"Animal distal gut"),EXACT(metadata!G675,"Animal secretion")))</f>
        <v>0</v>
      </c>
      <c r="AJ675" t="b">
        <f>OR(AND(IF(metadata!H675="",FALSE,TRUE),OR(EXACT(metadata!H675,"missing: not collected"),EXACT(metadata!H675,"missing: not provided"),EXACT(metadata!H675,"missing: restricted access"))),AND(IF(metadata!H675="",FALSE,TRUE),OR(EXACT(metadata!H675,"organism-associated habitat"),EXACT(metadata!H675,"plant-associated habitat"),EXACT(metadata!H675,"animal-associated habitat"),EXACT(metadata!H675,"insecta-associated habitat"),EXACT(metadata!H675,"mammalia-associated habitat"),EXACT(metadata!H675,"human-associated habitat"),EXACT(metadata!H675,"livestock-associated habitat"))))</f>
        <v>0</v>
      </c>
      <c r="AK675" t="b">
        <f>AND(IF(metadata!I675="",FALSE,TRUE),EXACT(metadata!I675,"host-associated"))</f>
        <v>0</v>
      </c>
      <c r="AL675" t="b">
        <f>OR(AND(IF(metadata!J675="",FALSE,TRUE),OR(EXACT(metadata!J675,"not applicable"),EXACT(metadata!J675,"missing: not collected"),EXACT(metadata!J675,"missing: not provided"),EXACT(metadata!J675,"missing: restricted access"))),AND(IF(metadata!J675="",FALSE,ISNUMBER(VALUE(metadata!J675))),metadata!J675&gt;0))</f>
        <v>0</v>
      </c>
      <c r="AM675" t="b">
        <f>AND(IF(metadata!K675="",FALSE,TRUE),EXACT(metadata!K675,"missing: not provided"))</f>
        <v>0</v>
      </c>
      <c r="AN675" t="b">
        <f>IF(metadata!L675="",FALSE,TRUE)</f>
        <v>0</v>
      </c>
      <c r="AO675" t="b">
        <f>IF(metadata!M675="",FALSE,TRUE)</f>
        <v>0</v>
      </c>
      <c r="AP675" t="b">
        <f>OR(AND(IF(metadata!N675="",FALSE,TRUE),OR(EXACT(metadata!N675,"not applicable"),EXACT(metadata!N675,"missing: not collected"),EXACT(metadata!N675,"missing: not provided"))),AND(IF(metadata!N675="",FALSE,IF(ISERROR(INT(metadata!N675)),FALSE,INT(metadata!N675)=metadata!N675)),metadata!N675&gt;0))</f>
        <v>0</v>
      </c>
      <c r="AQ675" t="b">
        <f>AND(IF(metadata!O675="",FALSE,TRUE),EXACT(metadata!O675,"Not applicable"))</f>
        <v>0</v>
      </c>
      <c r="AR675" t="b">
        <f>OR(AND(IF(metadata!P675="",FALSE,TRUE),OR(EXACT(metadata!P675,"not applicable"),EXACT(metadata!P675,"missing: not collected"),EXACT(metadata!P675,"missing: not provided"),EXACT(metadata!P675,"missing: restricted access"))),IF(metadata!P675="",FALSE,IF(ISERROR(INT(metadata!P675)),FALSE,INT(metadata!P675)=metadata!P675)))</f>
        <v>0</v>
      </c>
      <c r="AS675" t="b">
        <f>AND(IF(metadata!Q675="",FALSE,TRUE),EXACT(metadata!Q675,"Not applicable"))</f>
        <v>0</v>
      </c>
      <c r="AT675" t="b">
        <f>OR(AND(IF(metadata!R675="",FALSE,TRUE),OR(EXACT(metadata!R675,"not applicable"),EXACT(metadata!R675,"missing: not collected"),EXACT(metadata!R675,"missing: not provided"),EXACT(metadata!R675,"missing: restricted access"))),AND(IF(metadata!R675="",FALSE,ISNUMBER(VALUE(metadata!R675))),metadata!R675&gt;0))</f>
        <v>0</v>
      </c>
      <c r="AU675" t="b">
        <f>AND(IF(metadata!S675="",FALSE,TRUE),EXACT(metadata!S675,"missing: not provided"))</f>
        <v>0</v>
      </c>
    </row>
    <row r="676" spans="1:47" x14ac:dyDescent="0.2">
      <c r="A676" s="5" t="str">
        <f ca="1">IF(B676=" "," ",HYPERLINK(CONCATENATE("#metadata!",ADDRESS(INDEX($Y$2:$Y$1001,MATCH(ROWS($W$2:W676),$W$2:$W$1001,0),0),1)),INDEX($AB$2:$AB$1001,MATCH(ROWS($W$2:W676),$W$2:$W$1001,0),0)))</f>
        <v xml:space="preserve"> </v>
      </c>
      <c r="B676" s="4" t="str">
        <f ca="1">IF(OR(INDEX($X$2:$X$1001,MATCH(ROWS($W$2:W676),$W$2:$W$1001,0),1)&gt;=100000,INDEX($AD$1005:$AU$1005,1,MATCH(COLUMNS($AD$1006:AD1006),$AD$1006:$AU$1006,0))&gt;=100000), " ",IF(INDEX($AD$2:$AU$1001,MATCH(ROWS($W$2:W676),$W$2:$W$1001,0),MATCH(COLUMNS($AD$1006:AD1006),$AD$1006:$AU$1006,0)), HYPERLINK("#",""), HYPERLINK(CONCATENATE("#metadata!", ADDRESS(INDEX($Y$2:$Y$1001,MATCH(ROWS($W$2:W676),$W$2:$W$1001,0),0), INDEX($AD$1004:$AU$1004,1,MATCH(COLUMNS($AD$1006:AD1006),$AD$1006:$AU$1006,0)))),"Fix")))</f>
        <v xml:space="preserve"> </v>
      </c>
      <c r="C676" s="4" t="str">
        <f ca="1">IF(OR(INDEX($X$2:$X$1001,MATCH(ROWS($W$2:W676),$W$2:$W$1001,0),1)&gt;=100000,INDEX($AD$1005:$AU$1005,1,MATCH(COLUMNS($AD$1006:AE1006),$AD$1006:$AU$1006,0))&gt;=100000), " ",IF(INDEX($AD$2:$AU$1001,MATCH(ROWS($W$2:W676),$W$2:$W$1001,0),MATCH(COLUMNS($AD$1006:AE1006),$AD$1006:$AU$1006,0)), HYPERLINK("#",""), HYPERLINK(CONCATENATE("#metadata!", ADDRESS(INDEX($Y$2:$Y$1001,MATCH(ROWS($W$2:W676),$W$2:$W$1001,0),0), INDEX($AD$1004:$AU$1004,1,MATCH(COLUMNS($AD$1006:AE1006),$AD$1006:$AU$1006,0)))),"Fix")))</f>
        <v xml:space="preserve"> </v>
      </c>
      <c r="D676" s="4" t="str">
        <f ca="1">IF(OR(INDEX($X$2:$X$1001,MATCH(ROWS($W$2:W676),$W$2:$W$1001,0),1)&gt;=100000,INDEX($AD$1005:$AU$1005,1,MATCH(COLUMNS($AD$1006:AF1006),$AD$1006:$AU$1006,0))&gt;=100000), " ",IF(INDEX($AD$2:$AU$1001,MATCH(ROWS($W$2:W676),$W$2:$W$1001,0),MATCH(COLUMNS($AD$1006:AF1006),$AD$1006:$AU$1006,0)), HYPERLINK("#",""), HYPERLINK(CONCATENATE("#metadata!", ADDRESS(INDEX($Y$2:$Y$1001,MATCH(ROWS($W$2:W676),$W$2:$W$1001,0),0), INDEX($AD$1004:$AU$1004,1,MATCH(COLUMNS($AD$1006:AF1006),$AD$1006:$AU$1006,0)))),"Fix")))</f>
        <v xml:space="preserve"> </v>
      </c>
      <c r="E676" s="4" t="str">
        <f ca="1">IF(OR(INDEX($X$2:$X$1001,MATCH(ROWS($W$2:W676),$W$2:$W$1001,0),1)&gt;=100000,INDEX($AD$1005:$AU$1005,1,MATCH(COLUMNS($AD$1006:AG1006),$AD$1006:$AU$1006,0))&gt;=100000), " ",IF(INDEX($AD$2:$AU$1001,MATCH(ROWS($W$2:W676),$W$2:$W$1001,0),MATCH(COLUMNS($AD$1006:AG1006),$AD$1006:$AU$1006,0)), HYPERLINK("#",""), HYPERLINK(CONCATENATE("#metadata!", ADDRESS(INDEX($Y$2:$Y$1001,MATCH(ROWS($W$2:W676),$W$2:$W$1001,0),0), INDEX($AD$1004:$AU$1004,1,MATCH(COLUMNS($AD$1006:AG1006),$AD$1006:$AU$1006,0)))),"Fix")))</f>
        <v xml:space="preserve"> </v>
      </c>
      <c r="F676" s="4" t="str">
        <f ca="1">IF(OR(INDEX($X$2:$X$1001,MATCH(ROWS($W$2:W676),$W$2:$W$1001,0),1)&gt;=100000,INDEX($AD$1005:$AU$1005,1,MATCH(COLUMNS($AD$1006:AH1006),$AD$1006:$AU$1006,0))&gt;=100000), " ",IF(INDEX($AD$2:$AU$1001,MATCH(ROWS($W$2:W676),$W$2:$W$1001,0),MATCH(COLUMNS($AD$1006:AH1006),$AD$1006:$AU$1006,0)), HYPERLINK("#",""), HYPERLINK(CONCATENATE("#metadata!", ADDRESS(INDEX($Y$2:$Y$1001,MATCH(ROWS($W$2:W676),$W$2:$W$1001,0),0), INDEX($AD$1004:$AU$1004,1,MATCH(COLUMNS($AD$1006:AH1006),$AD$1006:$AU$1006,0)))),"Fix")))</f>
        <v xml:space="preserve"> </v>
      </c>
      <c r="G676" s="4" t="str">
        <f ca="1">IF(OR(INDEX($X$2:$X$1001,MATCH(ROWS($W$2:W676),$W$2:$W$1001,0),1)&gt;=100000,INDEX($AD$1005:$AU$1005,1,MATCH(COLUMNS($AD$1006:AI1006),$AD$1006:$AU$1006,0))&gt;=100000), " ",IF(INDEX($AD$2:$AU$1001,MATCH(ROWS($W$2:W676),$W$2:$W$1001,0),MATCH(COLUMNS($AD$1006:AI1006),$AD$1006:$AU$1006,0)), HYPERLINK("#",""), HYPERLINK(CONCATENATE("#metadata!", ADDRESS(INDEX($Y$2:$Y$1001,MATCH(ROWS($W$2:W676),$W$2:$W$1001,0),0), INDEX($AD$1004:$AU$1004,1,MATCH(COLUMNS($AD$1006:AI1006),$AD$1006:$AU$1006,0)))),"Fix")))</f>
        <v xml:space="preserve"> </v>
      </c>
      <c r="H676" s="4" t="str">
        <f ca="1">IF(OR(INDEX($X$2:$X$1001,MATCH(ROWS($W$2:W676),$W$2:$W$1001,0),1)&gt;=100000,INDEX($AD$1005:$AU$1005,1,MATCH(COLUMNS($AD$1006:AJ1006),$AD$1006:$AU$1006,0))&gt;=100000), " ",IF(INDEX($AD$2:$AU$1001,MATCH(ROWS($W$2:W676),$W$2:$W$1001,0),MATCH(COLUMNS($AD$1006:AJ1006),$AD$1006:$AU$1006,0)), HYPERLINK("#",""), HYPERLINK(CONCATENATE("#metadata!", ADDRESS(INDEX($Y$2:$Y$1001,MATCH(ROWS($W$2:W676),$W$2:$W$1001,0),0), INDEX($AD$1004:$AU$1004,1,MATCH(COLUMNS($AD$1006:AJ1006),$AD$1006:$AU$1006,0)))),"Fix")))</f>
        <v xml:space="preserve"> </v>
      </c>
      <c r="I676" s="4" t="str">
        <f ca="1">IF(OR(INDEX($X$2:$X$1001,MATCH(ROWS($W$2:W676),$W$2:$W$1001,0),1)&gt;=100000,INDEX($AD$1005:$AU$1005,1,MATCH(COLUMNS($AD$1006:AK1006),$AD$1006:$AU$1006,0))&gt;=100000), " ",IF(INDEX($AD$2:$AU$1001,MATCH(ROWS($W$2:W676),$W$2:$W$1001,0),MATCH(COLUMNS($AD$1006:AK1006),$AD$1006:$AU$1006,0)), HYPERLINK("#",""), HYPERLINK(CONCATENATE("#metadata!", ADDRESS(INDEX($Y$2:$Y$1001,MATCH(ROWS($W$2:W676),$W$2:$W$1001,0),0), INDEX($AD$1004:$AU$1004,1,MATCH(COLUMNS($AD$1006:AK1006),$AD$1006:$AU$1006,0)))),"Fix")))</f>
        <v xml:space="preserve"> </v>
      </c>
      <c r="J676" s="4" t="str">
        <f ca="1">IF(OR(INDEX($X$2:$X$1001,MATCH(ROWS($W$2:W676),$W$2:$W$1001,0),1)&gt;=100000,INDEX($AD$1005:$AU$1005,1,MATCH(COLUMNS($AD$1006:AL1006),$AD$1006:$AU$1006,0))&gt;=100000), " ",IF(INDEX($AD$2:$AU$1001,MATCH(ROWS($W$2:W676),$W$2:$W$1001,0),MATCH(COLUMNS($AD$1006:AL1006),$AD$1006:$AU$1006,0)), HYPERLINK("#",""), HYPERLINK(CONCATENATE("#metadata!", ADDRESS(INDEX($Y$2:$Y$1001,MATCH(ROWS($W$2:W676),$W$2:$W$1001,0),0), INDEX($AD$1004:$AU$1004,1,MATCH(COLUMNS($AD$1006:AL1006),$AD$1006:$AU$1006,0)))),"Fix")))</f>
        <v xml:space="preserve"> </v>
      </c>
      <c r="K676" s="4" t="str">
        <f ca="1">IF(OR(INDEX($X$2:$X$1001,MATCH(ROWS($W$2:W676),$W$2:$W$1001,0),1)&gt;=100000,INDEX($AD$1005:$AU$1005,1,MATCH(COLUMNS($AD$1006:AM1006),$AD$1006:$AU$1006,0))&gt;=100000), " ",IF(INDEX($AD$2:$AU$1001,MATCH(ROWS($W$2:W676),$W$2:$W$1001,0),MATCH(COLUMNS($AD$1006:AM1006),$AD$1006:$AU$1006,0)), HYPERLINK("#",""), HYPERLINK(CONCATENATE("#metadata!", ADDRESS(INDEX($Y$2:$Y$1001,MATCH(ROWS($W$2:W676),$W$2:$W$1001,0),0), INDEX($AD$1004:$AU$1004,1,MATCH(COLUMNS($AD$1006:AM1006),$AD$1006:$AU$1006,0)))),"Fix")))</f>
        <v xml:space="preserve"> </v>
      </c>
      <c r="L676" s="4" t="str">
        <f ca="1">IF(OR(INDEX($X$2:$X$1001,MATCH(ROWS($W$2:W676),$W$2:$W$1001,0),1)&gt;=100000,INDEX($AD$1005:$AU$1005,1,MATCH(COLUMNS($AD$1006:AN1006),$AD$1006:$AU$1006,0))&gt;=100000), " ",IF(INDEX($AD$2:$AU$1001,MATCH(ROWS($W$2:W676),$W$2:$W$1001,0),MATCH(COLUMNS($AD$1006:AN1006),$AD$1006:$AU$1006,0)), HYPERLINK("#",""), HYPERLINK(CONCATENATE("#metadata!", ADDRESS(INDEX($Y$2:$Y$1001,MATCH(ROWS($W$2:W676),$W$2:$W$1001,0),0), INDEX($AD$1004:$AU$1004,1,MATCH(COLUMNS($AD$1006:AN1006),$AD$1006:$AU$1006,0)))),"Fix")))</f>
        <v xml:space="preserve"> </v>
      </c>
      <c r="M676" s="4" t="str">
        <f ca="1">IF(OR(INDEX($X$2:$X$1001,MATCH(ROWS($W$2:W676),$W$2:$W$1001,0),1)&gt;=100000,INDEX($AD$1005:$AU$1005,1,MATCH(COLUMNS($AD$1006:AO1006),$AD$1006:$AU$1006,0))&gt;=100000), " ",IF(INDEX($AD$2:$AU$1001,MATCH(ROWS($W$2:W676),$W$2:$W$1001,0),MATCH(COLUMNS($AD$1006:AO1006),$AD$1006:$AU$1006,0)), HYPERLINK("#",""), HYPERLINK(CONCATENATE("#metadata!", ADDRESS(INDEX($Y$2:$Y$1001,MATCH(ROWS($W$2:W676),$W$2:$W$1001,0),0), INDEX($AD$1004:$AU$1004,1,MATCH(COLUMNS($AD$1006:AO1006),$AD$1006:$AU$1006,0)))),"Fix")))</f>
        <v xml:space="preserve"> </v>
      </c>
      <c r="N676" s="4" t="str">
        <f ca="1">IF(OR(INDEX($X$2:$X$1001,MATCH(ROWS($W$2:W676),$W$2:$W$1001,0),1)&gt;=100000,INDEX($AD$1005:$AU$1005,1,MATCH(COLUMNS($AD$1006:AP1006),$AD$1006:$AU$1006,0))&gt;=100000), " ",IF(INDEX($AD$2:$AU$1001,MATCH(ROWS($W$2:W676),$W$2:$W$1001,0),MATCH(COLUMNS($AD$1006:AP1006),$AD$1006:$AU$1006,0)), HYPERLINK("#",""), HYPERLINK(CONCATENATE("#metadata!", ADDRESS(INDEX($Y$2:$Y$1001,MATCH(ROWS($W$2:W676),$W$2:$W$1001,0),0), INDEX($AD$1004:$AU$1004,1,MATCH(COLUMNS($AD$1006:AP1006),$AD$1006:$AU$1006,0)))),"Fix")))</f>
        <v xml:space="preserve"> </v>
      </c>
      <c r="O676" s="4" t="str">
        <f ca="1">IF(OR(INDEX($X$2:$X$1001,MATCH(ROWS($W$2:W676),$W$2:$W$1001,0),1)&gt;=100000,INDEX($AD$1005:$AU$1005,1,MATCH(COLUMNS($AD$1006:AQ1006),$AD$1006:$AU$1006,0))&gt;=100000), " ",IF(INDEX($AD$2:$AU$1001,MATCH(ROWS($W$2:W676),$W$2:$W$1001,0),MATCH(COLUMNS($AD$1006:AQ1006),$AD$1006:$AU$1006,0)), HYPERLINK("#",""), HYPERLINK(CONCATENATE("#metadata!", ADDRESS(INDEX($Y$2:$Y$1001,MATCH(ROWS($W$2:W676),$W$2:$W$1001,0),0), INDEX($AD$1004:$AU$1004,1,MATCH(COLUMNS($AD$1006:AQ1006),$AD$1006:$AU$1006,0)))),"Fix")))</f>
        <v xml:space="preserve"> </v>
      </c>
      <c r="P676" s="4" t="str">
        <f ca="1">IF(OR(INDEX($X$2:$X$1001,MATCH(ROWS($W$2:W676),$W$2:$W$1001,0),1)&gt;=100000,INDEX($AD$1005:$AU$1005,1,MATCH(COLUMNS($AD$1006:AR1006),$AD$1006:$AU$1006,0))&gt;=100000), " ",IF(INDEX($AD$2:$AU$1001,MATCH(ROWS($W$2:W676),$W$2:$W$1001,0),MATCH(COLUMNS($AD$1006:AR1006),$AD$1006:$AU$1006,0)), HYPERLINK("#",""), HYPERLINK(CONCATENATE("#metadata!", ADDRESS(INDEX($Y$2:$Y$1001,MATCH(ROWS($W$2:W676),$W$2:$W$1001,0),0), INDEX($AD$1004:$AU$1004,1,MATCH(COLUMNS($AD$1006:AR1006),$AD$1006:$AU$1006,0)))),"Fix")))</f>
        <v xml:space="preserve"> </v>
      </c>
      <c r="Q676" s="4" t="str">
        <f ca="1">IF(OR(INDEX($X$2:$X$1001,MATCH(ROWS($W$2:W676),$W$2:$W$1001,0),1)&gt;=100000,INDEX($AD$1005:$AU$1005,1,MATCH(COLUMNS($AD$1006:AS1006),$AD$1006:$AU$1006,0))&gt;=100000), " ",IF(INDEX($AD$2:$AU$1001,MATCH(ROWS($W$2:W676),$W$2:$W$1001,0),MATCH(COLUMNS($AD$1006:AS1006),$AD$1006:$AU$1006,0)), HYPERLINK("#",""), HYPERLINK(CONCATENATE("#metadata!", ADDRESS(INDEX($Y$2:$Y$1001,MATCH(ROWS($W$2:W676),$W$2:$W$1001,0),0), INDEX($AD$1004:$AU$1004,1,MATCH(COLUMNS($AD$1006:AS1006),$AD$1006:$AU$1006,0)))),"Fix")))</f>
        <v xml:space="preserve"> </v>
      </c>
      <c r="R676" s="4" t="str">
        <f ca="1">IF(OR(INDEX($X$2:$X$1001,MATCH(ROWS($W$2:W676),$W$2:$W$1001,0),1)&gt;=100000,INDEX($AD$1005:$AU$1005,1,MATCH(COLUMNS($AD$1006:AT1006),$AD$1006:$AU$1006,0))&gt;=100000), " ",IF(INDEX($AD$2:$AU$1001,MATCH(ROWS($W$2:W676),$W$2:$W$1001,0),MATCH(COLUMNS($AD$1006:AT1006),$AD$1006:$AU$1006,0)), HYPERLINK("#",""), HYPERLINK(CONCATENATE("#metadata!", ADDRESS(INDEX($Y$2:$Y$1001,MATCH(ROWS($W$2:W676),$W$2:$W$1001,0),0), INDEX($AD$1004:$AU$1004,1,MATCH(COLUMNS($AD$1006:AT1006),$AD$1006:$AU$1006,0)))),"Fix")))</f>
        <v xml:space="preserve"> </v>
      </c>
      <c r="S676" s="4" t="str">
        <f ca="1">IF(OR(INDEX($X$2:$X$1001,MATCH(ROWS($W$2:W676),$W$2:$W$1001,0),1)&gt;=100000,INDEX($AD$1005:$AU$1005,1,MATCH(COLUMNS($AD$1006:AU1006),$AD$1006:$AU$1006,0))&gt;=100000), " ",IF(INDEX($AD$2:$AU$1001,MATCH(ROWS($W$2:W676),$W$2:$W$1001,0),MATCH(COLUMNS($AD$1006:AU1006),$AD$1006:$AU$1006,0)), HYPERLINK("#",""), HYPERLINK(CONCATENATE("#metadata!", ADDRESS(INDEX($Y$2:$Y$1001,MATCH(ROWS($W$2:W676),$W$2:$W$1001,0),0), INDEX($AD$1004:$AU$1004,1,MATCH(COLUMNS($AD$1006:AU1006),$AD$1006:$AU$1006,0)))),"Fix")))</f>
        <v xml:space="preserve"> </v>
      </c>
      <c r="W676">
        <v>675</v>
      </c>
      <c r="X676">
        <v>100676</v>
      </c>
      <c r="Y676">
        <v>676</v>
      </c>
      <c r="Z676" t="b">
        <f t="shared" si="10"/>
        <v>1</v>
      </c>
      <c r="AA676" t="b">
        <f>COUNTBLANK(metadata!B676:S676)=COLUMNS(metadata!B676:S676)</f>
        <v>1</v>
      </c>
      <c r="AB676" t="str">
        <v/>
      </c>
      <c r="AD676" t="b">
        <f ca="1">AND(IF(metadata!B676="",FALSE,TRUE),COUNTIF(metadata!B:B, metadata!B676) = 1,NOT(ISERROR(SUMPRODUCT(SEARCH(MID(metadata!B676,ROW(INDIRECT("1:"&amp;LEN(metadata!B676))), 1),"0123456789abcdefghijklmnopqrstuvwxyzABCDEFGHIJKLMNOPQRSTUVWXYZ.")))))</f>
        <v>0</v>
      </c>
      <c r="AE676" t="b">
        <f>OR(AND(IF(metadata!C676="",FALSE,TRUE),OR(EXACT(metadata!C676,"not applicable"),EXACT(metadata!C676,"missing: not collected"),EXACT(metadata!C676,"missing: not provided"),EXACT(metadata!C676,"missing: restricted access"))),AND(IF(metadata!C676="",FALSE,ISNUMBER(VALUE(metadata!C676))),metadata!C676&gt;0))</f>
        <v>0</v>
      </c>
      <c r="AF676" t="b">
        <f>AND(IF(metadata!D676="",FALSE,TRUE),EXACT(metadata!D676,"missing: not provided"))</f>
        <v>0</v>
      </c>
      <c r="AG676" t="b">
        <f>AND(IF(metadata!E676="",FALSE,TRUE),EXACT(metadata!E676,"Host-associated"))</f>
        <v>0</v>
      </c>
      <c r="AH676" t="b">
        <f>AND(IF(metadata!F676="",FALSE,TRUE),OR(EXACT(metadata!F676,"Animal"),EXACT(metadata!F676,"Fungus"),EXACT(metadata!F676,"Plant")))</f>
        <v>0</v>
      </c>
      <c r="AI676" t="b">
        <f>AND(IF(metadata!G676="",FALSE,TRUE),OR(EXACT(metadata!G676,"Plant secretion"),EXACT(metadata!G676,"Plant rhizosphere"),EXACT(metadata!G676,"Plant surface"),EXACT(metadata!G676,"Plant corpus"),EXACT(metadata!G676,"Fungus surface"),EXACT(metadata!G676,"Fungus corpus"),EXACT(metadata!G676,"Animal surface"),EXACT(metadata!G676,"Animal proximal gut"),EXACT(metadata!G676,"Animal corpus"),EXACT(metadata!G676,"Animal distal gut"),EXACT(metadata!G676,"Animal secretion")))</f>
        <v>0</v>
      </c>
      <c r="AJ676" t="b">
        <f>OR(AND(IF(metadata!H676="",FALSE,TRUE),OR(EXACT(metadata!H676,"missing: not collected"),EXACT(metadata!H676,"missing: not provided"),EXACT(metadata!H676,"missing: restricted access"))),AND(IF(metadata!H676="",FALSE,TRUE),OR(EXACT(metadata!H676,"organism-associated habitat"),EXACT(metadata!H676,"plant-associated habitat"),EXACT(metadata!H676,"animal-associated habitat"),EXACT(metadata!H676,"insecta-associated habitat"),EXACT(metadata!H676,"mammalia-associated habitat"),EXACT(metadata!H676,"human-associated habitat"),EXACT(metadata!H676,"livestock-associated habitat"))))</f>
        <v>0</v>
      </c>
      <c r="AK676" t="b">
        <f>AND(IF(metadata!I676="",FALSE,TRUE),EXACT(metadata!I676,"host-associated"))</f>
        <v>0</v>
      </c>
      <c r="AL676" t="b">
        <f>OR(AND(IF(metadata!J676="",FALSE,TRUE),OR(EXACT(metadata!J676,"not applicable"),EXACT(metadata!J676,"missing: not collected"),EXACT(metadata!J676,"missing: not provided"),EXACT(metadata!J676,"missing: restricted access"))),AND(IF(metadata!J676="",FALSE,ISNUMBER(VALUE(metadata!J676))),metadata!J676&gt;0))</f>
        <v>0</v>
      </c>
      <c r="AM676" t="b">
        <f>AND(IF(metadata!K676="",FALSE,TRUE),EXACT(metadata!K676,"missing: not provided"))</f>
        <v>0</v>
      </c>
      <c r="AN676" t="b">
        <f>IF(metadata!L676="",FALSE,TRUE)</f>
        <v>0</v>
      </c>
      <c r="AO676" t="b">
        <f>IF(metadata!M676="",FALSE,TRUE)</f>
        <v>0</v>
      </c>
      <c r="AP676" t="b">
        <f>OR(AND(IF(metadata!N676="",FALSE,TRUE),OR(EXACT(metadata!N676,"not applicable"),EXACT(metadata!N676,"missing: not collected"),EXACT(metadata!N676,"missing: not provided"))),AND(IF(metadata!N676="",FALSE,IF(ISERROR(INT(metadata!N676)),FALSE,INT(metadata!N676)=metadata!N676)),metadata!N676&gt;0))</f>
        <v>0</v>
      </c>
      <c r="AQ676" t="b">
        <f>AND(IF(metadata!O676="",FALSE,TRUE),EXACT(metadata!O676,"Not applicable"))</f>
        <v>0</v>
      </c>
      <c r="AR676" t="b">
        <f>OR(AND(IF(metadata!P676="",FALSE,TRUE),OR(EXACT(metadata!P676,"not applicable"),EXACT(metadata!P676,"missing: not collected"),EXACT(metadata!P676,"missing: not provided"),EXACT(metadata!P676,"missing: restricted access"))),IF(metadata!P676="",FALSE,IF(ISERROR(INT(metadata!P676)),FALSE,INT(metadata!P676)=metadata!P676)))</f>
        <v>0</v>
      </c>
      <c r="AS676" t="b">
        <f>AND(IF(metadata!Q676="",FALSE,TRUE),EXACT(metadata!Q676,"Not applicable"))</f>
        <v>0</v>
      </c>
      <c r="AT676" t="b">
        <f>OR(AND(IF(metadata!R676="",FALSE,TRUE),OR(EXACT(metadata!R676,"not applicable"),EXACT(metadata!R676,"missing: not collected"),EXACT(metadata!R676,"missing: not provided"),EXACT(metadata!R676,"missing: restricted access"))),AND(IF(metadata!R676="",FALSE,ISNUMBER(VALUE(metadata!R676))),metadata!R676&gt;0))</f>
        <v>0</v>
      </c>
      <c r="AU676" t="b">
        <f>AND(IF(metadata!S676="",FALSE,TRUE),EXACT(metadata!S676,"missing: not provided"))</f>
        <v>0</v>
      </c>
    </row>
    <row r="677" spans="1:47" x14ac:dyDescent="0.2">
      <c r="A677" s="5" t="str">
        <f ca="1">IF(B677=" "," ",HYPERLINK(CONCATENATE("#metadata!",ADDRESS(INDEX($Y$2:$Y$1001,MATCH(ROWS($W$2:W677),$W$2:$W$1001,0),0),1)),INDEX($AB$2:$AB$1001,MATCH(ROWS($W$2:W677),$W$2:$W$1001,0),0)))</f>
        <v xml:space="preserve"> </v>
      </c>
      <c r="B677" s="4" t="str">
        <f ca="1">IF(OR(INDEX($X$2:$X$1001,MATCH(ROWS($W$2:W677),$W$2:$W$1001,0),1)&gt;=100000,INDEX($AD$1005:$AU$1005,1,MATCH(COLUMNS($AD$1006:AD1006),$AD$1006:$AU$1006,0))&gt;=100000), " ",IF(INDEX($AD$2:$AU$1001,MATCH(ROWS($W$2:W677),$W$2:$W$1001,0),MATCH(COLUMNS($AD$1006:AD1006),$AD$1006:$AU$1006,0)), HYPERLINK("#",""), HYPERLINK(CONCATENATE("#metadata!", ADDRESS(INDEX($Y$2:$Y$1001,MATCH(ROWS($W$2:W677),$W$2:$W$1001,0),0), INDEX($AD$1004:$AU$1004,1,MATCH(COLUMNS($AD$1006:AD1006),$AD$1006:$AU$1006,0)))),"Fix")))</f>
        <v xml:space="preserve"> </v>
      </c>
      <c r="C677" s="4" t="str">
        <f ca="1">IF(OR(INDEX($X$2:$X$1001,MATCH(ROWS($W$2:W677),$W$2:$W$1001,0),1)&gt;=100000,INDEX($AD$1005:$AU$1005,1,MATCH(COLUMNS($AD$1006:AE1006),$AD$1006:$AU$1006,0))&gt;=100000), " ",IF(INDEX($AD$2:$AU$1001,MATCH(ROWS($W$2:W677),$W$2:$W$1001,0),MATCH(COLUMNS($AD$1006:AE1006),$AD$1006:$AU$1006,0)), HYPERLINK("#",""), HYPERLINK(CONCATENATE("#metadata!", ADDRESS(INDEX($Y$2:$Y$1001,MATCH(ROWS($W$2:W677),$W$2:$W$1001,0),0), INDEX($AD$1004:$AU$1004,1,MATCH(COLUMNS($AD$1006:AE1006),$AD$1006:$AU$1006,0)))),"Fix")))</f>
        <v xml:space="preserve"> </v>
      </c>
      <c r="D677" s="4" t="str">
        <f ca="1">IF(OR(INDEX($X$2:$X$1001,MATCH(ROWS($W$2:W677),$W$2:$W$1001,0),1)&gt;=100000,INDEX($AD$1005:$AU$1005,1,MATCH(COLUMNS($AD$1006:AF1006),$AD$1006:$AU$1006,0))&gt;=100000), " ",IF(INDEX($AD$2:$AU$1001,MATCH(ROWS($W$2:W677),$W$2:$W$1001,0),MATCH(COLUMNS($AD$1006:AF1006),$AD$1006:$AU$1006,0)), HYPERLINK("#",""), HYPERLINK(CONCATENATE("#metadata!", ADDRESS(INDEX($Y$2:$Y$1001,MATCH(ROWS($W$2:W677),$W$2:$W$1001,0),0), INDEX($AD$1004:$AU$1004,1,MATCH(COLUMNS($AD$1006:AF1006),$AD$1006:$AU$1006,0)))),"Fix")))</f>
        <v xml:space="preserve"> </v>
      </c>
      <c r="E677" s="4" t="str">
        <f ca="1">IF(OR(INDEX($X$2:$X$1001,MATCH(ROWS($W$2:W677),$W$2:$W$1001,0),1)&gt;=100000,INDEX($AD$1005:$AU$1005,1,MATCH(COLUMNS($AD$1006:AG1006),$AD$1006:$AU$1006,0))&gt;=100000), " ",IF(INDEX($AD$2:$AU$1001,MATCH(ROWS($W$2:W677),$W$2:$W$1001,0),MATCH(COLUMNS($AD$1006:AG1006),$AD$1006:$AU$1006,0)), HYPERLINK("#",""), HYPERLINK(CONCATENATE("#metadata!", ADDRESS(INDEX($Y$2:$Y$1001,MATCH(ROWS($W$2:W677),$W$2:$W$1001,0),0), INDEX($AD$1004:$AU$1004,1,MATCH(COLUMNS($AD$1006:AG1006),$AD$1006:$AU$1006,0)))),"Fix")))</f>
        <v xml:space="preserve"> </v>
      </c>
      <c r="F677" s="4" t="str">
        <f ca="1">IF(OR(INDEX($X$2:$X$1001,MATCH(ROWS($W$2:W677),$W$2:$W$1001,0),1)&gt;=100000,INDEX($AD$1005:$AU$1005,1,MATCH(COLUMNS($AD$1006:AH1006),$AD$1006:$AU$1006,0))&gt;=100000), " ",IF(INDEX($AD$2:$AU$1001,MATCH(ROWS($W$2:W677),$W$2:$W$1001,0),MATCH(COLUMNS($AD$1006:AH1006),$AD$1006:$AU$1006,0)), HYPERLINK("#",""), HYPERLINK(CONCATENATE("#metadata!", ADDRESS(INDEX($Y$2:$Y$1001,MATCH(ROWS($W$2:W677),$W$2:$W$1001,0),0), INDEX($AD$1004:$AU$1004,1,MATCH(COLUMNS($AD$1006:AH1006),$AD$1006:$AU$1006,0)))),"Fix")))</f>
        <v xml:space="preserve"> </v>
      </c>
      <c r="G677" s="4" t="str">
        <f ca="1">IF(OR(INDEX($X$2:$X$1001,MATCH(ROWS($W$2:W677),$W$2:$W$1001,0),1)&gt;=100000,INDEX($AD$1005:$AU$1005,1,MATCH(COLUMNS($AD$1006:AI1006),$AD$1006:$AU$1006,0))&gt;=100000), " ",IF(INDEX($AD$2:$AU$1001,MATCH(ROWS($W$2:W677),$W$2:$W$1001,0),MATCH(COLUMNS($AD$1006:AI1006),$AD$1006:$AU$1006,0)), HYPERLINK("#",""), HYPERLINK(CONCATENATE("#metadata!", ADDRESS(INDEX($Y$2:$Y$1001,MATCH(ROWS($W$2:W677),$W$2:$W$1001,0),0), INDEX($AD$1004:$AU$1004,1,MATCH(COLUMNS($AD$1006:AI1006),$AD$1006:$AU$1006,0)))),"Fix")))</f>
        <v xml:space="preserve"> </v>
      </c>
      <c r="H677" s="4" t="str">
        <f ca="1">IF(OR(INDEX($X$2:$X$1001,MATCH(ROWS($W$2:W677),$W$2:$W$1001,0),1)&gt;=100000,INDEX($AD$1005:$AU$1005,1,MATCH(COLUMNS($AD$1006:AJ1006),$AD$1006:$AU$1006,0))&gt;=100000), " ",IF(INDEX($AD$2:$AU$1001,MATCH(ROWS($W$2:W677),$W$2:$W$1001,0),MATCH(COLUMNS($AD$1006:AJ1006),$AD$1006:$AU$1006,0)), HYPERLINK("#",""), HYPERLINK(CONCATENATE("#metadata!", ADDRESS(INDEX($Y$2:$Y$1001,MATCH(ROWS($W$2:W677),$W$2:$W$1001,0),0), INDEX($AD$1004:$AU$1004,1,MATCH(COLUMNS($AD$1006:AJ1006),$AD$1006:$AU$1006,0)))),"Fix")))</f>
        <v xml:space="preserve"> </v>
      </c>
      <c r="I677" s="4" t="str">
        <f ca="1">IF(OR(INDEX($X$2:$X$1001,MATCH(ROWS($W$2:W677),$W$2:$W$1001,0),1)&gt;=100000,INDEX($AD$1005:$AU$1005,1,MATCH(COLUMNS($AD$1006:AK1006),$AD$1006:$AU$1006,0))&gt;=100000), " ",IF(INDEX($AD$2:$AU$1001,MATCH(ROWS($W$2:W677),$W$2:$W$1001,0),MATCH(COLUMNS($AD$1006:AK1006),$AD$1006:$AU$1006,0)), HYPERLINK("#",""), HYPERLINK(CONCATENATE("#metadata!", ADDRESS(INDEX($Y$2:$Y$1001,MATCH(ROWS($W$2:W677),$W$2:$W$1001,0),0), INDEX($AD$1004:$AU$1004,1,MATCH(COLUMNS($AD$1006:AK1006),$AD$1006:$AU$1006,0)))),"Fix")))</f>
        <v xml:space="preserve"> </v>
      </c>
      <c r="J677" s="4" t="str">
        <f ca="1">IF(OR(INDEX($X$2:$X$1001,MATCH(ROWS($W$2:W677),$W$2:$W$1001,0),1)&gt;=100000,INDEX($AD$1005:$AU$1005,1,MATCH(COLUMNS($AD$1006:AL1006),$AD$1006:$AU$1006,0))&gt;=100000), " ",IF(INDEX($AD$2:$AU$1001,MATCH(ROWS($W$2:W677),$W$2:$W$1001,0),MATCH(COLUMNS($AD$1006:AL1006),$AD$1006:$AU$1006,0)), HYPERLINK("#",""), HYPERLINK(CONCATENATE("#metadata!", ADDRESS(INDEX($Y$2:$Y$1001,MATCH(ROWS($W$2:W677),$W$2:$W$1001,0),0), INDEX($AD$1004:$AU$1004,1,MATCH(COLUMNS($AD$1006:AL1006),$AD$1006:$AU$1006,0)))),"Fix")))</f>
        <v xml:space="preserve"> </v>
      </c>
      <c r="K677" s="4" t="str">
        <f ca="1">IF(OR(INDEX($X$2:$X$1001,MATCH(ROWS($W$2:W677),$W$2:$W$1001,0),1)&gt;=100000,INDEX($AD$1005:$AU$1005,1,MATCH(COLUMNS($AD$1006:AM1006),$AD$1006:$AU$1006,0))&gt;=100000), " ",IF(INDEX($AD$2:$AU$1001,MATCH(ROWS($W$2:W677),$W$2:$W$1001,0),MATCH(COLUMNS($AD$1006:AM1006),$AD$1006:$AU$1006,0)), HYPERLINK("#",""), HYPERLINK(CONCATENATE("#metadata!", ADDRESS(INDEX($Y$2:$Y$1001,MATCH(ROWS($W$2:W677),$W$2:$W$1001,0),0), INDEX($AD$1004:$AU$1004,1,MATCH(COLUMNS($AD$1006:AM1006),$AD$1006:$AU$1006,0)))),"Fix")))</f>
        <v xml:space="preserve"> </v>
      </c>
      <c r="L677" s="4" t="str">
        <f ca="1">IF(OR(INDEX($X$2:$X$1001,MATCH(ROWS($W$2:W677),$W$2:$W$1001,0),1)&gt;=100000,INDEX($AD$1005:$AU$1005,1,MATCH(COLUMNS($AD$1006:AN1006),$AD$1006:$AU$1006,0))&gt;=100000), " ",IF(INDEX($AD$2:$AU$1001,MATCH(ROWS($W$2:W677),$W$2:$W$1001,0),MATCH(COLUMNS($AD$1006:AN1006),$AD$1006:$AU$1006,0)), HYPERLINK("#",""), HYPERLINK(CONCATENATE("#metadata!", ADDRESS(INDEX($Y$2:$Y$1001,MATCH(ROWS($W$2:W677),$W$2:$W$1001,0),0), INDEX($AD$1004:$AU$1004,1,MATCH(COLUMNS($AD$1006:AN1006),$AD$1006:$AU$1006,0)))),"Fix")))</f>
        <v xml:space="preserve"> </v>
      </c>
      <c r="M677" s="4" t="str">
        <f ca="1">IF(OR(INDEX($X$2:$X$1001,MATCH(ROWS($W$2:W677),$W$2:$W$1001,0),1)&gt;=100000,INDEX($AD$1005:$AU$1005,1,MATCH(COLUMNS($AD$1006:AO1006),$AD$1006:$AU$1006,0))&gt;=100000), " ",IF(INDEX($AD$2:$AU$1001,MATCH(ROWS($W$2:W677),$W$2:$W$1001,0),MATCH(COLUMNS($AD$1006:AO1006),$AD$1006:$AU$1006,0)), HYPERLINK("#",""), HYPERLINK(CONCATENATE("#metadata!", ADDRESS(INDEX($Y$2:$Y$1001,MATCH(ROWS($W$2:W677),$W$2:$W$1001,0),0), INDEX($AD$1004:$AU$1004,1,MATCH(COLUMNS($AD$1006:AO1006),$AD$1006:$AU$1006,0)))),"Fix")))</f>
        <v xml:space="preserve"> </v>
      </c>
      <c r="N677" s="4" t="str">
        <f ca="1">IF(OR(INDEX($X$2:$X$1001,MATCH(ROWS($W$2:W677),$W$2:$W$1001,0),1)&gt;=100000,INDEX($AD$1005:$AU$1005,1,MATCH(COLUMNS($AD$1006:AP1006),$AD$1006:$AU$1006,0))&gt;=100000), " ",IF(INDEX($AD$2:$AU$1001,MATCH(ROWS($W$2:W677),$W$2:$W$1001,0),MATCH(COLUMNS($AD$1006:AP1006),$AD$1006:$AU$1006,0)), HYPERLINK("#",""), HYPERLINK(CONCATENATE("#metadata!", ADDRESS(INDEX($Y$2:$Y$1001,MATCH(ROWS($W$2:W677),$W$2:$W$1001,0),0), INDEX($AD$1004:$AU$1004,1,MATCH(COLUMNS($AD$1006:AP1006),$AD$1006:$AU$1006,0)))),"Fix")))</f>
        <v xml:space="preserve"> </v>
      </c>
      <c r="O677" s="4" t="str">
        <f ca="1">IF(OR(INDEX($X$2:$X$1001,MATCH(ROWS($W$2:W677),$W$2:$W$1001,0),1)&gt;=100000,INDEX($AD$1005:$AU$1005,1,MATCH(COLUMNS($AD$1006:AQ1006),$AD$1006:$AU$1006,0))&gt;=100000), " ",IF(INDEX($AD$2:$AU$1001,MATCH(ROWS($W$2:W677),$W$2:$W$1001,0),MATCH(COLUMNS($AD$1006:AQ1006),$AD$1006:$AU$1006,0)), HYPERLINK("#",""), HYPERLINK(CONCATENATE("#metadata!", ADDRESS(INDEX($Y$2:$Y$1001,MATCH(ROWS($W$2:W677),$W$2:$W$1001,0),0), INDEX($AD$1004:$AU$1004,1,MATCH(COLUMNS($AD$1006:AQ1006),$AD$1006:$AU$1006,0)))),"Fix")))</f>
        <v xml:space="preserve"> </v>
      </c>
      <c r="P677" s="4" t="str">
        <f ca="1">IF(OR(INDEX($X$2:$X$1001,MATCH(ROWS($W$2:W677),$W$2:$W$1001,0),1)&gt;=100000,INDEX($AD$1005:$AU$1005,1,MATCH(COLUMNS($AD$1006:AR1006),$AD$1006:$AU$1006,0))&gt;=100000), " ",IF(INDEX($AD$2:$AU$1001,MATCH(ROWS($W$2:W677),$W$2:$W$1001,0),MATCH(COLUMNS($AD$1006:AR1006),$AD$1006:$AU$1006,0)), HYPERLINK("#",""), HYPERLINK(CONCATENATE("#metadata!", ADDRESS(INDEX($Y$2:$Y$1001,MATCH(ROWS($W$2:W677),$W$2:$W$1001,0),0), INDEX($AD$1004:$AU$1004,1,MATCH(COLUMNS($AD$1006:AR1006),$AD$1006:$AU$1006,0)))),"Fix")))</f>
        <v xml:space="preserve"> </v>
      </c>
      <c r="Q677" s="4" t="str">
        <f ca="1">IF(OR(INDEX($X$2:$X$1001,MATCH(ROWS($W$2:W677),$W$2:$W$1001,0),1)&gt;=100000,INDEX($AD$1005:$AU$1005,1,MATCH(COLUMNS($AD$1006:AS1006),$AD$1006:$AU$1006,0))&gt;=100000), " ",IF(INDEX($AD$2:$AU$1001,MATCH(ROWS($W$2:W677),$W$2:$W$1001,0),MATCH(COLUMNS($AD$1006:AS1006),$AD$1006:$AU$1006,0)), HYPERLINK("#",""), HYPERLINK(CONCATENATE("#metadata!", ADDRESS(INDEX($Y$2:$Y$1001,MATCH(ROWS($W$2:W677),$W$2:$W$1001,0),0), INDEX($AD$1004:$AU$1004,1,MATCH(COLUMNS($AD$1006:AS1006),$AD$1006:$AU$1006,0)))),"Fix")))</f>
        <v xml:space="preserve"> </v>
      </c>
      <c r="R677" s="4" t="str">
        <f ca="1">IF(OR(INDEX($X$2:$X$1001,MATCH(ROWS($W$2:W677),$W$2:$W$1001,0),1)&gt;=100000,INDEX($AD$1005:$AU$1005,1,MATCH(COLUMNS($AD$1006:AT1006),$AD$1006:$AU$1006,0))&gt;=100000), " ",IF(INDEX($AD$2:$AU$1001,MATCH(ROWS($W$2:W677),$W$2:$W$1001,0),MATCH(COLUMNS($AD$1006:AT1006),$AD$1006:$AU$1006,0)), HYPERLINK("#",""), HYPERLINK(CONCATENATE("#metadata!", ADDRESS(INDEX($Y$2:$Y$1001,MATCH(ROWS($W$2:W677),$W$2:$W$1001,0),0), INDEX($AD$1004:$AU$1004,1,MATCH(COLUMNS($AD$1006:AT1006),$AD$1006:$AU$1006,0)))),"Fix")))</f>
        <v xml:space="preserve"> </v>
      </c>
      <c r="S677" s="4" t="str">
        <f ca="1">IF(OR(INDEX($X$2:$X$1001,MATCH(ROWS($W$2:W677),$W$2:$W$1001,0),1)&gt;=100000,INDEX($AD$1005:$AU$1005,1,MATCH(COLUMNS($AD$1006:AU1006),$AD$1006:$AU$1006,0))&gt;=100000), " ",IF(INDEX($AD$2:$AU$1001,MATCH(ROWS($W$2:W677),$W$2:$W$1001,0),MATCH(COLUMNS($AD$1006:AU1006),$AD$1006:$AU$1006,0)), HYPERLINK("#",""), HYPERLINK(CONCATENATE("#metadata!", ADDRESS(INDEX($Y$2:$Y$1001,MATCH(ROWS($W$2:W677),$W$2:$W$1001,0),0), INDEX($AD$1004:$AU$1004,1,MATCH(COLUMNS($AD$1006:AU1006),$AD$1006:$AU$1006,0)))),"Fix")))</f>
        <v xml:space="preserve"> </v>
      </c>
      <c r="W677">
        <v>676</v>
      </c>
      <c r="X677">
        <v>100677</v>
      </c>
      <c r="Y677">
        <v>677</v>
      </c>
      <c r="Z677" t="b">
        <f t="shared" si="10"/>
        <v>1</v>
      </c>
      <c r="AA677" t="b">
        <f>COUNTBLANK(metadata!B677:S677)=COLUMNS(metadata!B677:S677)</f>
        <v>1</v>
      </c>
      <c r="AB677" t="str">
        <v/>
      </c>
      <c r="AD677" t="b">
        <f ca="1">AND(IF(metadata!B677="",FALSE,TRUE),COUNTIF(metadata!B:B, metadata!B677) = 1,NOT(ISERROR(SUMPRODUCT(SEARCH(MID(metadata!B677,ROW(INDIRECT("1:"&amp;LEN(metadata!B677))), 1),"0123456789abcdefghijklmnopqrstuvwxyzABCDEFGHIJKLMNOPQRSTUVWXYZ.")))))</f>
        <v>0</v>
      </c>
      <c r="AE677" t="b">
        <f>OR(AND(IF(metadata!C677="",FALSE,TRUE),OR(EXACT(metadata!C677,"not applicable"),EXACT(metadata!C677,"missing: not collected"),EXACT(metadata!C677,"missing: not provided"),EXACT(metadata!C677,"missing: restricted access"))),AND(IF(metadata!C677="",FALSE,ISNUMBER(VALUE(metadata!C677))),metadata!C677&gt;0))</f>
        <v>0</v>
      </c>
      <c r="AF677" t="b">
        <f>AND(IF(metadata!D677="",FALSE,TRUE),EXACT(metadata!D677,"missing: not provided"))</f>
        <v>0</v>
      </c>
      <c r="AG677" t="b">
        <f>AND(IF(metadata!E677="",FALSE,TRUE),EXACT(metadata!E677,"Host-associated"))</f>
        <v>0</v>
      </c>
      <c r="AH677" t="b">
        <f>AND(IF(metadata!F677="",FALSE,TRUE),OR(EXACT(metadata!F677,"Animal"),EXACT(metadata!F677,"Fungus"),EXACT(metadata!F677,"Plant")))</f>
        <v>0</v>
      </c>
      <c r="AI677" t="b">
        <f>AND(IF(metadata!G677="",FALSE,TRUE),OR(EXACT(metadata!G677,"Plant secretion"),EXACT(metadata!G677,"Plant rhizosphere"),EXACT(metadata!G677,"Plant surface"),EXACT(metadata!G677,"Plant corpus"),EXACT(metadata!G677,"Fungus surface"),EXACT(metadata!G677,"Fungus corpus"),EXACT(metadata!G677,"Animal surface"),EXACT(metadata!G677,"Animal proximal gut"),EXACT(metadata!G677,"Animal corpus"),EXACT(metadata!G677,"Animal distal gut"),EXACT(metadata!G677,"Animal secretion")))</f>
        <v>0</v>
      </c>
      <c r="AJ677" t="b">
        <f>OR(AND(IF(metadata!H677="",FALSE,TRUE),OR(EXACT(metadata!H677,"missing: not collected"),EXACT(metadata!H677,"missing: not provided"),EXACT(metadata!H677,"missing: restricted access"))),AND(IF(metadata!H677="",FALSE,TRUE),OR(EXACT(metadata!H677,"organism-associated habitat"),EXACT(metadata!H677,"plant-associated habitat"),EXACT(metadata!H677,"animal-associated habitat"),EXACT(metadata!H677,"insecta-associated habitat"),EXACT(metadata!H677,"mammalia-associated habitat"),EXACT(metadata!H677,"human-associated habitat"),EXACT(metadata!H677,"livestock-associated habitat"))))</f>
        <v>0</v>
      </c>
      <c r="AK677" t="b">
        <f>AND(IF(metadata!I677="",FALSE,TRUE),EXACT(metadata!I677,"host-associated"))</f>
        <v>0</v>
      </c>
      <c r="AL677" t="b">
        <f>OR(AND(IF(metadata!J677="",FALSE,TRUE),OR(EXACT(metadata!J677,"not applicable"),EXACT(metadata!J677,"missing: not collected"),EXACT(metadata!J677,"missing: not provided"),EXACT(metadata!J677,"missing: restricted access"))),AND(IF(metadata!J677="",FALSE,ISNUMBER(VALUE(metadata!J677))),metadata!J677&gt;0))</f>
        <v>0</v>
      </c>
      <c r="AM677" t="b">
        <f>AND(IF(metadata!K677="",FALSE,TRUE),EXACT(metadata!K677,"missing: not provided"))</f>
        <v>0</v>
      </c>
      <c r="AN677" t="b">
        <f>IF(metadata!L677="",FALSE,TRUE)</f>
        <v>0</v>
      </c>
      <c r="AO677" t="b">
        <f>IF(metadata!M677="",FALSE,TRUE)</f>
        <v>0</v>
      </c>
      <c r="AP677" t="b">
        <f>OR(AND(IF(metadata!N677="",FALSE,TRUE),OR(EXACT(metadata!N677,"not applicable"),EXACT(metadata!N677,"missing: not collected"),EXACT(metadata!N677,"missing: not provided"))),AND(IF(metadata!N677="",FALSE,IF(ISERROR(INT(metadata!N677)),FALSE,INT(metadata!N677)=metadata!N677)),metadata!N677&gt;0))</f>
        <v>0</v>
      </c>
      <c r="AQ677" t="b">
        <f>AND(IF(metadata!O677="",FALSE,TRUE),EXACT(metadata!O677,"Not applicable"))</f>
        <v>0</v>
      </c>
      <c r="AR677" t="b">
        <f>OR(AND(IF(metadata!P677="",FALSE,TRUE),OR(EXACT(metadata!P677,"not applicable"),EXACT(metadata!P677,"missing: not collected"),EXACT(metadata!P677,"missing: not provided"),EXACT(metadata!P677,"missing: restricted access"))),IF(metadata!P677="",FALSE,IF(ISERROR(INT(metadata!P677)),FALSE,INT(metadata!P677)=metadata!P677)))</f>
        <v>0</v>
      </c>
      <c r="AS677" t="b">
        <f>AND(IF(metadata!Q677="",FALSE,TRUE),EXACT(metadata!Q677,"Not applicable"))</f>
        <v>0</v>
      </c>
      <c r="AT677" t="b">
        <f>OR(AND(IF(metadata!R677="",FALSE,TRUE),OR(EXACT(metadata!R677,"not applicable"),EXACT(metadata!R677,"missing: not collected"),EXACT(metadata!R677,"missing: not provided"),EXACT(metadata!R677,"missing: restricted access"))),AND(IF(metadata!R677="",FALSE,ISNUMBER(VALUE(metadata!R677))),metadata!R677&gt;0))</f>
        <v>0</v>
      </c>
      <c r="AU677" t="b">
        <f>AND(IF(metadata!S677="",FALSE,TRUE),EXACT(metadata!S677,"missing: not provided"))</f>
        <v>0</v>
      </c>
    </row>
    <row r="678" spans="1:47" x14ac:dyDescent="0.2">
      <c r="A678" s="5" t="str">
        <f ca="1">IF(B678=" "," ",HYPERLINK(CONCATENATE("#metadata!",ADDRESS(INDEX($Y$2:$Y$1001,MATCH(ROWS($W$2:W678),$W$2:$W$1001,0),0),1)),INDEX($AB$2:$AB$1001,MATCH(ROWS($W$2:W678),$W$2:$W$1001,0),0)))</f>
        <v xml:space="preserve"> </v>
      </c>
      <c r="B678" s="4" t="str">
        <f ca="1">IF(OR(INDEX($X$2:$X$1001,MATCH(ROWS($W$2:W678),$W$2:$W$1001,0),1)&gt;=100000,INDEX($AD$1005:$AU$1005,1,MATCH(COLUMNS($AD$1006:AD1006),$AD$1006:$AU$1006,0))&gt;=100000), " ",IF(INDEX($AD$2:$AU$1001,MATCH(ROWS($W$2:W678),$W$2:$W$1001,0),MATCH(COLUMNS($AD$1006:AD1006),$AD$1006:$AU$1006,0)), HYPERLINK("#",""), HYPERLINK(CONCATENATE("#metadata!", ADDRESS(INDEX($Y$2:$Y$1001,MATCH(ROWS($W$2:W678),$W$2:$W$1001,0),0), INDEX($AD$1004:$AU$1004,1,MATCH(COLUMNS($AD$1006:AD1006),$AD$1006:$AU$1006,0)))),"Fix")))</f>
        <v xml:space="preserve"> </v>
      </c>
      <c r="C678" s="4" t="str">
        <f ca="1">IF(OR(INDEX($X$2:$X$1001,MATCH(ROWS($W$2:W678),$W$2:$W$1001,0),1)&gt;=100000,INDEX($AD$1005:$AU$1005,1,MATCH(COLUMNS($AD$1006:AE1006),$AD$1006:$AU$1006,0))&gt;=100000), " ",IF(INDEX($AD$2:$AU$1001,MATCH(ROWS($W$2:W678),$W$2:$W$1001,0),MATCH(COLUMNS($AD$1006:AE1006),$AD$1006:$AU$1006,0)), HYPERLINK("#",""), HYPERLINK(CONCATENATE("#metadata!", ADDRESS(INDEX($Y$2:$Y$1001,MATCH(ROWS($W$2:W678),$W$2:$W$1001,0),0), INDEX($AD$1004:$AU$1004,1,MATCH(COLUMNS($AD$1006:AE1006),$AD$1006:$AU$1006,0)))),"Fix")))</f>
        <v xml:space="preserve"> </v>
      </c>
      <c r="D678" s="4" t="str">
        <f ca="1">IF(OR(INDEX($X$2:$X$1001,MATCH(ROWS($W$2:W678),$W$2:$W$1001,0),1)&gt;=100000,INDEX($AD$1005:$AU$1005,1,MATCH(COLUMNS($AD$1006:AF1006),$AD$1006:$AU$1006,0))&gt;=100000), " ",IF(INDEX($AD$2:$AU$1001,MATCH(ROWS($W$2:W678),$W$2:$W$1001,0),MATCH(COLUMNS($AD$1006:AF1006),$AD$1006:$AU$1006,0)), HYPERLINK("#",""), HYPERLINK(CONCATENATE("#metadata!", ADDRESS(INDEX($Y$2:$Y$1001,MATCH(ROWS($W$2:W678),$W$2:$W$1001,0),0), INDEX($AD$1004:$AU$1004,1,MATCH(COLUMNS($AD$1006:AF1006),$AD$1006:$AU$1006,0)))),"Fix")))</f>
        <v xml:space="preserve"> </v>
      </c>
      <c r="E678" s="4" t="str">
        <f ca="1">IF(OR(INDEX($X$2:$X$1001,MATCH(ROWS($W$2:W678),$W$2:$W$1001,0),1)&gt;=100000,INDEX($AD$1005:$AU$1005,1,MATCH(COLUMNS($AD$1006:AG1006),$AD$1006:$AU$1006,0))&gt;=100000), " ",IF(INDEX($AD$2:$AU$1001,MATCH(ROWS($W$2:W678),$W$2:$W$1001,0),MATCH(COLUMNS($AD$1006:AG1006),$AD$1006:$AU$1006,0)), HYPERLINK("#",""), HYPERLINK(CONCATENATE("#metadata!", ADDRESS(INDEX($Y$2:$Y$1001,MATCH(ROWS($W$2:W678),$W$2:$W$1001,0),0), INDEX($AD$1004:$AU$1004,1,MATCH(COLUMNS($AD$1006:AG1006),$AD$1006:$AU$1006,0)))),"Fix")))</f>
        <v xml:space="preserve"> </v>
      </c>
      <c r="F678" s="4" t="str">
        <f ca="1">IF(OR(INDEX($X$2:$X$1001,MATCH(ROWS($W$2:W678),$W$2:$W$1001,0),1)&gt;=100000,INDEX($AD$1005:$AU$1005,1,MATCH(COLUMNS($AD$1006:AH1006),$AD$1006:$AU$1006,0))&gt;=100000), " ",IF(INDEX($AD$2:$AU$1001,MATCH(ROWS($W$2:W678),$W$2:$W$1001,0),MATCH(COLUMNS($AD$1006:AH1006),$AD$1006:$AU$1006,0)), HYPERLINK("#",""), HYPERLINK(CONCATENATE("#metadata!", ADDRESS(INDEX($Y$2:$Y$1001,MATCH(ROWS($W$2:W678),$W$2:$W$1001,0),0), INDEX($AD$1004:$AU$1004,1,MATCH(COLUMNS($AD$1006:AH1006),$AD$1006:$AU$1006,0)))),"Fix")))</f>
        <v xml:space="preserve"> </v>
      </c>
      <c r="G678" s="4" t="str">
        <f ca="1">IF(OR(INDEX($X$2:$X$1001,MATCH(ROWS($W$2:W678),$W$2:$W$1001,0),1)&gt;=100000,INDEX($AD$1005:$AU$1005,1,MATCH(COLUMNS($AD$1006:AI1006),$AD$1006:$AU$1006,0))&gt;=100000), " ",IF(INDEX($AD$2:$AU$1001,MATCH(ROWS($W$2:W678),$W$2:$W$1001,0),MATCH(COLUMNS($AD$1006:AI1006),$AD$1006:$AU$1006,0)), HYPERLINK("#",""), HYPERLINK(CONCATENATE("#metadata!", ADDRESS(INDEX($Y$2:$Y$1001,MATCH(ROWS($W$2:W678),$W$2:$W$1001,0),0), INDEX($AD$1004:$AU$1004,1,MATCH(COLUMNS($AD$1006:AI1006),$AD$1006:$AU$1006,0)))),"Fix")))</f>
        <v xml:space="preserve"> </v>
      </c>
      <c r="H678" s="4" t="str">
        <f ca="1">IF(OR(INDEX($X$2:$X$1001,MATCH(ROWS($W$2:W678),$W$2:$W$1001,0),1)&gt;=100000,INDEX($AD$1005:$AU$1005,1,MATCH(COLUMNS($AD$1006:AJ1006),$AD$1006:$AU$1006,0))&gt;=100000), " ",IF(INDEX($AD$2:$AU$1001,MATCH(ROWS($W$2:W678),$W$2:$W$1001,0),MATCH(COLUMNS($AD$1006:AJ1006),$AD$1006:$AU$1006,0)), HYPERLINK("#",""), HYPERLINK(CONCATENATE("#metadata!", ADDRESS(INDEX($Y$2:$Y$1001,MATCH(ROWS($W$2:W678),$W$2:$W$1001,0),0), INDEX($AD$1004:$AU$1004,1,MATCH(COLUMNS($AD$1006:AJ1006),$AD$1006:$AU$1006,0)))),"Fix")))</f>
        <v xml:space="preserve"> </v>
      </c>
      <c r="I678" s="4" t="str">
        <f ca="1">IF(OR(INDEX($X$2:$X$1001,MATCH(ROWS($W$2:W678),$W$2:$W$1001,0),1)&gt;=100000,INDEX($AD$1005:$AU$1005,1,MATCH(COLUMNS($AD$1006:AK1006),$AD$1006:$AU$1006,0))&gt;=100000), " ",IF(INDEX($AD$2:$AU$1001,MATCH(ROWS($W$2:W678),$W$2:$W$1001,0),MATCH(COLUMNS($AD$1006:AK1006),$AD$1006:$AU$1006,0)), HYPERLINK("#",""), HYPERLINK(CONCATENATE("#metadata!", ADDRESS(INDEX($Y$2:$Y$1001,MATCH(ROWS($W$2:W678),$W$2:$W$1001,0),0), INDEX($AD$1004:$AU$1004,1,MATCH(COLUMNS($AD$1006:AK1006),$AD$1006:$AU$1006,0)))),"Fix")))</f>
        <v xml:space="preserve"> </v>
      </c>
      <c r="J678" s="4" t="str">
        <f ca="1">IF(OR(INDEX($X$2:$X$1001,MATCH(ROWS($W$2:W678),$W$2:$W$1001,0),1)&gt;=100000,INDEX($AD$1005:$AU$1005,1,MATCH(COLUMNS($AD$1006:AL1006),$AD$1006:$AU$1006,0))&gt;=100000), " ",IF(INDEX($AD$2:$AU$1001,MATCH(ROWS($W$2:W678),$W$2:$W$1001,0),MATCH(COLUMNS($AD$1006:AL1006),$AD$1006:$AU$1006,0)), HYPERLINK("#",""), HYPERLINK(CONCATENATE("#metadata!", ADDRESS(INDEX($Y$2:$Y$1001,MATCH(ROWS($W$2:W678),$W$2:$W$1001,0),0), INDEX($AD$1004:$AU$1004,1,MATCH(COLUMNS($AD$1006:AL1006),$AD$1006:$AU$1006,0)))),"Fix")))</f>
        <v xml:space="preserve"> </v>
      </c>
      <c r="K678" s="4" t="str">
        <f ca="1">IF(OR(INDEX($X$2:$X$1001,MATCH(ROWS($W$2:W678),$W$2:$W$1001,0),1)&gt;=100000,INDEX($AD$1005:$AU$1005,1,MATCH(COLUMNS($AD$1006:AM1006),$AD$1006:$AU$1006,0))&gt;=100000), " ",IF(INDEX($AD$2:$AU$1001,MATCH(ROWS($W$2:W678),$W$2:$W$1001,0),MATCH(COLUMNS($AD$1006:AM1006),$AD$1006:$AU$1006,0)), HYPERLINK("#",""), HYPERLINK(CONCATENATE("#metadata!", ADDRESS(INDEX($Y$2:$Y$1001,MATCH(ROWS($W$2:W678),$W$2:$W$1001,0),0), INDEX($AD$1004:$AU$1004,1,MATCH(COLUMNS($AD$1006:AM1006),$AD$1006:$AU$1006,0)))),"Fix")))</f>
        <v xml:space="preserve"> </v>
      </c>
      <c r="L678" s="4" t="str">
        <f ca="1">IF(OR(INDEX($X$2:$X$1001,MATCH(ROWS($W$2:W678),$W$2:$W$1001,0),1)&gt;=100000,INDEX($AD$1005:$AU$1005,1,MATCH(COLUMNS($AD$1006:AN1006),$AD$1006:$AU$1006,0))&gt;=100000), " ",IF(INDEX($AD$2:$AU$1001,MATCH(ROWS($W$2:W678),$W$2:$W$1001,0),MATCH(COLUMNS($AD$1006:AN1006),$AD$1006:$AU$1006,0)), HYPERLINK("#",""), HYPERLINK(CONCATENATE("#metadata!", ADDRESS(INDEX($Y$2:$Y$1001,MATCH(ROWS($W$2:W678),$W$2:$W$1001,0),0), INDEX($AD$1004:$AU$1004,1,MATCH(COLUMNS($AD$1006:AN1006),$AD$1006:$AU$1006,0)))),"Fix")))</f>
        <v xml:space="preserve"> </v>
      </c>
      <c r="M678" s="4" t="str">
        <f ca="1">IF(OR(INDEX($X$2:$X$1001,MATCH(ROWS($W$2:W678),$W$2:$W$1001,0),1)&gt;=100000,INDEX($AD$1005:$AU$1005,1,MATCH(COLUMNS($AD$1006:AO1006),$AD$1006:$AU$1006,0))&gt;=100000), " ",IF(INDEX($AD$2:$AU$1001,MATCH(ROWS($W$2:W678),$W$2:$W$1001,0),MATCH(COLUMNS($AD$1006:AO1006),$AD$1006:$AU$1006,0)), HYPERLINK("#",""), HYPERLINK(CONCATENATE("#metadata!", ADDRESS(INDEX($Y$2:$Y$1001,MATCH(ROWS($W$2:W678),$W$2:$W$1001,0),0), INDEX($AD$1004:$AU$1004,1,MATCH(COLUMNS($AD$1006:AO1006),$AD$1006:$AU$1006,0)))),"Fix")))</f>
        <v xml:space="preserve"> </v>
      </c>
      <c r="N678" s="4" t="str">
        <f ca="1">IF(OR(INDEX($X$2:$X$1001,MATCH(ROWS($W$2:W678),$W$2:$W$1001,0),1)&gt;=100000,INDEX($AD$1005:$AU$1005,1,MATCH(COLUMNS($AD$1006:AP1006),$AD$1006:$AU$1006,0))&gt;=100000), " ",IF(INDEX($AD$2:$AU$1001,MATCH(ROWS($W$2:W678),$W$2:$W$1001,0),MATCH(COLUMNS($AD$1006:AP1006),$AD$1006:$AU$1006,0)), HYPERLINK("#",""), HYPERLINK(CONCATENATE("#metadata!", ADDRESS(INDEX($Y$2:$Y$1001,MATCH(ROWS($W$2:W678),$W$2:$W$1001,0),0), INDEX($AD$1004:$AU$1004,1,MATCH(COLUMNS($AD$1006:AP1006),$AD$1006:$AU$1006,0)))),"Fix")))</f>
        <v xml:space="preserve"> </v>
      </c>
      <c r="O678" s="4" t="str">
        <f ca="1">IF(OR(INDEX($X$2:$X$1001,MATCH(ROWS($W$2:W678),$W$2:$W$1001,0),1)&gt;=100000,INDEX($AD$1005:$AU$1005,1,MATCH(COLUMNS($AD$1006:AQ1006),$AD$1006:$AU$1006,0))&gt;=100000), " ",IF(INDEX($AD$2:$AU$1001,MATCH(ROWS($W$2:W678),$W$2:$W$1001,0),MATCH(COLUMNS($AD$1006:AQ1006),$AD$1006:$AU$1006,0)), HYPERLINK("#",""), HYPERLINK(CONCATENATE("#metadata!", ADDRESS(INDEX($Y$2:$Y$1001,MATCH(ROWS($W$2:W678),$W$2:$W$1001,0),0), INDEX($AD$1004:$AU$1004,1,MATCH(COLUMNS($AD$1006:AQ1006),$AD$1006:$AU$1006,0)))),"Fix")))</f>
        <v xml:space="preserve"> </v>
      </c>
      <c r="P678" s="4" t="str">
        <f ca="1">IF(OR(INDEX($X$2:$X$1001,MATCH(ROWS($W$2:W678),$W$2:$W$1001,0),1)&gt;=100000,INDEX($AD$1005:$AU$1005,1,MATCH(COLUMNS($AD$1006:AR1006),$AD$1006:$AU$1006,0))&gt;=100000), " ",IF(INDEX($AD$2:$AU$1001,MATCH(ROWS($W$2:W678),$W$2:$W$1001,0),MATCH(COLUMNS($AD$1006:AR1006),$AD$1006:$AU$1006,0)), HYPERLINK("#",""), HYPERLINK(CONCATENATE("#metadata!", ADDRESS(INDEX($Y$2:$Y$1001,MATCH(ROWS($W$2:W678),$W$2:$W$1001,0),0), INDEX($AD$1004:$AU$1004,1,MATCH(COLUMNS($AD$1006:AR1006),$AD$1006:$AU$1006,0)))),"Fix")))</f>
        <v xml:space="preserve"> </v>
      </c>
      <c r="Q678" s="4" t="str">
        <f ca="1">IF(OR(INDEX($X$2:$X$1001,MATCH(ROWS($W$2:W678),$W$2:$W$1001,0),1)&gt;=100000,INDEX($AD$1005:$AU$1005,1,MATCH(COLUMNS($AD$1006:AS1006),$AD$1006:$AU$1006,0))&gt;=100000), " ",IF(INDEX($AD$2:$AU$1001,MATCH(ROWS($W$2:W678),$W$2:$W$1001,0),MATCH(COLUMNS($AD$1006:AS1006),$AD$1006:$AU$1006,0)), HYPERLINK("#",""), HYPERLINK(CONCATENATE("#metadata!", ADDRESS(INDEX($Y$2:$Y$1001,MATCH(ROWS($W$2:W678),$W$2:$W$1001,0),0), INDEX($AD$1004:$AU$1004,1,MATCH(COLUMNS($AD$1006:AS1006),$AD$1006:$AU$1006,0)))),"Fix")))</f>
        <v xml:space="preserve"> </v>
      </c>
      <c r="R678" s="4" t="str">
        <f ca="1">IF(OR(INDEX($X$2:$X$1001,MATCH(ROWS($W$2:W678),$W$2:$W$1001,0),1)&gt;=100000,INDEX($AD$1005:$AU$1005,1,MATCH(COLUMNS($AD$1006:AT1006),$AD$1006:$AU$1006,0))&gt;=100000), " ",IF(INDEX($AD$2:$AU$1001,MATCH(ROWS($W$2:W678),$W$2:$W$1001,0),MATCH(COLUMNS($AD$1006:AT1006),$AD$1006:$AU$1006,0)), HYPERLINK("#",""), HYPERLINK(CONCATENATE("#metadata!", ADDRESS(INDEX($Y$2:$Y$1001,MATCH(ROWS($W$2:W678),$W$2:$W$1001,0),0), INDEX($AD$1004:$AU$1004,1,MATCH(COLUMNS($AD$1006:AT1006),$AD$1006:$AU$1006,0)))),"Fix")))</f>
        <v xml:space="preserve"> </v>
      </c>
      <c r="S678" s="4" t="str">
        <f ca="1">IF(OR(INDEX($X$2:$X$1001,MATCH(ROWS($W$2:W678),$W$2:$W$1001,0),1)&gt;=100000,INDEX($AD$1005:$AU$1005,1,MATCH(COLUMNS($AD$1006:AU1006),$AD$1006:$AU$1006,0))&gt;=100000), " ",IF(INDEX($AD$2:$AU$1001,MATCH(ROWS($W$2:W678),$W$2:$W$1001,0),MATCH(COLUMNS($AD$1006:AU1006),$AD$1006:$AU$1006,0)), HYPERLINK("#",""), HYPERLINK(CONCATENATE("#metadata!", ADDRESS(INDEX($Y$2:$Y$1001,MATCH(ROWS($W$2:W678),$W$2:$W$1001,0),0), INDEX($AD$1004:$AU$1004,1,MATCH(COLUMNS($AD$1006:AU1006),$AD$1006:$AU$1006,0)))),"Fix")))</f>
        <v xml:space="preserve"> </v>
      </c>
      <c r="W678">
        <v>677</v>
      </c>
      <c r="X678">
        <v>100678</v>
      </c>
      <c r="Y678">
        <v>678</v>
      </c>
      <c r="Z678" t="b">
        <f t="shared" si="10"/>
        <v>1</v>
      </c>
      <c r="AA678" t="b">
        <f>COUNTBLANK(metadata!B678:S678)=COLUMNS(metadata!B678:S678)</f>
        <v>1</v>
      </c>
      <c r="AB678" t="str">
        <v/>
      </c>
      <c r="AD678" t="b">
        <f ca="1">AND(IF(metadata!B678="",FALSE,TRUE),COUNTIF(metadata!B:B, metadata!B678) = 1,NOT(ISERROR(SUMPRODUCT(SEARCH(MID(metadata!B678,ROW(INDIRECT("1:"&amp;LEN(metadata!B678))), 1),"0123456789abcdefghijklmnopqrstuvwxyzABCDEFGHIJKLMNOPQRSTUVWXYZ.")))))</f>
        <v>0</v>
      </c>
      <c r="AE678" t="b">
        <f>OR(AND(IF(metadata!C678="",FALSE,TRUE),OR(EXACT(metadata!C678,"not applicable"),EXACT(metadata!C678,"missing: not collected"),EXACT(metadata!C678,"missing: not provided"),EXACT(metadata!C678,"missing: restricted access"))),AND(IF(metadata!C678="",FALSE,ISNUMBER(VALUE(metadata!C678))),metadata!C678&gt;0))</f>
        <v>0</v>
      </c>
      <c r="AF678" t="b">
        <f>AND(IF(metadata!D678="",FALSE,TRUE),EXACT(metadata!D678,"missing: not provided"))</f>
        <v>0</v>
      </c>
      <c r="AG678" t="b">
        <f>AND(IF(metadata!E678="",FALSE,TRUE),EXACT(metadata!E678,"Host-associated"))</f>
        <v>0</v>
      </c>
      <c r="AH678" t="b">
        <f>AND(IF(metadata!F678="",FALSE,TRUE),OR(EXACT(metadata!F678,"Animal"),EXACT(metadata!F678,"Fungus"),EXACT(metadata!F678,"Plant")))</f>
        <v>0</v>
      </c>
      <c r="AI678" t="b">
        <f>AND(IF(metadata!G678="",FALSE,TRUE),OR(EXACT(metadata!G678,"Plant secretion"),EXACT(metadata!G678,"Plant rhizosphere"),EXACT(metadata!G678,"Plant surface"),EXACT(metadata!G678,"Plant corpus"),EXACT(metadata!G678,"Fungus surface"),EXACT(metadata!G678,"Fungus corpus"),EXACT(metadata!G678,"Animal surface"),EXACT(metadata!G678,"Animal proximal gut"),EXACT(metadata!G678,"Animal corpus"),EXACT(metadata!G678,"Animal distal gut"),EXACT(metadata!G678,"Animal secretion")))</f>
        <v>0</v>
      </c>
      <c r="AJ678" t="b">
        <f>OR(AND(IF(metadata!H678="",FALSE,TRUE),OR(EXACT(metadata!H678,"missing: not collected"),EXACT(metadata!H678,"missing: not provided"),EXACT(metadata!H678,"missing: restricted access"))),AND(IF(metadata!H678="",FALSE,TRUE),OR(EXACT(metadata!H678,"organism-associated habitat"),EXACT(metadata!H678,"plant-associated habitat"),EXACT(metadata!H678,"animal-associated habitat"),EXACT(metadata!H678,"insecta-associated habitat"),EXACT(metadata!H678,"mammalia-associated habitat"),EXACT(metadata!H678,"human-associated habitat"),EXACT(metadata!H678,"livestock-associated habitat"))))</f>
        <v>0</v>
      </c>
      <c r="AK678" t="b">
        <f>AND(IF(metadata!I678="",FALSE,TRUE),EXACT(metadata!I678,"host-associated"))</f>
        <v>0</v>
      </c>
      <c r="AL678" t="b">
        <f>OR(AND(IF(metadata!J678="",FALSE,TRUE),OR(EXACT(metadata!J678,"not applicable"),EXACT(metadata!J678,"missing: not collected"),EXACT(metadata!J678,"missing: not provided"),EXACT(metadata!J678,"missing: restricted access"))),AND(IF(metadata!J678="",FALSE,ISNUMBER(VALUE(metadata!J678))),metadata!J678&gt;0))</f>
        <v>0</v>
      </c>
      <c r="AM678" t="b">
        <f>AND(IF(metadata!K678="",FALSE,TRUE),EXACT(metadata!K678,"missing: not provided"))</f>
        <v>0</v>
      </c>
      <c r="AN678" t="b">
        <f>IF(metadata!L678="",FALSE,TRUE)</f>
        <v>0</v>
      </c>
      <c r="AO678" t="b">
        <f>IF(metadata!M678="",FALSE,TRUE)</f>
        <v>0</v>
      </c>
      <c r="AP678" t="b">
        <f>OR(AND(IF(metadata!N678="",FALSE,TRUE),OR(EXACT(metadata!N678,"not applicable"),EXACT(metadata!N678,"missing: not collected"),EXACT(metadata!N678,"missing: not provided"))),AND(IF(metadata!N678="",FALSE,IF(ISERROR(INT(metadata!N678)),FALSE,INT(metadata!N678)=metadata!N678)),metadata!N678&gt;0))</f>
        <v>0</v>
      </c>
      <c r="AQ678" t="b">
        <f>AND(IF(metadata!O678="",FALSE,TRUE),EXACT(metadata!O678,"Not applicable"))</f>
        <v>0</v>
      </c>
      <c r="AR678" t="b">
        <f>OR(AND(IF(metadata!P678="",FALSE,TRUE),OR(EXACT(metadata!P678,"not applicable"),EXACT(metadata!P678,"missing: not collected"),EXACT(metadata!P678,"missing: not provided"),EXACT(metadata!P678,"missing: restricted access"))),IF(metadata!P678="",FALSE,IF(ISERROR(INT(metadata!P678)),FALSE,INT(metadata!P678)=metadata!P678)))</f>
        <v>0</v>
      </c>
      <c r="AS678" t="b">
        <f>AND(IF(metadata!Q678="",FALSE,TRUE),EXACT(metadata!Q678,"Not applicable"))</f>
        <v>0</v>
      </c>
      <c r="AT678" t="b">
        <f>OR(AND(IF(metadata!R678="",FALSE,TRUE),OR(EXACT(metadata!R678,"not applicable"),EXACT(metadata!R678,"missing: not collected"),EXACT(metadata!R678,"missing: not provided"),EXACT(metadata!R678,"missing: restricted access"))),AND(IF(metadata!R678="",FALSE,ISNUMBER(VALUE(metadata!R678))),metadata!R678&gt;0))</f>
        <v>0</v>
      </c>
      <c r="AU678" t="b">
        <f>AND(IF(metadata!S678="",FALSE,TRUE),EXACT(metadata!S678,"missing: not provided"))</f>
        <v>0</v>
      </c>
    </row>
    <row r="679" spans="1:47" x14ac:dyDescent="0.2">
      <c r="A679" s="5" t="str">
        <f ca="1">IF(B679=" "," ",HYPERLINK(CONCATENATE("#metadata!",ADDRESS(INDEX($Y$2:$Y$1001,MATCH(ROWS($W$2:W679),$W$2:$W$1001,0),0),1)),INDEX($AB$2:$AB$1001,MATCH(ROWS($W$2:W679),$W$2:$W$1001,0),0)))</f>
        <v xml:space="preserve"> </v>
      </c>
      <c r="B679" s="4" t="str">
        <f ca="1">IF(OR(INDEX($X$2:$X$1001,MATCH(ROWS($W$2:W679),$W$2:$W$1001,0),1)&gt;=100000,INDEX($AD$1005:$AU$1005,1,MATCH(COLUMNS($AD$1006:AD1006),$AD$1006:$AU$1006,0))&gt;=100000), " ",IF(INDEX($AD$2:$AU$1001,MATCH(ROWS($W$2:W679),$W$2:$W$1001,0),MATCH(COLUMNS($AD$1006:AD1006),$AD$1006:$AU$1006,0)), HYPERLINK("#",""), HYPERLINK(CONCATENATE("#metadata!", ADDRESS(INDEX($Y$2:$Y$1001,MATCH(ROWS($W$2:W679),$W$2:$W$1001,0),0), INDEX($AD$1004:$AU$1004,1,MATCH(COLUMNS($AD$1006:AD1006),$AD$1006:$AU$1006,0)))),"Fix")))</f>
        <v xml:space="preserve"> </v>
      </c>
      <c r="C679" s="4" t="str">
        <f ca="1">IF(OR(INDEX($X$2:$X$1001,MATCH(ROWS($W$2:W679),$W$2:$W$1001,0),1)&gt;=100000,INDEX($AD$1005:$AU$1005,1,MATCH(COLUMNS($AD$1006:AE1006),$AD$1006:$AU$1006,0))&gt;=100000), " ",IF(INDEX($AD$2:$AU$1001,MATCH(ROWS($W$2:W679),$W$2:$W$1001,0),MATCH(COLUMNS($AD$1006:AE1006),$AD$1006:$AU$1006,0)), HYPERLINK("#",""), HYPERLINK(CONCATENATE("#metadata!", ADDRESS(INDEX($Y$2:$Y$1001,MATCH(ROWS($W$2:W679),$W$2:$W$1001,0),0), INDEX($AD$1004:$AU$1004,1,MATCH(COLUMNS($AD$1006:AE1006),$AD$1006:$AU$1006,0)))),"Fix")))</f>
        <v xml:space="preserve"> </v>
      </c>
      <c r="D679" s="4" t="str">
        <f ca="1">IF(OR(INDEX($X$2:$X$1001,MATCH(ROWS($W$2:W679),$W$2:$W$1001,0),1)&gt;=100000,INDEX($AD$1005:$AU$1005,1,MATCH(COLUMNS($AD$1006:AF1006),$AD$1006:$AU$1006,0))&gt;=100000), " ",IF(INDEX($AD$2:$AU$1001,MATCH(ROWS($W$2:W679),$W$2:$W$1001,0),MATCH(COLUMNS($AD$1006:AF1006),$AD$1006:$AU$1006,0)), HYPERLINK("#",""), HYPERLINK(CONCATENATE("#metadata!", ADDRESS(INDEX($Y$2:$Y$1001,MATCH(ROWS($W$2:W679),$W$2:$W$1001,0),0), INDEX($AD$1004:$AU$1004,1,MATCH(COLUMNS($AD$1006:AF1006),$AD$1006:$AU$1006,0)))),"Fix")))</f>
        <v xml:space="preserve"> </v>
      </c>
      <c r="E679" s="4" t="str">
        <f ca="1">IF(OR(INDEX($X$2:$X$1001,MATCH(ROWS($W$2:W679),$W$2:$W$1001,0),1)&gt;=100000,INDEX($AD$1005:$AU$1005,1,MATCH(COLUMNS($AD$1006:AG1006),$AD$1006:$AU$1006,0))&gt;=100000), " ",IF(INDEX($AD$2:$AU$1001,MATCH(ROWS($W$2:W679),$W$2:$W$1001,0),MATCH(COLUMNS($AD$1006:AG1006),$AD$1006:$AU$1006,0)), HYPERLINK("#",""), HYPERLINK(CONCATENATE("#metadata!", ADDRESS(INDEX($Y$2:$Y$1001,MATCH(ROWS($W$2:W679),$W$2:$W$1001,0),0), INDEX($AD$1004:$AU$1004,1,MATCH(COLUMNS($AD$1006:AG1006),$AD$1006:$AU$1006,0)))),"Fix")))</f>
        <v xml:space="preserve"> </v>
      </c>
      <c r="F679" s="4" t="str">
        <f ca="1">IF(OR(INDEX($X$2:$X$1001,MATCH(ROWS($W$2:W679),$W$2:$W$1001,0),1)&gt;=100000,INDEX($AD$1005:$AU$1005,1,MATCH(COLUMNS($AD$1006:AH1006),$AD$1006:$AU$1006,0))&gt;=100000), " ",IF(INDEX($AD$2:$AU$1001,MATCH(ROWS($W$2:W679),$W$2:$W$1001,0),MATCH(COLUMNS($AD$1006:AH1006),$AD$1006:$AU$1006,0)), HYPERLINK("#",""), HYPERLINK(CONCATENATE("#metadata!", ADDRESS(INDEX($Y$2:$Y$1001,MATCH(ROWS($W$2:W679),$W$2:$W$1001,0),0), INDEX($AD$1004:$AU$1004,1,MATCH(COLUMNS($AD$1006:AH1006),$AD$1006:$AU$1006,0)))),"Fix")))</f>
        <v xml:space="preserve"> </v>
      </c>
      <c r="G679" s="4" t="str">
        <f ca="1">IF(OR(INDEX($X$2:$X$1001,MATCH(ROWS($W$2:W679),$W$2:$W$1001,0),1)&gt;=100000,INDEX($AD$1005:$AU$1005,1,MATCH(COLUMNS($AD$1006:AI1006),$AD$1006:$AU$1006,0))&gt;=100000), " ",IF(INDEX($AD$2:$AU$1001,MATCH(ROWS($W$2:W679),$W$2:$W$1001,0),MATCH(COLUMNS($AD$1006:AI1006),$AD$1006:$AU$1006,0)), HYPERLINK("#",""), HYPERLINK(CONCATENATE("#metadata!", ADDRESS(INDEX($Y$2:$Y$1001,MATCH(ROWS($W$2:W679),$W$2:$W$1001,0),0), INDEX($AD$1004:$AU$1004,1,MATCH(COLUMNS($AD$1006:AI1006),$AD$1006:$AU$1006,0)))),"Fix")))</f>
        <v xml:space="preserve"> </v>
      </c>
      <c r="H679" s="4" t="str">
        <f ca="1">IF(OR(INDEX($X$2:$X$1001,MATCH(ROWS($W$2:W679),$W$2:$W$1001,0),1)&gt;=100000,INDEX($AD$1005:$AU$1005,1,MATCH(COLUMNS($AD$1006:AJ1006),$AD$1006:$AU$1006,0))&gt;=100000), " ",IF(INDEX($AD$2:$AU$1001,MATCH(ROWS($W$2:W679),$W$2:$W$1001,0),MATCH(COLUMNS($AD$1006:AJ1006),$AD$1006:$AU$1006,0)), HYPERLINK("#",""), HYPERLINK(CONCATENATE("#metadata!", ADDRESS(INDEX($Y$2:$Y$1001,MATCH(ROWS($W$2:W679),$W$2:$W$1001,0),0), INDEX($AD$1004:$AU$1004,1,MATCH(COLUMNS($AD$1006:AJ1006),$AD$1006:$AU$1006,0)))),"Fix")))</f>
        <v xml:space="preserve"> </v>
      </c>
      <c r="I679" s="4" t="str">
        <f ca="1">IF(OR(INDEX($X$2:$X$1001,MATCH(ROWS($W$2:W679),$W$2:$W$1001,0),1)&gt;=100000,INDEX($AD$1005:$AU$1005,1,MATCH(COLUMNS($AD$1006:AK1006),$AD$1006:$AU$1006,0))&gt;=100000), " ",IF(INDEX($AD$2:$AU$1001,MATCH(ROWS($W$2:W679),$W$2:$W$1001,0),MATCH(COLUMNS($AD$1006:AK1006),$AD$1006:$AU$1006,0)), HYPERLINK("#",""), HYPERLINK(CONCATENATE("#metadata!", ADDRESS(INDEX($Y$2:$Y$1001,MATCH(ROWS($W$2:W679),$W$2:$W$1001,0),0), INDEX($AD$1004:$AU$1004,1,MATCH(COLUMNS($AD$1006:AK1006),$AD$1006:$AU$1006,0)))),"Fix")))</f>
        <v xml:space="preserve"> </v>
      </c>
      <c r="J679" s="4" t="str">
        <f ca="1">IF(OR(INDEX($X$2:$X$1001,MATCH(ROWS($W$2:W679),$W$2:$W$1001,0),1)&gt;=100000,INDEX($AD$1005:$AU$1005,1,MATCH(COLUMNS($AD$1006:AL1006),$AD$1006:$AU$1006,0))&gt;=100000), " ",IF(INDEX($AD$2:$AU$1001,MATCH(ROWS($W$2:W679),$W$2:$W$1001,0),MATCH(COLUMNS($AD$1006:AL1006),$AD$1006:$AU$1006,0)), HYPERLINK("#",""), HYPERLINK(CONCATENATE("#metadata!", ADDRESS(INDEX($Y$2:$Y$1001,MATCH(ROWS($W$2:W679),$W$2:$W$1001,0),0), INDEX($AD$1004:$AU$1004,1,MATCH(COLUMNS($AD$1006:AL1006),$AD$1006:$AU$1006,0)))),"Fix")))</f>
        <v xml:space="preserve"> </v>
      </c>
      <c r="K679" s="4" t="str">
        <f ca="1">IF(OR(INDEX($X$2:$X$1001,MATCH(ROWS($W$2:W679),$W$2:$W$1001,0),1)&gt;=100000,INDEX($AD$1005:$AU$1005,1,MATCH(COLUMNS($AD$1006:AM1006),$AD$1006:$AU$1006,0))&gt;=100000), " ",IF(INDEX($AD$2:$AU$1001,MATCH(ROWS($W$2:W679),$W$2:$W$1001,0),MATCH(COLUMNS($AD$1006:AM1006),$AD$1006:$AU$1006,0)), HYPERLINK("#",""), HYPERLINK(CONCATENATE("#metadata!", ADDRESS(INDEX($Y$2:$Y$1001,MATCH(ROWS($W$2:W679),$W$2:$W$1001,0),0), INDEX($AD$1004:$AU$1004,1,MATCH(COLUMNS($AD$1006:AM1006),$AD$1006:$AU$1006,0)))),"Fix")))</f>
        <v xml:space="preserve"> </v>
      </c>
      <c r="L679" s="4" t="str">
        <f ca="1">IF(OR(INDEX($X$2:$X$1001,MATCH(ROWS($W$2:W679),$W$2:$W$1001,0),1)&gt;=100000,INDEX($AD$1005:$AU$1005,1,MATCH(COLUMNS($AD$1006:AN1006),$AD$1006:$AU$1006,0))&gt;=100000), " ",IF(INDEX($AD$2:$AU$1001,MATCH(ROWS($W$2:W679),$W$2:$W$1001,0),MATCH(COLUMNS($AD$1006:AN1006),$AD$1006:$AU$1006,0)), HYPERLINK("#",""), HYPERLINK(CONCATENATE("#metadata!", ADDRESS(INDEX($Y$2:$Y$1001,MATCH(ROWS($W$2:W679),$W$2:$W$1001,0),0), INDEX($AD$1004:$AU$1004,1,MATCH(COLUMNS($AD$1006:AN1006),$AD$1006:$AU$1006,0)))),"Fix")))</f>
        <v xml:space="preserve"> </v>
      </c>
      <c r="M679" s="4" t="str">
        <f ca="1">IF(OR(INDEX($X$2:$X$1001,MATCH(ROWS($W$2:W679),$W$2:$W$1001,0),1)&gt;=100000,INDEX($AD$1005:$AU$1005,1,MATCH(COLUMNS($AD$1006:AO1006),$AD$1006:$AU$1006,0))&gt;=100000), " ",IF(INDEX($AD$2:$AU$1001,MATCH(ROWS($W$2:W679),$W$2:$W$1001,0),MATCH(COLUMNS($AD$1006:AO1006),$AD$1006:$AU$1006,0)), HYPERLINK("#",""), HYPERLINK(CONCATENATE("#metadata!", ADDRESS(INDEX($Y$2:$Y$1001,MATCH(ROWS($W$2:W679),$W$2:$W$1001,0),0), INDEX($AD$1004:$AU$1004,1,MATCH(COLUMNS($AD$1006:AO1006),$AD$1006:$AU$1006,0)))),"Fix")))</f>
        <v xml:space="preserve"> </v>
      </c>
      <c r="N679" s="4" t="str">
        <f ca="1">IF(OR(INDEX($X$2:$X$1001,MATCH(ROWS($W$2:W679),$W$2:$W$1001,0),1)&gt;=100000,INDEX($AD$1005:$AU$1005,1,MATCH(COLUMNS($AD$1006:AP1006),$AD$1006:$AU$1006,0))&gt;=100000), " ",IF(INDEX($AD$2:$AU$1001,MATCH(ROWS($W$2:W679),$W$2:$W$1001,0),MATCH(COLUMNS($AD$1006:AP1006),$AD$1006:$AU$1006,0)), HYPERLINK("#",""), HYPERLINK(CONCATENATE("#metadata!", ADDRESS(INDEX($Y$2:$Y$1001,MATCH(ROWS($W$2:W679),$W$2:$W$1001,0),0), INDEX($AD$1004:$AU$1004,1,MATCH(COLUMNS($AD$1006:AP1006),$AD$1006:$AU$1006,0)))),"Fix")))</f>
        <v xml:space="preserve"> </v>
      </c>
      <c r="O679" s="4" t="str">
        <f ca="1">IF(OR(INDEX($X$2:$X$1001,MATCH(ROWS($W$2:W679),$W$2:$W$1001,0),1)&gt;=100000,INDEX($AD$1005:$AU$1005,1,MATCH(COLUMNS($AD$1006:AQ1006),$AD$1006:$AU$1006,0))&gt;=100000), " ",IF(INDEX($AD$2:$AU$1001,MATCH(ROWS($W$2:W679),$W$2:$W$1001,0),MATCH(COLUMNS($AD$1006:AQ1006),$AD$1006:$AU$1006,0)), HYPERLINK("#",""), HYPERLINK(CONCATENATE("#metadata!", ADDRESS(INDEX($Y$2:$Y$1001,MATCH(ROWS($W$2:W679),$W$2:$W$1001,0),0), INDEX($AD$1004:$AU$1004,1,MATCH(COLUMNS($AD$1006:AQ1006),$AD$1006:$AU$1006,0)))),"Fix")))</f>
        <v xml:space="preserve"> </v>
      </c>
      <c r="P679" s="4" t="str">
        <f ca="1">IF(OR(INDEX($X$2:$X$1001,MATCH(ROWS($W$2:W679),$W$2:$W$1001,0),1)&gt;=100000,INDEX($AD$1005:$AU$1005,1,MATCH(COLUMNS($AD$1006:AR1006),$AD$1006:$AU$1006,0))&gt;=100000), " ",IF(INDEX($AD$2:$AU$1001,MATCH(ROWS($W$2:W679),$W$2:$W$1001,0),MATCH(COLUMNS($AD$1006:AR1006),$AD$1006:$AU$1006,0)), HYPERLINK("#",""), HYPERLINK(CONCATENATE("#metadata!", ADDRESS(INDEX($Y$2:$Y$1001,MATCH(ROWS($W$2:W679),$W$2:$W$1001,0),0), INDEX($AD$1004:$AU$1004,1,MATCH(COLUMNS($AD$1006:AR1006),$AD$1006:$AU$1006,0)))),"Fix")))</f>
        <v xml:space="preserve"> </v>
      </c>
      <c r="Q679" s="4" t="str">
        <f ca="1">IF(OR(INDEX($X$2:$X$1001,MATCH(ROWS($W$2:W679),$W$2:$W$1001,0),1)&gt;=100000,INDEX($AD$1005:$AU$1005,1,MATCH(COLUMNS($AD$1006:AS1006),$AD$1006:$AU$1006,0))&gt;=100000), " ",IF(INDEX($AD$2:$AU$1001,MATCH(ROWS($W$2:W679),$W$2:$W$1001,0),MATCH(COLUMNS($AD$1006:AS1006),$AD$1006:$AU$1006,0)), HYPERLINK("#",""), HYPERLINK(CONCATENATE("#metadata!", ADDRESS(INDEX($Y$2:$Y$1001,MATCH(ROWS($W$2:W679),$W$2:$W$1001,0),0), INDEX($AD$1004:$AU$1004,1,MATCH(COLUMNS($AD$1006:AS1006),$AD$1006:$AU$1006,0)))),"Fix")))</f>
        <v xml:space="preserve"> </v>
      </c>
      <c r="R679" s="4" t="str">
        <f ca="1">IF(OR(INDEX($X$2:$X$1001,MATCH(ROWS($W$2:W679),$W$2:$W$1001,0),1)&gt;=100000,INDEX($AD$1005:$AU$1005,1,MATCH(COLUMNS($AD$1006:AT1006),$AD$1006:$AU$1006,0))&gt;=100000), " ",IF(INDEX($AD$2:$AU$1001,MATCH(ROWS($W$2:W679),$W$2:$W$1001,0),MATCH(COLUMNS($AD$1006:AT1006),$AD$1006:$AU$1006,0)), HYPERLINK("#",""), HYPERLINK(CONCATENATE("#metadata!", ADDRESS(INDEX($Y$2:$Y$1001,MATCH(ROWS($W$2:W679),$W$2:$W$1001,0),0), INDEX($AD$1004:$AU$1004,1,MATCH(COLUMNS($AD$1006:AT1006),$AD$1006:$AU$1006,0)))),"Fix")))</f>
        <v xml:space="preserve"> </v>
      </c>
      <c r="S679" s="4" t="str">
        <f ca="1">IF(OR(INDEX($X$2:$X$1001,MATCH(ROWS($W$2:W679),$W$2:$W$1001,0),1)&gt;=100000,INDEX($AD$1005:$AU$1005,1,MATCH(COLUMNS($AD$1006:AU1006),$AD$1006:$AU$1006,0))&gt;=100000), " ",IF(INDEX($AD$2:$AU$1001,MATCH(ROWS($W$2:W679),$W$2:$W$1001,0),MATCH(COLUMNS($AD$1006:AU1006),$AD$1006:$AU$1006,0)), HYPERLINK("#",""), HYPERLINK(CONCATENATE("#metadata!", ADDRESS(INDEX($Y$2:$Y$1001,MATCH(ROWS($W$2:W679),$W$2:$W$1001,0),0), INDEX($AD$1004:$AU$1004,1,MATCH(COLUMNS($AD$1006:AU1006),$AD$1006:$AU$1006,0)))),"Fix")))</f>
        <v xml:space="preserve"> </v>
      </c>
      <c r="W679">
        <v>678</v>
      </c>
      <c r="X679">
        <v>100679</v>
      </c>
      <c r="Y679">
        <v>679</v>
      </c>
      <c r="Z679" t="b">
        <f t="shared" si="10"/>
        <v>1</v>
      </c>
      <c r="AA679" t="b">
        <f>COUNTBLANK(metadata!B679:S679)=COLUMNS(metadata!B679:S679)</f>
        <v>1</v>
      </c>
      <c r="AB679" t="str">
        <v/>
      </c>
      <c r="AD679" t="b">
        <f ca="1">AND(IF(metadata!B679="",FALSE,TRUE),COUNTIF(metadata!B:B, metadata!B679) = 1,NOT(ISERROR(SUMPRODUCT(SEARCH(MID(metadata!B679,ROW(INDIRECT("1:"&amp;LEN(metadata!B679))), 1),"0123456789abcdefghijklmnopqrstuvwxyzABCDEFGHIJKLMNOPQRSTUVWXYZ.")))))</f>
        <v>0</v>
      </c>
      <c r="AE679" t="b">
        <f>OR(AND(IF(metadata!C679="",FALSE,TRUE),OR(EXACT(metadata!C679,"not applicable"),EXACT(metadata!C679,"missing: not collected"),EXACT(metadata!C679,"missing: not provided"),EXACT(metadata!C679,"missing: restricted access"))),AND(IF(metadata!C679="",FALSE,ISNUMBER(VALUE(metadata!C679))),metadata!C679&gt;0))</f>
        <v>0</v>
      </c>
      <c r="AF679" t="b">
        <f>AND(IF(metadata!D679="",FALSE,TRUE),EXACT(metadata!D679,"missing: not provided"))</f>
        <v>0</v>
      </c>
      <c r="AG679" t="b">
        <f>AND(IF(metadata!E679="",FALSE,TRUE),EXACT(metadata!E679,"Host-associated"))</f>
        <v>0</v>
      </c>
      <c r="AH679" t="b">
        <f>AND(IF(metadata!F679="",FALSE,TRUE),OR(EXACT(metadata!F679,"Animal"),EXACT(metadata!F679,"Fungus"),EXACT(metadata!F679,"Plant")))</f>
        <v>0</v>
      </c>
      <c r="AI679" t="b">
        <f>AND(IF(metadata!G679="",FALSE,TRUE),OR(EXACT(metadata!G679,"Plant secretion"),EXACT(metadata!G679,"Plant rhizosphere"),EXACT(metadata!G679,"Plant surface"),EXACT(metadata!G679,"Plant corpus"),EXACT(metadata!G679,"Fungus surface"),EXACT(metadata!G679,"Fungus corpus"),EXACT(metadata!G679,"Animal surface"),EXACT(metadata!G679,"Animal proximal gut"),EXACT(metadata!G679,"Animal corpus"),EXACT(metadata!G679,"Animal distal gut"),EXACT(metadata!G679,"Animal secretion")))</f>
        <v>0</v>
      </c>
      <c r="AJ679" t="b">
        <f>OR(AND(IF(metadata!H679="",FALSE,TRUE),OR(EXACT(metadata!H679,"missing: not collected"),EXACT(metadata!H679,"missing: not provided"),EXACT(metadata!H679,"missing: restricted access"))),AND(IF(metadata!H679="",FALSE,TRUE),OR(EXACT(metadata!H679,"organism-associated habitat"),EXACT(metadata!H679,"plant-associated habitat"),EXACT(metadata!H679,"animal-associated habitat"),EXACT(metadata!H679,"insecta-associated habitat"),EXACT(metadata!H679,"mammalia-associated habitat"),EXACT(metadata!H679,"human-associated habitat"),EXACT(metadata!H679,"livestock-associated habitat"))))</f>
        <v>0</v>
      </c>
      <c r="AK679" t="b">
        <f>AND(IF(metadata!I679="",FALSE,TRUE),EXACT(metadata!I679,"host-associated"))</f>
        <v>0</v>
      </c>
      <c r="AL679" t="b">
        <f>OR(AND(IF(metadata!J679="",FALSE,TRUE),OR(EXACT(metadata!J679,"not applicable"),EXACT(metadata!J679,"missing: not collected"),EXACT(metadata!J679,"missing: not provided"),EXACT(metadata!J679,"missing: restricted access"))),AND(IF(metadata!J679="",FALSE,ISNUMBER(VALUE(metadata!J679))),metadata!J679&gt;0))</f>
        <v>0</v>
      </c>
      <c r="AM679" t="b">
        <f>AND(IF(metadata!K679="",FALSE,TRUE),EXACT(metadata!K679,"missing: not provided"))</f>
        <v>0</v>
      </c>
      <c r="AN679" t="b">
        <f>IF(metadata!L679="",FALSE,TRUE)</f>
        <v>0</v>
      </c>
      <c r="AO679" t="b">
        <f>IF(metadata!M679="",FALSE,TRUE)</f>
        <v>0</v>
      </c>
      <c r="AP679" t="b">
        <f>OR(AND(IF(metadata!N679="",FALSE,TRUE),OR(EXACT(metadata!N679,"not applicable"),EXACT(metadata!N679,"missing: not collected"),EXACT(metadata!N679,"missing: not provided"))),AND(IF(metadata!N679="",FALSE,IF(ISERROR(INT(metadata!N679)),FALSE,INT(metadata!N679)=metadata!N679)),metadata!N679&gt;0))</f>
        <v>0</v>
      </c>
      <c r="AQ679" t="b">
        <f>AND(IF(metadata!O679="",FALSE,TRUE),EXACT(metadata!O679,"Not applicable"))</f>
        <v>0</v>
      </c>
      <c r="AR679" t="b">
        <f>OR(AND(IF(metadata!P679="",FALSE,TRUE),OR(EXACT(metadata!P679,"not applicable"),EXACT(metadata!P679,"missing: not collected"),EXACT(metadata!P679,"missing: not provided"),EXACT(metadata!P679,"missing: restricted access"))),IF(metadata!P679="",FALSE,IF(ISERROR(INT(metadata!P679)),FALSE,INT(metadata!P679)=metadata!P679)))</f>
        <v>0</v>
      </c>
      <c r="AS679" t="b">
        <f>AND(IF(metadata!Q679="",FALSE,TRUE),EXACT(metadata!Q679,"Not applicable"))</f>
        <v>0</v>
      </c>
      <c r="AT679" t="b">
        <f>OR(AND(IF(metadata!R679="",FALSE,TRUE),OR(EXACT(metadata!R679,"not applicable"),EXACT(metadata!R679,"missing: not collected"),EXACT(metadata!R679,"missing: not provided"),EXACT(metadata!R679,"missing: restricted access"))),AND(IF(metadata!R679="",FALSE,ISNUMBER(VALUE(metadata!R679))),metadata!R679&gt;0))</f>
        <v>0</v>
      </c>
      <c r="AU679" t="b">
        <f>AND(IF(metadata!S679="",FALSE,TRUE),EXACT(metadata!S679,"missing: not provided"))</f>
        <v>0</v>
      </c>
    </row>
    <row r="680" spans="1:47" x14ac:dyDescent="0.2">
      <c r="A680" s="5" t="str">
        <f ca="1">IF(B680=" "," ",HYPERLINK(CONCATENATE("#metadata!",ADDRESS(INDEX($Y$2:$Y$1001,MATCH(ROWS($W$2:W680),$W$2:$W$1001,0),0),1)),INDEX($AB$2:$AB$1001,MATCH(ROWS($W$2:W680),$W$2:$W$1001,0),0)))</f>
        <v xml:space="preserve"> </v>
      </c>
      <c r="B680" s="4" t="str">
        <f ca="1">IF(OR(INDEX($X$2:$X$1001,MATCH(ROWS($W$2:W680),$W$2:$W$1001,0),1)&gt;=100000,INDEX($AD$1005:$AU$1005,1,MATCH(COLUMNS($AD$1006:AD1006),$AD$1006:$AU$1006,0))&gt;=100000), " ",IF(INDEX($AD$2:$AU$1001,MATCH(ROWS($W$2:W680),$W$2:$W$1001,0),MATCH(COLUMNS($AD$1006:AD1006),$AD$1006:$AU$1006,0)), HYPERLINK("#",""), HYPERLINK(CONCATENATE("#metadata!", ADDRESS(INDEX($Y$2:$Y$1001,MATCH(ROWS($W$2:W680),$W$2:$W$1001,0),0), INDEX($AD$1004:$AU$1004,1,MATCH(COLUMNS($AD$1006:AD1006),$AD$1006:$AU$1006,0)))),"Fix")))</f>
        <v xml:space="preserve"> </v>
      </c>
      <c r="C680" s="4" t="str">
        <f ca="1">IF(OR(INDEX($X$2:$X$1001,MATCH(ROWS($W$2:W680),$W$2:$W$1001,0),1)&gt;=100000,INDEX($AD$1005:$AU$1005,1,MATCH(COLUMNS($AD$1006:AE1006),$AD$1006:$AU$1006,0))&gt;=100000), " ",IF(INDEX($AD$2:$AU$1001,MATCH(ROWS($W$2:W680),$W$2:$W$1001,0),MATCH(COLUMNS($AD$1006:AE1006),$AD$1006:$AU$1006,0)), HYPERLINK("#",""), HYPERLINK(CONCATENATE("#metadata!", ADDRESS(INDEX($Y$2:$Y$1001,MATCH(ROWS($W$2:W680),$W$2:$W$1001,0),0), INDEX($AD$1004:$AU$1004,1,MATCH(COLUMNS($AD$1006:AE1006),$AD$1006:$AU$1006,0)))),"Fix")))</f>
        <v xml:space="preserve"> </v>
      </c>
      <c r="D680" s="4" t="str">
        <f ca="1">IF(OR(INDEX($X$2:$X$1001,MATCH(ROWS($W$2:W680),$W$2:$W$1001,0),1)&gt;=100000,INDEX($AD$1005:$AU$1005,1,MATCH(COLUMNS($AD$1006:AF1006),$AD$1006:$AU$1006,0))&gt;=100000), " ",IF(INDEX($AD$2:$AU$1001,MATCH(ROWS($W$2:W680),$W$2:$W$1001,0),MATCH(COLUMNS($AD$1006:AF1006),$AD$1006:$AU$1006,0)), HYPERLINK("#",""), HYPERLINK(CONCATENATE("#metadata!", ADDRESS(INDEX($Y$2:$Y$1001,MATCH(ROWS($W$2:W680),$W$2:$W$1001,0),0), INDEX($AD$1004:$AU$1004,1,MATCH(COLUMNS($AD$1006:AF1006),$AD$1006:$AU$1006,0)))),"Fix")))</f>
        <v xml:space="preserve"> </v>
      </c>
      <c r="E680" s="4" t="str">
        <f ca="1">IF(OR(INDEX($X$2:$X$1001,MATCH(ROWS($W$2:W680),$W$2:$W$1001,0),1)&gt;=100000,INDEX($AD$1005:$AU$1005,1,MATCH(COLUMNS($AD$1006:AG1006),$AD$1006:$AU$1006,0))&gt;=100000), " ",IF(INDEX($AD$2:$AU$1001,MATCH(ROWS($W$2:W680),$W$2:$W$1001,0),MATCH(COLUMNS($AD$1006:AG1006),$AD$1006:$AU$1006,0)), HYPERLINK("#",""), HYPERLINK(CONCATENATE("#metadata!", ADDRESS(INDEX($Y$2:$Y$1001,MATCH(ROWS($W$2:W680),$W$2:$W$1001,0),0), INDEX($AD$1004:$AU$1004,1,MATCH(COLUMNS($AD$1006:AG1006),$AD$1006:$AU$1006,0)))),"Fix")))</f>
        <v xml:space="preserve"> </v>
      </c>
      <c r="F680" s="4" t="str">
        <f ca="1">IF(OR(INDEX($X$2:$X$1001,MATCH(ROWS($W$2:W680),$W$2:$W$1001,0),1)&gt;=100000,INDEX($AD$1005:$AU$1005,1,MATCH(COLUMNS($AD$1006:AH1006),$AD$1006:$AU$1006,0))&gt;=100000), " ",IF(INDEX($AD$2:$AU$1001,MATCH(ROWS($W$2:W680),$W$2:$W$1001,0),MATCH(COLUMNS($AD$1006:AH1006),$AD$1006:$AU$1006,0)), HYPERLINK("#",""), HYPERLINK(CONCATENATE("#metadata!", ADDRESS(INDEX($Y$2:$Y$1001,MATCH(ROWS($W$2:W680),$W$2:$W$1001,0),0), INDEX($AD$1004:$AU$1004,1,MATCH(COLUMNS($AD$1006:AH1006),$AD$1006:$AU$1006,0)))),"Fix")))</f>
        <v xml:space="preserve"> </v>
      </c>
      <c r="G680" s="4" t="str">
        <f ca="1">IF(OR(INDEX($X$2:$X$1001,MATCH(ROWS($W$2:W680),$W$2:$W$1001,0),1)&gt;=100000,INDEX($AD$1005:$AU$1005,1,MATCH(COLUMNS($AD$1006:AI1006),$AD$1006:$AU$1006,0))&gt;=100000), " ",IF(INDEX($AD$2:$AU$1001,MATCH(ROWS($W$2:W680),$W$2:$W$1001,0),MATCH(COLUMNS($AD$1006:AI1006),$AD$1006:$AU$1006,0)), HYPERLINK("#",""), HYPERLINK(CONCATENATE("#metadata!", ADDRESS(INDEX($Y$2:$Y$1001,MATCH(ROWS($W$2:W680),$W$2:$W$1001,0),0), INDEX($AD$1004:$AU$1004,1,MATCH(COLUMNS($AD$1006:AI1006),$AD$1006:$AU$1006,0)))),"Fix")))</f>
        <v xml:space="preserve"> </v>
      </c>
      <c r="H680" s="4" t="str">
        <f ca="1">IF(OR(INDEX($X$2:$X$1001,MATCH(ROWS($W$2:W680),$W$2:$W$1001,0),1)&gt;=100000,INDEX($AD$1005:$AU$1005,1,MATCH(COLUMNS($AD$1006:AJ1006),$AD$1006:$AU$1006,0))&gt;=100000), " ",IF(INDEX($AD$2:$AU$1001,MATCH(ROWS($W$2:W680),$W$2:$W$1001,0),MATCH(COLUMNS($AD$1006:AJ1006),$AD$1006:$AU$1006,0)), HYPERLINK("#",""), HYPERLINK(CONCATENATE("#metadata!", ADDRESS(INDEX($Y$2:$Y$1001,MATCH(ROWS($W$2:W680),$W$2:$W$1001,0),0), INDEX($AD$1004:$AU$1004,1,MATCH(COLUMNS($AD$1006:AJ1006),$AD$1006:$AU$1006,0)))),"Fix")))</f>
        <v xml:space="preserve"> </v>
      </c>
      <c r="I680" s="4" t="str">
        <f ca="1">IF(OR(INDEX($X$2:$X$1001,MATCH(ROWS($W$2:W680),$W$2:$W$1001,0),1)&gt;=100000,INDEX($AD$1005:$AU$1005,1,MATCH(COLUMNS($AD$1006:AK1006),$AD$1006:$AU$1006,0))&gt;=100000), " ",IF(INDEX($AD$2:$AU$1001,MATCH(ROWS($W$2:W680),$W$2:$W$1001,0),MATCH(COLUMNS($AD$1006:AK1006),$AD$1006:$AU$1006,0)), HYPERLINK("#",""), HYPERLINK(CONCATENATE("#metadata!", ADDRESS(INDEX($Y$2:$Y$1001,MATCH(ROWS($W$2:W680),$W$2:$W$1001,0),0), INDEX($AD$1004:$AU$1004,1,MATCH(COLUMNS($AD$1006:AK1006),$AD$1006:$AU$1006,0)))),"Fix")))</f>
        <v xml:space="preserve"> </v>
      </c>
      <c r="J680" s="4" t="str">
        <f ca="1">IF(OR(INDEX($X$2:$X$1001,MATCH(ROWS($W$2:W680),$W$2:$W$1001,0),1)&gt;=100000,INDEX($AD$1005:$AU$1005,1,MATCH(COLUMNS($AD$1006:AL1006),$AD$1006:$AU$1006,0))&gt;=100000), " ",IF(INDEX($AD$2:$AU$1001,MATCH(ROWS($W$2:W680),$W$2:$W$1001,0),MATCH(COLUMNS($AD$1006:AL1006),$AD$1006:$AU$1006,0)), HYPERLINK("#",""), HYPERLINK(CONCATENATE("#metadata!", ADDRESS(INDEX($Y$2:$Y$1001,MATCH(ROWS($W$2:W680),$W$2:$W$1001,0),0), INDEX($AD$1004:$AU$1004,1,MATCH(COLUMNS($AD$1006:AL1006),$AD$1006:$AU$1006,0)))),"Fix")))</f>
        <v xml:space="preserve"> </v>
      </c>
      <c r="K680" s="4" t="str">
        <f ca="1">IF(OR(INDEX($X$2:$X$1001,MATCH(ROWS($W$2:W680),$W$2:$W$1001,0),1)&gt;=100000,INDEX($AD$1005:$AU$1005,1,MATCH(COLUMNS($AD$1006:AM1006),$AD$1006:$AU$1006,0))&gt;=100000), " ",IF(INDEX($AD$2:$AU$1001,MATCH(ROWS($W$2:W680),$W$2:$W$1001,0),MATCH(COLUMNS($AD$1006:AM1006),$AD$1006:$AU$1006,0)), HYPERLINK("#",""), HYPERLINK(CONCATENATE("#metadata!", ADDRESS(INDEX($Y$2:$Y$1001,MATCH(ROWS($W$2:W680),$W$2:$W$1001,0),0), INDEX($AD$1004:$AU$1004,1,MATCH(COLUMNS($AD$1006:AM1006),$AD$1006:$AU$1006,0)))),"Fix")))</f>
        <v xml:space="preserve"> </v>
      </c>
      <c r="L680" s="4" t="str">
        <f ca="1">IF(OR(INDEX($X$2:$X$1001,MATCH(ROWS($W$2:W680),$W$2:$W$1001,0),1)&gt;=100000,INDEX($AD$1005:$AU$1005,1,MATCH(COLUMNS($AD$1006:AN1006),$AD$1006:$AU$1006,0))&gt;=100000), " ",IF(INDEX($AD$2:$AU$1001,MATCH(ROWS($W$2:W680),$W$2:$W$1001,0),MATCH(COLUMNS($AD$1006:AN1006),$AD$1006:$AU$1006,0)), HYPERLINK("#",""), HYPERLINK(CONCATENATE("#metadata!", ADDRESS(INDEX($Y$2:$Y$1001,MATCH(ROWS($W$2:W680),$W$2:$W$1001,0),0), INDEX($AD$1004:$AU$1004,1,MATCH(COLUMNS($AD$1006:AN1006),$AD$1006:$AU$1006,0)))),"Fix")))</f>
        <v xml:space="preserve"> </v>
      </c>
      <c r="M680" s="4" t="str">
        <f ca="1">IF(OR(INDEX($X$2:$X$1001,MATCH(ROWS($W$2:W680),$W$2:$W$1001,0),1)&gt;=100000,INDEX($AD$1005:$AU$1005,1,MATCH(COLUMNS($AD$1006:AO1006),$AD$1006:$AU$1006,0))&gt;=100000), " ",IF(INDEX($AD$2:$AU$1001,MATCH(ROWS($W$2:W680),$W$2:$W$1001,0),MATCH(COLUMNS($AD$1006:AO1006),$AD$1006:$AU$1006,0)), HYPERLINK("#",""), HYPERLINK(CONCATENATE("#metadata!", ADDRESS(INDEX($Y$2:$Y$1001,MATCH(ROWS($W$2:W680),$W$2:$W$1001,0),0), INDEX($AD$1004:$AU$1004,1,MATCH(COLUMNS($AD$1006:AO1006),$AD$1006:$AU$1006,0)))),"Fix")))</f>
        <v xml:space="preserve"> </v>
      </c>
      <c r="N680" s="4" t="str">
        <f ca="1">IF(OR(INDEX($X$2:$X$1001,MATCH(ROWS($W$2:W680),$W$2:$W$1001,0),1)&gt;=100000,INDEX($AD$1005:$AU$1005,1,MATCH(COLUMNS($AD$1006:AP1006),$AD$1006:$AU$1006,0))&gt;=100000), " ",IF(INDEX($AD$2:$AU$1001,MATCH(ROWS($W$2:W680),$W$2:$W$1001,0),MATCH(COLUMNS($AD$1006:AP1006),$AD$1006:$AU$1006,0)), HYPERLINK("#",""), HYPERLINK(CONCATENATE("#metadata!", ADDRESS(INDEX($Y$2:$Y$1001,MATCH(ROWS($W$2:W680),$W$2:$W$1001,0),0), INDEX($AD$1004:$AU$1004,1,MATCH(COLUMNS($AD$1006:AP1006),$AD$1006:$AU$1006,0)))),"Fix")))</f>
        <v xml:space="preserve"> </v>
      </c>
      <c r="O680" s="4" t="str">
        <f ca="1">IF(OR(INDEX($X$2:$X$1001,MATCH(ROWS($W$2:W680),$W$2:$W$1001,0),1)&gt;=100000,INDEX($AD$1005:$AU$1005,1,MATCH(COLUMNS($AD$1006:AQ1006),$AD$1006:$AU$1006,0))&gt;=100000), " ",IF(INDEX($AD$2:$AU$1001,MATCH(ROWS($W$2:W680),$W$2:$W$1001,0),MATCH(COLUMNS($AD$1006:AQ1006),$AD$1006:$AU$1006,0)), HYPERLINK("#",""), HYPERLINK(CONCATENATE("#metadata!", ADDRESS(INDEX($Y$2:$Y$1001,MATCH(ROWS($W$2:W680),$W$2:$W$1001,0),0), INDEX($AD$1004:$AU$1004,1,MATCH(COLUMNS($AD$1006:AQ1006),$AD$1006:$AU$1006,0)))),"Fix")))</f>
        <v xml:space="preserve"> </v>
      </c>
      <c r="P680" s="4" t="str">
        <f ca="1">IF(OR(INDEX($X$2:$X$1001,MATCH(ROWS($W$2:W680),$W$2:$W$1001,0),1)&gt;=100000,INDEX($AD$1005:$AU$1005,1,MATCH(COLUMNS($AD$1006:AR1006),$AD$1006:$AU$1006,0))&gt;=100000), " ",IF(INDEX($AD$2:$AU$1001,MATCH(ROWS($W$2:W680),$W$2:$W$1001,0),MATCH(COLUMNS($AD$1006:AR1006),$AD$1006:$AU$1006,0)), HYPERLINK("#",""), HYPERLINK(CONCATENATE("#metadata!", ADDRESS(INDEX($Y$2:$Y$1001,MATCH(ROWS($W$2:W680),$W$2:$W$1001,0),0), INDEX($AD$1004:$AU$1004,1,MATCH(COLUMNS($AD$1006:AR1006),$AD$1006:$AU$1006,0)))),"Fix")))</f>
        <v xml:space="preserve"> </v>
      </c>
      <c r="Q680" s="4" t="str">
        <f ca="1">IF(OR(INDEX($X$2:$X$1001,MATCH(ROWS($W$2:W680),$W$2:$W$1001,0),1)&gt;=100000,INDEX($AD$1005:$AU$1005,1,MATCH(COLUMNS($AD$1006:AS1006),$AD$1006:$AU$1006,0))&gt;=100000), " ",IF(INDEX($AD$2:$AU$1001,MATCH(ROWS($W$2:W680),$W$2:$W$1001,0),MATCH(COLUMNS($AD$1006:AS1006),$AD$1006:$AU$1006,0)), HYPERLINK("#",""), HYPERLINK(CONCATENATE("#metadata!", ADDRESS(INDEX($Y$2:$Y$1001,MATCH(ROWS($W$2:W680),$W$2:$W$1001,0),0), INDEX($AD$1004:$AU$1004,1,MATCH(COLUMNS($AD$1006:AS1006),$AD$1006:$AU$1006,0)))),"Fix")))</f>
        <v xml:space="preserve"> </v>
      </c>
      <c r="R680" s="4" t="str">
        <f ca="1">IF(OR(INDEX($X$2:$X$1001,MATCH(ROWS($W$2:W680),$W$2:$W$1001,0),1)&gt;=100000,INDEX($AD$1005:$AU$1005,1,MATCH(COLUMNS($AD$1006:AT1006),$AD$1006:$AU$1006,0))&gt;=100000), " ",IF(INDEX($AD$2:$AU$1001,MATCH(ROWS($W$2:W680),$W$2:$W$1001,0),MATCH(COLUMNS($AD$1006:AT1006),$AD$1006:$AU$1006,0)), HYPERLINK("#",""), HYPERLINK(CONCATENATE("#metadata!", ADDRESS(INDEX($Y$2:$Y$1001,MATCH(ROWS($W$2:W680),$W$2:$W$1001,0),0), INDEX($AD$1004:$AU$1004,1,MATCH(COLUMNS($AD$1006:AT1006),$AD$1006:$AU$1006,0)))),"Fix")))</f>
        <v xml:space="preserve"> </v>
      </c>
      <c r="S680" s="4" t="str">
        <f ca="1">IF(OR(INDEX($X$2:$X$1001,MATCH(ROWS($W$2:W680),$W$2:$W$1001,0),1)&gt;=100000,INDEX($AD$1005:$AU$1005,1,MATCH(COLUMNS($AD$1006:AU1006),$AD$1006:$AU$1006,0))&gt;=100000), " ",IF(INDEX($AD$2:$AU$1001,MATCH(ROWS($W$2:W680),$W$2:$W$1001,0),MATCH(COLUMNS($AD$1006:AU1006),$AD$1006:$AU$1006,0)), HYPERLINK("#",""), HYPERLINK(CONCATENATE("#metadata!", ADDRESS(INDEX($Y$2:$Y$1001,MATCH(ROWS($W$2:W680),$W$2:$W$1001,0),0), INDEX($AD$1004:$AU$1004,1,MATCH(COLUMNS($AD$1006:AU1006),$AD$1006:$AU$1006,0)))),"Fix")))</f>
        <v xml:space="preserve"> </v>
      </c>
      <c r="W680">
        <v>679</v>
      </c>
      <c r="X680">
        <v>100680</v>
      </c>
      <c r="Y680">
        <v>680</v>
      </c>
      <c r="Z680" t="b">
        <f t="shared" si="10"/>
        <v>1</v>
      </c>
      <c r="AA680" t="b">
        <f>COUNTBLANK(metadata!B680:S680)=COLUMNS(metadata!B680:S680)</f>
        <v>1</v>
      </c>
      <c r="AB680" t="str">
        <v/>
      </c>
      <c r="AD680" t="b">
        <f ca="1">AND(IF(metadata!B680="",FALSE,TRUE),COUNTIF(metadata!B:B, metadata!B680) = 1,NOT(ISERROR(SUMPRODUCT(SEARCH(MID(metadata!B680,ROW(INDIRECT("1:"&amp;LEN(metadata!B680))), 1),"0123456789abcdefghijklmnopqrstuvwxyzABCDEFGHIJKLMNOPQRSTUVWXYZ.")))))</f>
        <v>0</v>
      </c>
      <c r="AE680" t="b">
        <f>OR(AND(IF(metadata!C680="",FALSE,TRUE),OR(EXACT(metadata!C680,"not applicable"),EXACT(metadata!C680,"missing: not collected"),EXACT(metadata!C680,"missing: not provided"),EXACT(metadata!C680,"missing: restricted access"))),AND(IF(metadata!C680="",FALSE,ISNUMBER(VALUE(metadata!C680))),metadata!C680&gt;0))</f>
        <v>0</v>
      </c>
      <c r="AF680" t="b">
        <f>AND(IF(metadata!D680="",FALSE,TRUE),EXACT(metadata!D680,"missing: not provided"))</f>
        <v>0</v>
      </c>
      <c r="AG680" t="b">
        <f>AND(IF(metadata!E680="",FALSE,TRUE),EXACT(metadata!E680,"Host-associated"))</f>
        <v>0</v>
      </c>
      <c r="AH680" t="b">
        <f>AND(IF(metadata!F680="",FALSE,TRUE),OR(EXACT(metadata!F680,"Animal"),EXACT(metadata!F680,"Fungus"),EXACT(metadata!F680,"Plant")))</f>
        <v>0</v>
      </c>
      <c r="AI680" t="b">
        <f>AND(IF(metadata!G680="",FALSE,TRUE),OR(EXACT(metadata!G680,"Plant secretion"),EXACT(metadata!G680,"Plant rhizosphere"),EXACT(metadata!G680,"Plant surface"),EXACT(metadata!G680,"Plant corpus"),EXACT(metadata!G680,"Fungus surface"),EXACT(metadata!G680,"Fungus corpus"),EXACT(metadata!G680,"Animal surface"),EXACT(metadata!G680,"Animal proximal gut"),EXACT(metadata!G680,"Animal corpus"),EXACT(metadata!G680,"Animal distal gut"),EXACT(metadata!G680,"Animal secretion")))</f>
        <v>0</v>
      </c>
      <c r="AJ680" t="b">
        <f>OR(AND(IF(metadata!H680="",FALSE,TRUE),OR(EXACT(metadata!H680,"missing: not collected"),EXACT(metadata!H680,"missing: not provided"),EXACT(metadata!H680,"missing: restricted access"))),AND(IF(metadata!H680="",FALSE,TRUE),OR(EXACT(metadata!H680,"organism-associated habitat"),EXACT(metadata!H680,"plant-associated habitat"),EXACT(metadata!H680,"animal-associated habitat"),EXACT(metadata!H680,"insecta-associated habitat"),EXACT(metadata!H680,"mammalia-associated habitat"),EXACT(metadata!H680,"human-associated habitat"),EXACT(metadata!H680,"livestock-associated habitat"))))</f>
        <v>0</v>
      </c>
      <c r="AK680" t="b">
        <f>AND(IF(metadata!I680="",FALSE,TRUE),EXACT(metadata!I680,"host-associated"))</f>
        <v>0</v>
      </c>
      <c r="AL680" t="b">
        <f>OR(AND(IF(metadata!J680="",FALSE,TRUE),OR(EXACT(metadata!J680,"not applicable"),EXACT(metadata!J680,"missing: not collected"),EXACT(metadata!J680,"missing: not provided"),EXACT(metadata!J680,"missing: restricted access"))),AND(IF(metadata!J680="",FALSE,ISNUMBER(VALUE(metadata!J680))),metadata!J680&gt;0))</f>
        <v>0</v>
      </c>
      <c r="AM680" t="b">
        <f>AND(IF(metadata!K680="",FALSE,TRUE),EXACT(metadata!K680,"missing: not provided"))</f>
        <v>0</v>
      </c>
      <c r="AN680" t="b">
        <f>IF(metadata!L680="",FALSE,TRUE)</f>
        <v>0</v>
      </c>
      <c r="AO680" t="b">
        <f>IF(metadata!M680="",FALSE,TRUE)</f>
        <v>0</v>
      </c>
      <c r="AP680" t="b">
        <f>OR(AND(IF(metadata!N680="",FALSE,TRUE),OR(EXACT(metadata!N680,"not applicable"),EXACT(metadata!N680,"missing: not collected"),EXACT(metadata!N680,"missing: not provided"))),AND(IF(metadata!N680="",FALSE,IF(ISERROR(INT(metadata!N680)),FALSE,INT(metadata!N680)=metadata!N680)),metadata!N680&gt;0))</f>
        <v>0</v>
      </c>
      <c r="AQ680" t="b">
        <f>AND(IF(metadata!O680="",FALSE,TRUE),EXACT(metadata!O680,"Not applicable"))</f>
        <v>0</v>
      </c>
      <c r="AR680" t="b">
        <f>OR(AND(IF(metadata!P680="",FALSE,TRUE),OR(EXACT(metadata!P680,"not applicable"),EXACT(metadata!P680,"missing: not collected"),EXACT(metadata!P680,"missing: not provided"),EXACT(metadata!P680,"missing: restricted access"))),IF(metadata!P680="",FALSE,IF(ISERROR(INT(metadata!P680)),FALSE,INT(metadata!P680)=metadata!P680)))</f>
        <v>0</v>
      </c>
      <c r="AS680" t="b">
        <f>AND(IF(metadata!Q680="",FALSE,TRUE),EXACT(metadata!Q680,"Not applicable"))</f>
        <v>0</v>
      </c>
      <c r="AT680" t="b">
        <f>OR(AND(IF(metadata!R680="",FALSE,TRUE),OR(EXACT(metadata!R680,"not applicable"),EXACT(metadata!R680,"missing: not collected"),EXACT(metadata!R680,"missing: not provided"),EXACT(metadata!R680,"missing: restricted access"))),AND(IF(metadata!R680="",FALSE,ISNUMBER(VALUE(metadata!R680))),metadata!R680&gt;0))</f>
        <v>0</v>
      </c>
      <c r="AU680" t="b">
        <f>AND(IF(metadata!S680="",FALSE,TRUE),EXACT(metadata!S680,"missing: not provided"))</f>
        <v>0</v>
      </c>
    </row>
    <row r="681" spans="1:47" x14ac:dyDescent="0.2">
      <c r="A681" s="5" t="str">
        <f ca="1">IF(B681=" "," ",HYPERLINK(CONCATENATE("#metadata!",ADDRESS(INDEX($Y$2:$Y$1001,MATCH(ROWS($W$2:W681),$W$2:$W$1001,0),0),1)),INDEX($AB$2:$AB$1001,MATCH(ROWS($W$2:W681),$W$2:$W$1001,0),0)))</f>
        <v xml:space="preserve"> </v>
      </c>
      <c r="B681" s="4" t="str">
        <f ca="1">IF(OR(INDEX($X$2:$X$1001,MATCH(ROWS($W$2:W681),$W$2:$W$1001,0),1)&gt;=100000,INDEX($AD$1005:$AU$1005,1,MATCH(COLUMNS($AD$1006:AD1006),$AD$1006:$AU$1006,0))&gt;=100000), " ",IF(INDEX($AD$2:$AU$1001,MATCH(ROWS($W$2:W681),$W$2:$W$1001,0),MATCH(COLUMNS($AD$1006:AD1006),$AD$1006:$AU$1006,0)), HYPERLINK("#",""), HYPERLINK(CONCATENATE("#metadata!", ADDRESS(INDEX($Y$2:$Y$1001,MATCH(ROWS($W$2:W681),$W$2:$W$1001,0),0), INDEX($AD$1004:$AU$1004,1,MATCH(COLUMNS($AD$1006:AD1006),$AD$1006:$AU$1006,0)))),"Fix")))</f>
        <v xml:space="preserve"> </v>
      </c>
      <c r="C681" s="4" t="str">
        <f ca="1">IF(OR(INDEX($X$2:$X$1001,MATCH(ROWS($W$2:W681),$W$2:$W$1001,0),1)&gt;=100000,INDEX($AD$1005:$AU$1005,1,MATCH(COLUMNS($AD$1006:AE1006),$AD$1006:$AU$1006,0))&gt;=100000), " ",IF(INDEX($AD$2:$AU$1001,MATCH(ROWS($W$2:W681),$W$2:$W$1001,0),MATCH(COLUMNS($AD$1006:AE1006),$AD$1006:$AU$1006,0)), HYPERLINK("#",""), HYPERLINK(CONCATENATE("#metadata!", ADDRESS(INDEX($Y$2:$Y$1001,MATCH(ROWS($W$2:W681),$W$2:$W$1001,0),0), INDEX($AD$1004:$AU$1004,1,MATCH(COLUMNS($AD$1006:AE1006),$AD$1006:$AU$1006,0)))),"Fix")))</f>
        <v xml:space="preserve"> </v>
      </c>
      <c r="D681" s="4" t="str">
        <f ca="1">IF(OR(INDEX($X$2:$X$1001,MATCH(ROWS($W$2:W681),$W$2:$W$1001,0),1)&gt;=100000,INDEX($AD$1005:$AU$1005,1,MATCH(COLUMNS($AD$1006:AF1006),$AD$1006:$AU$1006,0))&gt;=100000), " ",IF(INDEX($AD$2:$AU$1001,MATCH(ROWS($W$2:W681),$W$2:$W$1001,0),MATCH(COLUMNS($AD$1006:AF1006),$AD$1006:$AU$1006,0)), HYPERLINK("#",""), HYPERLINK(CONCATENATE("#metadata!", ADDRESS(INDEX($Y$2:$Y$1001,MATCH(ROWS($W$2:W681),$W$2:$W$1001,0),0), INDEX($AD$1004:$AU$1004,1,MATCH(COLUMNS($AD$1006:AF1006),$AD$1006:$AU$1006,0)))),"Fix")))</f>
        <v xml:space="preserve"> </v>
      </c>
      <c r="E681" s="4" t="str">
        <f ca="1">IF(OR(INDEX($X$2:$X$1001,MATCH(ROWS($W$2:W681),$W$2:$W$1001,0),1)&gt;=100000,INDEX($AD$1005:$AU$1005,1,MATCH(COLUMNS($AD$1006:AG1006),$AD$1006:$AU$1006,0))&gt;=100000), " ",IF(INDEX($AD$2:$AU$1001,MATCH(ROWS($W$2:W681),$W$2:$W$1001,0),MATCH(COLUMNS($AD$1006:AG1006),$AD$1006:$AU$1006,0)), HYPERLINK("#",""), HYPERLINK(CONCATENATE("#metadata!", ADDRESS(INDEX($Y$2:$Y$1001,MATCH(ROWS($W$2:W681),$W$2:$W$1001,0),0), INDEX($AD$1004:$AU$1004,1,MATCH(COLUMNS($AD$1006:AG1006),$AD$1006:$AU$1006,0)))),"Fix")))</f>
        <v xml:space="preserve"> </v>
      </c>
      <c r="F681" s="4" t="str">
        <f ca="1">IF(OR(INDEX($X$2:$X$1001,MATCH(ROWS($W$2:W681),$W$2:$W$1001,0),1)&gt;=100000,INDEX($AD$1005:$AU$1005,1,MATCH(COLUMNS($AD$1006:AH1006),$AD$1006:$AU$1006,0))&gt;=100000), " ",IF(INDEX($AD$2:$AU$1001,MATCH(ROWS($W$2:W681),$W$2:$W$1001,0),MATCH(COLUMNS($AD$1006:AH1006),$AD$1006:$AU$1006,0)), HYPERLINK("#",""), HYPERLINK(CONCATENATE("#metadata!", ADDRESS(INDEX($Y$2:$Y$1001,MATCH(ROWS($W$2:W681),$W$2:$W$1001,0),0), INDEX($AD$1004:$AU$1004,1,MATCH(COLUMNS($AD$1006:AH1006),$AD$1006:$AU$1006,0)))),"Fix")))</f>
        <v xml:space="preserve"> </v>
      </c>
      <c r="G681" s="4" t="str">
        <f ca="1">IF(OR(INDEX($X$2:$X$1001,MATCH(ROWS($W$2:W681),$W$2:$W$1001,0),1)&gt;=100000,INDEX($AD$1005:$AU$1005,1,MATCH(COLUMNS($AD$1006:AI1006),$AD$1006:$AU$1006,0))&gt;=100000), " ",IF(INDEX($AD$2:$AU$1001,MATCH(ROWS($W$2:W681),$W$2:$W$1001,0),MATCH(COLUMNS($AD$1006:AI1006),$AD$1006:$AU$1006,0)), HYPERLINK("#",""), HYPERLINK(CONCATENATE("#metadata!", ADDRESS(INDEX($Y$2:$Y$1001,MATCH(ROWS($W$2:W681),$W$2:$W$1001,0),0), INDEX($AD$1004:$AU$1004,1,MATCH(COLUMNS($AD$1006:AI1006),$AD$1006:$AU$1006,0)))),"Fix")))</f>
        <v xml:space="preserve"> </v>
      </c>
      <c r="H681" s="4" t="str">
        <f ca="1">IF(OR(INDEX($X$2:$X$1001,MATCH(ROWS($W$2:W681),$W$2:$W$1001,0),1)&gt;=100000,INDEX($AD$1005:$AU$1005,1,MATCH(COLUMNS($AD$1006:AJ1006),$AD$1006:$AU$1006,0))&gt;=100000), " ",IF(INDEX($AD$2:$AU$1001,MATCH(ROWS($W$2:W681),$W$2:$W$1001,0),MATCH(COLUMNS($AD$1006:AJ1006),$AD$1006:$AU$1006,0)), HYPERLINK("#",""), HYPERLINK(CONCATENATE("#metadata!", ADDRESS(INDEX($Y$2:$Y$1001,MATCH(ROWS($W$2:W681),$W$2:$W$1001,0),0), INDEX($AD$1004:$AU$1004,1,MATCH(COLUMNS($AD$1006:AJ1006),$AD$1006:$AU$1006,0)))),"Fix")))</f>
        <v xml:space="preserve"> </v>
      </c>
      <c r="I681" s="4" t="str">
        <f ca="1">IF(OR(INDEX($X$2:$X$1001,MATCH(ROWS($W$2:W681),$W$2:$W$1001,0),1)&gt;=100000,INDEX($AD$1005:$AU$1005,1,MATCH(COLUMNS($AD$1006:AK1006),$AD$1006:$AU$1006,0))&gt;=100000), " ",IF(INDEX($AD$2:$AU$1001,MATCH(ROWS($W$2:W681),$W$2:$W$1001,0),MATCH(COLUMNS($AD$1006:AK1006),$AD$1006:$AU$1006,0)), HYPERLINK("#",""), HYPERLINK(CONCATENATE("#metadata!", ADDRESS(INDEX($Y$2:$Y$1001,MATCH(ROWS($W$2:W681),$W$2:$W$1001,0),0), INDEX($AD$1004:$AU$1004,1,MATCH(COLUMNS($AD$1006:AK1006),$AD$1006:$AU$1006,0)))),"Fix")))</f>
        <v xml:space="preserve"> </v>
      </c>
      <c r="J681" s="4" t="str">
        <f ca="1">IF(OR(INDEX($X$2:$X$1001,MATCH(ROWS($W$2:W681),$W$2:$W$1001,0),1)&gt;=100000,INDEX($AD$1005:$AU$1005,1,MATCH(COLUMNS($AD$1006:AL1006),$AD$1006:$AU$1006,0))&gt;=100000), " ",IF(INDEX($AD$2:$AU$1001,MATCH(ROWS($W$2:W681),$W$2:$W$1001,0),MATCH(COLUMNS($AD$1006:AL1006),$AD$1006:$AU$1006,0)), HYPERLINK("#",""), HYPERLINK(CONCATENATE("#metadata!", ADDRESS(INDEX($Y$2:$Y$1001,MATCH(ROWS($W$2:W681),$W$2:$W$1001,0),0), INDEX($AD$1004:$AU$1004,1,MATCH(COLUMNS($AD$1006:AL1006),$AD$1006:$AU$1006,0)))),"Fix")))</f>
        <v xml:space="preserve"> </v>
      </c>
      <c r="K681" s="4" t="str">
        <f ca="1">IF(OR(INDEX($X$2:$X$1001,MATCH(ROWS($W$2:W681),$W$2:$W$1001,0),1)&gt;=100000,INDEX($AD$1005:$AU$1005,1,MATCH(COLUMNS($AD$1006:AM1006),$AD$1006:$AU$1006,0))&gt;=100000), " ",IF(INDEX($AD$2:$AU$1001,MATCH(ROWS($W$2:W681),$W$2:$W$1001,0),MATCH(COLUMNS($AD$1006:AM1006),$AD$1006:$AU$1006,0)), HYPERLINK("#",""), HYPERLINK(CONCATENATE("#metadata!", ADDRESS(INDEX($Y$2:$Y$1001,MATCH(ROWS($W$2:W681),$W$2:$W$1001,0),0), INDEX($AD$1004:$AU$1004,1,MATCH(COLUMNS($AD$1006:AM1006),$AD$1006:$AU$1006,0)))),"Fix")))</f>
        <v xml:space="preserve"> </v>
      </c>
      <c r="L681" s="4" t="str">
        <f ca="1">IF(OR(INDEX($X$2:$X$1001,MATCH(ROWS($W$2:W681),$W$2:$W$1001,0),1)&gt;=100000,INDEX($AD$1005:$AU$1005,1,MATCH(COLUMNS($AD$1006:AN1006),$AD$1006:$AU$1006,0))&gt;=100000), " ",IF(INDEX($AD$2:$AU$1001,MATCH(ROWS($W$2:W681),$W$2:$W$1001,0),MATCH(COLUMNS($AD$1006:AN1006),$AD$1006:$AU$1006,0)), HYPERLINK("#",""), HYPERLINK(CONCATENATE("#metadata!", ADDRESS(INDEX($Y$2:$Y$1001,MATCH(ROWS($W$2:W681),$W$2:$W$1001,0),0), INDEX($AD$1004:$AU$1004,1,MATCH(COLUMNS($AD$1006:AN1006),$AD$1006:$AU$1006,0)))),"Fix")))</f>
        <v xml:space="preserve"> </v>
      </c>
      <c r="M681" s="4" t="str">
        <f ca="1">IF(OR(INDEX($X$2:$X$1001,MATCH(ROWS($W$2:W681),$W$2:$W$1001,0),1)&gt;=100000,INDEX($AD$1005:$AU$1005,1,MATCH(COLUMNS($AD$1006:AO1006),$AD$1006:$AU$1006,0))&gt;=100000), " ",IF(INDEX($AD$2:$AU$1001,MATCH(ROWS($W$2:W681),$W$2:$W$1001,0),MATCH(COLUMNS($AD$1006:AO1006),$AD$1006:$AU$1006,0)), HYPERLINK("#",""), HYPERLINK(CONCATENATE("#metadata!", ADDRESS(INDEX($Y$2:$Y$1001,MATCH(ROWS($W$2:W681),$W$2:$W$1001,0),0), INDEX($AD$1004:$AU$1004,1,MATCH(COLUMNS($AD$1006:AO1006),$AD$1006:$AU$1006,0)))),"Fix")))</f>
        <v xml:space="preserve"> </v>
      </c>
      <c r="N681" s="4" t="str">
        <f ca="1">IF(OR(INDEX($X$2:$X$1001,MATCH(ROWS($W$2:W681),$W$2:$W$1001,0),1)&gt;=100000,INDEX($AD$1005:$AU$1005,1,MATCH(COLUMNS($AD$1006:AP1006),$AD$1006:$AU$1006,0))&gt;=100000), " ",IF(INDEX($AD$2:$AU$1001,MATCH(ROWS($W$2:W681),$W$2:$W$1001,0),MATCH(COLUMNS($AD$1006:AP1006),$AD$1006:$AU$1006,0)), HYPERLINK("#",""), HYPERLINK(CONCATENATE("#metadata!", ADDRESS(INDEX($Y$2:$Y$1001,MATCH(ROWS($W$2:W681),$W$2:$W$1001,0),0), INDEX($AD$1004:$AU$1004,1,MATCH(COLUMNS($AD$1006:AP1006),$AD$1006:$AU$1006,0)))),"Fix")))</f>
        <v xml:space="preserve"> </v>
      </c>
      <c r="O681" s="4" t="str">
        <f ca="1">IF(OR(INDEX($X$2:$X$1001,MATCH(ROWS($W$2:W681),$W$2:$W$1001,0),1)&gt;=100000,INDEX($AD$1005:$AU$1005,1,MATCH(COLUMNS($AD$1006:AQ1006),$AD$1006:$AU$1006,0))&gt;=100000), " ",IF(INDEX($AD$2:$AU$1001,MATCH(ROWS($W$2:W681),$W$2:$W$1001,0),MATCH(COLUMNS($AD$1006:AQ1006),$AD$1006:$AU$1006,0)), HYPERLINK("#",""), HYPERLINK(CONCATENATE("#metadata!", ADDRESS(INDEX($Y$2:$Y$1001,MATCH(ROWS($W$2:W681),$W$2:$W$1001,0),0), INDEX($AD$1004:$AU$1004,1,MATCH(COLUMNS($AD$1006:AQ1006),$AD$1006:$AU$1006,0)))),"Fix")))</f>
        <v xml:space="preserve"> </v>
      </c>
      <c r="P681" s="4" t="str">
        <f ca="1">IF(OR(INDEX($X$2:$X$1001,MATCH(ROWS($W$2:W681),$W$2:$W$1001,0),1)&gt;=100000,INDEX($AD$1005:$AU$1005,1,MATCH(COLUMNS($AD$1006:AR1006),$AD$1006:$AU$1006,0))&gt;=100000), " ",IF(INDEX($AD$2:$AU$1001,MATCH(ROWS($W$2:W681),$W$2:$W$1001,0),MATCH(COLUMNS($AD$1006:AR1006),$AD$1006:$AU$1006,0)), HYPERLINK("#",""), HYPERLINK(CONCATENATE("#metadata!", ADDRESS(INDEX($Y$2:$Y$1001,MATCH(ROWS($W$2:W681),$W$2:$W$1001,0),0), INDEX($AD$1004:$AU$1004,1,MATCH(COLUMNS($AD$1006:AR1006),$AD$1006:$AU$1006,0)))),"Fix")))</f>
        <v xml:space="preserve"> </v>
      </c>
      <c r="Q681" s="4" t="str">
        <f ca="1">IF(OR(INDEX($X$2:$X$1001,MATCH(ROWS($W$2:W681),$W$2:$W$1001,0),1)&gt;=100000,INDEX($AD$1005:$AU$1005,1,MATCH(COLUMNS($AD$1006:AS1006),$AD$1006:$AU$1006,0))&gt;=100000), " ",IF(INDEX($AD$2:$AU$1001,MATCH(ROWS($W$2:W681),$W$2:$W$1001,0),MATCH(COLUMNS($AD$1006:AS1006),$AD$1006:$AU$1006,0)), HYPERLINK("#",""), HYPERLINK(CONCATENATE("#metadata!", ADDRESS(INDEX($Y$2:$Y$1001,MATCH(ROWS($W$2:W681),$W$2:$W$1001,0),0), INDEX($AD$1004:$AU$1004,1,MATCH(COLUMNS($AD$1006:AS1006),$AD$1006:$AU$1006,0)))),"Fix")))</f>
        <v xml:space="preserve"> </v>
      </c>
      <c r="R681" s="4" t="str">
        <f ca="1">IF(OR(INDEX($X$2:$X$1001,MATCH(ROWS($W$2:W681),$W$2:$W$1001,0),1)&gt;=100000,INDEX($AD$1005:$AU$1005,1,MATCH(COLUMNS($AD$1006:AT1006),$AD$1006:$AU$1006,0))&gt;=100000), " ",IF(INDEX($AD$2:$AU$1001,MATCH(ROWS($W$2:W681),$W$2:$W$1001,0),MATCH(COLUMNS($AD$1006:AT1006),$AD$1006:$AU$1006,0)), HYPERLINK("#",""), HYPERLINK(CONCATENATE("#metadata!", ADDRESS(INDEX($Y$2:$Y$1001,MATCH(ROWS($W$2:W681),$W$2:$W$1001,0),0), INDEX($AD$1004:$AU$1004,1,MATCH(COLUMNS($AD$1006:AT1006),$AD$1006:$AU$1006,0)))),"Fix")))</f>
        <v xml:space="preserve"> </v>
      </c>
      <c r="S681" s="4" t="str">
        <f ca="1">IF(OR(INDEX($X$2:$X$1001,MATCH(ROWS($W$2:W681),$W$2:$W$1001,0),1)&gt;=100000,INDEX($AD$1005:$AU$1005,1,MATCH(COLUMNS($AD$1006:AU1006),$AD$1006:$AU$1006,0))&gt;=100000), " ",IF(INDEX($AD$2:$AU$1001,MATCH(ROWS($W$2:W681),$W$2:$W$1001,0),MATCH(COLUMNS($AD$1006:AU1006),$AD$1006:$AU$1006,0)), HYPERLINK("#",""), HYPERLINK(CONCATENATE("#metadata!", ADDRESS(INDEX($Y$2:$Y$1001,MATCH(ROWS($W$2:W681),$W$2:$W$1001,0),0), INDEX($AD$1004:$AU$1004,1,MATCH(COLUMNS($AD$1006:AU1006),$AD$1006:$AU$1006,0)))),"Fix")))</f>
        <v xml:space="preserve"> </v>
      </c>
      <c r="W681">
        <v>680</v>
      </c>
      <c r="X681">
        <v>100681</v>
      </c>
      <c r="Y681">
        <v>681</v>
      </c>
      <c r="Z681" t="b">
        <f t="shared" si="10"/>
        <v>1</v>
      </c>
      <c r="AA681" t="b">
        <f>COUNTBLANK(metadata!B681:S681)=COLUMNS(metadata!B681:S681)</f>
        <v>1</v>
      </c>
      <c r="AB681" t="str">
        <v/>
      </c>
      <c r="AD681" t="b">
        <f ca="1">AND(IF(metadata!B681="",FALSE,TRUE),COUNTIF(metadata!B:B, metadata!B681) = 1,NOT(ISERROR(SUMPRODUCT(SEARCH(MID(metadata!B681,ROW(INDIRECT("1:"&amp;LEN(metadata!B681))), 1),"0123456789abcdefghijklmnopqrstuvwxyzABCDEFGHIJKLMNOPQRSTUVWXYZ.")))))</f>
        <v>0</v>
      </c>
      <c r="AE681" t="b">
        <f>OR(AND(IF(metadata!C681="",FALSE,TRUE),OR(EXACT(metadata!C681,"not applicable"),EXACT(metadata!C681,"missing: not collected"),EXACT(metadata!C681,"missing: not provided"),EXACT(metadata!C681,"missing: restricted access"))),AND(IF(metadata!C681="",FALSE,ISNUMBER(VALUE(metadata!C681))),metadata!C681&gt;0))</f>
        <v>0</v>
      </c>
      <c r="AF681" t="b">
        <f>AND(IF(metadata!D681="",FALSE,TRUE),EXACT(metadata!D681,"missing: not provided"))</f>
        <v>0</v>
      </c>
      <c r="AG681" t="b">
        <f>AND(IF(metadata!E681="",FALSE,TRUE),EXACT(metadata!E681,"Host-associated"))</f>
        <v>0</v>
      </c>
      <c r="AH681" t="b">
        <f>AND(IF(metadata!F681="",FALSE,TRUE),OR(EXACT(metadata!F681,"Animal"),EXACT(metadata!F681,"Fungus"),EXACT(metadata!F681,"Plant")))</f>
        <v>0</v>
      </c>
      <c r="AI681" t="b">
        <f>AND(IF(metadata!G681="",FALSE,TRUE),OR(EXACT(metadata!G681,"Plant secretion"),EXACT(metadata!G681,"Plant rhizosphere"),EXACT(metadata!G681,"Plant surface"),EXACT(metadata!G681,"Plant corpus"),EXACT(metadata!G681,"Fungus surface"),EXACT(metadata!G681,"Fungus corpus"),EXACT(metadata!G681,"Animal surface"),EXACT(metadata!G681,"Animal proximal gut"),EXACT(metadata!G681,"Animal corpus"),EXACT(metadata!G681,"Animal distal gut"),EXACT(metadata!G681,"Animal secretion")))</f>
        <v>0</v>
      </c>
      <c r="AJ681" t="b">
        <f>OR(AND(IF(metadata!H681="",FALSE,TRUE),OR(EXACT(metadata!H681,"missing: not collected"),EXACT(metadata!H681,"missing: not provided"),EXACT(metadata!H681,"missing: restricted access"))),AND(IF(metadata!H681="",FALSE,TRUE),OR(EXACT(metadata!H681,"organism-associated habitat"),EXACT(metadata!H681,"plant-associated habitat"),EXACT(metadata!H681,"animal-associated habitat"),EXACT(metadata!H681,"insecta-associated habitat"),EXACT(metadata!H681,"mammalia-associated habitat"),EXACT(metadata!H681,"human-associated habitat"),EXACT(metadata!H681,"livestock-associated habitat"))))</f>
        <v>0</v>
      </c>
      <c r="AK681" t="b">
        <f>AND(IF(metadata!I681="",FALSE,TRUE),EXACT(metadata!I681,"host-associated"))</f>
        <v>0</v>
      </c>
      <c r="AL681" t="b">
        <f>OR(AND(IF(metadata!J681="",FALSE,TRUE),OR(EXACT(metadata!J681,"not applicable"),EXACT(metadata!J681,"missing: not collected"),EXACT(metadata!J681,"missing: not provided"),EXACT(metadata!J681,"missing: restricted access"))),AND(IF(metadata!J681="",FALSE,ISNUMBER(VALUE(metadata!J681))),metadata!J681&gt;0))</f>
        <v>0</v>
      </c>
      <c r="AM681" t="b">
        <f>AND(IF(metadata!K681="",FALSE,TRUE),EXACT(metadata!K681,"missing: not provided"))</f>
        <v>0</v>
      </c>
      <c r="AN681" t="b">
        <f>IF(metadata!L681="",FALSE,TRUE)</f>
        <v>0</v>
      </c>
      <c r="AO681" t="b">
        <f>IF(metadata!M681="",FALSE,TRUE)</f>
        <v>0</v>
      </c>
      <c r="AP681" t="b">
        <f>OR(AND(IF(metadata!N681="",FALSE,TRUE),OR(EXACT(metadata!N681,"not applicable"),EXACT(metadata!N681,"missing: not collected"),EXACT(metadata!N681,"missing: not provided"))),AND(IF(metadata!N681="",FALSE,IF(ISERROR(INT(metadata!N681)),FALSE,INT(metadata!N681)=metadata!N681)),metadata!N681&gt;0))</f>
        <v>0</v>
      </c>
      <c r="AQ681" t="b">
        <f>AND(IF(metadata!O681="",FALSE,TRUE),EXACT(metadata!O681,"Not applicable"))</f>
        <v>0</v>
      </c>
      <c r="AR681" t="b">
        <f>OR(AND(IF(metadata!P681="",FALSE,TRUE),OR(EXACT(metadata!P681,"not applicable"),EXACT(metadata!P681,"missing: not collected"),EXACT(metadata!P681,"missing: not provided"),EXACT(metadata!P681,"missing: restricted access"))),IF(metadata!P681="",FALSE,IF(ISERROR(INT(metadata!P681)),FALSE,INT(metadata!P681)=metadata!P681)))</f>
        <v>0</v>
      </c>
      <c r="AS681" t="b">
        <f>AND(IF(metadata!Q681="",FALSE,TRUE),EXACT(metadata!Q681,"Not applicable"))</f>
        <v>0</v>
      </c>
      <c r="AT681" t="b">
        <f>OR(AND(IF(metadata!R681="",FALSE,TRUE),OR(EXACT(metadata!R681,"not applicable"),EXACT(metadata!R681,"missing: not collected"),EXACT(metadata!R681,"missing: not provided"),EXACT(metadata!R681,"missing: restricted access"))),AND(IF(metadata!R681="",FALSE,ISNUMBER(VALUE(metadata!R681))),metadata!R681&gt;0))</f>
        <v>0</v>
      </c>
      <c r="AU681" t="b">
        <f>AND(IF(metadata!S681="",FALSE,TRUE),EXACT(metadata!S681,"missing: not provided"))</f>
        <v>0</v>
      </c>
    </row>
    <row r="682" spans="1:47" x14ac:dyDescent="0.2">
      <c r="A682" s="5" t="str">
        <f ca="1">IF(B682=" "," ",HYPERLINK(CONCATENATE("#metadata!",ADDRESS(INDEX($Y$2:$Y$1001,MATCH(ROWS($W$2:W682),$W$2:$W$1001,0),0),1)),INDEX($AB$2:$AB$1001,MATCH(ROWS($W$2:W682),$W$2:$W$1001,0),0)))</f>
        <v xml:space="preserve"> </v>
      </c>
      <c r="B682" s="4" t="str">
        <f ca="1">IF(OR(INDEX($X$2:$X$1001,MATCH(ROWS($W$2:W682),$W$2:$W$1001,0),1)&gt;=100000,INDEX($AD$1005:$AU$1005,1,MATCH(COLUMNS($AD$1006:AD1006),$AD$1006:$AU$1006,0))&gt;=100000), " ",IF(INDEX($AD$2:$AU$1001,MATCH(ROWS($W$2:W682),$W$2:$W$1001,0),MATCH(COLUMNS($AD$1006:AD1006),$AD$1006:$AU$1006,0)), HYPERLINK("#",""), HYPERLINK(CONCATENATE("#metadata!", ADDRESS(INDEX($Y$2:$Y$1001,MATCH(ROWS($W$2:W682),$W$2:$W$1001,0),0), INDEX($AD$1004:$AU$1004,1,MATCH(COLUMNS($AD$1006:AD1006),$AD$1006:$AU$1006,0)))),"Fix")))</f>
        <v xml:space="preserve"> </v>
      </c>
      <c r="C682" s="4" t="str">
        <f ca="1">IF(OR(INDEX($X$2:$X$1001,MATCH(ROWS($W$2:W682),$W$2:$W$1001,0),1)&gt;=100000,INDEX($AD$1005:$AU$1005,1,MATCH(COLUMNS($AD$1006:AE1006),$AD$1006:$AU$1006,0))&gt;=100000), " ",IF(INDEX($AD$2:$AU$1001,MATCH(ROWS($W$2:W682),$W$2:$W$1001,0),MATCH(COLUMNS($AD$1006:AE1006),$AD$1006:$AU$1006,0)), HYPERLINK("#",""), HYPERLINK(CONCATENATE("#metadata!", ADDRESS(INDEX($Y$2:$Y$1001,MATCH(ROWS($W$2:W682),$W$2:$W$1001,0),0), INDEX($AD$1004:$AU$1004,1,MATCH(COLUMNS($AD$1006:AE1006),$AD$1006:$AU$1006,0)))),"Fix")))</f>
        <v xml:space="preserve"> </v>
      </c>
      <c r="D682" s="4" t="str">
        <f ca="1">IF(OR(INDEX($X$2:$X$1001,MATCH(ROWS($W$2:W682),$W$2:$W$1001,0),1)&gt;=100000,INDEX($AD$1005:$AU$1005,1,MATCH(COLUMNS($AD$1006:AF1006),$AD$1006:$AU$1006,0))&gt;=100000), " ",IF(INDEX($AD$2:$AU$1001,MATCH(ROWS($W$2:W682),$W$2:$W$1001,0),MATCH(COLUMNS($AD$1006:AF1006),$AD$1006:$AU$1006,0)), HYPERLINK("#",""), HYPERLINK(CONCATENATE("#metadata!", ADDRESS(INDEX($Y$2:$Y$1001,MATCH(ROWS($W$2:W682),$W$2:$W$1001,0),0), INDEX($AD$1004:$AU$1004,1,MATCH(COLUMNS($AD$1006:AF1006),$AD$1006:$AU$1006,0)))),"Fix")))</f>
        <v xml:space="preserve"> </v>
      </c>
      <c r="E682" s="4" t="str">
        <f ca="1">IF(OR(INDEX($X$2:$X$1001,MATCH(ROWS($W$2:W682),$W$2:$W$1001,0),1)&gt;=100000,INDEX($AD$1005:$AU$1005,1,MATCH(COLUMNS($AD$1006:AG1006),$AD$1006:$AU$1006,0))&gt;=100000), " ",IF(INDEX($AD$2:$AU$1001,MATCH(ROWS($W$2:W682),$W$2:$W$1001,0),MATCH(COLUMNS($AD$1006:AG1006),$AD$1006:$AU$1006,0)), HYPERLINK("#",""), HYPERLINK(CONCATENATE("#metadata!", ADDRESS(INDEX($Y$2:$Y$1001,MATCH(ROWS($W$2:W682),$W$2:$W$1001,0),0), INDEX($AD$1004:$AU$1004,1,MATCH(COLUMNS($AD$1006:AG1006),$AD$1006:$AU$1006,0)))),"Fix")))</f>
        <v xml:space="preserve"> </v>
      </c>
      <c r="F682" s="4" t="str">
        <f ca="1">IF(OR(INDEX($X$2:$X$1001,MATCH(ROWS($W$2:W682),$W$2:$W$1001,0),1)&gt;=100000,INDEX($AD$1005:$AU$1005,1,MATCH(COLUMNS($AD$1006:AH1006),$AD$1006:$AU$1006,0))&gt;=100000), " ",IF(INDEX($AD$2:$AU$1001,MATCH(ROWS($W$2:W682),$W$2:$W$1001,0),MATCH(COLUMNS($AD$1006:AH1006),$AD$1006:$AU$1006,0)), HYPERLINK("#",""), HYPERLINK(CONCATENATE("#metadata!", ADDRESS(INDEX($Y$2:$Y$1001,MATCH(ROWS($W$2:W682),$W$2:$W$1001,0),0), INDEX($AD$1004:$AU$1004,1,MATCH(COLUMNS($AD$1006:AH1006),$AD$1006:$AU$1006,0)))),"Fix")))</f>
        <v xml:space="preserve"> </v>
      </c>
      <c r="G682" s="4" t="str">
        <f ca="1">IF(OR(INDEX($X$2:$X$1001,MATCH(ROWS($W$2:W682),$W$2:$W$1001,0),1)&gt;=100000,INDEX($AD$1005:$AU$1005,1,MATCH(COLUMNS($AD$1006:AI1006),$AD$1006:$AU$1006,0))&gt;=100000), " ",IF(INDEX($AD$2:$AU$1001,MATCH(ROWS($W$2:W682),$W$2:$W$1001,0),MATCH(COLUMNS($AD$1006:AI1006),$AD$1006:$AU$1006,0)), HYPERLINK("#",""), HYPERLINK(CONCATENATE("#metadata!", ADDRESS(INDEX($Y$2:$Y$1001,MATCH(ROWS($W$2:W682),$W$2:$W$1001,0),0), INDEX($AD$1004:$AU$1004,1,MATCH(COLUMNS($AD$1006:AI1006),$AD$1006:$AU$1006,0)))),"Fix")))</f>
        <v xml:space="preserve"> </v>
      </c>
      <c r="H682" s="4" t="str">
        <f ca="1">IF(OR(INDEX($X$2:$X$1001,MATCH(ROWS($W$2:W682),$W$2:$W$1001,0),1)&gt;=100000,INDEX($AD$1005:$AU$1005,1,MATCH(COLUMNS($AD$1006:AJ1006),$AD$1006:$AU$1006,0))&gt;=100000), " ",IF(INDEX($AD$2:$AU$1001,MATCH(ROWS($W$2:W682),$W$2:$W$1001,0),MATCH(COLUMNS($AD$1006:AJ1006),$AD$1006:$AU$1006,0)), HYPERLINK("#",""), HYPERLINK(CONCATENATE("#metadata!", ADDRESS(INDEX($Y$2:$Y$1001,MATCH(ROWS($W$2:W682),$W$2:$W$1001,0),0), INDEX($AD$1004:$AU$1004,1,MATCH(COLUMNS($AD$1006:AJ1006),$AD$1006:$AU$1006,0)))),"Fix")))</f>
        <v xml:space="preserve"> </v>
      </c>
      <c r="I682" s="4" t="str">
        <f ca="1">IF(OR(INDEX($X$2:$X$1001,MATCH(ROWS($W$2:W682),$W$2:$W$1001,0),1)&gt;=100000,INDEX($AD$1005:$AU$1005,1,MATCH(COLUMNS($AD$1006:AK1006),$AD$1006:$AU$1006,0))&gt;=100000), " ",IF(INDEX($AD$2:$AU$1001,MATCH(ROWS($W$2:W682),$W$2:$W$1001,0),MATCH(COLUMNS($AD$1006:AK1006),$AD$1006:$AU$1006,0)), HYPERLINK("#",""), HYPERLINK(CONCATENATE("#metadata!", ADDRESS(INDEX($Y$2:$Y$1001,MATCH(ROWS($W$2:W682),$W$2:$W$1001,0),0), INDEX($AD$1004:$AU$1004,1,MATCH(COLUMNS($AD$1006:AK1006),$AD$1006:$AU$1006,0)))),"Fix")))</f>
        <v xml:space="preserve"> </v>
      </c>
      <c r="J682" s="4" t="str">
        <f ca="1">IF(OR(INDEX($X$2:$X$1001,MATCH(ROWS($W$2:W682),$W$2:$W$1001,0),1)&gt;=100000,INDEX($AD$1005:$AU$1005,1,MATCH(COLUMNS($AD$1006:AL1006),$AD$1006:$AU$1006,0))&gt;=100000), " ",IF(INDEX($AD$2:$AU$1001,MATCH(ROWS($W$2:W682),$W$2:$W$1001,0),MATCH(COLUMNS($AD$1006:AL1006),$AD$1006:$AU$1006,0)), HYPERLINK("#",""), HYPERLINK(CONCATENATE("#metadata!", ADDRESS(INDEX($Y$2:$Y$1001,MATCH(ROWS($W$2:W682),$W$2:$W$1001,0),0), INDEX($AD$1004:$AU$1004,1,MATCH(COLUMNS($AD$1006:AL1006),$AD$1006:$AU$1006,0)))),"Fix")))</f>
        <v xml:space="preserve"> </v>
      </c>
      <c r="K682" s="4" t="str">
        <f ca="1">IF(OR(INDEX($X$2:$X$1001,MATCH(ROWS($W$2:W682),$W$2:$W$1001,0),1)&gt;=100000,INDEX($AD$1005:$AU$1005,1,MATCH(COLUMNS($AD$1006:AM1006),$AD$1006:$AU$1006,0))&gt;=100000), " ",IF(INDEX($AD$2:$AU$1001,MATCH(ROWS($W$2:W682),$W$2:$W$1001,0),MATCH(COLUMNS($AD$1006:AM1006),$AD$1006:$AU$1006,0)), HYPERLINK("#",""), HYPERLINK(CONCATENATE("#metadata!", ADDRESS(INDEX($Y$2:$Y$1001,MATCH(ROWS($W$2:W682),$W$2:$W$1001,0),0), INDEX($AD$1004:$AU$1004,1,MATCH(COLUMNS($AD$1006:AM1006),$AD$1006:$AU$1006,0)))),"Fix")))</f>
        <v xml:space="preserve"> </v>
      </c>
      <c r="L682" s="4" t="str">
        <f ca="1">IF(OR(INDEX($X$2:$X$1001,MATCH(ROWS($W$2:W682),$W$2:$W$1001,0),1)&gt;=100000,INDEX($AD$1005:$AU$1005,1,MATCH(COLUMNS($AD$1006:AN1006),$AD$1006:$AU$1006,0))&gt;=100000), " ",IF(INDEX($AD$2:$AU$1001,MATCH(ROWS($W$2:W682),$W$2:$W$1001,0),MATCH(COLUMNS($AD$1006:AN1006),$AD$1006:$AU$1006,0)), HYPERLINK("#",""), HYPERLINK(CONCATENATE("#metadata!", ADDRESS(INDEX($Y$2:$Y$1001,MATCH(ROWS($W$2:W682),$W$2:$W$1001,0),0), INDEX($AD$1004:$AU$1004,1,MATCH(COLUMNS($AD$1006:AN1006),$AD$1006:$AU$1006,0)))),"Fix")))</f>
        <v xml:space="preserve"> </v>
      </c>
      <c r="M682" s="4" t="str">
        <f ca="1">IF(OR(INDEX($X$2:$X$1001,MATCH(ROWS($W$2:W682),$W$2:$W$1001,0),1)&gt;=100000,INDEX($AD$1005:$AU$1005,1,MATCH(COLUMNS($AD$1006:AO1006),$AD$1006:$AU$1006,0))&gt;=100000), " ",IF(INDEX($AD$2:$AU$1001,MATCH(ROWS($W$2:W682),$W$2:$W$1001,0),MATCH(COLUMNS($AD$1006:AO1006),$AD$1006:$AU$1006,0)), HYPERLINK("#",""), HYPERLINK(CONCATENATE("#metadata!", ADDRESS(INDEX($Y$2:$Y$1001,MATCH(ROWS($W$2:W682),$W$2:$W$1001,0),0), INDEX($AD$1004:$AU$1004,1,MATCH(COLUMNS($AD$1006:AO1006),$AD$1006:$AU$1006,0)))),"Fix")))</f>
        <v xml:space="preserve"> </v>
      </c>
      <c r="N682" s="4" t="str">
        <f ca="1">IF(OR(INDEX($X$2:$X$1001,MATCH(ROWS($W$2:W682),$W$2:$W$1001,0),1)&gt;=100000,INDEX($AD$1005:$AU$1005,1,MATCH(COLUMNS($AD$1006:AP1006),$AD$1006:$AU$1006,0))&gt;=100000), " ",IF(INDEX($AD$2:$AU$1001,MATCH(ROWS($W$2:W682),$W$2:$W$1001,0),MATCH(COLUMNS($AD$1006:AP1006),$AD$1006:$AU$1006,0)), HYPERLINK("#",""), HYPERLINK(CONCATENATE("#metadata!", ADDRESS(INDEX($Y$2:$Y$1001,MATCH(ROWS($W$2:W682),$W$2:$W$1001,0),0), INDEX($AD$1004:$AU$1004,1,MATCH(COLUMNS($AD$1006:AP1006),$AD$1006:$AU$1006,0)))),"Fix")))</f>
        <v xml:space="preserve"> </v>
      </c>
      <c r="O682" s="4" t="str">
        <f ca="1">IF(OR(INDEX($X$2:$X$1001,MATCH(ROWS($W$2:W682),$W$2:$W$1001,0),1)&gt;=100000,INDEX($AD$1005:$AU$1005,1,MATCH(COLUMNS($AD$1006:AQ1006),$AD$1006:$AU$1006,0))&gt;=100000), " ",IF(INDEX($AD$2:$AU$1001,MATCH(ROWS($W$2:W682),$W$2:$W$1001,0),MATCH(COLUMNS($AD$1006:AQ1006),$AD$1006:$AU$1006,0)), HYPERLINK("#",""), HYPERLINK(CONCATENATE("#metadata!", ADDRESS(INDEX($Y$2:$Y$1001,MATCH(ROWS($W$2:W682),$W$2:$W$1001,0),0), INDEX($AD$1004:$AU$1004,1,MATCH(COLUMNS($AD$1006:AQ1006),$AD$1006:$AU$1006,0)))),"Fix")))</f>
        <v xml:space="preserve"> </v>
      </c>
      <c r="P682" s="4" t="str">
        <f ca="1">IF(OR(INDEX($X$2:$X$1001,MATCH(ROWS($W$2:W682),$W$2:$W$1001,0),1)&gt;=100000,INDEX($AD$1005:$AU$1005,1,MATCH(COLUMNS($AD$1006:AR1006),$AD$1006:$AU$1006,0))&gt;=100000), " ",IF(INDEX($AD$2:$AU$1001,MATCH(ROWS($W$2:W682),$W$2:$W$1001,0),MATCH(COLUMNS($AD$1006:AR1006),$AD$1006:$AU$1006,0)), HYPERLINK("#",""), HYPERLINK(CONCATENATE("#metadata!", ADDRESS(INDEX($Y$2:$Y$1001,MATCH(ROWS($W$2:W682),$W$2:$W$1001,0),0), INDEX($AD$1004:$AU$1004,1,MATCH(COLUMNS($AD$1006:AR1006),$AD$1006:$AU$1006,0)))),"Fix")))</f>
        <v xml:space="preserve"> </v>
      </c>
      <c r="Q682" s="4" t="str">
        <f ca="1">IF(OR(INDEX($X$2:$X$1001,MATCH(ROWS($W$2:W682),$W$2:$W$1001,0),1)&gt;=100000,INDEX($AD$1005:$AU$1005,1,MATCH(COLUMNS($AD$1006:AS1006),$AD$1006:$AU$1006,0))&gt;=100000), " ",IF(INDEX($AD$2:$AU$1001,MATCH(ROWS($W$2:W682),$W$2:$W$1001,0),MATCH(COLUMNS($AD$1006:AS1006),$AD$1006:$AU$1006,0)), HYPERLINK("#",""), HYPERLINK(CONCATENATE("#metadata!", ADDRESS(INDEX($Y$2:$Y$1001,MATCH(ROWS($W$2:W682),$W$2:$W$1001,0),0), INDEX($AD$1004:$AU$1004,1,MATCH(COLUMNS($AD$1006:AS1006),$AD$1006:$AU$1006,0)))),"Fix")))</f>
        <v xml:space="preserve"> </v>
      </c>
      <c r="R682" s="4" t="str">
        <f ca="1">IF(OR(INDEX($X$2:$X$1001,MATCH(ROWS($W$2:W682),$W$2:$W$1001,0),1)&gt;=100000,INDEX($AD$1005:$AU$1005,1,MATCH(COLUMNS($AD$1006:AT1006),$AD$1006:$AU$1006,0))&gt;=100000), " ",IF(INDEX($AD$2:$AU$1001,MATCH(ROWS($W$2:W682),$W$2:$W$1001,0),MATCH(COLUMNS($AD$1006:AT1006),$AD$1006:$AU$1006,0)), HYPERLINK("#",""), HYPERLINK(CONCATENATE("#metadata!", ADDRESS(INDEX($Y$2:$Y$1001,MATCH(ROWS($W$2:W682),$W$2:$W$1001,0),0), INDEX($AD$1004:$AU$1004,1,MATCH(COLUMNS($AD$1006:AT1006),$AD$1006:$AU$1006,0)))),"Fix")))</f>
        <v xml:space="preserve"> </v>
      </c>
      <c r="S682" s="4" t="str">
        <f ca="1">IF(OR(INDEX($X$2:$X$1001,MATCH(ROWS($W$2:W682),$W$2:$W$1001,0),1)&gt;=100000,INDEX($AD$1005:$AU$1005,1,MATCH(COLUMNS($AD$1006:AU1006),$AD$1006:$AU$1006,0))&gt;=100000), " ",IF(INDEX($AD$2:$AU$1001,MATCH(ROWS($W$2:W682),$W$2:$W$1001,0),MATCH(COLUMNS($AD$1006:AU1006),$AD$1006:$AU$1006,0)), HYPERLINK("#",""), HYPERLINK(CONCATENATE("#metadata!", ADDRESS(INDEX($Y$2:$Y$1001,MATCH(ROWS($W$2:W682),$W$2:$W$1001,0),0), INDEX($AD$1004:$AU$1004,1,MATCH(COLUMNS($AD$1006:AU1006),$AD$1006:$AU$1006,0)))),"Fix")))</f>
        <v xml:space="preserve"> </v>
      </c>
      <c r="W682">
        <v>681</v>
      </c>
      <c r="X682">
        <v>100682</v>
      </c>
      <c r="Y682">
        <v>682</v>
      </c>
      <c r="Z682" t="b">
        <f t="shared" si="10"/>
        <v>1</v>
      </c>
      <c r="AA682" t="b">
        <f>COUNTBLANK(metadata!B682:S682)=COLUMNS(metadata!B682:S682)</f>
        <v>1</v>
      </c>
      <c r="AB682" t="str">
        <v/>
      </c>
      <c r="AD682" t="b">
        <f ca="1">AND(IF(metadata!B682="",FALSE,TRUE),COUNTIF(metadata!B:B, metadata!B682) = 1,NOT(ISERROR(SUMPRODUCT(SEARCH(MID(metadata!B682,ROW(INDIRECT("1:"&amp;LEN(metadata!B682))), 1),"0123456789abcdefghijklmnopqrstuvwxyzABCDEFGHIJKLMNOPQRSTUVWXYZ.")))))</f>
        <v>0</v>
      </c>
      <c r="AE682" t="b">
        <f>OR(AND(IF(metadata!C682="",FALSE,TRUE),OR(EXACT(metadata!C682,"not applicable"),EXACT(metadata!C682,"missing: not collected"),EXACT(metadata!C682,"missing: not provided"),EXACT(metadata!C682,"missing: restricted access"))),AND(IF(metadata!C682="",FALSE,ISNUMBER(VALUE(metadata!C682))),metadata!C682&gt;0))</f>
        <v>0</v>
      </c>
      <c r="AF682" t="b">
        <f>AND(IF(metadata!D682="",FALSE,TRUE),EXACT(metadata!D682,"missing: not provided"))</f>
        <v>0</v>
      </c>
      <c r="AG682" t="b">
        <f>AND(IF(metadata!E682="",FALSE,TRUE),EXACT(metadata!E682,"Host-associated"))</f>
        <v>0</v>
      </c>
      <c r="AH682" t="b">
        <f>AND(IF(metadata!F682="",FALSE,TRUE),OR(EXACT(metadata!F682,"Animal"),EXACT(metadata!F682,"Fungus"),EXACT(metadata!F682,"Plant")))</f>
        <v>0</v>
      </c>
      <c r="AI682" t="b">
        <f>AND(IF(metadata!G682="",FALSE,TRUE),OR(EXACT(metadata!G682,"Plant secretion"),EXACT(metadata!G682,"Plant rhizosphere"),EXACT(metadata!G682,"Plant surface"),EXACT(metadata!G682,"Plant corpus"),EXACT(metadata!G682,"Fungus surface"),EXACT(metadata!G682,"Fungus corpus"),EXACT(metadata!G682,"Animal surface"),EXACT(metadata!G682,"Animal proximal gut"),EXACT(metadata!G682,"Animal corpus"),EXACT(metadata!G682,"Animal distal gut"),EXACT(metadata!G682,"Animal secretion")))</f>
        <v>0</v>
      </c>
      <c r="AJ682" t="b">
        <f>OR(AND(IF(metadata!H682="",FALSE,TRUE),OR(EXACT(metadata!H682,"missing: not collected"),EXACT(metadata!H682,"missing: not provided"),EXACT(metadata!H682,"missing: restricted access"))),AND(IF(metadata!H682="",FALSE,TRUE),OR(EXACT(metadata!H682,"organism-associated habitat"),EXACT(metadata!H682,"plant-associated habitat"),EXACT(metadata!H682,"animal-associated habitat"),EXACT(metadata!H682,"insecta-associated habitat"),EXACT(metadata!H682,"mammalia-associated habitat"),EXACT(metadata!H682,"human-associated habitat"),EXACT(metadata!H682,"livestock-associated habitat"))))</f>
        <v>0</v>
      </c>
      <c r="AK682" t="b">
        <f>AND(IF(metadata!I682="",FALSE,TRUE),EXACT(metadata!I682,"host-associated"))</f>
        <v>0</v>
      </c>
      <c r="AL682" t="b">
        <f>OR(AND(IF(metadata!J682="",FALSE,TRUE),OR(EXACT(metadata!J682,"not applicable"),EXACT(metadata!J682,"missing: not collected"),EXACT(metadata!J682,"missing: not provided"),EXACT(metadata!J682,"missing: restricted access"))),AND(IF(metadata!J682="",FALSE,ISNUMBER(VALUE(metadata!J682))),metadata!J682&gt;0))</f>
        <v>0</v>
      </c>
      <c r="AM682" t="b">
        <f>AND(IF(metadata!K682="",FALSE,TRUE),EXACT(metadata!K682,"missing: not provided"))</f>
        <v>0</v>
      </c>
      <c r="AN682" t="b">
        <f>IF(metadata!L682="",FALSE,TRUE)</f>
        <v>0</v>
      </c>
      <c r="AO682" t="b">
        <f>IF(metadata!M682="",FALSE,TRUE)</f>
        <v>0</v>
      </c>
      <c r="AP682" t="b">
        <f>OR(AND(IF(metadata!N682="",FALSE,TRUE),OR(EXACT(metadata!N682,"not applicable"),EXACT(metadata!N682,"missing: not collected"),EXACT(metadata!N682,"missing: not provided"))),AND(IF(metadata!N682="",FALSE,IF(ISERROR(INT(metadata!N682)),FALSE,INT(metadata!N682)=metadata!N682)),metadata!N682&gt;0))</f>
        <v>0</v>
      </c>
      <c r="AQ682" t="b">
        <f>AND(IF(metadata!O682="",FALSE,TRUE),EXACT(metadata!O682,"Not applicable"))</f>
        <v>0</v>
      </c>
      <c r="AR682" t="b">
        <f>OR(AND(IF(metadata!P682="",FALSE,TRUE),OR(EXACT(metadata!P682,"not applicable"),EXACT(metadata!P682,"missing: not collected"),EXACT(metadata!P682,"missing: not provided"),EXACT(metadata!P682,"missing: restricted access"))),IF(metadata!P682="",FALSE,IF(ISERROR(INT(metadata!P682)),FALSE,INT(metadata!P682)=metadata!P682)))</f>
        <v>0</v>
      </c>
      <c r="AS682" t="b">
        <f>AND(IF(metadata!Q682="",FALSE,TRUE),EXACT(metadata!Q682,"Not applicable"))</f>
        <v>0</v>
      </c>
      <c r="AT682" t="b">
        <f>OR(AND(IF(metadata!R682="",FALSE,TRUE),OR(EXACT(metadata!R682,"not applicable"),EXACT(metadata!R682,"missing: not collected"),EXACT(metadata!R682,"missing: not provided"),EXACT(metadata!R682,"missing: restricted access"))),AND(IF(metadata!R682="",FALSE,ISNUMBER(VALUE(metadata!R682))),metadata!R682&gt;0))</f>
        <v>0</v>
      </c>
      <c r="AU682" t="b">
        <f>AND(IF(metadata!S682="",FALSE,TRUE),EXACT(metadata!S682,"missing: not provided"))</f>
        <v>0</v>
      </c>
    </row>
    <row r="683" spans="1:47" x14ac:dyDescent="0.2">
      <c r="A683" s="5" t="str">
        <f ca="1">IF(B683=" "," ",HYPERLINK(CONCATENATE("#metadata!",ADDRESS(INDEX($Y$2:$Y$1001,MATCH(ROWS($W$2:W683),$W$2:$W$1001,0),0),1)),INDEX($AB$2:$AB$1001,MATCH(ROWS($W$2:W683),$W$2:$W$1001,0),0)))</f>
        <v xml:space="preserve"> </v>
      </c>
      <c r="B683" s="4" t="str">
        <f ca="1">IF(OR(INDEX($X$2:$X$1001,MATCH(ROWS($W$2:W683),$W$2:$W$1001,0),1)&gt;=100000,INDEX($AD$1005:$AU$1005,1,MATCH(COLUMNS($AD$1006:AD1006),$AD$1006:$AU$1006,0))&gt;=100000), " ",IF(INDEX($AD$2:$AU$1001,MATCH(ROWS($W$2:W683),$W$2:$W$1001,0),MATCH(COLUMNS($AD$1006:AD1006),$AD$1006:$AU$1006,0)), HYPERLINK("#",""), HYPERLINK(CONCATENATE("#metadata!", ADDRESS(INDEX($Y$2:$Y$1001,MATCH(ROWS($W$2:W683),$W$2:$W$1001,0),0), INDEX($AD$1004:$AU$1004,1,MATCH(COLUMNS($AD$1006:AD1006),$AD$1006:$AU$1006,0)))),"Fix")))</f>
        <v xml:space="preserve"> </v>
      </c>
      <c r="C683" s="4" t="str">
        <f ca="1">IF(OR(INDEX($X$2:$X$1001,MATCH(ROWS($W$2:W683),$W$2:$W$1001,0),1)&gt;=100000,INDEX($AD$1005:$AU$1005,1,MATCH(COLUMNS($AD$1006:AE1006),$AD$1006:$AU$1006,0))&gt;=100000), " ",IF(INDEX($AD$2:$AU$1001,MATCH(ROWS($W$2:W683),$W$2:$W$1001,0),MATCH(COLUMNS($AD$1006:AE1006),$AD$1006:$AU$1006,0)), HYPERLINK("#",""), HYPERLINK(CONCATENATE("#metadata!", ADDRESS(INDEX($Y$2:$Y$1001,MATCH(ROWS($W$2:W683),$W$2:$W$1001,0),0), INDEX($AD$1004:$AU$1004,1,MATCH(COLUMNS($AD$1006:AE1006),$AD$1006:$AU$1006,0)))),"Fix")))</f>
        <v xml:space="preserve"> </v>
      </c>
      <c r="D683" s="4" t="str">
        <f ca="1">IF(OR(INDEX($X$2:$X$1001,MATCH(ROWS($W$2:W683),$W$2:$W$1001,0),1)&gt;=100000,INDEX($AD$1005:$AU$1005,1,MATCH(COLUMNS($AD$1006:AF1006),$AD$1006:$AU$1006,0))&gt;=100000), " ",IF(INDEX($AD$2:$AU$1001,MATCH(ROWS($W$2:W683),$W$2:$W$1001,0),MATCH(COLUMNS($AD$1006:AF1006),$AD$1006:$AU$1006,0)), HYPERLINK("#",""), HYPERLINK(CONCATENATE("#metadata!", ADDRESS(INDEX($Y$2:$Y$1001,MATCH(ROWS($W$2:W683),$W$2:$W$1001,0),0), INDEX($AD$1004:$AU$1004,1,MATCH(COLUMNS($AD$1006:AF1006),$AD$1006:$AU$1006,0)))),"Fix")))</f>
        <v xml:space="preserve"> </v>
      </c>
      <c r="E683" s="4" t="str">
        <f ca="1">IF(OR(INDEX($X$2:$X$1001,MATCH(ROWS($W$2:W683),$W$2:$W$1001,0),1)&gt;=100000,INDEX($AD$1005:$AU$1005,1,MATCH(COLUMNS($AD$1006:AG1006),$AD$1006:$AU$1006,0))&gt;=100000), " ",IF(INDEX($AD$2:$AU$1001,MATCH(ROWS($W$2:W683),$W$2:$W$1001,0),MATCH(COLUMNS($AD$1006:AG1006),$AD$1006:$AU$1006,0)), HYPERLINK("#",""), HYPERLINK(CONCATENATE("#metadata!", ADDRESS(INDEX($Y$2:$Y$1001,MATCH(ROWS($W$2:W683),$W$2:$W$1001,0),0), INDEX($AD$1004:$AU$1004,1,MATCH(COLUMNS($AD$1006:AG1006),$AD$1006:$AU$1006,0)))),"Fix")))</f>
        <v xml:space="preserve"> </v>
      </c>
      <c r="F683" s="4" t="str">
        <f ca="1">IF(OR(INDEX($X$2:$X$1001,MATCH(ROWS($W$2:W683),$W$2:$W$1001,0),1)&gt;=100000,INDEX($AD$1005:$AU$1005,1,MATCH(COLUMNS($AD$1006:AH1006),$AD$1006:$AU$1006,0))&gt;=100000), " ",IF(INDEX($AD$2:$AU$1001,MATCH(ROWS($W$2:W683),$W$2:$W$1001,0),MATCH(COLUMNS($AD$1006:AH1006),$AD$1006:$AU$1006,0)), HYPERLINK("#",""), HYPERLINK(CONCATENATE("#metadata!", ADDRESS(INDEX($Y$2:$Y$1001,MATCH(ROWS($W$2:W683),$W$2:$W$1001,0),0), INDEX($AD$1004:$AU$1004,1,MATCH(COLUMNS($AD$1006:AH1006),$AD$1006:$AU$1006,0)))),"Fix")))</f>
        <v xml:space="preserve"> </v>
      </c>
      <c r="G683" s="4" t="str">
        <f ca="1">IF(OR(INDEX($X$2:$X$1001,MATCH(ROWS($W$2:W683),$W$2:$W$1001,0),1)&gt;=100000,INDEX($AD$1005:$AU$1005,1,MATCH(COLUMNS($AD$1006:AI1006),$AD$1006:$AU$1006,0))&gt;=100000), " ",IF(INDEX($AD$2:$AU$1001,MATCH(ROWS($W$2:W683),$W$2:$W$1001,0),MATCH(COLUMNS($AD$1006:AI1006),$AD$1006:$AU$1006,0)), HYPERLINK("#",""), HYPERLINK(CONCATENATE("#metadata!", ADDRESS(INDEX($Y$2:$Y$1001,MATCH(ROWS($W$2:W683),$W$2:$W$1001,0),0), INDEX($AD$1004:$AU$1004,1,MATCH(COLUMNS($AD$1006:AI1006),$AD$1006:$AU$1006,0)))),"Fix")))</f>
        <v xml:space="preserve"> </v>
      </c>
      <c r="H683" s="4" t="str">
        <f ca="1">IF(OR(INDEX($X$2:$X$1001,MATCH(ROWS($W$2:W683),$W$2:$W$1001,0),1)&gt;=100000,INDEX($AD$1005:$AU$1005,1,MATCH(COLUMNS($AD$1006:AJ1006),$AD$1006:$AU$1006,0))&gt;=100000), " ",IF(INDEX($AD$2:$AU$1001,MATCH(ROWS($W$2:W683),$W$2:$W$1001,0),MATCH(COLUMNS($AD$1006:AJ1006),$AD$1006:$AU$1006,0)), HYPERLINK("#",""), HYPERLINK(CONCATENATE("#metadata!", ADDRESS(INDEX($Y$2:$Y$1001,MATCH(ROWS($W$2:W683),$W$2:$W$1001,0),0), INDEX($AD$1004:$AU$1004,1,MATCH(COLUMNS($AD$1006:AJ1006),$AD$1006:$AU$1006,0)))),"Fix")))</f>
        <v xml:space="preserve"> </v>
      </c>
      <c r="I683" s="4" t="str">
        <f ca="1">IF(OR(INDEX($X$2:$X$1001,MATCH(ROWS($W$2:W683),$W$2:$W$1001,0),1)&gt;=100000,INDEX($AD$1005:$AU$1005,1,MATCH(COLUMNS($AD$1006:AK1006),$AD$1006:$AU$1006,0))&gt;=100000), " ",IF(INDEX($AD$2:$AU$1001,MATCH(ROWS($W$2:W683),$W$2:$W$1001,0),MATCH(COLUMNS($AD$1006:AK1006),$AD$1006:$AU$1006,0)), HYPERLINK("#",""), HYPERLINK(CONCATENATE("#metadata!", ADDRESS(INDEX($Y$2:$Y$1001,MATCH(ROWS($W$2:W683),$W$2:$W$1001,0),0), INDEX($AD$1004:$AU$1004,1,MATCH(COLUMNS($AD$1006:AK1006),$AD$1006:$AU$1006,0)))),"Fix")))</f>
        <v xml:space="preserve"> </v>
      </c>
      <c r="J683" s="4" t="str">
        <f ca="1">IF(OR(INDEX($X$2:$X$1001,MATCH(ROWS($W$2:W683),$W$2:$W$1001,0),1)&gt;=100000,INDEX($AD$1005:$AU$1005,1,MATCH(COLUMNS($AD$1006:AL1006),$AD$1006:$AU$1006,0))&gt;=100000), " ",IF(INDEX($AD$2:$AU$1001,MATCH(ROWS($W$2:W683),$W$2:$W$1001,0),MATCH(COLUMNS($AD$1006:AL1006),$AD$1006:$AU$1006,0)), HYPERLINK("#",""), HYPERLINK(CONCATENATE("#metadata!", ADDRESS(INDEX($Y$2:$Y$1001,MATCH(ROWS($W$2:W683),$W$2:$W$1001,0),0), INDEX($AD$1004:$AU$1004,1,MATCH(COLUMNS($AD$1006:AL1006),$AD$1006:$AU$1006,0)))),"Fix")))</f>
        <v xml:space="preserve"> </v>
      </c>
      <c r="K683" s="4" t="str">
        <f ca="1">IF(OR(INDEX($X$2:$X$1001,MATCH(ROWS($W$2:W683),$W$2:$W$1001,0),1)&gt;=100000,INDEX($AD$1005:$AU$1005,1,MATCH(COLUMNS($AD$1006:AM1006),$AD$1006:$AU$1006,0))&gt;=100000), " ",IF(INDEX($AD$2:$AU$1001,MATCH(ROWS($W$2:W683),$W$2:$W$1001,0),MATCH(COLUMNS($AD$1006:AM1006),$AD$1006:$AU$1006,0)), HYPERLINK("#",""), HYPERLINK(CONCATENATE("#metadata!", ADDRESS(INDEX($Y$2:$Y$1001,MATCH(ROWS($W$2:W683),$W$2:$W$1001,0),0), INDEX($AD$1004:$AU$1004,1,MATCH(COLUMNS($AD$1006:AM1006),$AD$1006:$AU$1006,0)))),"Fix")))</f>
        <v xml:space="preserve"> </v>
      </c>
      <c r="L683" s="4" t="str">
        <f ca="1">IF(OR(INDEX($X$2:$X$1001,MATCH(ROWS($W$2:W683),$W$2:$W$1001,0),1)&gt;=100000,INDEX($AD$1005:$AU$1005,1,MATCH(COLUMNS($AD$1006:AN1006),$AD$1006:$AU$1006,0))&gt;=100000), " ",IF(INDEX($AD$2:$AU$1001,MATCH(ROWS($W$2:W683),$W$2:$W$1001,0),MATCH(COLUMNS($AD$1006:AN1006),$AD$1006:$AU$1006,0)), HYPERLINK("#",""), HYPERLINK(CONCATENATE("#metadata!", ADDRESS(INDEX($Y$2:$Y$1001,MATCH(ROWS($W$2:W683),$W$2:$W$1001,0),0), INDEX($AD$1004:$AU$1004,1,MATCH(COLUMNS($AD$1006:AN1006),$AD$1006:$AU$1006,0)))),"Fix")))</f>
        <v xml:space="preserve"> </v>
      </c>
      <c r="M683" s="4" t="str">
        <f ca="1">IF(OR(INDEX($X$2:$X$1001,MATCH(ROWS($W$2:W683),$W$2:$W$1001,0),1)&gt;=100000,INDEX($AD$1005:$AU$1005,1,MATCH(COLUMNS($AD$1006:AO1006),$AD$1006:$AU$1006,0))&gt;=100000), " ",IF(INDEX($AD$2:$AU$1001,MATCH(ROWS($W$2:W683),$W$2:$W$1001,0),MATCH(COLUMNS($AD$1006:AO1006),$AD$1006:$AU$1006,0)), HYPERLINK("#",""), HYPERLINK(CONCATENATE("#metadata!", ADDRESS(INDEX($Y$2:$Y$1001,MATCH(ROWS($W$2:W683),$W$2:$W$1001,0),0), INDEX($AD$1004:$AU$1004,1,MATCH(COLUMNS($AD$1006:AO1006),$AD$1006:$AU$1006,0)))),"Fix")))</f>
        <v xml:space="preserve"> </v>
      </c>
      <c r="N683" s="4" t="str">
        <f ca="1">IF(OR(INDEX($X$2:$X$1001,MATCH(ROWS($W$2:W683),$W$2:$W$1001,0),1)&gt;=100000,INDEX($AD$1005:$AU$1005,1,MATCH(COLUMNS($AD$1006:AP1006),$AD$1006:$AU$1006,0))&gt;=100000), " ",IF(INDEX($AD$2:$AU$1001,MATCH(ROWS($W$2:W683),$W$2:$W$1001,0),MATCH(COLUMNS($AD$1006:AP1006),$AD$1006:$AU$1006,0)), HYPERLINK("#",""), HYPERLINK(CONCATENATE("#metadata!", ADDRESS(INDEX($Y$2:$Y$1001,MATCH(ROWS($W$2:W683),$W$2:$W$1001,0),0), INDEX($AD$1004:$AU$1004,1,MATCH(COLUMNS($AD$1006:AP1006),$AD$1006:$AU$1006,0)))),"Fix")))</f>
        <v xml:space="preserve"> </v>
      </c>
      <c r="O683" s="4" t="str">
        <f ca="1">IF(OR(INDEX($X$2:$X$1001,MATCH(ROWS($W$2:W683),$W$2:$W$1001,0),1)&gt;=100000,INDEX($AD$1005:$AU$1005,1,MATCH(COLUMNS($AD$1006:AQ1006),$AD$1006:$AU$1006,0))&gt;=100000), " ",IF(INDEX($AD$2:$AU$1001,MATCH(ROWS($W$2:W683),$W$2:$W$1001,0),MATCH(COLUMNS($AD$1006:AQ1006),$AD$1006:$AU$1006,0)), HYPERLINK("#",""), HYPERLINK(CONCATENATE("#metadata!", ADDRESS(INDEX($Y$2:$Y$1001,MATCH(ROWS($W$2:W683),$W$2:$W$1001,0),0), INDEX($AD$1004:$AU$1004,1,MATCH(COLUMNS($AD$1006:AQ1006),$AD$1006:$AU$1006,0)))),"Fix")))</f>
        <v xml:space="preserve"> </v>
      </c>
      <c r="P683" s="4" t="str">
        <f ca="1">IF(OR(INDEX($X$2:$X$1001,MATCH(ROWS($W$2:W683),$W$2:$W$1001,0),1)&gt;=100000,INDEX($AD$1005:$AU$1005,1,MATCH(COLUMNS($AD$1006:AR1006),$AD$1006:$AU$1006,0))&gt;=100000), " ",IF(INDEX($AD$2:$AU$1001,MATCH(ROWS($W$2:W683),$W$2:$W$1001,0),MATCH(COLUMNS($AD$1006:AR1006),$AD$1006:$AU$1006,0)), HYPERLINK("#",""), HYPERLINK(CONCATENATE("#metadata!", ADDRESS(INDEX($Y$2:$Y$1001,MATCH(ROWS($W$2:W683),$W$2:$W$1001,0),0), INDEX($AD$1004:$AU$1004,1,MATCH(COLUMNS($AD$1006:AR1006),$AD$1006:$AU$1006,0)))),"Fix")))</f>
        <v xml:space="preserve"> </v>
      </c>
      <c r="Q683" s="4" t="str">
        <f ca="1">IF(OR(INDEX($X$2:$X$1001,MATCH(ROWS($W$2:W683),$W$2:$W$1001,0),1)&gt;=100000,INDEX($AD$1005:$AU$1005,1,MATCH(COLUMNS($AD$1006:AS1006),$AD$1006:$AU$1006,0))&gt;=100000), " ",IF(INDEX($AD$2:$AU$1001,MATCH(ROWS($W$2:W683),$W$2:$W$1001,0),MATCH(COLUMNS($AD$1006:AS1006),$AD$1006:$AU$1006,0)), HYPERLINK("#",""), HYPERLINK(CONCATENATE("#metadata!", ADDRESS(INDEX($Y$2:$Y$1001,MATCH(ROWS($W$2:W683),$W$2:$W$1001,0),0), INDEX($AD$1004:$AU$1004,1,MATCH(COLUMNS($AD$1006:AS1006),$AD$1006:$AU$1006,0)))),"Fix")))</f>
        <v xml:space="preserve"> </v>
      </c>
      <c r="R683" s="4" t="str">
        <f ca="1">IF(OR(INDEX($X$2:$X$1001,MATCH(ROWS($W$2:W683),$W$2:$W$1001,0),1)&gt;=100000,INDEX($AD$1005:$AU$1005,1,MATCH(COLUMNS($AD$1006:AT1006),$AD$1006:$AU$1006,0))&gt;=100000), " ",IF(INDEX($AD$2:$AU$1001,MATCH(ROWS($W$2:W683),$W$2:$W$1001,0),MATCH(COLUMNS($AD$1006:AT1006),$AD$1006:$AU$1006,0)), HYPERLINK("#",""), HYPERLINK(CONCATENATE("#metadata!", ADDRESS(INDEX($Y$2:$Y$1001,MATCH(ROWS($W$2:W683),$W$2:$W$1001,0),0), INDEX($AD$1004:$AU$1004,1,MATCH(COLUMNS($AD$1006:AT1006),$AD$1006:$AU$1006,0)))),"Fix")))</f>
        <v xml:space="preserve"> </v>
      </c>
      <c r="S683" s="4" t="str">
        <f ca="1">IF(OR(INDEX($X$2:$X$1001,MATCH(ROWS($W$2:W683),$W$2:$W$1001,0),1)&gt;=100000,INDEX($AD$1005:$AU$1005,1,MATCH(COLUMNS($AD$1006:AU1006),$AD$1006:$AU$1006,0))&gt;=100000), " ",IF(INDEX($AD$2:$AU$1001,MATCH(ROWS($W$2:W683),$W$2:$W$1001,0),MATCH(COLUMNS($AD$1006:AU1006),$AD$1006:$AU$1006,0)), HYPERLINK("#",""), HYPERLINK(CONCATENATE("#metadata!", ADDRESS(INDEX($Y$2:$Y$1001,MATCH(ROWS($W$2:W683),$W$2:$W$1001,0),0), INDEX($AD$1004:$AU$1004,1,MATCH(COLUMNS($AD$1006:AU1006),$AD$1006:$AU$1006,0)))),"Fix")))</f>
        <v xml:space="preserve"> </v>
      </c>
      <c r="W683">
        <v>682</v>
      </c>
      <c r="X683">
        <v>100683</v>
      </c>
      <c r="Y683">
        <v>683</v>
      </c>
      <c r="Z683" t="b">
        <f t="shared" si="10"/>
        <v>1</v>
      </c>
      <c r="AA683" t="b">
        <f>COUNTBLANK(metadata!B683:S683)=COLUMNS(metadata!B683:S683)</f>
        <v>1</v>
      </c>
      <c r="AB683" t="str">
        <v/>
      </c>
      <c r="AD683" t="b">
        <f ca="1">AND(IF(metadata!B683="",FALSE,TRUE),COUNTIF(metadata!B:B, metadata!B683) = 1,NOT(ISERROR(SUMPRODUCT(SEARCH(MID(metadata!B683,ROW(INDIRECT("1:"&amp;LEN(metadata!B683))), 1),"0123456789abcdefghijklmnopqrstuvwxyzABCDEFGHIJKLMNOPQRSTUVWXYZ.")))))</f>
        <v>0</v>
      </c>
      <c r="AE683" t="b">
        <f>OR(AND(IF(metadata!C683="",FALSE,TRUE),OR(EXACT(metadata!C683,"not applicable"),EXACT(metadata!C683,"missing: not collected"),EXACT(metadata!C683,"missing: not provided"),EXACT(metadata!C683,"missing: restricted access"))),AND(IF(metadata!C683="",FALSE,ISNUMBER(VALUE(metadata!C683))),metadata!C683&gt;0))</f>
        <v>0</v>
      </c>
      <c r="AF683" t="b">
        <f>AND(IF(metadata!D683="",FALSE,TRUE),EXACT(metadata!D683,"missing: not provided"))</f>
        <v>0</v>
      </c>
      <c r="AG683" t="b">
        <f>AND(IF(metadata!E683="",FALSE,TRUE),EXACT(metadata!E683,"Host-associated"))</f>
        <v>0</v>
      </c>
      <c r="AH683" t="b">
        <f>AND(IF(metadata!F683="",FALSE,TRUE),OR(EXACT(metadata!F683,"Animal"),EXACT(metadata!F683,"Fungus"),EXACT(metadata!F683,"Plant")))</f>
        <v>0</v>
      </c>
      <c r="AI683" t="b">
        <f>AND(IF(metadata!G683="",FALSE,TRUE),OR(EXACT(metadata!G683,"Plant secretion"),EXACT(metadata!G683,"Plant rhizosphere"),EXACT(metadata!G683,"Plant surface"),EXACT(metadata!G683,"Plant corpus"),EXACT(metadata!G683,"Fungus surface"),EXACT(metadata!G683,"Fungus corpus"),EXACT(metadata!G683,"Animal surface"),EXACT(metadata!G683,"Animal proximal gut"),EXACT(metadata!G683,"Animal corpus"),EXACT(metadata!G683,"Animal distal gut"),EXACT(metadata!G683,"Animal secretion")))</f>
        <v>0</v>
      </c>
      <c r="AJ683" t="b">
        <f>OR(AND(IF(metadata!H683="",FALSE,TRUE),OR(EXACT(metadata!H683,"missing: not collected"),EXACT(metadata!H683,"missing: not provided"),EXACT(metadata!H683,"missing: restricted access"))),AND(IF(metadata!H683="",FALSE,TRUE),OR(EXACT(metadata!H683,"organism-associated habitat"),EXACT(metadata!H683,"plant-associated habitat"),EXACT(metadata!H683,"animal-associated habitat"),EXACT(metadata!H683,"insecta-associated habitat"),EXACT(metadata!H683,"mammalia-associated habitat"),EXACT(metadata!H683,"human-associated habitat"),EXACT(metadata!H683,"livestock-associated habitat"))))</f>
        <v>0</v>
      </c>
      <c r="AK683" t="b">
        <f>AND(IF(metadata!I683="",FALSE,TRUE),EXACT(metadata!I683,"host-associated"))</f>
        <v>0</v>
      </c>
      <c r="AL683" t="b">
        <f>OR(AND(IF(metadata!J683="",FALSE,TRUE),OR(EXACT(metadata!J683,"not applicable"),EXACT(metadata!J683,"missing: not collected"),EXACT(metadata!J683,"missing: not provided"),EXACT(metadata!J683,"missing: restricted access"))),AND(IF(metadata!J683="",FALSE,ISNUMBER(VALUE(metadata!J683))),metadata!J683&gt;0))</f>
        <v>0</v>
      </c>
      <c r="AM683" t="b">
        <f>AND(IF(metadata!K683="",FALSE,TRUE),EXACT(metadata!K683,"missing: not provided"))</f>
        <v>0</v>
      </c>
      <c r="AN683" t="b">
        <f>IF(metadata!L683="",FALSE,TRUE)</f>
        <v>0</v>
      </c>
      <c r="AO683" t="b">
        <f>IF(metadata!M683="",FALSE,TRUE)</f>
        <v>0</v>
      </c>
      <c r="AP683" t="b">
        <f>OR(AND(IF(metadata!N683="",FALSE,TRUE),OR(EXACT(metadata!N683,"not applicable"),EXACT(metadata!N683,"missing: not collected"),EXACT(metadata!N683,"missing: not provided"))),AND(IF(metadata!N683="",FALSE,IF(ISERROR(INT(metadata!N683)),FALSE,INT(metadata!N683)=metadata!N683)),metadata!N683&gt;0))</f>
        <v>0</v>
      </c>
      <c r="AQ683" t="b">
        <f>AND(IF(metadata!O683="",FALSE,TRUE),EXACT(metadata!O683,"Not applicable"))</f>
        <v>0</v>
      </c>
      <c r="AR683" t="b">
        <f>OR(AND(IF(metadata!P683="",FALSE,TRUE),OR(EXACT(metadata!P683,"not applicable"),EXACT(metadata!P683,"missing: not collected"),EXACT(metadata!P683,"missing: not provided"),EXACT(metadata!P683,"missing: restricted access"))),IF(metadata!P683="",FALSE,IF(ISERROR(INT(metadata!P683)),FALSE,INT(metadata!P683)=metadata!P683)))</f>
        <v>0</v>
      </c>
      <c r="AS683" t="b">
        <f>AND(IF(metadata!Q683="",FALSE,TRUE),EXACT(metadata!Q683,"Not applicable"))</f>
        <v>0</v>
      </c>
      <c r="AT683" t="b">
        <f>OR(AND(IF(metadata!R683="",FALSE,TRUE),OR(EXACT(metadata!R683,"not applicable"),EXACT(metadata!R683,"missing: not collected"),EXACT(metadata!R683,"missing: not provided"),EXACT(metadata!R683,"missing: restricted access"))),AND(IF(metadata!R683="",FALSE,ISNUMBER(VALUE(metadata!R683))),metadata!R683&gt;0))</f>
        <v>0</v>
      </c>
      <c r="AU683" t="b">
        <f>AND(IF(metadata!S683="",FALSE,TRUE),EXACT(metadata!S683,"missing: not provided"))</f>
        <v>0</v>
      </c>
    </row>
    <row r="684" spans="1:47" x14ac:dyDescent="0.2">
      <c r="A684" s="5" t="str">
        <f ca="1">IF(B684=" "," ",HYPERLINK(CONCATENATE("#metadata!",ADDRESS(INDEX($Y$2:$Y$1001,MATCH(ROWS($W$2:W684),$W$2:$W$1001,0),0),1)),INDEX($AB$2:$AB$1001,MATCH(ROWS($W$2:W684),$W$2:$W$1001,0),0)))</f>
        <v xml:space="preserve"> </v>
      </c>
      <c r="B684" s="4" t="str">
        <f ca="1">IF(OR(INDEX($X$2:$X$1001,MATCH(ROWS($W$2:W684),$W$2:$W$1001,0),1)&gt;=100000,INDEX($AD$1005:$AU$1005,1,MATCH(COLUMNS($AD$1006:AD1006),$AD$1006:$AU$1006,0))&gt;=100000), " ",IF(INDEX($AD$2:$AU$1001,MATCH(ROWS($W$2:W684),$W$2:$W$1001,0),MATCH(COLUMNS($AD$1006:AD1006),$AD$1006:$AU$1006,0)), HYPERLINK("#",""), HYPERLINK(CONCATENATE("#metadata!", ADDRESS(INDEX($Y$2:$Y$1001,MATCH(ROWS($W$2:W684),$W$2:$W$1001,0),0), INDEX($AD$1004:$AU$1004,1,MATCH(COLUMNS($AD$1006:AD1006),$AD$1006:$AU$1006,0)))),"Fix")))</f>
        <v xml:space="preserve"> </v>
      </c>
      <c r="C684" s="4" t="str">
        <f ca="1">IF(OR(INDEX($X$2:$X$1001,MATCH(ROWS($W$2:W684),$W$2:$W$1001,0),1)&gt;=100000,INDEX($AD$1005:$AU$1005,1,MATCH(COLUMNS($AD$1006:AE1006),$AD$1006:$AU$1006,0))&gt;=100000), " ",IF(INDEX($AD$2:$AU$1001,MATCH(ROWS($W$2:W684),$W$2:$W$1001,0),MATCH(COLUMNS($AD$1006:AE1006),$AD$1006:$AU$1006,0)), HYPERLINK("#",""), HYPERLINK(CONCATENATE("#metadata!", ADDRESS(INDEX($Y$2:$Y$1001,MATCH(ROWS($W$2:W684),$W$2:$W$1001,0),0), INDEX($AD$1004:$AU$1004,1,MATCH(COLUMNS($AD$1006:AE1006),$AD$1006:$AU$1006,0)))),"Fix")))</f>
        <v xml:space="preserve"> </v>
      </c>
      <c r="D684" s="4" t="str">
        <f ca="1">IF(OR(INDEX($X$2:$X$1001,MATCH(ROWS($W$2:W684),$W$2:$W$1001,0),1)&gt;=100000,INDEX($AD$1005:$AU$1005,1,MATCH(COLUMNS($AD$1006:AF1006),$AD$1006:$AU$1006,0))&gt;=100000), " ",IF(INDEX($AD$2:$AU$1001,MATCH(ROWS($W$2:W684),$W$2:$W$1001,0),MATCH(COLUMNS($AD$1006:AF1006),$AD$1006:$AU$1006,0)), HYPERLINK("#",""), HYPERLINK(CONCATENATE("#metadata!", ADDRESS(INDEX($Y$2:$Y$1001,MATCH(ROWS($W$2:W684),$W$2:$W$1001,0),0), INDEX($AD$1004:$AU$1004,1,MATCH(COLUMNS($AD$1006:AF1006),$AD$1006:$AU$1006,0)))),"Fix")))</f>
        <v xml:space="preserve"> </v>
      </c>
      <c r="E684" s="4" t="str">
        <f ca="1">IF(OR(INDEX($X$2:$X$1001,MATCH(ROWS($W$2:W684),$W$2:$W$1001,0),1)&gt;=100000,INDEX($AD$1005:$AU$1005,1,MATCH(COLUMNS($AD$1006:AG1006),$AD$1006:$AU$1006,0))&gt;=100000), " ",IF(INDEX($AD$2:$AU$1001,MATCH(ROWS($W$2:W684),$W$2:$W$1001,0),MATCH(COLUMNS($AD$1006:AG1006),$AD$1006:$AU$1006,0)), HYPERLINK("#",""), HYPERLINK(CONCATENATE("#metadata!", ADDRESS(INDEX($Y$2:$Y$1001,MATCH(ROWS($W$2:W684),$W$2:$W$1001,0),0), INDEX($AD$1004:$AU$1004,1,MATCH(COLUMNS($AD$1006:AG1006),$AD$1006:$AU$1006,0)))),"Fix")))</f>
        <v xml:space="preserve"> </v>
      </c>
      <c r="F684" s="4" t="str">
        <f ca="1">IF(OR(INDEX($X$2:$X$1001,MATCH(ROWS($W$2:W684),$W$2:$W$1001,0),1)&gt;=100000,INDEX($AD$1005:$AU$1005,1,MATCH(COLUMNS($AD$1006:AH1006),$AD$1006:$AU$1006,0))&gt;=100000), " ",IF(INDEX($AD$2:$AU$1001,MATCH(ROWS($W$2:W684),$W$2:$W$1001,0),MATCH(COLUMNS($AD$1006:AH1006),$AD$1006:$AU$1006,0)), HYPERLINK("#",""), HYPERLINK(CONCATENATE("#metadata!", ADDRESS(INDEX($Y$2:$Y$1001,MATCH(ROWS($W$2:W684),$W$2:$W$1001,0),0), INDEX($AD$1004:$AU$1004,1,MATCH(COLUMNS($AD$1006:AH1006),$AD$1006:$AU$1006,0)))),"Fix")))</f>
        <v xml:space="preserve"> </v>
      </c>
      <c r="G684" s="4" t="str">
        <f ca="1">IF(OR(INDEX($X$2:$X$1001,MATCH(ROWS($W$2:W684),$W$2:$W$1001,0),1)&gt;=100000,INDEX($AD$1005:$AU$1005,1,MATCH(COLUMNS($AD$1006:AI1006),$AD$1006:$AU$1006,0))&gt;=100000), " ",IF(INDEX($AD$2:$AU$1001,MATCH(ROWS($W$2:W684),$W$2:$W$1001,0),MATCH(COLUMNS($AD$1006:AI1006),$AD$1006:$AU$1006,0)), HYPERLINK("#",""), HYPERLINK(CONCATENATE("#metadata!", ADDRESS(INDEX($Y$2:$Y$1001,MATCH(ROWS($W$2:W684),$W$2:$W$1001,0),0), INDEX($AD$1004:$AU$1004,1,MATCH(COLUMNS($AD$1006:AI1006),$AD$1006:$AU$1006,0)))),"Fix")))</f>
        <v xml:space="preserve"> </v>
      </c>
      <c r="H684" s="4" t="str">
        <f ca="1">IF(OR(INDEX($X$2:$X$1001,MATCH(ROWS($W$2:W684),$W$2:$W$1001,0),1)&gt;=100000,INDEX($AD$1005:$AU$1005,1,MATCH(COLUMNS($AD$1006:AJ1006),$AD$1006:$AU$1006,0))&gt;=100000), " ",IF(INDEX($AD$2:$AU$1001,MATCH(ROWS($W$2:W684),$W$2:$W$1001,0),MATCH(COLUMNS($AD$1006:AJ1006),$AD$1006:$AU$1006,0)), HYPERLINK("#",""), HYPERLINK(CONCATENATE("#metadata!", ADDRESS(INDEX($Y$2:$Y$1001,MATCH(ROWS($W$2:W684),$W$2:$W$1001,0),0), INDEX($AD$1004:$AU$1004,1,MATCH(COLUMNS($AD$1006:AJ1006),$AD$1006:$AU$1006,0)))),"Fix")))</f>
        <v xml:space="preserve"> </v>
      </c>
      <c r="I684" s="4" t="str">
        <f ca="1">IF(OR(INDEX($X$2:$X$1001,MATCH(ROWS($W$2:W684),$W$2:$W$1001,0),1)&gt;=100000,INDEX($AD$1005:$AU$1005,1,MATCH(COLUMNS($AD$1006:AK1006),$AD$1006:$AU$1006,0))&gt;=100000), " ",IF(INDEX($AD$2:$AU$1001,MATCH(ROWS($W$2:W684),$W$2:$W$1001,0),MATCH(COLUMNS($AD$1006:AK1006),$AD$1006:$AU$1006,0)), HYPERLINK("#",""), HYPERLINK(CONCATENATE("#metadata!", ADDRESS(INDEX($Y$2:$Y$1001,MATCH(ROWS($W$2:W684),$W$2:$W$1001,0),0), INDEX($AD$1004:$AU$1004,1,MATCH(COLUMNS($AD$1006:AK1006),$AD$1006:$AU$1006,0)))),"Fix")))</f>
        <v xml:space="preserve"> </v>
      </c>
      <c r="J684" s="4" t="str">
        <f ca="1">IF(OR(INDEX($X$2:$X$1001,MATCH(ROWS($W$2:W684),$W$2:$W$1001,0),1)&gt;=100000,INDEX($AD$1005:$AU$1005,1,MATCH(COLUMNS($AD$1006:AL1006),$AD$1006:$AU$1006,0))&gt;=100000), " ",IF(INDEX($AD$2:$AU$1001,MATCH(ROWS($W$2:W684),$W$2:$W$1001,0),MATCH(COLUMNS($AD$1006:AL1006),$AD$1006:$AU$1006,0)), HYPERLINK("#",""), HYPERLINK(CONCATENATE("#metadata!", ADDRESS(INDEX($Y$2:$Y$1001,MATCH(ROWS($W$2:W684),$W$2:$W$1001,0),0), INDEX($AD$1004:$AU$1004,1,MATCH(COLUMNS($AD$1006:AL1006),$AD$1006:$AU$1006,0)))),"Fix")))</f>
        <v xml:space="preserve"> </v>
      </c>
      <c r="K684" s="4" t="str">
        <f ca="1">IF(OR(INDEX($X$2:$X$1001,MATCH(ROWS($W$2:W684),$W$2:$W$1001,0),1)&gt;=100000,INDEX($AD$1005:$AU$1005,1,MATCH(COLUMNS($AD$1006:AM1006),$AD$1006:$AU$1006,0))&gt;=100000), " ",IF(INDEX($AD$2:$AU$1001,MATCH(ROWS($W$2:W684),$W$2:$W$1001,0),MATCH(COLUMNS($AD$1006:AM1006),$AD$1006:$AU$1006,0)), HYPERLINK("#",""), HYPERLINK(CONCATENATE("#metadata!", ADDRESS(INDEX($Y$2:$Y$1001,MATCH(ROWS($W$2:W684),$W$2:$W$1001,0),0), INDEX($AD$1004:$AU$1004,1,MATCH(COLUMNS($AD$1006:AM1006),$AD$1006:$AU$1006,0)))),"Fix")))</f>
        <v xml:space="preserve"> </v>
      </c>
      <c r="L684" s="4" t="str">
        <f ca="1">IF(OR(INDEX($X$2:$X$1001,MATCH(ROWS($W$2:W684),$W$2:$W$1001,0),1)&gt;=100000,INDEX($AD$1005:$AU$1005,1,MATCH(COLUMNS($AD$1006:AN1006),$AD$1006:$AU$1006,0))&gt;=100000), " ",IF(INDEX($AD$2:$AU$1001,MATCH(ROWS($W$2:W684),$W$2:$W$1001,0),MATCH(COLUMNS($AD$1006:AN1006),$AD$1006:$AU$1006,0)), HYPERLINK("#",""), HYPERLINK(CONCATENATE("#metadata!", ADDRESS(INDEX($Y$2:$Y$1001,MATCH(ROWS($W$2:W684),$W$2:$W$1001,0),0), INDEX($AD$1004:$AU$1004,1,MATCH(COLUMNS($AD$1006:AN1006),$AD$1006:$AU$1006,0)))),"Fix")))</f>
        <v xml:space="preserve"> </v>
      </c>
      <c r="M684" s="4" t="str">
        <f ca="1">IF(OR(INDEX($X$2:$X$1001,MATCH(ROWS($W$2:W684),$W$2:$W$1001,0),1)&gt;=100000,INDEX($AD$1005:$AU$1005,1,MATCH(COLUMNS($AD$1006:AO1006),$AD$1006:$AU$1006,0))&gt;=100000), " ",IF(INDEX($AD$2:$AU$1001,MATCH(ROWS($W$2:W684),$W$2:$W$1001,0),MATCH(COLUMNS($AD$1006:AO1006),$AD$1006:$AU$1006,0)), HYPERLINK("#",""), HYPERLINK(CONCATENATE("#metadata!", ADDRESS(INDEX($Y$2:$Y$1001,MATCH(ROWS($W$2:W684),$W$2:$W$1001,0),0), INDEX($AD$1004:$AU$1004,1,MATCH(COLUMNS($AD$1006:AO1006),$AD$1006:$AU$1006,0)))),"Fix")))</f>
        <v xml:space="preserve"> </v>
      </c>
      <c r="N684" s="4" t="str">
        <f ca="1">IF(OR(INDEX($X$2:$X$1001,MATCH(ROWS($W$2:W684),$W$2:$W$1001,0),1)&gt;=100000,INDEX($AD$1005:$AU$1005,1,MATCH(COLUMNS($AD$1006:AP1006),$AD$1006:$AU$1006,0))&gt;=100000), " ",IF(INDEX($AD$2:$AU$1001,MATCH(ROWS($W$2:W684),$W$2:$W$1001,0),MATCH(COLUMNS($AD$1006:AP1006),$AD$1006:$AU$1006,0)), HYPERLINK("#",""), HYPERLINK(CONCATENATE("#metadata!", ADDRESS(INDEX($Y$2:$Y$1001,MATCH(ROWS($W$2:W684),$W$2:$W$1001,0),0), INDEX($AD$1004:$AU$1004,1,MATCH(COLUMNS($AD$1006:AP1006),$AD$1006:$AU$1006,0)))),"Fix")))</f>
        <v xml:space="preserve"> </v>
      </c>
      <c r="O684" s="4" t="str">
        <f ca="1">IF(OR(INDEX($X$2:$X$1001,MATCH(ROWS($W$2:W684),$W$2:$W$1001,0),1)&gt;=100000,INDEX($AD$1005:$AU$1005,1,MATCH(COLUMNS($AD$1006:AQ1006),$AD$1006:$AU$1006,0))&gt;=100000), " ",IF(INDEX($AD$2:$AU$1001,MATCH(ROWS($W$2:W684),$W$2:$W$1001,0),MATCH(COLUMNS($AD$1006:AQ1006),$AD$1006:$AU$1006,0)), HYPERLINK("#",""), HYPERLINK(CONCATENATE("#metadata!", ADDRESS(INDEX($Y$2:$Y$1001,MATCH(ROWS($W$2:W684),$W$2:$W$1001,0),0), INDEX($AD$1004:$AU$1004,1,MATCH(COLUMNS($AD$1006:AQ1006),$AD$1006:$AU$1006,0)))),"Fix")))</f>
        <v xml:space="preserve"> </v>
      </c>
      <c r="P684" s="4" t="str">
        <f ca="1">IF(OR(INDEX($X$2:$X$1001,MATCH(ROWS($W$2:W684),$W$2:$W$1001,0),1)&gt;=100000,INDEX($AD$1005:$AU$1005,1,MATCH(COLUMNS($AD$1006:AR1006),$AD$1006:$AU$1006,0))&gt;=100000), " ",IF(INDEX($AD$2:$AU$1001,MATCH(ROWS($W$2:W684),$W$2:$W$1001,0),MATCH(COLUMNS($AD$1006:AR1006),$AD$1006:$AU$1006,0)), HYPERLINK("#",""), HYPERLINK(CONCATENATE("#metadata!", ADDRESS(INDEX($Y$2:$Y$1001,MATCH(ROWS($W$2:W684),$W$2:$W$1001,0),0), INDEX($AD$1004:$AU$1004,1,MATCH(COLUMNS($AD$1006:AR1006),$AD$1006:$AU$1006,0)))),"Fix")))</f>
        <v xml:space="preserve"> </v>
      </c>
      <c r="Q684" s="4" t="str">
        <f ca="1">IF(OR(INDEX($X$2:$X$1001,MATCH(ROWS($W$2:W684),$W$2:$W$1001,0),1)&gt;=100000,INDEX($AD$1005:$AU$1005,1,MATCH(COLUMNS($AD$1006:AS1006),$AD$1006:$AU$1006,0))&gt;=100000), " ",IF(INDEX($AD$2:$AU$1001,MATCH(ROWS($W$2:W684),$W$2:$W$1001,0),MATCH(COLUMNS($AD$1006:AS1006),$AD$1006:$AU$1006,0)), HYPERLINK("#",""), HYPERLINK(CONCATENATE("#metadata!", ADDRESS(INDEX($Y$2:$Y$1001,MATCH(ROWS($W$2:W684),$W$2:$W$1001,0),0), INDEX($AD$1004:$AU$1004,1,MATCH(COLUMNS($AD$1006:AS1006),$AD$1006:$AU$1006,0)))),"Fix")))</f>
        <v xml:space="preserve"> </v>
      </c>
      <c r="R684" s="4" t="str">
        <f ca="1">IF(OR(INDEX($X$2:$X$1001,MATCH(ROWS($W$2:W684),$W$2:$W$1001,0),1)&gt;=100000,INDEX($AD$1005:$AU$1005,1,MATCH(COLUMNS($AD$1006:AT1006),$AD$1006:$AU$1006,0))&gt;=100000), " ",IF(INDEX($AD$2:$AU$1001,MATCH(ROWS($W$2:W684),$W$2:$W$1001,0),MATCH(COLUMNS($AD$1006:AT1006),$AD$1006:$AU$1006,0)), HYPERLINK("#",""), HYPERLINK(CONCATENATE("#metadata!", ADDRESS(INDEX($Y$2:$Y$1001,MATCH(ROWS($W$2:W684),$W$2:$W$1001,0),0), INDEX($AD$1004:$AU$1004,1,MATCH(COLUMNS($AD$1006:AT1006),$AD$1006:$AU$1006,0)))),"Fix")))</f>
        <v xml:space="preserve"> </v>
      </c>
      <c r="S684" s="4" t="str">
        <f ca="1">IF(OR(INDEX($X$2:$X$1001,MATCH(ROWS($W$2:W684),$W$2:$W$1001,0),1)&gt;=100000,INDEX($AD$1005:$AU$1005,1,MATCH(COLUMNS($AD$1006:AU1006),$AD$1006:$AU$1006,0))&gt;=100000), " ",IF(INDEX($AD$2:$AU$1001,MATCH(ROWS($W$2:W684),$W$2:$W$1001,0),MATCH(COLUMNS($AD$1006:AU1006),$AD$1006:$AU$1006,0)), HYPERLINK("#",""), HYPERLINK(CONCATENATE("#metadata!", ADDRESS(INDEX($Y$2:$Y$1001,MATCH(ROWS($W$2:W684),$W$2:$W$1001,0),0), INDEX($AD$1004:$AU$1004,1,MATCH(COLUMNS($AD$1006:AU1006),$AD$1006:$AU$1006,0)))),"Fix")))</f>
        <v xml:space="preserve"> </v>
      </c>
      <c r="W684">
        <v>683</v>
      </c>
      <c r="X684">
        <v>100684</v>
      </c>
      <c r="Y684">
        <v>684</v>
      </c>
      <c r="Z684" t="b">
        <f t="shared" si="10"/>
        <v>1</v>
      </c>
      <c r="AA684" t="b">
        <f>COUNTBLANK(metadata!B684:S684)=COLUMNS(metadata!B684:S684)</f>
        <v>1</v>
      </c>
      <c r="AB684" t="str">
        <v/>
      </c>
      <c r="AD684" t="b">
        <f ca="1">AND(IF(metadata!B684="",FALSE,TRUE),COUNTIF(metadata!B:B, metadata!B684) = 1,NOT(ISERROR(SUMPRODUCT(SEARCH(MID(metadata!B684,ROW(INDIRECT("1:"&amp;LEN(metadata!B684))), 1),"0123456789abcdefghijklmnopqrstuvwxyzABCDEFGHIJKLMNOPQRSTUVWXYZ.")))))</f>
        <v>0</v>
      </c>
      <c r="AE684" t="b">
        <f>OR(AND(IF(metadata!C684="",FALSE,TRUE),OR(EXACT(metadata!C684,"not applicable"),EXACT(metadata!C684,"missing: not collected"),EXACT(metadata!C684,"missing: not provided"),EXACT(metadata!C684,"missing: restricted access"))),AND(IF(metadata!C684="",FALSE,ISNUMBER(VALUE(metadata!C684))),metadata!C684&gt;0))</f>
        <v>0</v>
      </c>
      <c r="AF684" t="b">
        <f>AND(IF(metadata!D684="",FALSE,TRUE),EXACT(metadata!D684,"missing: not provided"))</f>
        <v>0</v>
      </c>
      <c r="AG684" t="b">
        <f>AND(IF(metadata!E684="",FALSE,TRUE),EXACT(metadata!E684,"Host-associated"))</f>
        <v>0</v>
      </c>
      <c r="AH684" t="b">
        <f>AND(IF(metadata!F684="",FALSE,TRUE),OR(EXACT(metadata!F684,"Animal"),EXACT(metadata!F684,"Fungus"),EXACT(metadata!F684,"Plant")))</f>
        <v>0</v>
      </c>
      <c r="AI684" t="b">
        <f>AND(IF(metadata!G684="",FALSE,TRUE),OR(EXACT(metadata!G684,"Plant secretion"),EXACT(metadata!G684,"Plant rhizosphere"),EXACT(metadata!G684,"Plant surface"),EXACT(metadata!G684,"Plant corpus"),EXACT(metadata!G684,"Fungus surface"),EXACT(metadata!G684,"Fungus corpus"),EXACT(metadata!G684,"Animal surface"),EXACT(metadata!G684,"Animal proximal gut"),EXACT(metadata!G684,"Animal corpus"),EXACT(metadata!G684,"Animal distal gut"),EXACT(metadata!G684,"Animal secretion")))</f>
        <v>0</v>
      </c>
      <c r="AJ684" t="b">
        <f>OR(AND(IF(metadata!H684="",FALSE,TRUE),OR(EXACT(metadata!H684,"missing: not collected"),EXACT(metadata!H684,"missing: not provided"),EXACT(metadata!H684,"missing: restricted access"))),AND(IF(metadata!H684="",FALSE,TRUE),OR(EXACT(metadata!H684,"organism-associated habitat"),EXACT(metadata!H684,"plant-associated habitat"),EXACT(metadata!H684,"animal-associated habitat"),EXACT(metadata!H684,"insecta-associated habitat"),EXACT(metadata!H684,"mammalia-associated habitat"),EXACT(metadata!H684,"human-associated habitat"),EXACT(metadata!H684,"livestock-associated habitat"))))</f>
        <v>0</v>
      </c>
      <c r="AK684" t="b">
        <f>AND(IF(metadata!I684="",FALSE,TRUE),EXACT(metadata!I684,"host-associated"))</f>
        <v>0</v>
      </c>
      <c r="AL684" t="b">
        <f>OR(AND(IF(metadata!J684="",FALSE,TRUE),OR(EXACT(metadata!J684,"not applicable"),EXACT(metadata!J684,"missing: not collected"),EXACT(metadata!J684,"missing: not provided"),EXACT(metadata!J684,"missing: restricted access"))),AND(IF(metadata!J684="",FALSE,ISNUMBER(VALUE(metadata!J684))),metadata!J684&gt;0))</f>
        <v>0</v>
      </c>
      <c r="AM684" t="b">
        <f>AND(IF(metadata!K684="",FALSE,TRUE),EXACT(metadata!K684,"missing: not provided"))</f>
        <v>0</v>
      </c>
      <c r="AN684" t="b">
        <f>IF(metadata!L684="",FALSE,TRUE)</f>
        <v>0</v>
      </c>
      <c r="AO684" t="b">
        <f>IF(metadata!M684="",FALSE,TRUE)</f>
        <v>0</v>
      </c>
      <c r="AP684" t="b">
        <f>OR(AND(IF(metadata!N684="",FALSE,TRUE),OR(EXACT(metadata!N684,"not applicable"),EXACT(metadata!N684,"missing: not collected"),EXACT(metadata!N684,"missing: not provided"))),AND(IF(metadata!N684="",FALSE,IF(ISERROR(INT(metadata!N684)),FALSE,INT(metadata!N684)=metadata!N684)),metadata!N684&gt;0))</f>
        <v>0</v>
      </c>
      <c r="AQ684" t="b">
        <f>AND(IF(metadata!O684="",FALSE,TRUE),EXACT(metadata!O684,"Not applicable"))</f>
        <v>0</v>
      </c>
      <c r="AR684" t="b">
        <f>OR(AND(IF(metadata!P684="",FALSE,TRUE),OR(EXACT(metadata!P684,"not applicable"),EXACT(metadata!P684,"missing: not collected"),EXACT(metadata!P684,"missing: not provided"),EXACT(metadata!P684,"missing: restricted access"))),IF(metadata!P684="",FALSE,IF(ISERROR(INT(metadata!P684)),FALSE,INT(metadata!P684)=metadata!P684)))</f>
        <v>0</v>
      </c>
      <c r="AS684" t="b">
        <f>AND(IF(metadata!Q684="",FALSE,TRUE),EXACT(metadata!Q684,"Not applicable"))</f>
        <v>0</v>
      </c>
      <c r="AT684" t="b">
        <f>OR(AND(IF(metadata!R684="",FALSE,TRUE),OR(EXACT(metadata!R684,"not applicable"),EXACT(metadata!R684,"missing: not collected"),EXACT(metadata!R684,"missing: not provided"),EXACT(metadata!R684,"missing: restricted access"))),AND(IF(metadata!R684="",FALSE,ISNUMBER(VALUE(metadata!R684))),metadata!R684&gt;0))</f>
        <v>0</v>
      </c>
      <c r="AU684" t="b">
        <f>AND(IF(metadata!S684="",FALSE,TRUE),EXACT(metadata!S684,"missing: not provided"))</f>
        <v>0</v>
      </c>
    </row>
    <row r="685" spans="1:47" x14ac:dyDescent="0.2">
      <c r="A685" s="5" t="str">
        <f ca="1">IF(B685=" "," ",HYPERLINK(CONCATENATE("#metadata!",ADDRESS(INDEX($Y$2:$Y$1001,MATCH(ROWS($W$2:W685),$W$2:$W$1001,0),0),1)),INDEX($AB$2:$AB$1001,MATCH(ROWS($W$2:W685),$W$2:$W$1001,0),0)))</f>
        <v xml:space="preserve"> </v>
      </c>
      <c r="B685" s="4" t="str">
        <f ca="1">IF(OR(INDEX($X$2:$X$1001,MATCH(ROWS($W$2:W685),$W$2:$W$1001,0),1)&gt;=100000,INDEX($AD$1005:$AU$1005,1,MATCH(COLUMNS($AD$1006:AD1006),$AD$1006:$AU$1006,0))&gt;=100000), " ",IF(INDEX($AD$2:$AU$1001,MATCH(ROWS($W$2:W685),$W$2:$W$1001,0),MATCH(COLUMNS($AD$1006:AD1006),$AD$1006:$AU$1006,0)), HYPERLINK("#",""), HYPERLINK(CONCATENATE("#metadata!", ADDRESS(INDEX($Y$2:$Y$1001,MATCH(ROWS($W$2:W685),$W$2:$W$1001,0),0), INDEX($AD$1004:$AU$1004,1,MATCH(COLUMNS($AD$1006:AD1006),$AD$1006:$AU$1006,0)))),"Fix")))</f>
        <v xml:space="preserve"> </v>
      </c>
      <c r="C685" s="4" t="str">
        <f ca="1">IF(OR(INDEX($X$2:$X$1001,MATCH(ROWS($W$2:W685),$W$2:$W$1001,0),1)&gt;=100000,INDEX($AD$1005:$AU$1005,1,MATCH(COLUMNS($AD$1006:AE1006),$AD$1006:$AU$1006,0))&gt;=100000), " ",IF(INDEX($AD$2:$AU$1001,MATCH(ROWS($W$2:W685),$W$2:$W$1001,0),MATCH(COLUMNS($AD$1006:AE1006),$AD$1006:$AU$1006,0)), HYPERLINK("#",""), HYPERLINK(CONCATENATE("#metadata!", ADDRESS(INDEX($Y$2:$Y$1001,MATCH(ROWS($W$2:W685),$W$2:$W$1001,0),0), INDEX($AD$1004:$AU$1004,1,MATCH(COLUMNS($AD$1006:AE1006),$AD$1006:$AU$1006,0)))),"Fix")))</f>
        <v xml:space="preserve"> </v>
      </c>
      <c r="D685" s="4" t="str">
        <f ca="1">IF(OR(INDEX($X$2:$X$1001,MATCH(ROWS($W$2:W685),$W$2:$W$1001,0),1)&gt;=100000,INDEX($AD$1005:$AU$1005,1,MATCH(COLUMNS($AD$1006:AF1006),$AD$1006:$AU$1006,0))&gt;=100000), " ",IF(INDEX($AD$2:$AU$1001,MATCH(ROWS($W$2:W685),$W$2:$W$1001,0),MATCH(COLUMNS($AD$1006:AF1006),$AD$1006:$AU$1006,0)), HYPERLINK("#",""), HYPERLINK(CONCATENATE("#metadata!", ADDRESS(INDEX($Y$2:$Y$1001,MATCH(ROWS($W$2:W685),$W$2:$W$1001,0),0), INDEX($AD$1004:$AU$1004,1,MATCH(COLUMNS($AD$1006:AF1006),$AD$1006:$AU$1006,0)))),"Fix")))</f>
        <v xml:space="preserve"> </v>
      </c>
      <c r="E685" s="4" t="str">
        <f ca="1">IF(OR(INDEX($X$2:$X$1001,MATCH(ROWS($W$2:W685),$W$2:$W$1001,0),1)&gt;=100000,INDEX($AD$1005:$AU$1005,1,MATCH(COLUMNS($AD$1006:AG1006),$AD$1006:$AU$1006,0))&gt;=100000), " ",IF(INDEX($AD$2:$AU$1001,MATCH(ROWS($W$2:W685),$W$2:$W$1001,0),MATCH(COLUMNS($AD$1006:AG1006),$AD$1006:$AU$1006,0)), HYPERLINK("#",""), HYPERLINK(CONCATENATE("#metadata!", ADDRESS(INDEX($Y$2:$Y$1001,MATCH(ROWS($W$2:W685),$W$2:$W$1001,0),0), INDEX($AD$1004:$AU$1004,1,MATCH(COLUMNS($AD$1006:AG1006),$AD$1006:$AU$1006,0)))),"Fix")))</f>
        <v xml:space="preserve"> </v>
      </c>
      <c r="F685" s="4" t="str">
        <f ca="1">IF(OR(INDEX($X$2:$X$1001,MATCH(ROWS($W$2:W685),$W$2:$W$1001,0),1)&gt;=100000,INDEX($AD$1005:$AU$1005,1,MATCH(COLUMNS($AD$1006:AH1006),$AD$1006:$AU$1006,0))&gt;=100000), " ",IF(INDEX($AD$2:$AU$1001,MATCH(ROWS($W$2:W685),$W$2:$W$1001,0),MATCH(COLUMNS($AD$1006:AH1006),$AD$1006:$AU$1006,0)), HYPERLINK("#",""), HYPERLINK(CONCATENATE("#metadata!", ADDRESS(INDEX($Y$2:$Y$1001,MATCH(ROWS($W$2:W685),$W$2:$W$1001,0),0), INDEX($AD$1004:$AU$1004,1,MATCH(COLUMNS($AD$1006:AH1006),$AD$1006:$AU$1006,0)))),"Fix")))</f>
        <v xml:space="preserve"> </v>
      </c>
      <c r="G685" s="4" t="str">
        <f ca="1">IF(OR(INDEX($X$2:$X$1001,MATCH(ROWS($W$2:W685),$W$2:$W$1001,0),1)&gt;=100000,INDEX($AD$1005:$AU$1005,1,MATCH(COLUMNS($AD$1006:AI1006),$AD$1006:$AU$1006,0))&gt;=100000), " ",IF(INDEX($AD$2:$AU$1001,MATCH(ROWS($W$2:W685),$W$2:$W$1001,0),MATCH(COLUMNS($AD$1006:AI1006),$AD$1006:$AU$1006,0)), HYPERLINK("#",""), HYPERLINK(CONCATENATE("#metadata!", ADDRESS(INDEX($Y$2:$Y$1001,MATCH(ROWS($W$2:W685),$W$2:$W$1001,0),0), INDEX($AD$1004:$AU$1004,1,MATCH(COLUMNS($AD$1006:AI1006),$AD$1006:$AU$1006,0)))),"Fix")))</f>
        <v xml:space="preserve"> </v>
      </c>
      <c r="H685" s="4" t="str">
        <f ca="1">IF(OR(INDEX($X$2:$X$1001,MATCH(ROWS($W$2:W685),$W$2:$W$1001,0),1)&gt;=100000,INDEX($AD$1005:$AU$1005,1,MATCH(COLUMNS($AD$1006:AJ1006),$AD$1006:$AU$1006,0))&gt;=100000), " ",IF(INDEX($AD$2:$AU$1001,MATCH(ROWS($W$2:W685),$W$2:$W$1001,0),MATCH(COLUMNS($AD$1006:AJ1006),$AD$1006:$AU$1006,0)), HYPERLINK("#",""), HYPERLINK(CONCATENATE("#metadata!", ADDRESS(INDEX($Y$2:$Y$1001,MATCH(ROWS($W$2:W685),$W$2:$W$1001,0),0), INDEX($AD$1004:$AU$1004,1,MATCH(COLUMNS($AD$1006:AJ1006),$AD$1006:$AU$1006,0)))),"Fix")))</f>
        <v xml:space="preserve"> </v>
      </c>
      <c r="I685" s="4" t="str">
        <f ca="1">IF(OR(INDEX($X$2:$X$1001,MATCH(ROWS($W$2:W685),$W$2:$W$1001,0),1)&gt;=100000,INDEX($AD$1005:$AU$1005,1,MATCH(COLUMNS($AD$1006:AK1006),$AD$1006:$AU$1006,0))&gt;=100000), " ",IF(INDEX($AD$2:$AU$1001,MATCH(ROWS($W$2:W685),$W$2:$W$1001,0),MATCH(COLUMNS($AD$1006:AK1006),$AD$1006:$AU$1006,0)), HYPERLINK("#",""), HYPERLINK(CONCATENATE("#metadata!", ADDRESS(INDEX($Y$2:$Y$1001,MATCH(ROWS($W$2:W685),$W$2:$W$1001,0),0), INDEX($AD$1004:$AU$1004,1,MATCH(COLUMNS($AD$1006:AK1006),$AD$1006:$AU$1006,0)))),"Fix")))</f>
        <v xml:space="preserve"> </v>
      </c>
      <c r="J685" s="4" t="str">
        <f ca="1">IF(OR(INDEX($X$2:$X$1001,MATCH(ROWS($W$2:W685),$W$2:$W$1001,0),1)&gt;=100000,INDEX($AD$1005:$AU$1005,1,MATCH(COLUMNS($AD$1006:AL1006),$AD$1006:$AU$1006,0))&gt;=100000), " ",IF(INDEX($AD$2:$AU$1001,MATCH(ROWS($W$2:W685),$W$2:$W$1001,0),MATCH(COLUMNS($AD$1006:AL1006),$AD$1006:$AU$1006,0)), HYPERLINK("#",""), HYPERLINK(CONCATENATE("#metadata!", ADDRESS(INDEX($Y$2:$Y$1001,MATCH(ROWS($W$2:W685),$W$2:$W$1001,0),0), INDEX($AD$1004:$AU$1004,1,MATCH(COLUMNS($AD$1006:AL1006),$AD$1006:$AU$1006,0)))),"Fix")))</f>
        <v xml:space="preserve"> </v>
      </c>
      <c r="K685" s="4" t="str">
        <f ca="1">IF(OR(INDEX($X$2:$X$1001,MATCH(ROWS($W$2:W685),$W$2:$W$1001,0),1)&gt;=100000,INDEX($AD$1005:$AU$1005,1,MATCH(COLUMNS($AD$1006:AM1006),$AD$1006:$AU$1006,0))&gt;=100000), " ",IF(INDEX($AD$2:$AU$1001,MATCH(ROWS($W$2:W685),$W$2:$W$1001,0),MATCH(COLUMNS($AD$1006:AM1006),$AD$1006:$AU$1006,0)), HYPERLINK("#",""), HYPERLINK(CONCATENATE("#metadata!", ADDRESS(INDEX($Y$2:$Y$1001,MATCH(ROWS($W$2:W685),$W$2:$W$1001,0),0), INDEX($AD$1004:$AU$1004,1,MATCH(COLUMNS($AD$1006:AM1006),$AD$1006:$AU$1006,0)))),"Fix")))</f>
        <v xml:space="preserve"> </v>
      </c>
      <c r="L685" s="4" t="str">
        <f ca="1">IF(OR(INDEX($X$2:$X$1001,MATCH(ROWS($W$2:W685),$W$2:$W$1001,0),1)&gt;=100000,INDEX($AD$1005:$AU$1005,1,MATCH(COLUMNS($AD$1006:AN1006),$AD$1006:$AU$1006,0))&gt;=100000), " ",IF(INDEX($AD$2:$AU$1001,MATCH(ROWS($W$2:W685),$W$2:$W$1001,0),MATCH(COLUMNS($AD$1006:AN1006),$AD$1006:$AU$1006,0)), HYPERLINK("#",""), HYPERLINK(CONCATENATE("#metadata!", ADDRESS(INDEX($Y$2:$Y$1001,MATCH(ROWS($W$2:W685),$W$2:$W$1001,0),0), INDEX($AD$1004:$AU$1004,1,MATCH(COLUMNS($AD$1006:AN1006),$AD$1006:$AU$1006,0)))),"Fix")))</f>
        <v xml:space="preserve"> </v>
      </c>
      <c r="M685" s="4" t="str">
        <f ca="1">IF(OR(INDEX($X$2:$X$1001,MATCH(ROWS($W$2:W685),$W$2:$W$1001,0),1)&gt;=100000,INDEX($AD$1005:$AU$1005,1,MATCH(COLUMNS($AD$1006:AO1006),$AD$1006:$AU$1006,0))&gt;=100000), " ",IF(INDEX($AD$2:$AU$1001,MATCH(ROWS($W$2:W685),$W$2:$W$1001,0),MATCH(COLUMNS($AD$1006:AO1006),$AD$1006:$AU$1006,0)), HYPERLINK("#",""), HYPERLINK(CONCATENATE("#metadata!", ADDRESS(INDEX($Y$2:$Y$1001,MATCH(ROWS($W$2:W685),$W$2:$W$1001,0),0), INDEX($AD$1004:$AU$1004,1,MATCH(COLUMNS($AD$1006:AO1006),$AD$1006:$AU$1006,0)))),"Fix")))</f>
        <v xml:space="preserve"> </v>
      </c>
      <c r="N685" s="4" t="str">
        <f ca="1">IF(OR(INDEX($X$2:$X$1001,MATCH(ROWS($W$2:W685),$W$2:$W$1001,0),1)&gt;=100000,INDEX($AD$1005:$AU$1005,1,MATCH(COLUMNS($AD$1006:AP1006),$AD$1006:$AU$1006,0))&gt;=100000), " ",IF(INDEX($AD$2:$AU$1001,MATCH(ROWS($W$2:W685),$W$2:$W$1001,0),MATCH(COLUMNS($AD$1006:AP1006),$AD$1006:$AU$1006,0)), HYPERLINK("#",""), HYPERLINK(CONCATENATE("#metadata!", ADDRESS(INDEX($Y$2:$Y$1001,MATCH(ROWS($W$2:W685),$W$2:$W$1001,0),0), INDEX($AD$1004:$AU$1004,1,MATCH(COLUMNS($AD$1006:AP1006),$AD$1006:$AU$1006,0)))),"Fix")))</f>
        <v xml:space="preserve"> </v>
      </c>
      <c r="O685" s="4" t="str">
        <f ca="1">IF(OR(INDEX($X$2:$X$1001,MATCH(ROWS($W$2:W685),$W$2:$W$1001,0),1)&gt;=100000,INDEX($AD$1005:$AU$1005,1,MATCH(COLUMNS($AD$1006:AQ1006),$AD$1006:$AU$1006,0))&gt;=100000), " ",IF(INDEX($AD$2:$AU$1001,MATCH(ROWS($W$2:W685),$W$2:$W$1001,0),MATCH(COLUMNS($AD$1006:AQ1006),$AD$1006:$AU$1006,0)), HYPERLINK("#",""), HYPERLINK(CONCATENATE("#metadata!", ADDRESS(INDEX($Y$2:$Y$1001,MATCH(ROWS($W$2:W685),$W$2:$W$1001,0),0), INDEX($AD$1004:$AU$1004,1,MATCH(COLUMNS($AD$1006:AQ1006),$AD$1006:$AU$1006,0)))),"Fix")))</f>
        <v xml:space="preserve"> </v>
      </c>
      <c r="P685" s="4" t="str">
        <f ca="1">IF(OR(INDEX($X$2:$X$1001,MATCH(ROWS($W$2:W685),$W$2:$W$1001,0),1)&gt;=100000,INDEX($AD$1005:$AU$1005,1,MATCH(COLUMNS($AD$1006:AR1006),$AD$1006:$AU$1006,0))&gt;=100000), " ",IF(INDEX($AD$2:$AU$1001,MATCH(ROWS($W$2:W685),$W$2:$W$1001,0),MATCH(COLUMNS($AD$1006:AR1006),$AD$1006:$AU$1006,0)), HYPERLINK("#",""), HYPERLINK(CONCATENATE("#metadata!", ADDRESS(INDEX($Y$2:$Y$1001,MATCH(ROWS($W$2:W685),$W$2:$W$1001,0),0), INDEX($AD$1004:$AU$1004,1,MATCH(COLUMNS($AD$1006:AR1006),$AD$1006:$AU$1006,0)))),"Fix")))</f>
        <v xml:space="preserve"> </v>
      </c>
      <c r="Q685" s="4" t="str">
        <f ca="1">IF(OR(INDEX($X$2:$X$1001,MATCH(ROWS($W$2:W685),$W$2:$W$1001,0),1)&gt;=100000,INDEX($AD$1005:$AU$1005,1,MATCH(COLUMNS($AD$1006:AS1006),$AD$1006:$AU$1006,0))&gt;=100000), " ",IF(INDEX($AD$2:$AU$1001,MATCH(ROWS($W$2:W685),$W$2:$W$1001,0),MATCH(COLUMNS($AD$1006:AS1006),$AD$1006:$AU$1006,0)), HYPERLINK("#",""), HYPERLINK(CONCATENATE("#metadata!", ADDRESS(INDEX($Y$2:$Y$1001,MATCH(ROWS($W$2:W685),$W$2:$W$1001,0),0), INDEX($AD$1004:$AU$1004,1,MATCH(COLUMNS($AD$1006:AS1006),$AD$1006:$AU$1006,0)))),"Fix")))</f>
        <v xml:space="preserve"> </v>
      </c>
      <c r="R685" s="4" t="str">
        <f ca="1">IF(OR(INDEX($X$2:$X$1001,MATCH(ROWS($W$2:W685),$W$2:$W$1001,0),1)&gt;=100000,INDEX($AD$1005:$AU$1005,1,MATCH(COLUMNS($AD$1006:AT1006),$AD$1006:$AU$1006,0))&gt;=100000), " ",IF(INDEX($AD$2:$AU$1001,MATCH(ROWS($W$2:W685),$W$2:$W$1001,0),MATCH(COLUMNS($AD$1006:AT1006),$AD$1006:$AU$1006,0)), HYPERLINK("#",""), HYPERLINK(CONCATENATE("#metadata!", ADDRESS(INDEX($Y$2:$Y$1001,MATCH(ROWS($W$2:W685),$W$2:$W$1001,0),0), INDEX($AD$1004:$AU$1004,1,MATCH(COLUMNS($AD$1006:AT1006),$AD$1006:$AU$1006,0)))),"Fix")))</f>
        <v xml:space="preserve"> </v>
      </c>
      <c r="S685" s="4" t="str">
        <f ca="1">IF(OR(INDEX($X$2:$X$1001,MATCH(ROWS($W$2:W685),$W$2:$W$1001,0),1)&gt;=100000,INDEX($AD$1005:$AU$1005,1,MATCH(COLUMNS($AD$1006:AU1006),$AD$1006:$AU$1006,0))&gt;=100000), " ",IF(INDEX($AD$2:$AU$1001,MATCH(ROWS($W$2:W685),$W$2:$W$1001,0),MATCH(COLUMNS($AD$1006:AU1006),$AD$1006:$AU$1006,0)), HYPERLINK("#",""), HYPERLINK(CONCATENATE("#metadata!", ADDRESS(INDEX($Y$2:$Y$1001,MATCH(ROWS($W$2:W685),$W$2:$W$1001,0),0), INDEX($AD$1004:$AU$1004,1,MATCH(COLUMNS($AD$1006:AU1006),$AD$1006:$AU$1006,0)))),"Fix")))</f>
        <v xml:space="preserve"> </v>
      </c>
      <c r="W685">
        <v>684</v>
      </c>
      <c r="X685">
        <v>100685</v>
      </c>
      <c r="Y685">
        <v>685</v>
      </c>
      <c r="Z685" t="b">
        <f t="shared" si="10"/>
        <v>1</v>
      </c>
      <c r="AA685" t="b">
        <f>COUNTBLANK(metadata!B685:S685)=COLUMNS(metadata!B685:S685)</f>
        <v>1</v>
      </c>
      <c r="AB685" t="str">
        <v/>
      </c>
      <c r="AD685" t="b">
        <f ca="1">AND(IF(metadata!B685="",FALSE,TRUE),COUNTIF(metadata!B:B, metadata!B685) = 1,NOT(ISERROR(SUMPRODUCT(SEARCH(MID(metadata!B685,ROW(INDIRECT("1:"&amp;LEN(metadata!B685))), 1),"0123456789abcdefghijklmnopqrstuvwxyzABCDEFGHIJKLMNOPQRSTUVWXYZ.")))))</f>
        <v>0</v>
      </c>
      <c r="AE685" t="b">
        <f>OR(AND(IF(metadata!C685="",FALSE,TRUE),OR(EXACT(metadata!C685,"not applicable"),EXACT(metadata!C685,"missing: not collected"),EXACT(metadata!C685,"missing: not provided"),EXACT(metadata!C685,"missing: restricted access"))),AND(IF(metadata!C685="",FALSE,ISNUMBER(VALUE(metadata!C685))),metadata!C685&gt;0))</f>
        <v>0</v>
      </c>
      <c r="AF685" t="b">
        <f>AND(IF(metadata!D685="",FALSE,TRUE),EXACT(metadata!D685,"missing: not provided"))</f>
        <v>0</v>
      </c>
      <c r="AG685" t="b">
        <f>AND(IF(metadata!E685="",FALSE,TRUE),EXACT(metadata!E685,"Host-associated"))</f>
        <v>0</v>
      </c>
      <c r="AH685" t="b">
        <f>AND(IF(metadata!F685="",FALSE,TRUE),OR(EXACT(metadata!F685,"Animal"),EXACT(metadata!F685,"Fungus"),EXACT(metadata!F685,"Plant")))</f>
        <v>0</v>
      </c>
      <c r="AI685" t="b">
        <f>AND(IF(metadata!G685="",FALSE,TRUE),OR(EXACT(metadata!G685,"Plant secretion"),EXACT(metadata!G685,"Plant rhizosphere"),EXACT(metadata!G685,"Plant surface"),EXACT(metadata!G685,"Plant corpus"),EXACT(metadata!G685,"Fungus surface"),EXACT(metadata!G685,"Fungus corpus"),EXACT(metadata!G685,"Animal surface"),EXACT(metadata!G685,"Animal proximal gut"),EXACT(metadata!G685,"Animal corpus"),EXACT(metadata!G685,"Animal distal gut"),EXACT(metadata!G685,"Animal secretion")))</f>
        <v>0</v>
      </c>
      <c r="AJ685" t="b">
        <f>OR(AND(IF(metadata!H685="",FALSE,TRUE),OR(EXACT(metadata!H685,"missing: not collected"),EXACT(metadata!H685,"missing: not provided"),EXACT(metadata!H685,"missing: restricted access"))),AND(IF(metadata!H685="",FALSE,TRUE),OR(EXACT(metadata!H685,"organism-associated habitat"),EXACT(metadata!H685,"plant-associated habitat"),EXACT(metadata!H685,"animal-associated habitat"),EXACT(metadata!H685,"insecta-associated habitat"),EXACT(metadata!H685,"mammalia-associated habitat"),EXACT(metadata!H685,"human-associated habitat"),EXACT(metadata!H685,"livestock-associated habitat"))))</f>
        <v>0</v>
      </c>
      <c r="AK685" t="b">
        <f>AND(IF(metadata!I685="",FALSE,TRUE),EXACT(metadata!I685,"host-associated"))</f>
        <v>0</v>
      </c>
      <c r="AL685" t="b">
        <f>OR(AND(IF(metadata!J685="",FALSE,TRUE),OR(EXACT(metadata!J685,"not applicable"),EXACT(metadata!J685,"missing: not collected"),EXACT(metadata!J685,"missing: not provided"),EXACT(metadata!J685,"missing: restricted access"))),AND(IF(metadata!J685="",FALSE,ISNUMBER(VALUE(metadata!J685))),metadata!J685&gt;0))</f>
        <v>0</v>
      </c>
      <c r="AM685" t="b">
        <f>AND(IF(metadata!K685="",FALSE,TRUE),EXACT(metadata!K685,"missing: not provided"))</f>
        <v>0</v>
      </c>
      <c r="AN685" t="b">
        <f>IF(metadata!L685="",FALSE,TRUE)</f>
        <v>0</v>
      </c>
      <c r="AO685" t="b">
        <f>IF(metadata!M685="",FALSE,TRUE)</f>
        <v>0</v>
      </c>
      <c r="AP685" t="b">
        <f>OR(AND(IF(metadata!N685="",FALSE,TRUE),OR(EXACT(metadata!N685,"not applicable"),EXACT(metadata!N685,"missing: not collected"),EXACT(metadata!N685,"missing: not provided"))),AND(IF(metadata!N685="",FALSE,IF(ISERROR(INT(metadata!N685)),FALSE,INT(metadata!N685)=metadata!N685)),metadata!N685&gt;0))</f>
        <v>0</v>
      </c>
      <c r="AQ685" t="b">
        <f>AND(IF(metadata!O685="",FALSE,TRUE),EXACT(metadata!O685,"Not applicable"))</f>
        <v>0</v>
      </c>
      <c r="AR685" t="b">
        <f>OR(AND(IF(metadata!P685="",FALSE,TRUE),OR(EXACT(metadata!P685,"not applicable"),EXACT(metadata!P685,"missing: not collected"),EXACT(metadata!P685,"missing: not provided"),EXACT(metadata!P685,"missing: restricted access"))),IF(metadata!P685="",FALSE,IF(ISERROR(INT(metadata!P685)),FALSE,INT(metadata!P685)=metadata!P685)))</f>
        <v>0</v>
      </c>
      <c r="AS685" t="b">
        <f>AND(IF(metadata!Q685="",FALSE,TRUE),EXACT(metadata!Q685,"Not applicable"))</f>
        <v>0</v>
      </c>
      <c r="AT685" t="b">
        <f>OR(AND(IF(metadata!R685="",FALSE,TRUE),OR(EXACT(metadata!R685,"not applicable"),EXACT(metadata!R685,"missing: not collected"),EXACT(metadata!R685,"missing: not provided"),EXACT(metadata!R685,"missing: restricted access"))),AND(IF(metadata!R685="",FALSE,ISNUMBER(VALUE(metadata!R685))),metadata!R685&gt;0))</f>
        <v>0</v>
      </c>
      <c r="AU685" t="b">
        <f>AND(IF(metadata!S685="",FALSE,TRUE),EXACT(metadata!S685,"missing: not provided"))</f>
        <v>0</v>
      </c>
    </row>
    <row r="686" spans="1:47" x14ac:dyDescent="0.2">
      <c r="A686" s="5" t="str">
        <f ca="1">IF(B686=" "," ",HYPERLINK(CONCATENATE("#metadata!",ADDRESS(INDEX($Y$2:$Y$1001,MATCH(ROWS($W$2:W686),$W$2:$W$1001,0),0),1)),INDEX($AB$2:$AB$1001,MATCH(ROWS($W$2:W686),$W$2:$W$1001,0),0)))</f>
        <v xml:space="preserve"> </v>
      </c>
      <c r="B686" s="4" t="str">
        <f ca="1">IF(OR(INDEX($X$2:$X$1001,MATCH(ROWS($W$2:W686),$W$2:$W$1001,0),1)&gt;=100000,INDEX($AD$1005:$AU$1005,1,MATCH(COLUMNS($AD$1006:AD1006),$AD$1006:$AU$1006,0))&gt;=100000), " ",IF(INDEX($AD$2:$AU$1001,MATCH(ROWS($W$2:W686),$W$2:$W$1001,0),MATCH(COLUMNS($AD$1006:AD1006),$AD$1006:$AU$1006,0)), HYPERLINK("#",""), HYPERLINK(CONCATENATE("#metadata!", ADDRESS(INDEX($Y$2:$Y$1001,MATCH(ROWS($W$2:W686),$W$2:$W$1001,0),0), INDEX($AD$1004:$AU$1004,1,MATCH(COLUMNS($AD$1006:AD1006),$AD$1006:$AU$1006,0)))),"Fix")))</f>
        <v xml:space="preserve"> </v>
      </c>
      <c r="C686" s="4" t="str">
        <f ca="1">IF(OR(INDEX($X$2:$X$1001,MATCH(ROWS($W$2:W686),$W$2:$W$1001,0),1)&gt;=100000,INDEX($AD$1005:$AU$1005,1,MATCH(COLUMNS($AD$1006:AE1006),$AD$1006:$AU$1006,0))&gt;=100000), " ",IF(INDEX($AD$2:$AU$1001,MATCH(ROWS($W$2:W686),$W$2:$W$1001,0),MATCH(COLUMNS($AD$1006:AE1006),$AD$1006:$AU$1006,0)), HYPERLINK("#",""), HYPERLINK(CONCATENATE("#metadata!", ADDRESS(INDEX($Y$2:$Y$1001,MATCH(ROWS($W$2:W686),$W$2:$W$1001,0),0), INDEX($AD$1004:$AU$1004,1,MATCH(COLUMNS($AD$1006:AE1006),$AD$1006:$AU$1006,0)))),"Fix")))</f>
        <v xml:space="preserve"> </v>
      </c>
      <c r="D686" s="4" t="str">
        <f ca="1">IF(OR(INDEX($X$2:$X$1001,MATCH(ROWS($W$2:W686),$W$2:$W$1001,0),1)&gt;=100000,INDEX($AD$1005:$AU$1005,1,MATCH(COLUMNS($AD$1006:AF1006),$AD$1006:$AU$1006,0))&gt;=100000), " ",IF(INDEX($AD$2:$AU$1001,MATCH(ROWS($W$2:W686),$W$2:$W$1001,0),MATCH(COLUMNS($AD$1006:AF1006),$AD$1006:$AU$1006,0)), HYPERLINK("#",""), HYPERLINK(CONCATENATE("#metadata!", ADDRESS(INDEX($Y$2:$Y$1001,MATCH(ROWS($W$2:W686),$W$2:$W$1001,0),0), INDEX($AD$1004:$AU$1004,1,MATCH(COLUMNS($AD$1006:AF1006),$AD$1006:$AU$1006,0)))),"Fix")))</f>
        <v xml:space="preserve"> </v>
      </c>
      <c r="E686" s="4" t="str">
        <f ca="1">IF(OR(INDEX($X$2:$X$1001,MATCH(ROWS($W$2:W686),$W$2:$W$1001,0),1)&gt;=100000,INDEX($AD$1005:$AU$1005,1,MATCH(COLUMNS($AD$1006:AG1006),$AD$1006:$AU$1006,0))&gt;=100000), " ",IF(INDEX($AD$2:$AU$1001,MATCH(ROWS($W$2:W686),$W$2:$W$1001,0),MATCH(COLUMNS($AD$1006:AG1006),$AD$1006:$AU$1006,0)), HYPERLINK("#",""), HYPERLINK(CONCATENATE("#metadata!", ADDRESS(INDEX($Y$2:$Y$1001,MATCH(ROWS($W$2:W686),$W$2:$W$1001,0),0), INDEX($AD$1004:$AU$1004,1,MATCH(COLUMNS($AD$1006:AG1006),$AD$1006:$AU$1006,0)))),"Fix")))</f>
        <v xml:space="preserve"> </v>
      </c>
      <c r="F686" s="4" t="str">
        <f ca="1">IF(OR(INDEX($X$2:$X$1001,MATCH(ROWS($W$2:W686),$W$2:$W$1001,0),1)&gt;=100000,INDEX($AD$1005:$AU$1005,1,MATCH(COLUMNS($AD$1006:AH1006),$AD$1006:$AU$1006,0))&gt;=100000), " ",IF(INDEX($AD$2:$AU$1001,MATCH(ROWS($W$2:W686),$W$2:$W$1001,0),MATCH(COLUMNS($AD$1006:AH1006),$AD$1006:$AU$1006,0)), HYPERLINK("#",""), HYPERLINK(CONCATENATE("#metadata!", ADDRESS(INDEX($Y$2:$Y$1001,MATCH(ROWS($W$2:W686),$W$2:$W$1001,0),0), INDEX($AD$1004:$AU$1004,1,MATCH(COLUMNS($AD$1006:AH1006),$AD$1006:$AU$1006,0)))),"Fix")))</f>
        <v xml:space="preserve"> </v>
      </c>
      <c r="G686" s="4" t="str">
        <f ca="1">IF(OR(INDEX($X$2:$X$1001,MATCH(ROWS($W$2:W686),$W$2:$W$1001,0),1)&gt;=100000,INDEX($AD$1005:$AU$1005,1,MATCH(COLUMNS($AD$1006:AI1006),$AD$1006:$AU$1006,0))&gt;=100000), " ",IF(INDEX($AD$2:$AU$1001,MATCH(ROWS($W$2:W686),$W$2:$W$1001,0),MATCH(COLUMNS($AD$1006:AI1006),$AD$1006:$AU$1006,0)), HYPERLINK("#",""), HYPERLINK(CONCATENATE("#metadata!", ADDRESS(INDEX($Y$2:$Y$1001,MATCH(ROWS($W$2:W686),$W$2:$W$1001,0),0), INDEX($AD$1004:$AU$1004,1,MATCH(COLUMNS($AD$1006:AI1006),$AD$1006:$AU$1006,0)))),"Fix")))</f>
        <v xml:space="preserve"> </v>
      </c>
      <c r="H686" s="4" t="str">
        <f ca="1">IF(OR(INDEX($X$2:$X$1001,MATCH(ROWS($W$2:W686),$W$2:$W$1001,0),1)&gt;=100000,INDEX($AD$1005:$AU$1005,1,MATCH(COLUMNS($AD$1006:AJ1006),$AD$1006:$AU$1006,0))&gt;=100000), " ",IF(INDEX($AD$2:$AU$1001,MATCH(ROWS($W$2:W686),$W$2:$W$1001,0),MATCH(COLUMNS($AD$1006:AJ1006),$AD$1006:$AU$1006,0)), HYPERLINK("#",""), HYPERLINK(CONCATENATE("#metadata!", ADDRESS(INDEX($Y$2:$Y$1001,MATCH(ROWS($W$2:W686),$W$2:$W$1001,0),0), INDEX($AD$1004:$AU$1004,1,MATCH(COLUMNS($AD$1006:AJ1006),$AD$1006:$AU$1006,0)))),"Fix")))</f>
        <v xml:space="preserve"> </v>
      </c>
      <c r="I686" s="4" t="str">
        <f ca="1">IF(OR(INDEX($X$2:$X$1001,MATCH(ROWS($W$2:W686),$W$2:$W$1001,0),1)&gt;=100000,INDEX($AD$1005:$AU$1005,1,MATCH(COLUMNS($AD$1006:AK1006),$AD$1006:$AU$1006,0))&gt;=100000), " ",IF(INDEX($AD$2:$AU$1001,MATCH(ROWS($W$2:W686),$W$2:$W$1001,0),MATCH(COLUMNS($AD$1006:AK1006),$AD$1006:$AU$1006,0)), HYPERLINK("#",""), HYPERLINK(CONCATENATE("#metadata!", ADDRESS(INDEX($Y$2:$Y$1001,MATCH(ROWS($W$2:W686),$W$2:$W$1001,0),0), INDEX($AD$1004:$AU$1004,1,MATCH(COLUMNS($AD$1006:AK1006),$AD$1006:$AU$1006,0)))),"Fix")))</f>
        <v xml:space="preserve"> </v>
      </c>
      <c r="J686" s="4" t="str">
        <f ca="1">IF(OR(INDEX($X$2:$X$1001,MATCH(ROWS($W$2:W686),$W$2:$W$1001,0),1)&gt;=100000,INDEX($AD$1005:$AU$1005,1,MATCH(COLUMNS($AD$1006:AL1006),$AD$1006:$AU$1006,0))&gt;=100000), " ",IF(INDEX($AD$2:$AU$1001,MATCH(ROWS($W$2:W686),$W$2:$W$1001,0),MATCH(COLUMNS($AD$1006:AL1006),$AD$1006:$AU$1006,0)), HYPERLINK("#",""), HYPERLINK(CONCATENATE("#metadata!", ADDRESS(INDEX($Y$2:$Y$1001,MATCH(ROWS($W$2:W686),$W$2:$W$1001,0),0), INDEX($AD$1004:$AU$1004,1,MATCH(COLUMNS($AD$1006:AL1006),$AD$1006:$AU$1006,0)))),"Fix")))</f>
        <v xml:space="preserve"> </v>
      </c>
      <c r="K686" s="4" t="str">
        <f ca="1">IF(OR(INDEX($X$2:$X$1001,MATCH(ROWS($W$2:W686),$W$2:$W$1001,0),1)&gt;=100000,INDEX($AD$1005:$AU$1005,1,MATCH(COLUMNS($AD$1006:AM1006),$AD$1006:$AU$1006,0))&gt;=100000), " ",IF(INDEX($AD$2:$AU$1001,MATCH(ROWS($W$2:W686),$W$2:$W$1001,0),MATCH(COLUMNS($AD$1006:AM1006),$AD$1006:$AU$1006,0)), HYPERLINK("#",""), HYPERLINK(CONCATENATE("#metadata!", ADDRESS(INDEX($Y$2:$Y$1001,MATCH(ROWS($W$2:W686),$W$2:$W$1001,0),0), INDEX($AD$1004:$AU$1004,1,MATCH(COLUMNS($AD$1006:AM1006),$AD$1006:$AU$1006,0)))),"Fix")))</f>
        <v xml:space="preserve"> </v>
      </c>
      <c r="L686" s="4" t="str">
        <f ca="1">IF(OR(INDEX($X$2:$X$1001,MATCH(ROWS($W$2:W686),$W$2:$W$1001,0),1)&gt;=100000,INDEX($AD$1005:$AU$1005,1,MATCH(COLUMNS($AD$1006:AN1006),$AD$1006:$AU$1006,0))&gt;=100000), " ",IF(INDEX($AD$2:$AU$1001,MATCH(ROWS($W$2:W686),$W$2:$W$1001,0),MATCH(COLUMNS($AD$1006:AN1006),$AD$1006:$AU$1006,0)), HYPERLINK("#",""), HYPERLINK(CONCATENATE("#metadata!", ADDRESS(INDEX($Y$2:$Y$1001,MATCH(ROWS($W$2:W686),$W$2:$W$1001,0),0), INDEX($AD$1004:$AU$1004,1,MATCH(COLUMNS($AD$1006:AN1006),$AD$1006:$AU$1006,0)))),"Fix")))</f>
        <v xml:space="preserve"> </v>
      </c>
      <c r="M686" s="4" t="str">
        <f ca="1">IF(OR(INDEX($X$2:$X$1001,MATCH(ROWS($W$2:W686),$W$2:$W$1001,0),1)&gt;=100000,INDEX($AD$1005:$AU$1005,1,MATCH(COLUMNS($AD$1006:AO1006),$AD$1006:$AU$1006,0))&gt;=100000), " ",IF(INDEX($AD$2:$AU$1001,MATCH(ROWS($W$2:W686),$W$2:$W$1001,0),MATCH(COLUMNS($AD$1006:AO1006),$AD$1006:$AU$1006,0)), HYPERLINK("#",""), HYPERLINK(CONCATENATE("#metadata!", ADDRESS(INDEX($Y$2:$Y$1001,MATCH(ROWS($W$2:W686),$W$2:$W$1001,0),0), INDEX($AD$1004:$AU$1004,1,MATCH(COLUMNS($AD$1006:AO1006),$AD$1006:$AU$1006,0)))),"Fix")))</f>
        <v xml:space="preserve"> </v>
      </c>
      <c r="N686" s="4" t="str">
        <f ca="1">IF(OR(INDEX($X$2:$X$1001,MATCH(ROWS($W$2:W686),$W$2:$W$1001,0),1)&gt;=100000,INDEX($AD$1005:$AU$1005,1,MATCH(COLUMNS($AD$1006:AP1006),$AD$1006:$AU$1006,0))&gt;=100000), " ",IF(INDEX($AD$2:$AU$1001,MATCH(ROWS($W$2:W686),$W$2:$W$1001,0),MATCH(COLUMNS($AD$1006:AP1006),$AD$1006:$AU$1006,0)), HYPERLINK("#",""), HYPERLINK(CONCATENATE("#metadata!", ADDRESS(INDEX($Y$2:$Y$1001,MATCH(ROWS($W$2:W686),$W$2:$W$1001,0),0), INDEX($AD$1004:$AU$1004,1,MATCH(COLUMNS($AD$1006:AP1006),$AD$1006:$AU$1006,0)))),"Fix")))</f>
        <v xml:space="preserve"> </v>
      </c>
      <c r="O686" s="4" t="str">
        <f ca="1">IF(OR(INDEX($X$2:$X$1001,MATCH(ROWS($W$2:W686),$W$2:$W$1001,0),1)&gt;=100000,INDEX($AD$1005:$AU$1005,1,MATCH(COLUMNS($AD$1006:AQ1006),$AD$1006:$AU$1006,0))&gt;=100000), " ",IF(INDEX($AD$2:$AU$1001,MATCH(ROWS($W$2:W686),$W$2:$W$1001,0),MATCH(COLUMNS($AD$1006:AQ1006),$AD$1006:$AU$1006,0)), HYPERLINK("#",""), HYPERLINK(CONCATENATE("#metadata!", ADDRESS(INDEX($Y$2:$Y$1001,MATCH(ROWS($W$2:W686),$W$2:$W$1001,0),0), INDEX($AD$1004:$AU$1004,1,MATCH(COLUMNS($AD$1006:AQ1006),$AD$1006:$AU$1006,0)))),"Fix")))</f>
        <v xml:space="preserve"> </v>
      </c>
      <c r="P686" s="4" t="str">
        <f ca="1">IF(OR(INDEX($X$2:$X$1001,MATCH(ROWS($W$2:W686),$W$2:$W$1001,0),1)&gt;=100000,INDEX($AD$1005:$AU$1005,1,MATCH(COLUMNS($AD$1006:AR1006),$AD$1006:$AU$1006,0))&gt;=100000), " ",IF(INDEX($AD$2:$AU$1001,MATCH(ROWS($W$2:W686),$W$2:$W$1001,0),MATCH(COLUMNS($AD$1006:AR1006),$AD$1006:$AU$1006,0)), HYPERLINK("#",""), HYPERLINK(CONCATENATE("#metadata!", ADDRESS(INDEX($Y$2:$Y$1001,MATCH(ROWS($W$2:W686),$W$2:$W$1001,0),0), INDEX($AD$1004:$AU$1004,1,MATCH(COLUMNS($AD$1006:AR1006),$AD$1006:$AU$1006,0)))),"Fix")))</f>
        <v xml:space="preserve"> </v>
      </c>
      <c r="Q686" s="4" t="str">
        <f ca="1">IF(OR(INDEX($X$2:$X$1001,MATCH(ROWS($W$2:W686),$W$2:$W$1001,0),1)&gt;=100000,INDEX($AD$1005:$AU$1005,1,MATCH(COLUMNS($AD$1006:AS1006),$AD$1006:$AU$1006,0))&gt;=100000), " ",IF(INDEX($AD$2:$AU$1001,MATCH(ROWS($W$2:W686),$W$2:$W$1001,0),MATCH(COLUMNS($AD$1006:AS1006),$AD$1006:$AU$1006,0)), HYPERLINK("#",""), HYPERLINK(CONCATENATE("#metadata!", ADDRESS(INDEX($Y$2:$Y$1001,MATCH(ROWS($W$2:W686),$W$2:$W$1001,0),0), INDEX($AD$1004:$AU$1004,1,MATCH(COLUMNS($AD$1006:AS1006),$AD$1006:$AU$1006,0)))),"Fix")))</f>
        <v xml:space="preserve"> </v>
      </c>
      <c r="R686" s="4" t="str">
        <f ca="1">IF(OR(INDEX($X$2:$X$1001,MATCH(ROWS($W$2:W686),$W$2:$W$1001,0),1)&gt;=100000,INDEX($AD$1005:$AU$1005,1,MATCH(COLUMNS($AD$1006:AT1006),$AD$1006:$AU$1006,0))&gt;=100000), " ",IF(INDEX($AD$2:$AU$1001,MATCH(ROWS($W$2:W686),$W$2:$W$1001,0),MATCH(COLUMNS($AD$1006:AT1006),$AD$1006:$AU$1006,0)), HYPERLINK("#",""), HYPERLINK(CONCATENATE("#metadata!", ADDRESS(INDEX($Y$2:$Y$1001,MATCH(ROWS($W$2:W686),$W$2:$W$1001,0),0), INDEX($AD$1004:$AU$1004,1,MATCH(COLUMNS($AD$1006:AT1006),$AD$1006:$AU$1006,0)))),"Fix")))</f>
        <v xml:space="preserve"> </v>
      </c>
      <c r="S686" s="4" t="str">
        <f ca="1">IF(OR(INDEX($X$2:$X$1001,MATCH(ROWS($W$2:W686),$W$2:$W$1001,0),1)&gt;=100000,INDEX($AD$1005:$AU$1005,1,MATCH(COLUMNS($AD$1006:AU1006),$AD$1006:$AU$1006,0))&gt;=100000), " ",IF(INDEX($AD$2:$AU$1001,MATCH(ROWS($W$2:W686),$W$2:$W$1001,0),MATCH(COLUMNS($AD$1006:AU1006),$AD$1006:$AU$1006,0)), HYPERLINK("#",""), HYPERLINK(CONCATENATE("#metadata!", ADDRESS(INDEX($Y$2:$Y$1001,MATCH(ROWS($W$2:W686),$W$2:$W$1001,0),0), INDEX($AD$1004:$AU$1004,1,MATCH(COLUMNS($AD$1006:AU1006),$AD$1006:$AU$1006,0)))),"Fix")))</f>
        <v xml:space="preserve"> </v>
      </c>
      <c r="W686">
        <v>685</v>
      </c>
      <c r="X686">
        <v>100686</v>
      </c>
      <c r="Y686">
        <v>686</v>
      </c>
      <c r="Z686" t="b">
        <f t="shared" si="10"/>
        <v>1</v>
      </c>
      <c r="AA686" t="b">
        <f>COUNTBLANK(metadata!B686:S686)=COLUMNS(metadata!B686:S686)</f>
        <v>1</v>
      </c>
      <c r="AB686" t="str">
        <v/>
      </c>
      <c r="AD686" t="b">
        <f ca="1">AND(IF(metadata!B686="",FALSE,TRUE),COUNTIF(metadata!B:B, metadata!B686) = 1,NOT(ISERROR(SUMPRODUCT(SEARCH(MID(metadata!B686,ROW(INDIRECT("1:"&amp;LEN(metadata!B686))), 1),"0123456789abcdefghijklmnopqrstuvwxyzABCDEFGHIJKLMNOPQRSTUVWXYZ.")))))</f>
        <v>0</v>
      </c>
      <c r="AE686" t="b">
        <f>OR(AND(IF(metadata!C686="",FALSE,TRUE),OR(EXACT(metadata!C686,"not applicable"),EXACT(metadata!C686,"missing: not collected"),EXACT(metadata!C686,"missing: not provided"),EXACT(metadata!C686,"missing: restricted access"))),AND(IF(metadata!C686="",FALSE,ISNUMBER(VALUE(metadata!C686))),metadata!C686&gt;0))</f>
        <v>0</v>
      </c>
      <c r="AF686" t="b">
        <f>AND(IF(metadata!D686="",FALSE,TRUE),EXACT(metadata!D686,"missing: not provided"))</f>
        <v>0</v>
      </c>
      <c r="AG686" t="b">
        <f>AND(IF(metadata!E686="",FALSE,TRUE),EXACT(metadata!E686,"Host-associated"))</f>
        <v>0</v>
      </c>
      <c r="AH686" t="b">
        <f>AND(IF(metadata!F686="",FALSE,TRUE),OR(EXACT(metadata!F686,"Animal"),EXACT(metadata!F686,"Fungus"),EXACT(metadata!F686,"Plant")))</f>
        <v>0</v>
      </c>
      <c r="AI686" t="b">
        <f>AND(IF(metadata!G686="",FALSE,TRUE),OR(EXACT(metadata!G686,"Plant secretion"),EXACT(metadata!G686,"Plant rhizosphere"),EXACT(metadata!G686,"Plant surface"),EXACT(metadata!G686,"Plant corpus"),EXACT(metadata!G686,"Fungus surface"),EXACT(metadata!G686,"Fungus corpus"),EXACT(metadata!G686,"Animal surface"),EXACT(metadata!G686,"Animal proximal gut"),EXACT(metadata!G686,"Animal corpus"),EXACT(metadata!G686,"Animal distal gut"),EXACT(metadata!G686,"Animal secretion")))</f>
        <v>0</v>
      </c>
      <c r="AJ686" t="b">
        <f>OR(AND(IF(metadata!H686="",FALSE,TRUE),OR(EXACT(metadata!H686,"missing: not collected"),EXACT(metadata!H686,"missing: not provided"),EXACT(metadata!H686,"missing: restricted access"))),AND(IF(metadata!H686="",FALSE,TRUE),OR(EXACT(metadata!H686,"organism-associated habitat"),EXACT(metadata!H686,"plant-associated habitat"),EXACT(metadata!H686,"animal-associated habitat"),EXACT(metadata!H686,"insecta-associated habitat"),EXACT(metadata!H686,"mammalia-associated habitat"),EXACT(metadata!H686,"human-associated habitat"),EXACT(metadata!H686,"livestock-associated habitat"))))</f>
        <v>0</v>
      </c>
      <c r="AK686" t="b">
        <f>AND(IF(metadata!I686="",FALSE,TRUE),EXACT(metadata!I686,"host-associated"))</f>
        <v>0</v>
      </c>
      <c r="AL686" t="b">
        <f>OR(AND(IF(metadata!J686="",FALSE,TRUE),OR(EXACT(metadata!J686,"not applicable"),EXACT(metadata!J686,"missing: not collected"),EXACT(metadata!J686,"missing: not provided"),EXACT(metadata!J686,"missing: restricted access"))),AND(IF(metadata!J686="",FALSE,ISNUMBER(VALUE(metadata!J686))),metadata!J686&gt;0))</f>
        <v>0</v>
      </c>
      <c r="AM686" t="b">
        <f>AND(IF(metadata!K686="",FALSE,TRUE),EXACT(metadata!K686,"missing: not provided"))</f>
        <v>0</v>
      </c>
      <c r="AN686" t="b">
        <f>IF(metadata!L686="",FALSE,TRUE)</f>
        <v>0</v>
      </c>
      <c r="AO686" t="b">
        <f>IF(metadata!M686="",FALSE,TRUE)</f>
        <v>0</v>
      </c>
      <c r="AP686" t="b">
        <f>OR(AND(IF(metadata!N686="",FALSE,TRUE),OR(EXACT(metadata!N686,"not applicable"),EXACT(metadata!N686,"missing: not collected"),EXACT(metadata!N686,"missing: not provided"))),AND(IF(metadata!N686="",FALSE,IF(ISERROR(INT(metadata!N686)),FALSE,INT(metadata!N686)=metadata!N686)),metadata!N686&gt;0))</f>
        <v>0</v>
      </c>
      <c r="AQ686" t="b">
        <f>AND(IF(metadata!O686="",FALSE,TRUE),EXACT(metadata!O686,"Not applicable"))</f>
        <v>0</v>
      </c>
      <c r="AR686" t="b">
        <f>OR(AND(IF(metadata!P686="",FALSE,TRUE),OR(EXACT(metadata!P686,"not applicable"),EXACT(metadata!P686,"missing: not collected"),EXACT(metadata!P686,"missing: not provided"),EXACT(metadata!P686,"missing: restricted access"))),IF(metadata!P686="",FALSE,IF(ISERROR(INT(metadata!P686)),FALSE,INT(metadata!P686)=metadata!P686)))</f>
        <v>0</v>
      </c>
      <c r="AS686" t="b">
        <f>AND(IF(metadata!Q686="",FALSE,TRUE),EXACT(metadata!Q686,"Not applicable"))</f>
        <v>0</v>
      </c>
      <c r="AT686" t="b">
        <f>OR(AND(IF(metadata!R686="",FALSE,TRUE),OR(EXACT(metadata!R686,"not applicable"),EXACT(metadata!R686,"missing: not collected"),EXACT(metadata!R686,"missing: not provided"),EXACT(metadata!R686,"missing: restricted access"))),AND(IF(metadata!R686="",FALSE,ISNUMBER(VALUE(metadata!R686))),metadata!R686&gt;0))</f>
        <v>0</v>
      </c>
      <c r="AU686" t="b">
        <f>AND(IF(metadata!S686="",FALSE,TRUE),EXACT(metadata!S686,"missing: not provided"))</f>
        <v>0</v>
      </c>
    </row>
    <row r="687" spans="1:47" x14ac:dyDescent="0.2">
      <c r="A687" s="5" t="str">
        <f ca="1">IF(B687=" "," ",HYPERLINK(CONCATENATE("#metadata!",ADDRESS(INDEX($Y$2:$Y$1001,MATCH(ROWS($W$2:W687),$W$2:$W$1001,0),0),1)),INDEX($AB$2:$AB$1001,MATCH(ROWS($W$2:W687),$W$2:$W$1001,0),0)))</f>
        <v xml:space="preserve"> </v>
      </c>
      <c r="B687" s="4" t="str">
        <f ca="1">IF(OR(INDEX($X$2:$X$1001,MATCH(ROWS($W$2:W687),$W$2:$W$1001,0),1)&gt;=100000,INDEX($AD$1005:$AU$1005,1,MATCH(COLUMNS($AD$1006:AD1006),$AD$1006:$AU$1006,0))&gt;=100000), " ",IF(INDEX($AD$2:$AU$1001,MATCH(ROWS($W$2:W687),$W$2:$W$1001,0),MATCH(COLUMNS($AD$1006:AD1006),$AD$1006:$AU$1006,0)), HYPERLINK("#",""), HYPERLINK(CONCATENATE("#metadata!", ADDRESS(INDEX($Y$2:$Y$1001,MATCH(ROWS($W$2:W687),$W$2:$W$1001,0),0), INDEX($AD$1004:$AU$1004,1,MATCH(COLUMNS($AD$1006:AD1006),$AD$1006:$AU$1006,0)))),"Fix")))</f>
        <v xml:space="preserve"> </v>
      </c>
      <c r="C687" s="4" t="str">
        <f ca="1">IF(OR(INDEX($X$2:$X$1001,MATCH(ROWS($W$2:W687),$W$2:$W$1001,0),1)&gt;=100000,INDEX($AD$1005:$AU$1005,1,MATCH(COLUMNS($AD$1006:AE1006),$AD$1006:$AU$1006,0))&gt;=100000), " ",IF(INDEX($AD$2:$AU$1001,MATCH(ROWS($W$2:W687),$W$2:$W$1001,0),MATCH(COLUMNS($AD$1006:AE1006),$AD$1006:$AU$1006,0)), HYPERLINK("#",""), HYPERLINK(CONCATENATE("#metadata!", ADDRESS(INDEX($Y$2:$Y$1001,MATCH(ROWS($W$2:W687),$W$2:$W$1001,0),0), INDEX($AD$1004:$AU$1004,1,MATCH(COLUMNS($AD$1006:AE1006),$AD$1006:$AU$1006,0)))),"Fix")))</f>
        <v xml:space="preserve"> </v>
      </c>
      <c r="D687" s="4" t="str">
        <f ca="1">IF(OR(INDEX($X$2:$X$1001,MATCH(ROWS($W$2:W687),$W$2:$W$1001,0),1)&gt;=100000,INDEX($AD$1005:$AU$1005,1,MATCH(COLUMNS($AD$1006:AF1006),$AD$1006:$AU$1006,0))&gt;=100000), " ",IF(INDEX($AD$2:$AU$1001,MATCH(ROWS($W$2:W687),$W$2:$W$1001,0),MATCH(COLUMNS($AD$1006:AF1006),$AD$1006:$AU$1006,0)), HYPERLINK("#",""), HYPERLINK(CONCATENATE("#metadata!", ADDRESS(INDEX($Y$2:$Y$1001,MATCH(ROWS($W$2:W687),$W$2:$W$1001,0),0), INDEX($AD$1004:$AU$1004,1,MATCH(COLUMNS($AD$1006:AF1006),$AD$1006:$AU$1006,0)))),"Fix")))</f>
        <v xml:space="preserve"> </v>
      </c>
      <c r="E687" s="4" t="str">
        <f ca="1">IF(OR(INDEX($X$2:$X$1001,MATCH(ROWS($W$2:W687),$W$2:$W$1001,0),1)&gt;=100000,INDEX($AD$1005:$AU$1005,1,MATCH(COLUMNS($AD$1006:AG1006),$AD$1006:$AU$1006,0))&gt;=100000), " ",IF(INDEX($AD$2:$AU$1001,MATCH(ROWS($W$2:W687),$W$2:$W$1001,0),MATCH(COLUMNS($AD$1006:AG1006),$AD$1006:$AU$1006,0)), HYPERLINK("#",""), HYPERLINK(CONCATENATE("#metadata!", ADDRESS(INDEX($Y$2:$Y$1001,MATCH(ROWS($W$2:W687),$W$2:$W$1001,0),0), INDEX($AD$1004:$AU$1004,1,MATCH(COLUMNS($AD$1006:AG1006),$AD$1006:$AU$1006,0)))),"Fix")))</f>
        <v xml:space="preserve"> </v>
      </c>
      <c r="F687" s="4" t="str">
        <f ca="1">IF(OR(INDEX($X$2:$X$1001,MATCH(ROWS($W$2:W687),$W$2:$W$1001,0),1)&gt;=100000,INDEX($AD$1005:$AU$1005,1,MATCH(COLUMNS($AD$1006:AH1006),$AD$1006:$AU$1006,0))&gt;=100000), " ",IF(INDEX($AD$2:$AU$1001,MATCH(ROWS($W$2:W687),$W$2:$W$1001,0),MATCH(COLUMNS($AD$1006:AH1006),$AD$1006:$AU$1006,0)), HYPERLINK("#",""), HYPERLINK(CONCATENATE("#metadata!", ADDRESS(INDEX($Y$2:$Y$1001,MATCH(ROWS($W$2:W687),$W$2:$W$1001,0),0), INDEX($AD$1004:$AU$1004,1,MATCH(COLUMNS($AD$1006:AH1006),$AD$1006:$AU$1006,0)))),"Fix")))</f>
        <v xml:space="preserve"> </v>
      </c>
      <c r="G687" s="4" t="str">
        <f ca="1">IF(OR(INDEX($X$2:$X$1001,MATCH(ROWS($W$2:W687),$W$2:$W$1001,0),1)&gt;=100000,INDEX($AD$1005:$AU$1005,1,MATCH(COLUMNS($AD$1006:AI1006),$AD$1006:$AU$1006,0))&gt;=100000), " ",IF(INDEX($AD$2:$AU$1001,MATCH(ROWS($W$2:W687),$W$2:$W$1001,0),MATCH(COLUMNS($AD$1006:AI1006),$AD$1006:$AU$1006,0)), HYPERLINK("#",""), HYPERLINK(CONCATENATE("#metadata!", ADDRESS(INDEX($Y$2:$Y$1001,MATCH(ROWS($W$2:W687),$W$2:$W$1001,0),0), INDEX($AD$1004:$AU$1004,1,MATCH(COLUMNS($AD$1006:AI1006),$AD$1006:$AU$1006,0)))),"Fix")))</f>
        <v xml:space="preserve"> </v>
      </c>
      <c r="H687" s="4" t="str">
        <f ca="1">IF(OR(INDEX($X$2:$X$1001,MATCH(ROWS($W$2:W687),$W$2:$W$1001,0),1)&gt;=100000,INDEX($AD$1005:$AU$1005,1,MATCH(COLUMNS($AD$1006:AJ1006),$AD$1006:$AU$1006,0))&gt;=100000), " ",IF(INDEX($AD$2:$AU$1001,MATCH(ROWS($W$2:W687),$W$2:$W$1001,0),MATCH(COLUMNS($AD$1006:AJ1006),$AD$1006:$AU$1006,0)), HYPERLINK("#",""), HYPERLINK(CONCATENATE("#metadata!", ADDRESS(INDEX($Y$2:$Y$1001,MATCH(ROWS($W$2:W687),$W$2:$W$1001,0),0), INDEX($AD$1004:$AU$1004,1,MATCH(COLUMNS($AD$1006:AJ1006),$AD$1006:$AU$1006,0)))),"Fix")))</f>
        <v xml:space="preserve"> </v>
      </c>
      <c r="I687" s="4" t="str">
        <f ca="1">IF(OR(INDEX($X$2:$X$1001,MATCH(ROWS($W$2:W687),$W$2:$W$1001,0),1)&gt;=100000,INDEX($AD$1005:$AU$1005,1,MATCH(COLUMNS($AD$1006:AK1006),$AD$1006:$AU$1006,0))&gt;=100000), " ",IF(INDEX($AD$2:$AU$1001,MATCH(ROWS($W$2:W687),$W$2:$W$1001,0),MATCH(COLUMNS($AD$1006:AK1006),$AD$1006:$AU$1006,0)), HYPERLINK("#",""), HYPERLINK(CONCATENATE("#metadata!", ADDRESS(INDEX($Y$2:$Y$1001,MATCH(ROWS($W$2:W687),$W$2:$W$1001,0),0), INDEX($AD$1004:$AU$1004,1,MATCH(COLUMNS($AD$1006:AK1006),$AD$1006:$AU$1006,0)))),"Fix")))</f>
        <v xml:space="preserve"> </v>
      </c>
      <c r="J687" s="4" t="str">
        <f ca="1">IF(OR(INDEX($X$2:$X$1001,MATCH(ROWS($W$2:W687),$W$2:$W$1001,0),1)&gt;=100000,INDEX($AD$1005:$AU$1005,1,MATCH(COLUMNS($AD$1006:AL1006),$AD$1006:$AU$1006,0))&gt;=100000), " ",IF(INDEX($AD$2:$AU$1001,MATCH(ROWS($W$2:W687),$W$2:$W$1001,0),MATCH(COLUMNS($AD$1006:AL1006),$AD$1006:$AU$1006,0)), HYPERLINK("#",""), HYPERLINK(CONCATENATE("#metadata!", ADDRESS(INDEX($Y$2:$Y$1001,MATCH(ROWS($W$2:W687),$W$2:$W$1001,0),0), INDEX($AD$1004:$AU$1004,1,MATCH(COLUMNS($AD$1006:AL1006),$AD$1006:$AU$1006,0)))),"Fix")))</f>
        <v xml:space="preserve"> </v>
      </c>
      <c r="K687" s="4" t="str">
        <f ca="1">IF(OR(INDEX($X$2:$X$1001,MATCH(ROWS($W$2:W687),$W$2:$W$1001,0),1)&gt;=100000,INDEX($AD$1005:$AU$1005,1,MATCH(COLUMNS($AD$1006:AM1006),$AD$1006:$AU$1006,0))&gt;=100000), " ",IF(INDEX($AD$2:$AU$1001,MATCH(ROWS($W$2:W687),$W$2:$W$1001,0),MATCH(COLUMNS($AD$1006:AM1006),$AD$1006:$AU$1006,0)), HYPERLINK("#",""), HYPERLINK(CONCATENATE("#metadata!", ADDRESS(INDEX($Y$2:$Y$1001,MATCH(ROWS($W$2:W687),$W$2:$W$1001,0),0), INDEX($AD$1004:$AU$1004,1,MATCH(COLUMNS($AD$1006:AM1006),$AD$1006:$AU$1006,0)))),"Fix")))</f>
        <v xml:space="preserve"> </v>
      </c>
      <c r="L687" s="4" t="str">
        <f ca="1">IF(OR(INDEX($X$2:$X$1001,MATCH(ROWS($W$2:W687),$W$2:$W$1001,0),1)&gt;=100000,INDEX($AD$1005:$AU$1005,1,MATCH(COLUMNS($AD$1006:AN1006),$AD$1006:$AU$1006,0))&gt;=100000), " ",IF(INDEX($AD$2:$AU$1001,MATCH(ROWS($W$2:W687),$W$2:$W$1001,0),MATCH(COLUMNS($AD$1006:AN1006),$AD$1006:$AU$1006,0)), HYPERLINK("#",""), HYPERLINK(CONCATENATE("#metadata!", ADDRESS(INDEX($Y$2:$Y$1001,MATCH(ROWS($W$2:W687),$W$2:$W$1001,0),0), INDEX($AD$1004:$AU$1004,1,MATCH(COLUMNS($AD$1006:AN1006),$AD$1006:$AU$1006,0)))),"Fix")))</f>
        <v xml:space="preserve"> </v>
      </c>
      <c r="M687" s="4" t="str">
        <f ca="1">IF(OR(INDEX($X$2:$X$1001,MATCH(ROWS($W$2:W687),$W$2:$W$1001,0),1)&gt;=100000,INDEX($AD$1005:$AU$1005,1,MATCH(COLUMNS($AD$1006:AO1006),$AD$1006:$AU$1006,0))&gt;=100000), " ",IF(INDEX($AD$2:$AU$1001,MATCH(ROWS($W$2:W687),$W$2:$W$1001,0),MATCH(COLUMNS($AD$1006:AO1006),$AD$1006:$AU$1006,0)), HYPERLINK("#",""), HYPERLINK(CONCATENATE("#metadata!", ADDRESS(INDEX($Y$2:$Y$1001,MATCH(ROWS($W$2:W687),$W$2:$W$1001,0),0), INDEX($AD$1004:$AU$1004,1,MATCH(COLUMNS($AD$1006:AO1006),$AD$1006:$AU$1006,0)))),"Fix")))</f>
        <v xml:space="preserve"> </v>
      </c>
      <c r="N687" s="4" t="str">
        <f ca="1">IF(OR(INDEX($X$2:$X$1001,MATCH(ROWS($W$2:W687),$W$2:$W$1001,0),1)&gt;=100000,INDEX($AD$1005:$AU$1005,1,MATCH(COLUMNS($AD$1006:AP1006),$AD$1006:$AU$1006,0))&gt;=100000), " ",IF(INDEX($AD$2:$AU$1001,MATCH(ROWS($W$2:W687),$W$2:$W$1001,0),MATCH(COLUMNS($AD$1006:AP1006),$AD$1006:$AU$1006,0)), HYPERLINK("#",""), HYPERLINK(CONCATENATE("#metadata!", ADDRESS(INDEX($Y$2:$Y$1001,MATCH(ROWS($W$2:W687),$W$2:$W$1001,0),0), INDEX($AD$1004:$AU$1004,1,MATCH(COLUMNS($AD$1006:AP1006),$AD$1006:$AU$1006,0)))),"Fix")))</f>
        <v xml:space="preserve"> </v>
      </c>
      <c r="O687" s="4" t="str">
        <f ca="1">IF(OR(INDEX($X$2:$X$1001,MATCH(ROWS($W$2:W687),$W$2:$W$1001,0),1)&gt;=100000,INDEX($AD$1005:$AU$1005,1,MATCH(COLUMNS($AD$1006:AQ1006),$AD$1006:$AU$1006,0))&gt;=100000), " ",IF(INDEX($AD$2:$AU$1001,MATCH(ROWS($W$2:W687),$W$2:$W$1001,0),MATCH(COLUMNS($AD$1006:AQ1006),$AD$1006:$AU$1006,0)), HYPERLINK("#",""), HYPERLINK(CONCATENATE("#metadata!", ADDRESS(INDEX($Y$2:$Y$1001,MATCH(ROWS($W$2:W687),$W$2:$W$1001,0),0), INDEX($AD$1004:$AU$1004,1,MATCH(COLUMNS($AD$1006:AQ1006),$AD$1006:$AU$1006,0)))),"Fix")))</f>
        <v xml:space="preserve"> </v>
      </c>
      <c r="P687" s="4" t="str">
        <f ca="1">IF(OR(INDEX($X$2:$X$1001,MATCH(ROWS($W$2:W687),$W$2:$W$1001,0),1)&gt;=100000,INDEX($AD$1005:$AU$1005,1,MATCH(COLUMNS($AD$1006:AR1006),$AD$1006:$AU$1006,0))&gt;=100000), " ",IF(INDEX($AD$2:$AU$1001,MATCH(ROWS($W$2:W687),$W$2:$W$1001,0),MATCH(COLUMNS($AD$1006:AR1006),$AD$1006:$AU$1006,0)), HYPERLINK("#",""), HYPERLINK(CONCATENATE("#metadata!", ADDRESS(INDEX($Y$2:$Y$1001,MATCH(ROWS($W$2:W687),$W$2:$W$1001,0),0), INDEX($AD$1004:$AU$1004,1,MATCH(COLUMNS($AD$1006:AR1006),$AD$1006:$AU$1006,0)))),"Fix")))</f>
        <v xml:space="preserve"> </v>
      </c>
      <c r="Q687" s="4" t="str">
        <f ca="1">IF(OR(INDEX($X$2:$X$1001,MATCH(ROWS($W$2:W687),$W$2:$W$1001,0),1)&gt;=100000,INDEX($AD$1005:$AU$1005,1,MATCH(COLUMNS($AD$1006:AS1006),$AD$1006:$AU$1006,0))&gt;=100000), " ",IF(INDEX($AD$2:$AU$1001,MATCH(ROWS($W$2:W687),$W$2:$W$1001,0),MATCH(COLUMNS($AD$1006:AS1006),$AD$1006:$AU$1006,0)), HYPERLINK("#",""), HYPERLINK(CONCATENATE("#metadata!", ADDRESS(INDEX($Y$2:$Y$1001,MATCH(ROWS($W$2:W687),$W$2:$W$1001,0),0), INDEX($AD$1004:$AU$1004,1,MATCH(COLUMNS($AD$1006:AS1006),$AD$1006:$AU$1006,0)))),"Fix")))</f>
        <v xml:space="preserve"> </v>
      </c>
      <c r="R687" s="4" t="str">
        <f ca="1">IF(OR(INDEX($X$2:$X$1001,MATCH(ROWS($W$2:W687),$W$2:$W$1001,0),1)&gt;=100000,INDEX($AD$1005:$AU$1005,1,MATCH(COLUMNS($AD$1006:AT1006),$AD$1006:$AU$1006,0))&gt;=100000), " ",IF(INDEX($AD$2:$AU$1001,MATCH(ROWS($W$2:W687),$W$2:$W$1001,0),MATCH(COLUMNS($AD$1006:AT1006),$AD$1006:$AU$1006,0)), HYPERLINK("#",""), HYPERLINK(CONCATENATE("#metadata!", ADDRESS(INDEX($Y$2:$Y$1001,MATCH(ROWS($W$2:W687),$W$2:$W$1001,0),0), INDEX($AD$1004:$AU$1004,1,MATCH(COLUMNS($AD$1006:AT1006),$AD$1006:$AU$1006,0)))),"Fix")))</f>
        <v xml:space="preserve"> </v>
      </c>
      <c r="S687" s="4" t="str">
        <f ca="1">IF(OR(INDEX($X$2:$X$1001,MATCH(ROWS($W$2:W687),$W$2:$W$1001,0),1)&gt;=100000,INDEX($AD$1005:$AU$1005,1,MATCH(COLUMNS($AD$1006:AU1006),$AD$1006:$AU$1006,0))&gt;=100000), " ",IF(INDEX($AD$2:$AU$1001,MATCH(ROWS($W$2:W687),$W$2:$W$1001,0),MATCH(COLUMNS($AD$1006:AU1006),$AD$1006:$AU$1006,0)), HYPERLINK("#",""), HYPERLINK(CONCATENATE("#metadata!", ADDRESS(INDEX($Y$2:$Y$1001,MATCH(ROWS($W$2:W687),$W$2:$W$1001,0),0), INDEX($AD$1004:$AU$1004,1,MATCH(COLUMNS($AD$1006:AU1006),$AD$1006:$AU$1006,0)))),"Fix")))</f>
        <v xml:space="preserve"> </v>
      </c>
      <c r="W687">
        <v>686</v>
      </c>
      <c r="X687">
        <v>100687</v>
      </c>
      <c r="Y687">
        <v>687</v>
      </c>
      <c r="Z687" t="b">
        <f t="shared" si="10"/>
        <v>1</v>
      </c>
      <c r="AA687" t="b">
        <f>COUNTBLANK(metadata!B687:S687)=COLUMNS(metadata!B687:S687)</f>
        <v>1</v>
      </c>
      <c r="AB687" t="str">
        <v/>
      </c>
      <c r="AD687" t="b">
        <f ca="1">AND(IF(metadata!B687="",FALSE,TRUE),COUNTIF(metadata!B:B, metadata!B687) = 1,NOT(ISERROR(SUMPRODUCT(SEARCH(MID(metadata!B687,ROW(INDIRECT("1:"&amp;LEN(metadata!B687))), 1),"0123456789abcdefghijklmnopqrstuvwxyzABCDEFGHIJKLMNOPQRSTUVWXYZ.")))))</f>
        <v>0</v>
      </c>
      <c r="AE687" t="b">
        <f>OR(AND(IF(metadata!C687="",FALSE,TRUE),OR(EXACT(metadata!C687,"not applicable"),EXACT(metadata!C687,"missing: not collected"),EXACT(metadata!C687,"missing: not provided"),EXACT(metadata!C687,"missing: restricted access"))),AND(IF(metadata!C687="",FALSE,ISNUMBER(VALUE(metadata!C687))),metadata!C687&gt;0))</f>
        <v>0</v>
      </c>
      <c r="AF687" t="b">
        <f>AND(IF(metadata!D687="",FALSE,TRUE),EXACT(metadata!D687,"missing: not provided"))</f>
        <v>0</v>
      </c>
      <c r="AG687" t="b">
        <f>AND(IF(metadata!E687="",FALSE,TRUE),EXACT(metadata!E687,"Host-associated"))</f>
        <v>0</v>
      </c>
      <c r="AH687" t="b">
        <f>AND(IF(metadata!F687="",FALSE,TRUE),OR(EXACT(metadata!F687,"Animal"),EXACT(metadata!F687,"Fungus"),EXACT(metadata!F687,"Plant")))</f>
        <v>0</v>
      </c>
      <c r="AI687" t="b">
        <f>AND(IF(metadata!G687="",FALSE,TRUE),OR(EXACT(metadata!G687,"Plant secretion"),EXACT(metadata!G687,"Plant rhizosphere"),EXACT(metadata!G687,"Plant surface"),EXACT(metadata!G687,"Plant corpus"),EXACT(metadata!G687,"Fungus surface"),EXACT(metadata!G687,"Fungus corpus"),EXACT(metadata!G687,"Animal surface"),EXACT(metadata!G687,"Animal proximal gut"),EXACT(metadata!G687,"Animal corpus"),EXACT(metadata!G687,"Animal distal gut"),EXACT(metadata!G687,"Animal secretion")))</f>
        <v>0</v>
      </c>
      <c r="AJ687" t="b">
        <f>OR(AND(IF(metadata!H687="",FALSE,TRUE),OR(EXACT(metadata!H687,"missing: not collected"),EXACT(metadata!H687,"missing: not provided"),EXACT(metadata!H687,"missing: restricted access"))),AND(IF(metadata!H687="",FALSE,TRUE),OR(EXACT(metadata!H687,"organism-associated habitat"),EXACT(metadata!H687,"plant-associated habitat"),EXACT(metadata!H687,"animal-associated habitat"),EXACT(metadata!H687,"insecta-associated habitat"),EXACT(metadata!H687,"mammalia-associated habitat"),EXACT(metadata!H687,"human-associated habitat"),EXACT(metadata!H687,"livestock-associated habitat"))))</f>
        <v>0</v>
      </c>
      <c r="AK687" t="b">
        <f>AND(IF(metadata!I687="",FALSE,TRUE),EXACT(metadata!I687,"host-associated"))</f>
        <v>0</v>
      </c>
      <c r="AL687" t="b">
        <f>OR(AND(IF(metadata!J687="",FALSE,TRUE),OR(EXACT(metadata!J687,"not applicable"),EXACT(metadata!J687,"missing: not collected"),EXACT(metadata!J687,"missing: not provided"),EXACT(metadata!J687,"missing: restricted access"))),AND(IF(metadata!J687="",FALSE,ISNUMBER(VALUE(metadata!J687))),metadata!J687&gt;0))</f>
        <v>0</v>
      </c>
      <c r="AM687" t="b">
        <f>AND(IF(metadata!K687="",FALSE,TRUE),EXACT(metadata!K687,"missing: not provided"))</f>
        <v>0</v>
      </c>
      <c r="AN687" t="b">
        <f>IF(metadata!L687="",FALSE,TRUE)</f>
        <v>0</v>
      </c>
      <c r="AO687" t="b">
        <f>IF(metadata!M687="",FALSE,TRUE)</f>
        <v>0</v>
      </c>
      <c r="AP687" t="b">
        <f>OR(AND(IF(metadata!N687="",FALSE,TRUE),OR(EXACT(metadata!N687,"not applicable"),EXACT(metadata!N687,"missing: not collected"),EXACT(metadata!N687,"missing: not provided"))),AND(IF(metadata!N687="",FALSE,IF(ISERROR(INT(metadata!N687)),FALSE,INT(metadata!N687)=metadata!N687)),metadata!N687&gt;0))</f>
        <v>0</v>
      </c>
      <c r="AQ687" t="b">
        <f>AND(IF(metadata!O687="",FALSE,TRUE),EXACT(metadata!O687,"Not applicable"))</f>
        <v>0</v>
      </c>
      <c r="AR687" t="b">
        <f>OR(AND(IF(metadata!P687="",FALSE,TRUE),OR(EXACT(metadata!P687,"not applicable"),EXACT(metadata!P687,"missing: not collected"),EXACT(metadata!P687,"missing: not provided"),EXACT(metadata!P687,"missing: restricted access"))),IF(metadata!P687="",FALSE,IF(ISERROR(INT(metadata!P687)),FALSE,INT(metadata!P687)=metadata!P687)))</f>
        <v>0</v>
      </c>
      <c r="AS687" t="b">
        <f>AND(IF(metadata!Q687="",FALSE,TRUE),EXACT(metadata!Q687,"Not applicable"))</f>
        <v>0</v>
      </c>
      <c r="AT687" t="b">
        <f>OR(AND(IF(metadata!R687="",FALSE,TRUE),OR(EXACT(metadata!R687,"not applicable"),EXACT(metadata!R687,"missing: not collected"),EXACT(metadata!R687,"missing: not provided"),EXACT(metadata!R687,"missing: restricted access"))),AND(IF(metadata!R687="",FALSE,ISNUMBER(VALUE(metadata!R687))),metadata!R687&gt;0))</f>
        <v>0</v>
      </c>
      <c r="AU687" t="b">
        <f>AND(IF(metadata!S687="",FALSE,TRUE),EXACT(metadata!S687,"missing: not provided"))</f>
        <v>0</v>
      </c>
    </row>
    <row r="688" spans="1:47" x14ac:dyDescent="0.2">
      <c r="A688" s="5" t="str">
        <f ca="1">IF(B688=" "," ",HYPERLINK(CONCATENATE("#metadata!",ADDRESS(INDEX($Y$2:$Y$1001,MATCH(ROWS($W$2:W688),$W$2:$W$1001,0),0),1)),INDEX($AB$2:$AB$1001,MATCH(ROWS($W$2:W688),$W$2:$W$1001,0),0)))</f>
        <v xml:space="preserve"> </v>
      </c>
      <c r="B688" s="4" t="str">
        <f ca="1">IF(OR(INDEX($X$2:$X$1001,MATCH(ROWS($W$2:W688),$W$2:$W$1001,0),1)&gt;=100000,INDEX($AD$1005:$AU$1005,1,MATCH(COLUMNS($AD$1006:AD1006),$AD$1006:$AU$1006,0))&gt;=100000), " ",IF(INDEX($AD$2:$AU$1001,MATCH(ROWS($W$2:W688),$W$2:$W$1001,0),MATCH(COLUMNS($AD$1006:AD1006),$AD$1006:$AU$1006,0)), HYPERLINK("#",""), HYPERLINK(CONCATENATE("#metadata!", ADDRESS(INDEX($Y$2:$Y$1001,MATCH(ROWS($W$2:W688),$W$2:$W$1001,0),0), INDEX($AD$1004:$AU$1004,1,MATCH(COLUMNS($AD$1006:AD1006),$AD$1006:$AU$1006,0)))),"Fix")))</f>
        <v xml:space="preserve"> </v>
      </c>
      <c r="C688" s="4" t="str">
        <f ca="1">IF(OR(INDEX($X$2:$X$1001,MATCH(ROWS($W$2:W688),$W$2:$W$1001,0),1)&gt;=100000,INDEX($AD$1005:$AU$1005,1,MATCH(COLUMNS($AD$1006:AE1006),$AD$1006:$AU$1006,0))&gt;=100000), " ",IF(INDEX($AD$2:$AU$1001,MATCH(ROWS($W$2:W688),$W$2:$W$1001,0),MATCH(COLUMNS($AD$1006:AE1006),$AD$1006:$AU$1006,0)), HYPERLINK("#",""), HYPERLINK(CONCATENATE("#metadata!", ADDRESS(INDEX($Y$2:$Y$1001,MATCH(ROWS($W$2:W688),$W$2:$W$1001,0),0), INDEX($AD$1004:$AU$1004,1,MATCH(COLUMNS($AD$1006:AE1006),$AD$1006:$AU$1006,0)))),"Fix")))</f>
        <v xml:space="preserve"> </v>
      </c>
      <c r="D688" s="4" t="str">
        <f ca="1">IF(OR(INDEX($X$2:$X$1001,MATCH(ROWS($W$2:W688),$W$2:$W$1001,0),1)&gt;=100000,INDEX($AD$1005:$AU$1005,1,MATCH(COLUMNS($AD$1006:AF1006),$AD$1006:$AU$1006,0))&gt;=100000), " ",IF(INDEX($AD$2:$AU$1001,MATCH(ROWS($W$2:W688),$W$2:$W$1001,0),MATCH(COLUMNS($AD$1006:AF1006),$AD$1006:$AU$1006,0)), HYPERLINK("#",""), HYPERLINK(CONCATENATE("#metadata!", ADDRESS(INDEX($Y$2:$Y$1001,MATCH(ROWS($W$2:W688),$W$2:$W$1001,0),0), INDEX($AD$1004:$AU$1004,1,MATCH(COLUMNS($AD$1006:AF1006),$AD$1006:$AU$1006,0)))),"Fix")))</f>
        <v xml:space="preserve"> </v>
      </c>
      <c r="E688" s="4" t="str">
        <f ca="1">IF(OR(INDEX($X$2:$X$1001,MATCH(ROWS($W$2:W688),$W$2:$W$1001,0),1)&gt;=100000,INDEX($AD$1005:$AU$1005,1,MATCH(COLUMNS($AD$1006:AG1006),$AD$1006:$AU$1006,0))&gt;=100000), " ",IF(INDEX($AD$2:$AU$1001,MATCH(ROWS($W$2:W688),$W$2:$W$1001,0),MATCH(COLUMNS($AD$1006:AG1006),$AD$1006:$AU$1006,0)), HYPERLINK("#",""), HYPERLINK(CONCATENATE("#metadata!", ADDRESS(INDEX($Y$2:$Y$1001,MATCH(ROWS($W$2:W688),$W$2:$W$1001,0),0), INDEX($AD$1004:$AU$1004,1,MATCH(COLUMNS($AD$1006:AG1006),$AD$1006:$AU$1006,0)))),"Fix")))</f>
        <v xml:space="preserve"> </v>
      </c>
      <c r="F688" s="4" t="str">
        <f ca="1">IF(OR(INDEX($X$2:$X$1001,MATCH(ROWS($W$2:W688),$W$2:$W$1001,0),1)&gt;=100000,INDEX($AD$1005:$AU$1005,1,MATCH(COLUMNS($AD$1006:AH1006),$AD$1006:$AU$1006,0))&gt;=100000), " ",IF(INDEX($AD$2:$AU$1001,MATCH(ROWS($W$2:W688),$W$2:$W$1001,0),MATCH(COLUMNS($AD$1006:AH1006),$AD$1006:$AU$1006,0)), HYPERLINK("#",""), HYPERLINK(CONCATENATE("#metadata!", ADDRESS(INDEX($Y$2:$Y$1001,MATCH(ROWS($W$2:W688),$W$2:$W$1001,0),0), INDEX($AD$1004:$AU$1004,1,MATCH(COLUMNS($AD$1006:AH1006),$AD$1006:$AU$1006,0)))),"Fix")))</f>
        <v xml:space="preserve"> </v>
      </c>
      <c r="G688" s="4" t="str">
        <f ca="1">IF(OR(INDEX($X$2:$X$1001,MATCH(ROWS($W$2:W688),$W$2:$W$1001,0),1)&gt;=100000,INDEX($AD$1005:$AU$1005,1,MATCH(COLUMNS($AD$1006:AI1006),$AD$1006:$AU$1006,0))&gt;=100000), " ",IF(INDEX($AD$2:$AU$1001,MATCH(ROWS($W$2:W688),$W$2:$W$1001,0),MATCH(COLUMNS($AD$1006:AI1006),$AD$1006:$AU$1006,0)), HYPERLINK("#",""), HYPERLINK(CONCATENATE("#metadata!", ADDRESS(INDEX($Y$2:$Y$1001,MATCH(ROWS($W$2:W688),$W$2:$W$1001,0),0), INDEX($AD$1004:$AU$1004,1,MATCH(COLUMNS($AD$1006:AI1006),$AD$1006:$AU$1006,0)))),"Fix")))</f>
        <v xml:space="preserve"> </v>
      </c>
      <c r="H688" s="4" t="str">
        <f ca="1">IF(OR(INDEX($X$2:$X$1001,MATCH(ROWS($W$2:W688),$W$2:$W$1001,0),1)&gt;=100000,INDEX($AD$1005:$AU$1005,1,MATCH(COLUMNS($AD$1006:AJ1006),$AD$1006:$AU$1006,0))&gt;=100000), " ",IF(INDEX($AD$2:$AU$1001,MATCH(ROWS($W$2:W688),$W$2:$W$1001,0),MATCH(COLUMNS($AD$1006:AJ1006),$AD$1006:$AU$1006,0)), HYPERLINK("#",""), HYPERLINK(CONCATENATE("#metadata!", ADDRESS(INDEX($Y$2:$Y$1001,MATCH(ROWS($W$2:W688),$W$2:$W$1001,0),0), INDEX($AD$1004:$AU$1004,1,MATCH(COLUMNS($AD$1006:AJ1006),$AD$1006:$AU$1006,0)))),"Fix")))</f>
        <v xml:space="preserve"> </v>
      </c>
      <c r="I688" s="4" t="str">
        <f ca="1">IF(OR(INDEX($X$2:$X$1001,MATCH(ROWS($W$2:W688),$W$2:$W$1001,0),1)&gt;=100000,INDEX($AD$1005:$AU$1005,1,MATCH(COLUMNS($AD$1006:AK1006),$AD$1006:$AU$1006,0))&gt;=100000), " ",IF(INDEX($AD$2:$AU$1001,MATCH(ROWS($W$2:W688),$W$2:$W$1001,0),MATCH(COLUMNS($AD$1006:AK1006),$AD$1006:$AU$1006,0)), HYPERLINK("#",""), HYPERLINK(CONCATENATE("#metadata!", ADDRESS(INDEX($Y$2:$Y$1001,MATCH(ROWS($W$2:W688),$W$2:$W$1001,0),0), INDEX($AD$1004:$AU$1004,1,MATCH(COLUMNS($AD$1006:AK1006),$AD$1006:$AU$1006,0)))),"Fix")))</f>
        <v xml:space="preserve"> </v>
      </c>
      <c r="J688" s="4" t="str">
        <f ca="1">IF(OR(INDEX($X$2:$X$1001,MATCH(ROWS($W$2:W688),$W$2:$W$1001,0),1)&gt;=100000,INDEX($AD$1005:$AU$1005,1,MATCH(COLUMNS($AD$1006:AL1006),$AD$1006:$AU$1006,0))&gt;=100000), " ",IF(INDEX($AD$2:$AU$1001,MATCH(ROWS($W$2:W688),$W$2:$W$1001,0),MATCH(COLUMNS($AD$1006:AL1006),$AD$1006:$AU$1006,0)), HYPERLINK("#",""), HYPERLINK(CONCATENATE("#metadata!", ADDRESS(INDEX($Y$2:$Y$1001,MATCH(ROWS($W$2:W688),$W$2:$W$1001,0),0), INDEX($AD$1004:$AU$1004,1,MATCH(COLUMNS($AD$1006:AL1006),$AD$1006:$AU$1006,0)))),"Fix")))</f>
        <v xml:space="preserve"> </v>
      </c>
      <c r="K688" s="4" t="str">
        <f ca="1">IF(OR(INDEX($X$2:$X$1001,MATCH(ROWS($W$2:W688),$W$2:$W$1001,0),1)&gt;=100000,INDEX($AD$1005:$AU$1005,1,MATCH(COLUMNS($AD$1006:AM1006),$AD$1006:$AU$1006,0))&gt;=100000), " ",IF(INDEX($AD$2:$AU$1001,MATCH(ROWS($W$2:W688),$W$2:$W$1001,0),MATCH(COLUMNS($AD$1006:AM1006),$AD$1006:$AU$1006,0)), HYPERLINK("#",""), HYPERLINK(CONCATENATE("#metadata!", ADDRESS(INDEX($Y$2:$Y$1001,MATCH(ROWS($W$2:W688),$W$2:$W$1001,0),0), INDEX($AD$1004:$AU$1004,1,MATCH(COLUMNS($AD$1006:AM1006),$AD$1006:$AU$1006,0)))),"Fix")))</f>
        <v xml:space="preserve"> </v>
      </c>
      <c r="L688" s="4" t="str">
        <f ca="1">IF(OR(INDEX($X$2:$X$1001,MATCH(ROWS($W$2:W688),$W$2:$W$1001,0),1)&gt;=100000,INDEX($AD$1005:$AU$1005,1,MATCH(COLUMNS($AD$1006:AN1006),$AD$1006:$AU$1006,0))&gt;=100000), " ",IF(INDEX($AD$2:$AU$1001,MATCH(ROWS($W$2:W688),$W$2:$W$1001,0),MATCH(COLUMNS($AD$1006:AN1006),$AD$1006:$AU$1006,0)), HYPERLINK("#",""), HYPERLINK(CONCATENATE("#metadata!", ADDRESS(INDEX($Y$2:$Y$1001,MATCH(ROWS($W$2:W688),$W$2:$W$1001,0),0), INDEX($AD$1004:$AU$1004,1,MATCH(COLUMNS($AD$1006:AN1006),$AD$1006:$AU$1006,0)))),"Fix")))</f>
        <v xml:space="preserve"> </v>
      </c>
      <c r="M688" s="4" t="str">
        <f ca="1">IF(OR(INDEX($X$2:$X$1001,MATCH(ROWS($W$2:W688),$W$2:$W$1001,0),1)&gt;=100000,INDEX($AD$1005:$AU$1005,1,MATCH(COLUMNS($AD$1006:AO1006),$AD$1006:$AU$1006,0))&gt;=100000), " ",IF(INDEX($AD$2:$AU$1001,MATCH(ROWS($W$2:W688),$W$2:$W$1001,0),MATCH(COLUMNS($AD$1006:AO1006),$AD$1006:$AU$1006,0)), HYPERLINK("#",""), HYPERLINK(CONCATENATE("#metadata!", ADDRESS(INDEX($Y$2:$Y$1001,MATCH(ROWS($W$2:W688),$W$2:$W$1001,0),0), INDEX($AD$1004:$AU$1004,1,MATCH(COLUMNS($AD$1006:AO1006),$AD$1006:$AU$1006,0)))),"Fix")))</f>
        <v xml:space="preserve"> </v>
      </c>
      <c r="N688" s="4" t="str">
        <f ca="1">IF(OR(INDEX($X$2:$X$1001,MATCH(ROWS($W$2:W688),$W$2:$W$1001,0),1)&gt;=100000,INDEX($AD$1005:$AU$1005,1,MATCH(COLUMNS($AD$1006:AP1006),$AD$1006:$AU$1006,0))&gt;=100000), " ",IF(INDEX($AD$2:$AU$1001,MATCH(ROWS($W$2:W688),$W$2:$W$1001,0),MATCH(COLUMNS($AD$1006:AP1006),$AD$1006:$AU$1006,0)), HYPERLINK("#",""), HYPERLINK(CONCATENATE("#metadata!", ADDRESS(INDEX($Y$2:$Y$1001,MATCH(ROWS($W$2:W688),$W$2:$W$1001,0),0), INDEX($AD$1004:$AU$1004,1,MATCH(COLUMNS($AD$1006:AP1006),$AD$1006:$AU$1006,0)))),"Fix")))</f>
        <v xml:space="preserve"> </v>
      </c>
      <c r="O688" s="4" t="str">
        <f ca="1">IF(OR(INDEX($X$2:$X$1001,MATCH(ROWS($W$2:W688),$W$2:$W$1001,0),1)&gt;=100000,INDEX($AD$1005:$AU$1005,1,MATCH(COLUMNS($AD$1006:AQ1006),$AD$1006:$AU$1006,0))&gt;=100000), " ",IF(INDEX($AD$2:$AU$1001,MATCH(ROWS($W$2:W688),$W$2:$W$1001,0),MATCH(COLUMNS($AD$1006:AQ1006),$AD$1006:$AU$1006,0)), HYPERLINK("#",""), HYPERLINK(CONCATENATE("#metadata!", ADDRESS(INDEX($Y$2:$Y$1001,MATCH(ROWS($W$2:W688),$W$2:$W$1001,0),0), INDEX($AD$1004:$AU$1004,1,MATCH(COLUMNS($AD$1006:AQ1006),$AD$1006:$AU$1006,0)))),"Fix")))</f>
        <v xml:space="preserve"> </v>
      </c>
      <c r="P688" s="4" t="str">
        <f ca="1">IF(OR(INDEX($X$2:$X$1001,MATCH(ROWS($W$2:W688),$W$2:$W$1001,0),1)&gt;=100000,INDEX($AD$1005:$AU$1005,1,MATCH(COLUMNS($AD$1006:AR1006),$AD$1006:$AU$1006,0))&gt;=100000), " ",IF(INDEX($AD$2:$AU$1001,MATCH(ROWS($W$2:W688),$W$2:$W$1001,0),MATCH(COLUMNS($AD$1006:AR1006),$AD$1006:$AU$1006,0)), HYPERLINK("#",""), HYPERLINK(CONCATENATE("#metadata!", ADDRESS(INDEX($Y$2:$Y$1001,MATCH(ROWS($W$2:W688),$W$2:$W$1001,0),0), INDEX($AD$1004:$AU$1004,1,MATCH(COLUMNS($AD$1006:AR1006),$AD$1006:$AU$1006,0)))),"Fix")))</f>
        <v xml:space="preserve"> </v>
      </c>
      <c r="Q688" s="4" t="str">
        <f ca="1">IF(OR(INDEX($X$2:$X$1001,MATCH(ROWS($W$2:W688),$W$2:$W$1001,0),1)&gt;=100000,INDEX($AD$1005:$AU$1005,1,MATCH(COLUMNS($AD$1006:AS1006),$AD$1006:$AU$1006,0))&gt;=100000), " ",IF(INDEX($AD$2:$AU$1001,MATCH(ROWS($W$2:W688),$W$2:$W$1001,0),MATCH(COLUMNS($AD$1006:AS1006),$AD$1006:$AU$1006,0)), HYPERLINK("#",""), HYPERLINK(CONCATENATE("#metadata!", ADDRESS(INDEX($Y$2:$Y$1001,MATCH(ROWS($W$2:W688),$W$2:$W$1001,0),0), INDEX($AD$1004:$AU$1004,1,MATCH(COLUMNS($AD$1006:AS1006),$AD$1006:$AU$1006,0)))),"Fix")))</f>
        <v xml:space="preserve"> </v>
      </c>
      <c r="R688" s="4" t="str">
        <f ca="1">IF(OR(INDEX($X$2:$X$1001,MATCH(ROWS($W$2:W688),$W$2:$W$1001,0),1)&gt;=100000,INDEX($AD$1005:$AU$1005,1,MATCH(COLUMNS($AD$1006:AT1006),$AD$1006:$AU$1006,0))&gt;=100000), " ",IF(INDEX($AD$2:$AU$1001,MATCH(ROWS($W$2:W688),$W$2:$W$1001,0),MATCH(COLUMNS($AD$1006:AT1006),$AD$1006:$AU$1006,0)), HYPERLINK("#",""), HYPERLINK(CONCATENATE("#metadata!", ADDRESS(INDEX($Y$2:$Y$1001,MATCH(ROWS($W$2:W688),$W$2:$W$1001,0),0), INDEX($AD$1004:$AU$1004,1,MATCH(COLUMNS($AD$1006:AT1006),$AD$1006:$AU$1006,0)))),"Fix")))</f>
        <v xml:space="preserve"> </v>
      </c>
      <c r="S688" s="4" t="str">
        <f ca="1">IF(OR(INDEX($X$2:$X$1001,MATCH(ROWS($W$2:W688),$W$2:$W$1001,0),1)&gt;=100000,INDEX($AD$1005:$AU$1005,1,MATCH(COLUMNS($AD$1006:AU1006),$AD$1006:$AU$1006,0))&gt;=100000), " ",IF(INDEX($AD$2:$AU$1001,MATCH(ROWS($W$2:W688),$W$2:$W$1001,0),MATCH(COLUMNS($AD$1006:AU1006),$AD$1006:$AU$1006,0)), HYPERLINK("#",""), HYPERLINK(CONCATENATE("#metadata!", ADDRESS(INDEX($Y$2:$Y$1001,MATCH(ROWS($W$2:W688),$W$2:$W$1001,0),0), INDEX($AD$1004:$AU$1004,1,MATCH(COLUMNS($AD$1006:AU1006),$AD$1006:$AU$1006,0)))),"Fix")))</f>
        <v xml:space="preserve"> </v>
      </c>
      <c r="W688">
        <v>687</v>
      </c>
      <c r="X688">
        <v>100688</v>
      </c>
      <c r="Y688">
        <v>688</v>
      </c>
      <c r="Z688" t="b">
        <f t="shared" si="10"/>
        <v>1</v>
      </c>
      <c r="AA688" t="b">
        <f>COUNTBLANK(metadata!B688:S688)=COLUMNS(metadata!B688:S688)</f>
        <v>1</v>
      </c>
      <c r="AB688" t="str">
        <v/>
      </c>
      <c r="AD688" t="b">
        <f ca="1">AND(IF(metadata!B688="",FALSE,TRUE),COUNTIF(metadata!B:B, metadata!B688) = 1,NOT(ISERROR(SUMPRODUCT(SEARCH(MID(metadata!B688,ROW(INDIRECT("1:"&amp;LEN(metadata!B688))), 1),"0123456789abcdefghijklmnopqrstuvwxyzABCDEFGHIJKLMNOPQRSTUVWXYZ.")))))</f>
        <v>0</v>
      </c>
      <c r="AE688" t="b">
        <f>OR(AND(IF(metadata!C688="",FALSE,TRUE),OR(EXACT(metadata!C688,"not applicable"),EXACT(metadata!C688,"missing: not collected"),EXACT(metadata!C688,"missing: not provided"),EXACT(metadata!C688,"missing: restricted access"))),AND(IF(metadata!C688="",FALSE,ISNUMBER(VALUE(metadata!C688))),metadata!C688&gt;0))</f>
        <v>0</v>
      </c>
      <c r="AF688" t="b">
        <f>AND(IF(metadata!D688="",FALSE,TRUE),EXACT(metadata!D688,"missing: not provided"))</f>
        <v>0</v>
      </c>
      <c r="AG688" t="b">
        <f>AND(IF(metadata!E688="",FALSE,TRUE),EXACT(metadata!E688,"Host-associated"))</f>
        <v>0</v>
      </c>
      <c r="AH688" t="b">
        <f>AND(IF(metadata!F688="",FALSE,TRUE),OR(EXACT(metadata!F688,"Animal"),EXACT(metadata!F688,"Fungus"),EXACT(metadata!F688,"Plant")))</f>
        <v>0</v>
      </c>
      <c r="AI688" t="b">
        <f>AND(IF(metadata!G688="",FALSE,TRUE),OR(EXACT(metadata!G688,"Plant secretion"),EXACT(metadata!G688,"Plant rhizosphere"),EXACT(metadata!G688,"Plant surface"),EXACT(metadata!G688,"Plant corpus"),EXACT(metadata!G688,"Fungus surface"),EXACT(metadata!G688,"Fungus corpus"),EXACT(metadata!G688,"Animal surface"),EXACT(metadata!G688,"Animal proximal gut"),EXACT(metadata!G688,"Animal corpus"),EXACT(metadata!G688,"Animal distal gut"),EXACT(metadata!G688,"Animal secretion")))</f>
        <v>0</v>
      </c>
      <c r="AJ688" t="b">
        <f>OR(AND(IF(metadata!H688="",FALSE,TRUE),OR(EXACT(metadata!H688,"missing: not collected"),EXACT(metadata!H688,"missing: not provided"),EXACT(metadata!H688,"missing: restricted access"))),AND(IF(metadata!H688="",FALSE,TRUE),OR(EXACT(metadata!H688,"organism-associated habitat"),EXACT(metadata!H688,"plant-associated habitat"),EXACT(metadata!H688,"animal-associated habitat"),EXACT(metadata!H688,"insecta-associated habitat"),EXACT(metadata!H688,"mammalia-associated habitat"),EXACT(metadata!H688,"human-associated habitat"),EXACT(metadata!H688,"livestock-associated habitat"))))</f>
        <v>0</v>
      </c>
      <c r="AK688" t="b">
        <f>AND(IF(metadata!I688="",FALSE,TRUE),EXACT(metadata!I688,"host-associated"))</f>
        <v>0</v>
      </c>
      <c r="AL688" t="b">
        <f>OR(AND(IF(metadata!J688="",FALSE,TRUE),OR(EXACT(metadata!J688,"not applicable"),EXACT(metadata!J688,"missing: not collected"),EXACT(metadata!J688,"missing: not provided"),EXACT(metadata!J688,"missing: restricted access"))),AND(IF(metadata!J688="",FALSE,ISNUMBER(VALUE(metadata!J688))),metadata!J688&gt;0))</f>
        <v>0</v>
      </c>
      <c r="AM688" t="b">
        <f>AND(IF(metadata!K688="",FALSE,TRUE),EXACT(metadata!K688,"missing: not provided"))</f>
        <v>0</v>
      </c>
      <c r="AN688" t="b">
        <f>IF(metadata!L688="",FALSE,TRUE)</f>
        <v>0</v>
      </c>
      <c r="AO688" t="b">
        <f>IF(metadata!M688="",FALSE,TRUE)</f>
        <v>0</v>
      </c>
      <c r="AP688" t="b">
        <f>OR(AND(IF(metadata!N688="",FALSE,TRUE),OR(EXACT(metadata!N688,"not applicable"),EXACT(metadata!N688,"missing: not collected"),EXACT(metadata!N688,"missing: not provided"))),AND(IF(metadata!N688="",FALSE,IF(ISERROR(INT(metadata!N688)),FALSE,INT(metadata!N688)=metadata!N688)),metadata!N688&gt;0))</f>
        <v>0</v>
      </c>
      <c r="AQ688" t="b">
        <f>AND(IF(metadata!O688="",FALSE,TRUE),EXACT(metadata!O688,"Not applicable"))</f>
        <v>0</v>
      </c>
      <c r="AR688" t="b">
        <f>OR(AND(IF(metadata!P688="",FALSE,TRUE),OR(EXACT(metadata!P688,"not applicable"),EXACT(metadata!P688,"missing: not collected"),EXACT(metadata!P688,"missing: not provided"),EXACT(metadata!P688,"missing: restricted access"))),IF(metadata!P688="",FALSE,IF(ISERROR(INT(metadata!P688)),FALSE,INT(metadata!P688)=metadata!P688)))</f>
        <v>0</v>
      </c>
      <c r="AS688" t="b">
        <f>AND(IF(metadata!Q688="",FALSE,TRUE),EXACT(metadata!Q688,"Not applicable"))</f>
        <v>0</v>
      </c>
      <c r="AT688" t="b">
        <f>OR(AND(IF(metadata!R688="",FALSE,TRUE),OR(EXACT(metadata!R688,"not applicable"),EXACT(metadata!R688,"missing: not collected"),EXACT(metadata!R688,"missing: not provided"),EXACT(metadata!R688,"missing: restricted access"))),AND(IF(metadata!R688="",FALSE,ISNUMBER(VALUE(metadata!R688))),metadata!R688&gt;0))</f>
        <v>0</v>
      </c>
      <c r="AU688" t="b">
        <f>AND(IF(metadata!S688="",FALSE,TRUE),EXACT(metadata!S688,"missing: not provided"))</f>
        <v>0</v>
      </c>
    </row>
    <row r="689" spans="1:47" x14ac:dyDescent="0.2">
      <c r="A689" s="5" t="str">
        <f ca="1">IF(B689=" "," ",HYPERLINK(CONCATENATE("#metadata!",ADDRESS(INDEX($Y$2:$Y$1001,MATCH(ROWS($W$2:W689),$W$2:$W$1001,0),0),1)),INDEX($AB$2:$AB$1001,MATCH(ROWS($W$2:W689),$W$2:$W$1001,0),0)))</f>
        <v xml:space="preserve"> </v>
      </c>
      <c r="B689" s="4" t="str">
        <f ca="1">IF(OR(INDEX($X$2:$X$1001,MATCH(ROWS($W$2:W689),$W$2:$W$1001,0),1)&gt;=100000,INDEX($AD$1005:$AU$1005,1,MATCH(COLUMNS($AD$1006:AD1006),$AD$1006:$AU$1006,0))&gt;=100000), " ",IF(INDEX($AD$2:$AU$1001,MATCH(ROWS($W$2:W689),$W$2:$W$1001,0),MATCH(COLUMNS($AD$1006:AD1006),$AD$1006:$AU$1006,0)), HYPERLINK("#",""), HYPERLINK(CONCATENATE("#metadata!", ADDRESS(INDEX($Y$2:$Y$1001,MATCH(ROWS($W$2:W689),$W$2:$W$1001,0),0), INDEX($AD$1004:$AU$1004,1,MATCH(COLUMNS($AD$1006:AD1006),$AD$1006:$AU$1006,0)))),"Fix")))</f>
        <v xml:space="preserve"> </v>
      </c>
      <c r="C689" s="4" t="str">
        <f ca="1">IF(OR(INDEX($X$2:$X$1001,MATCH(ROWS($W$2:W689),$W$2:$W$1001,0),1)&gt;=100000,INDEX($AD$1005:$AU$1005,1,MATCH(COLUMNS($AD$1006:AE1006),$AD$1006:$AU$1006,0))&gt;=100000), " ",IF(INDEX($AD$2:$AU$1001,MATCH(ROWS($W$2:W689),$W$2:$W$1001,0),MATCH(COLUMNS($AD$1006:AE1006),$AD$1006:$AU$1006,0)), HYPERLINK("#",""), HYPERLINK(CONCATENATE("#metadata!", ADDRESS(INDEX($Y$2:$Y$1001,MATCH(ROWS($W$2:W689),$W$2:$W$1001,0),0), INDEX($AD$1004:$AU$1004,1,MATCH(COLUMNS($AD$1006:AE1006),$AD$1006:$AU$1006,0)))),"Fix")))</f>
        <v xml:space="preserve"> </v>
      </c>
      <c r="D689" s="4" t="str">
        <f ca="1">IF(OR(INDEX($X$2:$X$1001,MATCH(ROWS($W$2:W689),$W$2:$W$1001,0),1)&gt;=100000,INDEX($AD$1005:$AU$1005,1,MATCH(COLUMNS($AD$1006:AF1006),$AD$1006:$AU$1006,0))&gt;=100000), " ",IF(INDEX($AD$2:$AU$1001,MATCH(ROWS($W$2:W689),$W$2:$W$1001,0),MATCH(COLUMNS($AD$1006:AF1006),$AD$1006:$AU$1006,0)), HYPERLINK("#",""), HYPERLINK(CONCATENATE("#metadata!", ADDRESS(INDEX($Y$2:$Y$1001,MATCH(ROWS($W$2:W689),$W$2:$W$1001,0),0), INDEX($AD$1004:$AU$1004,1,MATCH(COLUMNS($AD$1006:AF1006),$AD$1006:$AU$1006,0)))),"Fix")))</f>
        <v xml:space="preserve"> </v>
      </c>
      <c r="E689" s="4" t="str">
        <f ca="1">IF(OR(INDEX($X$2:$X$1001,MATCH(ROWS($W$2:W689),$W$2:$W$1001,0),1)&gt;=100000,INDEX($AD$1005:$AU$1005,1,MATCH(COLUMNS($AD$1006:AG1006),$AD$1006:$AU$1006,0))&gt;=100000), " ",IF(INDEX($AD$2:$AU$1001,MATCH(ROWS($W$2:W689),$W$2:$W$1001,0),MATCH(COLUMNS($AD$1006:AG1006),$AD$1006:$AU$1006,0)), HYPERLINK("#",""), HYPERLINK(CONCATENATE("#metadata!", ADDRESS(INDEX($Y$2:$Y$1001,MATCH(ROWS($W$2:W689),$W$2:$W$1001,0),0), INDEX($AD$1004:$AU$1004,1,MATCH(COLUMNS($AD$1006:AG1006),$AD$1006:$AU$1006,0)))),"Fix")))</f>
        <v xml:space="preserve"> </v>
      </c>
      <c r="F689" s="4" t="str">
        <f ca="1">IF(OR(INDEX($X$2:$X$1001,MATCH(ROWS($W$2:W689),$W$2:$W$1001,0),1)&gt;=100000,INDEX($AD$1005:$AU$1005,1,MATCH(COLUMNS($AD$1006:AH1006),$AD$1006:$AU$1006,0))&gt;=100000), " ",IF(INDEX($AD$2:$AU$1001,MATCH(ROWS($W$2:W689),$W$2:$W$1001,0),MATCH(COLUMNS($AD$1006:AH1006),$AD$1006:$AU$1006,0)), HYPERLINK("#",""), HYPERLINK(CONCATENATE("#metadata!", ADDRESS(INDEX($Y$2:$Y$1001,MATCH(ROWS($W$2:W689),$W$2:$W$1001,0),0), INDEX($AD$1004:$AU$1004,1,MATCH(COLUMNS($AD$1006:AH1006),$AD$1006:$AU$1006,0)))),"Fix")))</f>
        <v xml:space="preserve"> </v>
      </c>
      <c r="G689" s="4" t="str">
        <f ca="1">IF(OR(INDEX($X$2:$X$1001,MATCH(ROWS($W$2:W689),$W$2:$W$1001,0),1)&gt;=100000,INDEX($AD$1005:$AU$1005,1,MATCH(COLUMNS($AD$1006:AI1006),$AD$1006:$AU$1006,0))&gt;=100000), " ",IF(INDEX($AD$2:$AU$1001,MATCH(ROWS($W$2:W689),$W$2:$W$1001,0),MATCH(COLUMNS($AD$1006:AI1006),$AD$1006:$AU$1006,0)), HYPERLINK("#",""), HYPERLINK(CONCATENATE("#metadata!", ADDRESS(INDEX($Y$2:$Y$1001,MATCH(ROWS($W$2:W689),$W$2:$W$1001,0),0), INDEX($AD$1004:$AU$1004,1,MATCH(COLUMNS($AD$1006:AI1006),$AD$1006:$AU$1006,0)))),"Fix")))</f>
        <v xml:space="preserve"> </v>
      </c>
      <c r="H689" s="4" t="str">
        <f ca="1">IF(OR(INDEX($X$2:$X$1001,MATCH(ROWS($W$2:W689),$W$2:$W$1001,0),1)&gt;=100000,INDEX($AD$1005:$AU$1005,1,MATCH(COLUMNS($AD$1006:AJ1006),$AD$1006:$AU$1006,0))&gt;=100000), " ",IF(INDEX($AD$2:$AU$1001,MATCH(ROWS($W$2:W689),$W$2:$W$1001,0),MATCH(COLUMNS($AD$1006:AJ1006),$AD$1006:$AU$1006,0)), HYPERLINK("#",""), HYPERLINK(CONCATENATE("#metadata!", ADDRESS(INDEX($Y$2:$Y$1001,MATCH(ROWS($W$2:W689),$W$2:$W$1001,0),0), INDEX($AD$1004:$AU$1004,1,MATCH(COLUMNS($AD$1006:AJ1006),$AD$1006:$AU$1006,0)))),"Fix")))</f>
        <v xml:space="preserve"> </v>
      </c>
      <c r="I689" s="4" t="str">
        <f ca="1">IF(OR(INDEX($X$2:$X$1001,MATCH(ROWS($W$2:W689),$W$2:$W$1001,0),1)&gt;=100000,INDEX($AD$1005:$AU$1005,1,MATCH(COLUMNS($AD$1006:AK1006),$AD$1006:$AU$1006,0))&gt;=100000), " ",IF(INDEX($AD$2:$AU$1001,MATCH(ROWS($W$2:W689),$W$2:$W$1001,0),MATCH(COLUMNS($AD$1006:AK1006),$AD$1006:$AU$1006,0)), HYPERLINK("#",""), HYPERLINK(CONCATENATE("#metadata!", ADDRESS(INDEX($Y$2:$Y$1001,MATCH(ROWS($W$2:W689),$W$2:$W$1001,0),0), INDEX($AD$1004:$AU$1004,1,MATCH(COLUMNS($AD$1006:AK1006),$AD$1006:$AU$1006,0)))),"Fix")))</f>
        <v xml:space="preserve"> </v>
      </c>
      <c r="J689" s="4" t="str">
        <f ca="1">IF(OR(INDEX($X$2:$X$1001,MATCH(ROWS($W$2:W689),$W$2:$W$1001,0),1)&gt;=100000,INDEX($AD$1005:$AU$1005,1,MATCH(COLUMNS($AD$1006:AL1006),$AD$1006:$AU$1006,0))&gt;=100000), " ",IF(INDEX($AD$2:$AU$1001,MATCH(ROWS($W$2:W689),$W$2:$W$1001,0),MATCH(COLUMNS($AD$1006:AL1006),$AD$1006:$AU$1006,0)), HYPERLINK("#",""), HYPERLINK(CONCATENATE("#metadata!", ADDRESS(INDEX($Y$2:$Y$1001,MATCH(ROWS($W$2:W689),$W$2:$W$1001,0),0), INDEX($AD$1004:$AU$1004,1,MATCH(COLUMNS($AD$1006:AL1006),$AD$1006:$AU$1006,0)))),"Fix")))</f>
        <v xml:space="preserve"> </v>
      </c>
      <c r="K689" s="4" t="str">
        <f ca="1">IF(OR(INDEX($X$2:$X$1001,MATCH(ROWS($W$2:W689),$W$2:$W$1001,0),1)&gt;=100000,INDEX($AD$1005:$AU$1005,1,MATCH(COLUMNS($AD$1006:AM1006),$AD$1006:$AU$1006,0))&gt;=100000), " ",IF(INDEX($AD$2:$AU$1001,MATCH(ROWS($W$2:W689),$W$2:$W$1001,0),MATCH(COLUMNS($AD$1006:AM1006),$AD$1006:$AU$1006,0)), HYPERLINK("#",""), HYPERLINK(CONCATENATE("#metadata!", ADDRESS(INDEX($Y$2:$Y$1001,MATCH(ROWS($W$2:W689),$W$2:$W$1001,0),0), INDEX($AD$1004:$AU$1004,1,MATCH(COLUMNS($AD$1006:AM1006),$AD$1006:$AU$1006,0)))),"Fix")))</f>
        <v xml:space="preserve"> </v>
      </c>
      <c r="L689" s="4" t="str">
        <f ca="1">IF(OR(INDEX($X$2:$X$1001,MATCH(ROWS($W$2:W689),$W$2:$W$1001,0),1)&gt;=100000,INDEX($AD$1005:$AU$1005,1,MATCH(COLUMNS($AD$1006:AN1006),$AD$1006:$AU$1006,0))&gt;=100000), " ",IF(INDEX($AD$2:$AU$1001,MATCH(ROWS($W$2:W689),$W$2:$W$1001,0),MATCH(COLUMNS($AD$1006:AN1006),$AD$1006:$AU$1006,0)), HYPERLINK("#",""), HYPERLINK(CONCATENATE("#metadata!", ADDRESS(INDEX($Y$2:$Y$1001,MATCH(ROWS($W$2:W689),$W$2:$W$1001,0),0), INDEX($AD$1004:$AU$1004,1,MATCH(COLUMNS($AD$1006:AN1006),$AD$1006:$AU$1006,0)))),"Fix")))</f>
        <v xml:space="preserve"> </v>
      </c>
      <c r="M689" s="4" t="str">
        <f ca="1">IF(OR(INDEX($X$2:$X$1001,MATCH(ROWS($W$2:W689),$W$2:$W$1001,0),1)&gt;=100000,INDEX($AD$1005:$AU$1005,1,MATCH(COLUMNS($AD$1006:AO1006),$AD$1006:$AU$1006,0))&gt;=100000), " ",IF(INDEX($AD$2:$AU$1001,MATCH(ROWS($W$2:W689),$W$2:$W$1001,0),MATCH(COLUMNS($AD$1006:AO1006),$AD$1006:$AU$1006,0)), HYPERLINK("#",""), HYPERLINK(CONCATENATE("#metadata!", ADDRESS(INDEX($Y$2:$Y$1001,MATCH(ROWS($W$2:W689),$W$2:$W$1001,0),0), INDEX($AD$1004:$AU$1004,1,MATCH(COLUMNS($AD$1006:AO1006),$AD$1006:$AU$1006,0)))),"Fix")))</f>
        <v xml:space="preserve"> </v>
      </c>
      <c r="N689" s="4" t="str">
        <f ca="1">IF(OR(INDEX($X$2:$X$1001,MATCH(ROWS($W$2:W689),$W$2:$W$1001,0),1)&gt;=100000,INDEX($AD$1005:$AU$1005,1,MATCH(COLUMNS($AD$1006:AP1006),$AD$1006:$AU$1006,0))&gt;=100000), " ",IF(INDEX($AD$2:$AU$1001,MATCH(ROWS($W$2:W689),$W$2:$W$1001,0),MATCH(COLUMNS($AD$1006:AP1006),$AD$1006:$AU$1006,0)), HYPERLINK("#",""), HYPERLINK(CONCATENATE("#metadata!", ADDRESS(INDEX($Y$2:$Y$1001,MATCH(ROWS($W$2:W689),$W$2:$W$1001,0),0), INDEX($AD$1004:$AU$1004,1,MATCH(COLUMNS($AD$1006:AP1006),$AD$1006:$AU$1006,0)))),"Fix")))</f>
        <v xml:space="preserve"> </v>
      </c>
      <c r="O689" s="4" t="str">
        <f ca="1">IF(OR(INDEX($X$2:$X$1001,MATCH(ROWS($W$2:W689),$W$2:$W$1001,0),1)&gt;=100000,INDEX($AD$1005:$AU$1005,1,MATCH(COLUMNS($AD$1006:AQ1006),$AD$1006:$AU$1006,0))&gt;=100000), " ",IF(INDEX($AD$2:$AU$1001,MATCH(ROWS($W$2:W689),$W$2:$W$1001,0),MATCH(COLUMNS($AD$1006:AQ1006),$AD$1006:$AU$1006,0)), HYPERLINK("#",""), HYPERLINK(CONCATENATE("#metadata!", ADDRESS(INDEX($Y$2:$Y$1001,MATCH(ROWS($W$2:W689),$W$2:$W$1001,0),0), INDEX($AD$1004:$AU$1004,1,MATCH(COLUMNS($AD$1006:AQ1006),$AD$1006:$AU$1006,0)))),"Fix")))</f>
        <v xml:space="preserve"> </v>
      </c>
      <c r="P689" s="4" t="str">
        <f ca="1">IF(OR(INDEX($X$2:$X$1001,MATCH(ROWS($W$2:W689),$W$2:$W$1001,0),1)&gt;=100000,INDEX($AD$1005:$AU$1005,1,MATCH(COLUMNS($AD$1006:AR1006),$AD$1006:$AU$1006,0))&gt;=100000), " ",IF(INDEX($AD$2:$AU$1001,MATCH(ROWS($W$2:W689),$W$2:$W$1001,0),MATCH(COLUMNS($AD$1006:AR1006),$AD$1006:$AU$1006,0)), HYPERLINK("#",""), HYPERLINK(CONCATENATE("#metadata!", ADDRESS(INDEX($Y$2:$Y$1001,MATCH(ROWS($W$2:W689),$W$2:$W$1001,0),0), INDEX($AD$1004:$AU$1004,1,MATCH(COLUMNS($AD$1006:AR1006),$AD$1006:$AU$1006,0)))),"Fix")))</f>
        <v xml:space="preserve"> </v>
      </c>
      <c r="Q689" s="4" t="str">
        <f ca="1">IF(OR(INDEX($X$2:$X$1001,MATCH(ROWS($W$2:W689),$W$2:$W$1001,0),1)&gt;=100000,INDEX($AD$1005:$AU$1005,1,MATCH(COLUMNS($AD$1006:AS1006),$AD$1006:$AU$1006,0))&gt;=100000), " ",IF(INDEX($AD$2:$AU$1001,MATCH(ROWS($W$2:W689),$W$2:$W$1001,0),MATCH(COLUMNS($AD$1006:AS1006),$AD$1006:$AU$1006,0)), HYPERLINK("#",""), HYPERLINK(CONCATENATE("#metadata!", ADDRESS(INDEX($Y$2:$Y$1001,MATCH(ROWS($W$2:W689),$W$2:$W$1001,0),0), INDEX($AD$1004:$AU$1004,1,MATCH(COLUMNS($AD$1006:AS1006),$AD$1006:$AU$1006,0)))),"Fix")))</f>
        <v xml:space="preserve"> </v>
      </c>
      <c r="R689" s="4" t="str">
        <f ca="1">IF(OR(INDEX($X$2:$X$1001,MATCH(ROWS($W$2:W689),$W$2:$W$1001,0),1)&gt;=100000,INDEX($AD$1005:$AU$1005,1,MATCH(COLUMNS($AD$1006:AT1006),$AD$1006:$AU$1006,0))&gt;=100000), " ",IF(INDEX($AD$2:$AU$1001,MATCH(ROWS($W$2:W689),$W$2:$W$1001,0),MATCH(COLUMNS($AD$1006:AT1006),$AD$1006:$AU$1006,0)), HYPERLINK("#",""), HYPERLINK(CONCATENATE("#metadata!", ADDRESS(INDEX($Y$2:$Y$1001,MATCH(ROWS($W$2:W689),$W$2:$W$1001,0),0), INDEX($AD$1004:$AU$1004,1,MATCH(COLUMNS($AD$1006:AT1006),$AD$1006:$AU$1006,0)))),"Fix")))</f>
        <v xml:space="preserve"> </v>
      </c>
      <c r="S689" s="4" t="str">
        <f ca="1">IF(OR(INDEX($X$2:$X$1001,MATCH(ROWS($W$2:W689),$W$2:$W$1001,0),1)&gt;=100000,INDEX($AD$1005:$AU$1005,1,MATCH(COLUMNS($AD$1006:AU1006),$AD$1006:$AU$1006,0))&gt;=100000), " ",IF(INDEX($AD$2:$AU$1001,MATCH(ROWS($W$2:W689),$W$2:$W$1001,0),MATCH(COLUMNS($AD$1006:AU1006),$AD$1006:$AU$1006,0)), HYPERLINK("#",""), HYPERLINK(CONCATENATE("#metadata!", ADDRESS(INDEX($Y$2:$Y$1001,MATCH(ROWS($W$2:W689),$W$2:$W$1001,0),0), INDEX($AD$1004:$AU$1004,1,MATCH(COLUMNS($AD$1006:AU1006),$AD$1006:$AU$1006,0)))),"Fix")))</f>
        <v xml:space="preserve"> </v>
      </c>
      <c r="W689">
        <v>688</v>
      </c>
      <c r="X689">
        <v>100689</v>
      </c>
      <c r="Y689">
        <v>689</v>
      </c>
      <c r="Z689" t="b">
        <f t="shared" si="10"/>
        <v>1</v>
      </c>
      <c r="AA689" t="b">
        <f>COUNTBLANK(metadata!B689:S689)=COLUMNS(metadata!B689:S689)</f>
        <v>1</v>
      </c>
      <c r="AB689" t="str">
        <v/>
      </c>
      <c r="AD689" t="b">
        <f ca="1">AND(IF(metadata!B689="",FALSE,TRUE),COUNTIF(metadata!B:B, metadata!B689) = 1,NOT(ISERROR(SUMPRODUCT(SEARCH(MID(metadata!B689,ROW(INDIRECT("1:"&amp;LEN(metadata!B689))), 1),"0123456789abcdefghijklmnopqrstuvwxyzABCDEFGHIJKLMNOPQRSTUVWXYZ.")))))</f>
        <v>0</v>
      </c>
      <c r="AE689" t="b">
        <f>OR(AND(IF(metadata!C689="",FALSE,TRUE),OR(EXACT(metadata!C689,"not applicable"),EXACT(metadata!C689,"missing: not collected"),EXACT(metadata!C689,"missing: not provided"),EXACT(metadata!C689,"missing: restricted access"))),AND(IF(metadata!C689="",FALSE,ISNUMBER(VALUE(metadata!C689))),metadata!C689&gt;0))</f>
        <v>0</v>
      </c>
      <c r="AF689" t="b">
        <f>AND(IF(metadata!D689="",FALSE,TRUE),EXACT(metadata!D689,"missing: not provided"))</f>
        <v>0</v>
      </c>
      <c r="AG689" t="b">
        <f>AND(IF(metadata!E689="",FALSE,TRUE),EXACT(metadata!E689,"Host-associated"))</f>
        <v>0</v>
      </c>
      <c r="AH689" t="b">
        <f>AND(IF(metadata!F689="",FALSE,TRUE),OR(EXACT(metadata!F689,"Animal"),EXACT(metadata!F689,"Fungus"),EXACT(metadata!F689,"Plant")))</f>
        <v>0</v>
      </c>
      <c r="AI689" t="b">
        <f>AND(IF(metadata!G689="",FALSE,TRUE),OR(EXACT(metadata!G689,"Plant secretion"),EXACT(metadata!G689,"Plant rhizosphere"),EXACT(metadata!G689,"Plant surface"),EXACT(metadata!G689,"Plant corpus"),EXACT(metadata!G689,"Fungus surface"),EXACT(metadata!G689,"Fungus corpus"),EXACT(metadata!G689,"Animal surface"),EXACT(metadata!G689,"Animal proximal gut"),EXACT(metadata!G689,"Animal corpus"),EXACT(metadata!G689,"Animal distal gut"),EXACT(metadata!G689,"Animal secretion")))</f>
        <v>0</v>
      </c>
      <c r="AJ689" t="b">
        <f>OR(AND(IF(metadata!H689="",FALSE,TRUE),OR(EXACT(metadata!H689,"missing: not collected"),EXACT(metadata!H689,"missing: not provided"),EXACT(metadata!H689,"missing: restricted access"))),AND(IF(metadata!H689="",FALSE,TRUE),OR(EXACT(metadata!H689,"organism-associated habitat"),EXACT(metadata!H689,"plant-associated habitat"),EXACT(metadata!H689,"animal-associated habitat"),EXACT(metadata!H689,"insecta-associated habitat"),EXACT(metadata!H689,"mammalia-associated habitat"),EXACT(metadata!H689,"human-associated habitat"),EXACT(metadata!H689,"livestock-associated habitat"))))</f>
        <v>0</v>
      </c>
      <c r="AK689" t="b">
        <f>AND(IF(metadata!I689="",FALSE,TRUE),EXACT(metadata!I689,"host-associated"))</f>
        <v>0</v>
      </c>
      <c r="AL689" t="b">
        <f>OR(AND(IF(metadata!J689="",FALSE,TRUE),OR(EXACT(metadata!J689,"not applicable"),EXACT(metadata!J689,"missing: not collected"),EXACT(metadata!J689,"missing: not provided"),EXACT(metadata!J689,"missing: restricted access"))),AND(IF(metadata!J689="",FALSE,ISNUMBER(VALUE(metadata!J689))),metadata!J689&gt;0))</f>
        <v>0</v>
      </c>
      <c r="AM689" t="b">
        <f>AND(IF(metadata!K689="",FALSE,TRUE),EXACT(metadata!K689,"missing: not provided"))</f>
        <v>0</v>
      </c>
      <c r="AN689" t="b">
        <f>IF(metadata!L689="",FALSE,TRUE)</f>
        <v>0</v>
      </c>
      <c r="AO689" t="b">
        <f>IF(metadata!M689="",FALSE,TRUE)</f>
        <v>0</v>
      </c>
      <c r="AP689" t="b">
        <f>OR(AND(IF(metadata!N689="",FALSE,TRUE),OR(EXACT(metadata!N689,"not applicable"),EXACT(metadata!N689,"missing: not collected"),EXACT(metadata!N689,"missing: not provided"))),AND(IF(metadata!N689="",FALSE,IF(ISERROR(INT(metadata!N689)),FALSE,INT(metadata!N689)=metadata!N689)),metadata!N689&gt;0))</f>
        <v>0</v>
      </c>
      <c r="AQ689" t="b">
        <f>AND(IF(metadata!O689="",FALSE,TRUE),EXACT(metadata!O689,"Not applicable"))</f>
        <v>0</v>
      </c>
      <c r="AR689" t="b">
        <f>OR(AND(IF(metadata!P689="",FALSE,TRUE),OR(EXACT(metadata!P689,"not applicable"),EXACT(metadata!P689,"missing: not collected"),EXACT(metadata!P689,"missing: not provided"),EXACT(metadata!P689,"missing: restricted access"))),IF(metadata!P689="",FALSE,IF(ISERROR(INT(metadata!P689)),FALSE,INT(metadata!P689)=metadata!P689)))</f>
        <v>0</v>
      </c>
      <c r="AS689" t="b">
        <f>AND(IF(metadata!Q689="",FALSE,TRUE),EXACT(metadata!Q689,"Not applicable"))</f>
        <v>0</v>
      </c>
      <c r="AT689" t="b">
        <f>OR(AND(IF(metadata!R689="",FALSE,TRUE),OR(EXACT(metadata!R689,"not applicable"),EXACT(metadata!R689,"missing: not collected"),EXACT(metadata!R689,"missing: not provided"),EXACT(metadata!R689,"missing: restricted access"))),AND(IF(metadata!R689="",FALSE,ISNUMBER(VALUE(metadata!R689))),metadata!R689&gt;0))</f>
        <v>0</v>
      </c>
      <c r="AU689" t="b">
        <f>AND(IF(metadata!S689="",FALSE,TRUE),EXACT(metadata!S689,"missing: not provided"))</f>
        <v>0</v>
      </c>
    </row>
    <row r="690" spans="1:47" x14ac:dyDescent="0.2">
      <c r="A690" s="5" t="str">
        <f ca="1">IF(B690=" "," ",HYPERLINK(CONCATENATE("#metadata!",ADDRESS(INDEX($Y$2:$Y$1001,MATCH(ROWS($W$2:W690),$W$2:$W$1001,0),0),1)),INDEX($AB$2:$AB$1001,MATCH(ROWS($W$2:W690),$W$2:$W$1001,0),0)))</f>
        <v xml:space="preserve"> </v>
      </c>
      <c r="B690" s="4" t="str">
        <f ca="1">IF(OR(INDEX($X$2:$X$1001,MATCH(ROWS($W$2:W690),$W$2:$W$1001,0),1)&gt;=100000,INDEX($AD$1005:$AU$1005,1,MATCH(COLUMNS($AD$1006:AD1006),$AD$1006:$AU$1006,0))&gt;=100000), " ",IF(INDEX($AD$2:$AU$1001,MATCH(ROWS($W$2:W690),$W$2:$W$1001,0),MATCH(COLUMNS($AD$1006:AD1006),$AD$1006:$AU$1006,0)), HYPERLINK("#",""), HYPERLINK(CONCATENATE("#metadata!", ADDRESS(INDEX($Y$2:$Y$1001,MATCH(ROWS($W$2:W690),$W$2:$W$1001,0),0), INDEX($AD$1004:$AU$1004,1,MATCH(COLUMNS($AD$1006:AD1006),$AD$1006:$AU$1006,0)))),"Fix")))</f>
        <v xml:space="preserve"> </v>
      </c>
      <c r="C690" s="4" t="str">
        <f ca="1">IF(OR(INDEX($X$2:$X$1001,MATCH(ROWS($W$2:W690),$W$2:$W$1001,0),1)&gt;=100000,INDEX($AD$1005:$AU$1005,1,MATCH(COLUMNS($AD$1006:AE1006),$AD$1006:$AU$1006,0))&gt;=100000), " ",IF(INDEX($AD$2:$AU$1001,MATCH(ROWS($W$2:W690),$W$2:$W$1001,0),MATCH(COLUMNS($AD$1006:AE1006),$AD$1006:$AU$1006,0)), HYPERLINK("#",""), HYPERLINK(CONCATENATE("#metadata!", ADDRESS(INDEX($Y$2:$Y$1001,MATCH(ROWS($W$2:W690),$W$2:$W$1001,0),0), INDEX($AD$1004:$AU$1004,1,MATCH(COLUMNS($AD$1006:AE1006),$AD$1006:$AU$1006,0)))),"Fix")))</f>
        <v xml:space="preserve"> </v>
      </c>
      <c r="D690" s="4" t="str">
        <f ca="1">IF(OR(INDEX($X$2:$X$1001,MATCH(ROWS($W$2:W690),$W$2:$W$1001,0),1)&gt;=100000,INDEX($AD$1005:$AU$1005,1,MATCH(COLUMNS($AD$1006:AF1006),$AD$1006:$AU$1006,0))&gt;=100000), " ",IF(INDEX($AD$2:$AU$1001,MATCH(ROWS($W$2:W690),$W$2:$W$1001,0),MATCH(COLUMNS($AD$1006:AF1006),$AD$1006:$AU$1006,0)), HYPERLINK("#",""), HYPERLINK(CONCATENATE("#metadata!", ADDRESS(INDEX($Y$2:$Y$1001,MATCH(ROWS($W$2:W690),$W$2:$W$1001,0),0), INDEX($AD$1004:$AU$1004,1,MATCH(COLUMNS($AD$1006:AF1006),$AD$1006:$AU$1006,0)))),"Fix")))</f>
        <v xml:space="preserve"> </v>
      </c>
      <c r="E690" s="4" t="str">
        <f ca="1">IF(OR(INDEX($X$2:$X$1001,MATCH(ROWS($W$2:W690),$W$2:$W$1001,0),1)&gt;=100000,INDEX($AD$1005:$AU$1005,1,MATCH(COLUMNS($AD$1006:AG1006),$AD$1006:$AU$1006,0))&gt;=100000), " ",IF(INDEX($AD$2:$AU$1001,MATCH(ROWS($W$2:W690),$W$2:$W$1001,0),MATCH(COLUMNS($AD$1006:AG1006),$AD$1006:$AU$1006,0)), HYPERLINK("#",""), HYPERLINK(CONCATENATE("#metadata!", ADDRESS(INDEX($Y$2:$Y$1001,MATCH(ROWS($W$2:W690),$W$2:$W$1001,0),0), INDEX($AD$1004:$AU$1004,1,MATCH(COLUMNS($AD$1006:AG1006),$AD$1006:$AU$1006,0)))),"Fix")))</f>
        <v xml:space="preserve"> </v>
      </c>
      <c r="F690" s="4" t="str">
        <f ca="1">IF(OR(INDEX($X$2:$X$1001,MATCH(ROWS($W$2:W690),$W$2:$W$1001,0),1)&gt;=100000,INDEX($AD$1005:$AU$1005,1,MATCH(COLUMNS($AD$1006:AH1006),$AD$1006:$AU$1006,0))&gt;=100000), " ",IF(INDEX($AD$2:$AU$1001,MATCH(ROWS($W$2:W690),$W$2:$W$1001,0),MATCH(COLUMNS($AD$1006:AH1006),$AD$1006:$AU$1006,0)), HYPERLINK("#",""), HYPERLINK(CONCATENATE("#metadata!", ADDRESS(INDEX($Y$2:$Y$1001,MATCH(ROWS($W$2:W690),$W$2:$W$1001,0),0), INDEX($AD$1004:$AU$1004,1,MATCH(COLUMNS($AD$1006:AH1006),$AD$1006:$AU$1006,0)))),"Fix")))</f>
        <v xml:space="preserve"> </v>
      </c>
      <c r="G690" s="4" t="str">
        <f ca="1">IF(OR(INDEX($X$2:$X$1001,MATCH(ROWS($W$2:W690),$W$2:$W$1001,0),1)&gt;=100000,INDEX($AD$1005:$AU$1005,1,MATCH(COLUMNS($AD$1006:AI1006),$AD$1006:$AU$1006,0))&gt;=100000), " ",IF(INDEX($AD$2:$AU$1001,MATCH(ROWS($W$2:W690),$W$2:$W$1001,0),MATCH(COLUMNS($AD$1006:AI1006),$AD$1006:$AU$1006,0)), HYPERLINK("#",""), HYPERLINK(CONCATENATE("#metadata!", ADDRESS(INDEX($Y$2:$Y$1001,MATCH(ROWS($W$2:W690),$W$2:$W$1001,0),0), INDEX($AD$1004:$AU$1004,1,MATCH(COLUMNS($AD$1006:AI1006),$AD$1006:$AU$1006,0)))),"Fix")))</f>
        <v xml:space="preserve"> </v>
      </c>
      <c r="H690" s="4" t="str">
        <f ca="1">IF(OR(INDEX($X$2:$X$1001,MATCH(ROWS($W$2:W690),$W$2:$W$1001,0),1)&gt;=100000,INDEX($AD$1005:$AU$1005,1,MATCH(COLUMNS($AD$1006:AJ1006),$AD$1006:$AU$1006,0))&gt;=100000), " ",IF(INDEX($AD$2:$AU$1001,MATCH(ROWS($W$2:W690),$W$2:$W$1001,0),MATCH(COLUMNS($AD$1006:AJ1006),$AD$1006:$AU$1006,0)), HYPERLINK("#",""), HYPERLINK(CONCATENATE("#metadata!", ADDRESS(INDEX($Y$2:$Y$1001,MATCH(ROWS($W$2:W690),$W$2:$W$1001,0),0), INDEX($AD$1004:$AU$1004,1,MATCH(COLUMNS($AD$1006:AJ1006),$AD$1006:$AU$1006,0)))),"Fix")))</f>
        <v xml:space="preserve"> </v>
      </c>
      <c r="I690" s="4" t="str">
        <f ca="1">IF(OR(INDEX($X$2:$X$1001,MATCH(ROWS($W$2:W690),$W$2:$W$1001,0),1)&gt;=100000,INDEX($AD$1005:$AU$1005,1,MATCH(COLUMNS($AD$1006:AK1006),$AD$1006:$AU$1006,0))&gt;=100000), " ",IF(INDEX($AD$2:$AU$1001,MATCH(ROWS($W$2:W690),$W$2:$W$1001,0),MATCH(COLUMNS($AD$1006:AK1006),$AD$1006:$AU$1006,0)), HYPERLINK("#",""), HYPERLINK(CONCATENATE("#metadata!", ADDRESS(INDEX($Y$2:$Y$1001,MATCH(ROWS($W$2:W690),$W$2:$W$1001,0),0), INDEX($AD$1004:$AU$1004,1,MATCH(COLUMNS($AD$1006:AK1006),$AD$1006:$AU$1006,0)))),"Fix")))</f>
        <v xml:space="preserve"> </v>
      </c>
      <c r="J690" s="4" t="str">
        <f ca="1">IF(OR(INDEX($X$2:$X$1001,MATCH(ROWS($W$2:W690),$W$2:$W$1001,0),1)&gt;=100000,INDEX($AD$1005:$AU$1005,1,MATCH(COLUMNS($AD$1006:AL1006),$AD$1006:$AU$1006,0))&gt;=100000), " ",IF(INDEX($AD$2:$AU$1001,MATCH(ROWS($W$2:W690),$W$2:$W$1001,0),MATCH(COLUMNS($AD$1006:AL1006),$AD$1006:$AU$1006,0)), HYPERLINK("#",""), HYPERLINK(CONCATENATE("#metadata!", ADDRESS(INDEX($Y$2:$Y$1001,MATCH(ROWS($W$2:W690),$W$2:$W$1001,0),0), INDEX($AD$1004:$AU$1004,1,MATCH(COLUMNS($AD$1006:AL1006),$AD$1006:$AU$1006,0)))),"Fix")))</f>
        <v xml:space="preserve"> </v>
      </c>
      <c r="K690" s="4" t="str">
        <f ca="1">IF(OR(INDEX($X$2:$X$1001,MATCH(ROWS($W$2:W690),$W$2:$W$1001,0),1)&gt;=100000,INDEX($AD$1005:$AU$1005,1,MATCH(COLUMNS($AD$1006:AM1006),$AD$1006:$AU$1006,0))&gt;=100000), " ",IF(INDEX($AD$2:$AU$1001,MATCH(ROWS($W$2:W690),$W$2:$W$1001,0),MATCH(COLUMNS($AD$1006:AM1006),$AD$1006:$AU$1006,0)), HYPERLINK("#",""), HYPERLINK(CONCATENATE("#metadata!", ADDRESS(INDEX($Y$2:$Y$1001,MATCH(ROWS($W$2:W690),$W$2:$W$1001,0),0), INDEX($AD$1004:$AU$1004,1,MATCH(COLUMNS($AD$1006:AM1006),$AD$1006:$AU$1006,0)))),"Fix")))</f>
        <v xml:space="preserve"> </v>
      </c>
      <c r="L690" s="4" t="str">
        <f ca="1">IF(OR(INDEX($X$2:$X$1001,MATCH(ROWS($W$2:W690),$W$2:$W$1001,0),1)&gt;=100000,INDEX($AD$1005:$AU$1005,1,MATCH(COLUMNS($AD$1006:AN1006),$AD$1006:$AU$1006,0))&gt;=100000), " ",IF(INDEX($AD$2:$AU$1001,MATCH(ROWS($W$2:W690),$W$2:$W$1001,0),MATCH(COLUMNS($AD$1006:AN1006),$AD$1006:$AU$1006,0)), HYPERLINK("#",""), HYPERLINK(CONCATENATE("#metadata!", ADDRESS(INDEX($Y$2:$Y$1001,MATCH(ROWS($W$2:W690),$W$2:$W$1001,0),0), INDEX($AD$1004:$AU$1004,1,MATCH(COLUMNS($AD$1006:AN1006),$AD$1006:$AU$1006,0)))),"Fix")))</f>
        <v xml:space="preserve"> </v>
      </c>
      <c r="M690" s="4" t="str">
        <f ca="1">IF(OR(INDEX($X$2:$X$1001,MATCH(ROWS($W$2:W690),$W$2:$W$1001,0),1)&gt;=100000,INDEX($AD$1005:$AU$1005,1,MATCH(COLUMNS($AD$1006:AO1006),$AD$1006:$AU$1006,0))&gt;=100000), " ",IF(INDEX($AD$2:$AU$1001,MATCH(ROWS($W$2:W690),$W$2:$W$1001,0),MATCH(COLUMNS($AD$1006:AO1006),$AD$1006:$AU$1006,0)), HYPERLINK("#",""), HYPERLINK(CONCATENATE("#metadata!", ADDRESS(INDEX($Y$2:$Y$1001,MATCH(ROWS($W$2:W690),$W$2:$W$1001,0),0), INDEX($AD$1004:$AU$1004,1,MATCH(COLUMNS($AD$1006:AO1006),$AD$1006:$AU$1006,0)))),"Fix")))</f>
        <v xml:space="preserve"> </v>
      </c>
      <c r="N690" s="4" t="str">
        <f ca="1">IF(OR(INDEX($X$2:$X$1001,MATCH(ROWS($W$2:W690),$W$2:$W$1001,0),1)&gt;=100000,INDEX($AD$1005:$AU$1005,1,MATCH(COLUMNS($AD$1006:AP1006),$AD$1006:$AU$1006,0))&gt;=100000), " ",IF(INDEX($AD$2:$AU$1001,MATCH(ROWS($W$2:W690),$W$2:$W$1001,0),MATCH(COLUMNS($AD$1006:AP1006),$AD$1006:$AU$1006,0)), HYPERLINK("#",""), HYPERLINK(CONCATENATE("#metadata!", ADDRESS(INDEX($Y$2:$Y$1001,MATCH(ROWS($W$2:W690),$W$2:$W$1001,0),0), INDEX($AD$1004:$AU$1004,1,MATCH(COLUMNS($AD$1006:AP1006),$AD$1006:$AU$1006,0)))),"Fix")))</f>
        <v xml:space="preserve"> </v>
      </c>
      <c r="O690" s="4" t="str">
        <f ca="1">IF(OR(INDEX($X$2:$X$1001,MATCH(ROWS($W$2:W690),$W$2:$W$1001,0),1)&gt;=100000,INDEX($AD$1005:$AU$1005,1,MATCH(COLUMNS($AD$1006:AQ1006),$AD$1006:$AU$1006,0))&gt;=100000), " ",IF(INDEX($AD$2:$AU$1001,MATCH(ROWS($W$2:W690),$W$2:$W$1001,0),MATCH(COLUMNS($AD$1006:AQ1006),$AD$1006:$AU$1006,0)), HYPERLINK("#",""), HYPERLINK(CONCATENATE("#metadata!", ADDRESS(INDEX($Y$2:$Y$1001,MATCH(ROWS($W$2:W690),$W$2:$W$1001,0),0), INDEX($AD$1004:$AU$1004,1,MATCH(COLUMNS($AD$1006:AQ1006),$AD$1006:$AU$1006,0)))),"Fix")))</f>
        <v xml:space="preserve"> </v>
      </c>
      <c r="P690" s="4" t="str">
        <f ca="1">IF(OR(INDEX($X$2:$X$1001,MATCH(ROWS($W$2:W690),$W$2:$W$1001,0),1)&gt;=100000,INDEX($AD$1005:$AU$1005,1,MATCH(COLUMNS($AD$1006:AR1006),$AD$1006:$AU$1006,0))&gt;=100000), " ",IF(INDEX($AD$2:$AU$1001,MATCH(ROWS($W$2:W690),$W$2:$W$1001,0),MATCH(COLUMNS($AD$1006:AR1006),$AD$1006:$AU$1006,0)), HYPERLINK("#",""), HYPERLINK(CONCATENATE("#metadata!", ADDRESS(INDEX($Y$2:$Y$1001,MATCH(ROWS($W$2:W690),$W$2:$W$1001,0),0), INDEX($AD$1004:$AU$1004,1,MATCH(COLUMNS($AD$1006:AR1006),$AD$1006:$AU$1006,0)))),"Fix")))</f>
        <v xml:space="preserve"> </v>
      </c>
      <c r="Q690" s="4" t="str">
        <f ca="1">IF(OR(INDEX($X$2:$X$1001,MATCH(ROWS($W$2:W690),$W$2:$W$1001,0),1)&gt;=100000,INDEX($AD$1005:$AU$1005,1,MATCH(COLUMNS($AD$1006:AS1006),$AD$1006:$AU$1006,0))&gt;=100000), " ",IF(INDEX($AD$2:$AU$1001,MATCH(ROWS($W$2:W690),$W$2:$W$1001,0),MATCH(COLUMNS($AD$1006:AS1006),$AD$1006:$AU$1006,0)), HYPERLINK("#",""), HYPERLINK(CONCATENATE("#metadata!", ADDRESS(INDEX($Y$2:$Y$1001,MATCH(ROWS($W$2:W690),$W$2:$W$1001,0),0), INDEX($AD$1004:$AU$1004,1,MATCH(COLUMNS($AD$1006:AS1006),$AD$1006:$AU$1006,0)))),"Fix")))</f>
        <v xml:space="preserve"> </v>
      </c>
      <c r="R690" s="4" t="str">
        <f ca="1">IF(OR(INDEX($X$2:$X$1001,MATCH(ROWS($W$2:W690),$W$2:$W$1001,0),1)&gt;=100000,INDEX($AD$1005:$AU$1005,1,MATCH(COLUMNS($AD$1006:AT1006),$AD$1006:$AU$1006,0))&gt;=100000), " ",IF(INDEX($AD$2:$AU$1001,MATCH(ROWS($W$2:W690),$W$2:$W$1001,0),MATCH(COLUMNS($AD$1006:AT1006),$AD$1006:$AU$1006,0)), HYPERLINK("#",""), HYPERLINK(CONCATENATE("#metadata!", ADDRESS(INDEX($Y$2:$Y$1001,MATCH(ROWS($W$2:W690),$W$2:$W$1001,0),0), INDEX($AD$1004:$AU$1004,1,MATCH(COLUMNS($AD$1006:AT1006),$AD$1006:$AU$1006,0)))),"Fix")))</f>
        <v xml:space="preserve"> </v>
      </c>
      <c r="S690" s="4" t="str">
        <f ca="1">IF(OR(INDEX($X$2:$X$1001,MATCH(ROWS($W$2:W690),$W$2:$W$1001,0),1)&gt;=100000,INDEX($AD$1005:$AU$1005,1,MATCH(COLUMNS($AD$1006:AU1006),$AD$1006:$AU$1006,0))&gt;=100000), " ",IF(INDEX($AD$2:$AU$1001,MATCH(ROWS($W$2:W690),$W$2:$W$1001,0),MATCH(COLUMNS($AD$1006:AU1006),$AD$1006:$AU$1006,0)), HYPERLINK("#",""), HYPERLINK(CONCATENATE("#metadata!", ADDRESS(INDEX($Y$2:$Y$1001,MATCH(ROWS($W$2:W690),$W$2:$W$1001,0),0), INDEX($AD$1004:$AU$1004,1,MATCH(COLUMNS($AD$1006:AU1006),$AD$1006:$AU$1006,0)))),"Fix")))</f>
        <v xml:space="preserve"> </v>
      </c>
      <c r="W690">
        <v>689</v>
      </c>
      <c r="X690">
        <v>100690</v>
      </c>
      <c r="Y690">
        <v>690</v>
      </c>
      <c r="Z690" t="b">
        <f t="shared" si="10"/>
        <v>1</v>
      </c>
      <c r="AA690" t="b">
        <f>COUNTBLANK(metadata!B690:S690)=COLUMNS(metadata!B690:S690)</f>
        <v>1</v>
      </c>
      <c r="AB690" t="str">
        <v/>
      </c>
      <c r="AD690" t="b">
        <f ca="1">AND(IF(metadata!B690="",FALSE,TRUE),COUNTIF(metadata!B:B, metadata!B690) = 1,NOT(ISERROR(SUMPRODUCT(SEARCH(MID(metadata!B690,ROW(INDIRECT("1:"&amp;LEN(metadata!B690))), 1),"0123456789abcdefghijklmnopqrstuvwxyzABCDEFGHIJKLMNOPQRSTUVWXYZ.")))))</f>
        <v>0</v>
      </c>
      <c r="AE690" t="b">
        <f>OR(AND(IF(metadata!C690="",FALSE,TRUE),OR(EXACT(metadata!C690,"not applicable"),EXACT(metadata!C690,"missing: not collected"),EXACT(metadata!C690,"missing: not provided"),EXACT(metadata!C690,"missing: restricted access"))),AND(IF(metadata!C690="",FALSE,ISNUMBER(VALUE(metadata!C690))),metadata!C690&gt;0))</f>
        <v>0</v>
      </c>
      <c r="AF690" t="b">
        <f>AND(IF(metadata!D690="",FALSE,TRUE),EXACT(metadata!D690,"missing: not provided"))</f>
        <v>0</v>
      </c>
      <c r="AG690" t="b">
        <f>AND(IF(metadata!E690="",FALSE,TRUE),EXACT(metadata!E690,"Host-associated"))</f>
        <v>0</v>
      </c>
      <c r="AH690" t="b">
        <f>AND(IF(metadata!F690="",FALSE,TRUE),OR(EXACT(metadata!F690,"Animal"),EXACT(metadata!F690,"Fungus"),EXACT(metadata!F690,"Plant")))</f>
        <v>0</v>
      </c>
      <c r="AI690" t="b">
        <f>AND(IF(metadata!G690="",FALSE,TRUE),OR(EXACT(metadata!G690,"Plant secretion"),EXACT(metadata!G690,"Plant rhizosphere"),EXACT(metadata!G690,"Plant surface"),EXACT(metadata!G690,"Plant corpus"),EXACT(metadata!G690,"Fungus surface"),EXACT(metadata!G690,"Fungus corpus"),EXACT(metadata!G690,"Animal surface"),EXACT(metadata!G690,"Animal proximal gut"),EXACT(metadata!G690,"Animal corpus"),EXACT(metadata!G690,"Animal distal gut"),EXACT(metadata!G690,"Animal secretion")))</f>
        <v>0</v>
      </c>
      <c r="AJ690" t="b">
        <f>OR(AND(IF(metadata!H690="",FALSE,TRUE),OR(EXACT(metadata!H690,"missing: not collected"),EXACT(metadata!H690,"missing: not provided"),EXACT(metadata!H690,"missing: restricted access"))),AND(IF(metadata!H690="",FALSE,TRUE),OR(EXACT(metadata!H690,"organism-associated habitat"),EXACT(metadata!H690,"plant-associated habitat"),EXACT(metadata!H690,"animal-associated habitat"),EXACT(metadata!H690,"insecta-associated habitat"),EXACT(metadata!H690,"mammalia-associated habitat"),EXACT(metadata!H690,"human-associated habitat"),EXACT(metadata!H690,"livestock-associated habitat"))))</f>
        <v>0</v>
      </c>
      <c r="AK690" t="b">
        <f>AND(IF(metadata!I690="",FALSE,TRUE),EXACT(metadata!I690,"host-associated"))</f>
        <v>0</v>
      </c>
      <c r="AL690" t="b">
        <f>OR(AND(IF(metadata!J690="",FALSE,TRUE),OR(EXACT(metadata!J690,"not applicable"),EXACT(metadata!J690,"missing: not collected"),EXACT(metadata!J690,"missing: not provided"),EXACT(metadata!J690,"missing: restricted access"))),AND(IF(metadata!J690="",FALSE,ISNUMBER(VALUE(metadata!J690))),metadata!J690&gt;0))</f>
        <v>0</v>
      </c>
      <c r="AM690" t="b">
        <f>AND(IF(metadata!K690="",FALSE,TRUE),EXACT(metadata!K690,"missing: not provided"))</f>
        <v>0</v>
      </c>
      <c r="AN690" t="b">
        <f>IF(metadata!L690="",FALSE,TRUE)</f>
        <v>0</v>
      </c>
      <c r="AO690" t="b">
        <f>IF(metadata!M690="",FALSE,TRUE)</f>
        <v>0</v>
      </c>
      <c r="AP690" t="b">
        <f>OR(AND(IF(metadata!N690="",FALSE,TRUE),OR(EXACT(metadata!N690,"not applicable"),EXACT(metadata!N690,"missing: not collected"),EXACT(metadata!N690,"missing: not provided"))),AND(IF(metadata!N690="",FALSE,IF(ISERROR(INT(metadata!N690)),FALSE,INT(metadata!N690)=metadata!N690)),metadata!N690&gt;0))</f>
        <v>0</v>
      </c>
      <c r="AQ690" t="b">
        <f>AND(IF(metadata!O690="",FALSE,TRUE),EXACT(metadata!O690,"Not applicable"))</f>
        <v>0</v>
      </c>
      <c r="AR690" t="b">
        <f>OR(AND(IF(metadata!P690="",FALSE,TRUE),OR(EXACT(metadata!P690,"not applicable"),EXACT(metadata!P690,"missing: not collected"),EXACT(metadata!P690,"missing: not provided"),EXACT(metadata!P690,"missing: restricted access"))),IF(metadata!P690="",FALSE,IF(ISERROR(INT(metadata!P690)),FALSE,INT(metadata!P690)=metadata!P690)))</f>
        <v>0</v>
      </c>
      <c r="AS690" t="b">
        <f>AND(IF(metadata!Q690="",FALSE,TRUE),EXACT(metadata!Q690,"Not applicable"))</f>
        <v>0</v>
      </c>
      <c r="AT690" t="b">
        <f>OR(AND(IF(metadata!R690="",FALSE,TRUE),OR(EXACT(metadata!R690,"not applicable"),EXACT(metadata!R690,"missing: not collected"),EXACT(metadata!R690,"missing: not provided"),EXACT(metadata!R690,"missing: restricted access"))),AND(IF(metadata!R690="",FALSE,ISNUMBER(VALUE(metadata!R690))),metadata!R690&gt;0))</f>
        <v>0</v>
      </c>
      <c r="AU690" t="b">
        <f>AND(IF(metadata!S690="",FALSE,TRUE),EXACT(metadata!S690,"missing: not provided"))</f>
        <v>0</v>
      </c>
    </row>
    <row r="691" spans="1:47" x14ac:dyDescent="0.2">
      <c r="A691" s="5" t="str">
        <f ca="1">IF(B691=" "," ",HYPERLINK(CONCATENATE("#metadata!",ADDRESS(INDEX($Y$2:$Y$1001,MATCH(ROWS($W$2:W691),$W$2:$W$1001,0),0),1)),INDEX($AB$2:$AB$1001,MATCH(ROWS($W$2:W691),$W$2:$W$1001,0),0)))</f>
        <v xml:space="preserve"> </v>
      </c>
      <c r="B691" s="4" t="str">
        <f ca="1">IF(OR(INDEX($X$2:$X$1001,MATCH(ROWS($W$2:W691),$W$2:$W$1001,0),1)&gt;=100000,INDEX($AD$1005:$AU$1005,1,MATCH(COLUMNS($AD$1006:AD1006),$AD$1006:$AU$1006,0))&gt;=100000), " ",IF(INDEX($AD$2:$AU$1001,MATCH(ROWS($W$2:W691),$W$2:$W$1001,0),MATCH(COLUMNS($AD$1006:AD1006),$AD$1006:$AU$1006,0)), HYPERLINK("#",""), HYPERLINK(CONCATENATE("#metadata!", ADDRESS(INDEX($Y$2:$Y$1001,MATCH(ROWS($W$2:W691),$W$2:$W$1001,0),0), INDEX($AD$1004:$AU$1004,1,MATCH(COLUMNS($AD$1006:AD1006),$AD$1006:$AU$1006,0)))),"Fix")))</f>
        <v xml:space="preserve"> </v>
      </c>
      <c r="C691" s="4" t="str">
        <f ca="1">IF(OR(INDEX($X$2:$X$1001,MATCH(ROWS($W$2:W691),$W$2:$W$1001,0),1)&gt;=100000,INDEX($AD$1005:$AU$1005,1,MATCH(COLUMNS($AD$1006:AE1006),$AD$1006:$AU$1006,0))&gt;=100000), " ",IF(INDEX($AD$2:$AU$1001,MATCH(ROWS($W$2:W691),$W$2:$W$1001,0),MATCH(COLUMNS($AD$1006:AE1006),$AD$1006:$AU$1006,0)), HYPERLINK("#",""), HYPERLINK(CONCATENATE("#metadata!", ADDRESS(INDEX($Y$2:$Y$1001,MATCH(ROWS($W$2:W691),$W$2:$W$1001,0),0), INDEX($AD$1004:$AU$1004,1,MATCH(COLUMNS($AD$1006:AE1006),$AD$1006:$AU$1006,0)))),"Fix")))</f>
        <v xml:space="preserve"> </v>
      </c>
      <c r="D691" s="4" t="str">
        <f ca="1">IF(OR(INDEX($X$2:$X$1001,MATCH(ROWS($W$2:W691),$W$2:$W$1001,0),1)&gt;=100000,INDEX($AD$1005:$AU$1005,1,MATCH(COLUMNS($AD$1006:AF1006),$AD$1006:$AU$1006,0))&gt;=100000), " ",IF(INDEX($AD$2:$AU$1001,MATCH(ROWS($W$2:W691),$W$2:$W$1001,0),MATCH(COLUMNS($AD$1006:AF1006),$AD$1006:$AU$1006,0)), HYPERLINK("#",""), HYPERLINK(CONCATENATE("#metadata!", ADDRESS(INDEX($Y$2:$Y$1001,MATCH(ROWS($W$2:W691),$W$2:$W$1001,0),0), INDEX($AD$1004:$AU$1004,1,MATCH(COLUMNS($AD$1006:AF1006),$AD$1006:$AU$1006,0)))),"Fix")))</f>
        <v xml:space="preserve"> </v>
      </c>
      <c r="E691" s="4" t="str">
        <f ca="1">IF(OR(INDEX($X$2:$X$1001,MATCH(ROWS($W$2:W691),$W$2:$W$1001,0),1)&gt;=100000,INDEX($AD$1005:$AU$1005,1,MATCH(COLUMNS($AD$1006:AG1006),$AD$1006:$AU$1006,0))&gt;=100000), " ",IF(INDEX($AD$2:$AU$1001,MATCH(ROWS($W$2:W691),$W$2:$W$1001,0),MATCH(COLUMNS($AD$1006:AG1006),$AD$1006:$AU$1006,0)), HYPERLINK("#",""), HYPERLINK(CONCATENATE("#metadata!", ADDRESS(INDEX($Y$2:$Y$1001,MATCH(ROWS($W$2:W691),$W$2:$W$1001,0),0), INDEX($AD$1004:$AU$1004,1,MATCH(COLUMNS($AD$1006:AG1006),$AD$1006:$AU$1006,0)))),"Fix")))</f>
        <v xml:space="preserve"> </v>
      </c>
      <c r="F691" s="4" t="str">
        <f ca="1">IF(OR(INDEX($X$2:$X$1001,MATCH(ROWS($W$2:W691),$W$2:$W$1001,0),1)&gt;=100000,INDEX($AD$1005:$AU$1005,1,MATCH(COLUMNS($AD$1006:AH1006),$AD$1006:$AU$1006,0))&gt;=100000), " ",IF(INDEX($AD$2:$AU$1001,MATCH(ROWS($W$2:W691),$W$2:$W$1001,0),MATCH(COLUMNS($AD$1006:AH1006),$AD$1006:$AU$1006,0)), HYPERLINK("#",""), HYPERLINK(CONCATENATE("#metadata!", ADDRESS(INDEX($Y$2:$Y$1001,MATCH(ROWS($W$2:W691),$W$2:$W$1001,0),0), INDEX($AD$1004:$AU$1004,1,MATCH(COLUMNS($AD$1006:AH1006),$AD$1006:$AU$1006,0)))),"Fix")))</f>
        <v xml:space="preserve"> </v>
      </c>
      <c r="G691" s="4" t="str">
        <f ca="1">IF(OR(INDEX($X$2:$X$1001,MATCH(ROWS($W$2:W691),$W$2:$W$1001,0),1)&gt;=100000,INDEX($AD$1005:$AU$1005,1,MATCH(COLUMNS($AD$1006:AI1006),$AD$1006:$AU$1006,0))&gt;=100000), " ",IF(INDEX($AD$2:$AU$1001,MATCH(ROWS($W$2:W691),$W$2:$W$1001,0),MATCH(COLUMNS($AD$1006:AI1006),$AD$1006:$AU$1006,0)), HYPERLINK("#",""), HYPERLINK(CONCATENATE("#metadata!", ADDRESS(INDEX($Y$2:$Y$1001,MATCH(ROWS($W$2:W691),$W$2:$W$1001,0),0), INDEX($AD$1004:$AU$1004,1,MATCH(COLUMNS($AD$1006:AI1006),$AD$1006:$AU$1006,0)))),"Fix")))</f>
        <v xml:space="preserve"> </v>
      </c>
      <c r="H691" s="4" t="str">
        <f ca="1">IF(OR(INDEX($X$2:$X$1001,MATCH(ROWS($W$2:W691),$W$2:$W$1001,0),1)&gt;=100000,INDEX($AD$1005:$AU$1005,1,MATCH(COLUMNS($AD$1006:AJ1006),$AD$1006:$AU$1006,0))&gt;=100000), " ",IF(INDEX($AD$2:$AU$1001,MATCH(ROWS($W$2:W691),$W$2:$W$1001,0),MATCH(COLUMNS($AD$1006:AJ1006),$AD$1006:$AU$1006,0)), HYPERLINK("#",""), HYPERLINK(CONCATENATE("#metadata!", ADDRESS(INDEX($Y$2:$Y$1001,MATCH(ROWS($W$2:W691),$W$2:$W$1001,0),0), INDEX($AD$1004:$AU$1004,1,MATCH(COLUMNS($AD$1006:AJ1006),$AD$1006:$AU$1006,0)))),"Fix")))</f>
        <v xml:space="preserve"> </v>
      </c>
      <c r="I691" s="4" t="str">
        <f ca="1">IF(OR(INDEX($X$2:$X$1001,MATCH(ROWS($W$2:W691),$W$2:$W$1001,0),1)&gt;=100000,INDEX($AD$1005:$AU$1005,1,MATCH(COLUMNS($AD$1006:AK1006),$AD$1006:$AU$1006,0))&gt;=100000), " ",IF(INDEX($AD$2:$AU$1001,MATCH(ROWS($W$2:W691),$W$2:$W$1001,0),MATCH(COLUMNS($AD$1006:AK1006),$AD$1006:$AU$1006,0)), HYPERLINK("#",""), HYPERLINK(CONCATENATE("#metadata!", ADDRESS(INDEX($Y$2:$Y$1001,MATCH(ROWS($W$2:W691),$W$2:$W$1001,0),0), INDEX($AD$1004:$AU$1004,1,MATCH(COLUMNS($AD$1006:AK1006),$AD$1006:$AU$1006,0)))),"Fix")))</f>
        <v xml:space="preserve"> </v>
      </c>
      <c r="J691" s="4" t="str">
        <f ca="1">IF(OR(INDEX($X$2:$X$1001,MATCH(ROWS($W$2:W691),$W$2:$W$1001,0),1)&gt;=100000,INDEX($AD$1005:$AU$1005,1,MATCH(COLUMNS($AD$1006:AL1006),$AD$1006:$AU$1006,0))&gt;=100000), " ",IF(INDEX($AD$2:$AU$1001,MATCH(ROWS($W$2:W691),$W$2:$W$1001,0),MATCH(COLUMNS($AD$1006:AL1006),$AD$1006:$AU$1006,0)), HYPERLINK("#",""), HYPERLINK(CONCATENATE("#metadata!", ADDRESS(INDEX($Y$2:$Y$1001,MATCH(ROWS($W$2:W691),$W$2:$W$1001,0),0), INDEX($AD$1004:$AU$1004,1,MATCH(COLUMNS($AD$1006:AL1006),$AD$1006:$AU$1006,0)))),"Fix")))</f>
        <v xml:space="preserve"> </v>
      </c>
      <c r="K691" s="4" t="str">
        <f ca="1">IF(OR(INDEX($X$2:$X$1001,MATCH(ROWS($W$2:W691),$W$2:$W$1001,0),1)&gt;=100000,INDEX($AD$1005:$AU$1005,1,MATCH(COLUMNS($AD$1006:AM1006),$AD$1006:$AU$1006,0))&gt;=100000), " ",IF(INDEX($AD$2:$AU$1001,MATCH(ROWS($W$2:W691),$W$2:$W$1001,0),MATCH(COLUMNS($AD$1006:AM1006),$AD$1006:$AU$1006,0)), HYPERLINK("#",""), HYPERLINK(CONCATENATE("#metadata!", ADDRESS(INDEX($Y$2:$Y$1001,MATCH(ROWS($W$2:W691),$W$2:$W$1001,0),0), INDEX($AD$1004:$AU$1004,1,MATCH(COLUMNS($AD$1006:AM1006),$AD$1006:$AU$1006,0)))),"Fix")))</f>
        <v xml:space="preserve"> </v>
      </c>
      <c r="L691" s="4" t="str">
        <f ca="1">IF(OR(INDEX($X$2:$X$1001,MATCH(ROWS($W$2:W691),$W$2:$W$1001,0),1)&gt;=100000,INDEX($AD$1005:$AU$1005,1,MATCH(COLUMNS($AD$1006:AN1006),$AD$1006:$AU$1006,0))&gt;=100000), " ",IF(INDEX($AD$2:$AU$1001,MATCH(ROWS($W$2:W691),$W$2:$W$1001,0),MATCH(COLUMNS($AD$1006:AN1006),$AD$1006:$AU$1006,0)), HYPERLINK("#",""), HYPERLINK(CONCATENATE("#metadata!", ADDRESS(INDEX($Y$2:$Y$1001,MATCH(ROWS($W$2:W691),$W$2:$W$1001,0),0), INDEX($AD$1004:$AU$1004,1,MATCH(COLUMNS($AD$1006:AN1006),$AD$1006:$AU$1006,0)))),"Fix")))</f>
        <v xml:space="preserve"> </v>
      </c>
      <c r="M691" s="4" t="str">
        <f ca="1">IF(OR(INDEX($X$2:$X$1001,MATCH(ROWS($W$2:W691),$W$2:$W$1001,0),1)&gt;=100000,INDEX($AD$1005:$AU$1005,1,MATCH(COLUMNS($AD$1006:AO1006),$AD$1006:$AU$1006,0))&gt;=100000), " ",IF(INDEX($AD$2:$AU$1001,MATCH(ROWS($W$2:W691),$W$2:$W$1001,0),MATCH(COLUMNS($AD$1006:AO1006),$AD$1006:$AU$1006,0)), HYPERLINK("#",""), HYPERLINK(CONCATENATE("#metadata!", ADDRESS(INDEX($Y$2:$Y$1001,MATCH(ROWS($W$2:W691),$W$2:$W$1001,0),0), INDEX($AD$1004:$AU$1004,1,MATCH(COLUMNS($AD$1006:AO1006),$AD$1006:$AU$1006,0)))),"Fix")))</f>
        <v xml:space="preserve"> </v>
      </c>
      <c r="N691" s="4" t="str">
        <f ca="1">IF(OR(INDEX($X$2:$X$1001,MATCH(ROWS($W$2:W691),$W$2:$W$1001,0),1)&gt;=100000,INDEX($AD$1005:$AU$1005,1,MATCH(COLUMNS($AD$1006:AP1006),$AD$1006:$AU$1006,0))&gt;=100000), " ",IF(INDEX($AD$2:$AU$1001,MATCH(ROWS($W$2:W691),$W$2:$W$1001,0),MATCH(COLUMNS($AD$1006:AP1006),$AD$1006:$AU$1006,0)), HYPERLINK("#",""), HYPERLINK(CONCATENATE("#metadata!", ADDRESS(INDEX($Y$2:$Y$1001,MATCH(ROWS($W$2:W691),$W$2:$W$1001,0),0), INDEX($AD$1004:$AU$1004,1,MATCH(COLUMNS($AD$1006:AP1006),$AD$1006:$AU$1006,0)))),"Fix")))</f>
        <v xml:space="preserve"> </v>
      </c>
      <c r="O691" s="4" t="str">
        <f ca="1">IF(OR(INDEX($X$2:$X$1001,MATCH(ROWS($W$2:W691),$W$2:$W$1001,0),1)&gt;=100000,INDEX($AD$1005:$AU$1005,1,MATCH(COLUMNS($AD$1006:AQ1006),$AD$1006:$AU$1006,0))&gt;=100000), " ",IF(INDEX($AD$2:$AU$1001,MATCH(ROWS($W$2:W691),$W$2:$W$1001,0),MATCH(COLUMNS($AD$1006:AQ1006),$AD$1006:$AU$1006,0)), HYPERLINK("#",""), HYPERLINK(CONCATENATE("#metadata!", ADDRESS(INDEX($Y$2:$Y$1001,MATCH(ROWS($W$2:W691),$W$2:$W$1001,0),0), INDEX($AD$1004:$AU$1004,1,MATCH(COLUMNS($AD$1006:AQ1006),$AD$1006:$AU$1006,0)))),"Fix")))</f>
        <v xml:space="preserve"> </v>
      </c>
      <c r="P691" s="4" t="str">
        <f ca="1">IF(OR(INDEX($X$2:$X$1001,MATCH(ROWS($W$2:W691),$W$2:$W$1001,0),1)&gt;=100000,INDEX($AD$1005:$AU$1005,1,MATCH(COLUMNS($AD$1006:AR1006),$AD$1006:$AU$1006,0))&gt;=100000), " ",IF(INDEX($AD$2:$AU$1001,MATCH(ROWS($W$2:W691),$W$2:$W$1001,0),MATCH(COLUMNS($AD$1006:AR1006),$AD$1006:$AU$1006,0)), HYPERLINK("#",""), HYPERLINK(CONCATENATE("#metadata!", ADDRESS(INDEX($Y$2:$Y$1001,MATCH(ROWS($W$2:W691),$W$2:$W$1001,0),0), INDEX($AD$1004:$AU$1004,1,MATCH(COLUMNS($AD$1006:AR1006),$AD$1006:$AU$1006,0)))),"Fix")))</f>
        <v xml:space="preserve"> </v>
      </c>
      <c r="Q691" s="4" t="str">
        <f ca="1">IF(OR(INDEX($X$2:$X$1001,MATCH(ROWS($W$2:W691),$W$2:$W$1001,0),1)&gt;=100000,INDEX($AD$1005:$AU$1005,1,MATCH(COLUMNS($AD$1006:AS1006),$AD$1006:$AU$1006,0))&gt;=100000), " ",IF(INDEX($AD$2:$AU$1001,MATCH(ROWS($W$2:W691),$W$2:$W$1001,0),MATCH(COLUMNS($AD$1006:AS1006),$AD$1006:$AU$1006,0)), HYPERLINK("#",""), HYPERLINK(CONCATENATE("#metadata!", ADDRESS(INDEX($Y$2:$Y$1001,MATCH(ROWS($W$2:W691),$W$2:$W$1001,0),0), INDEX($AD$1004:$AU$1004,1,MATCH(COLUMNS($AD$1006:AS1006),$AD$1006:$AU$1006,0)))),"Fix")))</f>
        <v xml:space="preserve"> </v>
      </c>
      <c r="R691" s="4" t="str">
        <f ca="1">IF(OR(INDEX($X$2:$X$1001,MATCH(ROWS($W$2:W691),$W$2:$W$1001,0),1)&gt;=100000,INDEX($AD$1005:$AU$1005,1,MATCH(COLUMNS($AD$1006:AT1006),$AD$1006:$AU$1006,0))&gt;=100000), " ",IF(INDEX($AD$2:$AU$1001,MATCH(ROWS($W$2:W691),$W$2:$W$1001,0),MATCH(COLUMNS($AD$1006:AT1006),$AD$1006:$AU$1006,0)), HYPERLINK("#",""), HYPERLINK(CONCATENATE("#metadata!", ADDRESS(INDEX($Y$2:$Y$1001,MATCH(ROWS($W$2:W691),$W$2:$W$1001,0),0), INDEX($AD$1004:$AU$1004,1,MATCH(COLUMNS($AD$1006:AT1006),$AD$1006:$AU$1006,0)))),"Fix")))</f>
        <v xml:space="preserve"> </v>
      </c>
      <c r="S691" s="4" t="str">
        <f ca="1">IF(OR(INDEX($X$2:$X$1001,MATCH(ROWS($W$2:W691),$W$2:$W$1001,0),1)&gt;=100000,INDEX($AD$1005:$AU$1005,1,MATCH(COLUMNS($AD$1006:AU1006),$AD$1006:$AU$1006,0))&gt;=100000), " ",IF(INDEX($AD$2:$AU$1001,MATCH(ROWS($W$2:W691),$W$2:$W$1001,0),MATCH(COLUMNS($AD$1006:AU1006),$AD$1006:$AU$1006,0)), HYPERLINK("#",""), HYPERLINK(CONCATENATE("#metadata!", ADDRESS(INDEX($Y$2:$Y$1001,MATCH(ROWS($W$2:W691),$W$2:$W$1001,0),0), INDEX($AD$1004:$AU$1004,1,MATCH(COLUMNS($AD$1006:AU1006),$AD$1006:$AU$1006,0)))),"Fix")))</f>
        <v xml:space="preserve"> </v>
      </c>
      <c r="W691">
        <v>690</v>
      </c>
      <c r="X691">
        <v>100691</v>
      </c>
      <c r="Y691">
        <v>691</v>
      </c>
      <c r="Z691" t="b">
        <f t="shared" si="10"/>
        <v>1</v>
      </c>
      <c r="AA691" t="b">
        <f>COUNTBLANK(metadata!B691:S691)=COLUMNS(metadata!B691:S691)</f>
        <v>1</v>
      </c>
      <c r="AB691" t="str">
        <v/>
      </c>
      <c r="AD691" t="b">
        <f ca="1">AND(IF(metadata!B691="",FALSE,TRUE),COUNTIF(metadata!B:B, metadata!B691) = 1,NOT(ISERROR(SUMPRODUCT(SEARCH(MID(metadata!B691,ROW(INDIRECT("1:"&amp;LEN(metadata!B691))), 1),"0123456789abcdefghijklmnopqrstuvwxyzABCDEFGHIJKLMNOPQRSTUVWXYZ.")))))</f>
        <v>0</v>
      </c>
      <c r="AE691" t="b">
        <f>OR(AND(IF(metadata!C691="",FALSE,TRUE),OR(EXACT(metadata!C691,"not applicable"),EXACT(metadata!C691,"missing: not collected"),EXACT(metadata!C691,"missing: not provided"),EXACT(metadata!C691,"missing: restricted access"))),AND(IF(metadata!C691="",FALSE,ISNUMBER(VALUE(metadata!C691))),metadata!C691&gt;0))</f>
        <v>0</v>
      </c>
      <c r="AF691" t="b">
        <f>AND(IF(metadata!D691="",FALSE,TRUE),EXACT(metadata!D691,"missing: not provided"))</f>
        <v>0</v>
      </c>
      <c r="AG691" t="b">
        <f>AND(IF(metadata!E691="",FALSE,TRUE),EXACT(metadata!E691,"Host-associated"))</f>
        <v>0</v>
      </c>
      <c r="AH691" t="b">
        <f>AND(IF(metadata!F691="",FALSE,TRUE),OR(EXACT(metadata!F691,"Animal"),EXACT(metadata!F691,"Fungus"),EXACT(metadata!F691,"Plant")))</f>
        <v>0</v>
      </c>
      <c r="AI691" t="b">
        <f>AND(IF(metadata!G691="",FALSE,TRUE),OR(EXACT(metadata!G691,"Plant secretion"),EXACT(metadata!G691,"Plant rhizosphere"),EXACT(metadata!G691,"Plant surface"),EXACT(metadata!G691,"Plant corpus"),EXACT(metadata!G691,"Fungus surface"),EXACT(metadata!G691,"Fungus corpus"),EXACT(metadata!G691,"Animal surface"),EXACT(metadata!G691,"Animal proximal gut"),EXACT(metadata!G691,"Animal corpus"),EXACT(metadata!G691,"Animal distal gut"),EXACT(metadata!G691,"Animal secretion")))</f>
        <v>0</v>
      </c>
      <c r="AJ691" t="b">
        <f>OR(AND(IF(metadata!H691="",FALSE,TRUE),OR(EXACT(metadata!H691,"missing: not collected"),EXACT(metadata!H691,"missing: not provided"),EXACT(metadata!H691,"missing: restricted access"))),AND(IF(metadata!H691="",FALSE,TRUE),OR(EXACT(metadata!H691,"organism-associated habitat"),EXACT(metadata!H691,"plant-associated habitat"),EXACT(metadata!H691,"animal-associated habitat"),EXACT(metadata!H691,"insecta-associated habitat"),EXACT(metadata!H691,"mammalia-associated habitat"),EXACT(metadata!H691,"human-associated habitat"),EXACT(metadata!H691,"livestock-associated habitat"))))</f>
        <v>0</v>
      </c>
      <c r="AK691" t="b">
        <f>AND(IF(metadata!I691="",FALSE,TRUE),EXACT(metadata!I691,"host-associated"))</f>
        <v>0</v>
      </c>
      <c r="AL691" t="b">
        <f>OR(AND(IF(metadata!J691="",FALSE,TRUE),OR(EXACT(metadata!J691,"not applicable"),EXACT(metadata!J691,"missing: not collected"),EXACT(metadata!J691,"missing: not provided"),EXACT(metadata!J691,"missing: restricted access"))),AND(IF(metadata!J691="",FALSE,ISNUMBER(VALUE(metadata!J691))),metadata!J691&gt;0))</f>
        <v>0</v>
      </c>
      <c r="AM691" t="b">
        <f>AND(IF(metadata!K691="",FALSE,TRUE),EXACT(metadata!K691,"missing: not provided"))</f>
        <v>0</v>
      </c>
      <c r="AN691" t="b">
        <f>IF(metadata!L691="",FALSE,TRUE)</f>
        <v>0</v>
      </c>
      <c r="AO691" t="b">
        <f>IF(metadata!M691="",FALSE,TRUE)</f>
        <v>0</v>
      </c>
      <c r="AP691" t="b">
        <f>OR(AND(IF(metadata!N691="",FALSE,TRUE),OR(EXACT(metadata!N691,"not applicable"),EXACT(metadata!N691,"missing: not collected"),EXACT(metadata!N691,"missing: not provided"))),AND(IF(metadata!N691="",FALSE,IF(ISERROR(INT(metadata!N691)),FALSE,INT(metadata!N691)=metadata!N691)),metadata!N691&gt;0))</f>
        <v>0</v>
      </c>
      <c r="AQ691" t="b">
        <f>AND(IF(metadata!O691="",FALSE,TRUE),EXACT(metadata!O691,"Not applicable"))</f>
        <v>0</v>
      </c>
      <c r="AR691" t="b">
        <f>OR(AND(IF(metadata!P691="",FALSE,TRUE),OR(EXACT(metadata!P691,"not applicable"),EXACT(metadata!P691,"missing: not collected"),EXACT(metadata!P691,"missing: not provided"),EXACT(metadata!P691,"missing: restricted access"))),IF(metadata!P691="",FALSE,IF(ISERROR(INT(metadata!P691)),FALSE,INT(metadata!P691)=metadata!P691)))</f>
        <v>0</v>
      </c>
      <c r="AS691" t="b">
        <f>AND(IF(metadata!Q691="",FALSE,TRUE),EXACT(metadata!Q691,"Not applicable"))</f>
        <v>0</v>
      </c>
      <c r="AT691" t="b">
        <f>OR(AND(IF(metadata!R691="",FALSE,TRUE),OR(EXACT(metadata!R691,"not applicable"),EXACT(metadata!R691,"missing: not collected"),EXACT(metadata!R691,"missing: not provided"),EXACT(metadata!R691,"missing: restricted access"))),AND(IF(metadata!R691="",FALSE,ISNUMBER(VALUE(metadata!R691))),metadata!R691&gt;0))</f>
        <v>0</v>
      </c>
      <c r="AU691" t="b">
        <f>AND(IF(metadata!S691="",FALSE,TRUE),EXACT(metadata!S691,"missing: not provided"))</f>
        <v>0</v>
      </c>
    </row>
    <row r="692" spans="1:47" x14ac:dyDescent="0.2">
      <c r="A692" s="5" t="str">
        <f ca="1">IF(B692=" "," ",HYPERLINK(CONCATENATE("#metadata!",ADDRESS(INDEX($Y$2:$Y$1001,MATCH(ROWS($W$2:W692),$W$2:$W$1001,0),0),1)),INDEX($AB$2:$AB$1001,MATCH(ROWS($W$2:W692),$W$2:$W$1001,0),0)))</f>
        <v xml:space="preserve"> </v>
      </c>
      <c r="B692" s="4" t="str">
        <f ca="1">IF(OR(INDEX($X$2:$X$1001,MATCH(ROWS($W$2:W692),$W$2:$W$1001,0),1)&gt;=100000,INDEX($AD$1005:$AU$1005,1,MATCH(COLUMNS($AD$1006:AD1006),$AD$1006:$AU$1006,0))&gt;=100000), " ",IF(INDEX($AD$2:$AU$1001,MATCH(ROWS($W$2:W692),$W$2:$W$1001,0),MATCH(COLUMNS($AD$1006:AD1006),$AD$1006:$AU$1006,0)), HYPERLINK("#",""), HYPERLINK(CONCATENATE("#metadata!", ADDRESS(INDEX($Y$2:$Y$1001,MATCH(ROWS($W$2:W692),$W$2:$W$1001,0),0), INDEX($AD$1004:$AU$1004,1,MATCH(COLUMNS($AD$1006:AD1006),$AD$1006:$AU$1006,0)))),"Fix")))</f>
        <v xml:space="preserve"> </v>
      </c>
      <c r="C692" s="4" t="str">
        <f ca="1">IF(OR(INDEX($X$2:$X$1001,MATCH(ROWS($W$2:W692),$W$2:$W$1001,0),1)&gt;=100000,INDEX($AD$1005:$AU$1005,1,MATCH(COLUMNS($AD$1006:AE1006),$AD$1006:$AU$1006,0))&gt;=100000), " ",IF(INDEX($AD$2:$AU$1001,MATCH(ROWS($W$2:W692),$W$2:$W$1001,0),MATCH(COLUMNS($AD$1006:AE1006),$AD$1006:$AU$1006,0)), HYPERLINK("#",""), HYPERLINK(CONCATENATE("#metadata!", ADDRESS(INDEX($Y$2:$Y$1001,MATCH(ROWS($W$2:W692),$W$2:$W$1001,0),0), INDEX($AD$1004:$AU$1004,1,MATCH(COLUMNS($AD$1006:AE1006),$AD$1006:$AU$1006,0)))),"Fix")))</f>
        <v xml:space="preserve"> </v>
      </c>
      <c r="D692" s="4" t="str">
        <f ca="1">IF(OR(INDEX($X$2:$X$1001,MATCH(ROWS($W$2:W692),$W$2:$W$1001,0),1)&gt;=100000,INDEX($AD$1005:$AU$1005,1,MATCH(COLUMNS($AD$1006:AF1006),$AD$1006:$AU$1006,0))&gt;=100000), " ",IF(INDEX($AD$2:$AU$1001,MATCH(ROWS($W$2:W692),$W$2:$W$1001,0),MATCH(COLUMNS($AD$1006:AF1006),$AD$1006:$AU$1006,0)), HYPERLINK("#",""), HYPERLINK(CONCATENATE("#metadata!", ADDRESS(INDEX($Y$2:$Y$1001,MATCH(ROWS($W$2:W692),$W$2:$W$1001,0),0), INDEX($AD$1004:$AU$1004,1,MATCH(COLUMNS($AD$1006:AF1006),$AD$1006:$AU$1006,0)))),"Fix")))</f>
        <v xml:space="preserve"> </v>
      </c>
      <c r="E692" s="4" t="str">
        <f ca="1">IF(OR(INDEX($X$2:$X$1001,MATCH(ROWS($W$2:W692),$W$2:$W$1001,0),1)&gt;=100000,INDEX($AD$1005:$AU$1005,1,MATCH(COLUMNS($AD$1006:AG1006),$AD$1006:$AU$1006,0))&gt;=100000), " ",IF(INDEX($AD$2:$AU$1001,MATCH(ROWS($W$2:W692),$W$2:$W$1001,0),MATCH(COLUMNS($AD$1006:AG1006),$AD$1006:$AU$1006,0)), HYPERLINK("#",""), HYPERLINK(CONCATENATE("#metadata!", ADDRESS(INDEX($Y$2:$Y$1001,MATCH(ROWS($W$2:W692),$W$2:$W$1001,0),0), INDEX($AD$1004:$AU$1004,1,MATCH(COLUMNS($AD$1006:AG1006),$AD$1006:$AU$1006,0)))),"Fix")))</f>
        <v xml:space="preserve"> </v>
      </c>
      <c r="F692" s="4" t="str">
        <f ca="1">IF(OR(INDEX($X$2:$X$1001,MATCH(ROWS($W$2:W692),$W$2:$W$1001,0),1)&gt;=100000,INDEX($AD$1005:$AU$1005,1,MATCH(COLUMNS($AD$1006:AH1006),$AD$1006:$AU$1006,0))&gt;=100000), " ",IF(INDEX($AD$2:$AU$1001,MATCH(ROWS($W$2:W692),$W$2:$W$1001,0),MATCH(COLUMNS($AD$1006:AH1006),$AD$1006:$AU$1006,0)), HYPERLINK("#",""), HYPERLINK(CONCATENATE("#metadata!", ADDRESS(INDEX($Y$2:$Y$1001,MATCH(ROWS($W$2:W692),$W$2:$W$1001,0),0), INDEX($AD$1004:$AU$1004,1,MATCH(COLUMNS($AD$1006:AH1006),$AD$1006:$AU$1006,0)))),"Fix")))</f>
        <v xml:space="preserve"> </v>
      </c>
      <c r="G692" s="4" t="str">
        <f ca="1">IF(OR(INDEX($X$2:$X$1001,MATCH(ROWS($W$2:W692),$W$2:$W$1001,0),1)&gt;=100000,INDEX($AD$1005:$AU$1005,1,MATCH(COLUMNS($AD$1006:AI1006),$AD$1006:$AU$1006,0))&gt;=100000), " ",IF(INDEX($AD$2:$AU$1001,MATCH(ROWS($W$2:W692),$W$2:$W$1001,0),MATCH(COLUMNS($AD$1006:AI1006),$AD$1006:$AU$1006,0)), HYPERLINK("#",""), HYPERLINK(CONCATENATE("#metadata!", ADDRESS(INDEX($Y$2:$Y$1001,MATCH(ROWS($W$2:W692),$W$2:$W$1001,0),0), INDEX($AD$1004:$AU$1004,1,MATCH(COLUMNS($AD$1006:AI1006),$AD$1006:$AU$1006,0)))),"Fix")))</f>
        <v xml:space="preserve"> </v>
      </c>
      <c r="H692" s="4" t="str">
        <f ca="1">IF(OR(INDEX($X$2:$X$1001,MATCH(ROWS($W$2:W692),$W$2:$W$1001,0),1)&gt;=100000,INDEX($AD$1005:$AU$1005,1,MATCH(COLUMNS($AD$1006:AJ1006),$AD$1006:$AU$1006,0))&gt;=100000), " ",IF(INDEX($AD$2:$AU$1001,MATCH(ROWS($W$2:W692),$W$2:$W$1001,0),MATCH(COLUMNS($AD$1006:AJ1006),$AD$1006:$AU$1006,0)), HYPERLINK("#",""), HYPERLINK(CONCATENATE("#metadata!", ADDRESS(INDEX($Y$2:$Y$1001,MATCH(ROWS($W$2:W692),$W$2:$W$1001,0),0), INDEX($AD$1004:$AU$1004,1,MATCH(COLUMNS($AD$1006:AJ1006),$AD$1006:$AU$1006,0)))),"Fix")))</f>
        <v xml:space="preserve"> </v>
      </c>
      <c r="I692" s="4" t="str">
        <f ca="1">IF(OR(INDEX($X$2:$X$1001,MATCH(ROWS($W$2:W692),$W$2:$W$1001,0),1)&gt;=100000,INDEX($AD$1005:$AU$1005,1,MATCH(COLUMNS($AD$1006:AK1006),$AD$1006:$AU$1006,0))&gt;=100000), " ",IF(INDEX($AD$2:$AU$1001,MATCH(ROWS($W$2:W692),$W$2:$W$1001,0),MATCH(COLUMNS($AD$1006:AK1006),$AD$1006:$AU$1006,0)), HYPERLINK("#",""), HYPERLINK(CONCATENATE("#metadata!", ADDRESS(INDEX($Y$2:$Y$1001,MATCH(ROWS($W$2:W692),$W$2:$W$1001,0),0), INDEX($AD$1004:$AU$1004,1,MATCH(COLUMNS($AD$1006:AK1006),$AD$1006:$AU$1006,0)))),"Fix")))</f>
        <v xml:space="preserve"> </v>
      </c>
      <c r="J692" s="4" t="str">
        <f ca="1">IF(OR(INDEX($X$2:$X$1001,MATCH(ROWS($W$2:W692),$W$2:$W$1001,0),1)&gt;=100000,INDEX($AD$1005:$AU$1005,1,MATCH(COLUMNS($AD$1006:AL1006),$AD$1006:$AU$1006,0))&gt;=100000), " ",IF(INDEX($AD$2:$AU$1001,MATCH(ROWS($W$2:W692),$W$2:$W$1001,0),MATCH(COLUMNS($AD$1006:AL1006),$AD$1006:$AU$1006,0)), HYPERLINK("#",""), HYPERLINK(CONCATENATE("#metadata!", ADDRESS(INDEX($Y$2:$Y$1001,MATCH(ROWS($W$2:W692),$W$2:$W$1001,0),0), INDEX($AD$1004:$AU$1004,1,MATCH(COLUMNS($AD$1006:AL1006),$AD$1006:$AU$1006,0)))),"Fix")))</f>
        <v xml:space="preserve"> </v>
      </c>
      <c r="K692" s="4" t="str">
        <f ca="1">IF(OR(INDEX($X$2:$X$1001,MATCH(ROWS($W$2:W692),$W$2:$W$1001,0),1)&gt;=100000,INDEX($AD$1005:$AU$1005,1,MATCH(COLUMNS($AD$1006:AM1006),$AD$1006:$AU$1006,0))&gt;=100000), " ",IF(INDEX($AD$2:$AU$1001,MATCH(ROWS($W$2:W692),$W$2:$W$1001,0),MATCH(COLUMNS($AD$1006:AM1006),$AD$1006:$AU$1006,0)), HYPERLINK("#",""), HYPERLINK(CONCATENATE("#metadata!", ADDRESS(INDEX($Y$2:$Y$1001,MATCH(ROWS($W$2:W692),$W$2:$W$1001,0),0), INDEX($AD$1004:$AU$1004,1,MATCH(COLUMNS($AD$1006:AM1006),$AD$1006:$AU$1006,0)))),"Fix")))</f>
        <v xml:space="preserve"> </v>
      </c>
      <c r="L692" s="4" t="str">
        <f ca="1">IF(OR(INDEX($X$2:$X$1001,MATCH(ROWS($W$2:W692),$W$2:$W$1001,0),1)&gt;=100000,INDEX($AD$1005:$AU$1005,1,MATCH(COLUMNS($AD$1006:AN1006),$AD$1006:$AU$1006,0))&gt;=100000), " ",IF(INDEX($AD$2:$AU$1001,MATCH(ROWS($W$2:W692),$W$2:$W$1001,0),MATCH(COLUMNS($AD$1006:AN1006),$AD$1006:$AU$1006,0)), HYPERLINK("#",""), HYPERLINK(CONCATENATE("#metadata!", ADDRESS(INDEX($Y$2:$Y$1001,MATCH(ROWS($W$2:W692),$W$2:$W$1001,0),0), INDEX($AD$1004:$AU$1004,1,MATCH(COLUMNS($AD$1006:AN1006),$AD$1006:$AU$1006,0)))),"Fix")))</f>
        <v xml:space="preserve"> </v>
      </c>
      <c r="M692" s="4" t="str">
        <f ca="1">IF(OR(INDEX($X$2:$X$1001,MATCH(ROWS($W$2:W692),$W$2:$W$1001,0),1)&gt;=100000,INDEX($AD$1005:$AU$1005,1,MATCH(COLUMNS($AD$1006:AO1006),$AD$1006:$AU$1006,0))&gt;=100000), " ",IF(INDEX($AD$2:$AU$1001,MATCH(ROWS($W$2:W692),$W$2:$W$1001,0),MATCH(COLUMNS($AD$1006:AO1006),$AD$1006:$AU$1006,0)), HYPERLINK("#",""), HYPERLINK(CONCATENATE("#metadata!", ADDRESS(INDEX($Y$2:$Y$1001,MATCH(ROWS($W$2:W692),$W$2:$W$1001,0),0), INDEX($AD$1004:$AU$1004,1,MATCH(COLUMNS($AD$1006:AO1006),$AD$1006:$AU$1006,0)))),"Fix")))</f>
        <v xml:space="preserve"> </v>
      </c>
      <c r="N692" s="4" t="str">
        <f ca="1">IF(OR(INDEX($X$2:$X$1001,MATCH(ROWS($W$2:W692),$W$2:$W$1001,0),1)&gt;=100000,INDEX($AD$1005:$AU$1005,1,MATCH(COLUMNS($AD$1006:AP1006),$AD$1006:$AU$1006,0))&gt;=100000), " ",IF(INDEX($AD$2:$AU$1001,MATCH(ROWS($W$2:W692),$W$2:$W$1001,0),MATCH(COLUMNS($AD$1006:AP1006),$AD$1006:$AU$1006,0)), HYPERLINK("#",""), HYPERLINK(CONCATENATE("#metadata!", ADDRESS(INDEX($Y$2:$Y$1001,MATCH(ROWS($W$2:W692),$W$2:$W$1001,0),0), INDEX($AD$1004:$AU$1004,1,MATCH(COLUMNS($AD$1006:AP1006),$AD$1006:$AU$1006,0)))),"Fix")))</f>
        <v xml:space="preserve"> </v>
      </c>
      <c r="O692" s="4" t="str">
        <f ca="1">IF(OR(INDEX($X$2:$X$1001,MATCH(ROWS($W$2:W692),$W$2:$W$1001,0),1)&gt;=100000,INDEX($AD$1005:$AU$1005,1,MATCH(COLUMNS($AD$1006:AQ1006),$AD$1006:$AU$1006,0))&gt;=100000), " ",IF(INDEX($AD$2:$AU$1001,MATCH(ROWS($W$2:W692),$W$2:$W$1001,0),MATCH(COLUMNS($AD$1006:AQ1006),$AD$1006:$AU$1006,0)), HYPERLINK("#",""), HYPERLINK(CONCATENATE("#metadata!", ADDRESS(INDEX($Y$2:$Y$1001,MATCH(ROWS($W$2:W692),$W$2:$W$1001,0),0), INDEX($AD$1004:$AU$1004,1,MATCH(COLUMNS($AD$1006:AQ1006),$AD$1006:$AU$1006,0)))),"Fix")))</f>
        <v xml:space="preserve"> </v>
      </c>
      <c r="P692" s="4" t="str">
        <f ca="1">IF(OR(INDEX($X$2:$X$1001,MATCH(ROWS($W$2:W692),$W$2:$W$1001,0),1)&gt;=100000,INDEX($AD$1005:$AU$1005,1,MATCH(COLUMNS($AD$1006:AR1006),$AD$1006:$AU$1006,0))&gt;=100000), " ",IF(INDEX($AD$2:$AU$1001,MATCH(ROWS($W$2:W692),$W$2:$W$1001,0),MATCH(COLUMNS($AD$1006:AR1006),$AD$1006:$AU$1006,0)), HYPERLINK("#",""), HYPERLINK(CONCATENATE("#metadata!", ADDRESS(INDEX($Y$2:$Y$1001,MATCH(ROWS($W$2:W692),$W$2:$W$1001,0),0), INDEX($AD$1004:$AU$1004,1,MATCH(COLUMNS($AD$1006:AR1006),$AD$1006:$AU$1006,0)))),"Fix")))</f>
        <v xml:space="preserve"> </v>
      </c>
      <c r="Q692" s="4" t="str">
        <f ca="1">IF(OR(INDEX($X$2:$X$1001,MATCH(ROWS($W$2:W692),$W$2:$W$1001,0),1)&gt;=100000,INDEX($AD$1005:$AU$1005,1,MATCH(COLUMNS($AD$1006:AS1006),$AD$1006:$AU$1006,0))&gt;=100000), " ",IF(INDEX($AD$2:$AU$1001,MATCH(ROWS($W$2:W692),$W$2:$W$1001,0),MATCH(COLUMNS($AD$1006:AS1006),$AD$1006:$AU$1006,0)), HYPERLINK("#",""), HYPERLINK(CONCATENATE("#metadata!", ADDRESS(INDEX($Y$2:$Y$1001,MATCH(ROWS($W$2:W692),$W$2:$W$1001,0),0), INDEX($AD$1004:$AU$1004,1,MATCH(COLUMNS($AD$1006:AS1006),$AD$1006:$AU$1006,0)))),"Fix")))</f>
        <v xml:space="preserve"> </v>
      </c>
      <c r="R692" s="4" t="str">
        <f ca="1">IF(OR(INDEX($X$2:$X$1001,MATCH(ROWS($W$2:W692),$W$2:$W$1001,0),1)&gt;=100000,INDEX($AD$1005:$AU$1005,1,MATCH(COLUMNS($AD$1006:AT1006),$AD$1006:$AU$1006,0))&gt;=100000), " ",IF(INDEX($AD$2:$AU$1001,MATCH(ROWS($W$2:W692),$W$2:$W$1001,0),MATCH(COLUMNS($AD$1006:AT1006),$AD$1006:$AU$1006,0)), HYPERLINK("#",""), HYPERLINK(CONCATENATE("#metadata!", ADDRESS(INDEX($Y$2:$Y$1001,MATCH(ROWS($W$2:W692),$W$2:$W$1001,0),0), INDEX($AD$1004:$AU$1004,1,MATCH(COLUMNS($AD$1006:AT1006),$AD$1006:$AU$1006,0)))),"Fix")))</f>
        <v xml:space="preserve"> </v>
      </c>
      <c r="S692" s="4" t="str">
        <f ca="1">IF(OR(INDEX($X$2:$X$1001,MATCH(ROWS($W$2:W692),$W$2:$W$1001,0),1)&gt;=100000,INDEX($AD$1005:$AU$1005,1,MATCH(COLUMNS($AD$1006:AU1006),$AD$1006:$AU$1006,0))&gt;=100000), " ",IF(INDEX($AD$2:$AU$1001,MATCH(ROWS($W$2:W692),$W$2:$W$1001,0),MATCH(COLUMNS($AD$1006:AU1006),$AD$1006:$AU$1006,0)), HYPERLINK("#",""), HYPERLINK(CONCATENATE("#metadata!", ADDRESS(INDEX($Y$2:$Y$1001,MATCH(ROWS($W$2:W692),$W$2:$W$1001,0),0), INDEX($AD$1004:$AU$1004,1,MATCH(COLUMNS($AD$1006:AU1006),$AD$1006:$AU$1006,0)))),"Fix")))</f>
        <v xml:space="preserve"> </v>
      </c>
      <c r="W692">
        <v>691</v>
      </c>
      <c r="X692">
        <v>100692</v>
      </c>
      <c r="Y692">
        <v>692</v>
      </c>
      <c r="Z692" t="b">
        <f t="shared" si="10"/>
        <v>1</v>
      </c>
      <c r="AA692" t="b">
        <f>COUNTBLANK(metadata!B692:S692)=COLUMNS(metadata!B692:S692)</f>
        <v>1</v>
      </c>
      <c r="AB692" t="str">
        <v/>
      </c>
      <c r="AD692" t="b">
        <f ca="1">AND(IF(metadata!B692="",FALSE,TRUE),COUNTIF(metadata!B:B, metadata!B692) = 1,NOT(ISERROR(SUMPRODUCT(SEARCH(MID(metadata!B692,ROW(INDIRECT("1:"&amp;LEN(metadata!B692))), 1),"0123456789abcdefghijklmnopqrstuvwxyzABCDEFGHIJKLMNOPQRSTUVWXYZ.")))))</f>
        <v>0</v>
      </c>
      <c r="AE692" t="b">
        <f>OR(AND(IF(metadata!C692="",FALSE,TRUE),OR(EXACT(metadata!C692,"not applicable"),EXACT(metadata!C692,"missing: not collected"),EXACT(metadata!C692,"missing: not provided"),EXACT(metadata!C692,"missing: restricted access"))),AND(IF(metadata!C692="",FALSE,ISNUMBER(VALUE(metadata!C692))),metadata!C692&gt;0))</f>
        <v>0</v>
      </c>
      <c r="AF692" t="b">
        <f>AND(IF(metadata!D692="",FALSE,TRUE),EXACT(metadata!D692,"missing: not provided"))</f>
        <v>0</v>
      </c>
      <c r="AG692" t="b">
        <f>AND(IF(metadata!E692="",FALSE,TRUE),EXACT(metadata!E692,"Host-associated"))</f>
        <v>0</v>
      </c>
      <c r="AH692" t="b">
        <f>AND(IF(metadata!F692="",FALSE,TRUE),OR(EXACT(metadata!F692,"Animal"),EXACT(metadata!F692,"Fungus"),EXACT(metadata!F692,"Plant")))</f>
        <v>0</v>
      </c>
      <c r="AI692" t="b">
        <f>AND(IF(metadata!G692="",FALSE,TRUE),OR(EXACT(metadata!G692,"Plant secretion"),EXACT(metadata!G692,"Plant rhizosphere"),EXACT(metadata!G692,"Plant surface"),EXACT(metadata!G692,"Plant corpus"),EXACT(metadata!G692,"Fungus surface"),EXACT(metadata!G692,"Fungus corpus"),EXACT(metadata!G692,"Animal surface"),EXACT(metadata!G692,"Animal proximal gut"),EXACT(metadata!G692,"Animal corpus"),EXACT(metadata!G692,"Animal distal gut"),EXACT(metadata!G692,"Animal secretion")))</f>
        <v>0</v>
      </c>
      <c r="AJ692" t="b">
        <f>OR(AND(IF(metadata!H692="",FALSE,TRUE),OR(EXACT(metadata!H692,"missing: not collected"),EXACT(metadata!H692,"missing: not provided"),EXACT(metadata!H692,"missing: restricted access"))),AND(IF(metadata!H692="",FALSE,TRUE),OR(EXACT(metadata!H692,"organism-associated habitat"),EXACT(metadata!H692,"plant-associated habitat"),EXACT(metadata!H692,"animal-associated habitat"),EXACT(metadata!H692,"insecta-associated habitat"),EXACT(metadata!H692,"mammalia-associated habitat"),EXACT(metadata!H692,"human-associated habitat"),EXACT(metadata!H692,"livestock-associated habitat"))))</f>
        <v>0</v>
      </c>
      <c r="AK692" t="b">
        <f>AND(IF(metadata!I692="",FALSE,TRUE),EXACT(metadata!I692,"host-associated"))</f>
        <v>0</v>
      </c>
      <c r="AL692" t="b">
        <f>OR(AND(IF(metadata!J692="",FALSE,TRUE),OR(EXACT(metadata!J692,"not applicable"),EXACT(metadata!J692,"missing: not collected"),EXACT(metadata!J692,"missing: not provided"),EXACT(metadata!J692,"missing: restricted access"))),AND(IF(metadata!J692="",FALSE,ISNUMBER(VALUE(metadata!J692))),metadata!J692&gt;0))</f>
        <v>0</v>
      </c>
      <c r="AM692" t="b">
        <f>AND(IF(metadata!K692="",FALSE,TRUE),EXACT(metadata!K692,"missing: not provided"))</f>
        <v>0</v>
      </c>
      <c r="AN692" t="b">
        <f>IF(metadata!L692="",FALSE,TRUE)</f>
        <v>0</v>
      </c>
      <c r="AO692" t="b">
        <f>IF(metadata!M692="",FALSE,TRUE)</f>
        <v>0</v>
      </c>
      <c r="AP692" t="b">
        <f>OR(AND(IF(metadata!N692="",FALSE,TRUE),OR(EXACT(metadata!N692,"not applicable"),EXACT(metadata!N692,"missing: not collected"),EXACT(metadata!N692,"missing: not provided"))),AND(IF(metadata!N692="",FALSE,IF(ISERROR(INT(metadata!N692)),FALSE,INT(metadata!N692)=metadata!N692)),metadata!N692&gt;0))</f>
        <v>0</v>
      </c>
      <c r="AQ692" t="b">
        <f>AND(IF(metadata!O692="",FALSE,TRUE),EXACT(metadata!O692,"Not applicable"))</f>
        <v>0</v>
      </c>
      <c r="AR692" t="b">
        <f>OR(AND(IF(metadata!P692="",FALSE,TRUE),OR(EXACT(metadata!P692,"not applicable"),EXACT(metadata!P692,"missing: not collected"),EXACT(metadata!P692,"missing: not provided"),EXACT(metadata!P692,"missing: restricted access"))),IF(metadata!P692="",FALSE,IF(ISERROR(INT(metadata!P692)),FALSE,INT(metadata!P692)=metadata!P692)))</f>
        <v>0</v>
      </c>
      <c r="AS692" t="b">
        <f>AND(IF(metadata!Q692="",FALSE,TRUE),EXACT(metadata!Q692,"Not applicable"))</f>
        <v>0</v>
      </c>
      <c r="AT692" t="b">
        <f>OR(AND(IF(metadata!R692="",FALSE,TRUE),OR(EXACT(metadata!R692,"not applicable"),EXACT(metadata!R692,"missing: not collected"),EXACT(metadata!R692,"missing: not provided"),EXACT(metadata!R692,"missing: restricted access"))),AND(IF(metadata!R692="",FALSE,ISNUMBER(VALUE(metadata!R692))),metadata!R692&gt;0))</f>
        <v>0</v>
      </c>
      <c r="AU692" t="b">
        <f>AND(IF(metadata!S692="",FALSE,TRUE),EXACT(metadata!S692,"missing: not provided"))</f>
        <v>0</v>
      </c>
    </row>
    <row r="693" spans="1:47" x14ac:dyDescent="0.2">
      <c r="A693" s="5" t="str">
        <f ca="1">IF(B693=" "," ",HYPERLINK(CONCATENATE("#metadata!",ADDRESS(INDEX($Y$2:$Y$1001,MATCH(ROWS($W$2:W693),$W$2:$W$1001,0),0),1)),INDEX($AB$2:$AB$1001,MATCH(ROWS($W$2:W693),$W$2:$W$1001,0),0)))</f>
        <v xml:space="preserve"> </v>
      </c>
      <c r="B693" s="4" t="str">
        <f ca="1">IF(OR(INDEX($X$2:$X$1001,MATCH(ROWS($W$2:W693),$W$2:$W$1001,0),1)&gt;=100000,INDEX($AD$1005:$AU$1005,1,MATCH(COLUMNS($AD$1006:AD1006),$AD$1006:$AU$1006,0))&gt;=100000), " ",IF(INDEX($AD$2:$AU$1001,MATCH(ROWS($W$2:W693),$W$2:$W$1001,0),MATCH(COLUMNS($AD$1006:AD1006),$AD$1006:$AU$1006,0)), HYPERLINK("#",""), HYPERLINK(CONCATENATE("#metadata!", ADDRESS(INDEX($Y$2:$Y$1001,MATCH(ROWS($W$2:W693),$W$2:$W$1001,0),0), INDEX($AD$1004:$AU$1004,1,MATCH(COLUMNS($AD$1006:AD1006),$AD$1006:$AU$1006,0)))),"Fix")))</f>
        <v xml:space="preserve"> </v>
      </c>
      <c r="C693" s="4" t="str">
        <f ca="1">IF(OR(INDEX($X$2:$X$1001,MATCH(ROWS($W$2:W693),$W$2:$W$1001,0),1)&gt;=100000,INDEX($AD$1005:$AU$1005,1,MATCH(COLUMNS($AD$1006:AE1006),$AD$1006:$AU$1006,0))&gt;=100000), " ",IF(INDEX($AD$2:$AU$1001,MATCH(ROWS($W$2:W693),$W$2:$W$1001,0),MATCH(COLUMNS($AD$1006:AE1006),$AD$1006:$AU$1006,0)), HYPERLINK("#",""), HYPERLINK(CONCATENATE("#metadata!", ADDRESS(INDEX($Y$2:$Y$1001,MATCH(ROWS($W$2:W693),$W$2:$W$1001,0),0), INDEX($AD$1004:$AU$1004,1,MATCH(COLUMNS($AD$1006:AE1006),$AD$1006:$AU$1006,0)))),"Fix")))</f>
        <v xml:space="preserve"> </v>
      </c>
      <c r="D693" s="4" t="str">
        <f ca="1">IF(OR(INDEX($X$2:$X$1001,MATCH(ROWS($W$2:W693),$W$2:$W$1001,0),1)&gt;=100000,INDEX($AD$1005:$AU$1005,1,MATCH(COLUMNS($AD$1006:AF1006),$AD$1006:$AU$1006,0))&gt;=100000), " ",IF(INDEX($AD$2:$AU$1001,MATCH(ROWS($W$2:W693),$W$2:$W$1001,0),MATCH(COLUMNS($AD$1006:AF1006),$AD$1006:$AU$1006,0)), HYPERLINK("#",""), HYPERLINK(CONCATENATE("#metadata!", ADDRESS(INDEX($Y$2:$Y$1001,MATCH(ROWS($W$2:W693),$W$2:$W$1001,0),0), INDEX($AD$1004:$AU$1004,1,MATCH(COLUMNS($AD$1006:AF1006),$AD$1006:$AU$1006,0)))),"Fix")))</f>
        <v xml:space="preserve"> </v>
      </c>
      <c r="E693" s="4" t="str">
        <f ca="1">IF(OR(INDEX($X$2:$X$1001,MATCH(ROWS($W$2:W693),$W$2:$W$1001,0),1)&gt;=100000,INDEX($AD$1005:$AU$1005,1,MATCH(COLUMNS($AD$1006:AG1006),$AD$1006:$AU$1006,0))&gt;=100000), " ",IF(INDEX($AD$2:$AU$1001,MATCH(ROWS($W$2:W693),$W$2:$W$1001,0),MATCH(COLUMNS($AD$1006:AG1006),$AD$1006:$AU$1006,0)), HYPERLINK("#",""), HYPERLINK(CONCATENATE("#metadata!", ADDRESS(INDEX($Y$2:$Y$1001,MATCH(ROWS($W$2:W693),$W$2:$W$1001,0),0), INDEX($AD$1004:$AU$1004,1,MATCH(COLUMNS($AD$1006:AG1006),$AD$1006:$AU$1006,0)))),"Fix")))</f>
        <v xml:space="preserve"> </v>
      </c>
      <c r="F693" s="4" t="str">
        <f ca="1">IF(OR(INDEX($X$2:$X$1001,MATCH(ROWS($W$2:W693),$W$2:$W$1001,0),1)&gt;=100000,INDEX($AD$1005:$AU$1005,1,MATCH(COLUMNS($AD$1006:AH1006),$AD$1006:$AU$1006,0))&gt;=100000), " ",IF(INDEX($AD$2:$AU$1001,MATCH(ROWS($W$2:W693),$W$2:$W$1001,0),MATCH(COLUMNS($AD$1006:AH1006),$AD$1006:$AU$1006,0)), HYPERLINK("#",""), HYPERLINK(CONCATENATE("#metadata!", ADDRESS(INDEX($Y$2:$Y$1001,MATCH(ROWS($W$2:W693),$W$2:$W$1001,0),0), INDEX($AD$1004:$AU$1004,1,MATCH(COLUMNS($AD$1006:AH1006),$AD$1006:$AU$1006,0)))),"Fix")))</f>
        <v xml:space="preserve"> </v>
      </c>
      <c r="G693" s="4" t="str">
        <f ca="1">IF(OR(INDEX($X$2:$X$1001,MATCH(ROWS($W$2:W693),$W$2:$W$1001,0),1)&gt;=100000,INDEX($AD$1005:$AU$1005,1,MATCH(COLUMNS($AD$1006:AI1006),$AD$1006:$AU$1006,0))&gt;=100000), " ",IF(INDEX($AD$2:$AU$1001,MATCH(ROWS($W$2:W693),$W$2:$W$1001,0),MATCH(COLUMNS($AD$1006:AI1006),$AD$1006:$AU$1006,0)), HYPERLINK("#",""), HYPERLINK(CONCATENATE("#metadata!", ADDRESS(INDEX($Y$2:$Y$1001,MATCH(ROWS($W$2:W693),$W$2:$W$1001,0),0), INDEX($AD$1004:$AU$1004,1,MATCH(COLUMNS($AD$1006:AI1006),$AD$1006:$AU$1006,0)))),"Fix")))</f>
        <v xml:space="preserve"> </v>
      </c>
      <c r="H693" s="4" t="str">
        <f ca="1">IF(OR(INDEX($X$2:$X$1001,MATCH(ROWS($W$2:W693),$W$2:$W$1001,0),1)&gt;=100000,INDEX($AD$1005:$AU$1005,1,MATCH(COLUMNS($AD$1006:AJ1006),$AD$1006:$AU$1006,0))&gt;=100000), " ",IF(INDEX($AD$2:$AU$1001,MATCH(ROWS($W$2:W693),$W$2:$W$1001,0),MATCH(COLUMNS($AD$1006:AJ1006),$AD$1006:$AU$1006,0)), HYPERLINK("#",""), HYPERLINK(CONCATENATE("#metadata!", ADDRESS(INDEX($Y$2:$Y$1001,MATCH(ROWS($W$2:W693),$W$2:$W$1001,0),0), INDEX($AD$1004:$AU$1004,1,MATCH(COLUMNS($AD$1006:AJ1006),$AD$1006:$AU$1006,0)))),"Fix")))</f>
        <v xml:space="preserve"> </v>
      </c>
      <c r="I693" s="4" t="str">
        <f ca="1">IF(OR(INDEX($X$2:$X$1001,MATCH(ROWS($W$2:W693),$W$2:$W$1001,0),1)&gt;=100000,INDEX($AD$1005:$AU$1005,1,MATCH(COLUMNS($AD$1006:AK1006),$AD$1006:$AU$1006,0))&gt;=100000), " ",IF(INDEX($AD$2:$AU$1001,MATCH(ROWS($W$2:W693),$W$2:$W$1001,0),MATCH(COLUMNS($AD$1006:AK1006),$AD$1006:$AU$1006,0)), HYPERLINK("#",""), HYPERLINK(CONCATENATE("#metadata!", ADDRESS(INDEX($Y$2:$Y$1001,MATCH(ROWS($W$2:W693),$W$2:$W$1001,0),0), INDEX($AD$1004:$AU$1004,1,MATCH(COLUMNS($AD$1006:AK1006),$AD$1006:$AU$1006,0)))),"Fix")))</f>
        <v xml:space="preserve"> </v>
      </c>
      <c r="J693" s="4" t="str">
        <f ca="1">IF(OR(INDEX($X$2:$X$1001,MATCH(ROWS($W$2:W693),$W$2:$W$1001,0),1)&gt;=100000,INDEX($AD$1005:$AU$1005,1,MATCH(COLUMNS($AD$1006:AL1006),$AD$1006:$AU$1006,0))&gt;=100000), " ",IF(INDEX($AD$2:$AU$1001,MATCH(ROWS($W$2:W693),$W$2:$W$1001,0),MATCH(COLUMNS($AD$1006:AL1006),$AD$1006:$AU$1006,0)), HYPERLINK("#",""), HYPERLINK(CONCATENATE("#metadata!", ADDRESS(INDEX($Y$2:$Y$1001,MATCH(ROWS($W$2:W693),$W$2:$W$1001,0),0), INDEX($AD$1004:$AU$1004,1,MATCH(COLUMNS($AD$1006:AL1006),$AD$1006:$AU$1006,0)))),"Fix")))</f>
        <v xml:space="preserve"> </v>
      </c>
      <c r="K693" s="4" t="str">
        <f ca="1">IF(OR(INDEX($X$2:$X$1001,MATCH(ROWS($W$2:W693),$W$2:$W$1001,0),1)&gt;=100000,INDEX($AD$1005:$AU$1005,1,MATCH(COLUMNS($AD$1006:AM1006),$AD$1006:$AU$1006,0))&gt;=100000), " ",IF(INDEX($AD$2:$AU$1001,MATCH(ROWS($W$2:W693),$W$2:$W$1001,0),MATCH(COLUMNS($AD$1006:AM1006),$AD$1006:$AU$1006,0)), HYPERLINK("#",""), HYPERLINK(CONCATENATE("#metadata!", ADDRESS(INDEX($Y$2:$Y$1001,MATCH(ROWS($W$2:W693),$W$2:$W$1001,0),0), INDEX($AD$1004:$AU$1004,1,MATCH(COLUMNS($AD$1006:AM1006),$AD$1006:$AU$1006,0)))),"Fix")))</f>
        <v xml:space="preserve"> </v>
      </c>
      <c r="L693" s="4" t="str">
        <f ca="1">IF(OR(INDEX($X$2:$X$1001,MATCH(ROWS($W$2:W693),$W$2:$W$1001,0),1)&gt;=100000,INDEX($AD$1005:$AU$1005,1,MATCH(COLUMNS($AD$1006:AN1006),$AD$1006:$AU$1006,0))&gt;=100000), " ",IF(INDEX($AD$2:$AU$1001,MATCH(ROWS($W$2:W693),$W$2:$W$1001,0),MATCH(COLUMNS($AD$1006:AN1006),$AD$1006:$AU$1006,0)), HYPERLINK("#",""), HYPERLINK(CONCATENATE("#metadata!", ADDRESS(INDEX($Y$2:$Y$1001,MATCH(ROWS($W$2:W693),$W$2:$W$1001,0),0), INDEX($AD$1004:$AU$1004,1,MATCH(COLUMNS($AD$1006:AN1006),$AD$1006:$AU$1006,0)))),"Fix")))</f>
        <v xml:space="preserve"> </v>
      </c>
      <c r="M693" s="4" t="str">
        <f ca="1">IF(OR(INDEX($X$2:$X$1001,MATCH(ROWS($W$2:W693),$W$2:$W$1001,0),1)&gt;=100000,INDEX($AD$1005:$AU$1005,1,MATCH(COLUMNS($AD$1006:AO1006),$AD$1006:$AU$1006,0))&gt;=100000), " ",IF(INDEX($AD$2:$AU$1001,MATCH(ROWS($W$2:W693),$W$2:$W$1001,0),MATCH(COLUMNS($AD$1006:AO1006),$AD$1006:$AU$1006,0)), HYPERLINK("#",""), HYPERLINK(CONCATENATE("#metadata!", ADDRESS(INDEX($Y$2:$Y$1001,MATCH(ROWS($W$2:W693),$W$2:$W$1001,0),0), INDEX($AD$1004:$AU$1004,1,MATCH(COLUMNS($AD$1006:AO1006),$AD$1006:$AU$1006,0)))),"Fix")))</f>
        <v xml:space="preserve"> </v>
      </c>
      <c r="N693" s="4" t="str">
        <f ca="1">IF(OR(INDEX($X$2:$X$1001,MATCH(ROWS($W$2:W693),$W$2:$W$1001,0),1)&gt;=100000,INDEX($AD$1005:$AU$1005,1,MATCH(COLUMNS($AD$1006:AP1006),$AD$1006:$AU$1006,0))&gt;=100000), " ",IF(INDEX($AD$2:$AU$1001,MATCH(ROWS($W$2:W693),$W$2:$W$1001,0),MATCH(COLUMNS($AD$1006:AP1006),$AD$1006:$AU$1006,0)), HYPERLINK("#",""), HYPERLINK(CONCATENATE("#metadata!", ADDRESS(INDEX($Y$2:$Y$1001,MATCH(ROWS($W$2:W693),$W$2:$W$1001,0),0), INDEX($AD$1004:$AU$1004,1,MATCH(COLUMNS($AD$1006:AP1006),$AD$1006:$AU$1006,0)))),"Fix")))</f>
        <v xml:space="preserve"> </v>
      </c>
      <c r="O693" s="4" t="str">
        <f ca="1">IF(OR(INDEX($X$2:$X$1001,MATCH(ROWS($W$2:W693),$W$2:$W$1001,0),1)&gt;=100000,INDEX($AD$1005:$AU$1005,1,MATCH(COLUMNS($AD$1006:AQ1006),$AD$1006:$AU$1006,0))&gt;=100000), " ",IF(INDEX($AD$2:$AU$1001,MATCH(ROWS($W$2:W693),$W$2:$W$1001,0),MATCH(COLUMNS($AD$1006:AQ1006),$AD$1006:$AU$1006,0)), HYPERLINK("#",""), HYPERLINK(CONCATENATE("#metadata!", ADDRESS(INDEX($Y$2:$Y$1001,MATCH(ROWS($W$2:W693),$W$2:$W$1001,0),0), INDEX($AD$1004:$AU$1004,1,MATCH(COLUMNS($AD$1006:AQ1006),$AD$1006:$AU$1006,0)))),"Fix")))</f>
        <v xml:space="preserve"> </v>
      </c>
      <c r="P693" s="4" t="str">
        <f ca="1">IF(OR(INDEX($X$2:$X$1001,MATCH(ROWS($W$2:W693),$W$2:$W$1001,0),1)&gt;=100000,INDEX($AD$1005:$AU$1005,1,MATCH(COLUMNS($AD$1006:AR1006),$AD$1006:$AU$1006,0))&gt;=100000), " ",IF(INDEX($AD$2:$AU$1001,MATCH(ROWS($W$2:W693),$W$2:$W$1001,0),MATCH(COLUMNS($AD$1006:AR1006),$AD$1006:$AU$1006,0)), HYPERLINK("#",""), HYPERLINK(CONCATENATE("#metadata!", ADDRESS(INDEX($Y$2:$Y$1001,MATCH(ROWS($W$2:W693),$W$2:$W$1001,0),0), INDEX($AD$1004:$AU$1004,1,MATCH(COLUMNS($AD$1006:AR1006),$AD$1006:$AU$1006,0)))),"Fix")))</f>
        <v xml:space="preserve"> </v>
      </c>
      <c r="Q693" s="4" t="str">
        <f ca="1">IF(OR(INDEX($X$2:$X$1001,MATCH(ROWS($W$2:W693),$W$2:$W$1001,0),1)&gt;=100000,INDEX($AD$1005:$AU$1005,1,MATCH(COLUMNS($AD$1006:AS1006),$AD$1006:$AU$1006,0))&gt;=100000), " ",IF(INDEX($AD$2:$AU$1001,MATCH(ROWS($W$2:W693),$W$2:$W$1001,0),MATCH(COLUMNS($AD$1006:AS1006),$AD$1006:$AU$1006,0)), HYPERLINK("#",""), HYPERLINK(CONCATENATE("#metadata!", ADDRESS(INDEX($Y$2:$Y$1001,MATCH(ROWS($W$2:W693),$W$2:$W$1001,0),0), INDEX($AD$1004:$AU$1004,1,MATCH(COLUMNS($AD$1006:AS1006),$AD$1006:$AU$1006,0)))),"Fix")))</f>
        <v xml:space="preserve"> </v>
      </c>
      <c r="R693" s="4" t="str">
        <f ca="1">IF(OR(INDEX($X$2:$X$1001,MATCH(ROWS($W$2:W693),$W$2:$W$1001,0),1)&gt;=100000,INDEX($AD$1005:$AU$1005,1,MATCH(COLUMNS($AD$1006:AT1006),$AD$1006:$AU$1006,0))&gt;=100000), " ",IF(INDEX($AD$2:$AU$1001,MATCH(ROWS($W$2:W693),$W$2:$W$1001,0),MATCH(COLUMNS($AD$1006:AT1006),$AD$1006:$AU$1006,0)), HYPERLINK("#",""), HYPERLINK(CONCATENATE("#metadata!", ADDRESS(INDEX($Y$2:$Y$1001,MATCH(ROWS($W$2:W693),$W$2:$W$1001,0),0), INDEX($AD$1004:$AU$1004,1,MATCH(COLUMNS($AD$1006:AT1006),$AD$1006:$AU$1006,0)))),"Fix")))</f>
        <v xml:space="preserve"> </v>
      </c>
      <c r="S693" s="4" t="str">
        <f ca="1">IF(OR(INDEX($X$2:$X$1001,MATCH(ROWS($W$2:W693),$W$2:$W$1001,0),1)&gt;=100000,INDEX($AD$1005:$AU$1005,1,MATCH(COLUMNS($AD$1006:AU1006),$AD$1006:$AU$1006,0))&gt;=100000), " ",IF(INDEX($AD$2:$AU$1001,MATCH(ROWS($W$2:W693),$W$2:$W$1001,0),MATCH(COLUMNS($AD$1006:AU1006),$AD$1006:$AU$1006,0)), HYPERLINK("#",""), HYPERLINK(CONCATENATE("#metadata!", ADDRESS(INDEX($Y$2:$Y$1001,MATCH(ROWS($W$2:W693),$W$2:$W$1001,0),0), INDEX($AD$1004:$AU$1004,1,MATCH(COLUMNS($AD$1006:AU1006),$AD$1006:$AU$1006,0)))),"Fix")))</f>
        <v xml:space="preserve"> </v>
      </c>
      <c r="W693">
        <v>692</v>
      </c>
      <c r="X693">
        <v>100693</v>
      </c>
      <c r="Y693">
        <v>693</v>
      </c>
      <c r="Z693" t="b">
        <f t="shared" si="10"/>
        <v>1</v>
      </c>
      <c r="AA693" t="b">
        <f>COUNTBLANK(metadata!B693:S693)=COLUMNS(metadata!B693:S693)</f>
        <v>1</v>
      </c>
      <c r="AB693" t="str">
        <v/>
      </c>
      <c r="AD693" t="b">
        <f ca="1">AND(IF(metadata!B693="",FALSE,TRUE),COUNTIF(metadata!B:B, metadata!B693) = 1,NOT(ISERROR(SUMPRODUCT(SEARCH(MID(metadata!B693,ROW(INDIRECT("1:"&amp;LEN(metadata!B693))), 1),"0123456789abcdefghijklmnopqrstuvwxyzABCDEFGHIJKLMNOPQRSTUVWXYZ.")))))</f>
        <v>0</v>
      </c>
      <c r="AE693" t="b">
        <f>OR(AND(IF(metadata!C693="",FALSE,TRUE),OR(EXACT(metadata!C693,"not applicable"),EXACT(metadata!C693,"missing: not collected"),EXACT(metadata!C693,"missing: not provided"),EXACT(metadata!C693,"missing: restricted access"))),AND(IF(metadata!C693="",FALSE,ISNUMBER(VALUE(metadata!C693))),metadata!C693&gt;0))</f>
        <v>0</v>
      </c>
      <c r="AF693" t="b">
        <f>AND(IF(metadata!D693="",FALSE,TRUE),EXACT(metadata!D693,"missing: not provided"))</f>
        <v>0</v>
      </c>
      <c r="AG693" t="b">
        <f>AND(IF(metadata!E693="",FALSE,TRUE),EXACT(metadata!E693,"Host-associated"))</f>
        <v>0</v>
      </c>
      <c r="AH693" t="b">
        <f>AND(IF(metadata!F693="",FALSE,TRUE),OR(EXACT(metadata!F693,"Animal"),EXACT(metadata!F693,"Fungus"),EXACT(metadata!F693,"Plant")))</f>
        <v>0</v>
      </c>
      <c r="AI693" t="b">
        <f>AND(IF(metadata!G693="",FALSE,TRUE),OR(EXACT(metadata!G693,"Plant secretion"),EXACT(metadata!G693,"Plant rhizosphere"),EXACT(metadata!G693,"Plant surface"),EXACT(metadata!G693,"Plant corpus"),EXACT(metadata!G693,"Fungus surface"),EXACT(metadata!G693,"Fungus corpus"),EXACT(metadata!G693,"Animal surface"),EXACT(metadata!G693,"Animal proximal gut"),EXACT(metadata!G693,"Animal corpus"),EXACT(metadata!G693,"Animal distal gut"),EXACT(metadata!G693,"Animal secretion")))</f>
        <v>0</v>
      </c>
      <c r="AJ693" t="b">
        <f>OR(AND(IF(metadata!H693="",FALSE,TRUE),OR(EXACT(metadata!H693,"missing: not collected"),EXACT(metadata!H693,"missing: not provided"),EXACT(metadata!H693,"missing: restricted access"))),AND(IF(metadata!H693="",FALSE,TRUE),OR(EXACT(metadata!H693,"organism-associated habitat"),EXACT(metadata!H693,"plant-associated habitat"),EXACT(metadata!H693,"animal-associated habitat"),EXACT(metadata!H693,"insecta-associated habitat"),EXACT(metadata!H693,"mammalia-associated habitat"),EXACT(metadata!H693,"human-associated habitat"),EXACT(metadata!H693,"livestock-associated habitat"))))</f>
        <v>0</v>
      </c>
      <c r="AK693" t="b">
        <f>AND(IF(metadata!I693="",FALSE,TRUE),EXACT(metadata!I693,"host-associated"))</f>
        <v>0</v>
      </c>
      <c r="AL693" t="b">
        <f>OR(AND(IF(metadata!J693="",FALSE,TRUE),OR(EXACT(metadata!J693,"not applicable"),EXACT(metadata!J693,"missing: not collected"),EXACT(metadata!J693,"missing: not provided"),EXACT(metadata!J693,"missing: restricted access"))),AND(IF(metadata!J693="",FALSE,ISNUMBER(VALUE(metadata!J693))),metadata!J693&gt;0))</f>
        <v>0</v>
      </c>
      <c r="AM693" t="b">
        <f>AND(IF(metadata!K693="",FALSE,TRUE),EXACT(metadata!K693,"missing: not provided"))</f>
        <v>0</v>
      </c>
      <c r="AN693" t="b">
        <f>IF(metadata!L693="",FALSE,TRUE)</f>
        <v>0</v>
      </c>
      <c r="AO693" t="b">
        <f>IF(metadata!M693="",FALSE,TRUE)</f>
        <v>0</v>
      </c>
      <c r="AP693" t="b">
        <f>OR(AND(IF(metadata!N693="",FALSE,TRUE),OR(EXACT(metadata!N693,"not applicable"),EXACT(metadata!N693,"missing: not collected"),EXACT(metadata!N693,"missing: not provided"))),AND(IF(metadata!N693="",FALSE,IF(ISERROR(INT(metadata!N693)),FALSE,INT(metadata!N693)=metadata!N693)),metadata!N693&gt;0))</f>
        <v>0</v>
      </c>
      <c r="AQ693" t="b">
        <f>AND(IF(metadata!O693="",FALSE,TRUE),EXACT(metadata!O693,"Not applicable"))</f>
        <v>0</v>
      </c>
      <c r="AR693" t="b">
        <f>OR(AND(IF(metadata!P693="",FALSE,TRUE),OR(EXACT(metadata!P693,"not applicable"),EXACT(metadata!P693,"missing: not collected"),EXACT(metadata!P693,"missing: not provided"),EXACT(metadata!P693,"missing: restricted access"))),IF(metadata!P693="",FALSE,IF(ISERROR(INT(metadata!P693)),FALSE,INT(metadata!P693)=metadata!P693)))</f>
        <v>0</v>
      </c>
      <c r="AS693" t="b">
        <f>AND(IF(metadata!Q693="",FALSE,TRUE),EXACT(metadata!Q693,"Not applicable"))</f>
        <v>0</v>
      </c>
      <c r="AT693" t="b">
        <f>OR(AND(IF(metadata!R693="",FALSE,TRUE),OR(EXACT(metadata!R693,"not applicable"),EXACT(metadata!R693,"missing: not collected"),EXACT(metadata!R693,"missing: not provided"),EXACT(metadata!R693,"missing: restricted access"))),AND(IF(metadata!R693="",FALSE,ISNUMBER(VALUE(metadata!R693))),metadata!R693&gt;0))</f>
        <v>0</v>
      </c>
      <c r="AU693" t="b">
        <f>AND(IF(metadata!S693="",FALSE,TRUE),EXACT(metadata!S693,"missing: not provided"))</f>
        <v>0</v>
      </c>
    </row>
    <row r="694" spans="1:47" x14ac:dyDescent="0.2">
      <c r="A694" s="5" t="str">
        <f ca="1">IF(B694=" "," ",HYPERLINK(CONCATENATE("#metadata!",ADDRESS(INDEX($Y$2:$Y$1001,MATCH(ROWS($W$2:W694),$W$2:$W$1001,0),0),1)),INDEX($AB$2:$AB$1001,MATCH(ROWS($W$2:W694),$W$2:$W$1001,0),0)))</f>
        <v xml:space="preserve"> </v>
      </c>
      <c r="B694" s="4" t="str">
        <f ca="1">IF(OR(INDEX($X$2:$X$1001,MATCH(ROWS($W$2:W694),$W$2:$W$1001,0),1)&gt;=100000,INDEX($AD$1005:$AU$1005,1,MATCH(COLUMNS($AD$1006:AD1006),$AD$1006:$AU$1006,0))&gt;=100000), " ",IF(INDEX($AD$2:$AU$1001,MATCH(ROWS($W$2:W694),$W$2:$W$1001,0),MATCH(COLUMNS($AD$1006:AD1006),$AD$1006:$AU$1006,0)), HYPERLINK("#",""), HYPERLINK(CONCATENATE("#metadata!", ADDRESS(INDEX($Y$2:$Y$1001,MATCH(ROWS($W$2:W694),$W$2:$W$1001,0),0), INDEX($AD$1004:$AU$1004,1,MATCH(COLUMNS($AD$1006:AD1006),$AD$1006:$AU$1006,0)))),"Fix")))</f>
        <v xml:space="preserve"> </v>
      </c>
      <c r="C694" s="4" t="str">
        <f ca="1">IF(OR(INDEX($X$2:$X$1001,MATCH(ROWS($W$2:W694),$W$2:$W$1001,0),1)&gt;=100000,INDEX($AD$1005:$AU$1005,1,MATCH(COLUMNS($AD$1006:AE1006),$AD$1006:$AU$1006,0))&gt;=100000), " ",IF(INDEX($AD$2:$AU$1001,MATCH(ROWS($W$2:W694),$W$2:$W$1001,0),MATCH(COLUMNS($AD$1006:AE1006),$AD$1006:$AU$1006,0)), HYPERLINK("#",""), HYPERLINK(CONCATENATE("#metadata!", ADDRESS(INDEX($Y$2:$Y$1001,MATCH(ROWS($W$2:W694),$W$2:$W$1001,0),0), INDEX($AD$1004:$AU$1004,1,MATCH(COLUMNS($AD$1006:AE1006),$AD$1006:$AU$1006,0)))),"Fix")))</f>
        <v xml:space="preserve"> </v>
      </c>
      <c r="D694" s="4" t="str">
        <f ca="1">IF(OR(INDEX($X$2:$X$1001,MATCH(ROWS($W$2:W694),$W$2:$W$1001,0),1)&gt;=100000,INDEX($AD$1005:$AU$1005,1,MATCH(COLUMNS($AD$1006:AF1006),$AD$1006:$AU$1006,0))&gt;=100000), " ",IF(INDEX($AD$2:$AU$1001,MATCH(ROWS($W$2:W694),$W$2:$W$1001,0),MATCH(COLUMNS($AD$1006:AF1006),$AD$1006:$AU$1006,0)), HYPERLINK("#",""), HYPERLINK(CONCATENATE("#metadata!", ADDRESS(INDEX($Y$2:$Y$1001,MATCH(ROWS($W$2:W694),$W$2:$W$1001,0),0), INDEX($AD$1004:$AU$1004,1,MATCH(COLUMNS($AD$1006:AF1006),$AD$1006:$AU$1006,0)))),"Fix")))</f>
        <v xml:space="preserve"> </v>
      </c>
      <c r="E694" s="4" t="str">
        <f ca="1">IF(OR(INDEX($X$2:$X$1001,MATCH(ROWS($W$2:W694),$W$2:$W$1001,0),1)&gt;=100000,INDEX($AD$1005:$AU$1005,1,MATCH(COLUMNS($AD$1006:AG1006),$AD$1006:$AU$1006,0))&gt;=100000), " ",IF(INDEX($AD$2:$AU$1001,MATCH(ROWS($W$2:W694),$W$2:$W$1001,0),MATCH(COLUMNS($AD$1006:AG1006),$AD$1006:$AU$1006,0)), HYPERLINK("#",""), HYPERLINK(CONCATENATE("#metadata!", ADDRESS(INDEX($Y$2:$Y$1001,MATCH(ROWS($W$2:W694),$W$2:$W$1001,0),0), INDEX($AD$1004:$AU$1004,1,MATCH(COLUMNS($AD$1006:AG1006),$AD$1006:$AU$1006,0)))),"Fix")))</f>
        <v xml:space="preserve"> </v>
      </c>
      <c r="F694" s="4" t="str">
        <f ca="1">IF(OR(INDEX($X$2:$X$1001,MATCH(ROWS($W$2:W694),$W$2:$W$1001,0),1)&gt;=100000,INDEX($AD$1005:$AU$1005,1,MATCH(COLUMNS($AD$1006:AH1006),$AD$1006:$AU$1006,0))&gt;=100000), " ",IF(INDEX($AD$2:$AU$1001,MATCH(ROWS($W$2:W694),$W$2:$W$1001,0),MATCH(COLUMNS($AD$1006:AH1006),$AD$1006:$AU$1006,0)), HYPERLINK("#",""), HYPERLINK(CONCATENATE("#metadata!", ADDRESS(INDEX($Y$2:$Y$1001,MATCH(ROWS($W$2:W694),$W$2:$W$1001,0),0), INDEX($AD$1004:$AU$1004,1,MATCH(COLUMNS($AD$1006:AH1006),$AD$1006:$AU$1006,0)))),"Fix")))</f>
        <v xml:space="preserve"> </v>
      </c>
      <c r="G694" s="4" t="str">
        <f ca="1">IF(OR(INDEX($X$2:$X$1001,MATCH(ROWS($W$2:W694),$W$2:$W$1001,0),1)&gt;=100000,INDEX($AD$1005:$AU$1005,1,MATCH(COLUMNS($AD$1006:AI1006),$AD$1006:$AU$1006,0))&gt;=100000), " ",IF(INDEX($AD$2:$AU$1001,MATCH(ROWS($W$2:W694),$W$2:$W$1001,0),MATCH(COLUMNS($AD$1006:AI1006),$AD$1006:$AU$1006,0)), HYPERLINK("#",""), HYPERLINK(CONCATENATE("#metadata!", ADDRESS(INDEX($Y$2:$Y$1001,MATCH(ROWS($W$2:W694),$W$2:$W$1001,0),0), INDEX($AD$1004:$AU$1004,1,MATCH(COLUMNS($AD$1006:AI1006),$AD$1006:$AU$1006,0)))),"Fix")))</f>
        <v xml:space="preserve"> </v>
      </c>
      <c r="H694" s="4" t="str">
        <f ca="1">IF(OR(INDEX($X$2:$X$1001,MATCH(ROWS($W$2:W694),$W$2:$W$1001,0),1)&gt;=100000,INDEX($AD$1005:$AU$1005,1,MATCH(COLUMNS($AD$1006:AJ1006),$AD$1006:$AU$1006,0))&gt;=100000), " ",IF(INDEX($AD$2:$AU$1001,MATCH(ROWS($W$2:W694),$W$2:$W$1001,0),MATCH(COLUMNS($AD$1006:AJ1006),$AD$1006:$AU$1006,0)), HYPERLINK("#",""), HYPERLINK(CONCATENATE("#metadata!", ADDRESS(INDEX($Y$2:$Y$1001,MATCH(ROWS($W$2:W694),$W$2:$W$1001,0),0), INDEX($AD$1004:$AU$1004,1,MATCH(COLUMNS($AD$1006:AJ1006),$AD$1006:$AU$1006,0)))),"Fix")))</f>
        <v xml:space="preserve"> </v>
      </c>
      <c r="I694" s="4" t="str">
        <f ca="1">IF(OR(INDEX($X$2:$X$1001,MATCH(ROWS($W$2:W694),$W$2:$W$1001,0),1)&gt;=100000,INDEX($AD$1005:$AU$1005,1,MATCH(COLUMNS($AD$1006:AK1006),$AD$1006:$AU$1006,0))&gt;=100000), " ",IF(INDEX($AD$2:$AU$1001,MATCH(ROWS($W$2:W694),$W$2:$W$1001,0),MATCH(COLUMNS($AD$1006:AK1006),$AD$1006:$AU$1006,0)), HYPERLINK("#",""), HYPERLINK(CONCATENATE("#metadata!", ADDRESS(INDEX($Y$2:$Y$1001,MATCH(ROWS($W$2:W694),$W$2:$W$1001,0),0), INDEX($AD$1004:$AU$1004,1,MATCH(COLUMNS($AD$1006:AK1006),$AD$1006:$AU$1006,0)))),"Fix")))</f>
        <v xml:space="preserve"> </v>
      </c>
      <c r="J694" s="4" t="str">
        <f ca="1">IF(OR(INDEX($X$2:$X$1001,MATCH(ROWS($W$2:W694),$W$2:$W$1001,0),1)&gt;=100000,INDEX($AD$1005:$AU$1005,1,MATCH(COLUMNS($AD$1006:AL1006),$AD$1006:$AU$1006,0))&gt;=100000), " ",IF(INDEX($AD$2:$AU$1001,MATCH(ROWS($W$2:W694),$W$2:$W$1001,0),MATCH(COLUMNS($AD$1006:AL1006),$AD$1006:$AU$1006,0)), HYPERLINK("#",""), HYPERLINK(CONCATENATE("#metadata!", ADDRESS(INDEX($Y$2:$Y$1001,MATCH(ROWS($W$2:W694),$W$2:$W$1001,0),0), INDEX($AD$1004:$AU$1004,1,MATCH(COLUMNS($AD$1006:AL1006),$AD$1006:$AU$1006,0)))),"Fix")))</f>
        <v xml:space="preserve"> </v>
      </c>
      <c r="K694" s="4" t="str">
        <f ca="1">IF(OR(INDEX($X$2:$X$1001,MATCH(ROWS($W$2:W694),$W$2:$W$1001,0),1)&gt;=100000,INDEX($AD$1005:$AU$1005,1,MATCH(COLUMNS($AD$1006:AM1006),$AD$1006:$AU$1006,0))&gt;=100000), " ",IF(INDEX($AD$2:$AU$1001,MATCH(ROWS($W$2:W694),$W$2:$W$1001,0),MATCH(COLUMNS($AD$1006:AM1006),$AD$1006:$AU$1006,0)), HYPERLINK("#",""), HYPERLINK(CONCATENATE("#metadata!", ADDRESS(INDEX($Y$2:$Y$1001,MATCH(ROWS($W$2:W694),$W$2:$W$1001,0),0), INDEX($AD$1004:$AU$1004,1,MATCH(COLUMNS($AD$1006:AM1006),$AD$1006:$AU$1006,0)))),"Fix")))</f>
        <v xml:space="preserve"> </v>
      </c>
      <c r="L694" s="4" t="str">
        <f ca="1">IF(OR(INDEX($X$2:$X$1001,MATCH(ROWS($W$2:W694),$W$2:$W$1001,0),1)&gt;=100000,INDEX($AD$1005:$AU$1005,1,MATCH(COLUMNS($AD$1006:AN1006),$AD$1006:$AU$1006,0))&gt;=100000), " ",IF(INDEX($AD$2:$AU$1001,MATCH(ROWS($W$2:W694),$W$2:$W$1001,0),MATCH(COLUMNS($AD$1006:AN1006),$AD$1006:$AU$1006,0)), HYPERLINK("#",""), HYPERLINK(CONCATENATE("#metadata!", ADDRESS(INDEX($Y$2:$Y$1001,MATCH(ROWS($W$2:W694),$W$2:$W$1001,0),0), INDEX($AD$1004:$AU$1004,1,MATCH(COLUMNS($AD$1006:AN1006),$AD$1006:$AU$1006,0)))),"Fix")))</f>
        <v xml:space="preserve"> </v>
      </c>
      <c r="M694" s="4" t="str">
        <f ca="1">IF(OR(INDEX($X$2:$X$1001,MATCH(ROWS($W$2:W694),$W$2:$W$1001,0),1)&gt;=100000,INDEX($AD$1005:$AU$1005,1,MATCH(COLUMNS($AD$1006:AO1006),$AD$1006:$AU$1006,0))&gt;=100000), " ",IF(INDEX($AD$2:$AU$1001,MATCH(ROWS($W$2:W694),$W$2:$W$1001,0),MATCH(COLUMNS($AD$1006:AO1006),$AD$1006:$AU$1006,0)), HYPERLINK("#",""), HYPERLINK(CONCATENATE("#metadata!", ADDRESS(INDEX($Y$2:$Y$1001,MATCH(ROWS($W$2:W694),$W$2:$W$1001,0),0), INDEX($AD$1004:$AU$1004,1,MATCH(COLUMNS($AD$1006:AO1006),$AD$1006:$AU$1006,0)))),"Fix")))</f>
        <v xml:space="preserve"> </v>
      </c>
      <c r="N694" s="4" t="str">
        <f ca="1">IF(OR(INDEX($X$2:$X$1001,MATCH(ROWS($W$2:W694),$W$2:$W$1001,0),1)&gt;=100000,INDEX($AD$1005:$AU$1005,1,MATCH(COLUMNS($AD$1006:AP1006),$AD$1006:$AU$1006,0))&gt;=100000), " ",IF(INDEX($AD$2:$AU$1001,MATCH(ROWS($W$2:W694),$W$2:$W$1001,0),MATCH(COLUMNS($AD$1006:AP1006),$AD$1006:$AU$1006,0)), HYPERLINK("#",""), HYPERLINK(CONCATENATE("#metadata!", ADDRESS(INDEX($Y$2:$Y$1001,MATCH(ROWS($W$2:W694),$W$2:$W$1001,0),0), INDEX($AD$1004:$AU$1004,1,MATCH(COLUMNS($AD$1006:AP1006),$AD$1006:$AU$1006,0)))),"Fix")))</f>
        <v xml:space="preserve"> </v>
      </c>
      <c r="O694" s="4" t="str">
        <f ca="1">IF(OR(INDEX($X$2:$X$1001,MATCH(ROWS($W$2:W694),$W$2:$W$1001,0),1)&gt;=100000,INDEX($AD$1005:$AU$1005,1,MATCH(COLUMNS($AD$1006:AQ1006),$AD$1006:$AU$1006,0))&gt;=100000), " ",IF(INDEX($AD$2:$AU$1001,MATCH(ROWS($W$2:W694),$W$2:$W$1001,0),MATCH(COLUMNS($AD$1006:AQ1006),$AD$1006:$AU$1006,0)), HYPERLINK("#",""), HYPERLINK(CONCATENATE("#metadata!", ADDRESS(INDEX($Y$2:$Y$1001,MATCH(ROWS($W$2:W694),$W$2:$W$1001,0),0), INDEX($AD$1004:$AU$1004,1,MATCH(COLUMNS($AD$1006:AQ1006),$AD$1006:$AU$1006,0)))),"Fix")))</f>
        <v xml:space="preserve"> </v>
      </c>
      <c r="P694" s="4" t="str">
        <f ca="1">IF(OR(INDEX($X$2:$X$1001,MATCH(ROWS($W$2:W694),$W$2:$W$1001,0),1)&gt;=100000,INDEX($AD$1005:$AU$1005,1,MATCH(COLUMNS($AD$1006:AR1006),$AD$1006:$AU$1006,0))&gt;=100000), " ",IF(INDEX($AD$2:$AU$1001,MATCH(ROWS($W$2:W694),$W$2:$W$1001,0),MATCH(COLUMNS($AD$1006:AR1006),$AD$1006:$AU$1006,0)), HYPERLINK("#",""), HYPERLINK(CONCATENATE("#metadata!", ADDRESS(INDEX($Y$2:$Y$1001,MATCH(ROWS($W$2:W694),$W$2:$W$1001,0),0), INDEX($AD$1004:$AU$1004,1,MATCH(COLUMNS($AD$1006:AR1006),$AD$1006:$AU$1006,0)))),"Fix")))</f>
        <v xml:space="preserve"> </v>
      </c>
      <c r="Q694" s="4" t="str">
        <f ca="1">IF(OR(INDEX($X$2:$X$1001,MATCH(ROWS($W$2:W694),$W$2:$W$1001,0),1)&gt;=100000,INDEX($AD$1005:$AU$1005,1,MATCH(COLUMNS($AD$1006:AS1006),$AD$1006:$AU$1006,0))&gt;=100000), " ",IF(INDEX($AD$2:$AU$1001,MATCH(ROWS($W$2:W694),$W$2:$W$1001,0),MATCH(COLUMNS($AD$1006:AS1006),$AD$1006:$AU$1006,0)), HYPERLINK("#",""), HYPERLINK(CONCATENATE("#metadata!", ADDRESS(INDEX($Y$2:$Y$1001,MATCH(ROWS($W$2:W694),$W$2:$W$1001,0),0), INDEX($AD$1004:$AU$1004,1,MATCH(COLUMNS($AD$1006:AS1006),$AD$1006:$AU$1006,0)))),"Fix")))</f>
        <v xml:space="preserve"> </v>
      </c>
      <c r="R694" s="4" t="str">
        <f ca="1">IF(OR(INDEX($X$2:$X$1001,MATCH(ROWS($W$2:W694),$W$2:$W$1001,0),1)&gt;=100000,INDEX($AD$1005:$AU$1005,1,MATCH(COLUMNS($AD$1006:AT1006),$AD$1006:$AU$1006,0))&gt;=100000), " ",IF(INDEX($AD$2:$AU$1001,MATCH(ROWS($W$2:W694),$W$2:$W$1001,0),MATCH(COLUMNS($AD$1006:AT1006),$AD$1006:$AU$1006,0)), HYPERLINK("#",""), HYPERLINK(CONCATENATE("#metadata!", ADDRESS(INDEX($Y$2:$Y$1001,MATCH(ROWS($W$2:W694),$W$2:$W$1001,0),0), INDEX($AD$1004:$AU$1004,1,MATCH(COLUMNS($AD$1006:AT1006),$AD$1006:$AU$1006,0)))),"Fix")))</f>
        <v xml:space="preserve"> </v>
      </c>
      <c r="S694" s="4" t="str">
        <f ca="1">IF(OR(INDEX($X$2:$X$1001,MATCH(ROWS($W$2:W694),$W$2:$W$1001,0),1)&gt;=100000,INDEX($AD$1005:$AU$1005,1,MATCH(COLUMNS($AD$1006:AU1006),$AD$1006:$AU$1006,0))&gt;=100000), " ",IF(INDEX($AD$2:$AU$1001,MATCH(ROWS($W$2:W694),$W$2:$W$1001,0),MATCH(COLUMNS($AD$1006:AU1006),$AD$1006:$AU$1006,0)), HYPERLINK("#",""), HYPERLINK(CONCATENATE("#metadata!", ADDRESS(INDEX($Y$2:$Y$1001,MATCH(ROWS($W$2:W694),$W$2:$W$1001,0),0), INDEX($AD$1004:$AU$1004,1,MATCH(COLUMNS($AD$1006:AU1006),$AD$1006:$AU$1006,0)))),"Fix")))</f>
        <v xml:space="preserve"> </v>
      </c>
      <c r="W694">
        <v>693</v>
      </c>
      <c r="X694">
        <v>100694</v>
      </c>
      <c r="Y694">
        <v>694</v>
      </c>
      <c r="Z694" t="b">
        <f t="shared" si="10"/>
        <v>1</v>
      </c>
      <c r="AA694" t="b">
        <f>COUNTBLANK(metadata!B694:S694)=COLUMNS(metadata!B694:S694)</f>
        <v>1</v>
      </c>
      <c r="AB694" t="str">
        <v/>
      </c>
      <c r="AD694" t="b">
        <f ca="1">AND(IF(metadata!B694="",FALSE,TRUE),COUNTIF(metadata!B:B, metadata!B694) = 1,NOT(ISERROR(SUMPRODUCT(SEARCH(MID(metadata!B694,ROW(INDIRECT("1:"&amp;LEN(metadata!B694))), 1),"0123456789abcdefghijklmnopqrstuvwxyzABCDEFGHIJKLMNOPQRSTUVWXYZ.")))))</f>
        <v>0</v>
      </c>
      <c r="AE694" t="b">
        <f>OR(AND(IF(metadata!C694="",FALSE,TRUE),OR(EXACT(metadata!C694,"not applicable"),EXACT(metadata!C694,"missing: not collected"),EXACT(metadata!C694,"missing: not provided"),EXACT(metadata!C694,"missing: restricted access"))),AND(IF(metadata!C694="",FALSE,ISNUMBER(VALUE(metadata!C694))),metadata!C694&gt;0))</f>
        <v>0</v>
      </c>
      <c r="AF694" t="b">
        <f>AND(IF(metadata!D694="",FALSE,TRUE),EXACT(metadata!D694,"missing: not provided"))</f>
        <v>0</v>
      </c>
      <c r="AG694" t="b">
        <f>AND(IF(metadata!E694="",FALSE,TRUE),EXACT(metadata!E694,"Host-associated"))</f>
        <v>0</v>
      </c>
      <c r="AH694" t="b">
        <f>AND(IF(metadata!F694="",FALSE,TRUE),OR(EXACT(metadata!F694,"Animal"),EXACT(metadata!F694,"Fungus"),EXACT(metadata!F694,"Plant")))</f>
        <v>0</v>
      </c>
      <c r="AI694" t="b">
        <f>AND(IF(metadata!G694="",FALSE,TRUE),OR(EXACT(metadata!G694,"Plant secretion"),EXACT(metadata!G694,"Plant rhizosphere"),EXACT(metadata!G694,"Plant surface"),EXACT(metadata!G694,"Plant corpus"),EXACT(metadata!G694,"Fungus surface"),EXACT(metadata!G694,"Fungus corpus"),EXACT(metadata!G694,"Animal surface"),EXACT(metadata!G694,"Animal proximal gut"),EXACT(metadata!G694,"Animal corpus"),EXACT(metadata!G694,"Animal distal gut"),EXACT(metadata!G694,"Animal secretion")))</f>
        <v>0</v>
      </c>
      <c r="AJ694" t="b">
        <f>OR(AND(IF(metadata!H694="",FALSE,TRUE),OR(EXACT(metadata!H694,"missing: not collected"),EXACT(metadata!H694,"missing: not provided"),EXACT(metadata!H694,"missing: restricted access"))),AND(IF(metadata!H694="",FALSE,TRUE),OR(EXACT(metadata!H694,"organism-associated habitat"),EXACT(metadata!H694,"plant-associated habitat"),EXACT(metadata!H694,"animal-associated habitat"),EXACT(metadata!H694,"insecta-associated habitat"),EXACT(metadata!H694,"mammalia-associated habitat"),EXACT(metadata!H694,"human-associated habitat"),EXACT(metadata!H694,"livestock-associated habitat"))))</f>
        <v>0</v>
      </c>
      <c r="AK694" t="b">
        <f>AND(IF(metadata!I694="",FALSE,TRUE),EXACT(metadata!I694,"host-associated"))</f>
        <v>0</v>
      </c>
      <c r="AL694" t="b">
        <f>OR(AND(IF(metadata!J694="",FALSE,TRUE),OR(EXACT(metadata!J694,"not applicable"),EXACT(metadata!J694,"missing: not collected"),EXACT(metadata!J694,"missing: not provided"),EXACT(metadata!J694,"missing: restricted access"))),AND(IF(metadata!J694="",FALSE,ISNUMBER(VALUE(metadata!J694))),metadata!J694&gt;0))</f>
        <v>0</v>
      </c>
      <c r="AM694" t="b">
        <f>AND(IF(metadata!K694="",FALSE,TRUE),EXACT(metadata!K694,"missing: not provided"))</f>
        <v>0</v>
      </c>
      <c r="AN694" t="b">
        <f>IF(metadata!L694="",FALSE,TRUE)</f>
        <v>0</v>
      </c>
      <c r="AO694" t="b">
        <f>IF(metadata!M694="",FALSE,TRUE)</f>
        <v>0</v>
      </c>
      <c r="AP694" t="b">
        <f>OR(AND(IF(metadata!N694="",FALSE,TRUE),OR(EXACT(metadata!N694,"not applicable"),EXACT(metadata!N694,"missing: not collected"),EXACT(metadata!N694,"missing: not provided"))),AND(IF(metadata!N694="",FALSE,IF(ISERROR(INT(metadata!N694)),FALSE,INT(metadata!N694)=metadata!N694)),metadata!N694&gt;0))</f>
        <v>0</v>
      </c>
      <c r="AQ694" t="b">
        <f>AND(IF(metadata!O694="",FALSE,TRUE),EXACT(metadata!O694,"Not applicable"))</f>
        <v>0</v>
      </c>
      <c r="AR694" t="b">
        <f>OR(AND(IF(metadata!P694="",FALSE,TRUE),OR(EXACT(metadata!P694,"not applicable"),EXACT(metadata!P694,"missing: not collected"),EXACT(metadata!P694,"missing: not provided"),EXACT(metadata!P694,"missing: restricted access"))),IF(metadata!P694="",FALSE,IF(ISERROR(INT(metadata!P694)),FALSE,INT(metadata!P694)=metadata!P694)))</f>
        <v>0</v>
      </c>
      <c r="AS694" t="b">
        <f>AND(IF(metadata!Q694="",FALSE,TRUE),EXACT(metadata!Q694,"Not applicable"))</f>
        <v>0</v>
      </c>
      <c r="AT694" t="b">
        <f>OR(AND(IF(metadata!R694="",FALSE,TRUE),OR(EXACT(metadata!R694,"not applicable"),EXACT(metadata!R694,"missing: not collected"),EXACT(metadata!R694,"missing: not provided"),EXACT(metadata!R694,"missing: restricted access"))),AND(IF(metadata!R694="",FALSE,ISNUMBER(VALUE(metadata!R694))),metadata!R694&gt;0))</f>
        <v>0</v>
      </c>
      <c r="AU694" t="b">
        <f>AND(IF(metadata!S694="",FALSE,TRUE),EXACT(metadata!S694,"missing: not provided"))</f>
        <v>0</v>
      </c>
    </row>
    <row r="695" spans="1:47" x14ac:dyDescent="0.2">
      <c r="A695" s="5" t="str">
        <f ca="1">IF(B695=" "," ",HYPERLINK(CONCATENATE("#metadata!",ADDRESS(INDEX($Y$2:$Y$1001,MATCH(ROWS($W$2:W695),$W$2:$W$1001,0),0),1)),INDEX($AB$2:$AB$1001,MATCH(ROWS($W$2:W695),$W$2:$W$1001,0),0)))</f>
        <v xml:space="preserve"> </v>
      </c>
      <c r="B695" s="4" t="str">
        <f ca="1">IF(OR(INDEX($X$2:$X$1001,MATCH(ROWS($W$2:W695),$W$2:$W$1001,0),1)&gt;=100000,INDEX($AD$1005:$AU$1005,1,MATCH(COLUMNS($AD$1006:AD1006),$AD$1006:$AU$1006,0))&gt;=100000), " ",IF(INDEX($AD$2:$AU$1001,MATCH(ROWS($W$2:W695),$W$2:$W$1001,0),MATCH(COLUMNS($AD$1006:AD1006),$AD$1006:$AU$1006,0)), HYPERLINK("#",""), HYPERLINK(CONCATENATE("#metadata!", ADDRESS(INDEX($Y$2:$Y$1001,MATCH(ROWS($W$2:W695),$W$2:$W$1001,0),0), INDEX($AD$1004:$AU$1004,1,MATCH(COLUMNS($AD$1006:AD1006),$AD$1006:$AU$1006,0)))),"Fix")))</f>
        <v xml:space="preserve"> </v>
      </c>
      <c r="C695" s="4" t="str">
        <f ca="1">IF(OR(INDEX($X$2:$X$1001,MATCH(ROWS($W$2:W695),$W$2:$W$1001,0),1)&gt;=100000,INDEX($AD$1005:$AU$1005,1,MATCH(COLUMNS($AD$1006:AE1006),$AD$1006:$AU$1006,0))&gt;=100000), " ",IF(INDEX($AD$2:$AU$1001,MATCH(ROWS($W$2:W695),$W$2:$W$1001,0),MATCH(COLUMNS($AD$1006:AE1006),$AD$1006:$AU$1006,0)), HYPERLINK("#",""), HYPERLINK(CONCATENATE("#metadata!", ADDRESS(INDEX($Y$2:$Y$1001,MATCH(ROWS($W$2:W695),$W$2:$W$1001,0),0), INDEX($AD$1004:$AU$1004,1,MATCH(COLUMNS($AD$1006:AE1006),$AD$1006:$AU$1006,0)))),"Fix")))</f>
        <v xml:space="preserve"> </v>
      </c>
      <c r="D695" s="4" t="str">
        <f ca="1">IF(OR(INDEX($X$2:$X$1001,MATCH(ROWS($W$2:W695),$W$2:$W$1001,0),1)&gt;=100000,INDEX($AD$1005:$AU$1005,1,MATCH(COLUMNS($AD$1006:AF1006),$AD$1006:$AU$1006,0))&gt;=100000), " ",IF(INDEX($AD$2:$AU$1001,MATCH(ROWS($W$2:W695),$W$2:$W$1001,0),MATCH(COLUMNS($AD$1006:AF1006),$AD$1006:$AU$1006,0)), HYPERLINK("#",""), HYPERLINK(CONCATENATE("#metadata!", ADDRESS(INDEX($Y$2:$Y$1001,MATCH(ROWS($W$2:W695),$W$2:$W$1001,0),0), INDEX($AD$1004:$AU$1004,1,MATCH(COLUMNS($AD$1006:AF1006),$AD$1006:$AU$1006,0)))),"Fix")))</f>
        <v xml:space="preserve"> </v>
      </c>
      <c r="E695" s="4" t="str">
        <f ca="1">IF(OR(INDEX($X$2:$X$1001,MATCH(ROWS($W$2:W695),$W$2:$W$1001,0),1)&gt;=100000,INDEX($AD$1005:$AU$1005,1,MATCH(COLUMNS($AD$1006:AG1006),$AD$1006:$AU$1006,0))&gt;=100000), " ",IF(INDEX($AD$2:$AU$1001,MATCH(ROWS($W$2:W695),$W$2:$W$1001,0),MATCH(COLUMNS($AD$1006:AG1006),$AD$1006:$AU$1006,0)), HYPERLINK("#",""), HYPERLINK(CONCATENATE("#metadata!", ADDRESS(INDEX($Y$2:$Y$1001,MATCH(ROWS($W$2:W695),$W$2:$W$1001,0),0), INDEX($AD$1004:$AU$1004,1,MATCH(COLUMNS($AD$1006:AG1006),$AD$1006:$AU$1006,0)))),"Fix")))</f>
        <v xml:space="preserve"> </v>
      </c>
      <c r="F695" s="4" t="str">
        <f ca="1">IF(OR(INDEX($X$2:$X$1001,MATCH(ROWS($W$2:W695),$W$2:$W$1001,0),1)&gt;=100000,INDEX($AD$1005:$AU$1005,1,MATCH(COLUMNS($AD$1006:AH1006),$AD$1006:$AU$1006,0))&gt;=100000), " ",IF(INDEX($AD$2:$AU$1001,MATCH(ROWS($W$2:W695),$W$2:$W$1001,0),MATCH(COLUMNS($AD$1006:AH1006),$AD$1006:$AU$1006,0)), HYPERLINK("#",""), HYPERLINK(CONCATENATE("#metadata!", ADDRESS(INDEX($Y$2:$Y$1001,MATCH(ROWS($W$2:W695),$W$2:$W$1001,0),0), INDEX($AD$1004:$AU$1004,1,MATCH(COLUMNS($AD$1006:AH1006),$AD$1006:$AU$1006,0)))),"Fix")))</f>
        <v xml:space="preserve"> </v>
      </c>
      <c r="G695" s="4" t="str">
        <f ca="1">IF(OR(INDEX($X$2:$X$1001,MATCH(ROWS($W$2:W695),$W$2:$W$1001,0),1)&gt;=100000,INDEX($AD$1005:$AU$1005,1,MATCH(COLUMNS($AD$1006:AI1006),$AD$1006:$AU$1006,0))&gt;=100000), " ",IF(INDEX($AD$2:$AU$1001,MATCH(ROWS($W$2:W695),$W$2:$W$1001,0),MATCH(COLUMNS($AD$1006:AI1006),$AD$1006:$AU$1006,0)), HYPERLINK("#",""), HYPERLINK(CONCATENATE("#metadata!", ADDRESS(INDEX($Y$2:$Y$1001,MATCH(ROWS($W$2:W695),$W$2:$W$1001,0),0), INDEX($AD$1004:$AU$1004,1,MATCH(COLUMNS($AD$1006:AI1006),$AD$1006:$AU$1006,0)))),"Fix")))</f>
        <v xml:space="preserve"> </v>
      </c>
      <c r="H695" s="4" t="str">
        <f ca="1">IF(OR(INDEX($X$2:$X$1001,MATCH(ROWS($W$2:W695),$W$2:$W$1001,0),1)&gt;=100000,INDEX($AD$1005:$AU$1005,1,MATCH(COLUMNS($AD$1006:AJ1006),$AD$1006:$AU$1006,0))&gt;=100000), " ",IF(INDEX($AD$2:$AU$1001,MATCH(ROWS($W$2:W695),$W$2:$W$1001,0),MATCH(COLUMNS($AD$1006:AJ1006),$AD$1006:$AU$1006,0)), HYPERLINK("#",""), HYPERLINK(CONCATENATE("#metadata!", ADDRESS(INDEX($Y$2:$Y$1001,MATCH(ROWS($W$2:W695),$W$2:$W$1001,0),0), INDEX($AD$1004:$AU$1004,1,MATCH(COLUMNS($AD$1006:AJ1006),$AD$1006:$AU$1006,0)))),"Fix")))</f>
        <v xml:space="preserve"> </v>
      </c>
      <c r="I695" s="4" t="str">
        <f ca="1">IF(OR(INDEX($X$2:$X$1001,MATCH(ROWS($W$2:W695),$W$2:$W$1001,0),1)&gt;=100000,INDEX($AD$1005:$AU$1005,1,MATCH(COLUMNS($AD$1006:AK1006),$AD$1006:$AU$1006,0))&gt;=100000), " ",IF(INDEX($AD$2:$AU$1001,MATCH(ROWS($W$2:W695),$W$2:$W$1001,0),MATCH(COLUMNS($AD$1006:AK1006),$AD$1006:$AU$1006,0)), HYPERLINK("#",""), HYPERLINK(CONCATENATE("#metadata!", ADDRESS(INDEX($Y$2:$Y$1001,MATCH(ROWS($W$2:W695),$W$2:$W$1001,0),0), INDEX($AD$1004:$AU$1004,1,MATCH(COLUMNS($AD$1006:AK1006),$AD$1006:$AU$1006,0)))),"Fix")))</f>
        <v xml:space="preserve"> </v>
      </c>
      <c r="J695" s="4" t="str">
        <f ca="1">IF(OR(INDEX($X$2:$X$1001,MATCH(ROWS($W$2:W695),$W$2:$W$1001,0),1)&gt;=100000,INDEX($AD$1005:$AU$1005,1,MATCH(COLUMNS($AD$1006:AL1006),$AD$1006:$AU$1006,0))&gt;=100000), " ",IF(INDEX($AD$2:$AU$1001,MATCH(ROWS($W$2:W695),$W$2:$W$1001,0),MATCH(COLUMNS($AD$1006:AL1006),$AD$1006:$AU$1006,0)), HYPERLINK("#",""), HYPERLINK(CONCATENATE("#metadata!", ADDRESS(INDEX($Y$2:$Y$1001,MATCH(ROWS($W$2:W695),$W$2:$W$1001,0),0), INDEX($AD$1004:$AU$1004,1,MATCH(COLUMNS($AD$1006:AL1006),$AD$1006:$AU$1006,0)))),"Fix")))</f>
        <v xml:space="preserve"> </v>
      </c>
      <c r="K695" s="4" t="str">
        <f ca="1">IF(OR(INDEX($X$2:$X$1001,MATCH(ROWS($W$2:W695),$W$2:$W$1001,0),1)&gt;=100000,INDEX($AD$1005:$AU$1005,1,MATCH(COLUMNS($AD$1006:AM1006),$AD$1006:$AU$1006,0))&gt;=100000), " ",IF(INDEX($AD$2:$AU$1001,MATCH(ROWS($W$2:W695),$W$2:$W$1001,0),MATCH(COLUMNS($AD$1006:AM1006),$AD$1006:$AU$1006,0)), HYPERLINK("#",""), HYPERLINK(CONCATENATE("#metadata!", ADDRESS(INDEX($Y$2:$Y$1001,MATCH(ROWS($W$2:W695),$W$2:$W$1001,0),0), INDEX($AD$1004:$AU$1004,1,MATCH(COLUMNS($AD$1006:AM1006),$AD$1006:$AU$1006,0)))),"Fix")))</f>
        <v xml:space="preserve"> </v>
      </c>
      <c r="L695" s="4" t="str">
        <f ca="1">IF(OR(INDEX($X$2:$X$1001,MATCH(ROWS($W$2:W695),$W$2:$W$1001,0),1)&gt;=100000,INDEX($AD$1005:$AU$1005,1,MATCH(COLUMNS($AD$1006:AN1006),$AD$1006:$AU$1006,0))&gt;=100000), " ",IF(INDEX($AD$2:$AU$1001,MATCH(ROWS($W$2:W695),$W$2:$W$1001,0),MATCH(COLUMNS($AD$1006:AN1006),$AD$1006:$AU$1006,0)), HYPERLINK("#",""), HYPERLINK(CONCATENATE("#metadata!", ADDRESS(INDEX($Y$2:$Y$1001,MATCH(ROWS($W$2:W695),$W$2:$W$1001,0),0), INDEX($AD$1004:$AU$1004,1,MATCH(COLUMNS($AD$1006:AN1006),$AD$1006:$AU$1006,0)))),"Fix")))</f>
        <v xml:space="preserve"> </v>
      </c>
      <c r="M695" s="4" t="str">
        <f ca="1">IF(OR(INDEX($X$2:$X$1001,MATCH(ROWS($W$2:W695),$W$2:$W$1001,0),1)&gt;=100000,INDEX($AD$1005:$AU$1005,1,MATCH(COLUMNS($AD$1006:AO1006),$AD$1006:$AU$1006,0))&gt;=100000), " ",IF(INDEX($AD$2:$AU$1001,MATCH(ROWS($W$2:W695),$W$2:$W$1001,0),MATCH(COLUMNS($AD$1006:AO1006),$AD$1006:$AU$1006,0)), HYPERLINK("#",""), HYPERLINK(CONCATENATE("#metadata!", ADDRESS(INDEX($Y$2:$Y$1001,MATCH(ROWS($W$2:W695),$W$2:$W$1001,0),0), INDEX($AD$1004:$AU$1004,1,MATCH(COLUMNS($AD$1006:AO1006),$AD$1006:$AU$1006,0)))),"Fix")))</f>
        <v xml:space="preserve"> </v>
      </c>
      <c r="N695" s="4" t="str">
        <f ca="1">IF(OR(INDEX($X$2:$X$1001,MATCH(ROWS($W$2:W695),$W$2:$W$1001,0),1)&gt;=100000,INDEX($AD$1005:$AU$1005,1,MATCH(COLUMNS($AD$1006:AP1006),$AD$1006:$AU$1006,0))&gt;=100000), " ",IF(INDEX($AD$2:$AU$1001,MATCH(ROWS($W$2:W695),$W$2:$W$1001,0),MATCH(COLUMNS($AD$1006:AP1006),$AD$1006:$AU$1006,0)), HYPERLINK("#",""), HYPERLINK(CONCATENATE("#metadata!", ADDRESS(INDEX($Y$2:$Y$1001,MATCH(ROWS($W$2:W695),$W$2:$W$1001,0),0), INDEX($AD$1004:$AU$1004,1,MATCH(COLUMNS($AD$1006:AP1006),$AD$1006:$AU$1006,0)))),"Fix")))</f>
        <v xml:space="preserve"> </v>
      </c>
      <c r="O695" s="4" t="str">
        <f ca="1">IF(OR(INDEX($X$2:$X$1001,MATCH(ROWS($W$2:W695),$W$2:$W$1001,0),1)&gt;=100000,INDEX($AD$1005:$AU$1005,1,MATCH(COLUMNS($AD$1006:AQ1006),$AD$1006:$AU$1006,0))&gt;=100000), " ",IF(INDEX($AD$2:$AU$1001,MATCH(ROWS($W$2:W695),$W$2:$W$1001,0),MATCH(COLUMNS($AD$1006:AQ1006),$AD$1006:$AU$1006,0)), HYPERLINK("#",""), HYPERLINK(CONCATENATE("#metadata!", ADDRESS(INDEX($Y$2:$Y$1001,MATCH(ROWS($W$2:W695),$W$2:$W$1001,0),0), INDEX($AD$1004:$AU$1004,1,MATCH(COLUMNS($AD$1006:AQ1006),$AD$1006:$AU$1006,0)))),"Fix")))</f>
        <v xml:space="preserve"> </v>
      </c>
      <c r="P695" s="4" t="str">
        <f ca="1">IF(OR(INDEX($X$2:$X$1001,MATCH(ROWS($W$2:W695),$W$2:$W$1001,0),1)&gt;=100000,INDEX($AD$1005:$AU$1005,1,MATCH(COLUMNS($AD$1006:AR1006),$AD$1006:$AU$1006,0))&gt;=100000), " ",IF(INDEX($AD$2:$AU$1001,MATCH(ROWS($W$2:W695),$W$2:$W$1001,0),MATCH(COLUMNS($AD$1006:AR1006),$AD$1006:$AU$1006,0)), HYPERLINK("#",""), HYPERLINK(CONCATENATE("#metadata!", ADDRESS(INDEX($Y$2:$Y$1001,MATCH(ROWS($W$2:W695),$W$2:$W$1001,0),0), INDEX($AD$1004:$AU$1004,1,MATCH(COLUMNS($AD$1006:AR1006),$AD$1006:$AU$1006,0)))),"Fix")))</f>
        <v xml:space="preserve"> </v>
      </c>
      <c r="Q695" s="4" t="str">
        <f ca="1">IF(OR(INDEX($X$2:$X$1001,MATCH(ROWS($W$2:W695),$W$2:$W$1001,0),1)&gt;=100000,INDEX($AD$1005:$AU$1005,1,MATCH(COLUMNS($AD$1006:AS1006),$AD$1006:$AU$1006,0))&gt;=100000), " ",IF(INDEX($AD$2:$AU$1001,MATCH(ROWS($W$2:W695),$W$2:$W$1001,0),MATCH(COLUMNS($AD$1006:AS1006),$AD$1006:$AU$1006,0)), HYPERLINK("#",""), HYPERLINK(CONCATENATE("#metadata!", ADDRESS(INDEX($Y$2:$Y$1001,MATCH(ROWS($W$2:W695),$W$2:$W$1001,0),0), INDEX($AD$1004:$AU$1004,1,MATCH(COLUMNS($AD$1006:AS1006),$AD$1006:$AU$1006,0)))),"Fix")))</f>
        <v xml:space="preserve"> </v>
      </c>
      <c r="R695" s="4" t="str">
        <f ca="1">IF(OR(INDEX($X$2:$X$1001,MATCH(ROWS($W$2:W695),$W$2:$W$1001,0),1)&gt;=100000,INDEX($AD$1005:$AU$1005,1,MATCH(COLUMNS($AD$1006:AT1006),$AD$1006:$AU$1006,0))&gt;=100000), " ",IF(INDEX($AD$2:$AU$1001,MATCH(ROWS($W$2:W695),$W$2:$W$1001,0),MATCH(COLUMNS($AD$1006:AT1006),$AD$1006:$AU$1006,0)), HYPERLINK("#",""), HYPERLINK(CONCATENATE("#metadata!", ADDRESS(INDEX($Y$2:$Y$1001,MATCH(ROWS($W$2:W695),$W$2:$W$1001,0),0), INDEX($AD$1004:$AU$1004,1,MATCH(COLUMNS($AD$1006:AT1006),$AD$1006:$AU$1006,0)))),"Fix")))</f>
        <v xml:space="preserve"> </v>
      </c>
      <c r="S695" s="4" t="str">
        <f ca="1">IF(OR(INDEX($X$2:$X$1001,MATCH(ROWS($W$2:W695),$W$2:$W$1001,0),1)&gt;=100000,INDEX($AD$1005:$AU$1005,1,MATCH(COLUMNS($AD$1006:AU1006),$AD$1006:$AU$1006,0))&gt;=100000), " ",IF(INDEX($AD$2:$AU$1001,MATCH(ROWS($W$2:W695),$W$2:$W$1001,0),MATCH(COLUMNS($AD$1006:AU1006),$AD$1006:$AU$1006,0)), HYPERLINK("#",""), HYPERLINK(CONCATENATE("#metadata!", ADDRESS(INDEX($Y$2:$Y$1001,MATCH(ROWS($W$2:W695),$W$2:$W$1001,0),0), INDEX($AD$1004:$AU$1004,1,MATCH(COLUMNS($AD$1006:AU1006),$AD$1006:$AU$1006,0)))),"Fix")))</f>
        <v xml:space="preserve"> </v>
      </c>
      <c r="W695">
        <v>694</v>
      </c>
      <c r="X695">
        <v>100695</v>
      </c>
      <c r="Y695">
        <v>695</v>
      </c>
      <c r="Z695" t="b">
        <f t="shared" si="10"/>
        <v>1</v>
      </c>
      <c r="AA695" t="b">
        <f>COUNTBLANK(metadata!B695:S695)=COLUMNS(metadata!B695:S695)</f>
        <v>1</v>
      </c>
      <c r="AB695" t="str">
        <v/>
      </c>
      <c r="AD695" t="b">
        <f ca="1">AND(IF(metadata!B695="",FALSE,TRUE),COUNTIF(metadata!B:B, metadata!B695) = 1,NOT(ISERROR(SUMPRODUCT(SEARCH(MID(metadata!B695,ROW(INDIRECT("1:"&amp;LEN(metadata!B695))), 1),"0123456789abcdefghijklmnopqrstuvwxyzABCDEFGHIJKLMNOPQRSTUVWXYZ.")))))</f>
        <v>0</v>
      </c>
      <c r="AE695" t="b">
        <f>OR(AND(IF(metadata!C695="",FALSE,TRUE),OR(EXACT(metadata!C695,"not applicable"),EXACT(metadata!C695,"missing: not collected"),EXACT(metadata!C695,"missing: not provided"),EXACT(metadata!C695,"missing: restricted access"))),AND(IF(metadata!C695="",FALSE,ISNUMBER(VALUE(metadata!C695))),metadata!C695&gt;0))</f>
        <v>0</v>
      </c>
      <c r="AF695" t="b">
        <f>AND(IF(metadata!D695="",FALSE,TRUE),EXACT(metadata!D695,"missing: not provided"))</f>
        <v>0</v>
      </c>
      <c r="AG695" t="b">
        <f>AND(IF(metadata!E695="",FALSE,TRUE),EXACT(metadata!E695,"Host-associated"))</f>
        <v>0</v>
      </c>
      <c r="AH695" t="b">
        <f>AND(IF(metadata!F695="",FALSE,TRUE),OR(EXACT(metadata!F695,"Animal"),EXACT(metadata!F695,"Fungus"),EXACT(metadata!F695,"Plant")))</f>
        <v>0</v>
      </c>
      <c r="AI695" t="b">
        <f>AND(IF(metadata!G695="",FALSE,TRUE),OR(EXACT(metadata!G695,"Plant secretion"),EXACT(metadata!G695,"Plant rhizosphere"),EXACT(metadata!G695,"Plant surface"),EXACT(metadata!G695,"Plant corpus"),EXACT(metadata!G695,"Fungus surface"),EXACT(metadata!G695,"Fungus corpus"),EXACT(metadata!G695,"Animal surface"),EXACT(metadata!G695,"Animal proximal gut"),EXACT(metadata!G695,"Animal corpus"),EXACT(metadata!G695,"Animal distal gut"),EXACT(metadata!G695,"Animal secretion")))</f>
        <v>0</v>
      </c>
      <c r="AJ695" t="b">
        <f>OR(AND(IF(metadata!H695="",FALSE,TRUE),OR(EXACT(metadata!H695,"missing: not collected"),EXACT(metadata!H695,"missing: not provided"),EXACT(metadata!H695,"missing: restricted access"))),AND(IF(metadata!H695="",FALSE,TRUE),OR(EXACT(metadata!H695,"organism-associated habitat"),EXACT(metadata!H695,"plant-associated habitat"),EXACT(metadata!H695,"animal-associated habitat"),EXACT(metadata!H695,"insecta-associated habitat"),EXACT(metadata!H695,"mammalia-associated habitat"),EXACT(metadata!H695,"human-associated habitat"),EXACT(metadata!H695,"livestock-associated habitat"))))</f>
        <v>0</v>
      </c>
      <c r="AK695" t="b">
        <f>AND(IF(metadata!I695="",FALSE,TRUE),EXACT(metadata!I695,"host-associated"))</f>
        <v>0</v>
      </c>
      <c r="AL695" t="b">
        <f>OR(AND(IF(metadata!J695="",FALSE,TRUE),OR(EXACT(metadata!J695,"not applicable"),EXACT(metadata!J695,"missing: not collected"),EXACT(metadata!J695,"missing: not provided"),EXACT(metadata!J695,"missing: restricted access"))),AND(IF(metadata!J695="",FALSE,ISNUMBER(VALUE(metadata!J695))),metadata!J695&gt;0))</f>
        <v>0</v>
      </c>
      <c r="AM695" t="b">
        <f>AND(IF(metadata!K695="",FALSE,TRUE),EXACT(metadata!K695,"missing: not provided"))</f>
        <v>0</v>
      </c>
      <c r="AN695" t="b">
        <f>IF(metadata!L695="",FALSE,TRUE)</f>
        <v>0</v>
      </c>
      <c r="AO695" t="b">
        <f>IF(metadata!M695="",FALSE,TRUE)</f>
        <v>0</v>
      </c>
      <c r="AP695" t="b">
        <f>OR(AND(IF(metadata!N695="",FALSE,TRUE),OR(EXACT(metadata!N695,"not applicable"),EXACT(metadata!N695,"missing: not collected"),EXACT(metadata!N695,"missing: not provided"))),AND(IF(metadata!N695="",FALSE,IF(ISERROR(INT(metadata!N695)),FALSE,INT(metadata!N695)=metadata!N695)),metadata!N695&gt;0))</f>
        <v>0</v>
      </c>
      <c r="AQ695" t="b">
        <f>AND(IF(metadata!O695="",FALSE,TRUE),EXACT(metadata!O695,"Not applicable"))</f>
        <v>0</v>
      </c>
      <c r="AR695" t="b">
        <f>OR(AND(IF(metadata!P695="",FALSE,TRUE),OR(EXACT(metadata!P695,"not applicable"),EXACT(metadata!P695,"missing: not collected"),EXACT(metadata!P695,"missing: not provided"),EXACT(metadata!P695,"missing: restricted access"))),IF(metadata!P695="",FALSE,IF(ISERROR(INT(metadata!P695)),FALSE,INT(metadata!P695)=metadata!P695)))</f>
        <v>0</v>
      </c>
      <c r="AS695" t="b">
        <f>AND(IF(metadata!Q695="",FALSE,TRUE),EXACT(metadata!Q695,"Not applicable"))</f>
        <v>0</v>
      </c>
      <c r="AT695" t="b">
        <f>OR(AND(IF(metadata!R695="",FALSE,TRUE),OR(EXACT(metadata!R695,"not applicable"),EXACT(metadata!R695,"missing: not collected"),EXACT(metadata!R695,"missing: not provided"),EXACT(metadata!R695,"missing: restricted access"))),AND(IF(metadata!R695="",FALSE,ISNUMBER(VALUE(metadata!R695))),metadata!R695&gt;0))</f>
        <v>0</v>
      </c>
      <c r="AU695" t="b">
        <f>AND(IF(metadata!S695="",FALSE,TRUE),EXACT(metadata!S695,"missing: not provided"))</f>
        <v>0</v>
      </c>
    </row>
    <row r="696" spans="1:47" x14ac:dyDescent="0.2">
      <c r="A696" s="5" t="str">
        <f ca="1">IF(B696=" "," ",HYPERLINK(CONCATENATE("#metadata!",ADDRESS(INDEX($Y$2:$Y$1001,MATCH(ROWS($W$2:W696),$W$2:$W$1001,0),0),1)),INDEX($AB$2:$AB$1001,MATCH(ROWS($W$2:W696),$W$2:$W$1001,0),0)))</f>
        <v xml:space="preserve"> </v>
      </c>
      <c r="B696" s="4" t="str">
        <f ca="1">IF(OR(INDEX($X$2:$X$1001,MATCH(ROWS($W$2:W696),$W$2:$W$1001,0),1)&gt;=100000,INDEX($AD$1005:$AU$1005,1,MATCH(COLUMNS($AD$1006:AD1006),$AD$1006:$AU$1006,0))&gt;=100000), " ",IF(INDEX($AD$2:$AU$1001,MATCH(ROWS($W$2:W696),$W$2:$W$1001,0),MATCH(COLUMNS($AD$1006:AD1006),$AD$1006:$AU$1006,0)), HYPERLINK("#",""), HYPERLINK(CONCATENATE("#metadata!", ADDRESS(INDEX($Y$2:$Y$1001,MATCH(ROWS($W$2:W696),$W$2:$W$1001,0),0), INDEX($AD$1004:$AU$1004,1,MATCH(COLUMNS($AD$1006:AD1006),$AD$1006:$AU$1006,0)))),"Fix")))</f>
        <v xml:space="preserve"> </v>
      </c>
      <c r="C696" s="4" t="str">
        <f ca="1">IF(OR(INDEX($X$2:$X$1001,MATCH(ROWS($W$2:W696),$W$2:$W$1001,0),1)&gt;=100000,INDEX($AD$1005:$AU$1005,1,MATCH(COLUMNS($AD$1006:AE1006),$AD$1006:$AU$1006,0))&gt;=100000), " ",IF(INDEX($AD$2:$AU$1001,MATCH(ROWS($W$2:W696),$W$2:$W$1001,0),MATCH(COLUMNS($AD$1006:AE1006),$AD$1006:$AU$1006,0)), HYPERLINK("#",""), HYPERLINK(CONCATENATE("#metadata!", ADDRESS(INDEX($Y$2:$Y$1001,MATCH(ROWS($W$2:W696),$W$2:$W$1001,0),0), INDEX($AD$1004:$AU$1004,1,MATCH(COLUMNS($AD$1006:AE1006),$AD$1006:$AU$1006,0)))),"Fix")))</f>
        <v xml:space="preserve"> </v>
      </c>
      <c r="D696" s="4" t="str">
        <f ca="1">IF(OR(INDEX($X$2:$X$1001,MATCH(ROWS($W$2:W696),$W$2:$W$1001,0),1)&gt;=100000,INDEX($AD$1005:$AU$1005,1,MATCH(COLUMNS($AD$1006:AF1006),$AD$1006:$AU$1006,0))&gt;=100000), " ",IF(INDEX($AD$2:$AU$1001,MATCH(ROWS($W$2:W696),$W$2:$W$1001,0),MATCH(COLUMNS($AD$1006:AF1006),$AD$1006:$AU$1006,0)), HYPERLINK("#",""), HYPERLINK(CONCATENATE("#metadata!", ADDRESS(INDEX($Y$2:$Y$1001,MATCH(ROWS($W$2:W696),$W$2:$W$1001,0),0), INDEX($AD$1004:$AU$1004,1,MATCH(COLUMNS($AD$1006:AF1006),$AD$1006:$AU$1006,0)))),"Fix")))</f>
        <v xml:space="preserve"> </v>
      </c>
      <c r="E696" s="4" t="str">
        <f ca="1">IF(OR(INDEX($X$2:$X$1001,MATCH(ROWS($W$2:W696),$W$2:$W$1001,0),1)&gt;=100000,INDEX($AD$1005:$AU$1005,1,MATCH(COLUMNS($AD$1006:AG1006),$AD$1006:$AU$1006,0))&gt;=100000), " ",IF(INDEX($AD$2:$AU$1001,MATCH(ROWS($W$2:W696),$W$2:$W$1001,0),MATCH(COLUMNS($AD$1006:AG1006),$AD$1006:$AU$1006,0)), HYPERLINK("#",""), HYPERLINK(CONCATENATE("#metadata!", ADDRESS(INDEX($Y$2:$Y$1001,MATCH(ROWS($W$2:W696),$W$2:$W$1001,0),0), INDEX($AD$1004:$AU$1004,1,MATCH(COLUMNS($AD$1006:AG1006),$AD$1006:$AU$1006,0)))),"Fix")))</f>
        <v xml:space="preserve"> </v>
      </c>
      <c r="F696" s="4" t="str">
        <f ca="1">IF(OR(INDEX($X$2:$X$1001,MATCH(ROWS($W$2:W696),$W$2:$W$1001,0),1)&gt;=100000,INDEX($AD$1005:$AU$1005,1,MATCH(COLUMNS($AD$1006:AH1006),$AD$1006:$AU$1006,0))&gt;=100000), " ",IF(INDEX($AD$2:$AU$1001,MATCH(ROWS($W$2:W696),$W$2:$W$1001,0),MATCH(COLUMNS($AD$1006:AH1006),$AD$1006:$AU$1006,0)), HYPERLINK("#",""), HYPERLINK(CONCATENATE("#metadata!", ADDRESS(INDEX($Y$2:$Y$1001,MATCH(ROWS($W$2:W696),$W$2:$W$1001,0),0), INDEX($AD$1004:$AU$1004,1,MATCH(COLUMNS($AD$1006:AH1006),$AD$1006:$AU$1006,0)))),"Fix")))</f>
        <v xml:space="preserve"> </v>
      </c>
      <c r="G696" s="4" t="str">
        <f ca="1">IF(OR(INDEX($X$2:$X$1001,MATCH(ROWS($W$2:W696),$W$2:$W$1001,0),1)&gt;=100000,INDEX($AD$1005:$AU$1005,1,MATCH(COLUMNS($AD$1006:AI1006),$AD$1006:$AU$1006,0))&gt;=100000), " ",IF(INDEX($AD$2:$AU$1001,MATCH(ROWS($W$2:W696),$W$2:$W$1001,0),MATCH(COLUMNS($AD$1006:AI1006),$AD$1006:$AU$1006,0)), HYPERLINK("#",""), HYPERLINK(CONCATENATE("#metadata!", ADDRESS(INDEX($Y$2:$Y$1001,MATCH(ROWS($W$2:W696),$W$2:$W$1001,0),0), INDEX($AD$1004:$AU$1004,1,MATCH(COLUMNS($AD$1006:AI1006),$AD$1006:$AU$1006,0)))),"Fix")))</f>
        <v xml:space="preserve"> </v>
      </c>
      <c r="H696" s="4" t="str">
        <f ca="1">IF(OR(INDEX($X$2:$X$1001,MATCH(ROWS($W$2:W696),$W$2:$W$1001,0),1)&gt;=100000,INDEX($AD$1005:$AU$1005,1,MATCH(COLUMNS($AD$1006:AJ1006),$AD$1006:$AU$1006,0))&gt;=100000), " ",IF(INDEX($AD$2:$AU$1001,MATCH(ROWS($W$2:W696),$W$2:$W$1001,0),MATCH(COLUMNS($AD$1006:AJ1006),$AD$1006:$AU$1006,0)), HYPERLINK("#",""), HYPERLINK(CONCATENATE("#metadata!", ADDRESS(INDEX($Y$2:$Y$1001,MATCH(ROWS($W$2:W696),$W$2:$W$1001,0),0), INDEX($AD$1004:$AU$1004,1,MATCH(COLUMNS($AD$1006:AJ1006),$AD$1006:$AU$1006,0)))),"Fix")))</f>
        <v xml:space="preserve"> </v>
      </c>
      <c r="I696" s="4" t="str">
        <f ca="1">IF(OR(INDEX($X$2:$X$1001,MATCH(ROWS($W$2:W696),$W$2:$W$1001,0),1)&gt;=100000,INDEX($AD$1005:$AU$1005,1,MATCH(COLUMNS($AD$1006:AK1006),$AD$1006:$AU$1006,0))&gt;=100000), " ",IF(INDEX($AD$2:$AU$1001,MATCH(ROWS($W$2:W696),$W$2:$W$1001,0),MATCH(COLUMNS($AD$1006:AK1006),$AD$1006:$AU$1006,0)), HYPERLINK("#",""), HYPERLINK(CONCATENATE("#metadata!", ADDRESS(INDEX($Y$2:$Y$1001,MATCH(ROWS($W$2:W696),$W$2:$W$1001,0),0), INDEX($AD$1004:$AU$1004,1,MATCH(COLUMNS($AD$1006:AK1006),$AD$1006:$AU$1006,0)))),"Fix")))</f>
        <v xml:space="preserve"> </v>
      </c>
      <c r="J696" s="4" t="str">
        <f ca="1">IF(OR(INDEX($X$2:$X$1001,MATCH(ROWS($W$2:W696),$W$2:$W$1001,0),1)&gt;=100000,INDEX($AD$1005:$AU$1005,1,MATCH(COLUMNS($AD$1006:AL1006),$AD$1006:$AU$1006,0))&gt;=100000), " ",IF(INDEX($AD$2:$AU$1001,MATCH(ROWS($W$2:W696),$W$2:$W$1001,0),MATCH(COLUMNS($AD$1006:AL1006),$AD$1006:$AU$1006,0)), HYPERLINK("#",""), HYPERLINK(CONCATENATE("#metadata!", ADDRESS(INDEX($Y$2:$Y$1001,MATCH(ROWS($W$2:W696),$W$2:$W$1001,0),0), INDEX($AD$1004:$AU$1004,1,MATCH(COLUMNS($AD$1006:AL1006),$AD$1006:$AU$1006,0)))),"Fix")))</f>
        <v xml:space="preserve"> </v>
      </c>
      <c r="K696" s="4" t="str">
        <f ca="1">IF(OR(INDEX($X$2:$X$1001,MATCH(ROWS($W$2:W696),$W$2:$W$1001,0),1)&gt;=100000,INDEX($AD$1005:$AU$1005,1,MATCH(COLUMNS($AD$1006:AM1006),$AD$1006:$AU$1006,0))&gt;=100000), " ",IF(INDEX($AD$2:$AU$1001,MATCH(ROWS($W$2:W696),$W$2:$W$1001,0),MATCH(COLUMNS($AD$1006:AM1006),$AD$1006:$AU$1006,0)), HYPERLINK("#",""), HYPERLINK(CONCATENATE("#metadata!", ADDRESS(INDEX($Y$2:$Y$1001,MATCH(ROWS($W$2:W696),$W$2:$W$1001,0),0), INDEX($AD$1004:$AU$1004,1,MATCH(COLUMNS($AD$1006:AM1006),$AD$1006:$AU$1006,0)))),"Fix")))</f>
        <v xml:space="preserve"> </v>
      </c>
      <c r="L696" s="4" t="str">
        <f ca="1">IF(OR(INDEX($X$2:$X$1001,MATCH(ROWS($W$2:W696),$W$2:$W$1001,0),1)&gt;=100000,INDEX($AD$1005:$AU$1005,1,MATCH(COLUMNS($AD$1006:AN1006),$AD$1006:$AU$1006,0))&gt;=100000), " ",IF(INDEX($AD$2:$AU$1001,MATCH(ROWS($W$2:W696),$W$2:$W$1001,0),MATCH(COLUMNS($AD$1006:AN1006),$AD$1006:$AU$1006,0)), HYPERLINK("#",""), HYPERLINK(CONCATENATE("#metadata!", ADDRESS(INDEX($Y$2:$Y$1001,MATCH(ROWS($W$2:W696),$W$2:$W$1001,0),0), INDEX($AD$1004:$AU$1004,1,MATCH(COLUMNS($AD$1006:AN1006),$AD$1006:$AU$1006,0)))),"Fix")))</f>
        <v xml:space="preserve"> </v>
      </c>
      <c r="M696" s="4" t="str">
        <f ca="1">IF(OR(INDEX($X$2:$X$1001,MATCH(ROWS($W$2:W696),$W$2:$W$1001,0),1)&gt;=100000,INDEX($AD$1005:$AU$1005,1,MATCH(COLUMNS($AD$1006:AO1006),$AD$1006:$AU$1006,0))&gt;=100000), " ",IF(INDEX($AD$2:$AU$1001,MATCH(ROWS($W$2:W696),$W$2:$W$1001,0),MATCH(COLUMNS($AD$1006:AO1006),$AD$1006:$AU$1006,0)), HYPERLINK("#",""), HYPERLINK(CONCATENATE("#metadata!", ADDRESS(INDEX($Y$2:$Y$1001,MATCH(ROWS($W$2:W696),$W$2:$W$1001,0),0), INDEX($AD$1004:$AU$1004,1,MATCH(COLUMNS($AD$1006:AO1006),$AD$1006:$AU$1006,0)))),"Fix")))</f>
        <v xml:space="preserve"> </v>
      </c>
      <c r="N696" s="4" t="str">
        <f ca="1">IF(OR(INDEX($X$2:$X$1001,MATCH(ROWS($W$2:W696),$W$2:$W$1001,0),1)&gt;=100000,INDEX($AD$1005:$AU$1005,1,MATCH(COLUMNS($AD$1006:AP1006),$AD$1006:$AU$1006,0))&gt;=100000), " ",IF(INDEX($AD$2:$AU$1001,MATCH(ROWS($W$2:W696),$W$2:$W$1001,0),MATCH(COLUMNS($AD$1006:AP1006),$AD$1006:$AU$1006,0)), HYPERLINK("#",""), HYPERLINK(CONCATENATE("#metadata!", ADDRESS(INDEX($Y$2:$Y$1001,MATCH(ROWS($W$2:W696),$W$2:$W$1001,0),0), INDEX($AD$1004:$AU$1004,1,MATCH(COLUMNS($AD$1006:AP1006),$AD$1006:$AU$1006,0)))),"Fix")))</f>
        <v xml:space="preserve"> </v>
      </c>
      <c r="O696" s="4" t="str">
        <f ca="1">IF(OR(INDEX($X$2:$X$1001,MATCH(ROWS($W$2:W696),$W$2:$W$1001,0),1)&gt;=100000,INDEX($AD$1005:$AU$1005,1,MATCH(COLUMNS($AD$1006:AQ1006),$AD$1006:$AU$1006,0))&gt;=100000), " ",IF(INDEX($AD$2:$AU$1001,MATCH(ROWS($W$2:W696),$W$2:$W$1001,0),MATCH(COLUMNS($AD$1006:AQ1006),$AD$1006:$AU$1006,0)), HYPERLINK("#",""), HYPERLINK(CONCATENATE("#metadata!", ADDRESS(INDEX($Y$2:$Y$1001,MATCH(ROWS($W$2:W696),$W$2:$W$1001,0),0), INDEX($AD$1004:$AU$1004,1,MATCH(COLUMNS($AD$1006:AQ1006),$AD$1006:$AU$1006,0)))),"Fix")))</f>
        <v xml:space="preserve"> </v>
      </c>
      <c r="P696" s="4" t="str">
        <f ca="1">IF(OR(INDEX($X$2:$X$1001,MATCH(ROWS($W$2:W696),$W$2:$W$1001,0),1)&gt;=100000,INDEX($AD$1005:$AU$1005,1,MATCH(COLUMNS($AD$1006:AR1006),$AD$1006:$AU$1006,0))&gt;=100000), " ",IF(INDEX($AD$2:$AU$1001,MATCH(ROWS($W$2:W696),$W$2:$W$1001,0),MATCH(COLUMNS($AD$1006:AR1006),$AD$1006:$AU$1006,0)), HYPERLINK("#",""), HYPERLINK(CONCATENATE("#metadata!", ADDRESS(INDEX($Y$2:$Y$1001,MATCH(ROWS($W$2:W696),$W$2:$W$1001,0),0), INDEX($AD$1004:$AU$1004,1,MATCH(COLUMNS($AD$1006:AR1006),$AD$1006:$AU$1006,0)))),"Fix")))</f>
        <v xml:space="preserve"> </v>
      </c>
      <c r="Q696" s="4" t="str">
        <f ca="1">IF(OR(INDEX($X$2:$X$1001,MATCH(ROWS($W$2:W696),$W$2:$W$1001,0),1)&gt;=100000,INDEX($AD$1005:$AU$1005,1,MATCH(COLUMNS($AD$1006:AS1006),$AD$1006:$AU$1006,0))&gt;=100000), " ",IF(INDEX($AD$2:$AU$1001,MATCH(ROWS($W$2:W696),$W$2:$W$1001,0),MATCH(COLUMNS($AD$1006:AS1006),$AD$1006:$AU$1006,0)), HYPERLINK("#",""), HYPERLINK(CONCATENATE("#metadata!", ADDRESS(INDEX($Y$2:$Y$1001,MATCH(ROWS($W$2:W696),$W$2:$W$1001,0),0), INDEX($AD$1004:$AU$1004,1,MATCH(COLUMNS($AD$1006:AS1006),$AD$1006:$AU$1006,0)))),"Fix")))</f>
        <v xml:space="preserve"> </v>
      </c>
      <c r="R696" s="4" t="str">
        <f ca="1">IF(OR(INDEX($X$2:$X$1001,MATCH(ROWS($W$2:W696),$W$2:$W$1001,0),1)&gt;=100000,INDEX($AD$1005:$AU$1005,1,MATCH(COLUMNS($AD$1006:AT1006),$AD$1006:$AU$1006,0))&gt;=100000), " ",IF(INDEX($AD$2:$AU$1001,MATCH(ROWS($W$2:W696),$W$2:$W$1001,0),MATCH(COLUMNS($AD$1006:AT1006),$AD$1006:$AU$1006,0)), HYPERLINK("#",""), HYPERLINK(CONCATENATE("#metadata!", ADDRESS(INDEX($Y$2:$Y$1001,MATCH(ROWS($W$2:W696),$W$2:$W$1001,0),0), INDEX($AD$1004:$AU$1004,1,MATCH(COLUMNS($AD$1006:AT1006),$AD$1006:$AU$1006,0)))),"Fix")))</f>
        <v xml:space="preserve"> </v>
      </c>
      <c r="S696" s="4" t="str">
        <f ca="1">IF(OR(INDEX($X$2:$X$1001,MATCH(ROWS($W$2:W696),$W$2:$W$1001,0),1)&gt;=100000,INDEX($AD$1005:$AU$1005,1,MATCH(COLUMNS($AD$1006:AU1006),$AD$1006:$AU$1006,0))&gt;=100000), " ",IF(INDEX($AD$2:$AU$1001,MATCH(ROWS($W$2:W696),$W$2:$W$1001,0),MATCH(COLUMNS($AD$1006:AU1006),$AD$1006:$AU$1006,0)), HYPERLINK("#",""), HYPERLINK(CONCATENATE("#metadata!", ADDRESS(INDEX($Y$2:$Y$1001,MATCH(ROWS($W$2:W696),$W$2:$W$1001,0),0), INDEX($AD$1004:$AU$1004,1,MATCH(COLUMNS($AD$1006:AU1006),$AD$1006:$AU$1006,0)))),"Fix")))</f>
        <v xml:space="preserve"> </v>
      </c>
      <c r="W696">
        <v>695</v>
      </c>
      <c r="X696">
        <v>100696</v>
      </c>
      <c r="Y696">
        <v>696</v>
      </c>
      <c r="Z696" t="b">
        <f t="shared" si="10"/>
        <v>1</v>
      </c>
      <c r="AA696" t="b">
        <f>COUNTBLANK(metadata!B696:S696)=COLUMNS(metadata!B696:S696)</f>
        <v>1</v>
      </c>
      <c r="AB696" t="str">
        <v/>
      </c>
      <c r="AD696" t="b">
        <f ca="1">AND(IF(metadata!B696="",FALSE,TRUE),COUNTIF(metadata!B:B, metadata!B696) = 1,NOT(ISERROR(SUMPRODUCT(SEARCH(MID(metadata!B696,ROW(INDIRECT("1:"&amp;LEN(metadata!B696))), 1),"0123456789abcdefghijklmnopqrstuvwxyzABCDEFGHIJKLMNOPQRSTUVWXYZ.")))))</f>
        <v>0</v>
      </c>
      <c r="AE696" t="b">
        <f>OR(AND(IF(metadata!C696="",FALSE,TRUE),OR(EXACT(metadata!C696,"not applicable"),EXACT(metadata!C696,"missing: not collected"),EXACT(metadata!C696,"missing: not provided"),EXACT(metadata!C696,"missing: restricted access"))),AND(IF(metadata!C696="",FALSE,ISNUMBER(VALUE(metadata!C696))),metadata!C696&gt;0))</f>
        <v>0</v>
      </c>
      <c r="AF696" t="b">
        <f>AND(IF(metadata!D696="",FALSE,TRUE),EXACT(metadata!D696,"missing: not provided"))</f>
        <v>0</v>
      </c>
      <c r="AG696" t="b">
        <f>AND(IF(metadata!E696="",FALSE,TRUE),EXACT(metadata!E696,"Host-associated"))</f>
        <v>0</v>
      </c>
      <c r="AH696" t="b">
        <f>AND(IF(metadata!F696="",FALSE,TRUE),OR(EXACT(metadata!F696,"Animal"),EXACT(metadata!F696,"Fungus"),EXACT(metadata!F696,"Plant")))</f>
        <v>0</v>
      </c>
      <c r="AI696" t="b">
        <f>AND(IF(metadata!G696="",FALSE,TRUE),OR(EXACT(metadata!G696,"Plant secretion"),EXACT(metadata!G696,"Plant rhizosphere"),EXACT(metadata!G696,"Plant surface"),EXACT(metadata!G696,"Plant corpus"),EXACT(metadata!G696,"Fungus surface"),EXACT(metadata!G696,"Fungus corpus"),EXACT(metadata!G696,"Animal surface"),EXACT(metadata!G696,"Animal proximal gut"),EXACT(metadata!G696,"Animal corpus"),EXACT(metadata!G696,"Animal distal gut"),EXACT(metadata!G696,"Animal secretion")))</f>
        <v>0</v>
      </c>
      <c r="AJ696" t="b">
        <f>OR(AND(IF(metadata!H696="",FALSE,TRUE),OR(EXACT(metadata!H696,"missing: not collected"),EXACT(metadata!H696,"missing: not provided"),EXACT(metadata!H696,"missing: restricted access"))),AND(IF(metadata!H696="",FALSE,TRUE),OR(EXACT(metadata!H696,"organism-associated habitat"),EXACT(metadata!H696,"plant-associated habitat"),EXACT(metadata!H696,"animal-associated habitat"),EXACT(metadata!H696,"insecta-associated habitat"),EXACT(metadata!H696,"mammalia-associated habitat"),EXACT(metadata!H696,"human-associated habitat"),EXACT(metadata!H696,"livestock-associated habitat"))))</f>
        <v>0</v>
      </c>
      <c r="AK696" t="b">
        <f>AND(IF(metadata!I696="",FALSE,TRUE),EXACT(metadata!I696,"host-associated"))</f>
        <v>0</v>
      </c>
      <c r="AL696" t="b">
        <f>OR(AND(IF(metadata!J696="",FALSE,TRUE),OR(EXACT(metadata!J696,"not applicable"),EXACT(metadata!J696,"missing: not collected"),EXACT(metadata!J696,"missing: not provided"),EXACT(metadata!J696,"missing: restricted access"))),AND(IF(metadata!J696="",FALSE,ISNUMBER(VALUE(metadata!J696))),metadata!J696&gt;0))</f>
        <v>0</v>
      </c>
      <c r="AM696" t="b">
        <f>AND(IF(metadata!K696="",FALSE,TRUE),EXACT(metadata!K696,"missing: not provided"))</f>
        <v>0</v>
      </c>
      <c r="AN696" t="b">
        <f>IF(metadata!L696="",FALSE,TRUE)</f>
        <v>0</v>
      </c>
      <c r="AO696" t="b">
        <f>IF(metadata!M696="",FALSE,TRUE)</f>
        <v>0</v>
      </c>
      <c r="AP696" t="b">
        <f>OR(AND(IF(metadata!N696="",FALSE,TRUE),OR(EXACT(metadata!N696,"not applicable"),EXACT(metadata!N696,"missing: not collected"),EXACT(metadata!N696,"missing: not provided"))),AND(IF(metadata!N696="",FALSE,IF(ISERROR(INT(metadata!N696)),FALSE,INT(metadata!N696)=metadata!N696)),metadata!N696&gt;0))</f>
        <v>0</v>
      </c>
      <c r="AQ696" t="b">
        <f>AND(IF(metadata!O696="",FALSE,TRUE),EXACT(metadata!O696,"Not applicable"))</f>
        <v>0</v>
      </c>
      <c r="AR696" t="b">
        <f>OR(AND(IF(metadata!P696="",FALSE,TRUE),OR(EXACT(metadata!P696,"not applicable"),EXACT(metadata!P696,"missing: not collected"),EXACT(metadata!P696,"missing: not provided"),EXACT(metadata!P696,"missing: restricted access"))),IF(metadata!P696="",FALSE,IF(ISERROR(INT(metadata!P696)),FALSE,INT(metadata!P696)=metadata!P696)))</f>
        <v>0</v>
      </c>
      <c r="AS696" t="b">
        <f>AND(IF(metadata!Q696="",FALSE,TRUE),EXACT(metadata!Q696,"Not applicable"))</f>
        <v>0</v>
      </c>
      <c r="AT696" t="b">
        <f>OR(AND(IF(metadata!R696="",FALSE,TRUE),OR(EXACT(metadata!R696,"not applicable"),EXACT(metadata!R696,"missing: not collected"),EXACT(metadata!R696,"missing: not provided"),EXACT(metadata!R696,"missing: restricted access"))),AND(IF(metadata!R696="",FALSE,ISNUMBER(VALUE(metadata!R696))),metadata!R696&gt;0))</f>
        <v>0</v>
      </c>
      <c r="AU696" t="b">
        <f>AND(IF(metadata!S696="",FALSE,TRUE),EXACT(metadata!S696,"missing: not provided"))</f>
        <v>0</v>
      </c>
    </row>
    <row r="697" spans="1:47" x14ac:dyDescent="0.2">
      <c r="A697" s="5" t="str">
        <f ca="1">IF(B697=" "," ",HYPERLINK(CONCATENATE("#metadata!",ADDRESS(INDEX($Y$2:$Y$1001,MATCH(ROWS($W$2:W697),$W$2:$W$1001,0),0),1)),INDEX($AB$2:$AB$1001,MATCH(ROWS($W$2:W697),$W$2:$W$1001,0),0)))</f>
        <v xml:space="preserve"> </v>
      </c>
      <c r="B697" s="4" t="str">
        <f ca="1">IF(OR(INDEX($X$2:$X$1001,MATCH(ROWS($W$2:W697),$W$2:$W$1001,0),1)&gt;=100000,INDEX($AD$1005:$AU$1005,1,MATCH(COLUMNS($AD$1006:AD1006),$AD$1006:$AU$1006,0))&gt;=100000), " ",IF(INDEX($AD$2:$AU$1001,MATCH(ROWS($W$2:W697),$W$2:$W$1001,0),MATCH(COLUMNS($AD$1006:AD1006),$AD$1006:$AU$1006,0)), HYPERLINK("#",""), HYPERLINK(CONCATENATE("#metadata!", ADDRESS(INDEX($Y$2:$Y$1001,MATCH(ROWS($W$2:W697),$W$2:$W$1001,0),0), INDEX($AD$1004:$AU$1004,1,MATCH(COLUMNS($AD$1006:AD1006),$AD$1006:$AU$1006,0)))),"Fix")))</f>
        <v xml:space="preserve"> </v>
      </c>
      <c r="C697" s="4" t="str">
        <f ca="1">IF(OR(INDEX($X$2:$X$1001,MATCH(ROWS($W$2:W697),$W$2:$W$1001,0),1)&gt;=100000,INDEX($AD$1005:$AU$1005,1,MATCH(COLUMNS($AD$1006:AE1006),$AD$1006:$AU$1006,0))&gt;=100000), " ",IF(INDEX($AD$2:$AU$1001,MATCH(ROWS($W$2:W697),$W$2:$W$1001,0),MATCH(COLUMNS($AD$1006:AE1006),$AD$1006:$AU$1006,0)), HYPERLINK("#",""), HYPERLINK(CONCATENATE("#metadata!", ADDRESS(INDEX($Y$2:$Y$1001,MATCH(ROWS($W$2:W697),$W$2:$W$1001,0),0), INDEX($AD$1004:$AU$1004,1,MATCH(COLUMNS($AD$1006:AE1006),$AD$1006:$AU$1006,0)))),"Fix")))</f>
        <v xml:space="preserve"> </v>
      </c>
      <c r="D697" s="4" t="str">
        <f ca="1">IF(OR(INDEX($X$2:$X$1001,MATCH(ROWS($W$2:W697),$W$2:$W$1001,0),1)&gt;=100000,INDEX($AD$1005:$AU$1005,1,MATCH(COLUMNS($AD$1006:AF1006),$AD$1006:$AU$1006,0))&gt;=100000), " ",IF(INDEX($AD$2:$AU$1001,MATCH(ROWS($W$2:W697),$W$2:$W$1001,0),MATCH(COLUMNS($AD$1006:AF1006),$AD$1006:$AU$1006,0)), HYPERLINK("#",""), HYPERLINK(CONCATENATE("#metadata!", ADDRESS(INDEX($Y$2:$Y$1001,MATCH(ROWS($W$2:W697),$W$2:$W$1001,0),0), INDEX($AD$1004:$AU$1004,1,MATCH(COLUMNS($AD$1006:AF1006),$AD$1006:$AU$1006,0)))),"Fix")))</f>
        <v xml:space="preserve"> </v>
      </c>
      <c r="E697" s="4" t="str">
        <f ca="1">IF(OR(INDEX($X$2:$X$1001,MATCH(ROWS($W$2:W697),$W$2:$W$1001,0),1)&gt;=100000,INDEX($AD$1005:$AU$1005,1,MATCH(COLUMNS($AD$1006:AG1006),$AD$1006:$AU$1006,0))&gt;=100000), " ",IF(INDEX($AD$2:$AU$1001,MATCH(ROWS($W$2:W697),$W$2:$W$1001,0),MATCH(COLUMNS($AD$1006:AG1006),$AD$1006:$AU$1006,0)), HYPERLINK("#",""), HYPERLINK(CONCATENATE("#metadata!", ADDRESS(INDEX($Y$2:$Y$1001,MATCH(ROWS($W$2:W697),$W$2:$W$1001,0),0), INDEX($AD$1004:$AU$1004,1,MATCH(COLUMNS($AD$1006:AG1006),$AD$1006:$AU$1006,0)))),"Fix")))</f>
        <v xml:space="preserve"> </v>
      </c>
      <c r="F697" s="4" t="str">
        <f ca="1">IF(OR(INDEX($X$2:$X$1001,MATCH(ROWS($W$2:W697),$W$2:$W$1001,0),1)&gt;=100000,INDEX($AD$1005:$AU$1005,1,MATCH(COLUMNS($AD$1006:AH1006),$AD$1006:$AU$1006,0))&gt;=100000), " ",IF(INDEX($AD$2:$AU$1001,MATCH(ROWS($W$2:W697),$W$2:$W$1001,0),MATCH(COLUMNS($AD$1006:AH1006),$AD$1006:$AU$1006,0)), HYPERLINK("#",""), HYPERLINK(CONCATENATE("#metadata!", ADDRESS(INDEX($Y$2:$Y$1001,MATCH(ROWS($W$2:W697),$W$2:$W$1001,0),0), INDEX($AD$1004:$AU$1004,1,MATCH(COLUMNS($AD$1006:AH1006),$AD$1006:$AU$1006,0)))),"Fix")))</f>
        <v xml:space="preserve"> </v>
      </c>
      <c r="G697" s="4" t="str">
        <f ca="1">IF(OR(INDEX($X$2:$X$1001,MATCH(ROWS($W$2:W697),$W$2:$W$1001,0),1)&gt;=100000,INDEX($AD$1005:$AU$1005,1,MATCH(COLUMNS($AD$1006:AI1006),$AD$1006:$AU$1006,0))&gt;=100000), " ",IF(INDEX($AD$2:$AU$1001,MATCH(ROWS($W$2:W697),$W$2:$W$1001,0),MATCH(COLUMNS($AD$1006:AI1006),$AD$1006:$AU$1006,0)), HYPERLINK("#",""), HYPERLINK(CONCATENATE("#metadata!", ADDRESS(INDEX($Y$2:$Y$1001,MATCH(ROWS($W$2:W697),$W$2:$W$1001,0),0), INDEX($AD$1004:$AU$1004,1,MATCH(COLUMNS($AD$1006:AI1006),$AD$1006:$AU$1006,0)))),"Fix")))</f>
        <v xml:space="preserve"> </v>
      </c>
      <c r="H697" s="4" t="str">
        <f ca="1">IF(OR(INDEX($X$2:$X$1001,MATCH(ROWS($W$2:W697),$W$2:$W$1001,0),1)&gt;=100000,INDEX($AD$1005:$AU$1005,1,MATCH(COLUMNS($AD$1006:AJ1006),$AD$1006:$AU$1006,0))&gt;=100000), " ",IF(INDEX($AD$2:$AU$1001,MATCH(ROWS($W$2:W697),$W$2:$W$1001,0),MATCH(COLUMNS($AD$1006:AJ1006),$AD$1006:$AU$1006,0)), HYPERLINK("#",""), HYPERLINK(CONCATENATE("#metadata!", ADDRESS(INDEX($Y$2:$Y$1001,MATCH(ROWS($W$2:W697),$W$2:$W$1001,0),0), INDEX($AD$1004:$AU$1004,1,MATCH(COLUMNS($AD$1006:AJ1006),$AD$1006:$AU$1006,0)))),"Fix")))</f>
        <v xml:space="preserve"> </v>
      </c>
      <c r="I697" s="4" t="str">
        <f ca="1">IF(OR(INDEX($X$2:$X$1001,MATCH(ROWS($W$2:W697),$W$2:$W$1001,0),1)&gt;=100000,INDEX($AD$1005:$AU$1005,1,MATCH(COLUMNS($AD$1006:AK1006),$AD$1006:$AU$1006,0))&gt;=100000), " ",IF(INDEX($AD$2:$AU$1001,MATCH(ROWS($W$2:W697),$W$2:$W$1001,0),MATCH(COLUMNS($AD$1006:AK1006),$AD$1006:$AU$1006,0)), HYPERLINK("#",""), HYPERLINK(CONCATENATE("#metadata!", ADDRESS(INDEX($Y$2:$Y$1001,MATCH(ROWS($W$2:W697),$W$2:$W$1001,0),0), INDEX($AD$1004:$AU$1004,1,MATCH(COLUMNS($AD$1006:AK1006),$AD$1006:$AU$1006,0)))),"Fix")))</f>
        <v xml:space="preserve"> </v>
      </c>
      <c r="J697" s="4" t="str">
        <f ca="1">IF(OR(INDEX($X$2:$X$1001,MATCH(ROWS($W$2:W697),$W$2:$W$1001,0),1)&gt;=100000,INDEX($AD$1005:$AU$1005,1,MATCH(COLUMNS($AD$1006:AL1006),$AD$1006:$AU$1006,0))&gt;=100000), " ",IF(INDEX($AD$2:$AU$1001,MATCH(ROWS($W$2:W697),$W$2:$W$1001,0),MATCH(COLUMNS($AD$1006:AL1006),$AD$1006:$AU$1006,0)), HYPERLINK("#",""), HYPERLINK(CONCATENATE("#metadata!", ADDRESS(INDEX($Y$2:$Y$1001,MATCH(ROWS($W$2:W697),$W$2:$W$1001,0),0), INDEX($AD$1004:$AU$1004,1,MATCH(COLUMNS($AD$1006:AL1006),$AD$1006:$AU$1006,0)))),"Fix")))</f>
        <v xml:space="preserve"> </v>
      </c>
      <c r="K697" s="4" t="str">
        <f ca="1">IF(OR(INDEX($X$2:$X$1001,MATCH(ROWS($W$2:W697),$W$2:$W$1001,0),1)&gt;=100000,INDEX($AD$1005:$AU$1005,1,MATCH(COLUMNS($AD$1006:AM1006),$AD$1006:$AU$1006,0))&gt;=100000), " ",IF(INDEX($AD$2:$AU$1001,MATCH(ROWS($W$2:W697),$W$2:$W$1001,0),MATCH(COLUMNS($AD$1006:AM1006),$AD$1006:$AU$1006,0)), HYPERLINK("#",""), HYPERLINK(CONCATENATE("#metadata!", ADDRESS(INDEX($Y$2:$Y$1001,MATCH(ROWS($W$2:W697),$W$2:$W$1001,0),0), INDEX($AD$1004:$AU$1004,1,MATCH(COLUMNS($AD$1006:AM1006),$AD$1006:$AU$1006,0)))),"Fix")))</f>
        <v xml:space="preserve"> </v>
      </c>
      <c r="L697" s="4" t="str">
        <f ca="1">IF(OR(INDEX($X$2:$X$1001,MATCH(ROWS($W$2:W697),$W$2:$W$1001,0),1)&gt;=100000,INDEX($AD$1005:$AU$1005,1,MATCH(COLUMNS($AD$1006:AN1006),$AD$1006:$AU$1006,0))&gt;=100000), " ",IF(INDEX($AD$2:$AU$1001,MATCH(ROWS($W$2:W697),$W$2:$W$1001,0),MATCH(COLUMNS($AD$1006:AN1006),$AD$1006:$AU$1006,0)), HYPERLINK("#",""), HYPERLINK(CONCATENATE("#metadata!", ADDRESS(INDEX($Y$2:$Y$1001,MATCH(ROWS($W$2:W697),$W$2:$W$1001,0),0), INDEX($AD$1004:$AU$1004,1,MATCH(COLUMNS($AD$1006:AN1006),$AD$1006:$AU$1006,0)))),"Fix")))</f>
        <v xml:space="preserve"> </v>
      </c>
      <c r="M697" s="4" t="str">
        <f ca="1">IF(OR(INDEX($X$2:$X$1001,MATCH(ROWS($W$2:W697),$W$2:$W$1001,0),1)&gt;=100000,INDEX($AD$1005:$AU$1005,1,MATCH(COLUMNS($AD$1006:AO1006),$AD$1006:$AU$1006,0))&gt;=100000), " ",IF(INDEX($AD$2:$AU$1001,MATCH(ROWS($W$2:W697),$W$2:$W$1001,0),MATCH(COLUMNS($AD$1006:AO1006),$AD$1006:$AU$1006,0)), HYPERLINK("#",""), HYPERLINK(CONCATENATE("#metadata!", ADDRESS(INDEX($Y$2:$Y$1001,MATCH(ROWS($W$2:W697),$W$2:$W$1001,0),0), INDEX($AD$1004:$AU$1004,1,MATCH(COLUMNS($AD$1006:AO1006),$AD$1006:$AU$1006,0)))),"Fix")))</f>
        <v xml:space="preserve"> </v>
      </c>
      <c r="N697" s="4" t="str">
        <f ca="1">IF(OR(INDEX($X$2:$X$1001,MATCH(ROWS($W$2:W697),$W$2:$W$1001,0),1)&gt;=100000,INDEX($AD$1005:$AU$1005,1,MATCH(COLUMNS($AD$1006:AP1006),$AD$1006:$AU$1006,0))&gt;=100000), " ",IF(INDEX($AD$2:$AU$1001,MATCH(ROWS($W$2:W697),$W$2:$W$1001,0),MATCH(COLUMNS($AD$1006:AP1006),$AD$1006:$AU$1006,0)), HYPERLINK("#",""), HYPERLINK(CONCATENATE("#metadata!", ADDRESS(INDEX($Y$2:$Y$1001,MATCH(ROWS($W$2:W697),$W$2:$W$1001,0),0), INDEX($AD$1004:$AU$1004,1,MATCH(COLUMNS($AD$1006:AP1006),$AD$1006:$AU$1006,0)))),"Fix")))</f>
        <v xml:space="preserve"> </v>
      </c>
      <c r="O697" s="4" t="str">
        <f ca="1">IF(OR(INDEX($X$2:$X$1001,MATCH(ROWS($W$2:W697),$W$2:$W$1001,0),1)&gt;=100000,INDEX($AD$1005:$AU$1005,1,MATCH(COLUMNS($AD$1006:AQ1006),$AD$1006:$AU$1006,0))&gt;=100000), " ",IF(INDEX($AD$2:$AU$1001,MATCH(ROWS($W$2:W697),$W$2:$W$1001,0),MATCH(COLUMNS($AD$1006:AQ1006),$AD$1006:$AU$1006,0)), HYPERLINK("#",""), HYPERLINK(CONCATENATE("#metadata!", ADDRESS(INDEX($Y$2:$Y$1001,MATCH(ROWS($W$2:W697),$W$2:$W$1001,0),0), INDEX($AD$1004:$AU$1004,1,MATCH(COLUMNS($AD$1006:AQ1006),$AD$1006:$AU$1006,0)))),"Fix")))</f>
        <v xml:space="preserve"> </v>
      </c>
      <c r="P697" s="4" t="str">
        <f ca="1">IF(OR(INDEX($X$2:$X$1001,MATCH(ROWS($W$2:W697),$W$2:$W$1001,0),1)&gt;=100000,INDEX($AD$1005:$AU$1005,1,MATCH(COLUMNS($AD$1006:AR1006),$AD$1006:$AU$1006,0))&gt;=100000), " ",IF(INDEX($AD$2:$AU$1001,MATCH(ROWS($W$2:W697),$W$2:$W$1001,0),MATCH(COLUMNS($AD$1006:AR1006),$AD$1006:$AU$1006,0)), HYPERLINK("#",""), HYPERLINK(CONCATENATE("#metadata!", ADDRESS(INDEX($Y$2:$Y$1001,MATCH(ROWS($W$2:W697),$W$2:$W$1001,0),0), INDEX($AD$1004:$AU$1004,1,MATCH(COLUMNS($AD$1006:AR1006),$AD$1006:$AU$1006,0)))),"Fix")))</f>
        <v xml:space="preserve"> </v>
      </c>
      <c r="Q697" s="4" t="str">
        <f ca="1">IF(OR(INDEX($X$2:$X$1001,MATCH(ROWS($W$2:W697),$W$2:$W$1001,0),1)&gt;=100000,INDEX($AD$1005:$AU$1005,1,MATCH(COLUMNS($AD$1006:AS1006),$AD$1006:$AU$1006,0))&gt;=100000), " ",IF(INDEX($AD$2:$AU$1001,MATCH(ROWS($W$2:W697),$W$2:$W$1001,0),MATCH(COLUMNS($AD$1006:AS1006),$AD$1006:$AU$1006,0)), HYPERLINK("#",""), HYPERLINK(CONCATENATE("#metadata!", ADDRESS(INDEX($Y$2:$Y$1001,MATCH(ROWS($W$2:W697),$W$2:$W$1001,0),0), INDEX($AD$1004:$AU$1004,1,MATCH(COLUMNS($AD$1006:AS1006),$AD$1006:$AU$1006,0)))),"Fix")))</f>
        <v xml:space="preserve"> </v>
      </c>
      <c r="R697" s="4" t="str">
        <f ca="1">IF(OR(INDEX($X$2:$X$1001,MATCH(ROWS($W$2:W697),$W$2:$W$1001,0),1)&gt;=100000,INDEX($AD$1005:$AU$1005,1,MATCH(COLUMNS($AD$1006:AT1006),$AD$1006:$AU$1006,0))&gt;=100000), " ",IF(INDEX($AD$2:$AU$1001,MATCH(ROWS($W$2:W697),$W$2:$W$1001,0),MATCH(COLUMNS($AD$1006:AT1006),$AD$1006:$AU$1006,0)), HYPERLINK("#",""), HYPERLINK(CONCATENATE("#metadata!", ADDRESS(INDEX($Y$2:$Y$1001,MATCH(ROWS($W$2:W697),$W$2:$W$1001,0),0), INDEX($AD$1004:$AU$1004,1,MATCH(COLUMNS($AD$1006:AT1006),$AD$1006:$AU$1006,0)))),"Fix")))</f>
        <v xml:space="preserve"> </v>
      </c>
      <c r="S697" s="4" t="str">
        <f ca="1">IF(OR(INDEX($X$2:$X$1001,MATCH(ROWS($W$2:W697),$W$2:$W$1001,0),1)&gt;=100000,INDEX($AD$1005:$AU$1005,1,MATCH(COLUMNS($AD$1006:AU1006),$AD$1006:$AU$1006,0))&gt;=100000), " ",IF(INDEX($AD$2:$AU$1001,MATCH(ROWS($W$2:W697),$W$2:$W$1001,0),MATCH(COLUMNS($AD$1006:AU1006),$AD$1006:$AU$1006,0)), HYPERLINK("#",""), HYPERLINK(CONCATENATE("#metadata!", ADDRESS(INDEX($Y$2:$Y$1001,MATCH(ROWS($W$2:W697),$W$2:$W$1001,0),0), INDEX($AD$1004:$AU$1004,1,MATCH(COLUMNS($AD$1006:AU1006),$AD$1006:$AU$1006,0)))),"Fix")))</f>
        <v xml:space="preserve"> </v>
      </c>
      <c r="W697">
        <v>696</v>
      </c>
      <c r="X697">
        <v>100697</v>
      </c>
      <c r="Y697">
        <v>697</v>
      </c>
      <c r="Z697" t="b">
        <f t="shared" si="10"/>
        <v>1</v>
      </c>
      <c r="AA697" t="b">
        <f>COUNTBLANK(metadata!B697:S697)=COLUMNS(metadata!B697:S697)</f>
        <v>1</v>
      </c>
      <c r="AB697" t="str">
        <v/>
      </c>
      <c r="AD697" t="b">
        <f ca="1">AND(IF(metadata!B697="",FALSE,TRUE),COUNTIF(metadata!B:B, metadata!B697) = 1,NOT(ISERROR(SUMPRODUCT(SEARCH(MID(metadata!B697,ROW(INDIRECT("1:"&amp;LEN(metadata!B697))), 1),"0123456789abcdefghijklmnopqrstuvwxyzABCDEFGHIJKLMNOPQRSTUVWXYZ.")))))</f>
        <v>0</v>
      </c>
      <c r="AE697" t="b">
        <f>OR(AND(IF(metadata!C697="",FALSE,TRUE),OR(EXACT(metadata!C697,"not applicable"),EXACT(metadata!C697,"missing: not collected"),EXACT(metadata!C697,"missing: not provided"),EXACT(metadata!C697,"missing: restricted access"))),AND(IF(metadata!C697="",FALSE,ISNUMBER(VALUE(metadata!C697))),metadata!C697&gt;0))</f>
        <v>0</v>
      </c>
      <c r="AF697" t="b">
        <f>AND(IF(metadata!D697="",FALSE,TRUE),EXACT(metadata!D697,"missing: not provided"))</f>
        <v>0</v>
      </c>
      <c r="AG697" t="b">
        <f>AND(IF(metadata!E697="",FALSE,TRUE),EXACT(metadata!E697,"Host-associated"))</f>
        <v>0</v>
      </c>
      <c r="AH697" t="b">
        <f>AND(IF(metadata!F697="",FALSE,TRUE),OR(EXACT(metadata!F697,"Animal"),EXACT(metadata!F697,"Fungus"),EXACT(metadata!F697,"Plant")))</f>
        <v>0</v>
      </c>
      <c r="AI697" t="b">
        <f>AND(IF(metadata!G697="",FALSE,TRUE),OR(EXACT(metadata!G697,"Plant secretion"),EXACT(metadata!G697,"Plant rhizosphere"),EXACT(metadata!G697,"Plant surface"),EXACT(metadata!G697,"Plant corpus"),EXACT(metadata!G697,"Fungus surface"),EXACT(metadata!G697,"Fungus corpus"),EXACT(metadata!G697,"Animal surface"),EXACT(metadata!G697,"Animal proximal gut"),EXACT(metadata!G697,"Animal corpus"),EXACT(metadata!G697,"Animal distal gut"),EXACT(metadata!G697,"Animal secretion")))</f>
        <v>0</v>
      </c>
      <c r="AJ697" t="b">
        <f>OR(AND(IF(metadata!H697="",FALSE,TRUE),OR(EXACT(metadata!H697,"missing: not collected"),EXACT(metadata!H697,"missing: not provided"),EXACT(metadata!H697,"missing: restricted access"))),AND(IF(metadata!H697="",FALSE,TRUE),OR(EXACT(metadata!H697,"organism-associated habitat"),EXACT(metadata!H697,"plant-associated habitat"),EXACT(metadata!H697,"animal-associated habitat"),EXACT(metadata!H697,"insecta-associated habitat"),EXACT(metadata!H697,"mammalia-associated habitat"),EXACT(metadata!H697,"human-associated habitat"),EXACT(metadata!H697,"livestock-associated habitat"))))</f>
        <v>0</v>
      </c>
      <c r="AK697" t="b">
        <f>AND(IF(metadata!I697="",FALSE,TRUE),EXACT(metadata!I697,"host-associated"))</f>
        <v>0</v>
      </c>
      <c r="AL697" t="b">
        <f>OR(AND(IF(metadata!J697="",FALSE,TRUE),OR(EXACT(metadata!J697,"not applicable"),EXACT(metadata!J697,"missing: not collected"),EXACT(metadata!J697,"missing: not provided"),EXACT(metadata!J697,"missing: restricted access"))),AND(IF(metadata!J697="",FALSE,ISNUMBER(VALUE(metadata!J697))),metadata!J697&gt;0))</f>
        <v>0</v>
      </c>
      <c r="AM697" t="b">
        <f>AND(IF(metadata!K697="",FALSE,TRUE),EXACT(metadata!K697,"missing: not provided"))</f>
        <v>0</v>
      </c>
      <c r="AN697" t="b">
        <f>IF(metadata!L697="",FALSE,TRUE)</f>
        <v>0</v>
      </c>
      <c r="AO697" t="b">
        <f>IF(metadata!M697="",FALSE,TRUE)</f>
        <v>0</v>
      </c>
      <c r="AP697" t="b">
        <f>OR(AND(IF(metadata!N697="",FALSE,TRUE),OR(EXACT(metadata!N697,"not applicable"),EXACT(metadata!N697,"missing: not collected"),EXACT(metadata!N697,"missing: not provided"))),AND(IF(metadata!N697="",FALSE,IF(ISERROR(INT(metadata!N697)),FALSE,INT(metadata!N697)=metadata!N697)),metadata!N697&gt;0))</f>
        <v>0</v>
      </c>
      <c r="AQ697" t="b">
        <f>AND(IF(metadata!O697="",FALSE,TRUE),EXACT(metadata!O697,"Not applicable"))</f>
        <v>0</v>
      </c>
      <c r="AR697" t="b">
        <f>OR(AND(IF(metadata!P697="",FALSE,TRUE),OR(EXACT(metadata!P697,"not applicable"),EXACT(metadata!P697,"missing: not collected"),EXACT(metadata!P697,"missing: not provided"),EXACT(metadata!P697,"missing: restricted access"))),IF(metadata!P697="",FALSE,IF(ISERROR(INT(metadata!P697)),FALSE,INT(metadata!P697)=metadata!P697)))</f>
        <v>0</v>
      </c>
      <c r="AS697" t="b">
        <f>AND(IF(metadata!Q697="",FALSE,TRUE),EXACT(metadata!Q697,"Not applicable"))</f>
        <v>0</v>
      </c>
      <c r="AT697" t="b">
        <f>OR(AND(IF(metadata!R697="",FALSE,TRUE),OR(EXACT(metadata!R697,"not applicable"),EXACT(metadata!R697,"missing: not collected"),EXACT(metadata!R697,"missing: not provided"),EXACT(metadata!R697,"missing: restricted access"))),AND(IF(metadata!R697="",FALSE,ISNUMBER(VALUE(metadata!R697))),metadata!R697&gt;0))</f>
        <v>0</v>
      </c>
      <c r="AU697" t="b">
        <f>AND(IF(metadata!S697="",FALSE,TRUE),EXACT(metadata!S697,"missing: not provided"))</f>
        <v>0</v>
      </c>
    </row>
    <row r="698" spans="1:47" x14ac:dyDescent="0.2">
      <c r="A698" s="5" t="str">
        <f ca="1">IF(B698=" "," ",HYPERLINK(CONCATENATE("#metadata!",ADDRESS(INDEX($Y$2:$Y$1001,MATCH(ROWS($W$2:W698),$W$2:$W$1001,0),0),1)),INDEX($AB$2:$AB$1001,MATCH(ROWS($W$2:W698),$W$2:$W$1001,0),0)))</f>
        <v xml:space="preserve"> </v>
      </c>
      <c r="B698" s="4" t="str">
        <f ca="1">IF(OR(INDEX($X$2:$X$1001,MATCH(ROWS($W$2:W698),$W$2:$W$1001,0),1)&gt;=100000,INDEX($AD$1005:$AU$1005,1,MATCH(COLUMNS($AD$1006:AD1006),$AD$1006:$AU$1006,0))&gt;=100000), " ",IF(INDEX($AD$2:$AU$1001,MATCH(ROWS($W$2:W698),$W$2:$W$1001,0),MATCH(COLUMNS($AD$1006:AD1006),$AD$1006:$AU$1006,0)), HYPERLINK("#",""), HYPERLINK(CONCATENATE("#metadata!", ADDRESS(INDEX($Y$2:$Y$1001,MATCH(ROWS($W$2:W698),$W$2:$W$1001,0),0), INDEX($AD$1004:$AU$1004,1,MATCH(COLUMNS($AD$1006:AD1006),$AD$1006:$AU$1006,0)))),"Fix")))</f>
        <v xml:space="preserve"> </v>
      </c>
      <c r="C698" s="4" t="str">
        <f ca="1">IF(OR(INDEX($X$2:$X$1001,MATCH(ROWS($W$2:W698),$W$2:$W$1001,0),1)&gt;=100000,INDEX($AD$1005:$AU$1005,1,MATCH(COLUMNS($AD$1006:AE1006),$AD$1006:$AU$1006,0))&gt;=100000), " ",IF(INDEX($AD$2:$AU$1001,MATCH(ROWS($W$2:W698),$W$2:$W$1001,0),MATCH(COLUMNS($AD$1006:AE1006),$AD$1006:$AU$1006,0)), HYPERLINK("#",""), HYPERLINK(CONCATENATE("#metadata!", ADDRESS(INDEX($Y$2:$Y$1001,MATCH(ROWS($W$2:W698),$W$2:$W$1001,0),0), INDEX($AD$1004:$AU$1004,1,MATCH(COLUMNS($AD$1006:AE1006),$AD$1006:$AU$1006,0)))),"Fix")))</f>
        <v xml:space="preserve"> </v>
      </c>
      <c r="D698" s="4" t="str">
        <f ca="1">IF(OR(INDEX($X$2:$X$1001,MATCH(ROWS($W$2:W698),$W$2:$W$1001,0),1)&gt;=100000,INDEX($AD$1005:$AU$1005,1,MATCH(COLUMNS($AD$1006:AF1006),$AD$1006:$AU$1006,0))&gt;=100000), " ",IF(INDEX($AD$2:$AU$1001,MATCH(ROWS($W$2:W698),$W$2:$W$1001,0),MATCH(COLUMNS($AD$1006:AF1006),$AD$1006:$AU$1006,0)), HYPERLINK("#",""), HYPERLINK(CONCATENATE("#metadata!", ADDRESS(INDEX($Y$2:$Y$1001,MATCH(ROWS($W$2:W698),$W$2:$W$1001,0),0), INDEX($AD$1004:$AU$1004,1,MATCH(COLUMNS($AD$1006:AF1006),$AD$1006:$AU$1006,0)))),"Fix")))</f>
        <v xml:space="preserve"> </v>
      </c>
      <c r="E698" s="4" t="str">
        <f ca="1">IF(OR(INDEX($X$2:$X$1001,MATCH(ROWS($W$2:W698),$W$2:$W$1001,0),1)&gt;=100000,INDEX($AD$1005:$AU$1005,1,MATCH(COLUMNS($AD$1006:AG1006),$AD$1006:$AU$1006,0))&gt;=100000), " ",IF(INDEX($AD$2:$AU$1001,MATCH(ROWS($W$2:W698),$W$2:$W$1001,0),MATCH(COLUMNS($AD$1006:AG1006),$AD$1006:$AU$1006,0)), HYPERLINK("#",""), HYPERLINK(CONCATENATE("#metadata!", ADDRESS(INDEX($Y$2:$Y$1001,MATCH(ROWS($W$2:W698),$W$2:$W$1001,0),0), INDEX($AD$1004:$AU$1004,1,MATCH(COLUMNS($AD$1006:AG1006),$AD$1006:$AU$1006,0)))),"Fix")))</f>
        <v xml:space="preserve"> </v>
      </c>
      <c r="F698" s="4" t="str">
        <f ca="1">IF(OR(INDEX($X$2:$X$1001,MATCH(ROWS($W$2:W698),$W$2:$W$1001,0),1)&gt;=100000,INDEX($AD$1005:$AU$1005,1,MATCH(COLUMNS($AD$1006:AH1006),$AD$1006:$AU$1006,0))&gt;=100000), " ",IF(INDEX($AD$2:$AU$1001,MATCH(ROWS($W$2:W698),$W$2:$W$1001,0),MATCH(COLUMNS($AD$1006:AH1006),$AD$1006:$AU$1006,0)), HYPERLINK("#",""), HYPERLINK(CONCATENATE("#metadata!", ADDRESS(INDEX($Y$2:$Y$1001,MATCH(ROWS($W$2:W698),$W$2:$W$1001,0),0), INDEX($AD$1004:$AU$1004,1,MATCH(COLUMNS($AD$1006:AH1006),$AD$1006:$AU$1006,0)))),"Fix")))</f>
        <v xml:space="preserve"> </v>
      </c>
      <c r="G698" s="4" t="str">
        <f ca="1">IF(OR(INDEX($X$2:$X$1001,MATCH(ROWS($W$2:W698),$W$2:$W$1001,0),1)&gt;=100000,INDEX($AD$1005:$AU$1005,1,MATCH(COLUMNS($AD$1006:AI1006),$AD$1006:$AU$1006,0))&gt;=100000), " ",IF(INDEX($AD$2:$AU$1001,MATCH(ROWS($W$2:W698),$W$2:$W$1001,0),MATCH(COLUMNS($AD$1006:AI1006),$AD$1006:$AU$1006,0)), HYPERLINK("#",""), HYPERLINK(CONCATENATE("#metadata!", ADDRESS(INDEX($Y$2:$Y$1001,MATCH(ROWS($W$2:W698),$W$2:$W$1001,0),0), INDEX($AD$1004:$AU$1004,1,MATCH(COLUMNS($AD$1006:AI1006),$AD$1006:$AU$1006,0)))),"Fix")))</f>
        <v xml:space="preserve"> </v>
      </c>
      <c r="H698" s="4" t="str">
        <f ca="1">IF(OR(INDEX($X$2:$X$1001,MATCH(ROWS($W$2:W698),$W$2:$W$1001,0),1)&gt;=100000,INDEX($AD$1005:$AU$1005,1,MATCH(COLUMNS($AD$1006:AJ1006),$AD$1006:$AU$1006,0))&gt;=100000), " ",IF(INDEX($AD$2:$AU$1001,MATCH(ROWS($W$2:W698),$W$2:$W$1001,0),MATCH(COLUMNS($AD$1006:AJ1006),$AD$1006:$AU$1006,0)), HYPERLINK("#",""), HYPERLINK(CONCATENATE("#metadata!", ADDRESS(INDEX($Y$2:$Y$1001,MATCH(ROWS($W$2:W698),$W$2:$W$1001,0),0), INDEX($AD$1004:$AU$1004,1,MATCH(COLUMNS($AD$1006:AJ1006),$AD$1006:$AU$1006,0)))),"Fix")))</f>
        <v xml:space="preserve"> </v>
      </c>
      <c r="I698" s="4" t="str">
        <f ca="1">IF(OR(INDEX($X$2:$X$1001,MATCH(ROWS($W$2:W698),$W$2:$W$1001,0),1)&gt;=100000,INDEX($AD$1005:$AU$1005,1,MATCH(COLUMNS($AD$1006:AK1006),$AD$1006:$AU$1006,0))&gt;=100000), " ",IF(INDEX($AD$2:$AU$1001,MATCH(ROWS($W$2:W698),$W$2:$W$1001,0),MATCH(COLUMNS($AD$1006:AK1006),$AD$1006:$AU$1006,0)), HYPERLINK("#",""), HYPERLINK(CONCATENATE("#metadata!", ADDRESS(INDEX($Y$2:$Y$1001,MATCH(ROWS($W$2:W698),$W$2:$W$1001,0),0), INDEX($AD$1004:$AU$1004,1,MATCH(COLUMNS($AD$1006:AK1006),$AD$1006:$AU$1006,0)))),"Fix")))</f>
        <v xml:space="preserve"> </v>
      </c>
      <c r="J698" s="4" t="str">
        <f ca="1">IF(OR(INDEX($X$2:$X$1001,MATCH(ROWS($W$2:W698),$W$2:$W$1001,0),1)&gt;=100000,INDEX($AD$1005:$AU$1005,1,MATCH(COLUMNS($AD$1006:AL1006),$AD$1006:$AU$1006,0))&gt;=100000), " ",IF(INDEX($AD$2:$AU$1001,MATCH(ROWS($W$2:W698),$W$2:$W$1001,0),MATCH(COLUMNS($AD$1006:AL1006),$AD$1006:$AU$1006,0)), HYPERLINK("#",""), HYPERLINK(CONCATENATE("#metadata!", ADDRESS(INDEX($Y$2:$Y$1001,MATCH(ROWS($W$2:W698),$W$2:$W$1001,0),0), INDEX($AD$1004:$AU$1004,1,MATCH(COLUMNS($AD$1006:AL1006),$AD$1006:$AU$1006,0)))),"Fix")))</f>
        <v xml:space="preserve"> </v>
      </c>
      <c r="K698" s="4" t="str">
        <f ca="1">IF(OR(INDEX($X$2:$X$1001,MATCH(ROWS($W$2:W698),$W$2:$W$1001,0),1)&gt;=100000,INDEX($AD$1005:$AU$1005,1,MATCH(COLUMNS($AD$1006:AM1006),$AD$1006:$AU$1006,0))&gt;=100000), " ",IF(INDEX($AD$2:$AU$1001,MATCH(ROWS($W$2:W698),$W$2:$W$1001,0),MATCH(COLUMNS($AD$1006:AM1006),$AD$1006:$AU$1006,0)), HYPERLINK("#",""), HYPERLINK(CONCATENATE("#metadata!", ADDRESS(INDEX($Y$2:$Y$1001,MATCH(ROWS($W$2:W698),$W$2:$W$1001,0),0), INDEX($AD$1004:$AU$1004,1,MATCH(COLUMNS($AD$1006:AM1006),$AD$1006:$AU$1006,0)))),"Fix")))</f>
        <v xml:space="preserve"> </v>
      </c>
      <c r="L698" s="4" t="str">
        <f ca="1">IF(OR(INDEX($X$2:$X$1001,MATCH(ROWS($W$2:W698),$W$2:$W$1001,0),1)&gt;=100000,INDEX($AD$1005:$AU$1005,1,MATCH(COLUMNS($AD$1006:AN1006),$AD$1006:$AU$1006,0))&gt;=100000), " ",IF(INDEX($AD$2:$AU$1001,MATCH(ROWS($W$2:W698),$W$2:$W$1001,0),MATCH(COLUMNS($AD$1006:AN1006),$AD$1006:$AU$1006,0)), HYPERLINK("#",""), HYPERLINK(CONCATENATE("#metadata!", ADDRESS(INDEX($Y$2:$Y$1001,MATCH(ROWS($W$2:W698),$W$2:$W$1001,0),0), INDEX($AD$1004:$AU$1004,1,MATCH(COLUMNS($AD$1006:AN1006),$AD$1006:$AU$1006,0)))),"Fix")))</f>
        <v xml:space="preserve"> </v>
      </c>
      <c r="M698" s="4" t="str">
        <f ca="1">IF(OR(INDEX($X$2:$X$1001,MATCH(ROWS($W$2:W698),$W$2:$W$1001,0),1)&gt;=100000,INDEX($AD$1005:$AU$1005,1,MATCH(COLUMNS($AD$1006:AO1006),$AD$1006:$AU$1006,0))&gt;=100000), " ",IF(INDEX($AD$2:$AU$1001,MATCH(ROWS($W$2:W698),$W$2:$W$1001,0),MATCH(COLUMNS($AD$1006:AO1006),$AD$1006:$AU$1006,0)), HYPERLINK("#",""), HYPERLINK(CONCATENATE("#metadata!", ADDRESS(INDEX($Y$2:$Y$1001,MATCH(ROWS($W$2:W698),$W$2:$W$1001,0),0), INDEX($AD$1004:$AU$1004,1,MATCH(COLUMNS($AD$1006:AO1006),$AD$1006:$AU$1006,0)))),"Fix")))</f>
        <v xml:space="preserve"> </v>
      </c>
      <c r="N698" s="4" t="str">
        <f ca="1">IF(OR(INDEX($X$2:$X$1001,MATCH(ROWS($W$2:W698),$W$2:$W$1001,0),1)&gt;=100000,INDEX($AD$1005:$AU$1005,1,MATCH(COLUMNS($AD$1006:AP1006),$AD$1006:$AU$1006,0))&gt;=100000), " ",IF(INDEX($AD$2:$AU$1001,MATCH(ROWS($W$2:W698),$W$2:$W$1001,0),MATCH(COLUMNS($AD$1006:AP1006),$AD$1006:$AU$1006,0)), HYPERLINK("#",""), HYPERLINK(CONCATENATE("#metadata!", ADDRESS(INDEX($Y$2:$Y$1001,MATCH(ROWS($W$2:W698),$W$2:$W$1001,0),0), INDEX($AD$1004:$AU$1004,1,MATCH(COLUMNS($AD$1006:AP1006),$AD$1006:$AU$1006,0)))),"Fix")))</f>
        <v xml:space="preserve"> </v>
      </c>
      <c r="O698" s="4" t="str">
        <f ca="1">IF(OR(INDEX($X$2:$X$1001,MATCH(ROWS($W$2:W698),$W$2:$W$1001,0),1)&gt;=100000,INDEX($AD$1005:$AU$1005,1,MATCH(COLUMNS($AD$1006:AQ1006),$AD$1006:$AU$1006,0))&gt;=100000), " ",IF(INDEX($AD$2:$AU$1001,MATCH(ROWS($W$2:W698),$W$2:$W$1001,0),MATCH(COLUMNS($AD$1006:AQ1006),$AD$1006:$AU$1006,0)), HYPERLINK("#",""), HYPERLINK(CONCATENATE("#metadata!", ADDRESS(INDEX($Y$2:$Y$1001,MATCH(ROWS($W$2:W698),$W$2:$W$1001,0),0), INDEX($AD$1004:$AU$1004,1,MATCH(COLUMNS($AD$1006:AQ1006),$AD$1006:$AU$1006,0)))),"Fix")))</f>
        <v xml:space="preserve"> </v>
      </c>
      <c r="P698" s="4" t="str">
        <f ca="1">IF(OR(INDEX($X$2:$X$1001,MATCH(ROWS($W$2:W698),$W$2:$W$1001,0),1)&gt;=100000,INDEX($AD$1005:$AU$1005,1,MATCH(COLUMNS($AD$1006:AR1006),$AD$1006:$AU$1006,0))&gt;=100000), " ",IF(INDEX($AD$2:$AU$1001,MATCH(ROWS($W$2:W698),$W$2:$W$1001,0),MATCH(COLUMNS($AD$1006:AR1006),$AD$1006:$AU$1006,0)), HYPERLINK("#",""), HYPERLINK(CONCATENATE("#metadata!", ADDRESS(INDEX($Y$2:$Y$1001,MATCH(ROWS($W$2:W698),$W$2:$W$1001,0),0), INDEX($AD$1004:$AU$1004,1,MATCH(COLUMNS($AD$1006:AR1006),$AD$1006:$AU$1006,0)))),"Fix")))</f>
        <v xml:space="preserve"> </v>
      </c>
      <c r="Q698" s="4" t="str">
        <f ca="1">IF(OR(INDEX($X$2:$X$1001,MATCH(ROWS($W$2:W698),$W$2:$W$1001,0),1)&gt;=100000,INDEX($AD$1005:$AU$1005,1,MATCH(COLUMNS($AD$1006:AS1006),$AD$1006:$AU$1006,0))&gt;=100000), " ",IF(INDEX($AD$2:$AU$1001,MATCH(ROWS($W$2:W698),$W$2:$W$1001,0),MATCH(COLUMNS($AD$1006:AS1006),$AD$1006:$AU$1006,0)), HYPERLINK("#",""), HYPERLINK(CONCATENATE("#metadata!", ADDRESS(INDEX($Y$2:$Y$1001,MATCH(ROWS($W$2:W698),$W$2:$W$1001,0),0), INDEX($AD$1004:$AU$1004,1,MATCH(COLUMNS($AD$1006:AS1006),$AD$1006:$AU$1006,0)))),"Fix")))</f>
        <v xml:space="preserve"> </v>
      </c>
      <c r="R698" s="4" t="str">
        <f ca="1">IF(OR(INDEX($X$2:$X$1001,MATCH(ROWS($W$2:W698),$W$2:$W$1001,0),1)&gt;=100000,INDEX($AD$1005:$AU$1005,1,MATCH(COLUMNS($AD$1006:AT1006),$AD$1006:$AU$1006,0))&gt;=100000), " ",IF(INDEX($AD$2:$AU$1001,MATCH(ROWS($W$2:W698),$W$2:$W$1001,0),MATCH(COLUMNS($AD$1006:AT1006),$AD$1006:$AU$1006,0)), HYPERLINK("#",""), HYPERLINK(CONCATENATE("#metadata!", ADDRESS(INDEX($Y$2:$Y$1001,MATCH(ROWS($W$2:W698),$W$2:$W$1001,0),0), INDEX($AD$1004:$AU$1004,1,MATCH(COLUMNS($AD$1006:AT1006),$AD$1006:$AU$1006,0)))),"Fix")))</f>
        <v xml:space="preserve"> </v>
      </c>
      <c r="S698" s="4" t="str">
        <f ca="1">IF(OR(INDEX($X$2:$X$1001,MATCH(ROWS($W$2:W698),$W$2:$W$1001,0),1)&gt;=100000,INDEX($AD$1005:$AU$1005,1,MATCH(COLUMNS($AD$1006:AU1006),$AD$1006:$AU$1006,0))&gt;=100000), " ",IF(INDEX($AD$2:$AU$1001,MATCH(ROWS($W$2:W698),$W$2:$W$1001,0),MATCH(COLUMNS($AD$1006:AU1006),$AD$1006:$AU$1006,0)), HYPERLINK("#",""), HYPERLINK(CONCATENATE("#metadata!", ADDRESS(INDEX($Y$2:$Y$1001,MATCH(ROWS($W$2:W698),$W$2:$W$1001,0),0), INDEX($AD$1004:$AU$1004,1,MATCH(COLUMNS($AD$1006:AU1006),$AD$1006:$AU$1006,0)))),"Fix")))</f>
        <v xml:space="preserve"> </v>
      </c>
      <c r="W698">
        <v>697</v>
      </c>
      <c r="X698">
        <v>100698</v>
      </c>
      <c r="Y698">
        <v>698</v>
      </c>
      <c r="Z698" t="b">
        <f t="shared" si="10"/>
        <v>1</v>
      </c>
      <c r="AA698" t="b">
        <f>COUNTBLANK(metadata!B698:S698)=COLUMNS(metadata!B698:S698)</f>
        <v>1</v>
      </c>
      <c r="AB698" t="str">
        <v/>
      </c>
      <c r="AD698" t="b">
        <f ca="1">AND(IF(metadata!B698="",FALSE,TRUE),COUNTIF(metadata!B:B, metadata!B698) = 1,NOT(ISERROR(SUMPRODUCT(SEARCH(MID(metadata!B698,ROW(INDIRECT("1:"&amp;LEN(metadata!B698))), 1),"0123456789abcdefghijklmnopqrstuvwxyzABCDEFGHIJKLMNOPQRSTUVWXYZ.")))))</f>
        <v>0</v>
      </c>
      <c r="AE698" t="b">
        <f>OR(AND(IF(metadata!C698="",FALSE,TRUE),OR(EXACT(metadata!C698,"not applicable"),EXACT(metadata!C698,"missing: not collected"),EXACT(metadata!C698,"missing: not provided"),EXACT(metadata!C698,"missing: restricted access"))),AND(IF(metadata!C698="",FALSE,ISNUMBER(VALUE(metadata!C698))),metadata!C698&gt;0))</f>
        <v>0</v>
      </c>
      <c r="AF698" t="b">
        <f>AND(IF(metadata!D698="",FALSE,TRUE),EXACT(metadata!D698,"missing: not provided"))</f>
        <v>0</v>
      </c>
      <c r="AG698" t="b">
        <f>AND(IF(metadata!E698="",FALSE,TRUE),EXACT(metadata!E698,"Host-associated"))</f>
        <v>0</v>
      </c>
      <c r="AH698" t="b">
        <f>AND(IF(metadata!F698="",FALSE,TRUE),OR(EXACT(metadata!F698,"Animal"),EXACT(metadata!F698,"Fungus"),EXACT(metadata!F698,"Plant")))</f>
        <v>0</v>
      </c>
      <c r="AI698" t="b">
        <f>AND(IF(metadata!G698="",FALSE,TRUE),OR(EXACT(metadata!G698,"Plant secretion"),EXACT(metadata!G698,"Plant rhizosphere"),EXACT(metadata!G698,"Plant surface"),EXACT(metadata!G698,"Plant corpus"),EXACT(metadata!G698,"Fungus surface"),EXACT(metadata!G698,"Fungus corpus"),EXACT(metadata!G698,"Animal surface"),EXACT(metadata!G698,"Animal proximal gut"),EXACT(metadata!G698,"Animal corpus"),EXACT(metadata!G698,"Animal distal gut"),EXACT(metadata!G698,"Animal secretion")))</f>
        <v>0</v>
      </c>
      <c r="AJ698" t="b">
        <f>OR(AND(IF(metadata!H698="",FALSE,TRUE),OR(EXACT(metadata!H698,"missing: not collected"),EXACT(metadata!H698,"missing: not provided"),EXACT(metadata!H698,"missing: restricted access"))),AND(IF(metadata!H698="",FALSE,TRUE),OR(EXACT(metadata!H698,"organism-associated habitat"),EXACT(metadata!H698,"plant-associated habitat"),EXACT(metadata!H698,"animal-associated habitat"),EXACT(metadata!H698,"insecta-associated habitat"),EXACT(metadata!H698,"mammalia-associated habitat"),EXACT(metadata!H698,"human-associated habitat"),EXACT(metadata!H698,"livestock-associated habitat"))))</f>
        <v>0</v>
      </c>
      <c r="AK698" t="b">
        <f>AND(IF(metadata!I698="",FALSE,TRUE),EXACT(metadata!I698,"host-associated"))</f>
        <v>0</v>
      </c>
      <c r="AL698" t="b">
        <f>OR(AND(IF(metadata!J698="",FALSE,TRUE),OR(EXACT(metadata!J698,"not applicable"),EXACT(metadata!J698,"missing: not collected"),EXACT(metadata!J698,"missing: not provided"),EXACT(metadata!J698,"missing: restricted access"))),AND(IF(metadata!J698="",FALSE,ISNUMBER(VALUE(metadata!J698))),metadata!J698&gt;0))</f>
        <v>0</v>
      </c>
      <c r="AM698" t="b">
        <f>AND(IF(metadata!K698="",FALSE,TRUE),EXACT(metadata!K698,"missing: not provided"))</f>
        <v>0</v>
      </c>
      <c r="AN698" t="b">
        <f>IF(metadata!L698="",FALSE,TRUE)</f>
        <v>0</v>
      </c>
      <c r="AO698" t="b">
        <f>IF(metadata!M698="",FALSE,TRUE)</f>
        <v>0</v>
      </c>
      <c r="AP698" t="b">
        <f>OR(AND(IF(metadata!N698="",FALSE,TRUE),OR(EXACT(metadata!N698,"not applicable"),EXACT(metadata!N698,"missing: not collected"),EXACT(metadata!N698,"missing: not provided"))),AND(IF(metadata!N698="",FALSE,IF(ISERROR(INT(metadata!N698)),FALSE,INT(metadata!N698)=metadata!N698)),metadata!N698&gt;0))</f>
        <v>0</v>
      </c>
      <c r="AQ698" t="b">
        <f>AND(IF(metadata!O698="",FALSE,TRUE),EXACT(metadata!O698,"Not applicable"))</f>
        <v>0</v>
      </c>
      <c r="AR698" t="b">
        <f>OR(AND(IF(metadata!P698="",FALSE,TRUE),OR(EXACT(metadata!P698,"not applicable"),EXACT(metadata!P698,"missing: not collected"),EXACT(metadata!P698,"missing: not provided"),EXACT(metadata!P698,"missing: restricted access"))),IF(metadata!P698="",FALSE,IF(ISERROR(INT(metadata!P698)),FALSE,INT(metadata!P698)=metadata!P698)))</f>
        <v>0</v>
      </c>
      <c r="AS698" t="b">
        <f>AND(IF(metadata!Q698="",FALSE,TRUE),EXACT(metadata!Q698,"Not applicable"))</f>
        <v>0</v>
      </c>
      <c r="AT698" t="b">
        <f>OR(AND(IF(metadata!R698="",FALSE,TRUE),OR(EXACT(metadata!R698,"not applicable"),EXACT(metadata!R698,"missing: not collected"),EXACT(metadata!R698,"missing: not provided"),EXACT(metadata!R698,"missing: restricted access"))),AND(IF(metadata!R698="",FALSE,ISNUMBER(VALUE(metadata!R698))),metadata!R698&gt;0))</f>
        <v>0</v>
      </c>
      <c r="AU698" t="b">
        <f>AND(IF(metadata!S698="",FALSE,TRUE),EXACT(metadata!S698,"missing: not provided"))</f>
        <v>0</v>
      </c>
    </row>
    <row r="699" spans="1:47" x14ac:dyDescent="0.2">
      <c r="A699" s="5" t="str">
        <f ca="1">IF(B699=" "," ",HYPERLINK(CONCATENATE("#metadata!",ADDRESS(INDEX($Y$2:$Y$1001,MATCH(ROWS($W$2:W699),$W$2:$W$1001,0),0),1)),INDEX($AB$2:$AB$1001,MATCH(ROWS($W$2:W699),$W$2:$W$1001,0),0)))</f>
        <v xml:space="preserve"> </v>
      </c>
      <c r="B699" s="4" t="str">
        <f ca="1">IF(OR(INDEX($X$2:$X$1001,MATCH(ROWS($W$2:W699),$W$2:$W$1001,0),1)&gt;=100000,INDEX($AD$1005:$AU$1005,1,MATCH(COLUMNS($AD$1006:AD1006),$AD$1006:$AU$1006,0))&gt;=100000), " ",IF(INDEX($AD$2:$AU$1001,MATCH(ROWS($W$2:W699),$W$2:$W$1001,0),MATCH(COLUMNS($AD$1006:AD1006),$AD$1006:$AU$1006,0)), HYPERLINK("#",""), HYPERLINK(CONCATENATE("#metadata!", ADDRESS(INDEX($Y$2:$Y$1001,MATCH(ROWS($W$2:W699),$W$2:$W$1001,0),0), INDEX($AD$1004:$AU$1004,1,MATCH(COLUMNS($AD$1006:AD1006),$AD$1006:$AU$1006,0)))),"Fix")))</f>
        <v xml:space="preserve"> </v>
      </c>
      <c r="C699" s="4" t="str">
        <f ca="1">IF(OR(INDEX($X$2:$X$1001,MATCH(ROWS($W$2:W699),$W$2:$W$1001,0),1)&gt;=100000,INDEX($AD$1005:$AU$1005,1,MATCH(COLUMNS($AD$1006:AE1006),$AD$1006:$AU$1006,0))&gt;=100000), " ",IF(INDEX($AD$2:$AU$1001,MATCH(ROWS($W$2:W699),$W$2:$W$1001,0),MATCH(COLUMNS($AD$1006:AE1006),$AD$1006:$AU$1006,0)), HYPERLINK("#",""), HYPERLINK(CONCATENATE("#metadata!", ADDRESS(INDEX($Y$2:$Y$1001,MATCH(ROWS($W$2:W699),$W$2:$W$1001,0),0), INDEX($AD$1004:$AU$1004,1,MATCH(COLUMNS($AD$1006:AE1006),$AD$1006:$AU$1006,0)))),"Fix")))</f>
        <v xml:space="preserve"> </v>
      </c>
      <c r="D699" s="4" t="str">
        <f ca="1">IF(OR(INDEX($X$2:$X$1001,MATCH(ROWS($W$2:W699),$W$2:$W$1001,0),1)&gt;=100000,INDEX($AD$1005:$AU$1005,1,MATCH(COLUMNS($AD$1006:AF1006),$AD$1006:$AU$1006,0))&gt;=100000), " ",IF(INDEX($AD$2:$AU$1001,MATCH(ROWS($W$2:W699),$W$2:$W$1001,0),MATCH(COLUMNS($AD$1006:AF1006),$AD$1006:$AU$1006,0)), HYPERLINK("#",""), HYPERLINK(CONCATENATE("#metadata!", ADDRESS(INDEX($Y$2:$Y$1001,MATCH(ROWS($W$2:W699),$W$2:$W$1001,0),0), INDEX($AD$1004:$AU$1004,1,MATCH(COLUMNS($AD$1006:AF1006),$AD$1006:$AU$1006,0)))),"Fix")))</f>
        <v xml:space="preserve"> </v>
      </c>
      <c r="E699" s="4" t="str">
        <f ca="1">IF(OR(INDEX($X$2:$X$1001,MATCH(ROWS($W$2:W699),$W$2:$W$1001,0),1)&gt;=100000,INDEX($AD$1005:$AU$1005,1,MATCH(COLUMNS($AD$1006:AG1006),$AD$1006:$AU$1006,0))&gt;=100000), " ",IF(INDEX($AD$2:$AU$1001,MATCH(ROWS($W$2:W699),$W$2:$W$1001,0),MATCH(COLUMNS($AD$1006:AG1006),$AD$1006:$AU$1006,0)), HYPERLINK("#",""), HYPERLINK(CONCATENATE("#metadata!", ADDRESS(INDEX($Y$2:$Y$1001,MATCH(ROWS($W$2:W699),$W$2:$W$1001,0),0), INDEX($AD$1004:$AU$1004,1,MATCH(COLUMNS($AD$1006:AG1006),$AD$1006:$AU$1006,0)))),"Fix")))</f>
        <v xml:space="preserve"> </v>
      </c>
      <c r="F699" s="4" t="str">
        <f ca="1">IF(OR(INDEX($X$2:$X$1001,MATCH(ROWS($W$2:W699),$W$2:$W$1001,0),1)&gt;=100000,INDEX($AD$1005:$AU$1005,1,MATCH(COLUMNS($AD$1006:AH1006),$AD$1006:$AU$1006,0))&gt;=100000), " ",IF(INDEX($AD$2:$AU$1001,MATCH(ROWS($W$2:W699),$W$2:$W$1001,0),MATCH(COLUMNS($AD$1006:AH1006),$AD$1006:$AU$1006,0)), HYPERLINK("#",""), HYPERLINK(CONCATENATE("#metadata!", ADDRESS(INDEX($Y$2:$Y$1001,MATCH(ROWS($W$2:W699),$W$2:$W$1001,0),0), INDEX($AD$1004:$AU$1004,1,MATCH(COLUMNS($AD$1006:AH1006),$AD$1006:$AU$1006,0)))),"Fix")))</f>
        <v xml:space="preserve"> </v>
      </c>
      <c r="G699" s="4" t="str">
        <f ca="1">IF(OR(INDEX($X$2:$X$1001,MATCH(ROWS($W$2:W699),$W$2:$W$1001,0),1)&gt;=100000,INDEX($AD$1005:$AU$1005,1,MATCH(COLUMNS($AD$1006:AI1006),$AD$1006:$AU$1006,0))&gt;=100000), " ",IF(INDEX($AD$2:$AU$1001,MATCH(ROWS($W$2:W699),$W$2:$W$1001,0),MATCH(COLUMNS($AD$1006:AI1006),$AD$1006:$AU$1006,0)), HYPERLINK("#",""), HYPERLINK(CONCATENATE("#metadata!", ADDRESS(INDEX($Y$2:$Y$1001,MATCH(ROWS($W$2:W699),$W$2:$W$1001,0),0), INDEX($AD$1004:$AU$1004,1,MATCH(COLUMNS($AD$1006:AI1006),$AD$1006:$AU$1006,0)))),"Fix")))</f>
        <v xml:space="preserve"> </v>
      </c>
      <c r="H699" s="4" t="str">
        <f ca="1">IF(OR(INDEX($X$2:$X$1001,MATCH(ROWS($W$2:W699),$W$2:$W$1001,0),1)&gt;=100000,INDEX($AD$1005:$AU$1005,1,MATCH(COLUMNS($AD$1006:AJ1006),$AD$1006:$AU$1006,0))&gt;=100000), " ",IF(INDEX($AD$2:$AU$1001,MATCH(ROWS($W$2:W699),$W$2:$W$1001,0),MATCH(COLUMNS($AD$1006:AJ1006),$AD$1006:$AU$1006,0)), HYPERLINK("#",""), HYPERLINK(CONCATENATE("#metadata!", ADDRESS(INDEX($Y$2:$Y$1001,MATCH(ROWS($W$2:W699),$W$2:$W$1001,0),0), INDEX($AD$1004:$AU$1004,1,MATCH(COLUMNS($AD$1006:AJ1006),$AD$1006:$AU$1006,0)))),"Fix")))</f>
        <v xml:space="preserve"> </v>
      </c>
      <c r="I699" s="4" t="str">
        <f ca="1">IF(OR(INDEX($X$2:$X$1001,MATCH(ROWS($W$2:W699),$W$2:$W$1001,0),1)&gt;=100000,INDEX($AD$1005:$AU$1005,1,MATCH(COLUMNS($AD$1006:AK1006),$AD$1006:$AU$1006,0))&gt;=100000), " ",IF(INDEX($AD$2:$AU$1001,MATCH(ROWS($W$2:W699),$W$2:$W$1001,0),MATCH(COLUMNS($AD$1006:AK1006),$AD$1006:$AU$1006,0)), HYPERLINK("#",""), HYPERLINK(CONCATENATE("#metadata!", ADDRESS(INDEX($Y$2:$Y$1001,MATCH(ROWS($W$2:W699),$W$2:$W$1001,0),0), INDEX($AD$1004:$AU$1004,1,MATCH(COLUMNS($AD$1006:AK1006),$AD$1006:$AU$1006,0)))),"Fix")))</f>
        <v xml:space="preserve"> </v>
      </c>
      <c r="J699" s="4" t="str">
        <f ca="1">IF(OR(INDEX($X$2:$X$1001,MATCH(ROWS($W$2:W699),$W$2:$W$1001,0),1)&gt;=100000,INDEX($AD$1005:$AU$1005,1,MATCH(COLUMNS($AD$1006:AL1006),$AD$1006:$AU$1006,0))&gt;=100000), " ",IF(INDEX($AD$2:$AU$1001,MATCH(ROWS($W$2:W699),$W$2:$W$1001,0),MATCH(COLUMNS($AD$1006:AL1006),$AD$1006:$AU$1006,0)), HYPERLINK("#",""), HYPERLINK(CONCATENATE("#metadata!", ADDRESS(INDEX($Y$2:$Y$1001,MATCH(ROWS($W$2:W699),$W$2:$W$1001,0),0), INDEX($AD$1004:$AU$1004,1,MATCH(COLUMNS($AD$1006:AL1006),$AD$1006:$AU$1006,0)))),"Fix")))</f>
        <v xml:space="preserve"> </v>
      </c>
      <c r="K699" s="4" t="str">
        <f ca="1">IF(OR(INDEX($X$2:$X$1001,MATCH(ROWS($W$2:W699),$W$2:$W$1001,0),1)&gt;=100000,INDEX($AD$1005:$AU$1005,1,MATCH(COLUMNS($AD$1006:AM1006),$AD$1006:$AU$1006,0))&gt;=100000), " ",IF(INDEX($AD$2:$AU$1001,MATCH(ROWS($W$2:W699),$W$2:$W$1001,0),MATCH(COLUMNS($AD$1006:AM1006),$AD$1006:$AU$1006,0)), HYPERLINK("#",""), HYPERLINK(CONCATENATE("#metadata!", ADDRESS(INDEX($Y$2:$Y$1001,MATCH(ROWS($W$2:W699),$W$2:$W$1001,0),0), INDEX($AD$1004:$AU$1004,1,MATCH(COLUMNS($AD$1006:AM1006),$AD$1006:$AU$1006,0)))),"Fix")))</f>
        <v xml:space="preserve"> </v>
      </c>
      <c r="L699" s="4" t="str">
        <f ca="1">IF(OR(INDEX($X$2:$X$1001,MATCH(ROWS($W$2:W699),$W$2:$W$1001,0),1)&gt;=100000,INDEX($AD$1005:$AU$1005,1,MATCH(COLUMNS($AD$1006:AN1006),$AD$1006:$AU$1006,0))&gt;=100000), " ",IF(INDEX($AD$2:$AU$1001,MATCH(ROWS($W$2:W699),$W$2:$W$1001,0),MATCH(COLUMNS($AD$1006:AN1006),$AD$1006:$AU$1006,0)), HYPERLINK("#",""), HYPERLINK(CONCATENATE("#metadata!", ADDRESS(INDEX($Y$2:$Y$1001,MATCH(ROWS($W$2:W699),$W$2:$W$1001,0),0), INDEX($AD$1004:$AU$1004,1,MATCH(COLUMNS($AD$1006:AN1006),$AD$1006:$AU$1006,0)))),"Fix")))</f>
        <v xml:space="preserve"> </v>
      </c>
      <c r="M699" s="4" t="str">
        <f ca="1">IF(OR(INDEX($X$2:$X$1001,MATCH(ROWS($W$2:W699),$W$2:$W$1001,0),1)&gt;=100000,INDEX($AD$1005:$AU$1005,1,MATCH(COLUMNS($AD$1006:AO1006),$AD$1006:$AU$1006,0))&gt;=100000), " ",IF(INDEX($AD$2:$AU$1001,MATCH(ROWS($W$2:W699),$W$2:$W$1001,0),MATCH(COLUMNS($AD$1006:AO1006),$AD$1006:$AU$1006,0)), HYPERLINK("#",""), HYPERLINK(CONCATENATE("#metadata!", ADDRESS(INDEX($Y$2:$Y$1001,MATCH(ROWS($W$2:W699),$W$2:$W$1001,0),0), INDEX($AD$1004:$AU$1004,1,MATCH(COLUMNS($AD$1006:AO1006),$AD$1006:$AU$1006,0)))),"Fix")))</f>
        <v xml:space="preserve"> </v>
      </c>
      <c r="N699" s="4" t="str">
        <f ca="1">IF(OR(INDEX($X$2:$X$1001,MATCH(ROWS($W$2:W699),$W$2:$W$1001,0),1)&gt;=100000,INDEX($AD$1005:$AU$1005,1,MATCH(COLUMNS($AD$1006:AP1006),$AD$1006:$AU$1006,0))&gt;=100000), " ",IF(INDEX($AD$2:$AU$1001,MATCH(ROWS($W$2:W699),$W$2:$W$1001,0),MATCH(COLUMNS($AD$1006:AP1006),$AD$1006:$AU$1006,0)), HYPERLINK("#",""), HYPERLINK(CONCATENATE("#metadata!", ADDRESS(INDEX($Y$2:$Y$1001,MATCH(ROWS($W$2:W699),$W$2:$W$1001,0),0), INDEX($AD$1004:$AU$1004,1,MATCH(COLUMNS($AD$1006:AP1006),$AD$1006:$AU$1006,0)))),"Fix")))</f>
        <v xml:space="preserve"> </v>
      </c>
      <c r="O699" s="4" t="str">
        <f ca="1">IF(OR(INDEX($X$2:$X$1001,MATCH(ROWS($W$2:W699),$W$2:$W$1001,0),1)&gt;=100000,INDEX($AD$1005:$AU$1005,1,MATCH(COLUMNS($AD$1006:AQ1006),$AD$1006:$AU$1006,0))&gt;=100000), " ",IF(INDEX($AD$2:$AU$1001,MATCH(ROWS($W$2:W699),$W$2:$W$1001,0),MATCH(COLUMNS($AD$1006:AQ1006),$AD$1006:$AU$1006,0)), HYPERLINK("#",""), HYPERLINK(CONCATENATE("#metadata!", ADDRESS(INDEX($Y$2:$Y$1001,MATCH(ROWS($W$2:W699),$W$2:$W$1001,0),0), INDEX($AD$1004:$AU$1004,1,MATCH(COLUMNS($AD$1006:AQ1006),$AD$1006:$AU$1006,0)))),"Fix")))</f>
        <v xml:space="preserve"> </v>
      </c>
      <c r="P699" s="4" t="str">
        <f ca="1">IF(OR(INDEX($X$2:$X$1001,MATCH(ROWS($W$2:W699),$W$2:$W$1001,0),1)&gt;=100000,INDEX($AD$1005:$AU$1005,1,MATCH(COLUMNS($AD$1006:AR1006),$AD$1006:$AU$1006,0))&gt;=100000), " ",IF(INDEX($AD$2:$AU$1001,MATCH(ROWS($W$2:W699),$W$2:$W$1001,0),MATCH(COLUMNS($AD$1006:AR1006),$AD$1006:$AU$1006,0)), HYPERLINK("#",""), HYPERLINK(CONCATENATE("#metadata!", ADDRESS(INDEX($Y$2:$Y$1001,MATCH(ROWS($W$2:W699),$W$2:$W$1001,0),0), INDEX($AD$1004:$AU$1004,1,MATCH(COLUMNS($AD$1006:AR1006),$AD$1006:$AU$1006,0)))),"Fix")))</f>
        <v xml:space="preserve"> </v>
      </c>
      <c r="Q699" s="4" t="str">
        <f ca="1">IF(OR(INDEX($X$2:$X$1001,MATCH(ROWS($W$2:W699),$W$2:$W$1001,0),1)&gt;=100000,INDEX($AD$1005:$AU$1005,1,MATCH(COLUMNS($AD$1006:AS1006),$AD$1006:$AU$1006,0))&gt;=100000), " ",IF(INDEX($AD$2:$AU$1001,MATCH(ROWS($W$2:W699),$W$2:$W$1001,0),MATCH(COLUMNS($AD$1006:AS1006),$AD$1006:$AU$1006,0)), HYPERLINK("#",""), HYPERLINK(CONCATENATE("#metadata!", ADDRESS(INDEX($Y$2:$Y$1001,MATCH(ROWS($W$2:W699),$W$2:$W$1001,0),0), INDEX($AD$1004:$AU$1004,1,MATCH(COLUMNS($AD$1006:AS1006),$AD$1006:$AU$1006,0)))),"Fix")))</f>
        <v xml:space="preserve"> </v>
      </c>
      <c r="R699" s="4" t="str">
        <f ca="1">IF(OR(INDEX($X$2:$X$1001,MATCH(ROWS($W$2:W699),$W$2:$W$1001,0),1)&gt;=100000,INDEX($AD$1005:$AU$1005,1,MATCH(COLUMNS($AD$1006:AT1006),$AD$1006:$AU$1006,0))&gt;=100000), " ",IF(INDEX($AD$2:$AU$1001,MATCH(ROWS($W$2:W699),$W$2:$W$1001,0),MATCH(COLUMNS($AD$1006:AT1006),$AD$1006:$AU$1006,0)), HYPERLINK("#",""), HYPERLINK(CONCATENATE("#metadata!", ADDRESS(INDEX($Y$2:$Y$1001,MATCH(ROWS($W$2:W699),$W$2:$W$1001,0),0), INDEX($AD$1004:$AU$1004,1,MATCH(COLUMNS($AD$1006:AT1006),$AD$1006:$AU$1006,0)))),"Fix")))</f>
        <v xml:space="preserve"> </v>
      </c>
      <c r="S699" s="4" t="str">
        <f ca="1">IF(OR(INDEX($X$2:$X$1001,MATCH(ROWS($W$2:W699),$W$2:$W$1001,0),1)&gt;=100000,INDEX($AD$1005:$AU$1005,1,MATCH(COLUMNS($AD$1006:AU1006),$AD$1006:$AU$1006,0))&gt;=100000), " ",IF(INDEX($AD$2:$AU$1001,MATCH(ROWS($W$2:W699),$W$2:$W$1001,0),MATCH(COLUMNS($AD$1006:AU1006),$AD$1006:$AU$1006,0)), HYPERLINK("#",""), HYPERLINK(CONCATENATE("#metadata!", ADDRESS(INDEX($Y$2:$Y$1001,MATCH(ROWS($W$2:W699),$W$2:$W$1001,0),0), INDEX($AD$1004:$AU$1004,1,MATCH(COLUMNS($AD$1006:AU1006),$AD$1006:$AU$1006,0)))),"Fix")))</f>
        <v xml:space="preserve"> </v>
      </c>
      <c r="W699">
        <v>698</v>
      </c>
      <c r="X699">
        <v>100699</v>
      </c>
      <c r="Y699">
        <v>699</v>
      </c>
      <c r="Z699" t="b">
        <f t="shared" si="10"/>
        <v>1</v>
      </c>
      <c r="AA699" t="b">
        <f>COUNTBLANK(metadata!B699:S699)=COLUMNS(metadata!B699:S699)</f>
        <v>1</v>
      </c>
      <c r="AB699" t="str">
        <v/>
      </c>
      <c r="AD699" t="b">
        <f ca="1">AND(IF(metadata!B699="",FALSE,TRUE),COUNTIF(metadata!B:B, metadata!B699) = 1,NOT(ISERROR(SUMPRODUCT(SEARCH(MID(metadata!B699,ROW(INDIRECT("1:"&amp;LEN(metadata!B699))), 1),"0123456789abcdefghijklmnopqrstuvwxyzABCDEFGHIJKLMNOPQRSTUVWXYZ.")))))</f>
        <v>0</v>
      </c>
      <c r="AE699" t="b">
        <f>OR(AND(IF(metadata!C699="",FALSE,TRUE),OR(EXACT(metadata!C699,"not applicable"),EXACT(metadata!C699,"missing: not collected"),EXACT(metadata!C699,"missing: not provided"),EXACT(metadata!C699,"missing: restricted access"))),AND(IF(metadata!C699="",FALSE,ISNUMBER(VALUE(metadata!C699))),metadata!C699&gt;0))</f>
        <v>0</v>
      </c>
      <c r="AF699" t="b">
        <f>AND(IF(metadata!D699="",FALSE,TRUE),EXACT(metadata!D699,"missing: not provided"))</f>
        <v>0</v>
      </c>
      <c r="AG699" t="b">
        <f>AND(IF(metadata!E699="",FALSE,TRUE),EXACT(metadata!E699,"Host-associated"))</f>
        <v>0</v>
      </c>
      <c r="AH699" t="b">
        <f>AND(IF(metadata!F699="",FALSE,TRUE),OR(EXACT(metadata!F699,"Animal"),EXACT(metadata!F699,"Fungus"),EXACT(metadata!F699,"Plant")))</f>
        <v>0</v>
      </c>
      <c r="AI699" t="b">
        <f>AND(IF(metadata!G699="",FALSE,TRUE),OR(EXACT(metadata!G699,"Plant secretion"),EXACT(metadata!G699,"Plant rhizosphere"),EXACT(metadata!G699,"Plant surface"),EXACT(metadata!G699,"Plant corpus"),EXACT(metadata!G699,"Fungus surface"),EXACT(metadata!G699,"Fungus corpus"),EXACT(metadata!G699,"Animal surface"),EXACT(metadata!G699,"Animal proximal gut"),EXACT(metadata!G699,"Animal corpus"),EXACT(metadata!G699,"Animal distal gut"),EXACT(metadata!G699,"Animal secretion")))</f>
        <v>0</v>
      </c>
      <c r="AJ699" t="b">
        <f>OR(AND(IF(metadata!H699="",FALSE,TRUE),OR(EXACT(metadata!H699,"missing: not collected"),EXACT(metadata!H699,"missing: not provided"),EXACT(metadata!H699,"missing: restricted access"))),AND(IF(metadata!H699="",FALSE,TRUE),OR(EXACT(metadata!H699,"organism-associated habitat"),EXACT(metadata!H699,"plant-associated habitat"),EXACT(metadata!H699,"animal-associated habitat"),EXACT(metadata!H699,"insecta-associated habitat"),EXACT(metadata!H699,"mammalia-associated habitat"),EXACT(metadata!H699,"human-associated habitat"),EXACT(metadata!H699,"livestock-associated habitat"))))</f>
        <v>0</v>
      </c>
      <c r="AK699" t="b">
        <f>AND(IF(metadata!I699="",FALSE,TRUE),EXACT(metadata!I699,"host-associated"))</f>
        <v>0</v>
      </c>
      <c r="AL699" t="b">
        <f>OR(AND(IF(metadata!J699="",FALSE,TRUE),OR(EXACT(metadata!J699,"not applicable"),EXACT(metadata!J699,"missing: not collected"),EXACT(metadata!J699,"missing: not provided"),EXACT(metadata!J699,"missing: restricted access"))),AND(IF(metadata!J699="",FALSE,ISNUMBER(VALUE(metadata!J699))),metadata!J699&gt;0))</f>
        <v>0</v>
      </c>
      <c r="AM699" t="b">
        <f>AND(IF(metadata!K699="",FALSE,TRUE),EXACT(metadata!K699,"missing: not provided"))</f>
        <v>0</v>
      </c>
      <c r="AN699" t="b">
        <f>IF(metadata!L699="",FALSE,TRUE)</f>
        <v>0</v>
      </c>
      <c r="AO699" t="b">
        <f>IF(metadata!M699="",FALSE,TRUE)</f>
        <v>0</v>
      </c>
      <c r="AP699" t="b">
        <f>OR(AND(IF(metadata!N699="",FALSE,TRUE),OR(EXACT(metadata!N699,"not applicable"),EXACT(metadata!N699,"missing: not collected"),EXACT(metadata!N699,"missing: not provided"))),AND(IF(metadata!N699="",FALSE,IF(ISERROR(INT(metadata!N699)),FALSE,INT(metadata!N699)=metadata!N699)),metadata!N699&gt;0))</f>
        <v>0</v>
      </c>
      <c r="AQ699" t="b">
        <f>AND(IF(metadata!O699="",FALSE,TRUE),EXACT(metadata!O699,"Not applicable"))</f>
        <v>0</v>
      </c>
      <c r="AR699" t="b">
        <f>OR(AND(IF(metadata!P699="",FALSE,TRUE),OR(EXACT(metadata!P699,"not applicable"),EXACT(metadata!P699,"missing: not collected"),EXACT(metadata!P699,"missing: not provided"),EXACT(metadata!P699,"missing: restricted access"))),IF(metadata!P699="",FALSE,IF(ISERROR(INT(metadata!P699)),FALSE,INT(metadata!P699)=metadata!P699)))</f>
        <v>0</v>
      </c>
      <c r="AS699" t="b">
        <f>AND(IF(metadata!Q699="",FALSE,TRUE),EXACT(metadata!Q699,"Not applicable"))</f>
        <v>0</v>
      </c>
      <c r="AT699" t="b">
        <f>OR(AND(IF(metadata!R699="",FALSE,TRUE),OR(EXACT(metadata!R699,"not applicable"),EXACT(metadata!R699,"missing: not collected"),EXACT(metadata!R699,"missing: not provided"),EXACT(metadata!R699,"missing: restricted access"))),AND(IF(metadata!R699="",FALSE,ISNUMBER(VALUE(metadata!R699))),metadata!R699&gt;0))</f>
        <v>0</v>
      </c>
      <c r="AU699" t="b">
        <f>AND(IF(metadata!S699="",FALSE,TRUE),EXACT(metadata!S699,"missing: not provided"))</f>
        <v>0</v>
      </c>
    </row>
    <row r="700" spans="1:47" x14ac:dyDescent="0.2">
      <c r="A700" s="5" t="str">
        <f ca="1">IF(B700=" "," ",HYPERLINK(CONCATENATE("#metadata!",ADDRESS(INDEX($Y$2:$Y$1001,MATCH(ROWS($W$2:W700),$W$2:$W$1001,0),0),1)),INDEX($AB$2:$AB$1001,MATCH(ROWS($W$2:W700),$W$2:$W$1001,0),0)))</f>
        <v xml:space="preserve"> </v>
      </c>
      <c r="B700" s="4" t="str">
        <f ca="1">IF(OR(INDEX($X$2:$X$1001,MATCH(ROWS($W$2:W700),$W$2:$W$1001,0),1)&gt;=100000,INDEX($AD$1005:$AU$1005,1,MATCH(COLUMNS($AD$1006:AD1006),$AD$1006:$AU$1006,0))&gt;=100000), " ",IF(INDEX($AD$2:$AU$1001,MATCH(ROWS($W$2:W700),$W$2:$W$1001,0),MATCH(COLUMNS($AD$1006:AD1006),$AD$1006:$AU$1006,0)), HYPERLINK("#",""), HYPERLINK(CONCATENATE("#metadata!", ADDRESS(INDEX($Y$2:$Y$1001,MATCH(ROWS($W$2:W700),$W$2:$W$1001,0),0), INDEX($AD$1004:$AU$1004,1,MATCH(COLUMNS($AD$1006:AD1006),$AD$1006:$AU$1006,0)))),"Fix")))</f>
        <v xml:space="preserve"> </v>
      </c>
      <c r="C700" s="4" t="str">
        <f ca="1">IF(OR(INDEX($X$2:$X$1001,MATCH(ROWS($W$2:W700),$W$2:$W$1001,0),1)&gt;=100000,INDEX($AD$1005:$AU$1005,1,MATCH(COLUMNS($AD$1006:AE1006),$AD$1006:$AU$1006,0))&gt;=100000), " ",IF(INDEX($AD$2:$AU$1001,MATCH(ROWS($W$2:W700),$W$2:$W$1001,0),MATCH(COLUMNS($AD$1006:AE1006),$AD$1006:$AU$1006,0)), HYPERLINK("#",""), HYPERLINK(CONCATENATE("#metadata!", ADDRESS(INDEX($Y$2:$Y$1001,MATCH(ROWS($W$2:W700),$W$2:$W$1001,0),0), INDEX($AD$1004:$AU$1004,1,MATCH(COLUMNS($AD$1006:AE1006),$AD$1006:$AU$1006,0)))),"Fix")))</f>
        <v xml:space="preserve"> </v>
      </c>
      <c r="D700" s="4" t="str">
        <f ca="1">IF(OR(INDEX($X$2:$X$1001,MATCH(ROWS($W$2:W700),$W$2:$W$1001,0),1)&gt;=100000,INDEX($AD$1005:$AU$1005,1,MATCH(COLUMNS($AD$1006:AF1006),$AD$1006:$AU$1006,0))&gt;=100000), " ",IF(INDEX($AD$2:$AU$1001,MATCH(ROWS($W$2:W700),$W$2:$W$1001,0),MATCH(COLUMNS($AD$1006:AF1006),$AD$1006:$AU$1006,0)), HYPERLINK("#",""), HYPERLINK(CONCATENATE("#metadata!", ADDRESS(INDEX($Y$2:$Y$1001,MATCH(ROWS($W$2:W700),$W$2:$W$1001,0),0), INDEX($AD$1004:$AU$1004,1,MATCH(COLUMNS($AD$1006:AF1006),$AD$1006:$AU$1006,0)))),"Fix")))</f>
        <v xml:space="preserve"> </v>
      </c>
      <c r="E700" s="4" t="str">
        <f ca="1">IF(OR(INDEX($X$2:$X$1001,MATCH(ROWS($W$2:W700),$W$2:$W$1001,0),1)&gt;=100000,INDEX($AD$1005:$AU$1005,1,MATCH(COLUMNS($AD$1006:AG1006),$AD$1006:$AU$1006,0))&gt;=100000), " ",IF(INDEX($AD$2:$AU$1001,MATCH(ROWS($W$2:W700),$W$2:$W$1001,0),MATCH(COLUMNS($AD$1006:AG1006),$AD$1006:$AU$1006,0)), HYPERLINK("#",""), HYPERLINK(CONCATENATE("#metadata!", ADDRESS(INDEX($Y$2:$Y$1001,MATCH(ROWS($W$2:W700),$W$2:$W$1001,0),0), INDEX($AD$1004:$AU$1004,1,MATCH(COLUMNS($AD$1006:AG1006),$AD$1006:$AU$1006,0)))),"Fix")))</f>
        <v xml:space="preserve"> </v>
      </c>
      <c r="F700" s="4" t="str">
        <f ca="1">IF(OR(INDEX($X$2:$X$1001,MATCH(ROWS($W$2:W700),$W$2:$W$1001,0),1)&gt;=100000,INDEX($AD$1005:$AU$1005,1,MATCH(COLUMNS($AD$1006:AH1006),$AD$1006:$AU$1006,0))&gt;=100000), " ",IF(INDEX($AD$2:$AU$1001,MATCH(ROWS($W$2:W700),$W$2:$W$1001,0),MATCH(COLUMNS($AD$1006:AH1006),$AD$1006:$AU$1006,0)), HYPERLINK("#",""), HYPERLINK(CONCATENATE("#metadata!", ADDRESS(INDEX($Y$2:$Y$1001,MATCH(ROWS($W$2:W700),$W$2:$W$1001,0),0), INDEX($AD$1004:$AU$1004,1,MATCH(COLUMNS($AD$1006:AH1006),$AD$1006:$AU$1006,0)))),"Fix")))</f>
        <v xml:space="preserve"> </v>
      </c>
      <c r="G700" s="4" t="str">
        <f ca="1">IF(OR(INDEX($X$2:$X$1001,MATCH(ROWS($W$2:W700),$W$2:$W$1001,0),1)&gt;=100000,INDEX($AD$1005:$AU$1005,1,MATCH(COLUMNS($AD$1006:AI1006),$AD$1006:$AU$1006,0))&gt;=100000), " ",IF(INDEX($AD$2:$AU$1001,MATCH(ROWS($W$2:W700),$W$2:$W$1001,0),MATCH(COLUMNS($AD$1006:AI1006),$AD$1006:$AU$1006,0)), HYPERLINK("#",""), HYPERLINK(CONCATENATE("#metadata!", ADDRESS(INDEX($Y$2:$Y$1001,MATCH(ROWS($W$2:W700),$W$2:$W$1001,0),0), INDEX($AD$1004:$AU$1004,1,MATCH(COLUMNS($AD$1006:AI1006),$AD$1006:$AU$1006,0)))),"Fix")))</f>
        <v xml:space="preserve"> </v>
      </c>
      <c r="H700" s="4" t="str">
        <f ca="1">IF(OR(INDEX($X$2:$X$1001,MATCH(ROWS($W$2:W700),$W$2:$W$1001,0),1)&gt;=100000,INDEX($AD$1005:$AU$1005,1,MATCH(COLUMNS($AD$1006:AJ1006),$AD$1006:$AU$1006,0))&gt;=100000), " ",IF(INDEX($AD$2:$AU$1001,MATCH(ROWS($W$2:W700),$W$2:$W$1001,0),MATCH(COLUMNS($AD$1006:AJ1006),$AD$1006:$AU$1006,0)), HYPERLINK("#",""), HYPERLINK(CONCATENATE("#metadata!", ADDRESS(INDEX($Y$2:$Y$1001,MATCH(ROWS($W$2:W700),$W$2:$W$1001,0),0), INDEX($AD$1004:$AU$1004,1,MATCH(COLUMNS($AD$1006:AJ1006),$AD$1006:$AU$1006,0)))),"Fix")))</f>
        <v xml:space="preserve"> </v>
      </c>
      <c r="I700" s="4" t="str">
        <f ca="1">IF(OR(INDEX($X$2:$X$1001,MATCH(ROWS($W$2:W700),$W$2:$W$1001,0),1)&gt;=100000,INDEX($AD$1005:$AU$1005,1,MATCH(COLUMNS($AD$1006:AK1006),$AD$1006:$AU$1006,0))&gt;=100000), " ",IF(INDEX($AD$2:$AU$1001,MATCH(ROWS($W$2:W700),$W$2:$W$1001,0),MATCH(COLUMNS($AD$1006:AK1006),$AD$1006:$AU$1006,0)), HYPERLINK("#",""), HYPERLINK(CONCATENATE("#metadata!", ADDRESS(INDEX($Y$2:$Y$1001,MATCH(ROWS($W$2:W700),$W$2:$W$1001,0),0), INDEX($AD$1004:$AU$1004,1,MATCH(COLUMNS($AD$1006:AK1006),$AD$1006:$AU$1006,0)))),"Fix")))</f>
        <v xml:space="preserve"> </v>
      </c>
      <c r="J700" s="4" t="str">
        <f ca="1">IF(OR(INDEX($X$2:$X$1001,MATCH(ROWS($W$2:W700),$W$2:$W$1001,0),1)&gt;=100000,INDEX($AD$1005:$AU$1005,1,MATCH(COLUMNS($AD$1006:AL1006),$AD$1006:$AU$1006,0))&gt;=100000), " ",IF(INDEX($AD$2:$AU$1001,MATCH(ROWS($W$2:W700),$W$2:$W$1001,0),MATCH(COLUMNS($AD$1006:AL1006),$AD$1006:$AU$1006,0)), HYPERLINK("#",""), HYPERLINK(CONCATENATE("#metadata!", ADDRESS(INDEX($Y$2:$Y$1001,MATCH(ROWS($W$2:W700),$W$2:$W$1001,0),0), INDEX($AD$1004:$AU$1004,1,MATCH(COLUMNS($AD$1006:AL1006),$AD$1006:$AU$1006,0)))),"Fix")))</f>
        <v xml:space="preserve"> </v>
      </c>
      <c r="K700" s="4" t="str">
        <f ca="1">IF(OR(INDEX($X$2:$X$1001,MATCH(ROWS($W$2:W700),$W$2:$W$1001,0),1)&gt;=100000,INDEX($AD$1005:$AU$1005,1,MATCH(COLUMNS($AD$1006:AM1006),$AD$1006:$AU$1006,0))&gt;=100000), " ",IF(INDEX($AD$2:$AU$1001,MATCH(ROWS($W$2:W700),$W$2:$W$1001,0),MATCH(COLUMNS($AD$1006:AM1006),$AD$1006:$AU$1006,0)), HYPERLINK("#",""), HYPERLINK(CONCATENATE("#metadata!", ADDRESS(INDEX($Y$2:$Y$1001,MATCH(ROWS($W$2:W700),$W$2:$W$1001,0),0), INDEX($AD$1004:$AU$1004,1,MATCH(COLUMNS($AD$1006:AM1006),$AD$1006:$AU$1006,0)))),"Fix")))</f>
        <v xml:space="preserve"> </v>
      </c>
      <c r="L700" s="4" t="str">
        <f ca="1">IF(OR(INDEX($X$2:$X$1001,MATCH(ROWS($W$2:W700),$W$2:$W$1001,0),1)&gt;=100000,INDEX($AD$1005:$AU$1005,1,MATCH(COLUMNS($AD$1006:AN1006),$AD$1006:$AU$1006,0))&gt;=100000), " ",IF(INDEX($AD$2:$AU$1001,MATCH(ROWS($W$2:W700),$W$2:$W$1001,0),MATCH(COLUMNS($AD$1006:AN1006),$AD$1006:$AU$1006,0)), HYPERLINK("#",""), HYPERLINK(CONCATENATE("#metadata!", ADDRESS(INDEX($Y$2:$Y$1001,MATCH(ROWS($W$2:W700),$W$2:$W$1001,0),0), INDEX($AD$1004:$AU$1004,1,MATCH(COLUMNS($AD$1006:AN1006),$AD$1006:$AU$1006,0)))),"Fix")))</f>
        <v xml:space="preserve"> </v>
      </c>
      <c r="M700" s="4" t="str">
        <f ca="1">IF(OR(INDEX($X$2:$X$1001,MATCH(ROWS($W$2:W700),$W$2:$W$1001,0),1)&gt;=100000,INDEX($AD$1005:$AU$1005,1,MATCH(COLUMNS($AD$1006:AO1006),$AD$1006:$AU$1006,0))&gt;=100000), " ",IF(INDEX($AD$2:$AU$1001,MATCH(ROWS($W$2:W700),$W$2:$W$1001,0),MATCH(COLUMNS($AD$1006:AO1006),$AD$1006:$AU$1006,0)), HYPERLINK("#",""), HYPERLINK(CONCATENATE("#metadata!", ADDRESS(INDEX($Y$2:$Y$1001,MATCH(ROWS($W$2:W700),$W$2:$W$1001,0),0), INDEX($AD$1004:$AU$1004,1,MATCH(COLUMNS($AD$1006:AO1006),$AD$1006:$AU$1006,0)))),"Fix")))</f>
        <v xml:space="preserve"> </v>
      </c>
      <c r="N700" s="4" t="str">
        <f ca="1">IF(OR(INDEX($X$2:$X$1001,MATCH(ROWS($W$2:W700),$W$2:$W$1001,0),1)&gt;=100000,INDEX($AD$1005:$AU$1005,1,MATCH(COLUMNS($AD$1006:AP1006),$AD$1006:$AU$1006,0))&gt;=100000), " ",IF(INDEX($AD$2:$AU$1001,MATCH(ROWS($W$2:W700),$W$2:$W$1001,0),MATCH(COLUMNS($AD$1006:AP1006),$AD$1006:$AU$1006,0)), HYPERLINK("#",""), HYPERLINK(CONCATENATE("#metadata!", ADDRESS(INDEX($Y$2:$Y$1001,MATCH(ROWS($W$2:W700),$W$2:$W$1001,0),0), INDEX($AD$1004:$AU$1004,1,MATCH(COLUMNS($AD$1006:AP1006),$AD$1006:$AU$1006,0)))),"Fix")))</f>
        <v xml:space="preserve"> </v>
      </c>
      <c r="O700" s="4" t="str">
        <f ca="1">IF(OR(INDEX($X$2:$X$1001,MATCH(ROWS($W$2:W700),$W$2:$W$1001,0),1)&gt;=100000,INDEX($AD$1005:$AU$1005,1,MATCH(COLUMNS($AD$1006:AQ1006),$AD$1006:$AU$1006,0))&gt;=100000), " ",IF(INDEX($AD$2:$AU$1001,MATCH(ROWS($W$2:W700),$W$2:$W$1001,0),MATCH(COLUMNS($AD$1006:AQ1006),$AD$1006:$AU$1006,0)), HYPERLINK("#",""), HYPERLINK(CONCATENATE("#metadata!", ADDRESS(INDEX($Y$2:$Y$1001,MATCH(ROWS($W$2:W700),$W$2:$W$1001,0),0), INDEX($AD$1004:$AU$1004,1,MATCH(COLUMNS($AD$1006:AQ1006),$AD$1006:$AU$1006,0)))),"Fix")))</f>
        <v xml:space="preserve"> </v>
      </c>
      <c r="P700" s="4" t="str">
        <f ca="1">IF(OR(INDEX($X$2:$X$1001,MATCH(ROWS($W$2:W700),$W$2:$W$1001,0),1)&gt;=100000,INDEX($AD$1005:$AU$1005,1,MATCH(COLUMNS($AD$1006:AR1006),$AD$1006:$AU$1006,0))&gt;=100000), " ",IF(INDEX($AD$2:$AU$1001,MATCH(ROWS($W$2:W700),$W$2:$W$1001,0),MATCH(COLUMNS($AD$1006:AR1006),$AD$1006:$AU$1006,0)), HYPERLINK("#",""), HYPERLINK(CONCATENATE("#metadata!", ADDRESS(INDEX($Y$2:$Y$1001,MATCH(ROWS($W$2:W700),$W$2:$W$1001,0),0), INDEX($AD$1004:$AU$1004,1,MATCH(COLUMNS($AD$1006:AR1006),$AD$1006:$AU$1006,0)))),"Fix")))</f>
        <v xml:space="preserve"> </v>
      </c>
      <c r="Q700" s="4" t="str">
        <f ca="1">IF(OR(INDEX($X$2:$X$1001,MATCH(ROWS($W$2:W700),$W$2:$W$1001,0),1)&gt;=100000,INDEX($AD$1005:$AU$1005,1,MATCH(COLUMNS($AD$1006:AS1006),$AD$1006:$AU$1006,0))&gt;=100000), " ",IF(INDEX($AD$2:$AU$1001,MATCH(ROWS($W$2:W700),$W$2:$W$1001,0),MATCH(COLUMNS($AD$1006:AS1006),$AD$1006:$AU$1006,0)), HYPERLINK("#",""), HYPERLINK(CONCATENATE("#metadata!", ADDRESS(INDEX($Y$2:$Y$1001,MATCH(ROWS($W$2:W700),$W$2:$W$1001,0),0), INDEX($AD$1004:$AU$1004,1,MATCH(COLUMNS($AD$1006:AS1006),$AD$1006:$AU$1006,0)))),"Fix")))</f>
        <v xml:space="preserve"> </v>
      </c>
      <c r="R700" s="4" t="str">
        <f ca="1">IF(OR(INDEX($X$2:$X$1001,MATCH(ROWS($W$2:W700),$W$2:$W$1001,0),1)&gt;=100000,INDEX($AD$1005:$AU$1005,1,MATCH(COLUMNS($AD$1006:AT1006),$AD$1006:$AU$1006,0))&gt;=100000), " ",IF(INDEX($AD$2:$AU$1001,MATCH(ROWS($W$2:W700),$W$2:$W$1001,0),MATCH(COLUMNS($AD$1006:AT1006),$AD$1006:$AU$1006,0)), HYPERLINK("#",""), HYPERLINK(CONCATENATE("#metadata!", ADDRESS(INDEX($Y$2:$Y$1001,MATCH(ROWS($W$2:W700),$W$2:$W$1001,0),0), INDEX($AD$1004:$AU$1004,1,MATCH(COLUMNS($AD$1006:AT1006),$AD$1006:$AU$1006,0)))),"Fix")))</f>
        <v xml:space="preserve"> </v>
      </c>
      <c r="S700" s="4" t="str">
        <f ca="1">IF(OR(INDEX($X$2:$X$1001,MATCH(ROWS($W$2:W700),$W$2:$W$1001,0),1)&gt;=100000,INDEX($AD$1005:$AU$1005,1,MATCH(COLUMNS($AD$1006:AU1006),$AD$1006:$AU$1006,0))&gt;=100000), " ",IF(INDEX($AD$2:$AU$1001,MATCH(ROWS($W$2:W700),$W$2:$W$1001,0),MATCH(COLUMNS($AD$1006:AU1006),$AD$1006:$AU$1006,0)), HYPERLINK("#",""), HYPERLINK(CONCATENATE("#metadata!", ADDRESS(INDEX($Y$2:$Y$1001,MATCH(ROWS($W$2:W700),$W$2:$W$1001,0),0), INDEX($AD$1004:$AU$1004,1,MATCH(COLUMNS($AD$1006:AU1006),$AD$1006:$AU$1006,0)))),"Fix")))</f>
        <v xml:space="preserve"> </v>
      </c>
      <c r="W700">
        <v>699</v>
      </c>
      <c r="X700">
        <v>100700</v>
      </c>
      <c r="Y700">
        <v>700</v>
      </c>
      <c r="Z700" t="b">
        <f t="shared" si="10"/>
        <v>1</v>
      </c>
      <c r="AA700" t="b">
        <f>COUNTBLANK(metadata!B700:S700)=COLUMNS(metadata!B700:S700)</f>
        <v>1</v>
      </c>
      <c r="AB700" t="str">
        <v/>
      </c>
      <c r="AD700" t="b">
        <f ca="1">AND(IF(metadata!B700="",FALSE,TRUE),COUNTIF(metadata!B:B, metadata!B700) = 1,NOT(ISERROR(SUMPRODUCT(SEARCH(MID(metadata!B700,ROW(INDIRECT("1:"&amp;LEN(metadata!B700))), 1),"0123456789abcdefghijklmnopqrstuvwxyzABCDEFGHIJKLMNOPQRSTUVWXYZ.")))))</f>
        <v>0</v>
      </c>
      <c r="AE700" t="b">
        <f>OR(AND(IF(metadata!C700="",FALSE,TRUE),OR(EXACT(metadata!C700,"not applicable"),EXACT(metadata!C700,"missing: not collected"),EXACT(metadata!C700,"missing: not provided"),EXACT(metadata!C700,"missing: restricted access"))),AND(IF(metadata!C700="",FALSE,ISNUMBER(VALUE(metadata!C700))),metadata!C700&gt;0))</f>
        <v>0</v>
      </c>
      <c r="AF700" t="b">
        <f>AND(IF(metadata!D700="",FALSE,TRUE),EXACT(metadata!D700,"missing: not provided"))</f>
        <v>0</v>
      </c>
      <c r="AG700" t="b">
        <f>AND(IF(metadata!E700="",FALSE,TRUE),EXACT(metadata!E700,"Host-associated"))</f>
        <v>0</v>
      </c>
      <c r="AH700" t="b">
        <f>AND(IF(metadata!F700="",FALSE,TRUE),OR(EXACT(metadata!F700,"Animal"),EXACT(metadata!F700,"Fungus"),EXACT(metadata!F700,"Plant")))</f>
        <v>0</v>
      </c>
      <c r="AI700" t="b">
        <f>AND(IF(metadata!G700="",FALSE,TRUE),OR(EXACT(metadata!G700,"Plant secretion"),EXACT(metadata!G700,"Plant rhizosphere"),EXACT(metadata!G700,"Plant surface"),EXACT(metadata!G700,"Plant corpus"),EXACT(metadata!G700,"Fungus surface"),EXACT(metadata!G700,"Fungus corpus"),EXACT(metadata!G700,"Animal surface"),EXACT(metadata!G700,"Animal proximal gut"),EXACT(metadata!G700,"Animal corpus"),EXACT(metadata!G700,"Animal distal gut"),EXACT(metadata!G700,"Animal secretion")))</f>
        <v>0</v>
      </c>
      <c r="AJ700" t="b">
        <f>OR(AND(IF(metadata!H700="",FALSE,TRUE),OR(EXACT(metadata!H700,"missing: not collected"),EXACT(metadata!H700,"missing: not provided"),EXACT(metadata!H700,"missing: restricted access"))),AND(IF(metadata!H700="",FALSE,TRUE),OR(EXACT(metadata!H700,"organism-associated habitat"),EXACT(metadata!H700,"plant-associated habitat"),EXACT(metadata!H700,"animal-associated habitat"),EXACT(metadata!H700,"insecta-associated habitat"),EXACT(metadata!H700,"mammalia-associated habitat"),EXACT(metadata!H700,"human-associated habitat"),EXACT(metadata!H700,"livestock-associated habitat"))))</f>
        <v>0</v>
      </c>
      <c r="AK700" t="b">
        <f>AND(IF(metadata!I700="",FALSE,TRUE),EXACT(metadata!I700,"host-associated"))</f>
        <v>0</v>
      </c>
      <c r="AL700" t="b">
        <f>OR(AND(IF(metadata!J700="",FALSE,TRUE),OR(EXACT(metadata!J700,"not applicable"),EXACT(metadata!J700,"missing: not collected"),EXACT(metadata!J700,"missing: not provided"),EXACT(metadata!J700,"missing: restricted access"))),AND(IF(metadata!J700="",FALSE,ISNUMBER(VALUE(metadata!J700))),metadata!J700&gt;0))</f>
        <v>0</v>
      </c>
      <c r="AM700" t="b">
        <f>AND(IF(metadata!K700="",FALSE,TRUE),EXACT(metadata!K700,"missing: not provided"))</f>
        <v>0</v>
      </c>
      <c r="AN700" t="b">
        <f>IF(metadata!L700="",FALSE,TRUE)</f>
        <v>0</v>
      </c>
      <c r="AO700" t="b">
        <f>IF(metadata!M700="",FALSE,TRUE)</f>
        <v>0</v>
      </c>
      <c r="AP700" t="b">
        <f>OR(AND(IF(metadata!N700="",FALSE,TRUE),OR(EXACT(metadata!N700,"not applicable"),EXACT(metadata!N700,"missing: not collected"),EXACT(metadata!N700,"missing: not provided"))),AND(IF(metadata!N700="",FALSE,IF(ISERROR(INT(metadata!N700)),FALSE,INT(metadata!N700)=metadata!N700)),metadata!N700&gt;0))</f>
        <v>0</v>
      </c>
      <c r="AQ700" t="b">
        <f>AND(IF(metadata!O700="",FALSE,TRUE),EXACT(metadata!O700,"Not applicable"))</f>
        <v>0</v>
      </c>
      <c r="AR700" t="b">
        <f>OR(AND(IF(metadata!P700="",FALSE,TRUE),OR(EXACT(metadata!P700,"not applicable"),EXACT(metadata!P700,"missing: not collected"),EXACT(metadata!P700,"missing: not provided"),EXACT(metadata!P700,"missing: restricted access"))),IF(metadata!P700="",FALSE,IF(ISERROR(INT(metadata!P700)),FALSE,INT(metadata!P700)=metadata!P700)))</f>
        <v>0</v>
      </c>
      <c r="AS700" t="b">
        <f>AND(IF(metadata!Q700="",FALSE,TRUE),EXACT(metadata!Q700,"Not applicable"))</f>
        <v>0</v>
      </c>
      <c r="AT700" t="b">
        <f>OR(AND(IF(metadata!R700="",FALSE,TRUE),OR(EXACT(metadata!R700,"not applicable"),EXACT(metadata!R700,"missing: not collected"),EXACT(metadata!R700,"missing: not provided"),EXACT(metadata!R700,"missing: restricted access"))),AND(IF(metadata!R700="",FALSE,ISNUMBER(VALUE(metadata!R700))),metadata!R700&gt;0))</f>
        <v>0</v>
      </c>
      <c r="AU700" t="b">
        <f>AND(IF(metadata!S700="",FALSE,TRUE),EXACT(metadata!S700,"missing: not provided"))</f>
        <v>0</v>
      </c>
    </row>
    <row r="701" spans="1:47" x14ac:dyDescent="0.2">
      <c r="A701" s="5" t="str">
        <f ca="1">IF(B701=" "," ",HYPERLINK(CONCATENATE("#metadata!",ADDRESS(INDEX($Y$2:$Y$1001,MATCH(ROWS($W$2:W701),$W$2:$W$1001,0),0),1)),INDEX($AB$2:$AB$1001,MATCH(ROWS($W$2:W701),$W$2:$W$1001,0),0)))</f>
        <v xml:space="preserve"> </v>
      </c>
      <c r="B701" s="4" t="str">
        <f ca="1">IF(OR(INDEX($X$2:$X$1001,MATCH(ROWS($W$2:W701),$W$2:$W$1001,0),1)&gt;=100000,INDEX($AD$1005:$AU$1005,1,MATCH(COLUMNS($AD$1006:AD1006),$AD$1006:$AU$1006,0))&gt;=100000), " ",IF(INDEX($AD$2:$AU$1001,MATCH(ROWS($W$2:W701),$W$2:$W$1001,0),MATCH(COLUMNS($AD$1006:AD1006),$AD$1006:$AU$1006,0)), HYPERLINK("#",""), HYPERLINK(CONCATENATE("#metadata!", ADDRESS(INDEX($Y$2:$Y$1001,MATCH(ROWS($W$2:W701),$W$2:$W$1001,0),0), INDEX($AD$1004:$AU$1004,1,MATCH(COLUMNS($AD$1006:AD1006),$AD$1006:$AU$1006,0)))),"Fix")))</f>
        <v xml:space="preserve"> </v>
      </c>
      <c r="C701" s="4" t="str">
        <f ca="1">IF(OR(INDEX($X$2:$X$1001,MATCH(ROWS($W$2:W701),$W$2:$W$1001,0),1)&gt;=100000,INDEX($AD$1005:$AU$1005,1,MATCH(COLUMNS($AD$1006:AE1006),$AD$1006:$AU$1006,0))&gt;=100000), " ",IF(INDEX($AD$2:$AU$1001,MATCH(ROWS($W$2:W701),$W$2:$W$1001,0),MATCH(COLUMNS($AD$1006:AE1006),$AD$1006:$AU$1006,0)), HYPERLINK("#",""), HYPERLINK(CONCATENATE("#metadata!", ADDRESS(INDEX($Y$2:$Y$1001,MATCH(ROWS($W$2:W701),$W$2:$W$1001,0),0), INDEX($AD$1004:$AU$1004,1,MATCH(COLUMNS($AD$1006:AE1006),$AD$1006:$AU$1006,0)))),"Fix")))</f>
        <v xml:space="preserve"> </v>
      </c>
      <c r="D701" s="4" t="str">
        <f ca="1">IF(OR(INDEX($X$2:$X$1001,MATCH(ROWS($W$2:W701),$W$2:$W$1001,0),1)&gt;=100000,INDEX($AD$1005:$AU$1005,1,MATCH(COLUMNS($AD$1006:AF1006),$AD$1006:$AU$1006,0))&gt;=100000), " ",IF(INDEX($AD$2:$AU$1001,MATCH(ROWS($W$2:W701),$W$2:$W$1001,0),MATCH(COLUMNS($AD$1006:AF1006),$AD$1006:$AU$1006,0)), HYPERLINK("#",""), HYPERLINK(CONCATENATE("#metadata!", ADDRESS(INDEX($Y$2:$Y$1001,MATCH(ROWS($W$2:W701),$W$2:$W$1001,0),0), INDEX($AD$1004:$AU$1004,1,MATCH(COLUMNS($AD$1006:AF1006),$AD$1006:$AU$1006,0)))),"Fix")))</f>
        <v xml:space="preserve"> </v>
      </c>
      <c r="E701" s="4" t="str">
        <f ca="1">IF(OR(INDEX($X$2:$X$1001,MATCH(ROWS($W$2:W701),$W$2:$W$1001,0),1)&gt;=100000,INDEX($AD$1005:$AU$1005,1,MATCH(COLUMNS($AD$1006:AG1006),$AD$1006:$AU$1006,0))&gt;=100000), " ",IF(INDEX($AD$2:$AU$1001,MATCH(ROWS($W$2:W701),$W$2:$W$1001,0),MATCH(COLUMNS($AD$1006:AG1006),$AD$1006:$AU$1006,0)), HYPERLINK("#",""), HYPERLINK(CONCATENATE("#metadata!", ADDRESS(INDEX($Y$2:$Y$1001,MATCH(ROWS($W$2:W701),$W$2:$W$1001,0),0), INDEX($AD$1004:$AU$1004,1,MATCH(COLUMNS($AD$1006:AG1006),$AD$1006:$AU$1006,0)))),"Fix")))</f>
        <v xml:space="preserve"> </v>
      </c>
      <c r="F701" s="4" t="str">
        <f ca="1">IF(OR(INDEX($X$2:$X$1001,MATCH(ROWS($W$2:W701),$W$2:$W$1001,0),1)&gt;=100000,INDEX($AD$1005:$AU$1005,1,MATCH(COLUMNS($AD$1006:AH1006),$AD$1006:$AU$1006,0))&gt;=100000), " ",IF(INDEX($AD$2:$AU$1001,MATCH(ROWS($W$2:W701),$W$2:$W$1001,0),MATCH(COLUMNS($AD$1006:AH1006),$AD$1006:$AU$1006,0)), HYPERLINK("#",""), HYPERLINK(CONCATENATE("#metadata!", ADDRESS(INDEX($Y$2:$Y$1001,MATCH(ROWS($W$2:W701),$W$2:$W$1001,0),0), INDEX($AD$1004:$AU$1004,1,MATCH(COLUMNS($AD$1006:AH1006),$AD$1006:$AU$1006,0)))),"Fix")))</f>
        <v xml:space="preserve"> </v>
      </c>
      <c r="G701" s="4" t="str">
        <f ca="1">IF(OR(INDEX($X$2:$X$1001,MATCH(ROWS($W$2:W701),$W$2:$W$1001,0),1)&gt;=100000,INDEX($AD$1005:$AU$1005,1,MATCH(COLUMNS($AD$1006:AI1006),$AD$1006:$AU$1006,0))&gt;=100000), " ",IF(INDEX($AD$2:$AU$1001,MATCH(ROWS($W$2:W701),$W$2:$W$1001,0),MATCH(COLUMNS($AD$1006:AI1006),$AD$1006:$AU$1006,0)), HYPERLINK("#",""), HYPERLINK(CONCATENATE("#metadata!", ADDRESS(INDEX($Y$2:$Y$1001,MATCH(ROWS($W$2:W701),$W$2:$W$1001,0),0), INDEX($AD$1004:$AU$1004,1,MATCH(COLUMNS($AD$1006:AI1006),$AD$1006:$AU$1006,0)))),"Fix")))</f>
        <v xml:space="preserve"> </v>
      </c>
      <c r="H701" s="4" t="str">
        <f ca="1">IF(OR(INDEX($X$2:$X$1001,MATCH(ROWS($W$2:W701),$W$2:$W$1001,0),1)&gt;=100000,INDEX($AD$1005:$AU$1005,1,MATCH(COLUMNS($AD$1006:AJ1006),$AD$1006:$AU$1006,0))&gt;=100000), " ",IF(INDEX($AD$2:$AU$1001,MATCH(ROWS($W$2:W701),$W$2:$W$1001,0),MATCH(COLUMNS($AD$1006:AJ1006),$AD$1006:$AU$1006,0)), HYPERLINK("#",""), HYPERLINK(CONCATENATE("#metadata!", ADDRESS(INDEX($Y$2:$Y$1001,MATCH(ROWS($W$2:W701),$W$2:$W$1001,0),0), INDEX($AD$1004:$AU$1004,1,MATCH(COLUMNS($AD$1006:AJ1006),$AD$1006:$AU$1006,0)))),"Fix")))</f>
        <v xml:space="preserve"> </v>
      </c>
      <c r="I701" s="4" t="str">
        <f ca="1">IF(OR(INDEX($X$2:$X$1001,MATCH(ROWS($W$2:W701),$W$2:$W$1001,0),1)&gt;=100000,INDEX($AD$1005:$AU$1005,1,MATCH(COLUMNS($AD$1006:AK1006),$AD$1006:$AU$1006,0))&gt;=100000), " ",IF(INDEX($AD$2:$AU$1001,MATCH(ROWS($W$2:W701),$W$2:$W$1001,0),MATCH(COLUMNS($AD$1006:AK1006),$AD$1006:$AU$1006,0)), HYPERLINK("#",""), HYPERLINK(CONCATENATE("#metadata!", ADDRESS(INDEX($Y$2:$Y$1001,MATCH(ROWS($W$2:W701),$W$2:$W$1001,0),0), INDEX($AD$1004:$AU$1004,1,MATCH(COLUMNS($AD$1006:AK1006),$AD$1006:$AU$1006,0)))),"Fix")))</f>
        <v xml:space="preserve"> </v>
      </c>
      <c r="J701" s="4" t="str">
        <f ca="1">IF(OR(INDEX($X$2:$X$1001,MATCH(ROWS($W$2:W701),$W$2:$W$1001,0),1)&gt;=100000,INDEX($AD$1005:$AU$1005,1,MATCH(COLUMNS($AD$1006:AL1006),$AD$1006:$AU$1006,0))&gt;=100000), " ",IF(INDEX($AD$2:$AU$1001,MATCH(ROWS($W$2:W701),$W$2:$W$1001,0),MATCH(COLUMNS($AD$1006:AL1006),$AD$1006:$AU$1006,0)), HYPERLINK("#",""), HYPERLINK(CONCATENATE("#metadata!", ADDRESS(INDEX($Y$2:$Y$1001,MATCH(ROWS($W$2:W701),$W$2:$W$1001,0),0), INDEX($AD$1004:$AU$1004,1,MATCH(COLUMNS($AD$1006:AL1006),$AD$1006:$AU$1006,0)))),"Fix")))</f>
        <v xml:space="preserve"> </v>
      </c>
      <c r="K701" s="4" t="str">
        <f ca="1">IF(OR(INDEX($X$2:$X$1001,MATCH(ROWS($W$2:W701),$W$2:$W$1001,0),1)&gt;=100000,INDEX($AD$1005:$AU$1005,1,MATCH(COLUMNS($AD$1006:AM1006),$AD$1006:$AU$1006,0))&gt;=100000), " ",IF(INDEX($AD$2:$AU$1001,MATCH(ROWS($W$2:W701),$W$2:$W$1001,0),MATCH(COLUMNS($AD$1006:AM1006),$AD$1006:$AU$1006,0)), HYPERLINK("#",""), HYPERLINK(CONCATENATE("#metadata!", ADDRESS(INDEX($Y$2:$Y$1001,MATCH(ROWS($W$2:W701),$W$2:$W$1001,0),0), INDEX($AD$1004:$AU$1004,1,MATCH(COLUMNS($AD$1006:AM1006),$AD$1006:$AU$1006,0)))),"Fix")))</f>
        <v xml:space="preserve"> </v>
      </c>
      <c r="L701" s="4" t="str">
        <f ca="1">IF(OR(INDEX($X$2:$X$1001,MATCH(ROWS($W$2:W701),$W$2:$W$1001,0),1)&gt;=100000,INDEX($AD$1005:$AU$1005,1,MATCH(COLUMNS($AD$1006:AN1006),$AD$1006:$AU$1006,0))&gt;=100000), " ",IF(INDEX($AD$2:$AU$1001,MATCH(ROWS($W$2:W701),$W$2:$W$1001,0),MATCH(COLUMNS($AD$1006:AN1006),$AD$1006:$AU$1006,0)), HYPERLINK("#",""), HYPERLINK(CONCATENATE("#metadata!", ADDRESS(INDEX($Y$2:$Y$1001,MATCH(ROWS($W$2:W701),$W$2:$W$1001,0),0), INDEX($AD$1004:$AU$1004,1,MATCH(COLUMNS($AD$1006:AN1006),$AD$1006:$AU$1006,0)))),"Fix")))</f>
        <v xml:space="preserve"> </v>
      </c>
      <c r="M701" s="4" t="str">
        <f ca="1">IF(OR(INDEX($X$2:$X$1001,MATCH(ROWS($W$2:W701),$W$2:$W$1001,0),1)&gt;=100000,INDEX($AD$1005:$AU$1005,1,MATCH(COLUMNS($AD$1006:AO1006),$AD$1006:$AU$1006,0))&gt;=100000), " ",IF(INDEX($AD$2:$AU$1001,MATCH(ROWS($W$2:W701),$W$2:$W$1001,0),MATCH(COLUMNS($AD$1006:AO1006),$AD$1006:$AU$1006,0)), HYPERLINK("#",""), HYPERLINK(CONCATENATE("#metadata!", ADDRESS(INDEX($Y$2:$Y$1001,MATCH(ROWS($W$2:W701),$W$2:$W$1001,0),0), INDEX($AD$1004:$AU$1004,1,MATCH(COLUMNS($AD$1006:AO1006),$AD$1006:$AU$1006,0)))),"Fix")))</f>
        <v xml:space="preserve"> </v>
      </c>
      <c r="N701" s="4" t="str">
        <f ca="1">IF(OR(INDEX($X$2:$X$1001,MATCH(ROWS($W$2:W701),$W$2:$W$1001,0),1)&gt;=100000,INDEX($AD$1005:$AU$1005,1,MATCH(COLUMNS($AD$1006:AP1006),$AD$1006:$AU$1006,0))&gt;=100000), " ",IF(INDEX($AD$2:$AU$1001,MATCH(ROWS($W$2:W701),$W$2:$W$1001,0),MATCH(COLUMNS($AD$1006:AP1006),$AD$1006:$AU$1006,0)), HYPERLINK("#",""), HYPERLINK(CONCATENATE("#metadata!", ADDRESS(INDEX($Y$2:$Y$1001,MATCH(ROWS($W$2:W701),$W$2:$W$1001,0),0), INDEX($AD$1004:$AU$1004,1,MATCH(COLUMNS($AD$1006:AP1006),$AD$1006:$AU$1006,0)))),"Fix")))</f>
        <v xml:space="preserve"> </v>
      </c>
      <c r="O701" s="4" t="str">
        <f ca="1">IF(OR(INDEX($X$2:$X$1001,MATCH(ROWS($W$2:W701),$W$2:$W$1001,0),1)&gt;=100000,INDEX($AD$1005:$AU$1005,1,MATCH(COLUMNS($AD$1006:AQ1006),$AD$1006:$AU$1006,0))&gt;=100000), " ",IF(INDEX($AD$2:$AU$1001,MATCH(ROWS($W$2:W701),$W$2:$W$1001,0),MATCH(COLUMNS($AD$1006:AQ1006),$AD$1006:$AU$1006,0)), HYPERLINK("#",""), HYPERLINK(CONCATENATE("#metadata!", ADDRESS(INDEX($Y$2:$Y$1001,MATCH(ROWS($W$2:W701),$W$2:$W$1001,0),0), INDEX($AD$1004:$AU$1004,1,MATCH(COLUMNS($AD$1006:AQ1006),$AD$1006:$AU$1006,0)))),"Fix")))</f>
        <v xml:space="preserve"> </v>
      </c>
      <c r="P701" s="4" t="str">
        <f ca="1">IF(OR(INDEX($X$2:$X$1001,MATCH(ROWS($W$2:W701),$W$2:$W$1001,0),1)&gt;=100000,INDEX($AD$1005:$AU$1005,1,MATCH(COLUMNS($AD$1006:AR1006),$AD$1006:$AU$1006,0))&gt;=100000), " ",IF(INDEX($AD$2:$AU$1001,MATCH(ROWS($W$2:W701),$W$2:$W$1001,0),MATCH(COLUMNS($AD$1006:AR1006),$AD$1006:$AU$1006,0)), HYPERLINK("#",""), HYPERLINK(CONCATENATE("#metadata!", ADDRESS(INDEX($Y$2:$Y$1001,MATCH(ROWS($W$2:W701),$W$2:$W$1001,0),0), INDEX($AD$1004:$AU$1004,1,MATCH(COLUMNS($AD$1006:AR1006),$AD$1006:$AU$1006,0)))),"Fix")))</f>
        <v xml:space="preserve"> </v>
      </c>
      <c r="Q701" s="4" t="str">
        <f ca="1">IF(OR(INDEX($X$2:$X$1001,MATCH(ROWS($W$2:W701),$W$2:$W$1001,0),1)&gt;=100000,INDEX($AD$1005:$AU$1005,1,MATCH(COLUMNS($AD$1006:AS1006),$AD$1006:$AU$1006,0))&gt;=100000), " ",IF(INDEX($AD$2:$AU$1001,MATCH(ROWS($W$2:W701),$W$2:$W$1001,0),MATCH(COLUMNS($AD$1006:AS1006),$AD$1006:$AU$1006,0)), HYPERLINK("#",""), HYPERLINK(CONCATENATE("#metadata!", ADDRESS(INDEX($Y$2:$Y$1001,MATCH(ROWS($W$2:W701),$W$2:$W$1001,0),0), INDEX($AD$1004:$AU$1004,1,MATCH(COLUMNS($AD$1006:AS1006),$AD$1006:$AU$1006,0)))),"Fix")))</f>
        <v xml:space="preserve"> </v>
      </c>
      <c r="R701" s="4" t="str">
        <f ca="1">IF(OR(INDEX($X$2:$X$1001,MATCH(ROWS($W$2:W701),$W$2:$W$1001,0),1)&gt;=100000,INDEX($AD$1005:$AU$1005,1,MATCH(COLUMNS($AD$1006:AT1006),$AD$1006:$AU$1006,0))&gt;=100000), " ",IF(INDEX($AD$2:$AU$1001,MATCH(ROWS($W$2:W701),$W$2:$W$1001,0),MATCH(COLUMNS($AD$1006:AT1006),$AD$1006:$AU$1006,0)), HYPERLINK("#",""), HYPERLINK(CONCATENATE("#metadata!", ADDRESS(INDEX($Y$2:$Y$1001,MATCH(ROWS($W$2:W701),$W$2:$W$1001,0),0), INDEX($AD$1004:$AU$1004,1,MATCH(COLUMNS($AD$1006:AT1006),$AD$1006:$AU$1006,0)))),"Fix")))</f>
        <v xml:space="preserve"> </v>
      </c>
      <c r="S701" s="4" t="str">
        <f ca="1">IF(OR(INDEX($X$2:$X$1001,MATCH(ROWS($W$2:W701),$W$2:$W$1001,0),1)&gt;=100000,INDEX($AD$1005:$AU$1005,1,MATCH(COLUMNS($AD$1006:AU1006),$AD$1006:$AU$1006,0))&gt;=100000), " ",IF(INDEX($AD$2:$AU$1001,MATCH(ROWS($W$2:W701),$W$2:$W$1001,0),MATCH(COLUMNS($AD$1006:AU1006),$AD$1006:$AU$1006,0)), HYPERLINK("#",""), HYPERLINK(CONCATENATE("#metadata!", ADDRESS(INDEX($Y$2:$Y$1001,MATCH(ROWS($W$2:W701),$W$2:$W$1001,0),0), INDEX($AD$1004:$AU$1004,1,MATCH(COLUMNS($AD$1006:AU1006),$AD$1006:$AU$1006,0)))),"Fix")))</f>
        <v xml:space="preserve"> </v>
      </c>
      <c r="W701">
        <v>700</v>
      </c>
      <c r="X701">
        <v>100701</v>
      </c>
      <c r="Y701">
        <v>701</v>
      </c>
      <c r="Z701" t="b">
        <f t="shared" si="10"/>
        <v>1</v>
      </c>
      <c r="AA701" t="b">
        <f>COUNTBLANK(metadata!B701:S701)=COLUMNS(metadata!B701:S701)</f>
        <v>1</v>
      </c>
      <c r="AB701" t="str">
        <v/>
      </c>
      <c r="AD701" t="b">
        <f ca="1">AND(IF(metadata!B701="",FALSE,TRUE),COUNTIF(metadata!B:B, metadata!B701) = 1,NOT(ISERROR(SUMPRODUCT(SEARCH(MID(metadata!B701,ROW(INDIRECT("1:"&amp;LEN(metadata!B701))), 1),"0123456789abcdefghijklmnopqrstuvwxyzABCDEFGHIJKLMNOPQRSTUVWXYZ.")))))</f>
        <v>0</v>
      </c>
      <c r="AE701" t="b">
        <f>OR(AND(IF(metadata!C701="",FALSE,TRUE),OR(EXACT(metadata!C701,"not applicable"),EXACT(metadata!C701,"missing: not collected"),EXACT(metadata!C701,"missing: not provided"),EXACT(metadata!C701,"missing: restricted access"))),AND(IF(metadata!C701="",FALSE,ISNUMBER(VALUE(metadata!C701))),metadata!C701&gt;0))</f>
        <v>0</v>
      </c>
      <c r="AF701" t="b">
        <f>AND(IF(metadata!D701="",FALSE,TRUE),EXACT(metadata!D701,"missing: not provided"))</f>
        <v>0</v>
      </c>
      <c r="AG701" t="b">
        <f>AND(IF(metadata!E701="",FALSE,TRUE),EXACT(metadata!E701,"Host-associated"))</f>
        <v>0</v>
      </c>
      <c r="AH701" t="b">
        <f>AND(IF(metadata!F701="",FALSE,TRUE),OR(EXACT(metadata!F701,"Animal"),EXACT(metadata!F701,"Fungus"),EXACT(metadata!F701,"Plant")))</f>
        <v>0</v>
      </c>
      <c r="AI701" t="b">
        <f>AND(IF(metadata!G701="",FALSE,TRUE),OR(EXACT(metadata!G701,"Plant secretion"),EXACT(metadata!G701,"Plant rhizosphere"),EXACT(metadata!G701,"Plant surface"),EXACT(metadata!G701,"Plant corpus"),EXACT(metadata!G701,"Fungus surface"),EXACT(metadata!G701,"Fungus corpus"),EXACT(metadata!G701,"Animal surface"),EXACT(metadata!G701,"Animal proximal gut"),EXACT(metadata!G701,"Animal corpus"),EXACT(metadata!G701,"Animal distal gut"),EXACT(metadata!G701,"Animal secretion")))</f>
        <v>0</v>
      </c>
      <c r="AJ701" t="b">
        <f>OR(AND(IF(metadata!H701="",FALSE,TRUE),OR(EXACT(metadata!H701,"missing: not collected"),EXACT(metadata!H701,"missing: not provided"),EXACT(metadata!H701,"missing: restricted access"))),AND(IF(metadata!H701="",FALSE,TRUE),OR(EXACT(metadata!H701,"organism-associated habitat"),EXACT(metadata!H701,"plant-associated habitat"),EXACT(metadata!H701,"animal-associated habitat"),EXACT(metadata!H701,"insecta-associated habitat"),EXACT(metadata!H701,"mammalia-associated habitat"),EXACT(metadata!H701,"human-associated habitat"),EXACT(metadata!H701,"livestock-associated habitat"))))</f>
        <v>0</v>
      </c>
      <c r="AK701" t="b">
        <f>AND(IF(metadata!I701="",FALSE,TRUE),EXACT(metadata!I701,"host-associated"))</f>
        <v>0</v>
      </c>
      <c r="AL701" t="b">
        <f>OR(AND(IF(metadata!J701="",FALSE,TRUE),OR(EXACT(metadata!J701,"not applicable"),EXACT(metadata!J701,"missing: not collected"),EXACT(metadata!J701,"missing: not provided"),EXACT(metadata!J701,"missing: restricted access"))),AND(IF(metadata!J701="",FALSE,ISNUMBER(VALUE(metadata!J701))),metadata!J701&gt;0))</f>
        <v>0</v>
      </c>
      <c r="AM701" t="b">
        <f>AND(IF(metadata!K701="",FALSE,TRUE),EXACT(metadata!K701,"missing: not provided"))</f>
        <v>0</v>
      </c>
      <c r="AN701" t="b">
        <f>IF(metadata!L701="",FALSE,TRUE)</f>
        <v>0</v>
      </c>
      <c r="AO701" t="b">
        <f>IF(metadata!M701="",FALSE,TRUE)</f>
        <v>0</v>
      </c>
      <c r="AP701" t="b">
        <f>OR(AND(IF(metadata!N701="",FALSE,TRUE),OR(EXACT(metadata!N701,"not applicable"),EXACT(metadata!N701,"missing: not collected"),EXACT(metadata!N701,"missing: not provided"))),AND(IF(metadata!N701="",FALSE,IF(ISERROR(INT(metadata!N701)),FALSE,INT(metadata!N701)=metadata!N701)),metadata!N701&gt;0))</f>
        <v>0</v>
      </c>
      <c r="AQ701" t="b">
        <f>AND(IF(metadata!O701="",FALSE,TRUE),EXACT(metadata!O701,"Not applicable"))</f>
        <v>0</v>
      </c>
      <c r="AR701" t="b">
        <f>OR(AND(IF(metadata!P701="",FALSE,TRUE),OR(EXACT(metadata!P701,"not applicable"),EXACT(metadata!P701,"missing: not collected"),EXACT(metadata!P701,"missing: not provided"),EXACT(metadata!P701,"missing: restricted access"))),IF(metadata!P701="",FALSE,IF(ISERROR(INT(metadata!P701)),FALSE,INT(metadata!P701)=metadata!P701)))</f>
        <v>0</v>
      </c>
      <c r="AS701" t="b">
        <f>AND(IF(metadata!Q701="",FALSE,TRUE),EXACT(metadata!Q701,"Not applicable"))</f>
        <v>0</v>
      </c>
      <c r="AT701" t="b">
        <f>OR(AND(IF(metadata!R701="",FALSE,TRUE),OR(EXACT(metadata!R701,"not applicable"),EXACT(metadata!R701,"missing: not collected"),EXACT(metadata!R701,"missing: not provided"),EXACT(metadata!R701,"missing: restricted access"))),AND(IF(metadata!R701="",FALSE,ISNUMBER(VALUE(metadata!R701))),metadata!R701&gt;0))</f>
        <v>0</v>
      </c>
      <c r="AU701" t="b">
        <f>AND(IF(metadata!S701="",FALSE,TRUE),EXACT(metadata!S701,"missing: not provided"))</f>
        <v>0</v>
      </c>
    </row>
    <row r="702" spans="1:47" x14ac:dyDescent="0.2">
      <c r="A702" s="5" t="str">
        <f ca="1">IF(B702=" "," ",HYPERLINK(CONCATENATE("#metadata!",ADDRESS(INDEX($Y$2:$Y$1001,MATCH(ROWS($W$2:W702),$W$2:$W$1001,0),0),1)),INDEX($AB$2:$AB$1001,MATCH(ROWS($W$2:W702),$W$2:$W$1001,0),0)))</f>
        <v xml:space="preserve"> </v>
      </c>
      <c r="B702" s="4" t="str">
        <f ca="1">IF(OR(INDEX($X$2:$X$1001,MATCH(ROWS($W$2:W702),$W$2:$W$1001,0),1)&gt;=100000,INDEX($AD$1005:$AU$1005,1,MATCH(COLUMNS($AD$1006:AD1006),$AD$1006:$AU$1006,0))&gt;=100000), " ",IF(INDEX($AD$2:$AU$1001,MATCH(ROWS($W$2:W702),$W$2:$W$1001,0),MATCH(COLUMNS($AD$1006:AD1006),$AD$1006:$AU$1006,0)), HYPERLINK("#",""), HYPERLINK(CONCATENATE("#metadata!", ADDRESS(INDEX($Y$2:$Y$1001,MATCH(ROWS($W$2:W702),$W$2:$W$1001,0),0), INDEX($AD$1004:$AU$1004,1,MATCH(COLUMNS($AD$1006:AD1006),$AD$1006:$AU$1006,0)))),"Fix")))</f>
        <v xml:space="preserve"> </v>
      </c>
      <c r="C702" s="4" t="str">
        <f ca="1">IF(OR(INDEX($X$2:$X$1001,MATCH(ROWS($W$2:W702),$W$2:$W$1001,0),1)&gt;=100000,INDEX($AD$1005:$AU$1005,1,MATCH(COLUMNS($AD$1006:AE1006),$AD$1006:$AU$1006,0))&gt;=100000), " ",IF(INDEX($AD$2:$AU$1001,MATCH(ROWS($W$2:W702),$W$2:$W$1001,0),MATCH(COLUMNS($AD$1006:AE1006),$AD$1006:$AU$1006,0)), HYPERLINK("#",""), HYPERLINK(CONCATENATE("#metadata!", ADDRESS(INDEX($Y$2:$Y$1001,MATCH(ROWS($W$2:W702),$W$2:$W$1001,0),0), INDEX($AD$1004:$AU$1004,1,MATCH(COLUMNS($AD$1006:AE1006),$AD$1006:$AU$1006,0)))),"Fix")))</f>
        <v xml:space="preserve"> </v>
      </c>
      <c r="D702" s="4" t="str">
        <f ca="1">IF(OR(INDEX($X$2:$X$1001,MATCH(ROWS($W$2:W702),$W$2:$W$1001,0),1)&gt;=100000,INDEX($AD$1005:$AU$1005,1,MATCH(COLUMNS($AD$1006:AF1006),$AD$1006:$AU$1006,0))&gt;=100000), " ",IF(INDEX($AD$2:$AU$1001,MATCH(ROWS($W$2:W702),$W$2:$W$1001,0),MATCH(COLUMNS($AD$1006:AF1006),$AD$1006:$AU$1006,0)), HYPERLINK("#",""), HYPERLINK(CONCATENATE("#metadata!", ADDRESS(INDEX($Y$2:$Y$1001,MATCH(ROWS($W$2:W702),$W$2:$W$1001,0),0), INDEX($AD$1004:$AU$1004,1,MATCH(COLUMNS($AD$1006:AF1006),$AD$1006:$AU$1006,0)))),"Fix")))</f>
        <v xml:space="preserve"> </v>
      </c>
      <c r="E702" s="4" t="str">
        <f ca="1">IF(OR(INDEX($X$2:$X$1001,MATCH(ROWS($W$2:W702),$W$2:$W$1001,0),1)&gt;=100000,INDEX($AD$1005:$AU$1005,1,MATCH(COLUMNS($AD$1006:AG1006),$AD$1006:$AU$1006,0))&gt;=100000), " ",IF(INDEX($AD$2:$AU$1001,MATCH(ROWS($W$2:W702),$W$2:$W$1001,0),MATCH(COLUMNS($AD$1006:AG1006),$AD$1006:$AU$1006,0)), HYPERLINK("#",""), HYPERLINK(CONCATENATE("#metadata!", ADDRESS(INDEX($Y$2:$Y$1001,MATCH(ROWS($W$2:W702),$W$2:$W$1001,0),0), INDEX($AD$1004:$AU$1004,1,MATCH(COLUMNS($AD$1006:AG1006),$AD$1006:$AU$1006,0)))),"Fix")))</f>
        <v xml:space="preserve"> </v>
      </c>
      <c r="F702" s="4" t="str">
        <f ca="1">IF(OR(INDEX($X$2:$X$1001,MATCH(ROWS($W$2:W702),$W$2:$W$1001,0),1)&gt;=100000,INDEX($AD$1005:$AU$1005,1,MATCH(COLUMNS($AD$1006:AH1006),$AD$1006:$AU$1006,0))&gt;=100000), " ",IF(INDEX($AD$2:$AU$1001,MATCH(ROWS($W$2:W702),$W$2:$W$1001,0),MATCH(COLUMNS($AD$1006:AH1006),$AD$1006:$AU$1006,0)), HYPERLINK("#",""), HYPERLINK(CONCATENATE("#metadata!", ADDRESS(INDEX($Y$2:$Y$1001,MATCH(ROWS($W$2:W702),$W$2:$W$1001,0),0), INDEX($AD$1004:$AU$1004,1,MATCH(COLUMNS($AD$1006:AH1006),$AD$1006:$AU$1006,0)))),"Fix")))</f>
        <v xml:space="preserve"> </v>
      </c>
      <c r="G702" s="4" t="str">
        <f ca="1">IF(OR(INDEX($X$2:$X$1001,MATCH(ROWS($W$2:W702),$W$2:$W$1001,0),1)&gt;=100000,INDEX($AD$1005:$AU$1005,1,MATCH(COLUMNS($AD$1006:AI1006),$AD$1006:$AU$1006,0))&gt;=100000), " ",IF(INDEX($AD$2:$AU$1001,MATCH(ROWS($W$2:W702),$W$2:$W$1001,0),MATCH(COLUMNS($AD$1006:AI1006),$AD$1006:$AU$1006,0)), HYPERLINK("#",""), HYPERLINK(CONCATENATE("#metadata!", ADDRESS(INDEX($Y$2:$Y$1001,MATCH(ROWS($W$2:W702),$W$2:$W$1001,0),0), INDEX($AD$1004:$AU$1004,1,MATCH(COLUMNS($AD$1006:AI1006),$AD$1006:$AU$1006,0)))),"Fix")))</f>
        <v xml:space="preserve"> </v>
      </c>
      <c r="H702" s="4" t="str">
        <f ca="1">IF(OR(INDEX($X$2:$X$1001,MATCH(ROWS($W$2:W702),$W$2:$W$1001,0),1)&gt;=100000,INDEX($AD$1005:$AU$1005,1,MATCH(COLUMNS($AD$1006:AJ1006),$AD$1006:$AU$1006,0))&gt;=100000), " ",IF(INDEX($AD$2:$AU$1001,MATCH(ROWS($W$2:W702),$W$2:$W$1001,0),MATCH(COLUMNS($AD$1006:AJ1006),$AD$1006:$AU$1006,0)), HYPERLINK("#",""), HYPERLINK(CONCATENATE("#metadata!", ADDRESS(INDEX($Y$2:$Y$1001,MATCH(ROWS($W$2:W702),$W$2:$W$1001,0),0), INDEX($AD$1004:$AU$1004,1,MATCH(COLUMNS($AD$1006:AJ1006),$AD$1006:$AU$1006,0)))),"Fix")))</f>
        <v xml:space="preserve"> </v>
      </c>
      <c r="I702" s="4" t="str">
        <f ca="1">IF(OR(INDEX($X$2:$X$1001,MATCH(ROWS($W$2:W702),$W$2:$W$1001,0),1)&gt;=100000,INDEX($AD$1005:$AU$1005,1,MATCH(COLUMNS($AD$1006:AK1006),$AD$1006:$AU$1006,0))&gt;=100000), " ",IF(INDEX($AD$2:$AU$1001,MATCH(ROWS($W$2:W702),$W$2:$W$1001,0),MATCH(COLUMNS($AD$1006:AK1006),$AD$1006:$AU$1006,0)), HYPERLINK("#",""), HYPERLINK(CONCATENATE("#metadata!", ADDRESS(INDEX($Y$2:$Y$1001,MATCH(ROWS($W$2:W702),$W$2:$W$1001,0),0), INDEX($AD$1004:$AU$1004,1,MATCH(COLUMNS($AD$1006:AK1006),$AD$1006:$AU$1006,0)))),"Fix")))</f>
        <v xml:space="preserve"> </v>
      </c>
      <c r="J702" s="4" t="str">
        <f ca="1">IF(OR(INDEX($X$2:$X$1001,MATCH(ROWS($W$2:W702),$W$2:$W$1001,0),1)&gt;=100000,INDEX($AD$1005:$AU$1005,1,MATCH(COLUMNS($AD$1006:AL1006),$AD$1006:$AU$1006,0))&gt;=100000), " ",IF(INDEX($AD$2:$AU$1001,MATCH(ROWS($W$2:W702),$W$2:$W$1001,0),MATCH(COLUMNS($AD$1006:AL1006),$AD$1006:$AU$1006,0)), HYPERLINK("#",""), HYPERLINK(CONCATENATE("#metadata!", ADDRESS(INDEX($Y$2:$Y$1001,MATCH(ROWS($W$2:W702),$W$2:$W$1001,0),0), INDEX($AD$1004:$AU$1004,1,MATCH(COLUMNS($AD$1006:AL1006),$AD$1006:$AU$1006,0)))),"Fix")))</f>
        <v xml:space="preserve"> </v>
      </c>
      <c r="K702" s="4" t="str">
        <f ca="1">IF(OR(INDEX($X$2:$X$1001,MATCH(ROWS($W$2:W702),$W$2:$W$1001,0),1)&gt;=100000,INDEX($AD$1005:$AU$1005,1,MATCH(COLUMNS($AD$1006:AM1006),$AD$1006:$AU$1006,0))&gt;=100000), " ",IF(INDEX($AD$2:$AU$1001,MATCH(ROWS($W$2:W702),$W$2:$W$1001,0),MATCH(COLUMNS($AD$1006:AM1006),$AD$1006:$AU$1006,0)), HYPERLINK("#",""), HYPERLINK(CONCATENATE("#metadata!", ADDRESS(INDEX($Y$2:$Y$1001,MATCH(ROWS($W$2:W702),$W$2:$W$1001,0),0), INDEX($AD$1004:$AU$1004,1,MATCH(COLUMNS($AD$1006:AM1006),$AD$1006:$AU$1006,0)))),"Fix")))</f>
        <v xml:space="preserve"> </v>
      </c>
      <c r="L702" s="4" t="str">
        <f ca="1">IF(OR(INDEX($X$2:$X$1001,MATCH(ROWS($W$2:W702),$W$2:$W$1001,0),1)&gt;=100000,INDEX($AD$1005:$AU$1005,1,MATCH(COLUMNS($AD$1006:AN1006),$AD$1006:$AU$1006,0))&gt;=100000), " ",IF(INDEX($AD$2:$AU$1001,MATCH(ROWS($W$2:W702),$W$2:$W$1001,0),MATCH(COLUMNS($AD$1006:AN1006),$AD$1006:$AU$1006,0)), HYPERLINK("#",""), HYPERLINK(CONCATENATE("#metadata!", ADDRESS(INDEX($Y$2:$Y$1001,MATCH(ROWS($W$2:W702),$W$2:$W$1001,0),0), INDEX($AD$1004:$AU$1004,1,MATCH(COLUMNS($AD$1006:AN1006),$AD$1006:$AU$1006,0)))),"Fix")))</f>
        <v xml:space="preserve"> </v>
      </c>
      <c r="M702" s="4" t="str">
        <f ca="1">IF(OR(INDEX($X$2:$X$1001,MATCH(ROWS($W$2:W702),$W$2:$W$1001,0),1)&gt;=100000,INDEX($AD$1005:$AU$1005,1,MATCH(COLUMNS($AD$1006:AO1006),$AD$1006:$AU$1006,0))&gt;=100000), " ",IF(INDEX($AD$2:$AU$1001,MATCH(ROWS($W$2:W702),$W$2:$W$1001,0),MATCH(COLUMNS($AD$1006:AO1006),$AD$1006:$AU$1006,0)), HYPERLINK("#",""), HYPERLINK(CONCATENATE("#metadata!", ADDRESS(INDEX($Y$2:$Y$1001,MATCH(ROWS($W$2:W702),$W$2:$W$1001,0),0), INDEX($AD$1004:$AU$1004,1,MATCH(COLUMNS($AD$1006:AO1006),$AD$1006:$AU$1006,0)))),"Fix")))</f>
        <v xml:space="preserve"> </v>
      </c>
      <c r="N702" s="4" t="str">
        <f ca="1">IF(OR(INDEX($X$2:$X$1001,MATCH(ROWS($W$2:W702),$W$2:$W$1001,0),1)&gt;=100000,INDEX($AD$1005:$AU$1005,1,MATCH(COLUMNS($AD$1006:AP1006),$AD$1006:$AU$1006,0))&gt;=100000), " ",IF(INDEX($AD$2:$AU$1001,MATCH(ROWS($W$2:W702),$W$2:$W$1001,0),MATCH(COLUMNS($AD$1006:AP1006),$AD$1006:$AU$1006,0)), HYPERLINK("#",""), HYPERLINK(CONCATENATE("#metadata!", ADDRESS(INDEX($Y$2:$Y$1001,MATCH(ROWS($W$2:W702),$W$2:$W$1001,0),0), INDEX($AD$1004:$AU$1004,1,MATCH(COLUMNS($AD$1006:AP1006),$AD$1006:$AU$1006,0)))),"Fix")))</f>
        <v xml:space="preserve"> </v>
      </c>
      <c r="O702" s="4" t="str">
        <f ca="1">IF(OR(INDEX($X$2:$X$1001,MATCH(ROWS($W$2:W702),$W$2:$W$1001,0),1)&gt;=100000,INDEX($AD$1005:$AU$1005,1,MATCH(COLUMNS($AD$1006:AQ1006),$AD$1006:$AU$1006,0))&gt;=100000), " ",IF(INDEX($AD$2:$AU$1001,MATCH(ROWS($W$2:W702),$W$2:$W$1001,0),MATCH(COLUMNS($AD$1006:AQ1006),$AD$1006:$AU$1006,0)), HYPERLINK("#",""), HYPERLINK(CONCATENATE("#metadata!", ADDRESS(INDEX($Y$2:$Y$1001,MATCH(ROWS($W$2:W702),$W$2:$W$1001,0),0), INDEX($AD$1004:$AU$1004,1,MATCH(COLUMNS($AD$1006:AQ1006),$AD$1006:$AU$1006,0)))),"Fix")))</f>
        <v xml:space="preserve"> </v>
      </c>
      <c r="P702" s="4" t="str">
        <f ca="1">IF(OR(INDEX($X$2:$X$1001,MATCH(ROWS($W$2:W702),$W$2:$W$1001,0),1)&gt;=100000,INDEX($AD$1005:$AU$1005,1,MATCH(COLUMNS($AD$1006:AR1006),$AD$1006:$AU$1006,0))&gt;=100000), " ",IF(INDEX($AD$2:$AU$1001,MATCH(ROWS($W$2:W702),$W$2:$W$1001,0),MATCH(COLUMNS($AD$1006:AR1006),$AD$1006:$AU$1006,0)), HYPERLINK("#",""), HYPERLINK(CONCATENATE("#metadata!", ADDRESS(INDEX($Y$2:$Y$1001,MATCH(ROWS($W$2:W702),$W$2:$W$1001,0),0), INDEX($AD$1004:$AU$1004,1,MATCH(COLUMNS($AD$1006:AR1006),$AD$1006:$AU$1006,0)))),"Fix")))</f>
        <v xml:space="preserve"> </v>
      </c>
      <c r="Q702" s="4" t="str">
        <f ca="1">IF(OR(INDEX($X$2:$X$1001,MATCH(ROWS($W$2:W702),$W$2:$W$1001,0),1)&gt;=100000,INDEX($AD$1005:$AU$1005,1,MATCH(COLUMNS($AD$1006:AS1006),$AD$1006:$AU$1006,0))&gt;=100000), " ",IF(INDEX($AD$2:$AU$1001,MATCH(ROWS($W$2:W702),$W$2:$W$1001,0),MATCH(COLUMNS($AD$1006:AS1006),$AD$1006:$AU$1006,0)), HYPERLINK("#",""), HYPERLINK(CONCATENATE("#metadata!", ADDRESS(INDEX($Y$2:$Y$1001,MATCH(ROWS($W$2:W702),$W$2:$W$1001,0),0), INDEX($AD$1004:$AU$1004,1,MATCH(COLUMNS($AD$1006:AS1006),$AD$1006:$AU$1006,0)))),"Fix")))</f>
        <v xml:space="preserve"> </v>
      </c>
      <c r="R702" s="4" t="str">
        <f ca="1">IF(OR(INDEX($X$2:$X$1001,MATCH(ROWS($W$2:W702),$W$2:$W$1001,0),1)&gt;=100000,INDEX($AD$1005:$AU$1005,1,MATCH(COLUMNS($AD$1006:AT1006),$AD$1006:$AU$1006,0))&gt;=100000), " ",IF(INDEX($AD$2:$AU$1001,MATCH(ROWS($W$2:W702),$W$2:$W$1001,0),MATCH(COLUMNS($AD$1006:AT1006),$AD$1006:$AU$1006,0)), HYPERLINK("#",""), HYPERLINK(CONCATENATE("#metadata!", ADDRESS(INDEX($Y$2:$Y$1001,MATCH(ROWS($W$2:W702),$W$2:$W$1001,0),0), INDEX($AD$1004:$AU$1004,1,MATCH(COLUMNS($AD$1006:AT1006),$AD$1006:$AU$1006,0)))),"Fix")))</f>
        <v xml:space="preserve"> </v>
      </c>
      <c r="S702" s="4" t="str">
        <f ca="1">IF(OR(INDEX($X$2:$X$1001,MATCH(ROWS($W$2:W702),$W$2:$W$1001,0),1)&gt;=100000,INDEX($AD$1005:$AU$1005,1,MATCH(COLUMNS($AD$1006:AU1006),$AD$1006:$AU$1006,0))&gt;=100000), " ",IF(INDEX($AD$2:$AU$1001,MATCH(ROWS($W$2:W702),$W$2:$W$1001,0),MATCH(COLUMNS($AD$1006:AU1006),$AD$1006:$AU$1006,0)), HYPERLINK("#",""), HYPERLINK(CONCATENATE("#metadata!", ADDRESS(INDEX($Y$2:$Y$1001,MATCH(ROWS($W$2:W702),$W$2:$W$1001,0),0), INDEX($AD$1004:$AU$1004,1,MATCH(COLUMNS($AD$1006:AU1006),$AD$1006:$AU$1006,0)))),"Fix")))</f>
        <v xml:space="preserve"> </v>
      </c>
      <c r="W702">
        <v>701</v>
      </c>
      <c r="X702">
        <v>100702</v>
      </c>
      <c r="Y702">
        <v>702</v>
      </c>
      <c r="Z702" t="b">
        <f t="shared" si="10"/>
        <v>1</v>
      </c>
      <c r="AA702" t="b">
        <f>COUNTBLANK(metadata!B702:S702)=COLUMNS(metadata!B702:S702)</f>
        <v>1</v>
      </c>
      <c r="AB702" t="str">
        <v/>
      </c>
      <c r="AD702" t="b">
        <f ca="1">AND(IF(metadata!B702="",FALSE,TRUE),COUNTIF(metadata!B:B, metadata!B702) = 1,NOT(ISERROR(SUMPRODUCT(SEARCH(MID(metadata!B702,ROW(INDIRECT("1:"&amp;LEN(metadata!B702))), 1),"0123456789abcdefghijklmnopqrstuvwxyzABCDEFGHIJKLMNOPQRSTUVWXYZ.")))))</f>
        <v>0</v>
      </c>
      <c r="AE702" t="b">
        <f>OR(AND(IF(metadata!C702="",FALSE,TRUE),OR(EXACT(metadata!C702,"not applicable"),EXACT(metadata!C702,"missing: not collected"),EXACT(metadata!C702,"missing: not provided"),EXACT(metadata!C702,"missing: restricted access"))),AND(IF(metadata!C702="",FALSE,ISNUMBER(VALUE(metadata!C702))),metadata!C702&gt;0))</f>
        <v>0</v>
      </c>
      <c r="AF702" t="b">
        <f>AND(IF(metadata!D702="",FALSE,TRUE),EXACT(metadata!D702,"missing: not provided"))</f>
        <v>0</v>
      </c>
      <c r="AG702" t="b">
        <f>AND(IF(metadata!E702="",FALSE,TRUE),EXACT(metadata!E702,"Host-associated"))</f>
        <v>0</v>
      </c>
      <c r="AH702" t="b">
        <f>AND(IF(metadata!F702="",FALSE,TRUE),OR(EXACT(metadata!F702,"Animal"),EXACT(metadata!F702,"Fungus"),EXACT(metadata!F702,"Plant")))</f>
        <v>0</v>
      </c>
      <c r="AI702" t="b">
        <f>AND(IF(metadata!G702="",FALSE,TRUE),OR(EXACT(metadata!G702,"Plant secretion"),EXACT(metadata!G702,"Plant rhizosphere"),EXACT(metadata!G702,"Plant surface"),EXACT(metadata!G702,"Plant corpus"),EXACT(metadata!G702,"Fungus surface"),EXACT(metadata!G702,"Fungus corpus"),EXACT(metadata!G702,"Animal surface"),EXACT(metadata!G702,"Animal proximal gut"),EXACT(metadata!G702,"Animal corpus"),EXACT(metadata!G702,"Animal distal gut"),EXACT(metadata!G702,"Animal secretion")))</f>
        <v>0</v>
      </c>
      <c r="AJ702" t="b">
        <f>OR(AND(IF(metadata!H702="",FALSE,TRUE),OR(EXACT(metadata!H702,"missing: not collected"),EXACT(metadata!H702,"missing: not provided"),EXACT(metadata!H702,"missing: restricted access"))),AND(IF(metadata!H702="",FALSE,TRUE),OR(EXACT(metadata!H702,"organism-associated habitat"),EXACT(metadata!H702,"plant-associated habitat"),EXACT(metadata!H702,"animal-associated habitat"),EXACT(metadata!H702,"insecta-associated habitat"),EXACT(metadata!H702,"mammalia-associated habitat"),EXACT(metadata!H702,"human-associated habitat"),EXACT(metadata!H702,"livestock-associated habitat"))))</f>
        <v>0</v>
      </c>
      <c r="AK702" t="b">
        <f>AND(IF(metadata!I702="",FALSE,TRUE),EXACT(metadata!I702,"host-associated"))</f>
        <v>0</v>
      </c>
      <c r="AL702" t="b">
        <f>OR(AND(IF(metadata!J702="",FALSE,TRUE),OR(EXACT(metadata!J702,"not applicable"),EXACT(metadata!J702,"missing: not collected"),EXACT(metadata!J702,"missing: not provided"),EXACT(metadata!J702,"missing: restricted access"))),AND(IF(metadata!J702="",FALSE,ISNUMBER(VALUE(metadata!J702))),metadata!J702&gt;0))</f>
        <v>0</v>
      </c>
      <c r="AM702" t="b">
        <f>AND(IF(metadata!K702="",FALSE,TRUE),EXACT(metadata!K702,"missing: not provided"))</f>
        <v>0</v>
      </c>
      <c r="AN702" t="b">
        <f>IF(metadata!L702="",FALSE,TRUE)</f>
        <v>0</v>
      </c>
      <c r="AO702" t="b">
        <f>IF(metadata!M702="",FALSE,TRUE)</f>
        <v>0</v>
      </c>
      <c r="AP702" t="b">
        <f>OR(AND(IF(metadata!N702="",FALSE,TRUE),OR(EXACT(metadata!N702,"not applicable"),EXACT(metadata!N702,"missing: not collected"),EXACT(metadata!N702,"missing: not provided"))),AND(IF(metadata!N702="",FALSE,IF(ISERROR(INT(metadata!N702)),FALSE,INT(metadata!N702)=metadata!N702)),metadata!N702&gt;0))</f>
        <v>0</v>
      </c>
      <c r="AQ702" t="b">
        <f>AND(IF(metadata!O702="",FALSE,TRUE),EXACT(metadata!O702,"Not applicable"))</f>
        <v>0</v>
      </c>
      <c r="AR702" t="b">
        <f>OR(AND(IF(metadata!P702="",FALSE,TRUE),OR(EXACT(metadata!P702,"not applicable"),EXACT(metadata!P702,"missing: not collected"),EXACT(metadata!P702,"missing: not provided"),EXACT(metadata!P702,"missing: restricted access"))),IF(metadata!P702="",FALSE,IF(ISERROR(INT(metadata!P702)),FALSE,INT(metadata!P702)=metadata!P702)))</f>
        <v>0</v>
      </c>
      <c r="AS702" t="b">
        <f>AND(IF(metadata!Q702="",FALSE,TRUE),EXACT(metadata!Q702,"Not applicable"))</f>
        <v>0</v>
      </c>
      <c r="AT702" t="b">
        <f>OR(AND(IF(metadata!R702="",FALSE,TRUE),OR(EXACT(metadata!R702,"not applicable"),EXACT(metadata!R702,"missing: not collected"),EXACT(metadata!R702,"missing: not provided"),EXACT(metadata!R702,"missing: restricted access"))),AND(IF(metadata!R702="",FALSE,ISNUMBER(VALUE(metadata!R702))),metadata!R702&gt;0))</f>
        <v>0</v>
      </c>
      <c r="AU702" t="b">
        <f>AND(IF(metadata!S702="",FALSE,TRUE),EXACT(metadata!S702,"missing: not provided"))</f>
        <v>0</v>
      </c>
    </row>
    <row r="703" spans="1:47" x14ac:dyDescent="0.2">
      <c r="A703" s="5" t="str">
        <f ca="1">IF(B703=" "," ",HYPERLINK(CONCATENATE("#metadata!",ADDRESS(INDEX($Y$2:$Y$1001,MATCH(ROWS($W$2:W703),$W$2:$W$1001,0),0),1)),INDEX($AB$2:$AB$1001,MATCH(ROWS($W$2:W703),$W$2:$W$1001,0),0)))</f>
        <v xml:space="preserve"> </v>
      </c>
      <c r="B703" s="4" t="str">
        <f ca="1">IF(OR(INDEX($X$2:$X$1001,MATCH(ROWS($W$2:W703),$W$2:$W$1001,0),1)&gt;=100000,INDEX($AD$1005:$AU$1005,1,MATCH(COLUMNS($AD$1006:AD1006),$AD$1006:$AU$1006,0))&gt;=100000), " ",IF(INDEX($AD$2:$AU$1001,MATCH(ROWS($W$2:W703),$W$2:$W$1001,0),MATCH(COLUMNS($AD$1006:AD1006),$AD$1006:$AU$1006,0)), HYPERLINK("#",""), HYPERLINK(CONCATENATE("#metadata!", ADDRESS(INDEX($Y$2:$Y$1001,MATCH(ROWS($W$2:W703),$W$2:$W$1001,0),0), INDEX($AD$1004:$AU$1004,1,MATCH(COLUMNS($AD$1006:AD1006),$AD$1006:$AU$1006,0)))),"Fix")))</f>
        <v xml:space="preserve"> </v>
      </c>
      <c r="C703" s="4" t="str">
        <f ca="1">IF(OR(INDEX($X$2:$X$1001,MATCH(ROWS($W$2:W703),$W$2:$W$1001,0),1)&gt;=100000,INDEX($AD$1005:$AU$1005,1,MATCH(COLUMNS($AD$1006:AE1006),$AD$1006:$AU$1006,0))&gt;=100000), " ",IF(INDEX($AD$2:$AU$1001,MATCH(ROWS($W$2:W703),$W$2:$W$1001,0),MATCH(COLUMNS($AD$1006:AE1006),$AD$1006:$AU$1006,0)), HYPERLINK("#",""), HYPERLINK(CONCATENATE("#metadata!", ADDRESS(INDEX($Y$2:$Y$1001,MATCH(ROWS($W$2:W703),$W$2:$W$1001,0),0), INDEX($AD$1004:$AU$1004,1,MATCH(COLUMNS($AD$1006:AE1006),$AD$1006:$AU$1006,0)))),"Fix")))</f>
        <v xml:space="preserve"> </v>
      </c>
      <c r="D703" s="4" t="str">
        <f ca="1">IF(OR(INDEX($X$2:$X$1001,MATCH(ROWS($W$2:W703),$W$2:$W$1001,0),1)&gt;=100000,INDEX($AD$1005:$AU$1005,1,MATCH(COLUMNS($AD$1006:AF1006),$AD$1006:$AU$1006,0))&gt;=100000), " ",IF(INDEX($AD$2:$AU$1001,MATCH(ROWS($W$2:W703),$W$2:$W$1001,0),MATCH(COLUMNS($AD$1006:AF1006),$AD$1006:$AU$1006,0)), HYPERLINK("#",""), HYPERLINK(CONCATENATE("#metadata!", ADDRESS(INDEX($Y$2:$Y$1001,MATCH(ROWS($W$2:W703),$W$2:$W$1001,0),0), INDEX($AD$1004:$AU$1004,1,MATCH(COLUMNS($AD$1006:AF1006),$AD$1006:$AU$1006,0)))),"Fix")))</f>
        <v xml:space="preserve"> </v>
      </c>
      <c r="E703" s="4" t="str">
        <f ca="1">IF(OR(INDEX($X$2:$X$1001,MATCH(ROWS($W$2:W703),$W$2:$W$1001,0),1)&gt;=100000,INDEX($AD$1005:$AU$1005,1,MATCH(COLUMNS($AD$1006:AG1006),$AD$1006:$AU$1006,0))&gt;=100000), " ",IF(INDEX($AD$2:$AU$1001,MATCH(ROWS($W$2:W703),$W$2:$W$1001,0),MATCH(COLUMNS($AD$1006:AG1006),$AD$1006:$AU$1006,0)), HYPERLINK("#",""), HYPERLINK(CONCATENATE("#metadata!", ADDRESS(INDEX($Y$2:$Y$1001,MATCH(ROWS($W$2:W703),$W$2:$W$1001,0),0), INDEX($AD$1004:$AU$1004,1,MATCH(COLUMNS($AD$1006:AG1006),$AD$1006:$AU$1006,0)))),"Fix")))</f>
        <v xml:space="preserve"> </v>
      </c>
      <c r="F703" s="4" t="str">
        <f ca="1">IF(OR(INDEX($X$2:$X$1001,MATCH(ROWS($W$2:W703),$W$2:$W$1001,0),1)&gt;=100000,INDEX($AD$1005:$AU$1005,1,MATCH(COLUMNS($AD$1006:AH1006),$AD$1006:$AU$1006,0))&gt;=100000), " ",IF(INDEX($AD$2:$AU$1001,MATCH(ROWS($W$2:W703),$W$2:$W$1001,0),MATCH(COLUMNS($AD$1006:AH1006),$AD$1006:$AU$1006,0)), HYPERLINK("#",""), HYPERLINK(CONCATENATE("#metadata!", ADDRESS(INDEX($Y$2:$Y$1001,MATCH(ROWS($W$2:W703),$W$2:$W$1001,0),0), INDEX($AD$1004:$AU$1004,1,MATCH(COLUMNS($AD$1006:AH1006),$AD$1006:$AU$1006,0)))),"Fix")))</f>
        <v xml:space="preserve"> </v>
      </c>
      <c r="G703" s="4" t="str">
        <f ca="1">IF(OR(INDEX($X$2:$X$1001,MATCH(ROWS($W$2:W703),$W$2:$W$1001,0),1)&gt;=100000,INDEX($AD$1005:$AU$1005,1,MATCH(COLUMNS($AD$1006:AI1006),$AD$1006:$AU$1006,0))&gt;=100000), " ",IF(INDEX($AD$2:$AU$1001,MATCH(ROWS($W$2:W703),$W$2:$W$1001,0),MATCH(COLUMNS($AD$1006:AI1006),$AD$1006:$AU$1006,0)), HYPERLINK("#",""), HYPERLINK(CONCATENATE("#metadata!", ADDRESS(INDEX($Y$2:$Y$1001,MATCH(ROWS($W$2:W703),$W$2:$W$1001,0),0), INDEX($AD$1004:$AU$1004,1,MATCH(COLUMNS($AD$1006:AI1006),$AD$1006:$AU$1006,0)))),"Fix")))</f>
        <v xml:space="preserve"> </v>
      </c>
      <c r="H703" s="4" t="str">
        <f ca="1">IF(OR(INDEX($X$2:$X$1001,MATCH(ROWS($W$2:W703),$W$2:$W$1001,0),1)&gt;=100000,INDEX($AD$1005:$AU$1005,1,MATCH(COLUMNS($AD$1006:AJ1006),$AD$1006:$AU$1006,0))&gt;=100000), " ",IF(INDEX($AD$2:$AU$1001,MATCH(ROWS($W$2:W703),$W$2:$W$1001,0),MATCH(COLUMNS($AD$1006:AJ1006),$AD$1006:$AU$1006,0)), HYPERLINK("#",""), HYPERLINK(CONCATENATE("#metadata!", ADDRESS(INDEX($Y$2:$Y$1001,MATCH(ROWS($W$2:W703),$W$2:$W$1001,0),0), INDEX($AD$1004:$AU$1004,1,MATCH(COLUMNS($AD$1006:AJ1006),$AD$1006:$AU$1006,0)))),"Fix")))</f>
        <v xml:space="preserve"> </v>
      </c>
      <c r="I703" s="4" t="str">
        <f ca="1">IF(OR(INDEX($X$2:$X$1001,MATCH(ROWS($W$2:W703),$W$2:$W$1001,0),1)&gt;=100000,INDEX($AD$1005:$AU$1005,1,MATCH(COLUMNS($AD$1006:AK1006),$AD$1006:$AU$1006,0))&gt;=100000), " ",IF(INDEX($AD$2:$AU$1001,MATCH(ROWS($W$2:W703),$W$2:$W$1001,0),MATCH(COLUMNS($AD$1006:AK1006),$AD$1006:$AU$1006,0)), HYPERLINK("#",""), HYPERLINK(CONCATENATE("#metadata!", ADDRESS(INDEX($Y$2:$Y$1001,MATCH(ROWS($W$2:W703),$W$2:$W$1001,0),0), INDEX($AD$1004:$AU$1004,1,MATCH(COLUMNS($AD$1006:AK1006),$AD$1006:$AU$1006,0)))),"Fix")))</f>
        <v xml:space="preserve"> </v>
      </c>
      <c r="J703" s="4" t="str">
        <f ca="1">IF(OR(INDEX($X$2:$X$1001,MATCH(ROWS($W$2:W703),$W$2:$W$1001,0),1)&gt;=100000,INDEX($AD$1005:$AU$1005,1,MATCH(COLUMNS($AD$1006:AL1006),$AD$1006:$AU$1006,0))&gt;=100000), " ",IF(INDEX($AD$2:$AU$1001,MATCH(ROWS($W$2:W703),$W$2:$W$1001,0),MATCH(COLUMNS($AD$1006:AL1006),$AD$1006:$AU$1006,0)), HYPERLINK("#",""), HYPERLINK(CONCATENATE("#metadata!", ADDRESS(INDEX($Y$2:$Y$1001,MATCH(ROWS($W$2:W703),$W$2:$W$1001,0),0), INDEX($AD$1004:$AU$1004,1,MATCH(COLUMNS($AD$1006:AL1006),$AD$1006:$AU$1006,0)))),"Fix")))</f>
        <v xml:space="preserve"> </v>
      </c>
      <c r="K703" s="4" t="str">
        <f ca="1">IF(OR(INDEX($X$2:$X$1001,MATCH(ROWS($W$2:W703),$W$2:$W$1001,0),1)&gt;=100000,INDEX($AD$1005:$AU$1005,1,MATCH(COLUMNS($AD$1006:AM1006),$AD$1006:$AU$1006,0))&gt;=100000), " ",IF(INDEX($AD$2:$AU$1001,MATCH(ROWS($W$2:W703),$W$2:$W$1001,0),MATCH(COLUMNS($AD$1006:AM1006),$AD$1006:$AU$1006,0)), HYPERLINK("#",""), HYPERLINK(CONCATENATE("#metadata!", ADDRESS(INDEX($Y$2:$Y$1001,MATCH(ROWS($W$2:W703),$W$2:$W$1001,0),0), INDEX($AD$1004:$AU$1004,1,MATCH(COLUMNS($AD$1006:AM1006),$AD$1006:$AU$1006,0)))),"Fix")))</f>
        <v xml:space="preserve"> </v>
      </c>
      <c r="L703" s="4" t="str">
        <f ca="1">IF(OR(INDEX($X$2:$X$1001,MATCH(ROWS($W$2:W703),$W$2:$W$1001,0),1)&gt;=100000,INDEX($AD$1005:$AU$1005,1,MATCH(COLUMNS($AD$1006:AN1006),$AD$1006:$AU$1006,0))&gt;=100000), " ",IF(INDEX($AD$2:$AU$1001,MATCH(ROWS($W$2:W703),$W$2:$W$1001,0),MATCH(COLUMNS($AD$1006:AN1006),$AD$1006:$AU$1006,0)), HYPERLINK("#",""), HYPERLINK(CONCATENATE("#metadata!", ADDRESS(INDEX($Y$2:$Y$1001,MATCH(ROWS($W$2:W703),$W$2:$W$1001,0),0), INDEX($AD$1004:$AU$1004,1,MATCH(COLUMNS($AD$1006:AN1006),$AD$1006:$AU$1006,0)))),"Fix")))</f>
        <v xml:space="preserve"> </v>
      </c>
      <c r="M703" s="4" t="str">
        <f ca="1">IF(OR(INDEX($X$2:$X$1001,MATCH(ROWS($W$2:W703),$W$2:$W$1001,0),1)&gt;=100000,INDEX($AD$1005:$AU$1005,1,MATCH(COLUMNS($AD$1006:AO1006),$AD$1006:$AU$1006,0))&gt;=100000), " ",IF(INDEX($AD$2:$AU$1001,MATCH(ROWS($W$2:W703),$W$2:$W$1001,0),MATCH(COLUMNS($AD$1006:AO1006),$AD$1006:$AU$1006,0)), HYPERLINK("#",""), HYPERLINK(CONCATENATE("#metadata!", ADDRESS(INDEX($Y$2:$Y$1001,MATCH(ROWS($W$2:W703),$W$2:$W$1001,0),0), INDEX($AD$1004:$AU$1004,1,MATCH(COLUMNS($AD$1006:AO1006),$AD$1006:$AU$1006,0)))),"Fix")))</f>
        <v xml:space="preserve"> </v>
      </c>
      <c r="N703" s="4" t="str">
        <f ca="1">IF(OR(INDEX($X$2:$X$1001,MATCH(ROWS($W$2:W703),$W$2:$W$1001,0),1)&gt;=100000,INDEX($AD$1005:$AU$1005,1,MATCH(COLUMNS($AD$1006:AP1006),$AD$1006:$AU$1006,0))&gt;=100000), " ",IF(INDEX($AD$2:$AU$1001,MATCH(ROWS($W$2:W703),$W$2:$W$1001,0),MATCH(COLUMNS($AD$1006:AP1006),$AD$1006:$AU$1006,0)), HYPERLINK("#",""), HYPERLINK(CONCATENATE("#metadata!", ADDRESS(INDEX($Y$2:$Y$1001,MATCH(ROWS($W$2:W703),$W$2:$W$1001,0),0), INDEX($AD$1004:$AU$1004,1,MATCH(COLUMNS($AD$1006:AP1006),$AD$1006:$AU$1006,0)))),"Fix")))</f>
        <v xml:space="preserve"> </v>
      </c>
      <c r="O703" s="4" t="str">
        <f ca="1">IF(OR(INDEX($X$2:$X$1001,MATCH(ROWS($W$2:W703),$W$2:$W$1001,0),1)&gt;=100000,INDEX($AD$1005:$AU$1005,1,MATCH(COLUMNS($AD$1006:AQ1006),$AD$1006:$AU$1006,0))&gt;=100000), " ",IF(INDEX($AD$2:$AU$1001,MATCH(ROWS($W$2:W703),$W$2:$W$1001,0),MATCH(COLUMNS($AD$1006:AQ1006),$AD$1006:$AU$1006,0)), HYPERLINK("#",""), HYPERLINK(CONCATENATE("#metadata!", ADDRESS(INDEX($Y$2:$Y$1001,MATCH(ROWS($W$2:W703),$W$2:$W$1001,0),0), INDEX($AD$1004:$AU$1004,1,MATCH(COLUMNS($AD$1006:AQ1006),$AD$1006:$AU$1006,0)))),"Fix")))</f>
        <v xml:space="preserve"> </v>
      </c>
      <c r="P703" s="4" t="str">
        <f ca="1">IF(OR(INDEX($X$2:$X$1001,MATCH(ROWS($W$2:W703),$W$2:$W$1001,0),1)&gt;=100000,INDEX($AD$1005:$AU$1005,1,MATCH(COLUMNS($AD$1006:AR1006),$AD$1006:$AU$1006,0))&gt;=100000), " ",IF(INDEX($AD$2:$AU$1001,MATCH(ROWS($W$2:W703),$W$2:$W$1001,0),MATCH(COLUMNS($AD$1006:AR1006),$AD$1006:$AU$1006,0)), HYPERLINK("#",""), HYPERLINK(CONCATENATE("#metadata!", ADDRESS(INDEX($Y$2:$Y$1001,MATCH(ROWS($W$2:W703),$W$2:$W$1001,0),0), INDEX($AD$1004:$AU$1004,1,MATCH(COLUMNS($AD$1006:AR1006),$AD$1006:$AU$1006,0)))),"Fix")))</f>
        <v xml:space="preserve"> </v>
      </c>
      <c r="Q703" s="4" t="str">
        <f ca="1">IF(OR(INDEX($X$2:$X$1001,MATCH(ROWS($W$2:W703),$W$2:$W$1001,0),1)&gt;=100000,INDEX($AD$1005:$AU$1005,1,MATCH(COLUMNS($AD$1006:AS1006),$AD$1006:$AU$1006,0))&gt;=100000), " ",IF(INDEX($AD$2:$AU$1001,MATCH(ROWS($W$2:W703),$W$2:$W$1001,0),MATCH(COLUMNS($AD$1006:AS1006),$AD$1006:$AU$1006,0)), HYPERLINK("#",""), HYPERLINK(CONCATENATE("#metadata!", ADDRESS(INDEX($Y$2:$Y$1001,MATCH(ROWS($W$2:W703),$W$2:$W$1001,0),0), INDEX($AD$1004:$AU$1004,1,MATCH(COLUMNS($AD$1006:AS1006),$AD$1006:$AU$1006,0)))),"Fix")))</f>
        <v xml:space="preserve"> </v>
      </c>
      <c r="R703" s="4" t="str">
        <f ca="1">IF(OR(INDEX($X$2:$X$1001,MATCH(ROWS($W$2:W703),$W$2:$W$1001,0),1)&gt;=100000,INDEX($AD$1005:$AU$1005,1,MATCH(COLUMNS($AD$1006:AT1006),$AD$1006:$AU$1006,0))&gt;=100000), " ",IF(INDEX($AD$2:$AU$1001,MATCH(ROWS($W$2:W703),$W$2:$W$1001,0),MATCH(COLUMNS($AD$1006:AT1006),$AD$1006:$AU$1006,0)), HYPERLINK("#",""), HYPERLINK(CONCATENATE("#metadata!", ADDRESS(INDEX($Y$2:$Y$1001,MATCH(ROWS($W$2:W703),$W$2:$W$1001,0),0), INDEX($AD$1004:$AU$1004,1,MATCH(COLUMNS($AD$1006:AT1006),$AD$1006:$AU$1006,0)))),"Fix")))</f>
        <v xml:space="preserve"> </v>
      </c>
      <c r="S703" s="4" t="str">
        <f ca="1">IF(OR(INDEX($X$2:$X$1001,MATCH(ROWS($W$2:W703),$W$2:$W$1001,0),1)&gt;=100000,INDEX($AD$1005:$AU$1005,1,MATCH(COLUMNS($AD$1006:AU1006),$AD$1006:$AU$1006,0))&gt;=100000), " ",IF(INDEX($AD$2:$AU$1001,MATCH(ROWS($W$2:W703),$W$2:$W$1001,0),MATCH(COLUMNS($AD$1006:AU1006),$AD$1006:$AU$1006,0)), HYPERLINK("#",""), HYPERLINK(CONCATENATE("#metadata!", ADDRESS(INDEX($Y$2:$Y$1001,MATCH(ROWS($W$2:W703),$W$2:$W$1001,0),0), INDEX($AD$1004:$AU$1004,1,MATCH(COLUMNS($AD$1006:AU1006),$AD$1006:$AU$1006,0)))),"Fix")))</f>
        <v xml:space="preserve"> </v>
      </c>
      <c r="W703">
        <v>702</v>
      </c>
      <c r="X703">
        <v>100703</v>
      </c>
      <c r="Y703">
        <v>703</v>
      </c>
      <c r="Z703" t="b">
        <f t="shared" si="10"/>
        <v>1</v>
      </c>
      <c r="AA703" t="b">
        <f>COUNTBLANK(metadata!B703:S703)=COLUMNS(metadata!B703:S703)</f>
        <v>1</v>
      </c>
      <c r="AB703" t="str">
        <v/>
      </c>
      <c r="AD703" t="b">
        <f ca="1">AND(IF(metadata!B703="",FALSE,TRUE),COUNTIF(metadata!B:B, metadata!B703) = 1,NOT(ISERROR(SUMPRODUCT(SEARCH(MID(metadata!B703,ROW(INDIRECT("1:"&amp;LEN(metadata!B703))), 1),"0123456789abcdefghijklmnopqrstuvwxyzABCDEFGHIJKLMNOPQRSTUVWXYZ.")))))</f>
        <v>0</v>
      </c>
      <c r="AE703" t="b">
        <f>OR(AND(IF(metadata!C703="",FALSE,TRUE),OR(EXACT(metadata!C703,"not applicable"),EXACT(metadata!C703,"missing: not collected"),EXACT(metadata!C703,"missing: not provided"),EXACT(metadata!C703,"missing: restricted access"))),AND(IF(metadata!C703="",FALSE,ISNUMBER(VALUE(metadata!C703))),metadata!C703&gt;0))</f>
        <v>0</v>
      </c>
      <c r="AF703" t="b">
        <f>AND(IF(metadata!D703="",FALSE,TRUE),EXACT(metadata!D703,"missing: not provided"))</f>
        <v>0</v>
      </c>
      <c r="AG703" t="b">
        <f>AND(IF(metadata!E703="",FALSE,TRUE),EXACT(metadata!E703,"Host-associated"))</f>
        <v>0</v>
      </c>
      <c r="AH703" t="b">
        <f>AND(IF(metadata!F703="",FALSE,TRUE),OR(EXACT(metadata!F703,"Animal"),EXACT(metadata!F703,"Fungus"),EXACT(metadata!F703,"Plant")))</f>
        <v>0</v>
      </c>
      <c r="AI703" t="b">
        <f>AND(IF(metadata!G703="",FALSE,TRUE),OR(EXACT(metadata!G703,"Plant secretion"),EXACT(metadata!G703,"Plant rhizosphere"),EXACT(metadata!G703,"Plant surface"),EXACT(metadata!G703,"Plant corpus"),EXACT(metadata!G703,"Fungus surface"),EXACT(metadata!G703,"Fungus corpus"),EXACT(metadata!G703,"Animal surface"),EXACT(metadata!G703,"Animal proximal gut"),EXACT(metadata!G703,"Animal corpus"),EXACT(metadata!G703,"Animal distal gut"),EXACT(metadata!G703,"Animal secretion")))</f>
        <v>0</v>
      </c>
      <c r="AJ703" t="b">
        <f>OR(AND(IF(metadata!H703="",FALSE,TRUE),OR(EXACT(metadata!H703,"missing: not collected"),EXACT(metadata!H703,"missing: not provided"),EXACT(metadata!H703,"missing: restricted access"))),AND(IF(metadata!H703="",FALSE,TRUE),OR(EXACT(metadata!H703,"organism-associated habitat"),EXACT(metadata!H703,"plant-associated habitat"),EXACT(metadata!H703,"animal-associated habitat"),EXACT(metadata!H703,"insecta-associated habitat"),EXACT(metadata!H703,"mammalia-associated habitat"),EXACT(metadata!H703,"human-associated habitat"),EXACT(metadata!H703,"livestock-associated habitat"))))</f>
        <v>0</v>
      </c>
      <c r="AK703" t="b">
        <f>AND(IF(metadata!I703="",FALSE,TRUE),EXACT(metadata!I703,"host-associated"))</f>
        <v>0</v>
      </c>
      <c r="AL703" t="b">
        <f>OR(AND(IF(metadata!J703="",FALSE,TRUE),OR(EXACT(metadata!J703,"not applicable"),EXACT(metadata!J703,"missing: not collected"),EXACT(metadata!J703,"missing: not provided"),EXACT(metadata!J703,"missing: restricted access"))),AND(IF(metadata!J703="",FALSE,ISNUMBER(VALUE(metadata!J703))),metadata!J703&gt;0))</f>
        <v>0</v>
      </c>
      <c r="AM703" t="b">
        <f>AND(IF(metadata!K703="",FALSE,TRUE),EXACT(metadata!K703,"missing: not provided"))</f>
        <v>0</v>
      </c>
      <c r="AN703" t="b">
        <f>IF(metadata!L703="",FALSE,TRUE)</f>
        <v>0</v>
      </c>
      <c r="AO703" t="b">
        <f>IF(metadata!M703="",FALSE,TRUE)</f>
        <v>0</v>
      </c>
      <c r="AP703" t="b">
        <f>OR(AND(IF(metadata!N703="",FALSE,TRUE),OR(EXACT(metadata!N703,"not applicable"),EXACT(metadata!N703,"missing: not collected"),EXACT(metadata!N703,"missing: not provided"))),AND(IF(metadata!N703="",FALSE,IF(ISERROR(INT(metadata!N703)),FALSE,INT(metadata!N703)=metadata!N703)),metadata!N703&gt;0))</f>
        <v>0</v>
      </c>
      <c r="AQ703" t="b">
        <f>AND(IF(metadata!O703="",FALSE,TRUE),EXACT(metadata!O703,"Not applicable"))</f>
        <v>0</v>
      </c>
      <c r="AR703" t="b">
        <f>OR(AND(IF(metadata!P703="",FALSE,TRUE),OR(EXACT(metadata!P703,"not applicable"),EXACT(metadata!P703,"missing: not collected"),EXACT(metadata!P703,"missing: not provided"),EXACT(metadata!P703,"missing: restricted access"))),IF(metadata!P703="",FALSE,IF(ISERROR(INT(metadata!P703)),FALSE,INT(metadata!P703)=metadata!P703)))</f>
        <v>0</v>
      </c>
      <c r="AS703" t="b">
        <f>AND(IF(metadata!Q703="",FALSE,TRUE),EXACT(metadata!Q703,"Not applicable"))</f>
        <v>0</v>
      </c>
      <c r="AT703" t="b">
        <f>OR(AND(IF(metadata!R703="",FALSE,TRUE),OR(EXACT(metadata!R703,"not applicable"),EXACT(metadata!R703,"missing: not collected"),EXACT(metadata!R703,"missing: not provided"),EXACT(metadata!R703,"missing: restricted access"))),AND(IF(metadata!R703="",FALSE,ISNUMBER(VALUE(metadata!R703))),metadata!R703&gt;0))</f>
        <v>0</v>
      </c>
      <c r="AU703" t="b">
        <f>AND(IF(metadata!S703="",FALSE,TRUE),EXACT(metadata!S703,"missing: not provided"))</f>
        <v>0</v>
      </c>
    </row>
    <row r="704" spans="1:47" x14ac:dyDescent="0.2">
      <c r="A704" s="5" t="str">
        <f ca="1">IF(B704=" "," ",HYPERLINK(CONCATENATE("#metadata!",ADDRESS(INDEX($Y$2:$Y$1001,MATCH(ROWS($W$2:W704),$W$2:$W$1001,0),0),1)),INDEX($AB$2:$AB$1001,MATCH(ROWS($W$2:W704),$W$2:$W$1001,0),0)))</f>
        <v xml:space="preserve"> </v>
      </c>
      <c r="B704" s="4" t="str">
        <f ca="1">IF(OR(INDEX($X$2:$X$1001,MATCH(ROWS($W$2:W704),$W$2:$W$1001,0),1)&gt;=100000,INDEX($AD$1005:$AU$1005,1,MATCH(COLUMNS($AD$1006:AD1006),$AD$1006:$AU$1006,0))&gt;=100000), " ",IF(INDEX($AD$2:$AU$1001,MATCH(ROWS($W$2:W704),$W$2:$W$1001,0),MATCH(COLUMNS($AD$1006:AD1006),$AD$1006:$AU$1006,0)), HYPERLINK("#",""), HYPERLINK(CONCATENATE("#metadata!", ADDRESS(INDEX($Y$2:$Y$1001,MATCH(ROWS($W$2:W704),$W$2:$W$1001,0),0), INDEX($AD$1004:$AU$1004,1,MATCH(COLUMNS($AD$1006:AD1006),$AD$1006:$AU$1006,0)))),"Fix")))</f>
        <v xml:space="preserve"> </v>
      </c>
      <c r="C704" s="4" t="str">
        <f ca="1">IF(OR(INDEX($X$2:$X$1001,MATCH(ROWS($W$2:W704),$W$2:$W$1001,0),1)&gt;=100000,INDEX($AD$1005:$AU$1005,1,MATCH(COLUMNS($AD$1006:AE1006),$AD$1006:$AU$1006,0))&gt;=100000), " ",IF(INDEX($AD$2:$AU$1001,MATCH(ROWS($W$2:W704),$W$2:$W$1001,0),MATCH(COLUMNS($AD$1006:AE1006),$AD$1006:$AU$1006,0)), HYPERLINK("#",""), HYPERLINK(CONCATENATE("#metadata!", ADDRESS(INDEX($Y$2:$Y$1001,MATCH(ROWS($W$2:W704),$W$2:$W$1001,0),0), INDEX($AD$1004:$AU$1004,1,MATCH(COLUMNS($AD$1006:AE1006),$AD$1006:$AU$1006,0)))),"Fix")))</f>
        <v xml:space="preserve"> </v>
      </c>
      <c r="D704" s="4" t="str">
        <f ca="1">IF(OR(INDEX($X$2:$X$1001,MATCH(ROWS($W$2:W704),$W$2:$W$1001,0),1)&gt;=100000,INDEX($AD$1005:$AU$1005,1,MATCH(COLUMNS($AD$1006:AF1006),$AD$1006:$AU$1006,0))&gt;=100000), " ",IF(INDEX($AD$2:$AU$1001,MATCH(ROWS($W$2:W704),$W$2:$W$1001,0),MATCH(COLUMNS($AD$1006:AF1006),$AD$1006:$AU$1006,0)), HYPERLINK("#",""), HYPERLINK(CONCATENATE("#metadata!", ADDRESS(INDEX($Y$2:$Y$1001,MATCH(ROWS($W$2:W704),$W$2:$W$1001,0),0), INDEX($AD$1004:$AU$1004,1,MATCH(COLUMNS($AD$1006:AF1006),$AD$1006:$AU$1006,0)))),"Fix")))</f>
        <v xml:space="preserve"> </v>
      </c>
      <c r="E704" s="4" t="str">
        <f ca="1">IF(OR(INDEX($X$2:$X$1001,MATCH(ROWS($W$2:W704),$W$2:$W$1001,0),1)&gt;=100000,INDEX($AD$1005:$AU$1005,1,MATCH(COLUMNS($AD$1006:AG1006),$AD$1006:$AU$1006,0))&gt;=100000), " ",IF(INDEX($AD$2:$AU$1001,MATCH(ROWS($W$2:W704),$W$2:$W$1001,0),MATCH(COLUMNS($AD$1006:AG1006),$AD$1006:$AU$1006,0)), HYPERLINK("#",""), HYPERLINK(CONCATENATE("#metadata!", ADDRESS(INDEX($Y$2:$Y$1001,MATCH(ROWS($W$2:W704),$W$2:$W$1001,0),0), INDEX($AD$1004:$AU$1004,1,MATCH(COLUMNS($AD$1006:AG1006),$AD$1006:$AU$1006,0)))),"Fix")))</f>
        <v xml:space="preserve"> </v>
      </c>
      <c r="F704" s="4" t="str">
        <f ca="1">IF(OR(INDEX($X$2:$X$1001,MATCH(ROWS($W$2:W704),$W$2:$W$1001,0),1)&gt;=100000,INDEX($AD$1005:$AU$1005,1,MATCH(COLUMNS($AD$1006:AH1006),$AD$1006:$AU$1006,0))&gt;=100000), " ",IF(INDEX($AD$2:$AU$1001,MATCH(ROWS($W$2:W704),$W$2:$W$1001,0),MATCH(COLUMNS($AD$1006:AH1006),$AD$1006:$AU$1006,0)), HYPERLINK("#",""), HYPERLINK(CONCATENATE("#metadata!", ADDRESS(INDEX($Y$2:$Y$1001,MATCH(ROWS($W$2:W704),$W$2:$W$1001,0),0), INDEX($AD$1004:$AU$1004,1,MATCH(COLUMNS($AD$1006:AH1006),$AD$1006:$AU$1006,0)))),"Fix")))</f>
        <v xml:space="preserve"> </v>
      </c>
      <c r="G704" s="4" t="str">
        <f ca="1">IF(OR(INDEX($X$2:$X$1001,MATCH(ROWS($W$2:W704),$W$2:$W$1001,0),1)&gt;=100000,INDEX($AD$1005:$AU$1005,1,MATCH(COLUMNS($AD$1006:AI1006),$AD$1006:$AU$1006,0))&gt;=100000), " ",IF(INDEX($AD$2:$AU$1001,MATCH(ROWS($W$2:W704),$W$2:$W$1001,0),MATCH(COLUMNS($AD$1006:AI1006),$AD$1006:$AU$1006,0)), HYPERLINK("#",""), HYPERLINK(CONCATENATE("#metadata!", ADDRESS(INDEX($Y$2:$Y$1001,MATCH(ROWS($W$2:W704),$W$2:$W$1001,0),0), INDEX($AD$1004:$AU$1004,1,MATCH(COLUMNS($AD$1006:AI1006),$AD$1006:$AU$1006,0)))),"Fix")))</f>
        <v xml:space="preserve"> </v>
      </c>
      <c r="H704" s="4" t="str">
        <f ca="1">IF(OR(INDEX($X$2:$X$1001,MATCH(ROWS($W$2:W704),$W$2:$W$1001,0),1)&gt;=100000,INDEX($AD$1005:$AU$1005,1,MATCH(COLUMNS($AD$1006:AJ1006),$AD$1006:$AU$1006,0))&gt;=100000), " ",IF(INDEX($AD$2:$AU$1001,MATCH(ROWS($W$2:W704),$W$2:$W$1001,0),MATCH(COLUMNS($AD$1006:AJ1006),$AD$1006:$AU$1006,0)), HYPERLINK("#",""), HYPERLINK(CONCATENATE("#metadata!", ADDRESS(INDEX($Y$2:$Y$1001,MATCH(ROWS($W$2:W704),$W$2:$W$1001,0),0), INDEX($AD$1004:$AU$1004,1,MATCH(COLUMNS($AD$1006:AJ1006),$AD$1006:$AU$1006,0)))),"Fix")))</f>
        <v xml:space="preserve"> </v>
      </c>
      <c r="I704" s="4" t="str">
        <f ca="1">IF(OR(INDEX($X$2:$X$1001,MATCH(ROWS($W$2:W704),$W$2:$W$1001,0),1)&gt;=100000,INDEX($AD$1005:$AU$1005,1,MATCH(COLUMNS($AD$1006:AK1006),$AD$1006:$AU$1006,0))&gt;=100000), " ",IF(INDEX($AD$2:$AU$1001,MATCH(ROWS($W$2:W704),$W$2:$W$1001,0),MATCH(COLUMNS($AD$1006:AK1006),$AD$1006:$AU$1006,0)), HYPERLINK("#",""), HYPERLINK(CONCATENATE("#metadata!", ADDRESS(INDEX($Y$2:$Y$1001,MATCH(ROWS($W$2:W704),$W$2:$W$1001,0),0), INDEX($AD$1004:$AU$1004,1,MATCH(COLUMNS($AD$1006:AK1006),$AD$1006:$AU$1006,0)))),"Fix")))</f>
        <v xml:space="preserve"> </v>
      </c>
      <c r="J704" s="4" t="str">
        <f ca="1">IF(OR(INDEX($X$2:$X$1001,MATCH(ROWS($W$2:W704),$W$2:$W$1001,0),1)&gt;=100000,INDEX($AD$1005:$AU$1005,1,MATCH(COLUMNS($AD$1006:AL1006),$AD$1006:$AU$1006,0))&gt;=100000), " ",IF(INDEX($AD$2:$AU$1001,MATCH(ROWS($W$2:W704),$W$2:$W$1001,0),MATCH(COLUMNS($AD$1006:AL1006),$AD$1006:$AU$1006,0)), HYPERLINK("#",""), HYPERLINK(CONCATENATE("#metadata!", ADDRESS(INDEX($Y$2:$Y$1001,MATCH(ROWS($W$2:W704),$W$2:$W$1001,0),0), INDEX($AD$1004:$AU$1004,1,MATCH(COLUMNS($AD$1006:AL1006),$AD$1006:$AU$1006,0)))),"Fix")))</f>
        <v xml:space="preserve"> </v>
      </c>
      <c r="K704" s="4" t="str">
        <f ca="1">IF(OR(INDEX($X$2:$X$1001,MATCH(ROWS($W$2:W704),$W$2:$W$1001,0),1)&gt;=100000,INDEX($AD$1005:$AU$1005,1,MATCH(COLUMNS($AD$1006:AM1006),$AD$1006:$AU$1006,0))&gt;=100000), " ",IF(INDEX($AD$2:$AU$1001,MATCH(ROWS($W$2:W704),$W$2:$W$1001,0),MATCH(COLUMNS($AD$1006:AM1006),$AD$1006:$AU$1006,0)), HYPERLINK("#",""), HYPERLINK(CONCATENATE("#metadata!", ADDRESS(INDEX($Y$2:$Y$1001,MATCH(ROWS($W$2:W704),$W$2:$W$1001,0),0), INDEX($AD$1004:$AU$1004,1,MATCH(COLUMNS($AD$1006:AM1006),$AD$1006:$AU$1006,0)))),"Fix")))</f>
        <v xml:space="preserve"> </v>
      </c>
      <c r="L704" s="4" t="str">
        <f ca="1">IF(OR(INDEX($X$2:$X$1001,MATCH(ROWS($W$2:W704),$W$2:$W$1001,0),1)&gt;=100000,INDEX($AD$1005:$AU$1005,1,MATCH(COLUMNS($AD$1006:AN1006),$AD$1006:$AU$1006,0))&gt;=100000), " ",IF(INDEX($AD$2:$AU$1001,MATCH(ROWS($W$2:W704),$W$2:$W$1001,0),MATCH(COLUMNS($AD$1006:AN1006),$AD$1006:$AU$1006,0)), HYPERLINK("#",""), HYPERLINK(CONCATENATE("#metadata!", ADDRESS(INDEX($Y$2:$Y$1001,MATCH(ROWS($W$2:W704),$W$2:$W$1001,0),0), INDEX($AD$1004:$AU$1004,1,MATCH(COLUMNS($AD$1006:AN1006),$AD$1006:$AU$1006,0)))),"Fix")))</f>
        <v xml:space="preserve"> </v>
      </c>
      <c r="M704" s="4" t="str">
        <f ca="1">IF(OR(INDEX($X$2:$X$1001,MATCH(ROWS($W$2:W704),$W$2:$W$1001,0),1)&gt;=100000,INDEX($AD$1005:$AU$1005,1,MATCH(COLUMNS($AD$1006:AO1006),$AD$1006:$AU$1006,0))&gt;=100000), " ",IF(INDEX($AD$2:$AU$1001,MATCH(ROWS($W$2:W704),$W$2:$W$1001,0),MATCH(COLUMNS($AD$1006:AO1006),$AD$1006:$AU$1006,0)), HYPERLINK("#",""), HYPERLINK(CONCATENATE("#metadata!", ADDRESS(INDEX($Y$2:$Y$1001,MATCH(ROWS($W$2:W704),$W$2:$W$1001,0),0), INDEX($AD$1004:$AU$1004,1,MATCH(COLUMNS($AD$1006:AO1006),$AD$1006:$AU$1006,0)))),"Fix")))</f>
        <v xml:space="preserve"> </v>
      </c>
      <c r="N704" s="4" t="str">
        <f ca="1">IF(OR(INDEX($X$2:$X$1001,MATCH(ROWS($W$2:W704),$W$2:$W$1001,0),1)&gt;=100000,INDEX($AD$1005:$AU$1005,1,MATCH(COLUMNS($AD$1006:AP1006),$AD$1006:$AU$1006,0))&gt;=100000), " ",IF(INDEX($AD$2:$AU$1001,MATCH(ROWS($W$2:W704),$W$2:$W$1001,0),MATCH(COLUMNS($AD$1006:AP1006),$AD$1006:$AU$1006,0)), HYPERLINK("#",""), HYPERLINK(CONCATENATE("#metadata!", ADDRESS(INDEX($Y$2:$Y$1001,MATCH(ROWS($W$2:W704),$W$2:$W$1001,0),0), INDEX($AD$1004:$AU$1004,1,MATCH(COLUMNS($AD$1006:AP1006),$AD$1006:$AU$1006,0)))),"Fix")))</f>
        <v xml:space="preserve"> </v>
      </c>
      <c r="O704" s="4" t="str">
        <f ca="1">IF(OR(INDEX($X$2:$X$1001,MATCH(ROWS($W$2:W704),$W$2:$W$1001,0),1)&gt;=100000,INDEX($AD$1005:$AU$1005,1,MATCH(COLUMNS($AD$1006:AQ1006),$AD$1006:$AU$1006,0))&gt;=100000), " ",IF(INDEX($AD$2:$AU$1001,MATCH(ROWS($W$2:W704),$W$2:$W$1001,0),MATCH(COLUMNS($AD$1006:AQ1006),$AD$1006:$AU$1006,0)), HYPERLINK("#",""), HYPERLINK(CONCATENATE("#metadata!", ADDRESS(INDEX($Y$2:$Y$1001,MATCH(ROWS($W$2:W704),$W$2:$W$1001,0),0), INDEX($AD$1004:$AU$1004,1,MATCH(COLUMNS($AD$1006:AQ1006),$AD$1006:$AU$1006,0)))),"Fix")))</f>
        <v xml:space="preserve"> </v>
      </c>
      <c r="P704" s="4" t="str">
        <f ca="1">IF(OR(INDEX($X$2:$X$1001,MATCH(ROWS($W$2:W704),$W$2:$W$1001,0),1)&gt;=100000,INDEX($AD$1005:$AU$1005,1,MATCH(COLUMNS($AD$1006:AR1006),$AD$1006:$AU$1006,0))&gt;=100000), " ",IF(INDEX($AD$2:$AU$1001,MATCH(ROWS($W$2:W704),$W$2:$W$1001,0),MATCH(COLUMNS($AD$1006:AR1006),$AD$1006:$AU$1006,0)), HYPERLINK("#",""), HYPERLINK(CONCATENATE("#metadata!", ADDRESS(INDEX($Y$2:$Y$1001,MATCH(ROWS($W$2:W704),$W$2:$W$1001,0),0), INDEX($AD$1004:$AU$1004,1,MATCH(COLUMNS($AD$1006:AR1006),$AD$1006:$AU$1006,0)))),"Fix")))</f>
        <v xml:space="preserve"> </v>
      </c>
      <c r="Q704" s="4" t="str">
        <f ca="1">IF(OR(INDEX($X$2:$X$1001,MATCH(ROWS($W$2:W704),$W$2:$W$1001,0),1)&gt;=100000,INDEX($AD$1005:$AU$1005,1,MATCH(COLUMNS($AD$1006:AS1006),$AD$1006:$AU$1006,0))&gt;=100000), " ",IF(INDEX($AD$2:$AU$1001,MATCH(ROWS($W$2:W704),$W$2:$W$1001,0),MATCH(COLUMNS($AD$1006:AS1006),$AD$1006:$AU$1006,0)), HYPERLINK("#",""), HYPERLINK(CONCATENATE("#metadata!", ADDRESS(INDEX($Y$2:$Y$1001,MATCH(ROWS($W$2:W704),$W$2:$W$1001,0),0), INDEX($AD$1004:$AU$1004,1,MATCH(COLUMNS($AD$1006:AS1006),$AD$1006:$AU$1006,0)))),"Fix")))</f>
        <v xml:space="preserve"> </v>
      </c>
      <c r="R704" s="4" t="str">
        <f ca="1">IF(OR(INDEX($X$2:$X$1001,MATCH(ROWS($W$2:W704),$W$2:$W$1001,0),1)&gt;=100000,INDEX($AD$1005:$AU$1005,1,MATCH(COLUMNS($AD$1006:AT1006),$AD$1006:$AU$1006,0))&gt;=100000), " ",IF(INDEX($AD$2:$AU$1001,MATCH(ROWS($W$2:W704),$W$2:$W$1001,0),MATCH(COLUMNS($AD$1006:AT1006),$AD$1006:$AU$1006,0)), HYPERLINK("#",""), HYPERLINK(CONCATENATE("#metadata!", ADDRESS(INDEX($Y$2:$Y$1001,MATCH(ROWS($W$2:W704),$W$2:$W$1001,0),0), INDEX($AD$1004:$AU$1004,1,MATCH(COLUMNS($AD$1006:AT1006),$AD$1006:$AU$1006,0)))),"Fix")))</f>
        <v xml:space="preserve"> </v>
      </c>
      <c r="S704" s="4" t="str">
        <f ca="1">IF(OR(INDEX($X$2:$X$1001,MATCH(ROWS($W$2:W704),$W$2:$W$1001,0),1)&gt;=100000,INDEX($AD$1005:$AU$1005,1,MATCH(COLUMNS($AD$1006:AU1006),$AD$1006:$AU$1006,0))&gt;=100000), " ",IF(INDEX($AD$2:$AU$1001,MATCH(ROWS($W$2:W704),$W$2:$W$1001,0),MATCH(COLUMNS($AD$1006:AU1006),$AD$1006:$AU$1006,0)), HYPERLINK("#",""), HYPERLINK(CONCATENATE("#metadata!", ADDRESS(INDEX($Y$2:$Y$1001,MATCH(ROWS($W$2:W704),$W$2:$W$1001,0),0), INDEX($AD$1004:$AU$1004,1,MATCH(COLUMNS($AD$1006:AU1006),$AD$1006:$AU$1006,0)))),"Fix")))</f>
        <v xml:space="preserve"> </v>
      </c>
      <c r="W704">
        <v>703</v>
      </c>
      <c r="X704">
        <v>100704</v>
      </c>
      <c r="Y704">
        <v>704</v>
      </c>
      <c r="Z704" t="b">
        <f t="shared" si="10"/>
        <v>1</v>
      </c>
      <c r="AA704" t="b">
        <f>COUNTBLANK(metadata!B704:S704)=COLUMNS(metadata!B704:S704)</f>
        <v>1</v>
      </c>
      <c r="AB704" t="str">
        <v/>
      </c>
      <c r="AD704" t="b">
        <f ca="1">AND(IF(metadata!B704="",FALSE,TRUE),COUNTIF(metadata!B:B, metadata!B704) = 1,NOT(ISERROR(SUMPRODUCT(SEARCH(MID(metadata!B704,ROW(INDIRECT("1:"&amp;LEN(metadata!B704))), 1),"0123456789abcdefghijklmnopqrstuvwxyzABCDEFGHIJKLMNOPQRSTUVWXYZ.")))))</f>
        <v>0</v>
      </c>
      <c r="AE704" t="b">
        <f>OR(AND(IF(metadata!C704="",FALSE,TRUE),OR(EXACT(metadata!C704,"not applicable"),EXACT(metadata!C704,"missing: not collected"),EXACT(metadata!C704,"missing: not provided"),EXACT(metadata!C704,"missing: restricted access"))),AND(IF(metadata!C704="",FALSE,ISNUMBER(VALUE(metadata!C704))),metadata!C704&gt;0))</f>
        <v>0</v>
      </c>
      <c r="AF704" t="b">
        <f>AND(IF(metadata!D704="",FALSE,TRUE),EXACT(metadata!D704,"missing: not provided"))</f>
        <v>0</v>
      </c>
      <c r="AG704" t="b">
        <f>AND(IF(metadata!E704="",FALSE,TRUE),EXACT(metadata!E704,"Host-associated"))</f>
        <v>0</v>
      </c>
      <c r="AH704" t="b">
        <f>AND(IF(metadata!F704="",FALSE,TRUE),OR(EXACT(metadata!F704,"Animal"),EXACT(metadata!F704,"Fungus"),EXACT(metadata!F704,"Plant")))</f>
        <v>0</v>
      </c>
      <c r="AI704" t="b">
        <f>AND(IF(metadata!G704="",FALSE,TRUE),OR(EXACT(metadata!G704,"Plant secretion"),EXACT(metadata!G704,"Plant rhizosphere"),EXACT(metadata!G704,"Plant surface"),EXACT(metadata!G704,"Plant corpus"),EXACT(metadata!G704,"Fungus surface"),EXACT(metadata!G704,"Fungus corpus"),EXACT(metadata!G704,"Animal surface"),EXACT(metadata!G704,"Animal proximal gut"),EXACT(metadata!G704,"Animal corpus"),EXACT(metadata!G704,"Animal distal gut"),EXACT(metadata!G704,"Animal secretion")))</f>
        <v>0</v>
      </c>
      <c r="AJ704" t="b">
        <f>OR(AND(IF(metadata!H704="",FALSE,TRUE),OR(EXACT(metadata!H704,"missing: not collected"),EXACT(metadata!H704,"missing: not provided"),EXACT(metadata!H704,"missing: restricted access"))),AND(IF(metadata!H704="",FALSE,TRUE),OR(EXACT(metadata!H704,"organism-associated habitat"),EXACT(metadata!H704,"plant-associated habitat"),EXACT(metadata!H704,"animal-associated habitat"),EXACT(metadata!H704,"insecta-associated habitat"),EXACT(metadata!H704,"mammalia-associated habitat"),EXACT(metadata!H704,"human-associated habitat"),EXACT(metadata!H704,"livestock-associated habitat"))))</f>
        <v>0</v>
      </c>
      <c r="AK704" t="b">
        <f>AND(IF(metadata!I704="",FALSE,TRUE),EXACT(metadata!I704,"host-associated"))</f>
        <v>0</v>
      </c>
      <c r="AL704" t="b">
        <f>OR(AND(IF(metadata!J704="",FALSE,TRUE),OR(EXACT(metadata!J704,"not applicable"),EXACT(metadata!J704,"missing: not collected"),EXACT(metadata!J704,"missing: not provided"),EXACT(metadata!J704,"missing: restricted access"))),AND(IF(metadata!J704="",FALSE,ISNUMBER(VALUE(metadata!J704))),metadata!J704&gt;0))</f>
        <v>0</v>
      </c>
      <c r="AM704" t="b">
        <f>AND(IF(metadata!K704="",FALSE,TRUE),EXACT(metadata!K704,"missing: not provided"))</f>
        <v>0</v>
      </c>
      <c r="AN704" t="b">
        <f>IF(metadata!L704="",FALSE,TRUE)</f>
        <v>0</v>
      </c>
      <c r="AO704" t="b">
        <f>IF(metadata!M704="",FALSE,TRUE)</f>
        <v>0</v>
      </c>
      <c r="AP704" t="b">
        <f>OR(AND(IF(metadata!N704="",FALSE,TRUE),OR(EXACT(metadata!N704,"not applicable"),EXACT(metadata!N704,"missing: not collected"),EXACT(metadata!N704,"missing: not provided"))),AND(IF(metadata!N704="",FALSE,IF(ISERROR(INT(metadata!N704)),FALSE,INT(metadata!N704)=metadata!N704)),metadata!N704&gt;0))</f>
        <v>0</v>
      </c>
      <c r="AQ704" t="b">
        <f>AND(IF(metadata!O704="",FALSE,TRUE),EXACT(metadata!O704,"Not applicable"))</f>
        <v>0</v>
      </c>
      <c r="AR704" t="b">
        <f>OR(AND(IF(metadata!P704="",FALSE,TRUE),OR(EXACT(metadata!P704,"not applicable"),EXACT(metadata!P704,"missing: not collected"),EXACT(metadata!P704,"missing: not provided"),EXACT(metadata!P704,"missing: restricted access"))),IF(metadata!P704="",FALSE,IF(ISERROR(INT(metadata!P704)),FALSE,INT(metadata!P704)=metadata!P704)))</f>
        <v>0</v>
      </c>
      <c r="AS704" t="b">
        <f>AND(IF(metadata!Q704="",FALSE,TRUE),EXACT(metadata!Q704,"Not applicable"))</f>
        <v>0</v>
      </c>
      <c r="AT704" t="b">
        <f>OR(AND(IF(metadata!R704="",FALSE,TRUE),OR(EXACT(metadata!R704,"not applicable"),EXACT(metadata!R704,"missing: not collected"),EXACT(metadata!R704,"missing: not provided"),EXACT(metadata!R704,"missing: restricted access"))),AND(IF(metadata!R704="",FALSE,ISNUMBER(VALUE(metadata!R704))),metadata!R704&gt;0))</f>
        <v>0</v>
      </c>
      <c r="AU704" t="b">
        <f>AND(IF(metadata!S704="",FALSE,TRUE),EXACT(metadata!S704,"missing: not provided"))</f>
        <v>0</v>
      </c>
    </row>
    <row r="705" spans="1:47" x14ac:dyDescent="0.2">
      <c r="A705" s="5" t="str">
        <f ca="1">IF(B705=" "," ",HYPERLINK(CONCATENATE("#metadata!",ADDRESS(INDEX($Y$2:$Y$1001,MATCH(ROWS($W$2:W705),$W$2:$W$1001,0),0),1)),INDEX($AB$2:$AB$1001,MATCH(ROWS($W$2:W705),$W$2:$W$1001,0),0)))</f>
        <v xml:space="preserve"> </v>
      </c>
      <c r="B705" s="4" t="str">
        <f ca="1">IF(OR(INDEX($X$2:$X$1001,MATCH(ROWS($W$2:W705),$W$2:$W$1001,0),1)&gt;=100000,INDEX($AD$1005:$AU$1005,1,MATCH(COLUMNS($AD$1006:AD1006),$AD$1006:$AU$1006,0))&gt;=100000), " ",IF(INDEX($AD$2:$AU$1001,MATCH(ROWS($W$2:W705),$W$2:$W$1001,0),MATCH(COLUMNS($AD$1006:AD1006),$AD$1006:$AU$1006,0)), HYPERLINK("#",""), HYPERLINK(CONCATENATE("#metadata!", ADDRESS(INDEX($Y$2:$Y$1001,MATCH(ROWS($W$2:W705),$W$2:$W$1001,0),0), INDEX($AD$1004:$AU$1004,1,MATCH(COLUMNS($AD$1006:AD1006),$AD$1006:$AU$1006,0)))),"Fix")))</f>
        <v xml:space="preserve"> </v>
      </c>
      <c r="C705" s="4" t="str">
        <f ca="1">IF(OR(INDEX($X$2:$X$1001,MATCH(ROWS($W$2:W705),$W$2:$W$1001,0),1)&gt;=100000,INDEX($AD$1005:$AU$1005,1,MATCH(COLUMNS($AD$1006:AE1006),$AD$1006:$AU$1006,0))&gt;=100000), " ",IF(INDEX($AD$2:$AU$1001,MATCH(ROWS($W$2:W705),$W$2:$W$1001,0),MATCH(COLUMNS($AD$1006:AE1006),$AD$1006:$AU$1006,0)), HYPERLINK("#",""), HYPERLINK(CONCATENATE("#metadata!", ADDRESS(INDEX($Y$2:$Y$1001,MATCH(ROWS($W$2:W705),$W$2:$W$1001,0),0), INDEX($AD$1004:$AU$1004,1,MATCH(COLUMNS($AD$1006:AE1006),$AD$1006:$AU$1006,0)))),"Fix")))</f>
        <v xml:space="preserve"> </v>
      </c>
      <c r="D705" s="4" t="str">
        <f ca="1">IF(OR(INDEX($X$2:$X$1001,MATCH(ROWS($W$2:W705),$W$2:$W$1001,0),1)&gt;=100000,INDEX($AD$1005:$AU$1005,1,MATCH(COLUMNS($AD$1006:AF1006),$AD$1006:$AU$1006,0))&gt;=100000), " ",IF(INDEX($AD$2:$AU$1001,MATCH(ROWS($W$2:W705),$W$2:$W$1001,0),MATCH(COLUMNS($AD$1006:AF1006),$AD$1006:$AU$1006,0)), HYPERLINK("#",""), HYPERLINK(CONCATENATE("#metadata!", ADDRESS(INDEX($Y$2:$Y$1001,MATCH(ROWS($W$2:W705),$W$2:$W$1001,0),0), INDEX($AD$1004:$AU$1004,1,MATCH(COLUMNS($AD$1006:AF1006),$AD$1006:$AU$1006,0)))),"Fix")))</f>
        <v xml:space="preserve"> </v>
      </c>
      <c r="E705" s="4" t="str">
        <f ca="1">IF(OR(INDEX($X$2:$X$1001,MATCH(ROWS($W$2:W705),$W$2:$W$1001,0),1)&gt;=100000,INDEX($AD$1005:$AU$1005,1,MATCH(COLUMNS($AD$1006:AG1006),$AD$1006:$AU$1006,0))&gt;=100000), " ",IF(INDEX($AD$2:$AU$1001,MATCH(ROWS($W$2:W705),$W$2:$W$1001,0),MATCH(COLUMNS($AD$1006:AG1006),$AD$1006:$AU$1006,0)), HYPERLINK("#",""), HYPERLINK(CONCATENATE("#metadata!", ADDRESS(INDEX($Y$2:$Y$1001,MATCH(ROWS($W$2:W705),$W$2:$W$1001,0),0), INDEX($AD$1004:$AU$1004,1,MATCH(COLUMNS($AD$1006:AG1006),$AD$1006:$AU$1006,0)))),"Fix")))</f>
        <v xml:space="preserve"> </v>
      </c>
      <c r="F705" s="4" t="str">
        <f ca="1">IF(OR(INDEX($X$2:$X$1001,MATCH(ROWS($W$2:W705),$W$2:$W$1001,0),1)&gt;=100000,INDEX($AD$1005:$AU$1005,1,MATCH(COLUMNS($AD$1006:AH1006),$AD$1006:$AU$1006,0))&gt;=100000), " ",IF(INDEX($AD$2:$AU$1001,MATCH(ROWS($W$2:W705),$W$2:$W$1001,0),MATCH(COLUMNS($AD$1006:AH1006),$AD$1006:$AU$1006,0)), HYPERLINK("#",""), HYPERLINK(CONCATENATE("#metadata!", ADDRESS(INDEX($Y$2:$Y$1001,MATCH(ROWS($W$2:W705),$W$2:$W$1001,0),0), INDEX($AD$1004:$AU$1004,1,MATCH(COLUMNS($AD$1006:AH1006),$AD$1006:$AU$1006,0)))),"Fix")))</f>
        <v xml:space="preserve"> </v>
      </c>
      <c r="G705" s="4" t="str">
        <f ca="1">IF(OR(INDEX($X$2:$X$1001,MATCH(ROWS($W$2:W705),$W$2:$W$1001,0),1)&gt;=100000,INDEX($AD$1005:$AU$1005,1,MATCH(COLUMNS($AD$1006:AI1006),$AD$1006:$AU$1006,0))&gt;=100000), " ",IF(INDEX($AD$2:$AU$1001,MATCH(ROWS($W$2:W705),$W$2:$W$1001,0),MATCH(COLUMNS($AD$1006:AI1006),$AD$1006:$AU$1006,0)), HYPERLINK("#",""), HYPERLINK(CONCATENATE("#metadata!", ADDRESS(INDEX($Y$2:$Y$1001,MATCH(ROWS($W$2:W705),$W$2:$W$1001,0),0), INDEX($AD$1004:$AU$1004,1,MATCH(COLUMNS($AD$1006:AI1006),$AD$1006:$AU$1006,0)))),"Fix")))</f>
        <v xml:space="preserve"> </v>
      </c>
      <c r="H705" s="4" t="str">
        <f ca="1">IF(OR(INDEX($X$2:$X$1001,MATCH(ROWS($W$2:W705),$W$2:$W$1001,0),1)&gt;=100000,INDEX($AD$1005:$AU$1005,1,MATCH(COLUMNS($AD$1006:AJ1006),$AD$1006:$AU$1006,0))&gt;=100000), " ",IF(INDEX($AD$2:$AU$1001,MATCH(ROWS($W$2:W705),$W$2:$W$1001,0),MATCH(COLUMNS($AD$1006:AJ1006),$AD$1006:$AU$1006,0)), HYPERLINK("#",""), HYPERLINK(CONCATENATE("#metadata!", ADDRESS(INDEX($Y$2:$Y$1001,MATCH(ROWS($W$2:W705),$W$2:$W$1001,0),0), INDEX($AD$1004:$AU$1004,1,MATCH(COLUMNS($AD$1006:AJ1006),$AD$1006:$AU$1006,0)))),"Fix")))</f>
        <v xml:space="preserve"> </v>
      </c>
      <c r="I705" s="4" t="str">
        <f ca="1">IF(OR(INDEX($X$2:$X$1001,MATCH(ROWS($W$2:W705),$W$2:$W$1001,0),1)&gt;=100000,INDEX($AD$1005:$AU$1005,1,MATCH(COLUMNS($AD$1006:AK1006),$AD$1006:$AU$1006,0))&gt;=100000), " ",IF(INDEX($AD$2:$AU$1001,MATCH(ROWS($W$2:W705),$W$2:$W$1001,0),MATCH(COLUMNS($AD$1006:AK1006),$AD$1006:$AU$1006,0)), HYPERLINK("#",""), HYPERLINK(CONCATENATE("#metadata!", ADDRESS(INDEX($Y$2:$Y$1001,MATCH(ROWS($W$2:W705),$W$2:$W$1001,0),0), INDEX($AD$1004:$AU$1004,1,MATCH(COLUMNS($AD$1006:AK1006),$AD$1006:$AU$1006,0)))),"Fix")))</f>
        <v xml:space="preserve"> </v>
      </c>
      <c r="J705" s="4" t="str">
        <f ca="1">IF(OR(INDEX($X$2:$X$1001,MATCH(ROWS($W$2:W705),$W$2:$W$1001,0),1)&gt;=100000,INDEX($AD$1005:$AU$1005,1,MATCH(COLUMNS($AD$1006:AL1006),$AD$1006:$AU$1006,0))&gt;=100000), " ",IF(INDEX($AD$2:$AU$1001,MATCH(ROWS($W$2:W705),$W$2:$W$1001,0),MATCH(COLUMNS($AD$1006:AL1006),$AD$1006:$AU$1006,0)), HYPERLINK("#",""), HYPERLINK(CONCATENATE("#metadata!", ADDRESS(INDEX($Y$2:$Y$1001,MATCH(ROWS($W$2:W705),$W$2:$W$1001,0),0), INDEX($AD$1004:$AU$1004,1,MATCH(COLUMNS($AD$1006:AL1006),$AD$1006:$AU$1006,0)))),"Fix")))</f>
        <v xml:space="preserve"> </v>
      </c>
      <c r="K705" s="4" t="str">
        <f ca="1">IF(OR(INDEX($X$2:$X$1001,MATCH(ROWS($W$2:W705),$W$2:$W$1001,0),1)&gt;=100000,INDEX($AD$1005:$AU$1005,1,MATCH(COLUMNS($AD$1006:AM1006),$AD$1006:$AU$1006,0))&gt;=100000), " ",IF(INDEX($AD$2:$AU$1001,MATCH(ROWS($W$2:W705),$W$2:$W$1001,0),MATCH(COLUMNS($AD$1006:AM1006),$AD$1006:$AU$1006,0)), HYPERLINK("#",""), HYPERLINK(CONCATENATE("#metadata!", ADDRESS(INDEX($Y$2:$Y$1001,MATCH(ROWS($W$2:W705),$W$2:$W$1001,0),0), INDEX($AD$1004:$AU$1004,1,MATCH(COLUMNS($AD$1006:AM1006),$AD$1006:$AU$1006,0)))),"Fix")))</f>
        <v xml:space="preserve"> </v>
      </c>
      <c r="L705" s="4" t="str">
        <f ca="1">IF(OR(INDEX($X$2:$X$1001,MATCH(ROWS($W$2:W705),$W$2:$W$1001,0),1)&gt;=100000,INDEX($AD$1005:$AU$1005,1,MATCH(COLUMNS($AD$1006:AN1006),$AD$1006:$AU$1006,0))&gt;=100000), " ",IF(INDEX($AD$2:$AU$1001,MATCH(ROWS($W$2:W705),$W$2:$W$1001,0),MATCH(COLUMNS($AD$1006:AN1006),$AD$1006:$AU$1006,0)), HYPERLINK("#",""), HYPERLINK(CONCATENATE("#metadata!", ADDRESS(INDEX($Y$2:$Y$1001,MATCH(ROWS($W$2:W705),$W$2:$W$1001,0),0), INDEX($AD$1004:$AU$1004,1,MATCH(COLUMNS($AD$1006:AN1006),$AD$1006:$AU$1006,0)))),"Fix")))</f>
        <v xml:space="preserve"> </v>
      </c>
      <c r="M705" s="4" t="str">
        <f ca="1">IF(OR(INDEX($X$2:$X$1001,MATCH(ROWS($W$2:W705),$W$2:$W$1001,0),1)&gt;=100000,INDEX($AD$1005:$AU$1005,1,MATCH(COLUMNS($AD$1006:AO1006),$AD$1006:$AU$1006,0))&gt;=100000), " ",IF(INDEX($AD$2:$AU$1001,MATCH(ROWS($W$2:W705),$W$2:$W$1001,0),MATCH(COLUMNS($AD$1006:AO1006),$AD$1006:$AU$1006,0)), HYPERLINK("#",""), HYPERLINK(CONCATENATE("#metadata!", ADDRESS(INDEX($Y$2:$Y$1001,MATCH(ROWS($W$2:W705),$W$2:$W$1001,0),0), INDEX($AD$1004:$AU$1004,1,MATCH(COLUMNS($AD$1006:AO1006),$AD$1006:$AU$1006,0)))),"Fix")))</f>
        <v xml:space="preserve"> </v>
      </c>
      <c r="N705" s="4" t="str">
        <f ca="1">IF(OR(INDEX($X$2:$X$1001,MATCH(ROWS($W$2:W705),$W$2:$W$1001,0),1)&gt;=100000,INDEX($AD$1005:$AU$1005,1,MATCH(COLUMNS($AD$1006:AP1006),$AD$1006:$AU$1006,0))&gt;=100000), " ",IF(INDEX($AD$2:$AU$1001,MATCH(ROWS($W$2:W705),$W$2:$W$1001,0),MATCH(COLUMNS($AD$1006:AP1006),$AD$1006:$AU$1006,0)), HYPERLINK("#",""), HYPERLINK(CONCATENATE("#metadata!", ADDRESS(INDEX($Y$2:$Y$1001,MATCH(ROWS($W$2:W705),$W$2:$W$1001,0),0), INDEX($AD$1004:$AU$1004,1,MATCH(COLUMNS($AD$1006:AP1006),$AD$1006:$AU$1006,0)))),"Fix")))</f>
        <v xml:space="preserve"> </v>
      </c>
      <c r="O705" s="4" t="str">
        <f ca="1">IF(OR(INDEX($X$2:$X$1001,MATCH(ROWS($W$2:W705),$W$2:$W$1001,0),1)&gt;=100000,INDEX($AD$1005:$AU$1005,1,MATCH(COLUMNS($AD$1006:AQ1006),$AD$1006:$AU$1006,0))&gt;=100000), " ",IF(INDEX($AD$2:$AU$1001,MATCH(ROWS($W$2:W705),$W$2:$W$1001,0),MATCH(COLUMNS($AD$1006:AQ1006),$AD$1006:$AU$1006,0)), HYPERLINK("#",""), HYPERLINK(CONCATENATE("#metadata!", ADDRESS(INDEX($Y$2:$Y$1001,MATCH(ROWS($W$2:W705),$W$2:$W$1001,0),0), INDEX($AD$1004:$AU$1004,1,MATCH(COLUMNS($AD$1006:AQ1006),$AD$1006:$AU$1006,0)))),"Fix")))</f>
        <v xml:space="preserve"> </v>
      </c>
      <c r="P705" s="4" t="str">
        <f ca="1">IF(OR(INDEX($X$2:$X$1001,MATCH(ROWS($W$2:W705),$W$2:$W$1001,0),1)&gt;=100000,INDEX($AD$1005:$AU$1005,1,MATCH(COLUMNS($AD$1006:AR1006),$AD$1006:$AU$1006,0))&gt;=100000), " ",IF(INDEX($AD$2:$AU$1001,MATCH(ROWS($W$2:W705),$W$2:$W$1001,0),MATCH(COLUMNS($AD$1006:AR1006),$AD$1006:$AU$1006,0)), HYPERLINK("#",""), HYPERLINK(CONCATENATE("#metadata!", ADDRESS(INDEX($Y$2:$Y$1001,MATCH(ROWS($W$2:W705),$W$2:$W$1001,0),0), INDEX($AD$1004:$AU$1004,1,MATCH(COLUMNS($AD$1006:AR1006),$AD$1006:$AU$1006,0)))),"Fix")))</f>
        <v xml:space="preserve"> </v>
      </c>
      <c r="Q705" s="4" t="str">
        <f ca="1">IF(OR(INDEX($X$2:$X$1001,MATCH(ROWS($W$2:W705),$W$2:$W$1001,0),1)&gt;=100000,INDEX($AD$1005:$AU$1005,1,MATCH(COLUMNS($AD$1006:AS1006),$AD$1006:$AU$1006,0))&gt;=100000), " ",IF(INDEX($AD$2:$AU$1001,MATCH(ROWS($W$2:W705),$W$2:$W$1001,0),MATCH(COLUMNS($AD$1006:AS1006),$AD$1006:$AU$1006,0)), HYPERLINK("#",""), HYPERLINK(CONCATENATE("#metadata!", ADDRESS(INDEX($Y$2:$Y$1001,MATCH(ROWS($W$2:W705),$W$2:$W$1001,0),0), INDEX($AD$1004:$AU$1004,1,MATCH(COLUMNS($AD$1006:AS1006),$AD$1006:$AU$1006,0)))),"Fix")))</f>
        <v xml:space="preserve"> </v>
      </c>
      <c r="R705" s="4" t="str">
        <f ca="1">IF(OR(INDEX($X$2:$X$1001,MATCH(ROWS($W$2:W705),$W$2:$W$1001,0),1)&gt;=100000,INDEX($AD$1005:$AU$1005,1,MATCH(COLUMNS($AD$1006:AT1006),$AD$1006:$AU$1006,0))&gt;=100000), " ",IF(INDEX($AD$2:$AU$1001,MATCH(ROWS($W$2:W705),$W$2:$W$1001,0),MATCH(COLUMNS($AD$1006:AT1006),$AD$1006:$AU$1006,0)), HYPERLINK("#",""), HYPERLINK(CONCATENATE("#metadata!", ADDRESS(INDEX($Y$2:$Y$1001,MATCH(ROWS($W$2:W705),$W$2:$W$1001,0),0), INDEX($AD$1004:$AU$1004,1,MATCH(COLUMNS($AD$1006:AT1006),$AD$1006:$AU$1006,0)))),"Fix")))</f>
        <v xml:space="preserve"> </v>
      </c>
      <c r="S705" s="4" t="str">
        <f ca="1">IF(OR(INDEX($X$2:$X$1001,MATCH(ROWS($W$2:W705),$W$2:$W$1001,0),1)&gt;=100000,INDEX($AD$1005:$AU$1005,1,MATCH(COLUMNS($AD$1006:AU1006),$AD$1006:$AU$1006,0))&gt;=100000), " ",IF(INDEX($AD$2:$AU$1001,MATCH(ROWS($W$2:W705),$W$2:$W$1001,0),MATCH(COLUMNS($AD$1006:AU1006),$AD$1006:$AU$1006,0)), HYPERLINK("#",""), HYPERLINK(CONCATENATE("#metadata!", ADDRESS(INDEX($Y$2:$Y$1001,MATCH(ROWS($W$2:W705),$W$2:$W$1001,0),0), INDEX($AD$1004:$AU$1004,1,MATCH(COLUMNS($AD$1006:AU1006),$AD$1006:$AU$1006,0)))),"Fix")))</f>
        <v xml:space="preserve"> </v>
      </c>
      <c r="W705">
        <v>704</v>
      </c>
      <c r="X705">
        <v>100705</v>
      </c>
      <c r="Y705">
        <v>705</v>
      </c>
      <c r="Z705" t="b">
        <f t="shared" si="10"/>
        <v>1</v>
      </c>
      <c r="AA705" t="b">
        <f>COUNTBLANK(metadata!B705:S705)=COLUMNS(metadata!B705:S705)</f>
        <v>1</v>
      </c>
      <c r="AB705" t="str">
        <v/>
      </c>
      <c r="AD705" t="b">
        <f ca="1">AND(IF(metadata!B705="",FALSE,TRUE),COUNTIF(metadata!B:B, metadata!B705) = 1,NOT(ISERROR(SUMPRODUCT(SEARCH(MID(metadata!B705,ROW(INDIRECT("1:"&amp;LEN(metadata!B705))), 1),"0123456789abcdefghijklmnopqrstuvwxyzABCDEFGHIJKLMNOPQRSTUVWXYZ.")))))</f>
        <v>0</v>
      </c>
      <c r="AE705" t="b">
        <f>OR(AND(IF(metadata!C705="",FALSE,TRUE),OR(EXACT(metadata!C705,"not applicable"),EXACT(metadata!C705,"missing: not collected"),EXACT(metadata!C705,"missing: not provided"),EXACT(metadata!C705,"missing: restricted access"))),AND(IF(metadata!C705="",FALSE,ISNUMBER(VALUE(metadata!C705))),metadata!C705&gt;0))</f>
        <v>0</v>
      </c>
      <c r="AF705" t="b">
        <f>AND(IF(metadata!D705="",FALSE,TRUE),EXACT(metadata!D705,"missing: not provided"))</f>
        <v>0</v>
      </c>
      <c r="AG705" t="b">
        <f>AND(IF(metadata!E705="",FALSE,TRUE),EXACT(metadata!E705,"Host-associated"))</f>
        <v>0</v>
      </c>
      <c r="AH705" t="b">
        <f>AND(IF(metadata!F705="",FALSE,TRUE),OR(EXACT(metadata!F705,"Animal"),EXACT(metadata!F705,"Fungus"),EXACT(metadata!F705,"Plant")))</f>
        <v>0</v>
      </c>
      <c r="AI705" t="b">
        <f>AND(IF(metadata!G705="",FALSE,TRUE),OR(EXACT(metadata!G705,"Plant secretion"),EXACT(metadata!G705,"Plant rhizosphere"),EXACT(metadata!G705,"Plant surface"),EXACT(metadata!G705,"Plant corpus"),EXACT(metadata!G705,"Fungus surface"),EXACT(metadata!G705,"Fungus corpus"),EXACT(metadata!G705,"Animal surface"),EXACT(metadata!G705,"Animal proximal gut"),EXACT(metadata!G705,"Animal corpus"),EXACT(metadata!G705,"Animal distal gut"),EXACT(metadata!G705,"Animal secretion")))</f>
        <v>0</v>
      </c>
      <c r="AJ705" t="b">
        <f>OR(AND(IF(metadata!H705="",FALSE,TRUE),OR(EXACT(metadata!H705,"missing: not collected"),EXACT(metadata!H705,"missing: not provided"),EXACT(metadata!H705,"missing: restricted access"))),AND(IF(metadata!H705="",FALSE,TRUE),OR(EXACT(metadata!H705,"organism-associated habitat"),EXACT(metadata!H705,"plant-associated habitat"),EXACT(metadata!H705,"animal-associated habitat"),EXACT(metadata!H705,"insecta-associated habitat"),EXACT(metadata!H705,"mammalia-associated habitat"),EXACT(metadata!H705,"human-associated habitat"),EXACT(metadata!H705,"livestock-associated habitat"))))</f>
        <v>0</v>
      </c>
      <c r="AK705" t="b">
        <f>AND(IF(metadata!I705="",FALSE,TRUE),EXACT(metadata!I705,"host-associated"))</f>
        <v>0</v>
      </c>
      <c r="AL705" t="b">
        <f>OR(AND(IF(metadata!J705="",FALSE,TRUE),OR(EXACT(metadata!J705,"not applicable"),EXACT(metadata!J705,"missing: not collected"),EXACT(metadata!J705,"missing: not provided"),EXACT(metadata!J705,"missing: restricted access"))),AND(IF(metadata!J705="",FALSE,ISNUMBER(VALUE(metadata!J705))),metadata!J705&gt;0))</f>
        <v>0</v>
      </c>
      <c r="AM705" t="b">
        <f>AND(IF(metadata!K705="",FALSE,TRUE),EXACT(metadata!K705,"missing: not provided"))</f>
        <v>0</v>
      </c>
      <c r="AN705" t="b">
        <f>IF(metadata!L705="",FALSE,TRUE)</f>
        <v>0</v>
      </c>
      <c r="AO705" t="b">
        <f>IF(metadata!M705="",FALSE,TRUE)</f>
        <v>0</v>
      </c>
      <c r="AP705" t="b">
        <f>OR(AND(IF(metadata!N705="",FALSE,TRUE),OR(EXACT(metadata!N705,"not applicable"),EXACT(metadata!N705,"missing: not collected"),EXACT(metadata!N705,"missing: not provided"))),AND(IF(metadata!N705="",FALSE,IF(ISERROR(INT(metadata!N705)),FALSE,INT(metadata!N705)=metadata!N705)),metadata!N705&gt;0))</f>
        <v>0</v>
      </c>
      <c r="AQ705" t="b">
        <f>AND(IF(metadata!O705="",FALSE,TRUE),EXACT(metadata!O705,"Not applicable"))</f>
        <v>0</v>
      </c>
      <c r="AR705" t="b">
        <f>OR(AND(IF(metadata!P705="",FALSE,TRUE),OR(EXACT(metadata!P705,"not applicable"),EXACT(metadata!P705,"missing: not collected"),EXACT(metadata!P705,"missing: not provided"),EXACT(metadata!P705,"missing: restricted access"))),IF(metadata!P705="",FALSE,IF(ISERROR(INT(metadata!P705)),FALSE,INT(metadata!P705)=metadata!P705)))</f>
        <v>0</v>
      </c>
      <c r="AS705" t="b">
        <f>AND(IF(metadata!Q705="",FALSE,TRUE),EXACT(metadata!Q705,"Not applicable"))</f>
        <v>0</v>
      </c>
      <c r="AT705" t="b">
        <f>OR(AND(IF(metadata!R705="",FALSE,TRUE),OR(EXACT(metadata!R705,"not applicable"),EXACT(metadata!R705,"missing: not collected"),EXACT(metadata!R705,"missing: not provided"),EXACT(metadata!R705,"missing: restricted access"))),AND(IF(metadata!R705="",FALSE,ISNUMBER(VALUE(metadata!R705))),metadata!R705&gt;0))</f>
        <v>0</v>
      </c>
      <c r="AU705" t="b">
        <f>AND(IF(metadata!S705="",FALSE,TRUE),EXACT(metadata!S705,"missing: not provided"))</f>
        <v>0</v>
      </c>
    </row>
    <row r="706" spans="1:47" x14ac:dyDescent="0.2">
      <c r="A706" s="5" t="str">
        <f ca="1">IF(B706=" "," ",HYPERLINK(CONCATENATE("#metadata!",ADDRESS(INDEX($Y$2:$Y$1001,MATCH(ROWS($W$2:W706),$W$2:$W$1001,0),0),1)),INDEX($AB$2:$AB$1001,MATCH(ROWS($W$2:W706),$W$2:$W$1001,0),0)))</f>
        <v xml:space="preserve"> </v>
      </c>
      <c r="B706" s="4" t="str">
        <f ca="1">IF(OR(INDEX($X$2:$X$1001,MATCH(ROWS($W$2:W706),$W$2:$W$1001,0),1)&gt;=100000,INDEX($AD$1005:$AU$1005,1,MATCH(COLUMNS($AD$1006:AD1006),$AD$1006:$AU$1006,0))&gt;=100000), " ",IF(INDEX($AD$2:$AU$1001,MATCH(ROWS($W$2:W706),$W$2:$W$1001,0),MATCH(COLUMNS($AD$1006:AD1006),$AD$1006:$AU$1006,0)), HYPERLINK("#",""), HYPERLINK(CONCATENATE("#metadata!", ADDRESS(INDEX($Y$2:$Y$1001,MATCH(ROWS($W$2:W706),$W$2:$W$1001,0),0), INDEX($AD$1004:$AU$1004,1,MATCH(COLUMNS($AD$1006:AD1006),$AD$1006:$AU$1006,0)))),"Fix")))</f>
        <v xml:space="preserve"> </v>
      </c>
      <c r="C706" s="4" t="str">
        <f ca="1">IF(OR(INDEX($X$2:$X$1001,MATCH(ROWS($W$2:W706),$W$2:$W$1001,0),1)&gt;=100000,INDEX($AD$1005:$AU$1005,1,MATCH(COLUMNS($AD$1006:AE1006),$AD$1006:$AU$1006,0))&gt;=100000), " ",IF(INDEX($AD$2:$AU$1001,MATCH(ROWS($W$2:W706),$W$2:$W$1001,0),MATCH(COLUMNS($AD$1006:AE1006),$AD$1006:$AU$1006,0)), HYPERLINK("#",""), HYPERLINK(CONCATENATE("#metadata!", ADDRESS(INDEX($Y$2:$Y$1001,MATCH(ROWS($W$2:W706),$W$2:$W$1001,0),0), INDEX($AD$1004:$AU$1004,1,MATCH(COLUMNS($AD$1006:AE1006),$AD$1006:$AU$1006,0)))),"Fix")))</f>
        <v xml:space="preserve"> </v>
      </c>
      <c r="D706" s="4" t="str">
        <f ca="1">IF(OR(INDEX($X$2:$X$1001,MATCH(ROWS($W$2:W706),$W$2:$W$1001,0),1)&gt;=100000,INDEX($AD$1005:$AU$1005,1,MATCH(COLUMNS($AD$1006:AF1006),$AD$1006:$AU$1006,0))&gt;=100000), " ",IF(INDEX($AD$2:$AU$1001,MATCH(ROWS($W$2:W706),$W$2:$W$1001,0),MATCH(COLUMNS($AD$1006:AF1006),$AD$1006:$AU$1006,0)), HYPERLINK("#",""), HYPERLINK(CONCATENATE("#metadata!", ADDRESS(INDEX($Y$2:$Y$1001,MATCH(ROWS($W$2:W706),$W$2:$W$1001,0),0), INDEX($AD$1004:$AU$1004,1,MATCH(COLUMNS($AD$1006:AF1006),$AD$1006:$AU$1006,0)))),"Fix")))</f>
        <v xml:space="preserve"> </v>
      </c>
      <c r="E706" s="4" t="str">
        <f ca="1">IF(OR(INDEX($X$2:$X$1001,MATCH(ROWS($W$2:W706),$W$2:$W$1001,0),1)&gt;=100000,INDEX($AD$1005:$AU$1005,1,MATCH(COLUMNS($AD$1006:AG1006),$AD$1006:$AU$1006,0))&gt;=100000), " ",IF(INDEX($AD$2:$AU$1001,MATCH(ROWS($W$2:W706),$W$2:$W$1001,0),MATCH(COLUMNS($AD$1006:AG1006),$AD$1006:$AU$1006,0)), HYPERLINK("#",""), HYPERLINK(CONCATENATE("#metadata!", ADDRESS(INDEX($Y$2:$Y$1001,MATCH(ROWS($W$2:W706),$W$2:$W$1001,0),0), INDEX($AD$1004:$AU$1004,1,MATCH(COLUMNS($AD$1006:AG1006),$AD$1006:$AU$1006,0)))),"Fix")))</f>
        <v xml:space="preserve"> </v>
      </c>
      <c r="F706" s="4" t="str">
        <f ca="1">IF(OR(INDEX($X$2:$X$1001,MATCH(ROWS($W$2:W706),$W$2:$W$1001,0),1)&gt;=100000,INDEX($AD$1005:$AU$1005,1,MATCH(COLUMNS($AD$1006:AH1006),$AD$1006:$AU$1006,0))&gt;=100000), " ",IF(INDEX($AD$2:$AU$1001,MATCH(ROWS($W$2:W706),$W$2:$W$1001,0),MATCH(COLUMNS($AD$1006:AH1006),$AD$1006:$AU$1006,0)), HYPERLINK("#",""), HYPERLINK(CONCATENATE("#metadata!", ADDRESS(INDEX($Y$2:$Y$1001,MATCH(ROWS($W$2:W706),$W$2:$W$1001,0),0), INDEX($AD$1004:$AU$1004,1,MATCH(COLUMNS($AD$1006:AH1006),$AD$1006:$AU$1006,0)))),"Fix")))</f>
        <v xml:space="preserve"> </v>
      </c>
      <c r="G706" s="4" t="str">
        <f ca="1">IF(OR(INDEX($X$2:$X$1001,MATCH(ROWS($W$2:W706),$W$2:$W$1001,0),1)&gt;=100000,INDEX($AD$1005:$AU$1005,1,MATCH(COLUMNS($AD$1006:AI1006),$AD$1006:$AU$1006,0))&gt;=100000), " ",IF(INDEX($AD$2:$AU$1001,MATCH(ROWS($W$2:W706),$W$2:$W$1001,0),MATCH(COLUMNS($AD$1006:AI1006),$AD$1006:$AU$1006,0)), HYPERLINK("#",""), HYPERLINK(CONCATENATE("#metadata!", ADDRESS(INDEX($Y$2:$Y$1001,MATCH(ROWS($W$2:W706),$W$2:$W$1001,0),0), INDEX($AD$1004:$AU$1004,1,MATCH(COLUMNS($AD$1006:AI1006),$AD$1006:$AU$1006,0)))),"Fix")))</f>
        <v xml:space="preserve"> </v>
      </c>
      <c r="H706" s="4" t="str">
        <f ca="1">IF(OR(INDEX($X$2:$X$1001,MATCH(ROWS($W$2:W706),$W$2:$W$1001,0),1)&gt;=100000,INDEX($AD$1005:$AU$1005,1,MATCH(COLUMNS($AD$1006:AJ1006),$AD$1006:$AU$1006,0))&gt;=100000), " ",IF(INDEX($AD$2:$AU$1001,MATCH(ROWS($W$2:W706),$W$2:$W$1001,0),MATCH(COLUMNS($AD$1006:AJ1006),$AD$1006:$AU$1006,0)), HYPERLINK("#",""), HYPERLINK(CONCATENATE("#metadata!", ADDRESS(INDEX($Y$2:$Y$1001,MATCH(ROWS($W$2:W706),$W$2:$W$1001,0),0), INDEX($AD$1004:$AU$1004,1,MATCH(COLUMNS($AD$1006:AJ1006),$AD$1006:$AU$1006,0)))),"Fix")))</f>
        <v xml:space="preserve"> </v>
      </c>
      <c r="I706" s="4" t="str">
        <f ca="1">IF(OR(INDEX($X$2:$X$1001,MATCH(ROWS($W$2:W706),$W$2:$W$1001,0),1)&gt;=100000,INDEX($AD$1005:$AU$1005,1,MATCH(COLUMNS($AD$1006:AK1006),$AD$1006:$AU$1006,0))&gt;=100000), " ",IF(INDEX($AD$2:$AU$1001,MATCH(ROWS($W$2:W706),$W$2:$W$1001,0),MATCH(COLUMNS($AD$1006:AK1006),$AD$1006:$AU$1006,0)), HYPERLINK("#",""), HYPERLINK(CONCATENATE("#metadata!", ADDRESS(INDEX($Y$2:$Y$1001,MATCH(ROWS($W$2:W706),$W$2:$W$1001,0),0), INDEX($AD$1004:$AU$1004,1,MATCH(COLUMNS($AD$1006:AK1006),$AD$1006:$AU$1006,0)))),"Fix")))</f>
        <v xml:space="preserve"> </v>
      </c>
      <c r="J706" s="4" t="str">
        <f ca="1">IF(OR(INDEX($X$2:$X$1001,MATCH(ROWS($W$2:W706),$W$2:$W$1001,0),1)&gt;=100000,INDEX($AD$1005:$AU$1005,1,MATCH(COLUMNS($AD$1006:AL1006),$AD$1006:$AU$1006,0))&gt;=100000), " ",IF(INDEX($AD$2:$AU$1001,MATCH(ROWS($W$2:W706),$W$2:$W$1001,0),MATCH(COLUMNS($AD$1006:AL1006),$AD$1006:$AU$1006,0)), HYPERLINK("#",""), HYPERLINK(CONCATENATE("#metadata!", ADDRESS(INDEX($Y$2:$Y$1001,MATCH(ROWS($W$2:W706),$W$2:$W$1001,0),0), INDEX($AD$1004:$AU$1004,1,MATCH(COLUMNS($AD$1006:AL1006),$AD$1006:$AU$1006,0)))),"Fix")))</f>
        <v xml:space="preserve"> </v>
      </c>
      <c r="K706" s="4" t="str">
        <f ca="1">IF(OR(INDEX($X$2:$X$1001,MATCH(ROWS($W$2:W706),$W$2:$W$1001,0),1)&gt;=100000,INDEX($AD$1005:$AU$1005,1,MATCH(COLUMNS($AD$1006:AM1006),$AD$1006:$AU$1006,0))&gt;=100000), " ",IF(INDEX($AD$2:$AU$1001,MATCH(ROWS($W$2:W706),$W$2:$W$1001,0),MATCH(COLUMNS($AD$1006:AM1006),$AD$1006:$AU$1006,0)), HYPERLINK("#",""), HYPERLINK(CONCATENATE("#metadata!", ADDRESS(INDEX($Y$2:$Y$1001,MATCH(ROWS($W$2:W706),$W$2:$W$1001,0),0), INDEX($AD$1004:$AU$1004,1,MATCH(COLUMNS($AD$1006:AM1006),$AD$1006:$AU$1006,0)))),"Fix")))</f>
        <v xml:space="preserve"> </v>
      </c>
      <c r="L706" s="4" t="str">
        <f ca="1">IF(OR(INDEX($X$2:$X$1001,MATCH(ROWS($W$2:W706),$W$2:$W$1001,0),1)&gt;=100000,INDEX($AD$1005:$AU$1005,1,MATCH(COLUMNS($AD$1006:AN1006),$AD$1006:$AU$1006,0))&gt;=100000), " ",IF(INDEX($AD$2:$AU$1001,MATCH(ROWS($W$2:W706),$W$2:$W$1001,0),MATCH(COLUMNS($AD$1006:AN1006),$AD$1006:$AU$1006,0)), HYPERLINK("#",""), HYPERLINK(CONCATENATE("#metadata!", ADDRESS(INDEX($Y$2:$Y$1001,MATCH(ROWS($W$2:W706),$W$2:$W$1001,0),0), INDEX($AD$1004:$AU$1004,1,MATCH(COLUMNS($AD$1006:AN1006),$AD$1006:$AU$1006,0)))),"Fix")))</f>
        <v xml:space="preserve"> </v>
      </c>
      <c r="M706" s="4" t="str">
        <f ca="1">IF(OR(INDEX($X$2:$X$1001,MATCH(ROWS($W$2:W706),$W$2:$W$1001,0),1)&gt;=100000,INDEX($AD$1005:$AU$1005,1,MATCH(COLUMNS($AD$1006:AO1006),$AD$1006:$AU$1006,0))&gt;=100000), " ",IF(INDEX($AD$2:$AU$1001,MATCH(ROWS($W$2:W706),$W$2:$W$1001,0),MATCH(COLUMNS($AD$1006:AO1006),$AD$1006:$AU$1006,0)), HYPERLINK("#",""), HYPERLINK(CONCATENATE("#metadata!", ADDRESS(INDEX($Y$2:$Y$1001,MATCH(ROWS($W$2:W706),$W$2:$W$1001,0),0), INDEX($AD$1004:$AU$1004,1,MATCH(COLUMNS($AD$1006:AO1006),$AD$1006:$AU$1006,0)))),"Fix")))</f>
        <v xml:space="preserve"> </v>
      </c>
      <c r="N706" s="4" t="str">
        <f ca="1">IF(OR(INDEX($X$2:$X$1001,MATCH(ROWS($W$2:W706),$W$2:$W$1001,0),1)&gt;=100000,INDEX($AD$1005:$AU$1005,1,MATCH(COLUMNS($AD$1006:AP1006),$AD$1006:$AU$1006,0))&gt;=100000), " ",IF(INDEX($AD$2:$AU$1001,MATCH(ROWS($W$2:W706),$W$2:$W$1001,0),MATCH(COLUMNS($AD$1006:AP1006),$AD$1006:$AU$1006,0)), HYPERLINK("#",""), HYPERLINK(CONCATENATE("#metadata!", ADDRESS(INDEX($Y$2:$Y$1001,MATCH(ROWS($W$2:W706),$W$2:$W$1001,0),0), INDEX($AD$1004:$AU$1004,1,MATCH(COLUMNS($AD$1006:AP1006),$AD$1006:$AU$1006,0)))),"Fix")))</f>
        <v xml:space="preserve"> </v>
      </c>
      <c r="O706" s="4" t="str">
        <f ca="1">IF(OR(INDEX($X$2:$X$1001,MATCH(ROWS($W$2:W706),$W$2:$W$1001,0),1)&gt;=100000,INDEX($AD$1005:$AU$1005,1,MATCH(COLUMNS($AD$1006:AQ1006),$AD$1006:$AU$1006,0))&gt;=100000), " ",IF(INDEX($AD$2:$AU$1001,MATCH(ROWS($W$2:W706),$W$2:$W$1001,0),MATCH(COLUMNS($AD$1006:AQ1006),$AD$1006:$AU$1006,0)), HYPERLINK("#",""), HYPERLINK(CONCATENATE("#metadata!", ADDRESS(INDEX($Y$2:$Y$1001,MATCH(ROWS($W$2:W706),$W$2:$W$1001,0),0), INDEX($AD$1004:$AU$1004,1,MATCH(COLUMNS($AD$1006:AQ1006),$AD$1006:$AU$1006,0)))),"Fix")))</f>
        <v xml:space="preserve"> </v>
      </c>
      <c r="P706" s="4" t="str">
        <f ca="1">IF(OR(INDEX($X$2:$X$1001,MATCH(ROWS($W$2:W706),$W$2:$W$1001,0),1)&gt;=100000,INDEX($AD$1005:$AU$1005,1,MATCH(COLUMNS($AD$1006:AR1006),$AD$1006:$AU$1006,0))&gt;=100000), " ",IF(INDEX($AD$2:$AU$1001,MATCH(ROWS($W$2:W706),$W$2:$W$1001,0),MATCH(COLUMNS($AD$1006:AR1006),$AD$1006:$AU$1006,0)), HYPERLINK("#",""), HYPERLINK(CONCATENATE("#metadata!", ADDRESS(INDEX($Y$2:$Y$1001,MATCH(ROWS($W$2:W706),$W$2:$W$1001,0),0), INDEX($AD$1004:$AU$1004,1,MATCH(COLUMNS($AD$1006:AR1006),$AD$1006:$AU$1006,0)))),"Fix")))</f>
        <v xml:space="preserve"> </v>
      </c>
      <c r="Q706" s="4" t="str">
        <f ca="1">IF(OR(INDEX($X$2:$X$1001,MATCH(ROWS($W$2:W706),$W$2:$W$1001,0),1)&gt;=100000,INDEX($AD$1005:$AU$1005,1,MATCH(COLUMNS($AD$1006:AS1006),$AD$1006:$AU$1006,0))&gt;=100000), " ",IF(INDEX($AD$2:$AU$1001,MATCH(ROWS($W$2:W706),$W$2:$W$1001,0),MATCH(COLUMNS($AD$1006:AS1006),$AD$1006:$AU$1006,0)), HYPERLINK("#",""), HYPERLINK(CONCATENATE("#metadata!", ADDRESS(INDEX($Y$2:$Y$1001,MATCH(ROWS($W$2:W706),$W$2:$W$1001,0),0), INDEX($AD$1004:$AU$1004,1,MATCH(COLUMNS($AD$1006:AS1006),$AD$1006:$AU$1006,0)))),"Fix")))</f>
        <v xml:space="preserve"> </v>
      </c>
      <c r="R706" s="4" t="str">
        <f ca="1">IF(OR(INDEX($X$2:$X$1001,MATCH(ROWS($W$2:W706),$W$2:$W$1001,0),1)&gt;=100000,INDEX($AD$1005:$AU$1005,1,MATCH(COLUMNS($AD$1006:AT1006),$AD$1006:$AU$1006,0))&gt;=100000), " ",IF(INDEX($AD$2:$AU$1001,MATCH(ROWS($W$2:W706),$W$2:$W$1001,0),MATCH(COLUMNS($AD$1006:AT1006),$AD$1006:$AU$1006,0)), HYPERLINK("#",""), HYPERLINK(CONCATENATE("#metadata!", ADDRESS(INDEX($Y$2:$Y$1001,MATCH(ROWS($W$2:W706),$W$2:$W$1001,0),0), INDEX($AD$1004:$AU$1004,1,MATCH(COLUMNS($AD$1006:AT1006),$AD$1006:$AU$1006,0)))),"Fix")))</f>
        <v xml:space="preserve"> </v>
      </c>
      <c r="S706" s="4" t="str">
        <f ca="1">IF(OR(INDEX($X$2:$X$1001,MATCH(ROWS($W$2:W706),$W$2:$W$1001,0),1)&gt;=100000,INDEX($AD$1005:$AU$1005,1,MATCH(COLUMNS($AD$1006:AU1006),$AD$1006:$AU$1006,0))&gt;=100000), " ",IF(INDEX($AD$2:$AU$1001,MATCH(ROWS($W$2:W706),$W$2:$W$1001,0),MATCH(COLUMNS($AD$1006:AU1006),$AD$1006:$AU$1006,0)), HYPERLINK("#",""), HYPERLINK(CONCATENATE("#metadata!", ADDRESS(INDEX($Y$2:$Y$1001,MATCH(ROWS($W$2:W706),$W$2:$W$1001,0),0), INDEX($AD$1004:$AU$1004,1,MATCH(COLUMNS($AD$1006:AU1006),$AD$1006:$AU$1006,0)))),"Fix")))</f>
        <v xml:space="preserve"> </v>
      </c>
      <c r="W706">
        <v>705</v>
      </c>
      <c r="X706">
        <v>100706</v>
      </c>
      <c r="Y706">
        <v>706</v>
      </c>
      <c r="Z706" t="b">
        <f t="shared" ref="Z706:Z769" si="11">IF(AA706,TRUE,AND(AD706:AU706))</f>
        <v>1</v>
      </c>
      <c r="AA706" t="b">
        <f>COUNTBLANK(metadata!B706:S706)=COLUMNS(metadata!B706:S706)</f>
        <v>1</v>
      </c>
      <c r="AB706" t="str">
        <v/>
      </c>
      <c r="AD706" t="b">
        <f ca="1">AND(IF(metadata!B706="",FALSE,TRUE),COUNTIF(metadata!B:B, metadata!B706) = 1,NOT(ISERROR(SUMPRODUCT(SEARCH(MID(metadata!B706,ROW(INDIRECT("1:"&amp;LEN(metadata!B706))), 1),"0123456789abcdefghijklmnopqrstuvwxyzABCDEFGHIJKLMNOPQRSTUVWXYZ.")))))</f>
        <v>0</v>
      </c>
      <c r="AE706" t="b">
        <f>OR(AND(IF(metadata!C706="",FALSE,TRUE),OR(EXACT(metadata!C706,"not applicable"),EXACT(metadata!C706,"missing: not collected"),EXACT(metadata!C706,"missing: not provided"),EXACT(metadata!C706,"missing: restricted access"))),AND(IF(metadata!C706="",FALSE,ISNUMBER(VALUE(metadata!C706))),metadata!C706&gt;0))</f>
        <v>0</v>
      </c>
      <c r="AF706" t="b">
        <f>AND(IF(metadata!D706="",FALSE,TRUE),EXACT(metadata!D706,"missing: not provided"))</f>
        <v>0</v>
      </c>
      <c r="AG706" t="b">
        <f>AND(IF(metadata!E706="",FALSE,TRUE),EXACT(metadata!E706,"Host-associated"))</f>
        <v>0</v>
      </c>
      <c r="AH706" t="b">
        <f>AND(IF(metadata!F706="",FALSE,TRUE),OR(EXACT(metadata!F706,"Animal"),EXACT(metadata!F706,"Fungus"),EXACT(metadata!F706,"Plant")))</f>
        <v>0</v>
      </c>
      <c r="AI706" t="b">
        <f>AND(IF(metadata!G706="",FALSE,TRUE),OR(EXACT(metadata!G706,"Plant secretion"),EXACT(metadata!G706,"Plant rhizosphere"),EXACT(metadata!G706,"Plant surface"),EXACT(metadata!G706,"Plant corpus"),EXACT(metadata!G706,"Fungus surface"),EXACT(metadata!G706,"Fungus corpus"),EXACT(metadata!G706,"Animal surface"),EXACT(metadata!G706,"Animal proximal gut"),EXACT(metadata!G706,"Animal corpus"),EXACT(metadata!G706,"Animal distal gut"),EXACT(metadata!G706,"Animal secretion")))</f>
        <v>0</v>
      </c>
      <c r="AJ706" t="b">
        <f>OR(AND(IF(metadata!H706="",FALSE,TRUE),OR(EXACT(metadata!H706,"missing: not collected"),EXACT(metadata!H706,"missing: not provided"),EXACT(metadata!H706,"missing: restricted access"))),AND(IF(metadata!H706="",FALSE,TRUE),OR(EXACT(metadata!H706,"organism-associated habitat"),EXACT(metadata!H706,"plant-associated habitat"),EXACT(metadata!H706,"animal-associated habitat"),EXACT(metadata!H706,"insecta-associated habitat"),EXACT(metadata!H706,"mammalia-associated habitat"),EXACT(metadata!H706,"human-associated habitat"),EXACT(metadata!H706,"livestock-associated habitat"))))</f>
        <v>0</v>
      </c>
      <c r="AK706" t="b">
        <f>AND(IF(metadata!I706="",FALSE,TRUE),EXACT(metadata!I706,"host-associated"))</f>
        <v>0</v>
      </c>
      <c r="AL706" t="b">
        <f>OR(AND(IF(metadata!J706="",FALSE,TRUE),OR(EXACT(metadata!J706,"not applicable"),EXACT(metadata!J706,"missing: not collected"),EXACT(metadata!J706,"missing: not provided"),EXACT(metadata!J706,"missing: restricted access"))),AND(IF(metadata!J706="",FALSE,ISNUMBER(VALUE(metadata!J706))),metadata!J706&gt;0))</f>
        <v>0</v>
      </c>
      <c r="AM706" t="b">
        <f>AND(IF(metadata!K706="",FALSE,TRUE),EXACT(metadata!K706,"missing: not provided"))</f>
        <v>0</v>
      </c>
      <c r="AN706" t="b">
        <f>IF(metadata!L706="",FALSE,TRUE)</f>
        <v>0</v>
      </c>
      <c r="AO706" t="b">
        <f>IF(metadata!M706="",FALSE,TRUE)</f>
        <v>0</v>
      </c>
      <c r="AP706" t="b">
        <f>OR(AND(IF(metadata!N706="",FALSE,TRUE),OR(EXACT(metadata!N706,"not applicable"),EXACT(metadata!N706,"missing: not collected"),EXACT(metadata!N706,"missing: not provided"))),AND(IF(metadata!N706="",FALSE,IF(ISERROR(INT(metadata!N706)),FALSE,INT(metadata!N706)=metadata!N706)),metadata!N706&gt;0))</f>
        <v>0</v>
      </c>
      <c r="AQ706" t="b">
        <f>AND(IF(metadata!O706="",FALSE,TRUE),EXACT(metadata!O706,"Not applicable"))</f>
        <v>0</v>
      </c>
      <c r="AR706" t="b">
        <f>OR(AND(IF(metadata!P706="",FALSE,TRUE),OR(EXACT(metadata!P706,"not applicable"),EXACT(metadata!P706,"missing: not collected"),EXACT(metadata!P706,"missing: not provided"),EXACT(metadata!P706,"missing: restricted access"))),IF(metadata!P706="",FALSE,IF(ISERROR(INT(metadata!P706)),FALSE,INT(metadata!P706)=metadata!P706)))</f>
        <v>0</v>
      </c>
      <c r="AS706" t="b">
        <f>AND(IF(metadata!Q706="",FALSE,TRUE),EXACT(metadata!Q706,"Not applicable"))</f>
        <v>0</v>
      </c>
      <c r="AT706" t="b">
        <f>OR(AND(IF(metadata!R706="",FALSE,TRUE),OR(EXACT(metadata!R706,"not applicable"),EXACT(metadata!R706,"missing: not collected"),EXACT(metadata!R706,"missing: not provided"),EXACT(metadata!R706,"missing: restricted access"))),AND(IF(metadata!R706="",FALSE,ISNUMBER(VALUE(metadata!R706))),metadata!R706&gt;0))</f>
        <v>0</v>
      </c>
      <c r="AU706" t="b">
        <f>AND(IF(metadata!S706="",FALSE,TRUE),EXACT(metadata!S706,"missing: not provided"))</f>
        <v>0</v>
      </c>
    </row>
    <row r="707" spans="1:47" x14ac:dyDescent="0.2">
      <c r="A707" s="5" t="str">
        <f ca="1">IF(B707=" "," ",HYPERLINK(CONCATENATE("#metadata!",ADDRESS(INDEX($Y$2:$Y$1001,MATCH(ROWS($W$2:W707),$W$2:$W$1001,0),0),1)),INDEX($AB$2:$AB$1001,MATCH(ROWS($W$2:W707),$W$2:$W$1001,0),0)))</f>
        <v xml:space="preserve"> </v>
      </c>
      <c r="B707" s="4" t="str">
        <f ca="1">IF(OR(INDEX($X$2:$X$1001,MATCH(ROWS($W$2:W707),$W$2:$W$1001,0),1)&gt;=100000,INDEX($AD$1005:$AU$1005,1,MATCH(COLUMNS($AD$1006:AD1006),$AD$1006:$AU$1006,0))&gt;=100000), " ",IF(INDEX($AD$2:$AU$1001,MATCH(ROWS($W$2:W707),$W$2:$W$1001,0),MATCH(COLUMNS($AD$1006:AD1006),$AD$1006:$AU$1006,0)), HYPERLINK("#",""), HYPERLINK(CONCATENATE("#metadata!", ADDRESS(INDEX($Y$2:$Y$1001,MATCH(ROWS($W$2:W707),$W$2:$W$1001,0),0), INDEX($AD$1004:$AU$1004,1,MATCH(COLUMNS($AD$1006:AD1006),$AD$1006:$AU$1006,0)))),"Fix")))</f>
        <v xml:space="preserve"> </v>
      </c>
      <c r="C707" s="4" t="str">
        <f ca="1">IF(OR(INDEX($X$2:$X$1001,MATCH(ROWS($W$2:W707),$W$2:$W$1001,0),1)&gt;=100000,INDEX($AD$1005:$AU$1005,1,MATCH(COLUMNS($AD$1006:AE1006),$AD$1006:$AU$1006,0))&gt;=100000), " ",IF(INDEX($AD$2:$AU$1001,MATCH(ROWS($W$2:W707),$W$2:$W$1001,0),MATCH(COLUMNS($AD$1006:AE1006),$AD$1006:$AU$1006,0)), HYPERLINK("#",""), HYPERLINK(CONCATENATE("#metadata!", ADDRESS(INDEX($Y$2:$Y$1001,MATCH(ROWS($W$2:W707),$W$2:$W$1001,0),0), INDEX($AD$1004:$AU$1004,1,MATCH(COLUMNS($AD$1006:AE1006),$AD$1006:$AU$1006,0)))),"Fix")))</f>
        <v xml:space="preserve"> </v>
      </c>
      <c r="D707" s="4" t="str">
        <f ca="1">IF(OR(INDEX($X$2:$X$1001,MATCH(ROWS($W$2:W707),$W$2:$W$1001,0),1)&gt;=100000,INDEX($AD$1005:$AU$1005,1,MATCH(COLUMNS($AD$1006:AF1006),$AD$1006:$AU$1006,0))&gt;=100000), " ",IF(INDEX($AD$2:$AU$1001,MATCH(ROWS($W$2:W707),$W$2:$W$1001,0),MATCH(COLUMNS($AD$1006:AF1006),$AD$1006:$AU$1006,0)), HYPERLINK("#",""), HYPERLINK(CONCATENATE("#metadata!", ADDRESS(INDEX($Y$2:$Y$1001,MATCH(ROWS($W$2:W707),$W$2:$W$1001,0),0), INDEX($AD$1004:$AU$1004,1,MATCH(COLUMNS($AD$1006:AF1006),$AD$1006:$AU$1006,0)))),"Fix")))</f>
        <v xml:space="preserve"> </v>
      </c>
      <c r="E707" s="4" t="str">
        <f ca="1">IF(OR(INDEX($X$2:$X$1001,MATCH(ROWS($W$2:W707),$W$2:$W$1001,0),1)&gt;=100000,INDEX($AD$1005:$AU$1005,1,MATCH(COLUMNS($AD$1006:AG1006),$AD$1006:$AU$1006,0))&gt;=100000), " ",IF(INDEX($AD$2:$AU$1001,MATCH(ROWS($W$2:W707),$W$2:$W$1001,0),MATCH(COLUMNS($AD$1006:AG1006),$AD$1006:$AU$1006,0)), HYPERLINK("#",""), HYPERLINK(CONCATENATE("#metadata!", ADDRESS(INDEX($Y$2:$Y$1001,MATCH(ROWS($W$2:W707),$W$2:$W$1001,0),0), INDEX($AD$1004:$AU$1004,1,MATCH(COLUMNS($AD$1006:AG1006),$AD$1006:$AU$1006,0)))),"Fix")))</f>
        <v xml:space="preserve"> </v>
      </c>
      <c r="F707" s="4" t="str">
        <f ca="1">IF(OR(INDEX($X$2:$X$1001,MATCH(ROWS($W$2:W707),$W$2:$W$1001,0),1)&gt;=100000,INDEX($AD$1005:$AU$1005,1,MATCH(COLUMNS($AD$1006:AH1006),$AD$1006:$AU$1006,0))&gt;=100000), " ",IF(INDEX($AD$2:$AU$1001,MATCH(ROWS($W$2:W707),$W$2:$W$1001,0),MATCH(COLUMNS($AD$1006:AH1006),$AD$1006:$AU$1006,0)), HYPERLINK("#",""), HYPERLINK(CONCATENATE("#metadata!", ADDRESS(INDEX($Y$2:$Y$1001,MATCH(ROWS($W$2:W707),$W$2:$W$1001,0),0), INDEX($AD$1004:$AU$1004,1,MATCH(COLUMNS($AD$1006:AH1006),$AD$1006:$AU$1006,0)))),"Fix")))</f>
        <v xml:space="preserve"> </v>
      </c>
      <c r="G707" s="4" t="str">
        <f ca="1">IF(OR(INDEX($X$2:$X$1001,MATCH(ROWS($W$2:W707),$W$2:$W$1001,0),1)&gt;=100000,INDEX($AD$1005:$AU$1005,1,MATCH(COLUMNS($AD$1006:AI1006),$AD$1006:$AU$1006,0))&gt;=100000), " ",IF(INDEX($AD$2:$AU$1001,MATCH(ROWS($W$2:W707),$W$2:$W$1001,0),MATCH(COLUMNS($AD$1006:AI1006),$AD$1006:$AU$1006,0)), HYPERLINK("#",""), HYPERLINK(CONCATENATE("#metadata!", ADDRESS(INDEX($Y$2:$Y$1001,MATCH(ROWS($W$2:W707),$W$2:$W$1001,0),0), INDEX($AD$1004:$AU$1004,1,MATCH(COLUMNS($AD$1006:AI1006),$AD$1006:$AU$1006,0)))),"Fix")))</f>
        <v xml:space="preserve"> </v>
      </c>
      <c r="H707" s="4" t="str">
        <f ca="1">IF(OR(INDEX($X$2:$X$1001,MATCH(ROWS($W$2:W707),$W$2:$W$1001,0),1)&gt;=100000,INDEX($AD$1005:$AU$1005,1,MATCH(COLUMNS($AD$1006:AJ1006),$AD$1006:$AU$1006,0))&gt;=100000), " ",IF(INDEX($AD$2:$AU$1001,MATCH(ROWS($W$2:W707),$W$2:$W$1001,0),MATCH(COLUMNS($AD$1006:AJ1006),$AD$1006:$AU$1006,0)), HYPERLINK("#",""), HYPERLINK(CONCATENATE("#metadata!", ADDRESS(INDEX($Y$2:$Y$1001,MATCH(ROWS($W$2:W707),$W$2:$W$1001,0),0), INDEX($AD$1004:$AU$1004,1,MATCH(COLUMNS($AD$1006:AJ1006),$AD$1006:$AU$1006,0)))),"Fix")))</f>
        <v xml:space="preserve"> </v>
      </c>
      <c r="I707" s="4" t="str">
        <f ca="1">IF(OR(INDEX($X$2:$X$1001,MATCH(ROWS($W$2:W707),$W$2:$W$1001,0),1)&gt;=100000,INDEX($AD$1005:$AU$1005,1,MATCH(COLUMNS($AD$1006:AK1006),$AD$1006:$AU$1006,0))&gt;=100000), " ",IF(INDEX($AD$2:$AU$1001,MATCH(ROWS($W$2:W707),$W$2:$W$1001,0),MATCH(COLUMNS($AD$1006:AK1006),$AD$1006:$AU$1006,0)), HYPERLINK("#",""), HYPERLINK(CONCATENATE("#metadata!", ADDRESS(INDEX($Y$2:$Y$1001,MATCH(ROWS($W$2:W707),$W$2:$W$1001,0),0), INDEX($AD$1004:$AU$1004,1,MATCH(COLUMNS($AD$1006:AK1006),$AD$1006:$AU$1006,0)))),"Fix")))</f>
        <v xml:space="preserve"> </v>
      </c>
      <c r="J707" s="4" t="str">
        <f ca="1">IF(OR(INDEX($X$2:$X$1001,MATCH(ROWS($W$2:W707),$W$2:$W$1001,0),1)&gt;=100000,INDEX($AD$1005:$AU$1005,1,MATCH(COLUMNS($AD$1006:AL1006),$AD$1006:$AU$1006,0))&gt;=100000), " ",IF(INDEX($AD$2:$AU$1001,MATCH(ROWS($W$2:W707),$W$2:$W$1001,0),MATCH(COLUMNS($AD$1006:AL1006),$AD$1006:$AU$1006,0)), HYPERLINK("#",""), HYPERLINK(CONCATENATE("#metadata!", ADDRESS(INDEX($Y$2:$Y$1001,MATCH(ROWS($W$2:W707),$W$2:$W$1001,0),0), INDEX($AD$1004:$AU$1004,1,MATCH(COLUMNS($AD$1006:AL1006),$AD$1006:$AU$1006,0)))),"Fix")))</f>
        <v xml:space="preserve"> </v>
      </c>
      <c r="K707" s="4" t="str">
        <f ca="1">IF(OR(INDEX($X$2:$X$1001,MATCH(ROWS($W$2:W707),$W$2:$W$1001,0),1)&gt;=100000,INDEX($AD$1005:$AU$1005,1,MATCH(COLUMNS($AD$1006:AM1006),$AD$1006:$AU$1006,0))&gt;=100000), " ",IF(INDEX($AD$2:$AU$1001,MATCH(ROWS($W$2:W707),$W$2:$W$1001,0),MATCH(COLUMNS($AD$1006:AM1006),$AD$1006:$AU$1006,0)), HYPERLINK("#",""), HYPERLINK(CONCATENATE("#metadata!", ADDRESS(INDEX($Y$2:$Y$1001,MATCH(ROWS($W$2:W707),$W$2:$W$1001,0),0), INDEX($AD$1004:$AU$1004,1,MATCH(COLUMNS($AD$1006:AM1006),$AD$1006:$AU$1006,0)))),"Fix")))</f>
        <v xml:space="preserve"> </v>
      </c>
      <c r="L707" s="4" t="str">
        <f ca="1">IF(OR(INDEX($X$2:$X$1001,MATCH(ROWS($W$2:W707),$W$2:$W$1001,0),1)&gt;=100000,INDEX($AD$1005:$AU$1005,1,MATCH(COLUMNS($AD$1006:AN1006),$AD$1006:$AU$1006,0))&gt;=100000), " ",IF(INDEX($AD$2:$AU$1001,MATCH(ROWS($W$2:W707),$W$2:$W$1001,0),MATCH(COLUMNS($AD$1006:AN1006),$AD$1006:$AU$1006,0)), HYPERLINK("#",""), HYPERLINK(CONCATENATE("#metadata!", ADDRESS(INDEX($Y$2:$Y$1001,MATCH(ROWS($W$2:W707),$W$2:$W$1001,0),0), INDEX($AD$1004:$AU$1004,1,MATCH(COLUMNS($AD$1006:AN1006),$AD$1006:$AU$1006,0)))),"Fix")))</f>
        <v xml:space="preserve"> </v>
      </c>
      <c r="M707" s="4" t="str">
        <f ca="1">IF(OR(INDEX($X$2:$X$1001,MATCH(ROWS($W$2:W707),$W$2:$W$1001,0),1)&gt;=100000,INDEX($AD$1005:$AU$1005,1,MATCH(COLUMNS($AD$1006:AO1006),$AD$1006:$AU$1006,0))&gt;=100000), " ",IF(INDEX($AD$2:$AU$1001,MATCH(ROWS($W$2:W707),$W$2:$W$1001,0),MATCH(COLUMNS($AD$1006:AO1006),$AD$1006:$AU$1006,0)), HYPERLINK("#",""), HYPERLINK(CONCATENATE("#metadata!", ADDRESS(INDEX($Y$2:$Y$1001,MATCH(ROWS($W$2:W707),$W$2:$W$1001,0),0), INDEX($AD$1004:$AU$1004,1,MATCH(COLUMNS($AD$1006:AO1006),$AD$1006:$AU$1006,0)))),"Fix")))</f>
        <v xml:space="preserve"> </v>
      </c>
      <c r="N707" s="4" t="str">
        <f ca="1">IF(OR(INDEX($X$2:$X$1001,MATCH(ROWS($W$2:W707),$W$2:$W$1001,0),1)&gt;=100000,INDEX($AD$1005:$AU$1005,1,MATCH(COLUMNS($AD$1006:AP1006),$AD$1006:$AU$1006,0))&gt;=100000), " ",IF(INDEX($AD$2:$AU$1001,MATCH(ROWS($W$2:W707),$W$2:$W$1001,0),MATCH(COLUMNS($AD$1006:AP1006),$AD$1006:$AU$1006,0)), HYPERLINK("#",""), HYPERLINK(CONCATENATE("#metadata!", ADDRESS(INDEX($Y$2:$Y$1001,MATCH(ROWS($W$2:W707),$W$2:$W$1001,0),0), INDEX($AD$1004:$AU$1004,1,MATCH(COLUMNS($AD$1006:AP1006),$AD$1006:$AU$1006,0)))),"Fix")))</f>
        <v xml:space="preserve"> </v>
      </c>
      <c r="O707" s="4" t="str">
        <f ca="1">IF(OR(INDEX($X$2:$X$1001,MATCH(ROWS($W$2:W707),$W$2:$W$1001,0),1)&gt;=100000,INDEX($AD$1005:$AU$1005,1,MATCH(COLUMNS($AD$1006:AQ1006),$AD$1006:$AU$1006,0))&gt;=100000), " ",IF(INDEX($AD$2:$AU$1001,MATCH(ROWS($W$2:W707),$W$2:$W$1001,0),MATCH(COLUMNS($AD$1006:AQ1006),$AD$1006:$AU$1006,0)), HYPERLINK("#",""), HYPERLINK(CONCATENATE("#metadata!", ADDRESS(INDEX($Y$2:$Y$1001,MATCH(ROWS($W$2:W707),$W$2:$W$1001,0),0), INDEX($AD$1004:$AU$1004,1,MATCH(COLUMNS($AD$1006:AQ1006),$AD$1006:$AU$1006,0)))),"Fix")))</f>
        <v xml:space="preserve"> </v>
      </c>
      <c r="P707" s="4" t="str">
        <f ca="1">IF(OR(INDEX($X$2:$X$1001,MATCH(ROWS($W$2:W707),$W$2:$W$1001,0),1)&gt;=100000,INDEX($AD$1005:$AU$1005,1,MATCH(COLUMNS($AD$1006:AR1006),$AD$1006:$AU$1006,0))&gt;=100000), " ",IF(INDEX($AD$2:$AU$1001,MATCH(ROWS($W$2:W707),$W$2:$W$1001,0),MATCH(COLUMNS($AD$1006:AR1006),$AD$1006:$AU$1006,0)), HYPERLINK("#",""), HYPERLINK(CONCATENATE("#metadata!", ADDRESS(INDEX($Y$2:$Y$1001,MATCH(ROWS($W$2:W707),$W$2:$W$1001,0),0), INDEX($AD$1004:$AU$1004,1,MATCH(COLUMNS($AD$1006:AR1006),$AD$1006:$AU$1006,0)))),"Fix")))</f>
        <v xml:space="preserve"> </v>
      </c>
      <c r="Q707" s="4" t="str">
        <f ca="1">IF(OR(INDEX($X$2:$X$1001,MATCH(ROWS($W$2:W707),$W$2:$W$1001,0),1)&gt;=100000,INDEX($AD$1005:$AU$1005,1,MATCH(COLUMNS($AD$1006:AS1006),$AD$1006:$AU$1006,0))&gt;=100000), " ",IF(INDEX($AD$2:$AU$1001,MATCH(ROWS($W$2:W707),$W$2:$W$1001,0),MATCH(COLUMNS($AD$1006:AS1006),$AD$1006:$AU$1006,0)), HYPERLINK("#",""), HYPERLINK(CONCATENATE("#metadata!", ADDRESS(INDEX($Y$2:$Y$1001,MATCH(ROWS($W$2:W707),$W$2:$W$1001,0),0), INDEX($AD$1004:$AU$1004,1,MATCH(COLUMNS($AD$1006:AS1006),$AD$1006:$AU$1006,0)))),"Fix")))</f>
        <v xml:space="preserve"> </v>
      </c>
      <c r="R707" s="4" t="str">
        <f ca="1">IF(OR(INDEX($X$2:$X$1001,MATCH(ROWS($W$2:W707),$W$2:$W$1001,0),1)&gt;=100000,INDEX($AD$1005:$AU$1005,1,MATCH(COLUMNS($AD$1006:AT1006),$AD$1006:$AU$1006,0))&gt;=100000), " ",IF(INDEX($AD$2:$AU$1001,MATCH(ROWS($W$2:W707),$W$2:$W$1001,0),MATCH(COLUMNS($AD$1006:AT1006),$AD$1006:$AU$1006,0)), HYPERLINK("#",""), HYPERLINK(CONCATENATE("#metadata!", ADDRESS(INDEX($Y$2:$Y$1001,MATCH(ROWS($W$2:W707),$W$2:$W$1001,0),0), INDEX($AD$1004:$AU$1004,1,MATCH(COLUMNS($AD$1006:AT1006),$AD$1006:$AU$1006,0)))),"Fix")))</f>
        <v xml:space="preserve"> </v>
      </c>
      <c r="S707" s="4" t="str">
        <f ca="1">IF(OR(INDEX($X$2:$X$1001,MATCH(ROWS($W$2:W707),$W$2:$W$1001,0),1)&gt;=100000,INDEX($AD$1005:$AU$1005,1,MATCH(COLUMNS($AD$1006:AU1006),$AD$1006:$AU$1006,0))&gt;=100000), " ",IF(INDEX($AD$2:$AU$1001,MATCH(ROWS($W$2:W707),$W$2:$W$1001,0),MATCH(COLUMNS($AD$1006:AU1006),$AD$1006:$AU$1006,0)), HYPERLINK("#",""), HYPERLINK(CONCATENATE("#metadata!", ADDRESS(INDEX($Y$2:$Y$1001,MATCH(ROWS($W$2:W707),$W$2:$W$1001,0),0), INDEX($AD$1004:$AU$1004,1,MATCH(COLUMNS($AD$1006:AU1006),$AD$1006:$AU$1006,0)))),"Fix")))</f>
        <v xml:space="preserve"> </v>
      </c>
      <c r="W707">
        <v>706</v>
      </c>
      <c r="X707">
        <v>100707</v>
      </c>
      <c r="Y707">
        <v>707</v>
      </c>
      <c r="Z707" t="b">
        <f t="shared" si="11"/>
        <v>1</v>
      </c>
      <c r="AA707" t="b">
        <f>COUNTBLANK(metadata!B707:S707)=COLUMNS(metadata!B707:S707)</f>
        <v>1</v>
      </c>
      <c r="AB707" t="str">
        <v/>
      </c>
      <c r="AD707" t="b">
        <f ca="1">AND(IF(metadata!B707="",FALSE,TRUE),COUNTIF(metadata!B:B, metadata!B707) = 1,NOT(ISERROR(SUMPRODUCT(SEARCH(MID(metadata!B707,ROW(INDIRECT("1:"&amp;LEN(metadata!B707))), 1),"0123456789abcdefghijklmnopqrstuvwxyzABCDEFGHIJKLMNOPQRSTUVWXYZ.")))))</f>
        <v>0</v>
      </c>
      <c r="AE707" t="b">
        <f>OR(AND(IF(metadata!C707="",FALSE,TRUE),OR(EXACT(metadata!C707,"not applicable"),EXACT(metadata!C707,"missing: not collected"),EXACT(metadata!C707,"missing: not provided"),EXACT(metadata!C707,"missing: restricted access"))),AND(IF(metadata!C707="",FALSE,ISNUMBER(VALUE(metadata!C707))),metadata!C707&gt;0))</f>
        <v>0</v>
      </c>
      <c r="AF707" t="b">
        <f>AND(IF(metadata!D707="",FALSE,TRUE),EXACT(metadata!D707,"missing: not provided"))</f>
        <v>0</v>
      </c>
      <c r="AG707" t="b">
        <f>AND(IF(metadata!E707="",FALSE,TRUE),EXACT(metadata!E707,"Host-associated"))</f>
        <v>0</v>
      </c>
      <c r="AH707" t="b">
        <f>AND(IF(metadata!F707="",FALSE,TRUE),OR(EXACT(metadata!F707,"Animal"),EXACT(metadata!F707,"Fungus"),EXACT(metadata!F707,"Plant")))</f>
        <v>0</v>
      </c>
      <c r="AI707" t="b">
        <f>AND(IF(metadata!G707="",FALSE,TRUE),OR(EXACT(metadata!G707,"Plant secretion"),EXACT(metadata!G707,"Plant rhizosphere"),EXACT(metadata!G707,"Plant surface"),EXACT(metadata!G707,"Plant corpus"),EXACT(metadata!G707,"Fungus surface"),EXACT(metadata!G707,"Fungus corpus"),EXACT(metadata!G707,"Animal surface"),EXACT(metadata!G707,"Animal proximal gut"),EXACT(metadata!G707,"Animal corpus"),EXACT(metadata!G707,"Animal distal gut"),EXACT(metadata!G707,"Animal secretion")))</f>
        <v>0</v>
      </c>
      <c r="AJ707" t="b">
        <f>OR(AND(IF(metadata!H707="",FALSE,TRUE),OR(EXACT(metadata!H707,"missing: not collected"),EXACT(metadata!H707,"missing: not provided"),EXACT(metadata!H707,"missing: restricted access"))),AND(IF(metadata!H707="",FALSE,TRUE),OR(EXACT(metadata!H707,"organism-associated habitat"),EXACT(metadata!H707,"plant-associated habitat"),EXACT(metadata!H707,"animal-associated habitat"),EXACT(metadata!H707,"insecta-associated habitat"),EXACT(metadata!H707,"mammalia-associated habitat"),EXACT(metadata!H707,"human-associated habitat"),EXACT(metadata!H707,"livestock-associated habitat"))))</f>
        <v>0</v>
      </c>
      <c r="AK707" t="b">
        <f>AND(IF(metadata!I707="",FALSE,TRUE),EXACT(metadata!I707,"host-associated"))</f>
        <v>0</v>
      </c>
      <c r="AL707" t="b">
        <f>OR(AND(IF(metadata!J707="",FALSE,TRUE),OR(EXACT(metadata!J707,"not applicable"),EXACT(metadata!J707,"missing: not collected"),EXACT(metadata!J707,"missing: not provided"),EXACT(metadata!J707,"missing: restricted access"))),AND(IF(metadata!J707="",FALSE,ISNUMBER(VALUE(metadata!J707))),metadata!J707&gt;0))</f>
        <v>0</v>
      </c>
      <c r="AM707" t="b">
        <f>AND(IF(metadata!K707="",FALSE,TRUE),EXACT(metadata!K707,"missing: not provided"))</f>
        <v>0</v>
      </c>
      <c r="AN707" t="b">
        <f>IF(metadata!L707="",FALSE,TRUE)</f>
        <v>0</v>
      </c>
      <c r="AO707" t="b">
        <f>IF(metadata!M707="",FALSE,TRUE)</f>
        <v>0</v>
      </c>
      <c r="AP707" t="b">
        <f>OR(AND(IF(metadata!N707="",FALSE,TRUE),OR(EXACT(metadata!N707,"not applicable"),EXACT(metadata!N707,"missing: not collected"),EXACT(metadata!N707,"missing: not provided"))),AND(IF(metadata!N707="",FALSE,IF(ISERROR(INT(metadata!N707)),FALSE,INT(metadata!N707)=metadata!N707)),metadata!N707&gt;0))</f>
        <v>0</v>
      </c>
      <c r="AQ707" t="b">
        <f>AND(IF(metadata!O707="",FALSE,TRUE),EXACT(metadata!O707,"Not applicable"))</f>
        <v>0</v>
      </c>
      <c r="AR707" t="b">
        <f>OR(AND(IF(metadata!P707="",FALSE,TRUE),OR(EXACT(metadata!P707,"not applicable"),EXACT(metadata!P707,"missing: not collected"),EXACT(metadata!P707,"missing: not provided"),EXACT(metadata!P707,"missing: restricted access"))),IF(metadata!P707="",FALSE,IF(ISERROR(INT(metadata!P707)),FALSE,INT(metadata!P707)=metadata!P707)))</f>
        <v>0</v>
      </c>
      <c r="AS707" t="b">
        <f>AND(IF(metadata!Q707="",FALSE,TRUE),EXACT(metadata!Q707,"Not applicable"))</f>
        <v>0</v>
      </c>
      <c r="AT707" t="b">
        <f>OR(AND(IF(metadata!R707="",FALSE,TRUE),OR(EXACT(metadata!R707,"not applicable"),EXACT(metadata!R707,"missing: not collected"),EXACT(metadata!R707,"missing: not provided"),EXACT(metadata!R707,"missing: restricted access"))),AND(IF(metadata!R707="",FALSE,ISNUMBER(VALUE(metadata!R707))),metadata!R707&gt;0))</f>
        <v>0</v>
      </c>
      <c r="AU707" t="b">
        <f>AND(IF(metadata!S707="",FALSE,TRUE),EXACT(metadata!S707,"missing: not provided"))</f>
        <v>0</v>
      </c>
    </row>
    <row r="708" spans="1:47" x14ac:dyDescent="0.2">
      <c r="A708" s="5" t="str">
        <f ca="1">IF(B708=" "," ",HYPERLINK(CONCATENATE("#metadata!",ADDRESS(INDEX($Y$2:$Y$1001,MATCH(ROWS($W$2:W708),$W$2:$W$1001,0),0),1)),INDEX($AB$2:$AB$1001,MATCH(ROWS($W$2:W708),$W$2:$W$1001,0),0)))</f>
        <v xml:space="preserve"> </v>
      </c>
      <c r="B708" s="4" t="str">
        <f ca="1">IF(OR(INDEX($X$2:$X$1001,MATCH(ROWS($W$2:W708),$W$2:$W$1001,0),1)&gt;=100000,INDEX($AD$1005:$AU$1005,1,MATCH(COLUMNS($AD$1006:AD1006),$AD$1006:$AU$1006,0))&gt;=100000), " ",IF(INDEX($AD$2:$AU$1001,MATCH(ROWS($W$2:W708),$W$2:$W$1001,0),MATCH(COLUMNS($AD$1006:AD1006),$AD$1006:$AU$1006,0)), HYPERLINK("#",""), HYPERLINK(CONCATENATE("#metadata!", ADDRESS(INDEX($Y$2:$Y$1001,MATCH(ROWS($W$2:W708),$W$2:$W$1001,0),0), INDEX($AD$1004:$AU$1004,1,MATCH(COLUMNS($AD$1006:AD1006),$AD$1006:$AU$1006,0)))),"Fix")))</f>
        <v xml:space="preserve"> </v>
      </c>
      <c r="C708" s="4" t="str">
        <f ca="1">IF(OR(INDEX($X$2:$X$1001,MATCH(ROWS($W$2:W708),$W$2:$W$1001,0),1)&gt;=100000,INDEX($AD$1005:$AU$1005,1,MATCH(COLUMNS($AD$1006:AE1006),$AD$1006:$AU$1006,0))&gt;=100000), " ",IF(INDEX($AD$2:$AU$1001,MATCH(ROWS($W$2:W708),$W$2:$W$1001,0),MATCH(COLUMNS($AD$1006:AE1006),$AD$1006:$AU$1006,0)), HYPERLINK("#",""), HYPERLINK(CONCATENATE("#metadata!", ADDRESS(INDEX($Y$2:$Y$1001,MATCH(ROWS($W$2:W708),$W$2:$W$1001,0),0), INDEX($AD$1004:$AU$1004,1,MATCH(COLUMNS($AD$1006:AE1006),$AD$1006:$AU$1006,0)))),"Fix")))</f>
        <v xml:space="preserve"> </v>
      </c>
      <c r="D708" s="4" t="str">
        <f ca="1">IF(OR(INDEX($X$2:$X$1001,MATCH(ROWS($W$2:W708),$W$2:$W$1001,0),1)&gt;=100000,INDEX($AD$1005:$AU$1005,1,MATCH(COLUMNS($AD$1006:AF1006),$AD$1006:$AU$1006,0))&gt;=100000), " ",IF(INDEX($AD$2:$AU$1001,MATCH(ROWS($W$2:W708),$W$2:$W$1001,0),MATCH(COLUMNS($AD$1006:AF1006),$AD$1006:$AU$1006,0)), HYPERLINK("#",""), HYPERLINK(CONCATENATE("#metadata!", ADDRESS(INDEX($Y$2:$Y$1001,MATCH(ROWS($W$2:W708),$W$2:$W$1001,0),0), INDEX($AD$1004:$AU$1004,1,MATCH(COLUMNS($AD$1006:AF1006),$AD$1006:$AU$1006,0)))),"Fix")))</f>
        <v xml:space="preserve"> </v>
      </c>
      <c r="E708" s="4" t="str">
        <f ca="1">IF(OR(INDEX($X$2:$X$1001,MATCH(ROWS($W$2:W708),$W$2:$W$1001,0),1)&gt;=100000,INDEX($AD$1005:$AU$1005,1,MATCH(COLUMNS($AD$1006:AG1006),$AD$1006:$AU$1006,0))&gt;=100000), " ",IF(INDEX($AD$2:$AU$1001,MATCH(ROWS($W$2:W708),$W$2:$W$1001,0),MATCH(COLUMNS($AD$1006:AG1006),$AD$1006:$AU$1006,0)), HYPERLINK("#",""), HYPERLINK(CONCATENATE("#metadata!", ADDRESS(INDEX($Y$2:$Y$1001,MATCH(ROWS($W$2:W708),$W$2:$W$1001,0),0), INDEX($AD$1004:$AU$1004,1,MATCH(COLUMNS($AD$1006:AG1006),$AD$1006:$AU$1006,0)))),"Fix")))</f>
        <v xml:space="preserve"> </v>
      </c>
      <c r="F708" s="4" t="str">
        <f ca="1">IF(OR(INDEX($X$2:$X$1001,MATCH(ROWS($W$2:W708),$W$2:$W$1001,0),1)&gt;=100000,INDEX($AD$1005:$AU$1005,1,MATCH(COLUMNS($AD$1006:AH1006),$AD$1006:$AU$1006,0))&gt;=100000), " ",IF(INDEX($AD$2:$AU$1001,MATCH(ROWS($W$2:W708),$W$2:$W$1001,0),MATCH(COLUMNS($AD$1006:AH1006),$AD$1006:$AU$1006,0)), HYPERLINK("#",""), HYPERLINK(CONCATENATE("#metadata!", ADDRESS(INDEX($Y$2:$Y$1001,MATCH(ROWS($W$2:W708),$W$2:$W$1001,0),0), INDEX($AD$1004:$AU$1004,1,MATCH(COLUMNS($AD$1006:AH1006),$AD$1006:$AU$1006,0)))),"Fix")))</f>
        <v xml:space="preserve"> </v>
      </c>
      <c r="G708" s="4" t="str">
        <f ca="1">IF(OR(INDEX($X$2:$X$1001,MATCH(ROWS($W$2:W708),$W$2:$W$1001,0),1)&gt;=100000,INDEX($AD$1005:$AU$1005,1,MATCH(COLUMNS($AD$1006:AI1006),$AD$1006:$AU$1006,0))&gt;=100000), " ",IF(INDEX($AD$2:$AU$1001,MATCH(ROWS($W$2:W708),$W$2:$W$1001,0),MATCH(COLUMNS($AD$1006:AI1006),$AD$1006:$AU$1006,0)), HYPERLINK("#",""), HYPERLINK(CONCATENATE("#metadata!", ADDRESS(INDEX($Y$2:$Y$1001,MATCH(ROWS($W$2:W708),$W$2:$W$1001,0),0), INDEX($AD$1004:$AU$1004,1,MATCH(COLUMNS($AD$1006:AI1006),$AD$1006:$AU$1006,0)))),"Fix")))</f>
        <v xml:space="preserve"> </v>
      </c>
      <c r="H708" s="4" t="str">
        <f ca="1">IF(OR(INDEX($X$2:$X$1001,MATCH(ROWS($W$2:W708),$W$2:$W$1001,0),1)&gt;=100000,INDEX($AD$1005:$AU$1005,1,MATCH(COLUMNS($AD$1006:AJ1006),$AD$1006:$AU$1006,0))&gt;=100000), " ",IF(INDEX($AD$2:$AU$1001,MATCH(ROWS($W$2:W708),$W$2:$W$1001,0),MATCH(COLUMNS($AD$1006:AJ1006),$AD$1006:$AU$1006,0)), HYPERLINK("#",""), HYPERLINK(CONCATENATE("#metadata!", ADDRESS(INDEX($Y$2:$Y$1001,MATCH(ROWS($W$2:W708),$W$2:$W$1001,0),0), INDEX($AD$1004:$AU$1004,1,MATCH(COLUMNS($AD$1006:AJ1006),$AD$1006:$AU$1006,0)))),"Fix")))</f>
        <v xml:space="preserve"> </v>
      </c>
      <c r="I708" s="4" t="str">
        <f ca="1">IF(OR(INDEX($X$2:$X$1001,MATCH(ROWS($W$2:W708),$W$2:$W$1001,0),1)&gt;=100000,INDEX($AD$1005:$AU$1005,1,MATCH(COLUMNS($AD$1006:AK1006),$AD$1006:$AU$1006,0))&gt;=100000), " ",IF(INDEX($AD$2:$AU$1001,MATCH(ROWS($W$2:W708),$W$2:$W$1001,0),MATCH(COLUMNS($AD$1006:AK1006),$AD$1006:$AU$1006,0)), HYPERLINK("#",""), HYPERLINK(CONCATENATE("#metadata!", ADDRESS(INDEX($Y$2:$Y$1001,MATCH(ROWS($W$2:W708),$W$2:$W$1001,0),0), INDEX($AD$1004:$AU$1004,1,MATCH(COLUMNS($AD$1006:AK1006),$AD$1006:$AU$1006,0)))),"Fix")))</f>
        <v xml:space="preserve"> </v>
      </c>
      <c r="J708" s="4" t="str">
        <f ca="1">IF(OR(INDEX($X$2:$X$1001,MATCH(ROWS($W$2:W708),$W$2:$W$1001,0),1)&gt;=100000,INDEX($AD$1005:$AU$1005,1,MATCH(COLUMNS($AD$1006:AL1006),$AD$1006:$AU$1006,0))&gt;=100000), " ",IF(INDEX($AD$2:$AU$1001,MATCH(ROWS($W$2:W708),$W$2:$W$1001,0),MATCH(COLUMNS($AD$1006:AL1006),$AD$1006:$AU$1006,0)), HYPERLINK("#",""), HYPERLINK(CONCATENATE("#metadata!", ADDRESS(INDEX($Y$2:$Y$1001,MATCH(ROWS($W$2:W708),$W$2:$W$1001,0),0), INDEX($AD$1004:$AU$1004,1,MATCH(COLUMNS($AD$1006:AL1006),$AD$1006:$AU$1006,0)))),"Fix")))</f>
        <v xml:space="preserve"> </v>
      </c>
      <c r="K708" s="4" t="str">
        <f ca="1">IF(OR(INDEX($X$2:$X$1001,MATCH(ROWS($W$2:W708),$W$2:$W$1001,0),1)&gt;=100000,INDEX($AD$1005:$AU$1005,1,MATCH(COLUMNS($AD$1006:AM1006),$AD$1006:$AU$1006,0))&gt;=100000), " ",IF(INDEX($AD$2:$AU$1001,MATCH(ROWS($W$2:W708),$W$2:$W$1001,0),MATCH(COLUMNS($AD$1006:AM1006),$AD$1006:$AU$1006,0)), HYPERLINK("#",""), HYPERLINK(CONCATENATE("#metadata!", ADDRESS(INDEX($Y$2:$Y$1001,MATCH(ROWS($W$2:W708),$W$2:$W$1001,0),0), INDEX($AD$1004:$AU$1004,1,MATCH(COLUMNS($AD$1006:AM1006),$AD$1006:$AU$1006,0)))),"Fix")))</f>
        <v xml:space="preserve"> </v>
      </c>
      <c r="L708" s="4" t="str">
        <f ca="1">IF(OR(INDEX($X$2:$X$1001,MATCH(ROWS($W$2:W708),$W$2:$W$1001,0),1)&gt;=100000,INDEX($AD$1005:$AU$1005,1,MATCH(COLUMNS($AD$1006:AN1006),$AD$1006:$AU$1006,0))&gt;=100000), " ",IF(INDEX($AD$2:$AU$1001,MATCH(ROWS($W$2:W708),$W$2:$W$1001,0),MATCH(COLUMNS($AD$1006:AN1006),$AD$1006:$AU$1006,0)), HYPERLINK("#",""), HYPERLINK(CONCATENATE("#metadata!", ADDRESS(INDEX($Y$2:$Y$1001,MATCH(ROWS($W$2:W708),$W$2:$W$1001,0),0), INDEX($AD$1004:$AU$1004,1,MATCH(COLUMNS($AD$1006:AN1006),$AD$1006:$AU$1006,0)))),"Fix")))</f>
        <v xml:space="preserve"> </v>
      </c>
      <c r="M708" s="4" t="str">
        <f ca="1">IF(OR(INDEX($X$2:$X$1001,MATCH(ROWS($W$2:W708),$W$2:$W$1001,0),1)&gt;=100000,INDEX($AD$1005:$AU$1005,1,MATCH(COLUMNS($AD$1006:AO1006),$AD$1006:$AU$1006,0))&gt;=100000), " ",IF(INDEX($AD$2:$AU$1001,MATCH(ROWS($W$2:W708),$W$2:$W$1001,0),MATCH(COLUMNS($AD$1006:AO1006),$AD$1006:$AU$1006,0)), HYPERLINK("#",""), HYPERLINK(CONCATENATE("#metadata!", ADDRESS(INDEX($Y$2:$Y$1001,MATCH(ROWS($W$2:W708),$W$2:$W$1001,0),0), INDEX($AD$1004:$AU$1004,1,MATCH(COLUMNS($AD$1006:AO1006),$AD$1006:$AU$1006,0)))),"Fix")))</f>
        <v xml:space="preserve"> </v>
      </c>
      <c r="N708" s="4" t="str">
        <f ca="1">IF(OR(INDEX($X$2:$X$1001,MATCH(ROWS($W$2:W708),$W$2:$W$1001,0),1)&gt;=100000,INDEX($AD$1005:$AU$1005,1,MATCH(COLUMNS($AD$1006:AP1006),$AD$1006:$AU$1006,0))&gt;=100000), " ",IF(INDEX($AD$2:$AU$1001,MATCH(ROWS($W$2:W708),$W$2:$W$1001,0),MATCH(COLUMNS($AD$1006:AP1006),$AD$1006:$AU$1006,0)), HYPERLINK("#",""), HYPERLINK(CONCATENATE("#metadata!", ADDRESS(INDEX($Y$2:$Y$1001,MATCH(ROWS($W$2:W708),$W$2:$W$1001,0),0), INDEX($AD$1004:$AU$1004,1,MATCH(COLUMNS($AD$1006:AP1006),$AD$1006:$AU$1006,0)))),"Fix")))</f>
        <v xml:space="preserve"> </v>
      </c>
      <c r="O708" s="4" t="str">
        <f ca="1">IF(OR(INDEX($X$2:$X$1001,MATCH(ROWS($W$2:W708),$W$2:$W$1001,0),1)&gt;=100000,INDEX($AD$1005:$AU$1005,1,MATCH(COLUMNS($AD$1006:AQ1006),$AD$1006:$AU$1006,0))&gt;=100000), " ",IF(INDEX($AD$2:$AU$1001,MATCH(ROWS($W$2:W708),$W$2:$W$1001,0),MATCH(COLUMNS($AD$1006:AQ1006),$AD$1006:$AU$1006,0)), HYPERLINK("#",""), HYPERLINK(CONCATENATE("#metadata!", ADDRESS(INDEX($Y$2:$Y$1001,MATCH(ROWS($W$2:W708),$W$2:$W$1001,0),0), INDEX($AD$1004:$AU$1004,1,MATCH(COLUMNS($AD$1006:AQ1006),$AD$1006:$AU$1006,0)))),"Fix")))</f>
        <v xml:space="preserve"> </v>
      </c>
      <c r="P708" s="4" t="str">
        <f ca="1">IF(OR(INDEX($X$2:$X$1001,MATCH(ROWS($W$2:W708),$W$2:$W$1001,0),1)&gt;=100000,INDEX($AD$1005:$AU$1005,1,MATCH(COLUMNS($AD$1006:AR1006),$AD$1006:$AU$1006,0))&gt;=100000), " ",IF(INDEX($AD$2:$AU$1001,MATCH(ROWS($W$2:W708),$W$2:$W$1001,0),MATCH(COLUMNS($AD$1006:AR1006),$AD$1006:$AU$1006,0)), HYPERLINK("#",""), HYPERLINK(CONCATENATE("#metadata!", ADDRESS(INDEX($Y$2:$Y$1001,MATCH(ROWS($W$2:W708),$W$2:$W$1001,0),0), INDEX($AD$1004:$AU$1004,1,MATCH(COLUMNS($AD$1006:AR1006),$AD$1006:$AU$1006,0)))),"Fix")))</f>
        <v xml:space="preserve"> </v>
      </c>
      <c r="Q708" s="4" t="str">
        <f ca="1">IF(OR(INDEX($X$2:$X$1001,MATCH(ROWS($W$2:W708),$W$2:$W$1001,0),1)&gt;=100000,INDEX($AD$1005:$AU$1005,1,MATCH(COLUMNS($AD$1006:AS1006),$AD$1006:$AU$1006,0))&gt;=100000), " ",IF(INDEX($AD$2:$AU$1001,MATCH(ROWS($W$2:W708),$W$2:$W$1001,0),MATCH(COLUMNS($AD$1006:AS1006),$AD$1006:$AU$1006,0)), HYPERLINK("#",""), HYPERLINK(CONCATENATE("#metadata!", ADDRESS(INDEX($Y$2:$Y$1001,MATCH(ROWS($W$2:W708),$W$2:$W$1001,0),0), INDEX($AD$1004:$AU$1004,1,MATCH(COLUMNS($AD$1006:AS1006),$AD$1006:$AU$1006,0)))),"Fix")))</f>
        <v xml:space="preserve"> </v>
      </c>
      <c r="R708" s="4" t="str">
        <f ca="1">IF(OR(INDEX($X$2:$X$1001,MATCH(ROWS($W$2:W708),$W$2:$W$1001,0),1)&gt;=100000,INDEX($AD$1005:$AU$1005,1,MATCH(COLUMNS($AD$1006:AT1006),$AD$1006:$AU$1006,0))&gt;=100000), " ",IF(INDEX($AD$2:$AU$1001,MATCH(ROWS($W$2:W708),$W$2:$W$1001,0),MATCH(COLUMNS($AD$1006:AT1006),$AD$1006:$AU$1006,0)), HYPERLINK("#",""), HYPERLINK(CONCATENATE("#metadata!", ADDRESS(INDEX($Y$2:$Y$1001,MATCH(ROWS($W$2:W708),$W$2:$W$1001,0),0), INDEX($AD$1004:$AU$1004,1,MATCH(COLUMNS($AD$1006:AT1006),$AD$1006:$AU$1006,0)))),"Fix")))</f>
        <v xml:space="preserve"> </v>
      </c>
      <c r="S708" s="4" t="str">
        <f ca="1">IF(OR(INDEX($X$2:$X$1001,MATCH(ROWS($W$2:W708),$W$2:$W$1001,0),1)&gt;=100000,INDEX($AD$1005:$AU$1005,1,MATCH(COLUMNS($AD$1006:AU1006),$AD$1006:$AU$1006,0))&gt;=100000), " ",IF(INDEX($AD$2:$AU$1001,MATCH(ROWS($W$2:W708),$W$2:$W$1001,0),MATCH(COLUMNS($AD$1006:AU1006),$AD$1006:$AU$1006,0)), HYPERLINK("#",""), HYPERLINK(CONCATENATE("#metadata!", ADDRESS(INDEX($Y$2:$Y$1001,MATCH(ROWS($W$2:W708),$W$2:$W$1001,0),0), INDEX($AD$1004:$AU$1004,1,MATCH(COLUMNS($AD$1006:AU1006),$AD$1006:$AU$1006,0)))),"Fix")))</f>
        <v xml:space="preserve"> </v>
      </c>
      <c r="W708">
        <v>707</v>
      </c>
      <c r="X708">
        <v>100708</v>
      </c>
      <c r="Y708">
        <v>708</v>
      </c>
      <c r="Z708" t="b">
        <f t="shared" si="11"/>
        <v>1</v>
      </c>
      <c r="AA708" t="b">
        <f>COUNTBLANK(metadata!B708:S708)=COLUMNS(metadata!B708:S708)</f>
        <v>1</v>
      </c>
      <c r="AB708" t="str">
        <v/>
      </c>
      <c r="AD708" t="b">
        <f ca="1">AND(IF(metadata!B708="",FALSE,TRUE),COUNTIF(metadata!B:B, metadata!B708) = 1,NOT(ISERROR(SUMPRODUCT(SEARCH(MID(metadata!B708,ROW(INDIRECT("1:"&amp;LEN(metadata!B708))), 1),"0123456789abcdefghijklmnopqrstuvwxyzABCDEFGHIJKLMNOPQRSTUVWXYZ.")))))</f>
        <v>0</v>
      </c>
      <c r="AE708" t="b">
        <f>OR(AND(IF(metadata!C708="",FALSE,TRUE),OR(EXACT(metadata!C708,"not applicable"),EXACT(metadata!C708,"missing: not collected"),EXACT(metadata!C708,"missing: not provided"),EXACT(metadata!C708,"missing: restricted access"))),AND(IF(metadata!C708="",FALSE,ISNUMBER(VALUE(metadata!C708))),metadata!C708&gt;0))</f>
        <v>0</v>
      </c>
      <c r="AF708" t="b">
        <f>AND(IF(metadata!D708="",FALSE,TRUE),EXACT(metadata!D708,"missing: not provided"))</f>
        <v>0</v>
      </c>
      <c r="AG708" t="b">
        <f>AND(IF(metadata!E708="",FALSE,TRUE),EXACT(metadata!E708,"Host-associated"))</f>
        <v>0</v>
      </c>
      <c r="AH708" t="b">
        <f>AND(IF(metadata!F708="",FALSE,TRUE),OR(EXACT(metadata!F708,"Animal"),EXACT(metadata!F708,"Fungus"),EXACT(metadata!F708,"Plant")))</f>
        <v>0</v>
      </c>
      <c r="AI708" t="b">
        <f>AND(IF(metadata!G708="",FALSE,TRUE),OR(EXACT(metadata!G708,"Plant secretion"),EXACT(metadata!G708,"Plant rhizosphere"),EXACT(metadata!G708,"Plant surface"),EXACT(metadata!G708,"Plant corpus"),EXACT(metadata!G708,"Fungus surface"),EXACT(metadata!G708,"Fungus corpus"),EXACT(metadata!G708,"Animal surface"),EXACT(metadata!G708,"Animal proximal gut"),EXACT(metadata!G708,"Animal corpus"),EXACT(metadata!G708,"Animal distal gut"),EXACT(metadata!G708,"Animal secretion")))</f>
        <v>0</v>
      </c>
      <c r="AJ708" t="b">
        <f>OR(AND(IF(metadata!H708="",FALSE,TRUE),OR(EXACT(metadata!H708,"missing: not collected"),EXACT(metadata!H708,"missing: not provided"),EXACT(metadata!H708,"missing: restricted access"))),AND(IF(metadata!H708="",FALSE,TRUE),OR(EXACT(metadata!H708,"organism-associated habitat"),EXACT(metadata!H708,"plant-associated habitat"),EXACT(metadata!H708,"animal-associated habitat"),EXACT(metadata!H708,"insecta-associated habitat"),EXACT(metadata!H708,"mammalia-associated habitat"),EXACT(metadata!H708,"human-associated habitat"),EXACT(metadata!H708,"livestock-associated habitat"))))</f>
        <v>0</v>
      </c>
      <c r="AK708" t="b">
        <f>AND(IF(metadata!I708="",FALSE,TRUE),EXACT(metadata!I708,"host-associated"))</f>
        <v>0</v>
      </c>
      <c r="AL708" t="b">
        <f>OR(AND(IF(metadata!J708="",FALSE,TRUE),OR(EXACT(metadata!J708,"not applicable"),EXACT(metadata!J708,"missing: not collected"),EXACT(metadata!J708,"missing: not provided"),EXACT(metadata!J708,"missing: restricted access"))),AND(IF(metadata!J708="",FALSE,ISNUMBER(VALUE(metadata!J708))),metadata!J708&gt;0))</f>
        <v>0</v>
      </c>
      <c r="AM708" t="b">
        <f>AND(IF(metadata!K708="",FALSE,TRUE),EXACT(metadata!K708,"missing: not provided"))</f>
        <v>0</v>
      </c>
      <c r="AN708" t="b">
        <f>IF(metadata!L708="",FALSE,TRUE)</f>
        <v>0</v>
      </c>
      <c r="AO708" t="b">
        <f>IF(metadata!M708="",FALSE,TRUE)</f>
        <v>0</v>
      </c>
      <c r="AP708" t="b">
        <f>OR(AND(IF(metadata!N708="",FALSE,TRUE),OR(EXACT(metadata!N708,"not applicable"),EXACT(metadata!N708,"missing: not collected"),EXACT(metadata!N708,"missing: not provided"))),AND(IF(metadata!N708="",FALSE,IF(ISERROR(INT(metadata!N708)),FALSE,INT(metadata!N708)=metadata!N708)),metadata!N708&gt;0))</f>
        <v>0</v>
      </c>
      <c r="AQ708" t="b">
        <f>AND(IF(metadata!O708="",FALSE,TRUE),EXACT(metadata!O708,"Not applicable"))</f>
        <v>0</v>
      </c>
      <c r="AR708" t="b">
        <f>OR(AND(IF(metadata!P708="",FALSE,TRUE),OR(EXACT(metadata!P708,"not applicable"),EXACT(metadata!P708,"missing: not collected"),EXACT(metadata!P708,"missing: not provided"),EXACT(metadata!P708,"missing: restricted access"))),IF(metadata!P708="",FALSE,IF(ISERROR(INT(metadata!P708)),FALSE,INT(metadata!P708)=metadata!P708)))</f>
        <v>0</v>
      </c>
      <c r="AS708" t="b">
        <f>AND(IF(metadata!Q708="",FALSE,TRUE),EXACT(metadata!Q708,"Not applicable"))</f>
        <v>0</v>
      </c>
      <c r="AT708" t="b">
        <f>OR(AND(IF(metadata!R708="",FALSE,TRUE),OR(EXACT(metadata!R708,"not applicable"),EXACT(metadata!R708,"missing: not collected"),EXACT(metadata!R708,"missing: not provided"),EXACT(metadata!R708,"missing: restricted access"))),AND(IF(metadata!R708="",FALSE,ISNUMBER(VALUE(metadata!R708))),metadata!R708&gt;0))</f>
        <v>0</v>
      </c>
      <c r="AU708" t="b">
        <f>AND(IF(metadata!S708="",FALSE,TRUE),EXACT(metadata!S708,"missing: not provided"))</f>
        <v>0</v>
      </c>
    </row>
    <row r="709" spans="1:47" x14ac:dyDescent="0.2">
      <c r="A709" s="5" t="str">
        <f ca="1">IF(B709=" "," ",HYPERLINK(CONCATENATE("#metadata!",ADDRESS(INDEX($Y$2:$Y$1001,MATCH(ROWS($W$2:W709),$W$2:$W$1001,0),0),1)),INDEX($AB$2:$AB$1001,MATCH(ROWS($W$2:W709),$W$2:$W$1001,0),0)))</f>
        <v xml:space="preserve"> </v>
      </c>
      <c r="B709" s="4" t="str">
        <f ca="1">IF(OR(INDEX($X$2:$X$1001,MATCH(ROWS($W$2:W709),$W$2:$W$1001,0),1)&gt;=100000,INDEX($AD$1005:$AU$1005,1,MATCH(COLUMNS($AD$1006:AD1006),$AD$1006:$AU$1006,0))&gt;=100000), " ",IF(INDEX($AD$2:$AU$1001,MATCH(ROWS($W$2:W709),$W$2:$W$1001,0),MATCH(COLUMNS($AD$1006:AD1006),$AD$1006:$AU$1006,0)), HYPERLINK("#",""), HYPERLINK(CONCATENATE("#metadata!", ADDRESS(INDEX($Y$2:$Y$1001,MATCH(ROWS($W$2:W709),$W$2:$W$1001,0),0), INDEX($AD$1004:$AU$1004,1,MATCH(COLUMNS($AD$1006:AD1006),$AD$1006:$AU$1006,0)))),"Fix")))</f>
        <v xml:space="preserve"> </v>
      </c>
      <c r="C709" s="4" t="str">
        <f ca="1">IF(OR(INDEX($X$2:$X$1001,MATCH(ROWS($W$2:W709),$W$2:$W$1001,0),1)&gt;=100000,INDEX($AD$1005:$AU$1005,1,MATCH(COLUMNS($AD$1006:AE1006),$AD$1006:$AU$1006,0))&gt;=100000), " ",IF(INDEX($AD$2:$AU$1001,MATCH(ROWS($W$2:W709),$W$2:$W$1001,0),MATCH(COLUMNS($AD$1006:AE1006),$AD$1006:$AU$1006,0)), HYPERLINK("#",""), HYPERLINK(CONCATENATE("#metadata!", ADDRESS(INDEX($Y$2:$Y$1001,MATCH(ROWS($W$2:W709),$W$2:$W$1001,0),0), INDEX($AD$1004:$AU$1004,1,MATCH(COLUMNS($AD$1006:AE1006),$AD$1006:$AU$1006,0)))),"Fix")))</f>
        <v xml:space="preserve"> </v>
      </c>
      <c r="D709" s="4" t="str">
        <f ca="1">IF(OR(INDEX($X$2:$X$1001,MATCH(ROWS($W$2:W709),$W$2:$W$1001,0),1)&gt;=100000,INDEX($AD$1005:$AU$1005,1,MATCH(COLUMNS($AD$1006:AF1006),$AD$1006:$AU$1006,0))&gt;=100000), " ",IF(INDEX($AD$2:$AU$1001,MATCH(ROWS($W$2:W709),$W$2:$W$1001,0),MATCH(COLUMNS($AD$1006:AF1006),$AD$1006:$AU$1006,0)), HYPERLINK("#",""), HYPERLINK(CONCATENATE("#metadata!", ADDRESS(INDEX($Y$2:$Y$1001,MATCH(ROWS($W$2:W709),$W$2:$W$1001,0),0), INDEX($AD$1004:$AU$1004,1,MATCH(COLUMNS($AD$1006:AF1006),$AD$1006:$AU$1006,0)))),"Fix")))</f>
        <v xml:space="preserve"> </v>
      </c>
      <c r="E709" s="4" t="str">
        <f ca="1">IF(OR(INDEX($X$2:$X$1001,MATCH(ROWS($W$2:W709),$W$2:$W$1001,0),1)&gt;=100000,INDEX($AD$1005:$AU$1005,1,MATCH(COLUMNS($AD$1006:AG1006),$AD$1006:$AU$1006,0))&gt;=100000), " ",IF(INDEX($AD$2:$AU$1001,MATCH(ROWS($W$2:W709),$W$2:$W$1001,0),MATCH(COLUMNS($AD$1006:AG1006),$AD$1006:$AU$1006,0)), HYPERLINK("#",""), HYPERLINK(CONCATENATE("#metadata!", ADDRESS(INDEX($Y$2:$Y$1001,MATCH(ROWS($W$2:W709),$W$2:$W$1001,0),0), INDEX($AD$1004:$AU$1004,1,MATCH(COLUMNS($AD$1006:AG1006),$AD$1006:$AU$1006,0)))),"Fix")))</f>
        <v xml:space="preserve"> </v>
      </c>
      <c r="F709" s="4" t="str">
        <f ca="1">IF(OR(INDEX($X$2:$X$1001,MATCH(ROWS($W$2:W709),$W$2:$W$1001,0),1)&gt;=100000,INDEX($AD$1005:$AU$1005,1,MATCH(COLUMNS($AD$1006:AH1006),$AD$1006:$AU$1006,0))&gt;=100000), " ",IF(INDEX($AD$2:$AU$1001,MATCH(ROWS($W$2:W709),$W$2:$W$1001,0),MATCH(COLUMNS($AD$1006:AH1006),$AD$1006:$AU$1006,0)), HYPERLINK("#",""), HYPERLINK(CONCATENATE("#metadata!", ADDRESS(INDEX($Y$2:$Y$1001,MATCH(ROWS($W$2:W709),$W$2:$W$1001,0),0), INDEX($AD$1004:$AU$1004,1,MATCH(COLUMNS($AD$1006:AH1006),$AD$1006:$AU$1006,0)))),"Fix")))</f>
        <v xml:space="preserve"> </v>
      </c>
      <c r="G709" s="4" t="str">
        <f ca="1">IF(OR(INDEX($X$2:$X$1001,MATCH(ROWS($W$2:W709),$W$2:$W$1001,0),1)&gt;=100000,INDEX($AD$1005:$AU$1005,1,MATCH(COLUMNS($AD$1006:AI1006),$AD$1006:$AU$1006,0))&gt;=100000), " ",IF(INDEX($AD$2:$AU$1001,MATCH(ROWS($W$2:W709),$W$2:$W$1001,0),MATCH(COLUMNS($AD$1006:AI1006),$AD$1006:$AU$1006,0)), HYPERLINK("#",""), HYPERLINK(CONCATENATE("#metadata!", ADDRESS(INDEX($Y$2:$Y$1001,MATCH(ROWS($W$2:W709),$W$2:$W$1001,0),0), INDEX($AD$1004:$AU$1004,1,MATCH(COLUMNS($AD$1006:AI1006),$AD$1006:$AU$1006,0)))),"Fix")))</f>
        <v xml:space="preserve"> </v>
      </c>
      <c r="H709" s="4" t="str">
        <f ca="1">IF(OR(INDEX($X$2:$X$1001,MATCH(ROWS($W$2:W709),$W$2:$W$1001,0),1)&gt;=100000,INDEX($AD$1005:$AU$1005,1,MATCH(COLUMNS($AD$1006:AJ1006),$AD$1006:$AU$1006,0))&gt;=100000), " ",IF(INDEX($AD$2:$AU$1001,MATCH(ROWS($W$2:W709),$W$2:$W$1001,0),MATCH(COLUMNS($AD$1006:AJ1006),$AD$1006:$AU$1006,0)), HYPERLINK("#",""), HYPERLINK(CONCATENATE("#metadata!", ADDRESS(INDEX($Y$2:$Y$1001,MATCH(ROWS($W$2:W709),$W$2:$W$1001,0),0), INDEX($AD$1004:$AU$1004,1,MATCH(COLUMNS($AD$1006:AJ1006),$AD$1006:$AU$1006,0)))),"Fix")))</f>
        <v xml:space="preserve"> </v>
      </c>
      <c r="I709" s="4" t="str">
        <f ca="1">IF(OR(INDEX($X$2:$X$1001,MATCH(ROWS($W$2:W709),$W$2:$W$1001,0),1)&gt;=100000,INDEX($AD$1005:$AU$1005,1,MATCH(COLUMNS($AD$1006:AK1006),$AD$1006:$AU$1006,0))&gt;=100000), " ",IF(INDEX($AD$2:$AU$1001,MATCH(ROWS($W$2:W709),$W$2:$W$1001,0),MATCH(COLUMNS($AD$1006:AK1006),$AD$1006:$AU$1006,0)), HYPERLINK("#",""), HYPERLINK(CONCATENATE("#metadata!", ADDRESS(INDEX($Y$2:$Y$1001,MATCH(ROWS($W$2:W709),$W$2:$W$1001,0),0), INDEX($AD$1004:$AU$1004,1,MATCH(COLUMNS($AD$1006:AK1006),$AD$1006:$AU$1006,0)))),"Fix")))</f>
        <v xml:space="preserve"> </v>
      </c>
      <c r="J709" s="4" t="str">
        <f ca="1">IF(OR(INDEX($X$2:$X$1001,MATCH(ROWS($W$2:W709),$W$2:$W$1001,0),1)&gt;=100000,INDEX($AD$1005:$AU$1005,1,MATCH(COLUMNS($AD$1006:AL1006),$AD$1006:$AU$1006,0))&gt;=100000), " ",IF(INDEX($AD$2:$AU$1001,MATCH(ROWS($W$2:W709),$W$2:$W$1001,0),MATCH(COLUMNS($AD$1006:AL1006),$AD$1006:$AU$1006,0)), HYPERLINK("#",""), HYPERLINK(CONCATENATE("#metadata!", ADDRESS(INDEX($Y$2:$Y$1001,MATCH(ROWS($W$2:W709),$W$2:$W$1001,0),0), INDEX($AD$1004:$AU$1004,1,MATCH(COLUMNS($AD$1006:AL1006),$AD$1006:$AU$1006,0)))),"Fix")))</f>
        <v xml:space="preserve"> </v>
      </c>
      <c r="K709" s="4" t="str">
        <f ca="1">IF(OR(INDEX($X$2:$X$1001,MATCH(ROWS($W$2:W709),$W$2:$W$1001,0),1)&gt;=100000,INDEX($AD$1005:$AU$1005,1,MATCH(COLUMNS($AD$1006:AM1006),$AD$1006:$AU$1006,0))&gt;=100000), " ",IF(INDEX($AD$2:$AU$1001,MATCH(ROWS($W$2:W709),$W$2:$W$1001,0),MATCH(COLUMNS($AD$1006:AM1006),$AD$1006:$AU$1006,0)), HYPERLINK("#",""), HYPERLINK(CONCATENATE("#metadata!", ADDRESS(INDEX($Y$2:$Y$1001,MATCH(ROWS($W$2:W709),$W$2:$W$1001,0),0), INDEX($AD$1004:$AU$1004,1,MATCH(COLUMNS($AD$1006:AM1006),$AD$1006:$AU$1006,0)))),"Fix")))</f>
        <v xml:space="preserve"> </v>
      </c>
      <c r="L709" s="4" t="str">
        <f ca="1">IF(OR(INDEX($X$2:$X$1001,MATCH(ROWS($W$2:W709),$W$2:$W$1001,0),1)&gt;=100000,INDEX($AD$1005:$AU$1005,1,MATCH(COLUMNS($AD$1006:AN1006),$AD$1006:$AU$1006,0))&gt;=100000), " ",IF(INDEX($AD$2:$AU$1001,MATCH(ROWS($W$2:W709),$W$2:$W$1001,0),MATCH(COLUMNS($AD$1006:AN1006),$AD$1006:$AU$1006,0)), HYPERLINK("#",""), HYPERLINK(CONCATENATE("#metadata!", ADDRESS(INDEX($Y$2:$Y$1001,MATCH(ROWS($W$2:W709),$W$2:$W$1001,0),0), INDEX($AD$1004:$AU$1004,1,MATCH(COLUMNS($AD$1006:AN1006),$AD$1006:$AU$1006,0)))),"Fix")))</f>
        <v xml:space="preserve"> </v>
      </c>
      <c r="M709" s="4" t="str">
        <f ca="1">IF(OR(INDEX($X$2:$X$1001,MATCH(ROWS($W$2:W709),$W$2:$W$1001,0),1)&gt;=100000,INDEX($AD$1005:$AU$1005,1,MATCH(COLUMNS($AD$1006:AO1006),$AD$1006:$AU$1006,0))&gt;=100000), " ",IF(INDEX($AD$2:$AU$1001,MATCH(ROWS($W$2:W709),$W$2:$W$1001,0),MATCH(COLUMNS($AD$1006:AO1006),$AD$1006:$AU$1006,0)), HYPERLINK("#",""), HYPERLINK(CONCATENATE("#metadata!", ADDRESS(INDEX($Y$2:$Y$1001,MATCH(ROWS($W$2:W709),$W$2:$W$1001,0),0), INDEX($AD$1004:$AU$1004,1,MATCH(COLUMNS($AD$1006:AO1006),$AD$1006:$AU$1006,0)))),"Fix")))</f>
        <v xml:space="preserve"> </v>
      </c>
      <c r="N709" s="4" t="str">
        <f ca="1">IF(OR(INDEX($X$2:$X$1001,MATCH(ROWS($W$2:W709),$W$2:$W$1001,0),1)&gt;=100000,INDEX($AD$1005:$AU$1005,1,MATCH(COLUMNS($AD$1006:AP1006),$AD$1006:$AU$1006,0))&gt;=100000), " ",IF(INDEX($AD$2:$AU$1001,MATCH(ROWS($W$2:W709),$W$2:$W$1001,0),MATCH(COLUMNS($AD$1006:AP1006),$AD$1006:$AU$1006,0)), HYPERLINK("#",""), HYPERLINK(CONCATENATE("#metadata!", ADDRESS(INDEX($Y$2:$Y$1001,MATCH(ROWS($W$2:W709),$W$2:$W$1001,0),0), INDEX($AD$1004:$AU$1004,1,MATCH(COLUMNS($AD$1006:AP1006),$AD$1006:$AU$1006,0)))),"Fix")))</f>
        <v xml:space="preserve"> </v>
      </c>
      <c r="O709" s="4" t="str">
        <f ca="1">IF(OR(INDEX($X$2:$X$1001,MATCH(ROWS($W$2:W709),$W$2:$W$1001,0),1)&gt;=100000,INDEX($AD$1005:$AU$1005,1,MATCH(COLUMNS($AD$1006:AQ1006),$AD$1006:$AU$1006,0))&gt;=100000), " ",IF(INDEX($AD$2:$AU$1001,MATCH(ROWS($W$2:W709),$W$2:$W$1001,0),MATCH(COLUMNS($AD$1006:AQ1006),$AD$1006:$AU$1006,0)), HYPERLINK("#",""), HYPERLINK(CONCATENATE("#metadata!", ADDRESS(INDEX($Y$2:$Y$1001,MATCH(ROWS($W$2:W709),$W$2:$W$1001,0),0), INDEX($AD$1004:$AU$1004,1,MATCH(COLUMNS($AD$1006:AQ1006),$AD$1006:$AU$1006,0)))),"Fix")))</f>
        <v xml:space="preserve"> </v>
      </c>
      <c r="P709" s="4" t="str">
        <f ca="1">IF(OR(INDEX($X$2:$X$1001,MATCH(ROWS($W$2:W709),$W$2:$W$1001,0),1)&gt;=100000,INDEX($AD$1005:$AU$1005,1,MATCH(COLUMNS($AD$1006:AR1006),$AD$1006:$AU$1006,0))&gt;=100000), " ",IF(INDEX($AD$2:$AU$1001,MATCH(ROWS($W$2:W709),$W$2:$W$1001,0),MATCH(COLUMNS($AD$1006:AR1006),$AD$1006:$AU$1006,0)), HYPERLINK("#",""), HYPERLINK(CONCATENATE("#metadata!", ADDRESS(INDEX($Y$2:$Y$1001,MATCH(ROWS($W$2:W709),$W$2:$W$1001,0),0), INDEX($AD$1004:$AU$1004,1,MATCH(COLUMNS($AD$1006:AR1006),$AD$1006:$AU$1006,0)))),"Fix")))</f>
        <v xml:space="preserve"> </v>
      </c>
      <c r="Q709" s="4" t="str">
        <f ca="1">IF(OR(INDEX($X$2:$X$1001,MATCH(ROWS($W$2:W709),$W$2:$W$1001,0),1)&gt;=100000,INDEX($AD$1005:$AU$1005,1,MATCH(COLUMNS($AD$1006:AS1006),$AD$1006:$AU$1006,0))&gt;=100000), " ",IF(INDEX($AD$2:$AU$1001,MATCH(ROWS($W$2:W709),$W$2:$W$1001,0),MATCH(COLUMNS($AD$1006:AS1006),$AD$1006:$AU$1006,0)), HYPERLINK("#",""), HYPERLINK(CONCATENATE("#metadata!", ADDRESS(INDEX($Y$2:$Y$1001,MATCH(ROWS($W$2:W709),$W$2:$W$1001,0),0), INDEX($AD$1004:$AU$1004,1,MATCH(COLUMNS($AD$1006:AS1006),$AD$1006:$AU$1006,0)))),"Fix")))</f>
        <v xml:space="preserve"> </v>
      </c>
      <c r="R709" s="4" t="str">
        <f ca="1">IF(OR(INDEX($X$2:$X$1001,MATCH(ROWS($W$2:W709),$W$2:$W$1001,0),1)&gt;=100000,INDEX($AD$1005:$AU$1005,1,MATCH(COLUMNS($AD$1006:AT1006),$AD$1006:$AU$1006,0))&gt;=100000), " ",IF(INDEX($AD$2:$AU$1001,MATCH(ROWS($W$2:W709),$W$2:$W$1001,0),MATCH(COLUMNS($AD$1006:AT1006),$AD$1006:$AU$1006,0)), HYPERLINK("#",""), HYPERLINK(CONCATENATE("#metadata!", ADDRESS(INDEX($Y$2:$Y$1001,MATCH(ROWS($W$2:W709),$W$2:$W$1001,0),0), INDEX($AD$1004:$AU$1004,1,MATCH(COLUMNS($AD$1006:AT1006),$AD$1006:$AU$1006,0)))),"Fix")))</f>
        <v xml:space="preserve"> </v>
      </c>
      <c r="S709" s="4" t="str">
        <f ca="1">IF(OR(INDEX($X$2:$X$1001,MATCH(ROWS($W$2:W709),$W$2:$W$1001,0),1)&gt;=100000,INDEX($AD$1005:$AU$1005,1,MATCH(COLUMNS($AD$1006:AU1006),$AD$1006:$AU$1006,0))&gt;=100000), " ",IF(INDEX($AD$2:$AU$1001,MATCH(ROWS($W$2:W709),$W$2:$W$1001,0),MATCH(COLUMNS($AD$1006:AU1006),$AD$1006:$AU$1006,0)), HYPERLINK("#",""), HYPERLINK(CONCATENATE("#metadata!", ADDRESS(INDEX($Y$2:$Y$1001,MATCH(ROWS($W$2:W709),$W$2:$W$1001,0),0), INDEX($AD$1004:$AU$1004,1,MATCH(COLUMNS($AD$1006:AU1006),$AD$1006:$AU$1006,0)))),"Fix")))</f>
        <v xml:space="preserve"> </v>
      </c>
      <c r="W709">
        <v>708</v>
      </c>
      <c r="X709">
        <v>100709</v>
      </c>
      <c r="Y709">
        <v>709</v>
      </c>
      <c r="Z709" t="b">
        <f t="shared" si="11"/>
        <v>1</v>
      </c>
      <c r="AA709" t="b">
        <f>COUNTBLANK(metadata!B709:S709)=COLUMNS(metadata!B709:S709)</f>
        <v>1</v>
      </c>
      <c r="AB709" t="str">
        <v/>
      </c>
      <c r="AD709" t="b">
        <f ca="1">AND(IF(metadata!B709="",FALSE,TRUE),COUNTIF(metadata!B:B, metadata!B709) = 1,NOT(ISERROR(SUMPRODUCT(SEARCH(MID(metadata!B709,ROW(INDIRECT("1:"&amp;LEN(metadata!B709))), 1),"0123456789abcdefghijklmnopqrstuvwxyzABCDEFGHIJKLMNOPQRSTUVWXYZ.")))))</f>
        <v>0</v>
      </c>
      <c r="AE709" t="b">
        <f>OR(AND(IF(metadata!C709="",FALSE,TRUE),OR(EXACT(metadata!C709,"not applicable"),EXACT(metadata!C709,"missing: not collected"),EXACT(metadata!C709,"missing: not provided"),EXACT(metadata!C709,"missing: restricted access"))),AND(IF(metadata!C709="",FALSE,ISNUMBER(VALUE(metadata!C709))),metadata!C709&gt;0))</f>
        <v>0</v>
      </c>
      <c r="AF709" t="b">
        <f>AND(IF(metadata!D709="",FALSE,TRUE),EXACT(metadata!D709,"missing: not provided"))</f>
        <v>0</v>
      </c>
      <c r="AG709" t="b">
        <f>AND(IF(metadata!E709="",FALSE,TRUE),EXACT(metadata!E709,"Host-associated"))</f>
        <v>0</v>
      </c>
      <c r="AH709" t="b">
        <f>AND(IF(metadata!F709="",FALSE,TRUE),OR(EXACT(metadata!F709,"Animal"),EXACT(metadata!F709,"Fungus"),EXACT(metadata!F709,"Plant")))</f>
        <v>0</v>
      </c>
      <c r="AI709" t="b">
        <f>AND(IF(metadata!G709="",FALSE,TRUE),OR(EXACT(metadata!G709,"Plant secretion"),EXACT(metadata!G709,"Plant rhizosphere"),EXACT(metadata!G709,"Plant surface"),EXACT(metadata!G709,"Plant corpus"),EXACT(metadata!G709,"Fungus surface"),EXACT(metadata!G709,"Fungus corpus"),EXACT(metadata!G709,"Animal surface"),EXACT(metadata!G709,"Animal proximal gut"),EXACT(metadata!G709,"Animal corpus"),EXACT(metadata!G709,"Animal distal gut"),EXACT(metadata!G709,"Animal secretion")))</f>
        <v>0</v>
      </c>
      <c r="AJ709" t="b">
        <f>OR(AND(IF(metadata!H709="",FALSE,TRUE),OR(EXACT(metadata!H709,"missing: not collected"),EXACT(metadata!H709,"missing: not provided"),EXACT(metadata!H709,"missing: restricted access"))),AND(IF(metadata!H709="",FALSE,TRUE),OR(EXACT(metadata!H709,"organism-associated habitat"),EXACT(metadata!H709,"plant-associated habitat"),EXACT(metadata!H709,"animal-associated habitat"),EXACT(metadata!H709,"insecta-associated habitat"),EXACT(metadata!H709,"mammalia-associated habitat"),EXACT(metadata!H709,"human-associated habitat"),EXACT(metadata!H709,"livestock-associated habitat"))))</f>
        <v>0</v>
      </c>
      <c r="AK709" t="b">
        <f>AND(IF(metadata!I709="",FALSE,TRUE),EXACT(metadata!I709,"host-associated"))</f>
        <v>0</v>
      </c>
      <c r="AL709" t="b">
        <f>OR(AND(IF(metadata!J709="",FALSE,TRUE),OR(EXACT(metadata!J709,"not applicable"),EXACT(metadata!J709,"missing: not collected"),EXACT(metadata!J709,"missing: not provided"),EXACT(metadata!J709,"missing: restricted access"))),AND(IF(metadata!J709="",FALSE,ISNUMBER(VALUE(metadata!J709))),metadata!J709&gt;0))</f>
        <v>0</v>
      </c>
      <c r="AM709" t="b">
        <f>AND(IF(metadata!K709="",FALSE,TRUE),EXACT(metadata!K709,"missing: not provided"))</f>
        <v>0</v>
      </c>
      <c r="AN709" t="b">
        <f>IF(metadata!L709="",FALSE,TRUE)</f>
        <v>0</v>
      </c>
      <c r="AO709" t="b">
        <f>IF(metadata!M709="",FALSE,TRUE)</f>
        <v>0</v>
      </c>
      <c r="AP709" t="b">
        <f>OR(AND(IF(metadata!N709="",FALSE,TRUE),OR(EXACT(metadata!N709,"not applicable"),EXACT(metadata!N709,"missing: not collected"),EXACT(metadata!N709,"missing: not provided"))),AND(IF(metadata!N709="",FALSE,IF(ISERROR(INT(metadata!N709)),FALSE,INT(metadata!N709)=metadata!N709)),metadata!N709&gt;0))</f>
        <v>0</v>
      </c>
      <c r="AQ709" t="b">
        <f>AND(IF(metadata!O709="",FALSE,TRUE),EXACT(metadata!O709,"Not applicable"))</f>
        <v>0</v>
      </c>
      <c r="AR709" t="b">
        <f>OR(AND(IF(metadata!P709="",FALSE,TRUE),OR(EXACT(metadata!P709,"not applicable"),EXACT(metadata!P709,"missing: not collected"),EXACT(metadata!P709,"missing: not provided"),EXACT(metadata!P709,"missing: restricted access"))),IF(metadata!P709="",FALSE,IF(ISERROR(INT(metadata!P709)),FALSE,INT(metadata!P709)=metadata!P709)))</f>
        <v>0</v>
      </c>
      <c r="AS709" t="b">
        <f>AND(IF(metadata!Q709="",FALSE,TRUE),EXACT(metadata!Q709,"Not applicable"))</f>
        <v>0</v>
      </c>
      <c r="AT709" t="b">
        <f>OR(AND(IF(metadata!R709="",FALSE,TRUE),OR(EXACT(metadata!R709,"not applicable"),EXACT(metadata!R709,"missing: not collected"),EXACT(metadata!R709,"missing: not provided"),EXACT(metadata!R709,"missing: restricted access"))),AND(IF(metadata!R709="",FALSE,ISNUMBER(VALUE(metadata!R709))),metadata!R709&gt;0))</f>
        <v>0</v>
      </c>
      <c r="AU709" t="b">
        <f>AND(IF(metadata!S709="",FALSE,TRUE),EXACT(metadata!S709,"missing: not provided"))</f>
        <v>0</v>
      </c>
    </row>
    <row r="710" spans="1:47" x14ac:dyDescent="0.2">
      <c r="A710" s="5" t="str">
        <f ca="1">IF(B710=" "," ",HYPERLINK(CONCATENATE("#metadata!",ADDRESS(INDEX($Y$2:$Y$1001,MATCH(ROWS($W$2:W710),$W$2:$W$1001,0),0),1)),INDEX($AB$2:$AB$1001,MATCH(ROWS($W$2:W710),$W$2:$W$1001,0),0)))</f>
        <v xml:space="preserve"> </v>
      </c>
      <c r="B710" s="4" t="str">
        <f ca="1">IF(OR(INDEX($X$2:$X$1001,MATCH(ROWS($W$2:W710),$W$2:$W$1001,0),1)&gt;=100000,INDEX($AD$1005:$AU$1005,1,MATCH(COLUMNS($AD$1006:AD1006),$AD$1006:$AU$1006,0))&gt;=100000), " ",IF(INDEX($AD$2:$AU$1001,MATCH(ROWS($W$2:W710),$W$2:$W$1001,0),MATCH(COLUMNS($AD$1006:AD1006),$AD$1006:$AU$1006,0)), HYPERLINK("#",""), HYPERLINK(CONCATENATE("#metadata!", ADDRESS(INDEX($Y$2:$Y$1001,MATCH(ROWS($W$2:W710),$W$2:$W$1001,0),0), INDEX($AD$1004:$AU$1004,1,MATCH(COLUMNS($AD$1006:AD1006),$AD$1006:$AU$1006,0)))),"Fix")))</f>
        <v xml:space="preserve"> </v>
      </c>
      <c r="C710" s="4" t="str">
        <f ca="1">IF(OR(INDEX($X$2:$X$1001,MATCH(ROWS($W$2:W710),$W$2:$W$1001,0),1)&gt;=100000,INDEX($AD$1005:$AU$1005,1,MATCH(COLUMNS($AD$1006:AE1006),$AD$1006:$AU$1006,0))&gt;=100000), " ",IF(INDEX($AD$2:$AU$1001,MATCH(ROWS($W$2:W710),$W$2:$W$1001,0),MATCH(COLUMNS($AD$1006:AE1006),$AD$1006:$AU$1006,0)), HYPERLINK("#",""), HYPERLINK(CONCATENATE("#metadata!", ADDRESS(INDEX($Y$2:$Y$1001,MATCH(ROWS($W$2:W710),$W$2:$W$1001,0),0), INDEX($AD$1004:$AU$1004,1,MATCH(COLUMNS($AD$1006:AE1006),$AD$1006:$AU$1006,0)))),"Fix")))</f>
        <v xml:space="preserve"> </v>
      </c>
      <c r="D710" s="4" t="str">
        <f ca="1">IF(OR(INDEX($X$2:$X$1001,MATCH(ROWS($W$2:W710),$W$2:$W$1001,0),1)&gt;=100000,INDEX($AD$1005:$AU$1005,1,MATCH(COLUMNS($AD$1006:AF1006),$AD$1006:$AU$1006,0))&gt;=100000), " ",IF(INDEX($AD$2:$AU$1001,MATCH(ROWS($W$2:W710),$W$2:$W$1001,0),MATCH(COLUMNS($AD$1006:AF1006),$AD$1006:$AU$1006,0)), HYPERLINK("#",""), HYPERLINK(CONCATENATE("#metadata!", ADDRESS(INDEX($Y$2:$Y$1001,MATCH(ROWS($W$2:W710),$W$2:$W$1001,0),0), INDEX($AD$1004:$AU$1004,1,MATCH(COLUMNS($AD$1006:AF1006),$AD$1006:$AU$1006,0)))),"Fix")))</f>
        <v xml:space="preserve"> </v>
      </c>
      <c r="E710" s="4" t="str">
        <f ca="1">IF(OR(INDEX($X$2:$X$1001,MATCH(ROWS($W$2:W710),$W$2:$W$1001,0),1)&gt;=100000,INDEX($AD$1005:$AU$1005,1,MATCH(COLUMNS($AD$1006:AG1006),$AD$1006:$AU$1006,0))&gt;=100000), " ",IF(INDEX($AD$2:$AU$1001,MATCH(ROWS($W$2:W710),$W$2:$W$1001,0),MATCH(COLUMNS($AD$1006:AG1006),$AD$1006:$AU$1006,0)), HYPERLINK("#",""), HYPERLINK(CONCATENATE("#metadata!", ADDRESS(INDEX($Y$2:$Y$1001,MATCH(ROWS($W$2:W710),$W$2:$W$1001,0),0), INDEX($AD$1004:$AU$1004,1,MATCH(COLUMNS($AD$1006:AG1006),$AD$1006:$AU$1006,0)))),"Fix")))</f>
        <v xml:space="preserve"> </v>
      </c>
      <c r="F710" s="4" t="str">
        <f ca="1">IF(OR(INDEX($X$2:$X$1001,MATCH(ROWS($W$2:W710),$W$2:$W$1001,0),1)&gt;=100000,INDEX($AD$1005:$AU$1005,1,MATCH(COLUMNS($AD$1006:AH1006),$AD$1006:$AU$1006,0))&gt;=100000), " ",IF(INDEX($AD$2:$AU$1001,MATCH(ROWS($W$2:W710),$W$2:$W$1001,0),MATCH(COLUMNS($AD$1006:AH1006),$AD$1006:$AU$1006,0)), HYPERLINK("#",""), HYPERLINK(CONCATENATE("#metadata!", ADDRESS(INDEX($Y$2:$Y$1001,MATCH(ROWS($W$2:W710),$W$2:$W$1001,0),0), INDEX($AD$1004:$AU$1004,1,MATCH(COLUMNS($AD$1006:AH1006),$AD$1006:$AU$1006,0)))),"Fix")))</f>
        <v xml:space="preserve"> </v>
      </c>
      <c r="G710" s="4" t="str">
        <f ca="1">IF(OR(INDEX($X$2:$X$1001,MATCH(ROWS($W$2:W710),$W$2:$W$1001,0),1)&gt;=100000,INDEX($AD$1005:$AU$1005,1,MATCH(COLUMNS($AD$1006:AI1006),$AD$1006:$AU$1006,0))&gt;=100000), " ",IF(INDEX($AD$2:$AU$1001,MATCH(ROWS($W$2:W710),$W$2:$W$1001,0),MATCH(COLUMNS($AD$1006:AI1006),$AD$1006:$AU$1006,0)), HYPERLINK("#",""), HYPERLINK(CONCATENATE("#metadata!", ADDRESS(INDEX($Y$2:$Y$1001,MATCH(ROWS($W$2:W710),$W$2:$W$1001,0),0), INDEX($AD$1004:$AU$1004,1,MATCH(COLUMNS($AD$1006:AI1006),$AD$1006:$AU$1006,0)))),"Fix")))</f>
        <v xml:space="preserve"> </v>
      </c>
      <c r="H710" s="4" t="str">
        <f ca="1">IF(OR(INDEX($X$2:$X$1001,MATCH(ROWS($W$2:W710),$W$2:$W$1001,0),1)&gt;=100000,INDEX($AD$1005:$AU$1005,1,MATCH(COLUMNS($AD$1006:AJ1006),$AD$1006:$AU$1006,0))&gt;=100000), " ",IF(INDEX($AD$2:$AU$1001,MATCH(ROWS($W$2:W710),$W$2:$W$1001,0),MATCH(COLUMNS($AD$1006:AJ1006),$AD$1006:$AU$1006,0)), HYPERLINK("#",""), HYPERLINK(CONCATENATE("#metadata!", ADDRESS(INDEX($Y$2:$Y$1001,MATCH(ROWS($W$2:W710),$W$2:$W$1001,0),0), INDEX($AD$1004:$AU$1004,1,MATCH(COLUMNS($AD$1006:AJ1006),$AD$1006:$AU$1006,0)))),"Fix")))</f>
        <v xml:space="preserve"> </v>
      </c>
      <c r="I710" s="4" t="str">
        <f ca="1">IF(OR(INDEX($X$2:$X$1001,MATCH(ROWS($W$2:W710),$W$2:$W$1001,0),1)&gt;=100000,INDEX($AD$1005:$AU$1005,1,MATCH(COLUMNS($AD$1006:AK1006),$AD$1006:$AU$1006,0))&gt;=100000), " ",IF(INDEX($AD$2:$AU$1001,MATCH(ROWS($W$2:W710),$W$2:$W$1001,0),MATCH(COLUMNS($AD$1006:AK1006),$AD$1006:$AU$1006,0)), HYPERLINK("#",""), HYPERLINK(CONCATENATE("#metadata!", ADDRESS(INDEX($Y$2:$Y$1001,MATCH(ROWS($W$2:W710),$W$2:$W$1001,0),0), INDEX($AD$1004:$AU$1004,1,MATCH(COLUMNS($AD$1006:AK1006),$AD$1006:$AU$1006,0)))),"Fix")))</f>
        <v xml:space="preserve"> </v>
      </c>
      <c r="J710" s="4" t="str">
        <f ca="1">IF(OR(INDEX($X$2:$X$1001,MATCH(ROWS($W$2:W710),$W$2:$W$1001,0),1)&gt;=100000,INDEX($AD$1005:$AU$1005,1,MATCH(COLUMNS($AD$1006:AL1006),$AD$1006:$AU$1006,0))&gt;=100000), " ",IF(INDEX($AD$2:$AU$1001,MATCH(ROWS($W$2:W710),$W$2:$W$1001,0),MATCH(COLUMNS($AD$1006:AL1006),$AD$1006:$AU$1006,0)), HYPERLINK("#",""), HYPERLINK(CONCATENATE("#metadata!", ADDRESS(INDEX($Y$2:$Y$1001,MATCH(ROWS($W$2:W710),$W$2:$W$1001,0),0), INDEX($AD$1004:$AU$1004,1,MATCH(COLUMNS($AD$1006:AL1006),$AD$1006:$AU$1006,0)))),"Fix")))</f>
        <v xml:space="preserve"> </v>
      </c>
      <c r="K710" s="4" t="str">
        <f ca="1">IF(OR(INDEX($X$2:$X$1001,MATCH(ROWS($W$2:W710),$W$2:$W$1001,0),1)&gt;=100000,INDEX($AD$1005:$AU$1005,1,MATCH(COLUMNS($AD$1006:AM1006),$AD$1006:$AU$1006,0))&gt;=100000), " ",IF(INDEX($AD$2:$AU$1001,MATCH(ROWS($W$2:W710),$W$2:$W$1001,0),MATCH(COLUMNS($AD$1006:AM1006),$AD$1006:$AU$1006,0)), HYPERLINK("#",""), HYPERLINK(CONCATENATE("#metadata!", ADDRESS(INDEX($Y$2:$Y$1001,MATCH(ROWS($W$2:W710),$W$2:$W$1001,0),0), INDEX($AD$1004:$AU$1004,1,MATCH(COLUMNS($AD$1006:AM1006),$AD$1006:$AU$1006,0)))),"Fix")))</f>
        <v xml:space="preserve"> </v>
      </c>
      <c r="L710" s="4" t="str">
        <f ca="1">IF(OR(INDEX($X$2:$X$1001,MATCH(ROWS($W$2:W710),$W$2:$W$1001,0),1)&gt;=100000,INDEX($AD$1005:$AU$1005,1,MATCH(COLUMNS($AD$1006:AN1006),$AD$1006:$AU$1006,0))&gt;=100000), " ",IF(INDEX($AD$2:$AU$1001,MATCH(ROWS($W$2:W710),$W$2:$W$1001,0),MATCH(COLUMNS($AD$1006:AN1006),$AD$1006:$AU$1006,0)), HYPERLINK("#",""), HYPERLINK(CONCATENATE("#metadata!", ADDRESS(INDEX($Y$2:$Y$1001,MATCH(ROWS($W$2:W710),$W$2:$W$1001,0),0), INDEX($AD$1004:$AU$1004,1,MATCH(COLUMNS($AD$1006:AN1006),$AD$1006:$AU$1006,0)))),"Fix")))</f>
        <v xml:space="preserve"> </v>
      </c>
      <c r="M710" s="4" t="str">
        <f ca="1">IF(OR(INDEX($X$2:$X$1001,MATCH(ROWS($W$2:W710),$W$2:$W$1001,0),1)&gt;=100000,INDEX($AD$1005:$AU$1005,1,MATCH(COLUMNS($AD$1006:AO1006),$AD$1006:$AU$1006,0))&gt;=100000), " ",IF(INDEX($AD$2:$AU$1001,MATCH(ROWS($W$2:W710),$W$2:$W$1001,0),MATCH(COLUMNS($AD$1006:AO1006),$AD$1006:$AU$1006,0)), HYPERLINK("#",""), HYPERLINK(CONCATENATE("#metadata!", ADDRESS(INDEX($Y$2:$Y$1001,MATCH(ROWS($W$2:W710),$W$2:$W$1001,0),0), INDEX($AD$1004:$AU$1004,1,MATCH(COLUMNS($AD$1006:AO1006),$AD$1006:$AU$1006,0)))),"Fix")))</f>
        <v xml:space="preserve"> </v>
      </c>
      <c r="N710" s="4" t="str">
        <f ca="1">IF(OR(INDEX($X$2:$X$1001,MATCH(ROWS($W$2:W710),$W$2:$W$1001,0),1)&gt;=100000,INDEX($AD$1005:$AU$1005,1,MATCH(COLUMNS($AD$1006:AP1006),$AD$1006:$AU$1006,0))&gt;=100000), " ",IF(INDEX($AD$2:$AU$1001,MATCH(ROWS($W$2:W710),$W$2:$W$1001,0),MATCH(COLUMNS($AD$1006:AP1006),$AD$1006:$AU$1006,0)), HYPERLINK("#",""), HYPERLINK(CONCATENATE("#metadata!", ADDRESS(INDEX($Y$2:$Y$1001,MATCH(ROWS($W$2:W710),$W$2:$W$1001,0),0), INDEX($AD$1004:$AU$1004,1,MATCH(COLUMNS($AD$1006:AP1006),$AD$1006:$AU$1006,0)))),"Fix")))</f>
        <v xml:space="preserve"> </v>
      </c>
      <c r="O710" s="4" t="str">
        <f ca="1">IF(OR(INDEX($X$2:$X$1001,MATCH(ROWS($W$2:W710),$W$2:$W$1001,0),1)&gt;=100000,INDEX($AD$1005:$AU$1005,1,MATCH(COLUMNS($AD$1006:AQ1006),$AD$1006:$AU$1006,0))&gt;=100000), " ",IF(INDEX($AD$2:$AU$1001,MATCH(ROWS($W$2:W710),$W$2:$W$1001,0),MATCH(COLUMNS($AD$1006:AQ1006),$AD$1006:$AU$1006,0)), HYPERLINK("#",""), HYPERLINK(CONCATENATE("#metadata!", ADDRESS(INDEX($Y$2:$Y$1001,MATCH(ROWS($W$2:W710),$W$2:$W$1001,0),0), INDEX($AD$1004:$AU$1004,1,MATCH(COLUMNS($AD$1006:AQ1006),$AD$1006:$AU$1006,0)))),"Fix")))</f>
        <v xml:space="preserve"> </v>
      </c>
      <c r="P710" s="4" t="str">
        <f ca="1">IF(OR(INDEX($X$2:$X$1001,MATCH(ROWS($W$2:W710),$W$2:$W$1001,0),1)&gt;=100000,INDEX($AD$1005:$AU$1005,1,MATCH(COLUMNS($AD$1006:AR1006),$AD$1006:$AU$1006,0))&gt;=100000), " ",IF(INDEX($AD$2:$AU$1001,MATCH(ROWS($W$2:W710),$W$2:$W$1001,0),MATCH(COLUMNS($AD$1006:AR1006),$AD$1006:$AU$1006,0)), HYPERLINK("#",""), HYPERLINK(CONCATENATE("#metadata!", ADDRESS(INDEX($Y$2:$Y$1001,MATCH(ROWS($W$2:W710),$W$2:$W$1001,0),0), INDEX($AD$1004:$AU$1004,1,MATCH(COLUMNS($AD$1006:AR1006),$AD$1006:$AU$1006,0)))),"Fix")))</f>
        <v xml:space="preserve"> </v>
      </c>
      <c r="Q710" s="4" t="str">
        <f ca="1">IF(OR(INDEX($X$2:$X$1001,MATCH(ROWS($W$2:W710),$W$2:$W$1001,0),1)&gt;=100000,INDEX($AD$1005:$AU$1005,1,MATCH(COLUMNS($AD$1006:AS1006),$AD$1006:$AU$1006,0))&gt;=100000), " ",IF(INDEX($AD$2:$AU$1001,MATCH(ROWS($W$2:W710),$W$2:$W$1001,0),MATCH(COLUMNS($AD$1006:AS1006),$AD$1006:$AU$1006,0)), HYPERLINK("#",""), HYPERLINK(CONCATENATE("#metadata!", ADDRESS(INDEX($Y$2:$Y$1001,MATCH(ROWS($W$2:W710),$W$2:$W$1001,0),0), INDEX($AD$1004:$AU$1004,1,MATCH(COLUMNS($AD$1006:AS1006),$AD$1006:$AU$1006,0)))),"Fix")))</f>
        <v xml:space="preserve"> </v>
      </c>
      <c r="R710" s="4" t="str">
        <f ca="1">IF(OR(INDEX($X$2:$X$1001,MATCH(ROWS($W$2:W710),$W$2:$W$1001,0),1)&gt;=100000,INDEX($AD$1005:$AU$1005,1,MATCH(COLUMNS($AD$1006:AT1006),$AD$1006:$AU$1006,0))&gt;=100000), " ",IF(INDEX($AD$2:$AU$1001,MATCH(ROWS($W$2:W710),$W$2:$W$1001,0),MATCH(COLUMNS($AD$1006:AT1006),$AD$1006:$AU$1006,0)), HYPERLINK("#",""), HYPERLINK(CONCATENATE("#metadata!", ADDRESS(INDEX($Y$2:$Y$1001,MATCH(ROWS($W$2:W710),$W$2:$W$1001,0),0), INDEX($AD$1004:$AU$1004,1,MATCH(COLUMNS($AD$1006:AT1006),$AD$1006:$AU$1006,0)))),"Fix")))</f>
        <v xml:space="preserve"> </v>
      </c>
      <c r="S710" s="4" t="str">
        <f ca="1">IF(OR(INDEX($X$2:$X$1001,MATCH(ROWS($W$2:W710),$W$2:$W$1001,0),1)&gt;=100000,INDEX($AD$1005:$AU$1005,1,MATCH(COLUMNS($AD$1006:AU1006),$AD$1006:$AU$1006,0))&gt;=100000), " ",IF(INDEX($AD$2:$AU$1001,MATCH(ROWS($W$2:W710),$W$2:$W$1001,0),MATCH(COLUMNS($AD$1006:AU1006),$AD$1006:$AU$1006,0)), HYPERLINK("#",""), HYPERLINK(CONCATENATE("#metadata!", ADDRESS(INDEX($Y$2:$Y$1001,MATCH(ROWS($W$2:W710),$W$2:$W$1001,0),0), INDEX($AD$1004:$AU$1004,1,MATCH(COLUMNS($AD$1006:AU1006),$AD$1006:$AU$1006,0)))),"Fix")))</f>
        <v xml:space="preserve"> </v>
      </c>
      <c r="W710">
        <v>709</v>
      </c>
      <c r="X710">
        <v>100710</v>
      </c>
      <c r="Y710">
        <v>710</v>
      </c>
      <c r="Z710" t="b">
        <f t="shared" si="11"/>
        <v>1</v>
      </c>
      <c r="AA710" t="b">
        <f>COUNTBLANK(metadata!B710:S710)=COLUMNS(metadata!B710:S710)</f>
        <v>1</v>
      </c>
      <c r="AB710" t="str">
        <v/>
      </c>
      <c r="AD710" t="b">
        <f ca="1">AND(IF(metadata!B710="",FALSE,TRUE),COUNTIF(metadata!B:B, metadata!B710) = 1,NOT(ISERROR(SUMPRODUCT(SEARCH(MID(metadata!B710,ROW(INDIRECT("1:"&amp;LEN(metadata!B710))), 1),"0123456789abcdefghijklmnopqrstuvwxyzABCDEFGHIJKLMNOPQRSTUVWXYZ.")))))</f>
        <v>0</v>
      </c>
      <c r="AE710" t="b">
        <f>OR(AND(IF(metadata!C710="",FALSE,TRUE),OR(EXACT(metadata!C710,"not applicable"),EXACT(metadata!C710,"missing: not collected"),EXACT(metadata!C710,"missing: not provided"),EXACT(metadata!C710,"missing: restricted access"))),AND(IF(metadata!C710="",FALSE,ISNUMBER(VALUE(metadata!C710))),metadata!C710&gt;0))</f>
        <v>0</v>
      </c>
      <c r="AF710" t="b">
        <f>AND(IF(metadata!D710="",FALSE,TRUE),EXACT(metadata!D710,"missing: not provided"))</f>
        <v>0</v>
      </c>
      <c r="AG710" t="b">
        <f>AND(IF(metadata!E710="",FALSE,TRUE),EXACT(metadata!E710,"Host-associated"))</f>
        <v>0</v>
      </c>
      <c r="AH710" t="b">
        <f>AND(IF(metadata!F710="",FALSE,TRUE),OR(EXACT(metadata!F710,"Animal"),EXACT(metadata!F710,"Fungus"),EXACT(metadata!F710,"Plant")))</f>
        <v>0</v>
      </c>
      <c r="AI710" t="b">
        <f>AND(IF(metadata!G710="",FALSE,TRUE),OR(EXACT(metadata!G710,"Plant secretion"),EXACT(metadata!G710,"Plant rhizosphere"),EXACT(metadata!G710,"Plant surface"),EXACT(metadata!G710,"Plant corpus"),EXACT(metadata!G710,"Fungus surface"),EXACT(metadata!G710,"Fungus corpus"),EXACT(metadata!G710,"Animal surface"),EXACT(metadata!G710,"Animal proximal gut"),EXACT(metadata!G710,"Animal corpus"),EXACT(metadata!G710,"Animal distal gut"),EXACT(metadata!G710,"Animal secretion")))</f>
        <v>0</v>
      </c>
      <c r="AJ710" t="b">
        <f>OR(AND(IF(metadata!H710="",FALSE,TRUE),OR(EXACT(metadata!H710,"missing: not collected"),EXACT(metadata!H710,"missing: not provided"),EXACT(metadata!H710,"missing: restricted access"))),AND(IF(metadata!H710="",FALSE,TRUE),OR(EXACT(metadata!H710,"organism-associated habitat"),EXACT(metadata!H710,"plant-associated habitat"),EXACT(metadata!H710,"animal-associated habitat"),EXACT(metadata!H710,"insecta-associated habitat"),EXACT(metadata!H710,"mammalia-associated habitat"),EXACT(metadata!H710,"human-associated habitat"),EXACT(metadata!H710,"livestock-associated habitat"))))</f>
        <v>0</v>
      </c>
      <c r="AK710" t="b">
        <f>AND(IF(metadata!I710="",FALSE,TRUE),EXACT(metadata!I710,"host-associated"))</f>
        <v>0</v>
      </c>
      <c r="AL710" t="b">
        <f>OR(AND(IF(metadata!J710="",FALSE,TRUE),OR(EXACT(metadata!J710,"not applicable"),EXACT(metadata!J710,"missing: not collected"),EXACT(metadata!J710,"missing: not provided"),EXACT(metadata!J710,"missing: restricted access"))),AND(IF(metadata!J710="",FALSE,ISNUMBER(VALUE(metadata!J710))),metadata!J710&gt;0))</f>
        <v>0</v>
      </c>
      <c r="AM710" t="b">
        <f>AND(IF(metadata!K710="",FALSE,TRUE),EXACT(metadata!K710,"missing: not provided"))</f>
        <v>0</v>
      </c>
      <c r="AN710" t="b">
        <f>IF(metadata!L710="",FALSE,TRUE)</f>
        <v>0</v>
      </c>
      <c r="AO710" t="b">
        <f>IF(metadata!M710="",FALSE,TRUE)</f>
        <v>0</v>
      </c>
      <c r="AP710" t="b">
        <f>OR(AND(IF(metadata!N710="",FALSE,TRUE),OR(EXACT(metadata!N710,"not applicable"),EXACT(metadata!N710,"missing: not collected"),EXACT(metadata!N710,"missing: not provided"))),AND(IF(metadata!N710="",FALSE,IF(ISERROR(INT(metadata!N710)),FALSE,INT(metadata!N710)=metadata!N710)),metadata!N710&gt;0))</f>
        <v>0</v>
      </c>
      <c r="AQ710" t="b">
        <f>AND(IF(metadata!O710="",FALSE,TRUE),EXACT(metadata!O710,"Not applicable"))</f>
        <v>0</v>
      </c>
      <c r="AR710" t="b">
        <f>OR(AND(IF(metadata!P710="",FALSE,TRUE),OR(EXACT(metadata!P710,"not applicable"),EXACT(metadata!P710,"missing: not collected"),EXACT(metadata!P710,"missing: not provided"),EXACT(metadata!P710,"missing: restricted access"))),IF(metadata!P710="",FALSE,IF(ISERROR(INT(metadata!P710)),FALSE,INT(metadata!P710)=metadata!P710)))</f>
        <v>0</v>
      </c>
      <c r="AS710" t="b">
        <f>AND(IF(metadata!Q710="",FALSE,TRUE),EXACT(metadata!Q710,"Not applicable"))</f>
        <v>0</v>
      </c>
      <c r="AT710" t="b">
        <f>OR(AND(IF(metadata!R710="",FALSE,TRUE),OR(EXACT(metadata!R710,"not applicable"),EXACT(metadata!R710,"missing: not collected"),EXACT(metadata!R710,"missing: not provided"),EXACT(metadata!R710,"missing: restricted access"))),AND(IF(metadata!R710="",FALSE,ISNUMBER(VALUE(metadata!R710))),metadata!R710&gt;0))</f>
        <v>0</v>
      </c>
      <c r="AU710" t="b">
        <f>AND(IF(metadata!S710="",FALSE,TRUE),EXACT(metadata!S710,"missing: not provided"))</f>
        <v>0</v>
      </c>
    </row>
    <row r="711" spans="1:47" x14ac:dyDescent="0.2">
      <c r="A711" s="5" t="str">
        <f ca="1">IF(B711=" "," ",HYPERLINK(CONCATENATE("#metadata!",ADDRESS(INDEX($Y$2:$Y$1001,MATCH(ROWS($W$2:W711),$W$2:$W$1001,0),0),1)),INDEX($AB$2:$AB$1001,MATCH(ROWS($W$2:W711),$W$2:$W$1001,0),0)))</f>
        <v xml:space="preserve"> </v>
      </c>
      <c r="B711" s="4" t="str">
        <f ca="1">IF(OR(INDEX($X$2:$X$1001,MATCH(ROWS($W$2:W711),$W$2:$W$1001,0),1)&gt;=100000,INDEX($AD$1005:$AU$1005,1,MATCH(COLUMNS($AD$1006:AD1006),$AD$1006:$AU$1006,0))&gt;=100000), " ",IF(INDEX($AD$2:$AU$1001,MATCH(ROWS($W$2:W711),$W$2:$W$1001,0),MATCH(COLUMNS($AD$1006:AD1006),$AD$1006:$AU$1006,0)), HYPERLINK("#",""), HYPERLINK(CONCATENATE("#metadata!", ADDRESS(INDEX($Y$2:$Y$1001,MATCH(ROWS($W$2:W711),$W$2:$W$1001,0),0), INDEX($AD$1004:$AU$1004,1,MATCH(COLUMNS($AD$1006:AD1006),$AD$1006:$AU$1006,0)))),"Fix")))</f>
        <v xml:space="preserve"> </v>
      </c>
      <c r="C711" s="4" t="str">
        <f ca="1">IF(OR(INDEX($X$2:$X$1001,MATCH(ROWS($W$2:W711),$W$2:$W$1001,0),1)&gt;=100000,INDEX($AD$1005:$AU$1005,1,MATCH(COLUMNS($AD$1006:AE1006),$AD$1006:$AU$1006,0))&gt;=100000), " ",IF(INDEX($AD$2:$AU$1001,MATCH(ROWS($W$2:W711),$W$2:$W$1001,0),MATCH(COLUMNS($AD$1006:AE1006),$AD$1006:$AU$1006,0)), HYPERLINK("#",""), HYPERLINK(CONCATENATE("#metadata!", ADDRESS(INDEX($Y$2:$Y$1001,MATCH(ROWS($W$2:W711),$W$2:$W$1001,0),0), INDEX($AD$1004:$AU$1004,1,MATCH(COLUMNS($AD$1006:AE1006),$AD$1006:$AU$1006,0)))),"Fix")))</f>
        <v xml:space="preserve"> </v>
      </c>
      <c r="D711" s="4" t="str">
        <f ca="1">IF(OR(INDEX($X$2:$X$1001,MATCH(ROWS($W$2:W711),$W$2:$W$1001,0),1)&gt;=100000,INDEX($AD$1005:$AU$1005,1,MATCH(COLUMNS($AD$1006:AF1006),$AD$1006:$AU$1006,0))&gt;=100000), " ",IF(INDEX($AD$2:$AU$1001,MATCH(ROWS($W$2:W711),$W$2:$W$1001,0),MATCH(COLUMNS($AD$1006:AF1006),$AD$1006:$AU$1006,0)), HYPERLINK("#",""), HYPERLINK(CONCATENATE("#metadata!", ADDRESS(INDEX($Y$2:$Y$1001,MATCH(ROWS($W$2:W711),$W$2:$W$1001,0),0), INDEX($AD$1004:$AU$1004,1,MATCH(COLUMNS($AD$1006:AF1006),$AD$1006:$AU$1006,0)))),"Fix")))</f>
        <v xml:space="preserve"> </v>
      </c>
      <c r="E711" s="4" t="str">
        <f ca="1">IF(OR(INDEX($X$2:$X$1001,MATCH(ROWS($W$2:W711),$W$2:$W$1001,0),1)&gt;=100000,INDEX($AD$1005:$AU$1005,1,MATCH(COLUMNS($AD$1006:AG1006),$AD$1006:$AU$1006,0))&gt;=100000), " ",IF(INDEX($AD$2:$AU$1001,MATCH(ROWS($W$2:W711),$W$2:$W$1001,0),MATCH(COLUMNS($AD$1006:AG1006),$AD$1006:$AU$1006,0)), HYPERLINK("#",""), HYPERLINK(CONCATENATE("#metadata!", ADDRESS(INDEX($Y$2:$Y$1001,MATCH(ROWS($W$2:W711),$W$2:$W$1001,0),0), INDEX($AD$1004:$AU$1004,1,MATCH(COLUMNS($AD$1006:AG1006),$AD$1006:$AU$1006,0)))),"Fix")))</f>
        <v xml:space="preserve"> </v>
      </c>
      <c r="F711" s="4" t="str">
        <f ca="1">IF(OR(INDEX($X$2:$X$1001,MATCH(ROWS($W$2:W711),$W$2:$W$1001,0),1)&gt;=100000,INDEX($AD$1005:$AU$1005,1,MATCH(COLUMNS($AD$1006:AH1006),$AD$1006:$AU$1006,0))&gt;=100000), " ",IF(INDEX($AD$2:$AU$1001,MATCH(ROWS($W$2:W711),$W$2:$W$1001,0),MATCH(COLUMNS($AD$1006:AH1006),$AD$1006:$AU$1006,0)), HYPERLINK("#",""), HYPERLINK(CONCATENATE("#metadata!", ADDRESS(INDEX($Y$2:$Y$1001,MATCH(ROWS($W$2:W711),$W$2:$W$1001,0),0), INDEX($AD$1004:$AU$1004,1,MATCH(COLUMNS($AD$1006:AH1006),$AD$1006:$AU$1006,0)))),"Fix")))</f>
        <v xml:space="preserve"> </v>
      </c>
      <c r="G711" s="4" t="str">
        <f ca="1">IF(OR(INDEX($X$2:$X$1001,MATCH(ROWS($W$2:W711),$W$2:$W$1001,0),1)&gt;=100000,INDEX($AD$1005:$AU$1005,1,MATCH(COLUMNS($AD$1006:AI1006),$AD$1006:$AU$1006,0))&gt;=100000), " ",IF(INDEX($AD$2:$AU$1001,MATCH(ROWS($W$2:W711),$W$2:$W$1001,0),MATCH(COLUMNS($AD$1006:AI1006),$AD$1006:$AU$1006,0)), HYPERLINK("#",""), HYPERLINK(CONCATENATE("#metadata!", ADDRESS(INDEX($Y$2:$Y$1001,MATCH(ROWS($W$2:W711),$W$2:$W$1001,0),0), INDEX($AD$1004:$AU$1004,1,MATCH(COLUMNS($AD$1006:AI1006),$AD$1006:$AU$1006,0)))),"Fix")))</f>
        <v xml:space="preserve"> </v>
      </c>
      <c r="H711" s="4" t="str">
        <f ca="1">IF(OR(INDEX($X$2:$X$1001,MATCH(ROWS($W$2:W711),$W$2:$W$1001,0),1)&gt;=100000,INDEX($AD$1005:$AU$1005,1,MATCH(COLUMNS($AD$1006:AJ1006),$AD$1006:$AU$1006,0))&gt;=100000), " ",IF(INDEX($AD$2:$AU$1001,MATCH(ROWS($W$2:W711),$W$2:$W$1001,0),MATCH(COLUMNS($AD$1006:AJ1006),$AD$1006:$AU$1006,0)), HYPERLINK("#",""), HYPERLINK(CONCATENATE("#metadata!", ADDRESS(INDEX($Y$2:$Y$1001,MATCH(ROWS($W$2:W711),$W$2:$W$1001,0),0), INDEX($AD$1004:$AU$1004,1,MATCH(COLUMNS($AD$1006:AJ1006),$AD$1006:$AU$1006,0)))),"Fix")))</f>
        <v xml:space="preserve"> </v>
      </c>
      <c r="I711" s="4" t="str">
        <f ca="1">IF(OR(INDEX($X$2:$X$1001,MATCH(ROWS($W$2:W711),$W$2:$W$1001,0),1)&gt;=100000,INDEX($AD$1005:$AU$1005,1,MATCH(COLUMNS($AD$1006:AK1006),$AD$1006:$AU$1006,0))&gt;=100000), " ",IF(INDEX($AD$2:$AU$1001,MATCH(ROWS($W$2:W711),$W$2:$W$1001,0),MATCH(COLUMNS($AD$1006:AK1006),$AD$1006:$AU$1006,0)), HYPERLINK("#",""), HYPERLINK(CONCATENATE("#metadata!", ADDRESS(INDEX($Y$2:$Y$1001,MATCH(ROWS($W$2:W711),$W$2:$W$1001,0),0), INDEX($AD$1004:$AU$1004,1,MATCH(COLUMNS($AD$1006:AK1006),$AD$1006:$AU$1006,0)))),"Fix")))</f>
        <v xml:space="preserve"> </v>
      </c>
      <c r="J711" s="4" t="str">
        <f ca="1">IF(OR(INDEX($X$2:$X$1001,MATCH(ROWS($W$2:W711),$W$2:$W$1001,0),1)&gt;=100000,INDEX($AD$1005:$AU$1005,1,MATCH(COLUMNS($AD$1006:AL1006),$AD$1006:$AU$1006,0))&gt;=100000), " ",IF(INDEX($AD$2:$AU$1001,MATCH(ROWS($W$2:W711),$W$2:$W$1001,0),MATCH(COLUMNS($AD$1006:AL1006),$AD$1006:$AU$1006,0)), HYPERLINK("#",""), HYPERLINK(CONCATENATE("#metadata!", ADDRESS(INDEX($Y$2:$Y$1001,MATCH(ROWS($W$2:W711),$W$2:$W$1001,0),0), INDEX($AD$1004:$AU$1004,1,MATCH(COLUMNS($AD$1006:AL1006),$AD$1006:$AU$1006,0)))),"Fix")))</f>
        <v xml:space="preserve"> </v>
      </c>
      <c r="K711" s="4" t="str">
        <f ca="1">IF(OR(INDEX($X$2:$X$1001,MATCH(ROWS($W$2:W711),$W$2:$W$1001,0),1)&gt;=100000,INDEX($AD$1005:$AU$1005,1,MATCH(COLUMNS($AD$1006:AM1006),$AD$1006:$AU$1006,0))&gt;=100000), " ",IF(INDEX($AD$2:$AU$1001,MATCH(ROWS($W$2:W711),$W$2:$W$1001,0),MATCH(COLUMNS($AD$1006:AM1006),$AD$1006:$AU$1006,0)), HYPERLINK("#",""), HYPERLINK(CONCATENATE("#metadata!", ADDRESS(INDEX($Y$2:$Y$1001,MATCH(ROWS($W$2:W711),$W$2:$W$1001,0),0), INDEX($AD$1004:$AU$1004,1,MATCH(COLUMNS($AD$1006:AM1006),$AD$1006:$AU$1006,0)))),"Fix")))</f>
        <v xml:space="preserve"> </v>
      </c>
      <c r="L711" s="4" t="str">
        <f ca="1">IF(OR(INDEX($X$2:$X$1001,MATCH(ROWS($W$2:W711),$W$2:$W$1001,0),1)&gt;=100000,INDEX($AD$1005:$AU$1005,1,MATCH(COLUMNS($AD$1006:AN1006),$AD$1006:$AU$1006,0))&gt;=100000), " ",IF(INDEX($AD$2:$AU$1001,MATCH(ROWS($W$2:W711),$W$2:$W$1001,0),MATCH(COLUMNS($AD$1006:AN1006),$AD$1006:$AU$1006,0)), HYPERLINK("#",""), HYPERLINK(CONCATENATE("#metadata!", ADDRESS(INDEX($Y$2:$Y$1001,MATCH(ROWS($W$2:W711),$W$2:$W$1001,0),0), INDEX($AD$1004:$AU$1004,1,MATCH(COLUMNS($AD$1006:AN1006),$AD$1006:$AU$1006,0)))),"Fix")))</f>
        <v xml:space="preserve"> </v>
      </c>
      <c r="M711" s="4" t="str">
        <f ca="1">IF(OR(INDEX($X$2:$X$1001,MATCH(ROWS($W$2:W711),$W$2:$W$1001,0),1)&gt;=100000,INDEX($AD$1005:$AU$1005,1,MATCH(COLUMNS($AD$1006:AO1006),$AD$1006:$AU$1006,0))&gt;=100000), " ",IF(INDEX($AD$2:$AU$1001,MATCH(ROWS($W$2:W711),$W$2:$W$1001,0),MATCH(COLUMNS($AD$1006:AO1006),$AD$1006:$AU$1006,0)), HYPERLINK("#",""), HYPERLINK(CONCATENATE("#metadata!", ADDRESS(INDEX($Y$2:$Y$1001,MATCH(ROWS($W$2:W711),$W$2:$W$1001,0),0), INDEX($AD$1004:$AU$1004,1,MATCH(COLUMNS($AD$1006:AO1006),$AD$1006:$AU$1006,0)))),"Fix")))</f>
        <v xml:space="preserve"> </v>
      </c>
      <c r="N711" s="4" t="str">
        <f ca="1">IF(OR(INDEX($X$2:$X$1001,MATCH(ROWS($W$2:W711),$W$2:$W$1001,0),1)&gt;=100000,INDEX($AD$1005:$AU$1005,1,MATCH(COLUMNS($AD$1006:AP1006),$AD$1006:$AU$1006,0))&gt;=100000), " ",IF(INDEX($AD$2:$AU$1001,MATCH(ROWS($W$2:W711),$W$2:$W$1001,0),MATCH(COLUMNS($AD$1006:AP1006),$AD$1006:$AU$1006,0)), HYPERLINK("#",""), HYPERLINK(CONCATENATE("#metadata!", ADDRESS(INDEX($Y$2:$Y$1001,MATCH(ROWS($W$2:W711),$W$2:$W$1001,0),0), INDEX($AD$1004:$AU$1004,1,MATCH(COLUMNS($AD$1006:AP1006),$AD$1006:$AU$1006,0)))),"Fix")))</f>
        <v xml:space="preserve"> </v>
      </c>
      <c r="O711" s="4" t="str">
        <f ca="1">IF(OR(INDEX($X$2:$X$1001,MATCH(ROWS($W$2:W711),$W$2:$W$1001,0),1)&gt;=100000,INDEX($AD$1005:$AU$1005,1,MATCH(COLUMNS($AD$1006:AQ1006),$AD$1006:$AU$1006,0))&gt;=100000), " ",IF(INDEX($AD$2:$AU$1001,MATCH(ROWS($W$2:W711),$W$2:$W$1001,0),MATCH(COLUMNS($AD$1006:AQ1006),$AD$1006:$AU$1006,0)), HYPERLINK("#",""), HYPERLINK(CONCATENATE("#metadata!", ADDRESS(INDEX($Y$2:$Y$1001,MATCH(ROWS($W$2:W711),$W$2:$W$1001,0),0), INDEX($AD$1004:$AU$1004,1,MATCH(COLUMNS($AD$1006:AQ1006),$AD$1006:$AU$1006,0)))),"Fix")))</f>
        <v xml:space="preserve"> </v>
      </c>
      <c r="P711" s="4" t="str">
        <f ca="1">IF(OR(INDEX($X$2:$X$1001,MATCH(ROWS($W$2:W711),$W$2:$W$1001,0),1)&gt;=100000,INDEX($AD$1005:$AU$1005,1,MATCH(COLUMNS($AD$1006:AR1006),$AD$1006:$AU$1006,0))&gt;=100000), " ",IF(INDEX($AD$2:$AU$1001,MATCH(ROWS($W$2:W711),$W$2:$W$1001,0),MATCH(COLUMNS($AD$1006:AR1006),$AD$1006:$AU$1006,0)), HYPERLINK("#",""), HYPERLINK(CONCATENATE("#metadata!", ADDRESS(INDEX($Y$2:$Y$1001,MATCH(ROWS($W$2:W711),$W$2:$W$1001,0),0), INDEX($AD$1004:$AU$1004,1,MATCH(COLUMNS($AD$1006:AR1006),$AD$1006:$AU$1006,0)))),"Fix")))</f>
        <v xml:space="preserve"> </v>
      </c>
      <c r="Q711" s="4" t="str">
        <f ca="1">IF(OR(INDEX($X$2:$X$1001,MATCH(ROWS($W$2:W711),$W$2:$W$1001,0),1)&gt;=100000,INDEX($AD$1005:$AU$1005,1,MATCH(COLUMNS($AD$1006:AS1006),$AD$1006:$AU$1006,0))&gt;=100000), " ",IF(INDEX($AD$2:$AU$1001,MATCH(ROWS($W$2:W711),$W$2:$W$1001,0),MATCH(COLUMNS($AD$1006:AS1006),$AD$1006:$AU$1006,0)), HYPERLINK("#",""), HYPERLINK(CONCATENATE("#metadata!", ADDRESS(INDEX($Y$2:$Y$1001,MATCH(ROWS($W$2:W711),$W$2:$W$1001,0),0), INDEX($AD$1004:$AU$1004,1,MATCH(COLUMNS($AD$1006:AS1006),$AD$1006:$AU$1006,0)))),"Fix")))</f>
        <v xml:space="preserve"> </v>
      </c>
      <c r="R711" s="4" t="str">
        <f ca="1">IF(OR(INDEX($X$2:$X$1001,MATCH(ROWS($W$2:W711),$W$2:$W$1001,0),1)&gt;=100000,INDEX($AD$1005:$AU$1005,1,MATCH(COLUMNS($AD$1006:AT1006),$AD$1006:$AU$1006,0))&gt;=100000), " ",IF(INDEX($AD$2:$AU$1001,MATCH(ROWS($W$2:W711),$W$2:$W$1001,0),MATCH(COLUMNS($AD$1006:AT1006),$AD$1006:$AU$1006,0)), HYPERLINK("#",""), HYPERLINK(CONCATENATE("#metadata!", ADDRESS(INDEX($Y$2:$Y$1001,MATCH(ROWS($W$2:W711),$W$2:$W$1001,0),0), INDEX($AD$1004:$AU$1004,1,MATCH(COLUMNS($AD$1006:AT1006),$AD$1006:$AU$1006,0)))),"Fix")))</f>
        <v xml:space="preserve"> </v>
      </c>
      <c r="S711" s="4" t="str">
        <f ca="1">IF(OR(INDEX($X$2:$X$1001,MATCH(ROWS($W$2:W711),$W$2:$W$1001,0),1)&gt;=100000,INDEX($AD$1005:$AU$1005,1,MATCH(COLUMNS($AD$1006:AU1006),$AD$1006:$AU$1006,0))&gt;=100000), " ",IF(INDEX($AD$2:$AU$1001,MATCH(ROWS($W$2:W711),$W$2:$W$1001,0),MATCH(COLUMNS($AD$1006:AU1006),$AD$1006:$AU$1006,0)), HYPERLINK("#",""), HYPERLINK(CONCATENATE("#metadata!", ADDRESS(INDEX($Y$2:$Y$1001,MATCH(ROWS($W$2:W711),$W$2:$W$1001,0),0), INDEX($AD$1004:$AU$1004,1,MATCH(COLUMNS($AD$1006:AU1006),$AD$1006:$AU$1006,0)))),"Fix")))</f>
        <v xml:space="preserve"> </v>
      </c>
      <c r="W711">
        <v>710</v>
      </c>
      <c r="X711">
        <v>100711</v>
      </c>
      <c r="Y711">
        <v>711</v>
      </c>
      <c r="Z711" t="b">
        <f t="shared" si="11"/>
        <v>1</v>
      </c>
      <c r="AA711" t="b">
        <f>COUNTBLANK(metadata!B711:S711)=COLUMNS(metadata!B711:S711)</f>
        <v>1</v>
      </c>
      <c r="AB711" t="str">
        <v/>
      </c>
      <c r="AD711" t="b">
        <f ca="1">AND(IF(metadata!B711="",FALSE,TRUE),COUNTIF(metadata!B:B, metadata!B711) = 1,NOT(ISERROR(SUMPRODUCT(SEARCH(MID(metadata!B711,ROW(INDIRECT("1:"&amp;LEN(metadata!B711))), 1),"0123456789abcdefghijklmnopqrstuvwxyzABCDEFGHIJKLMNOPQRSTUVWXYZ.")))))</f>
        <v>0</v>
      </c>
      <c r="AE711" t="b">
        <f>OR(AND(IF(metadata!C711="",FALSE,TRUE),OR(EXACT(metadata!C711,"not applicable"),EXACT(metadata!C711,"missing: not collected"),EXACT(metadata!C711,"missing: not provided"),EXACT(metadata!C711,"missing: restricted access"))),AND(IF(metadata!C711="",FALSE,ISNUMBER(VALUE(metadata!C711))),metadata!C711&gt;0))</f>
        <v>0</v>
      </c>
      <c r="AF711" t="b">
        <f>AND(IF(metadata!D711="",FALSE,TRUE),EXACT(metadata!D711,"missing: not provided"))</f>
        <v>0</v>
      </c>
      <c r="AG711" t="b">
        <f>AND(IF(metadata!E711="",FALSE,TRUE),EXACT(metadata!E711,"Host-associated"))</f>
        <v>0</v>
      </c>
      <c r="AH711" t="b">
        <f>AND(IF(metadata!F711="",FALSE,TRUE),OR(EXACT(metadata!F711,"Animal"),EXACT(metadata!F711,"Fungus"),EXACT(metadata!F711,"Plant")))</f>
        <v>0</v>
      </c>
      <c r="AI711" t="b">
        <f>AND(IF(metadata!G711="",FALSE,TRUE),OR(EXACT(metadata!G711,"Plant secretion"),EXACT(metadata!G711,"Plant rhizosphere"),EXACT(metadata!G711,"Plant surface"),EXACT(metadata!G711,"Plant corpus"),EXACT(metadata!G711,"Fungus surface"),EXACT(metadata!G711,"Fungus corpus"),EXACT(metadata!G711,"Animal surface"),EXACT(metadata!G711,"Animal proximal gut"),EXACT(metadata!G711,"Animal corpus"),EXACT(metadata!G711,"Animal distal gut"),EXACT(metadata!G711,"Animal secretion")))</f>
        <v>0</v>
      </c>
      <c r="AJ711" t="b">
        <f>OR(AND(IF(metadata!H711="",FALSE,TRUE),OR(EXACT(metadata!H711,"missing: not collected"),EXACT(metadata!H711,"missing: not provided"),EXACT(metadata!H711,"missing: restricted access"))),AND(IF(metadata!H711="",FALSE,TRUE),OR(EXACT(metadata!H711,"organism-associated habitat"),EXACT(metadata!H711,"plant-associated habitat"),EXACT(metadata!H711,"animal-associated habitat"),EXACT(metadata!H711,"insecta-associated habitat"),EXACT(metadata!H711,"mammalia-associated habitat"),EXACT(metadata!H711,"human-associated habitat"),EXACT(metadata!H711,"livestock-associated habitat"))))</f>
        <v>0</v>
      </c>
      <c r="AK711" t="b">
        <f>AND(IF(metadata!I711="",FALSE,TRUE),EXACT(metadata!I711,"host-associated"))</f>
        <v>0</v>
      </c>
      <c r="AL711" t="b">
        <f>OR(AND(IF(metadata!J711="",FALSE,TRUE),OR(EXACT(metadata!J711,"not applicable"),EXACT(metadata!J711,"missing: not collected"),EXACT(metadata!J711,"missing: not provided"),EXACT(metadata!J711,"missing: restricted access"))),AND(IF(metadata!J711="",FALSE,ISNUMBER(VALUE(metadata!J711))),metadata!J711&gt;0))</f>
        <v>0</v>
      </c>
      <c r="AM711" t="b">
        <f>AND(IF(metadata!K711="",FALSE,TRUE),EXACT(metadata!K711,"missing: not provided"))</f>
        <v>0</v>
      </c>
      <c r="AN711" t="b">
        <f>IF(metadata!L711="",FALSE,TRUE)</f>
        <v>0</v>
      </c>
      <c r="AO711" t="b">
        <f>IF(metadata!M711="",FALSE,TRUE)</f>
        <v>0</v>
      </c>
      <c r="AP711" t="b">
        <f>OR(AND(IF(metadata!N711="",FALSE,TRUE),OR(EXACT(metadata!N711,"not applicable"),EXACT(metadata!N711,"missing: not collected"),EXACT(metadata!N711,"missing: not provided"))),AND(IF(metadata!N711="",FALSE,IF(ISERROR(INT(metadata!N711)),FALSE,INT(metadata!N711)=metadata!N711)),metadata!N711&gt;0))</f>
        <v>0</v>
      </c>
      <c r="AQ711" t="b">
        <f>AND(IF(metadata!O711="",FALSE,TRUE),EXACT(metadata!O711,"Not applicable"))</f>
        <v>0</v>
      </c>
      <c r="AR711" t="b">
        <f>OR(AND(IF(metadata!P711="",FALSE,TRUE),OR(EXACT(metadata!P711,"not applicable"),EXACT(metadata!P711,"missing: not collected"),EXACT(metadata!P711,"missing: not provided"),EXACT(metadata!P711,"missing: restricted access"))),IF(metadata!P711="",FALSE,IF(ISERROR(INT(metadata!P711)),FALSE,INT(metadata!P711)=metadata!P711)))</f>
        <v>0</v>
      </c>
      <c r="AS711" t="b">
        <f>AND(IF(metadata!Q711="",FALSE,TRUE),EXACT(metadata!Q711,"Not applicable"))</f>
        <v>0</v>
      </c>
      <c r="AT711" t="b">
        <f>OR(AND(IF(metadata!R711="",FALSE,TRUE),OR(EXACT(metadata!R711,"not applicable"),EXACT(metadata!R711,"missing: not collected"),EXACT(metadata!R711,"missing: not provided"),EXACT(metadata!R711,"missing: restricted access"))),AND(IF(metadata!R711="",FALSE,ISNUMBER(VALUE(metadata!R711))),metadata!R711&gt;0))</f>
        <v>0</v>
      </c>
      <c r="AU711" t="b">
        <f>AND(IF(metadata!S711="",FALSE,TRUE),EXACT(metadata!S711,"missing: not provided"))</f>
        <v>0</v>
      </c>
    </row>
    <row r="712" spans="1:47" x14ac:dyDescent="0.2">
      <c r="A712" s="5" t="str">
        <f ca="1">IF(B712=" "," ",HYPERLINK(CONCATENATE("#metadata!",ADDRESS(INDEX($Y$2:$Y$1001,MATCH(ROWS($W$2:W712),$W$2:$W$1001,0),0),1)),INDEX($AB$2:$AB$1001,MATCH(ROWS($W$2:W712),$W$2:$W$1001,0),0)))</f>
        <v xml:space="preserve"> </v>
      </c>
      <c r="B712" s="4" t="str">
        <f ca="1">IF(OR(INDEX($X$2:$X$1001,MATCH(ROWS($W$2:W712),$W$2:$W$1001,0),1)&gt;=100000,INDEX($AD$1005:$AU$1005,1,MATCH(COLUMNS($AD$1006:AD1006),$AD$1006:$AU$1006,0))&gt;=100000), " ",IF(INDEX($AD$2:$AU$1001,MATCH(ROWS($W$2:W712),$W$2:$W$1001,0),MATCH(COLUMNS($AD$1006:AD1006),$AD$1006:$AU$1006,0)), HYPERLINK("#",""), HYPERLINK(CONCATENATE("#metadata!", ADDRESS(INDEX($Y$2:$Y$1001,MATCH(ROWS($W$2:W712),$W$2:$W$1001,0),0), INDEX($AD$1004:$AU$1004,1,MATCH(COLUMNS($AD$1006:AD1006),$AD$1006:$AU$1006,0)))),"Fix")))</f>
        <v xml:space="preserve"> </v>
      </c>
      <c r="C712" s="4" t="str">
        <f ca="1">IF(OR(INDEX($X$2:$X$1001,MATCH(ROWS($W$2:W712),$W$2:$W$1001,0),1)&gt;=100000,INDEX($AD$1005:$AU$1005,1,MATCH(COLUMNS($AD$1006:AE1006),$AD$1006:$AU$1006,0))&gt;=100000), " ",IF(INDEX($AD$2:$AU$1001,MATCH(ROWS($W$2:W712),$W$2:$W$1001,0),MATCH(COLUMNS($AD$1006:AE1006),$AD$1006:$AU$1006,0)), HYPERLINK("#",""), HYPERLINK(CONCATENATE("#metadata!", ADDRESS(INDEX($Y$2:$Y$1001,MATCH(ROWS($W$2:W712),$W$2:$W$1001,0),0), INDEX($AD$1004:$AU$1004,1,MATCH(COLUMNS($AD$1006:AE1006),$AD$1006:$AU$1006,0)))),"Fix")))</f>
        <v xml:space="preserve"> </v>
      </c>
      <c r="D712" s="4" t="str">
        <f ca="1">IF(OR(INDEX($X$2:$X$1001,MATCH(ROWS($W$2:W712),$W$2:$W$1001,0),1)&gt;=100000,INDEX($AD$1005:$AU$1005,1,MATCH(COLUMNS($AD$1006:AF1006),$AD$1006:$AU$1006,0))&gt;=100000), " ",IF(INDEX($AD$2:$AU$1001,MATCH(ROWS($W$2:W712),$W$2:$W$1001,0),MATCH(COLUMNS($AD$1006:AF1006),$AD$1006:$AU$1006,0)), HYPERLINK("#",""), HYPERLINK(CONCATENATE("#metadata!", ADDRESS(INDEX($Y$2:$Y$1001,MATCH(ROWS($W$2:W712),$W$2:$W$1001,0),0), INDEX($AD$1004:$AU$1004,1,MATCH(COLUMNS($AD$1006:AF1006),$AD$1006:$AU$1006,0)))),"Fix")))</f>
        <v xml:space="preserve"> </v>
      </c>
      <c r="E712" s="4" t="str">
        <f ca="1">IF(OR(INDEX($X$2:$X$1001,MATCH(ROWS($W$2:W712),$W$2:$W$1001,0),1)&gt;=100000,INDEX($AD$1005:$AU$1005,1,MATCH(COLUMNS($AD$1006:AG1006),$AD$1006:$AU$1006,0))&gt;=100000), " ",IF(INDEX($AD$2:$AU$1001,MATCH(ROWS($W$2:W712),$W$2:$W$1001,0),MATCH(COLUMNS($AD$1006:AG1006),$AD$1006:$AU$1006,0)), HYPERLINK("#",""), HYPERLINK(CONCATENATE("#metadata!", ADDRESS(INDEX($Y$2:$Y$1001,MATCH(ROWS($W$2:W712),$W$2:$W$1001,0),0), INDEX($AD$1004:$AU$1004,1,MATCH(COLUMNS($AD$1006:AG1006),$AD$1006:$AU$1006,0)))),"Fix")))</f>
        <v xml:space="preserve"> </v>
      </c>
      <c r="F712" s="4" t="str">
        <f ca="1">IF(OR(INDEX($X$2:$X$1001,MATCH(ROWS($W$2:W712),$W$2:$W$1001,0),1)&gt;=100000,INDEX($AD$1005:$AU$1005,1,MATCH(COLUMNS($AD$1006:AH1006),$AD$1006:$AU$1006,0))&gt;=100000), " ",IF(INDEX($AD$2:$AU$1001,MATCH(ROWS($W$2:W712),$W$2:$W$1001,0),MATCH(COLUMNS($AD$1006:AH1006),$AD$1006:$AU$1006,0)), HYPERLINK("#",""), HYPERLINK(CONCATENATE("#metadata!", ADDRESS(INDEX($Y$2:$Y$1001,MATCH(ROWS($W$2:W712),$W$2:$W$1001,0),0), INDEX($AD$1004:$AU$1004,1,MATCH(COLUMNS($AD$1006:AH1006),$AD$1006:$AU$1006,0)))),"Fix")))</f>
        <v xml:space="preserve"> </v>
      </c>
      <c r="G712" s="4" t="str">
        <f ca="1">IF(OR(INDEX($X$2:$X$1001,MATCH(ROWS($W$2:W712),$W$2:$W$1001,0),1)&gt;=100000,INDEX($AD$1005:$AU$1005,1,MATCH(COLUMNS($AD$1006:AI1006),$AD$1006:$AU$1006,0))&gt;=100000), " ",IF(INDEX($AD$2:$AU$1001,MATCH(ROWS($W$2:W712),$W$2:$W$1001,0),MATCH(COLUMNS($AD$1006:AI1006),$AD$1006:$AU$1006,0)), HYPERLINK("#",""), HYPERLINK(CONCATENATE("#metadata!", ADDRESS(INDEX($Y$2:$Y$1001,MATCH(ROWS($W$2:W712),$W$2:$W$1001,0),0), INDEX($AD$1004:$AU$1004,1,MATCH(COLUMNS($AD$1006:AI1006),$AD$1006:$AU$1006,0)))),"Fix")))</f>
        <v xml:space="preserve"> </v>
      </c>
      <c r="H712" s="4" t="str">
        <f ca="1">IF(OR(INDEX($X$2:$X$1001,MATCH(ROWS($W$2:W712),$W$2:$W$1001,0),1)&gt;=100000,INDEX($AD$1005:$AU$1005,1,MATCH(COLUMNS($AD$1006:AJ1006),$AD$1006:$AU$1006,0))&gt;=100000), " ",IF(INDEX($AD$2:$AU$1001,MATCH(ROWS($W$2:W712),$W$2:$W$1001,0),MATCH(COLUMNS($AD$1006:AJ1006),$AD$1006:$AU$1006,0)), HYPERLINK("#",""), HYPERLINK(CONCATENATE("#metadata!", ADDRESS(INDEX($Y$2:$Y$1001,MATCH(ROWS($W$2:W712),$W$2:$W$1001,0),0), INDEX($AD$1004:$AU$1004,1,MATCH(COLUMNS($AD$1006:AJ1006),$AD$1006:$AU$1006,0)))),"Fix")))</f>
        <v xml:space="preserve"> </v>
      </c>
      <c r="I712" s="4" t="str">
        <f ca="1">IF(OR(INDEX($X$2:$X$1001,MATCH(ROWS($W$2:W712),$W$2:$W$1001,0),1)&gt;=100000,INDEX($AD$1005:$AU$1005,1,MATCH(COLUMNS($AD$1006:AK1006),$AD$1006:$AU$1006,0))&gt;=100000), " ",IF(INDEX($AD$2:$AU$1001,MATCH(ROWS($W$2:W712),$W$2:$W$1001,0),MATCH(COLUMNS($AD$1006:AK1006),$AD$1006:$AU$1006,0)), HYPERLINK("#",""), HYPERLINK(CONCATENATE("#metadata!", ADDRESS(INDEX($Y$2:$Y$1001,MATCH(ROWS($W$2:W712),$W$2:$W$1001,0),0), INDEX($AD$1004:$AU$1004,1,MATCH(COLUMNS($AD$1006:AK1006),$AD$1006:$AU$1006,0)))),"Fix")))</f>
        <v xml:space="preserve"> </v>
      </c>
      <c r="J712" s="4" t="str">
        <f ca="1">IF(OR(INDEX($X$2:$X$1001,MATCH(ROWS($W$2:W712),$W$2:$W$1001,0),1)&gt;=100000,INDEX($AD$1005:$AU$1005,1,MATCH(COLUMNS($AD$1006:AL1006),$AD$1006:$AU$1006,0))&gt;=100000), " ",IF(INDEX($AD$2:$AU$1001,MATCH(ROWS($W$2:W712),$W$2:$W$1001,0),MATCH(COLUMNS($AD$1006:AL1006),$AD$1006:$AU$1006,0)), HYPERLINK("#",""), HYPERLINK(CONCATENATE("#metadata!", ADDRESS(INDEX($Y$2:$Y$1001,MATCH(ROWS($W$2:W712),$W$2:$W$1001,0),0), INDEX($AD$1004:$AU$1004,1,MATCH(COLUMNS($AD$1006:AL1006),$AD$1006:$AU$1006,0)))),"Fix")))</f>
        <v xml:space="preserve"> </v>
      </c>
      <c r="K712" s="4" t="str">
        <f ca="1">IF(OR(INDEX($X$2:$X$1001,MATCH(ROWS($W$2:W712),$W$2:$W$1001,0),1)&gt;=100000,INDEX($AD$1005:$AU$1005,1,MATCH(COLUMNS($AD$1006:AM1006),$AD$1006:$AU$1006,0))&gt;=100000), " ",IF(INDEX($AD$2:$AU$1001,MATCH(ROWS($W$2:W712),$W$2:$W$1001,0),MATCH(COLUMNS($AD$1006:AM1006),$AD$1006:$AU$1006,0)), HYPERLINK("#",""), HYPERLINK(CONCATENATE("#metadata!", ADDRESS(INDEX($Y$2:$Y$1001,MATCH(ROWS($W$2:W712),$W$2:$W$1001,0),0), INDEX($AD$1004:$AU$1004,1,MATCH(COLUMNS($AD$1006:AM1006),$AD$1006:$AU$1006,0)))),"Fix")))</f>
        <v xml:space="preserve"> </v>
      </c>
      <c r="L712" s="4" t="str">
        <f ca="1">IF(OR(INDEX($X$2:$X$1001,MATCH(ROWS($W$2:W712),$W$2:$W$1001,0),1)&gt;=100000,INDEX($AD$1005:$AU$1005,1,MATCH(COLUMNS($AD$1006:AN1006),$AD$1006:$AU$1006,0))&gt;=100000), " ",IF(INDEX($AD$2:$AU$1001,MATCH(ROWS($W$2:W712),$W$2:$W$1001,0),MATCH(COLUMNS($AD$1006:AN1006),$AD$1006:$AU$1006,0)), HYPERLINK("#",""), HYPERLINK(CONCATENATE("#metadata!", ADDRESS(INDEX($Y$2:$Y$1001,MATCH(ROWS($W$2:W712),$W$2:$W$1001,0),0), INDEX($AD$1004:$AU$1004,1,MATCH(COLUMNS($AD$1006:AN1006),$AD$1006:$AU$1006,0)))),"Fix")))</f>
        <v xml:space="preserve"> </v>
      </c>
      <c r="M712" s="4" t="str">
        <f ca="1">IF(OR(INDEX($X$2:$X$1001,MATCH(ROWS($W$2:W712),$W$2:$W$1001,0),1)&gt;=100000,INDEX($AD$1005:$AU$1005,1,MATCH(COLUMNS($AD$1006:AO1006),$AD$1006:$AU$1006,0))&gt;=100000), " ",IF(INDEX($AD$2:$AU$1001,MATCH(ROWS($W$2:W712),$W$2:$W$1001,0),MATCH(COLUMNS($AD$1006:AO1006),$AD$1006:$AU$1006,0)), HYPERLINK("#",""), HYPERLINK(CONCATENATE("#metadata!", ADDRESS(INDEX($Y$2:$Y$1001,MATCH(ROWS($W$2:W712),$W$2:$W$1001,0),0), INDEX($AD$1004:$AU$1004,1,MATCH(COLUMNS($AD$1006:AO1006),$AD$1006:$AU$1006,0)))),"Fix")))</f>
        <v xml:space="preserve"> </v>
      </c>
      <c r="N712" s="4" t="str">
        <f ca="1">IF(OR(INDEX($X$2:$X$1001,MATCH(ROWS($W$2:W712),$W$2:$W$1001,0),1)&gt;=100000,INDEX($AD$1005:$AU$1005,1,MATCH(COLUMNS($AD$1006:AP1006),$AD$1006:$AU$1006,0))&gt;=100000), " ",IF(INDEX($AD$2:$AU$1001,MATCH(ROWS($W$2:W712),$W$2:$W$1001,0),MATCH(COLUMNS($AD$1006:AP1006),$AD$1006:$AU$1006,0)), HYPERLINK("#",""), HYPERLINK(CONCATENATE("#metadata!", ADDRESS(INDEX($Y$2:$Y$1001,MATCH(ROWS($W$2:W712),$W$2:$W$1001,0),0), INDEX($AD$1004:$AU$1004,1,MATCH(COLUMNS($AD$1006:AP1006),$AD$1006:$AU$1006,0)))),"Fix")))</f>
        <v xml:space="preserve"> </v>
      </c>
      <c r="O712" s="4" t="str">
        <f ca="1">IF(OR(INDEX($X$2:$X$1001,MATCH(ROWS($W$2:W712),$W$2:$W$1001,0),1)&gt;=100000,INDEX($AD$1005:$AU$1005,1,MATCH(COLUMNS($AD$1006:AQ1006),$AD$1006:$AU$1006,0))&gt;=100000), " ",IF(INDEX($AD$2:$AU$1001,MATCH(ROWS($W$2:W712),$W$2:$W$1001,0),MATCH(COLUMNS($AD$1006:AQ1006),$AD$1006:$AU$1006,0)), HYPERLINK("#",""), HYPERLINK(CONCATENATE("#metadata!", ADDRESS(INDEX($Y$2:$Y$1001,MATCH(ROWS($W$2:W712),$W$2:$W$1001,0),0), INDEX($AD$1004:$AU$1004,1,MATCH(COLUMNS($AD$1006:AQ1006),$AD$1006:$AU$1006,0)))),"Fix")))</f>
        <v xml:space="preserve"> </v>
      </c>
      <c r="P712" s="4" t="str">
        <f ca="1">IF(OR(INDEX($X$2:$X$1001,MATCH(ROWS($W$2:W712),$W$2:$W$1001,0),1)&gt;=100000,INDEX($AD$1005:$AU$1005,1,MATCH(COLUMNS($AD$1006:AR1006),$AD$1006:$AU$1006,0))&gt;=100000), " ",IF(INDEX($AD$2:$AU$1001,MATCH(ROWS($W$2:W712),$W$2:$W$1001,0),MATCH(COLUMNS($AD$1006:AR1006),$AD$1006:$AU$1006,0)), HYPERLINK("#",""), HYPERLINK(CONCATENATE("#metadata!", ADDRESS(INDEX($Y$2:$Y$1001,MATCH(ROWS($W$2:W712),$W$2:$W$1001,0),0), INDEX($AD$1004:$AU$1004,1,MATCH(COLUMNS($AD$1006:AR1006),$AD$1006:$AU$1006,0)))),"Fix")))</f>
        <v xml:space="preserve"> </v>
      </c>
      <c r="Q712" s="4" t="str">
        <f ca="1">IF(OR(INDEX($X$2:$X$1001,MATCH(ROWS($W$2:W712),$W$2:$W$1001,0),1)&gt;=100000,INDEX($AD$1005:$AU$1005,1,MATCH(COLUMNS($AD$1006:AS1006),$AD$1006:$AU$1006,0))&gt;=100000), " ",IF(INDEX($AD$2:$AU$1001,MATCH(ROWS($W$2:W712),$W$2:$W$1001,0),MATCH(COLUMNS($AD$1006:AS1006),$AD$1006:$AU$1006,0)), HYPERLINK("#",""), HYPERLINK(CONCATENATE("#metadata!", ADDRESS(INDEX($Y$2:$Y$1001,MATCH(ROWS($W$2:W712),$W$2:$W$1001,0),0), INDEX($AD$1004:$AU$1004,1,MATCH(COLUMNS($AD$1006:AS1006),$AD$1006:$AU$1006,0)))),"Fix")))</f>
        <v xml:space="preserve"> </v>
      </c>
      <c r="R712" s="4" t="str">
        <f ca="1">IF(OR(INDEX($X$2:$X$1001,MATCH(ROWS($W$2:W712),$W$2:$W$1001,0),1)&gt;=100000,INDEX($AD$1005:$AU$1005,1,MATCH(COLUMNS($AD$1006:AT1006),$AD$1006:$AU$1006,0))&gt;=100000), " ",IF(INDEX($AD$2:$AU$1001,MATCH(ROWS($W$2:W712),$W$2:$W$1001,0),MATCH(COLUMNS($AD$1006:AT1006),$AD$1006:$AU$1006,0)), HYPERLINK("#",""), HYPERLINK(CONCATENATE("#metadata!", ADDRESS(INDEX($Y$2:$Y$1001,MATCH(ROWS($W$2:W712),$W$2:$W$1001,0),0), INDEX($AD$1004:$AU$1004,1,MATCH(COLUMNS($AD$1006:AT1006),$AD$1006:$AU$1006,0)))),"Fix")))</f>
        <v xml:space="preserve"> </v>
      </c>
      <c r="S712" s="4" t="str">
        <f ca="1">IF(OR(INDEX($X$2:$X$1001,MATCH(ROWS($W$2:W712),$W$2:$W$1001,0),1)&gt;=100000,INDEX($AD$1005:$AU$1005,1,MATCH(COLUMNS($AD$1006:AU1006),$AD$1006:$AU$1006,0))&gt;=100000), " ",IF(INDEX($AD$2:$AU$1001,MATCH(ROWS($W$2:W712),$W$2:$W$1001,0),MATCH(COLUMNS($AD$1006:AU1006),$AD$1006:$AU$1006,0)), HYPERLINK("#",""), HYPERLINK(CONCATENATE("#metadata!", ADDRESS(INDEX($Y$2:$Y$1001,MATCH(ROWS($W$2:W712),$W$2:$W$1001,0),0), INDEX($AD$1004:$AU$1004,1,MATCH(COLUMNS($AD$1006:AU1006),$AD$1006:$AU$1006,0)))),"Fix")))</f>
        <v xml:space="preserve"> </v>
      </c>
      <c r="W712">
        <v>711</v>
      </c>
      <c r="X712">
        <v>100712</v>
      </c>
      <c r="Y712">
        <v>712</v>
      </c>
      <c r="Z712" t="b">
        <f t="shared" si="11"/>
        <v>1</v>
      </c>
      <c r="AA712" t="b">
        <f>COUNTBLANK(metadata!B712:S712)=COLUMNS(metadata!B712:S712)</f>
        <v>1</v>
      </c>
      <c r="AB712" t="str">
        <v/>
      </c>
      <c r="AD712" t="b">
        <f ca="1">AND(IF(metadata!B712="",FALSE,TRUE),COUNTIF(metadata!B:B, metadata!B712) = 1,NOT(ISERROR(SUMPRODUCT(SEARCH(MID(metadata!B712,ROW(INDIRECT("1:"&amp;LEN(metadata!B712))), 1),"0123456789abcdefghijklmnopqrstuvwxyzABCDEFGHIJKLMNOPQRSTUVWXYZ.")))))</f>
        <v>0</v>
      </c>
      <c r="AE712" t="b">
        <f>OR(AND(IF(metadata!C712="",FALSE,TRUE),OR(EXACT(metadata!C712,"not applicable"),EXACT(metadata!C712,"missing: not collected"),EXACT(metadata!C712,"missing: not provided"),EXACT(metadata!C712,"missing: restricted access"))),AND(IF(metadata!C712="",FALSE,ISNUMBER(VALUE(metadata!C712))),metadata!C712&gt;0))</f>
        <v>0</v>
      </c>
      <c r="AF712" t="b">
        <f>AND(IF(metadata!D712="",FALSE,TRUE),EXACT(metadata!D712,"missing: not provided"))</f>
        <v>0</v>
      </c>
      <c r="AG712" t="b">
        <f>AND(IF(metadata!E712="",FALSE,TRUE),EXACT(metadata!E712,"Host-associated"))</f>
        <v>0</v>
      </c>
      <c r="AH712" t="b">
        <f>AND(IF(metadata!F712="",FALSE,TRUE),OR(EXACT(metadata!F712,"Animal"),EXACT(metadata!F712,"Fungus"),EXACT(metadata!F712,"Plant")))</f>
        <v>0</v>
      </c>
      <c r="AI712" t="b">
        <f>AND(IF(metadata!G712="",FALSE,TRUE),OR(EXACT(metadata!G712,"Plant secretion"),EXACT(metadata!G712,"Plant rhizosphere"),EXACT(metadata!G712,"Plant surface"),EXACT(metadata!G712,"Plant corpus"),EXACT(metadata!G712,"Fungus surface"),EXACT(metadata!G712,"Fungus corpus"),EXACT(metadata!G712,"Animal surface"),EXACT(metadata!G712,"Animal proximal gut"),EXACT(metadata!G712,"Animal corpus"),EXACT(metadata!G712,"Animal distal gut"),EXACT(metadata!G712,"Animal secretion")))</f>
        <v>0</v>
      </c>
      <c r="AJ712" t="b">
        <f>OR(AND(IF(metadata!H712="",FALSE,TRUE),OR(EXACT(metadata!H712,"missing: not collected"),EXACT(metadata!H712,"missing: not provided"),EXACT(metadata!H712,"missing: restricted access"))),AND(IF(metadata!H712="",FALSE,TRUE),OR(EXACT(metadata!H712,"organism-associated habitat"),EXACT(metadata!H712,"plant-associated habitat"),EXACT(metadata!H712,"animal-associated habitat"),EXACT(metadata!H712,"insecta-associated habitat"),EXACT(metadata!H712,"mammalia-associated habitat"),EXACT(metadata!H712,"human-associated habitat"),EXACT(metadata!H712,"livestock-associated habitat"))))</f>
        <v>0</v>
      </c>
      <c r="AK712" t="b">
        <f>AND(IF(metadata!I712="",FALSE,TRUE),EXACT(metadata!I712,"host-associated"))</f>
        <v>0</v>
      </c>
      <c r="AL712" t="b">
        <f>OR(AND(IF(metadata!J712="",FALSE,TRUE),OR(EXACT(metadata!J712,"not applicable"),EXACT(metadata!J712,"missing: not collected"),EXACT(metadata!J712,"missing: not provided"),EXACT(metadata!J712,"missing: restricted access"))),AND(IF(metadata!J712="",FALSE,ISNUMBER(VALUE(metadata!J712))),metadata!J712&gt;0))</f>
        <v>0</v>
      </c>
      <c r="AM712" t="b">
        <f>AND(IF(metadata!K712="",FALSE,TRUE),EXACT(metadata!K712,"missing: not provided"))</f>
        <v>0</v>
      </c>
      <c r="AN712" t="b">
        <f>IF(metadata!L712="",FALSE,TRUE)</f>
        <v>0</v>
      </c>
      <c r="AO712" t="b">
        <f>IF(metadata!M712="",FALSE,TRUE)</f>
        <v>0</v>
      </c>
      <c r="AP712" t="b">
        <f>OR(AND(IF(metadata!N712="",FALSE,TRUE),OR(EXACT(metadata!N712,"not applicable"),EXACT(metadata!N712,"missing: not collected"),EXACT(metadata!N712,"missing: not provided"))),AND(IF(metadata!N712="",FALSE,IF(ISERROR(INT(metadata!N712)),FALSE,INT(metadata!N712)=metadata!N712)),metadata!N712&gt;0))</f>
        <v>0</v>
      </c>
      <c r="AQ712" t="b">
        <f>AND(IF(metadata!O712="",FALSE,TRUE),EXACT(metadata!O712,"Not applicable"))</f>
        <v>0</v>
      </c>
      <c r="AR712" t="b">
        <f>OR(AND(IF(metadata!P712="",FALSE,TRUE),OR(EXACT(metadata!P712,"not applicable"),EXACT(metadata!P712,"missing: not collected"),EXACT(metadata!P712,"missing: not provided"),EXACT(metadata!P712,"missing: restricted access"))),IF(metadata!P712="",FALSE,IF(ISERROR(INT(metadata!P712)),FALSE,INT(metadata!P712)=metadata!P712)))</f>
        <v>0</v>
      </c>
      <c r="AS712" t="b">
        <f>AND(IF(metadata!Q712="",FALSE,TRUE),EXACT(metadata!Q712,"Not applicable"))</f>
        <v>0</v>
      </c>
      <c r="AT712" t="b">
        <f>OR(AND(IF(metadata!R712="",FALSE,TRUE),OR(EXACT(metadata!R712,"not applicable"),EXACT(metadata!R712,"missing: not collected"),EXACT(metadata!R712,"missing: not provided"),EXACT(metadata!R712,"missing: restricted access"))),AND(IF(metadata!R712="",FALSE,ISNUMBER(VALUE(metadata!R712))),metadata!R712&gt;0))</f>
        <v>0</v>
      </c>
      <c r="AU712" t="b">
        <f>AND(IF(metadata!S712="",FALSE,TRUE),EXACT(metadata!S712,"missing: not provided"))</f>
        <v>0</v>
      </c>
    </row>
    <row r="713" spans="1:47" x14ac:dyDescent="0.2">
      <c r="A713" s="5" t="str">
        <f ca="1">IF(B713=" "," ",HYPERLINK(CONCATENATE("#metadata!",ADDRESS(INDEX($Y$2:$Y$1001,MATCH(ROWS($W$2:W713),$W$2:$W$1001,0),0),1)),INDEX($AB$2:$AB$1001,MATCH(ROWS($W$2:W713),$W$2:$W$1001,0),0)))</f>
        <v xml:space="preserve"> </v>
      </c>
      <c r="B713" s="4" t="str">
        <f ca="1">IF(OR(INDEX($X$2:$X$1001,MATCH(ROWS($W$2:W713),$W$2:$W$1001,0),1)&gt;=100000,INDEX($AD$1005:$AU$1005,1,MATCH(COLUMNS($AD$1006:AD1006),$AD$1006:$AU$1006,0))&gt;=100000), " ",IF(INDEX($AD$2:$AU$1001,MATCH(ROWS($W$2:W713),$W$2:$W$1001,0),MATCH(COLUMNS($AD$1006:AD1006),$AD$1006:$AU$1006,0)), HYPERLINK("#",""), HYPERLINK(CONCATENATE("#metadata!", ADDRESS(INDEX($Y$2:$Y$1001,MATCH(ROWS($W$2:W713),$W$2:$W$1001,0),0), INDEX($AD$1004:$AU$1004,1,MATCH(COLUMNS($AD$1006:AD1006),$AD$1006:$AU$1006,0)))),"Fix")))</f>
        <v xml:space="preserve"> </v>
      </c>
      <c r="C713" s="4" t="str">
        <f ca="1">IF(OR(INDEX($X$2:$X$1001,MATCH(ROWS($W$2:W713),$W$2:$W$1001,0),1)&gt;=100000,INDEX($AD$1005:$AU$1005,1,MATCH(COLUMNS($AD$1006:AE1006),$AD$1006:$AU$1006,0))&gt;=100000), " ",IF(INDEX($AD$2:$AU$1001,MATCH(ROWS($W$2:W713),$W$2:$W$1001,0),MATCH(COLUMNS($AD$1006:AE1006),$AD$1006:$AU$1006,0)), HYPERLINK("#",""), HYPERLINK(CONCATENATE("#metadata!", ADDRESS(INDEX($Y$2:$Y$1001,MATCH(ROWS($W$2:W713),$W$2:$W$1001,0),0), INDEX($AD$1004:$AU$1004,1,MATCH(COLUMNS($AD$1006:AE1006),$AD$1006:$AU$1006,0)))),"Fix")))</f>
        <v xml:space="preserve"> </v>
      </c>
      <c r="D713" s="4" t="str">
        <f ca="1">IF(OR(INDEX($X$2:$X$1001,MATCH(ROWS($W$2:W713),$W$2:$W$1001,0),1)&gt;=100000,INDEX($AD$1005:$AU$1005,1,MATCH(COLUMNS($AD$1006:AF1006),$AD$1006:$AU$1006,0))&gt;=100000), " ",IF(INDEX($AD$2:$AU$1001,MATCH(ROWS($W$2:W713),$W$2:$W$1001,0),MATCH(COLUMNS($AD$1006:AF1006),$AD$1006:$AU$1006,0)), HYPERLINK("#",""), HYPERLINK(CONCATENATE("#metadata!", ADDRESS(INDEX($Y$2:$Y$1001,MATCH(ROWS($W$2:W713),$W$2:$W$1001,0),0), INDEX($AD$1004:$AU$1004,1,MATCH(COLUMNS($AD$1006:AF1006),$AD$1006:$AU$1006,0)))),"Fix")))</f>
        <v xml:space="preserve"> </v>
      </c>
      <c r="E713" s="4" t="str">
        <f ca="1">IF(OR(INDEX($X$2:$X$1001,MATCH(ROWS($W$2:W713),$W$2:$W$1001,0),1)&gt;=100000,INDEX($AD$1005:$AU$1005,1,MATCH(COLUMNS($AD$1006:AG1006),$AD$1006:$AU$1006,0))&gt;=100000), " ",IF(INDEX($AD$2:$AU$1001,MATCH(ROWS($W$2:W713),$W$2:$W$1001,0),MATCH(COLUMNS($AD$1006:AG1006),$AD$1006:$AU$1006,0)), HYPERLINK("#",""), HYPERLINK(CONCATENATE("#metadata!", ADDRESS(INDEX($Y$2:$Y$1001,MATCH(ROWS($W$2:W713),$W$2:$W$1001,0),0), INDEX($AD$1004:$AU$1004,1,MATCH(COLUMNS($AD$1006:AG1006),$AD$1006:$AU$1006,0)))),"Fix")))</f>
        <v xml:space="preserve"> </v>
      </c>
      <c r="F713" s="4" t="str">
        <f ca="1">IF(OR(INDEX($X$2:$X$1001,MATCH(ROWS($W$2:W713),$W$2:$W$1001,0),1)&gt;=100000,INDEX($AD$1005:$AU$1005,1,MATCH(COLUMNS($AD$1006:AH1006),$AD$1006:$AU$1006,0))&gt;=100000), " ",IF(INDEX($AD$2:$AU$1001,MATCH(ROWS($W$2:W713),$W$2:$W$1001,0),MATCH(COLUMNS($AD$1006:AH1006),$AD$1006:$AU$1006,0)), HYPERLINK("#",""), HYPERLINK(CONCATENATE("#metadata!", ADDRESS(INDEX($Y$2:$Y$1001,MATCH(ROWS($W$2:W713),$W$2:$W$1001,0),0), INDEX($AD$1004:$AU$1004,1,MATCH(COLUMNS($AD$1006:AH1006),$AD$1006:$AU$1006,0)))),"Fix")))</f>
        <v xml:space="preserve"> </v>
      </c>
      <c r="G713" s="4" t="str">
        <f ca="1">IF(OR(INDEX($X$2:$X$1001,MATCH(ROWS($W$2:W713),$W$2:$W$1001,0),1)&gt;=100000,INDEX($AD$1005:$AU$1005,1,MATCH(COLUMNS($AD$1006:AI1006),$AD$1006:$AU$1006,0))&gt;=100000), " ",IF(INDEX($AD$2:$AU$1001,MATCH(ROWS($W$2:W713),$W$2:$W$1001,0),MATCH(COLUMNS($AD$1006:AI1006),$AD$1006:$AU$1006,0)), HYPERLINK("#",""), HYPERLINK(CONCATENATE("#metadata!", ADDRESS(INDEX($Y$2:$Y$1001,MATCH(ROWS($W$2:W713),$W$2:$W$1001,0),0), INDEX($AD$1004:$AU$1004,1,MATCH(COLUMNS($AD$1006:AI1006),$AD$1006:$AU$1006,0)))),"Fix")))</f>
        <v xml:space="preserve"> </v>
      </c>
      <c r="H713" s="4" t="str">
        <f ca="1">IF(OR(INDEX($X$2:$X$1001,MATCH(ROWS($W$2:W713),$W$2:$W$1001,0),1)&gt;=100000,INDEX($AD$1005:$AU$1005,1,MATCH(COLUMNS($AD$1006:AJ1006),$AD$1006:$AU$1006,0))&gt;=100000), " ",IF(INDEX($AD$2:$AU$1001,MATCH(ROWS($W$2:W713),$W$2:$W$1001,0),MATCH(COLUMNS($AD$1006:AJ1006),$AD$1006:$AU$1006,0)), HYPERLINK("#",""), HYPERLINK(CONCATENATE("#metadata!", ADDRESS(INDEX($Y$2:$Y$1001,MATCH(ROWS($W$2:W713),$W$2:$W$1001,0),0), INDEX($AD$1004:$AU$1004,1,MATCH(COLUMNS($AD$1006:AJ1006),$AD$1006:$AU$1006,0)))),"Fix")))</f>
        <v xml:space="preserve"> </v>
      </c>
      <c r="I713" s="4" t="str">
        <f ca="1">IF(OR(INDEX($X$2:$X$1001,MATCH(ROWS($W$2:W713),$W$2:$W$1001,0),1)&gt;=100000,INDEX($AD$1005:$AU$1005,1,MATCH(COLUMNS($AD$1006:AK1006),$AD$1006:$AU$1006,0))&gt;=100000), " ",IF(INDEX($AD$2:$AU$1001,MATCH(ROWS($W$2:W713),$W$2:$W$1001,0),MATCH(COLUMNS($AD$1006:AK1006),$AD$1006:$AU$1006,0)), HYPERLINK("#",""), HYPERLINK(CONCATENATE("#metadata!", ADDRESS(INDEX($Y$2:$Y$1001,MATCH(ROWS($W$2:W713),$W$2:$W$1001,0),0), INDEX($AD$1004:$AU$1004,1,MATCH(COLUMNS($AD$1006:AK1006),$AD$1006:$AU$1006,0)))),"Fix")))</f>
        <v xml:space="preserve"> </v>
      </c>
      <c r="J713" s="4" t="str">
        <f ca="1">IF(OR(INDEX($X$2:$X$1001,MATCH(ROWS($W$2:W713),$W$2:$W$1001,0),1)&gt;=100000,INDEX($AD$1005:$AU$1005,1,MATCH(COLUMNS($AD$1006:AL1006),$AD$1006:$AU$1006,0))&gt;=100000), " ",IF(INDEX($AD$2:$AU$1001,MATCH(ROWS($W$2:W713),$W$2:$W$1001,0),MATCH(COLUMNS($AD$1006:AL1006),$AD$1006:$AU$1006,0)), HYPERLINK("#",""), HYPERLINK(CONCATENATE("#metadata!", ADDRESS(INDEX($Y$2:$Y$1001,MATCH(ROWS($W$2:W713),$W$2:$W$1001,0),0), INDEX($AD$1004:$AU$1004,1,MATCH(COLUMNS($AD$1006:AL1006),$AD$1006:$AU$1006,0)))),"Fix")))</f>
        <v xml:space="preserve"> </v>
      </c>
      <c r="K713" s="4" t="str">
        <f ca="1">IF(OR(INDEX($X$2:$X$1001,MATCH(ROWS($W$2:W713),$W$2:$W$1001,0),1)&gt;=100000,INDEX($AD$1005:$AU$1005,1,MATCH(COLUMNS($AD$1006:AM1006),$AD$1006:$AU$1006,0))&gt;=100000), " ",IF(INDEX($AD$2:$AU$1001,MATCH(ROWS($W$2:W713),$W$2:$W$1001,0),MATCH(COLUMNS($AD$1006:AM1006),$AD$1006:$AU$1006,0)), HYPERLINK("#",""), HYPERLINK(CONCATENATE("#metadata!", ADDRESS(INDEX($Y$2:$Y$1001,MATCH(ROWS($W$2:W713),$W$2:$W$1001,0),0), INDEX($AD$1004:$AU$1004,1,MATCH(COLUMNS($AD$1006:AM1006),$AD$1006:$AU$1006,0)))),"Fix")))</f>
        <v xml:space="preserve"> </v>
      </c>
      <c r="L713" s="4" t="str">
        <f ca="1">IF(OR(INDEX($X$2:$X$1001,MATCH(ROWS($W$2:W713),$W$2:$W$1001,0),1)&gt;=100000,INDEX($AD$1005:$AU$1005,1,MATCH(COLUMNS($AD$1006:AN1006),$AD$1006:$AU$1006,0))&gt;=100000), " ",IF(INDEX($AD$2:$AU$1001,MATCH(ROWS($W$2:W713),$W$2:$W$1001,0),MATCH(COLUMNS($AD$1006:AN1006),$AD$1006:$AU$1006,0)), HYPERLINK("#",""), HYPERLINK(CONCATENATE("#metadata!", ADDRESS(INDEX($Y$2:$Y$1001,MATCH(ROWS($W$2:W713),$W$2:$W$1001,0),0), INDEX($AD$1004:$AU$1004,1,MATCH(COLUMNS($AD$1006:AN1006),$AD$1006:$AU$1006,0)))),"Fix")))</f>
        <v xml:space="preserve"> </v>
      </c>
      <c r="M713" s="4" t="str">
        <f ca="1">IF(OR(INDEX($X$2:$X$1001,MATCH(ROWS($W$2:W713),$W$2:$W$1001,0),1)&gt;=100000,INDEX($AD$1005:$AU$1005,1,MATCH(COLUMNS($AD$1006:AO1006),$AD$1006:$AU$1006,0))&gt;=100000), " ",IF(INDEX($AD$2:$AU$1001,MATCH(ROWS($W$2:W713),$W$2:$W$1001,0),MATCH(COLUMNS($AD$1006:AO1006),$AD$1006:$AU$1006,0)), HYPERLINK("#",""), HYPERLINK(CONCATENATE("#metadata!", ADDRESS(INDEX($Y$2:$Y$1001,MATCH(ROWS($W$2:W713),$W$2:$W$1001,0),0), INDEX($AD$1004:$AU$1004,1,MATCH(COLUMNS($AD$1006:AO1006),$AD$1006:$AU$1006,0)))),"Fix")))</f>
        <v xml:space="preserve"> </v>
      </c>
      <c r="N713" s="4" t="str">
        <f ca="1">IF(OR(INDEX($X$2:$X$1001,MATCH(ROWS($W$2:W713),$W$2:$W$1001,0),1)&gt;=100000,INDEX($AD$1005:$AU$1005,1,MATCH(COLUMNS($AD$1006:AP1006),$AD$1006:$AU$1006,0))&gt;=100000), " ",IF(INDEX($AD$2:$AU$1001,MATCH(ROWS($W$2:W713),$W$2:$W$1001,0),MATCH(COLUMNS($AD$1006:AP1006),$AD$1006:$AU$1006,0)), HYPERLINK("#",""), HYPERLINK(CONCATENATE("#metadata!", ADDRESS(INDEX($Y$2:$Y$1001,MATCH(ROWS($W$2:W713),$W$2:$W$1001,0),0), INDEX($AD$1004:$AU$1004,1,MATCH(COLUMNS($AD$1006:AP1006),$AD$1006:$AU$1006,0)))),"Fix")))</f>
        <v xml:space="preserve"> </v>
      </c>
      <c r="O713" s="4" t="str">
        <f ca="1">IF(OR(INDEX($X$2:$X$1001,MATCH(ROWS($W$2:W713),$W$2:$W$1001,0),1)&gt;=100000,INDEX($AD$1005:$AU$1005,1,MATCH(COLUMNS($AD$1006:AQ1006),$AD$1006:$AU$1006,0))&gt;=100000), " ",IF(INDEX($AD$2:$AU$1001,MATCH(ROWS($W$2:W713),$W$2:$W$1001,0),MATCH(COLUMNS($AD$1006:AQ1006),$AD$1006:$AU$1006,0)), HYPERLINK("#",""), HYPERLINK(CONCATENATE("#metadata!", ADDRESS(INDEX($Y$2:$Y$1001,MATCH(ROWS($W$2:W713),$W$2:$W$1001,0),0), INDEX($AD$1004:$AU$1004,1,MATCH(COLUMNS($AD$1006:AQ1006),$AD$1006:$AU$1006,0)))),"Fix")))</f>
        <v xml:space="preserve"> </v>
      </c>
      <c r="P713" s="4" t="str">
        <f ca="1">IF(OR(INDEX($X$2:$X$1001,MATCH(ROWS($W$2:W713),$W$2:$W$1001,0),1)&gt;=100000,INDEX($AD$1005:$AU$1005,1,MATCH(COLUMNS($AD$1006:AR1006),$AD$1006:$AU$1006,0))&gt;=100000), " ",IF(INDEX($AD$2:$AU$1001,MATCH(ROWS($W$2:W713),$W$2:$W$1001,0),MATCH(COLUMNS($AD$1006:AR1006),$AD$1006:$AU$1006,0)), HYPERLINK("#",""), HYPERLINK(CONCATENATE("#metadata!", ADDRESS(INDEX($Y$2:$Y$1001,MATCH(ROWS($W$2:W713),$W$2:$W$1001,0),0), INDEX($AD$1004:$AU$1004,1,MATCH(COLUMNS($AD$1006:AR1006),$AD$1006:$AU$1006,0)))),"Fix")))</f>
        <v xml:space="preserve"> </v>
      </c>
      <c r="Q713" s="4" t="str">
        <f ca="1">IF(OR(INDEX($X$2:$X$1001,MATCH(ROWS($W$2:W713),$W$2:$W$1001,0),1)&gt;=100000,INDEX($AD$1005:$AU$1005,1,MATCH(COLUMNS($AD$1006:AS1006),$AD$1006:$AU$1006,0))&gt;=100000), " ",IF(INDEX($AD$2:$AU$1001,MATCH(ROWS($W$2:W713),$W$2:$W$1001,0),MATCH(COLUMNS($AD$1006:AS1006),$AD$1006:$AU$1006,0)), HYPERLINK("#",""), HYPERLINK(CONCATENATE("#metadata!", ADDRESS(INDEX($Y$2:$Y$1001,MATCH(ROWS($W$2:W713),$W$2:$W$1001,0),0), INDEX($AD$1004:$AU$1004,1,MATCH(COLUMNS($AD$1006:AS1006),$AD$1006:$AU$1006,0)))),"Fix")))</f>
        <v xml:space="preserve"> </v>
      </c>
      <c r="R713" s="4" t="str">
        <f ca="1">IF(OR(INDEX($X$2:$X$1001,MATCH(ROWS($W$2:W713),$W$2:$W$1001,0),1)&gt;=100000,INDEX($AD$1005:$AU$1005,1,MATCH(COLUMNS($AD$1006:AT1006),$AD$1006:$AU$1006,0))&gt;=100000), " ",IF(INDEX($AD$2:$AU$1001,MATCH(ROWS($W$2:W713),$W$2:$W$1001,0),MATCH(COLUMNS($AD$1006:AT1006),$AD$1006:$AU$1006,0)), HYPERLINK("#",""), HYPERLINK(CONCATENATE("#metadata!", ADDRESS(INDEX($Y$2:$Y$1001,MATCH(ROWS($W$2:W713),$W$2:$W$1001,0),0), INDEX($AD$1004:$AU$1004,1,MATCH(COLUMNS($AD$1006:AT1006),$AD$1006:$AU$1006,0)))),"Fix")))</f>
        <v xml:space="preserve"> </v>
      </c>
      <c r="S713" s="4" t="str">
        <f ca="1">IF(OR(INDEX($X$2:$X$1001,MATCH(ROWS($W$2:W713),$W$2:$W$1001,0),1)&gt;=100000,INDEX($AD$1005:$AU$1005,1,MATCH(COLUMNS($AD$1006:AU1006),$AD$1006:$AU$1006,0))&gt;=100000), " ",IF(INDEX($AD$2:$AU$1001,MATCH(ROWS($W$2:W713),$W$2:$W$1001,0),MATCH(COLUMNS($AD$1006:AU1006),$AD$1006:$AU$1006,0)), HYPERLINK("#",""), HYPERLINK(CONCATENATE("#metadata!", ADDRESS(INDEX($Y$2:$Y$1001,MATCH(ROWS($W$2:W713),$W$2:$W$1001,0),0), INDEX($AD$1004:$AU$1004,1,MATCH(COLUMNS($AD$1006:AU1006),$AD$1006:$AU$1006,0)))),"Fix")))</f>
        <v xml:space="preserve"> </v>
      </c>
      <c r="W713">
        <v>712</v>
      </c>
      <c r="X713">
        <v>100713</v>
      </c>
      <c r="Y713">
        <v>713</v>
      </c>
      <c r="Z713" t="b">
        <f t="shared" si="11"/>
        <v>1</v>
      </c>
      <c r="AA713" t="b">
        <f>COUNTBLANK(metadata!B713:S713)=COLUMNS(metadata!B713:S713)</f>
        <v>1</v>
      </c>
      <c r="AB713" t="str">
        <v/>
      </c>
      <c r="AD713" t="b">
        <f ca="1">AND(IF(metadata!B713="",FALSE,TRUE),COUNTIF(metadata!B:B, metadata!B713) = 1,NOT(ISERROR(SUMPRODUCT(SEARCH(MID(metadata!B713,ROW(INDIRECT("1:"&amp;LEN(metadata!B713))), 1),"0123456789abcdefghijklmnopqrstuvwxyzABCDEFGHIJKLMNOPQRSTUVWXYZ.")))))</f>
        <v>0</v>
      </c>
      <c r="AE713" t="b">
        <f>OR(AND(IF(metadata!C713="",FALSE,TRUE),OR(EXACT(metadata!C713,"not applicable"),EXACT(metadata!C713,"missing: not collected"),EXACT(metadata!C713,"missing: not provided"),EXACT(metadata!C713,"missing: restricted access"))),AND(IF(metadata!C713="",FALSE,ISNUMBER(VALUE(metadata!C713))),metadata!C713&gt;0))</f>
        <v>0</v>
      </c>
      <c r="AF713" t="b">
        <f>AND(IF(metadata!D713="",FALSE,TRUE),EXACT(metadata!D713,"missing: not provided"))</f>
        <v>0</v>
      </c>
      <c r="AG713" t="b">
        <f>AND(IF(metadata!E713="",FALSE,TRUE),EXACT(metadata!E713,"Host-associated"))</f>
        <v>0</v>
      </c>
      <c r="AH713" t="b">
        <f>AND(IF(metadata!F713="",FALSE,TRUE),OR(EXACT(metadata!F713,"Animal"),EXACT(metadata!F713,"Fungus"),EXACT(metadata!F713,"Plant")))</f>
        <v>0</v>
      </c>
      <c r="AI713" t="b">
        <f>AND(IF(metadata!G713="",FALSE,TRUE),OR(EXACT(metadata!G713,"Plant secretion"),EXACT(metadata!G713,"Plant rhizosphere"),EXACT(metadata!G713,"Plant surface"),EXACT(metadata!G713,"Plant corpus"),EXACT(metadata!G713,"Fungus surface"),EXACT(metadata!G713,"Fungus corpus"),EXACT(metadata!G713,"Animal surface"),EXACT(metadata!G713,"Animal proximal gut"),EXACT(metadata!G713,"Animal corpus"),EXACT(metadata!G713,"Animal distal gut"),EXACT(metadata!G713,"Animal secretion")))</f>
        <v>0</v>
      </c>
      <c r="AJ713" t="b">
        <f>OR(AND(IF(metadata!H713="",FALSE,TRUE),OR(EXACT(metadata!H713,"missing: not collected"),EXACT(metadata!H713,"missing: not provided"),EXACT(metadata!H713,"missing: restricted access"))),AND(IF(metadata!H713="",FALSE,TRUE),OR(EXACT(metadata!H713,"organism-associated habitat"),EXACT(metadata!H713,"plant-associated habitat"),EXACT(metadata!H713,"animal-associated habitat"),EXACT(metadata!H713,"insecta-associated habitat"),EXACT(metadata!H713,"mammalia-associated habitat"),EXACT(metadata!H713,"human-associated habitat"),EXACT(metadata!H713,"livestock-associated habitat"))))</f>
        <v>0</v>
      </c>
      <c r="AK713" t="b">
        <f>AND(IF(metadata!I713="",FALSE,TRUE),EXACT(metadata!I713,"host-associated"))</f>
        <v>0</v>
      </c>
      <c r="AL713" t="b">
        <f>OR(AND(IF(metadata!J713="",FALSE,TRUE),OR(EXACT(metadata!J713,"not applicable"),EXACT(metadata!J713,"missing: not collected"),EXACT(metadata!J713,"missing: not provided"),EXACT(metadata!J713,"missing: restricted access"))),AND(IF(metadata!J713="",FALSE,ISNUMBER(VALUE(metadata!J713))),metadata!J713&gt;0))</f>
        <v>0</v>
      </c>
      <c r="AM713" t="b">
        <f>AND(IF(metadata!K713="",FALSE,TRUE),EXACT(metadata!K713,"missing: not provided"))</f>
        <v>0</v>
      </c>
      <c r="AN713" t="b">
        <f>IF(metadata!L713="",FALSE,TRUE)</f>
        <v>0</v>
      </c>
      <c r="AO713" t="b">
        <f>IF(metadata!M713="",FALSE,TRUE)</f>
        <v>0</v>
      </c>
      <c r="AP713" t="b">
        <f>OR(AND(IF(metadata!N713="",FALSE,TRUE),OR(EXACT(metadata!N713,"not applicable"),EXACT(metadata!N713,"missing: not collected"),EXACT(metadata!N713,"missing: not provided"))),AND(IF(metadata!N713="",FALSE,IF(ISERROR(INT(metadata!N713)),FALSE,INT(metadata!N713)=metadata!N713)),metadata!N713&gt;0))</f>
        <v>0</v>
      </c>
      <c r="AQ713" t="b">
        <f>AND(IF(metadata!O713="",FALSE,TRUE),EXACT(metadata!O713,"Not applicable"))</f>
        <v>0</v>
      </c>
      <c r="AR713" t="b">
        <f>OR(AND(IF(metadata!P713="",FALSE,TRUE),OR(EXACT(metadata!P713,"not applicable"),EXACT(metadata!P713,"missing: not collected"),EXACT(metadata!P713,"missing: not provided"),EXACT(metadata!P713,"missing: restricted access"))),IF(metadata!P713="",FALSE,IF(ISERROR(INT(metadata!P713)),FALSE,INT(metadata!P713)=metadata!P713)))</f>
        <v>0</v>
      </c>
      <c r="AS713" t="b">
        <f>AND(IF(metadata!Q713="",FALSE,TRUE),EXACT(metadata!Q713,"Not applicable"))</f>
        <v>0</v>
      </c>
      <c r="AT713" t="b">
        <f>OR(AND(IF(metadata!R713="",FALSE,TRUE),OR(EXACT(metadata!R713,"not applicable"),EXACT(metadata!R713,"missing: not collected"),EXACT(metadata!R713,"missing: not provided"),EXACT(metadata!R713,"missing: restricted access"))),AND(IF(metadata!R713="",FALSE,ISNUMBER(VALUE(metadata!R713))),metadata!R713&gt;0))</f>
        <v>0</v>
      </c>
      <c r="AU713" t="b">
        <f>AND(IF(metadata!S713="",FALSE,TRUE),EXACT(metadata!S713,"missing: not provided"))</f>
        <v>0</v>
      </c>
    </row>
    <row r="714" spans="1:47" x14ac:dyDescent="0.2">
      <c r="A714" s="5" t="str">
        <f ca="1">IF(B714=" "," ",HYPERLINK(CONCATENATE("#metadata!",ADDRESS(INDEX($Y$2:$Y$1001,MATCH(ROWS($W$2:W714),$W$2:$W$1001,0),0),1)),INDEX($AB$2:$AB$1001,MATCH(ROWS($W$2:W714),$W$2:$W$1001,0),0)))</f>
        <v xml:space="preserve"> </v>
      </c>
      <c r="B714" s="4" t="str">
        <f ca="1">IF(OR(INDEX($X$2:$X$1001,MATCH(ROWS($W$2:W714),$W$2:$W$1001,0),1)&gt;=100000,INDEX($AD$1005:$AU$1005,1,MATCH(COLUMNS($AD$1006:AD1006),$AD$1006:$AU$1006,0))&gt;=100000), " ",IF(INDEX($AD$2:$AU$1001,MATCH(ROWS($W$2:W714),$W$2:$W$1001,0),MATCH(COLUMNS($AD$1006:AD1006),$AD$1006:$AU$1006,0)), HYPERLINK("#",""), HYPERLINK(CONCATENATE("#metadata!", ADDRESS(INDEX($Y$2:$Y$1001,MATCH(ROWS($W$2:W714),$W$2:$W$1001,0),0), INDEX($AD$1004:$AU$1004,1,MATCH(COLUMNS($AD$1006:AD1006),$AD$1006:$AU$1006,0)))),"Fix")))</f>
        <v xml:space="preserve"> </v>
      </c>
      <c r="C714" s="4" t="str">
        <f ca="1">IF(OR(INDEX($X$2:$X$1001,MATCH(ROWS($W$2:W714),$W$2:$W$1001,0),1)&gt;=100000,INDEX($AD$1005:$AU$1005,1,MATCH(COLUMNS($AD$1006:AE1006),$AD$1006:$AU$1006,0))&gt;=100000), " ",IF(INDEX($AD$2:$AU$1001,MATCH(ROWS($W$2:W714),$W$2:$W$1001,0),MATCH(COLUMNS($AD$1006:AE1006),$AD$1006:$AU$1006,0)), HYPERLINK("#",""), HYPERLINK(CONCATENATE("#metadata!", ADDRESS(INDEX($Y$2:$Y$1001,MATCH(ROWS($W$2:W714),$W$2:$W$1001,0),0), INDEX($AD$1004:$AU$1004,1,MATCH(COLUMNS($AD$1006:AE1006),$AD$1006:$AU$1006,0)))),"Fix")))</f>
        <v xml:space="preserve"> </v>
      </c>
      <c r="D714" s="4" t="str">
        <f ca="1">IF(OR(INDEX($X$2:$X$1001,MATCH(ROWS($W$2:W714),$W$2:$W$1001,0),1)&gt;=100000,INDEX($AD$1005:$AU$1005,1,MATCH(COLUMNS($AD$1006:AF1006),$AD$1006:$AU$1006,0))&gt;=100000), " ",IF(INDEX($AD$2:$AU$1001,MATCH(ROWS($W$2:W714),$W$2:$W$1001,0),MATCH(COLUMNS($AD$1006:AF1006),$AD$1006:$AU$1006,0)), HYPERLINK("#",""), HYPERLINK(CONCATENATE("#metadata!", ADDRESS(INDEX($Y$2:$Y$1001,MATCH(ROWS($W$2:W714),$W$2:$W$1001,0),0), INDEX($AD$1004:$AU$1004,1,MATCH(COLUMNS($AD$1006:AF1006),$AD$1006:$AU$1006,0)))),"Fix")))</f>
        <v xml:space="preserve"> </v>
      </c>
      <c r="E714" s="4" t="str">
        <f ca="1">IF(OR(INDEX($X$2:$X$1001,MATCH(ROWS($W$2:W714),$W$2:$W$1001,0),1)&gt;=100000,INDEX($AD$1005:$AU$1005,1,MATCH(COLUMNS($AD$1006:AG1006),$AD$1006:$AU$1006,0))&gt;=100000), " ",IF(INDEX($AD$2:$AU$1001,MATCH(ROWS($W$2:W714),$W$2:$W$1001,0),MATCH(COLUMNS($AD$1006:AG1006),$AD$1006:$AU$1006,0)), HYPERLINK("#",""), HYPERLINK(CONCATENATE("#metadata!", ADDRESS(INDEX($Y$2:$Y$1001,MATCH(ROWS($W$2:W714),$W$2:$W$1001,0),0), INDEX($AD$1004:$AU$1004,1,MATCH(COLUMNS($AD$1006:AG1006),$AD$1006:$AU$1006,0)))),"Fix")))</f>
        <v xml:space="preserve"> </v>
      </c>
      <c r="F714" s="4" t="str">
        <f ca="1">IF(OR(INDEX($X$2:$X$1001,MATCH(ROWS($W$2:W714),$W$2:$W$1001,0),1)&gt;=100000,INDEX($AD$1005:$AU$1005,1,MATCH(COLUMNS($AD$1006:AH1006),$AD$1006:$AU$1006,0))&gt;=100000), " ",IF(INDEX($AD$2:$AU$1001,MATCH(ROWS($W$2:W714),$W$2:$W$1001,0),MATCH(COLUMNS($AD$1006:AH1006),$AD$1006:$AU$1006,0)), HYPERLINK("#",""), HYPERLINK(CONCATENATE("#metadata!", ADDRESS(INDEX($Y$2:$Y$1001,MATCH(ROWS($W$2:W714),$W$2:$W$1001,0),0), INDEX($AD$1004:$AU$1004,1,MATCH(COLUMNS($AD$1006:AH1006),$AD$1006:$AU$1006,0)))),"Fix")))</f>
        <v xml:space="preserve"> </v>
      </c>
      <c r="G714" s="4" t="str">
        <f ca="1">IF(OR(INDEX($X$2:$X$1001,MATCH(ROWS($W$2:W714),$W$2:$W$1001,0),1)&gt;=100000,INDEX($AD$1005:$AU$1005,1,MATCH(COLUMNS($AD$1006:AI1006),$AD$1006:$AU$1006,0))&gt;=100000), " ",IF(INDEX($AD$2:$AU$1001,MATCH(ROWS($W$2:W714),$W$2:$W$1001,0),MATCH(COLUMNS($AD$1006:AI1006),$AD$1006:$AU$1006,0)), HYPERLINK("#",""), HYPERLINK(CONCATENATE("#metadata!", ADDRESS(INDEX($Y$2:$Y$1001,MATCH(ROWS($W$2:W714),$W$2:$W$1001,0),0), INDEX($AD$1004:$AU$1004,1,MATCH(COLUMNS($AD$1006:AI1006),$AD$1006:$AU$1006,0)))),"Fix")))</f>
        <v xml:space="preserve"> </v>
      </c>
      <c r="H714" s="4" t="str">
        <f ca="1">IF(OR(INDEX($X$2:$X$1001,MATCH(ROWS($W$2:W714),$W$2:$W$1001,0),1)&gt;=100000,INDEX($AD$1005:$AU$1005,1,MATCH(COLUMNS($AD$1006:AJ1006),$AD$1006:$AU$1006,0))&gt;=100000), " ",IF(INDEX($AD$2:$AU$1001,MATCH(ROWS($W$2:W714),$W$2:$W$1001,0),MATCH(COLUMNS($AD$1006:AJ1006),$AD$1006:$AU$1006,0)), HYPERLINK("#",""), HYPERLINK(CONCATENATE("#metadata!", ADDRESS(INDEX($Y$2:$Y$1001,MATCH(ROWS($W$2:W714),$W$2:$W$1001,0),0), INDEX($AD$1004:$AU$1004,1,MATCH(COLUMNS($AD$1006:AJ1006),$AD$1006:$AU$1006,0)))),"Fix")))</f>
        <v xml:space="preserve"> </v>
      </c>
      <c r="I714" s="4" t="str">
        <f ca="1">IF(OR(INDEX($X$2:$X$1001,MATCH(ROWS($W$2:W714),$W$2:$W$1001,0),1)&gt;=100000,INDEX($AD$1005:$AU$1005,1,MATCH(COLUMNS($AD$1006:AK1006),$AD$1006:$AU$1006,0))&gt;=100000), " ",IF(INDEX($AD$2:$AU$1001,MATCH(ROWS($W$2:W714),$W$2:$W$1001,0),MATCH(COLUMNS($AD$1006:AK1006),$AD$1006:$AU$1006,0)), HYPERLINK("#",""), HYPERLINK(CONCATENATE("#metadata!", ADDRESS(INDEX($Y$2:$Y$1001,MATCH(ROWS($W$2:W714),$W$2:$W$1001,0),0), INDEX($AD$1004:$AU$1004,1,MATCH(COLUMNS($AD$1006:AK1006),$AD$1006:$AU$1006,0)))),"Fix")))</f>
        <v xml:space="preserve"> </v>
      </c>
      <c r="J714" s="4" t="str">
        <f ca="1">IF(OR(INDEX($X$2:$X$1001,MATCH(ROWS($W$2:W714),$W$2:$W$1001,0),1)&gt;=100000,INDEX($AD$1005:$AU$1005,1,MATCH(COLUMNS($AD$1006:AL1006),$AD$1006:$AU$1006,0))&gt;=100000), " ",IF(INDEX($AD$2:$AU$1001,MATCH(ROWS($W$2:W714),$W$2:$W$1001,0),MATCH(COLUMNS($AD$1006:AL1006),$AD$1006:$AU$1006,0)), HYPERLINK("#",""), HYPERLINK(CONCATENATE("#metadata!", ADDRESS(INDEX($Y$2:$Y$1001,MATCH(ROWS($W$2:W714),$W$2:$W$1001,0),0), INDEX($AD$1004:$AU$1004,1,MATCH(COLUMNS($AD$1006:AL1006),$AD$1006:$AU$1006,0)))),"Fix")))</f>
        <v xml:space="preserve"> </v>
      </c>
      <c r="K714" s="4" t="str">
        <f ca="1">IF(OR(INDEX($X$2:$X$1001,MATCH(ROWS($W$2:W714),$W$2:$W$1001,0),1)&gt;=100000,INDEX($AD$1005:$AU$1005,1,MATCH(COLUMNS($AD$1006:AM1006),$AD$1006:$AU$1006,0))&gt;=100000), " ",IF(INDEX($AD$2:$AU$1001,MATCH(ROWS($W$2:W714),$W$2:$W$1001,0),MATCH(COLUMNS($AD$1006:AM1006),$AD$1006:$AU$1006,0)), HYPERLINK("#",""), HYPERLINK(CONCATENATE("#metadata!", ADDRESS(INDEX($Y$2:$Y$1001,MATCH(ROWS($W$2:W714),$W$2:$W$1001,0),0), INDEX($AD$1004:$AU$1004,1,MATCH(COLUMNS($AD$1006:AM1006),$AD$1006:$AU$1006,0)))),"Fix")))</f>
        <v xml:space="preserve"> </v>
      </c>
      <c r="L714" s="4" t="str">
        <f ca="1">IF(OR(INDEX($X$2:$X$1001,MATCH(ROWS($W$2:W714),$W$2:$W$1001,0),1)&gt;=100000,INDEX($AD$1005:$AU$1005,1,MATCH(COLUMNS($AD$1006:AN1006),$AD$1006:$AU$1006,0))&gt;=100000), " ",IF(INDEX($AD$2:$AU$1001,MATCH(ROWS($W$2:W714),$W$2:$W$1001,0),MATCH(COLUMNS($AD$1006:AN1006),$AD$1006:$AU$1006,0)), HYPERLINK("#",""), HYPERLINK(CONCATENATE("#metadata!", ADDRESS(INDEX($Y$2:$Y$1001,MATCH(ROWS($W$2:W714),$W$2:$W$1001,0),0), INDEX($AD$1004:$AU$1004,1,MATCH(COLUMNS($AD$1006:AN1006),$AD$1006:$AU$1006,0)))),"Fix")))</f>
        <v xml:space="preserve"> </v>
      </c>
      <c r="M714" s="4" t="str">
        <f ca="1">IF(OR(INDEX($X$2:$X$1001,MATCH(ROWS($W$2:W714),$W$2:$W$1001,0),1)&gt;=100000,INDEX($AD$1005:$AU$1005,1,MATCH(COLUMNS($AD$1006:AO1006),$AD$1006:$AU$1006,0))&gt;=100000), " ",IF(INDEX($AD$2:$AU$1001,MATCH(ROWS($W$2:W714),$W$2:$W$1001,0),MATCH(COLUMNS($AD$1006:AO1006),$AD$1006:$AU$1006,0)), HYPERLINK("#",""), HYPERLINK(CONCATENATE("#metadata!", ADDRESS(INDEX($Y$2:$Y$1001,MATCH(ROWS($W$2:W714),$W$2:$W$1001,0),0), INDEX($AD$1004:$AU$1004,1,MATCH(COLUMNS($AD$1006:AO1006),$AD$1006:$AU$1006,0)))),"Fix")))</f>
        <v xml:space="preserve"> </v>
      </c>
      <c r="N714" s="4" t="str">
        <f ca="1">IF(OR(INDEX($X$2:$X$1001,MATCH(ROWS($W$2:W714),$W$2:$W$1001,0),1)&gt;=100000,INDEX($AD$1005:$AU$1005,1,MATCH(COLUMNS($AD$1006:AP1006),$AD$1006:$AU$1006,0))&gt;=100000), " ",IF(INDEX($AD$2:$AU$1001,MATCH(ROWS($W$2:W714),$W$2:$W$1001,0),MATCH(COLUMNS($AD$1006:AP1006),$AD$1006:$AU$1006,0)), HYPERLINK("#",""), HYPERLINK(CONCATENATE("#metadata!", ADDRESS(INDEX($Y$2:$Y$1001,MATCH(ROWS($W$2:W714),$W$2:$W$1001,0),0), INDEX($AD$1004:$AU$1004,1,MATCH(COLUMNS($AD$1006:AP1006),$AD$1006:$AU$1006,0)))),"Fix")))</f>
        <v xml:space="preserve"> </v>
      </c>
      <c r="O714" s="4" t="str">
        <f ca="1">IF(OR(INDEX($X$2:$X$1001,MATCH(ROWS($W$2:W714),$W$2:$W$1001,0),1)&gt;=100000,INDEX($AD$1005:$AU$1005,1,MATCH(COLUMNS($AD$1006:AQ1006),$AD$1006:$AU$1006,0))&gt;=100000), " ",IF(INDEX($AD$2:$AU$1001,MATCH(ROWS($W$2:W714),$W$2:$W$1001,0),MATCH(COLUMNS($AD$1006:AQ1006),$AD$1006:$AU$1006,0)), HYPERLINK("#",""), HYPERLINK(CONCATENATE("#metadata!", ADDRESS(INDEX($Y$2:$Y$1001,MATCH(ROWS($W$2:W714),$W$2:$W$1001,0),0), INDEX($AD$1004:$AU$1004,1,MATCH(COLUMNS($AD$1006:AQ1006),$AD$1006:$AU$1006,0)))),"Fix")))</f>
        <v xml:space="preserve"> </v>
      </c>
      <c r="P714" s="4" t="str">
        <f ca="1">IF(OR(INDEX($X$2:$X$1001,MATCH(ROWS($W$2:W714),$W$2:$W$1001,0),1)&gt;=100000,INDEX($AD$1005:$AU$1005,1,MATCH(COLUMNS($AD$1006:AR1006),$AD$1006:$AU$1006,0))&gt;=100000), " ",IF(INDEX($AD$2:$AU$1001,MATCH(ROWS($W$2:W714),$W$2:$W$1001,0),MATCH(COLUMNS($AD$1006:AR1006),$AD$1006:$AU$1006,0)), HYPERLINK("#",""), HYPERLINK(CONCATENATE("#metadata!", ADDRESS(INDEX($Y$2:$Y$1001,MATCH(ROWS($W$2:W714),$W$2:$W$1001,0),0), INDEX($AD$1004:$AU$1004,1,MATCH(COLUMNS($AD$1006:AR1006),$AD$1006:$AU$1006,0)))),"Fix")))</f>
        <v xml:space="preserve"> </v>
      </c>
      <c r="Q714" s="4" t="str">
        <f ca="1">IF(OR(INDEX($X$2:$X$1001,MATCH(ROWS($W$2:W714),$W$2:$W$1001,0),1)&gt;=100000,INDEX($AD$1005:$AU$1005,1,MATCH(COLUMNS($AD$1006:AS1006),$AD$1006:$AU$1006,0))&gt;=100000), " ",IF(INDEX($AD$2:$AU$1001,MATCH(ROWS($W$2:W714),$W$2:$W$1001,0),MATCH(COLUMNS($AD$1006:AS1006),$AD$1006:$AU$1006,0)), HYPERLINK("#",""), HYPERLINK(CONCATENATE("#metadata!", ADDRESS(INDEX($Y$2:$Y$1001,MATCH(ROWS($W$2:W714),$W$2:$W$1001,0),0), INDEX($AD$1004:$AU$1004,1,MATCH(COLUMNS($AD$1006:AS1006),$AD$1006:$AU$1006,0)))),"Fix")))</f>
        <v xml:space="preserve"> </v>
      </c>
      <c r="R714" s="4" t="str">
        <f ca="1">IF(OR(INDEX($X$2:$X$1001,MATCH(ROWS($W$2:W714),$W$2:$W$1001,0),1)&gt;=100000,INDEX($AD$1005:$AU$1005,1,MATCH(COLUMNS($AD$1006:AT1006),$AD$1006:$AU$1006,0))&gt;=100000), " ",IF(INDEX($AD$2:$AU$1001,MATCH(ROWS($W$2:W714),$W$2:$W$1001,0),MATCH(COLUMNS($AD$1006:AT1006),$AD$1006:$AU$1006,0)), HYPERLINK("#",""), HYPERLINK(CONCATENATE("#metadata!", ADDRESS(INDEX($Y$2:$Y$1001,MATCH(ROWS($W$2:W714),$W$2:$W$1001,0),0), INDEX($AD$1004:$AU$1004,1,MATCH(COLUMNS($AD$1006:AT1006),$AD$1006:$AU$1006,0)))),"Fix")))</f>
        <v xml:space="preserve"> </v>
      </c>
      <c r="S714" s="4" t="str">
        <f ca="1">IF(OR(INDEX($X$2:$X$1001,MATCH(ROWS($W$2:W714),$W$2:$W$1001,0),1)&gt;=100000,INDEX($AD$1005:$AU$1005,1,MATCH(COLUMNS($AD$1006:AU1006),$AD$1006:$AU$1006,0))&gt;=100000), " ",IF(INDEX($AD$2:$AU$1001,MATCH(ROWS($W$2:W714),$W$2:$W$1001,0),MATCH(COLUMNS($AD$1006:AU1006),$AD$1006:$AU$1006,0)), HYPERLINK("#",""), HYPERLINK(CONCATENATE("#metadata!", ADDRESS(INDEX($Y$2:$Y$1001,MATCH(ROWS($W$2:W714),$W$2:$W$1001,0),0), INDEX($AD$1004:$AU$1004,1,MATCH(COLUMNS($AD$1006:AU1006),$AD$1006:$AU$1006,0)))),"Fix")))</f>
        <v xml:space="preserve"> </v>
      </c>
      <c r="W714">
        <v>713</v>
      </c>
      <c r="X714">
        <v>100714</v>
      </c>
      <c r="Y714">
        <v>714</v>
      </c>
      <c r="Z714" t="b">
        <f t="shared" si="11"/>
        <v>1</v>
      </c>
      <c r="AA714" t="b">
        <f>COUNTBLANK(metadata!B714:S714)=COLUMNS(metadata!B714:S714)</f>
        <v>1</v>
      </c>
      <c r="AB714" t="str">
        <v/>
      </c>
      <c r="AD714" t="b">
        <f ca="1">AND(IF(metadata!B714="",FALSE,TRUE),COUNTIF(metadata!B:B, metadata!B714) = 1,NOT(ISERROR(SUMPRODUCT(SEARCH(MID(metadata!B714,ROW(INDIRECT("1:"&amp;LEN(metadata!B714))), 1),"0123456789abcdefghijklmnopqrstuvwxyzABCDEFGHIJKLMNOPQRSTUVWXYZ.")))))</f>
        <v>0</v>
      </c>
      <c r="AE714" t="b">
        <f>OR(AND(IF(metadata!C714="",FALSE,TRUE),OR(EXACT(metadata!C714,"not applicable"),EXACT(metadata!C714,"missing: not collected"),EXACT(metadata!C714,"missing: not provided"),EXACT(metadata!C714,"missing: restricted access"))),AND(IF(metadata!C714="",FALSE,ISNUMBER(VALUE(metadata!C714))),metadata!C714&gt;0))</f>
        <v>0</v>
      </c>
      <c r="AF714" t="b">
        <f>AND(IF(metadata!D714="",FALSE,TRUE),EXACT(metadata!D714,"missing: not provided"))</f>
        <v>0</v>
      </c>
      <c r="AG714" t="b">
        <f>AND(IF(metadata!E714="",FALSE,TRUE),EXACT(metadata!E714,"Host-associated"))</f>
        <v>0</v>
      </c>
      <c r="AH714" t="b">
        <f>AND(IF(metadata!F714="",FALSE,TRUE),OR(EXACT(metadata!F714,"Animal"),EXACT(metadata!F714,"Fungus"),EXACT(metadata!F714,"Plant")))</f>
        <v>0</v>
      </c>
      <c r="AI714" t="b">
        <f>AND(IF(metadata!G714="",FALSE,TRUE),OR(EXACT(metadata!G714,"Plant secretion"),EXACT(metadata!G714,"Plant rhizosphere"),EXACT(metadata!G714,"Plant surface"),EXACT(metadata!G714,"Plant corpus"),EXACT(metadata!G714,"Fungus surface"),EXACT(metadata!G714,"Fungus corpus"),EXACT(metadata!G714,"Animal surface"),EXACT(metadata!G714,"Animal proximal gut"),EXACT(metadata!G714,"Animal corpus"),EXACT(metadata!G714,"Animal distal gut"),EXACT(metadata!G714,"Animal secretion")))</f>
        <v>0</v>
      </c>
      <c r="AJ714" t="b">
        <f>OR(AND(IF(metadata!H714="",FALSE,TRUE),OR(EXACT(metadata!H714,"missing: not collected"),EXACT(metadata!H714,"missing: not provided"),EXACT(metadata!H714,"missing: restricted access"))),AND(IF(metadata!H714="",FALSE,TRUE),OR(EXACT(metadata!H714,"organism-associated habitat"),EXACT(metadata!H714,"plant-associated habitat"),EXACT(metadata!H714,"animal-associated habitat"),EXACT(metadata!H714,"insecta-associated habitat"),EXACT(metadata!H714,"mammalia-associated habitat"),EXACT(metadata!H714,"human-associated habitat"),EXACT(metadata!H714,"livestock-associated habitat"))))</f>
        <v>0</v>
      </c>
      <c r="AK714" t="b">
        <f>AND(IF(metadata!I714="",FALSE,TRUE),EXACT(metadata!I714,"host-associated"))</f>
        <v>0</v>
      </c>
      <c r="AL714" t="b">
        <f>OR(AND(IF(metadata!J714="",FALSE,TRUE),OR(EXACT(metadata!J714,"not applicable"),EXACT(metadata!J714,"missing: not collected"),EXACT(metadata!J714,"missing: not provided"),EXACT(metadata!J714,"missing: restricted access"))),AND(IF(metadata!J714="",FALSE,ISNUMBER(VALUE(metadata!J714))),metadata!J714&gt;0))</f>
        <v>0</v>
      </c>
      <c r="AM714" t="b">
        <f>AND(IF(metadata!K714="",FALSE,TRUE),EXACT(metadata!K714,"missing: not provided"))</f>
        <v>0</v>
      </c>
      <c r="AN714" t="b">
        <f>IF(metadata!L714="",FALSE,TRUE)</f>
        <v>0</v>
      </c>
      <c r="AO714" t="b">
        <f>IF(metadata!M714="",FALSE,TRUE)</f>
        <v>0</v>
      </c>
      <c r="AP714" t="b">
        <f>OR(AND(IF(metadata!N714="",FALSE,TRUE),OR(EXACT(metadata!N714,"not applicable"),EXACT(metadata!N714,"missing: not collected"),EXACT(metadata!N714,"missing: not provided"))),AND(IF(metadata!N714="",FALSE,IF(ISERROR(INT(metadata!N714)),FALSE,INT(metadata!N714)=metadata!N714)),metadata!N714&gt;0))</f>
        <v>0</v>
      </c>
      <c r="AQ714" t="b">
        <f>AND(IF(metadata!O714="",FALSE,TRUE),EXACT(metadata!O714,"Not applicable"))</f>
        <v>0</v>
      </c>
      <c r="AR714" t="b">
        <f>OR(AND(IF(metadata!P714="",FALSE,TRUE),OR(EXACT(metadata!P714,"not applicable"),EXACT(metadata!P714,"missing: not collected"),EXACT(metadata!P714,"missing: not provided"),EXACT(metadata!P714,"missing: restricted access"))),IF(metadata!P714="",FALSE,IF(ISERROR(INT(metadata!P714)),FALSE,INT(metadata!P714)=metadata!P714)))</f>
        <v>0</v>
      </c>
      <c r="AS714" t="b">
        <f>AND(IF(metadata!Q714="",FALSE,TRUE),EXACT(metadata!Q714,"Not applicable"))</f>
        <v>0</v>
      </c>
      <c r="AT714" t="b">
        <f>OR(AND(IF(metadata!R714="",FALSE,TRUE),OR(EXACT(metadata!R714,"not applicable"),EXACT(metadata!R714,"missing: not collected"),EXACT(metadata!R714,"missing: not provided"),EXACT(metadata!R714,"missing: restricted access"))),AND(IF(metadata!R714="",FALSE,ISNUMBER(VALUE(metadata!R714))),metadata!R714&gt;0))</f>
        <v>0</v>
      </c>
      <c r="AU714" t="b">
        <f>AND(IF(metadata!S714="",FALSE,TRUE),EXACT(metadata!S714,"missing: not provided"))</f>
        <v>0</v>
      </c>
    </row>
    <row r="715" spans="1:47" x14ac:dyDescent="0.2">
      <c r="A715" s="5" t="str">
        <f ca="1">IF(B715=" "," ",HYPERLINK(CONCATENATE("#metadata!",ADDRESS(INDEX($Y$2:$Y$1001,MATCH(ROWS($W$2:W715),$W$2:$W$1001,0),0),1)),INDEX($AB$2:$AB$1001,MATCH(ROWS($W$2:W715),$W$2:$W$1001,0),0)))</f>
        <v xml:space="preserve"> </v>
      </c>
      <c r="B715" s="4" t="str">
        <f ca="1">IF(OR(INDEX($X$2:$X$1001,MATCH(ROWS($W$2:W715),$W$2:$W$1001,0),1)&gt;=100000,INDEX($AD$1005:$AU$1005,1,MATCH(COLUMNS($AD$1006:AD1006),$AD$1006:$AU$1006,0))&gt;=100000), " ",IF(INDEX($AD$2:$AU$1001,MATCH(ROWS($W$2:W715),$W$2:$W$1001,0),MATCH(COLUMNS($AD$1006:AD1006),$AD$1006:$AU$1006,0)), HYPERLINK("#",""), HYPERLINK(CONCATENATE("#metadata!", ADDRESS(INDEX($Y$2:$Y$1001,MATCH(ROWS($W$2:W715),$W$2:$W$1001,0),0), INDEX($AD$1004:$AU$1004,1,MATCH(COLUMNS($AD$1006:AD1006),$AD$1006:$AU$1006,0)))),"Fix")))</f>
        <v xml:space="preserve"> </v>
      </c>
      <c r="C715" s="4" t="str">
        <f ca="1">IF(OR(INDEX($X$2:$X$1001,MATCH(ROWS($W$2:W715),$W$2:$W$1001,0),1)&gt;=100000,INDEX($AD$1005:$AU$1005,1,MATCH(COLUMNS($AD$1006:AE1006),$AD$1006:$AU$1006,0))&gt;=100000), " ",IF(INDEX($AD$2:$AU$1001,MATCH(ROWS($W$2:W715),$W$2:$W$1001,0),MATCH(COLUMNS($AD$1006:AE1006),$AD$1006:$AU$1006,0)), HYPERLINK("#",""), HYPERLINK(CONCATENATE("#metadata!", ADDRESS(INDEX($Y$2:$Y$1001,MATCH(ROWS($W$2:W715),$W$2:$W$1001,0),0), INDEX($AD$1004:$AU$1004,1,MATCH(COLUMNS($AD$1006:AE1006),$AD$1006:$AU$1006,0)))),"Fix")))</f>
        <v xml:space="preserve"> </v>
      </c>
      <c r="D715" s="4" t="str">
        <f ca="1">IF(OR(INDEX($X$2:$X$1001,MATCH(ROWS($W$2:W715),$W$2:$W$1001,0),1)&gt;=100000,INDEX($AD$1005:$AU$1005,1,MATCH(COLUMNS($AD$1006:AF1006),$AD$1006:$AU$1006,0))&gt;=100000), " ",IF(INDEX($AD$2:$AU$1001,MATCH(ROWS($W$2:W715),$W$2:$W$1001,0),MATCH(COLUMNS($AD$1006:AF1006),$AD$1006:$AU$1006,0)), HYPERLINK("#",""), HYPERLINK(CONCATENATE("#metadata!", ADDRESS(INDEX($Y$2:$Y$1001,MATCH(ROWS($W$2:W715),$W$2:$W$1001,0),0), INDEX($AD$1004:$AU$1004,1,MATCH(COLUMNS($AD$1006:AF1006),$AD$1006:$AU$1006,0)))),"Fix")))</f>
        <v xml:space="preserve"> </v>
      </c>
      <c r="E715" s="4" t="str">
        <f ca="1">IF(OR(INDEX($X$2:$X$1001,MATCH(ROWS($W$2:W715),$W$2:$W$1001,0),1)&gt;=100000,INDEX($AD$1005:$AU$1005,1,MATCH(COLUMNS($AD$1006:AG1006),$AD$1006:$AU$1006,0))&gt;=100000), " ",IF(INDEX($AD$2:$AU$1001,MATCH(ROWS($W$2:W715),$W$2:$W$1001,0),MATCH(COLUMNS($AD$1006:AG1006),$AD$1006:$AU$1006,0)), HYPERLINK("#",""), HYPERLINK(CONCATENATE("#metadata!", ADDRESS(INDEX($Y$2:$Y$1001,MATCH(ROWS($W$2:W715),$W$2:$W$1001,0),0), INDEX($AD$1004:$AU$1004,1,MATCH(COLUMNS($AD$1006:AG1006),$AD$1006:$AU$1006,0)))),"Fix")))</f>
        <v xml:space="preserve"> </v>
      </c>
      <c r="F715" s="4" t="str">
        <f ca="1">IF(OR(INDEX($X$2:$X$1001,MATCH(ROWS($W$2:W715),$W$2:$W$1001,0),1)&gt;=100000,INDEX($AD$1005:$AU$1005,1,MATCH(COLUMNS($AD$1006:AH1006),$AD$1006:$AU$1006,0))&gt;=100000), " ",IF(INDEX($AD$2:$AU$1001,MATCH(ROWS($W$2:W715),$W$2:$W$1001,0),MATCH(COLUMNS($AD$1006:AH1006),$AD$1006:$AU$1006,0)), HYPERLINK("#",""), HYPERLINK(CONCATENATE("#metadata!", ADDRESS(INDEX($Y$2:$Y$1001,MATCH(ROWS($W$2:W715),$W$2:$W$1001,0),0), INDEX($AD$1004:$AU$1004,1,MATCH(COLUMNS($AD$1006:AH1006),$AD$1006:$AU$1006,0)))),"Fix")))</f>
        <v xml:space="preserve"> </v>
      </c>
      <c r="G715" s="4" t="str">
        <f ca="1">IF(OR(INDEX($X$2:$X$1001,MATCH(ROWS($W$2:W715),$W$2:$W$1001,0),1)&gt;=100000,INDEX($AD$1005:$AU$1005,1,MATCH(COLUMNS($AD$1006:AI1006),$AD$1006:$AU$1006,0))&gt;=100000), " ",IF(INDEX($AD$2:$AU$1001,MATCH(ROWS($W$2:W715),$W$2:$W$1001,0),MATCH(COLUMNS($AD$1006:AI1006),$AD$1006:$AU$1006,0)), HYPERLINK("#",""), HYPERLINK(CONCATENATE("#metadata!", ADDRESS(INDEX($Y$2:$Y$1001,MATCH(ROWS($W$2:W715),$W$2:$W$1001,0),0), INDEX($AD$1004:$AU$1004,1,MATCH(COLUMNS($AD$1006:AI1006),$AD$1006:$AU$1006,0)))),"Fix")))</f>
        <v xml:space="preserve"> </v>
      </c>
      <c r="H715" s="4" t="str">
        <f ca="1">IF(OR(INDEX($X$2:$X$1001,MATCH(ROWS($W$2:W715),$W$2:$W$1001,0),1)&gt;=100000,INDEX($AD$1005:$AU$1005,1,MATCH(COLUMNS($AD$1006:AJ1006),$AD$1006:$AU$1006,0))&gt;=100000), " ",IF(INDEX($AD$2:$AU$1001,MATCH(ROWS($W$2:W715),$W$2:$W$1001,0),MATCH(COLUMNS($AD$1006:AJ1006),$AD$1006:$AU$1006,0)), HYPERLINK("#",""), HYPERLINK(CONCATENATE("#metadata!", ADDRESS(INDEX($Y$2:$Y$1001,MATCH(ROWS($W$2:W715),$W$2:$W$1001,0),0), INDEX($AD$1004:$AU$1004,1,MATCH(COLUMNS($AD$1006:AJ1006),$AD$1006:$AU$1006,0)))),"Fix")))</f>
        <v xml:space="preserve"> </v>
      </c>
      <c r="I715" s="4" t="str">
        <f ca="1">IF(OR(INDEX($X$2:$X$1001,MATCH(ROWS($W$2:W715),$W$2:$W$1001,0),1)&gt;=100000,INDEX($AD$1005:$AU$1005,1,MATCH(COLUMNS($AD$1006:AK1006),$AD$1006:$AU$1006,0))&gt;=100000), " ",IF(INDEX($AD$2:$AU$1001,MATCH(ROWS($W$2:W715),$W$2:$W$1001,0),MATCH(COLUMNS($AD$1006:AK1006),$AD$1006:$AU$1006,0)), HYPERLINK("#",""), HYPERLINK(CONCATENATE("#metadata!", ADDRESS(INDEX($Y$2:$Y$1001,MATCH(ROWS($W$2:W715),$W$2:$W$1001,0),0), INDEX($AD$1004:$AU$1004,1,MATCH(COLUMNS($AD$1006:AK1006),$AD$1006:$AU$1006,0)))),"Fix")))</f>
        <v xml:space="preserve"> </v>
      </c>
      <c r="J715" s="4" t="str">
        <f ca="1">IF(OR(INDEX($X$2:$X$1001,MATCH(ROWS($W$2:W715),$W$2:$W$1001,0),1)&gt;=100000,INDEX($AD$1005:$AU$1005,1,MATCH(COLUMNS($AD$1006:AL1006),$AD$1006:$AU$1006,0))&gt;=100000), " ",IF(INDEX($AD$2:$AU$1001,MATCH(ROWS($W$2:W715),$W$2:$W$1001,0),MATCH(COLUMNS($AD$1006:AL1006),$AD$1006:$AU$1006,0)), HYPERLINK("#",""), HYPERLINK(CONCATENATE("#metadata!", ADDRESS(INDEX($Y$2:$Y$1001,MATCH(ROWS($W$2:W715),$W$2:$W$1001,0),0), INDEX($AD$1004:$AU$1004,1,MATCH(COLUMNS($AD$1006:AL1006),$AD$1006:$AU$1006,0)))),"Fix")))</f>
        <v xml:space="preserve"> </v>
      </c>
      <c r="K715" s="4" t="str">
        <f ca="1">IF(OR(INDEX($X$2:$X$1001,MATCH(ROWS($W$2:W715),$W$2:$W$1001,0),1)&gt;=100000,INDEX($AD$1005:$AU$1005,1,MATCH(COLUMNS($AD$1006:AM1006),$AD$1006:$AU$1006,0))&gt;=100000), " ",IF(INDEX($AD$2:$AU$1001,MATCH(ROWS($W$2:W715),$W$2:$W$1001,0),MATCH(COLUMNS($AD$1006:AM1006),$AD$1006:$AU$1006,0)), HYPERLINK("#",""), HYPERLINK(CONCATENATE("#metadata!", ADDRESS(INDEX($Y$2:$Y$1001,MATCH(ROWS($W$2:W715),$W$2:$W$1001,0),0), INDEX($AD$1004:$AU$1004,1,MATCH(COLUMNS($AD$1006:AM1006),$AD$1006:$AU$1006,0)))),"Fix")))</f>
        <v xml:space="preserve"> </v>
      </c>
      <c r="L715" s="4" t="str">
        <f ca="1">IF(OR(INDEX($X$2:$X$1001,MATCH(ROWS($W$2:W715),$W$2:$W$1001,0),1)&gt;=100000,INDEX($AD$1005:$AU$1005,1,MATCH(COLUMNS($AD$1006:AN1006),$AD$1006:$AU$1006,0))&gt;=100000), " ",IF(INDEX($AD$2:$AU$1001,MATCH(ROWS($W$2:W715),$W$2:$W$1001,0),MATCH(COLUMNS($AD$1006:AN1006),$AD$1006:$AU$1006,0)), HYPERLINK("#",""), HYPERLINK(CONCATENATE("#metadata!", ADDRESS(INDEX($Y$2:$Y$1001,MATCH(ROWS($W$2:W715),$W$2:$W$1001,0),0), INDEX($AD$1004:$AU$1004,1,MATCH(COLUMNS($AD$1006:AN1006),$AD$1006:$AU$1006,0)))),"Fix")))</f>
        <v xml:space="preserve"> </v>
      </c>
      <c r="M715" s="4" t="str">
        <f ca="1">IF(OR(INDEX($X$2:$X$1001,MATCH(ROWS($W$2:W715),$W$2:$W$1001,0),1)&gt;=100000,INDEX($AD$1005:$AU$1005,1,MATCH(COLUMNS($AD$1006:AO1006),$AD$1006:$AU$1006,0))&gt;=100000), " ",IF(INDEX($AD$2:$AU$1001,MATCH(ROWS($W$2:W715),$W$2:$W$1001,0),MATCH(COLUMNS($AD$1006:AO1006),$AD$1006:$AU$1006,0)), HYPERLINK("#",""), HYPERLINK(CONCATENATE("#metadata!", ADDRESS(INDEX($Y$2:$Y$1001,MATCH(ROWS($W$2:W715),$W$2:$W$1001,0),0), INDEX($AD$1004:$AU$1004,1,MATCH(COLUMNS($AD$1006:AO1006),$AD$1006:$AU$1006,0)))),"Fix")))</f>
        <v xml:space="preserve"> </v>
      </c>
      <c r="N715" s="4" t="str">
        <f ca="1">IF(OR(INDEX($X$2:$X$1001,MATCH(ROWS($W$2:W715),$W$2:$W$1001,0),1)&gt;=100000,INDEX($AD$1005:$AU$1005,1,MATCH(COLUMNS($AD$1006:AP1006),$AD$1006:$AU$1006,0))&gt;=100000), " ",IF(INDEX($AD$2:$AU$1001,MATCH(ROWS($W$2:W715),$W$2:$W$1001,0),MATCH(COLUMNS($AD$1006:AP1006),$AD$1006:$AU$1006,0)), HYPERLINK("#",""), HYPERLINK(CONCATENATE("#metadata!", ADDRESS(INDEX($Y$2:$Y$1001,MATCH(ROWS($W$2:W715),$W$2:$W$1001,0),0), INDEX($AD$1004:$AU$1004,1,MATCH(COLUMNS($AD$1006:AP1006),$AD$1006:$AU$1006,0)))),"Fix")))</f>
        <v xml:space="preserve"> </v>
      </c>
      <c r="O715" s="4" t="str">
        <f ca="1">IF(OR(INDEX($X$2:$X$1001,MATCH(ROWS($W$2:W715),$W$2:$W$1001,0),1)&gt;=100000,INDEX($AD$1005:$AU$1005,1,MATCH(COLUMNS($AD$1006:AQ1006),$AD$1006:$AU$1006,0))&gt;=100000), " ",IF(INDEX($AD$2:$AU$1001,MATCH(ROWS($W$2:W715),$W$2:$W$1001,0),MATCH(COLUMNS($AD$1006:AQ1006),$AD$1006:$AU$1006,0)), HYPERLINK("#",""), HYPERLINK(CONCATENATE("#metadata!", ADDRESS(INDEX($Y$2:$Y$1001,MATCH(ROWS($W$2:W715),$W$2:$W$1001,0),0), INDEX($AD$1004:$AU$1004,1,MATCH(COLUMNS($AD$1006:AQ1006),$AD$1006:$AU$1006,0)))),"Fix")))</f>
        <v xml:space="preserve"> </v>
      </c>
      <c r="P715" s="4" t="str">
        <f ca="1">IF(OR(INDEX($X$2:$X$1001,MATCH(ROWS($W$2:W715),$W$2:$W$1001,0),1)&gt;=100000,INDEX($AD$1005:$AU$1005,1,MATCH(COLUMNS($AD$1006:AR1006),$AD$1006:$AU$1006,0))&gt;=100000), " ",IF(INDEX($AD$2:$AU$1001,MATCH(ROWS($W$2:W715),$W$2:$W$1001,0),MATCH(COLUMNS($AD$1006:AR1006),$AD$1006:$AU$1006,0)), HYPERLINK("#",""), HYPERLINK(CONCATENATE("#metadata!", ADDRESS(INDEX($Y$2:$Y$1001,MATCH(ROWS($W$2:W715),$W$2:$W$1001,0),0), INDEX($AD$1004:$AU$1004,1,MATCH(COLUMNS($AD$1006:AR1006),$AD$1006:$AU$1006,0)))),"Fix")))</f>
        <v xml:space="preserve"> </v>
      </c>
      <c r="Q715" s="4" t="str">
        <f ca="1">IF(OR(INDEX($X$2:$X$1001,MATCH(ROWS($W$2:W715),$W$2:$W$1001,0),1)&gt;=100000,INDEX($AD$1005:$AU$1005,1,MATCH(COLUMNS($AD$1006:AS1006),$AD$1006:$AU$1006,0))&gt;=100000), " ",IF(INDEX($AD$2:$AU$1001,MATCH(ROWS($W$2:W715),$W$2:$W$1001,0),MATCH(COLUMNS($AD$1006:AS1006),$AD$1006:$AU$1006,0)), HYPERLINK("#",""), HYPERLINK(CONCATENATE("#metadata!", ADDRESS(INDEX($Y$2:$Y$1001,MATCH(ROWS($W$2:W715),$W$2:$W$1001,0),0), INDEX($AD$1004:$AU$1004,1,MATCH(COLUMNS($AD$1006:AS1006),$AD$1006:$AU$1006,0)))),"Fix")))</f>
        <v xml:space="preserve"> </v>
      </c>
      <c r="R715" s="4" t="str">
        <f ca="1">IF(OR(INDEX($X$2:$X$1001,MATCH(ROWS($W$2:W715),$W$2:$W$1001,0),1)&gt;=100000,INDEX($AD$1005:$AU$1005,1,MATCH(COLUMNS($AD$1006:AT1006),$AD$1006:$AU$1006,0))&gt;=100000), " ",IF(INDEX($AD$2:$AU$1001,MATCH(ROWS($W$2:W715),$W$2:$W$1001,0),MATCH(COLUMNS($AD$1006:AT1006),$AD$1006:$AU$1006,0)), HYPERLINK("#",""), HYPERLINK(CONCATENATE("#metadata!", ADDRESS(INDEX($Y$2:$Y$1001,MATCH(ROWS($W$2:W715),$W$2:$W$1001,0),0), INDEX($AD$1004:$AU$1004,1,MATCH(COLUMNS($AD$1006:AT1006),$AD$1006:$AU$1006,0)))),"Fix")))</f>
        <v xml:space="preserve"> </v>
      </c>
      <c r="S715" s="4" t="str">
        <f ca="1">IF(OR(INDEX($X$2:$X$1001,MATCH(ROWS($W$2:W715),$W$2:$W$1001,0),1)&gt;=100000,INDEX($AD$1005:$AU$1005,1,MATCH(COLUMNS($AD$1006:AU1006),$AD$1006:$AU$1006,0))&gt;=100000), " ",IF(INDEX($AD$2:$AU$1001,MATCH(ROWS($W$2:W715),$W$2:$W$1001,0),MATCH(COLUMNS($AD$1006:AU1006),$AD$1006:$AU$1006,0)), HYPERLINK("#",""), HYPERLINK(CONCATENATE("#metadata!", ADDRESS(INDEX($Y$2:$Y$1001,MATCH(ROWS($W$2:W715),$W$2:$W$1001,0),0), INDEX($AD$1004:$AU$1004,1,MATCH(COLUMNS($AD$1006:AU1006),$AD$1006:$AU$1006,0)))),"Fix")))</f>
        <v xml:space="preserve"> </v>
      </c>
      <c r="W715">
        <v>714</v>
      </c>
      <c r="X715">
        <v>100715</v>
      </c>
      <c r="Y715">
        <v>715</v>
      </c>
      <c r="Z715" t="b">
        <f t="shared" si="11"/>
        <v>1</v>
      </c>
      <c r="AA715" t="b">
        <f>COUNTBLANK(metadata!B715:S715)=COLUMNS(metadata!B715:S715)</f>
        <v>1</v>
      </c>
      <c r="AB715" t="str">
        <v/>
      </c>
      <c r="AD715" t="b">
        <f ca="1">AND(IF(metadata!B715="",FALSE,TRUE),COUNTIF(metadata!B:B, metadata!B715) = 1,NOT(ISERROR(SUMPRODUCT(SEARCH(MID(metadata!B715,ROW(INDIRECT("1:"&amp;LEN(metadata!B715))), 1),"0123456789abcdefghijklmnopqrstuvwxyzABCDEFGHIJKLMNOPQRSTUVWXYZ.")))))</f>
        <v>0</v>
      </c>
      <c r="AE715" t="b">
        <f>OR(AND(IF(metadata!C715="",FALSE,TRUE),OR(EXACT(metadata!C715,"not applicable"),EXACT(metadata!C715,"missing: not collected"),EXACT(metadata!C715,"missing: not provided"),EXACT(metadata!C715,"missing: restricted access"))),AND(IF(metadata!C715="",FALSE,ISNUMBER(VALUE(metadata!C715))),metadata!C715&gt;0))</f>
        <v>0</v>
      </c>
      <c r="AF715" t="b">
        <f>AND(IF(metadata!D715="",FALSE,TRUE),EXACT(metadata!D715,"missing: not provided"))</f>
        <v>0</v>
      </c>
      <c r="AG715" t="b">
        <f>AND(IF(metadata!E715="",FALSE,TRUE),EXACT(metadata!E715,"Host-associated"))</f>
        <v>0</v>
      </c>
      <c r="AH715" t="b">
        <f>AND(IF(metadata!F715="",FALSE,TRUE),OR(EXACT(metadata!F715,"Animal"),EXACT(metadata!F715,"Fungus"),EXACT(metadata!F715,"Plant")))</f>
        <v>0</v>
      </c>
      <c r="AI715" t="b">
        <f>AND(IF(metadata!G715="",FALSE,TRUE),OR(EXACT(metadata!G715,"Plant secretion"),EXACT(metadata!G715,"Plant rhizosphere"),EXACT(metadata!G715,"Plant surface"),EXACT(metadata!G715,"Plant corpus"),EXACT(metadata!G715,"Fungus surface"),EXACT(metadata!G715,"Fungus corpus"),EXACT(metadata!G715,"Animal surface"),EXACT(metadata!G715,"Animal proximal gut"),EXACT(metadata!G715,"Animal corpus"),EXACT(metadata!G715,"Animal distal gut"),EXACT(metadata!G715,"Animal secretion")))</f>
        <v>0</v>
      </c>
      <c r="AJ715" t="b">
        <f>OR(AND(IF(metadata!H715="",FALSE,TRUE),OR(EXACT(metadata!H715,"missing: not collected"),EXACT(metadata!H715,"missing: not provided"),EXACT(metadata!H715,"missing: restricted access"))),AND(IF(metadata!H715="",FALSE,TRUE),OR(EXACT(metadata!H715,"organism-associated habitat"),EXACT(metadata!H715,"plant-associated habitat"),EXACT(metadata!H715,"animal-associated habitat"),EXACT(metadata!H715,"insecta-associated habitat"),EXACT(metadata!H715,"mammalia-associated habitat"),EXACT(metadata!H715,"human-associated habitat"),EXACT(metadata!H715,"livestock-associated habitat"))))</f>
        <v>0</v>
      </c>
      <c r="AK715" t="b">
        <f>AND(IF(metadata!I715="",FALSE,TRUE),EXACT(metadata!I715,"host-associated"))</f>
        <v>0</v>
      </c>
      <c r="AL715" t="b">
        <f>OR(AND(IF(metadata!J715="",FALSE,TRUE),OR(EXACT(metadata!J715,"not applicable"),EXACT(metadata!J715,"missing: not collected"),EXACT(metadata!J715,"missing: not provided"),EXACT(metadata!J715,"missing: restricted access"))),AND(IF(metadata!J715="",FALSE,ISNUMBER(VALUE(metadata!J715))),metadata!J715&gt;0))</f>
        <v>0</v>
      </c>
      <c r="AM715" t="b">
        <f>AND(IF(metadata!K715="",FALSE,TRUE),EXACT(metadata!K715,"missing: not provided"))</f>
        <v>0</v>
      </c>
      <c r="AN715" t="b">
        <f>IF(metadata!L715="",FALSE,TRUE)</f>
        <v>0</v>
      </c>
      <c r="AO715" t="b">
        <f>IF(metadata!M715="",FALSE,TRUE)</f>
        <v>0</v>
      </c>
      <c r="AP715" t="b">
        <f>OR(AND(IF(metadata!N715="",FALSE,TRUE),OR(EXACT(metadata!N715,"not applicable"),EXACT(metadata!N715,"missing: not collected"),EXACT(metadata!N715,"missing: not provided"))),AND(IF(metadata!N715="",FALSE,IF(ISERROR(INT(metadata!N715)),FALSE,INT(metadata!N715)=metadata!N715)),metadata!N715&gt;0))</f>
        <v>0</v>
      </c>
      <c r="AQ715" t="b">
        <f>AND(IF(metadata!O715="",FALSE,TRUE),EXACT(metadata!O715,"Not applicable"))</f>
        <v>0</v>
      </c>
      <c r="AR715" t="b">
        <f>OR(AND(IF(metadata!P715="",FALSE,TRUE),OR(EXACT(metadata!P715,"not applicable"),EXACT(metadata!P715,"missing: not collected"),EXACT(metadata!P715,"missing: not provided"),EXACT(metadata!P715,"missing: restricted access"))),IF(metadata!P715="",FALSE,IF(ISERROR(INT(metadata!P715)),FALSE,INT(metadata!P715)=metadata!P715)))</f>
        <v>0</v>
      </c>
      <c r="AS715" t="b">
        <f>AND(IF(metadata!Q715="",FALSE,TRUE),EXACT(metadata!Q715,"Not applicable"))</f>
        <v>0</v>
      </c>
      <c r="AT715" t="b">
        <f>OR(AND(IF(metadata!R715="",FALSE,TRUE),OR(EXACT(metadata!R715,"not applicable"),EXACT(metadata!R715,"missing: not collected"),EXACT(metadata!R715,"missing: not provided"),EXACT(metadata!R715,"missing: restricted access"))),AND(IF(metadata!R715="",FALSE,ISNUMBER(VALUE(metadata!R715))),metadata!R715&gt;0))</f>
        <v>0</v>
      </c>
      <c r="AU715" t="b">
        <f>AND(IF(metadata!S715="",FALSE,TRUE),EXACT(metadata!S715,"missing: not provided"))</f>
        <v>0</v>
      </c>
    </row>
    <row r="716" spans="1:47" x14ac:dyDescent="0.2">
      <c r="A716" s="5" t="str">
        <f ca="1">IF(B716=" "," ",HYPERLINK(CONCATENATE("#metadata!",ADDRESS(INDEX($Y$2:$Y$1001,MATCH(ROWS($W$2:W716),$W$2:$W$1001,0),0),1)),INDEX($AB$2:$AB$1001,MATCH(ROWS($W$2:W716),$W$2:$W$1001,0),0)))</f>
        <v xml:space="preserve"> </v>
      </c>
      <c r="B716" s="4" t="str">
        <f ca="1">IF(OR(INDEX($X$2:$X$1001,MATCH(ROWS($W$2:W716),$W$2:$W$1001,0),1)&gt;=100000,INDEX($AD$1005:$AU$1005,1,MATCH(COLUMNS($AD$1006:AD1006),$AD$1006:$AU$1006,0))&gt;=100000), " ",IF(INDEX($AD$2:$AU$1001,MATCH(ROWS($W$2:W716),$W$2:$W$1001,0),MATCH(COLUMNS($AD$1006:AD1006),$AD$1006:$AU$1006,0)), HYPERLINK("#",""), HYPERLINK(CONCATENATE("#metadata!", ADDRESS(INDEX($Y$2:$Y$1001,MATCH(ROWS($W$2:W716),$W$2:$W$1001,0),0), INDEX($AD$1004:$AU$1004,1,MATCH(COLUMNS($AD$1006:AD1006),$AD$1006:$AU$1006,0)))),"Fix")))</f>
        <v xml:space="preserve"> </v>
      </c>
      <c r="C716" s="4" t="str">
        <f ca="1">IF(OR(INDEX($X$2:$X$1001,MATCH(ROWS($W$2:W716),$W$2:$W$1001,0),1)&gt;=100000,INDEX($AD$1005:$AU$1005,1,MATCH(COLUMNS($AD$1006:AE1006),$AD$1006:$AU$1006,0))&gt;=100000), " ",IF(INDEX($AD$2:$AU$1001,MATCH(ROWS($W$2:W716),$W$2:$W$1001,0),MATCH(COLUMNS($AD$1006:AE1006),$AD$1006:$AU$1006,0)), HYPERLINK("#",""), HYPERLINK(CONCATENATE("#metadata!", ADDRESS(INDEX($Y$2:$Y$1001,MATCH(ROWS($W$2:W716),$W$2:$W$1001,0),0), INDEX($AD$1004:$AU$1004,1,MATCH(COLUMNS($AD$1006:AE1006),$AD$1006:$AU$1006,0)))),"Fix")))</f>
        <v xml:space="preserve"> </v>
      </c>
      <c r="D716" s="4" t="str">
        <f ca="1">IF(OR(INDEX($X$2:$X$1001,MATCH(ROWS($W$2:W716),$W$2:$W$1001,0),1)&gt;=100000,INDEX($AD$1005:$AU$1005,1,MATCH(COLUMNS($AD$1006:AF1006),$AD$1006:$AU$1006,0))&gt;=100000), " ",IF(INDEX($AD$2:$AU$1001,MATCH(ROWS($W$2:W716),$W$2:$W$1001,0),MATCH(COLUMNS($AD$1006:AF1006),$AD$1006:$AU$1006,0)), HYPERLINK("#",""), HYPERLINK(CONCATENATE("#metadata!", ADDRESS(INDEX($Y$2:$Y$1001,MATCH(ROWS($W$2:W716),$W$2:$W$1001,0),0), INDEX($AD$1004:$AU$1004,1,MATCH(COLUMNS($AD$1006:AF1006),$AD$1006:$AU$1006,0)))),"Fix")))</f>
        <v xml:space="preserve"> </v>
      </c>
      <c r="E716" s="4" t="str">
        <f ca="1">IF(OR(INDEX($X$2:$X$1001,MATCH(ROWS($W$2:W716),$W$2:$W$1001,0),1)&gt;=100000,INDEX($AD$1005:$AU$1005,1,MATCH(COLUMNS($AD$1006:AG1006),$AD$1006:$AU$1006,0))&gt;=100000), " ",IF(INDEX($AD$2:$AU$1001,MATCH(ROWS($W$2:W716),$W$2:$W$1001,0),MATCH(COLUMNS($AD$1006:AG1006),$AD$1006:$AU$1006,0)), HYPERLINK("#",""), HYPERLINK(CONCATENATE("#metadata!", ADDRESS(INDEX($Y$2:$Y$1001,MATCH(ROWS($W$2:W716),$W$2:$W$1001,0),0), INDEX($AD$1004:$AU$1004,1,MATCH(COLUMNS($AD$1006:AG1006),$AD$1006:$AU$1006,0)))),"Fix")))</f>
        <v xml:space="preserve"> </v>
      </c>
      <c r="F716" s="4" t="str">
        <f ca="1">IF(OR(INDEX($X$2:$X$1001,MATCH(ROWS($W$2:W716),$W$2:$W$1001,0),1)&gt;=100000,INDEX($AD$1005:$AU$1005,1,MATCH(COLUMNS($AD$1006:AH1006),$AD$1006:$AU$1006,0))&gt;=100000), " ",IF(INDEX($AD$2:$AU$1001,MATCH(ROWS($W$2:W716),$W$2:$W$1001,0),MATCH(COLUMNS($AD$1006:AH1006),$AD$1006:$AU$1006,0)), HYPERLINK("#",""), HYPERLINK(CONCATENATE("#metadata!", ADDRESS(INDEX($Y$2:$Y$1001,MATCH(ROWS($W$2:W716),$W$2:$W$1001,0),0), INDEX($AD$1004:$AU$1004,1,MATCH(COLUMNS($AD$1006:AH1006),$AD$1006:$AU$1006,0)))),"Fix")))</f>
        <v xml:space="preserve"> </v>
      </c>
      <c r="G716" s="4" t="str">
        <f ca="1">IF(OR(INDEX($X$2:$X$1001,MATCH(ROWS($W$2:W716),$W$2:$W$1001,0),1)&gt;=100000,INDEX($AD$1005:$AU$1005,1,MATCH(COLUMNS($AD$1006:AI1006),$AD$1006:$AU$1006,0))&gt;=100000), " ",IF(INDEX($AD$2:$AU$1001,MATCH(ROWS($W$2:W716),$W$2:$W$1001,0),MATCH(COLUMNS($AD$1006:AI1006),$AD$1006:$AU$1006,0)), HYPERLINK("#",""), HYPERLINK(CONCATENATE("#metadata!", ADDRESS(INDEX($Y$2:$Y$1001,MATCH(ROWS($W$2:W716),$W$2:$W$1001,0),0), INDEX($AD$1004:$AU$1004,1,MATCH(COLUMNS($AD$1006:AI1006),$AD$1006:$AU$1006,0)))),"Fix")))</f>
        <v xml:space="preserve"> </v>
      </c>
      <c r="H716" s="4" t="str">
        <f ca="1">IF(OR(INDEX($X$2:$X$1001,MATCH(ROWS($W$2:W716),$W$2:$W$1001,0),1)&gt;=100000,INDEX($AD$1005:$AU$1005,1,MATCH(COLUMNS($AD$1006:AJ1006),$AD$1006:$AU$1006,0))&gt;=100000), " ",IF(INDEX($AD$2:$AU$1001,MATCH(ROWS($W$2:W716),$W$2:$W$1001,0),MATCH(COLUMNS($AD$1006:AJ1006),$AD$1006:$AU$1006,0)), HYPERLINK("#",""), HYPERLINK(CONCATENATE("#metadata!", ADDRESS(INDEX($Y$2:$Y$1001,MATCH(ROWS($W$2:W716),$W$2:$W$1001,0),0), INDEX($AD$1004:$AU$1004,1,MATCH(COLUMNS($AD$1006:AJ1006),$AD$1006:$AU$1006,0)))),"Fix")))</f>
        <v xml:space="preserve"> </v>
      </c>
      <c r="I716" s="4" t="str">
        <f ca="1">IF(OR(INDEX($X$2:$X$1001,MATCH(ROWS($W$2:W716),$W$2:$W$1001,0),1)&gt;=100000,INDEX($AD$1005:$AU$1005,1,MATCH(COLUMNS($AD$1006:AK1006),$AD$1006:$AU$1006,0))&gt;=100000), " ",IF(INDEX($AD$2:$AU$1001,MATCH(ROWS($W$2:W716),$W$2:$W$1001,0),MATCH(COLUMNS($AD$1006:AK1006),$AD$1006:$AU$1006,0)), HYPERLINK("#",""), HYPERLINK(CONCATENATE("#metadata!", ADDRESS(INDEX($Y$2:$Y$1001,MATCH(ROWS($W$2:W716),$W$2:$W$1001,0),0), INDEX($AD$1004:$AU$1004,1,MATCH(COLUMNS($AD$1006:AK1006),$AD$1006:$AU$1006,0)))),"Fix")))</f>
        <v xml:space="preserve"> </v>
      </c>
      <c r="J716" s="4" t="str">
        <f ca="1">IF(OR(INDEX($X$2:$X$1001,MATCH(ROWS($W$2:W716),$W$2:$W$1001,0),1)&gt;=100000,INDEX($AD$1005:$AU$1005,1,MATCH(COLUMNS($AD$1006:AL1006),$AD$1006:$AU$1006,0))&gt;=100000), " ",IF(INDEX($AD$2:$AU$1001,MATCH(ROWS($W$2:W716),$W$2:$W$1001,0),MATCH(COLUMNS($AD$1006:AL1006),$AD$1006:$AU$1006,0)), HYPERLINK("#",""), HYPERLINK(CONCATENATE("#metadata!", ADDRESS(INDEX($Y$2:$Y$1001,MATCH(ROWS($W$2:W716),$W$2:$W$1001,0),0), INDEX($AD$1004:$AU$1004,1,MATCH(COLUMNS($AD$1006:AL1006),$AD$1006:$AU$1006,0)))),"Fix")))</f>
        <v xml:space="preserve"> </v>
      </c>
      <c r="K716" s="4" t="str">
        <f ca="1">IF(OR(INDEX($X$2:$X$1001,MATCH(ROWS($W$2:W716),$W$2:$W$1001,0),1)&gt;=100000,INDEX($AD$1005:$AU$1005,1,MATCH(COLUMNS($AD$1006:AM1006),$AD$1006:$AU$1006,0))&gt;=100000), " ",IF(INDEX($AD$2:$AU$1001,MATCH(ROWS($W$2:W716),$W$2:$W$1001,0),MATCH(COLUMNS($AD$1006:AM1006),$AD$1006:$AU$1006,0)), HYPERLINK("#",""), HYPERLINK(CONCATENATE("#metadata!", ADDRESS(INDEX($Y$2:$Y$1001,MATCH(ROWS($W$2:W716),$W$2:$W$1001,0),0), INDEX($AD$1004:$AU$1004,1,MATCH(COLUMNS($AD$1006:AM1006),$AD$1006:$AU$1006,0)))),"Fix")))</f>
        <v xml:space="preserve"> </v>
      </c>
      <c r="L716" s="4" t="str">
        <f ca="1">IF(OR(INDEX($X$2:$X$1001,MATCH(ROWS($W$2:W716),$W$2:$W$1001,0),1)&gt;=100000,INDEX($AD$1005:$AU$1005,1,MATCH(COLUMNS($AD$1006:AN1006),$AD$1006:$AU$1006,0))&gt;=100000), " ",IF(INDEX($AD$2:$AU$1001,MATCH(ROWS($W$2:W716),$W$2:$W$1001,0),MATCH(COLUMNS($AD$1006:AN1006),$AD$1006:$AU$1006,0)), HYPERLINK("#",""), HYPERLINK(CONCATENATE("#metadata!", ADDRESS(INDEX($Y$2:$Y$1001,MATCH(ROWS($W$2:W716),$W$2:$W$1001,0),0), INDEX($AD$1004:$AU$1004,1,MATCH(COLUMNS($AD$1006:AN1006),$AD$1006:$AU$1006,0)))),"Fix")))</f>
        <v xml:space="preserve"> </v>
      </c>
      <c r="M716" s="4" t="str">
        <f ca="1">IF(OR(INDEX($X$2:$X$1001,MATCH(ROWS($W$2:W716),$W$2:$W$1001,0),1)&gt;=100000,INDEX($AD$1005:$AU$1005,1,MATCH(COLUMNS($AD$1006:AO1006),$AD$1006:$AU$1006,0))&gt;=100000), " ",IF(INDEX($AD$2:$AU$1001,MATCH(ROWS($W$2:W716),$W$2:$W$1001,0),MATCH(COLUMNS($AD$1006:AO1006),$AD$1006:$AU$1006,0)), HYPERLINK("#",""), HYPERLINK(CONCATENATE("#metadata!", ADDRESS(INDEX($Y$2:$Y$1001,MATCH(ROWS($W$2:W716),$W$2:$W$1001,0),0), INDEX($AD$1004:$AU$1004,1,MATCH(COLUMNS($AD$1006:AO1006),$AD$1006:$AU$1006,0)))),"Fix")))</f>
        <v xml:space="preserve"> </v>
      </c>
      <c r="N716" s="4" t="str">
        <f ca="1">IF(OR(INDEX($X$2:$X$1001,MATCH(ROWS($W$2:W716),$W$2:$W$1001,0),1)&gt;=100000,INDEX($AD$1005:$AU$1005,1,MATCH(COLUMNS($AD$1006:AP1006),$AD$1006:$AU$1006,0))&gt;=100000), " ",IF(INDEX($AD$2:$AU$1001,MATCH(ROWS($W$2:W716),$W$2:$W$1001,0),MATCH(COLUMNS($AD$1006:AP1006),$AD$1006:$AU$1006,0)), HYPERLINK("#",""), HYPERLINK(CONCATENATE("#metadata!", ADDRESS(INDEX($Y$2:$Y$1001,MATCH(ROWS($W$2:W716),$W$2:$W$1001,0),0), INDEX($AD$1004:$AU$1004,1,MATCH(COLUMNS($AD$1006:AP1006),$AD$1006:$AU$1006,0)))),"Fix")))</f>
        <v xml:space="preserve"> </v>
      </c>
      <c r="O716" s="4" t="str">
        <f ca="1">IF(OR(INDEX($X$2:$X$1001,MATCH(ROWS($W$2:W716),$W$2:$W$1001,0),1)&gt;=100000,INDEX($AD$1005:$AU$1005,1,MATCH(COLUMNS($AD$1006:AQ1006),$AD$1006:$AU$1006,0))&gt;=100000), " ",IF(INDEX($AD$2:$AU$1001,MATCH(ROWS($W$2:W716),$W$2:$W$1001,0),MATCH(COLUMNS($AD$1006:AQ1006),$AD$1006:$AU$1006,0)), HYPERLINK("#",""), HYPERLINK(CONCATENATE("#metadata!", ADDRESS(INDEX($Y$2:$Y$1001,MATCH(ROWS($W$2:W716),$W$2:$W$1001,0),0), INDEX($AD$1004:$AU$1004,1,MATCH(COLUMNS($AD$1006:AQ1006),$AD$1006:$AU$1006,0)))),"Fix")))</f>
        <v xml:space="preserve"> </v>
      </c>
      <c r="P716" s="4" t="str">
        <f ca="1">IF(OR(INDEX($X$2:$X$1001,MATCH(ROWS($W$2:W716),$W$2:$W$1001,0),1)&gt;=100000,INDEX($AD$1005:$AU$1005,1,MATCH(COLUMNS($AD$1006:AR1006),$AD$1006:$AU$1006,0))&gt;=100000), " ",IF(INDEX($AD$2:$AU$1001,MATCH(ROWS($W$2:W716),$W$2:$W$1001,0),MATCH(COLUMNS($AD$1006:AR1006),$AD$1006:$AU$1006,0)), HYPERLINK("#",""), HYPERLINK(CONCATENATE("#metadata!", ADDRESS(INDEX($Y$2:$Y$1001,MATCH(ROWS($W$2:W716),$W$2:$W$1001,0),0), INDEX($AD$1004:$AU$1004,1,MATCH(COLUMNS($AD$1006:AR1006),$AD$1006:$AU$1006,0)))),"Fix")))</f>
        <v xml:space="preserve"> </v>
      </c>
      <c r="Q716" s="4" t="str">
        <f ca="1">IF(OR(INDEX($X$2:$X$1001,MATCH(ROWS($W$2:W716),$W$2:$W$1001,0),1)&gt;=100000,INDEX($AD$1005:$AU$1005,1,MATCH(COLUMNS($AD$1006:AS1006),$AD$1006:$AU$1006,0))&gt;=100000), " ",IF(INDEX($AD$2:$AU$1001,MATCH(ROWS($W$2:W716),$W$2:$W$1001,0),MATCH(COLUMNS($AD$1006:AS1006),$AD$1006:$AU$1006,0)), HYPERLINK("#",""), HYPERLINK(CONCATENATE("#metadata!", ADDRESS(INDEX($Y$2:$Y$1001,MATCH(ROWS($W$2:W716),$W$2:$W$1001,0),0), INDEX($AD$1004:$AU$1004,1,MATCH(COLUMNS($AD$1006:AS1006),$AD$1006:$AU$1006,0)))),"Fix")))</f>
        <v xml:space="preserve"> </v>
      </c>
      <c r="R716" s="4" t="str">
        <f ca="1">IF(OR(INDEX($X$2:$X$1001,MATCH(ROWS($W$2:W716),$W$2:$W$1001,0),1)&gt;=100000,INDEX($AD$1005:$AU$1005,1,MATCH(COLUMNS($AD$1006:AT1006),$AD$1006:$AU$1006,0))&gt;=100000), " ",IF(INDEX($AD$2:$AU$1001,MATCH(ROWS($W$2:W716),$W$2:$W$1001,0),MATCH(COLUMNS($AD$1006:AT1006),$AD$1006:$AU$1006,0)), HYPERLINK("#",""), HYPERLINK(CONCATENATE("#metadata!", ADDRESS(INDEX($Y$2:$Y$1001,MATCH(ROWS($W$2:W716),$W$2:$W$1001,0),0), INDEX($AD$1004:$AU$1004,1,MATCH(COLUMNS($AD$1006:AT1006),$AD$1006:$AU$1006,0)))),"Fix")))</f>
        <v xml:space="preserve"> </v>
      </c>
      <c r="S716" s="4" t="str">
        <f ca="1">IF(OR(INDEX($X$2:$X$1001,MATCH(ROWS($W$2:W716),$W$2:$W$1001,0),1)&gt;=100000,INDEX($AD$1005:$AU$1005,1,MATCH(COLUMNS($AD$1006:AU1006),$AD$1006:$AU$1006,0))&gt;=100000), " ",IF(INDEX($AD$2:$AU$1001,MATCH(ROWS($W$2:W716),$W$2:$W$1001,0),MATCH(COLUMNS($AD$1006:AU1006),$AD$1006:$AU$1006,0)), HYPERLINK("#",""), HYPERLINK(CONCATENATE("#metadata!", ADDRESS(INDEX($Y$2:$Y$1001,MATCH(ROWS($W$2:W716),$W$2:$W$1001,0),0), INDEX($AD$1004:$AU$1004,1,MATCH(COLUMNS($AD$1006:AU1006),$AD$1006:$AU$1006,0)))),"Fix")))</f>
        <v xml:space="preserve"> </v>
      </c>
      <c r="W716">
        <v>715</v>
      </c>
      <c r="X716">
        <v>100716</v>
      </c>
      <c r="Y716">
        <v>716</v>
      </c>
      <c r="Z716" t="b">
        <f t="shared" si="11"/>
        <v>1</v>
      </c>
      <c r="AA716" t="b">
        <f>COUNTBLANK(metadata!B716:S716)=COLUMNS(metadata!B716:S716)</f>
        <v>1</v>
      </c>
      <c r="AB716" t="str">
        <v/>
      </c>
      <c r="AD716" t="b">
        <f ca="1">AND(IF(metadata!B716="",FALSE,TRUE),COUNTIF(metadata!B:B, metadata!B716) = 1,NOT(ISERROR(SUMPRODUCT(SEARCH(MID(metadata!B716,ROW(INDIRECT("1:"&amp;LEN(metadata!B716))), 1),"0123456789abcdefghijklmnopqrstuvwxyzABCDEFGHIJKLMNOPQRSTUVWXYZ.")))))</f>
        <v>0</v>
      </c>
      <c r="AE716" t="b">
        <f>OR(AND(IF(metadata!C716="",FALSE,TRUE),OR(EXACT(metadata!C716,"not applicable"),EXACT(metadata!C716,"missing: not collected"),EXACT(metadata!C716,"missing: not provided"),EXACT(metadata!C716,"missing: restricted access"))),AND(IF(metadata!C716="",FALSE,ISNUMBER(VALUE(metadata!C716))),metadata!C716&gt;0))</f>
        <v>0</v>
      </c>
      <c r="AF716" t="b">
        <f>AND(IF(metadata!D716="",FALSE,TRUE),EXACT(metadata!D716,"missing: not provided"))</f>
        <v>0</v>
      </c>
      <c r="AG716" t="b">
        <f>AND(IF(metadata!E716="",FALSE,TRUE),EXACT(metadata!E716,"Host-associated"))</f>
        <v>0</v>
      </c>
      <c r="AH716" t="b">
        <f>AND(IF(metadata!F716="",FALSE,TRUE),OR(EXACT(metadata!F716,"Animal"),EXACT(metadata!F716,"Fungus"),EXACT(metadata!F716,"Plant")))</f>
        <v>0</v>
      </c>
      <c r="AI716" t="b">
        <f>AND(IF(metadata!G716="",FALSE,TRUE),OR(EXACT(metadata!G716,"Plant secretion"),EXACT(metadata!G716,"Plant rhizosphere"),EXACT(metadata!G716,"Plant surface"),EXACT(metadata!G716,"Plant corpus"),EXACT(metadata!G716,"Fungus surface"),EXACT(metadata!G716,"Fungus corpus"),EXACT(metadata!G716,"Animal surface"),EXACT(metadata!G716,"Animal proximal gut"),EXACT(metadata!G716,"Animal corpus"),EXACT(metadata!G716,"Animal distal gut"),EXACT(metadata!G716,"Animal secretion")))</f>
        <v>0</v>
      </c>
      <c r="AJ716" t="b">
        <f>OR(AND(IF(metadata!H716="",FALSE,TRUE),OR(EXACT(metadata!H716,"missing: not collected"),EXACT(metadata!H716,"missing: not provided"),EXACT(metadata!H716,"missing: restricted access"))),AND(IF(metadata!H716="",FALSE,TRUE),OR(EXACT(metadata!H716,"organism-associated habitat"),EXACT(metadata!H716,"plant-associated habitat"),EXACT(metadata!H716,"animal-associated habitat"),EXACT(metadata!H716,"insecta-associated habitat"),EXACT(metadata!H716,"mammalia-associated habitat"),EXACT(metadata!H716,"human-associated habitat"),EXACT(metadata!H716,"livestock-associated habitat"))))</f>
        <v>0</v>
      </c>
      <c r="AK716" t="b">
        <f>AND(IF(metadata!I716="",FALSE,TRUE),EXACT(metadata!I716,"host-associated"))</f>
        <v>0</v>
      </c>
      <c r="AL716" t="b">
        <f>OR(AND(IF(metadata!J716="",FALSE,TRUE),OR(EXACT(metadata!J716,"not applicable"),EXACT(metadata!J716,"missing: not collected"),EXACT(metadata!J716,"missing: not provided"),EXACT(metadata!J716,"missing: restricted access"))),AND(IF(metadata!J716="",FALSE,ISNUMBER(VALUE(metadata!J716))),metadata!J716&gt;0))</f>
        <v>0</v>
      </c>
      <c r="AM716" t="b">
        <f>AND(IF(metadata!K716="",FALSE,TRUE),EXACT(metadata!K716,"missing: not provided"))</f>
        <v>0</v>
      </c>
      <c r="AN716" t="b">
        <f>IF(metadata!L716="",FALSE,TRUE)</f>
        <v>0</v>
      </c>
      <c r="AO716" t="b">
        <f>IF(metadata!M716="",FALSE,TRUE)</f>
        <v>0</v>
      </c>
      <c r="AP716" t="b">
        <f>OR(AND(IF(metadata!N716="",FALSE,TRUE),OR(EXACT(metadata!N716,"not applicable"),EXACT(metadata!N716,"missing: not collected"),EXACT(metadata!N716,"missing: not provided"))),AND(IF(metadata!N716="",FALSE,IF(ISERROR(INT(metadata!N716)),FALSE,INT(metadata!N716)=metadata!N716)),metadata!N716&gt;0))</f>
        <v>0</v>
      </c>
      <c r="AQ716" t="b">
        <f>AND(IF(metadata!O716="",FALSE,TRUE),EXACT(metadata!O716,"Not applicable"))</f>
        <v>0</v>
      </c>
      <c r="AR716" t="b">
        <f>OR(AND(IF(metadata!P716="",FALSE,TRUE),OR(EXACT(metadata!P716,"not applicable"),EXACT(metadata!P716,"missing: not collected"),EXACT(metadata!P716,"missing: not provided"),EXACT(metadata!P716,"missing: restricted access"))),IF(metadata!P716="",FALSE,IF(ISERROR(INT(metadata!P716)),FALSE,INT(metadata!P716)=metadata!P716)))</f>
        <v>0</v>
      </c>
      <c r="AS716" t="b">
        <f>AND(IF(metadata!Q716="",FALSE,TRUE),EXACT(metadata!Q716,"Not applicable"))</f>
        <v>0</v>
      </c>
      <c r="AT716" t="b">
        <f>OR(AND(IF(metadata!R716="",FALSE,TRUE),OR(EXACT(metadata!R716,"not applicable"),EXACT(metadata!R716,"missing: not collected"),EXACT(metadata!R716,"missing: not provided"),EXACT(metadata!R716,"missing: restricted access"))),AND(IF(metadata!R716="",FALSE,ISNUMBER(VALUE(metadata!R716))),metadata!R716&gt;0))</f>
        <v>0</v>
      </c>
      <c r="AU716" t="b">
        <f>AND(IF(metadata!S716="",FALSE,TRUE),EXACT(metadata!S716,"missing: not provided"))</f>
        <v>0</v>
      </c>
    </row>
    <row r="717" spans="1:47" x14ac:dyDescent="0.2">
      <c r="A717" s="5" t="str">
        <f ca="1">IF(B717=" "," ",HYPERLINK(CONCATENATE("#metadata!",ADDRESS(INDEX($Y$2:$Y$1001,MATCH(ROWS($W$2:W717),$W$2:$W$1001,0),0),1)),INDEX($AB$2:$AB$1001,MATCH(ROWS($W$2:W717),$W$2:$W$1001,0),0)))</f>
        <v xml:space="preserve"> </v>
      </c>
      <c r="B717" s="4" t="str">
        <f ca="1">IF(OR(INDEX($X$2:$X$1001,MATCH(ROWS($W$2:W717),$W$2:$W$1001,0),1)&gt;=100000,INDEX($AD$1005:$AU$1005,1,MATCH(COLUMNS($AD$1006:AD1006),$AD$1006:$AU$1006,0))&gt;=100000), " ",IF(INDEX($AD$2:$AU$1001,MATCH(ROWS($W$2:W717),$W$2:$W$1001,0),MATCH(COLUMNS($AD$1006:AD1006),$AD$1006:$AU$1006,0)), HYPERLINK("#",""), HYPERLINK(CONCATENATE("#metadata!", ADDRESS(INDEX($Y$2:$Y$1001,MATCH(ROWS($W$2:W717),$W$2:$W$1001,0),0), INDEX($AD$1004:$AU$1004,1,MATCH(COLUMNS($AD$1006:AD1006),$AD$1006:$AU$1006,0)))),"Fix")))</f>
        <v xml:space="preserve"> </v>
      </c>
      <c r="C717" s="4" t="str">
        <f ca="1">IF(OR(INDEX($X$2:$X$1001,MATCH(ROWS($W$2:W717),$W$2:$W$1001,0),1)&gt;=100000,INDEX($AD$1005:$AU$1005,1,MATCH(COLUMNS($AD$1006:AE1006),$AD$1006:$AU$1006,0))&gt;=100000), " ",IF(INDEX($AD$2:$AU$1001,MATCH(ROWS($W$2:W717),$W$2:$W$1001,0),MATCH(COLUMNS($AD$1006:AE1006),$AD$1006:$AU$1006,0)), HYPERLINK("#",""), HYPERLINK(CONCATENATE("#metadata!", ADDRESS(INDEX($Y$2:$Y$1001,MATCH(ROWS($W$2:W717),$W$2:$W$1001,0),0), INDEX($AD$1004:$AU$1004,1,MATCH(COLUMNS($AD$1006:AE1006),$AD$1006:$AU$1006,0)))),"Fix")))</f>
        <v xml:space="preserve"> </v>
      </c>
      <c r="D717" s="4" t="str">
        <f ca="1">IF(OR(INDEX($X$2:$X$1001,MATCH(ROWS($W$2:W717),$W$2:$W$1001,0),1)&gt;=100000,INDEX($AD$1005:$AU$1005,1,MATCH(COLUMNS($AD$1006:AF1006),$AD$1006:$AU$1006,0))&gt;=100000), " ",IF(INDEX($AD$2:$AU$1001,MATCH(ROWS($W$2:W717),$W$2:$W$1001,0),MATCH(COLUMNS($AD$1006:AF1006),$AD$1006:$AU$1006,0)), HYPERLINK("#",""), HYPERLINK(CONCATENATE("#metadata!", ADDRESS(INDEX($Y$2:$Y$1001,MATCH(ROWS($W$2:W717),$W$2:$W$1001,0),0), INDEX($AD$1004:$AU$1004,1,MATCH(COLUMNS($AD$1006:AF1006),$AD$1006:$AU$1006,0)))),"Fix")))</f>
        <v xml:space="preserve"> </v>
      </c>
      <c r="E717" s="4" t="str">
        <f ca="1">IF(OR(INDEX($X$2:$X$1001,MATCH(ROWS($W$2:W717),$W$2:$W$1001,0),1)&gt;=100000,INDEX($AD$1005:$AU$1005,1,MATCH(COLUMNS($AD$1006:AG1006),$AD$1006:$AU$1006,0))&gt;=100000), " ",IF(INDEX($AD$2:$AU$1001,MATCH(ROWS($W$2:W717),$W$2:$W$1001,0),MATCH(COLUMNS($AD$1006:AG1006),$AD$1006:$AU$1006,0)), HYPERLINK("#",""), HYPERLINK(CONCATENATE("#metadata!", ADDRESS(INDEX($Y$2:$Y$1001,MATCH(ROWS($W$2:W717),$W$2:$W$1001,0),0), INDEX($AD$1004:$AU$1004,1,MATCH(COLUMNS($AD$1006:AG1006),$AD$1006:$AU$1006,0)))),"Fix")))</f>
        <v xml:space="preserve"> </v>
      </c>
      <c r="F717" s="4" t="str">
        <f ca="1">IF(OR(INDEX($X$2:$X$1001,MATCH(ROWS($W$2:W717),$W$2:$W$1001,0),1)&gt;=100000,INDEX($AD$1005:$AU$1005,1,MATCH(COLUMNS($AD$1006:AH1006),$AD$1006:$AU$1006,0))&gt;=100000), " ",IF(INDEX($AD$2:$AU$1001,MATCH(ROWS($W$2:W717),$W$2:$W$1001,0),MATCH(COLUMNS($AD$1006:AH1006),$AD$1006:$AU$1006,0)), HYPERLINK("#",""), HYPERLINK(CONCATENATE("#metadata!", ADDRESS(INDEX($Y$2:$Y$1001,MATCH(ROWS($W$2:W717),$W$2:$W$1001,0),0), INDEX($AD$1004:$AU$1004,1,MATCH(COLUMNS($AD$1006:AH1006),$AD$1006:$AU$1006,0)))),"Fix")))</f>
        <v xml:space="preserve"> </v>
      </c>
      <c r="G717" s="4" t="str">
        <f ca="1">IF(OR(INDEX($X$2:$X$1001,MATCH(ROWS($W$2:W717),$W$2:$W$1001,0),1)&gt;=100000,INDEX($AD$1005:$AU$1005,1,MATCH(COLUMNS($AD$1006:AI1006),$AD$1006:$AU$1006,0))&gt;=100000), " ",IF(INDEX($AD$2:$AU$1001,MATCH(ROWS($W$2:W717),$W$2:$W$1001,0),MATCH(COLUMNS($AD$1006:AI1006),$AD$1006:$AU$1006,0)), HYPERLINK("#",""), HYPERLINK(CONCATENATE("#metadata!", ADDRESS(INDEX($Y$2:$Y$1001,MATCH(ROWS($W$2:W717),$W$2:$W$1001,0),0), INDEX($AD$1004:$AU$1004,1,MATCH(COLUMNS($AD$1006:AI1006),$AD$1006:$AU$1006,0)))),"Fix")))</f>
        <v xml:space="preserve"> </v>
      </c>
      <c r="H717" s="4" t="str">
        <f ca="1">IF(OR(INDEX($X$2:$X$1001,MATCH(ROWS($W$2:W717),$W$2:$W$1001,0),1)&gt;=100000,INDEX($AD$1005:$AU$1005,1,MATCH(COLUMNS($AD$1006:AJ1006),$AD$1006:$AU$1006,0))&gt;=100000), " ",IF(INDEX($AD$2:$AU$1001,MATCH(ROWS($W$2:W717),$W$2:$W$1001,0),MATCH(COLUMNS($AD$1006:AJ1006),$AD$1006:$AU$1006,0)), HYPERLINK("#",""), HYPERLINK(CONCATENATE("#metadata!", ADDRESS(INDEX($Y$2:$Y$1001,MATCH(ROWS($W$2:W717),$W$2:$W$1001,0),0), INDEX($AD$1004:$AU$1004,1,MATCH(COLUMNS($AD$1006:AJ1006),$AD$1006:$AU$1006,0)))),"Fix")))</f>
        <v xml:space="preserve"> </v>
      </c>
      <c r="I717" s="4" t="str">
        <f ca="1">IF(OR(INDEX($X$2:$X$1001,MATCH(ROWS($W$2:W717),$W$2:$W$1001,0),1)&gt;=100000,INDEX($AD$1005:$AU$1005,1,MATCH(COLUMNS($AD$1006:AK1006),$AD$1006:$AU$1006,0))&gt;=100000), " ",IF(INDEX($AD$2:$AU$1001,MATCH(ROWS($W$2:W717),$W$2:$W$1001,0),MATCH(COLUMNS($AD$1006:AK1006),$AD$1006:$AU$1006,0)), HYPERLINK("#",""), HYPERLINK(CONCATENATE("#metadata!", ADDRESS(INDEX($Y$2:$Y$1001,MATCH(ROWS($W$2:W717),$W$2:$W$1001,0),0), INDEX($AD$1004:$AU$1004,1,MATCH(COLUMNS($AD$1006:AK1006),$AD$1006:$AU$1006,0)))),"Fix")))</f>
        <v xml:space="preserve"> </v>
      </c>
      <c r="J717" s="4" t="str">
        <f ca="1">IF(OR(INDEX($X$2:$X$1001,MATCH(ROWS($W$2:W717),$W$2:$W$1001,0),1)&gt;=100000,INDEX($AD$1005:$AU$1005,1,MATCH(COLUMNS($AD$1006:AL1006),$AD$1006:$AU$1006,0))&gt;=100000), " ",IF(INDEX($AD$2:$AU$1001,MATCH(ROWS($W$2:W717),$W$2:$W$1001,0),MATCH(COLUMNS($AD$1006:AL1006),$AD$1006:$AU$1006,0)), HYPERLINK("#",""), HYPERLINK(CONCATENATE("#metadata!", ADDRESS(INDEX($Y$2:$Y$1001,MATCH(ROWS($W$2:W717),$W$2:$W$1001,0),0), INDEX($AD$1004:$AU$1004,1,MATCH(COLUMNS($AD$1006:AL1006),$AD$1006:$AU$1006,0)))),"Fix")))</f>
        <v xml:space="preserve"> </v>
      </c>
      <c r="K717" s="4" t="str">
        <f ca="1">IF(OR(INDEX($X$2:$X$1001,MATCH(ROWS($W$2:W717),$W$2:$W$1001,0),1)&gt;=100000,INDEX($AD$1005:$AU$1005,1,MATCH(COLUMNS($AD$1006:AM1006),$AD$1006:$AU$1006,0))&gt;=100000), " ",IF(INDEX($AD$2:$AU$1001,MATCH(ROWS($W$2:W717),$W$2:$W$1001,0),MATCH(COLUMNS($AD$1006:AM1006),$AD$1006:$AU$1006,0)), HYPERLINK("#",""), HYPERLINK(CONCATENATE("#metadata!", ADDRESS(INDEX($Y$2:$Y$1001,MATCH(ROWS($W$2:W717),$W$2:$W$1001,0),0), INDEX($AD$1004:$AU$1004,1,MATCH(COLUMNS($AD$1006:AM1006),$AD$1006:$AU$1006,0)))),"Fix")))</f>
        <v xml:space="preserve"> </v>
      </c>
      <c r="L717" s="4" t="str">
        <f ca="1">IF(OR(INDEX($X$2:$X$1001,MATCH(ROWS($W$2:W717),$W$2:$W$1001,0),1)&gt;=100000,INDEX($AD$1005:$AU$1005,1,MATCH(COLUMNS($AD$1006:AN1006),$AD$1006:$AU$1006,0))&gt;=100000), " ",IF(INDEX($AD$2:$AU$1001,MATCH(ROWS($W$2:W717),$W$2:$W$1001,0),MATCH(COLUMNS($AD$1006:AN1006),$AD$1006:$AU$1006,0)), HYPERLINK("#",""), HYPERLINK(CONCATENATE("#metadata!", ADDRESS(INDEX($Y$2:$Y$1001,MATCH(ROWS($W$2:W717),$W$2:$W$1001,0),0), INDEX($AD$1004:$AU$1004,1,MATCH(COLUMNS($AD$1006:AN1006),$AD$1006:$AU$1006,0)))),"Fix")))</f>
        <v xml:space="preserve"> </v>
      </c>
      <c r="M717" s="4" t="str">
        <f ca="1">IF(OR(INDEX($X$2:$X$1001,MATCH(ROWS($W$2:W717),$W$2:$W$1001,0),1)&gt;=100000,INDEX($AD$1005:$AU$1005,1,MATCH(COLUMNS($AD$1006:AO1006),$AD$1006:$AU$1006,0))&gt;=100000), " ",IF(INDEX($AD$2:$AU$1001,MATCH(ROWS($W$2:W717),$W$2:$W$1001,0),MATCH(COLUMNS($AD$1006:AO1006),$AD$1006:$AU$1006,0)), HYPERLINK("#",""), HYPERLINK(CONCATENATE("#metadata!", ADDRESS(INDEX($Y$2:$Y$1001,MATCH(ROWS($W$2:W717),$W$2:$W$1001,0),0), INDEX($AD$1004:$AU$1004,1,MATCH(COLUMNS($AD$1006:AO1006),$AD$1006:$AU$1006,0)))),"Fix")))</f>
        <v xml:space="preserve"> </v>
      </c>
      <c r="N717" s="4" t="str">
        <f ca="1">IF(OR(INDEX($X$2:$X$1001,MATCH(ROWS($W$2:W717),$W$2:$W$1001,0),1)&gt;=100000,INDEX($AD$1005:$AU$1005,1,MATCH(COLUMNS($AD$1006:AP1006),$AD$1006:$AU$1006,0))&gt;=100000), " ",IF(INDEX($AD$2:$AU$1001,MATCH(ROWS($W$2:W717),$W$2:$W$1001,0),MATCH(COLUMNS($AD$1006:AP1006),$AD$1006:$AU$1006,0)), HYPERLINK("#",""), HYPERLINK(CONCATENATE("#metadata!", ADDRESS(INDEX($Y$2:$Y$1001,MATCH(ROWS($W$2:W717),$W$2:$W$1001,0),0), INDEX($AD$1004:$AU$1004,1,MATCH(COLUMNS($AD$1006:AP1006),$AD$1006:$AU$1006,0)))),"Fix")))</f>
        <v xml:space="preserve"> </v>
      </c>
      <c r="O717" s="4" t="str">
        <f ca="1">IF(OR(INDEX($X$2:$X$1001,MATCH(ROWS($W$2:W717),$W$2:$W$1001,0),1)&gt;=100000,INDEX($AD$1005:$AU$1005,1,MATCH(COLUMNS($AD$1006:AQ1006),$AD$1006:$AU$1006,0))&gt;=100000), " ",IF(INDEX($AD$2:$AU$1001,MATCH(ROWS($W$2:W717),$W$2:$W$1001,0),MATCH(COLUMNS($AD$1006:AQ1006),$AD$1006:$AU$1006,0)), HYPERLINK("#",""), HYPERLINK(CONCATENATE("#metadata!", ADDRESS(INDEX($Y$2:$Y$1001,MATCH(ROWS($W$2:W717),$W$2:$W$1001,0),0), INDEX($AD$1004:$AU$1004,1,MATCH(COLUMNS($AD$1006:AQ1006),$AD$1006:$AU$1006,0)))),"Fix")))</f>
        <v xml:space="preserve"> </v>
      </c>
      <c r="P717" s="4" t="str">
        <f ca="1">IF(OR(INDEX($X$2:$X$1001,MATCH(ROWS($W$2:W717),$W$2:$W$1001,0),1)&gt;=100000,INDEX($AD$1005:$AU$1005,1,MATCH(COLUMNS($AD$1006:AR1006),$AD$1006:$AU$1006,0))&gt;=100000), " ",IF(INDEX($AD$2:$AU$1001,MATCH(ROWS($W$2:W717),$W$2:$W$1001,0),MATCH(COLUMNS($AD$1006:AR1006),$AD$1006:$AU$1006,0)), HYPERLINK("#",""), HYPERLINK(CONCATENATE("#metadata!", ADDRESS(INDEX($Y$2:$Y$1001,MATCH(ROWS($W$2:W717),$W$2:$W$1001,0),0), INDEX($AD$1004:$AU$1004,1,MATCH(COLUMNS($AD$1006:AR1006),$AD$1006:$AU$1006,0)))),"Fix")))</f>
        <v xml:space="preserve"> </v>
      </c>
      <c r="Q717" s="4" t="str">
        <f ca="1">IF(OR(INDEX($X$2:$X$1001,MATCH(ROWS($W$2:W717),$W$2:$W$1001,0),1)&gt;=100000,INDEX($AD$1005:$AU$1005,1,MATCH(COLUMNS($AD$1006:AS1006),$AD$1006:$AU$1006,0))&gt;=100000), " ",IF(INDEX($AD$2:$AU$1001,MATCH(ROWS($W$2:W717),$W$2:$W$1001,0),MATCH(COLUMNS($AD$1006:AS1006),$AD$1006:$AU$1006,0)), HYPERLINK("#",""), HYPERLINK(CONCATENATE("#metadata!", ADDRESS(INDEX($Y$2:$Y$1001,MATCH(ROWS($W$2:W717),$W$2:$W$1001,0),0), INDEX($AD$1004:$AU$1004,1,MATCH(COLUMNS($AD$1006:AS1006),$AD$1006:$AU$1006,0)))),"Fix")))</f>
        <v xml:space="preserve"> </v>
      </c>
      <c r="R717" s="4" t="str">
        <f ca="1">IF(OR(INDEX($X$2:$X$1001,MATCH(ROWS($W$2:W717),$W$2:$W$1001,0),1)&gt;=100000,INDEX($AD$1005:$AU$1005,1,MATCH(COLUMNS($AD$1006:AT1006),$AD$1006:$AU$1006,0))&gt;=100000), " ",IF(INDEX($AD$2:$AU$1001,MATCH(ROWS($W$2:W717),$W$2:$W$1001,0),MATCH(COLUMNS($AD$1006:AT1006),$AD$1006:$AU$1006,0)), HYPERLINK("#",""), HYPERLINK(CONCATENATE("#metadata!", ADDRESS(INDEX($Y$2:$Y$1001,MATCH(ROWS($W$2:W717),$W$2:$W$1001,0),0), INDEX($AD$1004:$AU$1004,1,MATCH(COLUMNS($AD$1006:AT1006),$AD$1006:$AU$1006,0)))),"Fix")))</f>
        <v xml:space="preserve"> </v>
      </c>
      <c r="S717" s="4" t="str">
        <f ca="1">IF(OR(INDEX($X$2:$X$1001,MATCH(ROWS($W$2:W717),$W$2:$W$1001,0),1)&gt;=100000,INDEX($AD$1005:$AU$1005,1,MATCH(COLUMNS($AD$1006:AU1006),$AD$1006:$AU$1006,0))&gt;=100000), " ",IF(INDEX($AD$2:$AU$1001,MATCH(ROWS($W$2:W717),$W$2:$W$1001,0),MATCH(COLUMNS($AD$1006:AU1006),$AD$1006:$AU$1006,0)), HYPERLINK("#",""), HYPERLINK(CONCATENATE("#metadata!", ADDRESS(INDEX($Y$2:$Y$1001,MATCH(ROWS($W$2:W717),$W$2:$W$1001,0),0), INDEX($AD$1004:$AU$1004,1,MATCH(COLUMNS($AD$1006:AU1006),$AD$1006:$AU$1006,0)))),"Fix")))</f>
        <v xml:space="preserve"> </v>
      </c>
      <c r="W717">
        <v>716</v>
      </c>
      <c r="X717">
        <v>100717</v>
      </c>
      <c r="Y717">
        <v>717</v>
      </c>
      <c r="Z717" t="b">
        <f t="shared" si="11"/>
        <v>1</v>
      </c>
      <c r="AA717" t="b">
        <f>COUNTBLANK(metadata!B717:S717)=COLUMNS(metadata!B717:S717)</f>
        <v>1</v>
      </c>
      <c r="AB717" t="str">
        <v/>
      </c>
      <c r="AD717" t="b">
        <f ca="1">AND(IF(metadata!B717="",FALSE,TRUE),COUNTIF(metadata!B:B, metadata!B717) = 1,NOT(ISERROR(SUMPRODUCT(SEARCH(MID(metadata!B717,ROW(INDIRECT("1:"&amp;LEN(metadata!B717))), 1),"0123456789abcdefghijklmnopqrstuvwxyzABCDEFGHIJKLMNOPQRSTUVWXYZ.")))))</f>
        <v>0</v>
      </c>
      <c r="AE717" t="b">
        <f>OR(AND(IF(metadata!C717="",FALSE,TRUE),OR(EXACT(metadata!C717,"not applicable"),EXACT(metadata!C717,"missing: not collected"),EXACT(metadata!C717,"missing: not provided"),EXACT(metadata!C717,"missing: restricted access"))),AND(IF(metadata!C717="",FALSE,ISNUMBER(VALUE(metadata!C717))),metadata!C717&gt;0))</f>
        <v>0</v>
      </c>
      <c r="AF717" t="b">
        <f>AND(IF(metadata!D717="",FALSE,TRUE),EXACT(metadata!D717,"missing: not provided"))</f>
        <v>0</v>
      </c>
      <c r="AG717" t="b">
        <f>AND(IF(metadata!E717="",FALSE,TRUE),EXACT(metadata!E717,"Host-associated"))</f>
        <v>0</v>
      </c>
      <c r="AH717" t="b">
        <f>AND(IF(metadata!F717="",FALSE,TRUE),OR(EXACT(metadata!F717,"Animal"),EXACT(metadata!F717,"Fungus"),EXACT(metadata!F717,"Plant")))</f>
        <v>0</v>
      </c>
      <c r="AI717" t="b">
        <f>AND(IF(metadata!G717="",FALSE,TRUE),OR(EXACT(metadata!G717,"Plant secretion"),EXACT(metadata!G717,"Plant rhizosphere"),EXACT(metadata!G717,"Plant surface"),EXACT(metadata!G717,"Plant corpus"),EXACT(metadata!G717,"Fungus surface"),EXACT(metadata!G717,"Fungus corpus"),EXACT(metadata!G717,"Animal surface"),EXACT(metadata!G717,"Animal proximal gut"),EXACT(metadata!G717,"Animal corpus"),EXACT(metadata!G717,"Animal distal gut"),EXACT(metadata!G717,"Animal secretion")))</f>
        <v>0</v>
      </c>
      <c r="AJ717" t="b">
        <f>OR(AND(IF(metadata!H717="",FALSE,TRUE),OR(EXACT(metadata!H717,"missing: not collected"),EXACT(metadata!H717,"missing: not provided"),EXACT(metadata!H717,"missing: restricted access"))),AND(IF(metadata!H717="",FALSE,TRUE),OR(EXACT(metadata!H717,"organism-associated habitat"),EXACT(metadata!H717,"plant-associated habitat"),EXACT(metadata!H717,"animal-associated habitat"),EXACT(metadata!H717,"insecta-associated habitat"),EXACT(metadata!H717,"mammalia-associated habitat"),EXACT(metadata!H717,"human-associated habitat"),EXACT(metadata!H717,"livestock-associated habitat"))))</f>
        <v>0</v>
      </c>
      <c r="AK717" t="b">
        <f>AND(IF(metadata!I717="",FALSE,TRUE),EXACT(metadata!I717,"host-associated"))</f>
        <v>0</v>
      </c>
      <c r="AL717" t="b">
        <f>OR(AND(IF(metadata!J717="",FALSE,TRUE),OR(EXACT(metadata!J717,"not applicable"),EXACT(metadata!J717,"missing: not collected"),EXACT(metadata!J717,"missing: not provided"),EXACT(metadata!J717,"missing: restricted access"))),AND(IF(metadata!J717="",FALSE,ISNUMBER(VALUE(metadata!J717))),metadata!J717&gt;0))</f>
        <v>0</v>
      </c>
      <c r="AM717" t="b">
        <f>AND(IF(metadata!K717="",FALSE,TRUE),EXACT(metadata!K717,"missing: not provided"))</f>
        <v>0</v>
      </c>
      <c r="AN717" t="b">
        <f>IF(metadata!L717="",FALSE,TRUE)</f>
        <v>0</v>
      </c>
      <c r="AO717" t="b">
        <f>IF(metadata!M717="",FALSE,TRUE)</f>
        <v>0</v>
      </c>
      <c r="AP717" t="b">
        <f>OR(AND(IF(metadata!N717="",FALSE,TRUE),OR(EXACT(metadata!N717,"not applicable"),EXACT(metadata!N717,"missing: not collected"),EXACT(metadata!N717,"missing: not provided"))),AND(IF(metadata!N717="",FALSE,IF(ISERROR(INT(metadata!N717)),FALSE,INT(metadata!N717)=metadata!N717)),metadata!N717&gt;0))</f>
        <v>0</v>
      </c>
      <c r="AQ717" t="b">
        <f>AND(IF(metadata!O717="",FALSE,TRUE),EXACT(metadata!O717,"Not applicable"))</f>
        <v>0</v>
      </c>
      <c r="AR717" t="b">
        <f>OR(AND(IF(metadata!P717="",FALSE,TRUE),OR(EXACT(metadata!P717,"not applicable"),EXACT(metadata!P717,"missing: not collected"),EXACT(metadata!P717,"missing: not provided"),EXACT(metadata!P717,"missing: restricted access"))),IF(metadata!P717="",FALSE,IF(ISERROR(INT(metadata!P717)),FALSE,INT(metadata!P717)=metadata!P717)))</f>
        <v>0</v>
      </c>
      <c r="AS717" t="b">
        <f>AND(IF(metadata!Q717="",FALSE,TRUE),EXACT(metadata!Q717,"Not applicable"))</f>
        <v>0</v>
      </c>
      <c r="AT717" t="b">
        <f>OR(AND(IF(metadata!R717="",FALSE,TRUE),OR(EXACT(metadata!R717,"not applicable"),EXACT(metadata!R717,"missing: not collected"),EXACT(metadata!R717,"missing: not provided"),EXACT(metadata!R717,"missing: restricted access"))),AND(IF(metadata!R717="",FALSE,ISNUMBER(VALUE(metadata!R717))),metadata!R717&gt;0))</f>
        <v>0</v>
      </c>
      <c r="AU717" t="b">
        <f>AND(IF(metadata!S717="",FALSE,TRUE),EXACT(metadata!S717,"missing: not provided"))</f>
        <v>0</v>
      </c>
    </row>
    <row r="718" spans="1:47" x14ac:dyDescent="0.2">
      <c r="A718" s="5" t="str">
        <f ca="1">IF(B718=" "," ",HYPERLINK(CONCATENATE("#metadata!",ADDRESS(INDEX($Y$2:$Y$1001,MATCH(ROWS($W$2:W718),$W$2:$W$1001,0),0),1)),INDEX($AB$2:$AB$1001,MATCH(ROWS($W$2:W718),$W$2:$W$1001,0),0)))</f>
        <v xml:space="preserve"> </v>
      </c>
      <c r="B718" s="4" t="str">
        <f ca="1">IF(OR(INDEX($X$2:$X$1001,MATCH(ROWS($W$2:W718),$W$2:$W$1001,0),1)&gt;=100000,INDEX($AD$1005:$AU$1005,1,MATCH(COLUMNS($AD$1006:AD1006),$AD$1006:$AU$1006,0))&gt;=100000), " ",IF(INDEX($AD$2:$AU$1001,MATCH(ROWS($W$2:W718),$W$2:$W$1001,0),MATCH(COLUMNS($AD$1006:AD1006),$AD$1006:$AU$1006,0)), HYPERLINK("#",""), HYPERLINK(CONCATENATE("#metadata!", ADDRESS(INDEX($Y$2:$Y$1001,MATCH(ROWS($W$2:W718),$W$2:$W$1001,0),0), INDEX($AD$1004:$AU$1004,1,MATCH(COLUMNS($AD$1006:AD1006),$AD$1006:$AU$1006,0)))),"Fix")))</f>
        <v xml:space="preserve"> </v>
      </c>
      <c r="C718" s="4" t="str">
        <f ca="1">IF(OR(INDEX($X$2:$X$1001,MATCH(ROWS($W$2:W718),$W$2:$W$1001,0),1)&gt;=100000,INDEX($AD$1005:$AU$1005,1,MATCH(COLUMNS($AD$1006:AE1006),$AD$1006:$AU$1006,0))&gt;=100000), " ",IF(INDEX($AD$2:$AU$1001,MATCH(ROWS($W$2:W718),$W$2:$W$1001,0),MATCH(COLUMNS($AD$1006:AE1006),$AD$1006:$AU$1006,0)), HYPERLINK("#",""), HYPERLINK(CONCATENATE("#metadata!", ADDRESS(INDEX($Y$2:$Y$1001,MATCH(ROWS($W$2:W718),$W$2:$W$1001,0),0), INDEX($AD$1004:$AU$1004,1,MATCH(COLUMNS($AD$1006:AE1006),$AD$1006:$AU$1006,0)))),"Fix")))</f>
        <v xml:space="preserve"> </v>
      </c>
      <c r="D718" s="4" t="str">
        <f ca="1">IF(OR(INDEX($X$2:$X$1001,MATCH(ROWS($W$2:W718),$W$2:$W$1001,0),1)&gt;=100000,INDEX($AD$1005:$AU$1005,1,MATCH(COLUMNS($AD$1006:AF1006),$AD$1006:$AU$1006,0))&gt;=100000), " ",IF(INDEX($AD$2:$AU$1001,MATCH(ROWS($W$2:W718),$W$2:$W$1001,0),MATCH(COLUMNS($AD$1006:AF1006),$AD$1006:$AU$1006,0)), HYPERLINK("#",""), HYPERLINK(CONCATENATE("#metadata!", ADDRESS(INDEX($Y$2:$Y$1001,MATCH(ROWS($W$2:W718),$W$2:$W$1001,0),0), INDEX($AD$1004:$AU$1004,1,MATCH(COLUMNS($AD$1006:AF1006),$AD$1006:$AU$1006,0)))),"Fix")))</f>
        <v xml:space="preserve"> </v>
      </c>
      <c r="E718" s="4" t="str">
        <f ca="1">IF(OR(INDEX($X$2:$X$1001,MATCH(ROWS($W$2:W718),$W$2:$W$1001,0),1)&gt;=100000,INDEX($AD$1005:$AU$1005,1,MATCH(COLUMNS($AD$1006:AG1006),$AD$1006:$AU$1006,0))&gt;=100000), " ",IF(INDEX($AD$2:$AU$1001,MATCH(ROWS($W$2:W718),$W$2:$W$1001,0),MATCH(COLUMNS($AD$1006:AG1006),$AD$1006:$AU$1006,0)), HYPERLINK("#",""), HYPERLINK(CONCATENATE("#metadata!", ADDRESS(INDEX($Y$2:$Y$1001,MATCH(ROWS($W$2:W718),$W$2:$W$1001,0),0), INDEX($AD$1004:$AU$1004,1,MATCH(COLUMNS($AD$1006:AG1006),$AD$1006:$AU$1006,0)))),"Fix")))</f>
        <v xml:space="preserve"> </v>
      </c>
      <c r="F718" s="4" t="str">
        <f ca="1">IF(OR(INDEX($X$2:$X$1001,MATCH(ROWS($W$2:W718),$W$2:$W$1001,0),1)&gt;=100000,INDEX($AD$1005:$AU$1005,1,MATCH(COLUMNS($AD$1006:AH1006),$AD$1006:$AU$1006,0))&gt;=100000), " ",IF(INDEX($AD$2:$AU$1001,MATCH(ROWS($W$2:W718),$W$2:$W$1001,0),MATCH(COLUMNS($AD$1006:AH1006),$AD$1006:$AU$1006,0)), HYPERLINK("#",""), HYPERLINK(CONCATENATE("#metadata!", ADDRESS(INDEX($Y$2:$Y$1001,MATCH(ROWS($W$2:W718),$W$2:$W$1001,0),0), INDEX($AD$1004:$AU$1004,1,MATCH(COLUMNS($AD$1006:AH1006),$AD$1006:$AU$1006,0)))),"Fix")))</f>
        <v xml:space="preserve"> </v>
      </c>
      <c r="G718" s="4" t="str">
        <f ca="1">IF(OR(INDEX($X$2:$X$1001,MATCH(ROWS($W$2:W718),$W$2:$W$1001,0),1)&gt;=100000,INDEX($AD$1005:$AU$1005,1,MATCH(COLUMNS($AD$1006:AI1006),$AD$1006:$AU$1006,0))&gt;=100000), " ",IF(INDEX($AD$2:$AU$1001,MATCH(ROWS($W$2:W718),$W$2:$W$1001,0),MATCH(COLUMNS($AD$1006:AI1006),$AD$1006:$AU$1006,0)), HYPERLINK("#",""), HYPERLINK(CONCATENATE("#metadata!", ADDRESS(INDEX($Y$2:$Y$1001,MATCH(ROWS($W$2:W718),$W$2:$W$1001,0),0), INDEX($AD$1004:$AU$1004,1,MATCH(COLUMNS($AD$1006:AI1006),$AD$1006:$AU$1006,0)))),"Fix")))</f>
        <v xml:space="preserve"> </v>
      </c>
      <c r="H718" s="4" t="str">
        <f ca="1">IF(OR(INDEX($X$2:$X$1001,MATCH(ROWS($W$2:W718),$W$2:$W$1001,0),1)&gt;=100000,INDEX($AD$1005:$AU$1005,1,MATCH(COLUMNS($AD$1006:AJ1006),$AD$1006:$AU$1006,0))&gt;=100000), " ",IF(INDEX($AD$2:$AU$1001,MATCH(ROWS($W$2:W718),$W$2:$W$1001,0),MATCH(COLUMNS($AD$1006:AJ1006),$AD$1006:$AU$1006,0)), HYPERLINK("#",""), HYPERLINK(CONCATENATE("#metadata!", ADDRESS(INDEX($Y$2:$Y$1001,MATCH(ROWS($W$2:W718),$W$2:$W$1001,0),0), INDEX($AD$1004:$AU$1004,1,MATCH(COLUMNS($AD$1006:AJ1006),$AD$1006:$AU$1006,0)))),"Fix")))</f>
        <v xml:space="preserve"> </v>
      </c>
      <c r="I718" s="4" t="str">
        <f ca="1">IF(OR(INDEX($X$2:$X$1001,MATCH(ROWS($W$2:W718),$W$2:$W$1001,0),1)&gt;=100000,INDEX($AD$1005:$AU$1005,1,MATCH(COLUMNS($AD$1006:AK1006),$AD$1006:$AU$1006,0))&gt;=100000), " ",IF(INDEX($AD$2:$AU$1001,MATCH(ROWS($W$2:W718),$W$2:$W$1001,0),MATCH(COLUMNS($AD$1006:AK1006),$AD$1006:$AU$1006,0)), HYPERLINK("#",""), HYPERLINK(CONCATENATE("#metadata!", ADDRESS(INDEX($Y$2:$Y$1001,MATCH(ROWS($W$2:W718),$W$2:$W$1001,0),0), INDEX($AD$1004:$AU$1004,1,MATCH(COLUMNS($AD$1006:AK1006),$AD$1006:$AU$1006,0)))),"Fix")))</f>
        <v xml:space="preserve"> </v>
      </c>
      <c r="J718" s="4" t="str">
        <f ca="1">IF(OR(INDEX($X$2:$X$1001,MATCH(ROWS($W$2:W718),$W$2:$W$1001,0),1)&gt;=100000,INDEX($AD$1005:$AU$1005,1,MATCH(COLUMNS($AD$1006:AL1006),$AD$1006:$AU$1006,0))&gt;=100000), " ",IF(INDEX($AD$2:$AU$1001,MATCH(ROWS($W$2:W718),$W$2:$W$1001,0),MATCH(COLUMNS($AD$1006:AL1006),$AD$1006:$AU$1006,0)), HYPERLINK("#",""), HYPERLINK(CONCATENATE("#metadata!", ADDRESS(INDEX($Y$2:$Y$1001,MATCH(ROWS($W$2:W718),$W$2:$W$1001,0),0), INDEX($AD$1004:$AU$1004,1,MATCH(COLUMNS($AD$1006:AL1006),$AD$1006:$AU$1006,0)))),"Fix")))</f>
        <v xml:space="preserve"> </v>
      </c>
      <c r="K718" s="4" t="str">
        <f ca="1">IF(OR(INDEX($X$2:$X$1001,MATCH(ROWS($W$2:W718),$W$2:$W$1001,0),1)&gt;=100000,INDEX($AD$1005:$AU$1005,1,MATCH(COLUMNS($AD$1006:AM1006),$AD$1006:$AU$1006,0))&gt;=100000), " ",IF(INDEX($AD$2:$AU$1001,MATCH(ROWS($W$2:W718),$W$2:$W$1001,0),MATCH(COLUMNS($AD$1006:AM1006),$AD$1006:$AU$1006,0)), HYPERLINK("#",""), HYPERLINK(CONCATENATE("#metadata!", ADDRESS(INDEX($Y$2:$Y$1001,MATCH(ROWS($W$2:W718),$W$2:$W$1001,0),0), INDEX($AD$1004:$AU$1004,1,MATCH(COLUMNS($AD$1006:AM1006),$AD$1006:$AU$1006,0)))),"Fix")))</f>
        <v xml:space="preserve"> </v>
      </c>
      <c r="L718" s="4" t="str">
        <f ca="1">IF(OR(INDEX($X$2:$X$1001,MATCH(ROWS($W$2:W718),$W$2:$W$1001,0),1)&gt;=100000,INDEX($AD$1005:$AU$1005,1,MATCH(COLUMNS($AD$1006:AN1006),$AD$1006:$AU$1006,0))&gt;=100000), " ",IF(INDEX($AD$2:$AU$1001,MATCH(ROWS($W$2:W718),$W$2:$W$1001,0),MATCH(COLUMNS($AD$1006:AN1006),$AD$1006:$AU$1006,0)), HYPERLINK("#",""), HYPERLINK(CONCATENATE("#metadata!", ADDRESS(INDEX($Y$2:$Y$1001,MATCH(ROWS($W$2:W718),$W$2:$W$1001,0),0), INDEX($AD$1004:$AU$1004,1,MATCH(COLUMNS($AD$1006:AN1006),$AD$1006:$AU$1006,0)))),"Fix")))</f>
        <v xml:space="preserve"> </v>
      </c>
      <c r="M718" s="4" t="str">
        <f ca="1">IF(OR(INDEX($X$2:$X$1001,MATCH(ROWS($W$2:W718),$W$2:$W$1001,0),1)&gt;=100000,INDEX($AD$1005:$AU$1005,1,MATCH(COLUMNS($AD$1006:AO1006),$AD$1006:$AU$1006,0))&gt;=100000), " ",IF(INDEX($AD$2:$AU$1001,MATCH(ROWS($W$2:W718),$W$2:$W$1001,0),MATCH(COLUMNS($AD$1006:AO1006),$AD$1006:$AU$1006,0)), HYPERLINK("#",""), HYPERLINK(CONCATENATE("#metadata!", ADDRESS(INDEX($Y$2:$Y$1001,MATCH(ROWS($W$2:W718),$W$2:$W$1001,0),0), INDEX($AD$1004:$AU$1004,1,MATCH(COLUMNS($AD$1006:AO1006),$AD$1006:$AU$1006,0)))),"Fix")))</f>
        <v xml:space="preserve"> </v>
      </c>
      <c r="N718" s="4" t="str">
        <f ca="1">IF(OR(INDEX($X$2:$X$1001,MATCH(ROWS($W$2:W718),$W$2:$W$1001,0),1)&gt;=100000,INDEX($AD$1005:$AU$1005,1,MATCH(COLUMNS($AD$1006:AP1006),$AD$1006:$AU$1006,0))&gt;=100000), " ",IF(INDEX($AD$2:$AU$1001,MATCH(ROWS($W$2:W718),$W$2:$W$1001,0),MATCH(COLUMNS($AD$1006:AP1006),$AD$1006:$AU$1006,0)), HYPERLINK("#",""), HYPERLINK(CONCATENATE("#metadata!", ADDRESS(INDEX($Y$2:$Y$1001,MATCH(ROWS($W$2:W718),$W$2:$W$1001,0),0), INDEX($AD$1004:$AU$1004,1,MATCH(COLUMNS($AD$1006:AP1006),$AD$1006:$AU$1006,0)))),"Fix")))</f>
        <v xml:space="preserve"> </v>
      </c>
      <c r="O718" s="4" t="str">
        <f ca="1">IF(OR(INDEX($X$2:$X$1001,MATCH(ROWS($W$2:W718),$W$2:$W$1001,0),1)&gt;=100000,INDEX($AD$1005:$AU$1005,1,MATCH(COLUMNS($AD$1006:AQ1006),$AD$1006:$AU$1006,0))&gt;=100000), " ",IF(INDEX($AD$2:$AU$1001,MATCH(ROWS($W$2:W718),$W$2:$W$1001,0),MATCH(COLUMNS($AD$1006:AQ1006),$AD$1006:$AU$1006,0)), HYPERLINK("#",""), HYPERLINK(CONCATENATE("#metadata!", ADDRESS(INDEX($Y$2:$Y$1001,MATCH(ROWS($W$2:W718),$W$2:$W$1001,0),0), INDEX($AD$1004:$AU$1004,1,MATCH(COLUMNS($AD$1006:AQ1006),$AD$1006:$AU$1006,0)))),"Fix")))</f>
        <v xml:space="preserve"> </v>
      </c>
      <c r="P718" s="4" t="str">
        <f ca="1">IF(OR(INDEX($X$2:$X$1001,MATCH(ROWS($W$2:W718),$W$2:$W$1001,0),1)&gt;=100000,INDEX($AD$1005:$AU$1005,1,MATCH(COLUMNS($AD$1006:AR1006),$AD$1006:$AU$1006,0))&gt;=100000), " ",IF(INDEX($AD$2:$AU$1001,MATCH(ROWS($W$2:W718),$W$2:$W$1001,0),MATCH(COLUMNS($AD$1006:AR1006),$AD$1006:$AU$1006,0)), HYPERLINK("#",""), HYPERLINK(CONCATENATE("#metadata!", ADDRESS(INDEX($Y$2:$Y$1001,MATCH(ROWS($W$2:W718),$W$2:$W$1001,0),0), INDEX($AD$1004:$AU$1004,1,MATCH(COLUMNS($AD$1006:AR1006),$AD$1006:$AU$1006,0)))),"Fix")))</f>
        <v xml:space="preserve"> </v>
      </c>
      <c r="Q718" s="4" t="str">
        <f ca="1">IF(OR(INDEX($X$2:$X$1001,MATCH(ROWS($W$2:W718),$W$2:$W$1001,0),1)&gt;=100000,INDEX($AD$1005:$AU$1005,1,MATCH(COLUMNS($AD$1006:AS1006),$AD$1006:$AU$1006,0))&gt;=100000), " ",IF(INDEX($AD$2:$AU$1001,MATCH(ROWS($W$2:W718),$W$2:$W$1001,0),MATCH(COLUMNS($AD$1006:AS1006),$AD$1006:$AU$1006,0)), HYPERLINK("#",""), HYPERLINK(CONCATENATE("#metadata!", ADDRESS(INDEX($Y$2:$Y$1001,MATCH(ROWS($W$2:W718),$W$2:$W$1001,0),0), INDEX($AD$1004:$AU$1004,1,MATCH(COLUMNS($AD$1006:AS1006),$AD$1006:$AU$1006,0)))),"Fix")))</f>
        <v xml:space="preserve"> </v>
      </c>
      <c r="R718" s="4" t="str">
        <f ca="1">IF(OR(INDEX($X$2:$X$1001,MATCH(ROWS($W$2:W718),$W$2:$W$1001,0),1)&gt;=100000,INDEX($AD$1005:$AU$1005,1,MATCH(COLUMNS($AD$1006:AT1006),$AD$1006:$AU$1006,0))&gt;=100000), " ",IF(INDEX($AD$2:$AU$1001,MATCH(ROWS($W$2:W718),$W$2:$W$1001,0),MATCH(COLUMNS($AD$1006:AT1006),$AD$1006:$AU$1006,0)), HYPERLINK("#",""), HYPERLINK(CONCATENATE("#metadata!", ADDRESS(INDEX($Y$2:$Y$1001,MATCH(ROWS($W$2:W718),$W$2:$W$1001,0),0), INDEX($AD$1004:$AU$1004,1,MATCH(COLUMNS($AD$1006:AT1006),$AD$1006:$AU$1006,0)))),"Fix")))</f>
        <v xml:space="preserve"> </v>
      </c>
      <c r="S718" s="4" t="str">
        <f ca="1">IF(OR(INDEX($X$2:$X$1001,MATCH(ROWS($W$2:W718),$W$2:$W$1001,0),1)&gt;=100000,INDEX($AD$1005:$AU$1005,1,MATCH(COLUMNS($AD$1006:AU1006),$AD$1006:$AU$1006,0))&gt;=100000), " ",IF(INDEX($AD$2:$AU$1001,MATCH(ROWS($W$2:W718),$W$2:$W$1001,0),MATCH(COLUMNS($AD$1006:AU1006),$AD$1006:$AU$1006,0)), HYPERLINK("#",""), HYPERLINK(CONCATENATE("#metadata!", ADDRESS(INDEX($Y$2:$Y$1001,MATCH(ROWS($W$2:W718),$W$2:$W$1001,0),0), INDEX($AD$1004:$AU$1004,1,MATCH(COLUMNS($AD$1006:AU1006),$AD$1006:$AU$1006,0)))),"Fix")))</f>
        <v xml:space="preserve"> </v>
      </c>
      <c r="W718">
        <v>717</v>
      </c>
      <c r="X718">
        <v>100718</v>
      </c>
      <c r="Y718">
        <v>718</v>
      </c>
      <c r="Z718" t="b">
        <f t="shared" si="11"/>
        <v>1</v>
      </c>
      <c r="AA718" t="b">
        <f>COUNTBLANK(metadata!B718:S718)=COLUMNS(metadata!B718:S718)</f>
        <v>1</v>
      </c>
      <c r="AB718" t="str">
        <v/>
      </c>
      <c r="AD718" t="b">
        <f ca="1">AND(IF(metadata!B718="",FALSE,TRUE),COUNTIF(metadata!B:B, metadata!B718) = 1,NOT(ISERROR(SUMPRODUCT(SEARCH(MID(metadata!B718,ROW(INDIRECT("1:"&amp;LEN(metadata!B718))), 1),"0123456789abcdefghijklmnopqrstuvwxyzABCDEFGHIJKLMNOPQRSTUVWXYZ.")))))</f>
        <v>0</v>
      </c>
      <c r="AE718" t="b">
        <f>OR(AND(IF(metadata!C718="",FALSE,TRUE),OR(EXACT(metadata!C718,"not applicable"),EXACT(metadata!C718,"missing: not collected"),EXACT(metadata!C718,"missing: not provided"),EXACT(metadata!C718,"missing: restricted access"))),AND(IF(metadata!C718="",FALSE,ISNUMBER(VALUE(metadata!C718))),metadata!C718&gt;0))</f>
        <v>0</v>
      </c>
      <c r="AF718" t="b">
        <f>AND(IF(metadata!D718="",FALSE,TRUE),EXACT(metadata!D718,"missing: not provided"))</f>
        <v>0</v>
      </c>
      <c r="AG718" t="b">
        <f>AND(IF(metadata!E718="",FALSE,TRUE),EXACT(metadata!E718,"Host-associated"))</f>
        <v>0</v>
      </c>
      <c r="AH718" t="b">
        <f>AND(IF(metadata!F718="",FALSE,TRUE),OR(EXACT(metadata!F718,"Animal"),EXACT(metadata!F718,"Fungus"),EXACT(metadata!F718,"Plant")))</f>
        <v>0</v>
      </c>
      <c r="AI718" t="b">
        <f>AND(IF(metadata!G718="",FALSE,TRUE),OR(EXACT(metadata!G718,"Plant secretion"),EXACT(metadata!G718,"Plant rhizosphere"),EXACT(metadata!G718,"Plant surface"),EXACT(metadata!G718,"Plant corpus"),EXACT(metadata!G718,"Fungus surface"),EXACT(metadata!G718,"Fungus corpus"),EXACT(metadata!G718,"Animal surface"),EXACT(metadata!G718,"Animal proximal gut"),EXACT(metadata!G718,"Animal corpus"),EXACT(metadata!G718,"Animal distal gut"),EXACT(metadata!G718,"Animal secretion")))</f>
        <v>0</v>
      </c>
      <c r="AJ718" t="b">
        <f>OR(AND(IF(metadata!H718="",FALSE,TRUE),OR(EXACT(metadata!H718,"missing: not collected"),EXACT(metadata!H718,"missing: not provided"),EXACT(metadata!H718,"missing: restricted access"))),AND(IF(metadata!H718="",FALSE,TRUE),OR(EXACT(metadata!H718,"organism-associated habitat"),EXACT(metadata!H718,"plant-associated habitat"),EXACT(metadata!H718,"animal-associated habitat"),EXACT(metadata!H718,"insecta-associated habitat"),EXACT(metadata!H718,"mammalia-associated habitat"),EXACT(metadata!H718,"human-associated habitat"),EXACT(metadata!H718,"livestock-associated habitat"))))</f>
        <v>0</v>
      </c>
      <c r="AK718" t="b">
        <f>AND(IF(metadata!I718="",FALSE,TRUE),EXACT(metadata!I718,"host-associated"))</f>
        <v>0</v>
      </c>
      <c r="AL718" t="b">
        <f>OR(AND(IF(metadata!J718="",FALSE,TRUE),OR(EXACT(metadata!J718,"not applicable"),EXACT(metadata!J718,"missing: not collected"),EXACT(metadata!J718,"missing: not provided"),EXACT(metadata!J718,"missing: restricted access"))),AND(IF(metadata!J718="",FALSE,ISNUMBER(VALUE(metadata!J718))),metadata!J718&gt;0))</f>
        <v>0</v>
      </c>
      <c r="AM718" t="b">
        <f>AND(IF(metadata!K718="",FALSE,TRUE),EXACT(metadata!K718,"missing: not provided"))</f>
        <v>0</v>
      </c>
      <c r="AN718" t="b">
        <f>IF(metadata!L718="",FALSE,TRUE)</f>
        <v>0</v>
      </c>
      <c r="AO718" t="b">
        <f>IF(metadata!M718="",FALSE,TRUE)</f>
        <v>0</v>
      </c>
      <c r="AP718" t="b">
        <f>OR(AND(IF(metadata!N718="",FALSE,TRUE),OR(EXACT(metadata!N718,"not applicable"),EXACT(metadata!N718,"missing: not collected"),EXACT(metadata!N718,"missing: not provided"))),AND(IF(metadata!N718="",FALSE,IF(ISERROR(INT(metadata!N718)),FALSE,INT(metadata!N718)=metadata!N718)),metadata!N718&gt;0))</f>
        <v>0</v>
      </c>
      <c r="AQ718" t="b">
        <f>AND(IF(metadata!O718="",FALSE,TRUE),EXACT(metadata!O718,"Not applicable"))</f>
        <v>0</v>
      </c>
      <c r="AR718" t="b">
        <f>OR(AND(IF(metadata!P718="",FALSE,TRUE),OR(EXACT(metadata!P718,"not applicable"),EXACT(metadata!P718,"missing: not collected"),EXACT(metadata!P718,"missing: not provided"),EXACT(metadata!P718,"missing: restricted access"))),IF(metadata!P718="",FALSE,IF(ISERROR(INT(metadata!P718)),FALSE,INT(metadata!P718)=metadata!P718)))</f>
        <v>0</v>
      </c>
      <c r="AS718" t="b">
        <f>AND(IF(metadata!Q718="",FALSE,TRUE),EXACT(metadata!Q718,"Not applicable"))</f>
        <v>0</v>
      </c>
      <c r="AT718" t="b">
        <f>OR(AND(IF(metadata!R718="",FALSE,TRUE),OR(EXACT(metadata!R718,"not applicable"),EXACT(metadata!R718,"missing: not collected"),EXACT(metadata!R718,"missing: not provided"),EXACT(metadata!R718,"missing: restricted access"))),AND(IF(metadata!R718="",FALSE,ISNUMBER(VALUE(metadata!R718))),metadata!R718&gt;0))</f>
        <v>0</v>
      </c>
      <c r="AU718" t="b">
        <f>AND(IF(metadata!S718="",FALSE,TRUE),EXACT(metadata!S718,"missing: not provided"))</f>
        <v>0</v>
      </c>
    </row>
    <row r="719" spans="1:47" x14ac:dyDescent="0.2">
      <c r="A719" s="5" t="str">
        <f ca="1">IF(B719=" "," ",HYPERLINK(CONCATENATE("#metadata!",ADDRESS(INDEX($Y$2:$Y$1001,MATCH(ROWS($W$2:W719),$W$2:$W$1001,0),0),1)),INDEX($AB$2:$AB$1001,MATCH(ROWS($W$2:W719),$W$2:$W$1001,0),0)))</f>
        <v xml:space="preserve"> </v>
      </c>
      <c r="B719" s="4" t="str">
        <f ca="1">IF(OR(INDEX($X$2:$X$1001,MATCH(ROWS($W$2:W719),$W$2:$W$1001,0),1)&gt;=100000,INDEX($AD$1005:$AU$1005,1,MATCH(COLUMNS($AD$1006:AD1006),$AD$1006:$AU$1006,0))&gt;=100000), " ",IF(INDEX($AD$2:$AU$1001,MATCH(ROWS($W$2:W719),$W$2:$W$1001,0),MATCH(COLUMNS($AD$1006:AD1006),$AD$1006:$AU$1006,0)), HYPERLINK("#",""), HYPERLINK(CONCATENATE("#metadata!", ADDRESS(INDEX($Y$2:$Y$1001,MATCH(ROWS($W$2:W719),$W$2:$W$1001,0),0), INDEX($AD$1004:$AU$1004,1,MATCH(COLUMNS($AD$1006:AD1006),$AD$1006:$AU$1006,0)))),"Fix")))</f>
        <v xml:space="preserve"> </v>
      </c>
      <c r="C719" s="4" t="str">
        <f ca="1">IF(OR(INDEX($X$2:$X$1001,MATCH(ROWS($W$2:W719),$W$2:$W$1001,0),1)&gt;=100000,INDEX($AD$1005:$AU$1005,1,MATCH(COLUMNS($AD$1006:AE1006),$AD$1006:$AU$1006,0))&gt;=100000), " ",IF(INDEX($AD$2:$AU$1001,MATCH(ROWS($W$2:W719),$W$2:$W$1001,0),MATCH(COLUMNS($AD$1006:AE1006),$AD$1006:$AU$1006,0)), HYPERLINK("#",""), HYPERLINK(CONCATENATE("#metadata!", ADDRESS(INDEX($Y$2:$Y$1001,MATCH(ROWS($W$2:W719),$W$2:$W$1001,0),0), INDEX($AD$1004:$AU$1004,1,MATCH(COLUMNS($AD$1006:AE1006),$AD$1006:$AU$1006,0)))),"Fix")))</f>
        <v xml:space="preserve"> </v>
      </c>
      <c r="D719" s="4" t="str">
        <f ca="1">IF(OR(INDEX($X$2:$X$1001,MATCH(ROWS($W$2:W719),$W$2:$W$1001,0),1)&gt;=100000,INDEX($AD$1005:$AU$1005,1,MATCH(COLUMNS($AD$1006:AF1006),$AD$1006:$AU$1006,0))&gt;=100000), " ",IF(INDEX($AD$2:$AU$1001,MATCH(ROWS($W$2:W719),$W$2:$W$1001,0),MATCH(COLUMNS($AD$1006:AF1006),$AD$1006:$AU$1006,0)), HYPERLINK("#",""), HYPERLINK(CONCATENATE("#metadata!", ADDRESS(INDEX($Y$2:$Y$1001,MATCH(ROWS($W$2:W719),$W$2:$W$1001,0),0), INDEX($AD$1004:$AU$1004,1,MATCH(COLUMNS($AD$1006:AF1006),$AD$1006:$AU$1006,0)))),"Fix")))</f>
        <v xml:space="preserve"> </v>
      </c>
      <c r="E719" s="4" t="str">
        <f ca="1">IF(OR(INDEX($X$2:$X$1001,MATCH(ROWS($W$2:W719),$W$2:$W$1001,0),1)&gt;=100000,INDEX($AD$1005:$AU$1005,1,MATCH(COLUMNS($AD$1006:AG1006),$AD$1006:$AU$1006,0))&gt;=100000), " ",IF(INDEX($AD$2:$AU$1001,MATCH(ROWS($W$2:W719),$W$2:$W$1001,0),MATCH(COLUMNS($AD$1006:AG1006),$AD$1006:$AU$1006,0)), HYPERLINK("#",""), HYPERLINK(CONCATENATE("#metadata!", ADDRESS(INDEX($Y$2:$Y$1001,MATCH(ROWS($W$2:W719),$W$2:$W$1001,0),0), INDEX($AD$1004:$AU$1004,1,MATCH(COLUMNS($AD$1006:AG1006),$AD$1006:$AU$1006,0)))),"Fix")))</f>
        <v xml:space="preserve"> </v>
      </c>
      <c r="F719" s="4" t="str">
        <f ca="1">IF(OR(INDEX($X$2:$X$1001,MATCH(ROWS($W$2:W719),$W$2:$W$1001,0),1)&gt;=100000,INDEX($AD$1005:$AU$1005,1,MATCH(COLUMNS($AD$1006:AH1006),$AD$1006:$AU$1006,0))&gt;=100000), " ",IF(INDEX($AD$2:$AU$1001,MATCH(ROWS($W$2:W719),$W$2:$W$1001,0),MATCH(COLUMNS($AD$1006:AH1006),$AD$1006:$AU$1006,0)), HYPERLINK("#",""), HYPERLINK(CONCATENATE("#metadata!", ADDRESS(INDEX($Y$2:$Y$1001,MATCH(ROWS($W$2:W719),$W$2:$W$1001,0),0), INDEX($AD$1004:$AU$1004,1,MATCH(COLUMNS($AD$1006:AH1006),$AD$1006:$AU$1006,0)))),"Fix")))</f>
        <v xml:space="preserve"> </v>
      </c>
      <c r="G719" s="4" t="str">
        <f ca="1">IF(OR(INDEX($X$2:$X$1001,MATCH(ROWS($W$2:W719),$W$2:$W$1001,0),1)&gt;=100000,INDEX($AD$1005:$AU$1005,1,MATCH(COLUMNS($AD$1006:AI1006),$AD$1006:$AU$1006,0))&gt;=100000), " ",IF(INDEX($AD$2:$AU$1001,MATCH(ROWS($W$2:W719),$W$2:$W$1001,0),MATCH(COLUMNS($AD$1006:AI1006),$AD$1006:$AU$1006,0)), HYPERLINK("#",""), HYPERLINK(CONCATENATE("#metadata!", ADDRESS(INDEX($Y$2:$Y$1001,MATCH(ROWS($W$2:W719),$W$2:$W$1001,0),0), INDEX($AD$1004:$AU$1004,1,MATCH(COLUMNS($AD$1006:AI1006),$AD$1006:$AU$1006,0)))),"Fix")))</f>
        <v xml:space="preserve"> </v>
      </c>
      <c r="H719" s="4" t="str">
        <f ca="1">IF(OR(INDEX($X$2:$X$1001,MATCH(ROWS($W$2:W719),$W$2:$W$1001,0),1)&gt;=100000,INDEX($AD$1005:$AU$1005,1,MATCH(COLUMNS($AD$1006:AJ1006),$AD$1006:$AU$1006,0))&gt;=100000), " ",IF(INDEX($AD$2:$AU$1001,MATCH(ROWS($W$2:W719),$W$2:$W$1001,0),MATCH(COLUMNS($AD$1006:AJ1006),$AD$1006:$AU$1006,0)), HYPERLINK("#",""), HYPERLINK(CONCATENATE("#metadata!", ADDRESS(INDEX($Y$2:$Y$1001,MATCH(ROWS($W$2:W719),$W$2:$W$1001,0),0), INDEX($AD$1004:$AU$1004,1,MATCH(COLUMNS($AD$1006:AJ1006),$AD$1006:$AU$1006,0)))),"Fix")))</f>
        <v xml:space="preserve"> </v>
      </c>
      <c r="I719" s="4" t="str">
        <f ca="1">IF(OR(INDEX($X$2:$X$1001,MATCH(ROWS($W$2:W719),$W$2:$W$1001,0),1)&gt;=100000,INDEX($AD$1005:$AU$1005,1,MATCH(COLUMNS($AD$1006:AK1006),$AD$1006:$AU$1006,0))&gt;=100000), " ",IF(INDEX($AD$2:$AU$1001,MATCH(ROWS($W$2:W719),$W$2:$W$1001,0),MATCH(COLUMNS($AD$1006:AK1006),$AD$1006:$AU$1006,0)), HYPERLINK("#",""), HYPERLINK(CONCATENATE("#metadata!", ADDRESS(INDEX($Y$2:$Y$1001,MATCH(ROWS($W$2:W719),$W$2:$W$1001,0),0), INDEX($AD$1004:$AU$1004,1,MATCH(COLUMNS($AD$1006:AK1006),$AD$1006:$AU$1006,0)))),"Fix")))</f>
        <v xml:space="preserve"> </v>
      </c>
      <c r="J719" s="4" t="str">
        <f ca="1">IF(OR(INDEX($X$2:$X$1001,MATCH(ROWS($W$2:W719),$W$2:$W$1001,0),1)&gt;=100000,INDEX($AD$1005:$AU$1005,1,MATCH(COLUMNS($AD$1006:AL1006),$AD$1006:$AU$1006,0))&gt;=100000), " ",IF(INDEX($AD$2:$AU$1001,MATCH(ROWS($W$2:W719),$W$2:$W$1001,0),MATCH(COLUMNS($AD$1006:AL1006),$AD$1006:$AU$1006,0)), HYPERLINK("#",""), HYPERLINK(CONCATENATE("#metadata!", ADDRESS(INDEX($Y$2:$Y$1001,MATCH(ROWS($W$2:W719),$W$2:$W$1001,0),0), INDEX($AD$1004:$AU$1004,1,MATCH(COLUMNS($AD$1006:AL1006),$AD$1006:$AU$1006,0)))),"Fix")))</f>
        <v xml:space="preserve"> </v>
      </c>
      <c r="K719" s="4" t="str">
        <f ca="1">IF(OR(INDEX($X$2:$X$1001,MATCH(ROWS($W$2:W719),$W$2:$W$1001,0),1)&gt;=100000,INDEX($AD$1005:$AU$1005,1,MATCH(COLUMNS($AD$1006:AM1006),$AD$1006:$AU$1006,0))&gt;=100000), " ",IF(INDEX($AD$2:$AU$1001,MATCH(ROWS($W$2:W719),$W$2:$W$1001,0),MATCH(COLUMNS($AD$1006:AM1006),$AD$1006:$AU$1006,0)), HYPERLINK("#",""), HYPERLINK(CONCATENATE("#metadata!", ADDRESS(INDEX($Y$2:$Y$1001,MATCH(ROWS($W$2:W719),$W$2:$W$1001,0),0), INDEX($AD$1004:$AU$1004,1,MATCH(COLUMNS($AD$1006:AM1006),$AD$1006:$AU$1006,0)))),"Fix")))</f>
        <v xml:space="preserve"> </v>
      </c>
      <c r="L719" s="4" t="str">
        <f ca="1">IF(OR(INDEX($X$2:$X$1001,MATCH(ROWS($W$2:W719),$W$2:$W$1001,0),1)&gt;=100000,INDEX($AD$1005:$AU$1005,1,MATCH(COLUMNS($AD$1006:AN1006),$AD$1006:$AU$1006,0))&gt;=100000), " ",IF(INDEX($AD$2:$AU$1001,MATCH(ROWS($W$2:W719),$W$2:$W$1001,0),MATCH(COLUMNS($AD$1006:AN1006),$AD$1006:$AU$1006,0)), HYPERLINK("#",""), HYPERLINK(CONCATENATE("#metadata!", ADDRESS(INDEX($Y$2:$Y$1001,MATCH(ROWS($W$2:W719),$W$2:$W$1001,0),0), INDEX($AD$1004:$AU$1004,1,MATCH(COLUMNS($AD$1006:AN1006),$AD$1006:$AU$1006,0)))),"Fix")))</f>
        <v xml:space="preserve"> </v>
      </c>
      <c r="M719" s="4" t="str">
        <f ca="1">IF(OR(INDEX($X$2:$X$1001,MATCH(ROWS($W$2:W719),$W$2:$W$1001,0),1)&gt;=100000,INDEX($AD$1005:$AU$1005,1,MATCH(COLUMNS($AD$1006:AO1006),$AD$1006:$AU$1006,0))&gt;=100000), " ",IF(INDEX($AD$2:$AU$1001,MATCH(ROWS($W$2:W719),$W$2:$W$1001,0),MATCH(COLUMNS($AD$1006:AO1006),$AD$1006:$AU$1006,0)), HYPERLINK("#",""), HYPERLINK(CONCATENATE("#metadata!", ADDRESS(INDEX($Y$2:$Y$1001,MATCH(ROWS($W$2:W719),$W$2:$W$1001,0),0), INDEX($AD$1004:$AU$1004,1,MATCH(COLUMNS($AD$1006:AO1006),$AD$1006:$AU$1006,0)))),"Fix")))</f>
        <v xml:space="preserve"> </v>
      </c>
      <c r="N719" s="4" t="str">
        <f ca="1">IF(OR(INDEX($X$2:$X$1001,MATCH(ROWS($W$2:W719),$W$2:$W$1001,0),1)&gt;=100000,INDEX($AD$1005:$AU$1005,1,MATCH(COLUMNS($AD$1006:AP1006),$AD$1006:$AU$1006,0))&gt;=100000), " ",IF(INDEX($AD$2:$AU$1001,MATCH(ROWS($W$2:W719),$W$2:$W$1001,0),MATCH(COLUMNS($AD$1006:AP1006),$AD$1006:$AU$1006,0)), HYPERLINK("#",""), HYPERLINK(CONCATENATE("#metadata!", ADDRESS(INDEX($Y$2:$Y$1001,MATCH(ROWS($W$2:W719),$W$2:$W$1001,0),0), INDEX($AD$1004:$AU$1004,1,MATCH(COLUMNS($AD$1006:AP1006),$AD$1006:$AU$1006,0)))),"Fix")))</f>
        <v xml:space="preserve"> </v>
      </c>
      <c r="O719" s="4" t="str">
        <f ca="1">IF(OR(INDEX($X$2:$X$1001,MATCH(ROWS($W$2:W719),$W$2:$W$1001,0),1)&gt;=100000,INDEX($AD$1005:$AU$1005,1,MATCH(COLUMNS($AD$1006:AQ1006),$AD$1006:$AU$1006,0))&gt;=100000), " ",IF(INDEX($AD$2:$AU$1001,MATCH(ROWS($W$2:W719),$W$2:$W$1001,0),MATCH(COLUMNS($AD$1006:AQ1006),$AD$1006:$AU$1006,0)), HYPERLINK("#",""), HYPERLINK(CONCATENATE("#metadata!", ADDRESS(INDEX($Y$2:$Y$1001,MATCH(ROWS($W$2:W719),$W$2:$W$1001,0),0), INDEX($AD$1004:$AU$1004,1,MATCH(COLUMNS($AD$1006:AQ1006),$AD$1006:$AU$1006,0)))),"Fix")))</f>
        <v xml:space="preserve"> </v>
      </c>
      <c r="P719" s="4" t="str">
        <f ca="1">IF(OR(INDEX($X$2:$X$1001,MATCH(ROWS($W$2:W719),$W$2:$W$1001,0),1)&gt;=100000,INDEX($AD$1005:$AU$1005,1,MATCH(COLUMNS($AD$1006:AR1006),$AD$1006:$AU$1006,0))&gt;=100000), " ",IF(INDEX($AD$2:$AU$1001,MATCH(ROWS($W$2:W719),$W$2:$W$1001,0),MATCH(COLUMNS($AD$1006:AR1006),$AD$1006:$AU$1006,0)), HYPERLINK("#",""), HYPERLINK(CONCATENATE("#metadata!", ADDRESS(INDEX($Y$2:$Y$1001,MATCH(ROWS($W$2:W719),$W$2:$W$1001,0),0), INDEX($AD$1004:$AU$1004,1,MATCH(COLUMNS($AD$1006:AR1006),$AD$1006:$AU$1006,0)))),"Fix")))</f>
        <v xml:space="preserve"> </v>
      </c>
      <c r="Q719" s="4" t="str">
        <f ca="1">IF(OR(INDEX($X$2:$X$1001,MATCH(ROWS($W$2:W719),$W$2:$W$1001,0),1)&gt;=100000,INDEX($AD$1005:$AU$1005,1,MATCH(COLUMNS($AD$1006:AS1006),$AD$1006:$AU$1006,0))&gt;=100000), " ",IF(INDEX($AD$2:$AU$1001,MATCH(ROWS($W$2:W719),$W$2:$W$1001,0),MATCH(COLUMNS($AD$1006:AS1006),$AD$1006:$AU$1006,0)), HYPERLINK("#",""), HYPERLINK(CONCATENATE("#metadata!", ADDRESS(INDEX($Y$2:$Y$1001,MATCH(ROWS($W$2:W719),$W$2:$W$1001,0),0), INDEX($AD$1004:$AU$1004,1,MATCH(COLUMNS($AD$1006:AS1006),$AD$1006:$AU$1006,0)))),"Fix")))</f>
        <v xml:space="preserve"> </v>
      </c>
      <c r="R719" s="4" t="str">
        <f ca="1">IF(OR(INDEX($X$2:$X$1001,MATCH(ROWS($W$2:W719),$W$2:$W$1001,0),1)&gt;=100000,INDEX($AD$1005:$AU$1005,1,MATCH(COLUMNS($AD$1006:AT1006),$AD$1006:$AU$1006,0))&gt;=100000), " ",IF(INDEX($AD$2:$AU$1001,MATCH(ROWS($W$2:W719),$W$2:$W$1001,0),MATCH(COLUMNS($AD$1006:AT1006),$AD$1006:$AU$1006,0)), HYPERLINK("#",""), HYPERLINK(CONCATENATE("#metadata!", ADDRESS(INDEX($Y$2:$Y$1001,MATCH(ROWS($W$2:W719),$W$2:$W$1001,0),0), INDEX($AD$1004:$AU$1004,1,MATCH(COLUMNS($AD$1006:AT1006),$AD$1006:$AU$1006,0)))),"Fix")))</f>
        <v xml:space="preserve"> </v>
      </c>
      <c r="S719" s="4" t="str">
        <f ca="1">IF(OR(INDEX($X$2:$X$1001,MATCH(ROWS($W$2:W719),$W$2:$W$1001,0),1)&gt;=100000,INDEX($AD$1005:$AU$1005,1,MATCH(COLUMNS($AD$1006:AU1006),$AD$1006:$AU$1006,0))&gt;=100000), " ",IF(INDEX($AD$2:$AU$1001,MATCH(ROWS($W$2:W719),$W$2:$W$1001,0),MATCH(COLUMNS($AD$1006:AU1006),$AD$1006:$AU$1006,0)), HYPERLINK("#",""), HYPERLINK(CONCATENATE("#metadata!", ADDRESS(INDEX($Y$2:$Y$1001,MATCH(ROWS($W$2:W719),$W$2:$W$1001,0),0), INDEX($AD$1004:$AU$1004,1,MATCH(COLUMNS($AD$1006:AU1006),$AD$1006:$AU$1006,0)))),"Fix")))</f>
        <v xml:space="preserve"> </v>
      </c>
      <c r="W719">
        <v>718</v>
      </c>
      <c r="X719">
        <v>100719</v>
      </c>
      <c r="Y719">
        <v>719</v>
      </c>
      <c r="Z719" t="b">
        <f t="shared" si="11"/>
        <v>1</v>
      </c>
      <c r="AA719" t="b">
        <f>COUNTBLANK(metadata!B719:S719)=COLUMNS(metadata!B719:S719)</f>
        <v>1</v>
      </c>
      <c r="AB719" t="str">
        <v/>
      </c>
      <c r="AD719" t="b">
        <f ca="1">AND(IF(metadata!B719="",FALSE,TRUE),COUNTIF(metadata!B:B, metadata!B719) = 1,NOT(ISERROR(SUMPRODUCT(SEARCH(MID(metadata!B719,ROW(INDIRECT("1:"&amp;LEN(metadata!B719))), 1),"0123456789abcdefghijklmnopqrstuvwxyzABCDEFGHIJKLMNOPQRSTUVWXYZ.")))))</f>
        <v>0</v>
      </c>
      <c r="AE719" t="b">
        <f>OR(AND(IF(metadata!C719="",FALSE,TRUE),OR(EXACT(metadata!C719,"not applicable"),EXACT(metadata!C719,"missing: not collected"),EXACT(metadata!C719,"missing: not provided"),EXACT(metadata!C719,"missing: restricted access"))),AND(IF(metadata!C719="",FALSE,ISNUMBER(VALUE(metadata!C719))),metadata!C719&gt;0))</f>
        <v>0</v>
      </c>
      <c r="AF719" t="b">
        <f>AND(IF(metadata!D719="",FALSE,TRUE),EXACT(metadata!D719,"missing: not provided"))</f>
        <v>0</v>
      </c>
      <c r="AG719" t="b">
        <f>AND(IF(metadata!E719="",FALSE,TRUE),EXACT(metadata!E719,"Host-associated"))</f>
        <v>0</v>
      </c>
      <c r="AH719" t="b">
        <f>AND(IF(metadata!F719="",FALSE,TRUE),OR(EXACT(metadata!F719,"Animal"),EXACT(metadata!F719,"Fungus"),EXACT(metadata!F719,"Plant")))</f>
        <v>0</v>
      </c>
      <c r="AI719" t="b">
        <f>AND(IF(metadata!G719="",FALSE,TRUE),OR(EXACT(metadata!G719,"Plant secretion"),EXACT(metadata!G719,"Plant rhizosphere"),EXACT(metadata!G719,"Plant surface"),EXACT(metadata!G719,"Plant corpus"),EXACT(metadata!G719,"Fungus surface"),EXACT(metadata!G719,"Fungus corpus"),EXACT(metadata!G719,"Animal surface"),EXACT(metadata!G719,"Animal proximal gut"),EXACT(metadata!G719,"Animal corpus"),EXACT(metadata!G719,"Animal distal gut"),EXACT(metadata!G719,"Animal secretion")))</f>
        <v>0</v>
      </c>
      <c r="AJ719" t="b">
        <f>OR(AND(IF(metadata!H719="",FALSE,TRUE),OR(EXACT(metadata!H719,"missing: not collected"),EXACT(metadata!H719,"missing: not provided"),EXACT(metadata!H719,"missing: restricted access"))),AND(IF(metadata!H719="",FALSE,TRUE),OR(EXACT(metadata!H719,"organism-associated habitat"),EXACT(metadata!H719,"plant-associated habitat"),EXACT(metadata!H719,"animal-associated habitat"),EXACT(metadata!H719,"insecta-associated habitat"),EXACT(metadata!H719,"mammalia-associated habitat"),EXACT(metadata!H719,"human-associated habitat"),EXACT(metadata!H719,"livestock-associated habitat"))))</f>
        <v>0</v>
      </c>
      <c r="AK719" t="b">
        <f>AND(IF(metadata!I719="",FALSE,TRUE),EXACT(metadata!I719,"host-associated"))</f>
        <v>0</v>
      </c>
      <c r="AL719" t="b">
        <f>OR(AND(IF(metadata!J719="",FALSE,TRUE),OR(EXACT(metadata!J719,"not applicable"),EXACT(metadata!J719,"missing: not collected"),EXACT(metadata!J719,"missing: not provided"),EXACT(metadata!J719,"missing: restricted access"))),AND(IF(metadata!J719="",FALSE,ISNUMBER(VALUE(metadata!J719))),metadata!J719&gt;0))</f>
        <v>0</v>
      </c>
      <c r="AM719" t="b">
        <f>AND(IF(metadata!K719="",FALSE,TRUE),EXACT(metadata!K719,"missing: not provided"))</f>
        <v>0</v>
      </c>
      <c r="AN719" t="b">
        <f>IF(metadata!L719="",FALSE,TRUE)</f>
        <v>0</v>
      </c>
      <c r="AO719" t="b">
        <f>IF(metadata!M719="",FALSE,TRUE)</f>
        <v>0</v>
      </c>
      <c r="AP719" t="b">
        <f>OR(AND(IF(metadata!N719="",FALSE,TRUE),OR(EXACT(metadata!N719,"not applicable"),EXACT(metadata!N719,"missing: not collected"),EXACT(metadata!N719,"missing: not provided"))),AND(IF(metadata!N719="",FALSE,IF(ISERROR(INT(metadata!N719)),FALSE,INT(metadata!N719)=metadata!N719)),metadata!N719&gt;0))</f>
        <v>0</v>
      </c>
      <c r="AQ719" t="b">
        <f>AND(IF(metadata!O719="",FALSE,TRUE),EXACT(metadata!O719,"Not applicable"))</f>
        <v>0</v>
      </c>
      <c r="AR719" t="b">
        <f>OR(AND(IF(metadata!P719="",FALSE,TRUE),OR(EXACT(metadata!P719,"not applicable"),EXACT(metadata!P719,"missing: not collected"),EXACT(metadata!P719,"missing: not provided"),EXACT(metadata!P719,"missing: restricted access"))),IF(metadata!P719="",FALSE,IF(ISERROR(INT(metadata!P719)),FALSE,INT(metadata!P719)=metadata!P719)))</f>
        <v>0</v>
      </c>
      <c r="AS719" t="b">
        <f>AND(IF(metadata!Q719="",FALSE,TRUE),EXACT(metadata!Q719,"Not applicable"))</f>
        <v>0</v>
      </c>
      <c r="AT719" t="b">
        <f>OR(AND(IF(metadata!R719="",FALSE,TRUE),OR(EXACT(metadata!R719,"not applicable"),EXACT(metadata!R719,"missing: not collected"),EXACT(metadata!R719,"missing: not provided"),EXACT(metadata!R719,"missing: restricted access"))),AND(IF(metadata!R719="",FALSE,ISNUMBER(VALUE(metadata!R719))),metadata!R719&gt;0))</f>
        <v>0</v>
      </c>
      <c r="AU719" t="b">
        <f>AND(IF(metadata!S719="",FALSE,TRUE),EXACT(metadata!S719,"missing: not provided"))</f>
        <v>0</v>
      </c>
    </row>
    <row r="720" spans="1:47" x14ac:dyDescent="0.2">
      <c r="A720" s="5" t="str">
        <f ca="1">IF(B720=" "," ",HYPERLINK(CONCATENATE("#metadata!",ADDRESS(INDEX($Y$2:$Y$1001,MATCH(ROWS($W$2:W720),$W$2:$W$1001,0),0),1)),INDEX($AB$2:$AB$1001,MATCH(ROWS($W$2:W720),$W$2:$W$1001,0),0)))</f>
        <v xml:space="preserve"> </v>
      </c>
      <c r="B720" s="4" t="str">
        <f ca="1">IF(OR(INDEX($X$2:$X$1001,MATCH(ROWS($W$2:W720),$W$2:$W$1001,0),1)&gt;=100000,INDEX($AD$1005:$AU$1005,1,MATCH(COLUMNS($AD$1006:AD1006),$AD$1006:$AU$1006,0))&gt;=100000), " ",IF(INDEX($AD$2:$AU$1001,MATCH(ROWS($W$2:W720),$W$2:$W$1001,0),MATCH(COLUMNS($AD$1006:AD1006),$AD$1006:$AU$1006,0)), HYPERLINK("#",""), HYPERLINK(CONCATENATE("#metadata!", ADDRESS(INDEX($Y$2:$Y$1001,MATCH(ROWS($W$2:W720),$W$2:$W$1001,0),0), INDEX($AD$1004:$AU$1004,1,MATCH(COLUMNS($AD$1006:AD1006),$AD$1006:$AU$1006,0)))),"Fix")))</f>
        <v xml:space="preserve"> </v>
      </c>
      <c r="C720" s="4" t="str">
        <f ca="1">IF(OR(INDEX($X$2:$X$1001,MATCH(ROWS($W$2:W720),$W$2:$W$1001,0),1)&gt;=100000,INDEX($AD$1005:$AU$1005,1,MATCH(COLUMNS($AD$1006:AE1006),$AD$1006:$AU$1006,0))&gt;=100000), " ",IF(INDEX($AD$2:$AU$1001,MATCH(ROWS($W$2:W720),$W$2:$W$1001,0),MATCH(COLUMNS($AD$1006:AE1006),$AD$1006:$AU$1006,0)), HYPERLINK("#",""), HYPERLINK(CONCATENATE("#metadata!", ADDRESS(INDEX($Y$2:$Y$1001,MATCH(ROWS($W$2:W720),$W$2:$W$1001,0),0), INDEX($AD$1004:$AU$1004,1,MATCH(COLUMNS($AD$1006:AE1006),$AD$1006:$AU$1006,0)))),"Fix")))</f>
        <v xml:space="preserve"> </v>
      </c>
      <c r="D720" s="4" t="str">
        <f ca="1">IF(OR(INDEX($X$2:$X$1001,MATCH(ROWS($W$2:W720),$W$2:$W$1001,0),1)&gt;=100000,INDEX($AD$1005:$AU$1005,1,MATCH(COLUMNS($AD$1006:AF1006),$AD$1006:$AU$1006,0))&gt;=100000), " ",IF(INDEX($AD$2:$AU$1001,MATCH(ROWS($W$2:W720),$W$2:$W$1001,0),MATCH(COLUMNS($AD$1006:AF1006),$AD$1006:$AU$1006,0)), HYPERLINK("#",""), HYPERLINK(CONCATENATE("#metadata!", ADDRESS(INDEX($Y$2:$Y$1001,MATCH(ROWS($W$2:W720),$W$2:$W$1001,0),0), INDEX($AD$1004:$AU$1004,1,MATCH(COLUMNS($AD$1006:AF1006),$AD$1006:$AU$1006,0)))),"Fix")))</f>
        <v xml:space="preserve"> </v>
      </c>
      <c r="E720" s="4" t="str">
        <f ca="1">IF(OR(INDEX($X$2:$X$1001,MATCH(ROWS($W$2:W720),$W$2:$W$1001,0),1)&gt;=100000,INDEX($AD$1005:$AU$1005,1,MATCH(COLUMNS($AD$1006:AG1006),$AD$1006:$AU$1006,0))&gt;=100000), " ",IF(INDEX($AD$2:$AU$1001,MATCH(ROWS($W$2:W720),$W$2:$W$1001,0),MATCH(COLUMNS($AD$1006:AG1006),$AD$1006:$AU$1006,0)), HYPERLINK("#",""), HYPERLINK(CONCATENATE("#metadata!", ADDRESS(INDEX($Y$2:$Y$1001,MATCH(ROWS($W$2:W720),$W$2:$W$1001,0),0), INDEX($AD$1004:$AU$1004,1,MATCH(COLUMNS($AD$1006:AG1006),$AD$1006:$AU$1006,0)))),"Fix")))</f>
        <v xml:space="preserve"> </v>
      </c>
      <c r="F720" s="4" t="str">
        <f ca="1">IF(OR(INDEX($X$2:$X$1001,MATCH(ROWS($W$2:W720),$W$2:$W$1001,0),1)&gt;=100000,INDEX($AD$1005:$AU$1005,1,MATCH(COLUMNS($AD$1006:AH1006),$AD$1006:$AU$1006,0))&gt;=100000), " ",IF(INDEX($AD$2:$AU$1001,MATCH(ROWS($W$2:W720),$W$2:$W$1001,0),MATCH(COLUMNS($AD$1006:AH1006),$AD$1006:$AU$1006,0)), HYPERLINK("#",""), HYPERLINK(CONCATENATE("#metadata!", ADDRESS(INDEX($Y$2:$Y$1001,MATCH(ROWS($W$2:W720),$W$2:$W$1001,0),0), INDEX($AD$1004:$AU$1004,1,MATCH(COLUMNS($AD$1006:AH1006),$AD$1006:$AU$1006,0)))),"Fix")))</f>
        <v xml:space="preserve"> </v>
      </c>
      <c r="G720" s="4" t="str">
        <f ca="1">IF(OR(INDEX($X$2:$X$1001,MATCH(ROWS($W$2:W720),$W$2:$W$1001,0),1)&gt;=100000,INDEX($AD$1005:$AU$1005,1,MATCH(COLUMNS($AD$1006:AI1006),$AD$1006:$AU$1006,0))&gt;=100000), " ",IF(INDEX($AD$2:$AU$1001,MATCH(ROWS($W$2:W720),$W$2:$W$1001,0),MATCH(COLUMNS($AD$1006:AI1006),$AD$1006:$AU$1006,0)), HYPERLINK("#",""), HYPERLINK(CONCATENATE("#metadata!", ADDRESS(INDEX($Y$2:$Y$1001,MATCH(ROWS($W$2:W720),$W$2:$W$1001,0),0), INDEX($AD$1004:$AU$1004,1,MATCH(COLUMNS($AD$1006:AI1006),$AD$1006:$AU$1006,0)))),"Fix")))</f>
        <v xml:space="preserve"> </v>
      </c>
      <c r="H720" s="4" t="str">
        <f ca="1">IF(OR(INDEX($X$2:$X$1001,MATCH(ROWS($W$2:W720),$W$2:$W$1001,0),1)&gt;=100000,INDEX($AD$1005:$AU$1005,1,MATCH(COLUMNS($AD$1006:AJ1006),$AD$1006:$AU$1006,0))&gt;=100000), " ",IF(INDEX($AD$2:$AU$1001,MATCH(ROWS($W$2:W720),$W$2:$W$1001,0),MATCH(COLUMNS($AD$1006:AJ1006),$AD$1006:$AU$1006,0)), HYPERLINK("#",""), HYPERLINK(CONCATENATE("#metadata!", ADDRESS(INDEX($Y$2:$Y$1001,MATCH(ROWS($W$2:W720),$W$2:$W$1001,0),0), INDEX($AD$1004:$AU$1004,1,MATCH(COLUMNS($AD$1006:AJ1006),$AD$1006:$AU$1006,0)))),"Fix")))</f>
        <v xml:space="preserve"> </v>
      </c>
      <c r="I720" s="4" t="str">
        <f ca="1">IF(OR(INDEX($X$2:$X$1001,MATCH(ROWS($W$2:W720),$W$2:$W$1001,0),1)&gt;=100000,INDEX($AD$1005:$AU$1005,1,MATCH(COLUMNS($AD$1006:AK1006),$AD$1006:$AU$1006,0))&gt;=100000), " ",IF(INDEX($AD$2:$AU$1001,MATCH(ROWS($W$2:W720),$W$2:$W$1001,0),MATCH(COLUMNS($AD$1006:AK1006),$AD$1006:$AU$1006,0)), HYPERLINK("#",""), HYPERLINK(CONCATENATE("#metadata!", ADDRESS(INDEX($Y$2:$Y$1001,MATCH(ROWS($W$2:W720),$W$2:$W$1001,0),0), INDEX($AD$1004:$AU$1004,1,MATCH(COLUMNS($AD$1006:AK1006),$AD$1006:$AU$1006,0)))),"Fix")))</f>
        <v xml:space="preserve"> </v>
      </c>
      <c r="J720" s="4" t="str">
        <f ca="1">IF(OR(INDEX($X$2:$X$1001,MATCH(ROWS($W$2:W720),$W$2:$W$1001,0),1)&gt;=100000,INDEX($AD$1005:$AU$1005,1,MATCH(COLUMNS($AD$1006:AL1006),$AD$1006:$AU$1006,0))&gt;=100000), " ",IF(INDEX($AD$2:$AU$1001,MATCH(ROWS($W$2:W720),$W$2:$W$1001,0),MATCH(COLUMNS($AD$1006:AL1006),$AD$1006:$AU$1006,0)), HYPERLINK("#",""), HYPERLINK(CONCATENATE("#metadata!", ADDRESS(INDEX($Y$2:$Y$1001,MATCH(ROWS($W$2:W720),$W$2:$W$1001,0),0), INDEX($AD$1004:$AU$1004,1,MATCH(COLUMNS($AD$1006:AL1006),$AD$1006:$AU$1006,0)))),"Fix")))</f>
        <v xml:space="preserve"> </v>
      </c>
      <c r="K720" s="4" t="str">
        <f ca="1">IF(OR(INDEX($X$2:$X$1001,MATCH(ROWS($W$2:W720),$W$2:$W$1001,0),1)&gt;=100000,INDEX($AD$1005:$AU$1005,1,MATCH(COLUMNS($AD$1006:AM1006),$AD$1006:$AU$1006,0))&gt;=100000), " ",IF(INDEX($AD$2:$AU$1001,MATCH(ROWS($W$2:W720),$W$2:$W$1001,0),MATCH(COLUMNS($AD$1006:AM1006),$AD$1006:$AU$1006,0)), HYPERLINK("#",""), HYPERLINK(CONCATENATE("#metadata!", ADDRESS(INDEX($Y$2:$Y$1001,MATCH(ROWS($W$2:W720),$W$2:$W$1001,0),0), INDEX($AD$1004:$AU$1004,1,MATCH(COLUMNS($AD$1006:AM1006),$AD$1006:$AU$1006,0)))),"Fix")))</f>
        <v xml:space="preserve"> </v>
      </c>
      <c r="L720" s="4" t="str">
        <f ca="1">IF(OR(INDEX($X$2:$X$1001,MATCH(ROWS($W$2:W720),$W$2:$W$1001,0),1)&gt;=100000,INDEX($AD$1005:$AU$1005,1,MATCH(COLUMNS($AD$1006:AN1006),$AD$1006:$AU$1006,0))&gt;=100000), " ",IF(INDEX($AD$2:$AU$1001,MATCH(ROWS($W$2:W720),$W$2:$W$1001,0),MATCH(COLUMNS($AD$1006:AN1006),$AD$1006:$AU$1006,0)), HYPERLINK("#",""), HYPERLINK(CONCATENATE("#metadata!", ADDRESS(INDEX($Y$2:$Y$1001,MATCH(ROWS($W$2:W720),$W$2:$W$1001,0),0), INDEX($AD$1004:$AU$1004,1,MATCH(COLUMNS($AD$1006:AN1006),$AD$1006:$AU$1006,0)))),"Fix")))</f>
        <v xml:space="preserve"> </v>
      </c>
      <c r="M720" s="4" t="str">
        <f ca="1">IF(OR(INDEX($X$2:$X$1001,MATCH(ROWS($W$2:W720),$W$2:$W$1001,0),1)&gt;=100000,INDEX($AD$1005:$AU$1005,1,MATCH(COLUMNS($AD$1006:AO1006),$AD$1006:$AU$1006,0))&gt;=100000), " ",IF(INDEX($AD$2:$AU$1001,MATCH(ROWS($W$2:W720),$W$2:$W$1001,0),MATCH(COLUMNS($AD$1006:AO1006),$AD$1006:$AU$1006,0)), HYPERLINK("#",""), HYPERLINK(CONCATENATE("#metadata!", ADDRESS(INDEX($Y$2:$Y$1001,MATCH(ROWS($W$2:W720),$W$2:$W$1001,0),0), INDEX($AD$1004:$AU$1004,1,MATCH(COLUMNS($AD$1006:AO1006),$AD$1006:$AU$1006,0)))),"Fix")))</f>
        <v xml:space="preserve"> </v>
      </c>
      <c r="N720" s="4" t="str">
        <f ca="1">IF(OR(INDEX($X$2:$X$1001,MATCH(ROWS($W$2:W720),$W$2:$W$1001,0),1)&gt;=100000,INDEX($AD$1005:$AU$1005,1,MATCH(COLUMNS($AD$1006:AP1006),$AD$1006:$AU$1006,0))&gt;=100000), " ",IF(INDEX($AD$2:$AU$1001,MATCH(ROWS($W$2:W720),$W$2:$W$1001,0),MATCH(COLUMNS($AD$1006:AP1006),$AD$1006:$AU$1006,0)), HYPERLINK("#",""), HYPERLINK(CONCATENATE("#metadata!", ADDRESS(INDEX($Y$2:$Y$1001,MATCH(ROWS($W$2:W720),$W$2:$W$1001,0),0), INDEX($AD$1004:$AU$1004,1,MATCH(COLUMNS($AD$1006:AP1006),$AD$1006:$AU$1006,0)))),"Fix")))</f>
        <v xml:space="preserve"> </v>
      </c>
      <c r="O720" s="4" t="str">
        <f ca="1">IF(OR(INDEX($X$2:$X$1001,MATCH(ROWS($W$2:W720),$W$2:$W$1001,0),1)&gt;=100000,INDEX($AD$1005:$AU$1005,1,MATCH(COLUMNS($AD$1006:AQ1006),$AD$1006:$AU$1006,0))&gt;=100000), " ",IF(INDEX($AD$2:$AU$1001,MATCH(ROWS($W$2:W720),$W$2:$W$1001,0),MATCH(COLUMNS($AD$1006:AQ1006),$AD$1006:$AU$1006,0)), HYPERLINK("#",""), HYPERLINK(CONCATENATE("#metadata!", ADDRESS(INDEX($Y$2:$Y$1001,MATCH(ROWS($W$2:W720),$W$2:$W$1001,0),0), INDEX($AD$1004:$AU$1004,1,MATCH(COLUMNS($AD$1006:AQ1006),$AD$1006:$AU$1006,0)))),"Fix")))</f>
        <v xml:space="preserve"> </v>
      </c>
      <c r="P720" s="4" t="str">
        <f ca="1">IF(OR(INDEX($X$2:$X$1001,MATCH(ROWS($W$2:W720),$W$2:$W$1001,0),1)&gt;=100000,INDEX($AD$1005:$AU$1005,1,MATCH(COLUMNS($AD$1006:AR1006),$AD$1006:$AU$1006,0))&gt;=100000), " ",IF(INDEX($AD$2:$AU$1001,MATCH(ROWS($W$2:W720),$W$2:$W$1001,0),MATCH(COLUMNS($AD$1006:AR1006),$AD$1006:$AU$1006,0)), HYPERLINK("#",""), HYPERLINK(CONCATENATE("#metadata!", ADDRESS(INDEX($Y$2:$Y$1001,MATCH(ROWS($W$2:W720),$W$2:$W$1001,0),0), INDEX($AD$1004:$AU$1004,1,MATCH(COLUMNS($AD$1006:AR1006),$AD$1006:$AU$1006,0)))),"Fix")))</f>
        <v xml:space="preserve"> </v>
      </c>
      <c r="Q720" s="4" t="str">
        <f ca="1">IF(OR(INDEX($X$2:$X$1001,MATCH(ROWS($W$2:W720),$W$2:$W$1001,0),1)&gt;=100000,INDEX($AD$1005:$AU$1005,1,MATCH(COLUMNS($AD$1006:AS1006),$AD$1006:$AU$1006,0))&gt;=100000), " ",IF(INDEX($AD$2:$AU$1001,MATCH(ROWS($W$2:W720),$W$2:$W$1001,0),MATCH(COLUMNS($AD$1006:AS1006),$AD$1006:$AU$1006,0)), HYPERLINK("#",""), HYPERLINK(CONCATENATE("#metadata!", ADDRESS(INDEX($Y$2:$Y$1001,MATCH(ROWS($W$2:W720),$W$2:$W$1001,0),0), INDEX($AD$1004:$AU$1004,1,MATCH(COLUMNS($AD$1006:AS1006),$AD$1006:$AU$1006,0)))),"Fix")))</f>
        <v xml:space="preserve"> </v>
      </c>
      <c r="R720" s="4" t="str">
        <f ca="1">IF(OR(INDEX($X$2:$X$1001,MATCH(ROWS($W$2:W720),$W$2:$W$1001,0),1)&gt;=100000,INDEX($AD$1005:$AU$1005,1,MATCH(COLUMNS($AD$1006:AT1006),$AD$1006:$AU$1006,0))&gt;=100000), " ",IF(INDEX($AD$2:$AU$1001,MATCH(ROWS($W$2:W720),$W$2:$W$1001,0),MATCH(COLUMNS($AD$1006:AT1006),$AD$1006:$AU$1006,0)), HYPERLINK("#",""), HYPERLINK(CONCATENATE("#metadata!", ADDRESS(INDEX($Y$2:$Y$1001,MATCH(ROWS($W$2:W720),$W$2:$W$1001,0),0), INDEX($AD$1004:$AU$1004,1,MATCH(COLUMNS($AD$1006:AT1006),$AD$1006:$AU$1006,0)))),"Fix")))</f>
        <v xml:space="preserve"> </v>
      </c>
      <c r="S720" s="4" t="str">
        <f ca="1">IF(OR(INDEX($X$2:$X$1001,MATCH(ROWS($W$2:W720),$W$2:$W$1001,0),1)&gt;=100000,INDEX($AD$1005:$AU$1005,1,MATCH(COLUMNS($AD$1006:AU1006),$AD$1006:$AU$1006,0))&gt;=100000), " ",IF(INDEX($AD$2:$AU$1001,MATCH(ROWS($W$2:W720),$W$2:$W$1001,0),MATCH(COLUMNS($AD$1006:AU1006),$AD$1006:$AU$1006,0)), HYPERLINK("#",""), HYPERLINK(CONCATENATE("#metadata!", ADDRESS(INDEX($Y$2:$Y$1001,MATCH(ROWS($W$2:W720),$W$2:$W$1001,0),0), INDEX($AD$1004:$AU$1004,1,MATCH(COLUMNS($AD$1006:AU1006),$AD$1006:$AU$1006,0)))),"Fix")))</f>
        <v xml:space="preserve"> </v>
      </c>
      <c r="W720">
        <v>719</v>
      </c>
      <c r="X720">
        <v>100720</v>
      </c>
      <c r="Y720">
        <v>720</v>
      </c>
      <c r="Z720" t="b">
        <f t="shared" si="11"/>
        <v>1</v>
      </c>
      <c r="AA720" t="b">
        <f>COUNTBLANK(metadata!B720:S720)=COLUMNS(metadata!B720:S720)</f>
        <v>1</v>
      </c>
      <c r="AB720" t="str">
        <v/>
      </c>
      <c r="AD720" t="b">
        <f ca="1">AND(IF(metadata!B720="",FALSE,TRUE),COUNTIF(metadata!B:B, metadata!B720) = 1,NOT(ISERROR(SUMPRODUCT(SEARCH(MID(metadata!B720,ROW(INDIRECT("1:"&amp;LEN(metadata!B720))), 1),"0123456789abcdefghijklmnopqrstuvwxyzABCDEFGHIJKLMNOPQRSTUVWXYZ.")))))</f>
        <v>0</v>
      </c>
      <c r="AE720" t="b">
        <f>OR(AND(IF(metadata!C720="",FALSE,TRUE),OR(EXACT(metadata!C720,"not applicable"),EXACT(metadata!C720,"missing: not collected"),EXACT(metadata!C720,"missing: not provided"),EXACT(metadata!C720,"missing: restricted access"))),AND(IF(metadata!C720="",FALSE,ISNUMBER(VALUE(metadata!C720))),metadata!C720&gt;0))</f>
        <v>0</v>
      </c>
      <c r="AF720" t="b">
        <f>AND(IF(metadata!D720="",FALSE,TRUE),EXACT(metadata!D720,"missing: not provided"))</f>
        <v>0</v>
      </c>
      <c r="AG720" t="b">
        <f>AND(IF(metadata!E720="",FALSE,TRUE),EXACT(metadata!E720,"Host-associated"))</f>
        <v>0</v>
      </c>
      <c r="AH720" t="b">
        <f>AND(IF(metadata!F720="",FALSE,TRUE),OR(EXACT(metadata!F720,"Animal"),EXACT(metadata!F720,"Fungus"),EXACT(metadata!F720,"Plant")))</f>
        <v>0</v>
      </c>
      <c r="AI720" t="b">
        <f>AND(IF(metadata!G720="",FALSE,TRUE),OR(EXACT(metadata!G720,"Plant secretion"),EXACT(metadata!G720,"Plant rhizosphere"),EXACT(metadata!G720,"Plant surface"),EXACT(metadata!G720,"Plant corpus"),EXACT(metadata!G720,"Fungus surface"),EXACT(metadata!G720,"Fungus corpus"),EXACT(metadata!G720,"Animal surface"),EXACT(metadata!G720,"Animal proximal gut"),EXACT(metadata!G720,"Animal corpus"),EXACT(metadata!G720,"Animal distal gut"),EXACT(metadata!G720,"Animal secretion")))</f>
        <v>0</v>
      </c>
      <c r="AJ720" t="b">
        <f>OR(AND(IF(metadata!H720="",FALSE,TRUE),OR(EXACT(metadata!H720,"missing: not collected"),EXACT(metadata!H720,"missing: not provided"),EXACT(metadata!H720,"missing: restricted access"))),AND(IF(metadata!H720="",FALSE,TRUE),OR(EXACT(metadata!H720,"organism-associated habitat"),EXACT(metadata!H720,"plant-associated habitat"),EXACT(metadata!H720,"animal-associated habitat"),EXACT(metadata!H720,"insecta-associated habitat"),EXACT(metadata!H720,"mammalia-associated habitat"),EXACT(metadata!H720,"human-associated habitat"),EXACT(metadata!H720,"livestock-associated habitat"))))</f>
        <v>0</v>
      </c>
      <c r="AK720" t="b">
        <f>AND(IF(metadata!I720="",FALSE,TRUE),EXACT(metadata!I720,"host-associated"))</f>
        <v>0</v>
      </c>
      <c r="AL720" t="b">
        <f>OR(AND(IF(metadata!J720="",FALSE,TRUE),OR(EXACT(metadata!J720,"not applicable"),EXACT(metadata!J720,"missing: not collected"),EXACT(metadata!J720,"missing: not provided"),EXACT(metadata!J720,"missing: restricted access"))),AND(IF(metadata!J720="",FALSE,ISNUMBER(VALUE(metadata!J720))),metadata!J720&gt;0))</f>
        <v>0</v>
      </c>
      <c r="AM720" t="b">
        <f>AND(IF(metadata!K720="",FALSE,TRUE),EXACT(metadata!K720,"missing: not provided"))</f>
        <v>0</v>
      </c>
      <c r="AN720" t="b">
        <f>IF(metadata!L720="",FALSE,TRUE)</f>
        <v>0</v>
      </c>
      <c r="AO720" t="b">
        <f>IF(metadata!M720="",FALSE,TRUE)</f>
        <v>0</v>
      </c>
      <c r="AP720" t="b">
        <f>OR(AND(IF(metadata!N720="",FALSE,TRUE),OR(EXACT(metadata!N720,"not applicable"),EXACT(metadata!N720,"missing: not collected"),EXACT(metadata!N720,"missing: not provided"))),AND(IF(metadata!N720="",FALSE,IF(ISERROR(INT(metadata!N720)),FALSE,INT(metadata!N720)=metadata!N720)),metadata!N720&gt;0))</f>
        <v>0</v>
      </c>
      <c r="AQ720" t="b">
        <f>AND(IF(metadata!O720="",FALSE,TRUE),EXACT(metadata!O720,"Not applicable"))</f>
        <v>0</v>
      </c>
      <c r="AR720" t="b">
        <f>OR(AND(IF(metadata!P720="",FALSE,TRUE),OR(EXACT(metadata!P720,"not applicable"),EXACT(metadata!P720,"missing: not collected"),EXACT(metadata!P720,"missing: not provided"),EXACT(metadata!P720,"missing: restricted access"))),IF(metadata!P720="",FALSE,IF(ISERROR(INT(metadata!P720)),FALSE,INT(metadata!P720)=metadata!P720)))</f>
        <v>0</v>
      </c>
      <c r="AS720" t="b">
        <f>AND(IF(metadata!Q720="",FALSE,TRUE),EXACT(metadata!Q720,"Not applicable"))</f>
        <v>0</v>
      </c>
      <c r="AT720" t="b">
        <f>OR(AND(IF(metadata!R720="",FALSE,TRUE),OR(EXACT(metadata!R720,"not applicable"),EXACT(metadata!R720,"missing: not collected"),EXACT(metadata!R720,"missing: not provided"),EXACT(metadata!R720,"missing: restricted access"))),AND(IF(metadata!R720="",FALSE,ISNUMBER(VALUE(metadata!R720))),metadata!R720&gt;0))</f>
        <v>0</v>
      </c>
      <c r="AU720" t="b">
        <f>AND(IF(metadata!S720="",FALSE,TRUE),EXACT(metadata!S720,"missing: not provided"))</f>
        <v>0</v>
      </c>
    </row>
    <row r="721" spans="1:47" x14ac:dyDescent="0.2">
      <c r="A721" s="5" t="str">
        <f ca="1">IF(B721=" "," ",HYPERLINK(CONCATENATE("#metadata!",ADDRESS(INDEX($Y$2:$Y$1001,MATCH(ROWS($W$2:W721),$W$2:$W$1001,0),0),1)),INDEX($AB$2:$AB$1001,MATCH(ROWS($W$2:W721),$W$2:$W$1001,0),0)))</f>
        <v xml:space="preserve"> </v>
      </c>
      <c r="B721" s="4" t="str">
        <f ca="1">IF(OR(INDEX($X$2:$X$1001,MATCH(ROWS($W$2:W721),$W$2:$W$1001,0),1)&gt;=100000,INDEX($AD$1005:$AU$1005,1,MATCH(COLUMNS($AD$1006:AD1006),$AD$1006:$AU$1006,0))&gt;=100000), " ",IF(INDEX($AD$2:$AU$1001,MATCH(ROWS($W$2:W721),$W$2:$W$1001,0),MATCH(COLUMNS($AD$1006:AD1006),$AD$1006:$AU$1006,0)), HYPERLINK("#",""), HYPERLINK(CONCATENATE("#metadata!", ADDRESS(INDEX($Y$2:$Y$1001,MATCH(ROWS($W$2:W721),$W$2:$W$1001,0),0), INDEX($AD$1004:$AU$1004,1,MATCH(COLUMNS($AD$1006:AD1006),$AD$1006:$AU$1006,0)))),"Fix")))</f>
        <v xml:space="preserve"> </v>
      </c>
      <c r="C721" s="4" t="str">
        <f ca="1">IF(OR(INDEX($X$2:$X$1001,MATCH(ROWS($W$2:W721),$W$2:$W$1001,0),1)&gt;=100000,INDEX($AD$1005:$AU$1005,1,MATCH(COLUMNS($AD$1006:AE1006),$AD$1006:$AU$1006,0))&gt;=100000), " ",IF(INDEX($AD$2:$AU$1001,MATCH(ROWS($W$2:W721),$W$2:$W$1001,0),MATCH(COLUMNS($AD$1006:AE1006),$AD$1006:$AU$1006,0)), HYPERLINK("#",""), HYPERLINK(CONCATENATE("#metadata!", ADDRESS(INDEX($Y$2:$Y$1001,MATCH(ROWS($W$2:W721),$W$2:$W$1001,0),0), INDEX($AD$1004:$AU$1004,1,MATCH(COLUMNS($AD$1006:AE1006),$AD$1006:$AU$1006,0)))),"Fix")))</f>
        <v xml:space="preserve"> </v>
      </c>
      <c r="D721" s="4" t="str">
        <f ca="1">IF(OR(INDEX($X$2:$X$1001,MATCH(ROWS($W$2:W721),$W$2:$W$1001,0),1)&gt;=100000,INDEX($AD$1005:$AU$1005,1,MATCH(COLUMNS($AD$1006:AF1006),$AD$1006:$AU$1006,0))&gt;=100000), " ",IF(INDEX($AD$2:$AU$1001,MATCH(ROWS($W$2:W721),$W$2:$W$1001,0),MATCH(COLUMNS($AD$1006:AF1006),$AD$1006:$AU$1006,0)), HYPERLINK("#",""), HYPERLINK(CONCATENATE("#metadata!", ADDRESS(INDEX($Y$2:$Y$1001,MATCH(ROWS($W$2:W721),$W$2:$W$1001,0),0), INDEX($AD$1004:$AU$1004,1,MATCH(COLUMNS($AD$1006:AF1006),$AD$1006:$AU$1006,0)))),"Fix")))</f>
        <v xml:space="preserve"> </v>
      </c>
      <c r="E721" s="4" t="str">
        <f ca="1">IF(OR(INDEX($X$2:$X$1001,MATCH(ROWS($W$2:W721),$W$2:$W$1001,0),1)&gt;=100000,INDEX($AD$1005:$AU$1005,1,MATCH(COLUMNS($AD$1006:AG1006),$AD$1006:$AU$1006,0))&gt;=100000), " ",IF(INDEX($AD$2:$AU$1001,MATCH(ROWS($W$2:W721),$W$2:$W$1001,0),MATCH(COLUMNS($AD$1006:AG1006),$AD$1006:$AU$1006,0)), HYPERLINK("#",""), HYPERLINK(CONCATENATE("#metadata!", ADDRESS(INDEX($Y$2:$Y$1001,MATCH(ROWS($W$2:W721),$W$2:$W$1001,0),0), INDEX($AD$1004:$AU$1004,1,MATCH(COLUMNS($AD$1006:AG1006),$AD$1006:$AU$1006,0)))),"Fix")))</f>
        <v xml:space="preserve"> </v>
      </c>
      <c r="F721" s="4" t="str">
        <f ca="1">IF(OR(INDEX($X$2:$X$1001,MATCH(ROWS($W$2:W721),$W$2:$W$1001,0),1)&gt;=100000,INDEX($AD$1005:$AU$1005,1,MATCH(COLUMNS($AD$1006:AH1006),$AD$1006:$AU$1006,0))&gt;=100000), " ",IF(INDEX($AD$2:$AU$1001,MATCH(ROWS($W$2:W721),$W$2:$W$1001,0),MATCH(COLUMNS($AD$1006:AH1006),$AD$1006:$AU$1006,0)), HYPERLINK("#",""), HYPERLINK(CONCATENATE("#metadata!", ADDRESS(INDEX($Y$2:$Y$1001,MATCH(ROWS($W$2:W721),$W$2:$W$1001,0),0), INDEX($AD$1004:$AU$1004,1,MATCH(COLUMNS($AD$1006:AH1006),$AD$1006:$AU$1006,0)))),"Fix")))</f>
        <v xml:space="preserve"> </v>
      </c>
      <c r="G721" s="4" t="str">
        <f ca="1">IF(OR(INDEX($X$2:$X$1001,MATCH(ROWS($W$2:W721),$W$2:$W$1001,0),1)&gt;=100000,INDEX($AD$1005:$AU$1005,1,MATCH(COLUMNS($AD$1006:AI1006),$AD$1006:$AU$1006,0))&gt;=100000), " ",IF(INDEX($AD$2:$AU$1001,MATCH(ROWS($W$2:W721),$W$2:$W$1001,0),MATCH(COLUMNS($AD$1006:AI1006),$AD$1006:$AU$1006,0)), HYPERLINK("#",""), HYPERLINK(CONCATENATE("#metadata!", ADDRESS(INDEX($Y$2:$Y$1001,MATCH(ROWS($W$2:W721),$W$2:$W$1001,0),0), INDEX($AD$1004:$AU$1004,1,MATCH(COLUMNS($AD$1006:AI1006),$AD$1006:$AU$1006,0)))),"Fix")))</f>
        <v xml:space="preserve"> </v>
      </c>
      <c r="H721" s="4" t="str">
        <f ca="1">IF(OR(INDEX($X$2:$X$1001,MATCH(ROWS($W$2:W721),$W$2:$W$1001,0),1)&gt;=100000,INDEX($AD$1005:$AU$1005,1,MATCH(COLUMNS($AD$1006:AJ1006),$AD$1006:$AU$1006,0))&gt;=100000), " ",IF(INDEX($AD$2:$AU$1001,MATCH(ROWS($W$2:W721),$W$2:$W$1001,0),MATCH(COLUMNS($AD$1006:AJ1006),$AD$1006:$AU$1006,0)), HYPERLINK("#",""), HYPERLINK(CONCATENATE("#metadata!", ADDRESS(INDEX($Y$2:$Y$1001,MATCH(ROWS($W$2:W721),$W$2:$W$1001,0),0), INDEX($AD$1004:$AU$1004,1,MATCH(COLUMNS($AD$1006:AJ1006),$AD$1006:$AU$1006,0)))),"Fix")))</f>
        <v xml:space="preserve"> </v>
      </c>
      <c r="I721" s="4" t="str">
        <f ca="1">IF(OR(INDEX($X$2:$X$1001,MATCH(ROWS($W$2:W721),$W$2:$W$1001,0),1)&gt;=100000,INDEX($AD$1005:$AU$1005,1,MATCH(COLUMNS($AD$1006:AK1006),$AD$1006:$AU$1006,0))&gt;=100000), " ",IF(INDEX($AD$2:$AU$1001,MATCH(ROWS($W$2:W721),$W$2:$W$1001,0),MATCH(COLUMNS($AD$1006:AK1006),$AD$1006:$AU$1006,0)), HYPERLINK("#",""), HYPERLINK(CONCATENATE("#metadata!", ADDRESS(INDEX($Y$2:$Y$1001,MATCH(ROWS($W$2:W721),$W$2:$W$1001,0),0), INDEX($AD$1004:$AU$1004,1,MATCH(COLUMNS($AD$1006:AK1006),$AD$1006:$AU$1006,0)))),"Fix")))</f>
        <v xml:space="preserve"> </v>
      </c>
      <c r="J721" s="4" t="str">
        <f ca="1">IF(OR(INDEX($X$2:$X$1001,MATCH(ROWS($W$2:W721),$W$2:$W$1001,0),1)&gt;=100000,INDEX($AD$1005:$AU$1005,1,MATCH(COLUMNS($AD$1006:AL1006),$AD$1006:$AU$1006,0))&gt;=100000), " ",IF(INDEX($AD$2:$AU$1001,MATCH(ROWS($W$2:W721),$W$2:$W$1001,0),MATCH(COLUMNS($AD$1006:AL1006),$AD$1006:$AU$1006,0)), HYPERLINK("#",""), HYPERLINK(CONCATENATE("#metadata!", ADDRESS(INDEX($Y$2:$Y$1001,MATCH(ROWS($W$2:W721),$W$2:$W$1001,0),0), INDEX($AD$1004:$AU$1004,1,MATCH(COLUMNS($AD$1006:AL1006),$AD$1006:$AU$1006,0)))),"Fix")))</f>
        <v xml:space="preserve"> </v>
      </c>
      <c r="K721" s="4" t="str">
        <f ca="1">IF(OR(INDEX($X$2:$X$1001,MATCH(ROWS($W$2:W721),$W$2:$W$1001,0),1)&gt;=100000,INDEX($AD$1005:$AU$1005,1,MATCH(COLUMNS($AD$1006:AM1006),$AD$1006:$AU$1006,0))&gt;=100000), " ",IF(INDEX($AD$2:$AU$1001,MATCH(ROWS($W$2:W721),$W$2:$W$1001,0),MATCH(COLUMNS($AD$1006:AM1006),$AD$1006:$AU$1006,0)), HYPERLINK("#",""), HYPERLINK(CONCATENATE("#metadata!", ADDRESS(INDEX($Y$2:$Y$1001,MATCH(ROWS($W$2:W721),$W$2:$W$1001,0),0), INDEX($AD$1004:$AU$1004,1,MATCH(COLUMNS($AD$1006:AM1006),$AD$1006:$AU$1006,0)))),"Fix")))</f>
        <v xml:space="preserve"> </v>
      </c>
      <c r="L721" s="4" t="str">
        <f ca="1">IF(OR(INDEX($X$2:$X$1001,MATCH(ROWS($W$2:W721),$W$2:$W$1001,0),1)&gt;=100000,INDEX($AD$1005:$AU$1005,1,MATCH(COLUMNS($AD$1006:AN1006),$AD$1006:$AU$1006,0))&gt;=100000), " ",IF(INDEX($AD$2:$AU$1001,MATCH(ROWS($W$2:W721),$W$2:$W$1001,0),MATCH(COLUMNS($AD$1006:AN1006),$AD$1006:$AU$1006,0)), HYPERLINK("#",""), HYPERLINK(CONCATENATE("#metadata!", ADDRESS(INDEX($Y$2:$Y$1001,MATCH(ROWS($W$2:W721),$W$2:$W$1001,0),0), INDEX($AD$1004:$AU$1004,1,MATCH(COLUMNS($AD$1006:AN1006),$AD$1006:$AU$1006,0)))),"Fix")))</f>
        <v xml:space="preserve"> </v>
      </c>
      <c r="M721" s="4" t="str">
        <f ca="1">IF(OR(INDEX($X$2:$X$1001,MATCH(ROWS($W$2:W721),$W$2:$W$1001,0),1)&gt;=100000,INDEX($AD$1005:$AU$1005,1,MATCH(COLUMNS($AD$1006:AO1006),$AD$1006:$AU$1006,0))&gt;=100000), " ",IF(INDEX($AD$2:$AU$1001,MATCH(ROWS($W$2:W721),$W$2:$W$1001,0),MATCH(COLUMNS($AD$1006:AO1006),$AD$1006:$AU$1006,0)), HYPERLINK("#",""), HYPERLINK(CONCATENATE("#metadata!", ADDRESS(INDEX($Y$2:$Y$1001,MATCH(ROWS($W$2:W721),$W$2:$W$1001,0),0), INDEX($AD$1004:$AU$1004,1,MATCH(COLUMNS($AD$1006:AO1006),$AD$1006:$AU$1006,0)))),"Fix")))</f>
        <v xml:space="preserve"> </v>
      </c>
      <c r="N721" s="4" t="str">
        <f ca="1">IF(OR(INDEX($X$2:$X$1001,MATCH(ROWS($W$2:W721),$W$2:$W$1001,0),1)&gt;=100000,INDEX($AD$1005:$AU$1005,1,MATCH(COLUMNS($AD$1006:AP1006),$AD$1006:$AU$1006,0))&gt;=100000), " ",IF(INDEX($AD$2:$AU$1001,MATCH(ROWS($W$2:W721),$W$2:$W$1001,0),MATCH(COLUMNS($AD$1006:AP1006),$AD$1006:$AU$1006,0)), HYPERLINK("#",""), HYPERLINK(CONCATENATE("#metadata!", ADDRESS(INDEX($Y$2:$Y$1001,MATCH(ROWS($W$2:W721),$W$2:$W$1001,0),0), INDEX($AD$1004:$AU$1004,1,MATCH(COLUMNS($AD$1006:AP1006),$AD$1006:$AU$1006,0)))),"Fix")))</f>
        <v xml:space="preserve"> </v>
      </c>
      <c r="O721" s="4" t="str">
        <f ca="1">IF(OR(INDEX($X$2:$X$1001,MATCH(ROWS($W$2:W721),$W$2:$W$1001,0),1)&gt;=100000,INDEX($AD$1005:$AU$1005,1,MATCH(COLUMNS($AD$1006:AQ1006),$AD$1006:$AU$1006,0))&gt;=100000), " ",IF(INDEX($AD$2:$AU$1001,MATCH(ROWS($W$2:W721),$W$2:$W$1001,0),MATCH(COLUMNS($AD$1006:AQ1006),$AD$1006:$AU$1006,0)), HYPERLINK("#",""), HYPERLINK(CONCATENATE("#metadata!", ADDRESS(INDEX($Y$2:$Y$1001,MATCH(ROWS($W$2:W721),$W$2:$W$1001,0),0), INDEX($AD$1004:$AU$1004,1,MATCH(COLUMNS($AD$1006:AQ1006),$AD$1006:$AU$1006,0)))),"Fix")))</f>
        <v xml:space="preserve"> </v>
      </c>
      <c r="P721" s="4" t="str">
        <f ca="1">IF(OR(INDEX($X$2:$X$1001,MATCH(ROWS($W$2:W721),$W$2:$W$1001,0),1)&gt;=100000,INDEX($AD$1005:$AU$1005,1,MATCH(COLUMNS($AD$1006:AR1006),$AD$1006:$AU$1006,0))&gt;=100000), " ",IF(INDEX($AD$2:$AU$1001,MATCH(ROWS($W$2:W721),$W$2:$W$1001,0),MATCH(COLUMNS($AD$1006:AR1006),$AD$1006:$AU$1006,0)), HYPERLINK("#",""), HYPERLINK(CONCATENATE("#metadata!", ADDRESS(INDEX($Y$2:$Y$1001,MATCH(ROWS($W$2:W721),$W$2:$W$1001,0),0), INDEX($AD$1004:$AU$1004,1,MATCH(COLUMNS($AD$1006:AR1006),$AD$1006:$AU$1006,0)))),"Fix")))</f>
        <v xml:space="preserve"> </v>
      </c>
      <c r="Q721" s="4" t="str">
        <f ca="1">IF(OR(INDEX($X$2:$X$1001,MATCH(ROWS($W$2:W721),$W$2:$W$1001,0),1)&gt;=100000,INDEX($AD$1005:$AU$1005,1,MATCH(COLUMNS($AD$1006:AS1006),$AD$1006:$AU$1006,0))&gt;=100000), " ",IF(INDEX($AD$2:$AU$1001,MATCH(ROWS($W$2:W721),$W$2:$W$1001,0),MATCH(COLUMNS($AD$1006:AS1006),$AD$1006:$AU$1006,0)), HYPERLINK("#",""), HYPERLINK(CONCATENATE("#metadata!", ADDRESS(INDEX($Y$2:$Y$1001,MATCH(ROWS($W$2:W721),$W$2:$W$1001,0),0), INDEX($AD$1004:$AU$1004,1,MATCH(COLUMNS($AD$1006:AS1006),$AD$1006:$AU$1006,0)))),"Fix")))</f>
        <v xml:space="preserve"> </v>
      </c>
      <c r="R721" s="4" t="str">
        <f ca="1">IF(OR(INDEX($X$2:$X$1001,MATCH(ROWS($W$2:W721),$W$2:$W$1001,0),1)&gt;=100000,INDEX($AD$1005:$AU$1005,1,MATCH(COLUMNS($AD$1006:AT1006),$AD$1006:$AU$1006,0))&gt;=100000), " ",IF(INDEX($AD$2:$AU$1001,MATCH(ROWS($W$2:W721),$W$2:$W$1001,0),MATCH(COLUMNS($AD$1006:AT1006),$AD$1006:$AU$1006,0)), HYPERLINK("#",""), HYPERLINK(CONCATENATE("#metadata!", ADDRESS(INDEX($Y$2:$Y$1001,MATCH(ROWS($W$2:W721),$W$2:$W$1001,0),0), INDEX($AD$1004:$AU$1004,1,MATCH(COLUMNS($AD$1006:AT1006),$AD$1006:$AU$1006,0)))),"Fix")))</f>
        <v xml:space="preserve"> </v>
      </c>
      <c r="S721" s="4" t="str">
        <f ca="1">IF(OR(INDEX($X$2:$X$1001,MATCH(ROWS($W$2:W721),$W$2:$W$1001,0),1)&gt;=100000,INDEX($AD$1005:$AU$1005,1,MATCH(COLUMNS($AD$1006:AU1006),$AD$1006:$AU$1006,0))&gt;=100000), " ",IF(INDEX($AD$2:$AU$1001,MATCH(ROWS($W$2:W721),$W$2:$W$1001,0),MATCH(COLUMNS($AD$1006:AU1006),$AD$1006:$AU$1006,0)), HYPERLINK("#",""), HYPERLINK(CONCATENATE("#metadata!", ADDRESS(INDEX($Y$2:$Y$1001,MATCH(ROWS($W$2:W721),$W$2:$W$1001,0),0), INDEX($AD$1004:$AU$1004,1,MATCH(COLUMNS($AD$1006:AU1006),$AD$1006:$AU$1006,0)))),"Fix")))</f>
        <v xml:space="preserve"> </v>
      </c>
      <c r="W721">
        <v>720</v>
      </c>
      <c r="X721">
        <v>100721</v>
      </c>
      <c r="Y721">
        <v>721</v>
      </c>
      <c r="Z721" t="b">
        <f t="shared" si="11"/>
        <v>1</v>
      </c>
      <c r="AA721" t="b">
        <f>COUNTBLANK(metadata!B721:S721)=COLUMNS(metadata!B721:S721)</f>
        <v>1</v>
      </c>
      <c r="AB721" t="str">
        <v/>
      </c>
      <c r="AD721" t="b">
        <f ca="1">AND(IF(metadata!B721="",FALSE,TRUE),COUNTIF(metadata!B:B, metadata!B721) = 1,NOT(ISERROR(SUMPRODUCT(SEARCH(MID(metadata!B721,ROW(INDIRECT("1:"&amp;LEN(metadata!B721))), 1),"0123456789abcdefghijklmnopqrstuvwxyzABCDEFGHIJKLMNOPQRSTUVWXYZ.")))))</f>
        <v>0</v>
      </c>
      <c r="AE721" t="b">
        <f>OR(AND(IF(metadata!C721="",FALSE,TRUE),OR(EXACT(metadata!C721,"not applicable"),EXACT(metadata!C721,"missing: not collected"),EXACT(metadata!C721,"missing: not provided"),EXACT(metadata!C721,"missing: restricted access"))),AND(IF(metadata!C721="",FALSE,ISNUMBER(VALUE(metadata!C721))),metadata!C721&gt;0))</f>
        <v>0</v>
      </c>
      <c r="AF721" t="b">
        <f>AND(IF(metadata!D721="",FALSE,TRUE),EXACT(metadata!D721,"missing: not provided"))</f>
        <v>0</v>
      </c>
      <c r="AG721" t="b">
        <f>AND(IF(metadata!E721="",FALSE,TRUE),EXACT(metadata!E721,"Host-associated"))</f>
        <v>0</v>
      </c>
      <c r="AH721" t="b">
        <f>AND(IF(metadata!F721="",FALSE,TRUE),OR(EXACT(metadata!F721,"Animal"),EXACT(metadata!F721,"Fungus"),EXACT(metadata!F721,"Plant")))</f>
        <v>0</v>
      </c>
      <c r="AI721" t="b">
        <f>AND(IF(metadata!G721="",FALSE,TRUE),OR(EXACT(metadata!G721,"Plant secretion"),EXACT(metadata!G721,"Plant rhizosphere"),EXACT(metadata!G721,"Plant surface"),EXACT(metadata!G721,"Plant corpus"),EXACT(metadata!G721,"Fungus surface"),EXACT(metadata!G721,"Fungus corpus"),EXACT(metadata!G721,"Animal surface"),EXACT(metadata!G721,"Animal proximal gut"),EXACT(metadata!G721,"Animal corpus"),EXACT(metadata!G721,"Animal distal gut"),EXACT(metadata!G721,"Animal secretion")))</f>
        <v>0</v>
      </c>
      <c r="AJ721" t="b">
        <f>OR(AND(IF(metadata!H721="",FALSE,TRUE),OR(EXACT(metadata!H721,"missing: not collected"),EXACT(metadata!H721,"missing: not provided"),EXACT(metadata!H721,"missing: restricted access"))),AND(IF(metadata!H721="",FALSE,TRUE),OR(EXACT(metadata!H721,"organism-associated habitat"),EXACT(metadata!H721,"plant-associated habitat"),EXACT(metadata!H721,"animal-associated habitat"),EXACT(metadata!H721,"insecta-associated habitat"),EXACT(metadata!H721,"mammalia-associated habitat"),EXACT(metadata!H721,"human-associated habitat"),EXACT(metadata!H721,"livestock-associated habitat"))))</f>
        <v>0</v>
      </c>
      <c r="AK721" t="b">
        <f>AND(IF(metadata!I721="",FALSE,TRUE),EXACT(metadata!I721,"host-associated"))</f>
        <v>0</v>
      </c>
      <c r="AL721" t="b">
        <f>OR(AND(IF(metadata!J721="",FALSE,TRUE),OR(EXACT(metadata!J721,"not applicable"),EXACT(metadata!J721,"missing: not collected"),EXACT(metadata!J721,"missing: not provided"),EXACT(metadata!J721,"missing: restricted access"))),AND(IF(metadata!J721="",FALSE,ISNUMBER(VALUE(metadata!J721))),metadata!J721&gt;0))</f>
        <v>0</v>
      </c>
      <c r="AM721" t="b">
        <f>AND(IF(metadata!K721="",FALSE,TRUE),EXACT(metadata!K721,"missing: not provided"))</f>
        <v>0</v>
      </c>
      <c r="AN721" t="b">
        <f>IF(metadata!L721="",FALSE,TRUE)</f>
        <v>0</v>
      </c>
      <c r="AO721" t="b">
        <f>IF(metadata!M721="",FALSE,TRUE)</f>
        <v>0</v>
      </c>
      <c r="AP721" t="b">
        <f>OR(AND(IF(metadata!N721="",FALSE,TRUE),OR(EXACT(metadata!N721,"not applicable"),EXACT(metadata!N721,"missing: not collected"),EXACT(metadata!N721,"missing: not provided"))),AND(IF(metadata!N721="",FALSE,IF(ISERROR(INT(metadata!N721)),FALSE,INT(metadata!N721)=metadata!N721)),metadata!N721&gt;0))</f>
        <v>0</v>
      </c>
      <c r="AQ721" t="b">
        <f>AND(IF(metadata!O721="",FALSE,TRUE),EXACT(metadata!O721,"Not applicable"))</f>
        <v>0</v>
      </c>
      <c r="AR721" t="b">
        <f>OR(AND(IF(metadata!P721="",FALSE,TRUE),OR(EXACT(metadata!P721,"not applicable"),EXACT(metadata!P721,"missing: not collected"),EXACT(metadata!P721,"missing: not provided"),EXACT(metadata!P721,"missing: restricted access"))),IF(metadata!P721="",FALSE,IF(ISERROR(INT(metadata!P721)),FALSE,INT(metadata!P721)=metadata!P721)))</f>
        <v>0</v>
      </c>
      <c r="AS721" t="b">
        <f>AND(IF(metadata!Q721="",FALSE,TRUE),EXACT(metadata!Q721,"Not applicable"))</f>
        <v>0</v>
      </c>
      <c r="AT721" t="b">
        <f>OR(AND(IF(metadata!R721="",FALSE,TRUE),OR(EXACT(metadata!R721,"not applicable"),EXACT(metadata!R721,"missing: not collected"),EXACT(metadata!R721,"missing: not provided"),EXACT(metadata!R721,"missing: restricted access"))),AND(IF(metadata!R721="",FALSE,ISNUMBER(VALUE(metadata!R721))),metadata!R721&gt;0))</f>
        <v>0</v>
      </c>
      <c r="AU721" t="b">
        <f>AND(IF(metadata!S721="",FALSE,TRUE),EXACT(metadata!S721,"missing: not provided"))</f>
        <v>0</v>
      </c>
    </row>
    <row r="722" spans="1:47" x14ac:dyDescent="0.2">
      <c r="A722" s="5" t="str">
        <f ca="1">IF(B722=" "," ",HYPERLINK(CONCATENATE("#metadata!",ADDRESS(INDEX($Y$2:$Y$1001,MATCH(ROWS($W$2:W722),$W$2:$W$1001,0),0),1)),INDEX($AB$2:$AB$1001,MATCH(ROWS($W$2:W722),$W$2:$W$1001,0),0)))</f>
        <v xml:space="preserve"> </v>
      </c>
      <c r="B722" s="4" t="str">
        <f ca="1">IF(OR(INDEX($X$2:$X$1001,MATCH(ROWS($W$2:W722),$W$2:$W$1001,0),1)&gt;=100000,INDEX($AD$1005:$AU$1005,1,MATCH(COLUMNS($AD$1006:AD1006),$AD$1006:$AU$1006,0))&gt;=100000), " ",IF(INDEX($AD$2:$AU$1001,MATCH(ROWS($W$2:W722),$W$2:$W$1001,0),MATCH(COLUMNS($AD$1006:AD1006),$AD$1006:$AU$1006,0)), HYPERLINK("#",""), HYPERLINK(CONCATENATE("#metadata!", ADDRESS(INDEX($Y$2:$Y$1001,MATCH(ROWS($W$2:W722),$W$2:$W$1001,0),0), INDEX($AD$1004:$AU$1004,1,MATCH(COLUMNS($AD$1006:AD1006),$AD$1006:$AU$1006,0)))),"Fix")))</f>
        <v xml:space="preserve"> </v>
      </c>
      <c r="C722" s="4" t="str">
        <f ca="1">IF(OR(INDEX($X$2:$X$1001,MATCH(ROWS($W$2:W722),$W$2:$W$1001,0),1)&gt;=100000,INDEX($AD$1005:$AU$1005,1,MATCH(COLUMNS($AD$1006:AE1006),$AD$1006:$AU$1006,0))&gt;=100000), " ",IF(INDEX($AD$2:$AU$1001,MATCH(ROWS($W$2:W722),$W$2:$W$1001,0),MATCH(COLUMNS($AD$1006:AE1006),$AD$1006:$AU$1006,0)), HYPERLINK("#",""), HYPERLINK(CONCATENATE("#metadata!", ADDRESS(INDEX($Y$2:$Y$1001,MATCH(ROWS($W$2:W722),$W$2:$W$1001,0),0), INDEX($AD$1004:$AU$1004,1,MATCH(COLUMNS($AD$1006:AE1006),$AD$1006:$AU$1006,0)))),"Fix")))</f>
        <v xml:space="preserve"> </v>
      </c>
      <c r="D722" s="4" t="str">
        <f ca="1">IF(OR(INDEX($X$2:$X$1001,MATCH(ROWS($W$2:W722),$W$2:$W$1001,0),1)&gt;=100000,INDEX($AD$1005:$AU$1005,1,MATCH(COLUMNS($AD$1006:AF1006),$AD$1006:$AU$1006,0))&gt;=100000), " ",IF(INDEX($AD$2:$AU$1001,MATCH(ROWS($W$2:W722),$W$2:$W$1001,0),MATCH(COLUMNS($AD$1006:AF1006),$AD$1006:$AU$1006,0)), HYPERLINK("#",""), HYPERLINK(CONCATENATE("#metadata!", ADDRESS(INDEX($Y$2:$Y$1001,MATCH(ROWS($W$2:W722),$W$2:$W$1001,0),0), INDEX($AD$1004:$AU$1004,1,MATCH(COLUMNS($AD$1006:AF1006),$AD$1006:$AU$1006,0)))),"Fix")))</f>
        <v xml:space="preserve"> </v>
      </c>
      <c r="E722" s="4" t="str">
        <f ca="1">IF(OR(INDEX($X$2:$X$1001,MATCH(ROWS($W$2:W722),$W$2:$W$1001,0),1)&gt;=100000,INDEX($AD$1005:$AU$1005,1,MATCH(COLUMNS($AD$1006:AG1006),$AD$1006:$AU$1006,0))&gt;=100000), " ",IF(INDEX($AD$2:$AU$1001,MATCH(ROWS($W$2:W722),$W$2:$W$1001,0),MATCH(COLUMNS($AD$1006:AG1006),$AD$1006:$AU$1006,0)), HYPERLINK("#",""), HYPERLINK(CONCATENATE("#metadata!", ADDRESS(INDEX($Y$2:$Y$1001,MATCH(ROWS($W$2:W722),$W$2:$W$1001,0),0), INDEX($AD$1004:$AU$1004,1,MATCH(COLUMNS($AD$1006:AG1006),$AD$1006:$AU$1006,0)))),"Fix")))</f>
        <v xml:space="preserve"> </v>
      </c>
      <c r="F722" s="4" t="str">
        <f ca="1">IF(OR(INDEX($X$2:$X$1001,MATCH(ROWS($W$2:W722),$W$2:$W$1001,0),1)&gt;=100000,INDEX($AD$1005:$AU$1005,1,MATCH(COLUMNS($AD$1006:AH1006),$AD$1006:$AU$1006,0))&gt;=100000), " ",IF(INDEX($AD$2:$AU$1001,MATCH(ROWS($W$2:W722),$W$2:$W$1001,0),MATCH(COLUMNS($AD$1006:AH1006),$AD$1006:$AU$1006,0)), HYPERLINK("#",""), HYPERLINK(CONCATENATE("#metadata!", ADDRESS(INDEX($Y$2:$Y$1001,MATCH(ROWS($W$2:W722),$W$2:$W$1001,0),0), INDEX($AD$1004:$AU$1004,1,MATCH(COLUMNS($AD$1006:AH1006),$AD$1006:$AU$1006,0)))),"Fix")))</f>
        <v xml:space="preserve"> </v>
      </c>
      <c r="G722" s="4" t="str">
        <f ca="1">IF(OR(INDEX($X$2:$X$1001,MATCH(ROWS($W$2:W722),$W$2:$W$1001,0),1)&gt;=100000,INDEX($AD$1005:$AU$1005,1,MATCH(COLUMNS($AD$1006:AI1006),$AD$1006:$AU$1006,0))&gt;=100000), " ",IF(INDEX($AD$2:$AU$1001,MATCH(ROWS($W$2:W722),$W$2:$W$1001,0),MATCH(COLUMNS($AD$1006:AI1006),$AD$1006:$AU$1006,0)), HYPERLINK("#",""), HYPERLINK(CONCATENATE("#metadata!", ADDRESS(INDEX($Y$2:$Y$1001,MATCH(ROWS($W$2:W722),$W$2:$W$1001,0),0), INDEX($AD$1004:$AU$1004,1,MATCH(COLUMNS($AD$1006:AI1006),$AD$1006:$AU$1006,0)))),"Fix")))</f>
        <v xml:space="preserve"> </v>
      </c>
      <c r="H722" s="4" t="str">
        <f ca="1">IF(OR(INDEX($X$2:$X$1001,MATCH(ROWS($W$2:W722),$W$2:$W$1001,0),1)&gt;=100000,INDEX($AD$1005:$AU$1005,1,MATCH(COLUMNS($AD$1006:AJ1006),$AD$1006:$AU$1006,0))&gt;=100000), " ",IF(INDEX($AD$2:$AU$1001,MATCH(ROWS($W$2:W722),$W$2:$W$1001,0),MATCH(COLUMNS($AD$1006:AJ1006),$AD$1006:$AU$1006,0)), HYPERLINK("#",""), HYPERLINK(CONCATENATE("#metadata!", ADDRESS(INDEX($Y$2:$Y$1001,MATCH(ROWS($W$2:W722),$W$2:$W$1001,0),0), INDEX($AD$1004:$AU$1004,1,MATCH(COLUMNS($AD$1006:AJ1006),$AD$1006:$AU$1006,0)))),"Fix")))</f>
        <v xml:space="preserve"> </v>
      </c>
      <c r="I722" s="4" t="str">
        <f ca="1">IF(OR(INDEX($X$2:$X$1001,MATCH(ROWS($W$2:W722),$W$2:$W$1001,0),1)&gt;=100000,INDEX($AD$1005:$AU$1005,1,MATCH(COLUMNS($AD$1006:AK1006),$AD$1006:$AU$1006,0))&gt;=100000), " ",IF(INDEX($AD$2:$AU$1001,MATCH(ROWS($W$2:W722),$W$2:$W$1001,0),MATCH(COLUMNS($AD$1006:AK1006),$AD$1006:$AU$1006,0)), HYPERLINK("#",""), HYPERLINK(CONCATENATE("#metadata!", ADDRESS(INDEX($Y$2:$Y$1001,MATCH(ROWS($W$2:W722),$W$2:$W$1001,0),0), INDEX($AD$1004:$AU$1004,1,MATCH(COLUMNS($AD$1006:AK1006),$AD$1006:$AU$1006,0)))),"Fix")))</f>
        <v xml:space="preserve"> </v>
      </c>
      <c r="J722" s="4" t="str">
        <f ca="1">IF(OR(INDEX($X$2:$X$1001,MATCH(ROWS($W$2:W722),$W$2:$W$1001,0),1)&gt;=100000,INDEX($AD$1005:$AU$1005,1,MATCH(COLUMNS($AD$1006:AL1006),$AD$1006:$AU$1006,0))&gt;=100000), " ",IF(INDEX($AD$2:$AU$1001,MATCH(ROWS($W$2:W722),$W$2:$W$1001,0),MATCH(COLUMNS($AD$1006:AL1006),$AD$1006:$AU$1006,0)), HYPERLINK("#",""), HYPERLINK(CONCATENATE("#metadata!", ADDRESS(INDEX($Y$2:$Y$1001,MATCH(ROWS($W$2:W722),$W$2:$W$1001,0),0), INDEX($AD$1004:$AU$1004,1,MATCH(COLUMNS($AD$1006:AL1006),$AD$1006:$AU$1006,0)))),"Fix")))</f>
        <v xml:space="preserve"> </v>
      </c>
      <c r="K722" s="4" t="str">
        <f ca="1">IF(OR(INDEX($X$2:$X$1001,MATCH(ROWS($W$2:W722),$W$2:$W$1001,0),1)&gt;=100000,INDEX($AD$1005:$AU$1005,1,MATCH(COLUMNS($AD$1006:AM1006),$AD$1006:$AU$1006,0))&gt;=100000), " ",IF(INDEX($AD$2:$AU$1001,MATCH(ROWS($W$2:W722),$W$2:$W$1001,0),MATCH(COLUMNS($AD$1006:AM1006),$AD$1006:$AU$1006,0)), HYPERLINK("#",""), HYPERLINK(CONCATENATE("#metadata!", ADDRESS(INDEX($Y$2:$Y$1001,MATCH(ROWS($W$2:W722),$W$2:$W$1001,0),0), INDEX($AD$1004:$AU$1004,1,MATCH(COLUMNS($AD$1006:AM1006),$AD$1006:$AU$1006,0)))),"Fix")))</f>
        <v xml:space="preserve"> </v>
      </c>
      <c r="L722" s="4" t="str">
        <f ca="1">IF(OR(INDEX($X$2:$X$1001,MATCH(ROWS($W$2:W722),$W$2:$W$1001,0),1)&gt;=100000,INDEX($AD$1005:$AU$1005,1,MATCH(COLUMNS($AD$1006:AN1006),$AD$1006:$AU$1006,0))&gt;=100000), " ",IF(INDEX($AD$2:$AU$1001,MATCH(ROWS($W$2:W722),$W$2:$W$1001,0),MATCH(COLUMNS($AD$1006:AN1006),$AD$1006:$AU$1006,0)), HYPERLINK("#",""), HYPERLINK(CONCATENATE("#metadata!", ADDRESS(INDEX($Y$2:$Y$1001,MATCH(ROWS($W$2:W722),$W$2:$W$1001,0),0), INDEX($AD$1004:$AU$1004,1,MATCH(COLUMNS($AD$1006:AN1006),$AD$1006:$AU$1006,0)))),"Fix")))</f>
        <v xml:space="preserve"> </v>
      </c>
      <c r="M722" s="4" t="str">
        <f ca="1">IF(OR(INDEX($X$2:$X$1001,MATCH(ROWS($W$2:W722),$W$2:$W$1001,0),1)&gt;=100000,INDEX($AD$1005:$AU$1005,1,MATCH(COLUMNS($AD$1006:AO1006),$AD$1006:$AU$1006,0))&gt;=100000), " ",IF(INDEX($AD$2:$AU$1001,MATCH(ROWS($W$2:W722),$W$2:$W$1001,0),MATCH(COLUMNS($AD$1006:AO1006),$AD$1006:$AU$1006,0)), HYPERLINK("#",""), HYPERLINK(CONCATENATE("#metadata!", ADDRESS(INDEX($Y$2:$Y$1001,MATCH(ROWS($W$2:W722),$W$2:$W$1001,0),0), INDEX($AD$1004:$AU$1004,1,MATCH(COLUMNS($AD$1006:AO1006),$AD$1006:$AU$1006,0)))),"Fix")))</f>
        <v xml:space="preserve"> </v>
      </c>
      <c r="N722" s="4" t="str">
        <f ca="1">IF(OR(INDEX($X$2:$X$1001,MATCH(ROWS($W$2:W722),$W$2:$W$1001,0),1)&gt;=100000,INDEX($AD$1005:$AU$1005,1,MATCH(COLUMNS($AD$1006:AP1006),$AD$1006:$AU$1006,0))&gt;=100000), " ",IF(INDEX($AD$2:$AU$1001,MATCH(ROWS($W$2:W722),$W$2:$W$1001,0),MATCH(COLUMNS($AD$1006:AP1006),$AD$1006:$AU$1006,0)), HYPERLINK("#",""), HYPERLINK(CONCATENATE("#metadata!", ADDRESS(INDEX($Y$2:$Y$1001,MATCH(ROWS($W$2:W722),$W$2:$W$1001,0),0), INDEX($AD$1004:$AU$1004,1,MATCH(COLUMNS($AD$1006:AP1006),$AD$1006:$AU$1006,0)))),"Fix")))</f>
        <v xml:space="preserve"> </v>
      </c>
      <c r="O722" s="4" t="str">
        <f ca="1">IF(OR(INDEX($X$2:$X$1001,MATCH(ROWS($W$2:W722),$W$2:$W$1001,0),1)&gt;=100000,INDEX($AD$1005:$AU$1005,1,MATCH(COLUMNS($AD$1006:AQ1006),$AD$1006:$AU$1006,0))&gt;=100000), " ",IF(INDEX($AD$2:$AU$1001,MATCH(ROWS($W$2:W722),$W$2:$W$1001,0),MATCH(COLUMNS($AD$1006:AQ1006),$AD$1006:$AU$1006,0)), HYPERLINK("#",""), HYPERLINK(CONCATENATE("#metadata!", ADDRESS(INDEX($Y$2:$Y$1001,MATCH(ROWS($W$2:W722),$W$2:$W$1001,0),0), INDEX($AD$1004:$AU$1004,1,MATCH(COLUMNS($AD$1006:AQ1006),$AD$1006:$AU$1006,0)))),"Fix")))</f>
        <v xml:space="preserve"> </v>
      </c>
      <c r="P722" s="4" t="str">
        <f ca="1">IF(OR(INDEX($X$2:$X$1001,MATCH(ROWS($W$2:W722),$W$2:$W$1001,0),1)&gt;=100000,INDEX($AD$1005:$AU$1005,1,MATCH(COLUMNS($AD$1006:AR1006),$AD$1006:$AU$1006,0))&gt;=100000), " ",IF(INDEX($AD$2:$AU$1001,MATCH(ROWS($W$2:W722),$W$2:$W$1001,0),MATCH(COLUMNS($AD$1006:AR1006),$AD$1006:$AU$1006,0)), HYPERLINK("#",""), HYPERLINK(CONCATENATE("#metadata!", ADDRESS(INDEX($Y$2:$Y$1001,MATCH(ROWS($W$2:W722),$W$2:$W$1001,0),0), INDEX($AD$1004:$AU$1004,1,MATCH(COLUMNS($AD$1006:AR1006),$AD$1006:$AU$1006,0)))),"Fix")))</f>
        <v xml:space="preserve"> </v>
      </c>
      <c r="Q722" s="4" t="str">
        <f ca="1">IF(OR(INDEX($X$2:$X$1001,MATCH(ROWS($W$2:W722),$W$2:$W$1001,0),1)&gt;=100000,INDEX($AD$1005:$AU$1005,1,MATCH(COLUMNS($AD$1006:AS1006),$AD$1006:$AU$1006,0))&gt;=100000), " ",IF(INDEX($AD$2:$AU$1001,MATCH(ROWS($W$2:W722),$W$2:$W$1001,0),MATCH(COLUMNS($AD$1006:AS1006),$AD$1006:$AU$1006,0)), HYPERLINK("#",""), HYPERLINK(CONCATENATE("#metadata!", ADDRESS(INDEX($Y$2:$Y$1001,MATCH(ROWS($W$2:W722),$W$2:$W$1001,0),0), INDEX($AD$1004:$AU$1004,1,MATCH(COLUMNS($AD$1006:AS1006),$AD$1006:$AU$1006,0)))),"Fix")))</f>
        <v xml:space="preserve"> </v>
      </c>
      <c r="R722" s="4" t="str">
        <f ca="1">IF(OR(INDEX($X$2:$X$1001,MATCH(ROWS($W$2:W722),$W$2:$W$1001,0),1)&gt;=100000,INDEX($AD$1005:$AU$1005,1,MATCH(COLUMNS($AD$1006:AT1006),$AD$1006:$AU$1006,0))&gt;=100000), " ",IF(INDEX($AD$2:$AU$1001,MATCH(ROWS($W$2:W722),$W$2:$W$1001,0),MATCH(COLUMNS($AD$1006:AT1006),$AD$1006:$AU$1006,0)), HYPERLINK("#",""), HYPERLINK(CONCATENATE("#metadata!", ADDRESS(INDEX($Y$2:$Y$1001,MATCH(ROWS($W$2:W722),$W$2:$W$1001,0),0), INDEX($AD$1004:$AU$1004,1,MATCH(COLUMNS($AD$1006:AT1006),$AD$1006:$AU$1006,0)))),"Fix")))</f>
        <v xml:space="preserve"> </v>
      </c>
      <c r="S722" s="4" t="str">
        <f ca="1">IF(OR(INDEX($X$2:$X$1001,MATCH(ROWS($W$2:W722),$W$2:$W$1001,0),1)&gt;=100000,INDEX($AD$1005:$AU$1005,1,MATCH(COLUMNS($AD$1006:AU1006),$AD$1006:$AU$1006,0))&gt;=100000), " ",IF(INDEX($AD$2:$AU$1001,MATCH(ROWS($W$2:W722),$W$2:$W$1001,0),MATCH(COLUMNS($AD$1006:AU1006),$AD$1006:$AU$1006,0)), HYPERLINK("#",""), HYPERLINK(CONCATENATE("#metadata!", ADDRESS(INDEX($Y$2:$Y$1001,MATCH(ROWS($W$2:W722),$W$2:$W$1001,0),0), INDEX($AD$1004:$AU$1004,1,MATCH(COLUMNS($AD$1006:AU1006),$AD$1006:$AU$1006,0)))),"Fix")))</f>
        <v xml:space="preserve"> </v>
      </c>
      <c r="W722">
        <v>721</v>
      </c>
      <c r="X722">
        <v>100722</v>
      </c>
      <c r="Y722">
        <v>722</v>
      </c>
      <c r="Z722" t="b">
        <f t="shared" si="11"/>
        <v>1</v>
      </c>
      <c r="AA722" t="b">
        <f>COUNTBLANK(metadata!B722:S722)=COLUMNS(metadata!B722:S722)</f>
        <v>1</v>
      </c>
      <c r="AB722" t="str">
        <v/>
      </c>
      <c r="AD722" t="b">
        <f ca="1">AND(IF(metadata!B722="",FALSE,TRUE),COUNTIF(metadata!B:B, metadata!B722) = 1,NOT(ISERROR(SUMPRODUCT(SEARCH(MID(metadata!B722,ROW(INDIRECT("1:"&amp;LEN(metadata!B722))), 1),"0123456789abcdefghijklmnopqrstuvwxyzABCDEFGHIJKLMNOPQRSTUVWXYZ.")))))</f>
        <v>0</v>
      </c>
      <c r="AE722" t="b">
        <f>OR(AND(IF(metadata!C722="",FALSE,TRUE),OR(EXACT(metadata!C722,"not applicable"),EXACT(metadata!C722,"missing: not collected"),EXACT(metadata!C722,"missing: not provided"),EXACT(metadata!C722,"missing: restricted access"))),AND(IF(metadata!C722="",FALSE,ISNUMBER(VALUE(metadata!C722))),metadata!C722&gt;0))</f>
        <v>0</v>
      </c>
      <c r="AF722" t="b">
        <f>AND(IF(metadata!D722="",FALSE,TRUE),EXACT(metadata!D722,"missing: not provided"))</f>
        <v>0</v>
      </c>
      <c r="AG722" t="b">
        <f>AND(IF(metadata!E722="",FALSE,TRUE),EXACT(metadata!E722,"Host-associated"))</f>
        <v>0</v>
      </c>
      <c r="AH722" t="b">
        <f>AND(IF(metadata!F722="",FALSE,TRUE),OR(EXACT(metadata!F722,"Animal"),EXACT(metadata!F722,"Fungus"),EXACT(metadata!F722,"Plant")))</f>
        <v>0</v>
      </c>
      <c r="AI722" t="b">
        <f>AND(IF(metadata!G722="",FALSE,TRUE),OR(EXACT(metadata!G722,"Plant secretion"),EXACT(metadata!G722,"Plant rhizosphere"),EXACT(metadata!G722,"Plant surface"),EXACT(metadata!G722,"Plant corpus"),EXACT(metadata!G722,"Fungus surface"),EXACT(metadata!G722,"Fungus corpus"),EXACT(metadata!G722,"Animal surface"),EXACT(metadata!G722,"Animal proximal gut"),EXACT(metadata!G722,"Animal corpus"),EXACT(metadata!G722,"Animal distal gut"),EXACT(metadata!G722,"Animal secretion")))</f>
        <v>0</v>
      </c>
      <c r="AJ722" t="b">
        <f>OR(AND(IF(metadata!H722="",FALSE,TRUE),OR(EXACT(metadata!H722,"missing: not collected"),EXACT(metadata!H722,"missing: not provided"),EXACT(metadata!H722,"missing: restricted access"))),AND(IF(metadata!H722="",FALSE,TRUE),OR(EXACT(metadata!H722,"organism-associated habitat"),EXACT(metadata!H722,"plant-associated habitat"),EXACT(metadata!H722,"animal-associated habitat"),EXACT(metadata!H722,"insecta-associated habitat"),EXACT(metadata!H722,"mammalia-associated habitat"),EXACT(metadata!H722,"human-associated habitat"),EXACT(metadata!H722,"livestock-associated habitat"))))</f>
        <v>0</v>
      </c>
      <c r="AK722" t="b">
        <f>AND(IF(metadata!I722="",FALSE,TRUE),EXACT(metadata!I722,"host-associated"))</f>
        <v>0</v>
      </c>
      <c r="AL722" t="b">
        <f>OR(AND(IF(metadata!J722="",FALSE,TRUE),OR(EXACT(metadata!J722,"not applicable"),EXACT(metadata!J722,"missing: not collected"),EXACT(metadata!J722,"missing: not provided"),EXACT(metadata!J722,"missing: restricted access"))),AND(IF(metadata!J722="",FALSE,ISNUMBER(VALUE(metadata!J722))),metadata!J722&gt;0))</f>
        <v>0</v>
      </c>
      <c r="AM722" t="b">
        <f>AND(IF(metadata!K722="",FALSE,TRUE),EXACT(metadata!K722,"missing: not provided"))</f>
        <v>0</v>
      </c>
      <c r="AN722" t="b">
        <f>IF(metadata!L722="",FALSE,TRUE)</f>
        <v>0</v>
      </c>
      <c r="AO722" t="b">
        <f>IF(metadata!M722="",FALSE,TRUE)</f>
        <v>0</v>
      </c>
      <c r="AP722" t="b">
        <f>OR(AND(IF(metadata!N722="",FALSE,TRUE),OR(EXACT(metadata!N722,"not applicable"),EXACT(metadata!N722,"missing: not collected"),EXACT(metadata!N722,"missing: not provided"))),AND(IF(metadata!N722="",FALSE,IF(ISERROR(INT(metadata!N722)),FALSE,INT(metadata!N722)=metadata!N722)),metadata!N722&gt;0))</f>
        <v>0</v>
      </c>
      <c r="AQ722" t="b">
        <f>AND(IF(metadata!O722="",FALSE,TRUE),EXACT(metadata!O722,"Not applicable"))</f>
        <v>0</v>
      </c>
      <c r="AR722" t="b">
        <f>OR(AND(IF(metadata!P722="",FALSE,TRUE),OR(EXACT(metadata!P722,"not applicable"),EXACT(metadata!P722,"missing: not collected"),EXACT(metadata!P722,"missing: not provided"),EXACT(metadata!P722,"missing: restricted access"))),IF(metadata!P722="",FALSE,IF(ISERROR(INT(metadata!P722)),FALSE,INT(metadata!P722)=metadata!P722)))</f>
        <v>0</v>
      </c>
      <c r="AS722" t="b">
        <f>AND(IF(metadata!Q722="",FALSE,TRUE),EXACT(metadata!Q722,"Not applicable"))</f>
        <v>0</v>
      </c>
      <c r="AT722" t="b">
        <f>OR(AND(IF(metadata!R722="",FALSE,TRUE),OR(EXACT(metadata!R722,"not applicable"),EXACT(metadata!R722,"missing: not collected"),EXACT(metadata!R722,"missing: not provided"),EXACT(metadata!R722,"missing: restricted access"))),AND(IF(metadata!R722="",FALSE,ISNUMBER(VALUE(metadata!R722))),metadata!R722&gt;0))</f>
        <v>0</v>
      </c>
      <c r="AU722" t="b">
        <f>AND(IF(metadata!S722="",FALSE,TRUE),EXACT(metadata!S722,"missing: not provided"))</f>
        <v>0</v>
      </c>
    </row>
    <row r="723" spans="1:47" x14ac:dyDescent="0.2">
      <c r="A723" s="5" t="str">
        <f ca="1">IF(B723=" "," ",HYPERLINK(CONCATENATE("#metadata!",ADDRESS(INDEX($Y$2:$Y$1001,MATCH(ROWS($W$2:W723),$W$2:$W$1001,0),0),1)),INDEX($AB$2:$AB$1001,MATCH(ROWS($W$2:W723),$W$2:$W$1001,0),0)))</f>
        <v xml:space="preserve"> </v>
      </c>
      <c r="B723" s="4" t="str">
        <f ca="1">IF(OR(INDEX($X$2:$X$1001,MATCH(ROWS($W$2:W723),$W$2:$W$1001,0),1)&gt;=100000,INDEX($AD$1005:$AU$1005,1,MATCH(COLUMNS($AD$1006:AD1006),$AD$1006:$AU$1006,0))&gt;=100000), " ",IF(INDEX($AD$2:$AU$1001,MATCH(ROWS($W$2:W723),$W$2:$W$1001,0),MATCH(COLUMNS($AD$1006:AD1006),$AD$1006:$AU$1006,0)), HYPERLINK("#",""), HYPERLINK(CONCATENATE("#metadata!", ADDRESS(INDEX($Y$2:$Y$1001,MATCH(ROWS($W$2:W723),$W$2:$W$1001,0),0), INDEX($AD$1004:$AU$1004,1,MATCH(COLUMNS($AD$1006:AD1006),$AD$1006:$AU$1006,0)))),"Fix")))</f>
        <v xml:space="preserve"> </v>
      </c>
      <c r="C723" s="4" t="str">
        <f ca="1">IF(OR(INDEX($X$2:$X$1001,MATCH(ROWS($W$2:W723),$W$2:$W$1001,0),1)&gt;=100000,INDEX($AD$1005:$AU$1005,1,MATCH(COLUMNS($AD$1006:AE1006),$AD$1006:$AU$1006,0))&gt;=100000), " ",IF(INDEX($AD$2:$AU$1001,MATCH(ROWS($W$2:W723),$W$2:$W$1001,0),MATCH(COLUMNS($AD$1006:AE1006),$AD$1006:$AU$1006,0)), HYPERLINK("#",""), HYPERLINK(CONCATENATE("#metadata!", ADDRESS(INDEX($Y$2:$Y$1001,MATCH(ROWS($W$2:W723),$W$2:$W$1001,0),0), INDEX($AD$1004:$AU$1004,1,MATCH(COLUMNS($AD$1006:AE1006),$AD$1006:$AU$1006,0)))),"Fix")))</f>
        <v xml:space="preserve"> </v>
      </c>
      <c r="D723" s="4" t="str">
        <f ca="1">IF(OR(INDEX($X$2:$X$1001,MATCH(ROWS($W$2:W723),$W$2:$W$1001,0),1)&gt;=100000,INDEX($AD$1005:$AU$1005,1,MATCH(COLUMNS($AD$1006:AF1006),$AD$1006:$AU$1006,0))&gt;=100000), " ",IF(INDEX($AD$2:$AU$1001,MATCH(ROWS($W$2:W723),$W$2:$W$1001,0),MATCH(COLUMNS($AD$1006:AF1006),$AD$1006:$AU$1006,0)), HYPERLINK("#",""), HYPERLINK(CONCATENATE("#metadata!", ADDRESS(INDEX($Y$2:$Y$1001,MATCH(ROWS($W$2:W723),$W$2:$W$1001,0),0), INDEX($AD$1004:$AU$1004,1,MATCH(COLUMNS($AD$1006:AF1006),$AD$1006:$AU$1006,0)))),"Fix")))</f>
        <v xml:space="preserve"> </v>
      </c>
      <c r="E723" s="4" t="str">
        <f ca="1">IF(OR(INDEX($X$2:$X$1001,MATCH(ROWS($W$2:W723),$W$2:$W$1001,0),1)&gt;=100000,INDEX($AD$1005:$AU$1005,1,MATCH(COLUMNS($AD$1006:AG1006),$AD$1006:$AU$1006,0))&gt;=100000), " ",IF(INDEX($AD$2:$AU$1001,MATCH(ROWS($W$2:W723),$W$2:$W$1001,0),MATCH(COLUMNS($AD$1006:AG1006),$AD$1006:$AU$1006,0)), HYPERLINK("#",""), HYPERLINK(CONCATENATE("#metadata!", ADDRESS(INDEX($Y$2:$Y$1001,MATCH(ROWS($W$2:W723),$W$2:$W$1001,0),0), INDEX($AD$1004:$AU$1004,1,MATCH(COLUMNS($AD$1006:AG1006),$AD$1006:$AU$1006,0)))),"Fix")))</f>
        <v xml:space="preserve"> </v>
      </c>
      <c r="F723" s="4" t="str">
        <f ca="1">IF(OR(INDEX($X$2:$X$1001,MATCH(ROWS($W$2:W723),$W$2:$W$1001,0),1)&gt;=100000,INDEX($AD$1005:$AU$1005,1,MATCH(COLUMNS($AD$1006:AH1006),$AD$1006:$AU$1006,0))&gt;=100000), " ",IF(INDEX($AD$2:$AU$1001,MATCH(ROWS($W$2:W723),$W$2:$W$1001,0),MATCH(COLUMNS($AD$1006:AH1006),$AD$1006:$AU$1006,0)), HYPERLINK("#",""), HYPERLINK(CONCATENATE("#metadata!", ADDRESS(INDEX($Y$2:$Y$1001,MATCH(ROWS($W$2:W723),$W$2:$W$1001,0),0), INDEX($AD$1004:$AU$1004,1,MATCH(COLUMNS($AD$1006:AH1006),$AD$1006:$AU$1006,0)))),"Fix")))</f>
        <v xml:space="preserve"> </v>
      </c>
      <c r="G723" s="4" t="str">
        <f ca="1">IF(OR(INDEX($X$2:$X$1001,MATCH(ROWS($W$2:W723),$W$2:$W$1001,0),1)&gt;=100000,INDEX($AD$1005:$AU$1005,1,MATCH(COLUMNS($AD$1006:AI1006),$AD$1006:$AU$1006,0))&gt;=100000), " ",IF(INDEX($AD$2:$AU$1001,MATCH(ROWS($W$2:W723),$W$2:$W$1001,0),MATCH(COLUMNS($AD$1006:AI1006),$AD$1006:$AU$1006,0)), HYPERLINK("#",""), HYPERLINK(CONCATENATE("#metadata!", ADDRESS(INDEX($Y$2:$Y$1001,MATCH(ROWS($W$2:W723),$W$2:$W$1001,0),0), INDEX($AD$1004:$AU$1004,1,MATCH(COLUMNS($AD$1006:AI1006),$AD$1006:$AU$1006,0)))),"Fix")))</f>
        <v xml:space="preserve"> </v>
      </c>
      <c r="H723" s="4" t="str">
        <f ca="1">IF(OR(INDEX($X$2:$X$1001,MATCH(ROWS($W$2:W723),$W$2:$W$1001,0),1)&gt;=100000,INDEX($AD$1005:$AU$1005,1,MATCH(COLUMNS($AD$1006:AJ1006),$AD$1006:$AU$1006,0))&gt;=100000), " ",IF(INDEX($AD$2:$AU$1001,MATCH(ROWS($W$2:W723),$W$2:$W$1001,0),MATCH(COLUMNS($AD$1006:AJ1006),$AD$1006:$AU$1006,0)), HYPERLINK("#",""), HYPERLINK(CONCATENATE("#metadata!", ADDRESS(INDEX($Y$2:$Y$1001,MATCH(ROWS($W$2:W723),$W$2:$W$1001,0),0), INDEX($AD$1004:$AU$1004,1,MATCH(COLUMNS($AD$1006:AJ1006),$AD$1006:$AU$1006,0)))),"Fix")))</f>
        <v xml:space="preserve"> </v>
      </c>
      <c r="I723" s="4" t="str">
        <f ca="1">IF(OR(INDEX($X$2:$X$1001,MATCH(ROWS($W$2:W723),$W$2:$W$1001,0),1)&gt;=100000,INDEX($AD$1005:$AU$1005,1,MATCH(COLUMNS($AD$1006:AK1006),$AD$1006:$AU$1006,0))&gt;=100000), " ",IF(INDEX($AD$2:$AU$1001,MATCH(ROWS($W$2:W723),$W$2:$W$1001,0),MATCH(COLUMNS($AD$1006:AK1006),$AD$1006:$AU$1006,0)), HYPERLINK("#",""), HYPERLINK(CONCATENATE("#metadata!", ADDRESS(INDEX($Y$2:$Y$1001,MATCH(ROWS($W$2:W723),$W$2:$W$1001,0),0), INDEX($AD$1004:$AU$1004,1,MATCH(COLUMNS($AD$1006:AK1006),$AD$1006:$AU$1006,0)))),"Fix")))</f>
        <v xml:space="preserve"> </v>
      </c>
      <c r="J723" s="4" t="str">
        <f ca="1">IF(OR(INDEX($X$2:$X$1001,MATCH(ROWS($W$2:W723),$W$2:$W$1001,0),1)&gt;=100000,INDEX($AD$1005:$AU$1005,1,MATCH(COLUMNS($AD$1006:AL1006),$AD$1006:$AU$1006,0))&gt;=100000), " ",IF(INDEX($AD$2:$AU$1001,MATCH(ROWS($W$2:W723),$W$2:$W$1001,0),MATCH(COLUMNS($AD$1006:AL1006),$AD$1006:$AU$1006,0)), HYPERLINK("#",""), HYPERLINK(CONCATENATE("#metadata!", ADDRESS(INDEX($Y$2:$Y$1001,MATCH(ROWS($W$2:W723),$W$2:$W$1001,0),0), INDEX($AD$1004:$AU$1004,1,MATCH(COLUMNS($AD$1006:AL1006),$AD$1006:$AU$1006,0)))),"Fix")))</f>
        <v xml:space="preserve"> </v>
      </c>
      <c r="K723" s="4" t="str">
        <f ca="1">IF(OR(INDEX($X$2:$X$1001,MATCH(ROWS($W$2:W723),$W$2:$W$1001,0),1)&gt;=100000,INDEX($AD$1005:$AU$1005,1,MATCH(COLUMNS($AD$1006:AM1006),$AD$1006:$AU$1006,0))&gt;=100000), " ",IF(INDEX($AD$2:$AU$1001,MATCH(ROWS($W$2:W723),$W$2:$W$1001,0),MATCH(COLUMNS($AD$1006:AM1006),$AD$1006:$AU$1006,0)), HYPERLINK("#",""), HYPERLINK(CONCATENATE("#metadata!", ADDRESS(INDEX($Y$2:$Y$1001,MATCH(ROWS($W$2:W723),$W$2:$W$1001,0),0), INDEX($AD$1004:$AU$1004,1,MATCH(COLUMNS($AD$1006:AM1006),$AD$1006:$AU$1006,0)))),"Fix")))</f>
        <v xml:space="preserve"> </v>
      </c>
      <c r="L723" s="4" t="str">
        <f ca="1">IF(OR(INDEX($X$2:$X$1001,MATCH(ROWS($W$2:W723),$W$2:$W$1001,0),1)&gt;=100000,INDEX($AD$1005:$AU$1005,1,MATCH(COLUMNS($AD$1006:AN1006),$AD$1006:$AU$1006,0))&gt;=100000), " ",IF(INDEX($AD$2:$AU$1001,MATCH(ROWS($W$2:W723),$W$2:$W$1001,0),MATCH(COLUMNS($AD$1006:AN1006),$AD$1006:$AU$1006,0)), HYPERLINK("#",""), HYPERLINK(CONCATENATE("#metadata!", ADDRESS(INDEX($Y$2:$Y$1001,MATCH(ROWS($W$2:W723),$W$2:$W$1001,0),0), INDEX($AD$1004:$AU$1004,1,MATCH(COLUMNS($AD$1006:AN1006),$AD$1006:$AU$1006,0)))),"Fix")))</f>
        <v xml:space="preserve"> </v>
      </c>
      <c r="M723" s="4" t="str">
        <f ca="1">IF(OR(INDEX($X$2:$X$1001,MATCH(ROWS($W$2:W723),$W$2:$W$1001,0),1)&gt;=100000,INDEX($AD$1005:$AU$1005,1,MATCH(COLUMNS($AD$1006:AO1006),$AD$1006:$AU$1006,0))&gt;=100000), " ",IF(INDEX($AD$2:$AU$1001,MATCH(ROWS($W$2:W723),$W$2:$W$1001,0),MATCH(COLUMNS($AD$1006:AO1006),$AD$1006:$AU$1006,0)), HYPERLINK("#",""), HYPERLINK(CONCATENATE("#metadata!", ADDRESS(INDEX($Y$2:$Y$1001,MATCH(ROWS($W$2:W723),$W$2:$W$1001,0),0), INDEX($AD$1004:$AU$1004,1,MATCH(COLUMNS($AD$1006:AO1006),$AD$1006:$AU$1006,0)))),"Fix")))</f>
        <v xml:space="preserve"> </v>
      </c>
      <c r="N723" s="4" t="str">
        <f ca="1">IF(OR(INDEX($X$2:$X$1001,MATCH(ROWS($W$2:W723),$W$2:$W$1001,0),1)&gt;=100000,INDEX($AD$1005:$AU$1005,1,MATCH(COLUMNS($AD$1006:AP1006),$AD$1006:$AU$1006,0))&gt;=100000), " ",IF(INDEX($AD$2:$AU$1001,MATCH(ROWS($W$2:W723),$W$2:$W$1001,0),MATCH(COLUMNS($AD$1006:AP1006),$AD$1006:$AU$1006,0)), HYPERLINK("#",""), HYPERLINK(CONCATENATE("#metadata!", ADDRESS(INDEX($Y$2:$Y$1001,MATCH(ROWS($W$2:W723),$W$2:$W$1001,0),0), INDEX($AD$1004:$AU$1004,1,MATCH(COLUMNS($AD$1006:AP1006),$AD$1006:$AU$1006,0)))),"Fix")))</f>
        <v xml:space="preserve"> </v>
      </c>
      <c r="O723" s="4" t="str">
        <f ca="1">IF(OR(INDEX($X$2:$X$1001,MATCH(ROWS($W$2:W723),$W$2:$W$1001,0),1)&gt;=100000,INDEX($AD$1005:$AU$1005,1,MATCH(COLUMNS($AD$1006:AQ1006),$AD$1006:$AU$1006,0))&gt;=100000), " ",IF(INDEX($AD$2:$AU$1001,MATCH(ROWS($W$2:W723),$W$2:$W$1001,0),MATCH(COLUMNS($AD$1006:AQ1006),$AD$1006:$AU$1006,0)), HYPERLINK("#",""), HYPERLINK(CONCATENATE("#metadata!", ADDRESS(INDEX($Y$2:$Y$1001,MATCH(ROWS($W$2:W723),$W$2:$W$1001,0),0), INDEX($AD$1004:$AU$1004,1,MATCH(COLUMNS($AD$1006:AQ1006),$AD$1006:$AU$1006,0)))),"Fix")))</f>
        <v xml:space="preserve"> </v>
      </c>
      <c r="P723" s="4" t="str">
        <f ca="1">IF(OR(INDEX($X$2:$X$1001,MATCH(ROWS($W$2:W723),$W$2:$W$1001,0),1)&gt;=100000,INDEX($AD$1005:$AU$1005,1,MATCH(COLUMNS($AD$1006:AR1006),$AD$1006:$AU$1006,0))&gt;=100000), " ",IF(INDEX($AD$2:$AU$1001,MATCH(ROWS($W$2:W723),$W$2:$W$1001,0),MATCH(COLUMNS($AD$1006:AR1006),$AD$1006:$AU$1006,0)), HYPERLINK("#",""), HYPERLINK(CONCATENATE("#metadata!", ADDRESS(INDEX($Y$2:$Y$1001,MATCH(ROWS($W$2:W723),$W$2:$W$1001,0),0), INDEX($AD$1004:$AU$1004,1,MATCH(COLUMNS($AD$1006:AR1006),$AD$1006:$AU$1006,0)))),"Fix")))</f>
        <v xml:space="preserve"> </v>
      </c>
      <c r="Q723" s="4" t="str">
        <f ca="1">IF(OR(INDEX($X$2:$X$1001,MATCH(ROWS($W$2:W723),$W$2:$W$1001,0),1)&gt;=100000,INDEX($AD$1005:$AU$1005,1,MATCH(COLUMNS($AD$1006:AS1006),$AD$1006:$AU$1006,0))&gt;=100000), " ",IF(INDEX($AD$2:$AU$1001,MATCH(ROWS($W$2:W723),$W$2:$W$1001,0),MATCH(COLUMNS($AD$1006:AS1006),$AD$1006:$AU$1006,0)), HYPERLINK("#",""), HYPERLINK(CONCATENATE("#metadata!", ADDRESS(INDEX($Y$2:$Y$1001,MATCH(ROWS($W$2:W723),$W$2:$W$1001,0),0), INDEX($AD$1004:$AU$1004,1,MATCH(COLUMNS($AD$1006:AS1006),$AD$1006:$AU$1006,0)))),"Fix")))</f>
        <v xml:space="preserve"> </v>
      </c>
      <c r="R723" s="4" t="str">
        <f ca="1">IF(OR(INDEX($X$2:$X$1001,MATCH(ROWS($W$2:W723),$W$2:$W$1001,0),1)&gt;=100000,INDEX($AD$1005:$AU$1005,1,MATCH(COLUMNS($AD$1006:AT1006),$AD$1006:$AU$1006,0))&gt;=100000), " ",IF(INDEX($AD$2:$AU$1001,MATCH(ROWS($W$2:W723),$W$2:$W$1001,0),MATCH(COLUMNS($AD$1006:AT1006),$AD$1006:$AU$1006,0)), HYPERLINK("#",""), HYPERLINK(CONCATENATE("#metadata!", ADDRESS(INDEX($Y$2:$Y$1001,MATCH(ROWS($W$2:W723),$W$2:$W$1001,0),0), INDEX($AD$1004:$AU$1004,1,MATCH(COLUMNS($AD$1006:AT1006),$AD$1006:$AU$1006,0)))),"Fix")))</f>
        <v xml:space="preserve"> </v>
      </c>
      <c r="S723" s="4" t="str">
        <f ca="1">IF(OR(INDEX($X$2:$X$1001,MATCH(ROWS($W$2:W723),$W$2:$W$1001,0),1)&gt;=100000,INDEX($AD$1005:$AU$1005,1,MATCH(COLUMNS($AD$1006:AU1006),$AD$1006:$AU$1006,0))&gt;=100000), " ",IF(INDEX($AD$2:$AU$1001,MATCH(ROWS($W$2:W723),$W$2:$W$1001,0),MATCH(COLUMNS($AD$1006:AU1006),$AD$1006:$AU$1006,0)), HYPERLINK("#",""), HYPERLINK(CONCATENATE("#metadata!", ADDRESS(INDEX($Y$2:$Y$1001,MATCH(ROWS($W$2:W723),$W$2:$W$1001,0),0), INDEX($AD$1004:$AU$1004,1,MATCH(COLUMNS($AD$1006:AU1006),$AD$1006:$AU$1006,0)))),"Fix")))</f>
        <v xml:space="preserve"> </v>
      </c>
      <c r="W723">
        <v>722</v>
      </c>
      <c r="X723">
        <v>100723</v>
      </c>
      <c r="Y723">
        <v>723</v>
      </c>
      <c r="Z723" t="b">
        <f t="shared" si="11"/>
        <v>1</v>
      </c>
      <c r="AA723" t="b">
        <f>COUNTBLANK(metadata!B723:S723)=COLUMNS(metadata!B723:S723)</f>
        <v>1</v>
      </c>
      <c r="AB723" t="str">
        <v/>
      </c>
      <c r="AD723" t="b">
        <f ca="1">AND(IF(metadata!B723="",FALSE,TRUE),COUNTIF(metadata!B:B, metadata!B723) = 1,NOT(ISERROR(SUMPRODUCT(SEARCH(MID(metadata!B723,ROW(INDIRECT("1:"&amp;LEN(metadata!B723))), 1),"0123456789abcdefghijklmnopqrstuvwxyzABCDEFGHIJKLMNOPQRSTUVWXYZ.")))))</f>
        <v>0</v>
      </c>
      <c r="AE723" t="b">
        <f>OR(AND(IF(metadata!C723="",FALSE,TRUE),OR(EXACT(metadata!C723,"not applicable"),EXACT(metadata!C723,"missing: not collected"),EXACT(metadata!C723,"missing: not provided"),EXACT(metadata!C723,"missing: restricted access"))),AND(IF(metadata!C723="",FALSE,ISNUMBER(VALUE(metadata!C723))),metadata!C723&gt;0))</f>
        <v>0</v>
      </c>
      <c r="AF723" t="b">
        <f>AND(IF(metadata!D723="",FALSE,TRUE),EXACT(metadata!D723,"missing: not provided"))</f>
        <v>0</v>
      </c>
      <c r="AG723" t="b">
        <f>AND(IF(metadata!E723="",FALSE,TRUE),EXACT(metadata!E723,"Host-associated"))</f>
        <v>0</v>
      </c>
      <c r="AH723" t="b">
        <f>AND(IF(metadata!F723="",FALSE,TRUE),OR(EXACT(metadata!F723,"Animal"),EXACT(metadata!F723,"Fungus"),EXACT(metadata!F723,"Plant")))</f>
        <v>0</v>
      </c>
      <c r="AI723" t="b">
        <f>AND(IF(metadata!G723="",FALSE,TRUE),OR(EXACT(metadata!G723,"Plant secretion"),EXACT(metadata!G723,"Plant rhizosphere"),EXACT(metadata!G723,"Plant surface"),EXACT(metadata!G723,"Plant corpus"),EXACT(metadata!G723,"Fungus surface"),EXACT(metadata!G723,"Fungus corpus"),EXACT(metadata!G723,"Animal surface"),EXACT(metadata!G723,"Animal proximal gut"),EXACT(metadata!G723,"Animal corpus"),EXACT(metadata!G723,"Animal distal gut"),EXACT(metadata!G723,"Animal secretion")))</f>
        <v>0</v>
      </c>
      <c r="AJ723" t="b">
        <f>OR(AND(IF(metadata!H723="",FALSE,TRUE),OR(EXACT(metadata!H723,"missing: not collected"),EXACT(metadata!H723,"missing: not provided"),EXACT(metadata!H723,"missing: restricted access"))),AND(IF(metadata!H723="",FALSE,TRUE),OR(EXACT(metadata!H723,"organism-associated habitat"),EXACT(metadata!H723,"plant-associated habitat"),EXACT(metadata!H723,"animal-associated habitat"),EXACT(metadata!H723,"insecta-associated habitat"),EXACT(metadata!H723,"mammalia-associated habitat"),EXACT(metadata!H723,"human-associated habitat"),EXACT(metadata!H723,"livestock-associated habitat"))))</f>
        <v>0</v>
      </c>
      <c r="AK723" t="b">
        <f>AND(IF(metadata!I723="",FALSE,TRUE),EXACT(metadata!I723,"host-associated"))</f>
        <v>0</v>
      </c>
      <c r="AL723" t="b">
        <f>OR(AND(IF(metadata!J723="",FALSE,TRUE),OR(EXACT(metadata!J723,"not applicable"),EXACT(metadata!J723,"missing: not collected"),EXACT(metadata!J723,"missing: not provided"),EXACT(metadata!J723,"missing: restricted access"))),AND(IF(metadata!J723="",FALSE,ISNUMBER(VALUE(metadata!J723))),metadata!J723&gt;0))</f>
        <v>0</v>
      </c>
      <c r="AM723" t="b">
        <f>AND(IF(metadata!K723="",FALSE,TRUE),EXACT(metadata!K723,"missing: not provided"))</f>
        <v>0</v>
      </c>
      <c r="AN723" t="b">
        <f>IF(metadata!L723="",FALSE,TRUE)</f>
        <v>0</v>
      </c>
      <c r="AO723" t="b">
        <f>IF(metadata!M723="",FALSE,TRUE)</f>
        <v>0</v>
      </c>
      <c r="AP723" t="b">
        <f>OR(AND(IF(metadata!N723="",FALSE,TRUE),OR(EXACT(metadata!N723,"not applicable"),EXACT(metadata!N723,"missing: not collected"),EXACT(metadata!N723,"missing: not provided"))),AND(IF(metadata!N723="",FALSE,IF(ISERROR(INT(metadata!N723)),FALSE,INT(metadata!N723)=metadata!N723)),metadata!N723&gt;0))</f>
        <v>0</v>
      </c>
      <c r="AQ723" t="b">
        <f>AND(IF(metadata!O723="",FALSE,TRUE),EXACT(metadata!O723,"Not applicable"))</f>
        <v>0</v>
      </c>
      <c r="AR723" t="b">
        <f>OR(AND(IF(metadata!P723="",FALSE,TRUE),OR(EXACT(metadata!P723,"not applicable"),EXACT(metadata!P723,"missing: not collected"),EXACT(metadata!P723,"missing: not provided"),EXACT(metadata!P723,"missing: restricted access"))),IF(metadata!P723="",FALSE,IF(ISERROR(INT(metadata!P723)),FALSE,INT(metadata!P723)=metadata!P723)))</f>
        <v>0</v>
      </c>
      <c r="AS723" t="b">
        <f>AND(IF(metadata!Q723="",FALSE,TRUE),EXACT(metadata!Q723,"Not applicable"))</f>
        <v>0</v>
      </c>
      <c r="AT723" t="b">
        <f>OR(AND(IF(metadata!R723="",FALSE,TRUE),OR(EXACT(metadata!R723,"not applicable"),EXACT(metadata!R723,"missing: not collected"),EXACT(metadata!R723,"missing: not provided"),EXACT(metadata!R723,"missing: restricted access"))),AND(IF(metadata!R723="",FALSE,ISNUMBER(VALUE(metadata!R723))),metadata!R723&gt;0))</f>
        <v>0</v>
      </c>
      <c r="AU723" t="b">
        <f>AND(IF(metadata!S723="",FALSE,TRUE),EXACT(metadata!S723,"missing: not provided"))</f>
        <v>0</v>
      </c>
    </row>
    <row r="724" spans="1:47" x14ac:dyDescent="0.2">
      <c r="A724" s="5" t="str">
        <f ca="1">IF(B724=" "," ",HYPERLINK(CONCATENATE("#metadata!",ADDRESS(INDEX($Y$2:$Y$1001,MATCH(ROWS($W$2:W724),$W$2:$W$1001,0),0),1)),INDEX($AB$2:$AB$1001,MATCH(ROWS($W$2:W724),$W$2:$W$1001,0),0)))</f>
        <v xml:space="preserve"> </v>
      </c>
      <c r="B724" s="4" t="str">
        <f ca="1">IF(OR(INDEX($X$2:$X$1001,MATCH(ROWS($W$2:W724),$W$2:$W$1001,0),1)&gt;=100000,INDEX($AD$1005:$AU$1005,1,MATCH(COLUMNS($AD$1006:AD1006),$AD$1006:$AU$1006,0))&gt;=100000), " ",IF(INDEX($AD$2:$AU$1001,MATCH(ROWS($W$2:W724),$W$2:$W$1001,0),MATCH(COLUMNS($AD$1006:AD1006),$AD$1006:$AU$1006,0)), HYPERLINK("#",""), HYPERLINK(CONCATENATE("#metadata!", ADDRESS(INDEX($Y$2:$Y$1001,MATCH(ROWS($W$2:W724),$W$2:$W$1001,0),0), INDEX($AD$1004:$AU$1004,1,MATCH(COLUMNS($AD$1006:AD1006),$AD$1006:$AU$1006,0)))),"Fix")))</f>
        <v xml:space="preserve"> </v>
      </c>
      <c r="C724" s="4" t="str">
        <f ca="1">IF(OR(INDEX($X$2:$X$1001,MATCH(ROWS($W$2:W724),$W$2:$W$1001,0),1)&gt;=100000,INDEX($AD$1005:$AU$1005,1,MATCH(COLUMNS($AD$1006:AE1006),$AD$1006:$AU$1006,0))&gt;=100000), " ",IF(INDEX($AD$2:$AU$1001,MATCH(ROWS($W$2:W724),$W$2:$W$1001,0),MATCH(COLUMNS($AD$1006:AE1006),$AD$1006:$AU$1006,0)), HYPERLINK("#",""), HYPERLINK(CONCATENATE("#metadata!", ADDRESS(INDEX($Y$2:$Y$1001,MATCH(ROWS($W$2:W724),$W$2:$W$1001,0),0), INDEX($AD$1004:$AU$1004,1,MATCH(COLUMNS($AD$1006:AE1006),$AD$1006:$AU$1006,0)))),"Fix")))</f>
        <v xml:space="preserve"> </v>
      </c>
      <c r="D724" s="4" t="str">
        <f ca="1">IF(OR(INDEX($X$2:$X$1001,MATCH(ROWS($W$2:W724),$W$2:$W$1001,0),1)&gt;=100000,INDEX($AD$1005:$AU$1005,1,MATCH(COLUMNS($AD$1006:AF1006),$AD$1006:$AU$1006,0))&gt;=100000), " ",IF(INDEX($AD$2:$AU$1001,MATCH(ROWS($W$2:W724),$W$2:$W$1001,0),MATCH(COLUMNS($AD$1006:AF1006),$AD$1006:$AU$1006,0)), HYPERLINK("#",""), HYPERLINK(CONCATENATE("#metadata!", ADDRESS(INDEX($Y$2:$Y$1001,MATCH(ROWS($W$2:W724),$W$2:$W$1001,0),0), INDEX($AD$1004:$AU$1004,1,MATCH(COLUMNS($AD$1006:AF1006),$AD$1006:$AU$1006,0)))),"Fix")))</f>
        <v xml:space="preserve"> </v>
      </c>
      <c r="E724" s="4" t="str">
        <f ca="1">IF(OR(INDEX($X$2:$X$1001,MATCH(ROWS($W$2:W724),$W$2:$W$1001,0),1)&gt;=100000,INDEX($AD$1005:$AU$1005,1,MATCH(COLUMNS($AD$1006:AG1006),$AD$1006:$AU$1006,0))&gt;=100000), " ",IF(INDEX($AD$2:$AU$1001,MATCH(ROWS($W$2:W724),$W$2:$W$1001,0),MATCH(COLUMNS($AD$1006:AG1006),$AD$1006:$AU$1006,0)), HYPERLINK("#",""), HYPERLINK(CONCATENATE("#metadata!", ADDRESS(INDEX($Y$2:$Y$1001,MATCH(ROWS($W$2:W724),$W$2:$W$1001,0),0), INDEX($AD$1004:$AU$1004,1,MATCH(COLUMNS($AD$1006:AG1006),$AD$1006:$AU$1006,0)))),"Fix")))</f>
        <v xml:space="preserve"> </v>
      </c>
      <c r="F724" s="4" t="str">
        <f ca="1">IF(OR(INDEX($X$2:$X$1001,MATCH(ROWS($W$2:W724),$W$2:$W$1001,0),1)&gt;=100000,INDEX($AD$1005:$AU$1005,1,MATCH(COLUMNS($AD$1006:AH1006),$AD$1006:$AU$1006,0))&gt;=100000), " ",IF(INDEX($AD$2:$AU$1001,MATCH(ROWS($W$2:W724),$W$2:$W$1001,0),MATCH(COLUMNS($AD$1006:AH1006),$AD$1006:$AU$1006,0)), HYPERLINK("#",""), HYPERLINK(CONCATENATE("#metadata!", ADDRESS(INDEX($Y$2:$Y$1001,MATCH(ROWS($W$2:W724),$W$2:$W$1001,0),0), INDEX($AD$1004:$AU$1004,1,MATCH(COLUMNS($AD$1006:AH1006),$AD$1006:$AU$1006,0)))),"Fix")))</f>
        <v xml:space="preserve"> </v>
      </c>
      <c r="G724" s="4" t="str">
        <f ca="1">IF(OR(INDEX($X$2:$X$1001,MATCH(ROWS($W$2:W724),$W$2:$W$1001,0),1)&gt;=100000,INDEX($AD$1005:$AU$1005,1,MATCH(COLUMNS($AD$1006:AI1006),$AD$1006:$AU$1006,0))&gt;=100000), " ",IF(INDEX($AD$2:$AU$1001,MATCH(ROWS($W$2:W724),$W$2:$W$1001,0),MATCH(COLUMNS($AD$1006:AI1006),$AD$1006:$AU$1006,0)), HYPERLINK("#",""), HYPERLINK(CONCATENATE("#metadata!", ADDRESS(INDEX($Y$2:$Y$1001,MATCH(ROWS($W$2:W724),$W$2:$W$1001,0),0), INDEX($AD$1004:$AU$1004,1,MATCH(COLUMNS($AD$1006:AI1006),$AD$1006:$AU$1006,0)))),"Fix")))</f>
        <v xml:space="preserve"> </v>
      </c>
      <c r="H724" s="4" t="str">
        <f ca="1">IF(OR(INDEX($X$2:$X$1001,MATCH(ROWS($W$2:W724),$W$2:$W$1001,0),1)&gt;=100000,INDEX($AD$1005:$AU$1005,1,MATCH(COLUMNS($AD$1006:AJ1006),$AD$1006:$AU$1006,0))&gt;=100000), " ",IF(INDEX($AD$2:$AU$1001,MATCH(ROWS($W$2:W724),$W$2:$W$1001,0),MATCH(COLUMNS($AD$1006:AJ1006),$AD$1006:$AU$1006,0)), HYPERLINK("#",""), HYPERLINK(CONCATENATE("#metadata!", ADDRESS(INDEX($Y$2:$Y$1001,MATCH(ROWS($W$2:W724),$W$2:$W$1001,0),0), INDEX($AD$1004:$AU$1004,1,MATCH(COLUMNS($AD$1006:AJ1006),$AD$1006:$AU$1006,0)))),"Fix")))</f>
        <v xml:space="preserve"> </v>
      </c>
      <c r="I724" s="4" t="str">
        <f ca="1">IF(OR(INDEX($X$2:$X$1001,MATCH(ROWS($W$2:W724),$W$2:$W$1001,0),1)&gt;=100000,INDEX($AD$1005:$AU$1005,1,MATCH(COLUMNS($AD$1006:AK1006),$AD$1006:$AU$1006,0))&gt;=100000), " ",IF(INDEX($AD$2:$AU$1001,MATCH(ROWS($W$2:W724),$W$2:$W$1001,0),MATCH(COLUMNS($AD$1006:AK1006),$AD$1006:$AU$1006,0)), HYPERLINK("#",""), HYPERLINK(CONCATENATE("#metadata!", ADDRESS(INDEX($Y$2:$Y$1001,MATCH(ROWS($W$2:W724),$W$2:$W$1001,0),0), INDEX($AD$1004:$AU$1004,1,MATCH(COLUMNS($AD$1006:AK1006),$AD$1006:$AU$1006,0)))),"Fix")))</f>
        <v xml:space="preserve"> </v>
      </c>
      <c r="J724" s="4" t="str">
        <f ca="1">IF(OR(INDEX($X$2:$X$1001,MATCH(ROWS($W$2:W724),$W$2:$W$1001,0),1)&gt;=100000,INDEX($AD$1005:$AU$1005,1,MATCH(COLUMNS($AD$1006:AL1006),$AD$1006:$AU$1006,0))&gt;=100000), " ",IF(INDEX($AD$2:$AU$1001,MATCH(ROWS($W$2:W724),$W$2:$W$1001,0),MATCH(COLUMNS($AD$1006:AL1006),$AD$1006:$AU$1006,0)), HYPERLINK("#",""), HYPERLINK(CONCATENATE("#metadata!", ADDRESS(INDEX($Y$2:$Y$1001,MATCH(ROWS($W$2:W724),$W$2:$W$1001,0),0), INDEX($AD$1004:$AU$1004,1,MATCH(COLUMNS($AD$1006:AL1006),$AD$1006:$AU$1006,0)))),"Fix")))</f>
        <v xml:space="preserve"> </v>
      </c>
      <c r="K724" s="4" t="str">
        <f ca="1">IF(OR(INDEX($X$2:$X$1001,MATCH(ROWS($W$2:W724),$W$2:$W$1001,0),1)&gt;=100000,INDEX($AD$1005:$AU$1005,1,MATCH(COLUMNS($AD$1006:AM1006),$AD$1006:$AU$1006,0))&gt;=100000), " ",IF(INDEX($AD$2:$AU$1001,MATCH(ROWS($W$2:W724),$W$2:$W$1001,0),MATCH(COLUMNS($AD$1006:AM1006),$AD$1006:$AU$1006,0)), HYPERLINK("#",""), HYPERLINK(CONCATENATE("#metadata!", ADDRESS(INDEX($Y$2:$Y$1001,MATCH(ROWS($W$2:W724),$W$2:$W$1001,0),0), INDEX($AD$1004:$AU$1004,1,MATCH(COLUMNS($AD$1006:AM1006),$AD$1006:$AU$1006,0)))),"Fix")))</f>
        <v xml:space="preserve"> </v>
      </c>
      <c r="L724" s="4" t="str">
        <f ca="1">IF(OR(INDEX($X$2:$X$1001,MATCH(ROWS($W$2:W724),$W$2:$W$1001,0),1)&gt;=100000,INDEX($AD$1005:$AU$1005,1,MATCH(COLUMNS($AD$1006:AN1006),$AD$1006:$AU$1006,0))&gt;=100000), " ",IF(INDEX($AD$2:$AU$1001,MATCH(ROWS($W$2:W724),$W$2:$W$1001,0),MATCH(COLUMNS($AD$1006:AN1006),$AD$1006:$AU$1006,0)), HYPERLINK("#",""), HYPERLINK(CONCATENATE("#metadata!", ADDRESS(INDEX($Y$2:$Y$1001,MATCH(ROWS($W$2:W724),$W$2:$W$1001,0),0), INDEX($AD$1004:$AU$1004,1,MATCH(COLUMNS($AD$1006:AN1006),$AD$1006:$AU$1006,0)))),"Fix")))</f>
        <v xml:space="preserve"> </v>
      </c>
      <c r="M724" s="4" t="str">
        <f ca="1">IF(OR(INDEX($X$2:$X$1001,MATCH(ROWS($W$2:W724),$W$2:$W$1001,0),1)&gt;=100000,INDEX($AD$1005:$AU$1005,1,MATCH(COLUMNS($AD$1006:AO1006),$AD$1006:$AU$1006,0))&gt;=100000), " ",IF(INDEX($AD$2:$AU$1001,MATCH(ROWS($W$2:W724),$W$2:$W$1001,0),MATCH(COLUMNS($AD$1006:AO1006),$AD$1006:$AU$1006,0)), HYPERLINK("#",""), HYPERLINK(CONCATENATE("#metadata!", ADDRESS(INDEX($Y$2:$Y$1001,MATCH(ROWS($W$2:W724),$W$2:$W$1001,0),0), INDEX($AD$1004:$AU$1004,1,MATCH(COLUMNS($AD$1006:AO1006),$AD$1006:$AU$1006,0)))),"Fix")))</f>
        <v xml:space="preserve"> </v>
      </c>
      <c r="N724" s="4" t="str">
        <f ca="1">IF(OR(INDEX($X$2:$X$1001,MATCH(ROWS($W$2:W724),$W$2:$W$1001,0),1)&gt;=100000,INDEX($AD$1005:$AU$1005,1,MATCH(COLUMNS($AD$1006:AP1006),$AD$1006:$AU$1006,0))&gt;=100000), " ",IF(INDEX($AD$2:$AU$1001,MATCH(ROWS($W$2:W724),$W$2:$W$1001,0),MATCH(COLUMNS($AD$1006:AP1006),$AD$1006:$AU$1006,0)), HYPERLINK("#",""), HYPERLINK(CONCATENATE("#metadata!", ADDRESS(INDEX($Y$2:$Y$1001,MATCH(ROWS($W$2:W724),$W$2:$W$1001,0),0), INDEX($AD$1004:$AU$1004,1,MATCH(COLUMNS($AD$1006:AP1006),$AD$1006:$AU$1006,0)))),"Fix")))</f>
        <v xml:space="preserve"> </v>
      </c>
      <c r="O724" s="4" t="str">
        <f ca="1">IF(OR(INDEX($X$2:$X$1001,MATCH(ROWS($W$2:W724),$W$2:$W$1001,0),1)&gt;=100000,INDEX($AD$1005:$AU$1005,1,MATCH(COLUMNS($AD$1006:AQ1006),$AD$1006:$AU$1006,0))&gt;=100000), " ",IF(INDEX($AD$2:$AU$1001,MATCH(ROWS($W$2:W724),$W$2:$W$1001,0),MATCH(COLUMNS($AD$1006:AQ1006),$AD$1006:$AU$1006,0)), HYPERLINK("#",""), HYPERLINK(CONCATENATE("#metadata!", ADDRESS(INDEX($Y$2:$Y$1001,MATCH(ROWS($W$2:W724),$W$2:$W$1001,0),0), INDEX($AD$1004:$AU$1004,1,MATCH(COLUMNS($AD$1006:AQ1006),$AD$1006:$AU$1006,0)))),"Fix")))</f>
        <v xml:space="preserve"> </v>
      </c>
      <c r="P724" s="4" t="str">
        <f ca="1">IF(OR(INDEX($X$2:$X$1001,MATCH(ROWS($W$2:W724),$W$2:$W$1001,0),1)&gt;=100000,INDEX($AD$1005:$AU$1005,1,MATCH(COLUMNS($AD$1006:AR1006),$AD$1006:$AU$1006,0))&gt;=100000), " ",IF(INDEX($AD$2:$AU$1001,MATCH(ROWS($W$2:W724),$W$2:$W$1001,0),MATCH(COLUMNS($AD$1006:AR1006),$AD$1006:$AU$1006,0)), HYPERLINK("#",""), HYPERLINK(CONCATENATE("#metadata!", ADDRESS(INDEX($Y$2:$Y$1001,MATCH(ROWS($W$2:W724),$W$2:$W$1001,0),0), INDEX($AD$1004:$AU$1004,1,MATCH(COLUMNS($AD$1006:AR1006),$AD$1006:$AU$1006,0)))),"Fix")))</f>
        <v xml:space="preserve"> </v>
      </c>
      <c r="Q724" s="4" t="str">
        <f ca="1">IF(OR(INDEX($X$2:$X$1001,MATCH(ROWS($W$2:W724),$W$2:$W$1001,0),1)&gt;=100000,INDEX($AD$1005:$AU$1005,1,MATCH(COLUMNS($AD$1006:AS1006),$AD$1006:$AU$1006,0))&gt;=100000), " ",IF(INDEX($AD$2:$AU$1001,MATCH(ROWS($W$2:W724),$W$2:$W$1001,0),MATCH(COLUMNS($AD$1006:AS1006),$AD$1006:$AU$1006,0)), HYPERLINK("#",""), HYPERLINK(CONCATENATE("#metadata!", ADDRESS(INDEX($Y$2:$Y$1001,MATCH(ROWS($W$2:W724),$W$2:$W$1001,0),0), INDEX($AD$1004:$AU$1004,1,MATCH(COLUMNS($AD$1006:AS1006),$AD$1006:$AU$1006,0)))),"Fix")))</f>
        <v xml:space="preserve"> </v>
      </c>
      <c r="R724" s="4" t="str">
        <f ca="1">IF(OR(INDEX($X$2:$X$1001,MATCH(ROWS($W$2:W724),$W$2:$W$1001,0),1)&gt;=100000,INDEX($AD$1005:$AU$1005,1,MATCH(COLUMNS($AD$1006:AT1006),$AD$1006:$AU$1006,0))&gt;=100000), " ",IF(INDEX($AD$2:$AU$1001,MATCH(ROWS($W$2:W724),$W$2:$W$1001,0),MATCH(COLUMNS($AD$1006:AT1006),$AD$1006:$AU$1006,0)), HYPERLINK("#",""), HYPERLINK(CONCATENATE("#metadata!", ADDRESS(INDEX($Y$2:$Y$1001,MATCH(ROWS($W$2:W724),$W$2:$W$1001,0),0), INDEX($AD$1004:$AU$1004,1,MATCH(COLUMNS($AD$1006:AT1006),$AD$1006:$AU$1006,0)))),"Fix")))</f>
        <v xml:space="preserve"> </v>
      </c>
      <c r="S724" s="4" t="str">
        <f ca="1">IF(OR(INDEX($X$2:$X$1001,MATCH(ROWS($W$2:W724),$W$2:$W$1001,0),1)&gt;=100000,INDEX($AD$1005:$AU$1005,1,MATCH(COLUMNS($AD$1006:AU1006),$AD$1006:$AU$1006,0))&gt;=100000), " ",IF(INDEX($AD$2:$AU$1001,MATCH(ROWS($W$2:W724),$W$2:$W$1001,0),MATCH(COLUMNS($AD$1006:AU1006),$AD$1006:$AU$1006,0)), HYPERLINK("#",""), HYPERLINK(CONCATENATE("#metadata!", ADDRESS(INDEX($Y$2:$Y$1001,MATCH(ROWS($W$2:W724),$W$2:$W$1001,0),0), INDEX($AD$1004:$AU$1004,1,MATCH(COLUMNS($AD$1006:AU1006),$AD$1006:$AU$1006,0)))),"Fix")))</f>
        <v xml:space="preserve"> </v>
      </c>
      <c r="W724">
        <v>723</v>
      </c>
      <c r="X724">
        <v>100724</v>
      </c>
      <c r="Y724">
        <v>724</v>
      </c>
      <c r="Z724" t="b">
        <f t="shared" si="11"/>
        <v>1</v>
      </c>
      <c r="AA724" t="b">
        <f>COUNTBLANK(metadata!B724:S724)=COLUMNS(metadata!B724:S724)</f>
        <v>1</v>
      </c>
      <c r="AB724" t="str">
        <v/>
      </c>
      <c r="AD724" t="b">
        <f ca="1">AND(IF(metadata!B724="",FALSE,TRUE),COUNTIF(metadata!B:B, metadata!B724) = 1,NOT(ISERROR(SUMPRODUCT(SEARCH(MID(metadata!B724,ROW(INDIRECT("1:"&amp;LEN(metadata!B724))), 1),"0123456789abcdefghijklmnopqrstuvwxyzABCDEFGHIJKLMNOPQRSTUVWXYZ.")))))</f>
        <v>0</v>
      </c>
      <c r="AE724" t="b">
        <f>OR(AND(IF(metadata!C724="",FALSE,TRUE),OR(EXACT(metadata!C724,"not applicable"),EXACT(metadata!C724,"missing: not collected"),EXACT(metadata!C724,"missing: not provided"),EXACT(metadata!C724,"missing: restricted access"))),AND(IF(metadata!C724="",FALSE,ISNUMBER(VALUE(metadata!C724))),metadata!C724&gt;0))</f>
        <v>0</v>
      </c>
      <c r="AF724" t="b">
        <f>AND(IF(metadata!D724="",FALSE,TRUE),EXACT(metadata!D724,"missing: not provided"))</f>
        <v>0</v>
      </c>
      <c r="AG724" t="b">
        <f>AND(IF(metadata!E724="",FALSE,TRUE),EXACT(metadata!E724,"Host-associated"))</f>
        <v>0</v>
      </c>
      <c r="AH724" t="b">
        <f>AND(IF(metadata!F724="",FALSE,TRUE),OR(EXACT(metadata!F724,"Animal"),EXACT(metadata!F724,"Fungus"),EXACT(metadata!F724,"Plant")))</f>
        <v>0</v>
      </c>
      <c r="AI724" t="b">
        <f>AND(IF(metadata!G724="",FALSE,TRUE),OR(EXACT(metadata!G724,"Plant secretion"),EXACT(metadata!G724,"Plant rhizosphere"),EXACT(metadata!G724,"Plant surface"),EXACT(metadata!G724,"Plant corpus"),EXACT(metadata!G724,"Fungus surface"),EXACT(metadata!G724,"Fungus corpus"),EXACT(metadata!G724,"Animal surface"),EXACT(metadata!G724,"Animal proximal gut"),EXACT(metadata!G724,"Animal corpus"),EXACT(metadata!G724,"Animal distal gut"),EXACT(metadata!G724,"Animal secretion")))</f>
        <v>0</v>
      </c>
      <c r="AJ724" t="b">
        <f>OR(AND(IF(metadata!H724="",FALSE,TRUE),OR(EXACT(metadata!H724,"missing: not collected"),EXACT(metadata!H724,"missing: not provided"),EXACT(metadata!H724,"missing: restricted access"))),AND(IF(metadata!H724="",FALSE,TRUE),OR(EXACT(metadata!H724,"organism-associated habitat"),EXACT(metadata!H724,"plant-associated habitat"),EXACT(metadata!H724,"animal-associated habitat"),EXACT(metadata!H724,"insecta-associated habitat"),EXACT(metadata!H724,"mammalia-associated habitat"),EXACT(metadata!H724,"human-associated habitat"),EXACT(metadata!H724,"livestock-associated habitat"))))</f>
        <v>0</v>
      </c>
      <c r="AK724" t="b">
        <f>AND(IF(metadata!I724="",FALSE,TRUE),EXACT(metadata!I724,"host-associated"))</f>
        <v>0</v>
      </c>
      <c r="AL724" t="b">
        <f>OR(AND(IF(metadata!J724="",FALSE,TRUE),OR(EXACT(metadata!J724,"not applicable"),EXACT(metadata!J724,"missing: not collected"),EXACT(metadata!J724,"missing: not provided"),EXACT(metadata!J724,"missing: restricted access"))),AND(IF(metadata!J724="",FALSE,ISNUMBER(VALUE(metadata!J724))),metadata!J724&gt;0))</f>
        <v>0</v>
      </c>
      <c r="AM724" t="b">
        <f>AND(IF(metadata!K724="",FALSE,TRUE),EXACT(metadata!K724,"missing: not provided"))</f>
        <v>0</v>
      </c>
      <c r="AN724" t="b">
        <f>IF(metadata!L724="",FALSE,TRUE)</f>
        <v>0</v>
      </c>
      <c r="AO724" t="b">
        <f>IF(metadata!M724="",FALSE,TRUE)</f>
        <v>0</v>
      </c>
      <c r="AP724" t="b">
        <f>OR(AND(IF(metadata!N724="",FALSE,TRUE),OR(EXACT(metadata!N724,"not applicable"),EXACT(metadata!N724,"missing: not collected"),EXACT(metadata!N724,"missing: not provided"))),AND(IF(metadata!N724="",FALSE,IF(ISERROR(INT(metadata!N724)),FALSE,INT(metadata!N724)=metadata!N724)),metadata!N724&gt;0))</f>
        <v>0</v>
      </c>
      <c r="AQ724" t="b">
        <f>AND(IF(metadata!O724="",FALSE,TRUE),EXACT(metadata!O724,"Not applicable"))</f>
        <v>0</v>
      </c>
      <c r="AR724" t="b">
        <f>OR(AND(IF(metadata!P724="",FALSE,TRUE),OR(EXACT(metadata!P724,"not applicable"),EXACT(metadata!P724,"missing: not collected"),EXACT(metadata!P724,"missing: not provided"),EXACT(metadata!P724,"missing: restricted access"))),IF(metadata!P724="",FALSE,IF(ISERROR(INT(metadata!P724)),FALSE,INT(metadata!P724)=metadata!P724)))</f>
        <v>0</v>
      </c>
      <c r="AS724" t="b">
        <f>AND(IF(metadata!Q724="",FALSE,TRUE),EXACT(metadata!Q724,"Not applicable"))</f>
        <v>0</v>
      </c>
      <c r="AT724" t="b">
        <f>OR(AND(IF(metadata!R724="",FALSE,TRUE),OR(EXACT(metadata!R724,"not applicable"),EXACT(metadata!R724,"missing: not collected"),EXACT(metadata!R724,"missing: not provided"),EXACT(metadata!R724,"missing: restricted access"))),AND(IF(metadata!R724="",FALSE,ISNUMBER(VALUE(metadata!R724))),metadata!R724&gt;0))</f>
        <v>0</v>
      </c>
      <c r="AU724" t="b">
        <f>AND(IF(metadata!S724="",FALSE,TRUE),EXACT(metadata!S724,"missing: not provided"))</f>
        <v>0</v>
      </c>
    </row>
    <row r="725" spans="1:47" x14ac:dyDescent="0.2">
      <c r="A725" s="5" t="str">
        <f ca="1">IF(B725=" "," ",HYPERLINK(CONCATENATE("#metadata!",ADDRESS(INDEX($Y$2:$Y$1001,MATCH(ROWS($W$2:W725),$W$2:$W$1001,0),0),1)),INDEX($AB$2:$AB$1001,MATCH(ROWS($W$2:W725),$W$2:$W$1001,0),0)))</f>
        <v xml:space="preserve"> </v>
      </c>
      <c r="B725" s="4" t="str">
        <f ca="1">IF(OR(INDEX($X$2:$X$1001,MATCH(ROWS($W$2:W725),$W$2:$W$1001,0),1)&gt;=100000,INDEX($AD$1005:$AU$1005,1,MATCH(COLUMNS($AD$1006:AD1006),$AD$1006:$AU$1006,0))&gt;=100000), " ",IF(INDEX($AD$2:$AU$1001,MATCH(ROWS($W$2:W725),$W$2:$W$1001,0),MATCH(COLUMNS($AD$1006:AD1006),$AD$1006:$AU$1006,0)), HYPERLINK("#",""), HYPERLINK(CONCATENATE("#metadata!", ADDRESS(INDEX($Y$2:$Y$1001,MATCH(ROWS($W$2:W725),$W$2:$W$1001,0),0), INDEX($AD$1004:$AU$1004,1,MATCH(COLUMNS($AD$1006:AD1006),$AD$1006:$AU$1006,0)))),"Fix")))</f>
        <v xml:space="preserve"> </v>
      </c>
      <c r="C725" s="4" t="str">
        <f ca="1">IF(OR(INDEX($X$2:$X$1001,MATCH(ROWS($W$2:W725),$W$2:$W$1001,0),1)&gt;=100000,INDEX($AD$1005:$AU$1005,1,MATCH(COLUMNS($AD$1006:AE1006),$AD$1006:$AU$1006,0))&gt;=100000), " ",IF(INDEX($AD$2:$AU$1001,MATCH(ROWS($W$2:W725),$W$2:$W$1001,0),MATCH(COLUMNS($AD$1006:AE1006),$AD$1006:$AU$1006,0)), HYPERLINK("#",""), HYPERLINK(CONCATENATE("#metadata!", ADDRESS(INDEX($Y$2:$Y$1001,MATCH(ROWS($W$2:W725),$W$2:$W$1001,0),0), INDEX($AD$1004:$AU$1004,1,MATCH(COLUMNS($AD$1006:AE1006),$AD$1006:$AU$1006,0)))),"Fix")))</f>
        <v xml:space="preserve"> </v>
      </c>
      <c r="D725" s="4" t="str">
        <f ca="1">IF(OR(INDEX($X$2:$X$1001,MATCH(ROWS($W$2:W725),$W$2:$W$1001,0),1)&gt;=100000,INDEX($AD$1005:$AU$1005,1,MATCH(COLUMNS($AD$1006:AF1006),$AD$1006:$AU$1006,0))&gt;=100000), " ",IF(INDEX($AD$2:$AU$1001,MATCH(ROWS($W$2:W725),$W$2:$W$1001,0),MATCH(COLUMNS($AD$1006:AF1006),$AD$1006:$AU$1006,0)), HYPERLINK("#",""), HYPERLINK(CONCATENATE("#metadata!", ADDRESS(INDEX($Y$2:$Y$1001,MATCH(ROWS($W$2:W725),$W$2:$W$1001,0),0), INDEX($AD$1004:$AU$1004,1,MATCH(COLUMNS($AD$1006:AF1006),$AD$1006:$AU$1006,0)))),"Fix")))</f>
        <v xml:space="preserve"> </v>
      </c>
      <c r="E725" s="4" t="str">
        <f ca="1">IF(OR(INDEX($X$2:$X$1001,MATCH(ROWS($W$2:W725),$W$2:$W$1001,0),1)&gt;=100000,INDEX($AD$1005:$AU$1005,1,MATCH(COLUMNS($AD$1006:AG1006),$AD$1006:$AU$1006,0))&gt;=100000), " ",IF(INDEX($AD$2:$AU$1001,MATCH(ROWS($W$2:W725),$W$2:$W$1001,0),MATCH(COLUMNS($AD$1006:AG1006),$AD$1006:$AU$1006,0)), HYPERLINK("#",""), HYPERLINK(CONCATENATE("#metadata!", ADDRESS(INDEX($Y$2:$Y$1001,MATCH(ROWS($W$2:W725),$W$2:$W$1001,0),0), INDEX($AD$1004:$AU$1004,1,MATCH(COLUMNS($AD$1006:AG1006),$AD$1006:$AU$1006,0)))),"Fix")))</f>
        <v xml:space="preserve"> </v>
      </c>
      <c r="F725" s="4" t="str">
        <f ca="1">IF(OR(INDEX($X$2:$X$1001,MATCH(ROWS($W$2:W725),$W$2:$W$1001,0),1)&gt;=100000,INDEX($AD$1005:$AU$1005,1,MATCH(COLUMNS($AD$1006:AH1006),$AD$1006:$AU$1006,0))&gt;=100000), " ",IF(INDEX($AD$2:$AU$1001,MATCH(ROWS($W$2:W725),$W$2:$W$1001,0),MATCH(COLUMNS($AD$1006:AH1006),$AD$1006:$AU$1006,0)), HYPERLINK("#",""), HYPERLINK(CONCATENATE("#metadata!", ADDRESS(INDEX($Y$2:$Y$1001,MATCH(ROWS($W$2:W725),$W$2:$W$1001,0),0), INDEX($AD$1004:$AU$1004,1,MATCH(COLUMNS($AD$1006:AH1006),$AD$1006:$AU$1006,0)))),"Fix")))</f>
        <v xml:space="preserve"> </v>
      </c>
      <c r="G725" s="4" t="str">
        <f ca="1">IF(OR(INDEX($X$2:$X$1001,MATCH(ROWS($W$2:W725),$W$2:$W$1001,0),1)&gt;=100000,INDEX($AD$1005:$AU$1005,1,MATCH(COLUMNS($AD$1006:AI1006),$AD$1006:$AU$1006,0))&gt;=100000), " ",IF(INDEX($AD$2:$AU$1001,MATCH(ROWS($W$2:W725),$W$2:$W$1001,0),MATCH(COLUMNS($AD$1006:AI1006),$AD$1006:$AU$1006,0)), HYPERLINK("#",""), HYPERLINK(CONCATENATE("#metadata!", ADDRESS(INDEX($Y$2:$Y$1001,MATCH(ROWS($W$2:W725),$W$2:$W$1001,0),0), INDEX($AD$1004:$AU$1004,1,MATCH(COLUMNS($AD$1006:AI1006),$AD$1006:$AU$1006,0)))),"Fix")))</f>
        <v xml:space="preserve"> </v>
      </c>
      <c r="H725" s="4" t="str">
        <f ca="1">IF(OR(INDEX($X$2:$X$1001,MATCH(ROWS($W$2:W725),$W$2:$W$1001,0),1)&gt;=100000,INDEX($AD$1005:$AU$1005,1,MATCH(COLUMNS($AD$1006:AJ1006),$AD$1006:$AU$1006,0))&gt;=100000), " ",IF(INDEX($AD$2:$AU$1001,MATCH(ROWS($W$2:W725),$W$2:$W$1001,0),MATCH(COLUMNS($AD$1006:AJ1006),$AD$1006:$AU$1006,0)), HYPERLINK("#",""), HYPERLINK(CONCATENATE("#metadata!", ADDRESS(INDEX($Y$2:$Y$1001,MATCH(ROWS($W$2:W725),$W$2:$W$1001,0),0), INDEX($AD$1004:$AU$1004,1,MATCH(COLUMNS($AD$1006:AJ1006),$AD$1006:$AU$1006,0)))),"Fix")))</f>
        <v xml:space="preserve"> </v>
      </c>
      <c r="I725" s="4" t="str">
        <f ca="1">IF(OR(INDEX($X$2:$X$1001,MATCH(ROWS($W$2:W725),$W$2:$W$1001,0),1)&gt;=100000,INDEX($AD$1005:$AU$1005,1,MATCH(COLUMNS($AD$1006:AK1006),$AD$1006:$AU$1006,0))&gt;=100000), " ",IF(INDEX($AD$2:$AU$1001,MATCH(ROWS($W$2:W725),$W$2:$W$1001,0),MATCH(COLUMNS($AD$1006:AK1006),$AD$1006:$AU$1006,0)), HYPERLINK("#",""), HYPERLINK(CONCATENATE("#metadata!", ADDRESS(INDEX($Y$2:$Y$1001,MATCH(ROWS($W$2:W725),$W$2:$W$1001,0),0), INDEX($AD$1004:$AU$1004,1,MATCH(COLUMNS($AD$1006:AK1006),$AD$1006:$AU$1006,0)))),"Fix")))</f>
        <v xml:space="preserve"> </v>
      </c>
      <c r="J725" s="4" t="str">
        <f ca="1">IF(OR(INDEX($X$2:$X$1001,MATCH(ROWS($W$2:W725),$W$2:$W$1001,0),1)&gt;=100000,INDEX($AD$1005:$AU$1005,1,MATCH(COLUMNS($AD$1006:AL1006),$AD$1006:$AU$1006,0))&gt;=100000), " ",IF(INDEX($AD$2:$AU$1001,MATCH(ROWS($W$2:W725),$W$2:$W$1001,0),MATCH(COLUMNS($AD$1006:AL1006),$AD$1006:$AU$1006,0)), HYPERLINK("#",""), HYPERLINK(CONCATENATE("#metadata!", ADDRESS(INDEX($Y$2:$Y$1001,MATCH(ROWS($W$2:W725),$W$2:$W$1001,0),0), INDEX($AD$1004:$AU$1004,1,MATCH(COLUMNS($AD$1006:AL1006),$AD$1006:$AU$1006,0)))),"Fix")))</f>
        <v xml:space="preserve"> </v>
      </c>
      <c r="K725" s="4" t="str">
        <f ca="1">IF(OR(INDEX($X$2:$X$1001,MATCH(ROWS($W$2:W725),$W$2:$W$1001,0),1)&gt;=100000,INDEX($AD$1005:$AU$1005,1,MATCH(COLUMNS($AD$1006:AM1006),$AD$1006:$AU$1006,0))&gt;=100000), " ",IF(INDEX($AD$2:$AU$1001,MATCH(ROWS($W$2:W725),$W$2:$W$1001,0),MATCH(COLUMNS($AD$1006:AM1006),$AD$1006:$AU$1006,0)), HYPERLINK("#",""), HYPERLINK(CONCATENATE("#metadata!", ADDRESS(INDEX($Y$2:$Y$1001,MATCH(ROWS($W$2:W725),$W$2:$W$1001,0),0), INDEX($AD$1004:$AU$1004,1,MATCH(COLUMNS($AD$1006:AM1006),$AD$1006:$AU$1006,0)))),"Fix")))</f>
        <v xml:space="preserve"> </v>
      </c>
      <c r="L725" s="4" t="str">
        <f ca="1">IF(OR(INDEX($X$2:$X$1001,MATCH(ROWS($W$2:W725),$W$2:$W$1001,0),1)&gt;=100000,INDEX($AD$1005:$AU$1005,1,MATCH(COLUMNS($AD$1006:AN1006),$AD$1006:$AU$1006,0))&gt;=100000), " ",IF(INDEX($AD$2:$AU$1001,MATCH(ROWS($W$2:W725),$W$2:$W$1001,0),MATCH(COLUMNS($AD$1006:AN1006),$AD$1006:$AU$1006,0)), HYPERLINK("#",""), HYPERLINK(CONCATENATE("#metadata!", ADDRESS(INDEX($Y$2:$Y$1001,MATCH(ROWS($W$2:W725),$W$2:$W$1001,0),0), INDEX($AD$1004:$AU$1004,1,MATCH(COLUMNS($AD$1006:AN1006),$AD$1006:$AU$1006,0)))),"Fix")))</f>
        <v xml:space="preserve"> </v>
      </c>
      <c r="M725" s="4" t="str">
        <f ca="1">IF(OR(INDEX($X$2:$X$1001,MATCH(ROWS($W$2:W725),$W$2:$W$1001,0),1)&gt;=100000,INDEX($AD$1005:$AU$1005,1,MATCH(COLUMNS($AD$1006:AO1006),$AD$1006:$AU$1006,0))&gt;=100000), " ",IF(INDEX($AD$2:$AU$1001,MATCH(ROWS($W$2:W725),$W$2:$W$1001,0),MATCH(COLUMNS($AD$1006:AO1006),$AD$1006:$AU$1006,0)), HYPERLINK("#",""), HYPERLINK(CONCATENATE("#metadata!", ADDRESS(INDEX($Y$2:$Y$1001,MATCH(ROWS($W$2:W725),$W$2:$W$1001,0),0), INDEX($AD$1004:$AU$1004,1,MATCH(COLUMNS($AD$1006:AO1006),$AD$1006:$AU$1006,0)))),"Fix")))</f>
        <v xml:space="preserve"> </v>
      </c>
      <c r="N725" s="4" t="str">
        <f ca="1">IF(OR(INDEX($X$2:$X$1001,MATCH(ROWS($W$2:W725),$W$2:$W$1001,0),1)&gt;=100000,INDEX($AD$1005:$AU$1005,1,MATCH(COLUMNS($AD$1006:AP1006),$AD$1006:$AU$1006,0))&gt;=100000), " ",IF(INDEX($AD$2:$AU$1001,MATCH(ROWS($W$2:W725),$W$2:$W$1001,0),MATCH(COLUMNS($AD$1006:AP1006),$AD$1006:$AU$1006,0)), HYPERLINK("#",""), HYPERLINK(CONCATENATE("#metadata!", ADDRESS(INDEX($Y$2:$Y$1001,MATCH(ROWS($W$2:W725),$W$2:$W$1001,0),0), INDEX($AD$1004:$AU$1004,1,MATCH(COLUMNS($AD$1006:AP1006),$AD$1006:$AU$1006,0)))),"Fix")))</f>
        <v xml:space="preserve"> </v>
      </c>
      <c r="O725" s="4" t="str">
        <f ca="1">IF(OR(INDEX($X$2:$X$1001,MATCH(ROWS($W$2:W725),$W$2:$W$1001,0),1)&gt;=100000,INDEX($AD$1005:$AU$1005,1,MATCH(COLUMNS($AD$1006:AQ1006),$AD$1006:$AU$1006,0))&gt;=100000), " ",IF(INDEX($AD$2:$AU$1001,MATCH(ROWS($W$2:W725),$W$2:$W$1001,0),MATCH(COLUMNS($AD$1006:AQ1006),$AD$1006:$AU$1006,0)), HYPERLINK("#",""), HYPERLINK(CONCATENATE("#metadata!", ADDRESS(INDEX($Y$2:$Y$1001,MATCH(ROWS($W$2:W725),$W$2:$W$1001,0),0), INDEX($AD$1004:$AU$1004,1,MATCH(COLUMNS($AD$1006:AQ1006),$AD$1006:$AU$1006,0)))),"Fix")))</f>
        <v xml:space="preserve"> </v>
      </c>
      <c r="P725" s="4" t="str">
        <f ca="1">IF(OR(INDEX($X$2:$X$1001,MATCH(ROWS($W$2:W725),$W$2:$W$1001,0),1)&gt;=100000,INDEX($AD$1005:$AU$1005,1,MATCH(COLUMNS($AD$1006:AR1006),$AD$1006:$AU$1006,0))&gt;=100000), " ",IF(INDEX($AD$2:$AU$1001,MATCH(ROWS($W$2:W725),$W$2:$W$1001,0),MATCH(COLUMNS($AD$1006:AR1006),$AD$1006:$AU$1006,0)), HYPERLINK("#",""), HYPERLINK(CONCATENATE("#metadata!", ADDRESS(INDEX($Y$2:$Y$1001,MATCH(ROWS($W$2:W725),$W$2:$W$1001,0),0), INDEX($AD$1004:$AU$1004,1,MATCH(COLUMNS($AD$1006:AR1006),$AD$1006:$AU$1006,0)))),"Fix")))</f>
        <v xml:space="preserve"> </v>
      </c>
      <c r="Q725" s="4" t="str">
        <f ca="1">IF(OR(INDEX($X$2:$X$1001,MATCH(ROWS($W$2:W725),$W$2:$W$1001,0),1)&gt;=100000,INDEX($AD$1005:$AU$1005,1,MATCH(COLUMNS($AD$1006:AS1006),$AD$1006:$AU$1006,0))&gt;=100000), " ",IF(INDEX($AD$2:$AU$1001,MATCH(ROWS($W$2:W725),$W$2:$W$1001,0),MATCH(COLUMNS($AD$1006:AS1006),$AD$1006:$AU$1006,0)), HYPERLINK("#",""), HYPERLINK(CONCATENATE("#metadata!", ADDRESS(INDEX($Y$2:$Y$1001,MATCH(ROWS($W$2:W725),$W$2:$W$1001,0),0), INDEX($AD$1004:$AU$1004,1,MATCH(COLUMNS($AD$1006:AS1006),$AD$1006:$AU$1006,0)))),"Fix")))</f>
        <v xml:space="preserve"> </v>
      </c>
      <c r="R725" s="4" t="str">
        <f ca="1">IF(OR(INDEX($X$2:$X$1001,MATCH(ROWS($W$2:W725),$W$2:$W$1001,0),1)&gt;=100000,INDEX($AD$1005:$AU$1005,1,MATCH(COLUMNS($AD$1006:AT1006),$AD$1006:$AU$1006,0))&gt;=100000), " ",IF(INDEX($AD$2:$AU$1001,MATCH(ROWS($W$2:W725),$W$2:$W$1001,0),MATCH(COLUMNS($AD$1006:AT1006),$AD$1006:$AU$1006,0)), HYPERLINK("#",""), HYPERLINK(CONCATENATE("#metadata!", ADDRESS(INDEX($Y$2:$Y$1001,MATCH(ROWS($W$2:W725),$W$2:$W$1001,0),0), INDEX($AD$1004:$AU$1004,1,MATCH(COLUMNS($AD$1006:AT1006),$AD$1006:$AU$1006,0)))),"Fix")))</f>
        <v xml:space="preserve"> </v>
      </c>
      <c r="S725" s="4" t="str">
        <f ca="1">IF(OR(INDEX($X$2:$X$1001,MATCH(ROWS($W$2:W725),$W$2:$W$1001,0),1)&gt;=100000,INDEX($AD$1005:$AU$1005,1,MATCH(COLUMNS($AD$1006:AU1006),$AD$1006:$AU$1006,0))&gt;=100000), " ",IF(INDEX($AD$2:$AU$1001,MATCH(ROWS($W$2:W725),$W$2:$W$1001,0),MATCH(COLUMNS($AD$1006:AU1006),$AD$1006:$AU$1006,0)), HYPERLINK("#",""), HYPERLINK(CONCATENATE("#metadata!", ADDRESS(INDEX($Y$2:$Y$1001,MATCH(ROWS($W$2:W725),$W$2:$W$1001,0),0), INDEX($AD$1004:$AU$1004,1,MATCH(COLUMNS($AD$1006:AU1006),$AD$1006:$AU$1006,0)))),"Fix")))</f>
        <v xml:space="preserve"> </v>
      </c>
      <c r="W725">
        <v>724</v>
      </c>
      <c r="X725">
        <v>100725</v>
      </c>
      <c r="Y725">
        <v>725</v>
      </c>
      <c r="Z725" t="b">
        <f t="shared" si="11"/>
        <v>1</v>
      </c>
      <c r="AA725" t="b">
        <f>COUNTBLANK(metadata!B725:S725)=COLUMNS(metadata!B725:S725)</f>
        <v>1</v>
      </c>
      <c r="AB725" t="str">
        <v/>
      </c>
      <c r="AD725" t="b">
        <f ca="1">AND(IF(metadata!B725="",FALSE,TRUE),COUNTIF(metadata!B:B, metadata!B725) = 1,NOT(ISERROR(SUMPRODUCT(SEARCH(MID(metadata!B725,ROW(INDIRECT("1:"&amp;LEN(metadata!B725))), 1),"0123456789abcdefghijklmnopqrstuvwxyzABCDEFGHIJKLMNOPQRSTUVWXYZ.")))))</f>
        <v>0</v>
      </c>
      <c r="AE725" t="b">
        <f>OR(AND(IF(metadata!C725="",FALSE,TRUE),OR(EXACT(metadata!C725,"not applicable"),EXACT(metadata!C725,"missing: not collected"),EXACT(metadata!C725,"missing: not provided"),EXACT(metadata!C725,"missing: restricted access"))),AND(IF(metadata!C725="",FALSE,ISNUMBER(VALUE(metadata!C725))),metadata!C725&gt;0))</f>
        <v>0</v>
      </c>
      <c r="AF725" t="b">
        <f>AND(IF(metadata!D725="",FALSE,TRUE),EXACT(metadata!D725,"missing: not provided"))</f>
        <v>0</v>
      </c>
      <c r="AG725" t="b">
        <f>AND(IF(metadata!E725="",FALSE,TRUE),EXACT(metadata!E725,"Host-associated"))</f>
        <v>0</v>
      </c>
      <c r="AH725" t="b">
        <f>AND(IF(metadata!F725="",FALSE,TRUE),OR(EXACT(metadata!F725,"Animal"),EXACT(metadata!F725,"Fungus"),EXACT(metadata!F725,"Plant")))</f>
        <v>0</v>
      </c>
      <c r="AI725" t="b">
        <f>AND(IF(metadata!G725="",FALSE,TRUE),OR(EXACT(metadata!G725,"Plant secretion"),EXACT(metadata!G725,"Plant rhizosphere"),EXACT(metadata!G725,"Plant surface"),EXACT(metadata!G725,"Plant corpus"),EXACT(metadata!G725,"Fungus surface"),EXACT(metadata!G725,"Fungus corpus"),EXACT(metadata!G725,"Animal surface"),EXACT(metadata!G725,"Animal proximal gut"),EXACT(metadata!G725,"Animal corpus"),EXACT(metadata!G725,"Animal distal gut"),EXACT(metadata!G725,"Animal secretion")))</f>
        <v>0</v>
      </c>
      <c r="AJ725" t="b">
        <f>OR(AND(IF(metadata!H725="",FALSE,TRUE),OR(EXACT(metadata!H725,"missing: not collected"),EXACT(metadata!H725,"missing: not provided"),EXACT(metadata!H725,"missing: restricted access"))),AND(IF(metadata!H725="",FALSE,TRUE),OR(EXACT(metadata!H725,"organism-associated habitat"),EXACT(metadata!H725,"plant-associated habitat"),EXACT(metadata!H725,"animal-associated habitat"),EXACT(metadata!H725,"insecta-associated habitat"),EXACT(metadata!H725,"mammalia-associated habitat"),EXACT(metadata!H725,"human-associated habitat"),EXACT(metadata!H725,"livestock-associated habitat"))))</f>
        <v>0</v>
      </c>
      <c r="AK725" t="b">
        <f>AND(IF(metadata!I725="",FALSE,TRUE),EXACT(metadata!I725,"host-associated"))</f>
        <v>0</v>
      </c>
      <c r="AL725" t="b">
        <f>OR(AND(IF(metadata!J725="",FALSE,TRUE),OR(EXACT(metadata!J725,"not applicable"),EXACT(metadata!J725,"missing: not collected"),EXACT(metadata!J725,"missing: not provided"),EXACT(metadata!J725,"missing: restricted access"))),AND(IF(metadata!J725="",FALSE,ISNUMBER(VALUE(metadata!J725))),metadata!J725&gt;0))</f>
        <v>0</v>
      </c>
      <c r="AM725" t="b">
        <f>AND(IF(metadata!K725="",FALSE,TRUE),EXACT(metadata!K725,"missing: not provided"))</f>
        <v>0</v>
      </c>
      <c r="AN725" t="b">
        <f>IF(metadata!L725="",FALSE,TRUE)</f>
        <v>0</v>
      </c>
      <c r="AO725" t="b">
        <f>IF(metadata!M725="",FALSE,TRUE)</f>
        <v>0</v>
      </c>
      <c r="AP725" t="b">
        <f>OR(AND(IF(metadata!N725="",FALSE,TRUE),OR(EXACT(metadata!N725,"not applicable"),EXACT(metadata!N725,"missing: not collected"),EXACT(metadata!N725,"missing: not provided"))),AND(IF(metadata!N725="",FALSE,IF(ISERROR(INT(metadata!N725)),FALSE,INT(metadata!N725)=metadata!N725)),metadata!N725&gt;0))</f>
        <v>0</v>
      </c>
      <c r="AQ725" t="b">
        <f>AND(IF(metadata!O725="",FALSE,TRUE),EXACT(metadata!O725,"Not applicable"))</f>
        <v>0</v>
      </c>
      <c r="AR725" t="b">
        <f>OR(AND(IF(metadata!P725="",FALSE,TRUE),OR(EXACT(metadata!P725,"not applicable"),EXACT(metadata!P725,"missing: not collected"),EXACT(metadata!P725,"missing: not provided"),EXACT(metadata!P725,"missing: restricted access"))),IF(metadata!P725="",FALSE,IF(ISERROR(INT(metadata!P725)),FALSE,INT(metadata!P725)=metadata!P725)))</f>
        <v>0</v>
      </c>
      <c r="AS725" t="b">
        <f>AND(IF(metadata!Q725="",FALSE,TRUE),EXACT(metadata!Q725,"Not applicable"))</f>
        <v>0</v>
      </c>
      <c r="AT725" t="b">
        <f>OR(AND(IF(metadata!R725="",FALSE,TRUE),OR(EXACT(metadata!R725,"not applicable"),EXACT(metadata!R725,"missing: not collected"),EXACT(metadata!R725,"missing: not provided"),EXACT(metadata!R725,"missing: restricted access"))),AND(IF(metadata!R725="",FALSE,ISNUMBER(VALUE(metadata!R725))),metadata!R725&gt;0))</f>
        <v>0</v>
      </c>
      <c r="AU725" t="b">
        <f>AND(IF(metadata!S725="",FALSE,TRUE),EXACT(metadata!S725,"missing: not provided"))</f>
        <v>0</v>
      </c>
    </row>
    <row r="726" spans="1:47" x14ac:dyDescent="0.2">
      <c r="A726" s="5" t="str">
        <f ca="1">IF(B726=" "," ",HYPERLINK(CONCATENATE("#metadata!",ADDRESS(INDEX($Y$2:$Y$1001,MATCH(ROWS($W$2:W726),$W$2:$W$1001,0),0),1)),INDEX($AB$2:$AB$1001,MATCH(ROWS($W$2:W726),$W$2:$W$1001,0),0)))</f>
        <v xml:space="preserve"> </v>
      </c>
      <c r="B726" s="4" t="str">
        <f ca="1">IF(OR(INDEX($X$2:$X$1001,MATCH(ROWS($W$2:W726),$W$2:$W$1001,0),1)&gt;=100000,INDEX($AD$1005:$AU$1005,1,MATCH(COLUMNS($AD$1006:AD1006),$AD$1006:$AU$1006,0))&gt;=100000), " ",IF(INDEX($AD$2:$AU$1001,MATCH(ROWS($W$2:W726),$W$2:$W$1001,0),MATCH(COLUMNS($AD$1006:AD1006),$AD$1006:$AU$1006,0)), HYPERLINK("#",""), HYPERLINK(CONCATENATE("#metadata!", ADDRESS(INDEX($Y$2:$Y$1001,MATCH(ROWS($W$2:W726),$W$2:$W$1001,0),0), INDEX($AD$1004:$AU$1004,1,MATCH(COLUMNS($AD$1006:AD1006),$AD$1006:$AU$1006,0)))),"Fix")))</f>
        <v xml:space="preserve"> </v>
      </c>
      <c r="C726" s="4" t="str">
        <f ca="1">IF(OR(INDEX($X$2:$X$1001,MATCH(ROWS($W$2:W726),$W$2:$W$1001,0),1)&gt;=100000,INDEX($AD$1005:$AU$1005,1,MATCH(COLUMNS($AD$1006:AE1006),$AD$1006:$AU$1006,0))&gt;=100000), " ",IF(INDEX($AD$2:$AU$1001,MATCH(ROWS($W$2:W726),$W$2:$W$1001,0),MATCH(COLUMNS($AD$1006:AE1006),$AD$1006:$AU$1006,0)), HYPERLINK("#",""), HYPERLINK(CONCATENATE("#metadata!", ADDRESS(INDEX($Y$2:$Y$1001,MATCH(ROWS($W$2:W726),$W$2:$W$1001,0),0), INDEX($AD$1004:$AU$1004,1,MATCH(COLUMNS($AD$1006:AE1006),$AD$1006:$AU$1006,0)))),"Fix")))</f>
        <v xml:space="preserve"> </v>
      </c>
      <c r="D726" s="4" t="str">
        <f ca="1">IF(OR(INDEX($X$2:$X$1001,MATCH(ROWS($W$2:W726),$W$2:$W$1001,0),1)&gt;=100000,INDEX($AD$1005:$AU$1005,1,MATCH(COLUMNS($AD$1006:AF1006),$AD$1006:$AU$1006,0))&gt;=100000), " ",IF(INDEX($AD$2:$AU$1001,MATCH(ROWS($W$2:W726),$W$2:$W$1001,0),MATCH(COLUMNS($AD$1006:AF1006),$AD$1006:$AU$1006,0)), HYPERLINK("#",""), HYPERLINK(CONCATENATE("#metadata!", ADDRESS(INDEX($Y$2:$Y$1001,MATCH(ROWS($W$2:W726),$W$2:$W$1001,0),0), INDEX($AD$1004:$AU$1004,1,MATCH(COLUMNS($AD$1006:AF1006),$AD$1006:$AU$1006,0)))),"Fix")))</f>
        <v xml:space="preserve"> </v>
      </c>
      <c r="E726" s="4" t="str">
        <f ca="1">IF(OR(INDEX($X$2:$X$1001,MATCH(ROWS($W$2:W726),$W$2:$W$1001,0),1)&gt;=100000,INDEX($AD$1005:$AU$1005,1,MATCH(COLUMNS($AD$1006:AG1006),$AD$1006:$AU$1006,0))&gt;=100000), " ",IF(INDEX($AD$2:$AU$1001,MATCH(ROWS($W$2:W726),$W$2:$W$1001,0),MATCH(COLUMNS($AD$1006:AG1006),$AD$1006:$AU$1006,0)), HYPERLINK("#",""), HYPERLINK(CONCATENATE("#metadata!", ADDRESS(INDEX($Y$2:$Y$1001,MATCH(ROWS($W$2:W726),$W$2:$W$1001,0),0), INDEX($AD$1004:$AU$1004,1,MATCH(COLUMNS($AD$1006:AG1006),$AD$1006:$AU$1006,0)))),"Fix")))</f>
        <v xml:space="preserve"> </v>
      </c>
      <c r="F726" s="4" t="str">
        <f ca="1">IF(OR(INDEX($X$2:$X$1001,MATCH(ROWS($W$2:W726),$W$2:$W$1001,0),1)&gt;=100000,INDEX($AD$1005:$AU$1005,1,MATCH(COLUMNS($AD$1006:AH1006),$AD$1006:$AU$1006,0))&gt;=100000), " ",IF(INDEX($AD$2:$AU$1001,MATCH(ROWS($W$2:W726),$W$2:$W$1001,0),MATCH(COLUMNS($AD$1006:AH1006),$AD$1006:$AU$1006,0)), HYPERLINK("#",""), HYPERLINK(CONCATENATE("#metadata!", ADDRESS(INDEX($Y$2:$Y$1001,MATCH(ROWS($W$2:W726),$W$2:$W$1001,0),0), INDEX($AD$1004:$AU$1004,1,MATCH(COLUMNS($AD$1006:AH1006),$AD$1006:$AU$1006,0)))),"Fix")))</f>
        <v xml:space="preserve"> </v>
      </c>
      <c r="G726" s="4" t="str">
        <f ca="1">IF(OR(INDEX($X$2:$X$1001,MATCH(ROWS($W$2:W726),$W$2:$W$1001,0),1)&gt;=100000,INDEX($AD$1005:$AU$1005,1,MATCH(COLUMNS($AD$1006:AI1006),$AD$1006:$AU$1006,0))&gt;=100000), " ",IF(INDEX($AD$2:$AU$1001,MATCH(ROWS($W$2:W726),$W$2:$W$1001,0),MATCH(COLUMNS($AD$1006:AI1006),$AD$1006:$AU$1006,0)), HYPERLINK("#",""), HYPERLINK(CONCATENATE("#metadata!", ADDRESS(INDEX($Y$2:$Y$1001,MATCH(ROWS($W$2:W726),$W$2:$W$1001,0),0), INDEX($AD$1004:$AU$1004,1,MATCH(COLUMNS($AD$1006:AI1006),$AD$1006:$AU$1006,0)))),"Fix")))</f>
        <v xml:space="preserve"> </v>
      </c>
      <c r="H726" s="4" t="str">
        <f ca="1">IF(OR(INDEX($X$2:$X$1001,MATCH(ROWS($W$2:W726),$W$2:$W$1001,0),1)&gt;=100000,INDEX($AD$1005:$AU$1005,1,MATCH(COLUMNS($AD$1006:AJ1006),$AD$1006:$AU$1006,0))&gt;=100000), " ",IF(INDEX($AD$2:$AU$1001,MATCH(ROWS($W$2:W726),$W$2:$W$1001,0),MATCH(COLUMNS($AD$1006:AJ1006),$AD$1006:$AU$1006,0)), HYPERLINK("#",""), HYPERLINK(CONCATENATE("#metadata!", ADDRESS(INDEX($Y$2:$Y$1001,MATCH(ROWS($W$2:W726),$W$2:$W$1001,0),0), INDEX($AD$1004:$AU$1004,1,MATCH(COLUMNS($AD$1006:AJ1006),$AD$1006:$AU$1006,0)))),"Fix")))</f>
        <v xml:space="preserve"> </v>
      </c>
      <c r="I726" s="4" t="str">
        <f ca="1">IF(OR(INDEX($X$2:$X$1001,MATCH(ROWS($W$2:W726),$W$2:$W$1001,0),1)&gt;=100000,INDEX($AD$1005:$AU$1005,1,MATCH(COLUMNS($AD$1006:AK1006),$AD$1006:$AU$1006,0))&gt;=100000), " ",IF(INDEX($AD$2:$AU$1001,MATCH(ROWS($W$2:W726),$W$2:$W$1001,0),MATCH(COLUMNS($AD$1006:AK1006),$AD$1006:$AU$1006,0)), HYPERLINK("#",""), HYPERLINK(CONCATENATE("#metadata!", ADDRESS(INDEX($Y$2:$Y$1001,MATCH(ROWS($W$2:W726),$W$2:$W$1001,0),0), INDEX($AD$1004:$AU$1004,1,MATCH(COLUMNS($AD$1006:AK1006),$AD$1006:$AU$1006,0)))),"Fix")))</f>
        <v xml:space="preserve"> </v>
      </c>
      <c r="J726" s="4" t="str">
        <f ca="1">IF(OR(INDEX($X$2:$X$1001,MATCH(ROWS($W$2:W726),$W$2:$W$1001,0),1)&gt;=100000,INDEX($AD$1005:$AU$1005,1,MATCH(COLUMNS($AD$1006:AL1006),$AD$1006:$AU$1006,0))&gt;=100000), " ",IF(INDEX($AD$2:$AU$1001,MATCH(ROWS($W$2:W726),$W$2:$W$1001,0),MATCH(COLUMNS($AD$1006:AL1006),$AD$1006:$AU$1006,0)), HYPERLINK("#",""), HYPERLINK(CONCATENATE("#metadata!", ADDRESS(INDEX($Y$2:$Y$1001,MATCH(ROWS($W$2:W726),$W$2:$W$1001,0),0), INDEX($AD$1004:$AU$1004,1,MATCH(COLUMNS($AD$1006:AL1006),$AD$1006:$AU$1006,0)))),"Fix")))</f>
        <v xml:space="preserve"> </v>
      </c>
      <c r="K726" s="4" t="str">
        <f ca="1">IF(OR(INDEX($X$2:$X$1001,MATCH(ROWS($W$2:W726),$W$2:$W$1001,0),1)&gt;=100000,INDEX($AD$1005:$AU$1005,1,MATCH(COLUMNS($AD$1006:AM1006),$AD$1006:$AU$1006,0))&gt;=100000), " ",IF(INDEX($AD$2:$AU$1001,MATCH(ROWS($W$2:W726),$W$2:$W$1001,0),MATCH(COLUMNS($AD$1006:AM1006),$AD$1006:$AU$1006,0)), HYPERLINK("#",""), HYPERLINK(CONCATENATE("#metadata!", ADDRESS(INDEX($Y$2:$Y$1001,MATCH(ROWS($W$2:W726),$W$2:$W$1001,0),0), INDEX($AD$1004:$AU$1004,1,MATCH(COLUMNS($AD$1006:AM1006),$AD$1006:$AU$1006,0)))),"Fix")))</f>
        <v xml:space="preserve"> </v>
      </c>
      <c r="L726" s="4" t="str">
        <f ca="1">IF(OR(INDEX($X$2:$X$1001,MATCH(ROWS($W$2:W726),$W$2:$W$1001,0),1)&gt;=100000,INDEX($AD$1005:$AU$1005,1,MATCH(COLUMNS($AD$1006:AN1006),$AD$1006:$AU$1006,0))&gt;=100000), " ",IF(INDEX($AD$2:$AU$1001,MATCH(ROWS($W$2:W726),$W$2:$W$1001,0),MATCH(COLUMNS($AD$1006:AN1006),$AD$1006:$AU$1006,0)), HYPERLINK("#",""), HYPERLINK(CONCATENATE("#metadata!", ADDRESS(INDEX($Y$2:$Y$1001,MATCH(ROWS($W$2:W726),$W$2:$W$1001,0),0), INDEX($AD$1004:$AU$1004,1,MATCH(COLUMNS($AD$1006:AN1006),$AD$1006:$AU$1006,0)))),"Fix")))</f>
        <v xml:space="preserve"> </v>
      </c>
      <c r="M726" s="4" t="str">
        <f ca="1">IF(OR(INDEX($X$2:$X$1001,MATCH(ROWS($W$2:W726),$W$2:$W$1001,0),1)&gt;=100000,INDEX($AD$1005:$AU$1005,1,MATCH(COLUMNS($AD$1006:AO1006),$AD$1006:$AU$1006,0))&gt;=100000), " ",IF(INDEX($AD$2:$AU$1001,MATCH(ROWS($W$2:W726),$W$2:$W$1001,0),MATCH(COLUMNS($AD$1006:AO1006),$AD$1006:$AU$1006,0)), HYPERLINK("#",""), HYPERLINK(CONCATENATE("#metadata!", ADDRESS(INDEX($Y$2:$Y$1001,MATCH(ROWS($W$2:W726),$W$2:$W$1001,0),0), INDEX($AD$1004:$AU$1004,1,MATCH(COLUMNS($AD$1006:AO1006),$AD$1006:$AU$1006,0)))),"Fix")))</f>
        <v xml:space="preserve"> </v>
      </c>
      <c r="N726" s="4" t="str">
        <f ca="1">IF(OR(INDEX($X$2:$X$1001,MATCH(ROWS($W$2:W726),$W$2:$W$1001,0),1)&gt;=100000,INDEX($AD$1005:$AU$1005,1,MATCH(COLUMNS($AD$1006:AP1006),$AD$1006:$AU$1006,0))&gt;=100000), " ",IF(INDEX($AD$2:$AU$1001,MATCH(ROWS($W$2:W726),$W$2:$W$1001,0),MATCH(COLUMNS($AD$1006:AP1006),$AD$1006:$AU$1006,0)), HYPERLINK("#",""), HYPERLINK(CONCATENATE("#metadata!", ADDRESS(INDEX($Y$2:$Y$1001,MATCH(ROWS($W$2:W726),$W$2:$W$1001,0),0), INDEX($AD$1004:$AU$1004,1,MATCH(COLUMNS($AD$1006:AP1006),$AD$1006:$AU$1006,0)))),"Fix")))</f>
        <v xml:space="preserve"> </v>
      </c>
      <c r="O726" s="4" t="str">
        <f ca="1">IF(OR(INDEX($X$2:$X$1001,MATCH(ROWS($W$2:W726),$W$2:$W$1001,0),1)&gt;=100000,INDEX($AD$1005:$AU$1005,1,MATCH(COLUMNS($AD$1006:AQ1006),$AD$1006:$AU$1006,0))&gt;=100000), " ",IF(INDEX($AD$2:$AU$1001,MATCH(ROWS($W$2:W726),$W$2:$W$1001,0),MATCH(COLUMNS($AD$1006:AQ1006),$AD$1006:$AU$1006,0)), HYPERLINK("#",""), HYPERLINK(CONCATENATE("#metadata!", ADDRESS(INDEX($Y$2:$Y$1001,MATCH(ROWS($W$2:W726),$W$2:$W$1001,0),0), INDEX($AD$1004:$AU$1004,1,MATCH(COLUMNS($AD$1006:AQ1006),$AD$1006:$AU$1006,0)))),"Fix")))</f>
        <v xml:space="preserve"> </v>
      </c>
      <c r="P726" s="4" t="str">
        <f ca="1">IF(OR(INDEX($X$2:$X$1001,MATCH(ROWS($W$2:W726),$W$2:$W$1001,0),1)&gt;=100000,INDEX($AD$1005:$AU$1005,1,MATCH(COLUMNS($AD$1006:AR1006),$AD$1006:$AU$1006,0))&gt;=100000), " ",IF(INDEX($AD$2:$AU$1001,MATCH(ROWS($W$2:W726),$W$2:$W$1001,0),MATCH(COLUMNS($AD$1006:AR1006),$AD$1006:$AU$1006,0)), HYPERLINK("#",""), HYPERLINK(CONCATENATE("#metadata!", ADDRESS(INDEX($Y$2:$Y$1001,MATCH(ROWS($W$2:W726),$W$2:$W$1001,0),0), INDEX($AD$1004:$AU$1004,1,MATCH(COLUMNS($AD$1006:AR1006),$AD$1006:$AU$1006,0)))),"Fix")))</f>
        <v xml:space="preserve"> </v>
      </c>
      <c r="Q726" s="4" t="str">
        <f ca="1">IF(OR(INDEX($X$2:$X$1001,MATCH(ROWS($W$2:W726),$W$2:$W$1001,0),1)&gt;=100000,INDEX($AD$1005:$AU$1005,1,MATCH(COLUMNS($AD$1006:AS1006),$AD$1006:$AU$1006,0))&gt;=100000), " ",IF(INDEX($AD$2:$AU$1001,MATCH(ROWS($W$2:W726),$W$2:$W$1001,0),MATCH(COLUMNS($AD$1006:AS1006),$AD$1006:$AU$1006,0)), HYPERLINK("#",""), HYPERLINK(CONCATENATE("#metadata!", ADDRESS(INDEX($Y$2:$Y$1001,MATCH(ROWS($W$2:W726),$W$2:$W$1001,0),0), INDEX($AD$1004:$AU$1004,1,MATCH(COLUMNS($AD$1006:AS1006),$AD$1006:$AU$1006,0)))),"Fix")))</f>
        <v xml:space="preserve"> </v>
      </c>
      <c r="R726" s="4" t="str">
        <f ca="1">IF(OR(INDEX($X$2:$X$1001,MATCH(ROWS($W$2:W726),$W$2:$W$1001,0),1)&gt;=100000,INDEX($AD$1005:$AU$1005,1,MATCH(COLUMNS($AD$1006:AT1006),$AD$1006:$AU$1006,0))&gt;=100000), " ",IF(INDEX($AD$2:$AU$1001,MATCH(ROWS($W$2:W726),$W$2:$W$1001,0),MATCH(COLUMNS($AD$1006:AT1006),$AD$1006:$AU$1006,0)), HYPERLINK("#",""), HYPERLINK(CONCATENATE("#metadata!", ADDRESS(INDEX($Y$2:$Y$1001,MATCH(ROWS($W$2:W726),$W$2:$W$1001,0),0), INDEX($AD$1004:$AU$1004,1,MATCH(COLUMNS($AD$1006:AT1006),$AD$1006:$AU$1006,0)))),"Fix")))</f>
        <v xml:space="preserve"> </v>
      </c>
      <c r="S726" s="4" t="str">
        <f ca="1">IF(OR(INDEX($X$2:$X$1001,MATCH(ROWS($W$2:W726),$W$2:$W$1001,0),1)&gt;=100000,INDEX($AD$1005:$AU$1005,1,MATCH(COLUMNS($AD$1006:AU1006),$AD$1006:$AU$1006,0))&gt;=100000), " ",IF(INDEX($AD$2:$AU$1001,MATCH(ROWS($W$2:W726),$W$2:$W$1001,0),MATCH(COLUMNS($AD$1006:AU1006),$AD$1006:$AU$1006,0)), HYPERLINK("#",""), HYPERLINK(CONCATENATE("#metadata!", ADDRESS(INDEX($Y$2:$Y$1001,MATCH(ROWS($W$2:W726),$W$2:$W$1001,0),0), INDEX($AD$1004:$AU$1004,1,MATCH(COLUMNS($AD$1006:AU1006),$AD$1006:$AU$1006,0)))),"Fix")))</f>
        <v xml:space="preserve"> </v>
      </c>
      <c r="W726">
        <v>725</v>
      </c>
      <c r="X726">
        <v>100726</v>
      </c>
      <c r="Y726">
        <v>726</v>
      </c>
      <c r="Z726" t="b">
        <f t="shared" si="11"/>
        <v>1</v>
      </c>
      <c r="AA726" t="b">
        <f>COUNTBLANK(metadata!B726:S726)=COLUMNS(metadata!B726:S726)</f>
        <v>1</v>
      </c>
      <c r="AB726" t="str">
        <v/>
      </c>
      <c r="AD726" t="b">
        <f ca="1">AND(IF(metadata!B726="",FALSE,TRUE),COUNTIF(metadata!B:B, metadata!B726) = 1,NOT(ISERROR(SUMPRODUCT(SEARCH(MID(metadata!B726,ROW(INDIRECT("1:"&amp;LEN(metadata!B726))), 1),"0123456789abcdefghijklmnopqrstuvwxyzABCDEFGHIJKLMNOPQRSTUVWXYZ.")))))</f>
        <v>0</v>
      </c>
      <c r="AE726" t="b">
        <f>OR(AND(IF(metadata!C726="",FALSE,TRUE),OR(EXACT(metadata!C726,"not applicable"),EXACT(metadata!C726,"missing: not collected"),EXACT(metadata!C726,"missing: not provided"),EXACT(metadata!C726,"missing: restricted access"))),AND(IF(metadata!C726="",FALSE,ISNUMBER(VALUE(metadata!C726))),metadata!C726&gt;0))</f>
        <v>0</v>
      </c>
      <c r="AF726" t="b">
        <f>AND(IF(metadata!D726="",FALSE,TRUE),EXACT(metadata!D726,"missing: not provided"))</f>
        <v>0</v>
      </c>
      <c r="AG726" t="b">
        <f>AND(IF(metadata!E726="",FALSE,TRUE),EXACT(metadata!E726,"Host-associated"))</f>
        <v>0</v>
      </c>
      <c r="AH726" t="b">
        <f>AND(IF(metadata!F726="",FALSE,TRUE),OR(EXACT(metadata!F726,"Animal"),EXACT(metadata!F726,"Fungus"),EXACT(metadata!F726,"Plant")))</f>
        <v>0</v>
      </c>
      <c r="AI726" t="b">
        <f>AND(IF(metadata!G726="",FALSE,TRUE),OR(EXACT(metadata!G726,"Plant secretion"),EXACT(metadata!G726,"Plant rhizosphere"),EXACT(metadata!G726,"Plant surface"),EXACT(metadata!G726,"Plant corpus"),EXACT(metadata!G726,"Fungus surface"),EXACT(metadata!G726,"Fungus corpus"),EXACT(metadata!G726,"Animal surface"),EXACT(metadata!G726,"Animal proximal gut"),EXACT(metadata!G726,"Animal corpus"),EXACT(metadata!G726,"Animal distal gut"),EXACT(metadata!G726,"Animal secretion")))</f>
        <v>0</v>
      </c>
      <c r="AJ726" t="b">
        <f>OR(AND(IF(metadata!H726="",FALSE,TRUE),OR(EXACT(metadata!H726,"missing: not collected"),EXACT(metadata!H726,"missing: not provided"),EXACT(metadata!H726,"missing: restricted access"))),AND(IF(metadata!H726="",FALSE,TRUE),OR(EXACT(metadata!H726,"organism-associated habitat"),EXACT(metadata!H726,"plant-associated habitat"),EXACT(metadata!H726,"animal-associated habitat"),EXACT(metadata!H726,"insecta-associated habitat"),EXACT(metadata!H726,"mammalia-associated habitat"),EXACT(metadata!H726,"human-associated habitat"),EXACT(metadata!H726,"livestock-associated habitat"))))</f>
        <v>0</v>
      </c>
      <c r="AK726" t="b">
        <f>AND(IF(metadata!I726="",FALSE,TRUE),EXACT(metadata!I726,"host-associated"))</f>
        <v>0</v>
      </c>
      <c r="AL726" t="b">
        <f>OR(AND(IF(metadata!J726="",FALSE,TRUE),OR(EXACT(metadata!J726,"not applicable"),EXACT(metadata!J726,"missing: not collected"),EXACT(metadata!J726,"missing: not provided"),EXACT(metadata!J726,"missing: restricted access"))),AND(IF(metadata!J726="",FALSE,ISNUMBER(VALUE(metadata!J726))),metadata!J726&gt;0))</f>
        <v>0</v>
      </c>
      <c r="AM726" t="b">
        <f>AND(IF(metadata!K726="",FALSE,TRUE),EXACT(metadata!K726,"missing: not provided"))</f>
        <v>0</v>
      </c>
      <c r="AN726" t="b">
        <f>IF(metadata!L726="",FALSE,TRUE)</f>
        <v>0</v>
      </c>
      <c r="AO726" t="b">
        <f>IF(metadata!M726="",FALSE,TRUE)</f>
        <v>0</v>
      </c>
      <c r="AP726" t="b">
        <f>OR(AND(IF(metadata!N726="",FALSE,TRUE),OR(EXACT(metadata!N726,"not applicable"),EXACT(metadata!N726,"missing: not collected"),EXACT(metadata!N726,"missing: not provided"))),AND(IF(metadata!N726="",FALSE,IF(ISERROR(INT(metadata!N726)),FALSE,INT(metadata!N726)=metadata!N726)),metadata!N726&gt;0))</f>
        <v>0</v>
      </c>
      <c r="AQ726" t="b">
        <f>AND(IF(metadata!O726="",FALSE,TRUE),EXACT(metadata!O726,"Not applicable"))</f>
        <v>0</v>
      </c>
      <c r="AR726" t="b">
        <f>OR(AND(IF(metadata!P726="",FALSE,TRUE),OR(EXACT(metadata!P726,"not applicable"),EXACT(metadata!P726,"missing: not collected"),EXACT(metadata!P726,"missing: not provided"),EXACT(metadata!P726,"missing: restricted access"))),IF(metadata!P726="",FALSE,IF(ISERROR(INT(metadata!P726)),FALSE,INT(metadata!P726)=metadata!P726)))</f>
        <v>0</v>
      </c>
      <c r="AS726" t="b">
        <f>AND(IF(metadata!Q726="",FALSE,TRUE),EXACT(metadata!Q726,"Not applicable"))</f>
        <v>0</v>
      </c>
      <c r="AT726" t="b">
        <f>OR(AND(IF(metadata!R726="",FALSE,TRUE),OR(EXACT(metadata!R726,"not applicable"),EXACT(metadata!R726,"missing: not collected"),EXACT(metadata!R726,"missing: not provided"),EXACT(metadata!R726,"missing: restricted access"))),AND(IF(metadata!R726="",FALSE,ISNUMBER(VALUE(metadata!R726))),metadata!R726&gt;0))</f>
        <v>0</v>
      </c>
      <c r="AU726" t="b">
        <f>AND(IF(metadata!S726="",FALSE,TRUE),EXACT(metadata!S726,"missing: not provided"))</f>
        <v>0</v>
      </c>
    </row>
    <row r="727" spans="1:47" x14ac:dyDescent="0.2">
      <c r="A727" s="5" t="str">
        <f ca="1">IF(B727=" "," ",HYPERLINK(CONCATENATE("#metadata!",ADDRESS(INDEX($Y$2:$Y$1001,MATCH(ROWS($W$2:W727),$W$2:$W$1001,0),0),1)),INDEX($AB$2:$AB$1001,MATCH(ROWS($W$2:W727),$W$2:$W$1001,0),0)))</f>
        <v xml:space="preserve"> </v>
      </c>
      <c r="B727" s="4" t="str">
        <f ca="1">IF(OR(INDEX($X$2:$X$1001,MATCH(ROWS($W$2:W727),$W$2:$W$1001,0),1)&gt;=100000,INDEX($AD$1005:$AU$1005,1,MATCH(COLUMNS($AD$1006:AD1006),$AD$1006:$AU$1006,0))&gt;=100000), " ",IF(INDEX($AD$2:$AU$1001,MATCH(ROWS($W$2:W727),$W$2:$W$1001,0),MATCH(COLUMNS($AD$1006:AD1006),$AD$1006:$AU$1006,0)), HYPERLINK("#",""), HYPERLINK(CONCATENATE("#metadata!", ADDRESS(INDEX($Y$2:$Y$1001,MATCH(ROWS($W$2:W727),$W$2:$W$1001,0),0), INDEX($AD$1004:$AU$1004,1,MATCH(COLUMNS($AD$1006:AD1006),$AD$1006:$AU$1006,0)))),"Fix")))</f>
        <v xml:space="preserve"> </v>
      </c>
      <c r="C727" s="4" t="str">
        <f ca="1">IF(OR(INDEX($X$2:$X$1001,MATCH(ROWS($W$2:W727),$W$2:$W$1001,0),1)&gt;=100000,INDEX($AD$1005:$AU$1005,1,MATCH(COLUMNS($AD$1006:AE1006),$AD$1006:$AU$1006,0))&gt;=100000), " ",IF(INDEX($AD$2:$AU$1001,MATCH(ROWS($W$2:W727),$W$2:$W$1001,0),MATCH(COLUMNS($AD$1006:AE1006),$AD$1006:$AU$1006,0)), HYPERLINK("#",""), HYPERLINK(CONCATENATE("#metadata!", ADDRESS(INDEX($Y$2:$Y$1001,MATCH(ROWS($W$2:W727),$W$2:$W$1001,0),0), INDEX($AD$1004:$AU$1004,1,MATCH(COLUMNS($AD$1006:AE1006),$AD$1006:$AU$1006,0)))),"Fix")))</f>
        <v xml:space="preserve"> </v>
      </c>
      <c r="D727" s="4" t="str">
        <f ca="1">IF(OR(INDEX($X$2:$X$1001,MATCH(ROWS($W$2:W727),$W$2:$W$1001,0),1)&gt;=100000,INDEX($AD$1005:$AU$1005,1,MATCH(COLUMNS($AD$1006:AF1006),$AD$1006:$AU$1006,0))&gt;=100000), " ",IF(INDEX($AD$2:$AU$1001,MATCH(ROWS($W$2:W727),$W$2:$W$1001,0),MATCH(COLUMNS($AD$1006:AF1006),$AD$1006:$AU$1006,0)), HYPERLINK("#",""), HYPERLINK(CONCATENATE("#metadata!", ADDRESS(INDEX($Y$2:$Y$1001,MATCH(ROWS($W$2:W727),$W$2:$W$1001,0),0), INDEX($AD$1004:$AU$1004,1,MATCH(COLUMNS($AD$1006:AF1006),$AD$1006:$AU$1006,0)))),"Fix")))</f>
        <v xml:space="preserve"> </v>
      </c>
      <c r="E727" s="4" t="str">
        <f ca="1">IF(OR(INDEX($X$2:$X$1001,MATCH(ROWS($W$2:W727),$W$2:$W$1001,0),1)&gt;=100000,INDEX($AD$1005:$AU$1005,1,MATCH(COLUMNS($AD$1006:AG1006),$AD$1006:$AU$1006,0))&gt;=100000), " ",IF(INDEX($AD$2:$AU$1001,MATCH(ROWS($W$2:W727),$W$2:$W$1001,0),MATCH(COLUMNS($AD$1006:AG1006),$AD$1006:$AU$1006,0)), HYPERLINK("#",""), HYPERLINK(CONCATENATE("#metadata!", ADDRESS(INDEX($Y$2:$Y$1001,MATCH(ROWS($W$2:W727),$W$2:$W$1001,0),0), INDEX($AD$1004:$AU$1004,1,MATCH(COLUMNS($AD$1006:AG1006),$AD$1006:$AU$1006,0)))),"Fix")))</f>
        <v xml:space="preserve"> </v>
      </c>
      <c r="F727" s="4" t="str">
        <f ca="1">IF(OR(INDEX($X$2:$X$1001,MATCH(ROWS($W$2:W727),$W$2:$W$1001,0),1)&gt;=100000,INDEX($AD$1005:$AU$1005,1,MATCH(COLUMNS($AD$1006:AH1006),$AD$1006:$AU$1006,0))&gt;=100000), " ",IF(INDEX($AD$2:$AU$1001,MATCH(ROWS($W$2:W727),$W$2:$W$1001,0),MATCH(COLUMNS($AD$1006:AH1006),$AD$1006:$AU$1006,0)), HYPERLINK("#",""), HYPERLINK(CONCATENATE("#metadata!", ADDRESS(INDEX($Y$2:$Y$1001,MATCH(ROWS($W$2:W727),$W$2:$W$1001,0),0), INDEX($AD$1004:$AU$1004,1,MATCH(COLUMNS($AD$1006:AH1006),$AD$1006:$AU$1006,0)))),"Fix")))</f>
        <v xml:space="preserve"> </v>
      </c>
      <c r="G727" s="4" t="str">
        <f ca="1">IF(OR(INDEX($X$2:$X$1001,MATCH(ROWS($W$2:W727),$W$2:$W$1001,0),1)&gt;=100000,INDEX($AD$1005:$AU$1005,1,MATCH(COLUMNS($AD$1006:AI1006),$AD$1006:$AU$1006,0))&gt;=100000), " ",IF(INDEX($AD$2:$AU$1001,MATCH(ROWS($W$2:W727),$W$2:$W$1001,0),MATCH(COLUMNS($AD$1006:AI1006),$AD$1006:$AU$1006,0)), HYPERLINK("#",""), HYPERLINK(CONCATENATE("#metadata!", ADDRESS(INDEX($Y$2:$Y$1001,MATCH(ROWS($W$2:W727),$W$2:$W$1001,0),0), INDEX($AD$1004:$AU$1004,1,MATCH(COLUMNS($AD$1006:AI1006),$AD$1006:$AU$1006,0)))),"Fix")))</f>
        <v xml:space="preserve"> </v>
      </c>
      <c r="H727" s="4" t="str">
        <f ca="1">IF(OR(INDEX($X$2:$X$1001,MATCH(ROWS($W$2:W727),$W$2:$W$1001,0),1)&gt;=100000,INDEX($AD$1005:$AU$1005,1,MATCH(COLUMNS($AD$1006:AJ1006),$AD$1006:$AU$1006,0))&gt;=100000), " ",IF(INDEX($AD$2:$AU$1001,MATCH(ROWS($W$2:W727),$W$2:$W$1001,0),MATCH(COLUMNS($AD$1006:AJ1006),$AD$1006:$AU$1006,0)), HYPERLINK("#",""), HYPERLINK(CONCATENATE("#metadata!", ADDRESS(INDEX($Y$2:$Y$1001,MATCH(ROWS($W$2:W727),$W$2:$W$1001,0),0), INDEX($AD$1004:$AU$1004,1,MATCH(COLUMNS($AD$1006:AJ1006),$AD$1006:$AU$1006,0)))),"Fix")))</f>
        <v xml:space="preserve"> </v>
      </c>
      <c r="I727" s="4" t="str">
        <f ca="1">IF(OR(INDEX($X$2:$X$1001,MATCH(ROWS($W$2:W727),$W$2:$W$1001,0),1)&gt;=100000,INDEX($AD$1005:$AU$1005,1,MATCH(COLUMNS($AD$1006:AK1006),$AD$1006:$AU$1006,0))&gt;=100000), " ",IF(INDEX($AD$2:$AU$1001,MATCH(ROWS($W$2:W727),$W$2:$W$1001,0),MATCH(COLUMNS($AD$1006:AK1006),$AD$1006:$AU$1006,0)), HYPERLINK("#",""), HYPERLINK(CONCATENATE("#metadata!", ADDRESS(INDEX($Y$2:$Y$1001,MATCH(ROWS($W$2:W727),$W$2:$W$1001,0),0), INDEX($AD$1004:$AU$1004,1,MATCH(COLUMNS($AD$1006:AK1006),$AD$1006:$AU$1006,0)))),"Fix")))</f>
        <v xml:space="preserve"> </v>
      </c>
      <c r="J727" s="4" t="str">
        <f ca="1">IF(OR(INDEX($X$2:$X$1001,MATCH(ROWS($W$2:W727),$W$2:$W$1001,0),1)&gt;=100000,INDEX($AD$1005:$AU$1005,1,MATCH(COLUMNS($AD$1006:AL1006),$AD$1006:$AU$1006,0))&gt;=100000), " ",IF(INDEX($AD$2:$AU$1001,MATCH(ROWS($W$2:W727),$W$2:$W$1001,0),MATCH(COLUMNS($AD$1006:AL1006),$AD$1006:$AU$1006,0)), HYPERLINK("#",""), HYPERLINK(CONCATENATE("#metadata!", ADDRESS(INDEX($Y$2:$Y$1001,MATCH(ROWS($W$2:W727),$W$2:$W$1001,0),0), INDEX($AD$1004:$AU$1004,1,MATCH(COLUMNS($AD$1006:AL1006),$AD$1006:$AU$1006,0)))),"Fix")))</f>
        <v xml:space="preserve"> </v>
      </c>
      <c r="K727" s="4" t="str">
        <f ca="1">IF(OR(INDEX($X$2:$X$1001,MATCH(ROWS($W$2:W727),$W$2:$W$1001,0),1)&gt;=100000,INDEX($AD$1005:$AU$1005,1,MATCH(COLUMNS($AD$1006:AM1006),$AD$1006:$AU$1006,0))&gt;=100000), " ",IF(INDEX($AD$2:$AU$1001,MATCH(ROWS($W$2:W727),$W$2:$W$1001,0),MATCH(COLUMNS($AD$1006:AM1006),$AD$1006:$AU$1006,0)), HYPERLINK("#",""), HYPERLINK(CONCATENATE("#metadata!", ADDRESS(INDEX($Y$2:$Y$1001,MATCH(ROWS($W$2:W727),$W$2:$W$1001,0),0), INDEX($AD$1004:$AU$1004,1,MATCH(COLUMNS($AD$1006:AM1006),$AD$1006:$AU$1006,0)))),"Fix")))</f>
        <v xml:space="preserve"> </v>
      </c>
      <c r="L727" s="4" t="str">
        <f ca="1">IF(OR(INDEX($X$2:$X$1001,MATCH(ROWS($W$2:W727),$W$2:$W$1001,0),1)&gt;=100000,INDEX($AD$1005:$AU$1005,1,MATCH(COLUMNS($AD$1006:AN1006),$AD$1006:$AU$1006,0))&gt;=100000), " ",IF(INDEX($AD$2:$AU$1001,MATCH(ROWS($W$2:W727),$W$2:$W$1001,0),MATCH(COLUMNS($AD$1006:AN1006),$AD$1006:$AU$1006,0)), HYPERLINK("#",""), HYPERLINK(CONCATENATE("#metadata!", ADDRESS(INDEX($Y$2:$Y$1001,MATCH(ROWS($W$2:W727),$W$2:$W$1001,0),0), INDEX($AD$1004:$AU$1004,1,MATCH(COLUMNS($AD$1006:AN1006),$AD$1006:$AU$1006,0)))),"Fix")))</f>
        <v xml:space="preserve"> </v>
      </c>
      <c r="M727" s="4" t="str">
        <f ca="1">IF(OR(INDEX($X$2:$X$1001,MATCH(ROWS($W$2:W727),$W$2:$W$1001,0),1)&gt;=100000,INDEX($AD$1005:$AU$1005,1,MATCH(COLUMNS($AD$1006:AO1006),$AD$1006:$AU$1006,0))&gt;=100000), " ",IF(INDEX($AD$2:$AU$1001,MATCH(ROWS($W$2:W727),$W$2:$W$1001,0),MATCH(COLUMNS($AD$1006:AO1006),$AD$1006:$AU$1006,0)), HYPERLINK("#",""), HYPERLINK(CONCATENATE("#metadata!", ADDRESS(INDEX($Y$2:$Y$1001,MATCH(ROWS($W$2:W727),$W$2:$W$1001,0),0), INDEX($AD$1004:$AU$1004,1,MATCH(COLUMNS($AD$1006:AO1006),$AD$1006:$AU$1006,0)))),"Fix")))</f>
        <v xml:space="preserve"> </v>
      </c>
      <c r="N727" s="4" t="str">
        <f ca="1">IF(OR(INDEX($X$2:$X$1001,MATCH(ROWS($W$2:W727),$W$2:$W$1001,0),1)&gt;=100000,INDEX($AD$1005:$AU$1005,1,MATCH(COLUMNS($AD$1006:AP1006),$AD$1006:$AU$1006,0))&gt;=100000), " ",IF(INDEX($AD$2:$AU$1001,MATCH(ROWS($W$2:W727),$W$2:$W$1001,0),MATCH(COLUMNS($AD$1006:AP1006),$AD$1006:$AU$1006,0)), HYPERLINK("#",""), HYPERLINK(CONCATENATE("#metadata!", ADDRESS(INDEX($Y$2:$Y$1001,MATCH(ROWS($W$2:W727),$W$2:$W$1001,0),0), INDEX($AD$1004:$AU$1004,1,MATCH(COLUMNS($AD$1006:AP1006),$AD$1006:$AU$1006,0)))),"Fix")))</f>
        <v xml:space="preserve"> </v>
      </c>
      <c r="O727" s="4" t="str">
        <f ca="1">IF(OR(INDEX($X$2:$X$1001,MATCH(ROWS($W$2:W727),$W$2:$W$1001,0),1)&gt;=100000,INDEX($AD$1005:$AU$1005,1,MATCH(COLUMNS($AD$1006:AQ1006),$AD$1006:$AU$1006,0))&gt;=100000), " ",IF(INDEX($AD$2:$AU$1001,MATCH(ROWS($W$2:W727),$W$2:$W$1001,0),MATCH(COLUMNS($AD$1006:AQ1006),$AD$1006:$AU$1006,0)), HYPERLINK("#",""), HYPERLINK(CONCATENATE("#metadata!", ADDRESS(INDEX($Y$2:$Y$1001,MATCH(ROWS($W$2:W727),$W$2:$W$1001,0),0), INDEX($AD$1004:$AU$1004,1,MATCH(COLUMNS($AD$1006:AQ1006),$AD$1006:$AU$1006,0)))),"Fix")))</f>
        <v xml:space="preserve"> </v>
      </c>
      <c r="P727" s="4" t="str">
        <f ca="1">IF(OR(INDEX($X$2:$X$1001,MATCH(ROWS($W$2:W727),$W$2:$W$1001,0),1)&gt;=100000,INDEX($AD$1005:$AU$1005,1,MATCH(COLUMNS($AD$1006:AR1006),$AD$1006:$AU$1006,0))&gt;=100000), " ",IF(INDEX($AD$2:$AU$1001,MATCH(ROWS($W$2:W727),$W$2:$W$1001,0),MATCH(COLUMNS($AD$1006:AR1006),$AD$1006:$AU$1006,0)), HYPERLINK("#",""), HYPERLINK(CONCATENATE("#metadata!", ADDRESS(INDEX($Y$2:$Y$1001,MATCH(ROWS($W$2:W727),$W$2:$W$1001,0),0), INDEX($AD$1004:$AU$1004,1,MATCH(COLUMNS($AD$1006:AR1006),$AD$1006:$AU$1006,0)))),"Fix")))</f>
        <v xml:space="preserve"> </v>
      </c>
      <c r="Q727" s="4" t="str">
        <f ca="1">IF(OR(INDEX($X$2:$X$1001,MATCH(ROWS($W$2:W727),$W$2:$W$1001,0),1)&gt;=100000,INDEX($AD$1005:$AU$1005,1,MATCH(COLUMNS($AD$1006:AS1006),$AD$1006:$AU$1006,0))&gt;=100000), " ",IF(INDEX($AD$2:$AU$1001,MATCH(ROWS($W$2:W727),$W$2:$W$1001,0),MATCH(COLUMNS($AD$1006:AS1006),$AD$1006:$AU$1006,0)), HYPERLINK("#",""), HYPERLINK(CONCATENATE("#metadata!", ADDRESS(INDEX($Y$2:$Y$1001,MATCH(ROWS($W$2:W727),$W$2:$W$1001,0),0), INDEX($AD$1004:$AU$1004,1,MATCH(COLUMNS($AD$1006:AS1006),$AD$1006:$AU$1006,0)))),"Fix")))</f>
        <v xml:space="preserve"> </v>
      </c>
      <c r="R727" s="4" t="str">
        <f ca="1">IF(OR(INDEX($X$2:$X$1001,MATCH(ROWS($W$2:W727),$W$2:$W$1001,0),1)&gt;=100000,INDEX($AD$1005:$AU$1005,1,MATCH(COLUMNS($AD$1006:AT1006),$AD$1006:$AU$1006,0))&gt;=100000), " ",IF(INDEX($AD$2:$AU$1001,MATCH(ROWS($W$2:W727),$W$2:$W$1001,0),MATCH(COLUMNS($AD$1006:AT1006),$AD$1006:$AU$1006,0)), HYPERLINK("#",""), HYPERLINK(CONCATENATE("#metadata!", ADDRESS(INDEX($Y$2:$Y$1001,MATCH(ROWS($W$2:W727),$W$2:$W$1001,0),0), INDEX($AD$1004:$AU$1004,1,MATCH(COLUMNS($AD$1006:AT1006),$AD$1006:$AU$1006,0)))),"Fix")))</f>
        <v xml:space="preserve"> </v>
      </c>
      <c r="S727" s="4" t="str">
        <f ca="1">IF(OR(INDEX($X$2:$X$1001,MATCH(ROWS($W$2:W727),$W$2:$W$1001,0),1)&gt;=100000,INDEX($AD$1005:$AU$1005,1,MATCH(COLUMNS($AD$1006:AU1006),$AD$1006:$AU$1006,0))&gt;=100000), " ",IF(INDEX($AD$2:$AU$1001,MATCH(ROWS($W$2:W727),$W$2:$W$1001,0),MATCH(COLUMNS($AD$1006:AU1006),$AD$1006:$AU$1006,0)), HYPERLINK("#",""), HYPERLINK(CONCATENATE("#metadata!", ADDRESS(INDEX($Y$2:$Y$1001,MATCH(ROWS($W$2:W727),$W$2:$W$1001,0),0), INDEX($AD$1004:$AU$1004,1,MATCH(COLUMNS($AD$1006:AU1006),$AD$1006:$AU$1006,0)))),"Fix")))</f>
        <v xml:space="preserve"> </v>
      </c>
      <c r="W727">
        <v>726</v>
      </c>
      <c r="X727">
        <v>100727</v>
      </c>
      <c r="Y727">
        <v>727</v>
      </c>
      <c r="Z727" t="b">
        <f t="shared" si="11"/>
        <v>1</v>
      </c>
      <c r="AA727" t="b">
        <f>COUNTBLANK(metadata!B727:S727)=COLUMNS(metadata!B727:S727)</f>
        <v>1</v>
      </c>
      <c r="AB727" t="str">
        <v/>
      </c>
      <c r="AD727" t="b">
        <f ca="1">AND(IF(metadata!B727="",FALSE,TRUE),COUNTIF(metadata!B:B, metadata!B727) = 1,NOT(ISERROR(SUMPRODUCT(SEARCH(MID(metadata!B727,ROW(INDIRECT("1:"&amp;LEN(metadata!B727))), 1),"0123456789abcdefghijklmnopqrstuvwxyzABCDEFGHIJKLMNOPQRSTUVWXYZ.")))))</f>
        <v>0</v>
      </c>
      <c r="AE727" t="b">
        <f>OR(AND(IF(metadata!C727="",FALSE,TRUE),OR(EXACT(metadata!C727,"not applicable"),EXACT(metadata!C727,"missing: not collected"),EXACT(metadata!C727,"missing: not provided"),EXACT(metadata!C727,"missing: restricted access"))),AND(IF(metadata!C727="",FALSE,ISNUMBER(VALUE(metadata!C727))),metadata!C727&gt;0))</f>
        <v>0</v>
      </c>
      <c r="AF727" t="b">
        <f>AND(IF(metadata!D727="",FALSE,TRUE),EXACT(metadata!D727,"missing: not provided"))</f>
        <v>0</v>
      </c>
      <c r="AG727" t="b">
        <f>AND(IF(metadata!E727="",FALSE,TRUE),EXACT(metadata!E727,"Host-associated"))</f>
        <v>0</v>
      </c>
      <c r="AH727" t="b">
        <f>AND(IF(metadata!F727="",FALSE,TRUE),OR(EXACT(metadata!F727,"Animal"),EXACT(metadata!F727,"Fungus"),EXACT(metadata!F727,"Plant")))</f>
        <v>0</v>
      </c>
      <c r="AI727" t="b">
        <f>AND(IF(metadata!G727="",FALSE,TRUE),OR(EXACT(metadata!G727,"Plant secretion"),EXACT(metadata!G727,"Plant rhizosphere"),EXACT(metadata!G727,"Plant surface"),EXACT(metadata!G727,"Plant corpus"),EXACT(metadata!G727,"Fungus surface"),EXACT(metadata!G727,"Fungus corpus"),EXACT(metadata!G727,"Animal surface"),EXACT(metadata!G727,"Animal proximal gut"),EXACT(metadata!G727,"Animal corpus"),EXACT(metadata!G727,"Animal distal gut"),EXACT(metadata!G727,"Animal secretion")))</f>
        <v>0</v>
      </c>
      <c r="AJ727" t="b">
        <f>OR(AND(IF(metadata!H727="",FALSE,TRUE),OR(EXACT(metadata!H727,"missing: not collected"),EXACT(metadata!H727,"missing: not provided"),EXACT(metadata!H727,"missing: restricted access"))),AND(IF(metadata!H727="",FALSE,TRUE),OR(EXACT(metadata!H727,"organism-associated habitat"),EXACT(metadata!H727,"plant-associated habitat"),EXACT(metadata!H727,"animal-associated habitat"),EXACT(metadata!H727,"insecta-associated habitat"),EXACT(metadata!H727,"mammalia-associated habitat"),EXACT(metadata!H727,"human-associated habitat"),EXACT(metadata!H727,"livestock-associated habitat"))))</f>
        <v>0</v>
      </c>
      <c r="AK727" t="b">
        <f>AND(IF(metadata!I727="",FALSE,TRUE),EXACT(metadata!I727,"host-associated"))</f>
        <v>0</v>
      </c>
      <c r="AL727" t="b">
        <f>OR(AND(IF(metadata!J727="",FALSE,TRUE),OR(EXACT(metadata!J727,"not applicable"),EXACT(metadata!J727,"missing: not collected"),EXACT(metadata!J727,"missing: not provided"),EXACT(metadata!J727,"missing: restricted access"))),AND(IF(metadata!J727="",FALSE,ISNUMBER(VALUE(metadata!J727))),metadata!J727&gt;0))</f>
        <v>0</v>
      </c>
      <c r="AM727" t="b">
        <f>AND(IF(metadata!K727="",FALSE,TRUE),EXACT(metadata!K727,"missing: not provided"))</f>
        <v>0</v>
      </c>
      <c r="AN727" t="b">
        <f>IF(metadata!L727="",FALSE,TRUE)</f>
        <v>0</v>
      </c>
      <c r="AO727" t="b">
        <f>IF(metadata!M727="",FALSE,TRUE)</f>
        <v>0</v>
      </c>
      <c r="AP727" t="b">
        <f>OR(AND(IF(metadata!N727="",FALSE,TRUE),OR(EXACT(metadata!N727,"not applicable"),EXACT(metadata!N727,"missing: not collected"),EXACT(metadata!N727,"missing: not provided"))),AND(IF(metadata!N727="",FALSE,IF(ISERROR(INT(metadata!N727)),FALSE,INT(metadata!N727)=metadata!N727)),metadata!N727&gt;0))</f>
        <v>0</v>
      </c>
      <c r="AQ727" t="b">
        <f>AND(IF(metadata!O727="",FALSE,TRUE),EXACT(metadata!O727,"Not applicable"))</f>
        <v>0</v>
      </c>
      <c r="AR727" t="b">
        <f>OR(AND(IF(metadata!P727="",FALSE,TRUE),OR(EXACT(metadata!P727,"not applicable"),EXACT(metadata!P727,"missing: not collected"),EXACT(metadata!P727,"missing: not provided"),EXACT(metadata!P727,"missing: restricted access"))),IF(metadata!P727="",FALSE,IF(ISERROR(INT(metadata!P727)),FALSE,INT(metadata!P727)=metadata!P727)))</f>
        <v>0</v>
      </c>
      <c r="AS727" t="b">
        <f>AND(IF(metadata!Q727="",FALSE,TRUE),EXACT(metadata!Q727,"Not applicable"))</f>
        <v>0</v>
      </c>
      <c r="AT727" t="b">
        <f>OR(AND(IF(metadata!R727="",FALSE,TRUE),OR(EXACT(metadata!R727,"not applicable"),EXACT(metadata!R727,"missing: not collected"),EXACT(metadata!R727,"missing: not provided"),EXACT(metadata!R727,"missing: restricted access"))),AND(IF(metadata!R727="",FALSE,ISNUMBER(VALUE(metadata!R727))),metadata!R727&gt;0))</f>
        <v>0</v>
      </c>
      <c r="AU727" t="b">
        <f>AND(IF(metadata!S727="",FALSE,TRUE),EXACT(metadata!S727,"missing: not provided"))</f>
        <v>0</v>
      </c>
    </row>
    <row r="728" spans="1:47" x14ac:dyDescent="0.2">
      <c r="A728" s="5" t="str">
        <f ca="1">IF(B728=" "," ",HYPERLINK(CONCATENATE("#metadata!",ADDRESS(INDEX($Y$2:$Y$1001,MATCH(ROWS($W$2:W728),$W$2:$W$1001,0),0),1)),INDEX($AB$2:$AB$1001,MATCH(ROWS($W$2:W728),$W$2:$W$1001,0),0)))</f>
        <v xml:space="preserve"> </v>
      </c>
      <c r="B728" s="4" t="str">
        <f ca="1">IF(OR(INDEX($X$2:$X$1001,MATCH(ROWS($W$2:W728),$W$2:$W$1001,0),1)&gt;=100000,INDEX($AD$1005:$AU$1005,1,MATCH(COLUMNS($AD$1006:AD1006),$AD$1006:$AU$1006,0))&gt;=100000), " ",IF(INDEX($AD$2:$AU$1001,MATCH(ROWS($W$2:W728),$W$2:$W$1001,0),MATCH(COLUMNS($AD$1006:AD1006),$AD$1006:$AU$1006,0)), HYPERLINK("#",""), HYPERLINK(CONCATENATE("#metadata!", ADDRESS(INDEX($Y$2:$Y$1001,MATCH(ROWS($W$2:W728),$W$2:$W$1001,0),0), INDEX($AD$1004:$AU$1004,1,MATCH(COLUMNS($AD$1006:AD1006),$AD$1006:$AU$1006,0)))),"Fix")))</f>
        <v xml:space="preserve"> </v>
      </c>
      <c r="C728" s="4" t="str">
        <f ca="1">IF(OR(INDEX($X$2:$X$1001,MATCH(ROWS($W$2:W728),$W$2:$W$1001,0),1)&gt;=100000,INDEX($AD$1005:$AU$1005,1,MATCH(COLUMNS($AD$1006:AE1006),$AD$1006:$AU$1006,0))&gt;=100000), " ",IF(INDEX($AD$2:$AU$1001,MATCH(ROWS($W$2:W728),$W$2:$W$1001,0),MATCH(COLUMNS($AD$1006:AE1006),$AD$1006:$AU$1006,0)), HYPERLINK("#",""), HYPERLINK(CONCATENATE("#metadata!", ADDRESS(INDEX($Y$2:$Y$1001,MATCH(ROWS($W$2:W728),$W$2:$W$1001,0),0), INDEX($AD$1004:$AU$1004,1,MATCH(COLUMNS($AD$1006:AE1006),$AD$1006:$AU$1006,0)))),"Fix")))</f>
        <v xml:space="preserve"> </v>
      </c>
      <c r="D728" s="4" t="str">
        <f ca="1">IF(OR(INDEX($X$2:$X$1001,MATCH(ROWS($W$2:W728),$W$2:$W$1001,0),1)&gt;=100000,INDEX($AD$1005:$AU$1005,1,MATCH(COLUMNS($AD$1006:AF1006),$AD$1006:$AU$1006,0))&gt;=100000), " ",IF(INDEX($AD$2:$AU$1001,MATCH(ROWS($W$2:W728),$W$2:$W$1001,0),MATCH(COLUMNS($AD$1006:AF1006),$AD$1006:$AU$1006,0)), HYPERLINK("#",""), HYPERLINK(CONCATENATE("#metadata!", ADDRESS(INDEX($Y$2:$Y$1001,MATCH(ROWS($W$2:W728),$W$2:$W$1001,0),0), INDEX($AD$1004:$AU$1004,1,MATCH(COLUMNS($AD$1006:AF1006),$AD$1006:$AU$1006,0)))),"Fix")))</f>
        <v xml:space="preserve"> </v>
      </c>
      <c r="E728" s="4" t="str">
        <f ca="1">IF(OR(INDEX($X$2:$X$1001,MATCH(ROWS($W$2:W728),$W$2:$W$1001,0),1)&gt;=100000,INDEX($AD$1005:$AU$1005,1,MATCH(COLUMNS($AD$1006:AG1006),$AD$1006:$AU$1006,0))&gt;=100000), " ",IF(INDEX($AD$2:$AU$1001,MATCH(ROWS($W$2:W728),$W$2:$W$1001,0),MATCH(COLUMNS($AD$1006:AG1006),$AD$1006:$AU$1006,0)), HYPERLINK("#",""), HYPERLINK(CONCATENATE("#metadata!", ADDRESS(INDEX($Y$2:$Y$1001,MATCH(ROWS($W$2:W728),$W$2:$W$1001,0),0), INDEX($AD$1004:$AU$1004,1,MATCH(COLUMNS($AD$1006:AG1006),$AD$1006:$AU$1006,0)))),"Fix")))</f>
        <v xml:space="preserve"> </v>
      </c>
      <c r="F728" s="4" t="str">
        <f ca="1">IF(OR(INDEX($X$2:$X$1001,MATCH(ROWS($W$2:W728),$W$2:$W$1001,0),1)&gt;=100000,INDEX($AD$1005:$AU$1005,1,MATCH(COLUMNS($AD$1006:AH1006),$AD$1006:$AU$1006,0))&gt;=100000), " ",IF(INDEX($AD$2:$AU$1001,MATCH(ROWS($W$2:W728),$W$2:$W$1001,0),MATCH(COLUMNS($AD$1006:AH1006),$AD$1006:$AU$1006,0)), HYPERLINK("#",""), HYPERLINK(CONCATENATE("#metadata!", ADDRESS(INDEX($Y$2:$Y$1001,MATCH(ROWS($W$2:W728),$W$2:$W$1001,0),0), INDEX($AD$1004:$AU$1004,1,MATCH(COLUMNS($AD$1006:AH1006),$AD$1006:$AU$1006,0)))),"Fix")))</f>
        <v xml:space="preserve"> </v>
      </c>
      <c r="G728" s="4" t="str">
        <f ca="1">IF(OR(INDEX($X$2:$X$1001,MATCH(ROWS($W$2:W728),$W$2:$W$1001,0),1)&gt;=100000,INDEX($AD$1005:$AU$1005,1,MATCH(COLUMNS($AD$1006:AI1006),$AD$1006:$AU$1006,0))&gt;=100000), " ",IF(INDEX($AD$2:$AU$1001,MATCH(ROWS($W$2:W728),$W$2:$W$1001,0),MATCH(COLUMNS($AD$1006:AI1006),$AD$1006:$AU$1006,0)), HYPERLINK("#",""), HYPERLINK(CONCATENATE("#metadata!", ADDRESS(INDEX($Y$2:$Y$1001,MATCH(ROWS($W$2:W728),$W$2:$W$1001,0),0), INDEX($AD$1004:$AU$1004,1,MATCH(COLUMNS($AD$1006:AI1006),$AD$1006:$AU$1006,0)))),"Fix")))</f>
        <v xml:space="preserve"> </v>
      </c>
      <c r="H728" s="4" t="str">
        <f ca="1">IF(OR(INDEX($X$2:$X$1001,MATCH(ROWS($W$2:W728),$W$2:$W$1001,0),1)&gt;=100000,INDEX($AD$1005:$AU$1005,1,MATCH(COLUMNS($AD$1006:AJ1006),$AD$1006:$AU$1006,0))&gt;=100000), " ",IF(INDEX($AD$2:$AU$1001,MATCH(ROWS($W$2:W728),$W$2:$W$1001,0),MATCH(COLUMNS($AD$1006:AJ1006),$AD$1006:$AU$1006,0)), HYPERLINK("#",""), HYPERLINK(CONCATENATE("#metadata!", ADDRESS(INDEX($Y$2:$Y$1001,MATCH(ROWS($W$2:W728),$W$2:$W$1001,0),0), INDEX($AD$1004:$AU$1004,1,MATCH(COLUMNS($AD$1006:AJ1006),$AD$1006:$AU$1006,0)))),"Fix")))</f>
        <v xml:space="preserve"> </v>
      </c>
      <c r="I728" s="4" t="str">
        <f ca="1">IF(OR(INDEX($X$2:$X$1001,MATCH(ROWS($W$2:W728),$W$2:$W$1001,0),1)&gt;=100000,INDEX($AD$1005:$AU$1005,1,MATCH(COLUMNS($AD$1006:AK1006),$AD$1006:$AU$1006,0))&gt;=100000), " ",IF(INDEX($AD$2:$AU$1001,MATCH(ROWS($W$2:W728),$W$2:$W$1001,0),MATCH(COLUMNS($AD$1006:AK1006),$AD$1006:$AU$1006,0)), HYPERLINK("#",""), HYPERLINK(CONCATENATE("#metadata!", ADDRESS(INDEX($Y$2:$Y$1001,MATCH(ROWS($W$2:W728),$W$2:$W$1001,0),0), INDEX($AD$1004:$AU$1004,1,MATCH(COLUMNS($AD$1006:AK1006),$AD$1006:$AU$1006,0)))),"Fix")))</f>
        <v xml:space="preserve"> </v>
      </c>
      <c r="J728" s="4" t="str">
        <f ca="1">IF(OR(INDEX($X$2:$X$1001,MATCH(ROWS($W$2:W728),$W$2:$W$1001,0),1)&gt;=100000,INDEX($AD$1005:$AU$1005,1,MATCH(COLUMNS($AD$1006:AL1006),$AD$1006:$AU$1006,0))&gt;=100000), " ",IF(INDEX($AD$2:$AU$1001,MATCH(ROWS($W$2:W728),$W$2:$W$1001,0),MATCH(COLUMNS($AD$1006:AL1006),$AD$1006:$AU$1006,0)), HYPERLINK("#",""), HYPERLINK(CONCATENATE("#metadata!", ADDRESS(INDEX($Y$2:$Y$1001,MATCH(ROWS($W$2:W728),$W$2:$W$1001,0),0), INDEX($AD$1004:$AU$1004,1,MATCH(COLUMNS($AD$1006:AL1006),$AD$1006:$AU$1006,0)))),"Fix")))</f>
        <v xml:space="preserve"> </v>
      </c>
      <c r="K728" s="4" t="str">
        <f ca="1">IF(OR(INDEX($X$2:$X$1001,MATCH(ROWS($W$2:W728),$W$2:$W$1001,0),1)&gt;=100000,INDEX($AD$1005:$AU$1005,1,MATCH(COLUMNS($AD$1006:AM1006),$AD$1006:$AU$1006,0))&gt;=100000), " ",IF(INDEX($AD$2:$AU$1001,MATCH(ROWS($W$2:W728),$W$2:$W$1001,0),MATCH(COLUMNS($AD$1006:AM1006),$AD$1006:$AU$1006,0)), HYPERLINK("#",""), HYPERLINK(CONCATENATE("#metadata!", ADDRESS(INDEX($Y$2:$Y$1001,MATCH(ROWS($W$2:W728),$W$2:$W$1001,0),0), INDEX($AD$1004:$AU$1004,1,MATCH(COLUMNS($AD$1006:AM1006),$AD$1006:$AU$1006,0)))),"Fix")))</f>
        <v xml:space="preserve"> </v>
      </c>
      <c r="L728" s="4" t="str">
        <f ca="1">IF(OR(INDEX($X$2:$X$1001,MATCH(ROWS($W$2:W728),$W$2:$W$1001,0),1)&gt;=100000,INDEX($AD$1005:$AU$1005,1,MATCH(COLUMNS($AD$1006:AN1006),$AD$1006:$AU$1006,0))&gt;=100000), " ",IF(INDEX($AD$2:$AU$1001,MATCH(ROWS($W$2:W728),$W$2:$W$1001,0),MATCH(COLUMNS($AD$1006:AN1006),$AD$1006:$AU$1006,0)), HYPERLINK("#",""), HYPERLINK(CONCATENATE("#metadata!", ADDRESS(INDEX($Y$2:$Y$1001,MATCH(ROWS($W$2:W728),$W$2:$W$1001,0),0), INDEX($AD$1004:$AU$1004,1,MATCH(COLUMNS($AD$1006:AN1006),$AD$1006:$AU$1006,0)))),"Fix")))</f>
        <v xml:space="preserve"> </v>
      </c>
      <c r="M728" s="4" t="str">
        <f ca="1">IF(OR(INDEX($X$2:$X$1001,MATCH(ROWS($W$2:W728),$W$2:$W$1001,0),1)&gt;=100000,INDEX($AD$1005:$AU$1005,1,MATCH(COLUMNS($AD$1006:AO1006),$AD$1006:$AU$1006,0))&gt;=100000), " ",IF(INDEX($AD$2:$AU$1001,MATCH(ROWS($W$2:W728),$W$2:$W$1001,0),MATCH(COLUMNS($AD$1006:AO1006),$AD$1006:$AU$1006,0)), HYPERLINK("#",""), HYPERLINK(CONCATENATE("#metadata!", ADDRESS(INDEX($Y$2:$Y$1001,MATCH(ROWS($W$2:W728),$W$2:$W$1001,0),0), INDEX($AD$1004:$AU$1004,1,MATCH(COLUMNS($AD$1006:AO1006),$AD$1006:$AU$1006,0)))),"Fix")))</f>
        <v xml:space="preserve"> </v>
      </c>
      <c r="N728" s="4" t="str">
        <f ca="1">IF(OR(INDEX($X$2:$X$1001,MATCH(ROWS($W$2:W728),$W$2:$W$1001,0),1)&gt;=100000,INDEX($AD$1005:$AU$1005,1,MATCH(COLUMNS($AD$1006:AP1006),$AD$1006:$AU$1006,0))&gt;=100000), " ",IF(INDEX($AD$2:$AU$1001,MATCH(ROWS($W$2:W728),$W$2:$W$1001,0),MATCH(COLUMNS($AD$1006:AP1006),$AD$1006:$AU$1006,0)), HYPERLINK("#",""), HYPERLINK(CONCATENATE("#metadata!", ADDRESS(INDEX($Y$2:$Y$1001,MATCH(ROWS($W$2:W728),$W$2:$W$1001,0),0), INDEX($AD$1004:$AU$1004,1,MATCH(COLUMNS($AD$1006:AP1006),$AD$1006:$AU$1006,0)))),"Fix")))</f>
        <v xml:space="preserve"> </v>
      </c>
      <c r="O728" s="4" t="str">
        <f ca="1">IF(OR(INDEX($X$2:$X$1001,MATCH(ROWS($W$2:W728),$W$2:$W$1001,0),1)&gt;=100000,INDEX($AD$1005:$AU$1005,1,MATCH(COLUMNS($AD$1006:AQ1006),$AD$1006:$AU$1006,0))&gt;=100000), " ",IF(INDEX($AD$2:$AU$1001,MATCH(ROWS($W$2:W728),$W$2:$W$1001,0),MATCH(COLUMNS($AD$1006:AQ1006),$AD$1006:$AU$1006,0)), HYPERLINK("#",""), HYPERLINK(CONCATENATE("#metadata!", ADDRESS(INDEX($Y$2:$Y$1001,MATCH(ROWS($W$2:W728),$W$2:$W$1001,0),0), INDEX($AD$1004:$AU$1004,1,MATCH(COLUMNS($AD$1006:AQ1006),$AD$1006:$AU$1006,0)))),"Fix")))</f>
        <v xml:space="preserve"> </v>
      </c>
      <c r="P728" s="4" t="str">
        <f ca="1">IF(OR(INDEX($X$2:$X$1001,MATCH(ROWS($W$2:W728),$W$2:$W$1001,0),1)&gt;=100000,INDEX($AD$1005:$AU$1005,1,MATCH(COLUMNS($AD$1006:AR1006),$AD$1006:$AU$1006,0))&gt;=100000), " ",IF(INDEX($AD$2:$AU$1001,MATCH(ROWS($W$2:W728),$W$2:$W$1001,0),MATCH(COLUMNS($AD$1006:AR1006),$AD$1006:$AU$1006,0)), HYPERLINK("#",""), HYPERLINK(CONCATENATE("#metadata!", ADDRESS(INDEX($Y$2:$Y$1001,MATCH(ROWS($W$2:W728),$W$2:$W$1001,0),0), INDEX($AD$1004:$AU$1004,1,MATCH(COLUMNS($AD$1006:AR1006),$AD$1006:$AU$1006,0)))),"Fix")))</f>
        <v xml:space="preserve"> </v>
      </c>
      <c r="Q728" s="4" t="str">
        <f ca="1">IF(OR(INDEX($X$2:$X$1001,MATCH(ROWS($W$2:W728),$W$2:$W$1001,0),1)&gt;=100000,INDEX($AD$1005:$AU$1005,1,MATCH(COLUMNS($AD$1006:AS1006),$AD$1006:$AU$1006,0))&gt;=100000), " ",IF(INDEX($AD$2:$AU$1001,MATCH(ROWS($W$2:W728),$W$2:$W$1001,0),MATCH(COLUMNS($AD$1006:AS1006),$AD$1006:$AU$1006,0)), HYPERLINK("#",""), HYPERLINK(CONCATENATE("#metadata!", ADDRESS(INDEX($Y$2:$Y$1001,MATCH(ROWS($W$2:W728),$W$2:$W$1001,0),0), INDEX($AD$1004:$AU$1004,1,MATCH(COLUMNS($AD$1006:AS1006),$AD$1006:$AU$1006,0)))),"Fix")))</f>
        <v xml:space="preserve"> </v>
      </c>
      <c r="R728" s="4" t="str">
        <f ca="1">IF(OR(INDEX($X$2:$X$1001,MATCH(ROWS($W$2:W728),$W$2:$W$1001,0),1)&gt;=100000,INDEX($AD$1005:$AU$1005,1,MATCH(COLUMNS($AD$1006:AT1006),$AD$1006:$AU$1006,0))&gt;=100000), " ",IF(INDEX($AD$2:$AU$1001,MATCH(ROWS($W$2:W728),$W$2:$W$1001,0),MATCH(COLUMNS($AD$1006:AT1006),$AD$1006:$AU$1006,0)), HYPERLINK("#",""), HYPERLINK(CONCATENATE("#metadata!", ADDRESS(INDEX($Y$2:$Y$1001,MATCH(ROWS($W$2:W728),$W$2:$W$1001,0),0), INDEX($AD$1004:$AU$1004,1,MATCH(COLUMNS($AD$1006:AT1006),$AD$1006:$AU$1006,0)))),"Fix")))</f>
        <v xml:space="preserve"> </v>
      </c>
      <c r="S728" s="4" t="str">
        <f ca="1">IF(OR(INDEX($X$2:$X$1001,MATCH(ROWS($W$2:W728),$W$2:$W$1001,0),1)&gt;=100000,INDEX($AD$1005:$AU$1005,1,MATCH(COLUMNS($AD$1006:AU1006),$AD$1006:$AU$1006,0))&gt;=100000), " ",IF(INDEX($AD$2:$AU$1001,MATCH(ROWS($W$2:W728),$W$2:$W$1001,0),MATCH(COLUMNS($AD$1006:AU1006),$AD$1006:$AU$1006,0)), HYPERLINK("#",""), HYPERLINK(CONCATENATE("#metadata!", ADDRESS(INDEX($Y$2:$Y$1001,MATCH(ROWS($W$2:W728),$W$2:$W$1001,0),0), INDEX($AD$1004:$AU$1004,1,MATCH(COLUMNS($AD$1006:AU1006),$AD$1006:$AU$1006,0)))),"Fix")))</f>
        <v xml:space="preserve"> </v>
      </c>
      <c r="W728">
        <v>727</v>
      </c>
      <c r="X728">
        <v>100728</v>
      </c>
      <c r="Y728">
        <v>728</v>
      </c>
      <c r="Z728" t="b">
        <f t="shared" si="11"/>
        <v>1</v>
      </c>
      <c r="AA728" t="b">
        <f>COUNTBLANK(metadata!B728:S728)=COLUMNS(metadata!B728:S728)</f>
        <v>1</v>
      </c>
      <c r="AB728" t="str">
        <v/>
      </c>
      <c r="AD728" t="b">
        <f ca="1">AND(IF(metadata!B728="",FALSE,TRUE),COUNTIF(metadata!B:B, metadata!B728) = 1,NOT(ISERROR(SUMPRODUCT(SEARCH(MID(metadata!B728,ROW(INDIRECT("1:"&amp;LEN(metadata!B728))), 1),"0123456789abcdefghijklmnopqrstuvwxyzABCDEFGHIJKLMNOPQRSTUVWXYZ.")))))</f>
        <v>0</v>
      </c>
      <c r="AE728" t="b">
        <f>OR(AND(IF(metadata!C728="",FALSE,TRUE),OR(EXACT(metadata!C728,"not applicable"),EXACT(metadata!C728,"missing: not collected"),EXACT(metadata!C728,"missing: not provided"),EXACT(metadata!C728,"missing: restricted access"))),AND(IF(metadata!C728="",FALSE,ISNUMBER(VALUE(metadata!C728))),metadata!C728&gt;0))</f>
        <v>0</v>
      </c>
      <c r="AF728" t="b">
        <f>AND(IF(metadata!D728="",FALSE,TRUE),EXACT(metadata!D728,"missing: not provided"))</f>
        <v>0</v>
      </c>
      <c r="AG728" t="b">
        <f>AND(IF(metadata!E728="",FALSE,TRUE),EXACT(metadata!E728,"Host-associated"))</f>
        <v>0</v>
      </c>
      <c r="AH728" t="b">
        <f>AND(IF(metadata!F728="",FALSE,TRUE),OR(EXACT(metadata!F728,"Animal"),EXACT(metadata!F728,"Fungus"),EXACT(metadata!F728,"Plant")))</f>
        <v>0</v>
      </c>
      <c r="AI728" t="b">
        <f>AND(IF(metadata!G728="",FALSE,TRUE),OR(EXACT(metadata!G728,"Plant secretion"),EXACT(metadata!G728,"Plant rhizosphere"),EXACT(metadata!G728,"Plant surface"),EXACT(metadata!G728,"Plant corpus"),EXACT(metadata!G728,"Fungus surface"),EXACT(metadata!G728,"Fungus corpus"),EXACT(metadata!G728,"Animal surface"),EXACT(metadata!G728,"Animal proximal gut"),EXACT(metadata!G728,"Animal corpus"),EXACT(metadata!G728,"Animal distal gut"),EXACT(metadata!G728,"Animal secretion")))</f>
        <v>0</v>
      </c>
      <c r="AJ728" t="b">
        <f>OR(AND(IF(metadata!H728="",FALSE,TRUE),OR(EXACT(metadata!H728,"missing: not collected"),EXACT(metadata!H728,"missing: not provided"),EXACT(metadata!H728,"missing: restricted access"))),AND(IF(metadata!H728="",FALSE,TRUE),OR(EXACT(metadata!H728,"organism-associated habitat"),EXACT(metadata!H728,"plant-associated habitat"),EXACT(metadata!H728,"animal-associated habitat"),EXACT(metadata!H728,"insecta-associated habitat"),EXACT(metadata!H728,"mammalia-associated habitat"),EXACT(metadata!H728,"human-associated habitat"),EXACT(metadata!H728,"livestock-associated habitat"))))</f>
        <v>0</v>
      </c>
      <c r="AK728" t="b">
        <f>AND(IF(metadata!I728="",FALSE,TRUE),EXACT(metadata!I728,"host-associated"))</f>
        <v>0</v>
      </c>
      <c r="AL728" t="b">
        <f>OR(AND(IF(metadata!J728="",FALSE,TRUE),OR(EXACT(metadata!J728,"not applicable"),EXACT(metadata!J728,"missing: not collected"),EXACT(metadata!J728,"missing: not provided"),EXACT(metadata!J728,"missing: restricted access"))),AND(IF(metadata!J728="",FALSE,ISNUMBER(VALUE(metadata!J728))),metadata!J728&gt;0))</f>
        <v>0</v>
      </c>
      <c r="AM728" t="b">
        <f>AND(IF(metadata!K728="",FALSE,TRUE),EXACT(metadata!K728,"missing: not provided"))</f>
        <v>0</v>
      </c>
      <c r="AN728" t="b">
        <f>IF(metadata!L728="",FALSE,TRUE)</f>
        <v>0</v>
      </c>
      <c r="AO728" t="b">
        <f>IF(metadata!M728="",FALSE,TRUE)</f>
        <v>0</v>
      </c>
      <c r="AP728" t="b">
        <f>OR(AND(IF(metadata!N728="",FALSE,TRUE),OR(EXACT(metadata!N728,"not applicable"),EXACT(metadata!N728,"missing: not collected"),EXACT(metadata!N728,"missing: not provided"))),AND(IF(metadata!N728="",FALSE,IF(ISERROR(INT(metadata!N728)),FALSE,INT(metadata!N728)=metadata!N728)),metadata!N728&gt;0))</f>
        <v>0</v>
      </c>
      <c r="AQ728" t="b">
        <f>AND(IF(metadata!O728="",FALSE,TRUE),EXACT(metadata!O728,"Not applicable"))</f>
        <v>0</v>
      </c>
      <c r="AR728" t="b">
        <f>OR(AND(IF(metadata!P728="",FALSE,TRUE),OR(EXACT(metadata!P728,"not applicable"),EXACT(metadata!P728,"missing: not collected"),EXACT(metadata!P728,"missing: not provided"),EXACT(metadata!P728,"missing: restricted access"))),IF(metadata!P728="",FALSE,IF(ISERROR(INT(metadata!P728)),FALSE,INT(metadata!P728)=metadata!P728)))</f>
        <v>0</v>
      </c>
      <c r="AS728" t="b">
        <f>AND(IF(metadata!Q728="",FALSE,TRUE),EXACT(metadata!Q728,"Not applicable"))</f>
        <v>0</v>
      </c>
      <c r="AT728" t="b">
        <f>OR(AND(IF(metadata!R728="",FALSE,TRUE),OR(EXACT(metadata!R728,"not applicable"),EXACT(metadata!R728,"missing: not collected"),EXACT(metadata!R728,"missing: not provided"),EXACT(metadata!R728,"missing: restricted access"))),AND(IF(metadata!R728="",FALSE,ISNUMBER(VALUE(metadata!R728))),metadata!R728&gt;0))</f>
        <v>0</v>
      </c>
      <c r="AU728" t="b">
        <f>AND(IF(metadata!S728="",FALSE,TRUE),EXACT(metadata!S728,"missing: not provided"))</f>
        <v>0</v>
      </c>
    </row>
    <row r="729" spans="1:47" x14ac:dyDescent="0.2">
      <c r="A729" s="5" t="str">
        <f ca="1">IF(B729=" "," ",HYPERLINK(CONCATENATE("#metadata!",ADDRESS(INDEX($Y$2:$Y$1001,MATCH(ROWS($W$2:W729),$W$2:$W$1001,0),0),1)),INDEX($AB$2:$AB$1001,MATCH(ROWS($W$2:W729),$W$2:$W$1001,0),0)))</f>
        <v xml:space="preserve"> </v>
      </c>
      <c r="B729" s="4" t="str">
        <f ca="1">IF(OR(INDEX($X$2:$X$1001,MATCH(ROWS($W$2:W729),$W$2:$W$1001,0),1)&gt;=100000,INDEX($AD$1005:$AU$1005,1,MATCH(COLUMNS($AD$1006:AD1006),$AD$1006:$AU$1006,0))&gt;=100000), " ",IF(INDEX($AD$2:$AU$1001,MATCH(ROWS($W$2:W729),$W$2:$W$1001,0),MATCH(COLUMNS($AD$1006:AD1006),$AD$1006:$AU$1006,0)), HYPERLINK("#",""), HYPERLINK(CONCATENATE("#metadata!", ADDRESS(INDEX($Y$2:$Y$1001,MATCH(ROWS($W$2:W729),$W$2:$W$1001,0),0), INDEX($AD$1004:$AU$1004,1,MATCH(COLUMNS($AD$1006:AD1006),$AD$1006:$AU$1006,0)))),"Fix")))</f>
        <v xml:space="preserve"> </v>
      </c>
      <c r="C729" s="4" t="str">
        <f ca="1">IF(OR(INDEX($X$2:$X$1001,MATCH(ROWS($W$2:W729),$W$2:$W$1001,0),1)&gt;=100000,INDEX($AD$1005:$AU$1005,1,MATCH(COLUMNS($AD$1006:AE1006),$AD$1006:$AU$1006,0))&gt;=100000), " ",IF(INDEX($AD$2:$AU$1001,MATCH(ROWS($W$2:W729),$W$2:$W$1001,0),MATCH(COLUMNS($AD$1006:AE1006),$AD$1006:$AU$1006,0)), HYPERLINK("#",""), HYPERLINK(CONCATENATE("#metadata!", ADDRESS(INDEX($Y$2:$Y$1001,MATCH(ROWS($W$2:W729),$W$2:$W$1001,0),0), INDEX($AD$1004:$AU$1004,1,MATCH(COLUMNS($AD$1006:AE1006),$AD$1006:$AU$1006,0)))),"Fix")))</f>
        <v xml:space="preserve"> </v>
      </c>
      <c r="D729" s="4" t="str">
        <f ca="1">IF(OR(INDEX($X$2:$X$1001,MATCH(ROWS($W$2:W729),$W$2:$W$1001,0),1)&gt;=100000,INDEX($AD$1005:$AU$1005,1,MATCH(COLUMNS($AD$1006:AF1006),$AD$1006:$AU$1006,0))&gt;=100000), " ",IF(INDEX($AD$2:$AU$1001,MATCH(ROWS($W$2:W729),$W$2:$W$1001,0),MATCH(COLUMNS($AD$1006:AF1006),$AD$1006:$AU$1006,0)), HYPERLINK("#",""), HYPERLINK(CONCATENATE("#metadata!", ADDRESS(INDEX($Y$2:$Y$1001,MATCH(ROWS($W$2:W729),$W$2:$W$1001,0),0), INDEX($AD$1004:$AU$1004,1,MATCH(COLUMNS($AD$1006:AF1006),$AD$1006:$AU$1006,0)))),"Fix")))</f>
        <v xml:space="preserve"> </v>
      </c>
      <c r="E729" s="4" t="str">
        <f ca="1">IF(OR(INDEX($X$2:$X$1001,MATCH(ROWS($W$2:W729),$W$2:$W$1001,0),1)&gt;=100000,INDEX($AD$1005:$AU$1005,1,MATCH(COLUMNS($AD$1006:AG1006),$AD$1006:$AU$1006,0))&gt;=100000), " ",IF(INDEX($AD$2:$AU$1001,MATCH(ROWS($W$2:W729),$W$2:$W$1001,0),MATCH(COLUMNS($AD$1006:AG1006),$AD$1006:$AU$1006,0)), HYPERLINK("#",""), HYPERLINK(CONCATENATE("#metadata!", ADDRESS(INDEX($Y$2:$Y$1001,MATCH(ROWS($W$2:W729),$W$2:$W$1001,0),0), INDEX($AD$1004:$AU$1004,1,MATCH(COLUMNS($AD$1006:AG1006),$AD$1006:$AU$1006,0)))),"Fix")))</f>
        <v xml:space="preserve"> </v>
      </c>
      <c r="F729" s="4" t="str">
        <f ca="1">IF(OR(INDEX($X$2:$X$1001,MATCH(ROWS($W$2:W729),$W$2:$W$1001,0),1)&gt;=100000,INDEX($AD$1005:$AU$1005,1,MATCH(COLUMNS($AD$1006:AH1006),$AD$1006:$AU$1006,0))&gt;=100000), " ",IF(INDEX($AD$2:$AU$1001,MATCH(ROWS($W$2:W729),$W$2:$W$1001,0),MATCH(COLUMNS($AD$1006:AH1006),$AD$1006:$AU$1006,0)), HYPERLINK("#",""), HYPERLINK(CONCATENATE("#metadata!", ADDRESS(INDEX($Y$2:$Y$1001,MATCH(ROWS($W$2:W729),$W$2:$W$1001,0),0), INDEX($AD$1004:$AU$1004,1,MATCH(COLUMNS($AD$1006:AH1006),$AD$1006:$AU$1006,0)))),"Fix")))</f>
        <v xml:space="preserve"> </v>
      </c>
      <c r="G729" s="4" t="str">
        <f ca="1">IF(OR(INDEX($X$2:$X$1001,MATCH(ROWS($W$2:W729),$W$2:$W$1001,0),1)&gt;=100000,INDEX($AD$1005:$AU$1005,1,MATCH(COLUMNS($AD$1006:AI1006),$AD$1006:$AU$1006,0))&gt;=100000), " ",IF(INDEX($AD$2:$AU$1001,MATCH(ROWS($W$2:W729),$W$2:$W$1001,0),MATCH(COLUMNS($AD$1006:AI1006),$AD$1006:$AU$1006,0)), HYPERLINK("#",""), HYPERLINK(CONCATENATE("#metadata!", ADDRESS(INDEX($Y$2:$Y$1001,MATCH(ROWS($W$2:W729),$W$2:$W$1001,0),0), INDEX($AD$1004:$AU$1004,1,MATCH(COLUMNS($AD$1006:AI1006),$AD$1006:$AU$1006,0)))),"Fix")))</f>
        <v xml:space="preserve"> </v>
      </c>
      <c r="H729" s="4" t="str">
        <f ca="1">IF(OR(INDEX($X$2:$X$1001,MATCH(ROWS($W$2:W729),$W$2:$W$1001,0),1)&gt;=100000,INDEX($AD$1005:$AU$1005,1,MATCH(COLUMNS($AD$1006:AJ1006),$AD$1006:$AU$1006,0))&gt;=100000), " ",IF(INDEX($AD$2:$AU$1001,MATCH(ROWS($W$2:W729),$W$2:$W$1001,0),MATCH(COLUMNS($AD$1006:AJ1006),$AD$1006:$AU$1006,0)), HYPERLINK("#",""), HYPERLINK(CONCATENATE("#metadata!", ADDRESS(INDEX($Y$2:$Y$1001,MATCH(ROWS($W$2:W729),$W$2:$W$1001,0),0), INDEX($AD$1004:$AU$1004,1,MATCH(COLUMNS($AD$1006:AJ1006),$AD$1006:$AU$1006,0)))),"Fix")))</f>
        <v xml:space="preserve"> </v>
      </c>
      <c r="I729" s="4" t="str">
        <f ca="1">IF(OR(INDEX($X$2:$X$1001,MATCH(ROWS($W$2:W729),$W$2:$W$1001,0),1)&gt;=100000,INDEX($AD$1005:$AU$1005,1,MATCH(COLUMNS($AD$1006:AK1006),$AD$1006:$AU$1006,0))&gt;=100000), " ",IF(INDEX($AD$2:$AU$1001,MATCH(ROWS($W$2:W729),$W$2:$W$1001,0),MATCH(COLUMNS($AD$1006:AK1006),$AD$1006:$AU$1006,0)), HYPERLINK("#",""), HYPERLINK(CONCATENATE("#metadata!", ADDRESS(INDEX($Y$2:$Y$1001,MATCH(ROWS($W$2:W729),$W$2:$W$1001,0),0), INDEX($AD$1004:$AU$1004,1,MATCH(COLUMNS($AD$1006:AK1006),$AD$1006:$AU$1006,0)))),"Fix")))</f>
        <v xml:space="preserve"> </v>
      </c>
      <c r="J729" s="4" t="str">
        <f ca="1">IF(OR(INDEX($X$2:$X$1001,MATCH(ROWS($W$2:W729),$W$2:$W$1001,0),1)&gt;=100000,INDEX($AD$1005:$AU$1005,1,MATCH(COLUMNS($AD$1006:AL1006),$AD$1006:$AU$1006,0))&gt;=100000), " ",IF(INDEX($AD$2:$AU$1001,MATCH(ROWS($W$2:W729),$W$2:$W$1001,0),MATCH(COLUMNS($AD$1006:AL1006),$AD$1006:$AU$1006,0)), HYPERLINK("#",""), HYPERLINK(CONCATENATE("#metadata!", ADDRESS(INDEX($Y$2:$Y$1001,MATCH(ROWS($W$2:W729),$W$2:$W$1001,0),0), INDEX($AD$1004:$AU$1004,1,MATCH(COLUMNS($AD$1006:AL1006),$AD$1006:$AU$1006,0)))),"Fix")))</f>
        <v xml:space="preserve"> </v>
      </c>
      <c r="K729" s="4" t="str">
        <f ca="1">IF(OR(INDEX($X$2:$X$1001,MATCH(ROWS($W$2:W729),$W$2:$W$1001,0),1)&gt;=100000,INDEX($AD$1005:$AU$1005,1,MATCH(COLUMNS($AD$1006:AM1006),$AD$1006:$AU$1006,0))&gt;=100000), " ",IF(INDEX($AD$2:$AU$1001,MATCH(ROWS($W$2:W729),$W$2:$W$1001,0),MATCH(COLUMNS($AD$1006:AM1006),$AD$1006:$AU$1006,0)), HYPERLINK("#",""), HYPERLINK(CONCATENATE("#metadata!", ADDRESS(INDEX($Y$2:$Y$1001,MATCH(ROWS($W$2:W729),$W$2:$W$1001,0),0), INDEX($AD$1004:$AU$1004,1,MATCH(COLUMNS($AD$1006:AM1006),$AD$1006:$AU$1006,0)))),"Fix")))</f>
        <v xml:space="preserve"> </v>
      </c>
      <c r="L729" s="4" t="str">
        <f ca="1">IF(OR(INDEX($X$2:$X$1001,MATCH(ROWS($W$2:W729),$W$2:$W$1001,0),1)&gt;=100000,INDEX($AD$1005:$AU$1005,1,MATCH(COLUMNS($AD$1006:AN1006),$AD$1006:$AU$1006,0))&gt;=100000), " ",IF(INDEX($AD$2:$AU$1001,MATCH(ROWS($W$2:W729),$W$2:$W$1001,0),MATCH(COLUMNS($AD$1006:AN1006),$AD$1006:$AU$1006,0)), HYPERLINK("#",""), HYPERLINK(CONCATENATE("#metadata!", ADDRESS(INDEX($Y$2:$Y$1001,MATCH(ROWS($W$2:W729),$W$2:$W$1001,0),0), INDEX($AD$1004:$AU$1004,1,MATCH(COLUMNS($AD$1006:AN1006),$AD$1006:$AU$1006,0)))),"Fix")))</f>
        <v xml:space="preserve"> </v>
      </c>
      <c r="M729" s="4" t="str">
        <f ca="1">IF(OR(INDEX($X$2:$X$1001,MATCH(ROWS($W$2:W729),$W$2:$W$1001,0),1)&gt;=100000,INDEX($AD$1005:$AU$1005,1,MATCH(COLUMNS($AD$1006:AO1006),$AD$1006:$AU$1006,0))&gt;=100000), " ",IF(INDEX($AD$2:$AU$1001,MATCH(ROWS($W$2:W729),$W$2:$W$1001,0),MATCH(COLUMNS($AD$1006:AO1006),$AD$1006:$AU$1006,0)), HYPERLINK("#",""), HYPERLINK(CONCATENATE("#metadata!", ADDRESS(INDEX($Y$2:$Y$1001,MATCH(ROWS($W$2:W729),$W$2:$W$1001,0),0), INDEX($AD$1004:$AU$1004,1,MATCH(COLUMNS($AD$1006:AO1006),$AD$1006:$AU$1006,0)))),"Fix")))</f>
        <v xml:space="preserve"> </v>
      </c>
      <c r="N729" s="4" t="str">
        <f ca="1">IF(OR(INDEX($X$2:$X$1001,MATCH(ROWS($W$2:W729),$W$2:$W$1001,0),1)&gt;=100000,INDEX($AD$1005:$AU$1005,1,MATCH(COLUMNS($AD$1006:AP1006),$AD$1006:$AU$1006,0))&gt;=100000), " ",IF(INDEX($AD$2:$AU$1001,MATCH(ROWS($W$2:W729),$W$2:$W$1001,0),MATCH(COLUMNS($AD$1006:AP1006),$AD$1006:$AU$1006,0)), HYPERLINK("#",""), HYPERLINK(CONCATENATE("#metadata!", ADDRESS(INDEX($Y$2:$Y$1001,MATCH(ROWS($W$2:W729),$W$2:$W$1001,0),0), INDEX($AD$1004:$AU$1004,1,MATCH(COLUMNS($AD$1006:AP1006),$AD$1006:$AU$1006,0)))),"Fix")))</f>
        <v xml:space="preserve"> </v>
      </c>
      <c r="O729" s="4" t="str">
        <f ca="1">IF(OR(INDEX($X$2:$X$1001,MATCH(ROWS($W$2:W729),$W$2:$W$1001,0),1)&gt;=100000,INDEX($AD$1005:$AU$1005,1,MATCH(COLUMNS($AD$1006:AQ1006),$AD$1006:$AU$1006,0))&gt;=100000), " ",IF(INDEX($AD$2:$AU$1001,MATCH(ROWS($W$2:W729),$W$2:$W$1001,0),MATCH(COLUMNS($AD$1006:AQ1006),$AD$1006:$AU$1006,0)), HYPERLINK("#",""), HYPERLINK(CONCATENATE("#metadata!", ADDRESS(INDEX($Y$2:$Y$1001,MATCH(ROWS($W$2:W729),$W$2:$W$1001,0),0), INDEX($AD$1004:$AU$1004,1,MATCH(COLUMNS($AD$1006:AQ1006),$AD$1006:$AU$1006,0)))),"Fix")))</f>
        <v xml:space="preserve"> </v>
      </c>
      <c r="P729" s="4" t="str">
        <f ca="1">IF(OR(INDEX($X$2:$X$1001,MATCH(ROWS($W$2:W729),$W$2:$W$1001,0),1)&gt;=100000,INDEX($AD$1005:$AU$1005,1,MATCH(COLUMNS($AD$1006:AR1006),$AD$1006:$AU$1006,0))&gt;=100000), " ",IF(INDEX($AD$2:$AU$1001,MATCH(ROWS($W$2:W729),$W$2:$W$1001,0),MATCH(COLUMNS($AD$1006:AR1006),$AD$1006:$AU$1006,0)), HYPERLINK("#",""), HYPERLINK(CONCATENATE("#metadata!", ADDRESS(INDEX($Y$2:$Y$1001,MATCH(ROWS($W$2:W729),$W$2:$W$1001,0),0), INDEX($AD$1004:$AU$1004,1,MATCH(COLUMNS($AD$1006:AR1006),$AD$1006:$AU$1006,0)))),"Fix")))</f>
        <v xml:space="preserve"> </v>
      </c>
      <c r="Q729" s="4" t="str">
        <f ca="1">IF(OR(INDEX($X$2:$X$1001,MATCH(ROWS($W$2:W729),$W$2:$W$1001,0),1)&gt;=100000,INDEX($AD$1005:$AU$1005,1,MATCH(COLUMNS($AD$1006:AS1006),$AD$1006:$AU$1006,0))&gt;=100000), " ",IF(INDEX($AD$2:$AU$1001,MATCH(ROWS($W$2:W729),$W$2:$W$1001,0),MATCH(COLUMNS($AD$1006:AS1006),$AD$1006:$AU$1006,0)), HYPERLINK("#",""), HYPERLINK(CONCATENATE("#metadata!", ADDRESS(INDEX($Y$2:$Y$1001,MATCH(ROWS($W$2:W729),$W$2:$W$1001,0),0), INDEX($AD$1004:$AU$1004,1,MATCH(COLUMNS($AD$1006:AS1006),$AD$1006:$AU$1006,0)))),"Fix")))</f>
        <v xml:space="preserve"> </v>
      </c>
      <c r="R729" s="4" t="str">
        <f ca="1">IF(OR(INDEX($X$2:$X$1001,MATCH(ROWS($W$2:W729),$W$2:$W$1001,0),1)&gt;=100000,INDEX($AD$1005:$AU$1005,1,MATCH(COLUMNS($AD$1006:AT1006),$AD$1006:$AU$1006,0))&gt;=100000), " ",IF(INDEX($AD$2:$AU$1001,MATCH(ROWS($W$2:W729),$W$2:$W$1001,0),MATCH(COLUMNS($AD$1006:AT1006),$AD$1006:$AU$1006,0)), HYPERLINK("#",""), HYPERLINK(CONCATENATE("#metadata!", ADDRESS(INDEX($Y$2:$Y$1001,MATCH(ROWS($W$2:W729),$W$2:$W$1001,0),0), INDEX($AD$1004:$AU$1004,1,MATCH(COLUMNS($AD$1006:AT1006),$AD$1006:$AU$1006,0)))),"Fix")))</f>
        <v xml:space="preserve"> </v>
      </c>
      <c r="S729" s="4" t="str">
        <f ca="1">IF(OR(INDEX($X$2:$X$1001,MATCH(ROWS($W$2:W729),$W$2:$W$1001,0),1)&gt;=100000,INDEX($AD$1005:$AU$1005,1,MATCH(COLUMNS($AD$1006:AU1006),$AD$1006:$AU$1006,0))&gt;=100000), " ",IF(INDEX($AD$2:$AU$1001,MATCH(ROWS($W$2:W729),$W$2:$W$1001,0),MATCH(COLUMNS($AD$1006:AU1006),$AD$1006:$AU$1006,0)), HYPERLINK("#",""), HYPERLINK(CONCATENATE("#metadata!", ADDRESS(INDEX($Y$2:$Y$1001,MATCH(ROWS($W$2:W729),$W$2:$W$1001,0),0), INDEX($AD$1004:$AU$1004,1,MATCH(COLUMNS($AD$1006:AU1006),$AD$1006:$AU$1006,0)))),"Fix")))</f>
        <v xml:space="preserve"> </v>
      </c>
      <c r="W729">
        <v>728</v>
      </c>
      <c r="X729">
        <v>100729</v>
      </c>
      <c r="Y729">
        <v>729</v>
      </c>
      <c r="Z729" t="b">
        <f t="shared" si="11"/>
        <v>1</v>
      </c>
      <c r="AA729" t="b">
        <f>COUNTBLANK(metadata!B729:S729)=COLUMNS(metadata!B729:S729)</f>
        <v>1</v>
      </c>
      <c r="AB729" t="str">
        <v/>
      </c>
      <c r="AD729" t="b">
        <f ca="1">AND(IF(metadata!B729="",FALSE,TRUE),COUNTIF(metadata!B:B, metadata!B729) = 1,NOT(ISERROR(SUMPRODUCT(SEARCH(MID(metadata!B729,ROW(INDIRECT("1:"&amp;LEN(metadata!B729))), 1),"0123456789abcdefghijklmnopqrstuvwxyzABCDEFGHIJKLMNOPQRSTUVWXYZ.")))))</f>
        <v>0</v>
      </c>
      <c r="AE729" t="b">
        <f>OR(AND(IF(metadata!C729="",FALSE,TRUE),OR(EXACT(metadata!C729,"not applicable"),EXACT(metadata!C729,"missing: not collected"),EXACT(metadata!C729,"missing: not provided"),EXACT(metadata!C729,"missing: restricted access"))),AND(IF(metadata!C729="",FALSE,ISNUMBER(VALUE(metadata!C729))),metadata!C729&gt;0))</f>
        <v>0</v>
      </c>
      <c r="AF729" t="b">
        <f>AND(IF(metadata!D729="",FALSE,TRUE),EXACT(metadata!D729,"missing: not provided"))</f>
        <v>0</v>
      </c>
      <c r="AG729" t="b">
        <f>AND(IF(metadata!E729="",FALSE,TRUE),EXACT(metadata!E729,"Host-associated"))</f>
        <v>0</v>
      </c>
      <c r="AH729" t="b">
        <f>AND(IF(metadata!F729="",FALSE,TRUE),OR(EXACT(metadata!F729,"Animal"),EXACT(metadata!F729,"Fungus"),EXACT(metadata!F729,"Plant")))</f>
        <v>0</v>
      </c>
      <c r="AI729" t="b">
        <f>AND(IF(metadata!G729="",FALSE,TRUE),OR(EXACT(metadata!G729,"Plant secretion"),EXACT(metadata!G729,"Plant rhizosphere"),EXACT(metadata!G729,"Plant surface"),EXACT(metadata!G729,"Plant corpus"),EXACT(metadata!G729,"Fungus surface"),EXACT(metadata!G729,"Fungus corpus"),EXACT(metadata!G729,"Animal surface"),EXACT(metadata!G729,"Animal proximal gut"),EXACT(metadata!G729,"Animal corpus"),EXACT(metadata!G729,"Animal distal gut"),EXACT(metadata!G729,"Animal secretion")))</f>
        <v>0</v>
      </c>
      <c r="AJ729" t="b">
        <f>OR(AND(IF(metadata!H729="",FALSE,TRUE),OR(EXACT(metadata!H729,"missing: not collected"),EXACT(metadata!H729,"missing: not provided"),EXACT(metadata!H729,"missing: restricted access"))),AND(IF(metadata!H729="",FALSE,TRUE),OR(EXACT(metadata!H729,"organism-associated habitat"),EXACT(metadata!H729,"plant-associated habitat"),EXACT(metadata!H729,"animal-associated habitat"),EXACT(metadata!H729,"insecta-associated habitat"),EXACT(metadata!H729,"mammalia-associated habitat"),EXACT(metadata!H729,"human-associated habitat"),EXACT(metadata!H729,"livestock-associated habitat"))))</f>
        <v>0</v>
      </c>
      <c r="AK729" t="b">
        <f>AND(IF(metadata!I729="",FALSE,TRUE),EXACT(metadata!I729,"host-associated"))</f>
        <v>0</v>
      </c>
      <c r="AL729" t="b">
        <f>OR(AND(IF(metadata!J729="",FALSE,TRUE),OR(EXACT(metadata!J729,"not applicable"),EXACT(metadata!J729,"missing: not collected"),EXACT(metadata!J729,"missing: not provided"),EXACT(metadata!J729,"missing: restricted access"))),AND(IF(metadata!J729="",FALSE,ISNUMBER(VALUE(metadata!J729))),metadata!J729&gt;0))</f>
        <v>0</v>
      </c>
      <c r="AM729" t="b">
        <f>AND(IF(metadata!K729="",FALSE,TRUE),EXACT(metadata!K729,"missing: not provided"))</f>
        <v>0</v>
      </c>
      <c r="AN729" t="b">
        <f>IF(metadata!L729="",FALSE,TRUE)</f>
        <v>0</v>
      </c>
      <c r="AO729" t="b">
        <f>IF(metadata!M729="",FALSE,TRUE)</f>
        <v>0</v>
      </c>
      <c r="AP729" t="b">
        <f>OR(AND(IF(metadata!N729="",FALSE,TRUE),OR(EXACT(metadata!N729,"not applicable"),EXACT(metadata!N729,"missing: not collected"),EXACT(metadata!N729,"missing: not provided"))),AND(IF(metadata!N729="",FALSE,IF(ISERROR(INT(metadata!N729)),FALSE,INT(metadata!N729)=metadata!N729)),metadata!N729&gt;0))</f>
        <v>0</v>
      </c>
      <c r="AQ729" t="b">
        <f>AND(IF(metadata!O729="",FALSE,TRUE),EXACT(metadata!O729,"Not applicable"))</f>
        <v>0</v>
      </c>
      <c r="AR729" t="b">
        <f>OR(AND(IF(metadata!P729="",FALSE,TRUE),OR(EXACT(metadata!P729,"not applicable"),EXACT(metadata!P729,"missing: not collected"),EXACT(metadata!P729,"missing: not provided"),EXACT(metadata!P729,"missing: restricted access"))),IF(metadata!P729="",FALSE,IF(ISERROR(INT(metadata!P729)),FALSE,INT(metadata!P729)=metadata!P729)))</f>
        <v>0</v>
      </c>
      <c r="AS729" t="b">
        <f>AND(IF(metadata!Q729="",FALSE,TRUE),EXACT(metadata!Q729,"Not applicable"))</f>
        <v>0</v>
      </c>
      <c r="AT729" t="b">
        <f>OR(AND(IF(metadata!R729="",FALSE,TRUE),OR(EXACT(metadata!R729,"not applicable"),EXACT(metadata!R729,"missing: not collected"),EXACT(metadata!R729,"missing: not provided"),EXACT(metadata!R729,"missing: restricted access"))),AND(IF(metadata!R729="",FALSE,ISNUMBER(VALUE(metadata!R729))),metadata!R729&gt;0))</f>
        <v>0</v>
      </c>
      <c r="AU729" t="b">
        <f>AND(IF(metadata!S729="",FALSE,TRUE),EXACT(metadata!S729,"missing: not provided"))</f>
        <v>0</v>
      </c>
    </row>
    <row r="730" spans="1:47" x14ac:dyDescent="0.2">
      <c r="A730" s="5" t="str">
        <f ca="1">IF(B730=" "," ",HYPERLINK(CONCATENATE("#metadata!",ADDRESS(INDEX($Y$2:$Y$1001,MATCH(ROWS($W$2:W730),$W$2:$W$1001,0),0),1)),INDEX($AB$2:$AB$1001,MATCH(ROWS($W$2:W730),$W$2:$W$1001,0),0)))</f>
        <v xml:space="preserve"> </v>
      </c>
      <c r="B730" s="4" t="str">
        <f ca="1">IF(OR(INDEX($X$2:$X$1001,MATCH(ROWS($W$2:W730),$W$2:$W$1001,0),1)&gt;=100000,INDEX($AD$1005:$AU$1005,1,MATCH(COLUMNS($AD$1006:AD1006),$AD$1006:$AU$1006,0))&gt;=100000), " ",IF(INDEX($AD$2:$AU$1001,MATCH(ROWS($W$2:W730),$W$2:$W$1001,0),MATCH(COLUMNS($AD$1006:AD1006),$AD$1006:$AU$1006,0)), HYPERLINK("#",""), HYPERLINK(CONCATENATE("#metadata!", ADDRESS(INDEX($Y$2:$Y$1001,MATCH(ROWS($W$2:W730),$W$2:$W$1001,0),0), INDEX($AD$1004:$AU$1004,1,MATCH(COLUMNS($AD$1006:AD1006),$AD$1006:$AU$1006,0)))),"Fix")))</f>
        <v xml:space="preserve"> </v>
      </c>
      <c r="C730" s="4" t="str">
        <f ca="1">IF(OR(INDEX($X$2:$X$1001,MATCH(ROWS($W$2:W730),$W$2:$W$1001,0),1)&gt;=100000,INDEX($AD$1005:$AU$1005,1,MATCH(COLUMNS($AD$1006:AE1006),$AD$1006:$AU$1006,0))&gt;=100000), " ",IF(INDEX($AD$2:$AU$1001,MATCH(ROWS($W$2:W730),$W$2:$W$1001,0),MATCH(COLUMNS($AD$1006:AE1006),$AD$1006:$AU$1006,0)), HYPERLINK("#",""), HYPERLINK(CONCATENATE("#metadata!", ADDRESS(INDEX($Y$2:$Y$1001,MATCH(ROWS($W$2:W730),$W$2:$W$1001,0),0), INDEX($AD$1004:$AU$1004,1,MATCH(COLUMNS($AD$1006:AE1006),$AD$1006:$AU$1006,0)))),"Fix")))</f>
        <v xml:space="preserve"> </v>
      </c>
      <c r="D730" s="4" t="str">
        <f ca="1">IF(OR(INDEX($X$2:$X$1001,MATCH(ROWS($W$2:W730),$W$2:$W$1001,0),1)&gt;=100000,INDEX($AD$1005:$AU$1005,1,MATCH(COLUMNS($AD$1006:AF1006),$AD$1006:$AU$1006,0))&gt;=100000), " ",IF(INDEX($AD$2:$AU$1001,MATCH(ROWS($W$2:W730),$W$2:$W$1001,0),MATCH(COLUMNS($AD$1006:AF1006),$AD$1006:$AU$1006,0)), HYPERLINK("#",""), HYPERLINK(CONCATENATE("#metadata!", ADDRESS(INDEX($Y$2:$Y$1001,MATCH(ROWS($W$2:W730),$W$2:$W$1001,0),0), INDEX($AD$1004:$AU$1004,1,MATCH(COLUMNS($AD$1006:AF1006),$AD$1006:$AU$1006,0)))),"Fix")))</f>
        <v xml:space="preserve"> </v>
      </c>
      <c r="E730" s="4" t="str">
        <f ca="1">IF(OR(INDEX($X$2:$X$1001,MATCH(ROWS($W$2:W730),$W$2:$W$1001,0),1)&gt;=100000,INDEX($AD$1005:$AU$1005,1,MATCH(COLUMNS($AD$1006:AG1006),$AD$1006:$AU$1006,0))&gt;=100000), " ",IF(INDEX($AD$2:$AU$1001,MATCH(ROWS($W$2:W730),$W$2:$W$1001,0),MATCH(COLUMNS($AD$1006:AG1006),$AD$1006:$AU$1006,0)), HYPERLINK("#",""), HYPERLINK(CONCATENATE("#metadata!", ADDRESS(INDEX($Y$2:$Y$1001,MATCH(ROWS($W$2:W730),$W$2:$W$1001,0),0), INDEX($AD$1004:$AU$1004,1,MATCH(COLUMNS($AD$1006:AG1006),$AD$1006:$AU$1006,0)))),"Fix")))</f>
        <v xml:space="preserve"> </v>
      </c>
      <c r="F730" s="4" t="str">
        <f ca="1">IF(OR(INDEX($X$2:$X$1001,MATCH(ROWS($W$2:W730),$W$2:$W$1001,0),1)&gt;=100000,INDEX($AD$1005:$AU$1005,1,MATCH(COLUMNS($AD$1006:AH1006),$AD$1006:$AU$1006,0))&gt;=100000), " ",IF(INDEX($AD$2:$AU$1001,MATCH(ROWS($W$2:W730),$W$2:$W$1001,0),MATCH(COLUMNS($AD$1006:AH1006),$AD$1006:$AU$1006,0)), HYPERLINK("#",""), HYPERLINK(CONCATENATE("#metadata!", ADDRESS(INDEX($Y$2:$Y$1001,MATCH(ROWS($W$2:W730),$W$2:$W$1001,0),0), INDEX($AD$1004:$AU$1004,1,MATCH(COLUMNS($AD$1006:AH1006),$AD$1006:$AU$1006,0)))),"Fix")))</f>
        <v xml:space="preserve"> </v>
      </c>
      <c r="G730" s="4" t="str">
        <f ca="1">IF(OR(INDEX($X$2:$X$1001,MATCH(ROWS($W$2:W730),$W$2:$W$1001,0),1)&gt;=100000,INDEX($AD$1005:$AU$1005,1,MATCH(COLUMNS($AD$1006:AI1006),$AD$1006:$AU$1006,0))&gt;=100000), " ",IF(INDEX($AD$2:$AU$1001,MATCH(ROWS($W$2:W730),$W$2:$W$1001,0),MATCH(COLUMNS($AD$1006:AI1006),$AD$1006:$AU$1006,0)), HYPERLINK("#",""), HYPERLINK(CONCATENATE("#metadata!", ADDRESS(INDEX($Y$2:$Y$1001,MATCH(ROWS($W$2:W730),$W$2:$W$1001,0),0), INDEX($AD$1004:$AU$1004,1,MATCH(COLUMNS($AD$1006:AI1006),$AD$1006:$AU$1006,0)))),"Fix")))</f>
        <v xml:space="preserve"> </v>
      </c>
      <c r="H730" s="4" t="str">
        <f ca="1">IF(OR(INDEX($X$2:$X$1001,MATCH(ROWS($W$2:W730),$W$2:$W$1001,0),1)&gt;=100000,INDEX($AD$1005:$AU$1005,1,MATCH(COLUMNS($AD$1006:AJ1006),$AD$1006:$AU$1006,0))&gt;=100000), " ",IF(INDEX($AD$2:$AU$1001,MATCH(ROWS($W$2:W730),$W$2:$W$1001,0),MATCH(COLUMNS($AD$1006:AJ1006),$AD$1006:$AU$1006,0)), HYPERLINK("#",""), HYPERLINK(CONCATENATE("#metadata!", ADDRESS(INDEX($Y$2:$Y$1001,MATCH(ROWS($W$2:W730),$W$2:$W$1001,0),0), INDEX($AD$1004:$AU$1004,1,MATCH(COLUMNS($AD$1006:AJ1006),$AD$1006:$AU$1006,0)))),"Fix")))</f>
        <v xml:space="preserve"> </v>
      </c>
      <c r="I730" s="4" t="str">
        <f ca="1">IF(OR(INDEX($X$2:$X$1001,MATCH(ROWS($W$2:W730),$W$2:$W$1001,0),1)&gt;=100000,INDEX($AD$1005:$AU$1005,1,MATCH(COLUMNS($AD$1006:AK1006),$AD$1006:$AU$1006,0))&gt;=100000), " ",IF(INDEX($AD$2:$AU$1001,MATCH(ROWS($W$2:W730),$W$2:$W$1001,0),MATCH(COLUMNS($AD$1006:AK1006),$AD$1006:$AU$1006,0)), HYPERLINK("#",""), HYPERLINK(CONCATENATE("#metadata!", ADDRESS(INDEX($Y$2:$Y$1001,MATCH(ROWS($W$2:W730),$W$2:$W$1001,0),0), INDEX($AD$1004:$AU$1004,1,MATCH(COLUMNS($AD$1006:AK1006),$AD$1006:$AU$1006,0)))),"Fix")))</f>
        <v xml:space="preserve"> </v>
      </c>
      <c r="J730" s="4" t="str">
        <f ca="1">IF(OR(INDEX($X$2:$X$1001,MATCH(ROWS($W$2:W730),$W$2:$W$1001,0),1)&gt;=100000,INDEX($AD$1005:$AU$1005,1,MATCH(COLUMNS($AD$1006:AL1006),$AD$1006:$AU$1006,0))&gt;=100000), " ",IF(INDEX($AD$2:$AU$1001,MATCH(ROWS($W$2:W730),$W$2:$W$1001,0),MATCH(COLUMNS($AD$1006:AL1006),$AD$1006:$AU$1006,0)), HYPERLINK("#",""), HYPERLINK(CONCATENATE("#metadata!", ADDRESS(INDEX($Y$2:$Y$1001,MATCH(ROWS($W$2:W730),$W$2:$W$1001,0),0), INDEX($AD$1004:$AU$1004,1,MATCH(COLUMNS($AD$1006:AL1006),$AD$1006:$AU$1006,0)))),"Fix")))</f>
        <v xml:space="preserve"> </v>
      </c>
      <c r="K730" s="4" t="str">
        <f ca="1">IF(OR(INDEX($X$2:$X$1001,MATCH(ROWS($W$2:W730),$W$2:$W$1001,0),1)&gt;=100000,INDEX($AD$1005:$AU$1005,1,MATCH(COLUMNS($AD$1006:AM1006),$AD$1006:$AU$1006,0))&gt;=100000), " ",IF(INDEX($AD$2:$AU$1001,MATCH(ROWS($W$2:W730),$W$2:$W$1001,0),MATCH(COLUMNS($AD$1006:AM1006),$AD$1006:$AU$1006,0)), HYPERLINK("#",""), HYPERLINK(CONCATENATE("#metadata!", ADDRESS(INDEX($Y$2:$Y$1001,MATCH(ROWS($W$2:W730),$W$2:$W$1001,0),0), INDEX($AD$1004:$AU$1004,1,MATCH(COLUMNS($AD$1006:AM1006),$AD$1006:$AU$1006,0)))),"Fix")))</f>
        <v xml:space="preserve"> </v>
      </c>
      <c r="L730" s="4" t="str">
        <f ca="1">IF(OR(INDEX($X$2:$X$1001,MATCH(ROWS($W$2:W730),$W$2:$W$1001,0),1)&gt;=100000,INDEX($AD$1005:$AU$1005,1,MATCH(COLUMNS($AD$1006:AN1006),$AD$1006:$AU$1006,0))&gt;=100000), " ",IF(INDEX($AD$2:$AU$1001,MATCH(ROWS($W$2:W730),$W$2:$W$1001,0),MATCH(COLUMNS($AD$1006:AN1006),$AD$1006:$AU$1006,0)), HYPERLINK("#",""), HYPERLINK(CONCATENATE("#metadata!", ADDRESS(INDEX($Y$2:$Y$1001,MATCH(ROWS($W$2:W730),$W$2:$W$1001,0),0), INDEX($AD$1004:$AU$1004,1,MATCH(COLUMNS($AD$1006:AN1006),$AD$1006:$AU$1006,0)))),"Fix")))</f>
        <v xml:space="preserve"> </v>
      </c>
      <c r="M730" s="4" t="str">
        <f ca="1">IF(OR(INDEX($X$2:$X$1001,MATCH(ROWS($W$2:W730),$W$2:$W$1001,0),1)&gt;=100000,INDEX($AD$1005:$AU$1005,1,MATCH(COLUMNS($AD$1006:AO1006),$AD$1006:$AU$1006,0))&gt;=100000), " ",IF(INDEX($AD$2:$AU$1001,MATCH(ROWS($W$2:W730),$W$2:$W$1001,0),MATCH(COLUMNS($AD$1006:AO1006),$AD$1006:$AU$1006,0)), HYPERLINK("#",""), HYPERLINK(CONCATENATE("#metadata!", ADDRESS(INDEX($Y$2:$Y$1001,MATCH(ROWS($W$2:W730),$W$2:$W$1001,0),0), INDEX($AD$1004:$AU$1004,1,MATCH(COLUMNS($AD$1006:AO1006),$AD$1006:$AU$1006,0)))),"Fix")))</f>
        <v xml:space="preserve"> </v>
      </c>
      <c r="N730" s="4" t="str">
        <f ca="1">IF(OR(INDEX($X$2:$X$1001,MATCH(ROWS($W$2:W730),$W$2:$W$1001,0),1)&gt;=100000,INDEX($AD$1005:$AU$1005,1,MATCH(COLUMNS($AD$1006:AP1006),$AD$1006:$AU$1006,0))&gt;=100000), " ",IF(INDEX($AD$2:$AU$1001,MATCH(ROWS($W$2:W730),$W$2:$W$1001,0),MATCH(COLUMNS($AD$1006:AP1006),$AD$1006:$AU$1006,0)), HYPERLINK("#",""), HYPERLINK(CONCATENATE("#metadata!", ADDRESS(INDEX($Y$2:$Y$1001,MATCH(ROWS($W$2:W730),$W$2:$W$1001,0),0), INDEX($AD$1004:$AU$1004,1,MATCH(COLUMNS($AD$1006:AP1006),$AD$1006:$AU$1006,0)))),"Fix")))</f>
        <v xml:space="preserve"> </v>
      </c>
      <c r="O730" s="4" t="str">
        <f ca="1">IF(OR(INDEX($X$2:$X$1001,MATCH(ROWS($W$2:W730),$W$2:$W$1001,0),1)&gt;=100000,INDEX($AD$1005:$AU$1005,1,MATCH(COLUMNS($AD$1006:AQ1006),$AD$1006:$AU$1006,0))&gt;=100000), " ",IF(INDEX($AD$2:$AU$1001,MATCH(ROWS($W$2:W730),$W$2:$W$1001,0),MATCH(COLUMNS($AD$1006:AQ1006),$AD$1006:$AU$1006,0)), HYPERLINK("#",""), HYPERLINK(CONCATENATE("#metadata!", ADDRESS(INDEX($Y$2:$Y$1001,MATCH(ROWS($W$2:W730),$W$2:$W$1001,0),0), INDEX($AD$1004:$AU$1004,1,MATCH(COLUMNS($AD$1006:AQ1006),$AD$1006:$AU$1006,0)))),"Fix")))</f>
        <v xml:space="preserve"> </v>
      </c>
      <c r="P730" s="4" t="str">
        <f ca="1">IF(OR(INDEX($X$2:$X$1001,MATCH(ROWS($W$2:W730),$W$2:$W$1001,0),1)&gt;=100000,INDEX($AD$1005:$AU$1005,1,MATCH(COLUMNS($AD$1006:AR1006),$AD$1006:$AU$1006,0))&gt;=100000), " ",IF(INDEX($AD$2:$AU$1001,MATCH(ROWS($W$2:W730),$W$2:$W$1001,0),MATCH(COLUMNS($AD$1006:AR1006),$AD$1006:$AU$1006,0)), HYPERLINK("#",""), HYPERLINK(CONCATENATE("#metadata!", ADDRESS(INDEX($Y$2:$Y$1001,MATCH(ROWS($W$2:W730),$W$2:$W$1001,0),0), INDEX($AD$1004:$AU$1004,1,MATCH(COLUMNS($AD$1006:AR1006),$AD$1006:$AU$1006,0)))),"Fix")))</f>
        <v xml:space="preserve"> </v>
      </c>
      <c r="Q730" s="4" t="str">
        <f ca="1">IF(OR(INDEX($X$2:$X$1001,MATCH(ROWS($W$2:W730),$W$2:$W$1001,0),1)&gt;=100000,INDEX($AD$1005:$AU$1005,1,MATCH(COLUMNS($AD$1006:AS1006),$AD$1006:$AU$1006,0))&gt;=100000), " ",IF(INDEX($AD$2:$AU$1001,MATCH(ROWS($W$2:W730),$W$2:$W$1001,0),MATCH(COLUMNS($AD$1006:AS1006),$AD$1006:$AU$1006,0)), HYPERLINK("#",""), HYPERLINK(CONCATENATE("#metadata!", ADDRESS(INDEX($Y$2:$Y$1001,MATCH(ROWS($W$2:W730),$W$2:$W$1001,0),0), INDEX($AD$1004:$AU$1004,1,MATCH(COLUMNS($AD$1006:AS1006),$AD$1006:$AU$1006,0)))),"Fix")))</f>
        <v xml:space="preserve"> </v>
      </c>
      <c r="R730" s="4" t="str">
        <f ca="1">IF(OR(INDEX($X$2:$X$1001,MATCH(ROWS($W$2:W730),$W$2:$W$1001,0),1)&gt;=100000,INDEX($AD$1005:$AU$1005,1,MATCH(COLUMNS($AD$1006:AT1006),$AD$1006:$AU$1006,0))&gt;=100000), " ",IF(INDEX($AD$2:$AU$1001,MATCH(ROWS($W$2:W730),$W$2:$W$1001,0),MATCH(COLUMNS($AD$1006:AT1006),$AD$1006:$AU$1006,0)), HYPERLINK("#",""), HYPERLINK(CONCATENATE("#metadata!", ADDRESS(INDEX($Y$2:$Y$1001,MATCH(ROWS($W$2:W730),$W$2:$W$1001,0),0), INDEX($AD$1004:$AU$1004,1,MATCH(COLUMNS($AD$1006:AT1006),$AD$1006:$AU$1006,0)))),"Fix")))</f>
        <v xml:space="preserve"> </v>
      </c>
      <c r="S730" s="4" t="str">
        <f ca="1">IF(OR(INDEX($X$2:$X$1001,MATCH(ROWS($W$2:W730),$W$2:$W$1001,0),1)&gt;=100000,INDEX($AD$1005:$AU$1005,1,MATCH(COLUMNS($AD$1006:AU1006),$AD$1006:$AU$1006,0))&gt;=100000), " ",IF(INDEX($AD$2:$AU$1001,MATCH(ROWS($W$2:W730),$W$2:$W$1001,0),MATCH(COLUMNS($AD$1006:AU1006),$AD$1006:$AU$1006,0)), HYPERLINK("#",""), HYPERLINK(CONCATENATE("#metadata!", ADDRESS(INDEX($Y$2:$Y$1001,MATCH(ROWS($W$2:W730),$W$2:$W$1001,0),0), INDEX($AD$1004:$AU$1004,1,MATCH(COLUMNS($AD$1006:AU1006),$AD$1006:$AU$1006,0)))),"Fix")))</f>
        <v xml:space="preserve"> </v>
      </c>
      <c r="W730">
        <v>729</v>
      </c>
      <c r="X730">
        <v>100730</v>
      </c>
      <c r="Y730">
        <v>730</v>
      </c>
      <c r="Z730" t="b">
        <f t="shared" si="11"/>
        <v>1</v>
      </c>
      <c r="AA730" t="b">
        <f>COUNTBLANK(metadata!B730:S730)=COLUMNS(metadata!B730:S730)</f>
        <v>1</v>
      </c>
      <c r="AB730" t="str">
        <v/>
      </c>
      <c r="AD730" t="b">
        <f ca="1">AND(IF(metadata!B730="",FALSE,TRUE),COUNTIF(metadata!B:B, metadata!B730) = 1,NOT(ISERROR(SUMPRODUCT(SEARCH(MID(metadata!B730,ROW(INDIRECT("1:"&amp;LEN(metadata!B730))), 1),"0123456789abcdefghijklmnopqrstuvwxyzABCDEFGHIJKLMNOPQRSTUVWXYZ.")))))</f>
        <v>0</v>
      </c>
      <c r="AE730" t="b">
        <f>OR(AND(IF(metadata!C730="",FALSE,TRUE),OR(EXACT(metadata!C730,"not applicable"),EXACT(metadata!C730,"missing: not collected"),EXACT(metadata!C730,"missing: not provided"),EXACT(metadata!C730,"missing: restricted access"))),AND(IF(metadata!C730="",FALSE,ISNUMBER(VALUE(metadata!C730))),metadata!C730&gt;0))</f>
        <v>0</v>
      </c>
      <c r="AF730" t="b">
        <f>AND(IF(metadata!D730="",FALSE,TRUE),EXACT(metadata!D730,"missing: not provided"))</f>
        <v>0</v>
      </c>
      <c r="AG730" t="b">
        <f>AND(IF(metadata!E730="",FALSE,TRUE),EXACT(metadata!E730,"Host-associated"))</f>
        <v>0</v>
      </c>
      <c r="AH730" t="b">
        <f>AND(IF(metadata!F730="",FALSE,TRUE),OR(EXACT(metadata!F730,"Animal"),EXACT(metadata!F730,"Fungus"),EXACT(metadata!F730,"Plant")))</f>
        <v>0</v>
      </c>
      <c r="AI730" t="b">
        <f>AND(IF(metadata!G730="",FALSE,TRUE),OR(EXACT(metadata!G730,"Plant secretion"),EXACT(metadata!G730,"Plant rhizosphere"),EXACT(metadata!G730,"Plant surface"),EXACT(metadata!G730,"Plant corpus"),EXACT(metadata!G730,"Fungus surface"),EXACT(metadata!G730,"Fungus corpus"),EXACT(metadata!G730,"Animal surface"),EXACT(metadata!G730,"Animal proximal gut"),EXACT(metadata!G730,"Animal corpus"),EXACT(metadata!G730,"Animal distal gut"),EXACT(metadata!G730,"Animal secretion")))</f>
        <v>0</v>
      </c>
      <c r="AJ730" t="b">
        <f>OR(AND(IF(metadata!H730="",FALSE,TRUE),OR(EXACT(metadata!H730,"missing: not collected"),EXACT(metadata!H730,"missing: not provided"),EXACT(metadata!H730,"missing: restricted access"))),AND(IF(metadata!H730="",FALSE,TRUE),OR(EXACT(metadata!H730,"organism-associated habitat"),EXACT(metadata!H730,"plant-associated habitat"),EXACT(metadata!H730,"animal-associated habitat"),EXACT(metadata!H730,"insecta-associated habitat"),EXACT(metadata!H730,"mammalia-associated habitat"),EXACT(metadata!H730,"human-associated habitat"),EXACT(metadata!H730,"livestock-associated habitat"))))</f>
        <v>0</v>
      </c>
      <c r="AK730" t="b">
        <f>AND(IF(metadata!I730="",FALSE,TRUE),EXACT(metadata!I730,"host-associated"))</f>
        <v>0</v>
      </c>
      <c r="AL730" t="b">
        <f>OR(AND(IF(metadata!J730="",FALSE,TRUE),OR(EXACT(metadata!J730,"not applicable"),EXACT(metadata!J730,"missing: not collected"),EXACT(metadata!J730,"missing: not provided"),EXACT(metadata!J730,"missing: restricted access"))),AND(IF(metadata!J730="",FALSE,ISNUMBER(VALUE(metadata!J730))),metadata!J730&gt;0))</f>
        <v>0</v>
      </c>
      <c r="AM730" t="b">
        <f>AND(IF(metadata!K730="",FALSE,TRUE),EXACT(metadata!K730,"missing: not provided"))</f>
        <v>0</v>
      </c>
      <c r="AN730" t="b">
        <f>IF(metadata!L730="",FALSE,TRUE)</f>
        <v>0</v>
      </c>
      <c r="AO730" t="b">
        <f>IF(metadata!M730="",FALSE,TRUE)</f>
        <v>0</v>
      </c>
      <c r="AP730" t="b">
        <f>OR(AND(IF(metadata!N730="",FALSE,TRUE),OR(EXACT(metadata!N730,"not applicable"),EXACT(metadata!N730,"missing: not collected"),EXACT(metadata!N730,"missing: not provided"))),AND(IF(metadata!N730="",FALSE,IF(ISERROR(INT(metadata!N730)),FALSE,INT(metadata!N730)=metadata!N730)),metadata!N730&gt;0))</f>
        <v>0</v>
      </c>
      <c r="AQ730" t="b">
        <f>AND(IF(metadata!O730="",FALSE,TRUE),EXACT(metadata!O730,"Not applicable"))</f>
        <v>0</v>
      </c>
      <c r="AR730" t="b">
        <f>OR(AND(IF(metadata!P730="",FALSE,TRUE),OR(EXACT(metadata!P730,"not applicable"),EXACT(metadata!P730,"missing: not collected"),EXACT(metadata!P730,"missing: not provided"),EXACT(metadata!P730,"missing: restricted access"))),IF(metadata!P730="",FALSE,IF(ISERROR(INT(metadata!P730)),FALSE,INT(metadata!P730)=metadata!P730)))</f>
        <v>0</v>
      </c>
      <c r="AS730" t="b">
        <f>AND(IF(metadata!Q730="",FALSE,TRUE),EXACT(metadata!Q730,"Not applicable"))</f>
        <v>0</v>
      </c>
      <c r="AT730" t="b">
        <f>OR(AND(IF(metadata!R730="",FALSE,TRUE),OR(EXACT(metadata!R730,"not applicable"),EXACT(metadata!R730,"missing: not collected"),EXACT(metadata!R730,"missing: not provided"),EXACT(metadata!R730,"missing: restricted access"))),AND(IF(metadata!R730="",FALSE,ISNUMBER(VALUE(metadata!R730))),metadata!R730&gt;0))</f>
        <v>0</v>
      </c>
      <c r="AU730" t="b">
        <f>AND(IF(metadata!S730="",FALSE,TRUE),EXACT(metadata!S730,"missing: not provided"))</f>
        <v>0</v>
      </c>
    </row>
    <row r="731" spans="1:47" x14ac:dyDescent="0.2">
      <c r="A731" s="5" t="str">
        <f ca="1">IF(B731=" "," ",HYPERLINK(CONCATENATE("#metadata!",ADDRESS(INDEX($Y$2:$Y$1001,MATCH(ROWS($W$2:W731),$W$2:$W$1001,0),0),1)),INDEX($AB$2:$AB$1001,MATCH(ROWS($W$2:W731),$W$2:$W$1001,0),0)))</f>
        <v xml:space="preserve"> </v>
      </c>
      <c r="B731" s="4" t="str">
        <f ca="1">IF(OR(INDEX($X$2:$X$1001,MATCH(ROWS($W$2:W731),$W$2:$W$1001,0),1)&gt;=100000,INDEX($AD$1005:$AU$1005,1,MATCH(COLUMNS($AD$1006:AD1006),$AD$1006:$AU$1006,0))&gt;=100000), " ",IF(INDEX($AD$2:$AU$1001,MATCH(ROWS($W$2:W731),$W$2:$W$1001,0),MATCH(COLUMNS($AD$1006:AD1006),$AD$1006:$AU$1006,0)), HYPERLINK("#",""), HYPERLINK(CONCATENATE("#metadata!", ADDRESS(INDEX($Y$2:$Y$1001,MATCH(ROWS($W$2:W731),$W$2:$W$1001,0),0), INDEX($AD$1004:$AU$1004,1,MATCH(COLUMNS($AD$1006:AD1006),$AD$1006:$AU$1006,0)))),"Fix")))</f>
        <v xml:space="preserve"> </v>
      </c>
      <c r="C731" s="4" t="str">
        <f ca="1">IF(OR(INDEX($X$2:$X$1001,MATCH(ROWS($W$2:W731),$W$2:$W$1001,0),1)&gt;=100000,INDEX($AD$1005:$AU$1005,1,MATCH(COLUMNS($AD$1006:AE1006),$AD$1006:$AU$1006,0))&gt;=100000), " ",IF(INDEX($AD$2:$AU$1001,MATCH(ROWS($W$2:W731),$W$2:$W$1001,0),MATCH(COLUMNS($AD$1006:AE1006),$AD$1006:$AU$1006,0)), HYPERLINK("#",""), HYPERLINK(CONCATENATE("#metadata!", ADDRESS(INDEX($Y$2:$Y$1001,MATCH(ROWS($W$2:W731),$W$2:$W$1001,0),0), INDEX($AD$1004:$AU$1004,1,MATCH(COLUMNS($AD$1006:AE1006),$AD$1006:$AU$1006,0)))),"Fix")))</f>
        <v xml:space="preserve"> </v>
      </c>
      <c r="D731" s="4" t="str">
        <f ca="1">IF(OR(INDEX($X$2:$X$1001,MATCH(ROWS($W$2:W731),$W$2:$W$1001,0),1)&gt;=100000,INDEX($AD$1005:$AU$1005,1,MATCH(COLUMNS($AD$1006:AF1006),$AD$1006:$AU$1006,0))&gt;=100000), " ",IF(INDEX($AD$2:$AU$1001,MATCH(ROWS($W$2:W731),$W$2:$W$1001,0),MATCH(COLUMNS($AD$1006:AF1006),$AD$1006:$AU$1006,0)), HYPERLINK("#",""), HYPERLINK(CONCATENATE("#metadata!", ADDRESS(INDEX($Y$2:$Y$1001,MATCH(ROWS($W$2:W731),$W$2:$W$1001,0),0), INDEX($AD$1004:$AU$1004,1,MATCH(COLUMNS($AD$1006:AF1006),$AD$1006:$AU$1006,0)))),"Fix")))</f>
        <v xml:space="preserve"> </v>
      </c>
      <c r="E731" s="4" t="str">
        <f ca="1">IF(OR(INDEX($X$2:$X$1001,MATCH(ROWS($W$2:W731),$W$2:$W$1001,0),1)&gt;=100000,INDEX($AD$1005:$AU$1005,1,MATCH(COLUMNS($AD$1006:AG1006),$AD$1006:$AU$1006,0))&gt;=100000), " ",IF(INDEX($AD$2:$AU$1001,MATCH(ROWS($W$2:W731),$W$2:$W$1001,0),MATCH(COLUMNS($AD$1006:AG1006),$AD$1006:$AU$1006,0)), HYPERLINK("#",""), HYPERLINK(CONCATENATE("#metadata!", ADDRESS(INDEX($Y$2:$Y$1001,MATCH(ROWS($W$2:W731),$W$2:$W$1001,0),0), INDEX($AD$1004:$AU$1004,1,MATCH(COLUMNS($AD$1006:AG1006),$AD$1006:$AU$1006,0)))),"Fix")))</f>
        <v xml:space="preserve"> </v>
      </c>
      <c r="F731" s="4" t="str">
        <f ca="1">IF(OR(INDEX($X$2:$X$1001,MATCH(ROWS($W$2:W731),$W$2:$W$1001,0),1)&gt;=100000,INDEX($AD$1005:$AU$1005,1,MATCH(COLUMNS($AD$1006:AH1006),$AD$1006:$AU$1006,0))&gt;=100000), " ",IF(INDEX($AD$2:$AU$1001,MATCH(ROWS($W$2:W731),$W$2:$W$1001,0),MATCH(COLUMNS($AD$1006:AH1006),$AD$1006:$AU$1006,0)), HYPERLINK("#",""), HYPERLINK(CONCATENATE("#metadata!", ADDRESS(INDEX($Y$2:$Y$1001,MATCH(ROWS($W$2:W731),$W$2:$W$1001,0),0), INDEX($AD$1004:$AU$1004,1,MATCH(COLUMNS($AD$1006:AH1006),$AD$1006:$AU$1006,0)))),"Fix")))</f>
        <v xml:space="preserve"> </v>
      </c>
      <c r="G731" s="4" t="str">
        <f ca="1">IF(OR(INDEX($X$2:$X$1001,MATCH(ROWS($W$2:W731),$W$2:$W$1001,0),1)&gt;=100000,INDEX($AD$1005:$AU$1005,1,MATCH(COLUMNS($AD$1006:AI1006),$AD$1006:$AU$1006,0))&gt;=100000), " ",IF(INDEX($AD$2:$AU$1001,MATCH(ROWS($W$2:W731),$W$2:$W$1001,0),MATCH(COLUMNS($AD$1006:AI1006),$AD$1006:$AU$1006,0)), HYPERLINK("#",""), HYPERLINK(CONCATENATE("#metadata!", ADDRESS(INDEX($Y$2:$Y$1001,MATCH(ROWS($W$2:W731),$W$2:$W$1001,0),0), INDEX($AD$1004:$AU$1004,1,MATCH(COLUMNS($AD$1006:AI1006),$AD$1006:$AU$1006,0)))),"Fix")))</f>
        <v xml:space="preserve"> </v>
      </c>
      <c r="H731" s="4" t="str">
        <f ca="1">IF(OR(INDEX($X$2:$X$1001,MATCH(ROWS($W$2:W731),$W$2:$W$1001,0),1)&gt;=100000,INDEX($AD$1005:$AU$1005,1,MATCH(COLUMNS($AD$1006:AJ1006),$AD$1006:$AU$1006,0))&gt;=100000), " ",IF(INDEX($AD$2:$AU$1001,MATCH(ROWS($W$2:W731),$W$2:$W$1001,0),MATCH(COLUMNS($AD$1006:AJ1006),$AD$1006:$AU$1006,0)), HYPERLINK("#",""), HYPERLINK(CONCATENATE("#metadata!", ADDRESS(INDEX($Y$2:$Y$1001,MATCH(ROWS($W$2:W731),$W$2:$W$1001,0),0), INDEX($AD$1004:$AU$1004,1,MATCH(COLUMNS($AD$1006:AJ1006),$AD$1006:$AU$1006,0)))),"Fix")))</f>
        <v xml:space="preserve"> </v>
      </c>
      <c r="I731" s="4" t="str">
        <f ca="1">IF(OR(INDEX($X$2:$X$1001,MATCH(ROWS($W$2:W731),$W$2:$W$1001,0),1)&gt;=100000,INDEX($AD$1005:$AU$1005,1,MATCH(COLUMNS($AD$1006:AK1006),$AD$1006:$AU$1006,0))&gt;=100000), " ",IF(INDEX($AD$2:$AU$1001,MATCH(ROWS($W$2:W731),$W$2:$W$1001,0),MATCH(COLUMNS($AD$1006:AK1006),$AD$1006:$AU$1006,0)), HYPERLINK("#",""), HYPERLINK(CONCATENATE("#metadata!", ADDRESS(INDEX($Y$2:$Y$1001,MATCH(ROWS($W$2:W731),$W$2:$W$1001,0),0), INDEX($AD$1004:$AU$1004,1,MATCH(COLUMNS($AD$1006:AK1006),$AD$1006:$AU$1006,0)))),"Fix")))</f>
        <v xml:space="preserve"> </v>
      </c>
      <c r="J731" s="4" t="str">
        <f ca="1">IF(OR(INDEX($X$2:$X$1001,MATCH(ROWS($W$2:W731),$W$2:$W$1001,0),1)&gt;=100000,INDEX($AD$1005:$AU$1005,1,MATCH(COLUMNS($AD$1006:AL1006),$AD$1006:$AU$1006,0))&gt;=100000), " ",IF(INDEX($AD$2:$AU$1001,MATCH(ROWS($W$2:W731),$W$2:$W$1001,0),MATCH(COLUMNS($AD$1006:AL1006),$AD$1006:$AU$1006,0)), HYPERLINK("#",""), HYPERLINK(CONCATENATE("#metadata!", ADDRESS(INDEX($Y$2:$Y$1001,MATCH(ROWS($W$2:W731),$W$2:$W$1001,0),0), INDEX($AD$1004:$AU$1004,1,MATCH(COLUMNS($AD$1006:AL1006),$AD$1006:$AU$1006,0)))),"Fix")))</f>
        <v xml:space="preserve"> </v>
      </c>
      <c r="K731" s="4" t="str">
        <f ca="1">IF(OR(INDEX($X$2:$X$1001,MATCH(ROWS($W$2:W731),$W$2:$W$1001,0),1)&gt;=100000,INDEX($AD$1005:$AU$1005,1,MATCH(COLUMNS($AD$1006:AM1006),$AD$1006:$AU$1006,0))&gt;=100000), " ",IF(INDEX($AD$2:$AU$1001,MATCH(ROWS($W$2:W731),$W$2:$W$1001,0),MATCH(COLUMNS($AD$1006:AM1006),$AD$1006:$AU$1006,0)), HYPERLINK("#",""), HYPERLINK(CONCATENATE("#metadata!", ADDRESS(INDEX($Y$2:$Y$1001,MATCH(ROWS($W$2:W731),$W$2:$W$1001,0),0), INDEX($AD$1004:$AU$1004,1,MATCH(COLUMNS($AD$1006:AM1006),$AD$1006:$AU$1006,0)))),"Fix")))</f>
        <v xml:space="preserve"> </v>
      </c>
      <c r="L731" s="4" t="str">
        <f ca="1">IF(OR(INDEX($X$2:$X$1001,MATCH(ROWS($W$2:W731),$W$2:$W$1001,0),1)&gt;=100000,INDEX($AD$1005:$AU$1005,1,MATCH(COLUMNS($AD$1006:AN1006),$AD$1006:$AU$1006,0))&gt;=100000), " ",IF(INDEX($AD$2:$AU$1001,MATCH(ROWS($W$2:W731),$W$2:$W$1001,0),MATCH(COLUMNS($AD$1006:AN1006),$AD$1006:$AU$1006,0)), HYPERLINK("#",""), HYPERLINK(CONCATENATE("#metadata!", ADDRESS(INDEX($Y$2:$Y$1001,MATCH(ROWS($W$2:W731),$W$2:$W$1001,0),0), INDEX($AD$1004:$AU$1004,1,MATCH(COLUMNS($AD$1006:AN1006),$AD$1006:$AU$1006,0)))),"Fix")))</f>
        <v xml:space="preserve"> </v>
      </c>
      <c r="M731" s="4" t="str">
        <f ca="1">IF(OR(INDEX($X$2:$X$1001,MATCH(ROWS($W$2:W731),$W$2:$W$1001,0),1)&gt;=100000,INDEX($AD$1005:$AU$1005,1,MATCH(COLUMNS($AD$1006:AO1006),$AD$1006:$AU$1006,0))&gt;=100000), " ",IF(INDEX($AD$2:$AU$1001,MATCH(ROWS($W$2:W731),$W$2:$W$1001,0),MATCH(COLUMNS($AD$1006:AO1006),$AD$1006:$AU$1006,0)), HYPERLINK("#",""), HYPERLINK(CONCATENATE("#metadata!", ADDRESS(INDEX($Y$2:$Y$1001,MATCH(ROWS($W$2:W731),$W$2:$W$1001,0),0), INDEX($AD$1004:$AU$1004,1,MATCH(COLUMNS($AD$1006:AO1006),$AD$1006:$AU$1006,0)))),"Fix")))</f>
        <v xml:space="preserve"> </v>
      </c>
      <c r="N731" s="4" t="str">
        <f ca="1">IF(OR(INDEX($X$2:$X$1001,MATCH(ROWS($W$2:W731),$W$2:$W$1001,0),1)&gt;=100000,INDEX($AD$1005:$AU$1005,1,MATCH(COLUMNS($AD$1006:AP1006),$AD$1006:$AU$1006,0))&gt;=100000), " ",IF(INDEX($AD$2:$AU$1001,MATCH(ROWS($W$2:W731),$W$2:$W$1001,0),MATCH(COLUMNS($AD$1006:AP1006),$AD$1006:$AU$1006,0)), HYPERLINK("#",""), HYPERLINK(CONCATENATE("#metadata!", ADDRESS(INDEX($Y$2:$Y$1001,MATCH(ROWS($W$2:W731),$W$2:$W$1001,0),0), INDEX($AD$1004:$AU$1004,1,MATCH(COLUMNS($AD$1006:AP1006),$AD$1006:$AU$1006,0)))),"Fix")))</f>
        <v xml:space="preserve"> </v>
      </c>
      <c r="O731" s="4" t="str">
        <f ca="1">IF(OR(INDEX($X$2:$X$1001,MATCH(ROWS($W$2:W731),$W$2:$W$1001,0),1)&gt;=100000,INDEX($AD$1005:$AU$1005,1,MATCH(COLUMNS($AD$1006:AQ1006),$AD$1006:$AU$1006,0))&gt;=100000), " ",IF(INDEX($AD$2:$AU$1001,MATCH(ROWS($W$2:W731),$W$2:$W$1001,0),MATCH(COLUMNS($AD$1006:AQ1006),$AD$1006:$AU$1006,0)), HYPERLINK("#",""), HYPERLINK(CONCATENATE("#metadata!", ADDRESS(INDEX($Y$2:$Y$1001,MATCH(ROWS($W$2:W731),$W$2:$W$1001,0),0), INDEX($AD$1004:$AU$1004,1,MATCH(COLUMNS($AD$1006:AQ1006),$AD$1006:$AU$1006,0)))),"Fix")))</f>
        <v xml:space="preserve"> </v>
      </c>
      <c r="P731" s="4" t="str">
        <f ca="1">IF(OR(INDEX($X$2:$X$1001,MATCH(ROWS($W$2:W731),$W$2:$W$1001,0),1)&gt;=100000,INDEX($AD$1005:$AU$1005,1,MATCH(COLUMNS($AD$1006:AR1006),$AD$1006:$AU$1006,0))&gt;=100000), " ",IF(INDEX($AD$2:$AU$1001,MATCH(ROWS($W$2:W731),$W$2:$W$1001,0),MATCH(COLUMNS($AD$1006:AR1006),$AD$1006:$AU$1006,0)), HYPERLINK("#",""), HYPERLINK(CONCATENATE("#metadata!", ADDRESS(INDEX($Y$2:$Y$1001,MATCH(ROWS($W$2:W731),$W$2:$W$1001,0),0), INDEX($AD$1004:$AU$1004,1,MATCH(COLUMNS($AD$1006:AR1006),$AD$1006:$AU$1006,0)))),"Fix")))</f>
        <v xml:space="preserve"> </v>
      </c>
      <c r="Q731" s="4" t="str">
        <f ca="1">IF(OR(INDEX($X$2:$X$1001,MATCH(ROWS($W$2:W731),$W$2:$W$1001,0),1)&gt;=100000,INDEX($AD$1005:$AU$1005,1,MATCH(COLUMNS($AD$1006:AS1006),$AD$1006:$AU$1006,0))&gt;=100000), " ",IF(INDEX($AD$2:$AU$1001,MATCH(ROWS($W$2:W731),$W$2:$W$1001,0),MATCH(COLUMNS($AD$1006:AS1006),$AD$1006:$AU$1006,0)), HYPERLINK("#",""), HYPERLINK(CONCATENATE("#metadata!", ADDRESS(INDEX($Y$2:$Y$1001,MATCH(ROWS($W$2:W731),$W$2:$W$1001,0),0), INDEX($AD$1004:$AU$1004,1,MATCH(COLUMNS($AD$1006:AS1006),$AD$1006:$AU$1006,0)))),"Fix")))</f>
        <v xml:space="preserve"> </v>
      </c>
      <c r="R731" s="4" t="str">
        <f ca="1">IF(OR(INDEX($X$2:$X$1001,MATCH(ROWS($W$2:W731),$W$2:$W$1001,0),1)&gt;=100000,INDEX($AD$1005:$AU$1005,1,MATCH(COLUMNS($AD$1006:AT1006),$AD$1006:$AU$1006,0))&gt;=100000), " ",IF(INDEX($AD$2:$AU$1001,MATCH(ROWS($W$2:W731),$W$2:$W$1001,0),MATCH(COLUMNS($AD$1006:AT1006),$AD$1006:$AU$1006,0)), HYPERLINK("#",""), HYPERLINK(CONCATENATE("#metadata!", ADDRESS(INDEX($Y$2:$Y$1001,MATCH(ROWS($W$2:W731),$W$2:$W$1001,0),0), INDEX($AD$1004:$AU$1004,1,MATCH(COLUMNS($AD$1006:AT1006),$AD$1006:$AU$1006,0)))),"Fix")))</f>
        <v xml:space="preserve"> </v>
      </c>
      <c r="S731" s="4" t="str">
        <f ca="1">IF(OR(INDEX($X$2:$X$1001,MATCH(ROWS($W$2:W731),$W$2:$W$1001,0),1)&gt;=100000,INDEX($AD$1005:$AU$1005,1,MATCH(COLUMNS($AD$1006:AU1006),$AD$1006:$AU$1006,0))&gt;=100000), " ",IF(INDEX($AD$2:$AU$1001,MATCH(ROWS($W$2:W731),$W$2:$W$1001,0),MATCH(COLUMNS($AD$1006:AU1006),$AD$1006:$AU$1006,0)), HYPERLINK("#",""), HYPERLINK(CONCATENATE("#metadata!", ADDRESS(INDEX($Y$2:$Y$1001,MATCH(ROWS($W$2:W731),$W$2:$W$1001,0),0), INDEX($AD$1004:$AU$1004,1,MATCH(COLUMNS($AD$1006:AU1006),$AD$1006:$AU$1006,0)))),"Fix")))</f>
        <v xml:space="preserve"> </v>
      </c>
      <c r="W731">
        <v>730</v>
      </c>
      <c r="X731">
        <v>100731</v>
      </c>
      <c r="Y731">
        <v>731</v>
      </c>
      <c r="Z731" t="b">
        <f t="shared" si="11"/>
        <v>1</v>
      </c>
      <c r="AA731" t="b">
        <f>COUNTBLANK(metadata!B731:S731)=COLUMNS(metadata!B731:S731)</f>
        <v>1</v>
      </c>
      <c r="AB731" t="str">
        <v/>
      </c>
      <c r="AD731" t="b">
        <f ca="1">AND(IF(metadata!B731="",FALSE,TRUE),COUNTIF(metadata!B:B, metadata!B731) = 1,NOT(ISERROR(SUMPRODUCT(SEARCH(MID(metadata!B731,ROW(INDIRECT("1:"&amp;LEN(metadata!B731))), 1),"0123456789abcdefghijklmnopqrstuvwxyzABCDEFGHIJKLMNOPQRSTUVWXYZ.")))))</f>
        <v>0</v>
      </c>
      <c r="AE731" t="b">
        <f>OR(AND(IF(metadata!C731="",FALSE,TRUE),OR(EXACT(metadata!C731,"not applicable"),EXACT(metadata!C731,"missing: not collected"),EXACT(metadata!C731,"missing: not provided"),EXACT(metadata!C731,"missing: restricted access"))),AND(IF(metadata!C731="",FALSE,ISNUMBER(VALUE(metadata!C731))),metadata!C731&gt;0))</f>
        <v>0</v>
      </c>
      <c r="AF731" t="b">
        <f>AND(IF(metadata!D731="",FALSE,TRUE),EXACT(metadata!D731,"missing: not provided"))</f>
        <v>0</v>
      </c>
      <c r="AG731" t="b">
        <f>AND(IF(metadata!E731="",FALSE,TRUE),EXACT(metadata!E731,"Host-associated"))</f>
        <v>0</v>
      </c>
      <c r="AH731" t="b">
        <f>AND(IF(metadata!F731="",FALSE,TRUE),OR(EXACT(metadata!F731,"Animal"),EXACT(metadata!F731,"Fungus"),EXACT(metadata!F731,"Plant")))</f>
        <v>0</v>
      </c>
      <c r="AI731" t="b">
        <f>AND(IF(metadata!G731="",FALSE,TRUE),OR(EXACT(metadata!G731,"Plant secretion"),EXACT(metadata!G731,"Plant rhizosphere"),EXACT(metadata!G731,"Plant surface"),EXACT(metadata!G731,"Plant corpus"),EXACT(metadata!G731,"Fungus surface"),EXACT(metadata!G731,"Fungus corpus"),EXACT(metadata!G731,"Animal surface"),EXACT(metadata!G731,"Animal proximal gut"),EXACT(metadata!G731,"Animal corpus"),EXACT(metadata!G731,"Animal distal gut"),EXACT(metadata!G731,"Animal secretion")))</f>
        <v>0</v>
      </c>
      <c r="AJ731" t="b">
        <f>OR(AND(IF(metadata!H731="",FALSE,TRUE),OR(EXACT(metadata!H731,"missing: not collected"),EXACT(metadata!H731,"missing: not provided"),EXACT(metadata!H731,"missing: restricted access"))),AND(IF(metadata!H731="",FALSE,TRUE),OR(EXACT(metadata!H731,"organism-associated habitat"),EXACT(metadata!H731,"plant-associated habitat"),EXACT(metadata!H731,"animal-associated habitat"),EXACT(metadata!H731,"insecta-associated habitat"),EXACT(metadata!H731,"mammalia-associated habitat"),EXACT(metadata!H731,"human-associated habitat"),EXACT(metadata!H731,"livestock-associated habitat"))))</f>
        <v>0</v>
      </c>
      <c r="AK731" t="b">
        <f>AND(IF(metadata!I731="",FALSE,TRUE),EXACT(metadata!I731,"host-associated"))</f>
        <v>0</v>
      </c>
      <c r="AL731" t="b">
        <f>OR(AND(IF(metadata!J731="",FALSE,TRUE),OR(EXACT(metadata!J731,"not applicable"),EXACT(metadata!J731,"missing: not collected"),EXACT(metadata!J731,"missing: not provided"),EXACT(metadata!J731,"missing: restricted access"))),AND(IF(metadata!J731="",FALSE,ISNUMBER(VALUE(metadata!J731))),metadata!J731&gt;0))</f>
        <v>0</v>
      </c>
      <c r="AM731" t="b">
        <f>AND(IF(metadata!K731="",FALSE,TRUE),EXACT(metadata!K731,"missing: not provided"))</f>
        <v>0</v>
      </c>
      <c r="AN731" t="b">
        <f>IF(metadata!L731="",FALSE,TRUE)</f>
        <v>0</v>
      </c>
      <c r="AO731" t="b">
        <f>IF(metadata!M731="",FALSE,TRUE)</f>
        <v>0</v>
      </c>
      <c r="AP731" t="b">
        <f>OR(AND(IF(metadata!N731="",FALSE,TRUE),OR(EXACT(metadata!N731,"not applicable"),EXACT(metadata!N731,"missing: not collected"),EXACT(metadata!N731,"missing: not provided"))),AND(IF(metadata!N731="",FALSE,IF(ISERROR(INT(metadata!N731)),FALSE,INT(metadata!N731)=metadata!N731)),metadata!N731&gt;0))</f>
        <v>0</v>
      </c>
      <c r="AQ731" t="b">
        <f>AND(IF(metadata!O731="",FALSE,TRUE),EXACT(metadata!O731,"Not applicable"))</f>
        <v>0</v>
      </c>
      <c r="AR731" t="b">
        <f>OR(AND(IF(metadata!P731="",FALSE,TRUE),OR(EXACT(metadata!P731,"not applicable"),EXACT(metadata!P731,"missing: not collected"),EXACT(metadata!P731,"missing: not provided"),EXACT(metadata!P731,"missing: restricted access"))),IF(metadata!P731="",FALSE,IF(ISERROR(INT(metadata!P731)),FALSE,INT(metadata!P731)=metadata!P731)))</f>
        <v>0</v>
      </c>
      <c r="AS731" t="b">
        <f>AND(IF(metadata!Q731="",FALSE,TRUE),EXACT(metadata!Q731,"Not applicable"))</f>
        <v>0</v>
      </c>
      <c r="AT731" t="b">
        <f>OR(AND(IF(metadata!R731="",FALSE,TRUE),OR(EXACT(metadata!R731,"not applicable"),EXACT(metadata!R731,"missing: not collected"),EXACT(metadata!R731,"missing: not provided"),EXACT(metadata!R731,"missing: restricted access"))),AND(IF(metadata!R731="",FALSE,ISNUMBER(VALUE(metadata!R731))),metadata!R731&gt;0))</f>
        <v>0</v>
      </c>
      <c r="AU731" t="b">
        <f>AND(IF(metadata!S731="",FALSE,TRUE),EXACT(metadata!S731,"missing: not provided"))</f>
        <v>0</v>
      </c>
    </row>
    <row r="732" spans="1:47" x14ac:dyDescent="0.2">
      <c r="A732" s="5" t="str">
        <f ca="1">IF(B732=" "," ",HYPERLINK(CONCATENATE("#metadata!",ADDRESS(INDEX($Y$2:$Y$1001,MATCH(ROWS($W$2:W732),$W$2:$W$1001,0),0),1)),INDEX($AB$2:$AB$1001,MATCH(ROWS($W$2:W732),$W$2:$W$1001,0),0)))</f>
        <v xml:space="preserve"> </v>
      </c>
      <c r="B732" s="4" t="str">
        <f ca="1">IF(OR(INDEX($X$2:$X$1001,MATCH(ROWS($W$2:W732),$W$2:$W$1001,0),1)&gt;=100000,INDEX($AD$1005:$AU$1005,1,MATCH(COLUMNS($AD$1006:AD1006),$AD$1006:$AU$1006,0))&gt;=100000), " ",IF(INDEX($AD$2:$AU$1001,MATCH(ROWS($W$2:W732),$W$2:$W$1001,0),MATCH(COLUMNS($AD$1006:AD1006),$AD$1006:$AU$1006,0)), HYPERLINK("#",""), HYPERLINK(CONCATENATE("#metadata!", ADDRESS(INDEX($Y$2:$Y$1001,MATCH(ROWS($W$2:W732),$W$2:$W$1001,0),0), INDEX($AD$1004:$AU$1004,1,MATCH(COLUMNS($AD$1006:AD1006),$AD$1006:$AU$1006,0)))),"Fix")))</f>
        <v xml:space="preserve"> </v>
      </c>
      <c r="C732" s="4" t="str">
        <f ca="1">IF(OR(INDEX($X$2:$X$1001,MATCH(ROWS($W$2:W732),$W$2:$W$1001,0),1)&gt;=100000,INDEX($AD$1005:$AU$1005,1,MATCH(COLUMNS($AD$1006:AE1006),$AD$1006:$AU$1006,0))&gt;=100000), " ",IF(INDEX($AD$2:$AU$1001,MATCH(ROWS($W$2:W732),$W$2:$W$1001,0),MATCH(COLUMNS($AD$1006:AE1006),$AD$1006:$AU$1006,0)), HYPERLINK("#",""), HYPERLINK(CONCATENATE("#metadata!", ADDRESS(INDEX($Y$2:$Y$1001,MATCH(ROWS($W$2:W732),$W$2:$W$1001,0),0), INDEX($AD$1004:$AU$1004,1,MATCH(COLUMNS($AD$1006:AE1006),$AD$1006:$AU$1006,0)))),"Fix")))</f>
        <v xml:space="preserve"> </v>
      </c>
      <c r="D732" s="4" t="str">
        <f ca="1">IF(OR(INDEX($X$2:$X$1001,MATCH(ROWS($W$2:W732),$W$2:$W$1001,0),1)&gt;=100000,INDEX($AD$1005:$AU$1005,1,MATCH(COLUMNS($AD$1006:AF1006),$AD$1006:$AU$1006,0))&gt;=100000), " ",IF(INDEX($AD$2:$AU$1001,MATCH(ROWS($W$2:W732),$W$2:$W$1001,0),MATCH(COLUMNS($AD$1006:AF1006),$AD$1006:$AU$1006,0)), HYPERLINK("#",""), HYPERLINK(CONCATENATE("#metadata!", ADDRESS(INDEX($Y$2:$Y$1001,MATCH(ROWS($W$2:W732),$W$2:$W$1001,0),0), INDEX($AD$1004:$AU$1004,1,MATCH(COLUMNS($AD$1006:AF1006),$AD$1006:$AU$1006,0)))),"Fix")))</f>
        <v xml:space="preserve"> </v>
      </c>
      <c r="E732" s="4" t="str">
        <f ca="1">IF(OR(INDEX($X$2:$X$1001,MATCH(ROWS($W$2:W732),$W$2:$W$1001,0),1)&gt;=100000,INDEX($AD$1005:$AU$1005,1,MATCH(COLUMNS($AD$1006:AG1006),$AD$1006:$AU$1006,0))&gt;=100000), " ",IF(INDEX($AD$2:$AU$1001,MATCH(ROWS($W$2:W732),$W$2:$W$1001,0),MATCH(COLUMNS($AD$1006:AG1006),$AD$1006:$AU$1006,0)), HYPERLINK("#",""), HYPERLINK(CONCATENATE("#metadata!", ADDRESS(INDEX($Y$2:$Y$1001,MATCH(ROWS($W$2:W732),$W$2:$W$1001,0),0), INDEX($AD$1004:$AU$1004,1,MATCH(COLUMNS($AD$1006:AG1006),$AD$1006:$AU$1006,0)))),"Fix")))</f>
        <v xml:space="preserve"> </v>
      </c>
      <c r="F732" s="4" t="str">
        <f ca="1">IF(OR(INDEX($X$2:$X$1001,MATCH(ROWS($W$2:W732),$W$2:$W$1001,0),1)&gt;=100000,INDEX($AD$1005:$AU$1005,1,MATCH(COLUMNS($AD$1006:AH1006),$AD$1006:$AU$1006,0))&gt;=100000), " ",IF(INDEX($AD$2:$AU$1001,MATCH(ROWS($W$2:W732),$W$2:$W$1001,0),MATCH(COLUMNS($AD$1006:AH1006),$AD$1006:$AU$1006,0)), HYPERLINK("#",""), HYPERLINK(CONCATENATE("#metadata!", ADDRESS(INDEX($Y$2:$Y$1001,MATCH(ROWS($W$2:W732),$W$2:$W$1001,0),0), INDEX($AD$1004:$AU$1004,1,MATCH(COLUMNS($AD$1006:AH1006),$AD$1006:$AU$1006,0)))),"Fix")))</f>
        <v xml:space="preserve"> </v>
      </c>
      <c r="G732" s="4" t="str">
        <f ca="1">IF(OR(INDEX($X$2:$X$1001,MATCH(ROWS($W$2:W732),$W$2:$W$1001,0),1)&gt;=100000,INDEX($AD$1005:$AU$1005,1,MATCH(COLUMNS($AD$1006:AI1006),$AD$1006:$AU$1006,0))&gt;=100000), " ",IF(INDEX($AD$2:$AU$1001,MATCH(ROWS($W$2:W732),$W$2:$W$1001,0),MATCH(COLUMNS($AD$1006:AI1006),$AD$1006:$AU$1006,0)), HYPERLINK("#",""), HYPERLINK(CONCATENATE("#metadata!", ADDRESS(INDEX($Y$2:$Y$1001,MATCH(ROWS($W$2:W732),$W$2:$W$1001,0),0), INDEX($AD$1004:$AU$1004,1,MATCH(COLUMNS($AD$1006:AI1006),$AD$1006:$AU$1006,0)))),"Fix")))</f>
        <v xml:space="preserve"> </v>
      </c>
      <c r="H732" s="4" t="str">
        <f ca="1">IF(OR(INDEX($X$2:$X$1001,MATCH(ROWS($W$2:W732),$W$2:$W$1001,0),1)&gt;=100000,INDEX($AD$1005:$AU$1005,1,MATCH(COLUMNS($AD$1006:AJ1006),$AD$1006:$AU$1006,0))&gt;=100000), " ",IF(INDEX($AD$2:$AU$1001,MATCH(ROWS($W$2:W732),$W$2:$W$1001,0),MATCH(COLUMNS($AD$1006:AJ1006),$AD$1006:$AU$1006,0)), HYPERLINK("#",""), HYPERLINK(CONCATENATE("#metadata!", ADDRESS(INDEX($Y$2:$Y$1001,MATCH(ROWS($W$2:W732),$W$2:$W$1001,0),0), INDEX($AD$1004:$AU$1004,1,MATCH(COLUMNS($AD$1006:AJ1006),$AD$1006:$AU$1006,0)))),"Fix")))</f>
        <v xml:space="preserve"> </v>
      </c>
      <c r="I732" s="4" t="str">
        <f ca="1">IF(OR(INDEX($X$2:$X$1001,MATCH(ROWS($W$2:W732),$W$2:$W$1001,0),1)&gt;=100000,INDEX($AD$1005:$AU$1005,1,MATCH(COLUMNS($AD$1006:AK1006),$AD$1006:$AU$1006,0))&gt;=100000), " ",IF(INDEX($AD$2:$AU$1001,MATCH(ROWS($W$2:W732),$W$2:$W$1001,0),MATCH(COLUMNS($AD$1006:AK1006),$AD$1006:$AU$1006,0)), HYPERLINK("#",""), HYPERLINK(CONCATENATE("#metadata!", ADDRESS(INDEX($Y$2:$Y$1001,MATCH(ROWS($W$2:W732),$W$2:$W$1001,0),0), INDEX($AD$1004:$AU$1004,1,MATCH(COLUMNS($AD$1006:AK1006),$AD$1006:$AU$1006,0)))),"Fix")))</f>
        <v xml:space="preserve"> </v>
      </c>
      <c r="J732" s="4" t="str">
        <f ca="1">IF(OR(INDEX($X$2:$X$1001,MATCH(ROWS($W$2:W732),$W$2:$W$1001,0),1)&gt;=100000,INDEX($AD$1005:$AU$1005,1,MATCH(COLUMNS($AD$1006:AL1006),$AD$1006:$AU$1006,0))&gt;=100000), " ",IF(INDEX($AD$2:$AU$1001,MATCH(ROWS($W$2:W732),$W$2:$W$1001,0),MATCH(COLUMNS($AD$1006:AL1006),$AD$1006:$AU$1006,0)), HYPERLINK("#",""), HYPERLINK(CONCATENATE("#metadata!", ADDRESS(INDEX($Y$2:$Y$1001,MATCH(ROWS($W$2:W732),$W$2:$W$1001,0),0), INDEX($AD$1004:$AU$1004,1,MATCH(COLUMNS($AD$1006:AL1006),$AD$1006:$AU$1006,0)))),"Fix")))</f>
        <v xml:space="preserve"> </v>
      </c>
      <c r="K732" s="4" t="str">
        <f ca="1">IF(OR(INDEX($X$2:$X$1001,MATCH(ROWS($W$2:W732),$W$2:$W$1001,0),1)&gt;=100000,INDEX($AD$1005:$AU$1005,1,MATCH(COLUMNS($AD$1006:AM1006),$AD$1006:$AU$1006,0))&gt;=100000), " ",IF(INDEX($AD$2:$AU$1001,MATCH(ROWS($W$2:W732),$W$2:$W$1001,0),MATCH(COLUMNS($AD$1006:AM1006),$AD$1006:$AU$1006,0)), HYPERLINK("#",""), HYPERLINK(CONCATENATE("#metadata!", ADDRESS(INDEX($Y$2:$Y$1001,MATCH(ROWS($W$2:W732),$W$2:$W$1001,0),0), INDEX($AD$1004:$AU$1004,1,MATCH(COLUMNS($AD$1006:AM1006),$AD$1006:$AU$1006,0)))),"Fix")))</f>
        <v xml:space="preserve"> </v>
      </c>
      <c r="L732" s="4" t="str">
        <f ca="1">IF(OR(INDEX($X$2:$X$1001,MATCH(ROWS($W$2:W732),$W$2:$W$1001,0),1)&gt;=100000,INDEX($AD$1005:$AU$1005,1,MATCH(COLUMNS($AD$1006:AN1006),$AD$1006:$AU$1006,0))&gt;=100000), " ",IF(INDEX($AD$2:$AU$1001,MATCH(ROWS($W$2:W732),$W$2:$W$1001,0),MATCH(COLUMNS($AD$1006:AN1006),$AD$1006:$AU$1006,0)), HYPERLINK("#",""), HYPERLINK(CONCATENATE("#metadata!", ADDRESS(INDEX($Y$2:$Y$1001,MATCH(ROWS($W$2:W732),$W$2:$W$1001,0),0), INDEX($AD$1004:$AU$1004,1,MATCH(COLUMNS($AD$1006:AN1006),$AD$1006:$AU$1006,0)))),"Fix")))</f>
        <v xml:space="preserve"> </v>
      </c>
      <c r="M732" s="4" t="str">
        <f ca="1">IF(OR(INDEX($X$2:$X$1001,MATCH(ROWS($W$2:W732),$W$2:$W$1001,0),1)&gt;=100000,INDEX($AD$1005:$AU$1005,1,MATCH(COLUMNS($AD$1006:AO1006),$AD$1006:$AU$1006,0))&gt;=100000), " ",IF(INDEX($AD$2:$AU$1001,MATCH(ROWS($W$2:W732),$W$2:$W$1001,0),MATCH(COLUMNS($AD$1006:AO1006),$AD$1006:$AU$1006,0)), HYPERLINK("#",""), HYPERLINK(CONCATENATE("#metadata!", ADDRESS(INDEX($Y$2:$Y$1001,MATCH(ROWS($W$2:W732),$W$2:$W$1001,0),0), INDEX($AD$1004:$AU$1004,1,MATCH(COLUMNS($AD$1006:AO1006),$AD$1006:$AU$1006,0)))),"Fix")))</f>
        <v xml:space="preserve"> </v>
      </c>
      <c r="N732" s="4" t="str">
        <f ca="1">IF(OR(INDEX($X$2:$X$1001,MATCH(ROWS($W$2:W732),$W$2:$W$1001,0),1)&gt;=100000,INDEX($AD$1005:$AU$1005,1,MATCH(COLUMNS($AD$1006:AP1006),$AD$1006:$AU$1006,0))&gt;=100000), " ",IF(INDEX($AD$2:$AU$1001,MATCH(ROWS($W$2:W732),$W$2:$W$1001,0),MATCH(COLUMNS($AD$1006:AP1006),$AD$1006:$AU$1006,0)), HYPERLINK("#",""), HYPERLINK(CONCATENATE("#metadata!", ADDRESS(INDEX($Y$2:$Y$1001,MATCH(ROWS($W$2:W732),$W$2:$W$1001,0),0), INDEX($AD$1004:$AU$1004,1,MATCH(COLUMNS($AD$1006:AP1006),$AD$1006:$AU$1006,0)))),"Fix")))</f>
        <v xml:space="preserve"> </v>
      </c>
      <c r="O732" s="4" t="str">
        <f ca="1">IF(OR(INDEX($X$2:$X$1001,MATCH(ROWS($W$2:W732),$W$2:$W$1001,0),1)&gt;=100000,INDEX($AD$1005:$AU$1005,1,MATCH(COLUMNS($AD$1006:AQ1006),$AD$1006:$AU$1006,0))&gt;=100000), " ",IF(INDEX($AD$2:$AU$1001,MATCH(ROWS($W$2:W732),$W$2:$W$1001,0),MATCH(COLUMNS($AD$1006:AQ1006),$AD$1006:$AU$1006,0)), HYPERLINK("#",""), HYPERLINK(CONCATENATE("#metadata!", ADDRESS(INDEX($Y$2:$Y$1001,MATCH(ROWS($W$2:W732),$W$2:$W$1001,0),0), INDEX($AD$1004:$AU$1004,1,MATCH(COLUMNS($AD$1006:AQ1006),$AD$1006:$AU$1006,0)))),"Fix")))</f>
        <v xml:space="preserve"> </v>
      </c>
      <c r="P732" s="4" t="str">
        <f ca="1">IF(OR(INDEX($X$2:$X$1001,MATCH(ROWS($W$2:W732),$W$2:$W$1001,0),1)&gt;=100000,INDEX($AD$1005:$AU$1005,1,MATCH(COLUMNS($AD$1006:AR1006),$AD$1006:$AU$1006,0))&gt;=100000), " ",IF(INDEX($AD$2:$AU$1001,MATCH(ROWS($W$2:W732),$W$2:$W$1001,0),MATCH(COLUMNS($AD$1006:AR1006),$AD$1006:$AU$1006,0)), HYPERLINK("#",""), HYPERLINK(CONCATENATE("#metadata!", ADDRESS(INDEX($Y$2:$Y$1001,MATCH(ROWS($W$2:W732),$W$2:$W$1001,0),0), INDEX($AD$1004:$AU$1004,1,MATCH(COLUMNS($AD$1006:AR1006),$AD$1006:$AU$1006,0)))),"Fix")))</f>
        <v xml:space="preserve"> </v>
      </c>
      <c r="Q732" s="4" t="str">
        <f ca="1">IF(OR(INDEX($X$2:$X$1001,MATCH(ROWS($W$2:W732),$W$2:$W$1001,0),1)&gt;=100000,INDEX($AD$1005:$AU$1005,1,MATCH(COLUMNS($AD$1006:AS1006),$AD$1006:$AU$1006,0))&gt;=100000), " ",IF(INDEX($AD$2:$AU$1001,MATCH(ROWS($W$2:W732),$W$2:$W$1001,0),MATCH(COLUMNS($AD$1006:AS1006),$AD$1006:$AU$1006,0)), HYPERLINK("#",""), HYPERLINK(CONCATENATE("#metadata!", ADDRESS(INDEX($Y$2:$Y$1001,MATCH(ROWS($W$2:W732),$W$2:$W$1001,0),0), INDEX($AD$1004:$AU$1004,1,MATCH(COLUMNS($AD$1006:AS1006),$AD$1006:$AU$1006,0)))),"Fix")))</f>
        <v xml:space="preserve"> </v>
      </c>
      <c r="R732" s="4" t="str">
        <f ca="1">IF(OR(INDEX($X$2:$X$1001,MATCH(ROWS($W$2:W732),$W$2:$W$1001,0),1)&gt;=100000,INDEX($AD$1005:$AU$1005,1,MATCH(COLUMNS($AD$1006:AT1006),$AD$1006:$AU$1006,0))&gt;=100000), " ",IF(INDEX($AD$2:$AU$1001,MATCH(ROWS($W$2:W732),$W$2:$W$1001,0),MATCH(COLUMNS($AD$1006:AT1006),$AD$1006:$AU$1006,0)), HYPERLINK("#",""), HYPERLINK(CONCATENATE("#metadata!", ADDRESS(INDEX($Y$2:$Y$1001,MATCH(ROWS($W$2:W732),$W$2:$W$1001,0),0), INDEX($AD$1004:$AU$1004,1,MATCH(COLUMNS($AD$1006:AT1006),$AD$1006:$AU$1006,0)))),"Fix")))</f>
        <v xml:space="preserve"> </v>
      </c>
      <c r="S732" s="4" t="str">
        <f ca="1">IF(OR(INDEX($X$2:$X$1001,MATCH(ROWS($W$2:W732),$W$2:$W$1001,0),1)&gt;=100000,INDEX($AD$1005:$AU$1005,1,MATCH(COLUMNS($AD$1006:AU1006),$AD$1006:$AU$1006,0))&gt;=100000), " ",IF(INDEX($AD$2:$AU$1001,MATCH(ROWS($W$2:W732),$W$2:$W$1001,0),MATCH(COLUMNS($AD$1006:AU1006),$AD$1006:$AU$1006,0)), HYPERLINK("#",""), HYPERLINK(CONCATENATE("#metadata!", ADDRESS(INDEX($Y$2:$Y$1001,MATCH(ROWS($W$2:W732),$W$2:$W$1001,0),0), INDEX($AD$1004:$AU$1004,1,MATCH(COLUMNS($AD$1006:AU1006),$AD$1006:$AU$1006,0)))),"Fix")))</f>
        <v xml:space="preserve"> </v>
      </c>
      <c r="W732">
        <v>731</v>
      </c>
      <c r="X732">
        <v>100732</v>
      </c>
      <c r="Y732">
        <v>732</v>
      </c>
      <c r="Z732" t="b">
        <f t="shared" si="11"/>
        <v>1</v>
      </c>
      <c r="AA732" t="b">
        <f>COUNTBLANK(metadata!B732:S732)=COLUMNS(metadata!B732:S732)</f>
        <v>1</v>
      </c>
      <c r="AB732" t="str">
        <v/>
      </c>
      <c r="AD732" t="b">
        <f ca="1">AND(IF(metadata!B732="",FALSE,TRUE),COUNTIF(metadata!B:B, metadata!B732) = 1,NOT(ISERROR(SUMPRODUCT(SEARCH(MID(metadata!B732,ROW(INDIRECT("1:"&amp;LEN(metadata!B732))), 1),"0123456789abcdefghijklmnopqrstuvwxyzABCDEFGHIJKLMNOPQRSTUVWXYZ.")))))</f>
        <v>0</v>
      </c>
      <c r="AE732" t="b">
        <f>OR(AND(IF(metadata!C732="",FALSE,TRUE),OR(EXACT(metadata!C732,"not applicable"),EXACT(metadata!C732,"missing: not collected"),EXACT(metadata!C732,"missing: not provided"),EXACT(metadata!C732,"missing: restricted access"))),AND(IF(metadata!C732="",FALSE,ISNUMBER(VALUE(metadata!C732))),metadata!C732&gt;0))</f>
        <v>0</v>
      </c>
      <c r="AF732" t="b">
        <f>AND(IF(metadata!D732="",FALSE,TRUE),EXACT(metadata!D732,"missing: not provided"))</f>
        <v>0</v>
      </c>
      <c r="AG732" t="b">
        <f>AND(IF(metadata!E732="",FALSE,TRUE),EXACT(metadata!E732,"Host-associated"))</f>
        <v>0</v>
      </c>
      <c r="AH732" t="b">
        <f>AND(IF(metadata!F732="",FALSE,TRUE),OR(EXACT(metadata!F732,"Animal"),EXACT(metadata!F732,"Fungus"),EXACT(metadata!F732,"Plant")))</f>
        <v>0</v>
      </c>
      <c r="AI732" t="b">
        <f>AND(IF(metadata!G732="",FALSE,TRUE),OR(EXACT(metadata!G732,"Plant secretion"),EXACT(metadata!G732,"Plant rhizosphere"),EXACT(metadata!G732,"Plant surface"),EXACT(metadata!G732,"Plant corpus"),EXACT(metadata!G732,"Fungus surface"),EXACT(metadata!G732,"Fungus corpus"),EXACT(metadata!G732,"Animal surface"),EXACT(metadata!G732,"Animal proximal gut"),EXACT(metadata!G732,"Animal corpus"),EXACT(metadata!G732,"Animal distal gut"),EXACT(metadata!G732,"Animal secretion")))</f>
        <v>0</v>
      </c>
      <c r="AJ732" t="b">
        <f>OR(AND(IF(metadata!H732="",FALSE,TRUE),OR(EXACT(metadata!H732,"missing: not collected"),EXACT(metadata!H732,"missing: not provided"),EXACT(metadata!H732,"missing: restricted access"))),AND(IF(metadata!H732="",FALSE,TRUE),OR(EXACT(metadata!H732,"organism-associated habitat"),EXACT(metadata!H732,"plant-associated habitat"),EXACT(metadata!H732,"animal-associated habitat"),EXACT(metadata!H732,"insecta-associated habitat"),EXACT(metadata!H732,"mammalia-associated habitat"),EXACT(metadata!H732,"human-associated habitat"),EXACT(metadata!H732,"livestock-associated habitat"))))</f>
        <v>0</v>
      </c>
      <c r="AK732" t="b">
        <f>AND(IF(metadata!I732="",FALSE,TRUE),EXACT(metadata!I732,"host-associated"))</f>
        <v>0</v>
      </c>
      <c r="AL732" t="b">
        <f>OR(AND(IF(metadata!J732="",FALSE,TRUE),OR(EXACT(metadata!J732,"not applicable"),EXACT(metadata!J732,"missing: not collected"),EXACT(metadata!J732,"missing: not provided"),EXACT(metadata!J732,"missing: restricted access"))),AND(IF(metadata!J732="",FALSE,ISNUMBER(VALUE(metadata!J732))),metadata!J732&gt;0))</f>
        <v>0</v>
      </c>
      <c r="AM732" t="b">
        <f>AND(IF(metadata!K732="",FALSE,TRUE),EXACT(metadata!K732,"missing: not provided"))</f>
        <v>0</v>
      </c>
      <c r="AN732" t="b">
        <f>IF(metadata!L732="",FALSE,TRUE)</f>
        <v>0</v>
      </c>
      <c r="AO732" t="b">
        <f>IF(metadata!M732="",FALSE,TRUE)</f>
        <v>0</v>
      </c>
      <c r="AP732" t="b">
        <f>OR(AND(IF(metadata!N732="",FALSE,TRUE),OR(EXACT(metadata!N732,"not applicable"),EXACT(metadata!N732,"missing: not collected"),EXACT(metadata!N732,"missing: not provided"))),AND(IF(metadata!N732="",FALSE,IF(ISERROR(INT(metadata!N732)),FALSE,INT(metadata!N732)=metadata!N732)),metadata!N732&gt;0))</f>
        <v>0</v>
      </c>
      <c r="AQ732" t="b">
        <f>AND(IF(metadata!O732="",FALSE,TRUE),EXACT(metadata!O732,"Not applicable"))</f>
        <v>0</v>
      </c>
      <c r="AR732" t="b">
        <f>OR(AND(IF(metadata!P732="",FALSE,TRUE),OR(EXACT(metadata!P732,"not applicable"),EXACT(metadata!P732,"missing: not collected"),EXACT(metadata!P732,"missing: not provided"),EXACT(metadata!P732,"missing: restricted access"))),IF(metadata!P732="",FALSE,IF(ISERROR(INT(metadata!P732)),FALSE,INT(metadata!P732)=metadata!P732)))</f>
        <v>0</v>
      </c>
      <c r="AS732" t="b">
        <f>AND(IF(metadata!Q732="",FALSE,TRUE),EXACT(metadata!Q732,"Not applicable"))</f>
        <v>0</v>
      </c>
      <c r="AT732" t="b">
        <f>OR(AND(IF(metadata!R732="",FALSE,TRUE),OR(EXACT(metadata!R732,"not applicable"),EXACT(metadata!R732,"missing: not collected"),EXACT(metadata!R732,"missing: not provided"),EXACT(metadata!R732,"missing: restricted access"))),AND(IF(metadata!R732="",FALSE,ISNUMBER(VALUE(metadata!R732))),metadata!R732&gt;0))</f>
        <v>0</v>
      </c>
      <c r="AU732" t="b">
        <f>AND(IF(metadata!S732="",FALSE,TRUE),EXACT(metadata!S732,"missing: not provided"))</f>
        <v>0</v>
      </c>
    </row>
    <row r="733" spans="1:47" x14ac:dyDescent="0.2">
      <c r="A733" s="5" t="str">
        <f ca="1">IF(B733=" "," ",HYPERLINK(CONCATENATE("#metadata!",ADDRESS(INDEX($Y$2:$Y$1001,MATCH(ROWS($W$2:W733),$W$2:$W$1001,0),0),1)),INDEX($AB$2:$AB$1001,MATCH(ROWS($W$2:W733),$W$2:$W$1001,0),0)))</f>
        <v xml:space="preserve"> </v>
      </c>
      <c r="B733" s="4" t="str">
        <f ca="1">IF(OR(INDEX($X$2:$X$1001,MATCH(ROWS($W$2:W733),$W$2:$W$1001,0),1)&gt;=100000,INDEX($AD$1005:$AU$1005,1,MATCH(COLUMNS($AD$1006:AD1006),$AD$1006:$AU$1006,0))&gt;=100000), " ",IF(INDEX($AD$2:$AU$1001,MATCH(ROWS($W$2:W733),$W$2:$W$1001,0),MATCH(COLUMNS($AD$1006:AD1006),$AD$1006:$AU$1006,0)), HYPERLINK("#",""), HYPERLINK(CONCATENATE("#metadata!", ADDRESS(INDEX($Y$2:$Y$1001,MATCH(ROWS($W$2:W733),$W$2:$W$1001,0),0), INDEX($AD$1004:$AU$1004,1,MATCH(COLUMNS($AD$1006:AD1006),$AD$1006:$AU$1006,0)))),"Fix")))</f>
        <v xml:space="preserve"> </v>
      </c>
      <c r="C733" s="4" t="str">
        <f ca="1">IF(OR(INDEX($X$2:$X$1001,MATCH(ROWS($W$2:W733),$W$2:$W$1001,0),1)&gt;=100000,INDEX($AD$1005:$AU$1005,1,MATCH(COLUMNS($AD$1006:AE1006),$AD$1006:$AU$1006,0))&gt;=100000), " ",IF(INDEX($AD$2:$AU$1001,MATCH(ROWS($W$2:W733),$W$2:$W$1001,0),MATCH(COLUMNS($AD$1006:AE1006),$AD$1006:$AU$1006,0)), HYPERLINK("#",""), HYPERLINK(CONCATENATE("#metadata!", ADDRESS(INDEX($Y$2:$Y$1001,MATCH(ROWS($W$2:W733),$W$2:$W$1001,0),0), INDEX($AD$1004:$AU$1004,1,MATCH(COLUMNS($AD$1006:AE1006),$AD$1006:$AU$1006,0)))),"Fix")))</f>
        <v xml:space="preserve"> </v>
      </c>
      <c r="D733" s="4" t="str">
        <f ca="1">IF(OR(INDEX($X$2:$X$1001,MATCH(ROWS($W$2:W733),$W$2:$W$1001,0),1)&gt;=100000,INDEX($AD$1005:$AU$1005,1,MATCH(COLUMNS($AD$1006:AF1006),$AD$1006:$AU$1006,0))&gt;=100000), " ",IF(INDEX($AD$2:$AU$1001,MATCH(ROWS($W$2:W733),$W$2:$W$1001,0),MATCH(COLUMNS($AD$1006:AF1006),$AD$1006:$AU$1006,0)), HYPERLINK("#",""), HYPERLINK(CONCATENATE("#metadata!", ADDRESS(INDEX($Y$2:$Y$1001,MATCH(ROWS($W$2:W733),$W$2:$W$1001,0),0), INDEX($AD$1004:$AU$1004,1,MATCH(COLUMNS($AD$1006:AF1006),$AD$1006:$AU$1006,0)))),"Fix")))</f>
        <v xml:space="preserve"> </v>
      </c>
      <c r="E733" s="4" t="str">
        <f ca="1">IF(OR(INDEX($X$2:$X$1001,MATCH(ROWS($W$2:W733),$W$2:$W$1001,0),1)&gt;=100000,INDEX($AD$1005:$AU$1005,1,MATCH(COLUMNS($AD$1006:AG1006),$AD$1006:$AU$1006,0))&gt;=100000), " ",IF(INDEX($AD$2:$AU$1001,MATCH(ROWS($W$2:W733),$W$2:$W$1001,0),MATCH(COLUMNS($AD$1006:AG1006),$AD$1006:$AU$1006,0)), HYPERLINK("#",""), HYPERLINK(CONCATENATE("#metadata!", ADDRESS(INDEX($Y$2:$Y$1001,MATCH(ROWS($W$2:W733),$W$2:$W$1001,0),0), INDEX($AD$1004:$AU$1004,1,MATCH(COLUMNS($AD$1006:AG1006),$AD$1006:$AU$1006,0)))),"Fix")))</f>
        <v xml:space="preserve"> </v>
      </c>
      <c r="F733" s="4" t="str">
        <f ca="1">IF(OR(INDEX($X$2:$X$1001,MATCH(ROWS($W$2:W733),$W$2:$W$1001,0),1)&gt;=100000,INDEX($AD$1005:$AU$1005,1,MATCH(COLUMNS($AD$1006:AH1006),$AD$1006:$AU$1006,0))&gt;=100000), " ",IF(INDEX($AD$2:$AU$1001,MATCH(ROWS($W$2:W733),$W$2:$W$1001,0),MATCH(COLUMNS($AD$1006:AH1006),$AD$1006:$AU$1006,0)), HYPERLINK("#",""), HYPERLINK(CONCATENATE("#metadata!", ADDRESS(INDEX($Y$2:$Y$1001,MATCH(ROWS($W$2:W733),$W$2:$W$1001,0),0), INDEX($AD$1004:$AU$1004,1,MATCH(COLUMNS($AD$1006:AH1006),$AD$1006:$AU$1006,0)))),"Fix")))</f>
        <v xml:space="preserve"> </v>
      </c>
      <c r="G733" s="4" t="str">
        <f ca="1">IF(OR(INDEX($X$2:$X$1001,MATCH(ROWS($W$2:W733),$W$2:$W$1001,0),1)&gt;=100000,INDEX($AD$1005:$AU$1005,1,MATCH(COLUMNS($AD$1006:AI1006),$AD$1006:$AU$1006,0))&gt;=100000), " ",IF(INDEX($AD$2:$AU$1001,MATCH(ROWS($W$2:W733),$W$2:$W$1001,0),MATCH(COLUMNS($AD$1006:AI1006),$AD$1006:$AU$1006,0)), HYPERLINK("#",""), HYPERLINK(CONCATENATE("#metadata!", ADDRESS(INDEX($Y$2:$Y$1001,MATCH(ROWS($W$2:W733),$W$2:$W$1001,0),0), INDEX($AD$1004:$AU$1004,1,MATCH(COLUMNS($AD$1006:AI1006),$AD$1006:$AU$1006,0)))),"Fix")))</f>
        <v xml:space="preserve"> </v>
      </c>
      <c r="H733" s="4" t="str">
        <f ca="1">IF(OR(INDEX($X$2:$X$1001,MATCH(ROWS($W$2:W733),$W$2:$W$1001,0),1)&gt;=100000,INDEX($AD$1005:$AU$1005,1,MATCH(COLUMNS($AD$1006:AJ1006),$AD$1006:$AU$1006,0))&gt;=100000), " ",IF(INDEX($AD$2:$AU$1001,MATCH(ROWS($W$2:W733),$W$2:$W$1001,0),MATCH(COLUMNS($AD$1006:AJ1006),$AD$1006:$AU$1006,0)), HYPERLINK("#",""), HYPERLINK(CONCATENATE("#metadata!", ADDRESS(INDEX($Y$2:$Y$1001,MATCH(ROWS($W$2:W733),$W$2:$W$1001,0),0), INDEX($AD$1004:$AU$1004,1,MATCH(COLUMNS($AD$1006:AJ1006),$AD$1006:$AU$1006,0)))),"Fix")))</f>
        <v xml:space="preserve"> </v>
      </c>
      <c r="I733" s="4" t="str">
        <f ca="1">IF(OR(INDEX($X$2:$X$1001,MATCH(ROWS($W$2:W733),$W$2:$W$1001,0),1)&gt;=100000,INDEX($AD$1005:$AU$1005,1,MATCH(COLUMNS($AD$1006:AK1006),$AD$1006:$AU$1006,0))&gt;=100000), " ",IF(INDEX($AD$2:$AU$1001,MATCH(ROWS($W$2:W733),$W$2:$W$1001,0),MATCH(COLUMNS($AD$1006:AK1006),$AD$1006:$AU$1006,0)), HYPERLINK("#",""), HYPERLINK(CONCATENATE("#metadata!", ADDRESS(INDEX($Y$2:$Y$1001,MATCH(ROWS($W$2:W733),$W$2:$W$1001,0),0), INDEX($AD$1004:$AU$1004,1,MATCH(COLUMNS($AD$1006:AK1006),$AD$1006:$AU$1006,0)))),"Fix")))</f>
        <v xml:space="preserve"> </v>
      </c>
      <c r="J733" s="4" t="str">
        <f ca="1">IF(OR(INDEX($X$2:$X$1001,MATCH(ROWS($W$2:W733),$W$2:$W$1001,0),1)&gt;=100000,INDEX($AD$1005:$AU$1005,1,MATCH(COLUMNS($AD$1006:AL1006),$AD$1006:$AU$1006,0))&gt;=100000), " ",IF(INDEX($AD$2:$AU$1001,MATCH(ROWS($W$2:W733),$W$2:$W$1001,0),MATCH(COLUMNS($AD$1006:AL1006),$AD$1006:$AU$1006,0)), HYPERLINK("#",""), HYPERLINK(CONCATENATE("#metadata!", ADDRESS(INDEX($Y$2:$Y$1001,MATCH(ROWS($W$2:W733),$W$2:$W$1001,0),0), INDEX($AD$1004:$AU$1004,1,MATCH(COLUMNS($AD$1006:AL1006),$AD$1006:$AU$1006,0)))),"Fix")))</f>
        <v xml:space="preserve"> </v>
      </c>
      <c r="K733" s="4" t="str">
        <f ca="1">IF(OR(INDEX($X$2:$X$1001,MATCH(ROWS($W$2:W733),$W$2:$W$1001,0),1)&gt;=100000,INDEX($AD$1005:$AU$1005,1,MATCH(COLUMNS($AD$1006:AM1006),$AD$1006:$AU$1006,0))&gt;=100000), " ",IF(INDEX($AD$2:$AU$1001,MATCH(ROWS($W$2:W733),$W$2:$W$1001,0),MATCH(COLUMNS($AD$1006:AM1006),$AD$1006:$AU$1006,0)), HYPERLINK("#",""), HYPERLINK(CONCATENATE("#metadata!", ADDRESS(INDEX($Y$2:$Y$1001,MATCH(ROWS($W$2:W733),$W$2:$W$1001,0),0), INDEX($AD$1004:$AU$1004,1,MATCH(COLUMNS($AD$1006:AM1006),$AD$1006:$AU$1006,0)))),"Fix")))</f>
        <v xml:space="preserve"> </v>
      </c>
      <c r="L733" s="4" t="str">
        <f ca="1">IF(OR(INDEX($X$2:$X$1001,MATCH(ROWS($W$2:W733),$W$2:$W$1001,0),1)&gt;=100000,INDEX($AD$1005:$AU$1005,1,MATCH(COLUMNS($AD$1006:AN1006),$AD$1006:$AU$1006,0))&gt;=100000), " ",IF(INDEX($AD$2:$AU$1001,MATCH(ROWS($W$2:W733),$W$2:$W$1001,0),MATCH(COLUMNS($AD$1006:AN1006),$AD$1006:$AU$1006,0)), HYPERLINK("#",""), HYPERLINK(CONCATENATE("#metadata!", ADDRESS(INDEX($Y$2:$Y$1001,MATCH(ROWS($W$2:W733),$W$2:$W$1001,0),0), INDEX($AD$1004:$AU$1004,1,MATCH(COLUMNS($AD$1006:AN1006),$AD$1006:$AU$1006,0)))),"Fix")))</f>
        <v xml:space="preserve"> </v>
      </c>
      <c r="M733" s="4" t="str">
        <f ca="1">IF(OR(INDEX($X$2:$X$1001,MATCH(ROWS($W$2:W733),$W$2:$W$1001,0),1)&gt;=100000,INDEX($AD$1005:$AU$1005,1,MATCH(COLUMNS($AD$1006:AO1006),$AD$1006:$AU$1006,0))&gt;=100000), " ",IF(INDEX($AD$2:$AU$1001,MATCH(ROWS($W$2:W733),$W$2:$W$1001,0),MATCH(COLUMNS($AD$1006:AO1006),$AD$1006:$AU$1006,0)), HYPERLINK("#",""), HYPERLINK(CONCATENATE("#metadata!", ADDRESS(INDEX($Y$2:$Y$1001,MATCH(ROWS($W$2:W733),$W$2:$W$1001,0),0), INDEX($AD$1004:$AU$1004,1,MATCH(COLUMNS($AD$1006:AO1006),$AD$1006:$AU$1006,0)))),"Fix")))</f>
        <v xml:space="preserve"> </v>
      </c>
      <c r="N733" s="4" t="str">
        <f ca="1">IF(OR(INDEX($X$2:$X$1001,MATCH(ROWS($W$2:W733),$W$2:$W$1001,0),1)&gt;=100000,INDEX($AD$1005:$AU$1005,1,MATCH(COLUMNS($AD$1006:AP1006),$AD$1006:$AU$1006,0))&gt;=100000), " ",IF(INDEX($AD$2:$AU$1001,MATCH(ROWS($W$2:W733),$W$2:$W$1001,0),MATCH(COLUMNS($AD$1006:AP1006),$AD$1006:$AU$1006,0)), HYPERLINK("#",""), HYPERLINK(CONCATENATE("#metadata!", ADDRESS(INDEX($Y$2:$Y$1001,MATCH(ROWS($W$2:W733),$W$2:$W$1001,0),0), INDEX($AD$1004:$AU$1004,1,MATCH(COLUMNS($AD$1006:AP1006),$AD$1006:$AU$1006,0)))),"Fix")))</f>
        <v xml:space="preserve"> </v>
      </c>
      <c r="O733" s="4" t="str">
        <f ca="1">IF(OR(INDEX($X$2:$X$1001,MATCH(ROWS($W$2:W733),$W$2:$W$1001,0),1)&gt;=100000,INDEX($AD$1005:$AU$1005,1,MATCH(COLUMNS($AD$1006:AQ1006),$AD$1006:$AU$1006,0))&gt;=100000), " ",IF(INDEX($AD$2:$AU$1001,MATCH(ROWS($W$2:W733),$W$2:$W$1001,0),MATCH(COLUMNS($AD$1006:AQ1006),$AD$1006:$AU$1006,0)), HYPERLINK("#",""), HYPERLINK(CONCATENATE("#metadata!", ADDRESS(INDEX($Y$2:$Y$1001,MATCH(ROWS($W$2:W733),$W$2:$W$1001,0),0), INDEX($AD$1004:$AU$1004,1,MATCH(COLUMNS($AD$1006:AQ1006),$AD$1006:$AU$1006,0)))),"Fix")))</f>
        <v xml:space="preserve"> </v>
      </c>
      <c r="P733" s="4" t="str">
        <f ca="1">IF(OR(INDEX($X$2:$X$1001,MATCH(ROWS($W$2:W733),$W$2:$W$1001,0),1)&gt;=100000,INDEX($AD$1005:$AU$1005,1,MATCH(COLUMNS($AD$1006:AR1006),$AD$1006:$AU$1006,0))&gt;=100000), " ",IF(INDEX($AD$2:$AU$1001,MATCH(ROWS($W$2:W733),$W$2:$W$1001,0),MATCH(COLUMNS($AD$1006:AR1006),$AD$1006:$AU$1006,0)), HYPERLINK("#",""), HYPERLINK(CONCATENATE("#metadata!", ADDRESS(INDEX($Y$2:$Y$1001,MATCH(ROWS($W$2:W733),$W$2:$W$1001,0),0), INDEX($AD$1004:$AU$1004,1,MATCH(COLUMNS($AD$1006:AR1006),$AD$1006:$AU$1006,0)))),"Fix")))</f>
        <v xml:space="preserve"> </v>
      </c>
      <c r="Q733" s="4" t="str">
        <f ca="1">IF(OR(INDEX($X$2:$X$1001,MATCH(ROWS($W$2:W733),$W$2:$W$1001,0),1)&gt;=100000,INDEX($AD$1005:$AU$1005,1,MATCH(COLUMNS($AD$1006:AS1006),$AD$1006:$AU$1006,0))&gt;=100000), " ",IF(INDEX($AD$2:$AU$1001,MATCH(ROWS($W$2:W733),$W$2:$W$1001,0),MATCH(COLUMNS($AD$1006:AS1006),$AD$1006:$AU$1006,0)), HYPERLINK("#",""), HYPERLINK(CONCATENATE("#metadata!", ADDRESS(INDEX($Y$2:$Y$1001,MATCH(ROWS($W$2:W733),$W$2:$W$1001,0),0), INDEX($AD$1004:$AU$1004,1,MATCH(COLUMNS($AD$1006:AS1006),$AD$1006:$AU$1006,0)))),"Fix")))</f>
        <v xml:space="preserve"> </v>
      </c>
      <c r="R733" s="4" t="str">
        <f ca="1">IF(OR(INDEX($X$2:$X$1001,MATCH(ROWS($W$2:W733),$W$2:$W$1001,0),1)&gt;=100000,INDEX($AD$1005:$AU$1005,1,MATCH(COLUMNS($AD$1006:AT1006),$AD$1006:$AU$1006,0))&gt;=100000), " ",IF(INDEX($AD$2:$AU$1001,MATCH(ROWS($W$2:W733),$W$2:$W$1001,0),MATCH(COLUMNS($AD$1006:AT1006),$AD$1006:$AU$1006,0)), HYPERLINK("#",""), HYPERLINK(CONCATENATE("#metadata!", ADDRESS(INDEX($Y$2:$Y$1001,MATCH(ROWS($W$2:W733),$W$2:$W$1001,0),0), INDEX($AD$1004:$AU$1004,1,MATCH(COLUMNS($AD$1006:AT1006),$AD$1006:$AU$1006,0)))),"Fix")))</f>
        <v xml:space="preserve"> </v>
      </c>
      <c r="S733" s="4" t="str">
        <f ca="1">IF(OR(INDEX($X$2:$X$1001,MATCH(ROWS($W$2:W733),$W$2:$W$1001,0),1)&gt;=100000,INDEX($AD$1005:$AU$1005,1,MATCH(COLUMNS($AD$1006:AU1006),$AD$1006:$AU$1006,0))&gt;=100000), " ",IF(INDEX($AD$2:$AU$1001,MATCH(ROWS($W$2:W733),$W$2:$W$1001,0),MATCH(COLUMNS($AD$1006:AU1006),$AD$1006:$AU$1006,0)), HYPERLINK("#",""), HYPERLINK(CONCATENATE("#metadata!", ADDRESS(INDEX($Y$2:$Y$1001,MATCH(ROWS($W$2:W733),$W$2:$W$1001,0),0), INDEX($AD$1004:$AU$1004,1,MATCH(COLUMNS($AD$1006:AU1006),$AD$1006:$AU$1006,0)))),"Fix")))</f>
        <v xml:space="preserve"> </v>
      </c>
      <c r="W733">
        <v>732</v>
      </c>
      <c r="X733">
        <v>100733</v>
      </c>
      <c r="Y733">
        <v>733</v>
      </c>
      <c r="Z733" t="b">
        <f t="shared" si="11"/>
        <v>1</v>
      </c>
      <c r="AA733" t="b">
        <f>COUNTBLANK(metadata!B733:S733)=COLUMNS(metadata!B733:S733)</f>
        <v>1</v>
      </c>
      <c r="AB733" t="str">
        <v/>
      </c>
      <c r="AD733" t="b">
        <f ca="1">AND(IF(metadata!B733="",FALSE,TRUE),COUNTIF(metadata!B:B, metadata!B733) = 1,NOT(ISERROR(SUMPRODUCT(SEARCH(MID(metadata!B733,ROW(INDIRECT("1:"&amp;LEN(metadata!B733))), 1),"0123456789abcdefghijklmnopqrstuvwxyzABCDEFGHIJKLMNOPQRSTUVWXYZ.")))))</f>
        <v>0</v>
      </c>
      <c r="AE733" t="b">
        <f>OR(AND(IF(metadata!C733="",FALSE,TRUE),OR(EXACT(metadata!C733,"not applicable"),EXACT(metadata!C733,"missing: not collected"),EXACT(metadata!C733,"missing: not provided"),EXACT(metadata!C733,"missing: restricted access"))),AND(IF(metadata!C733="",FALSE,ISNUMBER(VALUE(metadata!C733))),metadata!C733&gt;0))</f>
        <v>0</v>
      </c>
      <c r="AF733" t="b">
        <f>AND(IF(metadata!D733="",FALSE,TRUE),EXACT(metadata!D733,"missing: not provided"))</f>
        <v>0</v>
      </c>
      <c r="AG733" t="b">
        <f>AND(IF(metadata!E733="",FALSE,TRUE),EXACT(metadata!E733,"Host-associated"))</f>
        <v>0</v>
      </c>
      <c r="AH733" t="b">
        <f>AND(IF(metadata!F733="",FALSE,TRUE),OR(EXACT(metadata!F733,"Animal"),EXACT(metadata!F733,"Fungus"),EXACT(metadata!F733,"Plant")))</f>
        <v>0</v>
      </c>
      <c r="AI733" t="b">
        <f>AND(IF(metadata!G733="",FALSE,TRUE),OR(EXACT(metadata!G733,"Plant secretion"),EXACT(metadata!G733,"Plant rhizosphere"),EXACT(metadata!G733,"Plant surface"),EXACT(metadata!G733,"Plant corpus"),EXACT(metadata!G733,"Fungus surface"),EXACT(metadata!G733,"Fungus corpus"),EXACT(metadata!G733,"Animal surface"),EXACT(metadata!G733,"Animal proximal gut"),EXACT(metadata!G733,"Animal corpus"),EXACT(metadata!G733,"Animal distal gut"),EXACT(metadata!G733,"Animal secretion")))</f>
        <v>0</v>
      </c>
      <c r="AJ733" t="b">
        <f>OR(AND(IF(metadata!H733="",FALSE,TRUE),OR(EXACT(metadata!H733,"missing: not collected"),EXACT(metadata!H733,"missing: not provided"),EXACT(metadata!H733,"missing: restricted access"))),AND(IF(metadata!H733="",FALSE,TRUE),OR(EXACT(metadata!H733,"organism-associated habitat"),EXACT(metadata!H733,"plant-associated habitat"),EXACT(metadata!H733,"animal-associated habitat"),EXACT(metadata!H733,"insecta-associated habitat"),EXACT(metadata!H733,"mammalia-associated habitat"),EXACT(metadata!H733,"human-associated habitat"),EXACT(metadata!H733,"livestock-associated habitat"))))</f>
        <v>0</v>
      </c>
      <c r="AK733" t="b">
        <f>AND(IF(metadata!I733="",FALSE,TRUE),EXACT(metadata!I733,"host-associated"))</f>
        <v>0</v>
      </c>
      <c r="AL733" t="b">
        <f>OR(AND(IF(metadata!J733="",FALSE,TRUE),OR(EXACT(metadata!J733,"not applicable"),EXACT(metadata!J733,"missing: not collected"),EXACT(metadata!J733,"missing: not provided"),EXACT(metadata!J733,"missing: restricted access"))),AND(IF(metadata!J733="",FALSE,ISNUMBER(VALUE(metadata!J733))),metadata!J733&gt;0))</f>
        <v>0</v>
      </c>
      <c r="AM733" t="b">
        <f>AND(IF(metadata!K733="",FALSE,TRUE),EXACT(metadata!K733,"missing: not provided"))</f>
        <v>0</v>
      </c>
      <c r="AN733" t="b">
        <f>IF(metadata!L733="",FALSE,TRUE)</f>
        <v>0</v>
      </c>
      <c r="AO733" t="b">
        <f>IF(metadata!M733="",FALSE,TRUE)</f>
        <v>0</v>
      </c>
      <c r="AP733" t="b">
        <f>OR(AND(IF(metadata!N733="",FALSE,TRUE),OR(EXACT(metadata!N733,"not applicable"),EXACT(metadata!N733,"missing: not collected"),EXACT(metadata!N733,"missing: not provided"))),AND(IF(metadata!N733="",FALSE,IF(ISERROR(INT(metadata!N733)),FALSE,INT(metadata!N733)=metadata!N733)),metadata!N733&gt;0))</f>
        <v>0</v>
      </c>
      <c r="AQ733" t="b">
        <f>AND(IF(metadata!O733="",FALSE,TRUE),EXACT(metadata!O733,"Not applicable"))</f>
        <v>0</v>
      </c>
      <c r="AR733" t="b">
        <f>OR(AND(IF(metadata!P733="",FALSE,TRUE),OR(EXACT(metadata!P733,"not applicable"),EXACT(metadata!P733,"missing: not collected"),EXACT(metadata!P733,"missing: not provided"),EXACT(metadata!P733,"missing: restricted access"))),IF(metadata!P733="",FALSE,IF(ISERROR(INT(metadata!P733)),FALSE,INT(metadata!P733)=metadata!P733)))</f>
        <v>0</v>
      </c>
      <c r="AS733" t="b">
        <f>AND(IF(metadata!Q733="",FALSE,TRUE),EXACT(metadata!Q733,"Not applicable"))</f>
        <v>0</v>
      </c>
      <c r="AT733" t="b">
        <f>OR(AND(IF(metadata!R733="",FALSE,TRUE),OR(EXACT(metadata!R733,"not applicable"),EXACT(metadata!R733,"missing: not collected"),EXACT(metadata!R733,"missing: not provided"),EXACT(metadata!R733,"missing: restricted access"))),AND(IF(metadata!R733="",FALSE,ISNUMBER(VALUE(metadata!R733))),metadata!R733&gt;0))</f>
        <v>0</v>
      </c>
      <c r="AU733" t="b">
        <f>AND(IF(metadata!S733="",FALSE,TRUE),EXACT(metadata!S733,"missing: not provided"))</f>
        <v>0</v>
      </c>
    </row>
    <row r="734" spans="1:47" x14ac:dyDescent="0.2">
      <c r="A734" s="5" t="str">
        <f ca="1">IF(B734=" "," ",HYPERLINK(CONCATENATE("#metadata!",ADDRESS(INDEX($Y$2:$Y$1001,MATCH(ROWS($W$2:W734),$W$2:$W$1001,0),0),1)),INDEX($AB$2:$AB$1001,MATCH(ROWS($W$2:W734),$W$2:$W$1001,0),0)))</f>
        <v xml:space="preserve"> </v>
      </c>
      <c r="B734" s="4" t="str">
        <f ca="1">IF(OR(INDEX($X$2:$X$1001,MATCH(ROWS($W$2:W734),$W$2:$W$1001,0),1)&gt;=100000,INDEX($AD$1005:$AU$1005,1,MATCH(COLUMNS($AD$1006:AD1006),$AD$1006:$AU$1006,0))&gt;=100000), " ",IF(INDEX($AD$2:$AU$1001,MATCH(ROWS($W$2:W734),$W$2:$W$1001,0),MATCH(COLUMNS($AD$1006:AD1006),$AD$1006:$AU$1006,0)), HYPERLINK("#",""), HYPERLINK(CONCATENATE("#metadata!", ADDRESS(INDEX($Y$2:$Y$1001,MATCH(ROWS($W$2:W734),$W$2:$W$1001,0),0), INDEX($AD$1004:$AU$1004,1,MATCH(COLUMNS($AD$1006:AD1006),$AD$1006:$AU$1006,0)))),"Fix")))</f>
        <v xml:space="preserve"> </v>
      </c>
      <c r="C734" s="4" t="str">
        <f ca="1">IF(OR(INDEX($X$2:$X$1001,MATCH(ROWS($W$2:W734),$W$2:$W$1001,0),1)&gt;=100000,INDEX($AD$1005:$AU$1005,1,MATCH(COLUMNS($AD$1006:AE1006),$AD$1006:$AU$1006,0))&gt;=100000), " ",IF(INDEX($AD$2:$AU$1001,MATCH(ROWS($W$2:W734),$W$2:$W$1001,0),MATCH(COLUMNS($AD$1006:AE1006),$AD$1006:$AU$1006,0)), HYPERLINK("#",""), HYPERLINK(CONCATENATE("#metadata!", ADDRESS(INDEX($Y$2:$Y$1001,MATCH(ROWS($W$2:W734),$W$2:$W$1001,0),0), INDEX($AD$1004:$AU$1004,1,MATCH(COLUMNS($AD$1006:AE1006),$AD$1006:$AU$1006,0)))),"Fix")))</f>
        <v xml:space="preserve"> </v>
      </c>
      <c r="D734" s="4" t="str">
        <f ca="1">IF(OR(INDEX($X$2:$X$1001,MATCH(ROWS($W$2:W734),$W$2:$W$1001,0),1)&gt;=100000,INDEX($AD$1005:$AU$1005,1,MATCH(COLUMNS($AD$1006:AF1006),$AD$1006:$AU$1006,0))&gt;=100000), " ",IF(INDEX($AD$2:$AU$1001,MATCH(ROWS($W$2:W734),$W$2:$W$1001,0),MATCH(COLUMNS($AD$1006:AF1006),$AD$1006:$AU$1006,0)), HYPERLINK("#",""), HYPERLINK(CONCATENATE("#metadata!", ADDRESS(INDEX($Y$2:$Y$1001,MATCH(ROWS($W$2:W734),$W$2:$W$1001,0),0), INDEX($AD$1004:$AU$1004,1,MATCH(COLUMNS($AD$1006:AF1006),$AD$1006:$AU$1006,0)))),"Fix")))</f>
        <v xml:space="preserve"> </v>
      </c>
      <c r="E734" s="4" t="str">
        <f ca="1">IF(OR(INDEX($X$2:$X$1001,MATCH(ROWS($W$2:W734),$W$2:$W$1001,0),1)&gt;=100000,INDEX($AD$1005:$AU$1005,1,MATCH(COLUMNS($AD$1006:AG1006),$AD$1006:$AU$1006,0))&gt;=100000), " ",IF(INDEX($AD$2:$AU$1001,MATCH(ROWS($W$2:W734),$W$2:$W$1001,0),MATCH(COLUMNS($AD$1006:AG1006),$AD$1006:$AU$1006,0)), HYPERLINK("#",""), HYPERLINK(CONCATENATE("#metadata!", ADDRESS(INDEX($Y$2:$Y$1001,MATCH(ROWS($W$2:W734),$W$2:$W$1001,0),0), INDEX($AD$1004:$AU$1004,1,MATCH(COLUMNS($AD$1006:AG1006),$AD$1006:$AU$1006,0)))),"Fix")))</f>
        <v xml:space="preserve"> </v>
      </c>
      <c r="F734" s="4" t="str">
        <f ca="1">IF(OR(INDEX($X$2:$X$1001,MATCH(ROWS($W$2:W734),$W$2:$W$1001,0),1)&gt;=100000,INDEX($AD$1005:$AU$1005,1,MATCH(COLUMNS($AD$1006:AH1006),$AD$1006:$AU$1006,0))&gt;=100000), " ",IF(INDEX($AD$2:$AU$1001,MATCH(ROWS($W$2:W734),$W$2:$W$1001,0),MATCH(COLUMNS($AD$1006:AH1006),$AD$1006:$AU$1006,0)), HYPERLINK("#",""), HYPERLINK(CONCATENATE("#metadata!", ADDRESS(INDEX($Y$2:$Y$1001,MATCH(ROWS($W$2:W734),$W$2:$W$1001,0),0), INDEX($AD$1004:$AU$1004,1,MATCH(COLUMNS($AD$1006:AH1006),$AD$1006:$AU$1006,0)))),"Fix")))</f>
        <v xml:space="preserve"> </v>
      </c>
      <c r="G734" s="4" t="str">
        <f ca="1">IF(OR(INDEX($X$2:$X$1001,MATCH(ROWS($W$2:W734),$W$2:$W$1001,0),1)&gt;=100000,INDEX($AD$1005:$AU$1005,1,MATCH(COLUMNS($AD$1006:AI1006),$AD$1006:$AU$1006,0))&gt;=100000), " ",IF(INDEX($AD$2:$AU$1001,MATCH(ROWS($W$2:W734),$W$2:$W$1001,0),MATCH(COLUMNS($AD$1006:AI1006),$AD$1006:$AU$1006,0)), HYPERLINK("#",""), HYPERLINK(CONCATENATE("#metadata!", ADDRESS(INDEX($Y$2:$Y$1001,MATCH(ROWS($W$2:W734),$W$2:$W$1001,0),0), INDEX($AD$1004:$AU$1004,1,MATCH(COLUMNS($AD$1006:AI1006),$AD$1006:$AU$1006,0)))),"Fix")))</f>
        <v xml:space="preserve"> </v>
      </c>
      <c r="H734" s="4" t="str">
        <f ca="1">IF(OR(INDEX($X$2:$X$1001,MATCH(ROWS($W$2:W734),$W$2:$W$1001,0),1)&gt;=100000,INDEX($AD$1005:$AU$1005,1,MATCH(COLUMNS($AD$1006:AJ1006),$AD$1006:$AU$1006,0))&gt;=100000), " ",IF(INDEX($AD$2:$AU$1001,MATCH(ROWS($W$2:W734),$W$2:$W$1001,0),MATCH(COLUMNS($AD$1006:AJ1006),$AD$1006:$AU$1006,0)), HYPERLINK("#",""), HYPERLINK(CONCATENATE("#metadata!", ADDRESS(INDEX($Y$2:$Y$1001,MATCH(ROWS($W$2:W734),$W$2:$W$1001,0),0), INDEX($AD$1004:$AU$1004,1,MATCH(COLUMNS($AD$1006:AJ1006),$AD$1006:$AU$1006,0)))),"Fix")))</f>
        <v xml:space="preserve"> </v>
      </c>
      <c r="I734" s="4" t="str">
        <f ca="1">IF(OR(INDEX($X$2:$X$1001,MATCH(ROWS($W$2:W734),$W$2:$W$1001,0),1)&gt;=100000,INDEX($AD$1005:$AU$1005,1,MATCH(COLUMNS($AD$1006:AK1006),$AD$1006:$AU$1006,0))&gt;=100000), " ",IF(INDEX($AD$2:$AU$1001,MATCH(ROWS($W$2:W734),$W$2:$W$1001,0),MATCH(COLUMNS($AD$1006:AK1006),$AD$1006:$AU$1006,0)), HYPERLINK("#",""), HYPERLINK(CONCATENATE("#metadata!", ADDRESS(INDEX($Y$2:$Y$1001,MATCH(ROWS($W$2:W734),$W$2:$W$1001,0),0), INDEX($AD$1004:$AU$1004,1,MATCH(COLUMNS($AD$1006:AK1006),$AD$1006:$AU$1006,0)))),"Fix")))</f>
        <v xml:space="preserve"> </v>
      </c>
      <c r="J734" s="4" t="str">
        <f ca="1">IF(OR(INDEX($X$2:$X$1001,MATCH(ROWS($W$2:W734),$W$2:$W$1001,0),1)&gt;=100000,INDEX($AD$1005:$AU$1005,1,MATCH(COLUMNS($AD$1006:AL1006),$AD$1006:$AU$1006,0))&gt;=100000), " ",IF(INDEX($AD$2:$AU$1001,MATCH(ROWS($W$2:W734),$W$2:$W$1001,0),MATCH(COLUMNS($AD$1006:AL1006),$AD$1006:$AU$1006,0)), HYPERLINK("#",""), HYPERLINK(CONCATENATE("#metadata!", ADDRESS(INDEX($Y$2:$Y$1001,MATCH(ROWS($W$2:W734),$W$2:$W$1001,0),0), INDEX($AD$1004:$AU$1004,1,MATCH(COLUMNS($AD$1006:AL1006),$AD$1006:$AU$1006,0)))),"Fix")))</f>
        <v xml:space="preserve"> </v>
      </c>
      <c r="K734" s="4" t="str">
        <f ca="1">IF(OR(INDEX($X$2:$X$1001,MATCH(ROWS($W$2:W734),$W$2:$W$1001,0),1)&gt;=100000,INDEX($AD$1005:$AU$1005,1,MATCH(COLUMNS($AD$1006:AM1006),$AD$1006:$AU$1006,0))&gt;=100000), " ",IF(INDEX($AD$2:$AU$1001,MATCH(ROWS($W$2:W734),$W$2:$W$1001,0),MATCH(COLUMNS($AD$1006:AM1006),$AD$1006:$AU$1006,0)), HYPERLINK("#",""), HYPERLINK(CONCATENATE("#metadata!", ADDRESS(INDEX($Y$2:$Y$1001,MATCH(ROWS($W$2:W734),$W$2:$W$1001,0),0), INDEX($AD$1004:$AU$1004,1,MATCH(COLUMNS($AD$1006:AM1006),$AD$1006:$AU$1006,0)))),"Fix")))</f>
        <v xml:space="preserve"> </v>
      </c>
      <c r="L734" s="4" t="str">
        <f ca="1">IF(OR(INDEX($X$2:$X$1001,MATCH(ROWS($W$2:W734),$W$2:$W$1001,0),1)&gt;=100000,INDEX($AD$1005:$AU$1005,1,MATCH(COLUMNS($AD$1006:AN1006),$AD$1006:$AU$1006,0))&gt;=100000), " ",IF(INDEX($AD$2:$AU$1001,MATCH(ROWS($W$2:W734),$W$2:$W$1001,0),MATCH(COLUMNS($AD$1006:AN1006),$AD$1006:$AU$1006,0)), HYPERLINK("#",""), HYPERLINK(CONCATENATE("#metadata!", ADDRESS(INDEX($Y$2:$Y$1001,MATCH(ROWS($W$2:W734),$W$2:$W$1001,0),0), INDEX($AD$1004:$AU$1004,1,MATCH(COLUMNS($AD$1006:AN1006),$AD$1006:$AU$1006,0)))),"Fix")))</f>
        <v xml:space="preserve"> </v>
      </c>
      <c r="M734" s="4" t="str">
        <f ca="1">IF(OR(INDEX($X$2:$X$1001,MATCH(ROWS($W$2:W734),$W$2:$W$1001,0),1)&gt;=100000,INDEX($AD$1005:$AU$1005,1,MATCH(COLUMNS($AD$1006:AO1006),$AD$1006:$AU$1006,0))&gt;=100000), " ",IF(INDEX($AD$2:$AU$1001,MATCH(ROWS($W$2:W734),$W$2:$W$1001,0),MATCH(COLUMNS($AD$1006:AO1006),$AD$1006:$AU$1006,0)), HYPERLINK("#",""), HYPERLINK(CONCATENATE("#metadata!", ADDRESS(INDEX($Y$2:$Y$1001,MATCH(ROWS($W$2:W734),$W$2:$W$1001,0),0), INDEX($AD$1004:$AU$1004,1,MATCH(COLUMNS($AD$1006:AO1006),$AD$1006:$AU$1006,0)))),"Fix")))</f>
        <v xml:space="preserve"> </v>
      </c>
      <c r="N734" s="4" t="str">
        <f ca="1">IF(OR(INDEX($X$2:$X$1001,MATCH(ROWS($W$2:W734),$W$2:$W$1001,0),1)&gt;=100000,INDEX($AD$1005:$AU$1005,1,MATCH(COLUMNS($AD$1006:AP1006),$AD$1006:$AU$1006,0))&gt;=100000), " ",IF(INDEX($AD$2:$AU$1001,MATCH(ROWS($W$2:W734),$W$2:$W$1001,0),MATCH(COLUMNS($AD$1006:AP1006),$AD$1006:$AU$1006,0)), HYPERLINK("#",""), HYPERLINK(CONCATENATE("#metadata!", ADDRESS(INDEX($Y$2:$Y$1001,MATCH(ROWS($W$2:W734),$W$2:$W$1001,0),0), INDEX($AD$1004:$AU$1004,1,MATCH(COLUMNS($AD$1006:AP1006),$AD$1006:$AU$1006,0)))),"Fix")))</f>
        <v xml:space="preserve"> </v>
      </c>
      <c r="O734" s="4" t="str">
        <f ca="1">IF(OR(INDEX($X$2:$X$1001,MATCH(ROWS($W$2:W734),$W$2:$W$1001,0),1)&gt;=100000,INDEX($AD$1005:$AU$1005,1,MATCH(COLUMNS($AD$1006:AQ1006),$AD$1006:$AU$1006,0))&gt;=100000), " ",IF(INDEX($AD$2:$AU$1001,MATCH(ROWS($W$2:W734),$W$2:$W$1001,0),MATCH(COLUMNS($AD$1006:AQ1006),$AD$1006:$AU$1006,0)), HYPERLINK("#",""), HYPERLINK(CONCATENATE("#metadata!", ADDRESS(INDEX($Y$2:$Y$1001,MATCH(ROWS($W$2:W734),$W$2:$W$1001,0),0), INDEX($AD$1004:$AU$1004,1,MATCH(COLUMNS($AD$1006:AQ1006),$AD$1006:$AU$1006,0)))),"Fix")))</f>
        <v xml:space="preserve"> </v>
      </c>
      <c r="P734" s="4" t="str">
        <f ca="1">IF(OR(INDEX($X$2:$X$1001,MATCH(ROWS($W$2:W734),$W$2:$W$1001,0),1)&gt;=100000,INDEX($AD$1005:$AU$1005,1,MATCH(COLUMNS($AD$1006:AR1006),$AD$1006:$AU$1006,0))&gt;=100000), " ",IF(INDEX($AD$2:$AU$1001,MATCH(ROWS($W$2:W734),$W$2:$W$1001,0),MATCH(COLUMNS($AD$1006:AR1006),$AD$1006:$AU$1006,0)), HYPERLINK("#",""), HYPERLINK(CONCATENATE("#metadata!", ADDRESS(INDEX($Y$2:$Y$1001,MATCH(ROWS($W$2:W734),$W$2:$W$1001,0),0), INDEX($AD$1004:$AU$1004,1,MATCH(COLUMNS($AD$1006:AR1006),$AD$1006:$AU$1006,0)))),"Fix")))</f>
        <v xml:space="preserve"> </v>
      </c>
      <c r="Q734" s="4" t="str">
        <f ca="1">IF(OR(INDEX($X$2:$X$1001,MATCH(ROWS($W$2:W734),$W$2:$W$1001,0),1)&gt;=100000,INDEX($AD$1005:$AU$1005,1,MATCH(COLUMNS($AD$1006:AS1006),$AD$1006:$AU$1006,0))&gt;=100000), " ",IF(INDEX($AD$2:$AU$1001,MATCH(ROWS($W$2:W734),$W$2:$W$1001,0),MATCH(COLUMNS($AD$1006:AS1006),$AD$1006:$AU$1006,0)), HYPERLINK("#",""), HYPERLINK(CONCATENATE("#metadata!", ADDRESS(INDEX($Y$2:$Y$1001,MATCH(ROWS($W$2:W734),$W$2:$W$1001,0),0), INDEX($AD$1004:$AU$1004,1,MATCH(COLUMNS($AD$1006:AS1006),$AD$1006:$AU$1006,0)))),"Fix")))</f>
        <v xml:space="preserve"> </v>
      </c>
      <c r="R734" s="4" t="str">
        <f ca="1">IF(OR(INDEX($X$2:$X$1001,MATCH(ROWS($W$2:W734),$W$2:$W$1001,0),1)&gt;=100000,INDEX($AD$1005:$AU$1005,1,MATCH(COLUMNS($AD$1006:AT1006),$AD$1006:$AU$1006,0))&gt;=100000), " ",IF(INDEX($AD$2:$AU$1001,MATCH(ROWS($W$2:W734),$W$2:$W$1001,0),MATCH(COLUMNS($AD$1006:AT1006),$AD$1006:$AU$1006,0)), HYPERLINK("#",""), HYPERLINK(CONCATENATE("#metadata!", ADDRESS(INDEX($Y$2:$Y$1001,MATCH(ROWS($W$2:W734),$W$2:$W$1001,0),0), INDEX($AD$1004:$AU$1004,1,MATCH(COLUMNS($AD$1006:AT1006),$AD$1006:$AU$1006,0)))),"Fix")))</f>
        <v xml:space="preserve"> </v>
      </c>
      <c r="S734" s="4" t="str">
        <f ca="1">IF(OR(INDEX($X$2:$X$1001,MATCH(ROWS($W$2:W734),$W$2:$W$1001,0),1)&gt;=100000,INDEX($AD$1005:$AU$1005,1,MATCH(COLUMNS($AD$1006:AU1006),$AD$1006:$AU$1006,0))&gt;=100000), " ",IF(INDEX($AD$2:$AU$1001,MATCH(ROWS($W$2:W734),$W$2:$W$1001,0),MATCH(COLUMNS($AD$1006:AU1006),$AD$1006:$AU$1006,0)), HYPERLINK("#",""), HYPERLINK(CONCATENATE("#metadata!", ADDRESS(INDEX($Y$2:$Y$1001,MATCH(ROWS($W$2:W734),$W$2:$W$1001,0),0), INDEX($AD$1004:$AU$1004,1,MATCH(COLUMNS($AD$1006:AU1006),$AD$1006:$AU$1006,0)))),"Fix")))</f>
        <v xml:space="preserve"> </v>
      </c>
      <c r="W734">
        <v>733</v>
      </c>
      <c r="X734">
        <v>100734</v>
      </c>
      <c r="Y734">
        <v>734</v>
      </c>
      <c r="Z734" t="b">
        <f t="shared" si="11"/>
        <v>1</v>
      </c>
      <c r="AA734" t="b">
        <f>COUNTBLANK(metadata!B734:S734)=COLUMNS(metadata!B734:S734)</f>
        <v>1</v>
      </c>
      <c r="AB734" t="str">
        <v/>
      </c>
      <c r="AD734" t="b">
        <f ca="1">AND(IF(metadata!B734="",FALSE,TRUE),COUNTIF(metadata!B:B, metadata!B734) = 1,NOT(ISERROR(SUMPRODUCT(SEARCH(MID(metadata!B734,ROW(INDIRECT("1:"&amp;LEN(metadata!B734))), 1),"0123456789abcdefghijklmnopqrstuvwxyzABCDEFGHIJKLMNOPQRSTUVWXYZ.")))))</f>
        <v>0</v>
      </c>
      <c r="AE734" t="b">
        <f>OR(AND(IF(metadata!C734="",FALSE,TRUE),OR(EXACT(metadata!C734,"not applicable"),EXACT(metadata!C734,"missing: not collected"),EXACT(metadata!C734,"missing: not provided"),EXACT(metadata!C734,"missing: restricted access"))),AND(IF(metadata!C734="",FALSE,ISNUMBER(VALUE(metadata!C734))),metadata!C734&gt;0))</f>
        <v>0</v>
      </c>
      <c r="AF734" t="b">
        <f>AND(IF(metadata!D734="",FALSE,TRUE),EXACT(metadata!D734,"missing: not provided"))</f>
        <v>0</v>
      </c>
      <c r="AG734" t="b">
        <f>AND(IF(metadata!E734="",FALSE,TRUE),EXACT(metadata!E734,"Host-associated"))</f>
        <v>0</v>
      </c>
      <c r="AH734" t="b">
        <f>AND(IF(metadata!F734="",FALSE,TRUE),OR(EXACT(metadata!F734,"Animal"),EXACT(metadata!F734,"Fungus"),EXACT(metadata!F734,"Plant")))</f>
        <v>0</v>
      </c>
      <c r="AI734" t="b">
        <f>AND(IF(metadata!G734="",FALSE,TRUE),OR(EXACT(metadata!G734,"Plant secretion"),EXACT(metadata!G734,"Plant rhizosphere"),EXACT(metadata!G734,"Plant surface"),EXACT(metadata!G734,"Plant corpus"),EXACT(metadata!G734,"Fungus surface"),EXACT(metadata!G734,"Fungus corpus"),EXACT(metadata!G734,"Animal surface"),EXACT(metadata!G734,"Animal proximal gut"),EXACT(metadata!G734,"Animal corpus"),EXACT(metadata!G734,"Animal distal gut"),EXACT(metadata!G734,"Animal secretion")))</f>
        <v>0</v>
      </c>
      <c r="AJ734" t="b">
        <f>OR(AND(IF(metadata!H734="",FALSE,TRUE),OR(EXACT(metadata!H734,"missing: not collected"),EXACT(metadata!H734,"missing: not provided"),EXACT(metadata!H734,"missing: restricted access"))),AND(IF(metadata!H734="",FALSE,TRUE),OR(EXACT(metadata!H734,"organism-associated habitat"),EXACT(metadata!H734,"plant-associated habitat"),EXACT(metadata!H734,"animal-associated habitat"),EXACT(metadata!H734,"insecta-associated habitat"),EXACT(metadata!H734,"mammalia-associated habitat"),EXACT(metadata!H734,"human-associated habitat"),EXACT(metadata!H734,"livestock-associated habitat"))))</f>
        <v>0</v>
      </c>
      <c r="AK734" t="b">
        <f>AND(IF(metadata!I734="",FALSE,TRUE),EXACT(metadata!I734,"host-associated"))</f>
        <v>0</v>
      </c>
      <c r="AL734" t="b">
        <f>OR(AND(IF(metadata!J734="",FALSE,TRUE),OR(EXACT(metadata!J734,"not applicable"),EXACT(metadata!J734,"missing: not collected"),EXACT(metadata!J734,"missing: not provided"),EXACT(metadata!J734,"missing: restricted access"))),AND(IF(metadata!J734="",FALSE,ISNUMBER(VALUE(metadata!J734))),metadata!J734&gt;0))</f>
        <v>0</v>
      </c>
      <c r="AM734" t="b">
        <f>AND(IF(metadata!K734="",FALSE,TRUE),EXACT(metadata!K734,"missing: not provided"))</f>
        <v>0</v>
      </c>
      <c r="AN734" t="b">
        <f>IF(metadata!L734="",FALSE,TRUE)</f>
        <v>0</v>
      </c>
      <c r="AO734" t="b">
        <f>IF(metadata!M734="",FALSE,TRUE)</f>
        <v>0</v>
      </c>
      <c r="AP734" t="b">
        <f>OR(AND(IF(metadata!N734="",FALSE,TRUE),OR(EXACT(metadata!N734,"not applicable"),EXACT(metadata!N734,"missing: not collected"),EXACT(metadata!N734,"missing: not provided"))),AND(IF(metadata!N734="",FALSE,IF(ISERROR(INT(metadata!N734)),FALSE,INT(metadata!N734)=metadata!N734)),metadata!N734&gt;0))</f>
        <v>0</v>
      </c>
      <c r="AQ734" t="b">
        <f>AND(IF(metadata!O734="",FALSE,TRUE),EXACT(metadata!O734,"Not applicable"))</f>
        <v>0</v>
      </c>
      <c r="AR734" t="b">
        <f>OR(AND(IF(metadata!P734="",FALSE,TRUE),OR(EXACT(metadata!P734,"not applicable"),EXACT(metadata!P734,"missing: not collected"),EXACT(metadata!P734,"missing: not provided"),EXACT(metadata!P734,"missing: restricted access"))),IF(metadata!P734="",FALSE,IF(ISERROR(INT(metadata!P734)),FALSE,INT(metadata!P734)=metadata!P734)))</f>
        <v>0</v>
      </c>
      <c r="AS734" t="b">
        <f>AND(IF(metadata!Q734="",FALSE,TRUE),EXACT(metadata!Q734,"Not applicable"))</f>
        <v>0</v>
      </c>
      <c r="AT734" t="b">
        <f>OR(AND(IF(metadata!R734="",FALSE,TRUE),OR(EXACT(metadata!R734,"not applicable"),EXACT(metadata!R734,"missing: not collected"),EXACT(metadata!R734,"missing: not provided"),EXACT(metadata!R734,"missing: restricted access"))),AND(IF(metadata!R734="",FALSE,ISNUMBER(VALUE(metadata!R734))),metadata!R734&gt;0))</f>
        <v>0</v>
      </c>
      <c r="AU734" t="b">
        <f>AND(IF(metadata!S734="",FALSE,TRUE),EXACT(metadata!S734,"missing: not provided"))</f>
        <v>0</v>
      </c>
    </row>
    <row r="735" spans="1:47" x14ac:dyDescent="0.2">
      <c r="A735" s="5" t="str">
        <f ca="1">IF(B735=" "," ",HYPERLINK(CONCATENATE("#metadata!",ADDRESS(INDEX($Y$2:$Y$1001,MATCH(ROWS($W$2:W735),$W$2:$W$1001,0),0),1)),INDEX($AB$2:$AB$1001,MATCH(ROWS($W$2:W735),$W$2:$W$1001,0),0)))</f>
        <v xml:space="preserve"> </v>
      </c>
      <c r="B735" s="4" t="str">
        <f ca="1">IF(OR(INDEX($X$2:$X$1001,MATCH(ROWS($W$2:W735),$W$2:$W$1001,0),1)&gt;=100000,INDEX($AD$1005:$AU$1005,1,MATCH(COLUMNS($AD$1006:AD1006),$AD$1006:$AU$1006,0))&gt;=100000), " ",IF(INDEX($AD$2:$AU$1001,MATCH(ROWS($W$2:W735),$W$2:$W$1001,0),MATCH(COLUMNS($AD$1006:AD1006),$AD$1006:$AU$1006,0)), HYPERLINK("#",""), HYPERLINK(CONCATENATE("#metadata!", ADDRESS(INDEX($Y$2:$Y$1001,MATCH(ROWS($W$2:W735),$W$2:$W$1001,0),0), INDEX($AD$1004:$AU$1004,1,MATCH(COLUMNS($AD$1006:AD1006),$AD$1006:$AU$1006,0)))),"Fix")))</f>
        <v xml:space="preserve"> </v>
      </c>
      <c r="C735" s="4" t="str">
        <f ca="1">IF(OR(INDEX($X$2:$X$1001,MATCH(ROWS($W$2:W735),$W$2:$W$1001,0),1)&gt;=100000,INDEX($AD$1005:$AU$1005,1,MATCH(COLUMNS($AD$1006:AE1006),$AD$1006:$AU$1006,0))&gt;=100000), " ",IF(INDEX($AD$2:$AU$1001,MATCH(ROWS($W$2:W735),$W$2:$W$1001,0),MATCH(COLUMNS($AD$1006:AE1006),$AD$1006:$AU$1006,0)), HYPERLINK("#",""), HYPERLINK(CONCATENATE("#metadata!", ADDRESS(INDEX($Y$2:$Y$1001,MATCH(ROWS($W$2:W735),$W$2:$W$1001,0),0), INDEX($AD$1004:$AU$1004,1,MATCH(COLUMNS($AD$1006:AE1006),$AD$1006:$AU$1006,0)))),"Fix")))</f>
        <v xml:space="preserve"> </v>
      </c>
      <c r="D735" s="4" t="str">
        <f ca="1">IF(OR(INDEX($X$2:$X$1001,MATCH(ROWS($W$2:W735),$W$2:$W$1001,0),1)&gt;=100000,INDEX($AD$1005:$AU$1005,1,MATCH(COLUMNS($AD$1006:AF1006),$AD$1006:$AU$1006,0))&gt;=100000), " ",IF(INDEX($AD$2:$AU$1001,MATCH(ROWS($W$2:W735),$W$2:$W$1001,0),MATCH(COLUMNS($AD$1006:AF1006),$AD$1006:$AU$1006,0)), HYPERLINK("#",""), HYPERLINK(CONCATENATE("#metadata!", ADDRESS(INDEX($Y$2:$Y$1001,MATCH(ROWS($W$2:W735),$W$2:$W$1001,0),0), INDEX($AD$1004:$AU$1004,1,MATCH(COLUMNS($AD$1006:AF1006),$AD$1006:$AU$1006,0)))),"Fix")))</f>
        <v xml:space="preserve"> </v>
      </c>
      <c r="E735" s="4" t="str">
        <f ca="1">IF(OR(INDEX($X$2:$X$1001,MATCH(ROWS($W$2:W735),$W$2:$W$1001,0),1)&gt;=100000,INDEX($AD$1005:$AU$1005,1,MATCH(COLUMNS($AD$1006:AG1006),$AD$1006:$AU$1006,0))&gt;=100000), " ",IF(INDEX($AD$2:$AU$1001,MATCH(ROWS($W$2:W735),$W$2:$W$1001,0),MATCH(COLUMNS($AD$1006:AG1006),$AD$1006:$AU$1006,0)), HYPERLINK("#",""), HYPERLINK(CONCATENATE("#metadata!", ADDRESS(INDEX($Y$2:$Y$1001,MATCH(ROWS($W$2:W735),$W$2:$W$1001,0),0), INDEX($AD$1004:$AU$1004,1,MATCH(COLUMNS($AD$1006:AG1006),$AD$1006:$AU$1006,0)))),"Fix")))</f>
        <v xml:space="preserve"> </v>
      </c>
      <c r="F735" s="4" t="str">
        <f ca="1">IF(OR(INDEX($X$2:$X$1001,MATCH(ROWS($W$2:W735),$W$2:$W$1001,0),1)&gt;=100000,INDEX($AD$1005:$AU$1005,1,MATCH(COLUMNS($AD$1006:AH1006),$AD$1006:$AU$1006,0))&gt;=100000), " ",IF(INDEX($AD$2:$AU$1001,MATCH(ROWS($W$2:W735),$W$2:$W$1001,0),MATCH(COLUMNS($AD$1006:AH1006),$AD$1006:$AU$1006,0)), HYPERLINK("#",""), HYPERLINK(CONCATENATE("#metadata!", ADDRESS(INDEX($Y$2:$Y$1001,MATCH(ROWS($W$2:W735),$W$2:$W$1001,0),0), INDEX($AD$1004:$AU$1004,1,MATCH(COLUMNS($AD$1006:AH1006),$AD$1006:$AU$1006,0)))),"Fix")))</f>
        <v xml:space="preserve"> </v>
      </c>
      <c r="G735" s="4" t="str">
        <f ca="1">IF(OR(INDEX($X$2:$X$1001,MATCH(ROWS($W$2:W735),$W$2:$W$1001,0),1)&gt;=100000,INDEX($AD$1005:$AU$1005,1,MATCH(COLUMNS($AD$1006:AI1006),$AD$1006:$AU$1006,0))&gt;=100000), " ",IF(INDEX($AD$2:$AU$1001,MATCH(ROWS($W$2:W735),$W$2:$W$1001,0),MATCH(COLUMNS($AD$1006:AI1006),$AD$1006:$AU$1006,0)), HYPERLINK("#",""), HYPERLINK(CONCATENATE("#metadata!", ADDRESS(INDEX($Y$2:$Y$1001,MATCH(ROWS($W$2:W735),$W$2:$W$1001,0),0), INDEX($AD$1004:$AU$1004,1,MATCH(COLUMNS($AD$1006:AI1006),$AD$1006:$AU$1006,0)))),"Fix")))</f>
        <v xml:space="preserve"> </v>
      </c>
      <c r="H735" s="4" t="str">
        <f ca="1">IF(OR(INDEX($X$2:$X$1001,MATCH(ROWS($W$2:W735),$W$2:$W$1001,0),1)&gt;=100000,INDEX($AD$1005:$AU$1005,1,MATCH(COLUMNS($AD$1006:AJ1006),$AD$1006:$AU$1006,0))&gt;=100000), " ",IF(INDEX($AD$2:$AU$1001,MATCH(ROWS($W$2:W735),$W$2:$W$1001,0),MATCH(COLUMNS($AD$1006:AJ1006),$AD$1006:$AU$1006,0)), HYPERLINK("#",""), HYPERLINK(CONCATENATE("#metadata!", ADDRESS(INDEX($Y$2:$Y$1001,MATCH(ROWS($W$2:W735),$W$2:$W$1001,0),0), INDEX($AD$1004:$AU$1004,1,MATCH(COLUMNS($AD$1006:AJ1006),$AD$1006:$AU$1006,0)))),"Fix")))</f>
        <v xml:space="preserve"> </v>
      </c>
      <c r="I735" s="4" t="str">
        <f ca="1">IF(OR(INDEX($X$2:$X$1001,MATCH(ROWS($W$2:W735),$W$2:$W$1001,0),1)&gt;=100000,INDEX($AD$1005:$AU$1005,1,MATCH(COLUMNS($AD$1006:AK1006),$AD$1006:$AU$1006,0))&gt;=100000), " ",IF(INDEX($AD$2:$AU$1001,MATCH(ROWS($W$2:W735),$W$2:$W$1001,0),MATCH(COLUMNS($AD$1006:AK1006),$AD$1006:$AU$1006,0)), HYPERLINK("#",""), HYPERLINK(CONCATENATE("#metadata!", ADDRESS(INDEX($Y$2:$Y$1001,MATCH(ROWS($W$2:W735),$W$2:$W$1001,0),0), INDEX($AD$1004:$AU$1004,1,MATCH(COLUMNS($AD$1006:AK1006),$AD$1006:$AU$1006,0)))),"Fix")))</f>
        <v xml:space="preserve"> </v>
      </c>
      <c r="J735" s="4" t="str">
        <f ca="1">IF(OR(INDEX($X$2:$X$1001,MATCH(ROWS($W$2:W735),$W$2:$W$1001,0),1)&gt;=100000,INDEX($AD$1005:$AU$1005,1,MATCH(COLUMNS($AD$1006:AL1006),$AD$1006:$AU$1006,0))&gt;=100000), " ",IF(INDEX($AD$2:$AU$1001,MATCH(ROWS($W$2:W735),$W$2:$W$1001,0),MATCH(COLUMNS($AD$1006:AL1006),$AD$1006:$AU$1006,0)), HYPERLINK("#",""), HYPERLINK(CONCATENATE("#metadata!", ADDRESS(INDEX($Y$2:$Y$1001,MATCH(ROWS($W$2:W735),$W$2:$W$1001,0),0), INDEX($AD$1004:$AU$1004,1,MATCH(COLUMNS($AD$1006:AL1006),$AD$1006:$AU$1006,0)))),"Fix")))</f>
        <v xml:space="preserve"> </v>
      </c>
      <c r="K735" s="4" t="str">
        <f ca="1">IF(OR(INDEX($X$2:$X$1001,MATCH(ROWS($W$2:W735),$W$2:$W$1001,0),1)&gt;=100000,INDEX($AD$1005:$AU$1005,1,MATCH(COLUMNS($AD$1006:AM1006),$AD$1006:$AU$1006,0))&gt;=100000), " ",IF(INDEX($AD$2:$AU$1001,MATCH(ROWS($W$2:W735),$W$2:$W$1001,0),MATCH(COLUMNS($AD$1006:AM1006),$AD$1006:$AU$1006,0)), HYPERLINK("#",""), HYPERLINK(CONCATENATE("#metadata!", ADDRESS(INDEX($Y$2:$Y$1001,MATCH(ROWS($W$2:W735),$W$2:$W$1001,0),0), INDEX($AD$1004:$AU$1004,1,MATCH(COLUMNS($AD$1006:AM1006),$AD$1006:$AU$1006,0)))),"Fix")))</f>
        <v xml:space="preserve"> </v>
      </c>
      <c r="L735" s="4" t="str">
        <f ca="1">IF(OR(INDEX($X$2:$X$1001,MATCH(ROWS($W$2:W735),$W$2:$W$1001,0),1)&gt;=100000,INDEX($AD$1005:$AU$1005,1,MATCH(COLUMNS($AD$1006:AN1006),$AD$1006:$AU$1006,0))&gt;=100000), " ",IF(INDEX($AD$2:$AU$1001,MATCH(ROWS($W$2:W735),$W$2:$W$1001,0),MATCH(COLUMNS($AD$1006:AN1006),$AD$1006:$AU$1006,0)), HYPERLINK("#",""), HYPERLINK(CONCATENATE("#metadata!", ADDRESS(INDEX($Y$2:$Y$1001,MATCH(ROWS($W$2:W735),$W$2:$W$1001,0),0), INDEX($AD$1004:$AU$1004,1,MATCH(COLUMNS($AD$1006:AN1006),$AD$1006:$AU$1006,0)))),"Fix")))</f>
        <v xml:space="preserve"> </v>
      </c>
      <c r="M735" s="4" t="str">
        <f ca="1">IF(OR(INDEX($X$2:$X$1001,MATCH(ROWS($W$2:W735),$W$2:$W$1001,0),1)&gt;=100000,INDEX($AD$1005:$AU$1005,1,MATCH(COLUMNS($AD$1006:AO1006),$AD$1006:$AU$1006,0))&gt;=100000), " ",IF(INDEX($AD$2:$AU$1001,MATCH(ROWS($W$2:W735),$W$2:$W$1001,0),MATCH(COLUMNS($AD$1006:AO1006),$AD$1006:$AU$1006,0)), HYPERLINK("#",""), HYPERLINK(CONCATENATE("#metadata!", ADDRESS(INDEX($Y$2:$Y$1001,MATCH(ROWS($W$2:W735),$W$2:$W$1001,0),0), INDEX($AD$1004:$AU$1004,1,MATCH(COLUMNS($AD$1006:AO1006),$AD$1006:$AU$1006,0)))),"Fix")))</f>
        <v xml:space="preserve"> </v>
      </c>
      <c r="N735" s="4" t="str">
        <f ca="1">IF(OR(INDEX($X$2:$X$1001,MATCH(ROWS($W$2:W735),$W$2:$W$1001,0),1)&gt;=100000,INDEX($AD$1005:$AU$1005,1,MATCH(COLUMNS($AD$1006:AP1006),$AD$1006:$AU$1006,0))&gt;=100000), " ",IF(INDEX($AD$2:$AU$1001,MATCH(ROWS($W$2:W735),$W$2:$W$1001,0),MATCH(COLUMNS($AD$1006:AP1006),$AD$1006:$AU$1006,0)), HYPERLINK("#",""), HYPERLINK(CONCATENATE("#metadata!", ADDRESS(INDEX($Y$2:$Y$1001,MATCH(ROWS($W$2:W735),$W$2:$W$1001,0),0), INDEX($AD$1004:$AU$1004,1,MATCH(COLUMNS($AD$1006:AP1006),$AD$1006:$AU$1006,0)))),"Fix")))</f>
        <v xml:space="preserve"> </v>
      </c>
      <c r="O735" s="4" t="str">
        <f ca="1">IF(OR(INDEX($X$2:$X$1001,MATCH(ROWS($W$2:W735),$W$2:$W$1001,0),1)&gt;=100000,INDEX($AD$1005:$AU$1005,1,MATCH(COLUMNS($AD$1006:AQ1006),$AD$1006:$AU$1006,0))&gt;=100000), " ",IF(INDEX($AD$2:$AU$1001,MATCH(ROWS($W$2:W735),$W$2:$W$1001,0),MATCH(COLUMNS($AD$1006:AQ1006),$AD$1006:$AU$1006,0)), HYPERLINK("#",""), HYPERLINK(CONCATENATE("#metadata!", ADDRESS(INDEX($Y$2:$Y$1001,MATCH(ROWS($W$2:W735),$W$2:$W$1001,0),0), INDEX($AD$1004:$AU$1004,1,MATCH(COLUMNS($AD$1006:AQ1006),$AD$1006:$AU$1006,0)))),"Fix")))</f>
        <v xml:space="preserve"> </v>
      </c>
      <c r="P735" s="4" t="str">
        <f ca="1">IF(OR(INDEX($X$2:$X$1001,MATCH(ROWS($W$2:W735),$W$2:$W$1001,0),1)&gt;=100000,INDEX($AD$1005:$AU$1005,1,MATCH(COLUMNS($AD$1006:AR1006),$AD$1006:$AU$1006,0))&gt;=100000), " ",IF(INDEX($AD$2:$AU$1001,MATCH(ROWS($W$2:W735),$W$2:$W$1001,0),MATCH(COLUMNS($AD$1006:AR1006),$AD$1006:$AU$1006,0)), HYPERLINK("#",""), HYPERLINK(CONCATENATE("#metadata!", ADDRESS(INDEX($Y$2:$Y$1001,MATCH(ROWS($W$2:W735),$W$2:$W$1001,0),0), INDEX($AD$1004:$AU$1004,1,MATCH(COLUMNS($AD$1006:AR1006),$AD$1006:$AU$1006,0)))),"Fix")))</f>
        <v xml:space="preserve"> </v>
      </c>
      <c r="Q735" s="4" t="str">
        <f ca="1">IF(OR(INDEX($X$2:$X$1001,MATCH(ROWS($W$2:W735),$W$2:$W$1001,0),1)&gt;=100000,INDEX($AD$1005:$AU$1005,1,MATCH(COLUMNS($AD$1006:AS1006),$AD$1006:$AU$1006,0))&gt;=100000), " ",IF(INDEX($AD$2:$AU$1001,MATCH(ROWS($W$2:W735),$W$2:$W$1001,0),MATCH(COLUMNS($AD$1006:AS1006),$AD$1006:$AU$1006,0)), HYPERLINK("#",""), HYPERLINK(CONCATENATE("#metadata!", ADDRESS(INDEX($Y$2:$Y$1001,MATCH(ROWS($W$2:W735),$W$2:$W$1001,0),0), INDEX($AD$1004:$AU$1004,1,MATCH(COLUMNS($AD$1006:AS1006),$AD$1006:$AU$1006,0)))),"Fix")))</f>
        <v xml:space="preserve"> </v>
      </c>
      <c r="R735" s="4" t="str">
        <f ca="1">IF(OR(INDEX($X$2:$X$1001,MATCH(ROWS($W$2:W735),$W$2:$W$1001,0),1)&gt;=100000,INDEX($AD$1005:$AU$1005,1,MATCH(COLUMNS($AD$1006:AT1006),$AD$1006:$AU$1006,0))&gt;=100000), " ",IF(INDEX($AD$2:$AU$1001,MATCH(ROWS($W$2:W735),$W$2:$W$1001,0),MATCH(COLUMNS($AD$1006:AT1006),$AD$1006:$AU$1006,0)), HYPERLINK("#",""), HYPERLINK(CONCATENATE("#metadata!", ADDRESS(INDEX($Y$2:$Y$1001,MATCH(ROWS($W$2:W735),$W$2:$W$1001,0),0), INDEX($AD$1004:$AU$1004,1,MATCH(COLUMNS($AD$1006:AT1006),$AD$1006:$AU$1006,0)))),"Fix")))</f>
        <v xml:space="preserve"> </v>
      </c>
      <c r="S735" s="4" t="str">
        <f ca="1">IF(OR(INDEX($X$2:$X$1001,MATCH(ROWS($W$2:W735),$W$2:$W$1001,0),1)&gt;=100000,INDEX($AD$1005:$AU$1005,1,MATCH(COLUMNS($AD$1006:AU1006),$AD$1006:$AU$1006,0))&gt;=100000), " ",IF(INDEX($AD$2:$AU$1001,MATCH(ROWS($W$2:W735),$W$2:$W$1001,0),MATCH(COLUMNS($AD$1006:AU1006),$AD$1006:$AU$1006,0)), HYPERLINK("#",""), HYPERLINK(CONCATENATE("#metadata!", ADDRESS(INDEX($Y$2:$Y$1001,MATCH(ROWS($W$2:W735),$W$2:$W$1001,0),0), INDEX($AD$1004:$AU$1004,1,MATCH(COLUMNS($AD$1006:AU1006),$AD$1006:$AU$1006,0)))),"Fix")))</f>
        <v xml:space="preserve"> </v>
      </c>
      <c r="W735">
        <v>734</v>
      </c>
      <c r="X735">
        <v>100735</v>
      </c>
      <c r="Y735">
        <v>735</v>
      </c>
      <c r="Z735" t="b">
        <f t="shared" si="11"/>
        <v>1</v>
      </c>
      <c r="AA735" t="b">
        <f>COUNTBLANK(metadata!B735:S735)=COLUMNS(metadata!B735:S735)</f>
        <v>1</v>
      </c>
      <c r="AB735" t="str">
        <v/>
      </c>
      <c r="AD735" t="b">
        <f ca="1">AND(IF(metadata!B735="",FALSE,TRUE),COUNTIF(metadata!B:B, metadata!B735) = 1,NOT(ISERROR(SUMPRODUCT(SEARCH(MID(metadata!B735,ROW(INDIRECT("1:"&amp;LEN(metadata!B735))), 1),"0123456789abcdefghijklmnopqrstuvwxyzABCDEFGHIJKLMNOPQRSTUVWXYZ.")))))</f>
        <v>0</v>
      </c>
      <c r="AE735" t="b">
        <f>OR(AND(IF(metadata!C735="",FALSE,TRUE),OR(EXACT(metadata!C735,"not applicable"),EXACT(metadata!C735,"missing: not collected"),EXACT(metadata!C735,"missing: not provided"),EXACT(metadata!C735,"missing: restricted access"))),AND(IF(metadata!C735="",FALSE,ISNUMBER(VALUE(metadata!C735))),metadata!C735&gt;0))</f>
        <v>0</v>
      </c>
      <c r="AF735" t="b">
        <f>AND(IF(metadata!D735="",FALSE,TRUE),EXACT(metadata!D735,"missing: not provided"))</f>
        <v>0</v>
      </c>
      <c r="AG735" t="b">
        <f>AND(IF(metadata!E735="",FALSE,TRUE),EXACT(metadata!E735,"Host-associated"))</f>
        <v>0</v>
      </c>
      <c r="AH735" t="b">
        <f>AND(IF(metadata!F735="",FALSE,TRUE),OR(EXACT(metadata!F735,"Animal"),EXACT(metadata!F735,"Fungus"),EXACT(metadata!F735,"Plant")))</f>
        <v>0</v>
      </c>
      <c r="AI735" t="b">
        <f>AND(IF(metadata!G735="",FALSE,TRUE),OR(EXACT(metadata!G735,"Plant secretion"),EXACT(metadata!G735,"Plant rhizosphere"),EXACT(metadata!G735,"Plant surface"),EXACT(metadata!G735,"Plant corpus"),EXACT(metadata!G735,"Fungus surface"),EXACT(metadata!G735,"Fungus corpus"),EXACT(metadata!G735,"Animal surface"),EXACT(metadata!G735,"Animal proximal gut"),EXACT(metadata!G735,"Animal corpus"),EXACT(metadata!G735,"Animal distal gut"),EXACT(metadata!G735,"Animal secretion")))</f>
        <v>0</v>
      </c>
      <c r="AJ735" t="b">
        <f>OR(AND(IF(metadata!H735="",FALSE,TRUE),OR(EXACT(metadata!H735,"missing: not collected"),EXACT(metadata!H735,"missing: not provided"),EXACT(metadata!H735,"missing: restricted access"))),AND(IF(metadata!H735="",FALSE,TRUE),OR(EXACT(metadata!H735,"organism-associated habitat"),EXACT(metadata!H735,"plant-associated habitat"),EXACT(metadata!H735,"animal-associated habitat"),EXACT(metadata!H735,"insecta-associated habitat"),EXACT(metadata!H735,"mammalia-associated habitat"),EXACT(metadata!H735,"human-associated habitat"),EXACT(metadata!H735,"livestock-associated habitat"))))</f>
        <v>0</v>
      </c>
      <c r="AK735" t="b">
        <f>AND(IF(metadata!I735="",FALSE,TRUE),EXACT(metadata!I735,"host-associated"))</f>
        <v>0</v>
      </c>
      <c r="AL735" t="b">
        <f>OR(AND(IF(metadata!J735="",FALSE,TRUE),OR(EXACT(metadata!J735,"not applicable"),EXACT(metadata!J735,"missing: not collected"),EXACT(metadata!J735,"missing: not provided"),EXACT(metadata!J735,"missing: restricted access"))),AND(IF(metadata!J735="",FALSE,ISNUMBER(VALUE(metadata!J735))),metadata!J735&gt;0))</f>
        <v>0</v>
      </c>
      <c r="AM735" t="b">
        <f>AND(IF(metadata!K735="",FALSE,TRUE),EXACT(metadata!K735,"missing: not provided"))</f>
        <v>0</v>
      </c>
      <c r="AN735" t="b">
        <f>IF(metadata!L735="",FALSE,TRUE)</f>
        <v>0</v>
      </c>
      <c r="AO735" t="b">
        <f>IF(metadata!M735="",FALSE,TRUE)</f>
        <v>0</v>
      </c>
      <c r="AP735" t="b">
        <f>OR(AND(IF(metadata!N735="",FALSE,TRUE),OR(EXACT(metadata!N735,"not applicable"),EXACT(metadata!N735,"missing: not collected"),EXACT(metadata!N735,"missing: not provided"))),AND(IF(metadata!N735="",FALSE,IF(ISERROR(INT(metadata!N735)),FALSE,INT(metadata!N735)=metadata!N735)),metadata!N735&gt;0))</f>
        <v>0</v>
      </c>
      <c r="AQ735" t="b">
        <f>AND(IF(metadata!O735="",FALSE,TRUE),EXACT(metadata!O735,"Not applicable"))</f>
        <v>0</v>
      </c>
      <c r="AR735" t="b">
        <f>OR(AND(IF(metadata!P735="",FALSE,TRUE),OR(EXACT(metadata!P735,"not applicable"),EXACT(metadata!P735,"missing: not collected"),EXACT(metadata!P735,"missing: not provided"),EXACT(metadata!P735,"missing: restricted access"))),IF(metadata!P735="",FALSE,IF(ISERROR(INT(metadata!P735)),FALSE,INT(metadata!P735)=metadata!P735)))</f>
        <v>0</v>
      </c>
      <c r="AS735" t="b">
        <f>AND(IF(metadata!Q735="",FALSE,TRUE),EXACT(metadata!Q735,"Not applicable"))</f>
        <v>0</v>
      </c>
      <c r="AT735" t="b">
        <f>OR(AND(IF(metadata!R735="",FALSE,TRUE),OR(EXACT(metadata!R735,"not applicable"),EXACT(metadata!R735,"missing: not collected"),EXACT(metadata!R735,"missing: not provided"),EXACT(metadata!R735,"missing: restricted access"))),AND(IF(metadata!R735="",FALSE,ISNUMBER(VALUE(metadata!R735))),metadata!R735&gt;0))</f>
        <v>0</v>
      </c>
      <c r="AU735" t="b">
        <f>AND(IF(metadata!S735="",FALSE,TRUE),EXACT(metadata!S735,"missing: not provided"))</f>
        <v>0</v>
      </c>
    </row>
    <row r="736" spans="1:47" x14ac:dyDescent="0.2">
      <c r="A736" s="5" t="str">
        <f ca="1">IF(B736=" "," ",HYPERLINK(CONCATENATE("#metadata!",ADDRESS(INDEX($Y$2:$Y$1001,MATCH(ROWS($W$2:W736),$W$2:$W$1001,0),0),1)),INDEX($AB$2:$AB$1001,MATCH(ROWS($W$2:W736),$W$2:$W$1001,0),0)))</f>
        <v xml:space="preserve"> </v>
      </c>
      <c r="B736" s="4" t="str">
        <f ca="1">IF(OR(INDEX($X$2:$X$1001,MATCH(ROWS($W$2:W736),$W$2:$W$1001,0),1)&gt;=100000,INDEX($AD$1005:$AU$1005,1,MATCH(COLUMNS($AD$1006:AD1006),$AD$1006:$AU$1006,0))&gt;=100000), " ",IF(INDEX($AD$2:$AU$1001,MATCH(ROWS($W$2:W736),$W$2:$W$1001,0),MATCH(COLUMNS($AD$1006:AD1006),$AD$1006:$AU$1006,0)), HYPERLINK("#",""), HYPERLINK(CONCATENATE("#metadata!", ADDRESS(INDEX($Y$2:$Y$1001,MATCH(ROWS($W$2:W736),$W$2:$W$1001,0),0), INDEX($AD$1004:$AU$1004,1,MATCH(COLUMNS($AD$1006:AD1006),$AD$1006:$AU$1006,0)))),"Fix")))</f>
        <v xml:space="preserve"> </v>
      </c>
      <c r="C736" s="4" t="str">
        <f ca="1">IF(OR(INDEX($X$2:$X$1001,MATCH(ROWS($W$2:W736),$W$2:$W$1001,0),1)&gt;=100000,INDEX($AD$1005:$AU$1005,1,MATCH(COLUMNS($AD$1006:AE1006),$AD$1006:$AU$1006,0))&gt;=100000), " ",IF(INDEX($AD$2:$AU$1001,MATCH(ROWS($W$2:W736),$W$2:$W$1001,0),MATCH(COLUMNS($AD$1006:AE1006),$AD$1006:$AU$1006,0)), HYPERLINK("#",""), HYPERLINK(CONCATENATE("#metadata!", ADDRESS(INDEX($Y$2:$Y$1001,MATCH(ROWS($W$2:W736),$W$2:$W$1001,0),0), INDEX($AD$1004:$AU$1004,1,MATCH(COLUMNS($AD$1006:AE1006),$AD$1006:$AU$1006,0)))),"Fix")))</f>
        <v xml:space="preserve"> </v>
      </c>
      <c r="D736" s="4" t="str">
        <f ca="1">IF(OR(INDEX($X$2:$X$1001,MATCH(ROWS($W$2:W736),$W$2:$W$1001,0),1)&gt;=100000,INDEX($AD$1005:$AU$1005,1,MATCH(COLUMNS($AD$1006:AF1006),$AD$1006:$AU$1006,0))&gt;=100000), " ",IF(INDEX($AD$2:$AU$1001,MATCH(ROWS($W$2:W736),$W$2:$W$1001,0),MATCH(COLUMNS($AD$1006:AF1006),$AD$1006:$AU$1006,0)), HYPERLINK("#",""), HYPERLINK(CONCATENATE("#metadata!", ADDRESS(INDEX($Y$2:$Y$1001,MATCH(ROWS($W$2:W736),$W$2:$W$1001,0),0), INDEX($AD$1004:$AU$1004,1,MATCH(COLUMNS($AD$1006:AF1006),$AD$1006:$AU$1006,0)))),"Fix")))</f>
        <v xml:space="preserve"> </v>
      </c>
      <c r="E736" s="4" t="str">
        <f ca="1">IF(OR(INDEX($X$2:$X$1001,MATCH(ROWS($W$2:W736),$W$2:$W$1001,0),1)&gt;=100000,INDEX($AD$1005:$AU$1005,1,MATCH(COLUMNS($AD$1006:AG1006),$AD$1006:$AU$1006,0))&gt;=100000), " ",IF(INDEX($AD$2:$AU$1001,MATCH(ROWS($W$2:W736),$W$2:$W$1001,0),MATCH(COLUMNS($AD$1006:AG1006),$AD$1006:$AU$1006,0)), HYPERLINK("#",""), HYPERLINK(CONCATENATE("#metadata!", ADDRESS(INDEX($Y$2:$Y$1001,MATCH(ROWS($W$2:W736),$W$2:$W$1001,0),0), INDEX($AD$1004:$AU$1004,1,MATCH(COLUMNS($AD$1006:AG1006),$AD$1006:$AU$1006,0)))),"Fix")))</f>
        <v xml:space="preserve"> </v>
      </c>
      <c r="F736" s="4" t="str">
        <f ca="1">IF(OR(INDEX($X$2:$X$1001,MATCH(ROWS($W$2:W736),$W$2:$W$1001,0),1)&gt;=100000,INDEX($AD$1005:$AU$1005,1,MATCH(COLUMNS($AD$1006:AH1006),$AD$1006:$AU$1006,0))&gt;=100000), " ",IF(INDEX($AD$2:$AU$1001,MATCH(ROWS($W$2:W736),$W$2:$W$1001,0),MATCH(COLUMNS($AD$1006:AH1006),$AD$1006:$AU$1006,0)), HYPERLINK("#",""), HYPERLINK(CONCATENATE("#metadata!", ADDRESS(INDEX($Y$2:$Y$1001,MATCH(ROWS($W$2:W736),$W$2:$W$1001,0),0), INDEX($AD$1004:$AU$1004,1,MATCH(COLUMNS($AD$1006:AH1006),$AD$1006:$AU$1006,0)))),"Fix")))</f>
        <v xml:space="preserve"> </v>
      </c>
      <c r="G736" s="4" t="str">
        <f ca="1">IF(OR(INDEX($X$2:$X$1001,MATCH(ROWS($W$2:W736),$W$2:$W$1001,0),1)&gt;=100000,INDEX($AD$1005:$AU$1005,1,MATCH(COLUMNS($AD$1006:AI1006),$AD$1006:$AU$1006,0))&gt;=100000), " ",IF(INDEX($AD$2:$AU$1001,MATCH(ROWS($W$2:W736),$W$2:$W$1001,0),MATCH(COLUMNS($AD$1006:AI1006),$AD$1006:$AU$1006,0)), HYPERLINK("#",""), HYPERLINK(CONCATENATE("#metadata!", ADDRESS(INDEX($Y$2:$Y$1001,MATCH(ROWS($W$2:W736),$W$2:$W$1001,0),0), INDEX($AD$1004:$AU$1004,1,MATCH(COLUMNS($AD$1006:AI1006),$AD$1006:$AU$1006,0)))),"Fix")))</f>
        <v xml:space="preserve"> </v>
      </c>
      <c r="H736" s="4" t="str">
        <f ca="1">IF(OR(INDEX($X$2:$X$1001,MATCH(ROWS($W$2:W736),$W$2:$W$1001,0),1)&gt;=100000,INDEX($AD$1005:$AU$1005,1,MATCH(COLUMNS($AD$1006:AJ1006),$AD$1006:$AU$1006,0))&gt;=100000), " ",IF(INDEX($AD$2:$AU$1001,MATCH(ROWS($W$2:W736),$W$2:$W$1001,0),MATCH(COLUMNS($AD$1006:AJ1006),$AD$1006:$AU$1006,0)), HYPERLINK("#",""), HYPERLINK(CONCATENATE("#metadata!", ADDRESS(INDEX($Y$2:$Y$1001,MATCH(ROWS($W$2:W736),$W$2:$W$1001,0),0), INDEX($AD$1004:$AU$1004,1,MATCH(COLUMNS($AD$1006:AJ1006),$AD$1006:$AU$1006,0)))),"Fix")))</f>
        <v xml:space="preserve"> </v>
      </c>
      <c r="I736" s="4" t="str">
        <f ca="1">IF(OR(INDEX($X$2:$X$1001,MATCH(ROWS($W$2:W736),$W$2:$W$1001,0),1)&gt;=100000,INDEX($AD$1005:$AU$1005,1,MATCH(COLUMNS($AD$1006:AK1006),$AD$1006:$AU$1006,0))&gt;=100000), " ",IF(INDEX($AD$2:$AU$1001,MATCH(ROWS($W$2:W736),$W$2:$W$1001,0),MATCH(COLUMNS($AD$1006:AK1006),$AD$1006:$AU$1006,0)), HYPERLINK("#",""), HYPERLINK(CONCATENATE("#metadata!", ADDRESS(INDEX($Y$2:$Y$1001,MATCH(ROWS($W$2:W736),$W$2:$W$1001,0),0), INDEX($AD$1004:$AU$1004,1,MATCH(COLUMNS($AD$1006:AK1006),$AD$1006:$AU$1006,0)))),"Fix")))</f>
        <v xml:space="preserve"> </v>
      </c>
      <c r="J736" s="4" t="str">
        <f ca="1">IF(OR(INDEX($X$2:$X$1001,MATCH(ROWS($W$2:W736),$W$2:$W$1001,0),1)&gt;=100000,INDEX($AD$1005:$AU$1005,1,MATCH(COLUMNS($AD$1006:AL1006),$AD$1006:$AU$1006,0))&gt;=100000), " ",IF(INDEX($AD$2:$AU$1001,MATCH(ROWS($W$2:W736),$W$2:$W$1001,0),MATCH(COLUMNS($AD$1006:AL1006),$AD$1006:$AU$1006,0)), HYPERLINK("#",""), HYPERLINK(CONCATENATE("#metadata!", ADDRESS(INDEX($Y$2:$Y$1001,MATCH(ROWS($W$2:W736),$W$2:$W$1001,0),0), INDEX($AD$1004:$AU$1004,1,MATCH(COLUMNS($AD$1006:AL1006),$AD$1006:$AU$1006,0)))),"Fix")))</f>
        <v xml:space="preserve"> </v>
      </c>
      <c r="K736" s="4" t="str">
        <f ca="1">IF(OR(INDEX($X$2:$X$1001,MATCH(ROWS($W$2:W736),$W$2:$W$1001,0),1)&gt;=100000,INDEX($AD$1005:$AU$1005,1,MATCH(COLUMNS($AD$1006:AM1006),$AD$1006:$AU$1006,0))&gt;=100000), " ",IF(INDEX($AD$2:$AU$1001,MATCH(ROWS($W$2:W736),$W$2:$W$1001,0),MATCH(COLUMNS($AD$1006:AM1006),$AD$1006:$AU$1006,0)), HYPERLINK("#",""), HYPERLINK(CONCATENATE("#metadata!", ADDRESS(INDEX($Y$2:$Y$1001,MATCH(ROWS($W$2:W736),$W$2:$W$1001,0),0), INDEX($AD$1004:$AU$1004,1,MATCH(COLUMNS($AD$1006:AM1006),$AD$1006:$AU$1006,0)))),"Fix")))</f>
        <v xml:space="preserve"> </v>
      </c>
      <c r="L736" s="4" t="str">
        <f ca="1">IF(OR(INDEX($X$2:$X$1001,MATCH(ROWS($W$2:W736),$W$2:$W$1001,0),1)&gt;=100000,INDEX($AD$1005:$AU$1005,1,MATCH(COLUMNS($AD$1006:AN1006),$AD$1006:$AU$1006,0))&gt;=100000), " ",IF(INDEX($AD$2:$AU$1001,MATCH(ROWS($W$2:W736),$W$2:$W$1001,0),MATCH(COLUMNS($AD$1006:AN1006),$AD$1006:$AU$1006,0)), HYPERLINK("#",""), HYPERLINK(CONCATENATE("#metadata!", ADDRESS(INDEX($Y$2:$Y$1001,MATCH(ROWS($W$2:W736),$W$2:$W$1001,0),0), INDEX($AD$1004:$AU$1004,1,MATCH(COLUMNS($AD$1006:AN1006),$AD$1006:$AU$1006,0)))),"Fix")))</f>
        <v xml:space="preserve"> </v>
      </c>
      <c r="M736" s="4" t="str">
        <f ca="1">IF(OR(INDEX($X$2:$X$1001,MATCH(ROWS($W$2:W736),$W$2:$W$1001,0),1)&gt;=100000,INDEX($AD$1005:$AU$1005,1,MATCH(COLUMNS($AD$1006:AO1006),$AD$1006:$AU$1006,0))&gt;=100000), " ",IF(INDEX($AD$2:$AU$1001,MATCH(ROWS($W$2:W736),$W$2:$W$1001,0),MATCH(COLUMNS($AD$1006:AO1006),$AD$1006:$AU$1006,0)), HYPERLINK("#",""), HYPERLINK(CONCATENATE("#metadata!", ADDRESS(INDEX($Y$2:$Y$1001,MATCH(ROWS($W$2:W736),$W$2:$W$1001,0),0), INDEX($AD$1004:$AU$1004,1,MATCH(COLUMNS($AD$1006:AO1006),$AD$1006:$AU$1006,0)))),"Fix")))</f>
        <v xml:space="preserve"> </v>
      </c>
      <c r="N736" s="4" t="str">
        <f ca="1">IF(OR(INDEX($X$2:$X$1001,MATCH(ROWS($W$2:W736),$W$2:$W$1001,0),1)&gt;=100000,INDEX($AD$1005:$AU$1005,1,MATCH(COLUMNS($AD$1006:AP1006),$AD$1006:$AU$1006,0))&gt;=100000), " ",IF(INDEX($AD$2:$AU$1001,MATCH(ROWS($W$2:W736),$W$2:$W$1001,0),MATCH(COLUMNS($AD$1006:AP1006),$AD$1006:$AU$1006,0)), HYPERLINK("#",""), HYPERLINK(CONCATENATE("#metadata!", ADDRESS(INDEX($Y$2:$Y$1001,MATCH(ROWS($W$2:W736),$W$2:$W$1001,0),0), INDEX($AD$1004:$AU$1004,1,MATCH(COLUMNS($AD$1006:AP1006),$AD$1006:$AU$1006,0)))),"Fix")))</f>
        <v xml:space="preserve"> </v>
      </c>
      <c r="O736" s="4" t="str">
        <f ca="1">IF(OR(INDEX($X$2:$X$1001,MATCH(ROWS($W$2:W736),$W$2:$W$1001,0),1)&gt;=100000,INDEX($AD$1005:$AU$1005,1,MATCH(COLUMNS($AD$1006:AQ1006),$AD$1006:$AU$1006,0))&gt;=100000), " ",IF(INDEX($AD$2:$AU$1001,MATCH(ROWS($W$2:W736),$W$2:$W$1001,0),MATCH(COLUMNS($AD$1006:AQ1006),$AD$1006:$AU$1006,0)), HYPERLINK("#",""), HYPERLINK(CONCATENATE("#metadata!", ADDRESS(INDEX($Y$2:$Y$1001,MATCH(ROWS($W$2:W736),$W$2:$W$1001,0),0), INDEX($AD$1004:$AU$1004,1,MATCH(COLUMNS($AD$1006:AQ1006),$AD$1006:$AU$1006,0)))),"Fix")))</f>
        <v xml:space="preserve"> </v>
      </c>
      <c r="P736" s="4" t="str">
        <f ca="1">IF(OR(INDEX($X$2:$X$1001,MATCH(ROWS($W$2:W736),$W$2:$W$1001,0),1)&gt;=100000,INDEX($AD$1005:$AU$1005,1,MATCH(COLUMNS($AD$1006:AR1006),$AD$1006:$AU$1006,0))&gt;=100000), " ",IF(INDEX($AD$2:$AU$1001,MATCH(ROWS($W$2:W736),$W$2:$W$1001,0),MATCH(COLUMNS($AD$1006:AR1006),$AD$1006:$AU$1006,0)), HYPERLINK("#",""), HYPERLINK(CONCATENATE("#metadata!", ADDRESS(INDEX($Y$2:$Y$1001,MATCH(ROWS($W$2:W736),$W$2:$W$1001,0),0), INDEX($AD$1004:$AU$1004,1,MATCH(COLUMNS($AD$1006:AR1006),$AD$1006:$AU$1006,0)))),"Fix")))</f>
        <v xml:space="preserve"> </v>
      </c>
      <c r="Q736" s="4" t="str">
        <f ca="1">IF(OR(INDEX($X$2:$X$1001,MATCH(ROWS($W$2:W736),$W$2:$W$1001,0),1)&gt;=100000,INDEX($AD$1005:$AU$1005,1,MATCH(COLUMNS($AD$1006:AS1006),$AD$1006:$AU$1006,0))&gt;=100000), " ",IF(INDEX($AD$2:$AU$1001,MATCH(ROWS($W$2:W736),$W$2:$W$1001,0),MATCH(COLUMNS($AD$1006:AS1006),$AD$1006:$AU$1006,0)), HYPERLINK("#",""), HYPERLINK(CONCATENATE("#metadata!", ADDRESS(INDEX($Y$2:$Y$1001,MATCH(ROWS($W$2:W736),$W$2:$W$1001,0),0), INDEX($AD$1004:$AU$1004,1,MATCH(COLUMNS($AD$1006:AS1006),$AD$1006:$AU$1006,0)))),"Fix")))</f>
        <v xml:space="preserve"> </v>
      </c>
      <c r="R736" s="4" t="str">
        <f ca="1">IF(OR(INDEX($X$2:$X$1001,MATCH(ROWS($W$2:W736),$W$2:$W$1001,0),1)&gt;=100000,INDEX($AD$1005:$AU$1005,1,MATCH(COLUMNS($AD$1006:AT1006),$AD$1006:$AU$1006,0))&gt;=100000), " ",IF(INDEX($AD$2:$AU$1001,MATCH(ROWS($W$2:W736),$W$2:$W$1001,0),MATCH(COLUMNS($AD$1006:AT1006),$AD$1006:$AU$1006,0)), HYPERLINK("#",""), HYPERLINK(CONCATENATE("#metadata!", ADDRESS(INDEX($Y$2:$Y$1001,MATCH(ROWS($W$2:W736),$W$2:$W$1001,0),0), INDEX($AD$1004:$AU$1004,1,MATCH(COLUMNS($AD$1006:AT1006),$AD$1006:$AU$1006,0)))),"Fix")))</f>
        <v xml:space="preserve"> </v>
      </c>
      <c r="S736" s="4" t="str">
        <f ca="1">IF(OR(INDEX($X$2:$X$1001,MATCH(ROWS($W$2:W736),$W$2:$W$1001,0),1)&gt;=100000,INDEX($AD$1005:$AU$1005,1,MATCH(COLUMNS($AD$1006:AU1006),$AD$1006:$AU$1006,0))&gt;=100000), " ",IF(INDEX($AD$2:$AU$1001,MATCH(ROWS($W$2:W736),$W$2:$W$1001,0),MATCH(COLUMNS($AD$1006:AU1006),$AD$1006:$AU$1006,0)), HYPERLINK("#",""), HYPERLINK(CONCATENATE("#metadata!", ADDRESS(INDEX($Y$2:$Y$1001,MATCH(ROWS($W$2:W736),$W$2:$W$1001,0),0), INDEX($AD$1004:$AU$1004,1,MATCH(COLUMNS($AD$1006:AU1006),$AD$1006:$AU$1006,0)))),"Fix")))</f>
        <v xml:space="preserve"> </v>
      </c>
      <c r="W736">
        <v>735</v>
      </c>
      <c r="X736">
        <v>100736</v>
      </c>
      <c r="Y736">
        <v>736</v>
      </c>
      <c r="Z736" t="b">
        <f t="shared" si="11"/>
        <v>1</v>
      </c>
      <c r="AA736" t="b">
        <f>COUNTBLANK(metadata!B736:S736)=COLUMNS(metadata!B736:S736)</f>
        <v>1</v>
      </c>
      <c r="AB736" t="str">
        <v/>
      </c>
      <c r="AD736" t="b">
        <f ca="1">AND(IF(metadata!B736="",FALSE,TRUE),COUNTIF(metadata!B:B, metadata!B736) = 1,NOT(ISERROR(SUMPRODUCT(SEARCH(MID(metadata!B736,ROW(INDIRECT("1:"&amp;LEN(metadata!B736))), 1),"0123456789abcdefghijklmnopqrstuvwxyzABCDEFGHIJKLMNOPQRSTUVWXYZ.")))))</f>
        <v>0</v>
      </c>
      <c r="AE736" t="b">
        <f>OR(AND(IF(metadata!C736="",FALSE,TRUE),OR(EXACT(metadata!C736,"not applicable"),EXACT(metadata!C736,"missing: not collected"),EXACT(metadata!C736,"missing: not provided"),EXACT(metadata!C736,"missing: restricted access"))),AND(IF(metadata!C736="",FALSE,ISNUMBER(VALUE(metadata!C736))),metadata!C736&gt;0))</f>
        <v>0</v>
      </c>
      <c r="AF736" t="b">
        <f>AND(IF(metadata!D736="",FALSE,TRUE),EXACT(metadata!D736,"missing: not provided"))</f>
        <v>0</v>
      </c>
      <c r="AG736" t="b">
        <f>AND(IF(metadata!E736="",FALSE,TRUE),EXACT(metadata!E736,"Host-associated"))</f>
        <v>0</v>
      </c>
      <c r="AH736" t="b">
        <f>AND(IF(metadata!F736="",FALSE,TRUE),OR(EXACT(metadata!F736,"Animal"),EXACT(metadata!F736,"Fungus"),EXACT(metadata!F736,"Plant")))</f>
        <v>0</v>
      </c>
      <c r="AI736" t="b">
        <f>AND(IF(metadata!G736="",FALSE,TRUE),OR(EXACT(metadata!G736,"Plant secretion"),EXACT(metadata!G736,"Plant rhizosphere"),EXACT(metadata!G736,"Plant surface"),EXACT(metadata!G736,"Plant corpus"),EXACT(metadata!G736,"Fungus surface"),EXACT(metadata!G736,"Fungus corpus"),EXACT(metadata!G736,"Animal surface"),EXACT(metadata!G736,"Animal proximal gut"),EXACT(metadata!G736,"Animal corpus"),EXACT(metadata!G736,"Animal distal gut"),EXACT(metadata!G736,"Animal secretion")))</f>
        <v>0</v>
      </c>
      <c r="AJ736" t="b">
        <f>OR(AND(IF(metadata!H736="",FALSE,TRUE),OR(EXACT(metadata!H736,"missing: not collected"),EXACT(metadata!H736,"missing: not provided"),EXACT(metadata!H736,"missing: restricted access"))),AND(IF(metadata!H736="",FALSE,TRUE),OR(EXACT(metadata!H736,"organism-associated habitat"),EXACT(metadata!H736,"plant-associated habitat"),EXACT(metadata!H736,"animal-associated habitat"),EXACT(metadata!H736,"insecta-associated habitat"),EXACT(metadata!H736,"mammalia-associated habitat"),EXACT(metadata!H736,"human-associated habitat"),EXACT(metadata!H736,"livestock-associated habitat"))))</f>
        <v>0</v>
      </c>
      <c r="AK736" t="b">
        <f>AND(IF(metadata!I736="",FALSE,TRUE),EXACT(metadata!I736,"host-associated"))</f>
        <v>0</v>
      </c>
      <c r="AL736" t="b">
        <f>OR(AND(IF(metadata!J736="",FALSE,TRUE),OR(EXACT(metadata!J736,"not applicable"),EXACT(metadata!J736,"missing: not collected"),EXACT(metadata!J736,"missing: not provided"),EXACT(metadata!J736,"missing: restricted access"))),AND(IF(metadata!J736="",FALSE,ISNUMBER(VALUE(metadata!J736))),metadata!J736&gt;0))</f>
        <v>0</v>
      </c>
      <c r="AM736" t="b">
        <f>AND(IF(metadata!K736="",FALSE,TRUE),EXACT(metadata!K736,"missing: not provided"))</f>
        <v>0</v>
      </c>
      <c r="AN736" t="b">
        <f>IF(metadata!L736="",FALSE,TRUE)</f>
        <v>0</v>
      </c>
      <c r="AO736" t="b">
        <f>IF(metadata!M736="",FALSE,TRUE)</f>
        <v>0</v>
      </c>
      <c r="AP736" t="b">
        <f>OR(AND(IF(metadata!N736="",FALSE,TRUE),OR(EXACT(metadata!N736,"not applicable"),EXACT(metadata!N736,"missing: not collected"),EXACT(metadata!N736,"missing: not provided"))),AND(IF(metadata!N736="",FALSE,IF(ISERROR(INT(metadata!N736)),FALSE,INT(metadata!N736)=metadata!N736)),metadata!N736&gt;0))</f>
        <v>0</v>
      </c>
      <c r="AQ736" t="b">
        <f>AND(IF(metadata!O736="",FALSE,TRUE),EXACT(metadata!O736,"Not applicable"))</f>
        <v>0</v>
      </c>
      <c r="AR736" t="b">
        <f>OR(AND(IF(metadata!P736="",FALSE,TRUE),OR(EXACT(metadata!P736,"not applicable"),EXACT(metadata!P736,"missing: not collected"),EXACT(metadata!P736,"missing: not provided"),EXACT(metadata!P736,"missing: restricted access"))),IF(metadata!P736="",FALSE,IF(ISERROR(INT(metadata!P736)),FALSE,INT(metadata!P736)=metadata!P736)))</f>
        <v>0</v>
      </c>
      <c r="AS736" t="b">
        <f>AND(IF(metadata!Q736="",FALSE,TRUE),EXACT(metadata!Q736,"Not applicable"))</f>
        <v>0</v>
      </c>
      <c r="AT736" t="b">
        <f>OR(AND(IF(metadata!R736="",FALSE,TRUE),OR(EXACT(metadata!R736,"not applicable"),EXACT(metadata!R736,"missing: not collected"),EXACT(metadata!R736,"missing: not provided"),EXACT(metadata!R736,"missing: restricted access"))),AND(IF(metadata!R736="",FALSE,ISNUMBER(VALUE(metadata!R736))),metadata!R736&gt;0))</f>
        <v>0</v>
      </c>
      <c r="AU736" t="b">
        <f>AND(IF(metadata!S736="",FALSE,TRUE),EXACT(metadata!S736,"missing: not provided"))</f>
        <v>0</v>
      </c>
    </row>
    <row r="737" spans="1:47" x14ac:dyDescent="0.2">
      <c r="A737" s="5" t="str">
        <f ca="1">IF(B737=" "," ",HYPERLINK(CONCATENATE("#metadata!",ADDRESS(INDEX($Y$2:$Y$1001,MATCH(ROWS($W$2:W737),$W$2:$W$1001,0),0),1)),INDEX($AB$2:$AB$1001,MATCH(ROWS($W$2:W737),$W$2:$W$1001,0),0)))</f>
        <v xml:space="preserve"> </v>
      </c>
      <c r="B737" s="4" t="str">
        <f ca="1">IF(OR(INDEX($X$2:$X$1001,MATCH(ROWS($W$2:W737),$W$2:$W$1001,0),1)&gt;=100000,INDEX($AD$1005:$AU$1005,1,MATCH(COLUMNS($AD$1006:AD1006),$AD$1006:$AU$1006,0))&gt;=100000), " ",IF(INDEX($AD$2:$AU$1001,MATCH(ROWS($W$2:W737),$W$2:$W$1001,0),MATCH(COLUMNS($AD$1006:AD1006),$AD$1006:$AU$1006,0)), HYPERLINK("#",""), HYPERLINK(CONCATENATE("#metadata!", ADDRESS(INDEX($Y$2:$Y$1001,MATCH(ROWS($W$2:W737),$W$2:$W$1001,0),0), INDEX($AD$1004:$AU$1004,1,MATCH(COLUMNS($AD$1006:AD1006),$AD$1006:$AU$1006,0)))),"Fix")))</f>
        <v xml:space="preserve"> </v>
      </c>
      <c r="C737" s="4" t="str">
        <f ca="1">IF(OR(INDEX($X$2:$X$1001,MATCH(ROWS($W$2:W737),$W$2:$W$1001,0),1)&gt;=100000,INDEX($AD$1005:$AU$1005,1,MATCH(COLUMNS($AD$1006:AE1006),$AD$1006:$AU$1006,0))&gt;=100000), " ",IF(INDEX($AD$2:$AU$1001,MATCH(ROWS($W$2:W737),$W$2:$W$1001,0),MATCH(COLUMNS($AD$1006:AE1006),$AD$1006:$AU$1006,0)), HYPERLINK("#",""), HYPERLINK(CONCATENATE("#metadata!", ADDRESS(INDEX($Y$2:$Y$1001,MATCH(ROWS($W$2:W737),$W$2:$W$1001,0),0), INDEX($AD$1004:$AU$1004,1,MATCH(COLUMNS($AD$1006:AE1006),$AD$1006:$AU$1006,0)))),"Fix")))</f>
        <v xml:space="preserve"> </v>
      </c>
      <c r="D737" s="4" t="str">
        <f ca="1">IF(OR(INDEX($X$2:$X$1001,MATCH(ROWS($W$2:W737),$W$2:$W$1001,0),1)&gt;=100000,INDEX($AD$1005:$AU$1005,1,MATCH(COLUMNS($AD$1006:AF1006),$AD$1006:$AU$1006,0))&gt;=100000), " ",IF(INDEX($AD$2:$AU$1001,MATCH(ROWS($W$2:W737),$W$2:$W$1001,0),MATCH(COLUMNS($AD$1006:AF1006),$AD$1006:$AU$1006,0)), HYPERLINK("#",""), HYPERLINK(CONCATENATE("#metadata!", ADDRESS(INDEX($Y$2:$Y$1001,MATCH(ROWS($W$2:W737),$W$2:$W$1001,0),0), INDEX($AD$1004:$AU$1004,1,MATCH(COLUMNS($AD$1006:AF1006),$AD$1006:$AU$1006,0)))),"Fix")))</f>
        <v xml:space="preserve"> </v>
      </c>
      <c r="E737" s="4" t="str">
        <f ca="1">IF(OR(INDEX($X$2:$X$1001,MATCH(ROWS($W$2:W737),$W$2:$W$1001,0),1)&gt;=100000,INDEX($AD$1005:$AU$1005,1,MATCH(COLUMNS($AD$1006:AG1006),$AD$1006:$AU$1006,0))&gt;=100000), " ",IF(INDEX($AD$2:$AU$1001,MATCH(ROWS($W$2:W737),$W$2:$W$1001,0),MATCH(COLUMNS($AD$1006:AG1006),$AD$1006:$AU$1006,0)), HYPERLINK("#",""), HYPERLINK(CONCATENATE("#metadata!", ADDRESS(INDEX($Y$2:$Y$1001,MATCH(ROWS($W$2:W737),$W$2:$W$1001,0),0), INDEX($AD$1004:$AU$1004,1,MATCH(COLUMNS($AD$1006:AG1006),$AD$1006:$AU$1006,0)))),"Fix")))</f>
        <v xml:space="preserve"> </v>
      </c>
      <c r="F737" s="4" t="str">
        <f ca="1">IF(OR(INDEX($X$2:$X$1001,MATCH(ROWS($W$2:W737),$W$2:$W$1001,0),1)&gt;=100000,INDEX($AD$1005:$AU$1005,1,MATCH(COLUMNS($AD$1006:AH1006),$AD$1006:$AU$1006,0))&gt;=100000), " ",IF(INDEX($AD$2:$AU$1001,MATCH(ROWS($W$2:W737),$W$2:$W$1001,0),MATCH(COLUMNS($AD$1006:AH1006),$AD$1006:$AU$1006,0)), HYPERLINK("#",""), HYPERLINK(CONCATENATE("#metadata!", ADDRESS(INDEX($Y$2:$Y$1001,MATCH(ROWS($W$2:W737),$W$2:$W$1001,0),0), INDEX($AD$1004:$AU$1004,1,MATCH(COLUMNS($AD$1006:AH1006),$AD$1006:$AU$1006,0)))),"Fix")))</f>
        <v xml:space="preserve"> </v>
      </c>
      <c r="G737" s="4" t="str">
        <f ca="1">IF(OR(INDEX($X$2:$X$1001,MATCH(ROWS($W$2:W737),$W$2:$W$1001,0),1)&gt;=100000,INDEX($AD$1005:$AU$1005,1,MATCH(COLUMNS($AD$1006:AI1006),$AD$1006:$AU$1006,0))&gt;=100000), " ",IF(INDEX($AD$2:$AU$1001,MATCH(ROWS($W$2:W737),$W$2:$W$1001,0),MATCH(COLUMNS($AD$1006:AI1006),$AD$1006:$AU$1006,0)), HYPERLINK("#",""), HYPERLINK(CONCATENATE("#metadata!", ADDRESS(INDEX($Y$2:$Y$1001,MATCH(ROWS($W$2:W737),$W$2:$W$1001,0),0), INDEX($AD$1004:$AU$1004,1,MATCH(COLUMNS($AD$1006:AI1006),$AD$1006:$AU$1006,0)))),"Fix")))</f>
        <v xml:space="preserve"> </v>
      </c>
      <c r="H737" s="4" t="str">
        <f ca="1">IF(OR(INDEX($X$2:$X$1001,MATCH(ROWS($W$2:W737),$W$2:$W$1001,0),1)&gt;=100000,INDEX($AD$1005:$AU$1005,1,MATCH(COLUMNS($AD$1006:AJ1006),$AD$1006:$AU$1006,0))&gt;=100000), " ",IF(INDEX($AD$2:$AU$1001,MATCH(ROWS($W$2:W737),$W$2:$W$1001,0),MATCH(COLUMNS($AD$1006:AJ1006),$AD$1006:$AU$1006,0)), HYPERLINK("#",""), HYPERLINK(CONCATENATE("#metadata!", ADDRESS(INDEX($Y$2:$Y$1001,MATCH(ROWS($W$2:W737),$W$2:$W$1001,0),0), INDEX($AD$1004:$AU$1004,1,MATCH(COLUMNS($AD$1006:AJ1006),$AD$1006:$AU$1006,0)))),"Fix")))</f>
        <v xml:space="preserve"> </v>
      </c>
      <c r="I737" s="4" t="str">
        <f ca="1">IF(OR(INDEX($X$2:$X$1001,MATCH(ROWS($W$2:W737),$W$2:$W$1001,0),1)&gt;=100000,INDEX($AD$1005:$AU$1005,1,MATCH(COLUMNS($AD$1006:AK1006),$AD$1006:$AU$1006,0))&gt;=100000), " ",IF(INDEX($AD$2:$AU$1001,MATCH(ROWS($W$2:W737),$W$2:$W$1001,0),MATCH(COLUMNS($AD$1006:AK1006),$AD$1006:$AU$1006,0)), HYPERLINK("#",""), HYPERLINK(CONCATENATE("#metadata!", ADDRESS(INDEX($Y$2:$Y$1001,MATCH(ROWS($W$2:W737),$W$2:$W$1001,0),0), INDEX($AD$1004:$AU$1004,1,MATCH(COLUMNS($AD$1006:AK1006),$AD$1006:$AU$1006,0)))),"Fix")))</f>
        <v xml:space="preserve"> </v>
      </c>
      <c r="J737" s="4" t="str">
        <f ca="1">IF(OR(INDEX($X$2:$X$1001,MATCH(ROWS($W$2:W737),$W$2:$W$1001,0),1)&gt;=100000,INDEX($AD$1005:$AU$1005,1,MATCH(COLUMNS($AD$1006:AL1006),$AD$1006:$AU$1006,0))&gt;=100000), " ",IF(INDEX($AD$2:$AU$1001,MATCH(ROWS($W$2:W737),$W$2:$W$1001,0),MATCH(COLUMNS($AD$1006:AL1006),$AD$1006:$AU$1006,0)), HYPERLINK("#",""), HYPERLINK(CONCATENATE("#metadata!", ADDRESS(INDEX($Y$2:$Y$1001,MATCH(ROWS($W$2:W737),$W$2:$W$1001,0),0), INDEX($AD$1004:$AU$1004,1,MATCH(COLUMNS($AD$1006:AL1006),$AD$1006:$AU$1006,0)))),"Fix")))</f>
        <v xml:space="preserve"> </v>
      </c>
      <c r="K737" s="4" t="str">
        <f ca="1">IF(OR(INDEX($X$2:$X$1001,MATCH(ROWS($W$2:W737),$W$2:$W$1001,0),1)&gt;=100000,INDEX($AD$1005:$AU$1005,1,MATCH(COLUMNS($AD$1006:AM1006),$AD$1006:$AU$1006,0))&gt;=100000), " ",IF(INDEX($AD$2:$AU$1001,MATCH(ROWS($W$2:W737),$W$2:$W$1001,0),MATCH(COLUMNS($AD$1006:AM1006),$AD$1006:$AU$1006,0)), HYPERLINK("#",""), HYPERLINK(CONCATENATE("#metadata!", ADDRESS(INDEX($Y$2:$Y$1001,MATCH(ROWS($W$2:W737),$W$2:$W$1001,0),0), INDEX($AD$1004:$AU$1004,1,MATCH(COLUMNS($AD$1006:AM1006),$AD$1006:$AU$1006,0)))),"Fix")))</f>
        <v xml:space="preserve"> </v>
      </c>
      <c r="L737" s="4" t="str">
        <f ca="1">IF(OR(INDEX($X$2:$X$1001,MATCH(ROWS($W$2:W737),$W$2:$W$1001,0),1)&gt;=100000,INDEX($AD$1005:$AU$1005,1,MATCH(COLUMNS($AD$1006:AN1006),$AD$1006:$AU$1006,0))&gt;=100000), " ",IF(INDEX($AD$2:$AU$1001,MATCH(ROWS($W$2:W737),$W$2:$W$1001,0),MATCH(COLUMNS($AD$1006:AN1006),$AD$1006:$AU$1006,0)), HYPERLINK("#",""), HYPERLINK(CONCATENATE("#metadata!", ADDRESS(INDEX($Y$2:$Y$1001,MATCH(ROWS($W$2:W737),$W$2:$W$1001,0),0), INDEX($AD$1004:$AU$1004,1,MATCH(COLUMNS($AD$1006:AN1006),$AD$1006:$AU$1006,0)))),"Fix")))</f>
        <v xml:space="preserve"> </v>
      </c>
      <c r="M737" s="4" t="str">
        <f ca="1">IF(OR(INDEX($X$2:$X$1001,MATCH(ROWS($W$2:W737),$W$2:$W$1001,0),1)&gt;=100000,INDEX($AD$1005:$AU$1005,1,MATCH(COLUMNS($AD$1006:AO1006),$AD$1006:$AU$1006,0))&gt;=100000), " ",IF(INDEX($AD$2:$AU$1001,MATCH(ROWS($W$2:W737),$W$2:$W$1001,0),MATCH(COLUMNS($AD$1006:AO1006),$AD$1006:$AU$1006,0)), HYPERLINK("#",""), HYPERLINK(CONCATENATE("#metadata!", ADDRESS(INDEX($Y$2:$Y$1001,MATCH(ROWS($W$2:W737),$W$2:$W$1001,0),0), INDEX($AD$1004:$AU$1004,1,MATCH(COLUMNS($AD$1006:AO1006),$AD$1006:$AU$1006,0)))),"Fix")))</f>
        <v xml:space="preserve"> </v>
      </c>
      <c r="N737" s="4" t="str">
        <f ca="1">IF(OR(INDEX($X$2:$X$1001,MATCH(ROWS($W$2:W737),$W$2:$W$1001,0),1)&gt;=100000,INDEX($AD$1005:$AU$1005,1,MATCH(COLUMNS($AD$1006:AP1006),$AD$1006:$AU$1006,0))&gt;=100000), " ",IF(INDEX($AD$2:$AU$1001,MATCH(ROWS($W$2:W737),$W$2:$W$1001,0),MATCH(COLUMNS($AD$1006:AP1006),$AD$1006:$AU$1006,0)), HYPERLINK("#",""), HYPERLINK(CONCATENATE("#metadata!", ADDRESS(INDEX($Y$2:$Y$1001,MATCH(ROWS($W$2:W737),$W$2:$W$1001,0),0), INDEX($AD$1004:$AU$1004,1,MATCH(COLUMNS($AD$1006:AP1006),$AD$1006:$AU$1006,0)))),"Fix")))</f>
        <v xml:space="preserve"> </v>
      </c>
      <c r="O737" s="4" t="str">
        <f ca="1">IF(OR(INDEX($X$2:$X$1001,MATCH(ROWS($W$2:W737),$W$2:$W$1001,0),1)&gt;=100000,INDEX($AD$1005:$AU$1005,1,MATCH(COLUMNS($AD$1006:AQ1006),$AD$1006:$AU$1006,0))&gt;=100000), " ",IF(INDEX($AD$2:$AU$1001,MATCH(ROWS($W$2:W737),$W$2:$W$1001,0),MATCH(COLUMNS($AD$1006:AQ1006),$AD$1006:$AU$1006,0)), HYPERLINK("#",""), HYPERLINK(CONCATENATE("#metadata!", ADDRESS(INDEX($Y$2:$Y$1001,MATCH(ROWS($W$2:W737),$W$2:$W$1001,0),0), INDEX($AD$1004:$AU$1004,1,MATCH(COLUMNS($AD$1006:AQ1006),$AD$1006:$AU$1006,0)))),"Fix")))</f>
        <v xml:space="preserve"> </v>
      </c>
      <c r="P737" s="4" t="str">
        <f ca="1">IF(OR(INDEX($X$2:$X$1001,MATCH(ROWS($W$2:W737),$W$2:$W$1001,0),1)&gt;=100000,INDEX($AD$1005:$AU$1005,1,MATCH(COLUMNS($AD$1006:AR1006),$AD$1006:$AU$1006,0))&gt;=100000), " ",IF(INDEX($AD$2:$AU$1001,MATCH(ROWS($W$2:W737),$W$2:$W$1001,0),MATCH(COLUMNS($AD$1006:AR1006),$AD$1006:$AU$1006,0)), HYPERLINK("#",""), HYPERLINK(CONCATENATE("#metadata!", ADDRESS(INDEX($Y$2:$Y$1001,MATCH(ROWS($W$2:W737),$W$2:$W$1001,0),0), INDEX($AD$1004:$AU$1004,1,MATCH(COLUMNS($AD$1006:AR1006),$AD$1006:$AU$1006,0)))),"Fix")))</f>
        <v xml:space="preserve"> </v>
      </c>
      <c r="Q737" s="4" t="str">
        <f ca="1">IF(OR(INDEX($X$2:$X$1001,MATCH(ROWS($W$2:W737),$W$2:$W$1001,0),1)&gt;=100000,INDEX($AD$1005:$AU$1005,1,MATCH(COLUMNS($AD$1006:AS1006),$AD$1006:$AU$1006,0))&gt;=100000), " ",IF(INDEX($AD$2:$AU$1001,MATCH(ROWS($W$2:W737),$W$2:$W$1001,0),MATCH(COLUMNS($AD$1006:AS1006),$AD$1006:$AU$1006,0)), HYPERLINK("#",""), HYPERLINK(CONCATENATE("#metadata!", ADDRESS(INDEX($Y$2:$Y$1001,MATCH(ROWS($W$2:W737),$W$2:$W$1001,0),0), INDEX($AD$1004:$AU$1004,1,MATCH(COLUMNS($AD$1006:AS1006),$AD$1006:$AU$1006,0)))),"Fix")))</f>
        <v xml:space="preserve"> </v>
      </c>
      <c r="R737" s="4" t="str">
        <f ca="1">IF(OR(INDEX($X$2:$X$1001,MATCH(ROWS($W$2:W737),$W$2:$W$1001,0),1)&gt;=100000,INDEX($AD$1005:$AU$1005,1,MATCH(COLUMNS($AD$1006:AT1006),$AD$1006:$AU$1006,0))&gt;=100000), " ",IF(INDEX($AD$2:$AU$1001,MATCH(ROWS($W$2:W737),$W$2:$W$1001,0),MATCH(COLUMNS($AD$1006:AT1006),$AD$1006:$AU$1006,0)), HYPERLINK("#",""), HYPERLINK(CONCATENATE("#metadata!", ADDRESS(INDEX($Y$2:$Y$1001,MATCH(ROWS($W$2:W737),$W$2:$W$1001,0),0), INDEX($AD$1004:$AU$1004,1,MATCH(COLUMNS($AD$1006:AT1006),$AD$1006:$AU$1006,0)))),"Fix")))</f>
        <v xml:space="preserve"> </v>
      </c>
      <c r="S737" s="4" t="str">
        <f ca="1">IF(OR(INDEX($X$2:$X$1001,MATCH(ROWS($W$2:W737),$W$2:$W$1001,0),1)&gt;=100000,INDEX($AD$1005:$AU$1005,1,MATCH(COLUMNS($AD$1006:AU1006),$AD$1006:$AU$1006,0))&gt;=100000), " ",IF(INDEX($AD$2:$AU$1001,MATCH(ROWS($W$2:W737),$W$2:$W$1001,0),MATCH(COLUMNS($AD$1006:AU1006),$AD$1006:$AU$1006,0)), HYPERLINK("#",""), HYPERLINK(CONCATENATE("#metadata!", ADDRESS(INDEX($Y$2:$Y$1001,MATCH(ROWS($W$2:W737),$W$2:$W$1001,0),0), INDEX($AD$1004:$AU$1004,1,MATCH(COLUMNS($AD$1006:AU1006),$AD$1006:$AU$1006,0)))),"Fix")))</f>
        <v xml:space="preserve"> </v>
      </c>
      <c r="W737">
        <v>736</v>
      </c>
      <c r="X737">
        <v>100737</v>
      </c>
      <c r="Y737">
        <v>737</v>
      </c>
      <c r="Z737" t="b">
        <f t="shared" si="11"/>
        <v>1</v>
      </c>
      <c r="AA737" t="b">
        <f>COUNTBLANK(metadata!B737:S737)=COLUMNS(metadata!B737:S737)</f>
        <v>1</v>
      </c>
      <c r="AB737" t="str">
        <v/>
      </c>
      <c r="AD737" t="b">
        <f ca="1">AND(IF(metadata!B737="",FALSE,TRUE),COUNTIF(metadata!B:B, metadata!B737) = 1,NOT(ISERROR(SUMPRODUCT(SEARCH(MID(metadata!B737,ROW(INDIRECT("1:"&amp;LEN(metadata!B737))), 1),"0123456789abcdefghijklmnopqrstuvwxyzABCDEFGHIJKLMNOPQRSTUVWXYZ.")))))</f>
        <v>0</v>
      </c>
      <c r="AE737" t="b">
        <f>OR(AND(IF(metadata!C737="",FALSE,TRUE),OR(EXACT(metadata!C737,"not applicable"),EXACT(metadata!C737,"missing: not collected"),EXACT(metadata!C737,"missing: not provided"),EXACT(metadata!C737,"missing: restricted access"))),AND(IF(metadata!C737="",FALSE,ISNUMBER(VALUE(metadata!C737))),metadata!C737&gt;0))</f>
        <v>0</v>
      </c>
      <c r="AF737" t="b">
        <f>AND(IF(metadata!D737="",FALSE,TRUE),EXACT(metadata!D737,"missing: not provided"))</f>
        <v>0</v>
      </c>
      <c r="AG737" t="b">
        <f>AND(IF(metadata!E737="",FALSE,TRUE),EXACT(metadata!E737,"Host-associated"))</f>
        <v>0</v>
      </c>
      <c r="AH737" t="b">
        <f>AND(IF(metadata!F737="",FALSE,TRUE),OR(EXACT(metadata!F737,"Animal"),EXACT(metadata!F737,"Fungus"),EXACT(metadata!F737,"Plant")))</f>
        <v>0</v>
      </c>
      <c r="AI737" t="b">
        <f>AND(IF(metadata!G737="",FALSE,TRUE),OR(EXACT(metadata!G737,"Plant secretion"),EXACT(metadata!G737,"Plant rhizosphere"),EXACT(metadata!G737,"Plant surface"),EXACT(metadata!G737,"Plant corpus"),EXACT(metadata!G737,"Fungus surface"),EXACT(metadata!G737,"Fungus corpus"),EXACT(metadata!G737,"Animal surface"),EXACT(metadata!G737,"Animal proximal gut"),EXACT(metadata!G737,"Animal corpus"),EXACT(metadata!G737,"Animal distal gut"),EXACT(metadata!G737,"Animal secretion")))</f>
        <v>0</v>
      </c>
      <c r="AJ737" t="b">
        <f>OR(AND(IF(metadata!H737="",FALSE,TRUE),OR(EXACT(metadata!H737,"missing: not collected"),EXACT(metadata!H737,"missing: not provided"),EXACT(metadata!H737,"missing: restricted access"))),AND(IF(metadata!H737="",FALSE,TRUE),OR(EXACT(metadata!H737,"organism-associated habitat"),EXACT(metadata!H737,"plant-associated habitat"),EXACT(metadata!H737,"animal-associated habitat"),EXACT(metadata!H737,"insecta-associated habitat"),EXACT(metadata!H737,"mammalia-associated habitat"),EXACT(metadata!H737,"human-associated habitat"),EXACT(metadata!H737,"livestock-associated habitat"))))</f>
        <v>0</v>
      </c>
      <c r="AK737" t="b">
        <f>AND(IF(metadata!I737="",FALSE,TRUE),EXACT(metadata!I737,"host-associated"))</f>
        <v>0</v>
      </c>
      <c r="AL737" t="b">
        <f>OR(AND(IF(metadata!J737="",FALSE,TRUE),OR(EXACT(metadata!J737,"not applicable"),EXACT(metadata!J737,"missing: not collected"),EXACT(metadata!J737,"missing: not provided"),EXACT(metadata!J737,"missing: restricted access"))),AND(IF(metadata!J737="",FALSE,ISNUMBER(VALUE(metadata!J737))),metadata!J737&gt;0))</f>
        <v>0</v>
      </c>
      <c r="AM737" t="b">
        <f>AND(IF(metadata!K737="",FALSE,TRUE),EXACT(metadata!K737,"missing: not provided"))</f>
        <v>0</v>
      </c>
      <c r="AN737" t="b">
        <f>IF(metadata!L737="",FALSE,TRUE)</f>
        <v>0</v>
      </c>
      <c r="AO737" t="b">
        <f>IF(metadata!M737="",FALSE,TRUE)</f>
        <v>0</v>
      </c>
      <c r="AP737" t="b">
        <f>OR(AND(IF(metadata!N737="",FALSE,TRUE),OR(EXACT(metadata!N737,"not applicable"),EXACT(metadata!N737,"missing: not collected"),EXACT(metadata!N737,"missing: not provided"))),AND(IF(metadata!N737="",FALSE,IF(ISERROR(INT(metadata!N737)),FALSE,INT(metadata!N737)=metadata!N737)),metadata!N737&gt;0))</f>
        <v>0</v>
      </c>
      <c r="AQ737" t="b">
        <f>AND(IF(metadata!O737="",FALSE,TRUE),EXACT(metadata!O737,"Not applicable"))</f>
        <v>0</v>
      </c>
      <c r="AR737" t="b">
        <f>OR(AND(IF(metadata!P737="",FALSE,TRUE),OR(EXACT(metadata!P737,"not applicable"),EXACT(metadata!P737,"missing: not collected"),EXACT(metadata!P737,"missing: not provided"),EXACT(metadata!P737,"missing: restricted access"))),IF(metadata!P737="",FALSE,IF(ISERROR(INT(metadata!P737)),FALSE,INT(metadata!P737)=metadata!P737)))</f>
        <v>0</v>
      </c>
      <c r="AS737" t="b">
        <f>AND(IF(metadata!Q737="",FALSE,TRUE),EXACT(metadata!Q737,"Not applicable"))</f>
        <v>0</v>
      </c>
      <c r="AT737" t="b">
        <f>OR(AND(IF(metadata!R737="",FALSE,TRUE),OR(EXACT(metadata!R737,"not applicable"),EXACT(metadata!R737,"missing: not collected"),EXACT(metadata!R737,"missing: not provided"),EXACT(metadata!R737,"missing: restricted access"))),AND(IF(metadata!R737="",FALSE,ISNUMBER(VALUE(metadata!R737))),metadata!R737&gt;0))</f>
        <v>0</v>
      </c>
      <c r="AU737" t="b">
        <f>AND(IF(metadata!S737="",FALSE,TRUE),EXACT(metadata!S737,"missing: not provided"))</f>
        <v>0</v>
      </c>
    </row>
    <row r="738" spans="1:47" x14ac:dyDescent="0.2">
      <c r="A738" s="5" t="str">
        <f ca="1">IF(B738=" "," ",HYPERLINK(CONCATENATE("#metadata!",ADDRESS(INDEX($Y$2:$Y$1001,MATCH(ROWS($W$2:W738),$W$2:$W$1001,0),0),1)),INDEX($AB$2:$AB$1001,MATCH(ROWS($W$2:W738),$W$2:$W$1001,0),0)))</f>
        <v xml:space="preserve"> </v>
      </c>
      <c r="B738" s="4" t="str">
        <f ca="1">IF(OR(INDEX($X$2:$X$1001,MATCH(ROWS($W$2:W738),$W$2:$W$1001,0),1)&gt;=100000,INDEX($AD$1005:$AU$1005,1,MATCH(COLUMNS($AD$1006:AD1006),$AD$1006:$AU$1006,0))&gt;=100000), " ",IF(INDEX($AD$2:$AU$1001,MATCH(ROWS($W$2:W738),$W$2:$W$1001,0),MATCH(COLUMNS($AD$1006:AD1006),$AD$1006:$AU$1006,0)), HYPERLINK("#",""), HYPERLINK(CONCATENATE("#metadata!", ADDRESS(INDEX($Y$2:$Y$1001,MATCH(ROWS($W$2:W738),$W$2:$W$1001,0),0), INDEX($AD$1004:$AU$1004,1,MATCH(COLUMNS($AD$1006:AD1006),$AD$1006:$AU$1006,0)))),"Fix")))</f>
        <v xml:space="preserve"> </v>
      </c>
      <c r="C738" s="4" t="str">
        <f ca="1">IF(OR(INDEX($X$2:$X$1001,MATCH(ROWS($W$2:W738),$W$2:$W$1001,0),1)&gt;=100000,INDEX($AD$1005:$AU$1005,1,MATCH(COLUMNS($AD$1006:AE1006),$AD$1006:$AU$1006,0))&gt;=100000), " ",IF(INDEX($AD$2:$AU$1001,MATCH(ROWS($W$2:W738),$W$2:$W$1001,0),MATCH(COLUMNS($AD$1006:AE1006),$AD$1006:$AU$1006,0)), HYPERLINK("#",""), HYPERLINK(CONCATENATE("#metadata!", ADDRESS(INDEX($Y$2:$Y$1001,MATCH(ROWS($W$2:W738),$W$2:$W$1001,0),0), INDEX($AD$1004:$AU$1004,1,MATCH(COLUMNS($AD$1006:AE1006),$AD$1006:$AU$1006,0)))),"Fix")))</f>
        <v xml:space="preserve"> </v>
      </c>
      <c r="D738" s="4" t="str">
        <f ca="1">IF(OR(INDEX($X$2:$X$1001,MATCH(ROWS($W$2:W738),$W$2:$W$1001,0),1)&gt;=100000,INDEX($AD$1005:$AU$1005,1,MATCH(COLUMNS($AD$1006:AF1006),$AD$1006:$AU$1006,0))&gt;=100000), " ",IF(INDEX($AD$2:$AU$1001,MATCH(ROWS($W$2:W738),$W$2:$W$1001,0),MATCH(COLUMNS($AD$1006:AF1006),$AD$1006:$AU$1006,0)), HYPERLINK("#",""), HYPERLINK(CONCATENATE("#metadata!", ADDRESS(INDEX($Y$2:$Y$1001,MATCH(ROWS($W$2:W738),$W$2:$W$1001,0),0), INDEX($AD$1004:$AU$1004,1,MATCH(COLUMNS($AD$1006:AF1006),$AD$1006:$AU$1006,0)))),"Fix")))</f>
        <v xml:space="preserve"> </v>
      </c>
      <c r="E738" s="4" t="str">
        <f ca="1">IF(OR(INDEX($X$2:$X$1001,MATCH(ROWS($W$2:W738),$W$2:$W$1001,0),1)&gt;=100000,INDEX($AD$1005:$AU$1005,1,MATCH(COLUMNS($AD$1006:AG1006),$AD$1006:$AU$1006,0))&gt;=100000), " ",IF(INDEX($AD$2:$AU$1001,MATCH(ROWS($W$2:W738),$W$2:$W$1001,0),MATCH(COLUMNS($AD$1006:AG1006),$AD$1006:$AU$1006,0)), HYPERLINK("#",""), HYPERLINK(CONCATENATE("#metadata!", ADDRESS(INDEX($Y$2:$Y$1001,MATCH(ROWS($W$2:W738),$W$2:$W$1001,0),0), INDEX($AD$1004:$AU$1004,1,MATCH(COLUMNS($AD$1006:AG1006),$AD$1006:$AU$1006,0)))),"Fix")))</f>
        <v xml:space="preserve"> </v>
      </c>
      <c r="F738" s="4" t="str">
        <f ca="1">IF(OR(INDEX($X$2:$X$1001,MATCH(ROWS($W$2:W738),$W$2:$W$1001,0),1)&gt;=100000,INDEX($AD$1005:$AU$1005,1,MATCH(COLUMNS($AD$1006:AH1006),$AD$1006:$AU$1006,0))&gt;=100000), " ",IF(INDEX($AD$2:$AU$1001,MATCH(ROWS($W$2:W738),$W$2:$W$1001,0),MATCH(COLUMNS($AD$1006:AH1006),$AD$1006:$AU$1006,0)), HYPERLINK("#",""), HYPERLINK(CONCATENATE("#metadata!", ADDRESS(INDEX($Y$2:$Y$1001,MATCH(ROWS($W$2:W738),$W$2:$W$1001,0),0), INDEX($AD$1004:$AU$1004,1,MATCH(COLUMNS($AD$1006:AH1006),$AD$1006:$AU$1006,0)))),"Fix")))</f>
        <v xml:space="preserve"> </v>
      </c>
      <c r="G738" s="4" t="str">
        <f ca="1">IF(OR(INDEX($X$2:$X$1001,MATCH(ROWS($W$2:W738),$W$2:$W$1001,0),1)&gt;=100000,INDEX($AD$1005:$AU$1005,1,MATCH(COLUMNS($AD$1006:AI1006),$AD$1006:$AU$1006,0))&gt;=100000), " ",IF(INDEX($AD$2:$AU$1001,MATCH(ROWS($W$2:W738),$W$2:$W$1001,0),MATCH(COLUMNS($AD$1006:AI1006),$AD$1006:$AU$1006,0)), HYPERLINK("#",""), HYPERLINK(CONCATENATE("#metadata!", ADDRESS(INDEX($Y$2:$Y$1001,MATCH(ROWS($W$2:W738),$W$2:$W$1001,0),0), INDEX($AD$1004:$AU$1004,1,MATCH(COLUMNS($AD$1006:AI1006),$AD$1006:$AU$1006,0)))),"Fix")))</f>
        <v xml:space="preserve"> </v>
      </c>
      <c r="H738" s="4" t="str">
        <f ca="1">IF(OR(INDEX($X$2:$X$1001,MATCH(ROWS($W$2:W738),$W$2:$W$1001,0),1)&gt;=100000,INDEX($AD$1005:$AU$1005,1,MATCH(COLUMNS($AD$1006:AJ1006),$AD$1006:$AU$1006,0))&gt;=100000), " ",IF(INDEX($AD$2:$AU$1001,MATCH(ROWS($W$2:W738),$W$2:$W$1001,0),MATCH(COLUMNS($AD$1006:AJ1006),$AD$1006:$AU$1006,0)), HYPERLINK("#",""), HYPERLINK(CONCATENATE("#metadata!", ADDRESS(INDEX($Y$2:$Y$1001,MATCH(ROWS($W$2:W738),$W$2:$W$1001,0),0), INDEX($AD$1004:$AU$1004,1,MATCH(COLUMNS($AD$1006:AJ1006),$AD$1006:$AU$1006,0)))),"Fix")))</f>
        <v xml:space="preserve"> </v>
      </c>
      <c r="I738" s="4" t="str">
        <f ca="1">IF(OR(INDEX($X$2:$X$1001,MATCH(ROWS($W$2:W738),$W$2:$W$1001,0),1)&gt;=100000,INDEX($AD$1005:$AU$1005,1,MATCH(COLUMNS($AD$1006:AK1006),$AD$1006:$AU$1006,0))&gt;=100000), " ",IF(INDEX($AD$2:$AU$1001,MATCH(ROWS($W$2:W738),$W$2:$W$1001,0),MATCH(COLUMNS($AD$1006:AK1006),$AD$1006:$AU$1006,0)), HYPERLINK("#",""), HYPERLINK(CONCATENATE("#metadata!", ADDRESS(INDEX($Y$2:$Y$1001,MATCH(ROWS($W$2:W738),$W$2:$W$1001,0),0), INDEX($AD$1004:$AU$1004,1,MATCH(COLUMNS($AD$1006:AK1006),$AD$1006:$AU$1006,0)))),"Fix")))</f>
        <v xml:space="preserve"> </v>
      </c>
      <c r="J738" s="4" t="str">
        <f ca="1">IF(OR(INDEX($X$2:$X$1001,MATCH(ROWS($W$2:W738),$W$2:$W$1001,0),1)&gt;=100000,INDEX($AD$1005:$AU$1005,1,MATCH(COLUMNS($AD$1006:AL1006),$AD$1006:$AU$1006,0))&gt;=100000), " ",IF(INDEX($AD$2:$AU$1001,MATCH(ROWS($W$2:W738),$W$2:$W$1001,0),MATCH(COLUMNS($AD$1006:AL1006),$AD$1006:$AU$1006,0)), HYPERLINK("#",""), HYPERLINK(CONCATENATE("#metadata!", ADDRESS(INDEX($Y$2:$Y$1001,MATCH(ROWS($W$2:W738),$W$2:$W$1001,0),0), INDEX($AD$1004:$AU$1004,1,MATCH(COLUMNS($AD$1006:AL1006),$AD$1006:$AU$1006,0)))),"Fix")))</f>
        <v xml:space="preserve"> </v>
      </c>
      <c r="K738" s="4" t="str">
        <f ca="1">IF(OR(INDEX($X$2:$X$1001,MATCH(ROWS($W$2:W738),$W$2:$W$1001,0),1)&gt;=100000,INDEX($AD$1005:$AU$1005,1,MATCH(COLUMNS($AD$1006:AM1006),$AD$1006:$AU$1006,0))&gt;=100000), " ",IF(INDEX($AD$2:$AU$1001,MATCH(ROWS($W$2:W738),$W$2:$W$1001,0),MATCH(COLUMNS($AD$1006:AM1006),$AD$1006:$AU$1006,0)), HYPERLINK("#",""), HYPERLINK(CONCATENATE("#metadata!", ADDRESS(INDEX($Y$2:$Y$1001,MATCH(ROWS($W$2:W738),$W$2:$W$1001,0),0), INDEX($AD$1004:$AU$1004,1,MATCH(COLUMNS($AD$1006:AM1006),$AD$1006:$AU$1006,0)))),"Fix")))</f>
        <v xml:space="preserve"> </v>
      </c>
      <c r="L738" s="4" t="str">
        <f ca="1">IF(OR(INDEX($X$2:$X$1001,MATCH(ROWS($W$2:W738),$W$2:$W$1001,0),1)&gt;=100000,INDEX($AD$1005:$AU$1005,1,MATCH(COLUMNS($AD$1006:AN1006),$AD$1006:$AU$1006,0))&gt;=100000), " ",IF(INDEX($AD$2:$AU$1001,MATCH(ROWS($W$2:W738),$W$2:$W$1001,0),MATCH(COLUMNS($AD$1006:AN1006),$AD$1006:$AU$1006,0)), HYPERLINK("#",""), HYPERLINK(CONCATENATE("#metadata!", ADDRESS(INDEX($Y$2:$Y$1001,MATCH(ROWS($W$2:W738),$W$2:$W$1001,0),0), INDEX($AD$1004:$AU$1004,1,MATCH(COLUMNS($AD$1006:AN1006),$AD$1006:$AU$1006,0)))),"Fix")))</f>
        <v xml:space="preserve"> </v>
      </c>
      <c r="M738" s="4" t="str">
        <f ca="1">IF(OR(INDEX($X$2:$X$1001,MATCH(ROWS($W$2:W738),$W$2:$W$1001,0),1)&gt;=100000,INDEX($AD$1005:$AU$1005,1,MATCH(COLUMNS($AD$1006:AO1006),$AD$1006:$AU$1006,0))&gt;=100000), " ",IF(INDEX($AD$2:$AU$1001,MATCH(ROWS($W$2:W738),$W$2:$W$1001,0),MATCH(COLUMNS($AD$1006:AO1006),$AD$1006:$AU$1006,0)), HYPERLINK("#",""), HYPERLINK(CONCATENATE("#metadata!", ADDRESS(INDEX($Y$2:$Y$1001,MATCH(ROWS($W$2:W738),$W$2:$W$1001,0),0), INDEX($AD$1004:$AU$1004,1,MATCH(COLUMNS($AD$1006:AO1006),$AD$1006:$AU$1006,0)))),"Fix")))</f>
        <v xml:space="preserve"> </v>
      </c>
      <c r="N738" s="4" t="str">
        <f ca="1">IF(OR(INDEX($X$2:$X$1001,MATCH(ROWS($W$2:W738),$W$2:$W$1001,0),1)&gt;=100000,INDEX($AD$1005:$AU$1005,1,MATCH(COLUMNS($AD$1006:AP1006),$AD$1006:$AU$1006,0))&gt;=100000), " ",IF(INDEX($AD$2:$AU$1001,MATCH(ROWS($W$2:W738),$W$2:$W$1001,0),MATCH(COLUMNS($AD$1006:AP1006),$AD$1006:$AU$1006,0)), HYPERLINK("#",""), HYPERLINK(CONCATENATE("#metadata!", ADDRESS(INDEX($Y$2:$Y$1001,MATCH(ROWS($W$2:W738),$W$2:$W$1001,0),0), INDEX($AD$1004:$AU$1004,1,MATCH(COLUMNS($AD$1006:AP1006),$AD$1006:$AU$1006,0)))),"Fix")))</f>
        <v xml:space="preserve"> </v>
      </c>
      <c r="O738" s="4" t="str">
        <f ca="1">IF(OR(INDEX($X$2:$X$1001,MATCH(ROWS($W$2:W738),$W$2:$W$1001,0),1)&gt;=100000,INDEX($AD$1005:$AU$1005,1,MATCH(COLUMNS($AD$1006:AQ1006),$AD$1006:$AU$1006,0))&gt;=100000), " ",IF(INDEX($AD$2:$AU$1001,MATCH(ROWS($W$2:W738),$W$2:$W$1001,0),MATCH(COLUMNS($AD$1006:AQ1006),$AD$1006:$AU$1006,0)), HYPERLINK("#",""), HYPERLINK(CONCATENATE("#metadata!", ADDRESS(INDEX($Y$2:$Y$1001,MATCH(ROWS($W$2:W738),$W$2:$W$1001,0),0), INDEX($AD$1004:$AU$1004,1,MATCH(COLUMNS($AD$1006:AQ1006),$AD$1006:$AU$1006,0)))),"Fix")))</f>
        <v xml:space="preserve"> </v>
      </c>
      <c r="P738" s="4" t="str">
        <f ca="1">IF(OR(INDEX($X$2:$X$1001,MATCH(ROWS($W$2:W738),$W$2:$W$1001,0),1)&gt;=100000,INDEX($AD$1005:$AU$1005,1,MATCH(COLUMNS($AD$1006:AR1006),$AD$1006:$AU$1006,0))&gt;=100000), " ",IF(INDEX($AD$2:$AU$1001,MATCH(ROWS($W$2:W738),$W$2:$W$1001,0),MATCH(COLUMNS($AD$1006:AR1006),$AD$1006:$AU$1006,0)), HYPERLINK("#",""), HYPERLINK(CONCATENATE("#metadata!", ADDRESS(INDEX($Y$2:$Y$1001,MATCH(ROWS($W$2:W738),$W$2:$W$1001,0),0), INDEX($AD$1004:$AU$1004,1,MATCH(COLUMNS($AD$1006:AR1006),$AD$1006:$AU$1006,0)))),"Fix")))</f>
        <v xml:space="preserve"> </v>
      </c>
      <c r="Q738" s="4" t="str">
        <f ca="1">IF(OR(INDEX($X$2:$X$1001,MATCH(ROWS($W$2:W738),$W$2:$W$1001,0),1)&gt;=100000,INDEX($AD$1005:$AU$1005,1,MATCH(COLUMNS($AD$1006:AS1006),$AD$1006:$AU$1006,0))&gt;=100000), " ",IF(INDEX($AD$2:$AU$1001,MATCH(ROWS($W$2:W738),$W$2:$W$1001,0),MATCH(COLUMNS($AD$1006:AS1006),$AD$1006:$AU$1006,0)), HYPERLINK("#",""), HYPERLINK(CONCATENATE("#metadata!", ADDRESS(INDEX($Y$2:$Y$1001,MATCH(ROWS($W$2:W738),$W$2:$W$1001,0),0), INDEX($AD$1004:$AU$1004,1,MATCH(COLUMNS($AD$1006:AS1006),$AD$1006:$AU$1006,0)))),"Fix")))</f>
        <v xml:space="preserve"> </v>
      </c>
      <c r="R738" s="4" t="str">
        <f ca="1">IF(OR(INDEX($X$2:$X$1001,MATCH(ROWS($W$2:W738),$W$2:$W$1001,0),1)&gt;=100000,INDEX($AD$1005:$AU$1005,1,MATCH(COLUMNS($AD$1006:AT1006),$AD$1006:$AU$1006,0))&gt;=100000), " ",IF(INDEX($AD$2:$AU$1001,MATCH(ROWS($W$2:W738),$W$2:$W$1001,0),MATCH(COLUMNS($AD$1006:AT1006),$AD$1006:$AU$1006,0)), HYPERLINK("#",""), HYPERLINK(CONCATENATE("#metadata!", ADDRESS(INDEX($Y$2:$Y$1001,MATCH(ROWS($W$2:W738),$W$2:$W$1001,0),0), INDEX($AD$1004:$AU$1004,1,MATCH(COLUMNS($AD$1006:AT1006),$AD$1006:$AU$1006,0)))),"Fix")))</f>
        <v xml:space="preserve"> </v>
      </c>
      <c r="S738" s="4" t="str">
        <f ca="1">IF(OR(INDEX($X$2:$X$1001,MATCH(ROWS($W$2:W738),$W$2:$W$1001,0),1)&gt;=100000,INDEX($AD$1005:$AU$1005,1,MATCH(COLUMNS($AD$1006:AU1006),$AD$1006:$AU$1006,0))&gt;=100000), " ",IF(INDEX($AD$2:$AU$1001,MATCH(ROWS($W$2:W738),$W$2:$W$1001,0),MATCH(COLUMNS($AD$1006:AU1006),$AD$1006:$AU$1006,0)), HYPERLINK("#",""), HYPERLINK(CONCATENATE("#metadata!", ADDRESS(INDEX($Y$2:$Y$1001,MATCH(ROWS($W$2:W738),$W$2:$W$1001,0),0), INDEX($AD$1004:$AU$1004,1,MATCH(COLUMNS($AD$1006:AU1006),$AD$1006:$AU$1006,0)))),"Fix")))</f>
        <v xml:space="preserve"> </v>
      </c>
      <c r="W738">
        <v>737</v>
      </c>
      <c r="X738">
        <v>100738</v>
      </c>
      <c r="Y738">
        <v>738</v>
      </c>
      <c r="Z738" t="b">
        <f t="shared" si="11"/>
        <v>1</v>
      </c>
      <c r="AA738" t="b">
        <f>COUNTBLANK(metadata!B738:S738)=COLUMNS(metadata!B738:S738)</f>
        <v>1</v>
      </c>
      <c r="AB738" t="str">
        <v/>
      </c>
      <c r="AD738" t="b">
        <f ca="1">AND(IF(metadata!B738="",FALSE,TRUE),COUNTIF(metadata!B:B, metadata!B738) = 1,NOT(ISERROR(SUMPRODUCT(SEARCH(MID(metadata!B738,ROW(INDIRECT("1:"&amp;LEN(metadata!B738))), 1),"0123456789abcdefghijklmnopqrstuvwxyzABCDEFGHIJKLMNOPQRSTUVWXYZ.")))))</f>
        <v>0</v>
      </c>
      <c r="AE738" t="b">
        <f>OR(AND(IF(metadata!C738="",FALSE,TRUE),OR(EXACT(metadata!C738,"not applicable"),EXACT(metadata!C738,"missing: not collected"),EXACT(metadata!C738,"missing: not provided"),EXACT(metadata!C738,"missing: restricted access"))),AND(IF(metadata!C738="",FALSE,ISNUMBER(VALUE(metadata!C738))),metadata!C738&gt;0))</f>
        <v>0</v>
      </c>
      <c r="AF738" t="b">
        <f>AND(IF(metadata!D738="",FALSE,TRUE),EXACT(metadata!D738,"missing: not provided"))</f>
        <v>0</v>
      </c>
      <c r="AG738" t="b">
        <f>AND(IF(metadata!E738="",FALSE,TRUE),EXACT(metadata!E738,"Host-associated"))</f>
        <v>0</v>
      </c>
      <c r="AH738" t="b">
        <f>AND(IF(metadata!F738="",FALSE,TRUE),OR(EXACT(metadata!F738,"Animal"),EXACT(metadata!F738,"Fungus"),EXACT(metadata!F738,"Plant")))</f>
        <v>0</v>
      </c>
      <c r="AI738" t="b">
        <f>AND(IF(metadata!G738="",FALSE,TRUE),OR(EXACT(metadata!G738,"Plant secretion"),EXACT(metadata!G738,"Plant rhizosphere"),EXACT(metadata!G738,"Plant surface"),EXACT(metadata!G738,"Plant corpus"),EXACT(metadata!G738,"Fungus surface"),EXACT(metadata!G738,"Fungus corpus"),EXACT(metadata!G738,"Animal surface"),EXACT(metadata!G738,"Animal proximal gut"),EXACT(metadata!G738,"Animal corpus"),EXACT(metadata!G738,"Animal distal gut"),EXACT(metadata!G738,"Animal secretion")))</f>
        <v>0</v>
      </c>
      <c r="AJ738" t="b">
        <f>OR(AND(IF(metadata!H738="",FALSE,TRUE),OR(EXACT(metadata!H738,"missing: not collected"),EXACT(metadata!H738,"missing: not provided"),EXACT(metadata!H738,"missing: restricted access"))),AND(IF(metadata!H738="",FALSE,TRUE),OR(EXACT(metadata!H738,"organism-associated habitat"),EXACT(metadata!H738,"plant-associated habitat"),EXACT(metadata!H738,"animal-associated habitat"),EXACT(metadata!H738,"insecta-associated habitat"),EXACT(metadata!H738,"mammalia-associated habitat"),EXACT(metadata!H738,"human-associated habitat"),EXACT(metadata!H738,"livestock-associated habitat"))))</f>
        <v>0</v>
      </c>
      <c r="AK738" t="b">
        <f>AND(IF(metadata!I738="",FALSE,TRUE),EXACT(metadata!I738,"host-associated"))</f>
        <v>0</v>
      </c>
      <c r="AL738" t="b">
        <f>OR(AND(IF(metadata!J738="",FALSE,TRUE),OR(EXACT(metadata!J738,"not applicable"),EXACT(metadata!J738,"missing: not collected"),EXACT(metadata!J738,"missing: not provided"),EXACT(metadata!J738,"missing: restricted access"))),AND(IF(metadata!J738="",FALSE,ISNUMBER(VALUE(metadata!J738))),metadata!J738&gt;0))</f>
        <v>0</v>
      </c>
      <c r="AM738" t="b">
        <f>AND(IF(metadata!K738="",FALSE,TRUE),EXACT(metadata!K738,"missing: not provided"))</f>
        <v>0</v>
      </c>
      <c r="AN738" t="b">
        <f>IF(metadata!L738="",FALSE,TRUE)</f>
        <v>0</v>
      </c>
      <c r="AO738" t="b">
        <f>IF(metadata!M738="",FALSE,TRUE)</f>
        <v>0</v>
      </c>
      <c r="AP738" t="b">
        <f>OR(AND(IF(metadata!N738="",FALSE,TRUE),OR(EXACT(metadata!N738,"not applicable"),EXACT(metadata!N738,"missing: not collected"),EXACT(metadata!N738,"missing: not provided"))),AND(IF(metadata!N738="",FALSE,IF(ISERROR(INT(metadata!N738)),FALSE,INT(metadata!N738)=metadata!N738)),metadata!N738&gt;0))</f>
        <v>0</v>
      </c>
      <c r="AQ738" t="b">
        <f>AND(IF(metadata!O738="",FALSE,TRUE),EXACT(metadata!O738,"Not applicable"))</f>
        <v>0</v>
      </c>
      <c r="AR738" t="b">
        <f>OR(AND(IF(metadata!P738="",FALSE,TRUE),OR(EXACT(metadata!P738,"not applicable"),EXACT(metadata!P738,"missing: not collected"),EXACT(metadata!P738,"missing: not provided"),EXACT(metadata!P738,"missing: restricted access"))),IF(metadata!P738="",FALSE,IF(ISERROR(INT(metadata!P738)),FALSE,INT(metadata!P738)=metadata!P738)))</f>
        <v>0</v>
      </c>
      <c r="AS738" t="b">
        <f>AND(IF(metadata!Q738="",FALSE,TRUE),EXACT(metadata!Q738,"Not applicable"))</f>
        <v>0</v>
      </c>
      <c r="AT738" t="b">
        <f>OR(AND(IF(metadata!R738="",FALSE,TRUE),OR(EXACT(metadata!R738,"not applicable"),EXACT(metadata!R738,"missing: not collected"),EXACT(metadata!R738,"missing: not provided"),EXACT(metadata!R738,"missing: restricted access"))),AND(IF(metadata!R738="",FALSE,ISNUMBER(VALUE(metadata!R738))),metadata!R738&gt;0))</f>
        <v>0</v>
      </c>
      <c r="AU738" t="b">
        <f>AND(IF(metadata!S738="",FALSE,TRUE),EXACT(metadata!S738,"missing: not provided"))</f>
        <v>0</v>
      </c>
    </row>
    <row r="739" spans="1:47" x14ac:dyDescent="0.2">
      <c r="A739" s="5" t="str">
        <f ca="1">IF(B739=" "," ",HYPERLINK(CONCATENATE("#metadata!",ADDRESS(INDEX($Y$2:$Y$1001,MATCH(ROWS($W$2:W739),$W$2:$W$1001,0),0),1)),INDEX($AB$2:$AB$1001,MATCH(ROWS($W$2:W739),$W$2:$W$1001,0),0)))</f>
        <v xml:space="preserve"> </v>
      </c>
      <c r="B739" s="4" t="str">
        <f ca="1">IF(OR(INDEX($X$2:$X$1001,MATCH(ROWS($W$2:W739),$W$2:$W$1001,0),1)&gt;=100000,INDEX($AD$1005:$AU$1005,1,MATCH(COLUMNS($AD$1006:AD1006),$AD$1006:$AU$1006,0))&gt;=100000), " ",IF(INDEX($AD$2:$AU$1001,MATCH(ROWS($W$2:W739),$W$2:$W$1001,0),MATCH(COLUMNS($AD$1006:AD1006),$AD$1006:$AU$1006,0)), HYPERLINK("#",""), HYPERLINK(CONCATENATE("#metadata!", ADDRESS(INDEX($Y$2:$Y$1001,MATCH(ROWS($W$2:W739),$W$2:$W$1001,0),0), INDEX($AD$1004:$AU$1004,1,MATCH(COLUMNS($AD$1006:AD1006),$AD$1006:$AU$1006,0)))),"Fix")))</f>
        <v xml:space="preserve"> </v>
      </c>
      <c r="C739" s="4" t="str">
        <f ca="1">IF(OR(INDEX($X$2:$X$1001,MATCH(ROWS($W$2:W739),$W$2:$W$1001,0),1)&gt;=100000,INDEX($AD$1005:$AU$1005,1,MATCH(COLUMNS($AD$1006:AE1006),$AD$1006:$AU$1006,0))&gt;=100000), " ",IF(INDEX($AD$2:$AU$1001,MATCH(ROWS($W$2:W739),$W$2:$W$1001,0),MATCH(COLUMNS($AD$1006:AE1006),$AD$1006:$AU$1006,0)), HYPERLINK("#",""), HYPERLINK(CONCATENATE("#metadata!", ADDRESS(INDEX($Y$2:$Y$1001,MATCH(ROWS($W$2:W739),$W$2:$W$1001,0),0), INDEX($AD$1004:$AU$1004,1,MATCH(COLUMNS($AD$1006:AE1006),$AD$1006:$AU$1006,0)))),"Fix")))</f>
        <v xml:space="preserve"> </v>
      </c>
      <c r="D739" s="4" t="str">
        <f ca="1">IF(OR(INDEX($X$2:$X$1001,MATCH(ROWS($W$2:W739),$W$2:$W$1001,0),1)&gt;=100000,INDEX($AD$1005:$AU$1005,1,MATCH(COLUMNS($AD$1006:AF1006),$AD$1006:$AU$1006,0))&gt;=100000), " ",IF(INDEX($AD$2:$AU$1001,MATCH(ROWS($W$2:W739),$W$2:$W$1001,0),MATCH(COLUMNS($AD$1006:AF1006),$AD$1006:$AU$1006,0)), HYPERLINK("#",""), HYPERLINK(CONCATENATE("#metadata!", ADDRESS(INDEX($Y$2:$Y$1001,MATCH(ROWS($W$2:W739),$W$2:$W$1001,0),0), INDEX($AD$1004:$AU$1004,1,MATCH(COLUMNS($AD$1006:AF1006),$AD$1006:$AU$1006,0)))),"Fix")))</f>
        <v xml:space="preserve"> </v>
      </c>
      <c r="E739" s="4" t="str">
        <f ca="1">IF(OR(INDEX($X$2:$X$1001,MATCH(ROWS($W$2:W739),$W$2:$W$1001,0),1)&gt;=100000,INDEX($AD$1005:$AU$1005,1,MATCH(COLUMNS($AD$1006:AG1006),$AD$1006:$AU$1006,0))&gt;=100000), " ",IF(INDEX($AD$2:$AU$1001,MATCH(ROWS($W$2:W739),$W$2:$W$1001,0),MATCH(COLUMNS($AD$1006:AG1006),$AD$1006:$AU$1006,0)), HYPERLINK("#",""), HYPERLINK(CONCATENATE("#metadata!", ADDRESS(INDEX($Y$2:$Y$1001,MATCH(ROWS($W$2:W739),$W$2:$W$1001,0),0), INDEX($AD$1004:$AU$1004,1,MATCH(COLUMNS($AD$1006:AG1006),$AD$1006:$AU$1006,0)))),"Fix")))</f>
        <v xml:space="preserve"> </v>
      </c>
      <c r="F739" s="4" t="str">
        <f ca="1">IF(OR(INDEX($X$2:$X$1001,MATCH(ROWS($W$2:W739),$W$2:$W$1001,0),1)&gt;=100000,INDEX($AD$1005:$AU$1005,1,MATCH(COLUMNS($AD$1006:AH1006),$AD$1006:$AU$1006,0))&gt;=100000), " ",IF(INDEX($AD$2:$AU$1001,MATCH(ROWS($W$2:W739),$W$2:$W$1001,0),MATCH(COLUMNS($AD$1006:AH1006),$AD$1006:$AU$1006,0)), HYPERLINK("#",""), HYPERLINK(CONCATENATE("#metadata!", ADDRESS(INDEX($Y$2:$Y$1001,MATCH(ROWS($W$2:W739),$W$2:$W$1001,0),0), INDEX($AD$1004:$AU$1004,1,MATCH(COLUMNS($AD$1006:AH1006),$AD$1006:$AU$1006,0)))),"Fix")))</f>
        <v xml:space="preserve"> </v>
      </c>
      <c r="G739" s="4" t="str">
        <f ca="1">IF(OR(INDEX($X$2:$X$1001,MATCH(ROWS($W$2:W739),$W$2:$W$1001,0),1)&gt;=100000,INDEX($AD$1005:$AU$1005,1,MATCH(COLUMNS($AD$1006:AI1006),$AD$1006:$AU$1006,0))&gt;=100000), " ",IF(INDEX($AD$2:$AU$1001,MATCH(ROWS($W$2:W739),$W$2:$W$1001,0),MATCH(COLUMNS($AD$1006:AI1006),$AD$1006:$AU$1006,0)), HYPERLINK("#",""), HYPERLINK(CONCATENATE("#metadata!", ADDRESS(INDEX($Y$2:$Y$1001,MATCH(ROWS($W$2:W739),$W$2:$W$1001,0),0), INDEX($AD$1004:$AU$1004,1,MATCH(COLUMNS($AD$1006:AI1006),$AD$1006:$AU$1006,0)))),"Fix")))</f>
        <v xml:space="preserve"> </v>
      </c>
      <c r="H739" s="4" t="str">
        <f ca="1">IF(OR(INDEX($X$2:$X$1001,MATCH(ROWS($W$2:W739),$W$2:$W$1001,0),1)&gt;=100000,INDEX($AD$1005:$AU$1005,1,MATCH(COLUMNS($AD$1006:AJ1006),$AD$1006:$AU$1006,0))&gt;=100000), " ",IF(INDEX($AD$2:$AU$1001,MATCH(ROWS($W$2:W739),$W$2:$W$1001,0),MATCH(COLUMNS($AD$1006:AJ1006),$AD$1006:$AU$1006,0)), HYPERLINK("#",""), HYPERLINK(CONCATENATE("#metadata!", ADDRESS(INDEX($Y$2:$Y$1001,MATCH(ROWS($W$2:W739),$W$2:$W$1001,0),0), INDEX($AD$1004:$AU$1004,1,MATCH(COLUMNS($AD$1006:AJ1006),$AD$1006:$AU$1006,0)))),"Fix")))</f>
        <v xml:space="preserve"> </v>
      </c>
      <c r="I739" s="4" t="str">
        <f ca="1">IF(OR(INDEX($X$2:$X$1001,MATCH(ROWS($W$2:W739),$W$2:$W$1001,0),1)&gt;=100000,INDEX($AD$1005:$AU$1005,1,MATCH(COLUMNS($AD$1006:AK1006),$AD$1006:$AU$1006,0))&gt;=100000), " ",IF(INDEX($AD$2:$AU$1001,MATCH(ROWS($W$2:W739),$W$2:$W$1001,0),MATCH(COLUMNS($AD$1006:AK1006),$AD$1006:$AU$1006,0)), HYPERLINK("#",""), HYPERLINK(CONCATENATE("#metadata!", ADDRESS(INDEX($Y$2:$Y$1001,MATCH(ROWS($W$2:W739),$W$2:$W$1001,0),0), INDEX($AD$1004:$AU$1004,1,MATCH(COLUMNS($AD$1006:AK1006),$AD$1006:$AU$1006,0)))),"Fix")))</f>
        <v xml:space="preserve"> </v>
      </c>
      <c r="J739" s="4" t="str">
        <f ca="1">IF(OR(INDEX($X$2:$X$1001,MATCH(ROWS($W$2:W739),$W$2:$W$1001,0),1)&gt;=100000,INDEX($AD$1005:$AU$1005,1,MATCH(COLUMNS($AD$1006:AL1006),$AD$1006:$AU$1006,0))&gt;=100000), " ",IF(INDEX($AD$2:$AU$1001,MATCH(ROWS($W$2:W739),$W$2:$W$1001,0),MATCH(COLUMNS($AD$1006:AL1006),$AD$1006:$AU$1006,0)), HYPERLINK("#",""), HYPERLINK(CONCATENATE("#metadata!", ADDRESS(INDEX($Y$2:$Y$1001,MATCH(ROWS($W$2:W739),$W$2:$W$1001,0),0), INDEX($AD$1004:$AU$1004,1,MATCH(COLUMNS($AD$1006:AL1006),$AD$1006:$AU$1006,0)))),"Fix")))</f>
        <v xml:space="preserve"> </v>
      </c>
      <c r="K739" s="4" t="str">
        <f ca="1">IF(OR(INDEX($X$2:$X$1001,MATCH(ROWS($W$2:W739),$W$2:$W$1001,0),1)&gt;=100000,INDEX($AD$1005:$AU$1005,1,MATCH(COLUMNS($AD$1006:AM1006),$AD$1006:$AU$1006,0))&gt;=100000), " ",IF(INDEX($AD$2:$AU$1001,MATCH(ROWS($W$2:W739),$W$2:$W$1001,0),MATCH(COLUMNS($AD$1006:AM1006),$AD$1006:$AU$1006,0)), HYPERLINK("#",""), HYPERLINK(CONCATENATE("#metadata!", ADDRESS(INDEX($Y$2:$Y$1001,MATCH(ROWS($W$2:W739),$W$2:$W$1001,0),0), INDEX($AD$1004:$AU$1004,1,MATCH(COLUMNS($AD$1006:AM1006),$AD$1006:$AU$1006,0)))),"Fix")))</f>
        <v xml:space="preserve"> </v>
      </c>
      <c r="L739" s="4" t="str">
        <f ca="1">IF(OR(INDEX($X$2:$X$1001,MATCH(ROWS($W$2:W739),$W$2:$W$1001,0),1)&gt;=100000,INDEX($AD$1005:$AU$1005,1,MATCH(COLUMNS($AD$1006:AN1006),$AD$1006:$AU$1006,0))&gt;=100000), " ",IF(INDEX($AD$2:$AU$1001,MATCH(ROWS($W$2:W739),$W$2:$W$1001,0),MATCH(COLUMNS($AD$1006:AN1006),$AD$1006:$AU$1006,0)), HYPERLINK("#",""), HYPERLINK(CONCATENATE("#metadata!", ADDRESS(INDEX($Y$2:$Y$1001,MATCH(ROWS($W$2:W739),$W$2:$W$1001,0),0), INDEX($AD$1004:$AU$1004,1,MATCH(COLUMNS($AD$1006:AN1006),$AD$1006:$AU$1006,0)))),"Fix")))</f>
        <v xml:space="preserve"> </v>
      </c>
      <c r="M739" s="4" t="str">
        <f ca="1">IF(OR(INDEX($X$2:$X$1001,MATCH(ROWS($W$2:W739),$W$2:$W$1001,0),1)&gt;=100000,INDEX($AD$1005:$AU$1005,1,MATCH(COLUMNS($AD$1006:AO1006),$AD$1006:$AU$1006,0))&gt;=100000), " ",IF(INDEX($AD$2:$AU$1001,MATCH(ROWS($W$2:W739),$W$2:$W$1001,0),MATCH(COLUMNS($AD$1006:AO1006),$AD$1006:$AU$1006,0)), HYPERLINK("#",""), HYPERLINK(CONCATENATE("#metadata!", ADDRESS(INDEX($Y$2:$Y$1001,MATCH(ROWS($W$2:W739),$W$2:$W$1001,0),0), INDEX($AD$1004:$AU$1004,1,MATCH(COLUMNS($AD$1006:AO1006),$AD$1006:$AU$1006,0)))),"Fix")))</f>
        <v xml:space="preserve"> </v>
      </c>
      <c r="N739" s="4" t="str">
        <f ca="1">IF(OR(INDEX($X$2:$X$1001,MATCH(ROWS($W$2:W739),$W$2:$W$1001,0),1)&gt;=100000,INDEX($AD$1005:$AU$1005,1,MATCH(COLUMNS($AD$1006:AP1006),$AD$1006:$AU$1006,0))&gt;=100000), " ",IF(INDEX($AD$2:$AU$1001,MATCH(ROWS($W$2:W739),$W$2:$W$1001,0),MATCH(COLUMNS($AD$1006:AP1006),$AD$1006:$AU$1006,0)), HYPERLINK("#",""), HYPERLINK(CONCATENATE("#metadata!", ADDRESS(INDEX($Y$2:$Y$1001,MATCH(ROWS($W$2:W739),$W$2:$W$1001,0),0), INDEX($AD$1004:$AU$1004,1,MATCH(COLUMNS($AD$1006:AP1006),$AD$1006:$AU$1006,0)))),"Fix")))</f>
        <v xml:space="preserve"> </v>
      </c>
      <c r="O739" s="4" t="str">
        <f ca="1">IF(OR(INDEX($X$2:$X$1001,MATCH(ROWS($W$2:W739),$W$2:$W$1001,0),1)&gt;=100000,INDEX($AD$1005:$AU$1005,1,MATCH(COLUMNS($AD$1006:AQ1006),$AD$1006:$AU$1006,0))&gt;=100000), " ",IF(INDEX($AD$2:$AU$1001,MATCH(ROWS($W$2:W739),$W$2:$W$1001,0),MATCH(COLUMNS($AD$1006:AQ1006),$AD$1006:$AU$1006,0)), HYPERLINK("#",""), HYPERLINK(CONCATENATE("#metadata!", ADDRESS(INDEX($Y$2:$Y$1001,MATCH(ROWS($W$2:W739),$W$2:$W$1001,0),0), INDEX($AD$1004:$AU$1004,1,MATCH(COLUMNS($AD$1006:AQ1006),$AD$1006:$AU$1006,0)))),"Fix")))</f>
        <v xml:space="preserve"> </v>
      </c>
      <c r="P739" s="4" t="str">
        <f ca="1">IF(OR(INDEX($X$2:$X$1001,MATCH(ROWS($W$2:W739),$W$2:$W$1001,0),1)&gt;=100000,INDEX($AD$1005:$AU$1005,1,MATCH(COLUMNS($AD$1006:AR1006),$AD$1006:$AU$1006,0))&gt;=100000), " ",IF(INDEX($AD$2:$AU$1001,MATCH(ROWS($W$2:W739),$W$2:$W$1001,0),MATCH(COLUMNS($AD$1006:AR1006),$AD$1006:$AU$1006,0)), HYPERLINK("#",""), HYPERLINK(CONCATENATE("#metadata!", ADDRESS(INDEX($Y$2:$Y$1001,MATCH(ROWS($W$2:W739),$W$2:$W$1001,0),0), INDEX($AD$1004:$AU$1004,1,MATCH(COLUMNS($AD$1006:AR1006),$AD$1006:$AU$1006,0)))),"Fix")))</f>
        <v xml:space="preserve"> </v>
      </c>
      <c r="Q739" s="4" t="str">
        <f ca="1">IF(OR(INDEX($X$2:$X$1001,MATCH(ROWS($W$2:W739),$W$2:$W$1001,0),1)&gt;=100000,INDEX($AD$1005:$AU$1005,1,MATCH(COLUMNS($AD$1006:AS1006),$AD$1006:$AU$1006,0))&gt;=100000), " ",IF(INDEX($AD$2:$AU$1001,MATCH(ROWS($W$2:W739),$W$2:$W$1001,0),MATCH(COLUMNS($AD$1006:AS1006),$AD$1006:$AU$1006,0)), HYPERLINK("#",""), HYPERLINK(CONCATENATE("#metadata!", ADDRESS(INDEX($Y$2:$Y$1001,MATCH(ROWS($W$2:W739),$W$2:$W$1001,0),0), INDEX($AD$1004:$AU$1004,1,MATCH(COLUMNS($AD$1006:AS1006),$AD$1006:$AU$1006,0)))),"Fix")))</f>
        <v xml:space="preserve"> </v>
      </c>
      <c r="R739" s="4" t="str">
        <f ca="1">IF(OR(INDEX($X$2:$X$1001,MATCH(ROWS($W$2:W739),$W$2:$W$1001,0),1)&gt;=100000,INDEX($AD$1005:$AU$1005,1,MATCH(COLUMNS($AD$1006:AT1006),$AD$1006:$AU$1006,0))&gt;=100000), " ",IF(INDEX($AD$2:$AU$1001,MATCH(ROWS($W$2:W739),$W$2:$W$1001,0),MATCH(COLUMNS($AD$1006:AT1006),$AD$1006:$AU$1006,0)), HYPERLINK("#",""), HYPERLINK(CONCATENATE("#metadata!", ADDRESS(INDEX($Y$2:$Y$1001,MATCH(ROWS($W$2:W739),$W$2:$W$1001,0),0), INDEX($AD$1004:$AU$1004,1,MATCH(COLUMNS($AD$1006:AT1006),$AD$1006:$AU$1006,0)))),"Fix")))</f>
        <v xml:space="preserve"> </v>
      </c>
      <c r="S739" s="4" t="str">
        <f ca="1">IF(OR(INDEX($X$2:$X$1001,MATCH(ROWS($W$2:W739),$W$2:$W$1001,0),1)&gt;=100000,INDEX($AD$1005:$AU$1005,1,MATCH(COLUMNS($AD$1006:AU1006),$AD$1006:$AU$1006,0))&gt;=100000), " ",IF(INDEX($AD$2:$AU$1001,MATCH(ROWS($W$2:W739),$W$2:$W$1001,0),MATCH(COLUMNS($AD$1006:AU1006),$AD$1006:$AU$1006,0)), HYPERLINK("#",""), HYPERLINK(CONCATENATE("#metadata!", ADDRESS(INDEX($Y$2:$Y$1001,MATCH(ROWS($W$2:W739),$W$2:$W$1001,0),0), INDEX($AD$1004:$AU$1004,1,MATCH(COLUMNS($AD$1006:AU1006),$AD$1006:$AU$1006,0)))),"Fix")))</f>
        <v xml:space="preserve"> </v>
      </c>
      <c r="W739">
        <v>738</v>
      </c>
      <c r="X739">
        <v>100739</v>
      </c>
      <c r="Y739">
        <v>739</v>
      </c>
      <c r="Z739" t="b">
        <f t="shared" si="11"/>
        <v>1</v>
      </c>
      <c r="AA739" t="b">
        <f>COUNTBLANK(metadata!B739:S739)=COLUMNS(metadata!B739:S739)</f>
        <v>1</v>
      </c>
      <c r="AB739" t="str">
        <v/>
      </c>
      <c r="AD739" t="b">
        <f ca="1">AND(IF(metadata!B739="",FALSE,TRUE),COUNTIF(metadata!B:B, metadata!B739) = 1,NOT(ISERROR(SUMPRODUCT(SEARCH(MID(metadata!B739,ROW(INDIRECT("1:"&amp;LEN(metadata!B739))), 1),"0123456789abcdefghijklmnopqrstuvwxyzABCDEFGHIJKLMNOPQRSTUVWXYZ.")))))</f>
        <v>0</v>
      </c>
      <c r="AE739" t="b">
        <f>OR(AND(IF(metadata!C739="",FALSE,TRUE),OR(EXACT(metadata!C739,"not applicable"),EXACT(metadata!C739,"missing: not collected"),EXACT(metadata!C739,"missing: not provided"),EXACT(metadata!C739,"missing: restricted access"))),AND(IF(metadata!C739="",FALSE,ISNUMBER(VALUE(metadata!C739))),metadata!C739&gt;0))</f>
        <v>0</v>
      </c>
      <c r="AF739" t="b">
        <f>AND(IF(metadata!D739="",FALSE,TRUE),EXACT(metadata!D739,"missing: not provided"))</f>
        <v>0</v>
      </c>
      <c r="AG739" t="b">
        <f>AND(IF(metadata!E739="",FALSE,TRUE),EXACT(metadata!E739,"Host-associated"))</f>
        <v>0</v>
      </c>
      <c r="AH739" t="b">
        <f>AND(IF(metadata!F739="",FALSE,TRUE),OR(EXACT(metadata!F739,"Animal"),EXACT(metadata!F739,"Fungus"),EXACT(metadata!F739,"Plant")))</f>
        <v>0</v>
      </c>
      <c r="AI739" t="b">
        <f>AND(IF(metadata!G739="",FALSE,TRUE),OR(EXACT(metadata!G739,"Plant secretion"),EXACT(metadata!G739,"Plant rhizosphere"),EXACT(metadata!G739,"Plant surface"),EXACT(metadata!G739,"Plant corpus"),EXACT(metadata!G739,"Fungus surface"),EXACT(metadata!G739,"Fungus corpus"),EXACT(metadata!G739,"Animal surface"),EXACT(metadata!G739,"Animal proximal gut"),EXACT(metadata!G739,"Animal corpus"),EXACT(metadata!G739,"Animal distal gut"),EXACT(metadata!G739,"Animal secretion")))</f>
        <v>0</v>
      </c>
      <c r="AJ739" t="b">
        <f>OR(AND(IF(metadata!H739="",FALSE,TRUE),OR(EXACT(metadata!H739,"missing: not collected"),EXACT(metadata!H739,"missing: not provided"),EXACT(metadata!H739,"missing: restricted access"))),AND(IF(metadata!H739="",FALSE,TRUE),OR(EXACT(metadata!H739,"organism-associated habitat"),EXACT(metadata!H739,"plant-associated habitat"),EXACT(metadata!H739,"animal-associated habitat"),EXACT(metadata!H739,"insecta-associated habitat"),EXACT(metadata!H739,"mammalia-associated habitat"),EXACT(metadata!H739,"human-associated habitat"),EXACT(metadata!H739,"livestock-associated habitat"))))</f>
        <v>0</v>
      </c>
      <c r="AK739" t="b">
        <f>AND(IF(metadata!I739="",FALSE,TRUE),EXACT(metadata!I739,"host-associated"))</f>
        <v>0</v>
      </c>
      <c r="AL739" t="b">
        <f>OR(AND(IF(metadata!J739="",FALSE,TRUE),OR(EXACT(metadata!J739,"not applicable"),EXACT(metadata!J739,"missing: not collected"),EXACT(metadata!J739,"missing: not provided"),EXACT(metadata!J739,"missing: restricted access"))),AND(IF(metadata!J739="",FALSE,ISNUMBER(VALUE(metadata!J739))),metadata!J739&gt;0))</f>
        <v>0</v>
      </c>
      <c r="AM739" t="b">
        <f>AND(IF(metadata!K739="",FALSE,TRUE),EXACT(metadata!K739,"missing: not provided"))</f>
        <v>0</v>
      </c>
      <c r="AN739" t="b">
        <f>IF(metadata!L739="",FALSE,TRUE)</f>
        <v>0</v>
      </c>
      <c r="AO739" t="b">
        <f>IF(metadata!M739="",FALSE,TRUE)</f>
        <v>0</v>
      </c>
      <c r="AP739" t="b">
        <f>OR(AND(IF(metadata!N739="",FALSE,TRUE),OR(EXACT(metadata!N739,"not applicable"),EXACT(metadata!N739,"missing: not collected"),EXACT(metadata!N739,"missing: not provided"))),AND(IF(metadata!N739="",FALSE,IF(ISERROR(INT(metadata!N739)),FALSE,INT(metadata!N739)=metadata!N739)),metadata!N739&gt;0))</f>
        <v>0</v>
      </c>
      <c r="AQ739" t="b">
        <f>AND(IF(metadata!O739="",FALSE,TRUE),EXACT(metadata!O739,"Not applicable"))</f>
        <v>0</v>
      </c>
      <c r="AR739" t="b">
        <f>OR(AND(IF(metadata!P739="",FALSE,TRUE),OR(EXACT(metadata!P739,"not applicable"),EXACT(metadata!P739,"missing: not collected"),EXACT(metadata!P739,"missing: not provided"),EXACT(metadata!P739,"missing: restricted access"))),IF(metadata!P739="",FALSE,IF(ISERROR(INT(metadata!P739)),FALSE,INT(metadata!P739)=metadata!P739)))</f>
        <v>0</v>
      </c>
      <c r="AS739" t="b">
        <f>AND(IF(metadata!Q739="",FALSE,TRUE),EXACT(metadata!Q739,"Not applicable"))</f>
        <v>0</v>
      </c>
      <c r="AT739" t="b">
        <f>OR(AND(IF(metadata!R739="",FALSE,TRUE),OR(EXACT(metadata!R739,"not applicable"),EXACT(metadata!R739,"missing: not collected"),EXACT(metadata!R739,"missing: not provided"),EXACT(metadata!R739,"missing: restricted access"))),AND(IF(metadata!R739="",FALSE,ISNUMBER(VALUE(metadata!R739))),metadata!R739&gt;0))</f>
        <v>0</v>
      </c>
      <c r="AU739" t="b">
        <f>AND(IF(metadata!S739="",FALSE,TRUE),EXACT(metadata!S739,"missing: not provided"))</f>
        <v>0</v>
      </c>
    </row>
    <row r="740" spans="1:47" x14ac:dyDescent="0.2">
      <c r="A740" s="5" t="str">
        <f ca="1">IF(B740=" "," ",HYPERLINK(CONCATENATE("#metadata!",ADDRESS(INDEX($Y$2:$Y$1001,MATCH(ROWS($W$2:W740),$W$2:$W$1001,0),0),1)),INDEX($AB$2:$AB$1001,MATCH(ROWS($W$2:W740),$W$2:$W$1001,0),0)))</f>
        <v xml:space="preserve"> </v>
      </c>
      <c r="B740" s="4" t="str">
        <f ca="1">IF(OR(INDEX($X$2:$X$1001,MATCH(ROWS($W$2:W740),$W$2:$W$1001,0),1)&gt;=100000,INDEX($AD$1005:$AU$1005,1,MATCH(COLUMNS($AD$1006:AD1006),$AD$1006:$AU$1006,0))&gt;=100000), " ",IF(INDEX($AD$2:$AU$1001,MATCH(ROWS($W$2:W740),$W$2:$W$1001,0),MATCH(COLUMNS($AD$1006:AD1006),$AD$1006:$AU$1006,0)), HYPERLINK("#",""), HYPERLINK(CONCATENATE("#metadata!", ADDRESS(INDEX($Y$2:$Y$1001,MATCH(ROWS($W$2:W740),$W$2:$W$1001,0),0), INDEX($AD$1004:$AU$1004,1,MATCH(COLUMNS($AD$1006:AD1006),$AD$1006:$AU$1006,0)))),"Fix")))</f>
        <v xml:space="preserve"> </v>
      </c>
      <c r="C740" s="4" t="str">
        <f ca="1">IF(OR(INDEX($X$2:$X$1001,MATCH(ROWS($W$2:W740),$W$2:$W$1001,0),1)&gt;=100000,INDEX($AD$1005:$AU$1005,1,MATCH(COLUMNS($AD$1006:AE1006),$AD$1006:$AU$1006,0))&gt;=100000), " ",IF(INDEX($AD$2:$AU$1001,MATCH(ROWS($W$2:W740),$W$2:$W$1001,0),MATCH(COLUMNS($AD$1006:AE1006),$AD$1006:$AU$1006,0)), HYPERLINK("#",""), HYPERLINK(CONCATENATE("#metadata!", ADDRESS(INDEX($Y$2:$Y$1001,MATCH(ROWS($W$2:W740),$W$2:$W$1001,0),0), INDEX($AD$1004:$AU$1004,1,MATCH(COLUMNS($AD$1006:AE1006),$AD$1006:$AU$1006,0)))),"Fix")))</f>
        <v xml:space="preserve"> </v>
      </c>
      <c r="D740" s="4" t="str">
        <f ca="1">IF(OR(INDEX($X$2:$X$1001,MATCH(ROWS($W$2:W740),$W$2:$W$1001,0),1)&gt;=100000,INDEX($AD$1005:$AU$1005,1,MATCH(COLUMNS($AD$1006:AF1006),$AD$1006:$AU$1006,0))&gt;=100000), " ",IF(INDEX($AD$2:$AU$1001,MATCH(ROWS($W$2:W740),$W$2:$W$1001,0),MATCH(COLUMNS($AD$1006:AF1006),$AD$1006:$AU$1006,0)), HYPERLINK("#",""), HYPERLINK(CONCATENATE("#metadata!", ADDRESS(INDEX($Y$2:$Y$1001,MATCH(ROWS($W$2:W740),$W$2:$W$1001,0),0), INDEX($AD$1004:$AU$1004,1,MATCH(COLUMNS($AD$1006:AF1006),$AD$1006:$AU$1006,0)))),"Fix")))</f>
        <v xml:space="preserve"> </v>
      </c>
      <c r="E740" s="4" t="str">
        <f ca="1">IF(OR(INDEX($X$2:$X$1001,MATCH(ROWS($W$2:W740),$W$2:$W$1001,0),1)&gt;=100000,INDEX($AD$1005:$AU$1005,1,MATCH(COLUMNS($AD$1006:AG1006),$AD$1006:$AU$1006,0))&gt;=100000), " ",IF(INDEX($AD$2:$AU$1001,MATCH(ROWS($W$2:W740),$W$2:$W$1001,0),MATCH(COLUMNS($AD$1006:AG1006),$AD$1006:$AU$1006,0)), HYPERLINK("#",""), HYPERLINK(CONCATENATE("#metadata!", ADDRESS(INDEX($Y$2:$Y$1001,MATCH(ROWS($W$2:W740),$W$2:$W$1001,0),0), INDEX($AD$1004:$AU$1004,1,MATCH(COLUMNS($AD$1006:AG1006),$AD$1006:$AU$1006,0)))),"Fix")))</f>
        <v xml:space="preserve"> </v>
      </c>
      <c r="F740" s="4" t="str">
        <f ca="1">IF(OR(INDEX($X$2:$X$1001,MATCH(ROWS($W$2:W740),$W$2:$W$1001,0),1)&gt;=100000,INDEX($AD$1005:$AU$1005,1,MATCH(COLUMNS($AD$1006:AH1006),$AD$1006:$AU$1006,0))&gt;=100000), " ",IF(INDEX($AD$2:$AU$1001,MATCH(ROWS($W$2:W740),$W$2:$W$1001,0),MATCH(COLUMNS($AD$1006:AH1006),$AD$1006:$AU$1006,0)), HYPERLINK("#",""), HYPERLINK(CONCATENATE("#metadata!", ADDRESS(INDEX($Y$2:$Y$1001,MATCH(ROWS($W$2:W740),$W$2:$W$1001,0),0), INDEX($AD$1004:$AU$1004,1,MATCH(COLUMNS($AD$1006:AH1006),$AD$1006:$AU$1006,0)))),"Fix")))</f>
        <v xml:space="preserve"> </v>
      </c>
      <c r="G740" s="4" t="str">
        <f ca="1">IF(OR(INDEX($X$2:$X$1001,MATCH(ROWS($W$2:W740),$W$2:$W$1001,0),1)&gt;=100000,INDEX($AD$1005:$AU$1005,1,MATCH(COLUMNS($AD$1006:AI1006),$AD$1006:$AU$1006,0))&gt;=100000), " ",IF(INDEX($AD$2:$AU$1001,MATCH(ROWS($W$2:W740),$W$2:$W$1001,0),MATCH(COLUMNS($AD$1006:AI1006),$AD$1006:$AU$1006,0)), HYPERLINK("#",""), HYPERLINK(CONCATENATE("#metadata!", ADDRESS(INDEX($Y$2:$Y$1001,MATCH(ROWS($W$2:W740),$W$2:$W$1001,0),0), INDEX($AD$1004:$AU$1004,1,MATCH(COLUMNS($AD$1006:AI1006),$AD$1006:$AU$1006,0)))),"Fix")))</f>
        <v xml:space="preserve"> </v>
      </c>
      <c r="H740" s="4" t="str">
        <f ca="1">IF(OR(INDEX($X$2:$X$1001,MATCH(ROWS($W$2:W740),$W$2:$W$1001,0),1)&gt;=100000,INDEX($AD$1005:$AU$1005,1,MATCH(COLUMNS($AD$1006:AJ1006),$AD$1006:$AU$1006,0))&gt;=100000), " ",IF(INDEX($AD$2:$AU$1001,MATCH(ROWS($W$2:W740),$W$2:$W$1001,0),MATCH(COLUMNS($AD$1006:AJ1006),$AD$1006:$AU$1006,0)), HYPERLINK("#",""), HYPERLINK(CONCATENATE("#metadata!", ADDRESS(INDEX($Y$2:$Y$1001,MATCH(ROWS($W$2:W740),$W$2:$W$1001,0),0), INDEX($AD$1004:$AU$1004,1,MATCH(COLUMNS($AD$1006:AJ1006),$AD$1006:$AU$1006,0)))),"Fix")))</f>
        <v xml:space="preserve"> </v>
      </c>
      <c r="I740" s="4" t="str">
        <f ca="1">IF(OR(INDEX($X$2:$X$1001,MATCH(ROWS($W$2:W740),$W$2:$W$1001,0),1)&gt;=100000,INDEX($AD$1005:$AU$1005,1,MATCH(COLUMNS($AD$1006:AK1006),$AD$1006:$AU$1006,0))&gt;=100000), " ",IF(INDEX($AD$2:$AU$1001,MATCH(ROWS($W$2:W740),$W$2:$W$1001,0),MATCH(COLUMNS($AD$1006:AK1006),$AD$1006:$AU$1006,0)), HYPERLINK("#",""), HYPERLINK(CONCATENATE("#metadata!", ADDRESS(INDEX($Y$2:$Y$1001,MATCH(ROWS($W$2:W740),$W$2:$W$1001,0),0), INDEX($AD$1004:$AU$1004,1,MATCH(COLUMNS($AD$1006:AK1006),$AD$1006:$AU$1006,0)))),"Fix")))</f>
        <v xml:space="preserve"> </v>
      </c>
      <c r="J740" s="4" t="str">
        <f ca="1">IF(OR(INDEX($X$2:$X$1001,MATCH(ROWS($W$2:W740),$W$2:$W$1001,0),1)&gt;=100000,INDEX($AD$1005:$AU$1005,1,MATCH(COLUMNS($AD$1006:AL1006),$AD$1006:$AU$1006,0))&gt;=100000), " ",IF(INDEX($AD$2:$AU$1001,MATCH(ROWS($W$2:W740),$W$2:$W$1001,0),MATCH(COLUMNS($AD$1006:AL1006),$AD$1006:$AU$1006,0)), HYPERLINK("#",""), HYPERLINK(CONCATENATE("#metadata!", ADDRESS(INDEX($Y$2:$Y$1001,MATCH(ROWS($W$2:W740),$W$2:$W$1001,0),0), INDEX($AD$1004:$AU$1004,1,MATCH(COLUMNS($AD$1006:AL1006),$AD$1006:$AU$1006,0)))),"Fix")))</f>
        <v xml:space="preserve"> </v>
      </c>
      <c r="K740" s="4" t="str">
        <f ca="1">IF(OR(INDEX($X$2:$X$1001,MATCH(ROWS($W$2:W740),$W$2:$W$1001,0),1)&gt;=100000,INDEX($AD$1005:$AU$1005,1,MATCH(COLUMNS($AD$1006:AM1006),$AD$1006:$AU$1006,0))&gt;=100000), " ",IF(INDEX($AD$2:$AU$1001,MATCH(ROWS($W$2:W740),$W$2:$W$1001,0),MATCH(COLUMNS($AD$1006:AM1006),$AD$1006:$AU$1006,0)), HYPERLINK("#",""), HYPERLINK(CONCATENATE("#metadata!", ADDRESS(INDEX($Y$2:$Y$1001,MATCH(ROWS($W$2:W740),$W$2:$W$1001,0),0), INDEX($AD$1004:$AU$1004,1,MATCH(COLUMNS($AD$1006:AM1006),$AD$1006:$AU$1006,0)))),"Fix")))</f>
        <v xml:space="preserve"> </v>
      </c>
      <c r="L740" s="4" t="str">
        <f ca="1">IF(OR(INDEX($X$2:$X$1001,MATCH(ROWS($W$2:W740),$W$2:$W$1001,0),1)&gt;=100000,INDEX($AD$1005:$AU$1005,1,MATCH(COLUMNS($AD$1006:AN1006),$AD$1006:$AU$1006,0))&gt;=100000), " ",IF(INDEX($AD$2:$AU$1001,MATCH(ROWS($W$2:W740),$W$2:$W$1001,0),MATCH(COLUMNS($AD$1006:AN1006),$AD$1006:$AU$1006,0)), HYPERLINK("#",""), HYPERLINK(CONCATENATE("#metadata!", ADDRESS(INDEX($Y$2:$Y$1001,MATCH(ROWS($W$2:W740),$W$2:$W$1001,0),0), INDEX($AD$1004:$AU$1004,1,MATCH(COLUMNS($AD$1006:AN1006),$AD$1006:$AU$1006,0)))),"Fix")))</f>
        <v xml:space="preserve"> </v>
      </c>
      <c r="M740" s="4" t="str">
        <f ca="1">IF(OR(INDEX($X$2:$X$1001,MATCH(ROWS($W$2:W740),$W$2:$W$1001,0),1)&gt;=100000,INDEX($AD$1005:$AU$1005,1,MATCH(COLUMNS($AD$1006:AO1006),$AD$1006:$AU$1006,0))&gt;=100000), " ",IF(INDEX($AD$2:$AU$1001,MATCH(ROWS($W$2:W740),$W$2:$W$1001,0),MATCH(COLUMNS($AD$1006:AO1006),$AD$1006:$AU$1006,0)), HYPERLINK("#",""), HYPERLINK(CONCATENATE("#metadata!", ADDRESS(INDEX($Y$2:$Y$1001,MATCH(ROWS($W$2:W740),$W$2:$W$1001,0),0), INDEX($AD$1004:$AU$1004,1,MATCH(COLUMNS($AD$1006:AO1006),$AD$1006:$AU$1006,0)))),"Fix")))</f>
        <v xml:space="preserve"> </v>
      </c>
      <c r="N740" s="4" t="str">
        <f ca="1">IF(OR(INDEX($X$2:$X$1001,MATCH(ROWS($W$2:W740),$W$2:$W$1001,0),1)&gt;=100000,INDEX($AD$1005:$AU$1005,1,MATCH(COLUMNS($AD$1006:AP1006),$AD$1006:$AU$1006,0))&gt;=100000), " ",IF(INDEX($AD$2:$AU$1001,MATCH(ROWS($W$2:W740),$W$2:$W$1001,0),MATCH(COLUMNS($AD$1006:AP1006),$AD$1006:$AU$1006,0)), HYPERLINK("#",""), HYPERLINK(CONCATENATE("#metadata!", ADDRESS(INDEX($Y$2:$Y$1001,MATCH(ROWS($W$2:W740),$W$2:$W$1001,0),0), INDEX($AD$1004:$AU$1004,1,MATCH(COLUMNS($AD$1006:AP1006),$AD$1006:$AU$1006,0)))),"Fix")))</f>
        <v xml:space="preserve"> </v>
      </c>
      <c r="O740" s="4" t="str">
        <f ca="1">IF(OR(INDEX($X$2:$X$1001,MATCH(ROWS($W$2:W740),$W$2:$W$1001,0),1)&gt;=100000,INDEX($AD$1005:$AU$1005,1,MATCH(COLUMNS($AD$1006:AQ1006),$AD$1006:$AU$1006,0))&gt;=100000), " ",IF(INDEX($AD$2:$AU$1001,MATCH(ROWS($W$2:W740),$W$2:$W$1001,0),MATCH(COLUMNS($AD$1006:AQ1006),$AD$1006:$AU$1006,0)), HYPERLINK("#",""), HYPERLINK(CONCATENATE("#metadata!", ADDRESS(INDEX($Y$2:$Y$1001,MATCH(ROWS($W$2:W740),$W$2:$W$1001,0),0), INDEX($AD$1004:$AU$1004,1,MATCH(COLUMNS($AD$1006:AQ1006),$AD$1006:$AU$1006,0)))),"Fix")))</f>
        <v xml:space="preserve"> </v>
      </c>
      <c r="P740" s="4" t="str">
        <f ca="1">IF(OR(INDEX($X$2:$X$1001,MATCH(ROWS($W$2:W740),$W$2:$W$1001,0),1)&gt;=100000,INDEX($AD$1005:$AU$1005,1,MATCH(COLUMNS($AD$1006:AR1006),$AD$1006:$AU$1006,0))&gt;=100000), " ",IF(INDEX($AD$2:$AU$1001,MATCH(ROWS($W$2:W740),$W$2:$W$1001,0),MATCH(COLUMNS($AD$1006:AR1006),$AD$1006:$AU$1006,0)), HYPERLINK("#",""), HYPERLINK(CONCATENATE("#metadata!", ADDRESS(INDEX($Y$2:$Y$1001,MATCH(ROWS($W$2:W740),$W$2:$W$1001,0),0), INDEX($AD$1004:$AU$1004,1,MATCH(COLUMNS($AD$1006:AR1006),$AD$1006:$AU$1006,0)))),"Fix")))</f>
        <v xml:space="preserve"> </v>
      </c>
      <c r="Q740" s="4" t="str">
        <f ca="1">IF(OR(INDEX($X$2:$X$1001,MATCH(ROWS($W$2:W740),$W$2:$W$1001,0),1)&gt;=100000,INDEX($AD$1005:$AU$1005,1,MATCH(COLUMNS($AD$1006:AS1006),$AD$1006:$AU$1006,0))&gt;=100000), " ",IF(INDEX($AD$2:$AU$1001,MATCH(ROWS($W$2:W740),$W$2:$W$1001,0),MATCH(COLUMNS($AD$1006:AS1006),$AD$1006:$AU$1006,0)), HYPERLINK("#",""), HYPERLINK(CONCATENATE("#metadata!", ADDRESS(INDEX($Y$2:$Y$1001,MATCH(ROWS($W$2:W740),$W$2:$W$1001,0),0), INDEX($AD$1004:$AU$1004,1,MATCH(COLUMNS($AD$1006:AS1006),$AD$1006:$AU$1006,0)))),"Fix")))</f>
        <v xml:space="preserve"> </v>
      </c>
      <c r="R740" s="4" t="str">
        <f ca="1">IF(OR(INDEX($X$2:$X$1001,MATCH(ROWS($W$2:W740),$W$2:$W$1001,0),1)&gt;=100000,INDEX($AD$1005:$AU$1005,1,MATCH(COLUMNS($AD$1006:AT1006),$AD$1006:$AU$1006,0))&gt;=100000), " ",IF(INDEX($AD$2:$AU$1001,MATCH(ROWS($W$2:W740),$W$2:$W$1001,0),MATCH(COLUMNS($AD$1006:AT1006),$AD$1006:$AU$1006,0)), HYPERLINK("#",""), HYPERLINK(CONCATENATE("#metadata!", ADDRESS(INDEX($Y$2:$Y$1001,MATCH(ROWS($W$2:W740),$W$2:$W$1001,0),0), INDEX($AD$1004:$AU$1004,1,MATCH(COLUMNS($AD$1006:AT1006),$AD$1006:$AU$1006,0)))),"Fix")))</f>
        <v xml:space="preserve"> </v>
      </c>
      <c r="S740" s="4" t="str">
        <f ca="1">IF(OR(INDEX($X$2:$X$1001,MATCH(ROWS($W$2:W740),$W$2:$W$1001,0),1)&gt;=100000,INDEX($AD$1005:$AU$1005,1,MATCH(COLUMNS($AD$1006:AU1006),$AD$1006:$AU$1006,0))&gt;=100000), " ",IF(INDEX($AD$2:$AU$1001,MATCH(ROWS($W$2:W740),$W$2:$W$1001,0),MATCH(COLUMNS($AD$1006:AU1006),$AD$1006:$AU$1006,0)), HYPERLINK("#",""), HYPERLINK(CONCATENATE("#metadata!", ADDRESS(INDEX($Y$2:$Y$1001,MATCH(ROWS($W$2:W740),$W$2:$W$1001,0),0), INDEX($AD$1004:$AU$1004,1,MATCH(COLUMNS($AD$1006:AU1006),$AD$1006:$AU$1006,0)))),"Fix")))</f>
        <v xml:space="preserve"> </v>
      </c>
      <c r="W740">
        <v>739</v>
      </c>
      <c r="X740">
        <v>100740</v>
      </c>
      <c r="Y740">
        <v>740</v>
      </c>
      <c r="Z740" t="b">
        <f t="shared" si="11"/>
        <v>1</v>
      </c>
      <c r="AA740" t="b">
        <f>COUNTBLANK(metadata!B740:S740)=COLUMNS(metadata!B740:S740)</f>
        <v>1</v>
      </c>
      <c r="AB740" t="str">
        <v/>
      </c>
      <c r="AD740" t="b">
        <f ca="1">AND(IF(metadata!B740="",FALSE,TRUE),COUNTIF(metadata!B:B, metadata!B740) = 1,NOT(ISERROR(SUMPRODUCT(SEARCH(MID(metadata!B740,ROW(INDIRECT("1:"&amp;LEN(metadata!B740))), 1),"0123456789abcdefghijklmnopqrstuvwxyzABCDEFGHIJKLMNOPQRSTUVWXYZ.")))))</f>
        <v>0</v>
      </c>
      <c r="AE740" t="b">
        <f>OR(AND(IF(metadata!C740="",FALSE,TRUE),OR(EXACT(metadata!C740,"not applicable"),EXACT(metadata!C740,"missing: not collected"),EXACT(metadata!C740,"missing: not provided"),EXACT(metadata!C740,"missing: restricted access"))),AND(IF(metadata!C740="",FALSE,ISNUMBER(VALUE(metadata!C740))),metadata!C740&gt;0))</f>
        <v>0</v>
      </c>
      <c r="AF740" t="b">
        <f>AND(IF(metadata!D740="",FALSE,TRUE),EXACT(metadata!D740,"missing: not provided"))</f>
        <v>0</v>
      </c>
      <c r="AG740" t="b">
        <f>AND(IF(metadata!E740="",FALSE,TRUE),EXACT(metadata!E740,"Host-associated"))</f>
        <v>0</v>
      </c>
      <c r="AH740" t="b">
        <f>AND(IF(metadata!F740="",FALSE,TRUE),OR(EXACT(metadata!F740,"Animal"),EXACT(metadata!F740,"Fungus"),EXACT(metadata!F740,"Plant")))</f>
        <v>0</v>
      </c>
      <c r="AI740" t="b">
        <f>AND(IF(metadata!G740="",FALSE,TRUE),OR(EXACT(metadata!G740,"Plant secretion"),EXACT(metadata!G740,"Plant rhizosphere"),EXACT(metadata!G740,"Plant surface"),EXACT(metadata!G740,"Plant corpus"),EXACT(metadata!G740,"Fungus surface"),EXACT(metadata!G740,"Fungus corpus"),EXACT(metadata!G740,"Animal surface"),EXACT(metadata!G740,"Animal proximal gut"),EXACT(metadata!G740,"Animal corpus"),EXACT(metadata!G740,"Animal distal gut"),EXACT(metadata!G740,"Animal secretion")))</f>
        <v>0</v>
      </c>
      <c r="AJ740" t="b">
        <f>OR(AND(IF(metadata!H740="",FALSE,TRUE),OR(EXACT(metadata!H740,"missing: not collected"),EXACT(metadata!H740,"missing: not provided"),EXACT(metadata!H740,"missing: restricted access"))),AND(IF(metadata!H740="",FALSE,TRUE),OR(EXACT(metadata!H740,"organism-associated habitat"),EXACT(metadata!H740,"plant-associated habitat"),EXACT(metadata!H740,"animal-associated habitat"),EXACT(metadata!H740,"insecta-associated habitat"),EXACT(metadata!H740,"mammalia-associated habitat"),EXACT(metadata!H740,"human-associated habitat"),EXACT(metadata!H740,"livestock-associated habitat"))))</f>
        <v>0</v>
      </c>
      <c r="AK740" t="b">
        <f>AND(IF(metadata!I740="",FALSE,TRUE),EXACT(metadata!I740,"host-associated"))</f>
        <v>0</v>
      </c>
      <c r="AL740" t="b">
        <f>OR(AND(IF(metadata!J740="",FALSE,TRUE),OR(EXACT(metadata!J740,"not applicable"),EXACT(metadata!J740,"missing: not collected"),EXACT(metadata!J740,"missing: not provided"),EXACT(metadata!J740,"missing: restricted access"))),AND(IF(metadata!J740="",FALSE,ISNUMBER(VALUE(metadata!J740))),metadata!J740&gt;0))</f>
        <v>0</v>
      </c>
      <c r="AM740" t="b">
        <f>AND(IF(metadata!K740="",FALSE,TRUE),EXACT(metadata!K740,"missing: not provided"))</f>
        <v>0</v>
      </c>
      <c r="AN740" t="b">
        <f>IF(metadata!L740="",FALSE,TRUE)</f>
        <v>0</v>
      </c>
      <c r="AO740" t="b">
        <f>IF(metadata!M740="",FALSE,TRUE)</f>
        <v>0</v>
      </c>
      <c r="AP740" t="b">
        <f>OR(AND(IF(metadata!N740="",FALSE,TRUE),OR(EXACT(metadata!N740,"not applicable"),EXACT(metadata!N740,"missing: not collected"),EXACT(metadata!N740,"missing: not provided"))),AND(IF(metadata!N740="",FALSE,IF(ISERROR(INT(metadata!N740)),FALSE,INT(metadata!N740)=metadata!N740)),metadata!N740&gt;0))</f>
        <v>0</v>
      </c>
      <c r="AQ740" t="b">
        <f>AND(IF(metadata!O740="",FALSE,TRUE),EXACT(metadata!O740,"Not applicable"))</f>
        <v>0</v>
      </c>
      <c r="AR740" t="b">
        <f>OR(AND(IF(metadata!P740="",FALSE,TRUE),OR(EXACT(metadata!P740,"not applicable"),EXACT(metadata!P740,"missing: not collected"),EXACT(metadata!P740,"missing: not provided"),EXACT(metadata!P740,"missing: restricted access"))),IF(metadata!P740="",FALSE,IF(ISERROR(INT(metadata!P740)),FALSE,INT(metadata!P740)=metadata!P740)))</f>
        <v>0</v>
      </c>
      <c r="AS740" t="b">
        <f>AND(IF(metadata!Q740="",FALSE,TRUE),EXACT(metadata!Q740,"Not applicable"))</f>
        <v>0</v>
      </c>
      <c r="AT740" t="b">
        <f>OR(AND(IF(metadata!R740="",FALSE,TRUE),OR(EXACT(metadata!R740,"not applicable"),EXACT(metadata!R740,"missing: not collected"),EXACT(metadata!R740,"missing: not provided"),EXACT(metadata!R740,"missing: restricted access"))),AND(IF(metadata!R740="",FALSE,ISNUMBER(VALUE(metadata!R740))),metadata!R740&gt;0))</f>
        <v>0</v>
      </c>
      <c r="AU740" t="b">
        <f>AND(IF(metadata!S740="",FALSE,TRUE),EXACT(metadata!S740,"missing: not provided"))</f>
        <v>0</v>
      </c>
    </row>
    <row r="741" spans="1:47" x14ac:dyDescent="0.2">
      <c r="A741" s="5" t="str">
        <f ca="1">IF(B741=" "," ",HYPERLINK(CONCATENATE("#metadata!",ADDRESS(INDEX($Y$2:$Y$1001,MATCH(ROWS($W$2:W741),$W$2:$W$1001,0),0),1)),INDEX($AB$2:$AB$1001,MATCH(ROWS($W$2:W741),$W$2:$W$1001,0),0)))</f>
        <v xml:space="preserve"> </v>
      </c>
      <c r="B741" s="4" t="str">
        <f ca="1">IF(OR(INDEX($X$2:$X$1001,MATCH(ROWS($W$2:W741),$W$2:$W$1001,0),1)&gt;=100000,INDEX($AD$1005:$AU$1005,1,MATCH(COLUMNS($AD$1006:AD1006),$AD$1006:$AU$1006,0))&gt;=100000), " ",IF(INDEX($AD$2:$AU$1001,MATCH(ROWS($W$2:W741),$W$2:$W$1001,0),MATCH(COLUMNS($AD$1006:AD1006),$AD$1006:$AU$1006,0)), HYPERLINK("#",""), HYPERLINK(CONCATENATE("#metadata!", ADDRESS(INDEX($Y$2:$Y$1001,MATCH(ROWS($W$2:W741),$W$2:$W$1001,0),0), INDEX($AD$1004:$AU$1004,1,MATCH(COLUMNS($AD$1006:AD1006),$AD$1006:$AU$1006,0)))),"Fix")))</f>
        <v xml:space="preserve"> </v>
      </c>
      <c r="C741" s="4" t="str">
        <f ca="1">IF(OR(INDEX($X$2:$X$1001,MATCH(ROWS($W$2:W741),$W$2:$W$1001,0),1)&gt;=100000,INDEX($AD$1005:$AU$1005,1,MATCH(COLUMNS($AD$1006:AE1006),$AD$1006:$AU$1006,0))&gt;=100000), " ",IF(INDEX($AD$2:$AU$1001,MATCH(ROWS($W$2:W741),$W$2:$W$1001,0),MATCH(COLUMNS($AD$1006:AE1006),$AD$1006:$AU$1006,0)), HYPERLINK("#",""), HYPERLINK(CONCATENATE("#metadata!", ADDRESS(INDEX($Y$2:$Y$1001,MATCH(ROWS($W$2:W741),$W$2:$W$1001,0),0), INDEX($AD$1004:$AU$1004,1,MATCH(COLUMNS($AD$1006:AE1006),$AD$1006:$AU$1006,0)))),"Fix")))</f>
        <v xml:space="preserve"> </v>
      </c>
      <c r="D741" s="4" t="str">
        <f ca="1">IF(OR(INDEX($X$2:$X$1001,MATCH(ROWS($W$2:W741),$W$2:$W$1001,0),1)&gt;=100000,INDEX($AD$1005:$AU$1005,1,MATCH(COLUMNS($AD$1006:AF1006),$AD$1006:$AU$1006,0))&gt;=100000), " ",IF(INDEX($AD$2:$AU$1001,MATCH(ROWS($W$2:W741),$W$2:$W$1001,0),MATCH(COLUMNS($AD$1006:AF1006),$AD$1006:$AU$1006,0)), HYPERLINK("#",""), HYPERLINK(CONCATENATE("#metadata!", ADDRESS(INDEX($Y$2:$Y$1001,MATCH(ROWS($W$2:W741),$W$2:$W$1001,0),0), INDEX($AD$1004:$AU$1004,1,MATCH(COLUMNS($AD$1006:AF1006),$AD$1006:$AU$1006,0)))),"Fix")))</f>
        <v xml:space="preserve"> </v>
      </c>
      <c r="E741" s="4" t="str">
        <f ca="1">IF(OR(INDEX($X$2:$X$1001,MATCH(ROWS($W$2:W741),$W$2:$W$1001,0),1)&gt;=100000,INDEX($AD$1005:$AU$1005,1,MATCH(COLUMNS($AD$1006:AG1006),$AD$1006:$AU$1006,0))&gt;=100000), " ",IF(INDEX($AD$2:$AU$1001,MATCH(ROWS($W$2:W741),$W$2:$W$1001,0),MATCH(COLUMNS($AD$1006:AG1006),$AD$1006:$AU$1006,0)), HYPERLINK("#",""), HYPERLINK(CONCATENATE("#metadata!", ADDRESS(INDEX($Y$2:$Y$1001,MATCH(ROWS($W$2:W741),$W$2:$W$1001,0),0), INDEX($AD$1004:$AU$1004,1,MATCH(COLUMNS($AD$1006:AG1006),$AD$1006:$AU$1006,0)))),"Fix")))</f>
        <v xml:space="preserve"> </v>
      </c>
      <c r="F741" s="4" t="str">
        <f ca="1">IF(OR(INDEX($X$2:$X$1001,MATCH(ROWS($W$2:W741),$W$2:$W$1001,0),1)&gt;=100000,INDEX($AD$1005:$AU$1005,1,MATCH(COLUMNS($AD$1006:AH1006),$AD$1006:$AU$1006,0))&gt;=100000), " ",IF(INDEX($AD$2:$AU$1001,MATCH(ROWS($W$2:W741),$W$2:$W$1001,0),MATCH(COLUMNS($AD$1006:AH1006),$AD$1006:$AU$1006,0)), HYPERLINK("#",""), HYPERLINK(CONCATENATE("#metadata!", ADDRESS(INDEX($Y$2:$Y$1001,MATCH(ROWS($W$2:W741),$W$2:$W$1001,0),0), INDEX($AD$1004:$AU$1004,1,MATCH(COLUMNS($AD$1006:AH1006),$AD$1006:$AU$1006,0)))),"Fix")))</f>
        <v xml:space="preserve"> </v>
      </c>
      <c r="G741" s="4" t="str">
        <f ca="1">IF(OR(INDEX($X$2:$X$1001,MATCH(ROWS($W$2:W741),$W$2:$W$1001,0),1)&gt;=100000,INDEX($AD$1005:$AU$1005,1,MATCH(COLUMNS($AD$1006:AI1006),$AD$1006:$AU$1006,0))&gt;=100000), " ",IF(INDEX($AD$2:$AU$1001,MATCH(ROWS($W$2:W741),$W$2:$W$1001,0),MATCH(COLUMNS($AD$1006:AI1006),$AD$1006:$AU$1006,0)), HYPERLINK("#",""), HYPERLINK(CONCATENATE("#metadata!", ADDRESS(INDEX($Y$2:$Y$1001,MATCH(ROWS($W$2:W741),$W$2:$W$1001,0),0), INDEX($AD$1004:$AU$1004,1,MATCH(COLUMNS($AD$1006:AI1006),$AD$1006:$AU$1006,0)))),"Fix")))</f>
        <v xml:space="preserve"> </v>
      </c>
      <c r="H741" s="4" t="str">
        <f ca="1">IF(OR(INDEX($X$2:$X$1001,MATCH(ROWS($W$2:W741),$W$2:$W$1001,0),1)&gt;=100000,INDEX($AD$1005:$AU$1005,1,MATCH(COLUMNS($AD$1006:AJ1006),$AD$1006:$AU$1006,0))&gt;=100000), " ",IF(INDEX($AD$2:$AU$1001,MATCH(ROWS($W$2:W741),$W$2:$W$1001,0),MATCH(COLUMNS($AD$1006:AJ1006),$AD$1006:$AU$1006,0)), HYPERLINK("#",""), HYPERLINK(CONCATENATE("#metadata!", ADDRESS(INDEX($Y$2:$Y$1001,MATCH(ROWS($W$2:W741),$W$2:$W$1001,0),0), INDEX($AD$1004:$AU$1004,1,MATCH(COLUMNS($AD$1006:AJ1006),$AD$1006:$AU$1006,0)))),"Fix")))</f>
        <v xml:space="preserve"> </v>
      </c>
      <c r="I741" s="4" t="str">
        <f ca="1">IF(OR(INDEX($X$2:$X$1001,MATCH(ROWS($W$2:W741),$W$2:$W$1001,0),1)&gt;=100000,INDEX($AD$1005:$AU$1005,1,MATCH(COLUMNS($AD$1006:AK1006),$AD$1006:$AU$1006,0))&gt;=100000), " ",IF(INDEX($AD$2:$AU$1001,MATCH(ROWS($W$2:W741),$W$2:$W$1001,0),MATCH(COLUMNS($AD$1006:AK1006),$AD$1006:$AU$1006,0)), HYPERLINK("#",""), HYPERLINK(CONCATENATE("#metadata!", ADDRESS(INDEX($Y$2:$Y$1001,MATCH(ROWS($W$2:W741),$W$2:$W$1001,0),0), INDEX($AD$1004:$AU$1004,1,MATCH(COLUMNS($AD$1006:AK1006),$AD$1006:$AU$1006,0)))),"Fix")))</f>
        <v xml:space="preserve"> </v>
      </c>
      <c r="J741" s="4" t="str">
        <f ca="1">IF(OR(INDEX($X$2:$X$1001,MATCH(ROWS($W$2:W741),$W$2:$W$1001,0),1)&gt;=100000,INDEX($AD$1005:$AU$1005,1,MATCH(COLUMNS($AD$1006:AL1006),$AD$1006:$AU$1006,0))&gt;=100000), " ",IF(INDEX($AD$2:$AU$1001,MATCH(ROWS($W$2:W741),$W$2:$W$1001,0),MATCH(COLUMNS($AD$1006:AL1006),$AD$1006:$AU$1006,0)), HYPERLINK("#",""), HYPERLINK(CONCATENATE("#metadata!", ADDRESS(INDEX($Y$2:$Y$1001,MATCH(ROWS($W$2:W741),$W$2:$W$1001,0),0), INDEX($AD$1004:$AU$1004,1,MATCH(COLUMNS($AD$1006:AL1006),$AD$1006:$AU$1006,0)))),"Fix")))</f>
        <v xml:space="preserve"> </v>
      </c>
      <c r="K741" s="4" t="str">
        <f ca="1">IF(OR(INDEX($X$2:$X$1001,MATCH(ROWS($W$2:W741),$W$2:$W$1001,0),1)&gt;=100000,INDEX($AD$1005:$AU$1005,1,MATCH(COLUMNS($AD$1006:AM1006),$AD$1006:$AU$1006,0))&gt;=100000), " ",IF(INDEX($AD$2:$AU$1001,MATCH(ROWS($W$2:W741),$W$2:$W$1001,0),MATCH(COLUMNS($AD$1006:AM1006),$AD$1006:$AU$1006,0)), HYPERLINK("#",""), HYPERLINK(CONCATENATE("#metadata!", ADDRESS(INDEX($Y$2:$Y$1001,MATCH(ROWS($W$2:W741),$W$2:$W$1001,0),0), INDEX($AD$1004:$AU$1004,1,MATCH(COLUMNS($AD$1006:AM1006),$AD$1006:$AU$1006,0)))),"Fix")))</f>
        <v xml:space="preserve"> </v>
      </c>
      <c r="L741" s="4" t="str">
        <f ca="1">IF(OR(INDEX($X$2:$X$1001,MATCH(ROWS($W$2:W741),$W$2:$W$1001,0),1)&gt;=100000,INDEX($AD$1005:$AU$1005,1,MATCH(COLUMNS($AD$1006:AN1006),$AD$1006:$AU$1006,0))&gt;=100000), " ",IF(INDEX($AD$2:$AU$1001,MATCH(ROWS($W$2:W741),$W$2:$W$1001,0),MATCH(COLUMNS($AD$1006:AN1006),$AD$1006:$AU$1006,0)), HYPERLINK("#",""), HYPERLINK(CONCATENATE("#metadata!", ADDRESS(INDEX($Y$2:$Y$1001,MATCH(ROWS($W$2:W741),$W$2:$W$1001,0),0), INDEX($AD$1004:$AU$1004,1,MATCH(COLUMNS($AD$1006:AN1006),$AD$1006:$AU$1006,0)))),"Fix")))</f>
        <v xml:space="preserve"> </v>
      </c>
      <c r="M741" s="4" t="str">
        <f ca="1">IF(OR(INDEX($X$2:$X$1001,MATCH(ROWS($W$2:W741),$W$2:$W$1001,0),1)&gt;=100000,INDEX($AD$1005:$AU$1005,1,MATCH(COLUMNS($AD$1006:AO1006),$AD$1006:$AU$1006,0))&gt;=100000), " ",IF(INDEX($AD$2:$AU$1001,MATCH(ROWS($W$2:W741),$W$2:$W$1001,0),MATCH(COLUMNS($AD$1006:AO1006),$AD$1006:$AU$1006,0)), HYPERLINK("#",""), HYPERLINK(CONCATENATE("#metadata!", ADDRESS(INDEX($Y$2:$Y$1001,MATCH(ROWS($W$2:W741),$W$2:$W$1001,0),0), INDEX($AD$1004:$AU$1004,1,MATCH(COLUMNS($AD$1006:AO1006),$AD$1006:$AU$1006,0)))),"Fix")))</f>
        <v xml:space="preserve"> </v>
      </c>
      <c r="N741" s="4" t="str">
        <f ca="1">IF(OR(INDEX($X$2:$X$1001,MATCH(ROWS($W$2:W741),$W$2:$W$1001,0),1)&gt;=100000,INDEX($AD$1005:$AU$1005,1,MATCH(COLUMNS($AD$1006:AP1006),$AD$1006:$AU$1006,0))&gt;=100000), " ",IF(INDEX($AD$2:$AU$1001,MATCH(ROWS($W$2:W741),$W$2:$W$1001,0),MATCH(COLUMNS($AD$1006:AP1006),$AD$1006:$AU$1006,0)), HYPERLINK("#",""), HYPERLINK(CONCATENATE("#metadata!", ADDRESS(INDEX($Y$2:$Y$1001,MATCH(ROWS($W$2:W741),$W$2:$W$1001,0),0), INDEX($AD$1004:$AU$1004,1,MATCH(COLUMNS($AD$1006:AP1006),$AD$1006:$AU$1006,0)))),"Fix")))</f>
        <v xml:space="preserve"> </v>
      </c>
      <c r="O741" s="4" t="str">
        <f ca="1">IF(OR(INDEX($X$2:$X$1001,MATCH(ROWS($W$2:W741),$W$2:$W$1001,0),1)&gt;=100000,INDEX($AD$1005:$AU$1005,1,MATCH(COLUMNS($AD$1006:AQ1006),$AD$1006:$AU$1006,0))&gt;=100000), " ",IF(INDEX($AD$2:$AU$1001,MATCH(ROWS($W$2:W741),$W$2:$W$1001,0),MATCH(COLUMNS($AD$1006:AQ1006),$AD$1006:$AU$1006,0)), HYPERLINK("#",""), HYPERLINK(CONCATENATE("#metadata!", ADDRESS(INDEX($Y$2:$Y$1001,MATCH(ROWS($W$2:W741),$W$2:$W$1001,0),0), INDEX($AD$1004:$AU$1004,1,MATCH(COLUMNS($AD$1006:AQ1006),$AD$1006:$AU$1006,0)))),"Fix")))</f>
        <v xml:space="preserve"> </v>
      </c>
      <c r="P741" s="4" t="str">
        <f ca="1">IF(OR(INDEX($X$2:$X$1001,MATCH(ROWS($W$2:W741),$W$2:$W$1001,0),1)&gt;=100000,INDEX($AD$1005:$AU$1005,1,MATCH(COLUMNS($AD$1006:AR1006),$AD$1006:$AU$1006,0))&gt;=100000), " ",IF(INDEX($AD$2:$AU$1001,MATCH(ROWS($W$2:W741),$W$2:$W$1001,0),MATCH(COLUMNS($AD$1006:AR1006),$AD$1006:$AU$1006,0)), HYPERLINK("#",""), HYPERLINK(CONCATENATE("#metadata!", ADDRESS(INDEX($Y$2:$Y$1001,MATCH(ROWS($W$2:W741),$W$2:$W$1001,0),0), INDEX($AD$1004:$AU$1004,1,MATCH(COLUMNS($AD$1006:AR1006),$AD$1006:$AU$1006,0)))),"Fix")))</f>
        <v xml:space="preserve"> </v>
      </c>
      <c r="Q741" s="4" t="str">
        <f ca="1">IF(OR(INDEX($X$2:$X$1001,MATCH(ROWS($W$2:W741),$W$2:$W$1001,0),1)&gt;=100000,INDEX($AD$1005:$AU$1005,1,MATCH(COLUMNS($AD$1006:AS1006),$AD$1006:$AU$1006,0))&gt;=100000), " ",IF(INDEX($AD$2:$AU$1001,MATCH(ROWS($W$2:W741),$W$2:$W$1001,0),MATCH(COLUMNS($AD$1006:AS1006),$AD$1006:$AU$1006,0)), HYPERLINK("#",""), HYPERLINK(CONCATENATE("#metadata!", ADDRESS(INDEX($Y$2:$Y$1001,MATCH(ROWS($W$2:W741),$W$2:$W$1001,0),0), INDEX($AD$1004:$AU$1004,1,MATCH(COLUMNS($AD$1006:AS1006),$AD$1006:$AU$1006,0)))),"Fix")))</f>
        <v xml:space="preserve"> </v>
      </c>
      <c r="R741" s="4" t="str">
        <f ca="1">IF(OR(INDEX($X$2:$X$1001,MATCH(ROWS($W$2:W741),$W$2:$W$1001,0),1)&gt;=100000,INDEX($AD$1005:$AU$1005,1,MATCH(COLUMNS($AD$1006:AT1006),$AD$1006:$AU$1006,0))&gt;=100000), " ",IF(INDEX($AD$2:$AU$1001,MATCH(ROWS($W$2:W741),$W$2:$W$1001,0),MATCH(COLUMNS($AD$1006:AT1006),$AD$1006:$AU$1006,0)), HYPERLINK("#",""), HYPERLINK(CONCATENATE("#metadata!", ADDRESS(INDEX($Y$2:$Y$1001,MATCH(ROWS($W$2:W741),$W$2:$W$1001,0),0), INDEX($AD$1004:$AU$1004,1,MATCH(COLUMNS($AD$1006:AT1006),$AD$1006:$AU$1006,0)))),"Fix")))</f>
        <v xml:space="preserve"> </v>
      </c>
      <c r="S741" s="4" t="str">
        <f ca="1">IF(OR(INDEX($X$2:$X$1001,MATCH(ROWS($W$2:W741),$W$2:$W$1001,0),1)&gt;=100000,INDEX($AD$1005:$AU$1005,1,MATCH(COLUMNS($AD$1006:AU1006),$AD$1006:$AU$1006,0))&gt;=100000), " ",IF(INDEX($AD$2:$AU$1001,MATCH(ROWS($W$2:W741),$W$2:$W$1001,0),MATCH(COLUMNS($AD$1006:AU1006),$AD$1006:$AU$1006,0)), HYPERLINK("#",""), HYPERLINK(CONCATENATE("#metadata!", ADDRESS(INDEX($Y$2:$Y$1001,MATCH(ROWS($W$2:W741),$W$2:$W$1001,0),0), INDEX($AD$1004:$AU$1004,1,MATCH(COLUMNS($AD$1006:AU1006),$AD$1006:$AU$1006,0)))),"Fix")))</f>
        <v xml:space="preserve"> </v>
      </c>
      <c r="W741">
        <v>740</v>
      </c>
      <c r="X741">
        <v>100741</v>
      </c>
      <c r="Y741">
        <v>741</v>
      </c>
      <c r="Z741" t="b">
        <f t="shared" si="11"/>
        <v>1</v>
      </c>
      <c r="AA741" t="b">
        <f>COUNTBLANK(metadata!B741:S741)=COLUMNS(metadata!B741:S741)</f>
        <v>1</v>
      </c>
      <c r="AB741" t="str">
        <v/>
      </c>
      <c r="AD741" t="b">
        <f ca="1">AND(IF(metadata!B741="",FALSE,TRUE),COUNTIF(metadata!B:B, metadata!B741) = 1,NOT(ISERROR(SUMPRODUCT(SEARCH(MID(metadata!B741,ROW(INDIRECT("1:"&amp;LEN(metadata!B741))), 1),"0123456789abcdefghijklmnopqrstuvwxyzABCDEFGHIJKLMNOPQRSTUVWXYZ.")))))</f>
        <v>0</v>
      </c>
      <c r="AE741" t="b">
        <f>OR(AND(IF(metadata!C741="",FALSE,TRUE),OR(EXACT(metadata!C741,"not applicable"),EXACT(metadata!C741,"missing: not collected"),EXACT(metadata!C741,"missing: not provided"),EXACT(metadata!C741,"missing: restricted access"))),AND(IF(metadata!C741="",FALSE,ISNUMBER(VALUE(metadata!C741))),metadata!C741&gt;0))</f>
        <v>0</v>
      </c>
      <c r="AF741" t="b">
        <f>AND(IF(metadata!D741="",FALSE,TRUE),EXACT(metadata!D741,"missing: not provided"))</f>
        <v>0</v>
      </c>
      <c r="AG741" t="b">
        <f>AND(IF(metadata!E741="",FALSE,TRUE),EXACT(metadata!E741,"Host-associated"))</f>
        <v>0</v>
      </c>
      <c r="AH741" t="b">
        <f>AND(IF(metadata!F741="",FALSE,TRUE),OR(EXACT(metadata!F741,"Animal"),EXACT(metadata!F741,"Fungus"),EXACT(metadata!F741,"Plant")))</f>
        <v>0</v>
      </c>
      <c r="AI741" t="b">
        <f>AND(IF(metadata!G741="",FALSE,TRUE),OR(EXACT(metadata!G741,"Plant secretion"),EXACT(metadata!G741,"Plant rhizosphere"),EXACT(metadata!G741,"Plant surface"),EXACT(metadata!G741,"Plant corpus"),EXACT(metadata!G741,"Fungus surface"),EXACT(metadata!G741,"Fungus corpus"),EXACT(metadata!G741,"Animal surface"),EXACT(metadata!G741,"Animal proximal gut"),EXACT(metadata!G741,"Animal corpus"),EXACT(metadata!G741,"Animal distal gut"),EXACT(metadata!G741,"Animal secretion")))</f>
        <v>0</v>
      </c>
      <c r="AJ741" t="b">
        <f>OR(AND(IF(metadata!H741="",FALSE,TRUE),OR(EXACT(metadata!H741,"missing: not collected"),EXACT(metadata!H741,"missing: not provided"),EXACT(metadata!H741,"missing: restricted access"))),AND(IF(metadata!H741="",FALSE,TRUE),OR(EXACT(metadata!H741,"organism-associated habitat"),EXACT(metadata!H741,"plant-associated habitat"),EXACT(metadata!H741,"animal-associated habitat"),EXACT(metadata!H741,"insecta-associated habitat"),EXACT(metadata!H741,"mammalia-associated habitat"),EXACT(metadata!H741,"human-associated habitat"),EXACT(metadata!H741,"livestock-associated habitat"))))</f>
        <v>0</v>
      </c>
      <c r="AK741" t="b">
        <f>AND(IF(metadata!I741="",FALSE,TRUE),EXACT(metadata!I741,"host-associated"))</f>
        <v>0</v>
      </c>
      <c r="AL741" t="b">
        <f>OR(AND(IF(metadata!J741="",FALSE,TRUE),OR(EXACT(metadata!J741,"not applicable"),EXACT(metadata!J741,"missing: not collected"),EXACT(metadata!J741,"missing: not provided"),EXACT(metadata!J741,"missing: restricted access"))),AND(IF(metadata!J741="",FALSE,ISNUMBER(VALUE(metadata!J741))),metadata!J741&gt;0))</f>
        <v>0</v>
      </c>
      <c r="AM741" t="b">
        <f>AND(IF(metadata!K741="",FALSE,TRUE),EXACT(metadata!K741,"missing: not provided"))</f>
        <v>0</v>
      </c>
      <c r="AN741" t="b">
        <f>IF(metadata!L741="",FALSE,TRUE)</f>
        <v>0</v>
      </c>
      <c r="AO741" t="b">
        <f>IF(metadata!M741="",FALSE,TRUE)</f>
        <v>0</v>
      </c>
      <c r="AP741" t="b">
        <f>OR(AND(IF(metadata!N741="",FALSE,TRUE),OR(EXACT(metadata!N741,"not applicable"),EXACT(metadata!N741,"missing: not collected"),EXACT(metadata!N741,"missing: not provided"))),AND(IF(metadata!N741="",FALSE,IF(ISERROR(INT(metadata!N741)),FALSE,INT(metadata!N741)=metadata!N741)),metadata!N741&gt;0))</f>
        <v>0</v>
      </c>
      <c r="AQ741" t="b">
        <f>AND(IF(metadata!O741="",FALSE,TRUE),EXACT(metadata!O741,"Not applicable"))</f>
        <v>0</v>
      </c>
      <c r="AR741" t="b">
        <f>OR(AND(IF(metadata!P741="",FALSE,TRUE),OR(EXACT(metadata!P741,"not applicable"),EXACT(metadata!P741,"missing: not collected"),EXACT(metadata!P741,"missing: not provided"),EXACT(metadata!P741,"missing: restricted access"))),IF(metadata!P741="",FALSE,IF(ISERROR(INT(metadata!P741)),FALSE,INT(metadata!P741)=metadata!P741)))</f>
        <v>0</v>
      </c>
      <c r="AS741" t="b">
        <f>AND(IF(metadata!Q741="",FALSE,TRUE),EXACT(metadata!Q741,"Not applicable"))</f>
        <v>0</v>
      </c>
      <c r="AT741" t="b">
        <f>OR(AND(IF(metadata!R741="",FALSE,TRUE),OR(EXACT(metadata!R741,"not applicable"),EXACT(metadata!R741,"missing: not collected"),EXACT(metadata!R741,"missing: not provided"),EXACT(metadata!R741,"missing: restricted access"))),AND(IF(metadata!R741="",FALSE,ISNUMBER(VALUE(metadata!R741))),metadata!R741&gt;0))</f>
        <v>0</v>
      </c>
      <c r="AU741" t="b">
        <f>AND(IF(metadata!S741="",FALSE,TRUE),EXACT(metadata!S741,"missing: not provided"))</f>
        <v>0</v>
      </c>
    </row>
    <row r="742" spans="1:47" x14ac:dyDescent="0.2">
      <c r="A742" s="5" t="str">
        <f ca="1">IF(B742=" "," ",HYPERLINK(CONCATENATE("#metadata!",ADDRESS(INDEX($Y$2:$Y$1001,MATCH(ROWS($W$2:W742),$W$2:$W$1001,0),0),1)),INDEX($AB$2:$AB$1001,MATCH(ROWS($W$2:W742),$W$2:$W$1001,0),0)))</f>
        <v xml:space="preserve"> </v>
      </c>
      <c r="B742" s="4" t="str">
        <f ca="1">IF(OR(INDEX($X$2:$X$1001,MATCH(ROWS($W$2:W742),$W$2:$W$1001,0),1)&gt;=100000,INDEX($AD$1005:$AU$1005,1,MATCH(COLUMNS($AD$1006:AD1006),$AD$1006:$AU$1006,0))&gt;=100000), " ",IF(INDEX($AD$2:$AU$1001,MATCH(ROWS($W$2:W742),$W$2:$W$1001,0),MATCH(COLUMNS($AD$1006:AD1006),$AD$1006:$AU$1006,0)), HYPERLINK("#",""), HYPERLINK(CONCATENATE("#metadata!", ADDRESS(INDEX($Y$2:$Y$1001,MATCH(ROWS($W$2:W742),$W$2:$W$1001,0),0), INDEX($AD$1004:$AU$1004,1,MATCH(COLUMNS($AD$1006:AD1006),$AD$1006:$AU$1006,0)))),"Fix")))</f>
        <v xml:space="preserve"> </v>
      </c>
      <c r="C742" s="4" t="str">
        <f ca="1">IF(OR(INDEX($X$2:$X$1001,MATCH(ROWS($W$2:W742),$W$2:$W$1001,0),1)&gt;=100000,INDEX($AD$1005:$AU$1005,1,MATCH(COLUMNS($AD$1006:AE1006),$AD$1006:$AU$1006,0))&gt;=100000), " ",IF(INDEX($AD$2:$AU$1001,MATCH(ROWS($W$2:W742),$W$2:$W$1001,0),MATCH(COLUMNS($AD$1006:AE1006),$AD$1006:$AU$1006,0)), HYPERLINK("#",""), HYPERLINK(CONCATENATE("#metadata!", ADDRESS(INDEX($Y$2:$Y$1001,MATCH(ROWS($W$2:W742),$W$2:$W$1001,0),0), INDEX($AD$1004:$AU$1004,1,MATCH(COLUMNS($AD$1006:AE1006),$AD$1006:$AU$1006,0)))),"Fix")))</f>
        <v xml:space="preserve"> </v>
      </c>
      <c r="D742" s="4" t="str">
        <f ca="1">IF(OR(INDEX($X$2:$X$1001,MATCH(ROWS($W$2:W742),$W$2:$W$1001,0),1)&gt;=100000,INDEX($AD$1005:$AU$1005,1,MATCH(COLUMNS($AD$1006:AF1006),$AD$1006:$AU$1006,0))&gt;=100000), " ",IF(INDEX($AD$2:$AU$1001,MATCH(ROWS($W$2:W742),$W$2:$W$1001,0),MATCH(COLUMNS($AD$1006:AF1006),$AD$1006:$AU$1006,0)), HYPERLINK("#",""), HYPERLINK(CONCATENATE("#metadata!", ADDRESS(INDEX($Y$2:$Y$1001,MATCH(ROWS($W$2:W742),$W$2:$W$1001,0),0), INDEX($AD$1004:$AU$1004,1,MATCH(COLUMNS($AD$1006:AF1006),$AD$1006:$AU$1006,0)))),"Fix")))</f>
        <v xml:space="preserve"> </v>
      </c>
      <c r="E742" s="4" t="str">
        <f ca="1">IF(OR(INDEX($X$2:$X$1001,MATCH(ROWS($W$2:W742),$W$2:$W$1001,0),1)&gt;=100000,INDEX($AD$1005:$AU$1005,1,MATCH(COLUMNS($AD$1006:AG1006),$AD$1006:$AU$1006,0))&gt;=100000), " ",IF(INDEX($AD$2:$AU$1001,MATCH(ROWS($W$2:W742),$W$2:$W$1001,0),MATCH(COLUMNS($AD$1006:AG1006),$AD$1006:$AU$1006,0)), HYPERLINK("#",""), HYPERLINK(CONCATENATE("#metadata!", ADDRESS(INDEX($Y$2:$Y$1001,MATCH(ROWS($W$2:W742),$W$2:$W$1001,0),0), INDEX($AD$1004:$AU$1004,1,MATCH(COLUMNS($AD$1006:AG1006),$AD$1006:$AU$1006,0)))),"Fix")))</f>
        <v xml:space="preserve"> </v>
      </c>
      <c r="F742" s="4" t="str">
        <f ca="1">IF(OR(INDEX($X$2:$X$1001,MATCH(ROWS($W$2:W742),$W$2:$W$1001,0),1)&gt;=100000,INDEX($AD$1005:$AU$1005,1,MATCH(COLUMNS($AD$1006:AH1006),$AD$1006:$AU$1006,0))&gt;=100000), " ",IF(INDEX($AD$2:$AU$1001,MATCH(ROWS($W$2:W742),$W$2:$W$1001,0),MATCH(COLUMNS($AD$1006:AH1006),$AD$1006:$AU$1006,0)), HYPERLINK("#",""), HYPERLINK(CONCATENATE("#metadata!", ADDRESS(INDEX($Y$2:$Y$1001,MATCH(ROWS($W$2:W742),$W$2:$W$1001,0),0), INDEX($AD$1004:$AU$1004,1,MATCH(COLUMNS($AD$1006:AH1006),$AD$1006:$AU$1006,0)))),"Fix")))</f>
        <v xml:space="preserve"> </v>
      </c>
      <c r="G742" s="4" t="str">
        <f ca="1">IF(OR(INDEX($X$2:$X$1001,MATCH(ROWS($W$2:W742),$W$2:$W$1001,0),1)&gt;=100000,INDEX($AD$1005:$AU$1005,1,MATCH(COLUMNS($AD$1006:AI1006),$AD$1006:$AU$1006,0))&gt;=100000), " ",IF(INDEX($AD$2:$AU$1001,MATCH(ROWS($W$2:W742),$W$2:$W$1001,0),MATCH(COLUMNS($AD$1006:AI1006),$AD$1006:$AU$1006,0)), HYPERLINK("#",""), HYPERLINK(CONCATENATE("#metadata!", ADDRESS(INDEX($Y$2:$Y$1001,MATCH(ROWS($W$2:W742),$W$2:$W$1001,0),0), INDEX($AD$1004:$AU$1004,1,MATCH(COLUMNS($AD$1006:AI1006),$AD$1006:$AU$1006,0)))),"Fix")))</f>
        <v xml:space="preserve"> </v>
      </c>
      <c r="H742" s="4" t="str">
        <f ca="1">IF(OR(INDEX($X$2:$X$1001,MATCH(ROWS($W$2:W742),$W$2:$W$1001,0),1)&gt;=100000,INDEX($AD$1005:$AU$1005,1,MATCH(COLUMNS($AD$1006:AJ1006),$AD$1006:$AU$1006,0))&gt;=100000), " ",IF(INDEX($AD$2:$AU$1001,MATCH(ROWS($W$2:W742),$W$2:$W$1001,0),MATCH(COLUMNS($AD$1006:AJ1006),$AD$1006:$AU$1006,0)), HYPERLINK("#",""), HYPERLINK(CONCATENATE("#metadata!", ADDRESS(INDEX($Y$2:$Y$1001,MATCH(ROWS($W$2:W742),$W$2:$W$1001,0),0), INDEX($AD$1004:$AU$1004,1,MATCH(COLUMNS($AD$1006:AJ1006),$AD$1006:$AU$1006,0)))),"Fix")))</f>
        <v xml:space="preserve"> </v>
      </c>
      <c r="I742" s="4" t="str">
        <f ca="1">IF(OR(INDEX($X$2:$X$1001,MATCH(ROWS($W$2:W742),$W$2:$W$1001,0),1)&gt;=100000,INDEX($AD$1005:$AU$1005,1,MATCH(COLUMNS($AD$1006:AK1006),$AD$1006:$AU$1006,0))&gt;=100000), " ",IF(INDEX($AD$2:$AU$1001,MATCH(ROWS($W$2:W742),$W$2:$W$1001,0),MATCH(COLUMNS($AD$1006:AK1006),$AD$1006:$AU$1006,0)), HYPERLINK("#",""), HYPERLINK(CONCATENATE("#metadata!", ADDRESS(INDEX($Y$2:$Y$1001,MATCH(ROWS($W$2:W742),$W$2:$W$1001,0),0), INDEX($AD$1004:$AU$1004,1,MATCH(COLUMNS($AD$1006:AK1006),$AD$1006:$AU$1006,0)))),"Fix")))</f>
        <v xml:space="preserve"> </v>
      </c>
      <c r="J742" s="4" t="str">
        <f ca="1">IF(OR(INDEX($X$2:$X$1001,MATCH(ROWS($W$2:W742),$W$2:$W$1001,0),1)&gt;=100000,INDEX($AD$1005:$AU$1005,1,MATCH(COLUMNS($AD$1006:AL1006),$AD$1006:$AU$1006,0))&gt;=100000), " ",IF(INDEX($AD$2:$AU$1001,MATCH(ROWS($W$2:W742),$W$2:$W$1001,0),MATCH(COLUMNS($AD$1006:AL1006),$AD$1006:$AU$1006,0)), HYPERLINK("#",""), HYPERLINK(CONCATENATE("#metadata!", ADDRESS(INDEX($Y$2:$Y$1001,MATCH(ROWS($W$2:W742),$W$2:$W$1001,0),0), INDEX($AD$1004:$AU$1004,1,MATCH(COLUMNS($AD$1006:AL1006),$AD$1006:$AU$1006,0)))),"Fix")))</f>
        <v xml:space="preserve"> </v>
      </c>
      <c r="K742" s="4" t="str">
        <f ca="1">IF(OR(INDEX($X$2:$X$1001,MATCH(ROWS($W$2:W742),$W$2:$W$1001,0),1)&gt;=100000,INDEX($AD$1005:$AU$1005,1,MATCH(COLUMNS($AD$1006:AM1006),$AD$1006:$AU$1006,0))&gt;=100000), " ",IF(INDEX($AD$2:$AU$1001,MATCH(ROWS($W$2:W742),$W$2:$W$1001,0),MATCH(COLUMNS($AD$1006:AM1006),$AD$1006:$AU$1006,0)), HYPERLINK("#",""), HYPERLINK(CONCATENATE("#metadata!", ADDRESS(INDEX($Y$2:$Y$1001,MATCH(ROWS($W$2:W742),$W$2:$W$1001,0),0), INDEX($AD$1004:$AU$1004,1,MATCH(COLUMNS($AD$1006:AM1006),$AD$1006:$AU$1006,0)))),"Fix")))</f>
        <v xml:space="preserve"> </v>
      </c>
      <c r="L742" s="4" t="str">
        <f ca="1">IF(OR(INDEX($X$2:$X$1001,MATCH(ROWS($W$2:W742),$W$2:$W$1001,0),1)&gt;=100000,INDEX($AD$1005:$AU$1005,1,MATCH(COLUMNS($AD$1006:AN1006),$AD$1006:$AU$1006,0))&gt;=100000), " ",IF(INDEX($AD$2:$AU$1001,MATCH(ROWS($W$2:W742),$W$2:$W$1001,0),MATCH(COLUMNS($AD$1006:AN1006),$AD$1006:$AU$1006,0)), HYPERLINK("#",""), HYPERLINK(CONCATENATE("#metadata!", ADDRESS(INDEX($Y$2:$Y$1001,MATCH(ROWS($W$2:W742),$W$2:$W$1001,0),0), INDEX($AD$1004:$AU$1004,1,MATCH(COLUMNS($AD$1006:AN1006),$AD$1006:$AU$1006,0)))),"Fix")))</f>
        <v xml:space="preserve"> </v>
      </c>
      <c r="M742" s="4" t="str">
        <f ca="1">IF(OR(INDEX($X$2:$X$1001,MATCH(ROWS($W$2:W742),$W$2:$W$1001,0),1)&gt;=100000,INDEX($AD$1005:$AU$1005,1,MATCH(COLUMNS($AD$1006:AO1006),$AD$1006:$AU$1006,0))&gt;=100000), " ",IF(INDEX($AD$2:$AU$1001,MATCH(ROWS($W$2:W742),$W$2:$W$1001,0),MATCH(COLUMNS($AD$1006:AO1006),$AD$1006:$AU$1006,0)), HYPERLINK("#",""), HYPERLINK(CONCATENATE("#metadata!", ADDRESS(INDEX($Y$2:$Y$1001,MATCH(ROWS($W$2:W742),$W$2:$W$1001,0),0), INDEX($AD$1004:$AU$1004,1,MATCH(COLUMNS($AD$1006:AO1006),$AD$1006:$AU$1006,0)))),"Fix")))</f>
        <v xml:space="preserve"> </v>
      </c>
      <c r="N742" s="4" t="str">
        <f ca="1">IF(OR(INDEX($X$2:$X$1001,MATCH(ROWS($W$2:W742),$W$2:$W$1001,0),1)&gt;=100000,INDEX($AD$1005:$AU$1005,1,MATCH(COLUMNS($AD$1006:AP1006),$AD$1006:$AU$1006,0))&gt;=100000), " ",IF(INDEX($AD$2:$AU$1001,MATCH(ROWS($W$2:W742),$W$2:$W$1001,0),MATCH(COLUMNS($AD$1006:AP1006),$AD$1006:$AU$1006,0)), HYPERLINK("#",""), HYPERLINK(CONCATENATE("#metadata!", ADDRESS(INDEX($Y$2:$Y$1001,MATCH(ROWS($W$2:W742),$W$2:$W$1001,0),0), INDEX($AD$1004:$AU$1004,1,MATCH(COLUMNS($AD$1006:AP1006),$AD$1006:$AU$1006,0)))),"Fix")))</f>
        <v xml:space="preserve"> </v>
      </c>
      <c r="O742" s="4" t="str">
        <f ca="1">IF(OR(INDEX($X$2:$X$1001,MATCH(ROWS($W$2:W742),$W$2:$W$1001,0),1)&gt;=100000,INDEX($AD$1005:$AU$1005,1,MATCH(COLUMNS($AD$1006:AQ1006),$AD$1006:$AU$1006,0))&gt;=100000), " ",IF(INDEX($AD$2:$AU$1001,MATCH(ROWS($W$2:W742),$W$2:$W$1001,0),MATCH(COLUMNS($AD$1006:AQ1006),$AD$1006:$AU$1006,0)), HYPERLINK("#",""), HYPERLINK(CONCATENATE("#metadata!", ADDRESS(INDEX($Y$2:$Y$1001,MATCH(ROWS($W$2:W742),$W$2:$W$1001,0),0), INDEX($AD$1004:$AU$1004,1,MATCH(COLUMNS($AD$1006:AQ1006),$AD$1006:$AU$1006,0)))),"Fix")))</f>
        <v xml:space="preserve"> </v>
      </c>
      <c r="P742" s="4" t="str">
        <f ca="1">IF(OR(INDEX($X$2:$X$1001,MATCH(ROWS($W$2:W742),$W$2:$W$1001,0),1)&gt;=100000,INDEX($AD$1005:$AU$1005,1,MATCH(COLUMNS($AD$1006:AR1006),$AD$1006:$AU$1006,0))&gt;=100000), " ",IF(INDEX($AD$2:$AU$1001,MATCH(ROWS($W$2:W742),$W$2:$W$1001,0),MATCH(COLUMNS($AD$1006:AR1006),$AD$1006:$AU$1006,0)), HYPERLINK("#",""), HYPERLINK(CONCATENATE("#metadata!", ADDRESS(INDEX($Y$2:$Y$1001,MATCH(ROWS($W$2:W742),$W$2:$W$1001,0),0), INDEX($AD$1004:$AU$1004,1,MATCH(COLUMNS($AD$1006:AR1006),$AD$1006:$AU$1006,0)))),"Fix")))</f>
        <v xml:space="preserve"> </v>
      </c>
      <c r="Q742" s="4" t="str">
        <f ca="1">IF(OR(INDEX($X$2:$X$1001,MATCH(ROWS($W$2:W742),$W$2:$W$1001,0),1)&gt;=100000,INDEX($AD$1005:$AU$1005,1,MATCH(COLUMNS($AD$1006:AS1006),$AD$1006:$AU$1006,0))&gt;=100000), " ",IF(INDEX($AD$2:$AU$1001,MATCH(ROWS($W$2:W742),$W$2:$W$1001,0),MATCH(COLUMNS($AD$1006:AS1006),$AD$1006:$AU$1006,0)), HYPERLINK("#",""), HYPERLINK(CONCATENATE("#metadata!", ADDRESS(INDEX($Y$2:$Y$1001,MATCH(ROWS($W$2:W742),$W$2:$W$1001,0),0), INDEX($AD$1004:$AU$1004,1,MATCH(COLUMNS($AD$1006:AS1006),$AD$1006:$AU$1006,0)))),"Fix")))</f>
        <v xml:space="preserve"> </v>
      </c>
      <c r="R742" s="4" t="str">
        <f ca="1">IF(OR(INDEX($X$2:$X$1001,MATCH(ROWS($W$2:W742),$W$2:$W$1001,0),1)&gt;=100000,INDEX($AD$1005:$AU$1005,1,MATCH(COLUMNS($AD$1006:AT1006),$AD$1006:$AU$1006,0))&gt;=100000), " ",IF(INDEX($AD$2:$AU$1001,MATCH(ROWS($W$2:W742),$W$2:$W$1001,0),MATCH(COLUMNS($AD$1006:AT1006),$AD$1006:$AU$1006,0)), HYPERLINK("#",""), HYPERLINK(CONCATENATE("#metadata!", ADDRESS(INDEX($Y$2:$Y$1001,MATCH(ROWS($W$2:W742),$W$2:$W$1001,0),0), INDEX($AD$1004:$AU$1004,1,MATCH(COLUMNS($AD$1006:AT1006),$AD$1006:$AU$1006,0)))),"Fix")))</f>
        <v xml:space="preserve"> </v>
      </c>
      <c r="S742" s="4" t="str">
        <f ca="1">IF(OR(INDEX($X$2:$X$1001,MATCH(ROWS($W$2:W742),$W$2:$W$1001,0),1)&gt;=100000,INDEX($AD$1005:$AU$1005,1,MATCH(COLUMNS($AD$1006:AU1006),$AD$1006:$AU$1006,0))&gt;=100000), " ",IF(INDEX($AD$2:$AU$1001,MATCH(ROWS($W$2:W742),$W$2:$W$1001,0),MATCH(COLUMNS($AD$1006:AU1006),$AD$1006:$AU$1006,0)), HYPERLINK("#",""), HYPERLINK(CONCATENATE("#metadata!", ADDRESS(INDEX($Y$2:$Y$1001,MATCH(ROWS($W$2:W742),$W$2:$W$1001,0),0), INDEX($AD$1004:$AU$1004,1,MATCH(COLUMNS($AD$1006:AU1006),$AD$1006:$AU$1006,0)))),"Fix")))</f>
        <v xml:space="preserve"> </v>
      </c>
      <c r="W742">
        <v>741</v>
      </c>
      <c r="X742">
        <v>100742</v>
      </c>
      <c r="Y742">
        <v>742</v>
      </c>
      <c r="Z742" t="b">
        <f t="shared" si="11"/>
        <v>1</v>
      </c>
      <c r="AA742" t="b">
        <f>COUNTBLANK(metadata!B742:S742)=COLUMNS(metadata!B742:S742)</f>
        <v>1</v>
      </c>
      <c r="AB742" t="str">
        <v/>
      </c>
      <c r="AD742" t="b">
        <f ca="1">AND(IF(metadata!B742="",FALSE,TRUE),COUNTIF(metadata!B:B, metadata!B742) = 1,NOT(ISERROR(SUMPRODUCT(SEARCH(MID(metadata!B742,ROW(INDIRECT("1:"&amp;LEN(metadata!B742))), 1),"0123456789abcdefghijklmnopqrstuvwxyzABCDEFGHIJKLMNOPQRSTUVWXYZ.")))))</f>
        <v>0</v>
      </c>
      <c r="AE742" t="b">
        <f>OR(AND(IF(metadata!C742="",FALSE,TRUE),OR(EXACT(metadata!C742,"not applicable"),EXACT(metadata!C742,"missing: not collected"),EXACT(metadata!C742,"missing: not provided"),EXACT(metadata!C742,"missing: restricted access"))),AND(IF(metadata!C742="",FALSE,ISNUMBER(VALUE(metadata!C742))),metadata!C742&gt;0))</f>
        <v>0</v>
      </c>
      <c r="AF742" t="b">
        <f>AND(IF(metadata!D742="",FALSE,TRUE),EXACT(metadata!D742,"missing: not provided"))</f>
        <v>0</v>
      </c>
      <c r="AG742" t="b">
        <f>AND(IF(metadata!E742="",FALSE,TRUE),EXACT(metadata!E742,"Host-associated"))</f>
        <v>0</v>
      </c>
      <c r="AH742" t="b">
        <f>AND(IF(metadata!F742="",FALSE,TRUE),OR(EXACT(metadata!F742,"Animal"),EXACT(metadata!F742,"Fungus"),EXACT(metadata!F742,"Plant")))</f>
        <v>0</v>
      </c>
      <c r="AI742" t="b">
        <f>AND(IF(metadata!G742="",FALSE,TRUE),OR(EXACT(metadata!G742,"Plant secretion"),EXACT(metadata!G742,"Plant rhizosphere"),EXACT(metadata!G742,"Plant surface"),EXACT(metadata!G742,"Plant corpus"),EXACT(metadata!G742,"Fungus surface"),EXACT(metadata!G742,"Fungus corpus"),EXACT(metadata!G742,"Animal surface"),EXACT(metadata!G742,"Animal proximal gut"),EXACT(metadata!G742,"Animal corpus"),EXACT(metadata!G742,"Animal distal gut"),EXACT(metadata!G742,"Animal secretion")))</f>
        <v>0</v>
      </c>
      <c r="AJ742" t="b">
        <f>OR(AND(IF(metadata!H742="",FALSE,TRUE),OR(EXACT(metadata!H742,"missing: not collected"),EXACT(metadata!H742,"missing: not provided"),EXACT(metadata!H742,"missing: restricted access"))),AND(IF(metadata!H742="",FALSE,TRUE),OR(EXACT(metadata!H742,"organism-associated habitat"),EXACT(metadata!H742,"plant-associated habitat"),EXACT(metadata!H742,"animal-associated habitat"),EXACT(metadata!H742,"insecta-associated habitat"),EXACT(metadata!H742,"mammalia-associated habitat"),EXACT(metadata!H742,"human-associated habitat"),EXACT(metadata!H742,"livestock-associated habitat"))))</f>
        <v>0</v>
      </c>
      <c r="AK742" t="b">
        <f>AND(IF(metadata!I742="",FALSE,TRUE),EXACT(metadata!I742,"host-associated"))</f>
        <v>0</v>
      </c>
      <c r="AL742" t="b">
        <f>OR(AND(IF(metadata!J742="",FALSE,TRUE),OR(EXACT(metadata!J742,"not applicable"),EXACT(metadata!J742,"missing: not collected"),EXACT(metadata!J742,"missing: not provided"),EXACT(metadata!J742,"missing: restricted access"))),AND(IF(metadata!J742="",FALSE,ISNUMBER(VALUE(metadata!J742))),metadata!J742&gt;0))</f>
        <v>0</v>
      </c>
      <c r="AM742" t="b">
        <f>AND(IF(metadata!K742="",FALSE,TRUE),EXACT(metadata!K742,"missing: not provided"))</f>
        <v>0</v>
      </c>
      <c r="AN742" t="b">
        <f>IF(metadata!L742="",FALSE,TRUE)</f>
        <v>0</v>
      </c>
      <c r="AO742" t="b">
        <f>IF(metadata!M742="",FALSE,TRUE)</f>
        <v>0</v>
      </c>
      <c r="AP742" t="b">
        <f>OR(AND(IF(metadata!N742="",FALSE,TRUE),OR(EXACT(metadata!N742,"not applicable"),EXACT(metadata!N742,"missing: not collected"),EXACT(metadata!N742,"missing: not provided"))),AND(IF(metadata!N742="",FALSE,IF(ISERROR(INT(metadata!N742)),FALSE,INT(metadata!N742)=metadata!N742)),metadata!N742&gt;0))</f>
        <v>0</v>
      </c>
      <c r="AQ742" t="b">
        <f>AND(IF(metadata!O742="",FALSE,TRUE),EXACT(metadata!O742,"Not applicable"))</f>
        <v>0</v>
      </c>
      <c r="AR742" t="b">
        <f>OR(AND(IF(metadata!P742="",FALSE,TRUE),OR(EXACT(metadata!P742,"not applicable"),EXACT(metadata!P742,"missing: not collected"),EXACT(metadata!P742,"missing: not provided"),EXACT(metadata!P742,"missing: restricted access"))),IF(metadata!P742="",FALSE,IF(ISERROR(INT(metadata!P742)),FALSE,INT(metadata!P742)=metadata!P742)))</f>
        <v>0</v>
      </c>
      <c r="AS742" t="b">
        <f>AND(IF(metadata!Q742="",FALSE,TRUE),EXACT(metadata!Q742,"Not applicable"))</f>
        <v>0</v>
      </c>
      <c r="AT742" t="b">
        <f>OR(AND(IF(metadata!R742="",FALSE,TRUE),OR(EXACT(metadata!R742,"not applicable"),EXACT(metadata!R742,"missing: not collected"),EXACT(metadata!R742,"missing: not provided"),EXACT(metadata!R742,"missing: restricted access"))),AND(IF(metadata!R742="",FALSE,ISNUMBER(VALUE(metadata!R742))),metadata!R742&gt;0))</f>
        <v>0</v>
      </c>
      <c r="AU742" t="b">
        <f>AND(IF(metadata!S742="",FALSE,TRUE),EXACT(metadata!S742,"missing: not provided"))</f>
        <v>0</v>
      </c>
    </row>
    <row r="743" spans="1:47" x14ac:dyDescent="0.2">
      <c r="A743" s="5" t="str">
        <f ca="1">IF(B743=" "," ",HYPERLINK(CONCATENATE("#metadata!",ADDRESS(INDEX($Y$2:$Y$1001,MATCH(ROWS($W$2:W743),$W$2:$W$1001,0),0),1)),INDEX($AB$2:$AB$1001,MATCH(ROWS($W$2:W743),$W$2:$W$1001,0),0)))</f>
        <v xml:space="preserve"> </v>
      </c>
      <c r="B743" s="4" t="str">
        <f ca="1">IF(OR(INDEX($X$2:$X$1001,MATCH(ROWS($W$2:W743),$W$2:$W$1001,0),1)&gt;=100000,INDEX($AD$1005:$AU$1005,1,MATCH(COLUMNS($AD$1006:AD1006),$AD$1006:$AU$1006,0))&gt;=100000), " ",IF(INDEX($AD$2:$AU$1001,MATCH(ROWS($W$2:W743),$W$2:$W$1001,0),MATCH(COLUMNS($AD$1006:AD1006),$AD$1006:$AU$1006,0)), HYPERLINK("#",""), HYPERLINK(CONCATENATE("#metadata!", ADDRESS(INDEX($Y$2:$Y$1001,MATCH(ROWS($W$2:W743),$W$2:$W$1001,0),0), INDEX($AD$1004:$AU$1004,1,MATCH(COLUMNS($AD$1006:AD1006),$AD$1006:$AU$1006,0)))),"Fix")))</f>
        <v xml:space="preserve"> </v>
      </c>
      <c r="C743" s="4" t="str">
        <f ca="1">IF(OR(INDEX($X$2:$X$1001,MATCH(ROWS($W$2:W743),$W$2:$W$1001,0),1)&gt;=100000,INDEX($AD$1005:$AU$1005,1,MATCH(COLUMNS($AD$1006:AE1006),$AD$1006:$AU$1006,0))&gt;=100000), " ",IF(INDEX($AD$2:$AU$1001,MATCH(ROWS($W$2:W743),$W$2:$W$1001,0),MATCH(COLUMNS($AD$1006:AE1006),$AD$1006:$AU$1006,0)), HYPERLINK("#",""), HYPERLINK(CONCATENATE("#metadata!", ADDRESS(INDEX($Y$2:$Y$1001,MATCH(ROWS($W$2:W743),$W$2:$W$1001,0),0), INDEX($AD$1004:$AU$1004,1,MATCH(COLUMNS($AD$1006:AE1006),$AD$1006:$AU$1006,0)))),"Fix")))</f>
        <v xml:space="preserve"> </v>
      </c>
      <c r="D743" s="4" t="str">
        <f ca="1">IF(OR(INDEX($X$2:$X$1001,MATCH(ROWS($W$2:W743),$W$2:$W$1001,0),1)&gt;=100000,INDEX($AD$1005:$AU$1005,1,MATCH(COLUMNS($AD$1006:AF1006),$AD$1006:$AU$1006,0))&gt;=100000), " ",IF(INDEX($AD$2:$AU$1001,MATCH(ROWS($W$2:W743),$W$2:$W$1001,0),MATCH(COLUMNS($AD$1006:AF1006),$AD$1006:$AU$1006,0)), HYPERLINK("#",""), HYPERLINK(CONCATENATE("#metadata!", ADDRESS(INDEX($Y$2:$Y$1001,MATCH(ROWS($W$2:W743),$W$2:$W$1001,0),0), INDEX($AD$1004:$AU$1004,1,MATCH(COLUMNS($AD$1006:AF1006),$AD$1006:$AU$1006,0)))),"Fix")))</f>
        <v xml:space="preserve"> </v>
      </c>
      <c r="E743" s="4" t="str">
        <f ca="1">IF(OR(INDEX($X$2:$X$1001,MATCH(ROWS($W$2:W743),$W$2:$W$1001,0),1)&gt;=100000,INDEX($AD$1005:$AU$1005,1,MATCH(COLUMNS($AD$1006:AG1006),$AD$1006:$AU$1006,0))&gt;=100000), " ",IF(INDEX($AD$2:$AU$1001,MATCH(ROWS($W$2:W743),$W$2:$W$1001,0),MATCH(COLUMNS($AD$1006:AG1006),$AD$1006:$AU$1006,0)), HYPERLINK("#",""), HYPERLINK(CONCATENATE("#metadata!", ADDRESS(INDEX($Y$2:$Y$1001,MATCH(ROWS($W$2:W743),$W$2:$W$1001,0),0), INDEX($AD$1004:$AU$1004,1,MATCH(COLUMNS($AD$1006:AG1006),$AD$1006:$AU$1006,0)))),"Fix")))</f>
        <v xml:space="preserve"> </v>
      </c>
      <c r="F743" s="4" t="str">
        <f ca="1">IF(OR(INDEX($X$2:$X$1001,MATCH(ROWS($W$2:W743),$W$2:$W$1001,0),1)&gt;=100000,INDEX($AD$1005:$AU$1005,1,MATCH(COLUMNS($AD$1006:AH1006),$AD$1006:$AU$1006,0))&gt;=100000), " ",IF(INDEX($AD$2:$AU$1001,MATCH(ROWS($W$2:W743),$W$2:$W$1001,0),MATCH(COLUMNS($AD$1006:AH1006),$AD$1006:$AU$1006,0)), HYPERLINK("#",""), HYPERLINK(CONCATENATE("#metadata!", ADDRESS(INDEX($Y$2:$Y$1001,MATCH(ROWS($W$2:W743),$W$2:$W$1001,0),0), INDEX($AD$1004:$AU$1004,1,MATCH(COLUMNS($AD$1006:AH1006),$AD$1006:$AU$1006,0)))),"Fix")))</f>
        <v xml:space="preserve"> </v>
      </c>
      <c r="G743" s="4" t="str">
        <f ca="1">IF(OR(INDEX($X$2:$X$1001,MATCH(ROWS($W$2:W743),$W$2:$W$1001,0),1)&gt;=100000,INDEX($AD$1005:$AU$1005,1,MATCH(COLUMNS($AD$1006:AI1006),$AD$1006:$AU$1006,0))&gt;=100000), " ",IF(INDEX($AD$2:$AU$1001,MATCH(ROWS($W$2:W743),$W$2:$W$1001,0),MATCH(COLUMNS($AD$1006:AI1006),$AD$1006:$AU$1006,0)), HYPERLINK("#",""), HYPERLINK(CONCATENATE("#metadata!", ADDRESS(INDEX($Y$2:$Y$1001,MATCH(ROWS($W$2:W743),$W$2:$W$1001,0),0), INDEX($AD$1004:$AU$1004,1,MATCH(COLUMNS($AD$1006:AI1006),$AD$1006:$AU$1006,0)))),"Fix")))</f>
        <v xml:space="preserve"> </v>
      </c>
      <c r="H743" s="4" t="str">
        <f ca="1">IF(OR(INDEX($X$2:$X$1001,MATCH(ROWS($W$2:W743),$W$2:$W$1001,0),1)&gt;=100000,INDEX($AD$1005:$AU$1005,1,MATCH(COLUMNS($AD$1006:AJ1006),$AD$1006:$AU$1006,0))&gt;=100000), " ",IF(INDEX($AD$2:$AU$1001,MATCH(ROWS($W$2:W743),$W$2:$W$1001,0),MATCH(COLUMNS($AD$1006:AJ1006),$AD$1006:$AU$1006,0)), HYPERLINK("#",""), HYPERLINK(CONCATENATE("#metadata!", ADDRESS(INDEX($Y$2:$Y$1001,MATCH(ROWS($W$2:W743),$W$2:$W$1001,0),0), INDEX($AD$1004:$AU$1004,1,MATCH(COLUMNS($AD$1006:AJ1006),$AD$1006:$AU$1006,0)))),"Fix")))</f>
        <v xml:space="preserve"> </v>
      </c>
      <c r="I743" s="4" t="str">
        <f ca="1">IF(OR(INDEX($X$2:$X$1001,MATCH(ROWS($W$2:W743),$W$2:$W$1001,0),1)&gt;=100000,INDEX($AD$1005:$AU$1005,1,MATCH(COLUMNS($AD$1006:AK1006),$AD$1006:$AU$1006,0))&gt;=100000), " ",IF(INDEX($AD$2:$AU$1001,MATCH(ROWS($W$2:W743),$W$2:$W$1001,0),MATCH(COLUMNS($AD$1006:AK1006),$AD$1006:$AU$1006,0)), HYPERLINK("#",""), HYPERLINK(CONCATENATE("#metadata!", ADDRESS(INDEX($Y$2:$Y$1001,MATCH(ROWS($W$2:W743),$W$2:$W$1001,0),0), INDEX($AD$1004:$AU$1004,1,MATCH(COLUMNS($AD$1006:AK1006),$AD$1006:$AU$1006,0)))),"Fix")))</f>
        <v xml:space="preserve"> </v>
      </c>
      <c r="J743" s="4" t="str">
        <f ca="1">IF(OR(INDEX($X$2:$X$1001,MATCH(ROWS($W$2:W743),$W$2:$W$1001,0),1)&gt;=100000,INDEX($AD$1005:$AU$1005,1,MATCH(COLUMNS($AD$1006:AL1006),$AD$1006:$AU$1006,0))&gt;=100000), " ",IF(INDEX($AD$2:$AU$1001,MATCH(ROWS($W$2:W743),$W$2:$W$1001,0),MATCH(COLUMNS($AD$1006:AL1006),$AD$1006:$AU$1006,0)), HYPERLINK("#",""), HYPERLINK(CONCATENATE("#metadata!", ADDRESS(INDEX($Y$2:$Y$1001,MATCH(ROWS($W$2:W743),$W$2:$W$1001,0),0), INDEX($AD$1004:$AU$1004,1,MATCH(COLUMNS($AD$1006:AL1006),$AD$1006:$AU$1006,0)))),"Fix")))</f>
        <v xml:space="preserve"> </v>
      </c>
      <c r="K743" s="4" t="str">
        <f ca="1">IF(OR(INDEX($X$2:$X$1001,MATCH(ROWS($W$2:W743),$W$2:$W$1001,0),1)&gt;=100000,INDEX($AD$1005:$AU$1005,1,MATCH(COLUMNS($AD$1006:AM1006),$AD$1006:$AU$1006,0))&gt;=100000), " ",IF(INDEX($AD$2:$AU$1001,MATCH(ROWS($W$2:W743),$W$2:$W$1001,0),MATCH(COLUMNS($AD$1006:AM1006),$AD$1006:$AU$1006,0)), HYPERLINK("#",""), HYPERLINK(CONCATENATE("#metadata!", ADDRESS(INDEX($Y$2:$Y$1001,MATCH(ROWS($W$2:W743),$W$2:$W$1001,0),0), INDEX($AD$1004:$AU$1004,1,MATCH(COLUMNS($AD$1006:AM1006),$AD$1006:$AU$1006,0)))),"Fix")))</f>
        <v xml:space="preserve"> </v>
      </c>
      <c r="L743" s="4" t="str">
        <f ca="1">IF(OR(INDEX($X$2:$X$1001,MATCH(ROWS($W$2:W743),$W$2:$W$1001,0),1)&gt;=100000,INDEX($AD$1005:$AU$1005,1,MATCH(COLUMNS($AD$1006:AN1006),$AD$1006:$AU$1006,0))&gt;=100000), " ",IF(INDEX($AD$2:$AU$1001,MATCH(ROWS($W$2:W743),$W$2:$W$1001,0),MATCH(COLUMNS($AD$1006:AN1006),$AD$1006:$AU$1006,0)), HYPERLINK("#",""), HYPERLINK(CONCATENATE("#metadata!", ADDRESS(INDEX($Y$2:$Y$1001,MATCH(ROWS($W$2:W743),$W$2:$W$1001,0),0), INDEX($AD$1004:$AU$1004,1,MATCH(COLUMNS($AD$1006:AN1006),$AD$1006:$AU$1006,0)))),"Fix")))</f>
        <v xml:space="preserve"> </v>
      </c>
      <c r="M743" s="4" t="str">
        <f ca="1">IF(OR(INDEX($X$2:$X$1001,MATCH(ROWS($W$2:W743),$W$2:$W$1001,0),1)&gt;=100000,INDEX($AD$1005:$AU$1005,1,MATCH(COLUMNS($AD$1006:AO1006),$AD$1006:$AU$1006,0))&gt;=100000), " ",IF(INDEX($AD$2:$AU$1001,MATCH(ROWS($W$2:W743),$W$2:$W$1001,0),MATCH(COLUMNS($AD$1006:AO1006),$AD$1006:$AU$1006,0)), HYPERLINK("#",""), HYPERLINK(CONCATENATE("#metadata!", ADDRESS(INDEX($Y$2:$Y$1001,MATCH(ROWS($W$2:W743),$W$2:$W$1001,0),0), INDEX($AD$1004:$AU$1004,1,MATCH(COLUMNS($AD$1006:AO1006),$AD$1006:$AU$1006,0)))),"Fix")))</f>
        <v xml:space="preserve"> </v>
      </c>
      <c r="N743" s="4" t="str">
        <f ca="1">IF(OR(INDEX($X$2:$X$1001,MATCH(ROWS($W$2:W743),$W$2:$W$1001,0),1)&gt;=100000,INDEX($AD$1005:$AU$1005,1,MATCH(COLUMNS($AD$1006:AP1006),$AD$1006:$AU$1006,0))&gt;=100000), " ",IF(INDEX($AD$2:$AU$1001,MATCH(ROWS($W$2:W743),$W$2:$W$1001,0),MATCH(COLUMNS($AD$1006:AP1006),$AD$1006:$AU$1006,0)), HYPERLINK("#",""), HYPERLINK(CONCATENATE("#metadata!", ADDRESS(INDEX($Y$2:$Y$1001,MATCH(ROWS($W$2:W743),$W$2:$W$1001,0),0), INDEX($AD$1004:$AU$1004,1,MATCH(COLUMNS($AD$1006:AP1006),$AD$1006:$AU$1006,0)))),"Fix")))</f>
        <v xml:space="preserve"> </v>
      </c>
      <c r="O743" s="4" t="str">
        <f ca="1">IF(OR(INDEX($X$2:$X$1001,MATCH(ROWS($W$2:W743),$W$2:$W$1001,0),1)&gt;=100000,INDEX($AD$1005:$AU$1005,1,MATCH(COLUMNS($AD$1006:AQ1006),$AD$1006:$AU$1006,0))&gt;=100000), " ",IF(INDEX($AD$2:$AU$1001,MATCH(ROWS($W$2:W743),$W$2:$W$1001,0),MATCH(COLUMNS($AD$1006:AQ1006),$AD$1006:$AU$1006,0)), HYPERLINK("#",""), HYPERLINK(CONCATENATE("#metadata!", ADDRESS(INDEX($Y$2:$Y$1001,MATCH(ROWS($W$2:W743),$W$2:$W$1001,0),0), INDEX($AD$1004:$AU$1004,1,MATCH(COLUMNS($AD$1006:AQ1006),$AD$1006:$AU$1006,0)))),"Fix")))</f>
        <v xml:space="preserve"> </v>
      </c>
      <c r="P743" s="4" t="str">
        <f ca="1">IF(OR(INDEX($X$2:$X$1001,MATCH(ROWS($W$2:W743),$W$2:$W$1001,0),1)&gt;=100000,INDEX($AD$1005:$AU$1005,1,MATCH(COLUMNS($AD$1006:AR1006),$AD$1006:$AU$1006,0))&gt;=100000), " ",IF(INDEX($AD$2:$AU$1001,MATCH(ROWS($W$2:W743),$W$2:$W$1001,0),MATCH(COLUMNS($AD$1006:AR1006),$AD$1006:$AU$1006,0)), HYPERLINK("#",""), HYPERLINK(CONCATENATE("#metadata!", ADDRESS(INDEX($Y$2:$Y$1001,MATCH(ROWS($W$2:W743),$W$2:$W$1001,0),0), INDEX($AD$1004:$AU$1004,1,MATCH(COLUMNS($AD$1006:AR1006),$AD$1006:$AU$1006,0)))),"Fix")))</f>
        <v xml:space="preserve"> </v>
      </c>
      <c r="Q743" s="4" t="str">
        <f ca="1">IF(OR(INDEX($X$2:$X$1001,MATCH(ROWS($W$2:W743),$W$2:$W$1001,0),1)&gt;=100000,INDEX($AD$1005:$AU$1005,1,MATCH(COLUMNS($AD$1006:AS1006),$AD$1006:$AU$1006,0))&gt;=100000), " ",IF(INDEX($AD$2:$AU$1001,MATCH(ROWS($W$2:W743),$W$2:$W$1001,0),MATCH(COLUMNS($AD$1006:AS1006),$AD$1006:$AU$1006,0)), HYPERLINK("#",""), HYPERLINK(CONCATENATE("#metadata!", ADDRESS(INDEX($Y$2:$Y$1001,MATCH(ROWS($W$2:W743),$W$2:$W$1001,0),0), INDEX($AD$1004:$AU$1004,1,MATCH(COLUMNS($AD$1006:AS1006),$AD$1006:$AU$1006,0)))),"Fix")))</f>
        <v xml:space="preserve"> </v>
      </c>
      <c r="R743" s="4" t="str">
        <f ca="1">IF(OR(INDEX($X$2:$X$1001,MATCH(ROWS($W$2:W743),$W$2:$W$1001,0),1)&gt;=100000,INDEX($AD$1005:$AU$1005,1,MATCH(COLUMNS($AD$1006:AT1006),$AD$1006:$AU$1006,0))&gt;=100000), " ",IF(INDEX($AD$2:$AU$1001,MATCH(ROWS($W$2:W743),$W$2:$W$1001,0),MATCH(COLUMNS($AD$1006:AT1006),$AD$1006:$AU$1006,0)), HYPERLINK("#",""), HYPERLINK(CONCATENATE("#metadata!", ADDRESS(INDEX($Y$2:$Y$1001,MATCH(ROWS($W$2:W743),$W$2:$W$1001,0),0), INDEX($AD$1004:$AU$1004,1,MATCH(COLUMNS($AD$1006:AT1006),$AD$1006:$AU$1006,0)))),"Fix")))</f>
        <v xml:space="preserve"> </v>
      </c>
      <c r="S743" s="4" t="str">
        <f ca="1">IF(OR(INDEX($X$2:$X$1001,MATCH(ROWS($W$2:W743),$W$2:$W$1001,0),1)&gt;=100000,INDEX($AD$1005:$AU$1005,1,MATCH(COLUMNS($AD$1006:AU1006),$AD$1006:$AU$1006,0))&gt;=100000), " ",IF(INDEX($AD$2:$AU$1001,MATCH(ROWS($W$2:W743),$W$2:$W$1001,0),MATCH(COLUMNS($AD$1006:AU1006),$AD$1006:$AU$1006,0)), HYPERLINK("#",""), HYPERLINK(CONCATENATE("#metadata!", ADDRESS(INDEX($Y$2:$Y$1001,MATCH(ROWS($W$2:W743),$W$2:$W$1001,0),0), INDEX($AD$1004:$AU$1004,1,MATCH(COLUMNS($AD$1006:AU1006),$AD$1006:$AU$1006,0)))),"Fix")))</f>
        <v xml:space="preserve"> </v>
      </c>
      <c r="W743">
        <v>742</v>
      </c>
      <c r="X743">
        <v>100743</v>
      </c>
      <c r="Y743">
        <v>743</v>
      </c>
      <c r="Z743" t="b">
        <f t="shared" si="11"/>
        <v>1</v>
      </c>
      <c r="AA743" t="b">
        <f>COUNTBLANK(metadata!B743:S743)=COLUMNS(metadata!B743:S743)</f>
        <v>1</v>
      </c>
      <c r="AB743" t="str">
        <v/>
      </c>
      <c r="AD743" t="b">
        <f ca="1">AND(IF(metadata!B743="",FALSE,TRUE),COUNTIF(metadata!B:B, metadata!B743) = 1,NOT(ISERROR(SUMPRODUCT(SEARCH(MID(metadata!B743,ROW(INDIRECT("1:"&amp;LEN(metadata!B743))), 1),"0123456789abcdefghijklmnopqrstuvwxyzABCDEFGHIJKLMNOPQRSTUVWXYZ.")))))</f>
        <v>0</v>
      </c>
      <c r="AE743" t="b">
        <f>OR(AND(IF(metadata!C743="",FALSE,TRUE),OR(EXACT(metadata!C743,"not applicable"),EXACT(metadata!C743,"missing: not collected"),EXACT(metadata!C743,"missing: not provided"),EXACT(metadata!C743,"missing: restricted access"))),AND(IF(metadata!C743="",FALSE,ISNUMBER(VALUE(metadata!C743))),metadata!C743&gt;0))</f>
        <v>0</v>
      </c>
      <c r="AF743" t="b">
        <f>AND(IF(metadata!D743="",FALSE,TRUE),EXACT(metadata!D743,"missing: not provided"))</f>
        <v>0</v>
      </c>
      <c r="AG743" t="b">
        <f>AND(IF(metadata!E743="",FALSE,TRUE),EXACT(metadata!E743,"Host-associated"))</f>
        <v>0</v>
      </c>
      <c r="AH743" t="b">
        <f>AND(IF(metadata!F743="",FALSE,TRUE),OR(EXACT(metadata!F743,"Animal"),EXACT(metadata!F743,"Fungus"),EXACT(metadata!F743,"Plant")))</f>
        <v>0</v>
      </c>
      <c r="AI743" t="b">
        <f>AND(IF(metadata!G743="",FALSE,TRUE),OR(EXACT(metadata!G743,"Plant secretion"),EXACT(metadata!G743,"Plant rhizosphere"),EXACT(metadata!G743,"Plant surface"),EXACT(metadata!G743,"Plant corpus"),EXACT(metadata!G743,"Fungus surface"),EXACT(metadata!G743,"Fungus corpus"),EXACT(metadata!G743,"Animal surface"),EXACT(metadata!G743,"Animal proximal gut"),EXACT(metadata!G743,"Animal corpus"),EXACT(metadata!G743,"Animal distal gut"),EXACT(metadata!G743,"Animal secretion")))</f>
        <v>0</v>
      </c>
      <c r="AJ743" t="b">
        <f>OR(AND(IF(metadata!H743="",FALSE,TRUE),OR(EXACT(metadata!H743,"missing: not collected"),EXACT(metadata!H743,"missing: not provided"),EXACT(metadata!H743,"missing: restricted access"))),AND(IF(metadata!H743="",FALSE,TRUE),OR(EXACT(metadata!H743,"organism-associated habitat"),EXACT(metadata!H743,"plant-associated habitat"),EXACT(metadata!H743,"animal-associated habitat"),EXACT(metadata!H743,"insecta-associated habitat"),EXACT(metadata!H743,"mammalia-associated habitat"),EXACT(metadata!H743,"human-associated habitat"),EXACT(metadata!H743,"livestock-associated habitat"))))</f>
        <v>0</v>
      </c>
      <c r="AK743" t="b">
        <f>AND(IF(metadata!I743="",FALSE,TRUE),EXACT(metadata!I743,"host-associated"))</f>
        <v>0</v>
      </c>
      <c r="AL743" t="b">
        <f>OR(AND(IF(metadata!J743="",FALSE,TRUE),OR(EXACT(metadata!J743,"not applicable"),EXACT(metadata!J743,"missing: not collected"),EXACT(metadata!J743,"missing: not provided"),EXACT(metadata!J743,"missing: restricted access"))),AND(IF(metadata!J743="",FALSE,ISNUMBER(VALUE(metadata!J743))),metadata!J743&gt;0))</f>
        <v>0</v>
      </c>
      <c r="AM743" t="b">
        <f>AND(IF(metadata!K743="",FALSE,TRUE),EXACT(metadata!K743,"missing: not provided"))</f>
        <v>0</v>
      </c>
      <c r="AN743" t="b">
        <f>IF(metadata!L743="",FALSE,TRUE)</f>
        <v>0</v>
      </c>
      <c r="AO743" t="b">
        <f>IF(metadata!M743="",FALSE,TRUE)</f>
        <v>0</v>
      </c>
      <c r="AP743" t="b">
        <f>OR(AND(IF(metadata!N743="",FALSE,TRUE),OR(EXACT(metadata!N743,"not applicable"),EXACT(metadata!N743,"missing: not collected"),EXACT(metadata!N743,"missing: not provided"))),AND(IF(metadata!N743="",FALSE,IF(ISERROR(INT(metadata!N743)),FALSE,INT(metadata!N743)=metadata!N743)),metadata!N743&gt;0))</f>
        <v>0</v>
      </c>
      <c r="AQ743" t="b">
        <f>AND(IF(metadata!O743="",FALSE,TRUE),EXACT(metadata!O743,"Not applicable"))</f>
        <v>0</v>
      </c>
      <c r="AR743" t="b">
        <f>OR(AND(IF(metadata!P743="",FALSE,TRUE),OR(EXACT(metadata!P743,"not applicable"),EXACT(metadata!P743,"missing: not collected"),EXACT(metadata!P743,"missing: not provided"),EXACT(metadata!P743,"missing: restricted access"))),IF(metadata!P743="",FALSE,IF(ISERROR(INT(metadata!P743)),FALSE,INT(metadata!P743)=metadata!P743)))</f>
        <v>0</v>
      </c>
      <c r="AS743" t="b">
        <f>AND(IF(metadata!Q743="",FALSE,TRUE),EXACT(metadata!Q743,"Not applicable"))</f>
        <v>0</v>
      </c>
      <c r="AT743" t="b">
        <f>OR(AND(IF(metadata!R743="",FALSE,TRUE),OR(EXACT(metadata!R743,"not applicable"),EXACT(metadata!R743,"missing: not collected"),EXACT(metadata!R743,"missing: not provided"),EXACT(metadata!R743,"missing: restricted access"))),AND(IF(metadata!R743="",FALSE,ISNUMBER(VALUE(metadata!R743))),metadata!R743&gt;0))</f>
        <v>0</v>
      </c>
      <c r="AU743" t="b">
        <f>AND(IF(metadata!S743="",FALSE,TRUE),EXACT(metadata!S743,"missing: not provided"))</f>
        <v>0</v>
      </c>
    </row>
    <row r="744" spans="1:47" x14ac:dyDescent="0.2">
      <c r="A744" s="5" t="str">
        <f ca="1">IF(B744=" "," ",HYPERLINK(CONCATENATE("#metadata!",ADDRESS(INDEX($Y$2:$Y$1001,MATCH(ROWS($W$2:W744),$W$2:$W$1001,0),0),1)),INDEX($AB$2:$AB$1001,MATCH(ROWS($W$2:W744),$W$2:$W$1001,0),0)))</f>
        <v xml:space="preserve"> </v>
      </c>
      <c r="B744" s="4" t="str">
        <f ca="1">IF(OR(INDEX($X$2:$X$1001,MATCH(ROWS($W$2:W744),$W$2:$W$1001,0),1)&gt;=100000,INDEX($AD$1005:$AU$1005,1,MATCH(COLUMNS($AD$1006:AD1006),$AD$1006:$AU$1006,0))&gt;=100000), " ",IF(INDEX($AD$2:$AU$1001,MATCH(ROWS($W$2:W744),$W$2:$W$1001,0),MATCH(COLUMNS($AD$1006:AD1006),$AD$1006:$AU$1006,0)), HYPERLINK("#",""), HYPERLINK(CONCATENATE("#metadata!", ADDRESS(INDEX($Y$2:$Y$1001,MATCH(ROWS($W$2:W744),$W$2:$W$1001,0),0), INDEX($AD$1004:$AU$1004,1,MATCH(COLUMNS($AD$1006:AD1006),$AD$1006:$AU$1006,0)))),"Fix")))</f>
        <v xml:space="preserve"> </v>
      </c>
      <c r="C744" s="4" t="str">
        <f ca="1">IF(OR(INDEX($X$2:$X$1001,MATCH(ROWS($W$2:W744),$W$2:$W$1001,0),1)&gt;=100000,INDEX($AD$1005:$AU$1005,1,MATCH(COLUMNS($AD$1006:AE1006),$AD$1006:$AU$1006,0))&gt;=100000), " ",IF(INDEX($AD$2:$AU$1001,MATCH(ROWS($W$2:W744),$W$2:$W$1001,0),MATCH(COLUMNS($AD$1006:AE1006),$AD$1006:$AU$1006,0)), HYPERLINK("#",""), HYPERLINK(CONCATENATE("#metadata!", ADDRESS(INDEX($Y$2:$Y$1001,MATCH(ROWS($W$2:W744),$W$2:$W$1001,0),0), INDEX($AD$1004:$AU$1004,1,MATCH(COLUMNS($AD$1006:AE1006),$AD$1006:$AU$1006,0)))),"Fix")))</f>
        <v xml:space="preserve"> </v>
      </c>
      <c r="D744" s="4" t="str">
        <f ca="1">IF(OR(INDEX($X$2:$X$1001,MATCH(ROWS($W$2:W744),$W$2:$W$1001,0),1)&gt;=100000,INDEX($AD$1005:$AU$1005,1,MATCH(COLUMNS($AD$1006:AF1006),$AD$1006:$AU$1006,0))&gt;=100000), " ",IF(INDEX($AD$2:$AU$1001,MATCH(ROWS($W$2:W744),$W$2:$W$1001,0),MATCH(COLUMNS($AD$1006:AF1006),$AD$1006:$AU$1006,0)), HYPERLINK("#",""), HYPERLINK(CONCATENATE("#metadata!", ADDRESS(INDEX($Y$2:$Y$1001,MATCH(ROWS($W$2:W744),$W$2:$W$1001,0),0), INDEX($AD$1004:$AU$1004,1,MATCH(COLUMNS($AD$1006:AF1006),$AD$1006:$AU$1006,0)))),"Fix")))</f>
        <v xml:space="preserve"> </v>
      </c>
      <c r="E744" s="4" t="str">
        <f ca="1">IF(OR(INDEX($X$2:$X$1001,MATCH(ROWS($W$2:W744),$W$2:$W$1001,0),1)&gt;=100000,INDEX($AD$1005:$AU$1005,1,MATCH(COLUMNS($AD$1006:AG1006),$AD$1006:$AU$1006,0))&gt;=100000), " ",IF(INDEX($AD$2:$AU$1001,MATCH(ROWS($W$2:W744),$W$2:$W$1001,0),MATCH(COLUMNS($AD$1006:AG1006),$AD$1006:$AU$1006,0)), HYPERLINK("#",""), HYPERLINK(CONCATENATE("#metadata!", ADDRESS(INDEX($Y$2:$Y$1001,MATCH(ROWS($W$2:W744),$W$2:$W$1001,0),0), INDEX($AD$1004:$AU$1004,1,MATCH(COLUMNS($AD$1006:AG1006),$AD$1006:$AU$1006,0)))),"Fix")))</f>
        <v xml:space="preserve"> </v>
      </c>
      <c r="F744" s="4" t="str">
        <f ca="1">IF(OR(INDEX($X$2:$X$1001,MATCH(ROWS($W$2:W744),$W$2:$W$1001,0),1)&gt;=100000,INDEX($AD$1005:$AU$1005,1,MATCH(COLUMNS($AD$1006:AH1006),$AD$1006:$AU$1006,0))&gt;=100000), " ",IF(INDEX($AD$2:$AU$1001,MATCH(ROWS($W$2:W744),$W$2:$W$1001,0),MATCH(COLUMNS($AD$1006:AH1006),$AD$1006:$AU$1006,0)), HYPERLINK("#",""), HYPERLINK(CONCATENATE("#metadata!", ADDRESS(INDEX($Y$2:$Y$1001,MATCH(ROWS($W$2:W744),$W$2:$W$1001,0),0), INDEX($AD$1004:$AU$1004,1,MATCH(COLUMNS($AD$1006:AH1006),$AD$1006:$AU$1006,0)))),"Fix")))</f>
        <v xml:space="preserve"> </v>
      </c>
      <c r="G744" s="4" t="str">
        <f ca="1">IF(OR(INDEX($X$2:$X$1001,MATCH(ROWS($W$2:W744),$W$2:$W$1001,0),1)&gt;=100000,INDEX($AD$1005:$AU$1005,1,MATCH(COLUMNS($AD$1006:AI1006),$AD$1006:$AU$1006,0))&gt;=100000), " ",IF(INDEX($AD$2:$AU$1001,MATCH(ROWS($W$2:W744),$W$2:$W$1001,0),MATCH(COLUMNS($AD$1006:AI1006),$AD$1006:$AU$1006,0)), HYPERLINK("#",""), HYPERLINK(CONCATENATE("#metadata!", ADDRESS(INDEX($Y$2:$Y$1001,MATCH(ROWS($W$2:W744),$W$2:$W$1001,0),0), INDEX($AD$1004:$AU$1004,1,MATCH(COLUMNS($AD$1006:AI1006),$AD$1006:$AU$1006,0)))),"Fix")))</f>
        <v xml:space="preserve"> </v>
      </c>
      <c r="H744" s="4" t="str">
        <f ca="1">IF(OR(INDEX($X$2:$X$1001,MATCH(ROWS($W$2:W744),$W$2:$W$1001,0),1)&gt;=100000,INDEX($AD$1005:$AU$1005,1,MATCH(COLUMNS($AD$1006:AJ1006),$AD$1006:$AU$1006,0))&gt;=100000), " ",IF(INDEX($AD$2:$AU$1001,MATCH(ROWS($W$2:W744),$W$2:$W$1001,0),MATCH(COLUMNS($AD$1006:AJ1006),$AD$1006:$AU$1006,0)), HYPERLINK("#",""), HYPERLINK(CONCATENATE("#metadata!", ADDRESS(INDEX($Y$2:$Y$1001,MATCH(ROWS($W$2:W744),$W$2:$W$1001,0),0), INDEX($AD$1004:$AU$1004,1,MATCH(COLUMNS($AD$1006:AJ1006),$AD$1006:$AU$1006,0)))),"Fix")))</f>
        <v xml:space="preserve"> </v>
      </c>
      <c r="I744" s="4" t="str">
        <f ca="1">IF(OR(INDEX($X$2:$X$1001,MATCH(ROWS($W$2:W744),$W$2:$W$1001,0),1)&gt;=100000,INDEX($AD$1005:$AU$1005,1,MATCH(COLUMNS($AD$1006:AK1006),$AD$1006:$AU$1006,0))&gt;=100000), " ",IF(INDEX($AD$2:$AU$1001,MATCH(ROWS($W$2:W744),$W$2:$W$1001,0),MATCH(COLUMNS($AD$1006:AK1006),$AD$1006:$AU$1006,0)), HYPERLINK("#",""), HYPERLINK(CONCATENATE("#metadata!", ADDRESS(INDEX($Y$2:$Y$1001,MATCH(ROWS($W$2:W744),$W$2:$W$1001,0),0), INDEX($AD$1004:$AU$1004,1,MATCH(COLUMNS($AD$1006:AK1006),$AD$1006:$AU$1006,0)))),"Fix")))</f>
        <v xml:space="preserve"> </v>
      </c>
      <c r="J744" s="4" t="str">
        <f ca="1">IF(OR(INDEX($X$2:$X$1001,MATCH(ROWS($W$2:W744),$W$2:$W$1001,0),1)&gt;=100000,INDEX($AD$1005:$AU$1005,1,MATCH(COLUMNS($AD$1006:AL1006),$AD$1006:$AU$1006,0))&gt;=100000), " ",IF(INDEX($AD$2:$AU$1001,MATCH(ROWS($W$2:W744),$W$2:$W$1001,0),MATCH(COLUMNS($AD$1006:AL1006),$AD$1006:$AU$1006,0)), HYPERLINK("#",""), HYPERLINK(CONCATENATE("#metadata!", ADDRESS(INDEX($Y$2:$Y$1001,MATCH(ROWS($W$2:W744),$W$2:$W$1001,0),0), INDEX($AD$1004:$AU$1004,1,MATCH(COLUMNS($AD$1006:AL1006),$AD$1006:$AU$1006,0)))),"Fix")))</f>
        <v xml:space="preserve"> </v>
      </c>
      <c r="K744" s="4" t="str">
        <f ca="1">IF(OR(INDEX($X$2:$X$1001,MATCH(ROWS($W$2:W744),$W$2:$W$1001,0),1)&gt;=100000,INDEX($AD$1005:$AU$1005,1,MATCH(COLUMNS($AD$1006:AM1006),$AD$1006:$AU$1006,0))&gt;=100000), " ",IF(INDEX($AD$2:$AU$1001,MATCH(ROWS($W$2:W744),$W$2:$W$1001,0),MATCH(COLUMNS($AD$1006:AM1006),$AD$1006:$AU$1006,0)), HYPERLINK("#",""), HYPERLINK(CONCATENATE("#metadata!", ADDRESS(INDEX($Y$2:$Y$1001,MATCH(ROWS($W$2:W744),$W$2:$W$1001,0),0), INDEX($AD$1004:$AU$1004,1,MATCH(COLUMNS($AD$1006:AM1006),$AD$1006:$AU$1006,0)))),"Fix")))</f>
        <v xml:space="preserve"> </v>
      </c>
      <c r="L744" s="4" t="str">
        <f ca="1">IF(OR(INDEX($X$2:$X$1001,MATCH(ROWS($W$2:W744),$W$2:$W$1001,0),1)&gt;=100000,INDEX($AD$1005:$AU$1005,1,MATCH(COLUMNS($AD$1006:AN1006),$AD$1006:$AU$1006,0))&gt;=100000), " ",IF(INDEX($AD$2:$AU$1001,MATCH(ROWS($W$2:W744),$W$2:$W$1001,0),MATCH(COLUMNS($AD$1006:AN1006),$AD$1006:$AU$1006,0)), HYPERLINK("#",""), HYPERLINK(CONCATENATE("#metadata!", ADDRESS(INDEX($Y$2:$Y$1001,MATCH(ROWS($W$2:W744),$W$2:$W$1001,0),0), INDEX($AD$1004:$AU$1004,1,MATCH(COLUMNS($AD$1006:AN1006),$AD$1006:$AU$1006,0)))),"Fix")))</f>
        <v xml:space="preserve"> </v>
      </c>
      <c r="M744" s="4" t="str">
        <f ca="1">IF(OR(INDEX($X$2:$X$1001,MATCH(ROWS($W$2:W744),$W$2:$W$1001,0),1)&gt;=100000,INDEX($AD$1005:$AU$1005,1,MATCH(COLUMNS($AD$1006:AO1006),$AD$1006:$AU$1006,0))&gt;=100000), " ",IF(INDEX($AD$2:$AU$1001,MATCH(ROWS($W$2:W744),$W$2:$W$1001,0),MATCH(COLUMNS($AD$1006:AO1006),$AD$1006:$AU$1006,0)), HYPERLINK("#",""), HYPERLINK(CONCATENATE("#metadata!", ADDRESS(INDEX($Y$2:$Y$1001,MATCH(ROWS($W$2:W744),$W$2:$W$1001,0),0), INDEX($AD$1004:$AU$1004,1,MATCH(COLUMNS($AD$1006:AO1006),$AD$1006:$AU$1006,0)))),"Fix")))</f>
        <v xml:space="preserve"> </v>
      </c>
      <c r="N744" s="4" t="str">
        <f ca="1">IF(OR(INDEX($X$2:$X$1001,MATCH(ROWS($W$2:W744),$W$2:$W$1001,0),1)&gt;=100000,INDEX($AD$1005:$AU$1005,1,MATCH(COLUMNS($AD$1006:AP1006),$AD$1006:$AU$1006,0))&gt;=100000), " ",IF(INDEX($AD$2:$AU$1001,MATCH(ROWS($W$2:W744),$W$2:$W$1001,0),MATCH(COLUMNS($AD$1006:AP1006),$AD$1006:$AU$1006,0)), HYPERLINK("#",""), HYPERLINK(CONCATENATE("#metadata!", ADDRESS(INDEX($Y$2:$Y$1001,MATCH(ROWS($W$2:W744),$W$2:$W$1001,0),0), INDEX($AD$1004:$AU$1004,1,MATCH(COLUMNS($AD$1006:AP1006),$AD$1006:$AU$1006,0)))),"Fix")))</f>
        <v xml:space="preserve"> </v>
      </c>
      <c r="O744" s="4" t="str">
        <f ca="1">IF(OR(INDEX($X$2:$X$1001,MATCH(ROWS($W$2:W744),$W$2:$W$1001,0),1)&gt;=100000,INDEX($AD$1005:$AU$1005,1,MATCH(COLUMNS($AD$1006:AQ1006),$AD$1006:$AU$1006,0))&gt;=100000), " ",IF(INDEX($AD$2:$AU$1001,MATCH(ROWS($W$2:W744),$W$2:$W$1001,0),MATCH(COLUMNS($AD$1006:AQ1006),$AD$1006:$AU$1006,0)), HYPERLINK("#",""), HYPERLINK(CONCATENATE("#metadata!", ADDRESS(INDEX($Y$2:$Y$1001,MATCH(ROWS($W$2:W744),$W$2:$W$1001,0),0), INDEX($AD$1004:$AU$1004,1,MATCH(COLUMNS($AD$1006:AQ1006),$AD$1006:$AU$1006,0)))),"Fix")))</f>
        <v xml:space="preserve"> </v>
      </c>
      <c r="P744" s="4" t="str">
        <f ca="1">IF(OR(INDEX($X$2:$X$1001,MATCH(ROWS($W$2:W744),$W$2:$W$1001,0),1)&gt;=100000,INDEX($AD$1005:$AU$1005,1,MATCH(COLUMNS($AD$1006:AR1006),$AD$1006:$AU$1006,0))&gt;=100000), " ",IF(INDEX($AD$2:$AU$1001,MATCH(ROWS($W$2:W744),$W$2:$W$1001,0),MATCH(COLUMNS($AD$1006:AR1006),$AD$1006:$AU$1006,0)), HYPERLINK("#",""), HYPERLINK(CONCATENATE("#metadata!", ADDRESS(INDEX($Y$2:$Y$1001,MATCH(ROWS($W$2:W744),$W$2:$W$1001,0),0), INDEX($AD$1004:$AU$1004,1,MATCH(COLUMNS($AD$1006:AR1006),$AD$1006:$AU$1006,0)))),"Fix")))</f>
        <v xml:space="preserve"> </v>
      </c>
      <c r="Q744" s="4" t="str">
        <f ca="1">IF(OR(INDEX($X$2:$X$1001,MATCH(ROWS($W$2:W744),$W$2:$W$1001,0),1)&gt;=100000,INDEX($AD$1005:$AU$1005,1,MATCH(COLUMNS($AD$1006:AS1006),$AD$1006:$AU$1006,0))&gt;=100000), " ",IF(INDEX($AD$2:$AU$1001,MATCH(ROWS($W$2:W744),$W$2:$W$1001,0),MATCH(COLUMNS($AD$1006:AS1006),$AD$1006:$AU$1006,0)), HYPERLINK("#",""), HYPERLINK(CONCATENATE("#metadata!", ADDRESS(INDEX($Y$2:$Y$1001,MATCH(ROWS($W$2:W744),$W$2:$W$1001,0),0), INDEX($AD$1004:$AU$1004,1,MATCH(COLUMNS($AD$1006:AS1006),$AD$1006:$AU$1006,0)))),"Fix")))</f>
        <v xml:space="preserve"> </v>
      </c>
      <c r="R744" s="4" t="str">
        <f ca="1">IF(OR(INDEX($X$2:$X$1001,MATCH(ROWS($W$2:W744),$W$2:$W$1001,0),1)&gt;=100000,INDEX($AD$1005:$AU$1005,1,MATCH(COLUMNS($AD$1006:AT1006),$AD$1006:$AU$1006,0))&gt;=100000), " ",IF(INDEX($AD$2:$AU$1001,MATCH(ROWS($W$2:W744),$W$2:$W$1001,0),MATCH(COLUMNS($AD$1006:AT1006),$AD$1006:$AU$1006,0)), HYPERLINK("#",""), HYPERLINK(CONCATENATE("#metadata!", ADDRESS(INDEX($Y$2:$Y$1001,MATCH(ROWS($W$2:W744),$W$2:$W$1001,0),0), INDEX($AD$1004:$AU$1004,1,MATCH(COLUMNS($AD$1006:AT1006),$AD$1006:$AU$1006,0)))),"Fix")))</f>
        <v xml:space="preserve"> </v>
      </c>
      <c r="S744" s="4" t="str">
        <f ca="1">IF(OR(INDEX($X$2:$X$1001,MATCH(ROWS($W$2:W744),$W$2:$W$1001,0),1)&gt;=100000,INDEX($AD$1005:$AU$1005,1,MATCH(COLUMNS($AD$1006:AU1006),$AD$1006:$AU$1006,0))&gt;=100000), " ",IF(INDEX($AD$2:$AU$1001,MATCH(ROWS($W$2:W744),$W$2:$W$1001,0),MATCH(COLUMNS($AD$1006:AU1006),$AD$1006:$AU$1006,0)), HYPERLINK("#",""), HYPERLINK(CONCATENATE("#metadata!", ADDRESS(INDEX($Y$2:$Y$1001,MATCH(ROWS($W$2:W744),$W$2:$W$1001,0),0), INDEX($AD$1004:$AU$1004,1,MATCH(COLUMNS($AD$1006:AU1006),$AD$1006:$AU$1006,0)))),"Fix")))</f>
        <v xml:space="preserve"> </v>
      </c>
      <c r="W744">
        <v>743</v>
      </c>
      <c r="X744">
        <v>100744</v>
      </c>
      <c r="Y744">
        <v>744</v>
      </c>
      <c r="Z744" t="b">
        <f t="shared" si="11"/>
        <v>1</v>
      </c>
      <c r="AA744" t="b">
        <f>COUNTBLANK(metadata!B744:S744)=COLUMNS(metadata!B744:S744)</f>
        <v>1</v>
      </c>
      <c r="AB744" t="str">
        <v/>
      </c>
      <c r="AD744" t="b">
        <f ca="1">AND(IF(metadata!B744="",FALSE,TRUE),COUNTIF(metadata!B:B, metadata!B744) = 1,NOT(ISERROR(SUMPRODUCT(SEARCH(MID(metadata!B744,ROW(INDIRECT("1:"&amp;LEN(metadata!B744))), 1),"0123456789abcdefghijklmnopqrstuvwxyzABCDEFGHIJKLMNOPQRSTUVWXYZ.")))))</f>
        <v>0</v>
      </c>
      <c r="AE744" t="b">
        <f>OR(AND(IF(metadata!C744="",FALSE,TRUE),OR(EXACT(metadata!C744,"not applicable"),EXACT(metadata!C744,"missing: not collected"),EXACT(metadata!C744,"missing: not provided"),EXACT(metadata!C744,"missing: restricted access"))),AND(IF(metadata!C744="",FALSE,ISNUMBER(VALUE(metadata!C744))),metadata!C744&gt;0))</f>
        <v>0</v>
      </c>
      <c r="AF744" t="b">
        <f>AND(IF(metadata!D744="",FALSE,TRUE),EXACT(metadata!D744,"missing: not provided"))</f>
        <v>0</v>
      </c>
      <c r="AG744" t="b">
        <f>AND(IF(metadata!E744="",FALSE,TRUE),EXACT(metadata!E744,"Host-associated"))</f>
        <v>0</v>
      </c>
      <c r="AH744" t="b">
        <f>AND(IF(metadata!F744="",FALSE,TRUE),OR(EXACT(metadata!F744,"Animal"),EXACT(metadata!F744,"Fungus"),EXACT(metadata!F744,"Plant")))</f>
        <v>0</v>
      </c>
      <c r="AI744" t="b">
        <f>AND(IF(metadata!G744="",FALSE,TRUE),OR(EXACT(metadata!G744,"Plant secretion"),EXACT(metadata!G744,"Plant rhizosphere"),EXACT(metadata!G744,"Plant surface"),EXACT(metadata!G744,"Plant corpus"),EXACT(metadata!G744,"Fungus surface"),EXACT(metadata!G744,"Fungus corpus"),EXACT(metadata!G744,"Animal surface"),EXACT(metadata!G744,"Animal proximal gut"),EXACT(metadata!G744,"Animal corpus"),EXACT(metadata!G744,"Animal distal gut"),EXACT(metadata!G744,"Animal secretion")))</f>
        <v>0</v>
      </c>
      <c r="AJ744" t="b">
        <f>OR(AND(IF(metadata!H744="",FALSE,TRUE),OR(EXACT(metadata!H744,"missing: not collected"),EXACT(metadata!H744,"missing: not provided"),EXACT(metadata!H744,"missing: restricted access"))),AND(IF(metadata!H744="",FALSE,TRUE),OR(EXACT(metadata!H744,"organism-associated habitat"),EXACT(metadata!H744,"plant-associated habitat"),EXACT(metadata!H744,"animal-associated habitat"),EXACT(metadata!H744,"insecta-associated habitat"),EXACT(metadata!H744,"mammalia-associated habitat"),EXACT(metadata!H744,"human-associated habitat"),EXACT(metadata!H744,"livestock-associated habitat"))))</f>
        <v>0</v>
      </c>
      <c r="AK744" t="b">
        <f>AND(IF(metadata!I744="",FALSE,TRUE),EXACT(metadata!I744,"host-associated"))</f>
        <v>0</v>
      </c>
      <c r="AL744" t="b">
        <f>OR(AND(IF(metadata!J744="",FALSE,TRUE),OR(EXACT(metadata!J744,"not applicable"),EXACT(metadata!J744,"missing: not collected"),EXACT(metadata!J744,"missing: not provided"),EXACT(metadata!J744,"missing: restricted access"))),AND(IF(metadata!J744="",FALSE,ISNUMBER(VALUE(metadata!J744))),metadata!J744&gt;0))</f>
        <v>0</v>
      </c>
      <c r="AM744" t="b">
        <f>AND(IF(metadata!K744="",FALSE,TRUE),EXACT(metadata!K744,"missing: not provided"))</f>
        <v>0</v>
      </c>
      <c r="AN744" t="b">
        <f>IF(metadata!L744="",FALSE,TRUE)</f>
        <v>0</v>
      </c>
      <c r="AO744" t="b">
        <f>IF(metadata!M744="",FALSE,TRUE)</f>
        <v>0</v>
      </c>
      <c r="AP744" t="b">
        <f>OR(AND(IF(metadata!N744="",FALSE,TRUE),OR(EXACT(metadata!N744,"not applicable"),EXACT(metadata!N744,"missing: not collected"),EXACT(metadata!N744,"missing: not provided"))),AND(IF(metadata!N744="",FALSE,IF(ISERROR(INT(metadata!N744)),FALSE,INT(metadata!N744)=metadata!N744)),metadata!N744&gt;0))</f>
        <v>0</v>
      </c>
      <c r="AQ744" t="b">
        <f>AND(IF(metadata!O744="",FALSE,TRUE),EXACT(metadata!O744,"Not applicable"))</f>
        <v>0</v>
      </c>
      <c r="AR744" t="b">
        <f>OR(AND(IF(metadata!P744="",FALSE,TRUE),OR(EXACT(metadata!P744,"not applicable"),EXACT(metadata!P744,"missing: not collected"),EXACT(metadata!P744,"missing: not provided"),EXACT(metadata!P744,"missing: restricted access"))),IF(metadata!P744="",FALSE,IF(ISERROR(INT(metadata!P744)),FALSE,INT(metadata!P744)=metadata!P744)))</f>
        <v>0</v>
      </c>
      <c r="AS744" t="b">
        <f>AND(IF(metadata!Q744="",FALSE,TRUE),EXACT(metadata!Q744,"Not applicable"))</f>
        <v>0</v>
      </c>
      <c r="AT744" t="b">
        <f>OR(AND(IF(metadata!R744="",FALSE,TRUE),OR(EXACT(metadata!R744,"not applicable"),EXACT(metadata!R744,"missing: not collected"),EXACT(metadata!R744,"missing: not provided"),EXACT(metadata!R744,"missing: restricted access"))),AND(IF(metadata!R744="",FALSE,ISNUMBER(VALUE(metadata!R744))),metadata!R744&gt;0))</f>
        <v>0</v>
      </c>
      <c r="AU744" t="b">
        <f>AND(IF(metadata!S744="",FALSE,TRUE),EXACT(metadata!S744,"missing: not provided"))</f>
        <v>0</v>
      </c>
    </row>
    <row r="745" spans="1:47" x14ac:dyDescent="0.2">
      <c r="A745" s="5" t="str">
        <f ca="1">IF(B745=" "," ",HYPERLINK(CONCATENATE("#metadata!",ADDRESS(INDEX($Y$2:$Y$1001,MATCH(ROWS($W$2:W745),$W$2:$W$1001,0),0),1)),INDEX($AB$2:$AB$1001,MATCH(ROWS($W$2:W745),$W$2:$W$1001,0),0)))</f>
        <v xml:space="preserve"> </v>
      </c>
      <c r="B745" s="4" t="str">
        <f ca="1">IF(OR(INDEX($X$2:$X$1001,MATCH(ROWS($W$2:W745),$W$2:$W$1001,0),1)&gt;=100000,INDEX($AD$1005:$AU$1005,1,MATCH(COLUMNS($AD$1006:AD1006),$AD$1006:$AU$1006,0))&gt;=100000), " ",IF(INDEX($AD$2:$AU$1001,MATCH(ROWS($W$2:W745),$W$2:$W$1001,0),MATCH(COLUMNS($AD$1006:AD1006),$AD$1006:$AU$1006,0)), HYPERLINK("#",""), HYPERLINK(CONCATENATE("#metadata!", ADDRESS(INDEX($Y$2:$Y$1001,MATCH(ROWS($W$2:W745),$W$2:$W$1001,0),0), INDEX($AD$1004:$AU$1004,1,MATCH(COLUMNS($AD$1006:AD1006),$AD$1006:$AU$1006,0)))),"Fix")))</f>
        <v xml:space="preserve"> </v>
      </c>
      <c r="C745" s="4" t="str">
        <f ca="1">IF(OR(INDEX($X$2:$X$1001,MATCH(ROWS($W$2:W745),$W$2:$W$1001,0),1)&gt;=100000,INDEX($AD$1005:$AU$1005,1,MATCH(COLUMNS($AD$1006:AE1006),$AD$1006:$AU$1006,0))&gt;=100000), " ",IF(INDEX($AD$2:$AU$1001,MATCH(ROWS($W$2:W745),$W$2:$W$1001,0),MATCH(COLUMNS($AD$1006:AE1006),$AD$1006:$AU$1006,0)), HYPERLINK("#",""), HYPERLINK(CONCATENATE("#metadata!", ADDRESS(INDEX($Y$2:$Y$1001,MATCH(ROWS($W$2:W745),$W$2:$W$1001,0),0), INDEX($AD$1004:$AU$1004,1,MATCH(COLUMNS($AD$1006:AE1006),$AD$1006:$AU$1006,0)))),"Fix")))</f>
        <v xml:space="preserve"> </v>
      </c>
      <c r="D745" s="4" t="str">
        <f ca="1">IF(OR(INDEX($X$2:$X$1001,MATCH(ROWS($W$2:W745),$W$2:$W$1001,0),1)&gt;=100000,INDEX($AD$1005:$AU$1005,1,MATCH(COLUMNS($AD$1006:AF1006),$AD$1006:$AU$1006,0))&gt;=100000), " ",IF(INDEX($AD$2:$AU$1001,MATCH(ROWS($W$2:W745),$W$2:$W$1001,0),MATCH(COLUMNS($AD$1006:AF1006),$AD$1006:$AU$1006,0)), HYPERLINK("#",""), HYPERLINK(CONCATENATE("#metadata!", ADDRESS(INDEX($Y$2:$Y$1001,MATCH(ROWS($W$2:W745),$W$2:$W$1001,0),0), INDEX($AD$1004:$AU$1004,1,MATCH(COLUMNS($AD$1006:AF1006),$AD$1006:$AU$1006,0)))),"Fix")))</f>
        <v xml:space="preserve"> </v>
      </c>
      <c r="E745" s="4" t="str">
        <f ca="1">IF(OR(INDEX($X$2:$X$1001,MATCH(ROWS($W$2:W745),$W$2:$W$1001,0),1)&gt;=100000,INDEX($AD$1005:$AU$1005,1,MATCH(COLUMNS($AD$1006:AG1006),$AD$1006:$AU$1006,0))&gt;=100000), " ",IF(INDEX($AD$2:$AU$1001,MATCH(ROWS($W$2:W745),$W$2:$W$1001,0),MATCH(COLUMNS($AD$1006:AG1006),$AD$1006:$AU$1006,0)), HYPERLINK("#",""), HYPERLINK(CONCATENATE("#metadata!", ADDRESS(INDEX($Y$2:$Y$1001,MATCH(ROWS($W$2:W745),$W$2:$W$1001,0),0), INDEX($AD$1004:$AU$1004,1,MATCH(COLUMNS($AD$1006:AG1006),$AD$1006:$AU$1006,0)))),"Fix")))</f>
        <v xml:space="preserve"> </v>
      </c>
      <c r="F745" s="4" t="str">
        <f ca="1">IF(OR(INDEX($X$2:$X$1001,MATCH(ROWS($W$2:W745),$W$2:$W$1001,0),1)&gt;=100000,INDEX($AD$1005:$AU$1005,1,MATCH(COLUMNS($AD$1006:AH1006),$AD$1006:$AU$1006,0))&gt;=100000), " ",IF(INDEX($AD$2:$AU$1001,MATCH(ROWS($W$2:W745),$W$2:$W$1001,0),MATCH(COLUMNS($AD$1006:AH1006),$AD$1006:$AU$1006,0)), HYPERLINK("#",""), HYPERLINK(CONCATENATE("#metadata!", ADDRESS(INDEX($Y$2:$Y$1001,MATCH(ROWS($W$2:W745),$W$2:$W$1001,0),0), INDEX($AD$1004:$AU$1004,1,MATCH(COLUMNS($AD$1006:AH1006),$AD$1006:$AU$1006,0)))),"Fix")))</f>
        <v xml:space="preserve"> </v>
      </c>
      <c r="G745" s="4" t="str">
        <f ca="1">IF(OR(INDEX($X$2:$X$1001,MATCH(ROWS($W$2:W745),$W$2:$W$1001,0),1)&gt;=100000,INDEX($AD$1005:$AU$1005,1,MATCH(COLUMNS($AD$1006:AI1006),$AD$1006:$AU$1006,0))&gt;=100000), " ",IF(INDEX($AD$2:$AU$1001,MATCH(ROWS($W$2:W745),$W$2:$W$1001,0),MATCH(COLUMNS($AD$1006:AI1006),$AD$1006:$AU$1006,0)), HYPERLINK("#",""), HYPERLINK(CONCATENATE("#metadata!", ADDRESS(INDEX($Y$2:$Y$1001,MATCH(ROWS($W$2:W745),$W$2:$W$1001,0),0), INDEX($AD$1004:$AU$1004,1,MATCH(COLUMNS($AD$1006:AI1006),$AD$1006:$AU$1006,0)))),"Fix")))</f>
        <v xml:space="preserve"> </v>
      </c>
      <c r="H745" s="4" t="str">
        <f ca="1">IF(OR(INDEX($X$2:$X$1001,MATCH(ROWS($W$2:W745),$W$2:$W$1001,0),1)&gt;=100000,INDEX($AD$1005:$AU$1005,1,MATCH(COLUMNS($AD$1006:AJ1006),$AD$1006:$AU$1006,0))&gt;=100000), " ",IF(INDEX($AD$2:$AU$1001,MATCH(ROWS($W$2:W745),$W$2:$W$1001,0),MATCH(COLUMNS($AD$1006:AJ1006),$AD$1006:$AU$1006,0)), HYPERLINK("#",""), HYPERLINK(CONCATENATE("#metadata!", ADDRESS(INDEX($Y$2:$Y$1001,MATCH(ROWS($W$2:W745),$W$2:$W$1001,0),0), INDEX($AD$1004:$AU$1004,1,MATCH(COLUMNS($AD$1006:AJ1006),$AD$1006:$AU$1006,0)))),"Fix")))</f>
        <v xml:space="preserve"> </v>
      </c>
      <c r="I745" s="4" t="str">
        <f ca="1">IF(OR(INDEX($X$2:$X$1001,MATCH(ROWS($W$2:W745),$W$2:$W$1001,0),1)&gt;=100000,INDEX($AD$1005:$AU$1005,1,MATCH(COLUMNS($AD$1006:AK1006),$AD$1006:$AU$1006,0))&gt;=100000), " ",IF(INDEX($AD$2:$AU$1001,MATCH(ROWS($W$2:W745),$W$2:$W$1001,0),MATCH(COLUMNS($AD$1006:AK1006),$AD$1006:$AU$1006,0)), HYPERLINK("#",""), HYPERLINK(CONCATENATE("#metadata!", ADDRESS(INDEX($Y$2:$Y$1001,MATCH(ROWS($W$2:W745),$W$2:$W$1001,0),0), INDEX($AD$1004:$AU$1004,1,MATCH(COLUMNS($AD$1006:AK1006),$AD$1006:$AU$1006,0)))),"Fix")))</f>
        <v xml:space="preserve"> </v>
      </c>
      <c r="J745" s="4" t="str">
        <f ca="1">IF(OR(INDEX($X$2:$X$1001,MATCH(ROWS($W$2:W745),$W$2:$W$1001,0),1)&gt;=100000,INDEX($AD$1005:$AU$1005,1,MATCH(COLUMNS($AD$1006:AL1006),$AD$1006:$AU$1006,0))&gt;=100000), " ",IF(INDEX($AD$2:$AU$1001,MATCH(ROWS($W$2:W745),$W$2:$W$1001,0),MATCH(COLUMNS($AD$1006:AL1006),$AD$1006:$AU$1006,0)), HYPERLINK("#",""), HYPERLINK(CONCATENATE("#metadata!", ADDRESS(INDEX($Y$2:$Y$1001,MATCH(ROWS($W$2:W745),$W$2:$W$1001,0),0), INDEX($AD$1004:$AU$1004,1,MATCH(COLUMNS($AD$1006:AL1006),$AD$1006:$AU$1006,0)))),"Fix")))</f>
        <v xml:space="preserve"> </v>
      </c>
      <c r="K745" s="4" t="str">
        <f ca="1">IF(OR(INDEX($X$2:$X$1001,MATCH(ROWS($W$2:W745),$W$2:$W$1001,0),1)&gt;=100000,INDEX($AD$1005:$AU$1005,1,MATCH(COLUMNS($AD$1006:AM1006),$AD$1006:$AU$1006,0))&gt;=100000), " ",IF(INDEX($AD$2:$AU$1001,MATCH(ROWS($W$2:W745),$W$2:$W$1001,0),MATCH(COLUMNS($AD$1006:AM1006),$AD$1006:$AU$1006,0)), HYPERLINK("#",""), HYPERLINK(CONCATENATE("#metadata!", ADDRESS(INDEX($Y$2:$Y$1001,MATCH(ROWS($W$2:W745),$W$2:$W$1001,0),0), INDEX($AD$1004:$AU$1004,1,MATCH(COLUMNS($AD$1006:AM1006),$AD$1006:$AU$1006,0)))),"Fix")))</f>
        <v xml:space="preserve"> </v>
      </c>
      <c r="L745" s="4" t="str">
        <f ca="1">IF(OR(INDEX($X$2:$X$1001,MATCH(ROWS($W$2:W745),$W$2:$W$1001,0),1)&gt;=100000,INDEX($AD$1005:$AU$1005,1,MATCH(COLUMNS($AD$1006:AN1006),$AD$1006:$AU$1006,0))&gt;=100000), " ",IF(INDEX($AD$2:$AU$1001,MATCH(ROWS($W$2:W745),$W$2:$W$1001,0),MATCH(COLUMNS($AD$1006:AN1006),$AD$1006:$AU$1006,0)), HYPERLINK("#",""), HYPERLINK(CONCATENATE("#metadata!", ADDRESS(INDEX($Y$2:$Y$1001,MATCH(ROWS($W$2:W745),$W$2:$W$1001,0),0), INDEX($AD$1004:$AU$1004,1,MATCH(COLUMNS($AD$1006:AN1006),$AD$1006:$AU$1006,0)))),"Fix")))</f>
        <v xml:space="preserve"> </v>
      </c>
      <c r="M745" s="4" t="str">
        <f ca="1">IF(OR(INDEX($X$2:$X$1001,MATCH(ROWS($W$2:W745),$W$2:$W$1001,0),1)&gt;=100000,INDEX($AD$1005:$AU$1005,1,MATCH(COLUMNS($AD$1006:AO1006),$AD$1006:$AU$1006,0))&gt;=100000), " ",IF(INDEX($AD$2:$AU$1001,MATCH(ROWS($W$2:W745),$W$2:$W$1001,0),MATCH(COLUMNS($AD$1006:AO1006),$AD$1006:$AU$1006,0)), HYPERLINK("#",""), HYPERLINK(CONCATENATE("#metadata!", ADDRESS(INDEX($Y$2:$Y$1001,MATCH(ROWS($W$2:W745),$W$2:$W$1001,0),0), INDEX($AD$1004:$AU$1004,1,MATCH(COLUMNS($AD$1006:AO1006),$AD$1006:$AU$1006,0)))),"Fix")))</f>
        <v xml:space="preserve"> </v>
      </c>
      <c r="N745" s="4" t="str">
        <f ca="1">IF(OR(INDEX($X$2:$X$1001,MATCH(ROWS($W$2:W745),$W$2:$W$1001,0),1)&gt;=100000,INDEX($AD$1005:$AU$1005,1,MATCH(COLUMNS($AD$1006:AP1006),$AD$1006:$AU$1006,0))&gt;=100000), " ",IF(INDEX($AD$2:$AU$1001,MATCH(ROWS($W$2:W745),$W$2:$W$1001,0),MATCH(COLUMNS($AD$1006:AP1006),$AD$1006:$AU$1006,0)), HYPERLINK("#",""), HYPERLINK(CONCATENATE("#metadata!", ADDRESS(INDEX($Y$2:$Y$1001,MATCH(ROWS($W$2:W745),$W$2:$W$1001,0),0), INDEX($AD$1004:$AU$1004,1,MATCH(COLUMNS($AD$1006:AP1006),$AD$1006:$AU$1006,0)))),"Fix")))</f>
        <v xml:space="preserve"> </v>
      </c>
      <c r="O745" s="4" t="str">
        <f ca="1">IF(OR(INDEX($X$2:$X$1001,MATCH(ROWS($W$2:W745),$W$2:$W$1001,0),1)&gt;=100000,INDEX($AD$1005:$AU$1005,1,MATCH(COLUMNS($AD$1006:AQ1006),$AD$1006:$AU$1006,0))&gt;=100000), " ",IF(INDEX($AD$2:$AU$1001,MATCH(ROWS($W$2:W745),$W$2:$W$1001,0),MATCH(COLUMNS($AD$1006:AQ1006),$AD$1006:$AU$1006,0)), HYPERLINK("#",""), HYPERLINK(CONCATENATE("#metadata!", ADDRESS(INDEX($Y$2:$Y$1001,MATCH(ROWS($W$2:W745),$W$2:$W$1001,0),0), INDEX($AD$1004:$AU$1004,1,MATCH(COLUMNS($AD$1006:AQ1006),$AD$1006:$AU$1006,0)))),"Fix")))</f>
        <v xml:space="preserve"> </v>
      </c>
      <c r="P745" s="4" t="str">
        <f ca="1">IF(OR(INDEX($X$2:$X$1001,MATCH(ROWS($W$2:W745),$W$2:$W$1001,0),1)&gt;=100000,INDEX($AD$1005:$AU$1005,1,MATCH(COLUMNS($AD$1006:AR1006),$AD$1006:$AU$1006,0))&gt;=100000), " ",IF(INDEX($AD$2:$AU$1001,MATCH(ROWS($W$2:W745),$W$2:$W$1001,0),MATCH(COLUMNS($AD$1006:AR1006),$AD$1006:$AU$1006,0)), HYPERLINK("#",""), HYPERLINK(CONCATENATE("#metadata!", ADDRESS(INDEX($Y$2:$Y$1001,MATCH(ROWS($W$2:W745),$W$2:$W$1001,0),0), INDEX($AD$1004:$AU$1004,1,MATCH(COLUMNS($AD$1006:AR1006),$AD$1006:$AU$1006,0)))),"Fix")))</f>
        <v xml:space="preserve"> </v>
      </c>
      <c r="Q745" s="4" t="str">
        <f ca="1">IF(OR(INDEX($X$2:$X$1001,MATCH(ROWS($W$2:W745),$W$2:$W$1001,0),1)&gt;=100000,INDEX($AD$1005:$AU$1005,1,MATCH(COLUMNS($AD$1006:AS1006),$AD$1006:$AU$1006,0))&gt;=100000), " ",IF(INDEX($AD$2:$AU$1001,MATCH(ROWS($W$2:W745),$W$2:$W$1001,0),MATCH(COLUMNS($AD$1006:AS1006),$AD$1006:$AU$1006,0)), HYPERLINK("#",""), HYPERLINK(CONCATENATE("#metadata!", ADDRESS(INDEX($Y$2:$Y$1001,MATCH(ROWS($W$2:W745),$W$2:$W$1001,0),0), INDEX($AD$1004:$AU$1004,1,MATCH(COLUMNS($AD$1006:AS1006),$AD$1006:$AU$1006,0)))),"Fix")))</f>
        <v xml:space="preserve"> </v>
      </c>
      <c r="R745" s="4" t="str">
        <f ca="1">IF(OR(INDEX($X$2:$X$1001,MATCH(ROWS($W$2:W745),$W$2:$W$1001,0),1)&gt;=100000,INDEX($AD$1005:$AU$1005,1,MATCH(COLUMNS($AD$1006:AT1006),$AD$1006:$AU$1006,0))&gt;=100000), " ",IF(INDEX($AD$2:$AU$1001,MATCH(ROWS($W$2:W745),$W$2:$W$1001,0),MATCH(COLUMNS($AD$1006:AT1006),$AD$1006:$AU$1006,0)), HYPERLINK("#",""), HYPERLINK(CONCATENATE("#metadata!", ADDRESS(INDEX($Y$2:$Y$1001,MATCH(ROWS($W$2:W745),$W$2:$W$1001,0),0), INDEX($AD$1004:$AU$1004,1,MATCH(COLUMNS($AD$1006:AT1006),$AD$1006:$AU$1006,0)))),"Fix")))</f>
        <v xml:space="preserve"> </v>
      </c>
      <c r="S745" s="4" t="str">
        <f ca="1">IF(OR(INDEX($X$2:$X$1001,MATCH(ROWS($W$2:W745),$W$2:$W$1001,0),1)&gt;=100000,INDEX($AD$1005:$AU$1005,1,MATCH(COLUMNS($AD$1006:AU1006),$AD$1006:$AU$1006,0))&gt;=100000), " ",IF(INDEX($AD$2:$AU$1001,MATCH(ROWS($W$2:W745),$W$2:$W$1001,0),MATCH(COLUMNS($AD$1006:AU1006),$AD$1006:$AU$1006,0)), HYPERLINK("#",""), HYPERLINK(CONCATENATE("#metadata!", ADDRESS(INDEX($Y$2:$Y$1001,MATCH(ROWS($W$2:W745),$W$2:$W$1001,0),0), INDEX($AD$1004:$AU$1004,1,MATCH(COLUMNS($AD$1006:AU1006),$AD$1006:$AU$1006,0)))),"Fix")))</f>
        <v xml:space="preserve"> </v>
      </c>
      <c r="W745">
        <v>744</v>
      </c>
      <c r="X745">
        <v>100745</v>
      </c>
      <c r="Y745">
        <v>745</v>
      </c>
      <c r="Z745" t="b">
        <f t="shared" si="11"/>
        <v>1</v>
      </c>
      <c r="AA745" t="b">
        <f>COUNTBLANK(metadata!B745:S745)=COLUMNS(metadata!B745:S745)</f>
        <v>1</v>
      </c>
      <c r="AB745" t="str">
        <v/>
      </c>
      <c r="AD745" t="b">
        <f ca="1">AND(IF(metadata!B745="",FALSE,TRUE),COUNTIF(metadata!B:B, metadata!B745) = 1,NOT(ISERROR(SUMPRODUCT(SEARCH(MID(metadata!B745,ROW(INDIRECT("1:"&amp;LEN(metadata!B745))), 1),"0123456789abcdefghijklmnopqrstuvwxyzABCDEFGHIJKLMNOPQRSTUVWXYZ.")))))</f>
        <v>0</v>
      </c>
      <c r="AE745" t="b">
        <f>OR(AND(IF(metadata!C745="",FALSE,TRUE),OR(EXACT(metadata!C745,"not applicable"),EXACT(metadata!C745,"missing: not collected"),EXACT(metadata!C745,"missing: not provided"),EXACT(metadata!C745,"missing: restricted access"))),AND(IF(metadata!C745="",FALSE,ISNUMBER(VALUE(metadata!C745))),metadata!C745&gt;0))</f>
        <v>0</v>
      </c>
      <c r="AF745" t="b">
        <f>AND(IF(metadata!D745="",FALSE,TRUE),EXACT(metadata!D745,"missing: not provided"))</f>
        <v>0</v>
      </c>
      <c r="AG745" t="b">
        <f>AND(IF(metadata!E745="",FALSE,TRUE),EXACT(metadata!E745,"Host-associated"))</f>
        <v>0</v>
      </c>
      <c r="AH745" t="b">
        <f>AND(IF(metadata!F745="",FALSE,TRUE),OR(EXACT(metadata!F745,"Animal"),EXACT(metadata!F745,"Fungus"),EXACT(metadata!F745,"Plant")))</f>
        <v>0</v>
      </c>
      <c r="AI745" t="b">
        <f>AND(IF(metadata!G745="",FALSE,TRUE),OR(EXACT(metadata!G745,"Plant secretion"),EXACT(metadata!G745,"Plant rhizosphere"),EXACT(metadata!G745,"Plant surface"),EXACT(metadata!G745,"Plant corpus"),EXACT(metadata!G745,"Fungus surface"),EXACT(metadata!G745,"Fungus corpus"),EXACT(metadata!G745,"Animal surface"),EXACT(metadata!G745,"Animal proximal gut"),EXACT(metadata!G745,"Animal corpus"),EXACT(metadata!G745,"Animal distal gut"),EXACT(metadata!G745,"Animal secretion")))</f>
        <v>0</v>
      </c>
      <c r="AJ745" t="b">
        <f>OR(AND(IF(metadata!H745="",FALSE,TRUE),OR(EXACT(metadata!H745,"missing: not collected"),EXACT(metadata!H745,"missing: not provided"),EXACT(metadata!H745,"missing: restricted access"))),AND(IF(metadata!H745="",FALSE,TRUE),OR(EXACT(metadata!H745,"organism-associated habitat"),EXACT(metadata!H745,"plant-associated habitat"),EXACT(metadata!H745,"animal-associated habitat"),EXACT(metadata!H745,"insecta-associated habitat"),EXACT(metadata!H745,"mammalia-associated habitat"),EXACT(metadata!H745,"human-associated habitat"),EXACT(metadata!H745,"livestock-associated habitat"))))</f>
        <v>0</v>
      </c>
      <c r="AK745" t="b">
        <f>AND(IF(metadata!I745="",FALSE,TRUE),EXACT(metadata!I745,"host-associated"))</f>
        <v>0</v>
      </c>
      <c r="AL745" t="b">
        <f>OR(AND(IF(metadata!J745="",FALSE,TRUE),OR(EXACT(metadata!J745,"not applicable"),EXACT(metadata!J745,"missing: not collected"),EXACT(metadata!J745,"missing: not provided"),EXACT(metadata!J745,"missing: restricted access"))),AND(IF(metadata!J745="",FALSE,ISNUMBER(VALUE(metadata!J745))),metadata!J745&gt;0))</f>
        <v>0</v>
      </c>
      <c r="AM745" t="b">
        <f>AND(IF(metadata!K745="",FALSE,TRUE),EXACT(metadata!K745,"missing: not provided"))</f>
        <v>0</v>
      </c>
      <c r="AN745" t="b">
        <f>IF(metadata!L745="",FALSE,TRUE)</f>
        <v>0</v>
      </c>
      <c r="AO745" t="b">
        <f>IF(metadata!M745="",FALSE,TRUE)</f>
        <v>0</v>
      </c>
      <c r="AP745" t="b">
        <f>OR(AND(IF(metadata!N745="",FALSE,TRUE),OR(EXACT(metadata!N745,"not applicable"),EXACT(metadata!N745,"missing: not collected"),EXACT(metadata!N745,"missing: not provided"))),AND(IF(metadata!N745="",FALSE,IF(ISERROR(INT(metadata!N745)),FALSE,INT(metadata!N745)=metadata!N745)),metadata!N745&gt;0))</f>
        <v>0</v>
      </c>
      <c r="AQ745" t="b">
        <f>AND(IF(metadata!O745="",FALSE,TRUE),EXACT(metadata!O745,"Not applicable"))</f>
        <v>0</v>
      </c>
      <c r="AR745" t="b">
        <f>OR(AND(IF(metadata!P745="",FALSE,TRUE),OR(EXACT(metadata!P745,"not applicable"),EXACT(metadata!P745,"missing: not collected"),EXACT(metadata!P745,"missing: not provided"),EXACT(metadata!P745,"missing: restricted access"))),IF(metadata!P745="",FALSE,IF(ISERROR(INT(metadata!P745)),FALSE,INT(metadata!P745)=metadata!P745)))</f>
        <v>0</v>
      </c>
      <c r="AS745" t="b">
        <f>AND(IF(metadata!Q745="",FALSE,TRUE),EXACT(metadata!Q745,"Not applicable"))</f>
        <v>0</v>
      </c>
      <c r="AT745" t="b">
        <f>OR(AND(IF(metadata!R745="",FALSE,TRUE),OR(EXACT(metadata!R745,"not applicable"),EXACT(metadata!R745,"missing: not collected"),EXACT(metadata!R745,"missing: not provided"),EXACT(metadata!R745,"missing: restricted access"))),AND(IF(metadata!R745="",FALSE,ISNUMBER(VALUE(metadata!R745))),metadata!R745&gt;0))</f>
        <v>0</v>
      </c>
      <c r="AU745" t="b">
        <f>AND(IF(metadata!S745="",FALSE,TRUE),EXACT(metadata!S745,"missing: not provided"))</f>
        <v>0</v>
      </c>
    </row>
    <row r="746" spans="1:47" x14ac:dyDescent="0.2">
      <c r="A746" s="5" t="str">
        <f ca="1">IF(B746=" "," ",HYPERLINK(CONCATENATE("#metadata!",ADDRESS(INDEX($Y$2:$Y$1001,MATCH(ROWS($W$2:W746),$W$2:$W$1001,0),0),1)),INDEX($AB$2:$AB$1001,MATCH(ROWS($W$2:W746),$W$2:$W$1001,0),0)))</f>
        <v xml:space="preserve"> </v>
      </c>
      <c r="B746" s="4" t="str">
        <f ca="1">IF(OR(INDEX($X$2:$X$1001,MATCH(ROWS($W$2:W746),$W$2:$W$1001,0),1)&gt;=100000,INDEX($AD$1005:$AU$1005,1,MATCH(COLUMNS($AD$1006:AD1006),$AD$1006:$AU$1006,0))&gt;=100000), " ",IF(INDEX($AD$2:$AU$1001,MATCH(ROWS($W$2:W746),$W$2:$W$1001,0),MATCH(COLUMNS($AD$1006:AD1006),$AD$1006:$AU$1006,0)), HYPERLINK("#",""), HYPERLINK(CONCATENATE("#metadata!", ADDRESS(INDEX($Y$2:$Y$1001,MATCH(ROWS($W$2:W746),$W$2:$W$1001,0),0), INDEX($AD$1004:$AU$1004,1,MATCH(COLUMNS($AD$1006:AD1006),$AD$1006:$AU$1006,0)))),"Fix")))</f>
        <v xml:space="preserve"> </v>
      </c>
      <c r="C746" s="4" t="str">
        <f ca="1">IF(OR(INDEX($X$2:$X$1001,MATCH(ROWS($W$2:W746),$W$2:$W$1001,0),1)&gt;=100000,INDEX($AD$1005:$AU$1005,1,MATCH(COLUMNS($AD$1006:AE1006),$AD$1006:$AU$1006,0))&gt;=100000), " ",IF(INDEX($AD$2:$AU$1001,MATCH(ROWS($W$2:W746),$W$2:$W$1001,0),MATCH(COLUMNS($AD$1006:AE1006),$AD$1006:$AU$1006,0)), HYPERLINK("#",""), HYPERLINK(CONCATENATE("#metadata!", ADDRESS(INDEX($Y$2:$Y$1001,MATCH(ROWS($W$2:W746),$W$2:$W$1001,0),0), INDEX($AD$1004:$AU$1004,1,MATCH(COLUMNS($AD$1006:AE1006),$AD$1006:$AU$1006,0)))),"Fix")))</f>
        <v xml:space="preserve"> </v>
      </c>
      <c r="D746" s="4" t="str">
        <f ca="1">IF(OR(INDEX($X$2:$X$1001,MATCH(ROWS($W$2:W746),$W$2:$W$1001,0),1)&gt;=100000,INDEX($AD$1005:$AU$1005,1,MATCH(COLUMNS($AD$1006:AF1006),$AD$1006:$AU$1006,0))&gt;=100000), " ",IF(INDEX($AD$2:$AU$1001,MATCH(ROWS($W$2:W746),$W$2:$W$1001,0),MATCH(COLUMNS($AD$1006:AF1006),$AD$1006:$AU$1006,0)), HYPERLINK("#",""), HYPERLINK(CONCATENATE("#metadata!", ADDRESS(INDEX($Y$2:$Y$1001,MATCH(ROWS($W$2:W746),$W$2:$W$1001,0),0), INDEX($AD$1004:$AU$1004,1,MATCH(COLUMNS($AD$1006:AF1006),$AD$1006:$AU$1006,0)))),"Fix")))</f>
        <v xml:space="preserve"> </v>
      </c>
      <c r="E746" s="4" t="str">
        <f ca="1">IF(OR(INDEX($X$2:$X$1001,MATCH(ROWS($W$2:W746),$W$2:$W$1001,0),1)&gt;=100000,INDEX($AD$1005:$AU$1005,1,MATCH(COLUMNS($AD$1006:AG1006),$AD$1006:$AU$1006,0))&gt;=100000), " ",IF(INDEX($AD$2:$AU$1001,MATCH(ROWS($W$2:W746),$W$2:$W$1001,0),MATCH(COLUMNS($AD$1006:AG1006),$AD$1006:$AU$1006,0)), HYPERLINK("#",""), HYPERLINK(CONCATENATE("#metadata!", ADDRESS(INDEX($Y$2:$Y$1001,MATCH(ROWS($W$2:W746),$W$2:$W$1001,0),0), INDEX($AD$1004:$AU$1004,1,MATCH(COLUMNS($AD$1006:AG1006),$AD$1006:$AU$1006,0)))),"Fix")))</f>
        <v xml:space="preserve"> </v>
      </c>
      <c r="F746" s="4" t="str">
        <f ca="1">IF(OR(INDEX($X$2:$X$1001,MATCH(ROWS($W$2:W746),$W$2:$W$1001,0),1)&gt;=100000,INDEX($AD$1005:$AU$1005,1,MATCH(COLUMNS($AD$1006:AH1006),$AD$1006:$AU$1006,0))&gt;=100000), " ",IF(INDEX($AD$2:$AU$1001,MATCH(ROWS($W$2:W746),$W$2:$W$1001,0),MATCH(COLUMNS($AD$1006:AH1006),$AD$1006:$AU$1006,0)), HYPERLINK("#",""), HYPERLINK(CONCATENATE("#metadata!", ADDRESS(INDEX($Y$2:$Y$1001,MATCH(ROWS($W$2:W746),$W$2:$W$1001,0),0), INDEX($AD$1004:$AU$1004,1,MATCH(COLUMNS($AD$1006:AH1006),$AD$1006:$AU$1006,0)))),"Fix")))</f>
        <v xml:space="preserve"> </v>
      </c>
      <c r="G746" s="4" t="str">
        <f ca="1">IF(OR(INDEX($X$2:$X$1001,MATCH(ROWS($W$2:W746),$W$2:$W$1001,0),1)&gt;=100000,INDEX($AD$1005:$AU$1005,1,MATCH(COLUMNS($AD$1006:AI1006),$AD$1006:$AU$1006,0))&gt;=100000), " ",IF(INDEX($AD$2:$AU$1001,MATCH(ROWS($W$2:W746),$W$2:$W$1001,0),MATCH(COLUMNS($AD$1006:AI1006),$AD$1006:$AU$1006,0)), HYPERLINK("#",""), HYPERLINK(CONCATENATE("#metadata!", ADDRESS(INDEX($Y$2:$Y$1001,MATCH(ROWS($W$2:W746),$W$2:$W$1001,0),0), INDEX($AD$1004:$AU$1004,1,MATCH(COLUMNS($AD$1006:AI1006),$AD$1006:$AU$1006,0)))),"Fix")))</f>
        <v xml:space="preserve"> </v>
      </c>
      <c r="H746" s="4" t="str">
        <f ca="1">IF(OR(INDEX($X$2:$X$1001,MATCH(ROWS($W$2:W746),$W$2:$W$1001,0),1)&gt;=100000,INDEX($AD$1005:$AU$1005,1,MATCH(COLUMNS($AD$1006:AJ1006),$AD$1006:$AU$1006,0))&gt;=100000), " ",IF(INDEX($AD$2:$AU$1001,MATCH(ROWS($W$2:W746),$W$2:$W$1001,0),MATCH(COLUMNS($AD$1006:AJ1006),$AD$1006:$AU$1006,0)), HYPERLINK("#",""), HYPERLINK(CONCATENATE("#metadata!", ADDRESS(INDEX($Y$2:$Y$1001,MATCH(ROWS($W$2:W746),$W$2:$W$1001,0),0), INDEX($AD$1004:$AU$1004,1,MATCH(COLUMNS($AD$1006:AJ1006),$AD$1006:$AU$1006,0)))),"Fix")))</f>
        <v xml:space="preserve"> </v>
      </c>
      <c r="I746" s="4" t="str">
        <f ca="1">IF(OR(INDEX($X$2:$X$1001,MATCH(ROWS($W$2:W746),$W$2:$W$1001,0),1)&gt;=100000,INDEX($AD$1005:$AU$1005,1,MATCH(COLUMNS($AD$1006:AK1006),$AD$1006:$AU$1006,0))&gt;=100000), " ",IF(INDEX($AD$2:$AU$1001,MATCH(ROWS($W$2:W746),$W$2:$W$1001,0),MATCH(COLUMNS($AD$1006:AK1006),$AD$1006:$AU$1006,0)), HYPERLINK("#",""), HYPERLINK(CONCATENATE("#metadata!", ADDRESS(INDEX($Y$2:$Y$1001,MATCH(ROWS($W$2:W746),$W$2:$W$1001,0),0), INDEX($AD$1004:$AU$1004,1,MATCH(COLUMNS($AD$1006:AK1006),$AD$1006:$AU$1006,0)))),"Fix")))</f>
        <v xml:space="preserve"> </v>
      </c>
      <c r="J746" s="4" t="str">
        <f ca="1">IF(OR(INDEX($X$2:$X$1001,MATCH(ROWS($W$2:W746),$W$2:$W$1001,0),1)&gt;=100000,INDEX($AD$1005:$AU$1005,1,MATCH(COLUMNS($AD$1006:AL1006),$AD$1006:$AU$1006,0))&gt;=100000), " ",IF(INDEX($AD$2:$AU$1001,MATCH(ROWS($W$2:W746),$W$2:$W$1001,0),MATCH(COLUMNS($AD$1006:AL1006),$AD$1006:$AU$1006,0)), HYPERLINK("#",""), HYPERLINK(CONCATENATE("#metadata!", ADDRESS(INDEX($Y$2:$Y$1001,MATCH(ROWS($W$2:W746),$W$2:$W$1001,0),0), INDEX($AD$1004:$AU$1004,1,MATCH(COLUMNS($AD$1006:AL1006),$AD$1006:$AU$1006,0)))),"Fix")))</f>
        <v xml:space="preserve"> </v>
      </c>
      <c r="K746" s="4" t="str">
        <f ca="1">IF(OR(INDEX($X$2:$X$1001,MATCH(ROWS($W$2:W746),$W$2:$W$1001,0),1)&gt;=100000,INDEX($AD$1005:$AU$1005,1,MATCH(COLUMNS($AD$1006:AM1006),$AD$1006:$AU$1006,0))&gt;=100000), " ",IF(INDEX($AD$2:$AU$1001,MATCH(ROWS($W$2:W746),$W$2:$W$1001,0),MATCH(COLUMNS($AD$1006:AM1006),$AD$1006:$AU$1006,0)), HYPERLINK("#",""), HYPERLINK(CONCATENATE("#metadata!", ADDRESS(INDEX($Y$2:$Y$1001,MATCH(ROWS($W$2:W746),$W$2:$W$1001,0),0), INDEX($AD$1004:$AU$1004,1,MATCH(COLUMNS($AD$1006:AM1006),$AD$1006:$AU$1006,0)))),"Fix")))</f>
        <v xml:space="preserve"> </v>
      </c>
      <c r="L746" s="4" t="str">
        <f ca="1">IF(OR(INDEX($X$2:$X$1001,MATCH(ROWS($W$2:W746),$W$2:$W$1001,0),1)&gt;=100000,INDEX($AD$1005:$AU$1005,1,MATCH(COLUMNS($AD$1006:AN1006),$AD$1006:$AU$1006,0))&gt;=100000), " ",IF(INDEX($AD$2:$AU$1001,MATCH(ROWS($W$2:W746),$W$2:$W$1001,0),MATCH(COLUMNS($AD$1006:AN1006),$AD$1006:$AU$1006,0)), HYPERLINK("#",""), HYPERLINK(CONCATENATE("#metadata!", ADDRESS(INDEX($Y$2:$Y$1001,MATCH(ROWS($W$2:W746),$W$2:$W$1001,0),0), INDEX($AD$1004:$AU$1004,1,MATCH(COLUMNS($AD$1006:AN1006),$AD$1006:$AU$1006,0)))),"Fix")))</f>
        <v xml:space="preserve"> </v>
      </c>
      <c r="M746" s="4" t="str">
        <f ca="1">IF(OR(INDEX($X$2:$X$1001,MATCH(ROWS($W$2:W746),$W$2:$W$1001,0),1)&gt;=100000,INDEX($AD$1005:$AU$1005,1,MATCH(COLUMNS($AD$1006:AO1006),$AD$1006:$AU$1006,0))&gt;=100000), " ",IF(INDEX($AD$2:$AU$1001,MATCH(ROWS($W$2:W746),$W$2:$W$1001,0),MATCH(COLUMNS($AD$1006:AO1006),$AD$1006:$AU$1006,0)), HYPERLINK("#",""), HYPERLINK(CONCATENATE("#metadata!", ADDRESS(INDEX($Y$2:$Y$1001,MATCH(ROWS($W$2:W746),$W$2:$W$1001,0),0), INDEX($AD$1004:$AU$1004,1,MATCH(COLUMNS($AD$1006:AO1006),$AD$1006:$AU$1006,0)))),"Fix")))</f>
        <v xml:space="preserve"> </v>
      </c>
      <c r="N746" s="4" t="str">
        <f ca="1">IF(OR(INDEX($X$2:$X$1001,MATCH(ROWS($W$2:W746),$W$2:$W$1001,0),1)&gt;=100000,INDEX($AD$1005:$AU$1005,1,MATCH(COLUMNS($AD$1006:AP1006),$AD$1006:$AU$1006,0))&gt;=100000), " ",IF(INDEX($AD$2:$AU$1001,MATCH(ROWS($W$2:W746),$W$2:$W$1001,0),MATCH(COLUMNS($AD$1006:AP1006),$AD$1006:$AU$1006,0)), HYPERLINK("#",""), HYPERLINK(CONCATENATE("#metadata!", ADDRESS(INDEX($Y$2:$Y$1001,MATCH(ROWS($W$2:W746),$W$2:$W$1001,0),0), INDEX($AD$1004:$AU$1004,1,MATCH(COLUMNS($AD$1006:AP1006),$AD$1006:$AU$1006,0)))),"Fix")))</f>
        <v xml:space="preserve"> </v>
      </c>
      <c r="O746" s="4" t="str">
        <f ca="1">IF(OR(INDEX($X$2:$X$1001,MATCH(ROWS($W$2:W746),$W$2:$W$1001,0),1)&gt;=100000,INDEX($AD$1005:$AU$1005,1,MATCH(COLUMNS($AD$1006:AQ1006),$AD$1006:$AU$1006,0))&gt;=100000), " ",IF(INDEX($AD$2:$AU$1001,MATCH(ROWS($W$2:W746),$W$2:$W$1001,0),MATCH(COLUMNS($AD$1006:AQ1006),$AD$1006:$AU$1006,0)), HYPERLINK("#",""), HYPERLINK(CONCATENATE("#metadata!", ADDRESS(INDEX($Y$2:$Y$1001,MATCH(ROWS($W$2:W746),$W$2:$W$1001,0),0), INDEX($AD$1004:$AU$1004,1,MATCH(COLUMNS($AD$1006:AQ1006),$AD$1006:$AU$1006,0)))),"Fix")))</f>
        <v xml:space="preserve"> </v>
      </c>
      <c r="P746" s="4" t="str">
        <f ca="1">IF(OR(INDEX($X$2:$X$1001,MATCH(ROWS($W$2:W746),$W$2:$W$1001,0),1)&gt;=100000,INDEX($AD$1005:$AU$1005,1,MATCH(COLUMNS($AD$1006:AR1006),$AD$1006:$AU$1006,0))&gt;=100000), " ",IF(INDEX($AD$2:$AU$1001,MATCH(ROWS($W$2:W746),$W$2:$W$1001,0),MATCH(COLUMNS($AD$1006:AR1006),$AD$1006:$AU$1006,0)), HYPERLINK("#",""), HYPERLINK(CONCATENATE("#metadata!", ADDRESS(INDEX($Y$2:$Y$1001,MATCH(ROWS($W$2:W746),$W$2:$W$1001,0),0), INDEX($AD$1004:$AU$1004,1,MATCH(COLUMNS($AD$1006:AR1006),$AD$1006:$AU$1006,0)))),"Fix")))</f>
        <v xml:space="preserve"> </v>
      </c>
      <c r="Q746" s="4" t="str">
        <f ca="1">IF(OR(INDEX($X$2:$X$1001,MATCH(ROWS($W$2:W746),$W$2:$W$1001,0),1)&gt;=100000,INDEX($AD$1005:$AU$1005,1,MATCH(COLUMNS($AD$1006:AS1006),$AD$1006:$AU$1006,0))&gt;=100000), " ",IF(INDEX($AD$2:$AU$1001,MATCH(ROWS($W$2:W746),$W$2:$W$1001,0),MATCH(COLUMNS($AD$1006:AS1006),$AD$1006:$AU$1006,0)), HYPERLINK("#",""), HYPERLINK(CONCATENATE("#metadata!", ADDRESS(INDEX($Y$2:$Y$1001,MATCH(ROWS($W$2:W746),$W$2:$W$1001,0),0), INDEX($AD$1004:$AU$1004,1,MATCH(COLUMNS($AD$1006:AS1006),$AD$1006:$AU$1006,0)))),"Fix")))</f>
        <v xml:space="preserve"> </v>
      </c>
      <c r="R746" s="4" t="str">
        <f ca="1">IF(OR(INDEX($X$2:$X$1001,MATCH(ROWS($W$2:W746),$W$2:$W$1001,0),1)&gt;=100000,INDEX($AD$1005:$AU$1005,1,MATCH(COLUMNS($AD$1006:AT1006),$AD$1006:$AU$1006,0))&gt;=100000), " ",IF(INDEX($AD$2:$AU$1001,MATCH(ROWS($W$2:W746),$W$2:$W$1001,0),MATCH(COLUMNS($AD$1006:AT1006),$AD$1006:$AU$1006,0)), HYPERLINK("#",""), HYPERLINK(CONCATENATE("#metadata!", ADDRESS(INDEX($Y$2:$Y$1001,MATCH(ROWS($W$2:W746),$W$2:$W$1001,0),0), INDEX($AD$1004:$AU$1004,1,MATCH(COLUMNS($AD$1006:AT1006),$AD$1006:$AU$1006,0)))),"Fix")))</f>
        <v xml:space="preserve"> </v>
      </c>
      <c r="S746" s="4" t="str">
        <f ca="1">IF(OR(INDEX($X$2:$X$1001,MATCH(ROWS($W$2:W746),$W$2:$W$1001,0),1)&gt;=100000,INDEX($AD$1005:$AU$1005,1,MATCH(COLUMNS($AD$1006:AU1006),$AD$1006:$AU$1006,0))&gt;=100000), " ",IF(INDEX($AD$2:$AU$1001,MATCH(ROWS($W$2:W746),$W$2:$W$1001,0),MATCH(COLUMNS($AD$1006:AU1006),$AD$1006:$AU$1006,0)), HYPERLINK("#",""), HYPERLINK(CONCATENATE("#metadata!", ADDRESS(INDEX($Y$2:$Y$1001,MATCH(ROWS($W$2:W746),$W$2:$W$1001,0),0), INDEX($AD$1004:$AU$1004,1,MATCH(COLUMNS($AD$1006:AU1006),$AD$1006:$AU$1006,0)))),"Fix")))</f>
        <v xml:space="preserve"> </v>
      </c>
      <c r="W746">
        <v>745</v>
      </c>
      <c r="X746">
        <v>100746</v>
      </c>
      <c r="Y746">
        <v>746</v>
      </c>
      <c r="Z746" t="b">
        <f t="shared" si="11"/>
        <v>1</v>
      </c>
      <c r="AA746" t="b">
        <f>COUNTBLANK(metadata!B746:S746)=COLUMNS(metadata!B746:S746)</f>
        <v>1</v>
      </c>
      <c r="AB746" t="str">
        <v/>
      </c>
      <c r="AD746" t="b">
        <f ca="1">AND(IF(metadata!B746="",FALSE,TRUE),COUNTIF(metadata!B:B, metadata!B746) = 1,NOT(ISERROR(SUMPRODUCT(SEARCH(MID(metadata!B746,ROW(INDIRECT("1:"&amp;LEN(metadata!B746))), 1),"0123456789abcdefghijklmnopqrstuvwxyzABCDEFGHIJKLMNOPQRSTUVWXYZ.")))))</f>
        <v>0</v>
      </c>
      <c r="AE746" t="b">
        <f>OR(AND(IF(metadata!C746="",FALSE,TRUE),OR(EXACT(metadata!C746,"not applicable"),EXACT(metadata!C746,"missing: not collected"),EXACT(metadata!C746,"missing: not provided"),EXACT(metadata!C746,"missing: restricted access"))),AND(IF(metadata!C746="",FALSE,ISNUMBER(VALUE(metadata!C746))),metadata!C746&gt;0))</f>
        <v>0</v>
      </c>
      <c r="AF746" t="b">
        <f>AND(IF(metadata!D746="",FALSE,TRUE),EXACT(metadata!D746,"missing: not provided"))</f>
        <v>0</v>
      </c>
      <c r="AG746" t="b">
        <f>AND(IF(metadata!E746="",FALSE,TRUE),EXACT(metadata!E746,"Host-associated"))</f>
        <v>0</v>
      </c>
      <c r="AH746" t="b">
        <f>AND(IF(metadata!F746="",FALSE,TRUE),OR(EXACT(metadata!F746,"Animal"),EXACT(metadata!F746,"Fungus"),EXACT(metadata!F746,"Plant")))</f>
        <v>0</v>
      </c>
      <c r="AI746" t="b">
        <f>AND(IF(metadata!G746="",FALSE,TRUE),OR(EXACT(metadata!G746,"Plant secretion"),EXACT(metadata!G746,"Plant rhizosphere"),EXACT(metadata!G746,"Plant surface"),EXACT(metadata!G746,"Plant corpus"),EXACT(metadata!G746,"Fungus surface"),EXACT(metadata!G746,"Fungus corpus"),EXACT(metadata!G746,"Animal surface"),EXACT(metadata!G746,"Animal proximal gut"),EXACT(metadata!G746,"Animal corpus"),EXACT(metadata!G746,"Animal distal gut"),EXACT(metadata!G746,"Animal secretion")))</f>
        <v>0</v>
      </c>
      <c r="AJ746" t="b">
        <f>OR(AND(IF(metadata!H746="",FALSE,TRUE),OR(EXACT(metadata!H746,"missing: not collected"),EXACT(metadata!H746,"missing: not provided"),EXACT(metadata!H746,"missing: restricted access"))),AND(IF(metadata!H746="",FALSE,TRUE),OR(EXACT(metadata!H746,"organism-associated habitat"),EXACT(metadata!H746,"plant-associated habitat"),EXACT(metadata!H746,"animal-associated habitat"),EXACT(metadata!H746,"insecta-associated habitat"),EXACT(metadata!H746,"mammalia-associated habitat"),EXACT(metadata!H746,"human-associated habitat"),EXACT(metadata!H746,"livestock-associated habitat"))))</f>
        <v>0</v>
      </c>
      <c r="AK746" t="b">
        <f>AND(IF(metadata!I746="",FALSE,TRUE),EXACT(metadata!I746,"host-associated"))</f>
        <v>0</v>
      </c>
      <c r="AL746" t="b">
        <f>OR(AND(IF(metadata!J746="",FALSE,TRUE),OR(EXACT(metadata!J746,"not applicable"),EXACT(metadata!J746,"missing: not collected"),EXACT(metadata!J746,"missing: not provided"),EXACT(metadata!J746,"missing: restricted access"))),AND(IF(metadata!J746="",FALSE,ISNUMBER(VALUE(metadata!J746))),metadata!J746&gt;0))</f>
        <v>0</v>
      </c>
      <c r="AM746" t="b">
        <f>AND(IF(metadata!K746="",FALSE,TRUE),EXACT(metadata!K746,"missing: not provided"))</f>
        <v>0</v>
      </c>
      <c r="AN746" t="b">
        <f>IF(metadata!L746="",FALSE,TRUE)</f>
        <v>0</v>
      </c>
      <c r="AO746" t="b">
        <f>IF(metadata!M746="",FALSE,TRUE)</f>
        <v>0</v>
      </c>
      <c r="AP746" t="b">
        <f>OR(AND(IF(metadata!N746="",FALSE,TRUE),OR(EXACT(metadata!N746,"not applicable"),EXACT(metadata!N746,"missing: not collected"),EXACT(metadata!N746,"missing: not provided"))),AND(IF(metadata!N746="",FALSE,IF(ISERROR(INT(metadata!N746)),FALSE,INT(metadata!N746)=metadata!N746)),metadata!N746&gt;0))</f>
        <v>0</v>
      </c>
      <c r="AQ746" t="b">
        <f>AND(IF(metadata!O746="",FALSE,TRUE),EXACT(metadata!O746,"Not applicable"))</f>
        <v>0</v>
      </c>
      <c r="AR746" t="b">
        <f>OR(AND(IF(metadata!P746="",FALSE,TRUE),OR(EXACT(metadata!P746,"not applicable"),EXACT(metadata!P746,"missing: not collected"),EXACT(metadata!P746,"missing: not provided"),EXACT(metadata!P746,"missing: restricted access"))),IF(metadata!P746="",FALSE,IF(ISERROR(INT(metadata!P746)),FALSE,INT(metadata!P746)=metadata!P746)))</f>
        <v>0</v>
      </c>
      <c r="AS746" t="b">
        <f>AND(IF(metadata!Q746="",FALSE,TRUE),EXACT(metadata!Q746,"Not applicable"))</f>
        <v>0</v>
      </c>
      <c r="AT746" t="b">
        <f>OR(AND(IF(metadata!R746="",FALSE,TRUE),OR(EXACT(metadata!R746,"not applicable"),EXACT(metadata!R746,"missing: not collected"),EXACT(metadata!R746,"missing: not provided"),EXACT(metadata!R746,"missing: restricted access"))),AND(IF(metadata!R746="",FALSE,ISNUMBER(VALUE(metadata!R746))),metadata!R746&gt;0))</f>
        <v>0</v>
      </c>
      <c r="AU746" t="b">
        <f>AND(IF(metadata!S746="",FALSE,TRUE),EXACT(metadata!S746,"missing: not provided"))</f>
        <v>0</v>
      </c>
    </row>
    <row r="747" spans="1:47" x14ac:dyDescent="0.2">
      <c r="A747" s="5" t="str">
        <f ca="1">IF(B747=" "," ",HYPERLINK(CONCATENATE("#metadata!",ADDRESS(INDEX($Y$2:$Y$1001,MATCH(ROWS($W$2:W747),$W$2:$W$1001,0),0),1)),INDEX($AB$2:$AB$1001,MATCH(ROWS($W$2:W747),$W$2:$W$1001,0),0)))</f>
        <v xml:space="preserve"> </v>
      </c>
      <c r="B747" s="4" t="str">
        <f ca="1">IF(OR(INDEX($X$2:$X$1001,MATCH(ROWS($W$2:W747),$W$2:$W$1001,0),1)&gt;=100000,INDEX($AD$1005:$AU$1005,1,MATCH(COLUMNS($AD$1006:AD1006),$AD$1006:$AU$1006,0))&gt;=100000), " ",IF(INDEX($AD$2:$AU$1001,MATCH(ROWS($W$2:W747),$W$2:$W$1001,0),MATCH(COLUMNS($AD$1006:AD1006),$AD$1006:$AU$1006,0)), HYPERLINK("#",""), HYPERLINK(CONCATENATE("#metadata!", ADDRESS(INDEX($Y$2:$Y$1001,MATCH(ROWS($W$2:W747),$W$2:$W$1001,0),0), INDEX($AD$1004:$AU$1004,1,MATCH(COLUMNS($AD$1006:AD1006),$AD$1006:$AU$1006,0)))),"Fix")))</f>
        <v xml:space="preserve"> </v>
      </c>
      <c r="C747" s="4" t="str">
        <f ca="1">IF(OR(INDEX($X$2:$X$1001,MATCH(ROWS($W$2:W747),$W$2:$W$1001,0),1)&gt;=100000,INDEX($AD$1005:$AU$1005,1,MATCH(COLUMNS($AD$1006:AE1006),$AD$1006:$AU$1006,0))&gt;=100000), " ",IF(INDEX($AD$2:$AU$1001,MATCH(ROWS($W$2:W747),$W$2:$W$1001,0),MATCH(COLUMNS($AD$1006:AE1006),$AD$1006:$AU$1006,0)), HYPERLINK("#",""), HYPERLINK(CONCATENATE("#metadata!", ADDRESS(INDEX($Y$2:$Y$1001,MATCH(ROWS($W$2:W747),$W$2:$W$1001,0),0), INDEX($AD$1004:$AU$1004,1,MATCH(COLUMNS($AD$1006:AE1006),$AD$1006:$AU$1006,0)))),"Fix")))</f>
        <v xml:space="preserve"> </v>
      </c>
      <c r="D747" s="4" t="str">
        <f ca="1">IF(OR(INDEX($X$2:$X$1001,MATCH(ROWS($W$2:W747),$W$2:$W$1001,0),1)&gt;=100000,INDEX($AD$1005:$AU$1005,1,MATCH(COLUMNS($AD$1006:AF1006),$AD$1006:$AU$1006,0))&gt;=100000), " ",IF(INDEX($AD$2:$AU$1001,MATCH(ROWS($W$2:W747),$W$2:$W$1001,0),MATCH(COLUMNS($AD$1006:AF1006),$AD$1006:$AU$1006,0)), HYPERLINK("#",""), HYPERLINK(CONCATENATE("#metadata!", ADDRESS(INDEX($Y$2:$Y$1001,MATCH(ROWS($W$2:W747),$W$2:$W$1001,0),0), INDEX($AD$1004:$AU$1004,1,MATCH(COLUMNS($AD$1006:AF1006),$AD$1006:$AU$1006,0)))),"Fix")))</f>
        <v xml:space="preserve"> </v>
      </c>
      <c r="E747" s="4" t="str">
        <f ca="1">IF(OR(INDEX($X$2:$X$1001,MATCH(ROWS($W$2:W747),$W$2:$W$1001,0),1)&gt;=100000,INDEX($AD$1005:$AU$1005,1,MATCH(COLUMNS($AD$1006:AG1006),$AD$1006:$AU$1006,0))&gt;=100000), " ",IF(INDEX($AD$2:$AU$1001,MATCH(ROWS($W$2:W747),$W$2:$W$1001,0),MATCH(COLUMNS($AD$1006:AG1006),$AD$1006:$AU$1006,0)), HYPERLINK("#",""), HYPERLINK(CONCATENATE("#metadata!", ADDRESS(INDEX($Y$2:$Y$1001,MATCH(ROWS($W$2:W747),$W$2:$W$1001,0),0), INDEX($AD$1004:$AU$1004,1,MATCH(COLUMNS($AD$1006:AG1006),$AD$1006:$AU$1006,0)))),"Fix")))</f>
        <v xml:space="preserve"> </v>
      </c>
      <c r="F747" s="4" t="str">
        <f ca="1">IF(OR(INDEX($X$2:$X$1001,MATCH(ROWS($W$2:W747),$W$2:$W$1001,0),1)&gt;=100000,INDEX($AD$1005:$AU$1005,1,MATCH(COLUMNS($AD$1006:AH1006),$AD$1006:$AU$1006,0))&gt;=100000), " ",IF(INDEX($AD$2:$AU$1001,MATCH(ROWS($W$2:W747),$W$2:$W$1001,0),MATCH(COLUMNS($AD$1006:AH1006),$AD$1006:$AU$1006,0)), HYPERLINK("#",""), HYPERLINK(CONCATENATE("#metadata!", ADDRESS(INDEX($Y$2:$Y$1001,MATCH(ROWS($W$2:W747),$W$2:$W$1001,0),0), INDEX($AD$1004:$AU$1004,1,MATCH(COLUMNS($AD$1006:AH1006),$AD$1006:$AU$1006,0)))),"Fix")))</f>
        <v xml:space="preserve"> </v>
      </c>
      <c r="G747" s="4" t="str">
        <f ca="1">IF(OR(INDEX($X$2:$X$1001,MATCH(ROWS($W$2:W747),$W$2:$W$1001,0),1)&gt;=100000,INDEX($AD$1005:$AU$1005,1,MATCH(COLUMNS($AD$1006:AI1006),$AD$1006:$AU$1006,0))&gt;=100000), " ",IF(INDEX($AD$2:$AU$1001,MATCH(ROWS($W$2:W747),$W$2:$W$1001,0),MATCH(COLUMNS($AD$1006:AI1006),$AD$1006:$AU$1006,0)), HYPERLINK("#",""), HYPERLINK(CONCATENATE("#metadata!", ADDRESS(INDEX($Y$2:$Y$1001,MATCH(ROWS($W$2:W747),$W$2:$W$1001,0),0), INDEX($AD$1004:$AU$1004,1,MATCH(COLUMNS($AD$1006:AI1006),$AD$1006:$AU$1006,0)))),"Fix")))</f>
        <v xml:space="preserve"> </v>
      </c>
      <c r="H747" s="4" t="str">
        <f ca="1">IF(OR(INDEX($X$2:$X$1001,MATCH(ROWS($W$2:W747),$W$2:$W$1001,0),1)&gt;=100000,INDEX($AD$1005:$AU$1005,1,MATCH(COLUMNS($AD$1006:AJ1006),$AD$1006:$AU$1006,0))&gt;=100000), " ",IF(INDEX($AD$2:$AU$1001,MATCH(ROWS($W$2:W747),$W$2:$W$1001,0),MATCH(COLUMNS($AD$1006:AJ1006),$AD$1006:$AU$1006,0)), HYPERLINK("#",""), HYPERLINK(CONCATENATE("#metadata!", ADDRESS(INDEX($Y$2:$Y$1001,MATCH(ROWS($W$2:W747),$W$2:$W$1001,0),0), INDEX($AD$1004:$AU$1004,1,MATCH(COLUMNS($AD$1006:AJ1006),$AD$1006:$AU$1006,0)))),"Fix")))</f>
        <v xml:space="preserve"> </v>
      </c>
      <c r="I747" s="4" t="str">
        <f ca="1">IF(OR(INDEX($X$2:$X$1001,MATCH(ROWS($W$2:W747),$W$2:$W$1001,0),1)&gt;=100000,INDEX($AD$1005:$AU$1005,1,MATCH(COLUMNS($AD$1006:AK1006),$AD$1006:$AU$1006,0))&gt;=100000), " ",IF(INDEX($AD$2:$AU$1001,MATCH(ROWS($W$2:W747),$W$2:$W$1001,0),MATCH(COLUMNS($AD$1006:AK1006),$AD$1006:$AU$1006,0)), HYPERLINK("#",""), HYPERLINK(CONCATENATE("#metadata!", ADDRESS(INDEX($Y$2:$Y$1001,MATCH(ROWS($W$2:W747),$W$2:$W$1001,0),0), INDEX($AD$1004:$AU$1004,1,MATCH(COLUMNS($AD$1006:AK1006),$AD$1006:$AU$1006,0)))),"Fix")))</f>
        <v xml:space="preserve"> </v>
      </c>
      <c r="J747" s="4" t="str">
        <f ca="1">IF(OR(INDEX($X$2:$X$1001,MATCH(ROWS($W$2:W747),$W$2:$W$1001,0),1)&gt;=100000,INDEX($AD$1005:$AU$1005,1,MATCH(COLUMNS($AD$1006:AL1006),$AD$1006:$AU$1006,0))&gt;=100000), " ",IF(INDEX($AD$2:$AU$1001,MATCH(ROWS($W$2:W747),$W$2:$W$1001,0),MATCH(COLUMNS($AD$1006:AL1006),$AD$1006:$AU$1006,0)), HYPERLINK("#",""), HYPERLINK(CONCATENATE("#metadata!", ADDRESS(INDEX($Y$2:$Y$1001,MATCH(ROWS($W$2:W747),$W$2:$W$1001,0),0), INDEX($AD$1004:$AU$1004,1,MATCH(COLUMNS($AD$1006:AL1006),$AD$1006:$AU$1006,0)))),"Fix")))</f>
        <v xml:space="preserve"> </v>
      </c>
      <c r="K747" s="4" t="str">
        <f ca="1">IF(OR(INDEX($X$2:$X$1001,MATCH(ROWS($W$2:W747),$W$2:$W$1001,0),1)&gt;=100000,INDEX($AD$1005:$AU$1005,1,MATCH(COLUMNS($AD$1006:AM1006),$AD$1006:$AU$1006,0))&gt;=100000), " ",IF(INDEX($AD$2:$AU$1001,MATCH(ROWS($W$2:W747),$W$2:$W$1001,0),MATCH(COLUMNS($AD$1006:AM1006),$AD$1006:$AU$1006,0)), HYPERLINK("#",""), HYPERLINK(CONCATENATE("#metadata!", ADDRESS(INDEX($Y$2:$Y$1001,MATCH(ROWS($W$2:W747),$W$2:$W$1001,0),0), INDEX($AD$1004:$AU$1004,1,MATCH(COLUMNS($AD$1006:AM1006),$AD$1006:$AU$1006,0)))),"Fix")))</f>
        <v xml:space="preserve"> </v>
      </c>
      <c r="L747" s="4" t="str">
        <f ca="1">IF(OR(INDEX($X$2:$X$1001,MATCH(ROWS($W$2:W747),$W$2:$W$1001,0),1)&gt;=100000,INDEX($AD$1005:$AU$1005,1,MATCH(COLUMNS($AD$1006:AN1006),$AD$1006:$AU$1006,0))&gt;=100000), " ",IF(INDEX($AD$2:$AU$1001,MATCH(ROWS($W$2:W747),$W$2:$W$1001,0),MATCH(COLUMNS($AD$1006:AN1006),$AD$1006:$AU$1006,0)), HYPERLINK("#",""), HYPERLINK(CONCATENATE("#metadata!", ADDRESS(INDEX($Y$2:$Y$1001,MATCH(ROWS($W$2:W747),$W$2:$W$1001,0),0), INDEX($AD$1004:$AU$1004,1,MATCH(COLUMNS($AD$1006:AN1006),$AD$1006:$AU$1006,0)))),"Fix")))</f>
        <v xml:space="preserve"> </v>
      </c>
      <c r="M747" s="4" t="str">
        <f ca="1">IF(OR(INDEX($X$2:$X$1001,MATCH(ROWS($W$2:W747),$W$2:$W$1001,0),1)&gt;=100000,INDEX($AD$1005:$AU$1005,1,MATCH(COLUMNS($AD$1006:AO1006),$AD$1006:$AU$1006,0))&gt;=100000), " ",IF(INDEX($AD$2:$AU$1001,MATCH(ROWS($W$2:W747),$W$2:$W$1001,0),MATCH(COLUMNS($AD$1006:AO1006),$AD$1006:$AU$1006,0)), HYPERLINK("#",""), HYPERLINK(CONCATENATE("#metadata!", ADDRESS(INDEX($Y$2:$Y$1001,MATCH(ROWS($W$2:W747),$W$2:$W$1001,0),0), INDEX($AD$1004:$AU$1004,1,MATCH(COLUMNS($AD$1006:AO1006),$AD$1006:$AU$1006,0)))),"Fix")))</f>
        <v xml:space="preserve"> </v>
      </c>
      <c r="N747" s="4" t="str">
        <f ca="1">IF(OR(INDEX($X$2:$X$1001,MATCH(ROWS($W$2:W747),$W$2:$W$1001,0),1)&gt;=100000,INDEX($AD$1005:$AU$1005,1,MATCH(COLUMNS($AD$1006:AP1006),$AD$1006:$AU$1006,0))&gt;=100000), " ",IF(INDEX($AD$2:$AU$1001,MATCH(ROWS($W$2:W747),$W$2:$W$1001,0),MATCH(COLUMNS($AD$1006:AP1006),$AD$1006:$AU$1006,0)), HYPERLINK("#",""), HYPERLINK(CONCATENATE("#metadata!", ADDRESS(INDEX($Y$2:$Y$1001,MATCH(ROWS($W$2:W747),$W$2:$W$1001,0),0), INDEX($AD$1004:$AU$1004,1,MATCH(COLUMNS($AD$1006:AP1006),$AD$1006:$AU$1006,0)))),"Fix")))</f>
        <v xml:space="preserve"> </v>
      </c>
      <c r="O747" s="4" t="str">
        <f ca="1">IF(OR(INDEX($X$2:$X$1001,MATCH(ROWS($W$2:W747),$W$2:$W$1001,0),1)&gt;=100000,INDEX($AD$1005:$AU$1005,1,MATCH(COLUMNS($AD$1006:AQ1006),$AD$1006:$AU$1006,0))&gt;=100000), " ",IF(INDEX($AD$2:$AU$1001,MATCH(ROWS($W$2:W747),$W$2:$W$1001,0),MATCH(COLUMNS($AD$1006:AQ1006),$AD$1006:$AU$1006,0)), HYPERLINK("#",""), HYPERLINK(CONCATENATE("#metadata!", ADDRESS(INDEX($Y$2:$Y$1001,MATCH(ROWS($W$2:W747),$W$2:$W$1001,0),0), INDEX($AD$1004:$AU$1004,1,MATCH(COLUMNS($AD$1006:AQ1006),$AD$1006:$AU$1006,0)))),"Fix")))</f>
        <v xml:space="preserve"> </v>
      </c>
      <c r="P747" s="4" t="str">
        <f ca="1">IF(OR(INDEX($X$2:$X$1001,MATCH(ROWS($W$2:W747),$W$2:$W$1001,0),1)&gt;=100000,INDEX($AD$1005:$AU$1005,1,MATCH(COLUMNS($AD$1006:AR1006),$AD$1006:$AU$1006,0))&gt;=100000), " ",IF(INDEX($AD$2:$AU$1001,MATCH(ROWS($W$2:W747),$W$2:$W$1001,0),MATCH(COLUMNS($AD$1006:AR1006),$AD$1006:$AU$1006,0)), HYPERLINK("#",""), HYPERLINK(CONCATENATE("#metadata!", ADDRESS(INDEX($Y$2:$Y$1001,MATCH(ROWS($W$2:W747),$W$2:$W$1001,0),0), INDEX($AD$1004:$AU$1004,1,MATCH(COLUMNS($AD$1006:AR1006),$AD$1006:$AU$1006,0)))),"Fix")))</f>
        <v xml:space="preserve"> </v>
      </c>
      <c r="Q747" s="4" t="str">
        <f ca="1">IF(OR(INDEX($X$2:$X$1001,MATCH(ROWS($W$2:W747),$W$2:$W$1001,0),1)&gt;=100000,INDEX($AD$1005:$AU$1005,1,MATCH(COLUMNS($AD$1006:AS1006),$AD$1006:$AU$1006,0))&gt;=100000), " ",IF(INDEX($AD$2:$AU$1001,MATCH(ROWS($W$2:W747),$W$2:$W$1001,0),MATCH(COLUMNS($AD$1006:AS1006),$AD$1006:$AU$1006,0)), HYPERLINK("#",""), HYPERLINK(CONCATENATE("#metadata!", ADDRESS(INDEX($Y$2:$Y$1001,MATCH(ROWS($W$2:W747),$W$2:$W$1001,0),0), INDEX($AD$1004:$AU$1004,1,MATCH(COLUMNS($AD$1006:AS1006),$AD$1006:$AU$1006,0)))),"Fix")))</f>
        <v xml:space="preserve"> </v>
      </c>
      <c r="R747" s="4" t="str">
        <f ca="1">IF(OR(INDEX($X$2:$X$1001,MATCH(ROWS($W$2:W747),$W$2:$W$1001,0),1)&gt;=100000,INDEX($AD$1005:$AU$1005,1,MATCH(COLUMNS($AD$1006:AT1006),$AD$1006:$AU$1006,0))&gt;=100000), " ",IF(INDEX($AD$2:$AU$1001,MATCH(ROWS($W$2:W747),$W$2:$W$1001,0),MATCH(COLUMNS($AD$1006:AT1006),$AD$1006:$AU$1006,0)), HYPERLINK("#",""), HYPERLINK(CONCATENATE("#metadata!", ADDRESS(INDEX($Y$2:$Y$1001,MATCH(ROWS($W$2:W747),$W$2:$W$1001,0),0), INDEX($AD$1004:$AU$1004,1,MATCH(COLUMNS($AD$1006:AT1006),$AD$1006:$AU$1006,0)))),"Fix")))</f>
        <v xml:space="preserve"> </v>
      </c>
      <c r="S747" s="4" t="str">
        <f ca="1">IF(OR(INDEX($X$2:$X$1001,MATCH(ROWS($W$2:W747),$W$2:$W$1001,0),1)&gt;=100000,INDEX($AD$1005:$AU$1005,1,MATCH(COLUMNS($AD$1006:AU1006),$AD$1006:$AU$1006,0))&gt;=100000), " ",IF(INDEX($AD$2:$AU$1001,MATCH(ROWS($W$2:W747),$W$2:$W$1001,0),MATCH(COLUMNS($AD$1006:AU1006),$AD$1006:$AU$1006,0)), HYPERLINK("#",""), HYPERLINK(CONCATENATE("#metadata!", ADDRESS(INDEX($Y$2:$Y$1001,MATCH(ROWS($W$2:W747),$W$2:$W$1001,0),0), INDEX($AD$1004:$AU$1004,1,MATCH(COLUMNS($AD$1006:AU1006),$AD$1006:$AU$1006,0)))),"Fix")))</f>
        <v xml:space="preserve"> </v>
      </c>
      <c r="W747">
        <v>746</v>
      </c>
      <c r="X747">
        <v>100747</v>
      </c>
      <c r="Y747">
        <v>747</v>
      </c>
      <c r="Z747" t="b">
        <f t="shared" si="11"/>
        <v>1</v>
      </c>
      <c r="AA747" t="b">
        <f>COUNTBLANK(metadata!B747:S747)=COLUMNS(metadata!B747:S747)</f>
        <v>1</v>
      </c>
      <c r="AB747" t="str">
        <v/>
      </c>
      <c r="AD747" t="b">
        <f ca="1">AND(IF(metadata!B747="",FALSE,TRUE),COUNTIF(metadata!B:B, metadata!B747) = 1,NOT(ISERROR(SUMPRODUCT(SEARCH(MID(metadata!B747,ROW(INDIRECT("1:"&amp;LEN(metadata!B747))), 1),"0123456789abcdefghijklmnopqrstuvwxyzABCDEFGHIJKLMNOPQRSTUVWXYZ.")))))</f>
        <v>0</v>
      </c>
      <c r="AE747" t="b">
        <f>OR(AND(IF(metadata!C747="",FALSE,TRUE),OR(EXACT(metadata!C747,"not applicable"),EXACT(metadata!C747,"missing: not collected"),EXACT(metadata!C747,"missing: not provided"),EXACT(metadata!C747,"missing: restricted access"))),AND(IF(metadata!C747="",FALSE,ISNUMBER(VALUE(metadata!C747))),metadata!C747&gt;0))</f>
        <v>0</v>
      </c>
      <c r="AF747" t="b">
        <f>AND(IF(metadata!D747="",FALSE,TRUE),EXACT(metadata!D747,"missing: not provided"))</f>
        <v>0</v>
      </c>
      <c r="AG747" t="b">
        <f>AND(IF(metadata!E747="",FALSE,TRUE),EXACT(metadata!E747,"Host-associated"))</f>
        <v>0</v>
      </c>
      <c r="AH747" t="b">
        <f>AND(IF(metadata!F747="",FALSE,TRUE),OR(EXACT(metadata!F747,"Animal"),EXACT(metadata!F747,"Fungus"),EXACT(metadata!F747,"Plant")))</f>
        <v>0</v>
      </c>
      <c r="AI747" t="b">
        <f>AND(IF(metadata!G747="",FALSE,TRUE),OR(EXACT(metadata!G747,"Plant secretion"),EXACT(metadata!G747,"Plant rhizosphere"),EXACT(metadata!G747,"Plant surface"),EXACT(metadata!G747,"Plant corpus"),EXACT(metadata!G747,"Fungus surface"),EXACT(metadata!G747,"Fungus corpus"),EXACT(metadata!G747,"Animal surface"),EXACT(metadata!G747,"Animal proximal gut"),EXACT(metadata!G747,"Animal corpus"),EXACT(metadata!G747,"Animal distal gut"),EXACT(metadata!G747,"Animal secretion")))</f>
        <v>0</v>
      </c>
      <c r="AJ747" t="b">
        <f>OR(AND(IF(metadata!H747="",FALSE,TRUE),OR(EXACT(metadata!H747,"missing: not collected"),EXACT(metadata!H747,"missing: not provided"),EXACT(metadata!H747,"missing: restricted access"))),AND(IF(metadata!H747="",FALSE,TRUE),OR(EXACT(metadata!H747,"organism-associated habitat"),EXACT(metadata!H747,"plant-associated habitat"),EXACT(metadata!H747,"animal-associated habitat"),EXACT(metadata!H747,"insecta-associated habitat"),EXACT(metadata!H747,"mammalia-associated habitat"),EXACT(metadata!H747,"human-associated habitat"),EXACT(metadata!H747,"livestock-associated habitat"))))</f>
        <v>0</v>
      </c>
      <c r="AK747" t="b">
        <f>AND(IF(metadata!I747="",FALSE,TRUE),EXACT(metadata!I747,"host-associated"))</f>
        <v>0</v>
      </c>
      <c r="AL747" t="b">
        <f>OR(AND(IF(metadata!J747="",FALSE,TRUE),OR(EXACT(metadata!J747,"not applicable"),EXACT(metadata!J747,"missing: not collected"),EXACT(metadata!J747,"missing: not provided"),EXACT(metadata!J747,"missing: restricted access"))),AND(IF(metadata!J747="",FALSE,ISNUMBER(VALUE(metadata!J747))),metadata!J747&gt;0))</f>
        <v>0</v>
      </c>
      <c r="AM747" t="b">
        <f>AND(IF(metadata!K747="",FALSE,TRUE),EXACT(metadata!K747,"missing: not provided"))</f>
        <v>0</v>
      </c>
      <c r="AN747" t="b">
        <f>IF(metadata!L747="",FALSE,TRUE)</f>
        <v>0</v>
      </c>
      <c r="AO747" t="b">
        <f>IF(metadata!M747="",FALSE,TRUE)</f>
        <v>0</v>
      </c>
      <c r="AP747" t="b">
        <f>OR(AND(IF(metadata!N747="",FALSE,TRUE),OR(EXACT(metadata!N747,"not applicable"),EXACT(metadata!N747,"missing: not collected"),EXACT(metadata!N747,"missing: not provided"))),AND(IF(metadata!N747="",FALSE,IF(ISERROR(INT(metadata!N747)),FALSE,INT(metadata!N747)=metadata!N747)),metadata!N747&gt;0))</f>
        <v>0</v>
      </c>
      <c r="AQ747" t="b">
        <f>AND(IF(metadata!O747="",FALSE,TRUE),EXACT(metadata!O747,"Not applicable"))</f>
        <v>0</v>
      </c>
      <c r="AR747" t="b">
        <f>OR(AND(IF(metadata!P747="",FALSE,TRUE),OR(EXACT(metadata!P747,"not applicable"),EXACT(metadata!P747,"missing: not collected"),EXACT(metadata!P747,"missing: not provided"),EXACT(metadata!P747,"missing: restricted access"))),IF(metadata!P747="",FALSE,IF(ISERROR(INT(metadata!P747)),FALSE,INT(metadata!P747)=metadata!P747)))</f>
        <v>0</v>
      </c>
      <c r="AS747" t="b">
        <f>AND(IF(metadata!Q747="",FALSE,TRUE),EXACT(metadata!Q747,"Not applicable"))</f>
        <v>0</v>
      </c>
      <c r="AT747" t="b">
        <f>OR(AND(IF(metadata!R747="",FALSE,TRUE),OR(EXACT(metadata!R747,"not applicable"),EXACT(metadata!R747,"missing: not collected"),EXACT(metadata!R747,"missing: not provided"),EXACT(metadata!R747,"missing: restricted access"))),AND(IF(metadata!R747="",FALSE,ISNUMBER(VALUE(metadata!R747))),metadata!R747&gt;0))</f>
        <v>0</v>
      </c>
      <c r="AU747" t="b">
        <f>AND(IF(metadata!S747="",FALSE,TRUE),EXACT(metadata!S747,"missing: not provided"))</f>
        <v>0</v>
      </c>
    </row>
    <row r="748" spans="1:47" x14ac:dyDescent="0.2">
      <c r="A748" s="5" t="str">
        <f ca="1">IF(B748=" "," ",HYPERLINK(CONCATENATE("#metadata!",ADDRESS(INDEX($Y$2:$Y$1001,MATCH(ROWS($W$2:W748),$W$2:$W$1001,0),0),1)),INDEX($AB$2:$AB$1001,MATCH(ROWS($W$2:W748),$W$2:$W$1001,0),0)))</f>
        <v xml:space="preserve"> </v>
      </c>
      <c r="B748" s="4" t="str">
        <f ca="1">IF(OR(INDEX($X$2:$X$1001,MATCH(ROWS($W$2:W748),$W$2:$W$1001,0),1)&gt;=100000,INDEX($AD$1005:$AU$1005,1,MATCH(COLUMNS($AD$1006:AD1006),$AD$1006:$AU$1006,0))&gt;=100000), " ",IF(INDEX($AD$2:$AU$1001,MATCH(ROWS($W$2:W748),$W$2:$W$1001,0),MATCH(COLUMNS($AD$1006:AD1006),$AD$1006:$AU$1006,0)), HYPERLINK("#",""), HYPERLINK(CONCATENATE("#metadata!", ADDRESS(INDEX($Y$2:$Y$1001,MATCH(ROWS($W$2:W748),$W$2:$W$1001,0),0), INDEX($AD$1004:$AU$1004,1,MATCH(COLUMNS($AD$1006:AD1006),$AD$1006:$AU$1006,0)))),"Fix")))</f>
        <v xml:space="preserve"> </v>
      </c>
      <c r="C748" s="4" t="str">
        <f ca="1">IF(OR(INDEX($X$2:$X$1001,MATCH(ROWS($W$2:W748),$W$2:$W$1001,0),1)&gt;=100000,INDEX($AD$1005:$AU$1005,1,MATCH(COLUMNS($AD$1006:AE1006),$AD$1006:$AU$1006,0))&gt;=100000), " ",IF(INDEX($AD$2:$AU$1001,MATCH(ROWS($W$2:W748),$W$2:$W$1001,0),MATCH(COLUMNS($AD$1006:AE1006),$AD$1006:$AU$1006,0)), HYPERLINK("#",""), HYPERLINK(CONCATENATE("#metadata!", ADDRESS(INDEX($Y$2:$Y$1001,MATCH(ROWS($W$2:W748),$W$2:$W$1001,0),0), INDEX($AD$1004:$AU$1004,1,MATCH(COLUMNS($AD$1006:AE1006),$AD$1006:$AU$1006,0)))),"Fix")))</f>
        <v xml:space="preserve"> </v>
      </c>
      <c r="D748" s="4" t="str">
        <f ca="1">IF(OR(INDEX($X$2:$X$1001,MATCH(ROWS($W$2:W748),$W$2:$W$1001,0),1)&gt;=100000,INDEX($AD$1005:$AU$1005,1,MATCH(COLUMNS($AD$1006:AF1006),$AD$1006:$AU$1006,0))&gt;=100000), " ",IF(INDEX($AD$2:$AU$1001,MATCH(ROWS($W$2:W748),$W$2:$W$1001,0),MATCH(COLUMNS($AD$1006:AF1006),$AD$1006:$AU$1006,0)), HYPERLINK("#",""), HYPERLINK(CONCATENATE("#metadata!", ADDRESS(INDEX($Y$2:$Y$1001,MATCH(ROWS($W$2:W748),$W$2:$W$1001,0),0), INDEX($AD$1004:$AU$1004,1,MATCH(COLUMNS($AD$1006:AF1006),$AD$1006:$AU$1006,0)))),"Fix")))</f>
        <v xml:space="preserve"> </v>
      </c>
      <c r="E748" s="4" t="str">
        <f ca="1">IF(OR(INDEX($X$2:$X$1001,MATCH(ROWS($W$2:W748),$W$2:$W$1001,0),1)&gt;=100000,INDEX($AD$1005:$AU$1005,1,MATCH(COLUMNS($AD$1006:AG1006),$AD$1006:$AU$1006,0))&gt;=100000), " ",IF(INDEX($AD$2:$AU$1001,MATCH(ROWS($W$2:W748),$W$2:$W$1001,0),MATCH(COLUMNS($AD$1006:AG1006),$AD$1006:$AU$1006,0)), HYPERLINK("#",""), HYPERLINK(CONCATENATE("#metadata!", ADDRESS(INDEX($Y$2:$Y$1001,MATCH(ROWS($W$2:W748),$W$2:$W$1001,0),0), INDEX($AD$1004:$AU$1004,1,MATCH(COLUMNS($AD$1006:AG1006),$AD$1006:$AU$1006,0)))),"Fix")))</f>
        <v xml:space="preserve"> </v>
      </c>
      <c r="F748" s="4" t="str">
        <f ca="1">IF(OR(INDEX($X$2:$X$1001,MATCH(ROWS($W$2:W748),$W$2:$W$1001,0),1)&gt;=100000,INDEX($AD$1005:$AU$1005,1,MATCH(COLUMNS($AD$1006:AH1006),$AD$1006:$AU$1006,0))&gt;=100000), " ",IF(INDEX($AD$2:$AU$1001,MATCH(ROWS($W$2:W748),$W$2:$W$1001,0),MATCH(COLUMNS($AD$1006:AH1006),$AD$1006:$AU$1006,0)), HYPERLINK("#",""), HYPERLINK(CONCATENATE("#metadata!", ADDRESS(INDEX($Y$2:$Y$1001,MATCH(ROWS($W$2:W748),$W$2:$W$1001,0),0), INDEX($AD$1004:$AU$1004,1,MATCH(COLUMNS($AD$1006:AH1006),$AD$1006:$AU$1006,0)))),"Fix")))</f>
        <v xml:space="preserve"> </v>
      </c>
      <c r="G748" s="4" t="str">
        <f ca="1">IF(OR(INDEX($X$2:$X$1001,MATCH(ROWS($W$2:W748),$W$2:$W$1001,0),1)&gt;=100000,INDEX($AD$1005:$AU$1005,1,MATCH(COLUMNS($AD$1006:AI1006),$AD$1006:$AU$1006,0))&gt;=100000), " ",IF(INDEX($AD$2:$AU$1001,MATCH(ROWS($W$2:W748),$W$2:$W$1001,0),MATCH(COLUMNS($AD$1006:AI1006),$AD$1006:$AU$1006,0)), HYPERLINK("#",""), HYPERLINK(CONCATENATE("#metadata!", ADDRESS(INDEX($Y$2:$Y$1001,MATCH(ROWS($W$2:W748),$W$2:$W$1001,0),0), INDEX($AD$1004:$AU$1004,1,MATCH(COLUMNS($AD$1006:AI1006),$AD$1006:$AU$1006,0)))),"Fix")))</f>
        <v xml:space="preserve"> </v>
      </c>
      <c r="H748" s="4" t="str">
        <f ca="1">IF(OR(INDEX($X$2:$X$1001,MATCH(ROWS($W$2:W748),$W$2:$W$1001,0),1)&gt;=100000,INDEX($AD$1005:$AU$1005,1,MATCH(COLUMNS($AD$1006:AJ1006),$AD$1006:$AU$1006,0))&gt;=100000), " ",IF(INDEX($AD$2:$AU$1001,MATCH(ROWS($W$2:W748),$W$2:$W$1001,0),MATCH(COLUMNS($AD$1006:AJ1006),$AD$1006:$AU$1006,0)), HYPERLINK("#",""), HYPERLINK(CONCATENATE("#metadata!", ADDRESS(INDEX($Y$2:$Y$1001,MATCH(ROWS($W$2:W748),$W$2:$W$1001,0),0), INDEX($AD$1004:$AU$1004,1,MATCH(COLUMNS($AD$1006:AJ1006),$AD$1006:$AU$1006,0)))),"Fix")))</f>
        <v xml:space="preserve"> </v>
      </c>
      <c r="I748" s="4" t="str">
        <f ca="1">IF(OR(INDEX($X$2:$X$1001,MATCH(ROWS($W$2:W748),$W$2:$W$1001,0),1)&gt;=100000,INDEX($AD$1005:$AU$1005,1,MATCH(COLUMNS($AD$1006:AK1006),$AD$1006:$AU$1006,0))&gt;=100000), " ",IF(INDEX($AD$2:$AU$1001,MATCH(ROWS($W$2:W748),$W$2:$W$1001,0),MATCH(COLUMNS($AD$1006:AK1006),$AD$1006:$AU$1006,0)), HYPERLINK("#",""), HYPERLINK(CONCATENATE("#metadata!", ADDRESS(INDEX($Y$2:$Y$1001,MATCH(ROWS($W$2:W748),$W$2:$W$1001,0),0), INDEX($AD$1004:$AU$1004,1,MATCH(COLUMNS($AD$1006:AK1006),$AD$1006:$AU$1006,0)))),"Fix")))</f>
        <v xml:space="preserve"> </v>
      </c>
      <c r="J748" s="4" t="str">
        <f ca="1">IF(OR(INDEX($X$2:$X$1001,MATCH(ROWS($W$2:W748),$W$2:$W$1001,0),1)&gt;=100000,INDEX($AD$1005:$AU$1005,1,MATCH(COLUMNS($AD$1006:AL1006),$AD$1006:$AU$1006,0))&gt;=100000), " ",IF(INDEX($AD$2:$AU$1001,MATCH(ROWS($W$2:W748),$W$2:$W$1001,0),MATCH(COLUMNS($AD$1006:AL1006),$AD$1006:$AU$1006,0)), HYPERLINK("#",""), HYPERLINK(CONCATENATE("#metadata!", ADDRESS(INDEX($Y$2:$Y$1001,MATCH(ROWS($W$2:W748),$W$2:$W$1001,0),0), INDEX($AD$1004:$AU$1004,1,MATCH(COLUMNS($AD$1006:AL1006),$AD$1006:$AU$1006,0)))),"Fix")))</f>
        <v xml:space="preserve"> </v>
      </c>
      <c r="K748" s="4" t="str">
        <f ca="1">IF(OR(INDEX($X$2:$X$1001,MATCH(ROWS($W$2:W748),$W$2:$W$1001,0),1)&gt;=100000,INDEX($AD$1005:$AU$1005,1,MATCH(COLUMNS($AD$1006:AM1006),$AD$1006:$AU$1006,0))&gt;=100000), " ",IF(INDEX($AD$2:$AU$1001,MATCH(ROWS($W$2:W748),$W$2:$W$1001,0),MATCH(COLUMNS($AD$1006:AM1006),$AD$1006:$AU$1006,0)), HYPERLINK("#",""), HYPERLINK(CONCATENATE("#metadata!", ADDRESS(INDEX($Y$2:$Y$1001,MATCH(ROWS($W$2:W748),$W$2:$W$1001,0),0), INDEX($AD$1004:$AU$1004,1,MATCH(COLUMNS($AD$1006:AM1006),$AD$1006:$AU$1006,0)))),"Fix")))</f>
        <v xml:space="preserve"> </v>
      </c>
      <c r="L748" s="4" t="str">
        <f ca="1">IF(OR(INDEX($X$2:$X$1001,MATCH(ROWS($W$2:W748),$W$2:$W$1001,0),1)&gt;=100000,INDEX($AD$1005:$AU$1005,1,MATCH(COLUMNS($AD$1006:AN1006),$AD$1006:$AU$1006,0))&gt;=100000), " ",IF(INDEX($AD$2:$AU$1001,MATCH(ROWS($W$2:W748),$W$2:$W$1001,0),MATCH(COLUMNS($AD$1006:AN1006),$AD$1006:$AU$1006,0)), HYPERLINK("#",""), HYPERLINK(CONCATENATE("#metadata!", ADDRESS(INDEX($Y$2:$Y$1001,MATCH(ROWS($W$2:W748),$W$2:$W$1001,0),0), INDEX($AD$1004:$AU$1004,1,MATCH(COLUMNS($AD$1006:AN1006),$AD$1006:$AU$1006,0)))),"Fix")))</f>
        <v xml:space="preserve"> </v>
      </c>
      <c r="M748" s="4" t="str">
        <f ca="1">IF(OR(INDEX($X$2:$X$1001,MATCH(ROWS($W$2:W748),$W$2:$W$1001,0),1)&gt;=100000,INDEX($AD$1005:$AU$1005,1,MATCH(COLUMNS($AD$1006:AO1006),$AD$1006:$AU$1006,0))&gt;=100000), " ",IF(INDEX($AD$2:$AU$1001,MATCH(ROWS($W$2:W748),$W$2:$W$1001,0),MATCH(COLUMNS($AD$1006:AO1006),$AD$1006:$AU$1006,0)), HYPERLINK("#",""), HYPERLINK(CONCATENATE("#metadata!", ADDRESS(INDEX($Y$2:$Y$1001,MATCH(ROWS($W$2:W748),$W$2:$W$1001,0),0), INDEX($AD$1004:$AU$1004,1,MATCH(COLUMNS($AD$1006:AO1006),$AD$1006:$AU$1006,0)))),"Fix")))</f>
        <v xml:space="preserve"> </v>
      </c>
      <c r="N748" s="4" t="str">
        <f ca="1">IF(OR(INDEX($X$2:$X$1001,MATCH(ROWS($W$2:W748),$W$2:$W$1001,0),1)&gt;=100000,INDEX($AD$1005:$AU$1005,1,MATCH(COLUMNS($AD$1006:AP1006),$AD$1006:$AU$1006,0))&gt;=100000), " ",IF(INDEX($AD$2:$AU$1001,MATCH(ROWS($W$2:W748),$W$2:$W$1001,0),MATCH(COLUMNS($AD$1006:AP1006),$AD$1006:$AU$1006,0)), HYPERLINK("#",""), HYPERLINK(CONCATENATE("#metadata!", ADDRESS(INDEX($Y$2:$Y$1001,MATCH(ROWS($W$2:W748),$W$2:$W$1001,0),0), INDEX($AD$1004:$AU$1004,1,MATCH(COLUMNS($AD$1006:AP1006),$AD$1006:$AU$1006,0)))),"Fix")))</f>
        <v xml:space="preserve"> </v>
      </c>
      <c r="O748" s="4" t="str">
        <f ca="1">IF(OR(INDEX($X$2:$X$1001,MATCH(ROWS($W$2:W748),$W$2:$W$1001,0),1)&gt;=100000,INDEX($AD$1005:$AU$1005,1,MATCH(COLUMNS($AD$1006:AQ1006),$AD$1006:$AU$1006,0))&gt;=100000), " ",IF(INDEX($AD$2:$AU$1001,MATCH(ROWS($W$2:W748),$W$2:$W$1001,0),MATCH(COLUMNS($AD$1006:AQ1006),$AD$1006:$AU$1006,0)), HYPERLINK("#",""), HYPERLINK(CONCATENATE("#metadata!", ADDRESS(INDEX($Y$2:$Y$1001,MATCH(ROWS($W$2:W748),$W$2:$W$1001,0),0), INDEX($AD$1004:$AU$1004,1,MATCH(COLUMNS($AD$1006:AQ1006),$AD$1006:$AU$1006,0)))),"Fix")))</f>
        <v xml:space="preserve"> </v>
      </c>
      <c r="P748" s="4" t="str">
        <f ca="1">IF(OR(INDEX($X$2:$X$1001,MATCH(ROWS($W$2:W748),$W$2:$W$1001,0),1)&gt;=100000,INDEX($AD$1005:$AU$1005,1,MATCH(COLUMNS($AD$1006:AR1006),$AD$1006:$AU$1006,0))&gt;=100000), " ",IF(INDEX($AD$2:$AU$1001,MATCH(ROWS($W$2:W748),$W$2:$W$1001,0),MATCH(COLUMNS($AD$1006:AR1006),$AD$1006:$AU$1006,0)), HYPERLINK("#",""), HYPERLINK(CONCATENATE("#metadata!", ADDRESS(INDEX($Y$2:$Y$1001,MATCH(ROWS($W$2:W748),$W$2:$W$1001,0),0), INDEX($AD$1004:$AU$1004,1,MATCH(COLUMNS($AD$1006:AR1006),$AD$1006:$AU$1006,0)))),"Fix")))</f>
        <v xml:space="preserve"> </v>
      </c>
      <c r="Q748" s="4" t="str">
        <f ca="1">IF(OR(INDEX($X$2:$X$1001,MATCH(ROWS($W$2:W748),$W$2:$W$1001,0),1)&gt;=100000,INDEX($AD$1005:$AU$1005,1,MATCH(COLUMNS($AD$1006:AS1006),$AD$1006:$AU$1006,0))&gt;=100000), " ",IF(INDEX($AD$2:$AU$1001,MATCH(ROWS($W$2:W748),$W$2:$W$1001,0),MATCH(COLUMNS($AD$1006:AS1006),$AD$1006:$AU$1006,0)), HYPERLINK("#",""), HYPERLINK(CONCATENATE("#metadata!", ADDRESS(INDEX($Y$2:$Y$1001,MATCH(ROWS($W$2:W748),$W$2:$W$1001,0),0), INDEX($AD$1004:$AU$1004,1,MATCH(COLUMNS($AD$1006:AS1006),$AD$1006:$AU$1006,0)))),"Fix")))</f>
        <v xml:space="preserve"> </v>
      </c>
      <c r="R748" s="4" t="str">
        <f ca="1">IF(OR(INDEX($X$2:$X$1001,MATCH(ROWS($W$2:W748),$W$2:$W$1001,0),1)&gt;=100000,INDEX($AD$1005:$AU$1005,1,MATCH(COLUMNS($AD$1006:AT1006),$AD$1006:$AU$1006,0))&gt;=100000), " ",IF(INDEX($AD$2:$AU$1001,MATCH(ROWS($W$2:W748),$W$2:$W$1001,0),MATCH(COLUMNS($AD$1006:AT1006),$AD$1006:$AU$1006,0)), HYPERLINK("#",""), HYPERLINK(CONCATENATE("#metadata!", ADDRESS(INDEX($Y$2:$Y$1001,MATCH(ROWS($W$2:W748),$W$2:$W$1001,0),0), INDEX($AD$1004:$AU$1004,1,MATCH(COLUMNS($AD$1006:AT1006),$AD$1006:$AU$1006,0)))),"Fix")))</f>
        <v xml:space="preserve"> </v>
      </c>
      <c r="S748" s="4" t="str">
        <f ca="1">IF(OR(INDEX($X$2:$X$1001,MATCH(ROWS($W$2:W748),$W$2:$W$1001,0),1)&gt;=100000,INDEX($AD$1005:$AU$1005,1,MATCH(COLUMNS($AD$1006:AU1006),$AD$1006:$AU$1006,0))&gt;=100000), " ",IF(INDEX($AD$2:$AU$1001,MATCH(ROWS($W$2:W748),$W$2:$W$1001,0),MATCH(COLUMNS($AD$1006:AU1006),$AD$1006:$AU$1006,0)), HYPERLINK("#",""), HYPERLINK(CONCATENATE("#metadata!", ADDRESS(INDEX($Y$2:$Y$1001,MATCH(ROWS($W$2:W748),$W$2:$W$1001,0),0), INDEX($AD$1004:$AU$1004,1,MATCH(COLUMNS($AD$1006:AU1006),$AD$1006:$AU$1006,0)))),"Fix")))</f>
        <v xml:space="preserve"> </v>
      </c>
      <c r="W748">
        <v>747</v>
      </c>
      <c r="X748">
        <v>100748</v>
      </c>
      <c r="Y748">
        <v>748</v>
      </c>
      <c r="Z748" t="b">
        <f t="shared" si="11"/>
        <v>1</v>
      </c>
      <c r="AA748" t="b">
        <f>COUNTBLANK(metadata!B748:S748)=COLUMNS(metadata!B748:S748)</f>
        <v>1</v>
      </c>
      <c r="AB748" t="str">
        <v/>
      </c>
      <c r="AD748" t="b">
        <f ca="1">AND(IF(metadata!B748="",FALSE,TRUE),COUNTIF(metadata!B:B, metadata!B748) = 1,NOT(ISERROR(SUMPRODUCT(SEARCH(MID(metadata!B748,ROW(INDIRECT("1:"&amp;LEN(metadata!B748))), 1),"0123456789abcdefghijklmnopqrstuvwxyzABCDEFGHIJKLMNOPQRSTUVWXYZ.")))))</f>
        <v>0</v>
      </c>
      <c r="AE748" t="b">
        <f>OR(AND(IF(metadata!C748="",FALSE,TRUE),OR(EXACT(metadata!C748,"not applicable"),EXACT(metadata!C748,"missing: not collected"),EXACT(metadata!C748,"missing: not provided"),EXACT(metadata!C748,"missing: restricted access"))),AND(IF(metadata!C748="",FALSE,ISNUMBER(VALUE(metadata!C748))),metadata!C748&gt;0))</f>
        <v>0</v>
      </c>
      <c r="AF748" t="b">
        <f>AND(IF(metadata!D748="",FALSE,TRUE),EXACT(metadata!D748,"missing: not provided"))</f>
        <v>0</v>
      </c>
      <c r="AG748" t="b">
        <f>AND(IF(metadata!E748="",FALSE,TRUE),EXACT(metadata!E748,"Host-associated"))</f>
        <v>0</v>
      </c>
      <c r="AH748" t="b">
        <f>AND(IF(metadata!F748="",FALSE,TRUE),OR(EXACT(metadata!F748,"Animal"),EXACT(metadata!F748,"Fungus"),EXACT(metadata!F748,"Plant")))</f>
        <v>0</v>
      </c>
      <c r="AI748" t="b">
        <f>AND(IF(metadata!G748="",FALSE,TRUE),OR(EXACT(metadata!G748,"Plant secretion"),EXACT(metadata!G748,"Plant rhizosphere"),EXACT(metadata!G748,"Plant surface"),EXACT(metadata!G748,"Plant corpus"),EXACT(metadata!G748,"Fungus surface"),EXACT(metadata!G748,"Fungus corpus"),EXACT(metadata!G748,"Animal surface"),EXACT(metadata!G748,"Animal proximal gut"),EXACT(metadata!G748,"Animal corpus"),EXACT(metadata!G748,"Animal distal gut"),EXACT(metadata!G748,"Animal secretion")))</f>
        <v>0</v>
      </c>
      <c r="AJ748" t="b">
        <f>OR(AND(IF(metadata!H748="",FALSE,TRUE),OR(EXACT(metadata!H748,"missing: not collected"),EXACT(metadata!H748,"missing: not provided"),EXACT(metadata!H748,"missing: restricted access"))),AND(IF(metadata!H748="",FALSE,TRUE),OR(EXACT(metadata!H748,"organism-associated habitat"),EXACT(metadata!H748,"plant-associated habitat"),EXACT(metadata!H748,"animal-associated habitat"),EXACT(metadata!H748,"insecta-associated habitat"),EXACT(metadata!H748,"mammalia-associated habitat"),EXACT(metadata!H748,"human-associated habitat"),EXACT(metadata!H748,"livestock-associated habitat"))))</f>
        <v>0</v>
      </c>
      <c r="AK748" t="b">
        <f>AND(IF(metadata!I748="",FALSE,TRUE),EXACT(metadata!I748,"host-associated"))</f>
        <v>0</v>
      </c>
      <c r="AL748" t="b">
        <f>OR(AND(IF(metadata!J748="",FALSE,TRUE),OR(EXACT(metadata!J748,"not applicable"),EXACT(metadata!J748,"missing: not collected"),EXACT(metadata!J748,"missing: not provided"),EXACT(metadata!J748,"missing: restricted access"))),AND(IF(metadata!J748="",FALSE,ISNUMBER(VALUE(metadata!J748))),metadata!J748&gt;0))</f>
        <v>0</v>
      </c>
      <c r="AM748" t="b">
        <f>AND(IF(metadata!K748="",FALSE,TRUE),EXACT(metadata!K748,"missing: not provided"))</f>
        <v>0</v>
      </c>
      <c r="AN748" t="b">
        <f>IF(metadata!L748="",FALSE,TRUE)</f>
        <v>0</v>
      </c>
      <c r="AO748" t="b">
        <f>IF(metadata!M748="",FALSE,TRUE)</f>
        <v>0</v>
      </c>
      <c r="AP748" t="b">
        <f>OR(AND(IF(metadata!N748="",FALSE,TRUE),OR(EXACT(metadata!N748,"not applicable"),EXACT(metadata!N748,"missing: not collected"),EXACT(metadata!N748,"missing: not provided"))),AND(IF(metadata!N748="",FALSE,IF(ISERROR(INT(metadata!N748)),FALSE,INT(metadata!N748)=metadata!N748)),metadata!N748&gt;0))</f>
        <v>0</v>
      </c>
      <c r="AQ748" t="b">
        <f>AND(IF(metadata!O748="",FALSE,TRUE),EXACT(metadata!O748,"Not applicable"))</f>
        <v>0</v>
      </c>
      <c r="AR748" t="b">
        <f>OR(AND(IF(metadata!P748="",FALSE,TRUE),OR(EXACT(metadata!P748,"not applicable"),EXACT(metadata!P748,"missing: not collected"),EXACT(metadata!P748,"missing: not provided"),EXACT(metadata!P748,"missing: restricted access"))),IF(metadata!P748="",FALSE,IF(ISERROR(INT(metadata!P748)),FALSE,INT(metadata!P748)=metadata!P748)))</f>
        <v>0</v>
      </c>
      <c r="AS748" t="b">
        <f>AND(IF(metadata!Q748="",FALSE,TRUE),EXACT(metadata!Q748,"Not applicable"))</f>
        <v>0</v>
      </c>
      <c r="AT748" t="b">
        <f>OR(AND(IF(metadata!R748="",FALSE,TRUE),OR(EXACT(metadata!R748,"not applicable"),EXACT(metadata!R748,"missing: not collected"),EXACT(metadata!R748,"missing: not provided"),EXACT(metadata!R748,"missing: restricted access"))),AND(IF(metadata!R748="",FALSE,ISNUMBER(VALUE(metadata!R748))),metadata!R748&gt;0))</f>
        <v>0</v>
      </c>
      <c r="AU748" t="b">
        <f>AND(IF(metadata!S748="",FALSE,TRUE),EXACT(metadata!S748,"missing: not provided"))</f>
        <v>0</v>
      </c>
    </row>
    <row r="749" spans="1:47" x14ac:dyDescent="0.2">
      <c r="A749" s="5" t="str">
        <f ca="1">IF(B749=" "," ",HYPERLINK(CONCATENATE("#metadata!",ADDRESS(INDEX($Y$2:$Y$1001,MATCH(ROWS($W$2:W749),$W$2:$W$1001,0),0),1)),INDEX($AB$2:$AB$1001,MATCH(ROWS($W$2:W749),$W$2:$W$1001,0),0)))</f>
        <v xml:space="preserve"> </v>
      </c>
      <c r="B749" s="4" t="str">
        <f ca="1">IF(OR(INDEX($X$2:$X$1001,MATCH(ROWS($W$2:W749),$W$2:$W$1001,0),1)&gt;=100000,INDEX($AD$1005:$AU$1005,1,MATCH(COLUMNS($AD$1006:AD1006),$AD$1006:$AU$1006,0))&gt;=100000), " ",IF(INDEX($AD$2:$AU$1001,MATCH(ROWS($W$2:W749),$W$2:$W$1001,0),MATCH(COLUMNS($AD$1006:AD1006),$AD$1006:$AU$1006,0)), HYPERLINK("#",""), HYPERLINK(CONCATENATE("#metadata!", ADDRESS(INDEX($Y$2:$Y$1001,MATCH(ROWS($W$2:W749),$W$2:$W$1001,0),0), INDEX($AD$1004:$AU$1004,1,MATCH(COLUMNS($AD$1006:AD1006),$AD$1006:$AU$1006,0)))),"Fix")))</f>
        <v xml:space="preserve"> </v>
      </c>
      <c r="C749" s="4" t="str">
        <f ca="1">IF(OR(INDEX($X$2:$X$1001,MATCH(ROWS($W$2:W749),$W$2:$W$1001,0),1)&gt;=100000,INDEX($AD$1005:$AU$1005,1,MATCH(COLUMNS($AD$1006:AE1006),$AD$1006:$AU$1006,0))&gt;=100000), " ",IF(INDEX($AD$2:$AU$1001,MATCH(ROWS($W$2:W749),$W$2:$W$1001,0),MATCH(COLUMNS($AD$1006:AE1006),$AD$1006:$AU$1006,0)), HYPERLINK("#",""), HYPERLINK(CONCATENATE("#metadata!", ADDRESS(INDEX($Y$2:$Y$1001,MATCH(ROWS($W$2:W749),$W$2:$W$1001,0),0), INDEX($AD$1004:$AU$1004,1,MATCH(COLUMNS($AD$1006:AE1006),$AD$1006:$AU$1006,0)))),"Fix")))</f>
        <v xml:space="preserve"> </v>
      </c>
      <c r="D749" s="4" t="str">
        <f ca="1">IF(OR(INDEX($X$2:$X$1001,MATCH(ROWS($W$2:W749),$W$2:$W$1001,0),1)&gt;=100000,INDEX($AD$1005:$AU$1005,1,MATCH(COLUMNS($AD$1006:AF1006),$AD$1006:$AU$1006,0))&gt;=100000), " ",IF(INDEX($AD$2:$AU$1001,MATCH(ROWS($W$2:W749),$W$2:$W$1001,0),MATCH(COLUMNS($AD$1006:AF1006),$AD$1006:$AU$1006,0)), HYPERLINK("#",""), HYPERLINK(CONCATENATE("#metadata!", ADDRESS(INDEX($Y$2:$Y$1001,MATCH(ROWS($W$2:W749),$W$2:$W$1001,0),0), INDEX($AD$1004:$AU$1004,1,MATCH(COLUMNS($AD$1006:AF1006),$AD$1006:$AU$1006,0)))),"Fix")))</f>
        <v xml:space="preserve"> </v>
      </c>
      <c r="E749" s="4" t="str">
        <f ca="1">IF(OR(INDEX($X$2:$X$1001,MATCH(ROWS($W$2:W749),$W$2:$W$1001,0),1)&gt;=100000,INDEX($AD$1005:$AU$1005,1,MATCH(COLUMNS($AD$1006:AG1006),$AD$1006:$AU$1006,0))&gt;=100000), " ",IF(INDEX($AD$2:$AU$1001,MATCH(ROWS($W$2:W749),$W$2:$W$1001,0),MATCH(COLUMNS($AD$1006:AG1006),$AD$1006:$AU$1006,0)), HYPERLINK("#",""), HYPERLINK(CONCATENATE("#metadata!", ADDRESS(INDEX($Y$2:$Y$1001,MATCH(ROWS($W$2:W749),$W$2:$W$1001,0),0), INDEX($AD$1004:$AU$1004,1,MATCH(COLUMNS($AD$1006:AG1006),$AD$1006:$AU$1006,0)))),"Fix")))</f>
        <v xml:space="preserve"> </v>
      </c>
      <c r="F749" s="4" t="str">
        <f ca="1">IF(OR(INDEX($X$2:$X$1001,MATCH(ROWS($W$2:W749),$W$2:$W$1001,0),1)&gt;=100000,INDEX($AD$1005:$AU$1005,1,MATCH(COLUMNS($AD$1006:AH1006),$AD$1006:$AU$1006,0))&gt;=100000), " ",IF(INDEX($AD$2:$AU$1001,MATCH(ROWS($W$2:W749),$W$2:$W$1001,0),MATCH(COLUMNS($AD$1006:AH1006),$AD$1006:$AU$1006,0)), HYPERLINK("#",""), HYPERLINK(CONCATENATE("#metadata!", ADDRESS(INDEX($Y$2:$Y$1001,MATCH(ROWS($W$2:W749),$W$2:$W$1001,0),0), INDEX($AD$1004:$AU$1004,1,MATCH(COLUMNS($AD$1006:AH1006),$AD$1006:$AU$1006,0)))),"Fix")))</f>
        <v xml:space="preserve"> </v>
      </c>
      <c r="G749" s="4" t="str">
        <f ca="1">IF(OR(INDEX($X$2:$X$1001,MATCH(ROWS($W$2:W749),$W$2:$W$1001,0),1)&gt;=100000,INDEX($AD$1005:$AU$1005,1,MATCH(COLUMNS($AD$1006:AI1006),$AD$1006:$AU$1006,0))&gt;=100000), " ",IF(INDEX($AD$2:$AU$1001,MATCH(ROWS($W$2:W749),$W$2:$W$1001,0),MATCH(COLUMNS($AD$1006:AI1006),$AD$1006:$AU$1006,0)), HYPERLINK("#",""), HYPERLINK(CONCATENATE("#metadata!", ADDRESS(INDEX($Y$2:$Y$1001,MATCH(ROWS($W$2:W749),$W$2:$W$1001,0),0), INDEX($AD$1004:$AU$1004,1,MATCH(COLUMNS($AD$1006:AI1006),$AD$1006:$AU$1006,0)))),"Fix")))</f>
        <v xml:space="preserve"> </v>
      </c>
      <c r="H749" s="4" t="str">
        <f ca="1">IF(OR(INDEX($X$2:$X$1001,MATCH(ROWS($W$2:W749),$W$2:$W$1001,0),1)&gt;=100000,INDEX($AD$1005:$AU$1005,1,MATCH(COLUMNS($AD$1006:AJ1006),$AD$1006:$AU$1006,0))&gt;=100000), " ",IF(INDEX($AD$2:$AU$1001,MATCH(ROWS($W$2:W749),$W$2:$W$1001,0),MATCH(COLUMNS($AD$1006:AJ1006),$AD$1006:$AU$1006,0)), HYPERLINK("#",""), HYPERLINK(CONCATENATE("#metadata!", ADDRESS(INDEX($Y$2:$Y$1001,MATCH(ROWS($W$2:W749),$W$2:$W$1001,0),0), INDEX($AD$1004:$AU$1004,1,MATCH(COLUMNS($AD$1006:AJ1006),$AD$1006:$AU$1006,0)))),"Fix")))</f>
        <v xml:space="preserve"> </v>
      </c>
      <c r="I749" s="4" t="str">
        <f ca="1">IF(OR(INDEX($X$2:$X$1001,MATCH(ROWS($W$2:W749),$W$2:$W$1001,0),1)&gt;=100000,INDEX($AD$1005:$AU$1005,1,MATCH(COLUMNS($AD$1006:AK1006),$AD$1006:$AU$1006,0))&gt;=100000), " ",IF(INDEX($AD$2:$AU$1001,MATCH(ROWS($W$2:W749),$W$2:$W$1001,0),MATCH(COLUMNS($AD$1006:AK1006),$AD$1006:$AU$1006,0)), HYPERLINK("#",""), HYPERLINK(CONCATENATE("#metadata!", ADDRESS(INDEX($Y$2:$Y$1001,MATCH(ROWS($W$2:W749),$W$2:$W$1001,0),0), INDEX($AD$1004:$AU$1004,1,MATCH(COLUMNS($AD$1006:AK1006),$AD$1006:$AU$1006,0)))),"Fix")))</f>
        <v xml:space="preserve"> </v>
      </c>
      <c r="J749" s="4" t="str">
        <f ca="1">IF(OR(INDEX($X$2:$X$1001,MATCH(ROWS($W$2:W749),$W$2:$W$1001,0),1)&gt;=100000,INDEX($AD$1005:$AU$1005,1,MATCH(COLUMNS($AD$1006:AL1006),$AD$1006:$AU$1006,0))&gt;=100000), " ",IF(INDEX($AD$2:$AU$1001,MATCH(ROWS($W$2:W749),$W$2:$W$1001,0),MATCH(COLUMNS($AD$1006:AL1006),$AD$1006:$AU$1006,0)), HYPERLINK("#",""), HYPERLINK(CONCATENATE("#metadata!", ADDRESS(INDEX($Y$2:$Y$1001,MATCH(ROWS($W$2:W749),$W$2:$W$1001,0),0), INDEX($AD$1004:$AU$1004,1,MATCH(COLUMNS($AD$1006:AL1006),$AD$1006:$AU$1006,0)))),"Fix")))</f>
        <v xml:space="preserve"> </v>
      </c>
      <c r="K749" s="4" t="str">
        <f ca="1">IF(OR(INDEX($X$2:$X$1001,MATCH(ROWS($W$2:W749),$W$2:$W$1001,0),1)&gt;=100000,INDEX($AD$1005:$AU$1005,1,MATCH(COLUMNS($AD$1006:AM1006),$AD$1006:$AU$1006,0))&gt;=100000), " ",IF(INDEX($AD$2:$AU$1001,MATCH(ROWS($W$2:W749),$W$2:$W$1001,0),MATCH(COLUMNS($AD$1006:AM1006),$AD$1006:$AU$1006,0)), HYPERLINK("#",""), HYPERLINK(CONCATENATE("#metadata!", ADDRESS(INDEX($Y$2:$Y$1001,MATCH(ROWS($W$2:W749),$W$2:$W$1001,0),0), INDEX($AD$1004:$AU$1004,1,MATCH(COLUMNS($AD$1006:AM1006),$AD$1006:$AU$1006,0)))),"Fix")))</f>
        <v xml:space="preserve"> </v>
      </c>
      <c r="L749" s="4" t="str">
        <f ca="1">IF(OR(INDEX($X$2:$X$1001,MATCH(ROWS($W$2:W749),$W$2:$W$1001,0),1)&gt;=100000,INDEX($AD$1005:$AU$1005,1,MATCH(COLUMNS($AD$1006:AN1006),$AD$1006:$AU$1006,0))&gt;=100000), " ",IF(INDEX($AD$2:$AU$1001,MATCH(ROWS($W$2:W749),$W$2:$W$1001,0),MATCH(COLUMNS($AD$1006:AN1006),$AD$1006:$AU$1006,0)), HYPERLINK("#",""), HYPERLINK(CONCATENATE("#metadata!", ADDRESS(INDEX($Y$2:$Y$1001,MATCH(ROWS($W$2:W749),$W$2:$W$1001,0),0), INDEX($AD$1004:$AU$1004,1,MATCH(COLUMNS($AD$1006:AN1006),$AD$1006:$AU$1006,0)))),"Fix")))</f>
        <v xml:space="preserve"> </v>
      </c>
      <c r="M749" s="4" t="str">
        <f ca="1">IF(OR(INDEX($X$2:$X$1001,MATCH(ROWS($W$2:W749),$W$2:$W$1001,0),1)&gt;=100000,INDEX($AD$1005:$AU$1005,1,MATCH(COLUMNS($AD$1006:AO1006),$AD$1006:$AU$1006,0))&gt;=100000), " ",IF(INDEX($AD$2:$AU$1001,MATCH(ROWS($W$2:W749),$W$2:$W$1001,0),MATCH(COLUMNS($AD$1006:AO1006),$AD$1006:$AU$1006,0)), HYPERLINK("#",""), HYPERLINK(CONCATENATE("#metadata!", ADDRESS(INDEX($Y$2:$Y$1001,MATCH(ROWS($W$2:W749),$W$2:$W$1001,0),0), INDEX($AD$1004:$AU$1004,1,MATCH(COLUMNS($AD$1006:AO1006),$AD$1006:$AU$1006,0)))),"Fix")))</f>
        <v xml:space="preserve"> </v>
      </c>
      <c r="N749" s="4" t="str">
        <f ca="1">IF(OR(INDEX($X$2:$X$1001,MATCH(ROWS($W$2:W749),$W$2:$W$1001,0),1)&gt;=100000,INDEX($AD$1005:$AU$1005,1,MATCH(COLUMNS($AD$1006:AP1006),$AD$1006:$AU$1006,0))&gt;=100000), " ",IF(INDEX($AD$2:$AU$1001,MATCH(ROWS($W$2:W749),$W$2:$W$1001,0),MATCH(COLUMNS($AD$1006:AP1006),$AD$1006:$AU$1006,0)), HYPERLINK("#",""), HYPERLINK(CONCATENATE("#metadata!", ADDRESS(INDEX($Y$2:$Y$1001,MATCH(ROWS($W$2:W749),$W$2:$W$1001,0),0), INDEX($AD$1004:$AU$1004,1,MATCH(COLUMNS($AD$1006:AP1006),$AD$1006:$AU$1006,0)))),"Fix")))</f>
        <v xml:space="preserve"> </v>
      </c>
      <c r="O749" s="4" t="str">
        <f ca="1">IF(OR(INDEX($X$2:$X$1001,MATCH(ROWS($W$2:W749),$W$2:$W$1001,0),1)&gt;=100000,INDEX($AD$1005:$AU$1005,1,MATCH(COLUMNS($AD$1006:AQ1006),$AD$1006:$AU$1006,0))&gt;=100000), " ",IF(INDEX($AD$2:$AU$1001,MATCH(ROWS($W$2:W749),$W$2:$W$1001,0),MATCH(COLUMNS($AD$1006:AQ1006),$AD$1006:$AU$1006,0)), HYPERLINK("#",""), HYPERLINK(CONCATENATE("#metadata!", ADDRESS(INDEX($Y$2:$Y$1001,MATCH(ROWS($W$2:W749),$W$2:$W$1001,0),0), INDEX($AD$1004:$AU$1004,1,MATCH(COLUMNS($AD$1006:AQ1006),$AD$1006:$AU$1006,0)))),"Fix")))</f>
        <v xml:space="preserve"> </v>
      </c>
      <c r="P749" s="4" t="str">
        <f ca="1">IF(OR(INDEX($X$2:$X$1001,MATCH(ROWS($W$2:W749),$W$2:$W$1001,0),1)&gt;=100000,INDEX($AD$1005:$AU$1005,1,MATCH(COLUMNS($AD$1006:AR1006),$AD$1006:$AU$1006,0))&gt;=100000), " ",IF(INDEX($AD$2:$AU$1001,MATCH(ROWS($W$2:W749),$W$2:$W$1001,0),MATCH(COLUMNS($AD$1006:AR1006),$AD$1006:$AU$1006,0)), HYPERLINK("#",""), HYPERLINK(CONCATENATE("#metadata!", ADDRESS(INDEX($Y$2:$Y$1001,MATCH(ROWS($W$2:W749),$W$2:$W$1001,0),0), INDEX($AD$1004:$AU$1004,1,MATCH(COLUMNS($AD$1006:AR1006),$AD$1006:$AU$1006,0)))),"Fix")))</f>
        <v xml:space="preserve"> </v>
      </c>
      <c r="Q749" s="4" t="str">
        <f ca="1">IF(OR(INDEX($X$2:$X$1001,MATCH(ROWS($W$2:W749),$W$2:$W$1001,0),1)&gt;=100000,INDEX($AD$1005:$AU$1005,1,MATCH(COLUMNS($AD$1006:AS1006),$AD$1006:$AU$1006,0))&gt;=100000), " ",IF(INDEX($AD$2:$AU$1001,MATCH(ROWS($W$2:W749),$W$2:$W$1001,0),MATCH(COLUMNS($AD$1006:AS1006),$AD$1006:$AU$1006,0)), HYPERLINK("#",""), HYPERLINK(CONCATENATE("#metadata!", ADDRESS(INDEX($Y$2:$Y$1001,MATCH(ROWS($W$2:W749),$W$2:$W$1001,0),0), INDEX($AD$1004:$AU$1004,1,MATCH(COLUMNS($AD$1006:AS1006),$AD$1006:$AU$1006,0)))),"Fix")))</f>
        <v xml:space="preserve"> </v>
      </c>
      <c r="R749" s="4" t="str">
        <f ca="1">IF(OR(INDEX($X$2:$X$1001,MATCH(ROWS($W$2:W749),$W$2:$W$1001,0),1)&gt;=100000,INDEX($AD$1005:$AU$1005,1,MATCH(COLUMNS($AD$1006:AT1006),$AD$1006:$AU$1006,0))&gt;=100000), " ",IF(INDEX($AD$2:$AU$1001,MATCH(ROWS($W$2:W749),$W$2:$W$1001,0),MATCH(COLUMNS($AD$1006:AT1006),$AD$1006:$AU$1006,0)), HYPERLINK("#",""), HYPERLINK(CONCATENATE("#metadata!", ADDRESS(INDEX($Y$2:$Y$1001,MATCH(ROWS($W$2:W749),$W$2:$W$1001,0),0), INDEX($AD$1004:$AU$1004,1,MATCH(COLUMNS($AD$1006:AT1006),$AD$1006:$AU$1006,0)))),"Fix")))</f>
        <v xml:space="preserve"> </v>
      </c>
      <c r="S749" s="4" t="str">
        <f ca="1">IF(OR(INDEX($X$2:$X$1001,MATCH(ROWS($W$2:W749),$W$2:$W$1001,0),1)&gt;=100000,INDEX($AD$1005:$AU$1005,1,MATCH(COLUMNS($AD$1006:AU1006),$AD$1006:$AU$1006,0))&gt;=100000), " ",IF(INDEX($AD$2:$AU$1001,MATCH(ROWS($W$2:W749),$W$2:$W$1001,0),MATCH(COLUMNS($AD$1006:AU1006),$AD$1006:$AU$1006,0)), HYPERLINK("#",""), HYPERLINK(CONCATENATE("#metadata!", ADDRESS(INDEX($Y$2:$Y$1001,MATCH(ROWS($W$2:W749),$W$2:$W$1001,0),0), INDEX($AD$1004:$AU$1004,1,MATCH(COLUMNS($AD$1006:AU1006),$AD$1006:$AU$1006,0)))),"Fix")))</f>
        <v xml:space="preserve"> </v>
      </c>
      <c r="W749">
        <v>748</v>
      </c>
      <c r="X749">
        <v>100749</v>
      </c>
      <c r="Y749">
        <v>749</v>
      </c>
      <c r="Z749" t="b">
        <f t="shared" si="11"/>
        <v>1</v>
      </c>
      <c r="AA749" t="b">
        <f>COUNTBLANK(metadata!B749:S749)=COLUMNS(metadata!B749:S749)</f>
        <v>1</v>
      </c>
      <c r="AB749" t="str">
        <v/>
      </c>
      <c r="AD749" t="b">
        <f ca="1">AND(IF(metadata!B749="",FALSE,TRUE),COUNTIF(metadata!B:B, metadata!B749) = 1,NOT(ISERROR(SUMPRODUCT(SEARCH(MID(metadata!B749,ROW(INDIRECT("1:"&amp;LEN(metadata!B749))), 1),"0123456789abcdefghijklmnopqrstuvwxyzABCDEFGHIJKLMNOPQRSTUVWXYZ.")))))</f>
        <v>0</v>
      </c>
      <c r="AE749" t="b">
        <f>OR(AND(IF(metadata!C749="",FALSE,TRUE),OR(EXACT(metadata!C749,"not applicable"),EXACT(metadata!C749,"missing: not collected"),EXACT(metadata!C749,"missing: not provided"),EXACT(metadata!C749,"missing: restricted access"))),AND(IF(metadata!C749="",FALSE,ISNUMBER(VALUE(metadata!C749))),metadata!C749&gt;0))</f>
        <v>0</v>
      </c>
      <c r="AF749" t="b">
        <f>AND(IF(metadata!D749="",FALSE,TRUE),EXACT(metadata!D749,"missing: not provided"))</f>
        <v>0</v>
      </c>
      <c r="AG749" t="b">
        <f>AND(IF(metadata!E749="",FALSE,TRUE),EXACT(metadata!E749,"Host-associated"))</f>
        <v>0</v>
      </c>
      <c r="AH749" t="b">
        <f>AND(IF(metadata!F749="",FALSE,TRUE),OR(EXACT(metadata!F749,"Animal"),EXACT(metadata!F749,"Fungus"),EXACT(metadata!F749,"Plant")))</f>
        <v>0</v>
      </c>
      <c r="AI749" t="b">
        <f>AND(IF(metadata!G749="",FALSE,TRUE),OR(EXACT(metadata!G749,"Plant secretion"),EXACT(metadata!G749,"Plant rhizosphere"),EXACT(metadata!G749,"Plant surface"),EXACT(metadata!G749,"Plant corpus"),EXACT(metadata!G749,"Fungus surface"),EXACT(metadata!G749,"Fungus corpus"),EXACT(metadata!G749,"Animal surface"),EXACT(metadata!G749,"Animal proximal gut"),EXACT(metadata!G749,"Animal corpus"),EXACT(metadata!G749,"Animal distal gut"),EXACT(metadata!G749,"Animal secretion")))</f>
        <v>0</v>
      </c>
      <c r="AJ749" t="b">
        <f>OR(AND(IF(metadata!H749="",FALSE,TRUE),OR(EXACT(metadata!H749,"missing: not collected"),EXACT(metadata!H749,"missing: not provided"),EXACT(metadata!H749,"missing: restricted access"))),AND(IF(metadata!H749="",FALSE,TRUE),OR(EXACT(metadata!H749,"organism-associated habitat"),EXACT(metadata!H749,"plant-associated habitat"),EXACT(metadata!H749,"animal-associated habitat"),EXACT(metadata!H749,"insecta-associated habitat"),EXACT(metadata!H749,"mammalia-associated habitat"),EXACT(metadata!H749,"human-associated habitat"),EXACT(metadata!H749,"livestock-associated habitat"))))</f>
        <v>0</v>
      </c>
      <c r="AK749" t="b">
        <f>AND(IF(metadata!I749="",FALSE,TRUE),EXACT(metadata!I749,"host-associated"))</f>
        <v>0</v>
      </c>
      <c r="AL749" t="b">
        <f>OR(AND(IF(metadata!J749="",FALSE,TRUE),OR(EXACT(metadata!J749,"not applicable"),EXACT(metadata!J749,"missing: not collected"),EXACT(metadata!J749,"missing: not provided"),EXACT(metadata!J749,"missing: restricted access"))),AND(IF(metadata!J749="",FALSE,ISNUMBER(VALUE(metadata!J749))),metadata!J749&gt;0))</f>
        <v>0</v>
      </c>
      <c r="AM749" t="b">
        <f>AND(IF(metadata!K749="",FALSE,TRUE),EXACT(metadata!K749,"missing: not provided"))</f>
        <v>0</v>
      </c>
      <c r="AN749" t="b">
        <f>IF(metadata!L749="",FALSE,TRUE)</f>
        <v>0</v>
      </c>
      <c r="AO749" t="b">
        <f>IF(metadata!M749="",FALSE,TRUE)</f>
        <v>0</v>
      </c>
      <c r="AP749" t="b">
        <f>OR(AND(IF(metadata!N749="",FALSE,TRUE),OR(EXACT(metadata!N749,"not applicable"),EXACT(metadata!N749,"missing: not collected"),EXACT(metadata!N749,"missing: not provided"))),AND(IF(metadata!N749="",FALSE,IF(ISERROR(INT(metadata!N749)),FALSE,INT(metadata!N749)=metadata!N749)),metadata!N749&gt;0))</f>
        <v>0</v>
      </c>
      <c r="AQ749" t="b">
        <f>AND(IF(metadata!O749="",FALSE,TRUE),EXACT(metadata!O749,"Not applicable"))</f>
        <v>0</v>
      </c>
      <c r="AR749" t="b">
        <f>OR(AND(IF(metadata!P749="",FALSE,TRUE),OR(EXACT(metadata!P749,"not applicable"),EXACT(metadata!P749,"missing: not collected"),EXACT(metadata!P749,"missing: not provided"),EXACT(metadata!P749,"missing: restricted access"))),IF(metadata!P749="",FALSE,IF(ISERROR(INT(metadata!P749)),FALSE,INT(metadata!P749)=metadata!P749)))</f>
        <v>0</v>
      </c>
      <c r="AS749" t="b">
        <f>AND(IF(metadata!Q749="",FALSE,TRUE),EXACT(metadata!Q749,"Not applicable"))</f>
        <v>0</v>
      </c>
      <c r="AT749" t="b">
        <f>OR(AND(IF(metadata!R749="",FALSE,TRUE),OR(EXACT(metadata!R749,"not applicable"),EXACT(metadata!R749,"missing: not collected"),EXACT(metadata!R749,"missing: not provided"),EXACT(metadata!R749,"missing: restricted access"))),AND(IF(metadata!R749="",FALSE,ISNUMBER(VALUE(metadata!R749))),metadata!R749&gt;0))</f>
        <v>0</v>
      </c>
      <c r="AU749" t="b">
        <f>AND(IF(metadata!S749="",FALSE,TRUE),EXACT(metadata!S749,"missing: not provided"))</f>
        <v>0</v>
      </c>
    </row>
    <row r="750" spans="1:47" x14ac:dyDescent="0.2">
      <c r="A750" s="5" t="str">
        <f ca="1">IF(B750=" "," ",HYPERLINK(CONCATENATE("#metadata!",ADDRESS(INDEX($Y$2:$Y$1001,MATCH(ROWS($W$2:W750),$W$2:$W$1001,0),0),1)),INDEX($AB$2:$AB$1001,MATCH(ROWS($W$2:W750),$W$2:$W$1001,0),0)))</f>
        <v xml:space="preserve"> </v>
      </c>
      <c r="B750" s="4" t="str">
        <f ca="1">IF(OR(INDEX($X$2:$X$1001,MATCH(ROWS($W$2:W750),$W$2:$W$1001,0),1)&gt;=100000,INDEX($AD$1005:$AU$1005,1,MATCH(COLUMNS($AD$1006:AD1006),$AD$1006:$AU$1006,0))&gt;=100000), " ",IF(INDEX($AD$2:$AU$1001,MATCH(ROWS($W$2:W750),$W$2:$W$1001,0),MATCH(COLUMNS($AD$1006:AD1006),$AD$1006:$AU$1006,0)), HYPERLINK("#",""), HYPERLINK(CONCATENATE("#metadata!", ADDRESS(INDEX($Y$2:$Y$1001,MATCH(ROWS($W$2:W750),$W$2:$W$1001,0),0), INDEX($AD$1004:$AU$1004,1,MATCH(COLUMNS($AD$1006:AD1006),$AD$1006:$AU$1006,0)))),"Fix")))</f>
        <v xml:space="preserve"> </v>
      </c>
      <c r="C750" s="4" t="str">
        <f ca="1">IF(OR(INDEX($X$2:$X$1001,MATCH(ROWS($W$2:W750),$W$2:$W$1001,0),1)&gt;=100000,INDEX($AD$1005:$AU$1005,1,MATCH(COLUMNS($AD$1006:AE1006),$AD$1006:$AU$1006,0))&gt;=100000), " ",IF(INDEX($AD$2:$AU$1001,MATCH(ROWS($W$2:W750),$W$2:$W$1001,0),MATCH(COLUMNS($AD$1006:AE1006),$AD$1006:$AU$1006,0)), HYPERLINK("#",""), HYPERLINK(CONCATENATE("#metadata!", ADDRESS(INDEX($Y$2:$Y$1001,MATCH(ROWS($W$2:W750),$W$2:$W$1001,0),0), INDEX($AD$1004:$AU$1004,1,MATCH(COLUMNS($AD$1006:AE1006),$AD$1006:$AU$1006,0)))),"Fix")))</f>
        <v xml:space="preserve"> </v>
      </c>
      <c r="D750" s="4" t="str">
        <f ca="1">IF(OR(INDEX($X$2:$X$1001,MATCH(ROWS($W$2:W750),$W$2:$W$1001,0),1)&gt;=100000,INDEX($AD$1005:$AU$1005,1,MATCH(COLUMNS($AD$1006:AF1006),$AD$1006:$AU$1006,0))&gt;=100000), " ",IF(INDEX($AD$2:$AU$1001,MATCH(ROWS($W$2:W750),$W$2:$W$1001,0),MATCH(COLUMNS($AD$1006:AF1006),$AD$1006:$AU$1006,0)), HYPERLINK("#",""), HYPERLINK(CONCATENATE("#metadata!", ADDRESS(INDEX($Y$2:$Y$1001,MATCH(ROWS($W$2:W750),$W$2:$W$1001,0),0), INDEX($AD$1004:$AU$1004,1,MATCH(COLUMNS($AD$1006:AF1006),$AD$1006:$AU$1006,0)))),"Fix")))</f>
        <v xml:space="preserve"> </v>
      </c>
      <c r="E750" s="4" t="str">
        <f ca="1">IF(OR(INDEX($X$2:$X$1001,MATCH(ROWS($W$2:W750),$W$2:$W$1001,0),1)&gt;=100000,INDEX($AD$1005:$AU$1005,1,MATCH(COLUMNS($AD$1006:AG1006),$AD$1006:$AU$1006,0))&gt;=100000), " ",IF(INDEX($AD$2:$AU$1001,MATCH(ROWS($W$2:W750),$W$2:$W$1001,0),MATCH(COLUMNS($AD$1006:AG1006),$AD$1006:$AU$1006,0)), HYPERLINK("#",""), HYPERLINK(CONCATENATE("#metadata!", ADDRESS(INDEX($Y$2:$Y$1001,MATCH(ROWS($W$2:W750),$W$2:$W$1001,0),0), INDEX($AD$1004:$AU$1004,1,MATCH(COLUMNS($AD$1006:AG1006),$AD$1006:$AU$1006,0)))),"Fix")))</f>
        <v xml:space="preserve"> </v>
      </c>
      <c r="F750" s="4" t="str">
        <f ca="1">IF(OR(INDEX($X$2:$X$1001,MATCH(ROWS($W$2:W750),$W$2:$W$1001,0),1)&gt;=100000,INDEX($AD$1005:$AU$1005,1,MATCH(COLUMNS($AD$1006:AH1006),$AD$1006:$AU$1006,0))&gt;=100000), " ",IF(INDEX($AD$2:$AU$1001,MATCH(ROWS($W$2:W750),$W$2:$W$1001,0),MATCH(COLUMNS($AD$1006:AH1006),$AD$1006:$AU$1006,0)), HYPERLINK("#",""), HYPERLINK(CONCATENATE("#metadata!", ADDRESS(INDEX($Y$2:$Y$1001,MATCH(ROWS($W$2:W750),$W$2:$W$1001,0),0), INDEX($AD$1004:$AU$1004,1,MATCH(COLUMNS($AD$1006:AH1006),$AD$1006:$AU$1006,0)))),"Fix")))</f>
        <v xml:space="preserve"> </v>
      </c>
      <c r="G750" s="4" t="str">
        <f ca="1">IF(OR(INDEX($X$2:$X$1001,MATCH(ROWS($W$2:W750),$W$2:$W$1001,0),1)&gt;=100000,INDEX($AD$1005:$AU$1005,1,MATCH(COLUMNS($AD$1006:AI1006),$AD$1006:$AU$1006,0))&gt;=100000), " ",IF(INDEX($AD$2:$AU$1001,MATCH(ROWS($W$2:W750),$W$2:$W$1001,0),MATCH(COLUMNS($AD$1006:AI1006),$AD$1006:$AU$1006,0)), HYPERLINK("#",""), HYPERLINK(CONCATENATE("#metadata!", ADDRESS(INDEX($Y$2:$Y$1001,MATCH(ROWS($W$2:W750),$W$2:$W$1001,0),0), INDEX($AD$1004:$AU$1004,1,MATCH(COLUMNS($AD$1006:AI1006),$AD$1006:$AU$1006,0)))),"Fix")))</f>
        <v xml:space="preserve"> </v>
      </c>
      <c r="H750" s="4" t="str">
        <f ca="1">IF(OR(INDEX($X$2:$X$1001,MATCH(ROWS($W$2:W750),$W$2:$W$1001,0),1)&gt;=100000,INDEX($AD$1005:$AU$1005,1,MATCH(COLUMNS($AD$1006:AJ1006),$AD$1006:$AU$1006,0))&gt;=100000), " ",IF(INDEX($AD$2:$AU$1001,MATCH(ROWS($W$2:W750),$W$2:$W$1001,0),MATCH(COLUMNS($AD$1006:AJ1006),$AD$1006:$AU$1006,0)), HYPERLINK("#",""), HYPERLINK(CONCATENATE("#metadata!", ADDRESS(INDEX($Y$2:$Y$1001,MATCH(ROWS($W$2:W750),$W$2:$W$1001,0),0), INDEX($AD$1004:$AU$1004,1,MATCH(COLUMNS($AD$1006:AJ1006),$AD$1006:$AU$1006,0)))),"Fix")))</f>
        <v xml:space="preserve"> </v>
      </c>
      <c r="I750" s="4" t="str">
        <f ca="1">IF(OR(INDEX($X$2:$X$1001,MATCH(ROWS($W$2:W750),$W$2:$W$1001,0),1)&gt;=100000,INDEX($AD$1005:$AU$1005,1,MATCH(COLUMNS($AD$1006:AK1006),$AD$1006:$AU$1006,0))&gt;=100000), " ",IF(INDEX($AD$2:$AU$1001,MATCH(ROWS($W$2:W750),$W$2:$W$1001,0),MATCH(COLUMNS($AD$1006:AK1006),$AD$1006:$AU$1006,0)), HYPERLINK("#",""), HYPERLINK(CONCATENATE("#metadata!", ADDRESS(INDEX($Y$2:$Y$1001,MATCH(ROWS($W$2:W750),$W$2:$W$1001,0),0), INDEX($AD$1004:$AU$1004,1,MATCH(COLUMNS($AD$1006:AK1006),$AD$1006:$AU$1006,0)))),"Fix")))</f>
        <v xml:space="preserve"> </v>
      </c>
      <c r="J750" s="4" t="str">
        <f ca="1">IF(OR(INDEX($X$2:$X$1001,MATCH(ROWS($W$2:W750),$W$2:$W$1001,0),1)&gt;=100000,INDEX($AD$1005:$AU$1005,1,MATCH(COLUMNS($AD$1006:AL1006),$AD$1006:$AU$1006,0))&gt;=100000), " ",IF(INDEX($AD$2:$AU$1001,MATCH(ROWS($W$2:W750),$W$2:$W$1001,0),MATCH(COLUMNS($AD$1006:AL1006),$AD$1006:$AU$1006,0)), HYPERLINK("#",""), HYPERLINK(CONCATENATE("#metadata!", ADDRESS(INDEX($Y$2:$Y$1001,MATCH(ROWS($W$2:W750),$W$2:$W$1001,0),0), INDEX($AD$1004:$AU$1004,1,MATCH(COLUMNS($AD$1006:AL1006),$AD$1006:$AU$1006,0)))),"Fix")))</f>
        <v xml:space="preserve"> </v>
      </c>
      <c r="K750" s="4" t="str">
        <f ca="1">IF(OR(INDEX($X$2:$X$1001,MATCH(ROWS($W$2:W750),$W$2:$W$1001,0),1)&gt;=100000,INDEX($AD$1005:$AU$1005,1,MATCH(COLUMNS($AD$1006:AM1006),$AD$1006:$AU$1006,0))&gt;=100000), " ",IF(INDEX($AD$2:$AU$1001,MATCH(ROWS($W$2:W750),$W$2:$W$1001,0),MATCH(COLUMNS($AD$1006:AM1006),$AD$1006:$AU$1006,0)), HYPERLINK("#",""), HYPERLINK(CONCATENATE("#metadata!", ADDRESS(INDEX($Y$2:$Y$1001,MATCH(ROWS($W$2:W750),$W$2:$W$1001,0),0), INDEX($AD$1004:$AU$1004,1,MATCH(COLUMNS($AD$1006:AM1006),$AD$1006:$AU$1006,0)))),"Fix")))</f>
        <v xml:space="preserve"> </v>
      </c>
      <c r="L750" s="4" t="str">
        <f ca="1">IF(OR(INDEX($X$2:$X$1001,MATCH(ROWS($W$2:W750),$W$2:$W$1001,0),1)&gt;=100000,INDEX($AD$1005:$AU$1005,1,MATCH(COLUMNS($AD$1006:AN1006),$AD$1006:$AU$1006,0))&gt;=100000), " ",IF(INDEX($AD$2:$AU$1001,MATCH(ROWS($W$2:W750),$W$2:$W$1001,0),MATCH(COLUMNS($AD$1006:AN1006),$AD$1006:$AU$1006,0)), HYPERLINK("#",""), HYPERLINK(CONCATENATE("#metadata!", ADDRESS(INDEX($Y$2:$Y$1001,MATCH(ROWS($W$2:W750),$W$2:$W$1001,0),0), INDEX($AD$1004:$AU$1004,1,MATCH(COLUMNS($AD$1006:AN1006),$AD$1006:$AU$1006,0)))),"Fix")))</f>
        <v xml:space="preserve"> </v>
      </c>
      <c r="M750" s="4" t="str">
        <f ca="1">IF(OR(INDEX($X$2:$X$1001,MATCH(ROWS($W$2:W750),$W$2:$W$1001,0),1)&gt;=100000,INDEX($AD$1005:$AU$1005,1,MATCH(COLUMNS($AD$1006:AO1006),$AD$1006:$AU$1006,0))&gt;=100000), " ",IF(INDEX($AD$2:$AU$1001,MATCH(ROWS($W$2:W750),$W$2:$W$1001,0),MATCH(COLUMNS($AD$1006:AO1006),$AD$1006:$AU$1006,0)), HYPERLINK("#",""), HYPERLINK(CONCATENATE("#metadata!", ADDRESS(INDEX($Y$2:$Y$1001,MATCH(ROWS($W$2:W750),$W$2:$W$1001,0),0), INDEX($AD$1004:$AU$1004,1,MATCH(COLUMNS($AD$1006:AO1006),$AD$1006:$AU$1006,0)))),"Fix")))</f>
        <v xml:space="preserve"> </v>
      </c>
      <c r="N750" s="4" t="str">
        <f ca="1">IF(OR(INDEX($X$2:$X$1001,MATCH(ROWS($W$2:W750),$W$2:$W$1001,0),1)&gt;=100000,INDEX($AD$1005:$AU$1005,1,MATCH(COLUMNS($AD$1006:AP1006),$AD$1006:$AU$1006,0))&gt;=100000), " ",IF(INDEX($AD$2:$AU$1001,MATCH(ROWS($W$2:W750),$W$2:$W$1001,0),MATCH(COLUMNS($AD$1006:AP1006),$AD$1006:$AU$1006,0)), HYPERLINK("#",""), HYPERLINK(CONCATENATE("#metadata!", ADDRESS(INDEX($Y$2:$Y$1001,MATCH(ROWS($W$2:W750),$W$2:$W$1001,0),0), INDEX($AD$1004:$AU$1004,1,MATCH(COLUMNS($AD$1006:AP1006),$AD$1006:$AU$1006,0)))),"Fix")))</f>
        <v xml:space="preserve"> </v>
      </c>
      <c r="O750" s="4" t="str">
        <f ca="1">IF(OR(INDEX($X$2:$X$1001,MATCH(ROWS($W$2:W750),$W$2:$W$1001,0),1)&gt;=100000,INDEX($AD$1005:$AU$1005,1,MATCH(COLUMNS($AD$1006:AQ1006),$AD$1006:$AU$1006,0))&gt;=100000), " ",IF(INDEX($AD$2:$AU$1001,MATCH(ROWS($W$2:W750),$W$2:$W$1001,0),MATCH(COLUMNS($AD$1006:AQ1006),$AD$1006:$AU$1006,0)), HYPERLINK("#",""), HYPERLINK(CONCATENATE("#metadata!", ADDRESS(INDEX($Y$2:$Y$1001,MATCH(ROWS($W$2:W750),$W$2:$W$1001,0),0), INDEX($AD$1004:$AU$1004,1,MATCH(COLUMNS($AD$1006:AQ1006),$AD$1006:$AU$1006,0)))),"Fix")))</f>
        <v xml:space="preserve"> </v>
      </c>
      <c r="P750" s="4" t="str">
        <f ca="1">IF(OR(INDEX($X$2:$X$1001,MATCH(ROWS($W$2:W750),$W$2:$W$1001,0),1)&gt;=100000,INDEX($AD$1005:$AU$1005,1,MATCH(COLUMNS($AD$1006:AR1006),$AD$1006:$AU$1006,0))&gt;=100000), " ",IF(INDEX($AD$2:$AU$1001,MATCH(ROWS($W$2:W750),$W$2:$W$1001,0),MATCH(COLUMNS($AD$1006:AR1006),$AD$1006:$AU$1006,0)), HYPERLINK("#",""), HYPERLINK(CONCATENATE("#metadata!", ADDRESS(INDEX($Y$2:$Y$1001,MATCH(ROWS($W$2:W750),$W$2:$W$1001,0),0), INDEX($AD$1004:$AU$1004,1,MATCH(COLUMNS($AD$1006:AR1006),$AD$1006:$AU$1006,0)))),"Fix")))</f>
        <v xml:space="preserve"> </v>
      </c>
      <c r="Q750" s="4" t="str">
        <f ca="1">IF(OR(INDEX($X$2:$X$1001,MATCH(ROWS($W$2:W750),$W$2:$W$1001,0),1)&gt;=100000,INDEX($AD$1005:$AU$1005,1,MATCH(COLUMNS($AD$1006:AS1006),$AD$1006:$AU$1006,0))&gt;=100000), " ",IF(INDEX($AD$2:$AU$1001,MATCH(ROWS($W$2:W750),$W$2:$W$1001,0),MATCH(COLUMNS($AD$1006:AS1006),$AD$1006:$AU$1006,0)), HYPERLINK("#",""), HYPERLINK(CONCATENATE("#metadata!", ADDRESS(INDEX($Y$2:$Y$1001,MATCH(ROWS($W$2:W750),$W$2:$W$1001,0),0), INDEX($AD$1004:$AU$1004,1,MATCH(COLUMNS($AD$1006:AS1006),$AD$1006:$AU$1006,0)))),"Fix")))</f>
        <v xml:space="preserve"> </v>
      </c>
      <c r="R750" s="4" t="str">
        <f ca="1">IF(OR(INDEX($X$2:$X$1001,MATCH(ROWS($W$2:W750),$W$2:$W$1001,0),1)&gt;=100000,INDEX($AD$1005:$AU$1005,1,MATCH(COLUMNS($AD$1006:AT1006),$AD$1006:$AU$1006,0))&gt;=100000), " ",IF(INDEX($AD$2:$AU$1001,MATCH(ROWS($W$2:W750),$W$2:$W$1001,0),MATCH(COLUMNS($AD$1006:AT1006),$AD$1006:$AU$1006,0)), HYPERLINK("#",""), HYPERLINK(CONCATENATE("#metadata!", ADDRESS(INDEX($Y$2:$Y$1001,MATCH(ROWS($W$2:W750),$W$2:$W$1001,0),0), INDEX($AD$1004:$AU$1004,1,MATCH(COLUMNS($AD$1006:AT1006),$AD$1006:$AU$1006,0)))),"Fix")))</f>
        <v xml:space="preserve"> </v>
      </c>
      <c r="S750" s="4" t="str">
        <f ca="1">IF(OR(INDEX($X$2:$X$1001,MATCH(ROWS($W$2:W750),$W$2:$W$1001,0),1)&gt;=100000,INDEX($AD$1005:$AU$1005,1,MATCH(COLUMNS($AD$1006:AU1006),$AD$1006:$AU$1006,0))&gt;=100000), " ",IF(INDEX($AD$2:$AU$1001,MATCH(ROWS($W$2:W750),$W$2:$W$1001,0),MATCH(COLUMNS($AD$1006:AU1006),$AD$1006:$AU$1006,0)), HYPERLINK("#",""), HYPERLINK(CONCATENATE("#metadata!", ADDRESS(INDEX($Y$2:$Y$1001,MATCH(ROWS($W$2:W750),$W$2:$W$1001,0),0), INDEX($AD$1004:$AU$1004,1,MATCH(COLUMNS($AD$1006:AU1006),$AD$1006:$AU$1006,0)))),"Fix")))</f>
        <v xml:space="preserve"> </v>
      </c>
      <c r="W750">
        <v>749</v>
      </c>
      <c r="X750">
        <v>100750</v>
      </c>
      <c r="Y750">
        <v>750</v>
      </c>
      <c r="Z750" t="b">
        <f t="shared" si="11"/>
        <v>1</v>
      </c>
      <c r="AA750" t="b">
        <f>COUNTBLANK(metadata!B750:S750)=COLUMNS(metadata!B750:S750)</f>
        <v>1</v>
      </c>
      <c r="AB750" t="str">
        <v/>
      </c>
      <c r="AD750" t="b">
        <f ca="1">AND(IF(metadata!B750="",FALSE,TRUE),COUNTIF(metadata!B:B, metadata!B750) = 1,NOT(ISERROR(SUMPRODUCT(SEARCH(MID(metadata!B750,ROW(INDIRECT("1:"&amp;LEN(metadata!B750))), 1),"0123456789abcdefghijklmnopqrstuvwxyzABCDEFGHIJKLMNOPQRSTUVWXYZ.")))))</f>
        <v>0</v>
      </c>
      <c r="AE750" t="b">
        <f>OR(AND(IF(metadata!C750="",FALSE,TRUE),OR(EXACT(metadata!C750,"not applicable"),EXACT(metadata!C750,"missing: not collected"),EXACT(metadata!C750,"missing: not provided"),EXACT(metadata!C750,"missing: restricted access"))),AND(IF(metadata!C750="",FALSE,ISNUMBER(VALUE(metadata!C750))),metadata!C750&gt;0))</f>
        <v>0</v>
      </c>
      <c r="AF750" t="b">
        <f>AND(IF(metadata!D750="",FALSE,TRUE),EXACT(metadata!D750,"missing: not provided"))</f>
        <v>0</v>
      </c>
      <c r="AG750" t="b">
        <f>AND(IF(metadata!E750="",FALSE,TRUE),EXACT(metadata!E750,"Host-associated"))</f>
        <v>0</v>
      </c>
      <c r="AH750" t="b">
        <f>AND(IF(metadata!F750="",FALSE,TRUE),OR(EXACT(metadata!F750,"Animal"),EXACT(metadata!F750,"Fungus"),EXACT(metadata!F750,"Plant")))</f>
        <v>0</v>
      </c>
      <c r="AI750" t="b">
        <f>AND(IF(metadata!G750="",FALSE,TRUE),OR(EXACT(metadata!G750,"Plant secretion"),EXACT(metadata!G750,"Plant rhizosphere"),EXACT(metadata!G750,"Plant surface"),EXACT(metadata!G750,"Plant corpus"),EXACT(metadata!G750,"Fungus surface"),EXACT(metadata!G750,"Fungus corpus"),EXACT(metadata!G750,"Animal surface"),EXACT(metadata!G750,"Animal proximal gut"),EXACT(metadata!G750,"Animal corpus"),EXACT(metadata!G750,"Animal distal gut"),EXACT(metadata!G750,"Animal secretion")))</f>
        <v>0</v>
      </c>
      <c r="AJ750" t="b">
        <f>OR(AND(IF(metadata!H750="",FALSE,TRUE),OR(EXACT(metadata!H750,"missing: not collected"),EXACT(metadata!H750,"missing: not provided"),EXACT(metadata!H750,"missing: restricted access"))),AND(IF(metadata!H750="",FALSE,TRUE),OR(EXACT(metadata!H750,"organism-associated habitat"),EXACT(metadata!H750,"plant-associated habitat"),EXACT(metadata!H750,"animal-associated habitat"),EXACT(metadata!H750,"insecta-associated habitat"),EXACT(metadata!H750,"mammalia-associated habitat"),EXACT(metadata!H750,"human-associated habitat"),EXACT(metadata!H750,"livestock-associated habitat"))))</f>
        <v>0</v>
      </c>
      <c r="AK750" t="b">
        <f>AND(IF(metadata!I750="",FALSE,TRUE),EXACT(metadata!I750,"host-associated"))</f>
        <v>0</v>
      </c>
      <c r="AL750" t="b">
        <f>OR(AND(IF(metadata!J750="",FALSE,TRUE),OR(EXACT(metadata!J750,"not applicable"),EXACT(metadata!J750,"missing: not collected"),EXACT(metadata!J750,"missing: not provided"),EXACT(metadata!J750,"missing: restricted access"))),AND(IF(metadata!J750="",FALSE,ISNUMBER(VALUE(metadata!J750))),metadata!J750&gt;0))</f>
        <v>0</v>
      </c>
      <c r="AM750" t="b">
        <f>AND(IF(metadata!K750="",FALSE,TRUE),EXACT(metadata!K750,"missing: not provided"))</f>
        <v>0</v>
      </c>
      <c r="AN750" t="b">
        <f>IF(metadata!L750="",FALSE,TRUE)</f>
        <v>0</v>
      </c>
      <c r="AO750" t="b">
        <f>IF(metadata!M750="",FALSE,TRUE)</f>
        <v>0</v>
      </c>
      <c r="AP750" t="b">
        <f>OR(AND(IF(metadata!N750="",FALSE,TRUE),OR(EXACT(metadata!N750,"not applicable"),EXACT(metadata!N750,"missing: not collected"),EXACT(metadata!N750,"missing: not provided"))),AND(IF(metadata!N750="",FALSE,IF(ISERROR(INT(metadata!N750)),FALSE,INT(metadata!N750)=metadata!N750)),metadata!N750&gt;0))</f>
        <v>0</v>
      </c>
      <c r="AQ750" t="b">
        <f>AND(IF(metadata!O750="",FALSE,TRUE),EXACT(metadata!O750,"Not applicable"))</f>
        <v>0</v>
      </c>
      <c r="AR750" t="b">
        <f>OR(AND(IF(metadata!P750="",FALSE,TRUE),OR(EXACT(metadata!P750,"not applicable"),EXACT(metadata!P750,"missing: not collected"),EXACT(metadata!P750,"missing: not provided"),EXACT(metadata!P750,"missing: restricted access"))),IF(metadata!P750="",FALSE,IF(ISERROR(INT(metadata!P750)),FALSE,INT(metadata!P750)=metadata!P750)))</f>
        <v>0</v>
      </c>
      <c r="AS750" t="b">
        <f>AND(IF(metadata!Q750="",FALSE,TRUE),EXACT(metadata!Q750,"Not applicable"))</f>
        <v>0</v>
      </c>
      <c r="AT750" t="b">
        <f>OR(AND(IF(metadata!R750="",FALSE,TRUE),OR(EXACT(metadata!R750,"not applicable"),EXACT(metadata!R750,"missing: not collected"),EXACT(metadata!R750,"missing: not provided"),EXACT(metadata!R750,"missing: restricted access"))),AND(IF(metadata!R750="",FALSE,ISNUMBER(VALUE(metadata!R750))),metadata!R750&gt;0))</f>
        <v>0</v>
      </c>
      <c r="AU750" t="b">
        <f>AND(IF(metadata!S750="",FALSE,TRUE),EXACT(metadata!S750,"missing: not provided"))</f>
        <v>0</v>
      </c>
    </row>
    <row r="751" spans="1:47" x14ac:dyDescent="0.2">
      <c r="A751" s="5" t="str">
        <f ca="1">IF(B751=" "," ",HYPERLINK(CONCATENATE("#metadata!",ADDRESS(INDEX($Y$2:$Y$1001,MATCH(ROWS($W$2:W751),$W$2:$W$1001,0),0),1)),INDEX($AB$2:$AB$1001,MATCH(ROWS($W$2:W751),$W$2:$W$1001,0),0)))</f>
        <v xml:space="preserve"> </v>
      </c>
      <c r="B751" s="4" t="str">
        <f ca="1">IF(OR(INDEX($X$2:$X$1001,MATCH(ROWS($W$2:W751),$W$2:$W$1001,0),1)&gt;=100000,INDEX($AD$1005:$AU$1005,1,MATCH(COLUMNS($AD$1006:AD1006),$AD$1006:$AU$1006,0))&gt;=100000), " ",IF(INDEX($AD$2:$AU$1001,MATCH(ROWS($W$2:W751),$W$2:$W$1001,0),MATCH(COLUMNS($AD$1006:AD1006),$AD$1006:$AU$1006,0)), HYPERLINK("#",""), HYPERLINK(CONCATENATE("#metadata!", ADDRESS(INDEX($Y$2:$Y$1001,MATCH(ROWS($W$2:W751),$W$2:$W$1001,0),0), INDEX($AD$1004:$AU$1004,1,MATCH(COLUMNS($AD$1006:AD1006),$AD$1006:$AU$1006,0)))),"Fix")))</f>
        <v xml:space="preserve"> </v>
      </c>
      <c r="C751" s="4" t="str">
        <f ca="1">IF(OR(INDEX($X$2:$X$1001,MATCH(ROWS($W$2:W751),$W$2:$W$1001,0),1)&gt;=100000,INDEX($AD$1005:$AU$1005,1,MATCH(COLUMNS($AD$1006:AE1006),$AD$1006:$AU$1006,0))&gt;=100000), " ",IF(INDEX($AD$2:$AU$1001,MATCH(ROWS($W$2:W751),$W$2:$W$1001,0),MATCH(COLUMNS($AD$1006:AE1006),$AD$1006:$AU$1006,0)), HYPERLINK("#",""), HYPERLINK(CONCATENATE("#metadata!", ADDRESS(INDEX($Y$2:$Y$1001,MATCH(ROWS($W$2:W751),$W$2:$W$1001,0),0), INDEX($AD$1004:$AU$1004,1,MATCH(COLUMNS($AD$1006:AE1006),$AD$1006:$AU$1006,0)))),"Fix")))</f>
        <v xml:space="preserve"> </v>
      </c>
      <c r="D751" s="4" t="str">
        <f ca="1">IF(OR(INDEX($X$2:$X$1001,MATCH(ROWS($W$2:W751),$W$2:$W$1001,0),1)&gt;=100000,INDEX($AD$1005:$AU$1005,1,MATCH(COLUMNS($AD$1006:AF1006),$AD$1006:$AU$1006,0))&gt;=100000), " ",IF(INDEX($AD$2:$AU$1001,MATCH(ROWS($W$2:W751),$W$2:$W$1001,0),MATCH(COLUMNS($AD$1006:AF1006),$AD$1006:$AU$1006,0)), HYPERLINK("#",""), HYPERLINK(CONCATENATE("#metadata!", ADDRESS(INDEX($Y$2:$Y$1001,MATCH(ROWS($W$2:W751),$W$2:$W$1001,0),0), INDEX($AD$1004:$AU$1004,1,MATCH(COLUMNS($AD$1006:AF1006),$AD$1006:$AU$1006,0)))),"Fix")))</f>
        <v xml:space="preserve"> </v>
      </c>
      <c r="E751" s="4" t="str">
        <f ca="1">IF(OR(INDEX($X$2:$X$1001,MATCH(ROWS($W$2:W751),$W$2:$W$1001,0),1)&gt;=100000,INDEX($AD$1005:$AU$1005,1,MATCH(COLUMNS($AD$1006:AG1006),$AD$1006:$AU$1006,0))&gt;=100000), " ",IF(INDEX($AD$2:$AU$1001,MATCH(ROWS($W$2:W751),$W$2:$W$1001,0),MATCH(COLUMNS($AD$1006:AG1006),$AD$1006:$AU$1006,0)), HYPERLINK("#",""), HYPERLINK(CONCATENATE("#metadata!", ADDRESS(INDEX($Y$2:$Y$1001,MATCH(ROWS($W$2:W751),$W$2:$W$1001,0),0), INDEX($AD$1004:$AU$1004,1,MATCH(COLUMNS($AD$1006:AG1006),$AD$1006:$AU$1006,0)))),"Fix")))</f>
        <v xml:space="preserve"> </v>
      </c>
      <c r="F751" s="4" t="str">
        <f ca="1">IF(OR(INDEX($X$2:$X$1001,MATCH(ROWS($W$2:W751),$W$2:$W$1001,0),1)&gt;=100000,INDEX($AD$1005:$AU$1005,1,MATCH(COLUMNS($AD$1006:AH1006),$AD$1006:$AU$1006,0))&gt;=100000), " ",IF(INDEX($AD$2:$AU$1001,MATCH(ROWS($W$2:W751),$W$2:$W$1001,0),MATCH(COLUMNS($AD$1006:AH1006),$AD$1006:$AU$1006,0)), HYPERLINK("#",""), HYPERLINK(CONCATENATE("#metadata!", ADDRESS(INDEX($Y$2:$Y$1001,MATCH(ROWS($W$2:W751),$W$2:$W$1001,0),0), INDEX($AD$1004:$AU$1004,1,MATCH(COLUMNS($AD$1006:AH1006),$AD$1006:$AU$1006,0)))),"Fix")))</f>
        <v xml:space="preserve"> </v>
      </c>
      <c r="G751" s="4" t="str">
        <f ca="1">IF(OR(INDEX($X$2:$X$1001,MATCH(ROWS($W$2:W751),$W$2:$W$1001,0),1)&gt;=100000,INDEX($AD$1005:$AU$1005,1,MATCH(COLUMNS($AD$1006:AI1006),$AD$1006:$AU$1006,0))&gt;=100000), " ",IF(INDEX($AD$2:$AU$1001,MATCH(ROWS($W$2:W751),$W$2:$W$1001,0),MATCH(COLUMNS($AD$1006:AI1006),$AD$1006:$AU$1006,0)), HYPERLINK("#",""), HYPERLINK(CONCATENATE("#metadata!", ADDRESS(INDEX($Y$2:$Y$1001,MATCH(ROWS($W$2:W751),$W$2:$W$1001,0),0), INDEX($AD$1004:$AU$1004,1,MATCH(COLUMNS($AD$1006:AI1006),$AD$1006:$AU$1006,0)))),"Fix")))</f>
        <v xml:space="preserve"> </v>
      </c>
      <c r="H751" s="4" t="str">
        <f ca="1">IF(OR(INDEX($X$2:$X$1001,MATCH(ROWS($W$2:W751),$W$2:$W$1001,0),1)&gt;=100000,INDEX($AD$1005:$AU$1005,1,MATCH(COLUMNS($AD$1006:AJ1006),$AD$1006:$AU$1006,0))&gt;=100000), " ",IF(INDEX($AD$2:$AU$1001,MATCH(ROWS($W$2:W751),$W$2:$W$1001,0),MATCH(COLUMNS($AD$1006:AJ1006),$AD$1006:$AU$1006,0)), HYPERLINK("#",""), HYPERLINK(CONCATENATE("#metadata!", ADDRESS(INDEX($Y$2:$Y$1001,MATCH(ROWS($W$2:W751),$W$2:$W$1001,0),0), INDEX($AD$1004:$AU$1004,1,MATCH(COLUMNS($AD$1006:AJ1006),$AD$1006:$AU$1006,0)))),"Fix")))</f>
        <v xml:space="preserve"> </v>
      </c>
      <c r="I751" s="4" t="str">
        <f ca="1">IF(OR(INDEX($X$2:$X$1001,MATCH(ROWS($W$2:W751),$W$2:$W$1001,0),1)&gt;=100000,INDEX($AD$1005:$AU$1005,1,MATCH(COLUMNS($AD$1006:AK1006),$AD$1006:$AU$1006,0))&gt;=100000), " ",IF(INDEX($AD$2:$AU$1001,MATCH(ROWS($W$2:W751),$W$2:$W$1001,0),MATCH(COLUMNS($AD$1006:AK1006),$AD$1006:$AU$1006,0)), HYPERLINK("#",""), HYPERLINK(CONCATENATE("#metadata!", ADDRESS(INDEX($Y$2:$Y$1001,MATCH(ROWS($W$2:W751),$W$2:$W$1001,0),0), INDEX($AD$1004:$AU$1004,1,MATCH(COLUMNS($AD$1006:AK1006),$AD$1006:$AU$1006,0)))),"Fix")))</f>
        <v xml:space="preserve"> </v>
      </c>
      <c r="J751" s="4" t="str">
        <f ca="1">IF(OR(INDEX($X$2:$X$1001,MATCH(ROWS($W$2:W751),$W$2:$W$1001,0),1)&gt;=100000,INDEX($AD$1005:$AU$1005,1,MATCH(COLUMNS($AD$1006:AL1006),$AD$1006:$AU$1006,0))&gt;=100000), " ",IF(INDEX($AD$2:$AU$1001,MATCH(ROWS($W$2:W751),$W$2:$W$1001,0),MATCH(COLUMNS($AD$1006:AL1006),$AD$1006:$AU$1006,0)), HYPERLINK("#",""), HYPERLINK(CONCATENATE("#metadata!", ADDRESS(INDEX($Y$2:$Y$1001,MATCH(ROWS($W$2:W751),$W$2:$W$1001,0),0), INDEX($AD$1004:$AU$1004,1,MATCH(COLUMNS($AD$1006:AL1006),$AD$1006:$AU$1006,0)))),"Fix")))</f>
        <v xml:space="preserve"> </v>
      </c>
      <c r="K751" s="4" t="str">
        <f ca="1">IF(OR(INDEX($X$2:$X$1001,MATCH(ROWS($W$2:W751),$W$2:$W$1001,0),1)&gt;=100000,INDEX($AD$1005:$AU$1005,1,MATCH(COLUMNS($AD$1006:AM1006),$AD$1006:$AU$1006,0))&gt;=100000), " ",IF(INDEX($AD$2:$AU$1001,MATCH(ROWS($W$2:W751),$W$2:$W$1001,0),MATCH(COLUMNS($AD$1006:AM1006),$AD$1006:$AU$1006,0)), HYPERLINK("#",""), HYPERLINK(CONCATENATE("#metadata!", ADDRESS(INDEX($Y$2:$Y$1001,MATCH(ROWS($W$2:W751),$W$2:$W$1001,0),0), INDEX($AD$1004:$AU$1004,1,MATCH(COLUMNS($AD$1006:AM1006),$AD$1006:$AU$1006,0)))),"Fix")))</f>
        <v xml:space="preserve"> </v>
      </c>
      <c r="L751" s="4" t="str">
        <f ca="1">IF(OR(INDEX($X$2:$X$1001,MATCH(ROWS($W$2:W751),$W$2:$W$1001,0),1)&gt;=100000,INDEX($AD$1005:$AU$1005,1,MATCH(COLUMNS($AD$1006:AN1006),$AD$1006:$AU$1006,0))&gt;=100000), " ",IF(INDEX($AD$2:$AU$1001,MATCH(ROWS($W$2:W751),$W$2:$W$1001,0),MATCH(COLUMNS($AD$1006:AN1006),$AD$1006:$AU$1006,0)), HYPERLINK("#",""), HYPERLINK(CONCATENATE("#metadata!", ADDRESS(INDEX($Y$2:$Y$1001,MATCH(ROWS($W$2:W751),$W$2:$W$1001,0),0), INDEX($AD$1004:$AU$1004,1,MATCH(COLUMNS($AD$1006:AN1006),$AD$1006:$AU$1006,0)))),"Fix")))</f>
        <v xml:space="preserve"> </v>
      </c>
      <c r="M751" s="4" t="str">
        <f ca="1">IF(OR(INDEX($X$2:$X$1001,MATCH(ROWS($W$2:W751),$W$2:$W$1001,0),1)&gt;=100000,INDEX($AD$1005:$AU$1005,1,MATCH(COLUMNS($AD$1006:AO1006),$AD$1006:$AU$1006,0))&gt;=100000), " ",IF(INDEX($AD$2:$AU$1001,MATCH(ROWS($W$2:W751),$W$2:$W$1001,0),MATCH(COLUMNS($AD$1006:AO1006),$AD$1006:$AU$1006,0)), HYPERLINK("#",""), HYPERLINK(CONCATENATE("#metadata!", ADDRESS(INDEX($Y$2:$Y$1001,MATCH(ROWS($W$2:W751),$W$2:$W$1001,0),0), INDEX($AD$1004:$AU$1004,1,MATCH(COLUMNS($AD$1006:AO1006),$AD$1006:$AU$1006,0)))),"Fix")))</f>
        <v xml:space="preserve"> </v>
      </c>
      <c r="N751" s="4" t="str">
        <f ca="1">IF(OR(INDEX($X$2:$X$1001,MATCH(ROWS($W$2:W751),$W$2:$W$1001,0),1)&gt;=100000,INDEX($AD$1005:$AU$1005,1,MATCH(COLUMNS($AD$1006:AP1006),$AD$1006:$AU$1006,0))&gt;=100000), " ",IF(INDEX($AD$2:$AU$1001,MATCH(ROWS($W$2:W751),$W$2:$W$1001,0),MATCH(COLUMNS($AD$1006:AP1006),$AD$1006:$AU$1006,0)), HYPERLINK("#",""), HYPERLINK(CONCATENATE("#metadata!", ADDRESS(INDEX($Y$2:$Y$1001,MATCH(ROWS($W$2:W751),$W$2:$W$1001,0),0), INDEX($AD$1004:$AU$1004,1,MATCH(COLUMNS($AD$1006:AP1006),$AD$1006:$AU$1006,0)))),"Fix")))</f>
        <v xml:space="preserve"> </v>
      </c>
      <c r="O751" s="4" t="str">
        <f ca="1">IF(OR(INDEX($X$2:$X$1001,MATCH(ROWS($W$2:W751),$W$2:$W$1001,0),1)&gt;=100000,INDEX($AD$1005:$AU$1005,1,MATCH(COLUMNS($AD$1006:AQ1006),$AD$1006:$AU$1006,0))&gt;=100000), " ",IF(INDEX($AD$2:$AU$1001,MATCH(ROWS($W$2:W751),$W$2:$W$1001,0),MATCH(COLUMNS($AD$1006:AQ1006),$AD$1006:$AU$1006,0)), HYPERLINK("#",""), HYPERLINK(CONCATENATE("#metadata!", ADDRESS(INDEX($Y$2:$Y$1001,MATCH(ROWS($W$2:W751),$W$2:$W$1001,0),0), INDEX($AD$1004:$AU$1004,1,MATCH(COLUMNS($AD$1006:AQ1006),$AD$1006:$AU$1006,0)))),"Fix")))</f>
        <v xml:space="preserve"> </v>
      </c>
      <c r="P751" s="4" t="str">
        <f ca="1">IF(OR(INDEX($X$2:$X$1001,MATCH(ROWS($W$2:W751),$W$2:$W$1001,0),1)&gt;=100000,INDEX($AD$1005:$AU$1005,1,MATCH(COLUMNS($AD$1006:AR1006),$AD$1006:$AU$1006,0))&gt;=100000), " ",IF(INDEX($AD$2:$AU$1001,MATCH(ROWS($W$2:W751),$W$2:$W$1001,0),MATCH(COLUMNS($AD$1006:AR1006),$AD$1006:$AU$1006,0)), HYPERLINK("#",""), HYPERLINK(CONCATENATE("#metadata!", ADDRESS(INDEX($Y$2:$Y$1001,MATCH(ROWS($W$2:W751),$W$2:$W$1001,0),0), INDEX($AD$1004:$AU$1004,1,MATCH(COLUMNS($AD$1006:AR1006),$AD$1006:$AU$1006,0)))),"Fix")))</f>
        <v xml:space="preserve"> </v>
      </c>
      <c r="Q751" s="4" t="str">
        <f ca="1">IF(OR(INDEX($X$2:$X$1001,MATCH(ROWS($W$2:W751),$W$2:$W$1001,0),1)&gt;=100000,INDEX($AD$1005:$AU$1005,1,MATCH(COLUMNS($AD$1006:AS1006),$AD$1006:$AU$1006,0))&gt;=100000), " ",IF(INDEX($AD$2:$AU$1001,MATCH(ROWS($W$2:W751),$W$2:$W$1001,0),MATCH(COLUMNS($AD$1006:AS1006),$AD$1006:$AU$1006,0)), HYPERLINK("#",""), HYPERLINK(CONCATENATE("#metadata!", ADDRESS(INDEX($Y$2:$Y$1001,MATCH(ROWS($W$2:W751),$W$2:$W$1001,0),0), INDEX($AD$1004:$AU$1004,1,MATCH(COLUMNS($AD$1006:AS1006),$AD$1006:$AU$1006,0)))),"Fix")))</f>
        <v xml:space="preserve"> </v>
      </c>
      <c r="R751" s="4" t="str">
        <f ca="1">IF(OR(INDEX($X$2:$X$1001,MATCH(ROWS($W$2:W751),$W$2:$W$1001,0),1)&gt;=100000,INDEX($AD$1005:$AU$1005,1,MATCH(COLUMNS($AD$1006:AT1006),$AD$1006:$AU$1006,0))&gt;=100000), " ",IF(INDEX($AD$2:$AU$1001,MATCH(ROWS($W$2:W751),$W$2:$W$1001,0),MATCH(COLUMNS($AD$1006:AT1006),$AD$1006:$AU$1006,0)), HYPERLINK("#",""), HYPERLINK(CONCATENATE("#metadata!", ADDRESS(INDEX($Y$2:$Y$1001,MATCH(ROWS($W$2:W751),$W$2:$W$1001,0),0), INDEX($AD$1004:$AU$1004,1,MATCH(COLUMNS($AD$1006:AT1006),$AD$1006:$AU$1006,0)))),"Fix")))</f>
        <v xml:space="preserve"> </v>
      </c>
      <c r="S751" s="4" t="str">
        <f ca="1">IF(OR(INDEX($X$2:$X$1001,MATCH(ROWS($W$2:W751),$W$2:$W$1001,0),1)&gt;=100000,INDEX($AD$1005:$AU$1005,1,MATCH(COLUMNS($AD$1006:AU1006),$AD$1006:$AU$1006,0))&gt;=100000), " ",IF(INDEX($AD$2:$AU$1001,MATCH(ROWS($W$2:W751),$W$2:$W$1001,0),MATCH(COLUMNS($AD$1006:AU1006),$AD$1006:$AU$1006,0)), HYPERLINK("#",""), HYPERLINK(CONCATENATE("#metadata!", ADDRESS(INDEX($Y$2:$Y$1001,MATCH(ROWS($W$2:W751),$W$2:$W$1001,0),0), INDEX($AD$1004:$AU$1004,1,MATCH(COLUMNS($AD$1006:AU1006),$AD$1006:$AU$1006,0)))),"Fix")))</f>
        <v xml:space="preserve"> </v>
      </c>
      <c r="W751">
        <v>750</v>
      </c>
      <c r="X751">
        <v>100751</v>
      </c>
      <c r="Y751">
        <v>751</v>
      </c>
      <c r="Z751" t="b">
        <f t="shared" si="11"/>
        <v>1</v>
      </c>
      <c r="AA751" t="b">
        <f>COUNTBLANK(metadata!B751:S751)=COLUMNS(metadata!B751:S751)</f>
        <v>1</v>
      </c>
      <c r="AB751" t="str">
        <v/>
      </c>
      <c r="AD751" t="b">
        <f ca="1">AND(IF(metadata!B751="",FALSE,TRUE),COUNTIF(metadata!B:B, metadata!B751) = 1,NOT(ISERROR(SUMPRODUCT(SEARCH(MID(metadata!B751,ROW(INDIRECT("1:"&amp;LEN(metadata!B751))), 1),"0123456789abcdefghijklmnopqrstuvwxyzABCDEFGHIJKLMNOPQRSTUVWXYZ.")))))</f>
        <v>0</v>
      </c>
      <c r="AE751" t="b">
        <f>OR(AND(IF(metadata!C751="",FALSE,TRUE),OR(EXACT(metadata!C751,"not applicable"),EXACT(metadata!C751,"missing: not collected"),EXACT(metadata!C751,"missing: not provided"),EXACT(metadata!C751,"missing: restricted access"))),AND(IF(metadata!C751="",FALSE,ISNUMBER(VALUE(metadata!C751))),metadata!C751&gt;0))</f>
        <v>0</v>
      </c>
      <c r="AF751" t="b">
        <f>AND(IF(metadata!D751="",FALSE,TRUE),EXACT(metadata!D751,"missing: not provided"))</f>
        <v>0</v>
      </c>
      <c r="AG751" t="b">
        <f>AND(IF(metadata!E751="",FALSE,TRUE),EXACT(metadata!E751,"Host-associated"))</f>
        <v>0</v>
      </c>
      <c r="AH751" t="b">
        <f>AND(IF(metadata!F751="",FALSE,TRUE),OR(EXACT(metadata!F751,"Animal"),EXACT(metadata!F751,"Fungus"),EXACT(metadata!F751,"Plant")))</f>
        <v>0</v>
      </c>
      <c r="AI751" t="b">
        <f>AND(IF(metadata!G751="",FALSE,TRUE),OR(EXACT(metadata!G751,"Plant secretion"),EXACT(metadata!G751,"Plant rhizosphere"),EXACT(metadata!G751,"Plant surface"),EXACT(metadata!G751,"Plant corpus"),EXACT(metadata!G751,"Fungus surface"),EXACT(metadata!G751,"Fungus corpus"),EXACT(metadata!G751,"Animal surface"),EXACT(metadata!G751,"Animal proximal gut"),EXACT(metadata!G751,"Animal corpus"),EXACT(metadata!G751,"Animal distal gut"),EXACT(metadata!G751,"Animal secretion")))</f>
        <v>0</v>
      </c>
      <c r="AJ751" t="b">
        <f>OR(AND(IF(metadata!H751="",FALSE,TRUE),OR(EXACT(metadata!H751,"missing: not collected"),EXACT(metadata!H751,"missing: not provided"),EXACT(metadata!H751,"missing: restricted access"))),AND(IF(metadata!H751="",FALSE,TRUE),OR(EXACT(metadata!H751,"organism-associated habitat"),EXACT(metadata!H751,"plant-associated habitat"),EXACT(metadata!H751,"animal-associated habitat"),EXACT(metadata!H751,"insecta-associated habitat"),EXACT(metadata!H751,"mammalia-associated habitat"),EXACT(metadata!H751,"human-associated habitat"),EXACT(metadata!H751,"livestock-associated habitat"))))</f>
        <v>0</v>
      </c>
      <c r="AK751" t="b">
        <f>AND(IF(metadata!I751="",FALSE,TRUE),EXACT(metadata!I751,"host-associated"))</f>
        <v>0</v>
      </c>
      <c r="AL751" t="b">
        <f>OR(AND(IF(metadata!J751="",FALSE,TRUE),OR(EXACT(metadata!J751,"not applicable"),EXACT(metadata!J751,"missing: not collected"),EXACT(metadata!J751,"missing: not provided"),EXACT(metadata!J751,"missing: restricted access"))),AND(IF(metadata!J751="",FALSE,ISNUMBER(VALUE(metadata!J751))),metadata!J751&gt;0))</f>
        <v>0</v>
      </c>
      <c r="AM751" t="b">
        <f>AND(IF(metadata!K751="",FALSE,TRUE),EXACT(metadata!K751,"missing: not provided"))</f>
        <v>0</v>
      </c>
      <c r="AN751" t="b">
        <f>IF(metadata!L751="",FALSE,TRUE)</f>
        <v>0</v>
      </c>
      <c r="AO751" t="b">
        <f>IF(metadata!M751="",FALSE,TRUE)</f>
        <v>0</v>
      </c>
      <c r="AP751" t="b">
        <f>OR(AND(IF(metadata!N751="",FALSE,TRUE),OR(EXACT(metadata!N751,"not applicable"),EXACT(metadata!N751,"missing: not collected"),EXACT(metadata!N751,"missing: not provided"))),AND(IF(metadata!N751="",FALSE,IF(ISERROR(INT(metadata!N751)),FALSE,INT(metadata!N751)=metadata!N751)),metadata!N751&gt;0))</f>
        <v>0</v>
      </c>
      <c r="AQ751" t="b">
        <f>AND(IF(metadata!O751="",FALSE,TRUE),EXACT(metadata!O751,"Not applicable"))</f>
        <v>0</v>
      </c>
      <c r="AR751" t="b">
        <f>OR(AND(IF(metadata!P751="",FALSE,TRUE),OR(EXACT(metadata!P751,"not applicable"),EXACT(metadata!P751,"missing: not collected"),EXACT(metadata!P751,"missing: not provided"),EXACT(metadata!P751,"missing: restricted access"))),IF(metadata!P751="",FALSE,IF(ISERROR(INT(metadata!P751)),FALSE,INT(metadata!P751)=metadata!P751)))</f>
        <v>0</v>
      </c>
      <c r="AS751" t="b">
        <f>AND(IF(metadata!Q751="",FALSE,TRUE),EXACT(metadata!Q751,"Not applicable"))</f>
        <v>0</v>
      </c>
      <c r="AT751" t="b">
        <f>OR(AND(IF(metadata!R751="",FALSE,TRUE),OR(EXACT(metadata!R751,"not applicable"),EXACT(metadata!R751,"missing: not collected"),EXACT(metadata!R751,"missing: not provided"),EXACT(metadata!R751,"missing: restricted access"))),AND(IF(metadata!R751="",FALSE,ISNUMBER(VALUE(metadata!R751))),metadata!R751&gt;0))</f>
        <v>0</v>
      </c>
      <c r="AU751" t="b">
        <f>AND(IF(metadata!S751="",FALSE,TRUE),EXACT(metadata!S751,"missing: not provided"))</f>
        <v>0</v>
      </c>
    </row>
    <row r="752" spans="1:47" x14ac:dyDescent="0.2">
      <c r="A752" s="5" t="str">
        <f ca="1">IF(B752=" "," ",HYPERLINK(CONCATENATE("#metadata!",ADDRESS(INDEX($Y$2:$Y$1001,MATCH(ROWS($W$2:W752),$W$2:$W$1001,0),0),1)),INDEX($AB$2:$AB$1001,MATCH(ROWS($W$2:W752),$W$2:$W$1001,0),0)))</f>
        <v xml:space="preserve"> </v>
      </c>
      <c r="B752" s="4" t="str">
        <f ca="1">IF(OR(INDEX($X$2:$X$1001,MATCH(ROWS($W$2:W752),$W$2:$W$1001,0),1)&gt;=100000,INDEX($AD$1005:$AU$1005,1,MATCH(COLUMNS($AD$1006:AD1006),$AD$1006:$AU$1006,0))&gt;=100000), " ",IF(INDEX($AD$2:$AU$1001,MATCH(ROWS($W$2:W752),$W$2:$W$1001,0),MATCH(COLUMNS($AD$1006:AD1006),$AD$1006:$AU$1006,0)), HYPERLINK("#",""), HYPERLINK(CONCATENATE("#metadata!", ADDRESS(INDEX($Y$2:$Y$1001,MATCH(ROWS($W$2:W752),$W$2:$W$1001,0),0), INDEX($AD$1004:$AU$1004,1,MATCH(COLUMNS($AD$1006:AD1006),$AD$1006:$AU$1006,0)))),"Fix")))</f>
        <v xml:space="preserve"> </v>
      </c>
      <c r="C752" s="4" t="str">
        <f ca="1">IF(OR(INDEX($X$2:$X$1001,MATCH(ROWS($W$2:W752),$W$2:$W$1001,0),1)&gt;=100000,INDEX($AD$1005:$AU$1005,1,MATCH(COLUMNS($AD$1006:AE1006),$AD$1006:$AU$1006,0))&gt;=100000), " ",IF(INDEX($AD$2:$AU$1001,MATCH(ROWS($W$2:W752),$W$2:$W$1001,0),MATCH(COLUMNS($AD$1006:AE1006),$AD$1006:$AU$1006,0)), HYPERLINK("#",""), HYPERLINK(CONCATENATE("#metadata!", ADDRESS(INDEX($Y$2:$Y$1001,MATCH(ROWS($W$2:W752),$W$2:$W$1001,0),0), INDEX($AD$1004:$AU$1004,1,MATCH(COLUMNS($AD$1006:AE1006),$AD$1006:$AU$1006,0)))),"Fix")))</f>
        <v xml:space="preserve"> </v>
      </c>
      <c r="D752" s="4" t="str">
        <f ca="1">IF(OR(INDEX($X$2:$X$1001,MATCH(ROWS($W$2:W752),$W$2:$W$1001,0),1)&gt;=100000,INDEX($AD$1005:$AU$1005,1,MATCH(COLUMNS($AD$1006:AF1006),$AD$1006:$AU$1006,0))&gt;=100000), " ",IF(INDEX($AD$2:$AU$1001,MATCH(ROWS($W$2:W752),$W$2:$W$1001,0),MATCH(COLUMNS($AD$1006:AF1006),$AD$1006:$AU$1006,0)), HYPERLINK("#",""), HYPERLINK(CONCATENATE("#metadata!", ADDRESS(INDEX($Y$2:$Y$1001,MATCH(ROWS($W$2:W752),$W$2:$W$1001,0),0), INDEX($AD$1004:$AU$1004,1,MATCH(COLUMNS($AD$1006:AF1006),$AD$1006:$AU$1006,0)))),"Fix")))</f>
        <v xml:space="preserve"> </v>
      </c>
      <c r="E752" s="4" t="str">
        <f ca="1">IF(OR(INDEX($X$2:$X$1001,MATCH(ROWS($W$2:W752),$W$2:$W$1001,0),1)&gt;=100000,INDEX($AD$1005:$AU$1005,1,MATCH(COLUMNS($AD$1006:AG1006),$AD$1006:$AU$1006,0))&gt;=100000), " ",IF(INDEX($AD$2:$AU$1001,MATCH(ROWS($W$2:W752),$W$2:$W$1001,0),MATCH(COLUMNS($AD$1006:AG1006),$AD$1006:$AU$1006,0)), HYPERLINK("#",""), HYPERLINK(CONCATENATE("#metadata!", ADDRESS(INDEX($Y$2:$Y$1001,MATCH(ROWS($W$2:W752),$W$2:$W$1001,0),0), INDEX($AD$1004:$AU$1004,1,MATCH(COLUMNS($AD$1006:AG1006),$AD$1006:$AU$1006,0)))),"Fix")))</f>
        <v xml:space="preserve"> </v>
      </c>
      <c r="F752" s="4" t="str">
        <f ca="1">IF(OR(INDEX($X$2:$X$1001,MATCH(ROWS($W$2:W752),$W$2:$W$1001,0),1)&gt;=100000,INDEX($AD$1005:$AU$1005,1,MATCH(COLUMNS($AD$1006:AH1006),$AD$1006:$AU$1006,0))&gt;=100000), " ",IF(INDEX($AD$2:$AU$1001,MATCH(ROWS($W$2:W752),$W$2:$W$1001,0),MATCH(COLUMNS($AD$1006:AH1006),$AD$1006:$AU$1006,0)), HYPERLINK("#",""), HYPERLINK(CONCATENATE("#metadata!", ADDRESS(INDEX($Y$2:$Y$1001,MATCH(ROWS($W$2:W752),$W$2:$W$1001,0),0), INDEX($AD$1004:$AU$1004,1,MATCH(COLUMNS($AD$1006:AH1006),$AD$1006:$AU$1006,0)))),"Fix")))</f>
        <v xml:space="preserve"> </v>
      </c>
      <c r="G752" s="4" t="str">
        <f ca="1">IF(OR(INDEX($X$2:$X$1001,MATCH(ROWS($W$2:W752),$W$2:$W$1001,0),1)&gt;=100000,INDEX($AD$1005:$AU$1005,1,MATCH(COLUMNS($AD$1006:AI1006),$AD$1006:$AU$1006,0))&gt;=100000), " ",IF(INDEX($AD$2:$AU$1001,MATCH(ROWS($W$2:W752),$W$2:$W$1001,0),MATCH(COLUMNS($AD$1006:AI1006),$AD$1006:$AU$1006,0)), HYPERLINK("#",""), HYPERLINK(CONCATENATE("#metadata!", ADDRESS(INDEX($Y$2:$Y$1001,MATCH(ROWS($W$2:W752),$W$2:$W$1001,0),0), INDEX($AD$1004:$AU$1004,1,MATCH(COLUMNS($AD$1006:AI1006),$AD$1006:$AU$1006,0)))),"Fix")))</f>
        <v xml:space="preserve"> </v>
      </c>
      <c r="H752" s="4" t="str">
        <f ca="1">IF(OR(INDEX($X$2:$X$1001,MATCH(ROWS($W$2:W752),$W$2:$W$1001,0),1)&gt;=100000,INDEX($AD$1005:$AU$1005,1,MATCH(COLUMNS($AD$1006:AJ1006),$AD$1006:$AU$1006,0))&gt;=100000), " ",IF(INDEX($AD$2:$AU$1001,MATCH(ROWS($W$2:W752),$W$2:$W$1001,0),MATCH(COLUMNS($AD$1006:AJ1006),$AD$1006:$AU$1006,0)), HYPERLINK("#",""), HYPERLINK(CONCATENATE("#metadata!", ADDRESS(INDEX($Y$2:$Y$1001,MATCH(ROWS($W$2:W752),$W$2:$W$1001,0),0), INDEX($AD$1004:$AU$1004,1,MATCH(COLUMNS($AD$1006:AJ1006),$AD$1006:$AU$1006,0)))),"Fix")))</f>
        <v xml:space="preserve"> </v>
      </c>
      <c r="I752" s="4" t="str">
        <f ca="1">IF(OR(INDEX($X$2:$X$1001,MATCH(ROWS($W$2:W752),$W$2:$W$1001,0),1)&gt;=100000,INDEX($AD$1005:$AU$1005,1,MATCH(COLUMNS($AD$1006:AK1006),$AD$1006:$AU$1006,0))&gt;=100000), " ",IF(INDEX($AD$2:$AU$1001,MATCH(ROWS($W$2:W752),$W$2:$W$1001,0),MATCH(COLUMNS($AD$1006:AK1006),$AD$1006:$AU$1006,0)), HYPERLINK("#",""), HYPERLINK(CONCATENATE("#metadata!", ADDRESS(INDEX($Y$2:$Y$1001,MATCH(ROWS($W$2:W752),$W$2:$W$1001,0),0), INDEX($AD$1004:$AU$1004,1,MATCH(COLUMNS($AD$1006:AK1006),$AD$1006:$AU$1006,0)))),"Fix")))</f>
        <v xml:space="preserve"> </v>
      </c>
      <c r="J752" s="4" t="str">
        <f ca="1">IF(OR(INDEX($X$2:$X$1001,MATCH(ROWS($W$2:W752),$W$2:$W$1001,0),1)&gt;=100000,INDEX($AD$1005:$AU$1005,1,MATCH(COLUMNS($AD$1006:AL1006),$AD$1006:$AU$1006,0))&gt;=100000), " ",IF(INDEX($AD$2:$AU$1001,MATCH(ROWS($W$2:W752),$W$2:$W$1001,0),MATCH(COLUMNS($AD$1006:AL1006),$AD$1006:$AU$1006,0)), HYPERLINK("#",""), HYPERLINK(CONCATENATE("#metadata!", ADDRESS(INDEX($Y$2:$Y$1001,MATCH(ROWS($W$2:W752),$W$2:$W$1001,0),0), INDEX($AD$1004:$AU$1004,1,MATCH(COLUMNS($AD$1006:AL1006),$AD$1006:$AU$1006,0)))),"Fix")))</f>
        <v xml:space="preserve"> </v>
      </c>
      <c r="K752" s="4" t="str">
        <f ca="1">IF(OR(INDEX($X$2:$X$1001,MATCH(ROWS($W$2:W752),$W$2:$W$1001,0),1)&gt;=100000,INDEX($AD$1005:$AU$1005,1,MATCH(COLUMNS($AD$1006:AM1006),$AD$1006:$AU$1006,0))&gt;=100000), " ",IF(INDEX($AD$2:$AU$1001,MATCH(ROWS($W$2:W752),$W$2:$W$1001,0),MATCH(COLUMNS($AD$1006:AM1006),$AD$1006:$AU$1006,0)), HYPERLINK("#",""), HYPERLINK(CONCATENATE("#metadata!", ADDRESS(INDEX($Y$2:$Y$1001,MATCH(ROWS($W$2:W752),$W$2:$W$1001,0),0), INDEX($AD$1004:$AU$1004,1,MATCH(COLUMNS($AD$1006:AM1006),$AD$1006:$AU$1006,0)))),"Fix")))</f>
        <v xml:space="preserve"> </v>
      </c>
      <c r="L752" s="4" t="str">
        <f ca="1">IF(OR(INDEX($X$2:$X$1001,MATCH(ROWS($W$2:W752),$W$2:$W$1001,0),1)&gt;=100000,INDEX($AD$1005:$AU$1005,1,MATCH(COLUMNS($AD$1006:AN1006),$AD$1006:$AU$1006,0))&gt;=100000), " ",IF(INDEX($AD$2:$AU$1001,MATCH(ROWS($W$2:W752),$W$2:$W$1001,0),MATCH(COLUMNS($AD$1006:AN1006),$AD$1006:$AU$1006,0)), HYPERLINK("#",""), HYPERLINK(CONCATENATE("#metadata!", ADDRESS(INDEX($Y$2:$Y$1001,MATCH(ROWS($W$2:W752),$W$2:$W$1001,0),0), INDEX($AD$1004:$AU$1004,1,MATCH(COLUMNS($AD$1006:AN1006),$AD$1006:$AU$1006,0)))),"Fix")))</f>
        <v xml:space="preserve"> </v>
      </c>
      <c r="M752" s="4" t="str">
        <f ca="1">IF(OR(INDEX($X$2:$X$1001,MATCH(ROWS($W$2:W752),$W$2:$W$1001,0),1)&gt;=100000,INDEX($AD$1005:$AU$1005,1,MATCH(COLUMNS($AD$1006:AO1006),$AD$1006:$AU$1006,0))&gt;=100000), " ",IF(INDEX($AD$2:$AU$1001,MATCH(ROWS($W$2:W752),$W$2:$W$1001,0),MATCH(COLUMNS($AD$1006:AO1006),$AD$1006:$AU$1006,0)), HYPERLINK("#",""), HYPERLINK(CONCATENATE("#metadata!", ADDRESS(INDEX($Y$2:$Y$1001,MATCH(ROWS($W$2:W752),$W$2:$W$1001,0),0), INDEX($AD$1004:$AU$1004,1,MATCH(COLUMNS($AD$1006:AO1006),$AD$1006:$AU$1006,0)))),"Fix")))</f>
        <v xml:space="preserve"> </v>
      </c>
      <c r="N752" s="4" t="str">
        <f ca="1">IF(OR(INDEX($X$2:$X$1001,MATCH(ROWS($W$2:W752),$W$2:$W$1001,0),1)&gt;=100000,INDEX($AD$1005:$AU$1005,1,MATCH(COLUMNS($AD$1006:AP1006),$AD$1006:$AU$1006,0))&gt;=100000), " ",IF(INDEX($AD$2:$AU$1001,MATCH(ROWS($W$2:W752),$W$2:$W$1001,0),MATCH(COLUMNS($AD$1006:AP1006),$AD$1006:$AU$1006,0)), HYPERLINK("#",""), HYPERLINK(CONCATENATE("#metadata!", ADDRESS(INDEX($Y$2:$Y$1001,MATCH(ROWS($W$2:W752),$W$2:$W$1001,0),0), INDEX($AD$1004:$AU$1004,1,MATCH(COLUMNS($AD$1006:AP1006),$AD$1006:$AU$1006,0)))),"Fix")))</f>
        <v xml:space="preserve"> </v>
      </c>
      <c r="O752" s="4" t="str">
        <f ca="1">IF(OR(INDEX($X$2:$X$1001,MATCH(ROWS($W$2:W752),$W$2:$W$1001,0),1)&gt;=100000,INDEX($AD$1005:$AU$1005,1,MATCH(COLUMNS($AD$1006:AQ1006),$AD$1006:$AU$1006,0))&gt;=100000), " ",IF(INDEX($AD$2:$AU$1001,MATCH(ROWS($W$2:W752),$W$2:$W$1001,0),MATCH(COLUMNS($AD$1006:AQ1006),$AD$1006:$AU$1006,0)), HYPERLINK("#",""), HYPERLINK(CONCATENATE("#metadata!", ADDRESS(INDEX($Y$2:$Y$1001,MATCH(ROWS($W$2:W752),$W$2:$W$1001,0),0), INDEX($AD$1004:$AU$1004,1,MATCH(COLUMNS($AD$1006:AQ1006),$AD$1006:$AU$1006,0)))),"Fix")))</f>
        <v xml:space="preserve"> </v>
      </c>
      <c r="P752" s="4" t="str">
        <f ca="1">IF(OR(INDEX($X$2:$X$1001,MATCH(ROWS($W$2:W752),$W$2:$W$1001,0),1)&gt;=100000,INDEX($AD$1005:$AU$1005,1,MATCH(COLUMNS($AD$1006:AR1006),$AD$1006:$AU$1006,0))&gt;=100000), " ",IF(INDEX($AD$2:$AU$1001,MATCH(ROWS($W$2:W752),$W$2:$W$1001,0),MATCH(COLUMNS($AD$1006:AR1006),$AD$1006:$AU$1006,0)), HYPERLINK("#",""), HYPERLINK(CONCATENATE("#metadata!", ADDRESS(INDEX($Y$2:$Y$1001,MATCH(ROWS($W$2:W752),$W$2:$W$1001,0),0), INDEX($AD$1004:$AU$1004,1,MATCH(COLUMNS($AD$1006:AR1006),$AD$1006:$AU$1006,0)))),"Fix")))</f>
        <v xml:space="preserve"> </v>
      </c>
      <c r="Q752" s="4" t="str">
        <f ca="1">IF(OR(INDEX($X$2:$X$1001,MATCH(ROWS($W$2:W752),$W$2:$W$1001,0),1)&gt;=100000,INDEX($AD$1005:$AU$1005,1,MATCH(COLUMNS($AD$1006:AS1006),$AD$1006:$AU$1006,0))&gt;=100000), " ",IF(INDEX($AD$2:$AU$1001,MATCH(ROWS($W$2:W752),$W$2:$W$1001,0),MATCH(COLUMNS($AD$1006:AS1006),$AD$1006:$AU$1006,0)), HYPERLINK("#",""), HYPERLINK(CONCATENATE("#metadata!", ADDRESS(INDEX($Y$2:$Y$1001,MATCH(ROWS($W$2:W752),$W$2:$W$1001,0),0), INDEX($AD$1004:$AU$1004,1,MATCH(COLUMNS($AD$1006:AS1006),$AD$1006:$AU$1006,0)))),"Fix")))</f>
        <v xml:space="preserve"> </v>
      </c>
      <c r="R752" s="4" t="str">
        <f ca="1">IF(OR(INDEX($X$2:$X$1001,MATCH(ROWS($W$2:W752),$W$2:$W$1001,0),1)&gt;=100000,INDEX($AD$1005:$AU$1005,1,MATCH(COLUMNS($AD$1006:AT1006),$AD$1006:$AU$1006,0))&gt;=100000), " ",IF(INDEX($AD$2:$AU$1001,MATCH(ROWS($W$2:W752),$W$2:$W$1001,0),MATCH(COLUMNS($AD$1006:AT1006),$AD$1006:$AU$1006,0)), HYPERLINK("#",""), HYPERLINK(CONCATENATE("#metadata!", ADDRESS(INDEX($Y$2:$Y$1001,MATCH(ROWS($W$2:W752),$W$2:$W$1001,0),0), INDEX($AD$1004:$AU$1004,1,MATCH(COLUMNS($AD$1006:AT1006),$AD$1006:$AU$1006,0)))),"Fix")))</f>
        <v xml:space="preserve"> </v>
      </c>
      <c r="S752" s="4" t="str">
        <f ca="1">IF(OR(INDEX($X$2:$X$1001,MATCH(ROWS($W$2:W752),$W$2:$W$1001,0),1)&gt;=100000,INDEX($AD$1005:$AU$1005,1,MATCH(COLUMNS($AD$1006:AU1006),$AD$1006:$AU$1006,0))&gt;=100000), " ",IF(INDEX($AD$2:$AU$1001,MATCH(ROWS($W$2:W752),$W$2:$W$1001,0),MATCH(COLUMNS($AD$1006:AU1006),$AD$1006:$AU$1006,0)), HYPERLINK("#",""), HYPERLINK(CONCATENATE("#metadata!", ADDRESS(INDEX($Y$2:$Y$1001,MATCH(ROWS($W$2:W752),$W$2:$W$1001,0),0), INDEX($AD$1004:$AU$1004,1,MATCH(COLUMNS($AD$1006:AU1006),$AD$1006:$AU$1006,0)))),"Fix")))</f>
        <v xml:space="preserve"> </v>
      </c>
      <c r="W752">
        <v>751</v>
      </c>
      <c r="X752">
        <v>100752</v>
      </c>
      <c r="Y752">
        <v>752</v>
      </c>
      <c r="Z752" t="b">
        <f t="shared" si="11"/>
        <v>1</v>
      </c>
      <c r="AA752" t="b">
        <f>COUNTBLANK(metadata!B752:S752)=COLUMNS(metadata!B752:S752)</f>
        <v>1</v>
      </c>
      <c r="AB752" t="str">
        <v/>
      </c>
      <c r="AD752" t="b">
        <f ca="1">AND(IF(metadata!B752="",FALSE,TRUE),COUNTIF(metadata!B:B, metadata!B752) = 1,NOT(ISERROR(SUMPRODUCT(SEARCH(MID(metadata!B752,ROW(INDIRECT("1:"&amp;LEN(metadata!B752))), 1),"0123456789abcdefghijklmnopqrstuvwxyzABCDEFGHIJKLMNOPQRSTUVWXYZ.")))))</f>
        <v>0</v>
      </c>
      <c r="AE752" t="b">
        <f>OR(AND(IF(metadata!C752="",FALSE,TRUE),OR(EXACT(metadata!C752,"not applicable"),EXACT(metadata!C752,"missing: not collected"),EXACT(metadata!C752,"missing: not provided"),EXACT(metadata!C752,"missing: restricted access"))),AND(IF(metadata!C752="",FALSE,ISNUMBER(VALUE(metadata!C752))),metadata!C752&gt;0))</f>
        <v>0</v>
      </c>
      <c r="AF752" t="b">
        <f>AND(IF(metadata!D752="",FALSE,TRUE),EXACT(metadata!D752,"missing: not provided"))</f>
        <v>0</v>
      </c>
      <c r="AG752" t="b">
        <f>AND(IF(metadata!E752="",FALSE,TRUE),EXACT(metadata!E752,"Host-associated"))</f>
        <v>0</v>
      </c>
      <c r="AH752" t="b">
        <f>AND(IF(metadata!F752="",FALSE,TRUE),OR(EXACT(metadata!F752,"Animal"),EXACT(metadata!F752,"Fungus"),EXACT(metadata!F752,"Plant")))</f>
        <v>0</v>
      </c>
      <c r="AI752" t="b">
        <f>AND(IF(metadata!G752="",FALSE,TRUE),OR(EXACT(metadata!G752,"Plant secretion"),EXACT(metadata!G752,"Plant rhizosphere"),EXACT(metadata!G752,"Plant surface"),EXACT(metadata!G752,"Plant corpus"),EXACT(metadata!G752,"Fungus surface"),EXACT(metadata!G752,"Fungus corpus"),EXACT(metadata!G752,"Animal surface"),EXACT(metadata!G752,"Animal proximal gut"),EXACT(metadata!G752,"Animal corpus"),EXACT(metadata!G752,"Animal distal gut"),EXACT(metadata!G752,"Animal secretion")))</f>
        <v>0</v>
      </c>
      <c r="AJ752" t="b">
        <f>OR(AND(IF(metadata!H752="",FALSE,TRUE),OR(EXACT(metadata!H752,"missing: not collected"),EXACT(metadata!H752,"missing: not provided"),EXACT(metadata!H752,"missing: restricted access"))),AND(IF(metadata!H752="",FALSE,TRUE),OR(EXACT(metadata!H752,"organism-associated habitat"),EXACT(metadata!H752,"plant-associated habitat"),EXACT(metadata!H752,"animal-associated habitat"),EXACT(metadata!H752,"insecta-associated habitat"),EXACT(metadata!H752,"mammalia-associated habitat"),EXACT(metadata!H752,"human-associated habitat"),EXACT(metadata!H752,"livestock-associated habitat"))))</f>
        <v>0</v>
      </c>
      <c r="AK752" t="b">
        <f>AND(IF(metadata!I752="",FALSE,TRUE),EXACT(metadata!I752,"host-associated"))</f>
        <v>0</v>
      </c>
      <c r="AL752" t="b">
        <f>OR(AND(IF(metadata!J752="",FALSE,TRUE),OR(EXACT(metadata!J752,"not applicable"),EXACT(metadata!J752,"missing: not collected"),EXACT(metadata!J752,"missing: not provided"),EXACT(metadata!J752,"missing: restricted access"))),AND(IF(metadata!J752="",FALSE,ISNUMBER(VALUE(metadata!J752))),metadata!J752&gt;0))</f>
        <v>0</v>
      </c>
      <c r="AM752" t="b">
        <f>AND(IF(metadata!K752="",FALSE,TRUE),EXACT(metadata!K752,"missing: not provided"))</f>
        <v>0</v>
      </c>
      <c r="AN752" t="b">
        <f>IF(metadata!L752="",FALSE,TRUE)</f>
        <v>0</v>
      </c>
      <c r="AO752" t="b">
        <f>IF(metadata!M752="",FALSE,TRUE)</f>
        <v>0</v>
      </c>
      <c r="AP752" t="b">
        <f>OR(AND(IF(metadata!N752="",FALSE,TRUE),OR(EXACT(metadata!N752,"not applicable"),EXACT(metadata!N752,"missing: not collected"),EXACT(metadata!N752,"missing: not provided"))),AND(IF(metadata!N752="",FALSE,IF(ISERROR(INT(metadata!N752)),FALSE,INT(metadata!N752)=metadata!N752)),metadata!N752&gt;0))</f>
        <v>0</v>
      </c>
      <c r="AQ752" t="b">
        <f>AND(IF(metadata!O752="",FALSE,TRUE),EXACT(metadata!O752,"Not applicable"))</f>
        <v>0</v>
      </c>
      <c r="AR752" t="b">
        <f>OR(AND(IF(metadata!P752="",FALSE,TRUE),OR(EXACT(metadata!P752,"not applicable"),EXACT(metadata!P752,"missing: not collected"),EXACT(metadata!P752,"missing: not provided"),EXACT(metadata!P752,"missing: restricted access"))),IF(metadata!P752="",FALSE,IF(ISERROR(INT(metadata!P752)),FALSE,INT(metadata!P752)=metadata!P752)))</f>
        <v>0</v>
      </c>
      <c r="AS752" t="b">
        <f>AND(IF(metadata!Q752="",FALSE,TRUE),EXACT(metadata!Q752,"Not applicable"))</f>
        <v>0</v>
      </c>
      <c r="AT752" t="b">
        <f>OR(AND(IF(metadata!R752="",FALSE,TRUE),OR(EXACT(metadata!R752,"not applicable"),EXACT(metadata!R752,"missing: not collected"),EXACT(metadata!R752,"missing: not provided"),EXACT(metadata!R752,"missing: restricted access"))),AND(IF(metadata!R752="",FALSE,ISNUMBER(VALUE(metadata!R752))),metadata!R752&gt;0))</f>
        <v>0</v>
      </c>
      <c r="AU752" t="b">
        <f>AND(IF(metadata!S752="",FALSE,TRUE),EXACT(metadata!S752,"missing: not provided"))</f>
        <v>0</v>
      </c>
    </row>
    <row r="753" spans="1:47" x14ac:dyDescent="0.2">
      <c r="A753" s="5" t="str">
        <f ca="1">IF(B753=" "," ",HYPERLINK(CONCATENATE("#metadata!",ADDRESS(INDEX($Y$2:$Y$1001,MATCH(ROWS($W$2:W753),$W$2:$W$1001,0),0),1)),INDEX($AB$2:$AB$1001,MATCH(ROWS($W$2:W753),$W$2:$W$1001,0),0)))</f>
        <v xml:space="preserve"> </v>
      </c>
      <c r="B753" s="4" t="str">
        <f ca="1">IF(OR(INDEX($X$2:$X$1001,MATCH(ROWS($W$2:W753),$W$2:$W$1001,0),1)&gt;=100000,INDEX($AD$1005:$AU$1005,1,MATCH(COLUMNS($AD$1006:AD1006),$AD$1006:$AU$1006,0))&gt;=100000), " ",IF(INDEX($AD$2:$AU$1001,MATCH(ROWS($W$2:W753),$W$2:$W$1001,0),MATCH(COLUMNS($AD$1006:AD1006),$AD$1006:$AU$1006,0)), HYPERLINK("#",""), HYPERLINK(CONCATENATE("#metadata!", ADDRESS(INDEX($Y$2:$Y$1001,MATCH(ROWS($W$2:W753),$W$2:$W$1001,0),0), INDEX($AD$1004:$AU$1004,1,MATCH(COLUMNS($AD$1006:AD1006),$AD$1006:$AU$1006,0)))),"Fix")))</f>
        <v xml:space="preserve"> </v>
      </c>
      <c r="C753" s="4" t="str">
        <f ca="1">IF(OR(INDEX($X$2:$X$1001,MATCH(ROWS($W$2:W753),$W$2:$W$1001,0),1)&gt;=100000,INDEX($AD$1005:$AU$1005,1,MATCH(COLUMNS($AD$1006:AE1006),$AD$1006:$AU$1006,0))&gt;=100000), " ",IF(INDEX($AD$2:$AU$1001,MATCH(ROWS($W$2:W753),$W$2:$W$1001,0),MATCH(COLUMNS($AD$1006:AE1006),$AD$1006:$AU$1006,0)), HYPERLINK("#",""), HYPERLINK(CONCATENATE("#metadata!", ADDRESS(INDEX($Y$2:$Y$1001,MATCH(ROWS($W$2:W753),$W$2:$W$1001,0),0), INDEX($AD$1004:$AU$1004,1,MATCH(COLUMNS($AD$1006:AE1006),$AD$1006:$AU$1006,0)))),"Fix")))</f>
        <v xml:space="preserve"> </v>
      </c>
      <c r="D753" s="4" t="str">
        <f ca="1">IF(OR(INDEX($X$2:$X$1001,MATCH(ROWS($W$2:W753),$W$2:$W$1001,0),1)&gt;=100000,INDEX($AD$1005:$AU$1005,1,MATCH(COLUMNS($AD$1006:AF1006),$AD$1006:$AU$1006,0))&gt;=100000), " ",IF(INDEX($AD$2:$AU$1001,MATCH(ROWS($W$2:W753),$W$2:$W$1001,0),MATCH(COLUMNS($AD$1006:AF1006),$AD$1006:$AU$1006,0)), HYPERLINK("#",""), HYPERLINK(CONCATENATE("#metadata!", ADDRESS(INDEX($Y$2:$Y$1001,MATCH(ROWS($W$2:W753),$W$2:$W$1001,0),0), INDEX($AD$1004:$AU$1004,1,MATCH(COLUMNS($AD$1006:AF1006),$AD$1006:$AU$1006,0)))),"Fix")))</f>
        <v xml:space="preserve"> </v>
      </c>
      <c r="E753" s="4" t="str">
        <f ca="1">IF(OR(INDEX($X$2:$X$1001,MATCH(ROWS($W$2:W753),$W$2:$W$1001,0),1)&gt;=100000,INDEX($AD$1005:$AU$1005,1,MATCH(COLUMNS($AD$1006:AG1006),$AD$1006:$AU$1006,0))&gt;=100000), " ",IF(INDEX($AD$2:$AU$1001,MATCH(ROWS($W$2:W753),$W$2:$W$1001,0),MATCH(COLUMNS($AD$1006:AG1006),$AD$1006:$AU$1006,0)), HYPERLINK("#",""), HYPERLINK(CONCATENATE("#metadata!", ADDRESS(INDEX($Y$2:$Y$1001,MATCH(ROWS($W$2:W753),$W$2:$W$1001,0),0), INDEX($AD$1004:$AU$1004,1,MATCH(COLUMNS($AD$1006:AG1006),$AD$1006:$AU$1006,0)))),"Fix")))</f>
        <v xml:space="preserve"> </v>
      </c>
      <c r="F753" s="4" t="str">
        <f ca="1">IF(OR(INDEX($X$2:$X$1001,MATCH(ROWS($W$2:W753),$W$2:$W$1001,0),1)&gt;=100000,INDEX($AD$1005:$AU$1005,1,MATCH(COLUMNS($AD$1006:AH1006),$AD$1006:$AU$1006,0))&gt;=100000), " ",IF(INDEX($AD$2:$AU$1001,MATCH(ROWS($W$2:W753),$W$2:$W$1001,0),MATCH(COLUMNS($AD$1006:AH1006),$AD$1006:$AU$1006,0)), HYPERLINK("#",""), HYPERLINK(CONCATENATE("#metadata!", ADDRESS(INDEX($Y$2:$Y$1001,MATCH(ROWS($W$2:W753),$W$2:$W$1001,0),0), INDEX($AD$1004:$AU$1004,1,MATCH(COLUMNS($AD$1006:AH1006),$AD$1006:$AU$1006,0)))),"Fix")))</f>
        <v xml:space="preserve"> </v>
      </c>
      <c r="G753" s="4" t="str">
        <f ca="1">IF(OR(INDEX($X$2:$X$1001,MATCH(ROWS($W$2:W753),$W$2:$W$1001,0),1)&gt;=100000,INDEX($AD$1005:$AU$1005,1,MATCH(COLUMNS($AD$1006:AI1006),$AD$1006:$AU$1006,0))&gt;=100000), " ",IF(INDEX($AD$2:$AU$1001,MATCH(ROWS($W$2:W753),$W$2:$W$1001,0),MATCH(COLUMNS($AD$1006:AI1006),$AD$1006:$AU$1006,0)), HYPERLINK("#",""), HYPERLINK(CONCATENATE("#metadata!", ADDRESS(INDEX($Y$2:$Y$1001,MATCH(ROWS($W$2:W753),$W$2:$W$1001,0),0), INDEX($AD$1004:$AU$1004,1,MATCH(COLUMNS($AD$1006:AI1006),$AD$1006:$AU$1006,0)))),"Fix")))</f>
        <v xml:space="preserve"> </v>
      </c>
      <c r="H753" s="4" t="str">
        <f ca="1">IF(OR(INDEX($X$2:$X$1001,MATCH(ROWS($W$2:W753),$W$2:$W$1001,0),1)&gt;=100000,INDEX($AD$1005:$AU$1005,1,MATCH(COLUMNS($AD$1006:AJ1006),$AD$1006:$AU$1006,0))&gt;=100000), " ",IF(INDEX($AD$2:$AU$1001,MATCH(ROWS($W$2:W753),$W$2:$W$1001,0),MATCH(COLUMNS($AD$1006:AJ1006),$AD$1006:$AU$1006,0)), HYPERLINK("#",""), HYPERLINK(CONCATENATE("#metadata!", ADDRESS(INDEX($Y$2:$Y$1001,MATCH(ROWS($W$2:W753),$W$2:$W$1001,0),0), INDEX($AD$1004:$AU$1004,1,MATCH(COLUMNS($AD$1006:AJ1006),$AD$1006:$AU$1006,0)))),"Fix")))</f>
        <v xml:space="preserve"> </v>
      </c>
      <c r="I753" s="4" t="str">
        <f ca="1">IF(OR(INDEX($X$2:$X$1001,MATCH(ROWS($W$2:W753),$W$2:$W$1001,0),1)&gt;=100000,INDEX($AD$1005:$AU$1005,1,MATCH(COLUMNS($AD$1006:AK1006),$AD$1006:$AU$1006,0))&gt;=100000), " ",IF(INDEX($AD$2:$AU$1001,MATCH(ROWS($W$2:W753),$W$2:$W$1001,0),MATCH(COLUMNS($AD$1006:AK1006),$AD$1006:$AU$1006,0)), HYPERLINK("#",""), HYPERLINK(CONCATENATE("#metadata!", ADDRESS(INDEX($Y$2:$Y$1001,MATCH(ROWS($W$2:W753),$W$2:$W$1001,0),0), INDEX($AD$1004:$AU$1004,1,MATCH(COLUMNS($AD$1006:AK1006),$AD$1006:$AU$1006,0)))),"Fix")))</f>
        <v xml:space="preserve"> </v>
      </c>
      <c r="J753" s="4" t="str">
        <f ca="1">IF(OR(INDEX($X$2:$X$1001,MATCH(ROWS($W$2:W753),$W$2:$W$1001,0),1)&gt;=100000,INDEX($AD$1005:$AU$1005,1,MATCH(COLUMNS($AD$1006:AL1006),$AD$1006:$AU$1006,0))&gt;=100000), " ",IF(INDEX($AD$2:$AU$1001,MATCH(ROWS($W$2:W753),$W$2:$W$1001,0),MATCH(COLUMNS($AD$1006:AL1006),$AD$1006:$AU$1006,0)), HYPERLINK("#",""), HYPERLINK(CONCATENATE("#metadata!", ADDRESS(INDEX($Y$2:$Y$1001,MATCH(ROWS($W$2:W753),$W$2:$W$1001,0),0), INDEX($AD$1004:$AU$1004,1,MATCH(COLUMNS($AD$1006:AL1006),$AD$1006:$AU$1006,0)))),"Fix")))</f>
        <v xml:space="preserve"> </v>
      </c>
      <c r="K753" s="4" t="str">
        <f ca="1">IF(OR(INDEX($X$2:$X$1001,MATCH(ROWS($W$2:W753),$W$2:$W$1001,0),1)&gt;=100000,INDEX($AD$1005:$AU$1005,1,MATCH(COLUMNS($AD$1006:AM1006),$AD$1006:$AU$1006,0))&gt;=100000), " ",IF(INDEX($AD$2:$AU$1001,MATCH(ROWS($W$2:W753),$W$2:$W$1001,0),MATCH(COLUMNS($AD$1006:AM1006),$AD$1006:$AU$1006,0)), HYPERLINK("#",""), HYPERLINK(CONCATENATE("#metadata!", ADDRESS(INDEX($Y$2:$Y$1001,MATCH(ROWS($W$2:W753),$W$2:$W$1001,0),0), INDEX($AD$1004:$AU$1004,1,MATCH(COLUMNS($AD$1006:AM1006),$AD$1006:$AU$1006,0)))),"Fix")))</f>
        <v xml:space="preserve"> </v>
      </c>
      <c r="L753" s="4" t="str">
        <f ca="1">IF(OR(INDEX($X$2:$X$1001,MATCH(ROWS($W$2:W753),$W$2:$W$1001,0),1)&gt;=100000,INDEX($AD$1005:$AU$1005,1,MATCH(COLUMNS($AD$1006:AN1006),$AD$1006:$AU$1006,0))&gt;=100000), " ",IF(INDEX($AD$2:$AU$1001,MATCH(ROWS($W$2:W753),$W$2:$W$1001,0),MATCH(COLUMNS($AD$1006:AN1006),$AD$1006:$AU$1006,0)), HYPERLINK("#",""), HYPERLINK(CONCATENATE("#metadata!", ADDRESS(INDEX($Y$2:$Y$1001,MATCH(ROWS($W$2:W753),$W$2:$W$1001,0),0), INDEX($AD$1004:$AU$1004,1,MATCH(COLUMNS($AD$1006:AN1006),$AD$1006:$AU$1006,0)))),"Fix")))</f>
        <v xml:space="preserve"> </v>
      </c>
      <c r="M753" s="4" t="str">
        <f ca="1">IF(OR(INDEX($X$2:$X$1001,MATCH(ROWS($W$2:W753),$W$2:$W$1001,0),1)&gt;=100000,INDEX($AD$1005:$AU$1005,1,MATCH(COLUMNS($AD$1006:AO1006),$AD$1006:$AU$1006,0))&gt;=100000), " ",IF(INDEX($AD$2:$AU$1001,MATCH(ROWS($W$2:W753),$W$2:$W$1001,0),MATCH(COLUMNS($AD$1006:AO1006),$AD$1006:$AU$1006,0)), HYPERLINK("#",""), HYPERLINK(CONCATENATE("#metadata!", ADDRESS(INDEX($Y$2:$Y$1001,MATCH(ROWS($W$2:W753),$W$2:$W$1001,0),0), INDEX($AD$1004:$AU$1004,1,MATCH(COLUMNS($AD$1006:AO1006),$AD$1006:$AU$1006,0)))),"Fix")))</f>
        <v xml:space="preserve"> </v>
      </c>
      <c r="N753" s="4" t="str">
        <f ca="1">IF(OR(INDEX($X$2:$X$1001,MATCH(ROWS($W$2:W753),$W$2:$W$1001,0),1)&gt;=100000,INDEX($AD$1005:$AU$1005,1,MATCH(COLUMNS($AD$1006:AP1006),$AD$1006:$AU$1006,0))&gt;=100000), " ",IF(INDEX($AD$2:$AU$1001,MATCH(ROWS($W$2:W753),$W$2:$W$1001,0),MATCH(COLUMNS($AD$1006:AP1006),$AD$1006:$AU$1006,0)), HYPERLINK("#",""), HYPERLINK(CONCATENATE("#metadata!", ADDRESS(INDEX($Y$2:$Y$1001,MATCH(ROWS($W$2:W753),$W$2:$W$1001,0),0), INDEX($AD$1004:$AU$1004,1,MATCH(COLUMNS($AD$1006:AP1006),$AD$1006:$AU$1006,0)))),"Fix")))</f>
        <v xml:space="preserve"> </v>
      </c>
      <c r="O753" s="4" t="str">
        <f ca="1">IF(OR(INDEX($X$2:$X$1001,MATCH(ROWS($W$2:W753),$W$2:$W$1001,0),1)&gt;=100000,INDEX($AD$1005:$AU$1005,1,MATCH(COLUMNS($AD$1006:AQ1006),$AD$1006:$AU$1006,0))&gt;=100000), " ",IF(INDEX($AD$2:$AU$1001,MATCH(ROWS($W$2:W753),$W$2:$W$1001,0),MATCH(COLUMNS($AD$1006:AQ1006),$AD$1006:$AU$1006,0)), HYPERLINK("#",""), HYPERLINK(CONCATENATE("#metadata!", ADDRESS(INDEX($Y$2:$Y$1001,MATCH(ROWS($W$2:W753),$W$2:$W$1001,0),0), INDEX($AD$1004:$AU$1004,1,MATCH(COLUMNS($AD$1006:AQ1006),$AD$1006:$AU$1006,0)))),"Fix")))</f>
        <v xml:space="preserve"> </v>
      </c>
      <c r="P753" s="4" t="str">
        <f ca="1">IF(OR(INDEX($X$2:$X$1001,MATCH(ROWS($W$2:W753),$W$2:$W$1001,0),1)&gt;=100000,INDEX($AD$1005:$AU$1005,1,MATCH(COLUMNS($AD$1006:AR1006),$AD$1006:$AU$1006,0))&gt;=100000), " ",IF(INDEX($AD$2:$AU$1001,MATCH(ROWS($W$2:W753),$W$2:$W$1001,0),MATCH(COLUMNS($AD$1006:AR1006),$AD$1006:$AU$1006,0)), HYPERLINK("#",""), HYPERLINK(CONCATENATE("#metadata!", ADDRESS(INDEX($Y$2:$Y$1001,MATCH(ROWS($W$2:W753),$W$2:$W$1001,0),0), INDEX($AD$1004:$AU$1004,1,MATCH(COLUMNS($AD$1006:AR1006),$AD$1006:$AU$1006,0)))),"Fix")))</f>
        <v xml:space="preserve"> </v>
      </c>
      <c r="Q753" s="4" t="str">
        <f ca="1">IF(OR(INDEX($X$2:$X$1001,MATCH(ROWS($W$2:W753),$W$2:$W$1001,0),1)&gt;=100000,INDEX($AD$1005:$AU$1005,1,MATCH(COLUMNS($AD$1006:AS1006),$AD$1006:$AU$1006,0))&gt;=100000), " ",IF(INDEX($AD$2:$AU$1001,MATCH(ROWS($W$2:W753),$W$2:$W$1001,0),MATCH(COLUMNS($AD$1006:AS1006),$AD$1006:$AU$1006,0)), HYPERLINK("#",""), HYPERLINK(CONCATENATE("#metadata!", ADDRESS(INDEX($Y$2:$Y$1001,MATCH(ROWS($W$2:W753),$W$2:$W$1001,0),0), INDEX($AD$1004:$AU$1004,1,MATCH(COLUMNS($AD$1006:AS1006),$AD$1006:$AU$1006,0)))),"Fix")))</f>
        <v xml:space="preserve"> </v>
      </c>
      <c r="R753" s="4" t="str">
        <f ca="1">IF(OR(INDEX($X$2:$X$1001,MATCH(ROWS($W$2:W753),$W$2:$W$1001,0),1)&gt;=100000,INDEX($AD$1005:$AU$1005,1,MATCH(COLUMNS($AD$1006:AT1006),$AD$1006:$AU$1006,0))&gt;=100000), " ",IF(INDEX($AD$2:$AU$1001,MATCH(ROWS($W$2:W753),$W$2:$W$1001,0),MATCH(COLUMNS($AD$1006:AT1006),$AD$1006:$AU$1006,0)), HYPERLINK("#",""), HYPERLINK(CONCATENATE("#metadata!", ADDRESS(INDEX($Y$2:$Y$1001,MATCH(ROWS($W$2:W753),$W$2:$W$1001,0),0), INDEX($AD$1004:$AU$1004,1,MATCH(COLUMNS($AD$1006:AT1006),$AD$1006:$AU$1006,0)))),"Fix")))</f>
        <v xml:space="preserve"> </v>
      </c>
      <c r="S753" s="4" t="str">
        <f ca="1">IF(OR(INDEX($X$2:$X$1001,MATCH(ROWS($W$2:W753),$W$2:$W$1001,0),1)&gt;=100000,INDEX($AD$1005:$AU$1005,1,MATCH(COLUMNS($AD$1006:AU1006),$AD$1006:$AU$1006,0))&gt;=100000), " ",IF(INDEX($AD$2:$AU$1001,MATCH(ROWS($W$2:W753),$W$2:$W$1001,0),MATCH(COLUMNS($AD$1006:AU1006),$AD$1006:$AU$1006,0)), HYPERLINK("#",""), HYPERLINK(CONCATENATE("#metadata!", ADDRESS(INDEX($Y$2:$Y$1001,MATCH(ROWS($W$2:W753),$W$2:$W$1001,0),0), INDEX($AD$1004:$AU$1004,1,MATCH(COLUMNS($AD$1006:AU1006),$AD$1006:$AU$1006,0)))),"Fix")))</f>
        <v xml:space="preserve"> </v>
      </c>
      <c r="W753">
        <v>752</v>
      </c>
      <c r="X753">
        <v>100753</v>
      </c>
      <c r="Y753">
        <v>753</v>
      </c>
      <c r="Z753" t="b">
        <f t="shared" si="11"/>
        <v>1</v>
      </c>
      <c r="AA753" t="b">
        <f>COUNTBLANK(metadata!B753:S753)=COLUMNS(metadata!B753:S753)</f>
        <v>1</v>
      </c>
      <c r="AB753" t="str">
        <v/>
      </c>
      <c r="AD753" t="b">
        <f ca="1">AND(IF(metadata!B753="",FALSE,TRUE),COUNTIF(metadata!B:B, metadata!B753) = 1,NOT(ISERROR(SUMPRODUCT(SEARCH(MID(metadata!B753,ROW(INDIRECT("1:"&amp;LEN(metadata!B753))), 1),"0123456789abcdefghijklmnopqrstuvwxyzABCDEFGHIJKLMNOPQRSTUVWXYZ.")))))</f>
        <v>0</v>
      </c>
      <c r="AE753" t="b">
        <f>OR(AND(IF(metadata!C753="",FALSE,TRUE),OR(EXACT(metadata!C753,"not applicable"),EXACT(metadata!C753,"missing: not collected"),EXACT(metadata!C753,"missing: not provided"),EXACT(metadata!C753,"missing: restricted access"))),AND(IF(metadata!C753="",FALSE,ISNUMBER(VALUE(metadata!C753))),metadata!C753&gt;0))</f>
        <v>0</v>
      </c>
      <c r="AF753" t="b">
        <f>AND(IF(metadata!D753="",FALSE,TRUE),EXACT(metadata!D753,"missing: not provided"))</f>
        <v>0</v>
      </c>
      <c r="AG753" t="b">
        <f>AND(IF(metadata!E753="",FALSE,TRUE),EXACT(metadata!E753,"Host-associated"))</f>
        <v>0</v>
      </c>
      <c r="AH753" t="b">
        <f>AND(IF(metadata!F753="",FALSE,TRUE),OR(EXACT(metadata!F753,"Animal"),EXACT(metadata!F753,"Fungus"),EXACT(metadata!F753,"Plant")))</f>
        <v>0</v>
      </c>
      <c r="AI753" t="b">
        <f>AND(IF(metadata!G753="",FALSE,TRUE),OR(EXACT(metadata!G753,"Plant secretion"),EXACT(metadata!G753,"Plant rhizosphere"),EXACT(metadata!G753,"Plant surface"),EXACT(metadata!G753,"Plant corpus"),EXACT(metadata!G753,"Fungus surface"),EXACT(metadata!G753,"Fungus corpus"),EXACT(metadata!G753,"Animal surface"),EXACT(metadata!G753,"Animal proximal gut"),EXACT(metadata!G753,"Animal corpus"),EXACT(metadata!G753,"Animal distal gut"),EXACT(metadata!G753,"Animal secretion")))</f>
        <v>0</v>
      </c>
      <c r="AJ753" t="b">
        <f>OR(AND(IF(metadata!H753="",FALSE,TRUE),OR(EXACT(metadata!H753,"missing: not collected"),EXACT(metadata!H753,"missing: not provided"),EXACT(metadata!H753,"missing: restricted access"))),AND(IF(metadata!H753="",FALSE,TRUE),OR(EXACT(metadata!H753,"organism-associated habitat"),EXACT(metadata!H753,"plant-associated habitat"),EXACT(metadata!H753,"animal-associated habitat"),EXACT(metadata!H753,"insecta-associated habitat"),EXACT(metadata!H753,"mammalia-associated habitat"),EXACT(metadata!H753,"human-associated habitat"),EXACT(metadata!H753,"livestock-associated habitat"))))</f>
        <v>0</v>
      </c>
      <c r="AK753" t="b">
        <f>AND(IF(metadata!I753="",FALSE,TRUE),EXACT(metadata!I753,"host-associated"))</f>
        <v>0</v>
      </c>
      <c r="AL753" t="b">
        <f>OR(AND(IF(metadata!J753="",FALSE,TRUE),OR(EXACT(metadata!J753,"not applicable"),EXACT(metadata!J753,"missing: not collected"),EXACT(metadata!J753,"missing: not provided"),EXACT(metadata!J753,"missing: restricted access"))),AND(IF(metadata!J753="",FALSE,ISNUMBER(VALUE(metadata!J753))),metadata!J753&gt;0))</f>
        <v>0</v>
      </c>
      <c r="AM753" t="b">
        <f>AND(IF(metadata!K753="",FALSE,TRUE),EXACT(metadata!K753,"missing: not provided"))</f>
        <v>0</v>
      </c>
      <c r="AN753" t="b">
        <f>IF(metadata!L753="",FALSE,TRUE)</f>
        <v>0</v>
      </c>
      <c r="AO753" t="b">
        <f>IF(metadata!M753="",FALSE,TRUE)</f>
        <v>0</v>
      </c>
      <c r="AP753" t="b">
        <f>OR(AND(IF(metadata!N753="",FALSE,TRUE),OR(EXACT(metadata!N753,"not applicable"),EXACT(metadata!N753,"missing: not collected"),EXACT(metadata!N753,"missing: not provided"))),AND(IF(metadata!N753="",FALSE,IF(ISERROR(INT(metadata!N753)),FALSE,INT(metadata!N753)=metadata!N753)),metadata!N753&gt;0))</f>
        <v>0</v>
      </c>
      <c r="AQ753" t="b">
        <f>AND(IF(metadata!O753="",FALSE,TRUE),EXACT(metadata!O753,"Not applicable"))</f>
        <v>0</v>
      </c>
      <c r="AR753" t="b">
        <f>OR(AND(IF(metadata!P753="",FALSE,TRUE),OR(EXACT(metadata!P753,"not applicable"),EXACT(metadata!P753,"missing: not collected"),EXACT(metadata!P753,"missing: not provided"),EXACT(metadata!P753,"missing: restricted access"))),IF(metadata!P753="",FALSE,IF(ISERROR(INT(metadata!P753)),FALSE,INT(metadata!P753)=metadata!P753)))</f>
        <v>0</v>
      </c>
      <c r="AS753" t="b">
        <f>AND(IF(metadata!Q753="",FALSE,TRUE),EXACT(metadata!Q753,"Not applicable"))</f>
        <v>0</v>
      </c>
      <c r="AT753" t="b">
        <f>OR(AND(IF(metadata!R753="",FALSE,TRUE),OR(EXACT(metadata!R753,"not applicable"),EXACT(metadata!R753,"missing: not collected"),EXACT(metadata!R753,"missing: not provided"),EXACT(metadata!R753,"missing: restricted access"))),AND(IF(metadata!R753="",FALSE,ISNUMBER(VALUE(metadata!R753))),metadata!R753&gt;0))</f>
        <v>0</v>
      </c>
      <c r="AU753" t="b">
        <f>AND(IF(metadata!S753="",FALSE,TRUE),EXACT(metadata!S753,"missing: not provided"))</f>
        <v>0</v>
      </c>
    </row>
    <row r="754" spans="1:47" x14ac:dyDescent="0.2">
      <c r="A754" s="5" t="str">
        <f ca="1">IF(B754=" "," ",HYPERLINK(CONCATENATE("#metadata!",ADDRESS(INDEX($Y$2:$Y$1001,MATCH(ROWS($W$2:W754),$W$2:$W$1001,0),0),1)),INDEX($AB$2:$AB$1001,MATCH(ROWS($W$2:W754),$W$2:$W$1001,0),0)))</f>
        <v xml:space="preserve"> </v>
      </c>
      <c r="B754" s="4" t="str">
        <f ca="1">IF(OR(INDEX($X$2:$X$1001,MATCH(ROWS($W$2:W754),$W$2:$W$1001,0),1)&gt;=100000,INDEX($AD$1005:$AU$1005,1,MATCH(COLUMNS($AD$1006:AD1006),$AD$1006:$AU$1006,0))&gt;=100000), " ",IF(INDEX($AD$2:$AU$1001,MATCH(ROWS($W$2:W754),$W$2:$W$1001,0),MATCH(COLUMNS($AD$1006:AD1006),$AD$1006:$AU$1006,0)), HYPERLINK("#",""), HYPERLINK(CONCATENATE("#metadata!", ADDRESS(INDEX($Y$2:$Y$1001,MATCH(ROWS($W$2:W754),$W$2:$W$1001,0),0), INDEX($AD$1004:$AU$1004,1,MATCH(COLUMNS($AD$1006:AD1006),$AD$1006:$AU$1006,0)))),"Fix")))</f>
        <v xml:space="preserve"> </v>
      </c>
      <c r="C754" s="4" t="str">
        <f ca="1">IF(OR(INDEX($X$2:$X$1001,MATCH(ROWS($W$2:W754),$W$2:$W$1001,0),1)&gt;=100000,INDEX($AD$1005:$AU$1005,1,MATCH(COLUMNS($AD$1006:AE1006),$AD$1006:$AU$1006,0))&gt;=100000), " ",IF(INDEX($AD$2:$AU$1001,MATCH(ROWS($W$2:W754),$W$2:$W$1001,0),MATCH(COLUMNS($AD$1006:AE1006),$AD$1006:$AU$1006,0)), HYPERLINK("#",""), HYPERLINK(CONCATENATE("#metadata!", ADDRESS(INDEX($Y$2:$Y$1001,MATCH(ROWS($W$2:W754),$W$2:$W$1001,0),0), INDEX($AD$1004:$AU$1004,1,MATCH(COLUMNS($AD$1006:AE1006),$AD$1006:$AU$1006,0)))),"Fix")))</f>
        <v xml:space="preserve"> </v>
      </c>
      <c r="D754" s="4" t="str">
        <f ca="1">IF(OR(INDEX($X$2:$X$1001,MATCH(ROWS($W$2:W754),$W$2:$W$1001,0),1)&gt;=100000,INDEX($AD$1005:$AU$1005,1,MATCH(COLUMNS($AD$1006:AF1006),$AD$1006:$AU$1006,0))&gt;=100000), " ",IF(INDEX($AD$2:$AU$1001,MATCH(ROWS($W$2:W754),$W$2:$W$1001,0),MATCH(COLUMNS($AD$1006:AF1006),$AD$1006:$AU$1006,0)), HYPERLINK("#",""), HYPERLINK(CONCATENATE("#metadata!", ADDRESS(INDEX($Y$2:$Y$1001,MATCH(ROWS($W$2:W754),$W$2:$W$1001,0),0), INDEX($AD$1004:$AU$1004,1,MATCH(COLUMNS($AD$1006:AF1006),$AD$1006:$AU$1006,0)))),"Fix")))</f>
        <v xml:space="preserve"> </v>
      </c>
      <c r="E754" s="4" t="str">
        <f ca="1">IF(OR(INDEX($X$2:$X$1001,MATCH(ROWS($W$2:W754),$W$2:$W$1001,0),1)&gt;=100000,INDEX($AD$1005:$AU$1005,1,MATCH(COLUMNS($AD$1006:AG1006),$AD$1006:$AU$1006,0))&gt;=100000), " ",IF(INDEX($AD$2:$AU$1001,MATCH(ROWS($W$2:W754),$W$2:$W$1001,0),MATCH(COLUMNS($AD$1006:AG1006),$AD$1006:$AU$1006,0)), HYPERLINK("#",""), HYPERLINK(CONCATENATE("#metadata!", ADDRESS(INDEX($Y$2:$Y$1001,MATCH(ROWS($W$2:W754),$W$2:$W$1001,0),0), INDEX($AD$1004:$AU$1004,1,MATCH(COLUMNS($AD$1006:AG1006),$AD$1006:$AU$1006,0)))),"Fix")))</f>
        <v xml:space="preserve"> </v>
      </c>
      <c r="F754" s="4" t="str">
        <f ca="1">IF(OR(INDEX($X$2:$X$1001,MATCH(ROWS($W$2:W754),$W$2:$W$1001,0),1)&gt;=100000,INDEX($AD$1005:$AU$1005,1,MATCH(COLUMNS($AD$1006:AH1006),$AD$1006:$AU$1006,0))&gt;=100000), " ",IF(INDEX($AD$2:$AU$1001,MATCH(ROWS($W$2:W754),$W$2:$W$1001,0),MATCH(COLUMNS($AD$1006:AH1006),$AD$1006:$AU$1006,0)), HYPERLINK("#",""), HYPERLINK(CONCATENATE("#metadata!", ADDRESS(INDEX($Y$2:$Y$1001,MATCH(ROWS($W$2:W754),$W$2:$W$1001,0),0), INDEX($AD$1004:$AU$1004,1,MATCH(COLUMNS($AD$1006:AH1006),$AD$1006:$AU$1006,0)))),"Fix")))</f>
        <v xml:space="preserve"> </v>
      </c>
      <c r="G754" s="4" t="str">
        <f ca="1">IF(OR(INDEX($X$2:$X$1001,MATCH(ROWS($W$2:W754),$W$2:$W$1001,0),1)&gt;=100000,INDEX($AD$1005:$AU$1005,1,MATCH(COLUMNS($AD$1006:AI1006),$AD$1006:$AU$1006,0))&gt;=100000), " ",IF(INDEX($AD$2:$AU$1001,MATCH(ROWS($W$2:W754),$W$2:$W$1001,0),MATCH(COLUMNS($AD$1006:AI1006),$AD$1006:$AU$1006,0)), HYPERLINK("#",""), HYPERLINK(CONCATENATE("#metadata!", ADDRESS(INDEX($Y$2:$Y$1001,MATCH(ROWS($W$2:W754),$W$2:$W$1001,0),0), INDEX($AD$1004:$AU$1004,1,MATCH(COLUMNS($AD$1006:AI1006),$AD$1006:$AU$1006,0)))),"Fix")))</f>
        <v xml:space="preserve"> </v>
      </c>
      <c r="H754" s="4" t="str">
        <f ca="1">IF(OR(INDEX($X$2:$X$1001,MATCH(ROWS($W$2:W754),$W$2:$W$1001,0),1)&gt;=100000,INDEX($AD$1005:$AU$1005,1,MATCH(COLUMNS($AD$1006:AJ1006),$AD$1006:$AU$1006,0))&gt;=100000), " ",IF(INDEX($AD$2:$AU$1001,MATCH(ROWS($W$2:W754),$W$2:$W$1001,0),MATCH(COLUMNS($AD$1006:AJ1006),$AD$1006:$AU$1006,0)), HYPERLINK("#",""), HYPERLINK(CONCATENATE("#metadata!", ADDRESS(INDEX($Y$2:$Y$1001,MATCH(ROWS($W$2:W754),$W$2:$W$1001,0),0), INDEX($AD$1004:$AU$1004,1,MATCH(COLUMNS($AD$1006:AJ1006),$AD$1006:$AU$1006,0)))),"Fix")))</f>
        <v xml:space="preserve"> </v>
      </c>
      <c r="I754" s="4" t="str">
        <f ca="1">IF(OR(INDEX($X$2:$X$1001,MATCH(ROWS($W$2:W754),$W$2:$W$1001,0),1)&gt;=100000,INDEX($AD$1005:$AU$1005,1,MATCH(COLUMNS($AD$1006:AK1006),$AD$1006:$AU$1006,0))&gt;=100000), " ",IF(INDEX($AD$2:$AU$1001,MATCH(ROWS($W$2:W754),$W$2:$W$1001,0),MATCH(COLUMNS($AD$1006:AK1006),$AD$1006:$AU$1006,0)), HYPERLINK("#",""), HYPERLINK(CONCATENATE("#metadata!", ADDRESS(INDEX($Y$2:$Y$1001,MATCH(ROWS($W$2:W754),$W$2:$W$1001,0),0), INDEX($AD$1004:$AU$1004,1,MATCH(COLUMNS($AD$1006:AK1006),$AD$1006:$AU$1006,0)))),"Fix")))</f>
        <v xml:space="preserve"> </v>
      </c>
      <c r="J754" s="4" t="str">
        <f ca="1">IF(OR(INDEX($X$2:$X$1001,MATCH(ROWS($W$2:W754),$W$2:$W$1001,0),1)&gt;=100000,INDEX($AD$1005:$AU$1005,1,MATCH(COLUMNS($AD$1006:AL1006),$AD$1006:$AU$1006,0))&gt;=100000), " ",IF(INDEX($AD$2:$AU$1001,MATCH(ROWS($W$2:W754),$W$2:$W$1001,0),MATCH(COLUMNS($AD$1006:AL1006),$AD$1006:$AU$1006,0)), HYPERLINK("#",""), HYPERLINK(CONCATENATE("#metadata!", ADDRESS(INDEX($Y$2:$Y$1001,MATCH(ROWS($W$2:W754),$W$2:$W$1001,0),0), INDEX($AD$1004:$AU$1004,1,MATCH(COLUMNS($AD$1006:AL1006),$AD$1006:$AU$1006,0)))),"Fix")))</f>
        <v xml:space="preserve"> </v>
      </c>
      <c r="K754" s="4" t="str">
        <f ca="1">IF(OR(INDEX($X$2:$X$1001,MATCH(ROWS($W$2:W754),$W$2:$W$1001,0),1)&gt;=100000,INDEX($AD$1005:$AU$1005,1,MATCH(COLUMNS($AD$1006:AM1006),$AD$1006:$AU$1006,0))&gt;=100000), " ",IF(INDEX($AD$2:$AU$1001,MATCH(ROWS($W$2:W754),$W$2:$W$1001,0),MATCH(COLUMNS($AD$1006:AM1006),$AD$1006:$AU$1006,0)), HYPERLINK("#",""), HYPERLINK(CONCATENATE("#metadata!", ADDRESS(INDEX($Y$2:$Y$1001,MATCH(ROWS($W$2:W754),$W$2:$W$1001,0),0), INDEX($AD$1004:$AU$1004,1,MATCH(COLUMNS($AD$1006:AM1006),$AD$1006:$AU$1006,0)))),"Fix")))</f>
        <v xml:space="preserve"> </v>
      </c>
      <c r="L754" s="4" t="str">
        <f ca="1">IF(OR(INDEX($X$2:$X$1001,MATCH(ROWS($W$2:W754),$W$2:$W$1001,0),1)&gt;=100000,INDEX($AD$1005:$AU$1005,1,MATCH(COLUMNS($AD$1006:AN1006),$AD$1006:$AU$1006,0))&gt;=100000), " ",IF(INDEX($AD$2:$AU$1001,MATCH(ROWS($W$2:W754),$W$2:$W$1001,0),MATCH(COLUMNS($AD$1006:AN1006),$AD$1006:$AU$1006,0)), HYPERLINK("#",""), HYPERLINK(CONCATENATE("#metadata!", ADDRESS(INDEX($Y$2:$Y$1001,MATCH(ROWS($W$2:W754),$W$2:$W$1001,0),0), INDEX($AD$1004:$AU$1004,1,MATCH(COLUMNS($AD$1006:AN1006),$AD$1006:$AU$1006,0)))),"Fix")))</f>
        <v xml:space="preserve"> </v>
      </c>
      <c r="M754" s="4" t="str">
        <f ca="1">IF(OR(INDEX($X$2:$X$1001,MATCH(ROWS($W$2:W754),$W$2:$W$1001,0),1)&gt;=100000,INDEX($AD$1005:$AU$1005,1,MATCH(COLUMNS($AD$1006:AO1006),$AD$1006:$AU$1006,0))&gt;=100000), " ",IF(INDEX($AD$2:$AU$1001,MATCH(ROWS($W$2:W754),$W$2:$W$1001,0),MATCH(COLUMNS($AD$1006:AO1006),$AD$1006:$AU$1006,0)), HYPERLINK("#",""), HYPERLINK(CONCATENATE("#metadata!", ADDRESS(INDEX($Y$2:$Y$1001,MATCH(ROWS($W$2:W754),$W$2:$W$1001,0),0), INDEX($AD$1004:$AU$1004,1,MATCH(COLUMNS($AD$1006:AO1006),$AD$1006:$AU$1006,0)))),"Fix")))</f>
        <v xml:space="preserve"> </v>
      </c>
      <c r="N754" s="4" t="str">
        <f ca="1">IF(OR(INDEX($X$2:$X$1001,MATCH(ROWS($W$2:W754),$W$2:$W$1001,0),1)&gt;=100000,INDEX($AD$1005:$AU$1005,1,MATCH(COLUMNS($AD$1006:AP1006),$AD$1006:$AU$1006,0))&gt;=100000), " ",IF(INDEX($AD$2:$AU$1001,MATCH(ROWS($W$2:W754),$W$2:$W$1001,0),MATCH(COLUMNS($AD$1006:AP1006),$AD$1006:$AU$1006,0)), HYPERLINK("#",""), HYPERLINK(CONCATENATE("#metadata!", ADDRESS(INDEX($Y$2:$Y$1001,MATCH(ROWS($W$2:W754),$W$2:$W$1001,0),0), INDEX($AD$1004:$AU$1004,1,MATCH(COLUMNS($AD$1006:AP1006),$AD$1006:$AU$1006,0)))),"Fix")))</f>
        <v xml:space="preserve"> </v>
      </c>
      <c r="O754" s="4" t="str">
        <f ca="1">IF(OR(INDEX($X$2:$X$1001,MATCH(ROWS($W$2:W754),$W$2:$W$1001,0),1)&gt;=100000,INDEX($AD$1005:$AU$1005,1,MATCH(COLUMNS($AD$1006:AQ1006),$AD$1006:$AU$1006,0))&gt;=100000), " ",IF(INDEX($AD$2:$AU$1001,MATCH(ROWS($W$2:W754),$W$2:$W$1001,0),MATCH(COLUMNS($AD$1006:AQ1006),$AD$1006:$AU$1006,0)), HYPERLINK("#",""), HYPERLINK(CONCATENATE("#metadata!", ADDRESS(INDEX($Y$2:$Y$1001,MATCH(ROWS($W$2:W754),$W$2:$W$1001,0),0), INDEX($AD$1004:$AU$1004,1,MATCH(COLUMNS($AD$1006:AQ1006),$AD$1006:$AU$1006,0)))),"Fix")))</f>
        <v xml:space="preserve"> </v>
      </c>
      <c r="P754" s="4" t="str">
        <f ca="1">IF(OR(INDEX($X$2:$X$1001,MATCH(ROWS($W$2:W754),$W$2:$W$1001,0),1)&gt;=100000,INDEX($AD$1005:$AU$1005,1,MATCH(COLUMNS($AD$1006:AR1006),$AD$1006:$AU$1006,0))&gt;=100000), " ",IF(INDEX($AD$2:$AU$1001,MATCH(ROWS($W$2:W754),$W$2:$W$1001,0),MATCH(COLUMNS($AD$1006:AR1006),$AD$1006:$AU$1006,0)), HYPERLINK("#",""), HYPERLINK(CONCATENATE("#metadata!", ADDRESS(INDEX($Y$2:$Y$1001,MATCH(ROWS($W$2:W754),$W$2:$W$1001,0),0), INDEX($AD$1004:$AU$1004,1,MATCH(COLUMNS($AD$1006:AR1006),$AD$1006:$AU$1006,0)))),"Fix")))</f>
        <v xml:space="preserve"> </v>
      </c>
      <c r="Q754" s="4" t="str">
        <f ca="1">IF(OR(INDEX($X$2:$X$1001,MATCH(ROWS($W$2:W754),$W$2:$W$1001,0),1)&gt;=100000,INDEX($AD$1005:$AU$1005,1,MATCH(COLUMNS($AD$1006:AS1006),$AD$1006:$AU$1006,0))&gt;=100000), " ",IF(INDEX($AD$2:$AU$1001,MATCH(ROWS($W$2:W754),$W$2:$W$1001,0),MATCH(COLUMNS($AD$1006:AS1006),$AD$1006:$AU$1006,0)), HYPERLINK("#",""), HYPERLINK(CONCATENATE("#metadata!", ADDRESS(INDEX($Y$2:$Y$1001,MATCH(ROWS($W$2:W754),$W$2:$W$1001,0),0), INDEX($AD$1004:$AU$1004,1,MATCH(COLUMNS($AD$1006:AS1006),$AD$1006:$AU$1006,0)))),"Fix")))</f>
        <v xml:space="preserve"> </v>
      </c>
      <c r="R754" s="4" t="str">
        <f ca="1">IF(OR(INDEX($X$2:$X$1001,MATCH(ROWS($W$2:W754),$W$2:$W$1001,0),1)&gt;=100000,INDEX($AD$1005:$AU$1005,1,MATCH(COLUMNS($AD$1006:AT1006),$AD$1006:$AU$1006,0))&gt;=100000), " ",IF(INDEX($AD$2:$AU$1001,MATCH(ROWS($W$2:W754),$W$2:$W$1001,0),MATCH(COLUMNS($AD$1006:AT1006),$AD$1006:$AU$1006,0)), HYPERLINK("#",""), HYPERLINK(CONCATENATE("#metadata!", ADDRESS(INDEX($Y$2:$Y$1001,MATCH(ROWS($W$2:W754),$W$2:$W$1001,0),0), INDEX($AD$1004:$AU$1004,1,MATCH(COLUMNS($AD$1006:AT1006),$AD$1006:$AU$1006,0)))),"Fix")))</f>
        <v xml:space="preserve"> </v>
      </c>
      <c r="S754" s="4" t="str">
        <f ca="1">IF(OR(INDEX($X$2:$X$1001,MATCH(ROWS($W$2:W754),$W$2:$W$1001,0),1)&gt;=100000,INDEX($AD$1005:$AU$1005,1,MATCH(COLUMNS($AD$1006:AU1006),$AD$1006:$AU$1006,0))&gt;=100000), " ",IF(INDEX($AD$2:$AU$1001,MATCH(ROWS($W$2:W754),$W$2:$W$1001,0),MATCH(COLUMNS($AD$1006:AU1006),$AD$1006:$AU$1006,0)), HYPERLINK("#",""), HYPERLINK(CONCATENATE("#metadata!", ADDRESS(INDEX($Y$2:$Y$1001,MATCH(ROWS($W$2:W754),$W$2:$W$1001,0),0), INDEX($AD$1004:$AU$1004,1,MATCH(COLUMNS($AD$1006:AU1006),$AD$1006:$AU$1006,0)))),"Fix")))</f>
        <v xml:space="preserve"> </v>
      </c>
      <c r="W754">
        <v>753</v>
      </c>
      <c r="X754">
        <v>100754</v>
      </c>
      <c r="Y754">
        <v>754</v>
      </c>
      <c r="Z754" t="b">
        <f t="shared" si="11"/>
        <v>1</v>
      </c>
      <c r="AA754" t="b">
        <f>COUNTBLANK(metadata!B754:S754)=COLUMNS(metadata!B754:S754)</f>
        <v>1</v>
      </c>
      <c r="AB754" t="str">
        <v/>
      </c>
      <c r="AD754" t="b">
        <f ca="1">AND(IF(metadata!B754="",FALSE,TRUE),COUNTIF(metadata!B:B, metadata!B754) = 1,NOT(ISERROR(SUMPRODUCT(SEARCH(MID(metadata!B754,ROW(INDIRECT("1:"&amp;LEN(metadata!B754))), 1),"0123456789abcdefghijklmnopqrstuvwxyzABCDEFGHIJKLMNOPQRSTUVWXYZ.")))))</f>
        <v>0</v>
      </c>
      <c r="AE754" t="b">
        <f>OR(AND(IF(metadata!C754="",FALSE,TRUE),OR(EXACT(metadata!C754,"not applicable"),EXACT(metadata!C754,"missing: not collected"),EXACT(metadata!C754,"missing: not provided"),EXACT(metadata!C754,"missing: restricted access"))),AND(IF(metadata!C754="",FALSE,ISNUMBER(VALUE(metadata!C754))),metadata!C754&gt;0))</f>
        <v>0</v>
      </c>
      <c r="AF754" t="b">
        <f>AND(IF(metadata!D754="",FALSE,TRUE),EXACT(metadata!D754,"missing: not provided"))</f>
        <v>0</v>
      </c>
      <c r="AG754" t="b">
        <f>AND(IF(metadata!E754="",FALSE,TRUE),EXACT(metadata!E754,"Host-associated"))</f>
        <v>0</v>
      </c>
      <c r="AH754" t="b">
        <f>AND(IF(metadata!F754="",FALSE,TRUE),OR(EXACT(metadata!F754,"Animal"),EXACT(metadata!F754,"Fungus"),EXACT(metadata!F754,"Plant")))</f>
        <v>0</v>
      </c>
      <c r="AI754" t="b">
        <f>AND(IF(metadata!G754="",FALSE,TRUE),OR(EXACT(metadata!G754,"Plant secretion"),EXACT(metadata!G754,"Plant rhizosphere"),EXACT(metadata!G754,"Plant surface"),EXACT(metadata!G754,"Plant corpus"),EXACT(metadata!G754,"Fungus surface"),EXACT(metadata!G754,"Fungus corpus"),EXACT(metadata!G754,"Animal surface"),EXACT(metadata!G754,"Animal proximal gut"),EXACT(metadata!G754,"Animal corpus"),EXACT(metadata!G754,"Animal distal gut"),EXACT(metadata!G754,"Animal secretion")))</f>
        <v>0</v>
      </c>
      <c r="AJ754" t="b">
        <f>OR(AND(IF(metadata!H754="",FALSE,TRUE),OR(EXACT(metadata!H754,"missing: not collected"),EXACT(metadata!H754,"missing: not provided"),EXACT(metadata!H754,"missing: restricted access"))),AND(IF(metadata!H754="",FALSE,TRUE),OR(EXACT(metadata!H754,"organism-associated habitat"),EXACT(metadata!H754,"plant-associated habitat"),EXACT(metadata!H754,"animal-associated habitat"),EXACT(metadata!H754,"insecta-associated habitat"),EXACT(metadata!H754,"mammalia-associated habitat"),EXACT(metadata!H754,"human-associated habitat"),EXACT(metadata!H754,"livestock-associated habitat"))))</f>
        <v>0</v>
      </c>
      <c r="AK754" t="b">
        <f>AND(IF(metadata!I754="",FALSE,TRUE),EXACT(metadata!I754,"host-associated"))</f>
        <v>0</v>
      </c>
      <c r="AL754" t="b">
        <f>OR(AND(IF(metadata!J754="",FALSE,TRUE),OR(EXACT(metadata!J754,"not applicable"),EXACT(metadata!J754,"missing: not collected"),EXACT(metadata!J754,"missing: not provided"),EXACT(metadata!J754,"missing: restricted access"))),AND(IF(metadata!J754="",FALSE,ISNUMBER(VALUE(metadata!J754))),metadata!J754&gt;0))</f>
        <v>0</v>
      </c>
      <c r="AM754" t="b">
        <f>AND(IF(metadata!K754="",FALSE,TRUE),EXACT(metadata!K754,"missing: not provided"))</f>
        <v>0</v>
      </c>
      <c r="AN754" t="b">
        <f>IF(metadata!L754="",FALSE,TRUE)</f>
        <v>0</v>
      </c>
      <c r="AO754" t="b">
        <f>IF(metadata!M754="",FALSE,TRUE)</f>
        <v>0</v>
      </c>
      <c r="AP754" t="b">
        <f>OR(AND(IF(metadata!N754="",FALSE,TRUE),OR(EXACT(metadata!N754,"not applicable"),EXACT(metadata!N754,"missing: not collected"),EXACT(metadata!N754,"missing: not provided"))),AND(IF(metadata!N754="",FALSE,IF(ISERROR(INT(metadata!N754)),FALSE,INT(metadata!N754)=metadata!N754)),metadata!N754&gt;0))</f>
        <v>0</v>
      </c>
      <c r="AQ754" t="b">
        <f>AND(IF(metadata!O754="",FALSE,TRUE),EXACT(metadata!O754,"Not applicable"))</f>
        <v>0</v>
      </c>
      <c r="AR754" t="b">
        <f>OR(AND(IF(metadata!P754="",FALSE,TRUE),OR(EXACT(metadata!P754,"not applicable"),EXACT(metadata!P754,"missing: not collected"),EXACT(metadata!P754,"missing: not provided"),EXACT(metadata!P754,"missing: restricted access"))),IF(metadata!P754="",FALSE,IF(ISERROR(INT(metadata!P754)),FALSE,INT(metadata!P754)=metadata!P754)))</f>
        <v>0</v>
      </c>
      <c r="AS754" t="b">
        <f>AND(IF(metadata!Q754="",FALSE,TRUE),EXACT(metadata!Q754,"Not applicable"))</f>
        <v>0</v>
      </c>
      <c r="AT754" t="b">
        <f>OR(AND(IF(metadata!R754="",FALSE,TRUE),OR(EXACT(metadata!R754,"not applicable"),EXACT(metadata!R754,"missing: not collected"),EXACT(metadata!R754,"missing: not provided"),EXACT(metadata!R754,"missing: restricted access"))),AND(IF(metadata!R754="",FALSE,ISNUMBER(VALUE(metadata!R754))),metadata!R754&gt;0))</f>
        <v>0</v>
      </c>
      <c r="AU754" t="b">
        <f>AND(IF(metadata!S754="",FALSE,TRUE),EXACT(metadata!S754,"missing: not provided"))</f>
        <v>0</v>
      </c>
    </row>
    <row r="755" spans="1:47" x14ac:dyDescent="0.2">
      <c r="A755" s="5" t="str">
        <f ca="1">IF(B755=" "," ",HYPERLINK(CONCATENATE("#metadata!",ADDRESS(INDEX($Y$2:$Y$1001,MATCH(ROWS($W$2:W755),$W$2:$W$1001,0),0),1)),INDEX($AB$2:$AB$1001,MATCH(ROWS($W$2:W755),$W$2:$W$1001,0),0)))</f>
        <v xml:space="preserve"> </v>
      </c>
      <c r="B755" s="4" t="str">
        <f ca="1">IF(OR(INDEX($X$2:$X$1001,MATCH(ROWS($W$2:W755),$W$2:$W$1001,0),1)&gt;=100000,INDEX($AD$1005:$AU$1005,1,MATCH(COLUMNS($AD$1006:AD1006),$AD$1006:$AU$1006,0))&gt;=100000), " ",IF(INDEX($AD$2:$AU$1001,MATCH(ROWS($W$2:W755),$W$2:$W$1001,0),MATCH(COLUMNS($AD$1006:AD1006),$AD$1006:$AU$1006,0)), HYPERLINK("#",""), HYPERLINK(CONCATENATE("#metadata!", ADDRESS(INDEX($Y$2:$Y$1001,MATCH(ROWS($W$2:W755),$W$2:$W$1001,0),0), INDEX($AD$1004:$AU$1004,1,MATCH(COLUMNS($AD$1006:AD1006),$AD$1006:$AU$1006,0)))),"Fix")))</f>
        <v xml:space="preserve"> </v>
      </c>
      <c r="C755" s="4" t="str">
        <f ca="1">IF(OR(INDEX($X$2:$X$1001,MATCH(ROWS($W$2:W755),$W$2:$W$1001,0),1)&gt;=100000,INDEX($AD$1005:$AU$1005,1,MATCH(COLUMNS($AD$1006:AE1006),$AD$1006:$AU$1006,0))&gt;=100000), " ",IF(INDEX($AD$2:$AU$1001,MATCH(ROWS($W$2:W755),$W$2:$W$1001,0),MATCH(COLUMNS($AD$1006:AE1006),$AD$1006:$AU$1006,0)), HYPERLINK("#",""), HYPERLINK(CONCATENATE("#metadata!", ADDRESS(INDEX($Y$2:$Y$1001,MATCH(ROWS($W$2:W755),$W$2:$W$1001,0),0), INDEX($AD$1004:$AU$1004,1,MATCH(COLUMNS($AD$1006:AE1006),$AD$1006:$AU$1006,0)))),"Fix")))</f>
        <v xml:space="preserve"> </v>
      </c>
      <c r="D755" s="4" t="str">
        <f ca="1">IF(OR(INDEX($X$2:$X$1001,MATCH(ROWS($W$2:W755),$W$2:$W$1001,0),1)&gt;=100000,INDEX($AD$1005:$AU$1005,1,MATCH(COLUMNS($AD$1006:AF1006),$AD$1006:$AU$1006,0))&gt;=100000), " ",IF(INDEX($AD$2:$AU$1001,MATCH(ROWS($W$2:W755),$W$2:$W$1001,0),MATCH(COLUMNS($AD$1006:AF1006),$AD$1006:$AU$1006,0)), HYPERLINK("#",""), HYPERLINK(CONCATENATE("#metadata!", ADDRESS(INDEX($Y$2:$Y$1001,MATCH(ROWS($W$2:W755),$W$2:$W$1001,0),0), INDEX($AD$1004:$AU$1004,1,MATCH(COLUMNS($AD$1006:AF1006),$AD$1006:$AU$1006,0)))),"Fix")))</f>
        <v xml:space="preserve"> </v>
      </c>
      <c r="E755" s="4" t="str">
        <f ca="1">IF(OR(INDEX($X$2:$X$1001,MATCH(ROWS($W$2:W755),$W$2:$W$1001,0),1)&gt;=100000,INDEX($AD$1005:$AU$1005,1,MATCH(COLUMNS($AD$1006:AG1006),$AD$1006:$AU$1006,0))&gt;=100000), " ",IF(INDEX($AD$2:$AU$1001,MATCH(ROWS($W$2:W755),$W$2:$W$1001,0),MATCH(COLUMNS($AD$1006:AG1006),$AD$1006:$AU$1006,0)), HYPERLINK("#",""), HYPERLINK(CONCATENATE("#metadata!", ADDRESS(INDEX($Y$2:$Y$1001,MATCH(ROWS($W$2:W755),$W$2:$W$1001,0),0), INDEX($AD$1004:$AU$1004,1,MATCH(COLUMNS($AD$1006:AG1006),$AD$1006:$AU$1006,0)))),"Fix")))</f>
        <v xml:space="preserve"> </v>
      </c>
      <c r="F755" s="4" t="str">
        <f ca="1">IF(OR(INDEX($X$2:$X$1001,MATCH(ROWS($W$2:W755),$W$2:$W$1001,0),1)&gt;=100000,INDEX($AD$1005:$AU$1005,1,MATCH(COLUMNS($AD$1006:AH1006),$AD$1006:$AU$1006,0))&gt;=100000), " ",IF(INDEX($AD$2:$AU$1001,MATCH(ROWS($W$2:W755),$W$2:$W$1001,0),MATCH(COLUMNS($AD$1006:AH1006),$AD$1006:$AU$1006,0)), HYPERLINK("#",""), HYPERLINK(CONCATENATE("#metadata!", ADDRESS(INDEX($Y$2:$Y$1001,MATCH(ROWS($W$2:W755),$W$2:$W$1001,0),0), INDEX($AD$1004:$AU$1004,1,MATCH(COLUMNS($AD$1006:AH1006),$AD$1006:$AU$1006,0)))),"Fix")))</f>
        <v xml:space="preserve"> </v>
      </c>
      <c r="G755" s="4" t="str">
        <f ca="1">IF(OR(INDEX($X$2:$X$1001,MATCH(ROWS($W$2:W755),$W$2:$W$1001,0),1)&gt;=100000,INDEX($AD$1005:$AU$1005,1,MATCH(COLUMNS($AD$1006:AI1006),$AD$1006:$AU$1006,0))&gt;=100000), " ",IF(INDEX($AD$2:$AU$1001,MATCH(ROWS($W$2:W755),$W$2:$W$1001,0),MATCH(COLUMNS($AD$1006:AI1006),$AD$1006:$AU$1006,0)), HYPERLINK("#",""), HYPERLINK(CONCATENATE("#metadata!", ADDRESS(INDEX($Y$2:$Y$1001,MATCH(ROWS($W$2:W755),$W$2:$W$1001,0),0), INDEX($AD$1004:$AU$1004,1,MATCH(COLUMNS($AD$1006:AI1006),$AD$1006:$AU$1006,0)))),"Fix")))</f>
        <v xml:space="preserve"> </v>
      </c>
      <c r="H755" s="4" t="str">
        <f ca="1">IF(OR(INDEX($X$2:$X$1001,MATCH(ROWS($W$2:W755),$W$2:$W$1001,0),1)&gt;=100000,INDEX($AD$1005:$AU$1005,1,MATCH(COLUMNS($AD$1006:AJ1006),$AD$1006:$AU$1006,0))&gt;=100000), " ",IF(INDEX($AD$2:$AU$1001,MATCH(ROWS($W$2:W755),$W$2:$W$1001,0),MATCH(COLUMNS($AD$1006:AJ1006),$AD$1006:$AU$1006,0)), HYPERLINK("#",""), HYPERLINK(CONCATENATE("#metadata!", ADDRESS(INDEX($Y$2:$Y$1001,MATCH(ROWS($W$2:W755),$W$2:$W$1001,0),0), INDEX($AD$1004:$AU$1004,1,MATCH(COLUMNS($AD$1006:AJ1006),$AD$1006:$AU$1006,0)))),"Fix")))</f>
        <v xml:space="preserve"> </v>
      </c>
      <c r="I755" s="4" t="str">
        <f ca="1">IF(OR(INDEX($X$2:$X$1001,MATCH(ROWS($W$2:W755),$W$2:$W$1001,0),1)&gt;=100000,INDEX($AD$1005:$AU$1005,1,MATCH(COLUMNS($AD$1006:AK1006),$AD$1006:$AU$1006,0))&gt;=100000), " ",IF(INDEX($AD$2:$AU$1001,MATCH(ROWS($W$2:W755),$W$2:$W$1001,0),MATCH(COLUMNS($AD$1006:AK1006),$AD$1006:$AU$1006,0)), HYPERLINK("#",""), HYPERLINK(CONCATENATE("#metadata!", ADDRESS(INDEX($Y$2:$Y$1001,MATCH(ROWS($W$2:W755),$W$2:$W$1001,0),0), INDEX($AD$1004:$AU$1004,1,MATCH(COLUMNS($AD$1006:AK1006),$AD$1006:$AU$1006,0)))),"Fix")))</f>
        <v xml:space="preserve"> </v>
      </c>
      <c r="J755" s="4" t="str">
        <f ca="1">IF(OR(INDEX($X$2:$X$1001,MATCH(ROWS($W$2:W755),$W$2:$W$1001,0),1)&gt;=100000,INDEX($AD$1005:$AU$1005,1,MATCH(COLUMNS($AD$1006:AL1006),$AD$1006:$AU$1006,0))&gt;=100000), " ",IF(INDEX($AD$2:$AU$1001,MATCH(ROWS($W$2:W755),$W$2:$W$1001,0),MATCH(COLUMNS($AD$1006:AL1006),$AD$1006:$AU$1006,0)), HYPERLINK("#",""), HYPERLINK(CONCATENATE("#metadata!", ADDRESS(INDEX($Y$2:$Y$1001,MATCH(ROWS($W$2:W755),$W$2:$W$1001,0),0), INDEX($AD$1004:$AU$1004,1,MATCH(COLUMNS($AD$1006:AL1006),$AD$1006:$AU$1006,0)))),"Fix")))</f>
        <v xml:space="preserve"> </v>
      </c>
      <c r="K755" s="4" t="str">
        <f ca="1">IF(OR(INDEX($X$2:$X$1001,MATCH(ROWS($W$2:W755),$W$2:$W$1001,0),1)&gt;=100000,INDEX($AD$1005:$AU$1005,1,MATCH(COLUMNS($AD$1006:AM1006),$AD$1006:$AU$1006,0))&gt;=100000), " ",IF(INDEX($AD$2:$AU$1001,MATCH(ROWS($W$2:W755),$W$2:$W$1001,0),MATCH(COLUMNS($AD$1006:AM1006),$AD$1006:$AU$1006,0)), HYPERLINK("#",""), HYPERLINK(CONCATENATE("#metadata!", ADDRESS(INDEX($Y$2:$Y$1001,MATCH(ROWS($W$2:W755),$W$2:$W$1001,0),0), INDEX($AD$1004:$AU$1004,1,MATCH(COLUMNS($AD$1006:AM1006),$AD$1006:$AU$1006,0)))),"Fix")))</f>
        <v xml:space="preserve"> </v>
      </c>
      <c r="L755" s="4" t="str">
        <f ca="1">IF(OR(INDEX($X$2:$X$1001,MATCH(ROWS($W$2:W755),$W$2:$W$1001,0),1)&gt;=100000,INDEX($AD$1005:$AU$1005,1,MATCH(COLUMNS($AD$1006:AN1006),$AD$1006:$AU$1006,0))&gt;=100000), " ",IF(INDEX($AD$2:$AU$1001,MATCH(ROWS($W$2:W755),$W$2:$W$1001,0),MATCH(COLUMNS($AD$1006:AN1006),$AD$1006:$AU$1006,0)), HYPERLINK("#",""), HYPERLINK(CONCATENATE("#metadata!", ADDRESS(INDEX($Y$2:$Y$1001,MATCH(ROWS($W$2:W755),$W$2:$W$1001,0),0), INDEX($AD$1004:$AU$1004,1,MATCH(COLUMNS($AD$1006:AN1006),$AD$1006:$AU$1006,0)))),"Fix")))</f>
        <v xml:space="preserve"> </v>
      </c>
      <c r="M755" s="4" t="str">
        <f ca="1">IF(OR(INDEX($X$2:$X$1001,MATCH(ROWS($W$2:W755),$W$2:$W$1001,0),1)&gt;=100000,INDEX($AD$1005:$AU$1005,1,MATCH(COLUMNS($AD$1006:AO1006),$AD$1006:$AU$1006,0))&gt;=100000), " ",IF(INDEX($AD$2:$AU$1001,MATCH(ROWS($W$2:W755),$W$2:$W$1001,0),MATCH(COLUMNS($AD$1006:AO1006),$AD$1006:$AU$1006,0)), HYPERLINK("#",""), HYPERLINK(CONCATENATE("#metadata!", ADDRESS(INDEX($Y$2:$Y$1001,MATCH(ROWS($W$2:W755),$W$2:$W$1001,0),0), INDEX($AD$1004:$AU$1004,1,MATCH(COLUMNS($AD$1006:AO1006),$AD$1006:$AU$1006,0)))),"Fix")))</f>
        <v xml:space="preserve"> </v>
      </c>
      <c r="N755" s="4" t="str">
        <f ca="1">IF(OR(INDEX($X$2:$X$1001,MATCH(ROWS($W$2:W755),$W$2:$W$1001,0),1)&gt;=100000,INDEX($AD$1005:$AU$1005,1,MATCH(COLUMNS($AD$1006:AP1006),$AD$1006:$AU$1006,0))&gt;=100000), " ",IF(INDEX($AD$2:$AU$1001,MATCH(ROWS($W$2:W755),$W$2:$W$1001,0),MATCH(COLUMNS($AD$1006:AP1006),$AD$1006:$AU$1006,0)), HYPERLINK("#",""), HYPERLINK(CONCATENATE("#metadata!", ADDRESS(INDEX($Y$2:$Y$1001,MATCH(ROWS($W$2:W755),$W$2:$W$1001,0),0), INDEX($AD$1004:$AU$1004,1,MATCH(COLUMNS($AD$1006:AP1006),$AD$1006:$AU$1006,0)))),"Fix")))</f>
        <v xml:space="preserve"> </v>
      </c>
      <c r="O755" s="4" t="str">
        <f ca="1">IF(OR(INDEX($X$2:$X$1001,MATCH(ROWS($W$2:W755),$W$2:$W$1001,0),1)&gt;=100000,INDEX($AD$1005:$AU$1005,1,MATCH(COLUMNS($AD$1006:AQ1006),$AD$1006:$AU$1006,0))&gt;=100000), " ",IF(INDEX($AD$2:$AU$1001,MATCH(ROWS($W$2:W755),$W$2:$W$1001,0),MATCH(COLUMNS($AD$1006:AQ1006),$AD$1006:$AU$1006,0)), HYPERLINK("#",""), HYPERLINK(CONCATENATE("#metadata!", ADDRESS(INDEX($Y$2:$Y$1001,MATCH(ROWS($W$2:W755),$W$2:$W$1001,0),0), INDEX($AD$1004:$AU$1004,1,MATCH(COLUMNS($AD$1006:AQ1006),$AD$1006:$AU$1006,0)))),"Fix")))</f>
        <v xml:space="preserve"> </v>
      </c>
      <c r="P755" s="4" t="str">
        <f ca="1">IF(OR(INDEX($X$2:$X$1001,MATCH(ROWS($W$2:W755),$W$2:$W$1001,0),1)&gt;=100000,INDEX($AD$1005:$AU$1005,1,MATCH(COLUMNS($AD$1006:AR1006),$AD$1006:$AU$1006,0))&gt;=100000), " ",IF(INDEX($AD$2:$AU$1001,MATCH(ROWS($W$2:W755),$W$2:$W$1001,0),MATCH(COLUMNS($AD$1006:AR1006),$AD$1006:$AU$1006,0)), HYPERLINK("#",""), HYPERLINK(CONCATENATE("#metadata!", ADDRESS(INDEX($Y$2:$Y$1001,MATCH(ROWS($W$2:W755),$W$2:$W$1001,0),0), INDEX($AD$1004:$AU$1004,1,MATCH(COLUMNS($AD$1006:AR1006),$AD$1006:$AU$1006,0)))),"Fix")))</f>
        <v xml:space="preserve"> </v>
      </c>
      <c r="Q755" s="4" t="str">
        <f ca="1">IF(OR(INDEX($X$2:$X$1001,MATCH(ROWS($W$2:W755),$W$2:$W$1001,0),1)&gt;=100000,INDEX($AD$1005:$AU$1005,1,MATCH(COLUMNS($AD$1006:AS1006),$AD$1006:$AU$1006,0))&gt;=100000), " ",IF(INDEX($AD$2:$AU$1001,MATCH(ROWS($W$2:W755),$W$2:$W$1001,0),MATCH(COLUMNS($AD$1006:AS1006),$AD$1006:$AU$1006,0)), HYPERLINK("#",""), HYPERLINK(CONCATENATE("#metadata!", ADDRESS(INDEX($Y$2:$Y$1001,MATCH(ROWS($W$2:W755),$W$2:$W$1001,0),0), INDEX($AD$1004:$AU$1004,1,MATCH(COLUMNS($AD$1006:AS1006),$AD$1006:$AU$1006,0)))),"Fix")))</f>
        <v xml:space="preserve"> </v>
      </c>
      <c r="R755" s="4" t="str">
        <f ca="1">IF(OR(INDEX($X$2:$X$1001,MATCH(ROWS($W$2:W755),$W$2:$W$1001,0),1)&gt;=100000,INDEX($AD$1005:$AU$1005,1,MATCH(COLUMNS($AD$1006:AT1006),$AD$1006:$AU$1006,0))&gt;=100000), " ",IF(INDEX($AD$2:$AU$1001,MATCH(ROWS($W$2:W755),$W$2:$W$1001,0),MATCH(COLUMNS($AD$1006:AT1006),$AD$1006:$AU$1006,0)), HYPERLINK("#",""), HYPERLINK(CONCATENATE("#metadata!", ADDRESS(INDEX($Y$2:$Y$1001,MATCH(ROWS($W$2:W755),$W$2:$W$1001,0),0), INDEX($AD$1004:$AU$1004,1,MATCH(COLUMNS($AD$1006:AT1006),$AD$1006:$AU$1006,0)))),"Fix")))</f>
        <v xml:space="preserve"> </v>
      </c>
      <c r="S755" s="4" t="str">
        <f ca="1">IF(OR(INDEX($X$2:$X$1001,MATCH(ROWS($W$2:W755),$W$2:$W$1001,0),1)&gt;=100000,INDEX($AD$1005:$AU$1005,1,MATCH(COLUMNS($AD$1006:AU1006),$AD$1006:$AU$1006,0))&gt;=100000), " ",IF(INDEX($AD$2:$AU$1001,MATCH(ROWS($W$2:W755),$W$2:$W$1001,0),MATCH(COLUMNS($AD$1006:AU1006),$AD$1006:$AU$1006,0)), HYPERLINK("#",""), HYPERLINK(CONCATENATE("#metadata!", ADDRESS(INDEX($Y$2:$Y$1001,MATCH(ROWS($W$2:W755),$W$2:$W$1001,0),0), INDEX($AD$1004:$AU$1004,1,MATCH(COLUMNS($AD$1006:AU1006),$AD$1006:$AU$1006,0)))),"Fix")))</f>
        <v xml:space="preserve"> </v>
      </c>
      <c r="W755">
        <v>754</v>
      </c>
      <c r="X755">
        <v>100755</v>
      </c>
      <c r="Y755">
        <v>755</v>
      </c>
      <c r="Z755" t="b">
        <f t="shared" si="11"/>
        <v>1</v>
      </c>
      <c r="AA755" t="b">
        <f>COUNTBLANK(metadata!B755:S755)=COLUMNS(metadata!B755:S755)</f>
        <v>1</v>
      </c>
      <c r="AB755" t="str">
        <v/>
      </c>
      <c r="AD755" t="b">
        <f ca="1">AND(IF(metadata!B755="",FALSE,TRUE),COUNTIF(metadata!B:B, metadata!B755) = 1,NOT(ISERROR(SUMPRODUCT(SEARCH(MID(metadata!B755,ROW(INDIRECT("1:"&amp;LEN(metadata!B755))), 1),"0123456789abcdefghijklmnopqrstuvwxyzABCDEFGHIJKLMNOPQRSTUVWXYZ.")))))</f>
        <v>0</v>
      </c>
      <c r="AE755" t="b">
        <f>OR(AND(IF(metadata!C755="",FALSE,TRUE),OR(EXACT(metadata!C755,"not applicable"),EXACT(metadata!C755,"missing: not collected"),EXACT(metadata!C755,"missing: not provided"),EXACT(metadata!C755,"missing: restricted access"))),AND(IF(metadata!C755="",FALSE,ISNUMBER(VALUE(metadata!C755))),metadata!C755&gt;0))</f>
        <v>0</v>
      </c>
      <c r="AF755" t="b">
        <f>AND(IF(metadata!D755="",FALSE,TRUE),EXACT(metadata!D755,"missing: not provided"))</f>
        <v>0</v>
      </c>
      <c r="AG755" t="b">
        <f>AND(IF(metadata!E755="",FALSE,TRUE),EXACT(metadata!E755,"Host-associated"))</f>
        <v>0</v>
      </c>
      <c r="AH755" t="b">
        <f>AND(IF(metadata!F755="",FALSE,TRUE),OR(EXACT(metadata!F755,"Animal"),EXACT(metadata!F755,"Fungus"),EXACT(metadata!F755,"Plant")))</f>
        <v>0</v>
      </c>
      <c r="AI755" t="b">
        <f>AND(IF(metadata!G755="",FALSE,TRUE),OR(EXACT(metadata!G755,"Plant secretion"),EXACT(metadata!G755,"Plant rhizosphere"),EXACT(metadata!G755,"Plant surface"),EXACT(metadata!G755,"Plant corpus"),EXACT(metadata!G755,"Fungus surface"),EXACT(metadata!G755,"Fungus corpus"),EXACT(metadata!G755,"Animal surface"),EXACT(metadata!G755,"Animal proximal gut"),EXACT(metadata!G755,"Animal corpus"),EXACT(metadata!G755,"Animal distal gut"),EXACT(metadata!G755,"Animal secretion")))</f>
        <v>0</v>
      </c>
      <c r="AJ755" t="b">
        <f>OR(AND(IF(metadata!H755="",FALSE,TRUE),OR(EXACT(metadata!H755,"missing: not collected"),EXACT(metadata!H755,"missing: not provided"),EXACT(metadata!H755,"missing: restricted access"))),AND(IF(metadata!H755="",FALSE,TRUE),OR(EXACT(metadata!H755,"organism-associated habitat"),EXACT(metadata!H755,"plant-associated habitat"),EXACT(metadata!H755,"animal-associated habitat"),EXACT(metadata!H755,"insecta-associated habitat"),EXACT(metadata!H755,"mammalia-associated habitat"),EXACT(metadata!H755,"human-associated habitat"),EXACT(metadata!H755,"livestock-associated habitat"))))</f>
        <v>0</v>
      </c>
      <c r="AK755" t="b">
        <f>AND(IF(metadata!I755="",FALSE,TRUE),EXACT(metadata!I755,"host-associated"))</f>
        <v>0</v>
      </c>
      <c r="AL755" t="b">
        <f>OR(AND(IF(metadata!J755="",FALSE,TRUE),OR(EXACT(metadata!J755,"not applicable"),EXACT(metadata!J755,"missing: not collected"),EXACT(metadata!J755,"missing: not provided"),EXACT(metadata!J755,"missing: restricted access"))),AND(IF(metadata!J755="",FALSE,ISNUMBER(VALUE(metadata!J755))),metadata!J755&gt;0))</f>
        <v>0</v>
      </c>
      <c r="AM755" t="b">
        <f>AND(IF(metadata!K755="",FALSE,TRUE),EXACT(metadata!K755,"missing: not provided"))</f>
        <v>0</v>
      </c>
      <c r="AN755" t="b">
        <f>IF(metadata!L755="",FALSE,TRUE)</f>
        <v>0</v>
      </c>
      <c r="AO755" t="b">
        <f>IF(metadata!M755="",FALSE,TRUE)</f>
        <v>0</v>
      </c>
      <c r="AP755" t="b">
        <f>OR(AND(IF(metadata!N755="",FALSE,TRUE),OR(EXACT(metadata!N755,"not applicable"),EXACT(metadata!N755,"missing: not collected"),EXACT(metadata!N755,"missing: not provided"))),AND(IF(metadata!N755="",FALSE,IF(ISERROR(INT(metadata!N755)),FALSE,INT(metadata!N755)=metadata!N755)),metadata!N755&gt;0))</f>
        <v>0</v>
      </c>
      <c r="AQ755" t="b">
        <f>AND(IF(metadata!O755="",FALSE,TRUE),EXACT(metadata!O755,"Not applicable"))</f>
        <v>0</v>
      </c>
      <c r="AR755" t="b">
        <f>OR(AND(IF(metadata!P755="",FALSE,TRUE),OR(EXACT(metadata!P755,"not applicable"),EXACT(metadata!P755,"missing: not collected"),EXACT(metadata!P755,"missing: not provided"),EXACT(metadata!P755,"missing: restricted access"))),IF(metadata!P755="",FALSE,IF(ISERROR(INT(metadata!P755)),FALSE,INT(metadata!P755)=metadata!P755)))</f>
        <v>0</v>
      </c>
      <c r="AS755" t="b">
        <f>AND(IF(metadata!Q755="",FALSE,TRUE),EXACT(metadata!Q755,"Not applicable"))</f>
        <v>0</v>
      </c>
      <c r="AT755" t="b">
        <f>OR(AND(IF(metadata!R755="",FALSE,TRUE),OR(EXACT(metadata!R755,"not applicable"),EXACT(metadata!R755,"missing: not collected"),EXACT(metadata!R755,"missing: not provided"),EXACT(metadata!R755,"missing: restricted access"))),AND(IF(metadata!R755="",FALSE,ISNUMBER(VALUE(metadata!R755))),metadata!R755&gt;0))</f>
        <v>0</v>
      </c>
      <c r="AU755" t="b">
        <f>AND(IF(metadata!S755="",FALSE,TRUE),EXACT(metadata!S755,"missing: not provided"))</f>
        <v>0</v>
      </c>
    </row>
    <row r="756" spans="1:47" x14ac:dyDescent="0.2">
      <c r="A756" s="5" t="str">
        <f ca="1">IF(B756=" "," ",HYPERLINK(CONCATENATE("#metadata!",ADDRESS(INDEX($Y$2:$Y$1001,MATCH(ROWS($W$2:W756),$W$2:$W$1001,0),0),1)),INDEX($AB$2:$AB$1001,MATCH(ROWS($W$2:W756),$W$2:$W$1001,0),0)))</f>
        <v xml:space="preserve"> </v>
      </c>
      <c r="B756" s="4" t="str">
        <f ca="1">IF(OR(INDEX($X$2:$X$1001,MATCH(ROWS($W$2:W756),$W$2:$W$1001,0),1)&gt;=100000,INDEX($AD$1005:$AU$1005,1,MATCH(COLUMNS($AD$1006:AD1006),$AD$1006:$AU$1006,0))&gt;=100000), " ",IF(INDEX($AD$2:$AU$1001,MATCH(ROWS($W$2:W756),$W$2:$W$1001,0),MATCH(COLUMNS($AD$1006:AD1006),$AD$1006:$AU$1006,0)), HYPERLINK("#",""), HYPERLINK(CONCATENATE("#metadata!", ADDRESS(INDEX($Y$2:$Y$1001,MATCH(ROWS($W$2:W756),$W$2:$W$1001,0),0), INDEX($AD$1004:$AU$1004,1,MATCH(COLUMNS($AD$1006:AD1006),$AD$1006:$AU$1006,0)))),"Fix")))</f>
        <v xml:space="preserve"> </v>
      </c>
      <c r="C756" s="4" t="str">
        <f ca="1">IF(OR(INDEX($X$2:$X$1001,MATCH(ROWS($W$2:W756),$W$2:$W$1001,0),1)&gt;=100000,INDEX($AD$1005:$AU$1005,1,MATCH(COLUMNS($AD$1006:AE1006),$AD$1006:$AU$1006,0))&gt;=100000), " ",IF(INDEX($AD$2:$AU$1001,MATCH(ROWS($W$2:W756),$W$2:$W$1001,0),MATCH(COLUMNS($AD$1006:AE1006),$AD$1006:$AU$1006,0)), HYPERLINK("#",""), HYPERLINK(CONCATENATE("#metadata!", ADDRESS(INDEX($Y$2:$Y$1001,MATCH(ROWS($W$2:W756),$W$2:$W$1001,0),0), INDEX($AD$1004:$AU$1004,1,MATCH(COLUMNS($AD$1006:AE1006),$AD$1006:$AU$1006,0)))),"Fix")))</f>
        <v xml:space="preserve"> </v>
      </c>
      <c r="D756" s="4" t="str">
        <f ca="1">IF(OR(INDEX($X$2:$X$1001,MATCH(ROWS($W$2:W756),$W$2:$W$1001,0),1)&gt;=100000,INDEX($AD$1005:$AU$1005,1,MATCH(COLUMNS($AD$1006:AF1006),$AD$1006:$AU$1006,0))&gt;=100000), " ",IF(INDEX($AD$2:$AU$1001,MATCH(ROWS($W$2:W756),$W$2:$W$1001,0),MATCH(COLUMNS($AD$1006:AF1006),$AD$1006:$AU$1006,0)), HYPERLINK("#",""), HYPERLINK(CONCATENATE("#metadata!", ADDRESS(INDEX($Y$2:$Y$1001,MATCH(ROWS($W$2:W756),$W$2:$W$1001,0),0), INDEX($AD$1004:$AU$1004,1,MATCH(COLUMNS($AD$1006:AF1006),$AD$1006:$AU$1006,0)))),"Fix")))</f>
        <v xml:space="preserve"> </v>
      </c>
      <c r="E756" s="4" t="str">
        <f ca="1">IF(OR(INDEX($X$2:$X$1001,MATCH(ROWS($W$2:W756),$W$2:$W$1001,0),1)&gt;=100000,INDEX($AD$1005:$AU$1005,1,MATCH(COLUMNS($AD$1006:AG1006),$AD$1006:$AU$1006,0))&gt;=100000), " ",IF(INDEX($AD$2:$AU$1001,MATCH(ROWS($W$2:W756),$W$2:$W$1001,0),MATCH(COLUMNS($AD$1006:AG1006),$AD$1006:$AU$1006,0)), HYPERLINK("#",""), HYPERLINK(CONCATENATE("#metadata!", ADDRESS(INDEX($Y$2:$Y$1001,MATCH(ROWS($W$2:W756),$W$2:$W$1001,0),0), INDEX($AD$1004:$AU$1004,1,MATCH(COLUMNS($AD$1006:AG1006),$AD$1006:$AU$1006,0)))),"Fix")))</f>
        <v xml:space="preserve"> </v>
      </c>
      <c r="F756" s="4" t="str">
        <f ca="1">IF(OR(INDEX($X$2:$X$1001,MATCH(ROWS($W$2:W756),$W$2:$W$1001,0),1)&gt;=100000,INDEX($AD$1005:$AU$1005,1,MATCH(COLUMNS($AD$1006:AH1006),$AD$1006:$AU$1006,0))&gt;=100000), " ",IF(INDEX($AD$2:$AU$1001,MATCH(ROWS($W$2:W756),$W$2:$W$1001,0),MATCH(COLUMNS($AD$1006:AH1006),$AD$1006:$AU$1006,0)), HYPERLINK("#",""), HYPERLINK(CONCATENATE("#metadata!", ADDRESS(INDEX($Y$2:$Y$1001,MATCH(ROWS($W$2:W756),$W$2:$W$1001,0),0), INDEX($AD$1004:$AU$1004,1,MATCH(COLUMNS($AD$1006:AH1006),$AD$1006:$AU$1006,0)))),"Fix")))</f>
        <v xml:space="preserve"> </v>
      </c>
      <c r="G756" s="4" t="str">
        <f ca="1">IF(OR(INDEX($X$2:$X$1001,MATCH(ROWS($W$2:W756),$W$2:$W$1001,0),1)&gt;=100000,INDEX($AD$1005:$AU$1005,1,MATCH(COLUMNS($AD$1006:AI1006),$AD$1006:$AU$1006,0))&gt;=100000), " ",IF(INDEX($AD$2:$AU$1001,MATCH(ROWS($W$2:W756),$W$2:$W$1001,0),MATCH(COLUMNS($AD$1006:AI1006),$AD$1006:$AU$1006,0)), HYPERLINK("#",""), HYPERLINK(CONCATENATE("#metadata!", ADDRESS(INDEX($Y$2:$Y$1001,MATCH(ROWS($W$2:W756),$W$2:$W$1001,0),0), INDEX($AD$1004:$AU$1004,1,MATCH(COLUMNS($AD$1006:AI1006),$AD$1006:$AU$1006,0)))),"Fix")))</f>
        <v xml:space="preserve"> </v>
      </c>
      <c r="H756" s="4" t="str">
        <f ca="1">IF(OR(INDEX($X$2:$X$1001,MATCH(ROWS($W$2:W756),$W$2:$W$1001,0),1)&gt;=100000,INDEX($AD$1005:$AU$1005,1,MATCH(COLUMNS($AD$1006:AJ1006),$AD$1006:$AU$1006,0))&gt;=100000), " ",IF(INDEX($AD$2:$AU$1001,MATCH(ROWS($W$2:W756),$W$2:$W$1001,0),MATCH(COLUMNS($AD$1006:AJ1006),$AD$1006:$AU$1006,0)), HYPERLINK("#",""), HYPERLINK(CONCATENATE("#metadata!", ADDRESS(INDEX($Y$2:$Y$1001,MATCH(ROWS($W$2:W756),$W$2:$W$1001,0),0), INDEX($AD$1004:$AU$1004,1,MATCH(COLUMNS($AD$1006:AJ1006),$AD$1006:$AU$1006,0)))),"Fix")))</f>
        <v xml:space="preserve"> </v>
      </c>
      <c r="I756" s="4" t="str">
        <f ca="1">IF(OR(INDEX($X$2:$X$1001,MATCH(ROWS($W$2:W756),$W$2:$W$1001,0),1)&gt;=100000,INDEX($AD$1005:$AU$1005,1,MATCH(COLUMNS($AD$1006:AK1006),$AD$1006:$AU$1006,0))&gt;=100000), " ",IF(INDEX($AD$2:$AU$1001,MATCH(ROWS($W$2:W756),$W$2:$W$1001,0),MATCH(COLUMNS($AD$1006:AK1006),$AD$1006:$AU$1006,0)), HYPERLINK("#",""), HYPERLINK(CONCATENATE("#metadata!", ADDRESS(INDEX($Y$2:$Y$1001,MATCH(ROWS($W$2:W756),$W$2:$W$1001,0),0), INDEX($AD$1004:$AU$1004,1,MATCH(COLUMNS($AD$1006:AK1006),$AD$1006:$AU$1006,0)))),"Fix")))</f>
        <v xml:space="preserve"> </v>
      </c>
      <c r="J756" s="4" t="str">
        <f ca="1">IF(OR(INDEX($X$2:$X$1001,MATCH(ROWS($W$2:W756),$W$2:$W$1001,0),1)&gt;=100000,INDEX($AD$1005:$AU$1005,1,MATCH(COLUMNS($AD$1006:AL1006),$AD$1006:$AU$1006,0))&gt;=100000), " ",IF(INDEX($AD$2:$AU$1001,MATCH(ROWS($W$2:W756),$W$2:$W$1001,0),MATCH(COLUMNS($AD$1006:AL1006),$AD$1006:$AU$1006,0)), HYPERLINK("#",""), HYPERLINK(CONCATENATE("#metadata!", ADDRESS(INDEX($Y$2:$Y$1001,MATCH(ROWS($W$2:W756),$W$2:$W$1001,0),0), INDEX($AD$1004:$AU$1004,1,MATCH(COLUMNS($AD$1006:AL1006),$AD$1006:$AU$1006,0)))),"Fix")))</f>
        <v xml:space="preserve"> </v>
      </c>
      <c r="K756" s="4" t="str">
        <f ca="1">IF(OR(INDEX($X$2:$X$1001,MATCH(ROWS($W$2:W756),$W$2:$W$1001,0),1)&gt;=100000,INDEX($AD$1005:$AU$1005,1,MATCH(COLUMNS($AD$1006:AM1006),$AD$1006:$AU$1006,0))&gt;=100000), " ",IF(INDEX($AD$2:$AU$1001,MATCH(ROWS($W$2:W756),$W$2:$W$1001,0),MATCH(COLUMNS($AD$1006:AM1006),$AD$1006:$AU$1006,0)), HYPERLINK("#",""), HYPERLINK(CONCATENATE("#metadata!", ADDRESS(INDEX($Y$2:$Y$1001,MATCH(ROWS($W$2:W756),$W$2:$W$1001,0),0), INDEX($AD$1004:$AU$1004,1,MATCH(COLUMNS($AD$1006:AM1006),$AD$1006:$AU$1006,0)))),"Fix")))</f>
        <v xml:space="preserve"> </v>
      </c>
      <c r="L756" s="4" t="str">
        <f ca="1">IF(OR(INDEX($X$2:$X$1001,MATCH(ROWS($W$2:W756),$W$2:$W$1001,0),1)&gt;=100000,INDEX($AD$1005:$AU$1005,1,MATCH(COLUMNS($AD$1006:AN1006),$AD$1006:$AU$1006,0))&gt;=100000), " ",IF(INDEX($AD$2:$AU$1001,MATCH(ROWS($W$2:W756),$W$2:$W$1001,0),MATCH(COLUMNS($AD$1006:AN1006),$AD$1006:$AU$1006,0)), HYPERLINK("#",""), HYPERLINK(CONCATENATE("#metadata!", ADDRESS(INDEX($Y$2:$Y$1001,MATCH(ROWS($W$2:W756),$W$2:$W$1001,0),0), INDEX($AD$1004:$AU$1004,1,MATCH(COLUMNS($AD$1006:AN1006),$AD$1006:$AU$1006,0)))),"Fix")))</f>
        <v xml:space="preserve"> </v>
      </c>
      <c r="M756" s="4" t="str">
        <f ca="1">IF(OR(INDEX($X$2:$X$1001,MATCH(ROWS($W$2:W756),$W$2:$W$1001,0),1)&gt;=100000,INDEX($AD$1005:$AU$1005,1,MATCH(COLUMNS($AD$1006:AO1006),$AD$1006:$AU$1006,0))&gt;=100000), " ",IF(INDEX($AD$2:$AU$1001,MATCH(ROWS($W$2:W756),$W$2:$W$1001,0),MATCH(COLUMNS($AD$1006:AO1006),$AD$1006:$AU$1006,0)), HYPERLINK("#",""), HYPERLINK(CONCATENATE("#metadata!", ADDRESS(INDEX($Y$2:$Y$1001,MATCH(ROWS($W$2:W756),$W$2:$W$1001,0),0), INDEX($AD$1004:$AU$1004,1,MATCH(COLUMNS($AD$1006:AO1006),$AD$1006:$AU$1006,0)))),"Fix")))</f>
        <v xml:space="preserve"> </v>
      </c>
      <c r="N756" s="4" t="str">
        <f ca="1">IF(OR(INDEX($X$2:$X$1001,MATCH(ROWS($W$2:W756),$W$2:$W$1001,0),1)&gt;=100000,INDEX($AD$1005:$AU$1005,1,MATCH(COLUMNS($AD$1006:AP1006),$AD$1006:$AU$1006,0))&gt;=100000), " ",IF(INDEX($AD$2:$AU$1001,MATCH(ROWS($W$2:W756),$W$2:$W$1001,0),MATCH(COLUMNS($AD$1006:AP1006),$AD$1006:$AU$1006,0)), HYPERLINK("#",""), HYPERLINK(CONCATENATE("#metadata!", ADDRESS(INDEX($Y$2:$Y$1001,MATCH(ROWS($W$2:W756),$W$2:$W$1001,0),0), INDEX($AD$1004:$AU$1004,1,MATCH(COLUMNS($AD$1006:AP1006),$AD$1006:$AU$1006,0)))),"Fix")))</f>
        <v xml:space="preserve"> </v>
      </c>
      <c r="O756" s="4" t="str">
        <f ca="1">IF(OR(INDEX($X$2:$X$1001,MATCH(ROWS($W$2:W756),$W$2:$W$1001,0),1)&gt;=100000,INDEX($AD$1005:$AU$1005,1,MATCH(COLUMNS($AD$1006:AQ1006),$AD$1006:$AU$1006,0))&gt;=100000), " ",IF(INDEX($AD$2:$AU$1001,MATCH(ROWS($W$2:W756),$W$2:$W$1001,0),MATCH(COLUMNS($AD$1006:AQ1006),$AD$1006:$AU$1006,0)), HYPERLINK("#",""), HYPERLINK(CONCATENATE("#metadata!", ADDRESS(INDEX($Y$2:$Y$1001,MATCH(ROWS($W$2:W756),$W$2:$W$1001,0),0), INDEX($AD$1004:$AU$1004,1,MATCH(COLUMNS($AD$1006:AQ1006),$AD$1006:$AU$1006,0)))),"Fix")))</f>
        <v xml:space="preserve"> </v>
      </c>
      <c r="P756" s="4" t="str">
        <f ca="1">IF(OR(INDEX($X$2:$X$1001,MATCH(ROWS($W$2:W756),$W$2:$W$1001,0),1)&gt;=100000,INDEX($AD$1005:$AU$1005,1,MATCH(COLUMNS($AD$1006:AR1006),$AD$1006:$AU$1006,0))&gt;=100000), " ",IF(INDEX($AD$2:$AU$1001,MATCH(ROWS($W$2:W756),$W$2:$W$1001,0),MATCH(COLUMNS($AD$1006:AR1006),$AD$1006:$AU$1006,0)), HYPERLINK("#",""), HYPERLINK(CONCATENATE("#metadata!", ADDRESS(INDEX($Y$2:$Y$1001,MATCH(ROWS($W$2:W756),$W$2:$W$1001,0),0), INDEX($AD$1004:$AU$1004,1,MATCH(COLUMNS($AD$1006:AR1006),$AD$1006:$AU$1006,0)))),"Fix")))</f>
        <v xml:space="preserve"> </v>
      </c>
      <c r="Q756" s="4" t="str">
        <f ca="1">IF(OR(INDEX($X$2:$X$1001,MATCH(ROWS($W$2:W756),$W$2:$W$1001,0),1)&gt;=100000,INDEX($AD$1005:$AU$1005,1,MATCH(COLUMNS($AD$1006:AS1006),$AD$1006:$AU$1006,0))&gt;=100000), " ",IF(INDEX($AD$2:$AU$1001,MATCH(ROWS($W$2:W756),$W$2:$W$1001,0),MATCH(COLUMNS($AD$1006:AS1006),$AD$1006:$AU$1006,0)), HYPERLINK("#",""), HYPERLINK(CONCATENATE("#metadata!", ADDRESS(INDEX($Y$2:$Y$1001,MATCH(ROWS($W$2:W756),$W$2:$W$1001,0),0), INDEX($AD$1004:$AU$1004,1,MATCH(COLUMNS($AD$1006:AS1006),$AD$1006:$AU$1006,0)))),"Fix")))</f>
        <v xml:space="preserve"> </v>
      </c>
      <c r="R756" s="4" t="str">
        <f ca="1">IF(OR(INDEX($X$2:$X$1001,MATCH(ROWS($W$2:W756),$W$2:$W$1001,0),1)&gt;=100000,INDEX($AD$1005:$AU$1005,1,MATCH(COLUMNS($AD$1006:AT1006),$AD$1006:$AU$1006,0))&gt;=100000), " ",IF(INDEX($AD$2:$AU$1001,MATCH(ROWS($W$2:W756),$W$2:$W$1001,0),MATCH(COLUMNS($AD$1006:AT1006),$AD$1006:$AU$1006,0)), HYPERLINK("#",""), HYPERLINK(CONCATENATE("#metadata!", ADDRESS(INDEX($Y$2:$Y$1001,MATCH(ROWS($W$2:W756),$W$2:$W$1001,0),0), INDEX($AD$1004:$AU$1004,1,MATCH(COLUMNS($AD$1006:AT1006),$AD$1006:$AU$1006,0)))),"Fix")))</f>
        <v xml:space="preserve"> </v>
      </c>
      <c r="S756" s="4" t="str">
        <f ca="1">IF(OR(INDEX($X$2:$X$1001,MATCH(ROWS($W$2:W756),$W$2:$W$1001,0),1)&gt;=100000,INDEX($AD$1005:$AU$1005,1,MATCH(COLUMNS($AD$1006:AU1006),$AD$1006:$AU$1006,0))&gt;=100000), " ",IF(INDEX($AD$2:$AU$1001,MATCH(ROWS($W$2:W756),$W$2:$W$1001,0),MATCH(COLUMNS($AD$1006:AU1006),$AD$1006:$AU$1006,0)), HYPERLINK("#",""), HYPERLINK(CONCATENATE("#metadata!", ADDRESS(INDEX($Y$2:$Y$1001,MATCH(ROWS($W$2:W756),$W$2:$W$1001,0),0), INDEX($AD$1004:$AU$1004,1,MATCH(COLUMNS($AD$1006:AU1006),$AD$1006:$AU$1006,0)))),"Fix")))</f>
        <v xml:space="preserve"> </v>
      </c>
      <c r="W756">
        <v>755</v>
      </c>
      <c r="X756">
        <v>100756</v>
      </c>
      <c r="Y756">
        <v>756</v>
      </c>
      <c r="Z756" t="b">
        <f t="shared" si="11"/>
        <v>1</v>
      </c>
      <c r="AA756" t="b">
        <f>COUNTBLANK(metadata!B756:S756)=COLUMNS(metadata!B756:S756)</f>
        <v>1</v>
      </c>
      <c r="AB756" t="str">
        <v/>
      </c>
      <c r="AD756" t="b">
        <f ca="1">AND(IF(metadata!B756="",FALSE,TRUE),COUNTIF(metadata!B:B, metadata!B756) = 1,NOT(ISERROR(SUMPRODUCT(SEARCH(MID(metadata!B756,ROW(INDIRECT("1:"&amp;LEN(metadata!B756))), 1),"0123456789abcdefghijklmnopqrstuvwxyzABCDEFGHIJKLMNOPQRSTUVWXYZ.")))))</f>
        <v>0</v>
      </c>
      <c r="AE756" t="b">
        <f>OR(AND(IF(metadata!C756="",FALSE,TRUE),OR(EXACT(metadata!C756,"not applicable"),EXACT(metadata!C756,"missing: not collected"),EXACT(metadata!C756,"missing: not provided"),EXACT(metadata!C756,"missing: restricted access"))),AND(IF(metadata!C756="",FALSE,ISNUMBER(VALUE(metadata!C756))),metadata!C756&gt;0))</f>
        <v>0</v>
      </c>
      <c r="AF756" t="b">
        <f>AND(IF(metadata!D756="",FALSE,TRUE),EXACT(metadata!D756,"missing: not provided"))</f>
        <v>0</v>
      </c>
      <c r="AG756" t="b">
        <f>AND(IF(metadata!E756="",FALSE,TRUE),EXACT(metadata!E756,"Host-associated"))</f>
        <v>0</v>
      </c>
      <c r="AH756" t="b">
        <f>AND(IF(metadata!F756="",FALSE,TRUE),OR(EXACT(metadata!F756,"Animal"),EXACT(metadata!F756,"Fungus"),EXACT(metadata!F756,"Plant")))</f>
        <v>0</v>
      </c>
      <c r="AI756" t="b">
        <f>AND(IF(metadata!G756="",FALSE,TRUE),OR(EXACT(metadata!G756,"Plant secretion"),EXACT(metadata!G756,"Plant rhizosphere"),EXACT(metadata!G756,"Plant surface"),EXACT(metadata!G756,"Plant corpus"),EXACT(metadata!G756,"Fungus surface"),EXACT(metadata!G756,"Fungus corpus"),EXACT(metadata!G756,"Animal surface"),EXACT(metadata!G756,"Animal proximal gut"),EXACT(metadata!G756,"Animal corpus"),EXACT(metadata!G756,"Animal distal gut"),EXACT(metadata!G756,"Animal secretion")))</f>
        <v>0</v>
      </c>
      <c r="AJ756" t="b">
        <f>OR(AND(IF(metadata!H756="",FALSE,TRUE),OR(EXACT(metadata!H756,"missing: not collected"),EXACT(metadata!H756,"missing: not provided"),EXACT(metadata!H756,"missing: restricted access"))),AND(IF(metadata!H756="",FALSE,TRUE),OR(EXACT(metadata!H756,"organism-associated habitat"),EXACT(metadata!H756,"plant-associated habitat"),EXACT(metadata!H756,"animal-associated habitat"),EXACT(metadata!H756,"insecta-associated habitat"),EXACT(metadata!H756,"mammalia-associated habitat"),EXACT(metadata!H756,"human-associated habitat"),EXACT(metadata!H756,"livestock-associated habitat"))))</f>
        <v>0</v>
      </c>
      <c r="AK756" t="b">
        <f>AND(IF(metadata!I756="",FALSE,TRUE),EXACT(metadata!I756,"host-associated"))</f>
        <v>0</v>
      </c>
      <c r="AL756" t="b">
        <f>OR(AND(IF(metadata!J756="",FALSE,TRUE),OR(EXACT(metadata!J756,"not applicable"),EXACT(metadata!J756,"missing: not collected"),EXACT(metadata!J756,"missing: not provided"),EXACT(metadata!J756,"missing: restricted access"))),AND(IF(metadata!J756="",FALSE,ISNUMBER(VALUE(metadata!J756))),metadata!J756&gt;0))</f>
        <v>0</v>
      </c>
      <c r="AM756" t="b">
        <f>AND(IF(metadata!K756="",FALSE,TRUE),EXACT(metadata!K756,"missing: not provided"))</f>
        <v>0</v>
      </c>
      <c r="AN756" t="b">
        <f>IF(metadata!L756="",FALSE,TRUE)</f>
        <v>0</v>
      </c>
      <c r="AO756" t="b">
        <f>IF(metadata!M756="",FALSE,TRUE)</f>
        <v>0</v>
      </c>
      <c r="AP756" t="b">
        <f>OR(AND(IF(metadata!N756="",FALSE,TRUE),OR(EXACT(metadata!N756,"not applicable"),EXACT(metadata!N756,"missing: not collected"),EXACT(metadata!N756,"missing: not provided"))),AND(IF(metadata!N756="",FALSE,IF(ISERROR(INT(metadata!N756)),FALSE,INT(metadata!N756)=metadata!N756)),metadata!N756&gt;0))</f>
        <v>0</v>
      </c>
      <c r="AQ756" t="b">
        <f>AND(IF(metadata!O756="",FALSE,TRUE),EXACT(metadata!O756,"Not applicable"))</f>
        <v>0</v>
      </c>
      <c r="AR756" t="b">
        <f>OR(AND(IF(metadata!P756="",FALSE,TRUE),OR(EXACT(metadata!P756,"not applicable"),EXACT(metadata!P756,"missing: not collected"),EXACT(metadata!P756,"missing: not provided"),EXACT(metadata!P756,"missing: restricted access"))),IF(metadata!P756="",FALSE,IF(ISERROR(INT(metadata!P756)),FALSE,INT(metadata!P756)=metadata!P756)))</f>
        <v>0</v>
      </c>
      <c r="AS756" t="b">
        <f>AND(IF(metadata!Q756="",FALSE,TRUE),EXACT(metadata!Q756,"Not applicable"))</f>
        <v>0</v>
      </c>
      <c r="AT756" t="b">
        <f>OR(AND(IF(metadata!R756="",FALSE,TRUE),OR(EXACT(metadata!R756,"not applicable"),EXACT(metadata!R756,"missing: not collected"),EXACT(metadata!R756,"missing: not provided"),EXACT(metadata!R756,"missing: restricted access"))),AND(IF(metadata!R756="",FALSE,ISNUMBER(VALUE(metadata!R756))),metadata!R756&gt;0))</f>
        <v>0</v>
      </c>
      <c r="AU756" t="b">
        <f>AND(IF(metadata!S756="",FALSE,TRUE),EXACT(metadata!S756,"missing: not provided"))</f>
        <v>0</v>
      </c>
    </row>
    <row r="757" spans="1:47" x14ac:dyDescent="0.2">
      <c r="A757" s="5" t="str">
        <f ca="1">IF(B757=" "," ",HYPERLINK(CONCATENATE("#metadata!",ADDRESS(INDEX($Y$2:$Y$1001,MATCH(ROWS($W$2:W757),$W$2:$W$1001,0),0),1)),INDEX($AB$2:$AB$1001,MATCH(ROWS($W$2:W757),$W$2:$W$1001,0),0)))</f>
        <v xml:space="preserve"> </v>
      </c>
      <c r="B757" s="4" t="str">
        <f ca="1">IF(OR(INDEX($X$2:$X$1001,MATCH(ROWS($W$2:W757),$W$2:$W$1001,0),1)&gt;=100000,INDEX($AD$1005:$AU$1005,1,MATCH(COLUMNS($AD$1006:AD1006),$AD$1006:$AU$1006,0))&gt;=100000), " ",IF(INDEX($AD$2:$AU$1001,MATCH(ROWS($W$2:W757),$W$2:$W$1001,0),MATCH(COLUMNS($AD$1006:AD1006),$AD$1006:$AU$1006,0)), HYPERLINK("#",""), HYPERLINK(CONCATENATE("#metadata!", ADDRESS(INDEX($Y$2:$Y$1001,MATCH(ROWS($W$2:W757),$W$2:$W$1001,0),0), INDEX($AD$1004:$AU$1004,1,MATCH(COLUMNS($AD$1006:AD1006),$AD$1006:$AU$1006,0)))),"Fix")))</f>
        <v xml:space="preserve"> </v>
      </c>
      <c r="C757" s="4" t="str">
        <f ca="1">IF(OR(INDEX($X$2:$X$1001,MATCH(ROWS($W$2:W757),$W$2:$W$1001,0),1)&gt;=100000,INDEX($AD$1005:$AU$1005,1,MATCH(COLUMNS($AD$1006:AE1006),$AD$1006:$AU$1006,0))&gt;=100000), " ",IF(INDEX($AD$2:$AU$1001,MATCH(ROWS($W$2:W757),$W$2:$W$1001,0),MATCH(COLUMNS($AD$1006:AE1006),$AD$1006:$AU$1006,0)), HYPERLINK("#",""), HYPERLINK(CONCATENATE("#metadata!", ADDRESS(INDEX($Y$2:$Y$1001,MATCH(ROWS($W$2:W757),$W$2:$W$1001,0),0), INDEX($AD$1004:$AU$1004,1,MATCH(COLUMNS($AD$1006:AE1006),$AD$1006:$AU$1006,0)))),"Fix")))</f>
        <v xml:space="preserve"> </v>
      </c>
      <c r="D757" s="4" t="str">
        <f ca="1">IF(OR(INDEX($X$2:$X$1001,MATCH(ROWS($W$2:W757),$W$2:$W$1001,0),1)&gt;=100000,INDEX($AD$1005:$AU$1005,1,MATCH(COLUMNS($AD$1006:AF1006),$AD$1006:$AU$1006,0))&gt;=100000), " ",IF(INDEX($AD$2:$AU$1001,MATCH(ROWS($W$2:W757),$W$2:$W$1001,0),MATCH(COLUMNS($AD$1006:AF1006),$AD$1006:$AU$1006,0)), HYPERLINK("#",""), HYPERLINK(CONCATENATE("#metadata!", ADDRESS(INDEX($Y$2:$Y$1001,MATCH(ROWS($W$2:W757),$W$2:$W$1001,0),0), INDEX($AD$1004:$AU$1004,1,MATCH(COLUMNS($AD$1006:AF1006),$AD$1006:$AU$1006,0)))),"Fix")))</f>
        <v xml:space="preserve"> </v>
      </c>
      <c r="E757" s="4" t="str">
        <f ca="1">IF(OR(INDEX($X$2:$X$1001,MATCH(ROWS($W$2:W757),$W$2:$W$1001,0),1)&gt;=100000,INDEX($AD$1005:$AU$1005,1,MATCH(COLUMNS($AD$1006:AG1006),$AD$1006:$AU$1006,0))&gt;=100000), " ",IF(INDEX($AD$2:$AU$1001,MATCH(ROWS($W$2:W757),$W$2:$W$1001,0),MATCH(COLUMNS($AD$1006:AG1006),$AD$1006:$AU$1006,0)), HYPERLINK("#",""), HYPERLINK(CONCATENATE("#metadata!", ADDRESS(INDEX($Y$2:$Y$1001,MATCH(ROWS($W$2:W757),$W$2:$W$1001,0),0), INDEX($AD$1004:$AU$1004,1,MATCH(COLUMNS($AD$1006:AG1006),$AD$1006:$AU$1006,0)))),"Fix")))</f>
        <v xml:space="preserve"> </v>
      </c>
      <c r="F757" s="4" t="str">
        <f ca="1">IF(OR(INDEX($X$2:$X$1001,MATCH(ROWS($W$2:W757),$W$2:$W$1001,0),1)&gt;=100000,INDEX($AD$1005:$AU$1005,1,MATCH(COLUMNS($AD$1006:AH1006),$AD$1006:$AU$1006,0))&gt;=100000), " ",IF(INDEX($AD$2:$AU$1001,MATCH(ROWS($W$2:W757),$W$2:$W$1001,0),MATCH(COLUMNS($AD$1006:AH1006),$AD$1006:$AU$1006,0)), HYPERLINK("#",""), HYPERLINK(CONCATENATE("#metadata!", ADDRESS(INDEX($Y$2:$Y$1001,MATCH(ROWS($W$2:W757),$W$2:$W$1001,0),0), INDEX($AD$1004:$AU$1004,1,MATCH(COLUMNS($AD$1006:AH1006),$AD$1006:$AU$1006,0)))),"Fix")))</f>
        <v xml:space="preserve"> </v>
      </c>
      <c r="G757" s="4" t="str">
        <f ca="1">IF(OR(INDEX($X$2:$X$1001,MATCH(ROWS($W$2:W757),$W$2:$W$1001,0),1)&gt;=100000,INDEX($AD$1005:$AU$1005,1,MATCH(COLUMNS($AD$1006:AI1006),$AD$1006:$AU$1006,0))&gt;=100000), " ",IF(INDEX($AD$2:$AU$1001,MATCH(ROWS($W$2:W757),$W$2:$W$1001,0),MATCH(COLUMNS($AD$1006:AI1006),$AD$1006:$AU$1006,0)), HYPERLINK("#",""), HYPERLINK(CONCATENATE("#metadata!", ADDRESS(INDEX($Y$2:$Y$1001,MATCH(ROWS($W$2:W757),$W$2:$W$1001,0),0), INDEX($AD$1004:$AU$1004,1,MATCH(COLUMNS($AD$1006:AI1006),$AD$1006:$AU$1006,0)))),"Fix")))</f>
        <v xml:space="preserve"> </v>
      </c>
      <c r="H757" s="4" t="str">
        <f ca="1">IF(OR(INDEX($X$2:$X$1001,MATCH(ROWS($W$2:W757),$W$2:$W$1001,0),1)&gt;=100000,INDEX($AD$1005:$AU$1005,1,MATCH(COLUMNS($AD$1006:AJ1006),$AD$1006:$AU$1006,0))&gt;=100000), " ",IF(INDEX($AD$2:$AU$1001,MATCH(ROWS($W$2:W757),$W$2:$W$1001,0),MATCH(COLUMNS($AD$1006:AJ1006),$AD$1006:$AU$1006,0)), HYPERLINK("#",""), HYPERLINK(CONCATENATE("#metadata!", ADDRESS(INDEX($Y$2:$Y$1001,MATCH(ROWS($W$2:W757),$W$2:$W$1001,0),0), INDEX($AD$1004:$AU$1004,1,MATCH(COLUMNS($AD$1006:AJ1006),$AD$1006:$AU$1006,0)))),"Fix")))</f>
        <v xml:space="preserve"> </v>
      </c>
      <c r="I757" s="4" t="str">
        <f ca="1">IF(OR(INDEX($X$2:$X$1001,MATCH(ROWS($W$2:W757),$W$2:$W$1001,0),1)&gt;=100000,INDEX($AD$1005:$AU$1005,1,MATCH(COLUMNS($AD$1006:AK1006),$AD$1006:$AU$1006,0))&gt;=100000), " ",IF(INDEX($AD$2:$AU$1001,MATCH(ROWS($W$2:W757),$W$2:$W$1001,0),MATCH(COLUMNS($AD$1006:AK1006),$AD$1006:$AU$1006,0)), HYPERLINK("#",""), HYPERLINK(CONCATENATE("#metadata!", ADDRESS(INDEX($Y$2:$Y$1001,MATCH(ROWS($W$2:W757),$W$2:$W$1001,0),0), INDEX($AD$1004:$AU$1004,1,MATCH(COLUMNS($AD$1006:AK1006),$AD$1006:$AU$1006,0)))),"Fix")))</f>
        <v xml:space="preserve"> </v>
      </c>
      <c r="J757" s="4" t="str">
        <f ca="1">IF(OR(INDEX($X$2:$X$1001,MATCH(ROWS($W$2:W757),$W$2:$W$1001,0),1)&gt;=100000,INDEX($AD$1005:$AU$1005,1,MATCH(COLUMNS($AD$1006:AL1006),$AD$1006:$AU$1006,0))&gt;=100000), " ",IF(INDEX($AD$2:$AU$1001,MATCH(ROWS($W$2:W757),$W$2:$W$1001,0),MATCH(COLUMNS($AD$1006:AL1006),$AD$1006:$AU$1006,0)), HYPERLINK("#",""), HYPERLINK(CONCATENATE("#metadata!", ADDRESS(INDEX($Y$2:$Y$1001,MATCH(ROWS($W$2:W757),$W$2:$W$1001,0),0), INDEX($AD$1004:$AU$1004,1,MATCH(COLUMNS($AD$1006:AL1006),$AD$1006:$AU$1006,0)))),"Fix")))</f>
        <v xml:space="preserve"> </v>
      </c>
      <c r="K757" s="4" t="str">
        <f ca="1">IF(OR(INDEX($X$2:$X$1001,MATCH(ROWS($W$2:W757),$W$2:$W$1001,0),1)&gt;=100000,INDEX($AD$1005:$AU$1005,1,MATCH(COLUMNS($AD$1006:AM1006),$AD$1006:$AU$1006,0))&gt;=100000), " ",IF(INDEX($AD$2:$AU$1001,MATCH(ROWS($W$2:W757),$W$2:$W$1001,0),MATCH(COLUMNS($AD$1006:AM1006),$AD$1006:$AU$1006,0)), HYPERLINK("#",""), HYPERLINK(CONCATENATE("#metadata!", ADDRESS(INDEX($Y$2:$Y$1001,MATCH(ROWS($W$2:W757),$W$2:$W$1001,0),0), INDEX($AD$1004:$AU$1004,1,MATCH(COLUMNS($AD$1006:AM1006),$AD$1006:$AU$1006,0)))),"Fix")))</f>
        <v xml:space="preserve"> </v>
      </c>
      <c r="L757" s="4" t="str">
        <f ca="1">IF(OR(INDEX($X$2:$X$1001,MATCH(ROWS($W$2:W757),$W$2:$W$1001,0),1)&gt;=100000,INDEX($AD$1005:$AU$1005,1,MATCH(COLUMNS($AD$1006:AN1006),$AD$1006:$AU$1006,0))&gt;=100000), " ",IF(INDEX($AD$2:$AU$1001,MATCH(ROWS($W$2:W757),$W$2:$W$1001,0),MATCH(COLUMNS($AD$1006:AN1006),$AD$1006:$AU$1006,0)), HYPERLINK("#",""), HYPERLINK(CONCATENATE("#metadata!", ADDRESS(INDEX($Y$2:$Y$1001,MATCH(ROWS($W$2:W757),$W$2:$W$1001,0),0), INDEX($AD$1004:$AU$1004,1,MATCH(COLUMNS($AD$1006:AN1006),$AD$1006:$AU$1006,0)))),"Fix")))</f>
        <v xml:space="preserve"> </v>
      </c>
      <c r="M757" s="4" t="str">
        <f ca="1">IF(OR(INDEX($X$2:$X$1001,MATCH(ROWS($W$2:W757),$W$2:$W$1001,0),1)&gt;=100000,INDEX($AD$1005:$AU$1005,1,MATCH(COLUMNS($AD$1006:AO1006),$AD$1006:$AU$1006,0))&gt;=100000), " ",IF(INDEX($AD$2:$AU$1001,MATCH(ROWS($W$2:W757),$W$2:$W$1001,0),MATCH(COLUMNS($AD$1006:AO1006),$AD$1006:$AU$1006,0)), HYPERLINK("#",""), HYPERLINK(CONCATENATE("#metadata!", ADDRESS(INDEX($Y$2:$Y$1001,MATCH(ROWS($W$2:W757),$W$2:$W$1001,0),0), INDEX($AD$1004:$AU$1004,1,MATCH(COLUMNS($AD$1006:AO1006),$AD$1006:$AU$1006,0)))),"Fix")))</f>
        <v xml:space="preserve"> </v>
      </c>
      <c r="N757" s="4" t="str">
        <f ca="1">IF(OR(INDEX($X$2:$X$1001,MATCH(ROWS($W$2:W757),$W$2:$W$1001,0),1)&gt;=100000,INDEX($AD$1005:$AU$1005,1,MATCH(COLUMNS($AD$1006:AP1006),$AD$1006:$AU$1006,0))&gt;=100000), " ",IF(INDEX($AD$2:$AU$1001,MATCH(ROWS($W$2:W757),$W$2:$W$1001,0),MATCH(COLUMNS($AD$1006:AP1006),$AD$1006:$AU$1006,0)), HYPERLINK("#",""), HYPERLINK(CONCATENATE("#metadata!", ADDRESS(INDEX($Y$2:$Y$1001,MATCH(ROWS($W$2:W757),$W$2:$W$1001,0),0), INDEX($AD$1004:$AU$1004,1,MATCH(COLUMNS($AD$1006:AP1006),$AD$1006:$AU$1006,0)))),"Fix")))</f>
        <v xml:space="preserve"> </v>
      </c>
      <c r="O757" s="4" t="str">
        <f ca="1">IF(OR(INDEX($X$2:$X$1001,MATCH(ROWS($W$2:W757),$W$2:$W$1001,0),1)&gt;=100000,INDEX($AD$1005:$AU$1005,1,MATCH(COLUMNS($AD$1006:AQ1006),$AD$1006:$AU$1006,0))&gt;=100000), " ",IF(INDEX($AD$2:$AU$1001,MATCH(ROWS($W$2:W757),$W$2:$W$1001,0),MATCH(COLUMNS($AD$1006:AQ1006),$AD$1006:$AU$1006,0)), HYPERLINK("#",""), HYPERLINK(CONCATENATE("#metadata!", ADDRESS(INDEX($Y$2:$Y$1001,MATCH(ROWS($W$2:W757),$W$2:$W$1001,0),0), INDEX($AD$1004:$AU$1004,1,MATCH(COLUMNS($AD$1006:AQ1006),$AD$1006:$AU$1006,0)))),"Fix")))</f>
        <v xml:space="preserve"> </v>
      </c>
      <c r="P757" s="4" t="str">
        <f ca="1">IF(OR(INDEX($X$2:$X$1001,MATCH(ROWS($W$2:W757),$W$2:$W$1001,0),1)&gt;=100000,INDEX($AD$1005:$AU$1005,1,MATCH(COLUMNS($AD$1006:AR1006),$AD$1006:$AU$1006,0))&gt;=100000), " ",IF(INDEX($AD$2:$AU$1001,MATCH(ROWS($W$2:W757),$W$2:$W$1001,0),MATCH(COLUMNS($AD$1006:AR1006),$AD$1006:$AU$1006,0)), HYPERLINK("#",""), HYPERLINK(CONCATENATE("#metadata!", ADDRESS(INDEX($Y$2:$Y$1001,MATCH(ROWS($W$2:W757),$W$2:$W$1001,0),0), INDEX($AD$1004:$AU$1004,1,MATCH(COLUMNS($AD$1006:AR1006),$AD$1006:$AU$1006,0)))),"Fix")))</f>
        <v xml:space="preserve"> </v>
      </c>
      <c r="Q757" s="4" t="str">
        <f ca="1">IF(OR(INDEX($X$2:$X$1001,MATCH(ROWS($W$2:W757),$W$2:$W$1001,0),1)&gt;=100000,INDEX($AD$1005:$AU$1005,1,MATCH(COLUMNS($AD$1006:AS1006),$AD$1006:$AU$1006,0))&gt;=100000), " ",IF(INDEX($AD$2:$AU$1001,MATCH(ROWS($W$2:W757),$W$2:$W$1001,0),MATCH(COLUMNS($AD$1006:AS1006),$AD$1006:$AU$1006,0)), HYPERLINK("#",""), HYPERLINK(CONCATENATE("#metadata!", ADDRESS(INDEX($Y$2:$Y$1001,MATCH(ROWS($W$2:W757),$W$2:$W$1001,0),0), INDEX($AD$1004:$AU$1004,1,MATCH(COLUMNS($AD$1006:AS1006),$AD$1006:$AU$1006,0)))),"Fix")))</f>
        <v xml:space="preserve"> </v>
      </c>
      <c r="R757" s="4" t="str">
        <f ca="1">IF(OR(INDEX($X$2:$X$1001,MATCH(ROWS($W$2:W757),$W$2:$W$1001,0),1)&gt;=100000,INDEX($AD$1005:$AU$1005,1,MATCH(COLUMNS($AD$1006:AT1006),$AD$1006:$AU$1006,0))&gt;=100000), " ",IF(INDEX($AD$2:$AU$1001,MATCH(ROWS($W$2:W757),$W$2:$W$1001,0),MATCH(COLUMNS($AD$1006:AT1006),$AD$1006:$AU$1006,0)), HYPERLINK("#",""), HYPERLINK(CONCATENATE("#metadata!", ADDRESS(INDEX($Y$2:$Y$1001,MATCH(ROWS($W$2:W757),$W$2:$W$1001,0),0), INDEX($AD$1004:$AU$1004,1,MATCH(COLUMNS($AD$1006:AT1006),$AD$1006:$AU$1006,0)))),"Fix")))</f>
        <v xml:space="preserve"> </v>
      </c>
      <c r="S757" s="4" t="str">
        <f ca="1">IF(OR(INDEX($X$2:$X$1001,MATCH(ROWS($W$2:W757),$W$2:$W$1001,0),1)&gt;=100000,INDEX($AD$1005:$AU$1005,1,MATCH(COLUMNS($AD$1006:AU1006),$AD$1006:$AU$1006,0))&gt;=100000), " ",IF(INDEX($AD$2:$AU$1001,MATCH(ROWS($W$2:W757),$W$2:$W$1001,0),MATCH(COLUMNS($AD$1006:AU1006),$AD$1006:$AU$1006,0)), HYPERLINK("#",""), HYPERLINK(CONCATENATE("#metadata!", ADDRESS(INDEX($Y$2:$Y$1001,MATCH(ROWS($W$2:W757),$W$2:$W$1001,0),0), INDEX($AD$1004:$AU$1004,1,MATCH(COLUMNS($AD$1006:AU1006),$AD$1006:$AU$1006,0)))),"Fix")))</f>
        <v xml:space="preserve"> </v>
      </c>
      <c r="W757">
        <v>756</v>
      </c>
      <c r="X757">
        <v>100757</v>
      </c>
      <c r="Y757">
        <v>757</v>
      </c>
      <c r="Z757" t="b">
        <f t="shared" si="11"/>
        <v>1</v>
      </c>
      <c r="AA757" t="b">
        <f>COUNTBLANK(metadata!B757:S757)=COLUMNS(metadata!B757:S757)</f>
        <v>1</v>
      </c>
      <c r="AB757" t="str">
        <v/>
      </c>
      <c r="AD757" t="b">
        <f ca="1">AND(IF(metadata!B757="",FALSE,TRUE),COUNTIF(metadata!B:B, metadata!B757) = 1,NOT(ISERROR(SUMPRODUCT(SEARCH(MID(metadata!B757,ROW(INDIRECT("1:"&amp;LEN(metadata!B757))), 1),"0123456789abcdefghijklmnopqrstuvwxyzABCDEFGHIJKLMNOPQRSTUVWXYZ.")))))</f>
        <v>0</v>
      </c>
      <c r="AE757" t="b">
        <f>OR(AND(IF(metadata!C757="",FALSE,TRUE),OR(EXACT(metadata!C757,"not applicable"),EXACT(metadata!C757,"missing: not collected"),EXACT(metadata!C757,"missing: not provided"),EXACT(metadata!C757,"missing: restricted access"))),AND(IF(metadata!C757="",FALSE,ISNUMBER(VALUE(metadata!C757))),metadata!C757&gt;0))</f>
        <v>0</v>
      </c>
      <c r="AF757" t="b">
        <f>AND(IF(metadata!D757="",FALSE,TRUE),EXACT(metadata!D757,"missing: not provided"))</f>
        <v>0</v>
      </c>
      <c r="AG757" t="b">
        <f>AND(IF(metadata!E757="",FALSE,TRUE),EXACT(metadata!E757,"Host-associated"))</f>
        <v>0</v>
      </c>
      <c r="AH757" t="b">
        <f>AND(IF(metadata!F757="",FALSE,TRUE),OR(EXACT(metadata!F757,"Animal"),EXACT(metadata!F757,"Fungus"),EXACT(metadata!F757,"Plant")))</f>
        <v>0</v>
      </c>
      <c r="AI757" t="b">
        <f>AND(IF(metadata!G757="",FALSE,TRUE),OR(EXACT(metadata!G757,"Plant secretion"),EXACT(metadata!G757,"Plant rhizosphere"),EXACT(metadata!G757,"Plant surface"),EXACT(metadata!G757,"Plant corpus"),EXACT(metadata!G757,"Fungus surface"),EXACT(metadata!G757,"Fungus corpus"),EXACT(metadata!G757,"Animal surface"),EXACT(metadata!G757,"Animal proximal gut"),EXACT(metadata!G757,"Animal corpus"),EXACT(metadata!G757,"Animal distal gut"),EXACT(metadata!G757,"Animal secretion")))</f>
        <v>0</v>
      </c>
      <c r="AJ757" t="b">
        <f>OR(AND(IF(metadata!H757="",FALSE,TRUE),OR(EXACT(metadata!H757,"missing: not collected"),EXACT(metadata!H757,"missing: not provided"),EXACT(metadata!H757,"missing: restricted access"))),AND(IF(metadata!H757="",FALSE,TRUE),OR(EXACT(metadata!H757,"organism-associated habitat"),EXACT(metadata!H757,"plant-associated habitat"),EXACT(metadata!H757,"animal-associated habitat"),EXACT(metadata!H757,"insecta-associated habitat"),EXACT(metadata!H757,"mammalia-associated habitat"),EXACT(metadata!H757,"human-associated habitat"),EXACT(metadata!H757,"livestock-associated habitat"))))</f>
        <v>0</v>
      </c>
      <c r="AK757" t="b">
        <f>AND(IF(metadata!I757="",FALSE,TRUE),EXACT(metadata!I757,"host-associated"))</f>
        <v>0</v>
      </c>
      <c r="AL757" t="b">
        <f>OR(AND(IF(metadata!J757="",FALSE,TRUE),OR(EXACT(metadata!J757,"not applicable"),EXACT(metadata!J757,"missing: not collected"),EXACT(metadata!J757,"missing: not provided"),EXACT(metadata!J757,"missing: restricted access"))),AND(IF(metadata!J757="",FALSE,ISNUMBER(VALUE(metadata!J757))),metadata!J757&gt;0))</f>
        <v>0</v>
      </c>
      <c r="AM757" t="b">
        <f>AND(IF(metadata!K757="",FALSE,TRUE),EXACT(metadata!K757,"missing: not provided"))</f>
        <v>0</v>
      </c>
      <c r="AN757" t="b">
        <f>IF(metadata!L757="",FALSE,TRUE)</f>
        <v>0</v>
      </c>
      <c r="AO757" t="b">
        <f>IF(metadata!M757="",FALSE,TRUE)</f>
        <v>0</v>
      </c>
      <c r="AP757" t="b">
        <f>OR(AND(IF(metadata!N757="",FALSE,TRUE),OR(EXACT(metadata!N757,"not applicable"),EXACT(metadata!N757,"missing: not collected"),EXACT(metadata!N757,"missing: not provided"))),AND(IF(metadata!N757="",FALSE,IF(ISERROR(INT(metadata!N757)),FALSE,INT(metadata!N757)=metadata!N757)),metadata!N757&gt;0))</f>
        <v>0</v>
      </c>
      <c r="AQ757" t="b">
        <f>AND(IF(metadata!O757="",FALSE,TRUE),EXACT(metadata!O757,"Not applicable"))</f>
        <v>0</v>
      </c>
      <c r="AR757" t="b">
        <f>OR(AND(IF(metadata!P757="",FALSE,TRUE),OR(EXACT(metadata!P757,"not applicable"),EXACT(metadata!P757,"missing: not collected"),EXACT(metadata!P757,"missing: not provided"),EXACT(metadata!P757,"missing: restricted access"))),IF(metadata!P757="",FALSE,IF(ISERROR(INT(metadata!P757)),FALSE,INT(metadata!P757)=metadata!P757)))</f>
        <v>0</v>
      </c>
      <c r="AS757" t="b">
        <f>AND(IF(metadata!Q757="",FALSE,TRUE),EXACT(metadata!Q757,"Not applicable"))</f>
        <v>0</v>
      </c>
      <c r="AT757" t="b">
        <f>OR(AND(IF(metadata!R757="",FALSE,TRUE),OR(EXACT(metadata!R757,"not applicable"),EXACT(metadata!R757,"missing: not collected"),EXACT(metadata!R757,"missing: not provided"),EXACT(metadata!R757,"missing: restricted access"))),AND(IF(metadata!R757="",FALSE,ISNUMBER(VALUE(metadata!R757))),metadata!R757&gt;0))</f>
        <v>0</v>
      </c>
      <c r="AU757" t="b">
        <f>AND(IF(metadata!S757="",FALSE,TRUE),EXACT(metadata!S757,"missing: not provided"))</f>
        <v>0</v>
      </c>
    </row>
    <row r="758" spans="1:47" x14ac:dyDescent="0.2">
      <c r="A758" s="5" t="str">
        <f ca="1">IF(B758=" "," ",HYPERLINK(CONCATENATE("#metadata!",ADDRESS(INDEX($Y$2:$Y$1001,MATCH(ROWS($W$2:W758),$W$2:$W$1001,0),0),1)),INDEX($AB$2:$AB$1001,MATCH(ROWS($W$2:W758),$W$2:$W$1001,0),0)))</f>
        <v xml:space="preserve"> </v>
      </c>
      <c r="B758" s="4" t="str">
        <f ca="1">IF(OR(INDEX($X$2:$X$1001,MATCH(ROWS($W$2:W758),$W$2:$W$1001,0),1)&gt;=100000,INDEX($AD$1005:$AU$1005,1,MATCH(COLUMNS($AD$1006:AD1006),$AD$1006:$AU$1006,0))&gt;=100000), " ",IF(INDEX($AD$2:$AU$1001,MATCH(ROWS($W$2:W758),$W$2:$W$1001,0),MATCH(COLUMNS($AD$1006:AD1006),$AD$1006:$AU$1006,0)), HYPERLINK("#",""), HYPERLINK(CONCATENATE("#metadata!", ADDRESS(INDEX($Y$2:$Y$1001,MATCH(ROWS($W$2:W758),$W$2:$W$1001,0),0), INDEX($AD$1004:$AU$1004,1,MATCH(COLUMNS($AD$1006:AD1006),$AD$1006:$AU$1006,0)))),"Fix")))</f>
        <v xml:space="preserve"> </v>
      </c>
      <c r="C758" s="4" t="str">
        <f ca="1">IF(OR(INDEX($X$2:$X$1001,MATCH(ROWS($W$2:W758),$W$2:$W$1001,0),1)&gt;=100000,INDEX($AD$1005:$AU$1005,1,MATCH(COLUMNS($AD$1006:AE1006),$AD$1006:$AU$1006,0))&gt;=100000), " ",IF(INDEX($AD$2:$AU$1001,MATCH(ROWS($W$2:W758),$W$2:$W$1001,0),MATCH(COLUMNS($AD$1006:AE1006),$AD$1006:$AU$1006,0)), HYPERLINK("#",""), HYPERLINK(CONCATENATE("#metadata!", ADDRESS(INDEX($Y$2:$Y$1001,MATCH(ROWS($W$2:W758),$W$2:$W$1001,0),0), INDEX($AD$1004:$AU$1004,1,MATCH(COLUMNS($AD$1006:AE1006),$AD$1006:$AU$1006,0)))),"Fix")))</f>
        <v xml:space="preserve"> </v>
      </c>
      <c r="D758" s="4" t="str">
        <f ca="1">IF(OR(INDEX($X$2:$X$1001,MATCH(ROWS($W$2:W758),$W$2:$W$1001,0),1)&gt;=100000,INDEX($AD$1005:$AU$1005,1,MATCH(COLUMNS($AD$1006:AF1006),$AD$1006:$AU$1006,0))&gt;=100000), " ",IF(INDEX($AD$2:$AU$1001,MATCH(ROWS($W$2:W758),$W$2:$W$1001,0),MATCH(COLUMNS($AD$1006:AF1006),$AD$1006:$AU$1006,0)), HYPERLINK("#",""), HYPERLINK(CONCATENATE("#metadata!", ADDRESS(INDEX($Y$2:$Y$1001,MATCH(ROWS($W$2:W758),$W$2:$W$1001,0),0), INDEX($AD$1004:$AU$1004,1,MATCH(COLUMNS($AD$1006:AF1006),$AD$1006:$AU$1006,0)))),"Fix")))</f>
        <v xml:space="preserve"> </v>
      </c>
      <c r="E758" s="4" t="str">
        <f ca="1">IF(OR(INDEX($X$2:$X$1001,MATCH(ROWS($W$2:W758),$W$2:$W$1001,0),1)&gt;=100000,INDEX($AD$1005:$AU$1005,1,MATCH(COLUMNS($AD$1006:AG1006),$AD$1006:$AU$1006,0))&gt;=100000), " ",IF(INDEX($AD$2:$AU$1001,MATCH(ROWS($W$2:W758),$W$2:$W$1001,0),MATCH(COLUMNS($AD$1006:AG1006),$AD$1006:$AU$1006,0)), HYPERLINK("#",""), HYPERLINK(CONCATENATE("#metadata!", ADDRESS(INDEX($Y$2:$Y$1001,MATCH(ROWS($W$2:W758),$W$2:$W$1001,0),0), INDEX($AD$1004:$AU$1004,1,MATCH(COLUMNS($AD$1006:AG1006),$AD$1006:$AU$1006,0)))),"Fix")))</f>
        <v xml:space="preserve"> </v>
      </c>
      <c r="F758" s="4" t="str">
        <f ca="1">IF(OR(INDEX($X$2:$X$1001,MATCH(ROWS($W$2:W758),$W$2:$W$1001,0),1)&gt;=100000,INDEX($AD$1005:$AU$1005,1,MATCH(COLUMNS($AD$1006:AH1006),$AD$1006:$AU$1006,0))&gt;=100000), " ",IF(INDEX($AD$2:$AU$1001,MATCH(ROWS($W$2:W758),$W$2:$W$1001,0),MATCH(COLUMNS($AD$1006:AH1006),$AD$1006:$AU$1006,0)), HYPERLINK("#",""), HYPERLINK(CONCATENATE("#metadata!", ADDRESS(INDEX($Y$2:$Y$1001,MATCH(ROWS($W$2:W758),$W$2:$W$1001,0),0), INDEX($AD$1004:$AU$1004,1,MATCH(COLUMNS($AD$1006:AH1006),$AD$1006:$AU$1006,0)))),"Fix")))</f>
        <v xml:space="preserve"> </v>
      </c>
      <c r="G758" s="4" t="str">
        <f ca="1">IF(OR(INDEX($X$2:$X$1001,MATCH(ROWS($W$2:W758),$W$2:$W$1001,0),1)&gt;=100000,INDEX($AD$1005:$AU$1005,1,MATCH(COLUMNS($AD$1006:AI1006),$AD$1006:$AU$1006,0))&gt;=100000), " ",IF(INDEX($AD$2:$AU$1001,MATCH(ROWS($W$2:W758),$W$2:$W$1001,0),MATCH(COLUMNS($AD$1006:AI1006),$AD$1006:$AU$1006,0)), HYPERLINK("#",""), HYPERLINK(CONCATENATE("#metadata!", ADDRESS(INDEX($Y$2:$Y$1001,MATCH(ROWS($W$2:W758),$W$2:$W$1001,0),0), INDEX($AD$1004:$AU$1004,1,MATCH(COLUMNS($AD$1006:AI1006),$AD$1006:$AU$1006,0)))),"Fix")))</f>
        <v xml:space="preserve"> </v>
      </c>
      <c r="H758" s="4" t="str">
        <f ca="1">IF(OR(INDEX($X$2:$X$1001,MATCH(ROWS($W$2:W758),$W$2:$W$1001,0),1)&gt;=100000,INDEX($AD$1005:$AU$1005,1,MATCH(COLUMNS($AD$1006:AJ1006),$AD$1006:$AU$1006,0))&gt;=100000), " ",IF(INDEX($AD$2:$AU$1001,MATCH(ROWS($W$2:W758),$W$2:$W$1001,0),MATCH(COLUMNS($AD$1006:AJ1006),$AD$1006:$AU$1006,0)), HYPERLINK("#",""), HYPERLINK(CONCATENATE("#metadata!", ADDRESS(INDEX($Y$2:$Y$1001,MATCH(ROWS($W$2:W758),$W$2:$W$1001,0),0), INDEX($AD$1004:$AU$1004,1,MATCH(COLUMNS($AD$1006:AJ1006),$AD$1006:$AU$1006,0)))),"Fix")))</f>
        <v xml:space="preserve"> </v>
      </c>
      <c r="I758" s="4" t="str">
        <f ca="1">IF(OR(INDEX($X$2:$X$1001,MATCH(ROWS($W$2:W758),$W$2:$W$1001,0),1)&gt;=100000,INDEX($AD$1005:$AU$1005,1,MATCH(COLUMNS($AD$1006:AK1006),$AD$1006:$AU$1006,0))&gt;=100000), " ",IF(INDEX($AD$2:$AU$1001,MATCH(ROWS($W$2:W758),$W$2:$W$1001,0),MATCH(COLUMNS($AD$1006:AK1006),$AD$1006:$AU$1006,0)), HYPERLINK("#",""), HYPERLINK(CONCATENATE("#metadata!", ADDRESS(INDEX($Y$2:$Y$1001,MATCH(ROWS($W$2:W758),$W$2:$W$1001,0),0), INDEX($AD$1004:$AU$1004,1,MATCH(COLUMNS($AD$1006:AK1006),$AD$1006:$AU$1006,0)))),"Fix")))</f>
        <v xml:space="preserve"> </v>
      </c>
      <c r="J758" s="4" t="str">
        <f ca="1">IF(OR(INDEX($X$2:$X$1001,MATCH(ROWS($W$2:W758),$W$2:$W$1001,0),1)&gt;=100000,INDEX($AD$1005:$AU$1005,1,MATCH(COLUMNS($AD$1006:AL1006),$AD$1006:$AU$1006,0))&gt;=100000), " ",IF(INDEX($AD$2:$AU$1001,MATCH(ROWS($W$2:W758),$W$2:$W$1001,0),MATCH(COLUMNS($AD$1006:AL1006),$AD$1006:$AU$1006,0)), HYPERLINK("#",""), HYPERLINK(CONCATENATE("#metadata!", ADDRESS(INDEX($Y$2:$Y$1001,MATCH(ROWS($W$2:W758),$W$2:$W$1001,0),0), INDEX($AD$1004:$AU$1004,1,MATCH(COLUMNS($AD$1006:AL1006),$AD$1006:$AU$1006,0)))),"Fix")))</f>
        <v xml:space="preserve"> </v>
      </c>
      <c r="K758" s="4" t="str">
        <f ca="1">IF(OR(INDEX($X$2:$X$1001,MATCH(ROWS($W$2:W758),$W$2:$W$1001,0),1)&gt;=100000,INDEX($AD$1005:$AU$1005,1,MATCH(COLUMNS($AD$1006:AM1006),$AD$1006:$AU$1006,0))&gt;=100000), " ",IF(INDEX($AD$2:$AU$1001,MATCH(ROWS($W$2:W758),$W$2:$W$1001,0),MATCH(COLUMNS($AD$1006:AM1006),$AD$1006:$AU$1006,0)), HYPERLINK("#",""), HYPERLINK(CONCATENATE("#metadata!", ADDRESS(INDEX($Y$2:$Y$1001,MATCH(ROWS($W$2:W758),$W$2:$W$1001,0),0), INDEX($AD$1004:$AU$1004,1,MATCH(COLUMNS($AD$1006:AM1006),$AD$1006:$AU$1006,0)))),"Fix")))</f>
        <v xml:space="preserve"> </v>
      </c>
      <c r="L758" s="4" t="str">
        <f ca="1">IF(OR(INDEX($X$2:$X$1001,MATCH(ROWS($W$2:W758),$W$2:$W$1001,0),1)&gt;=100000,INDEX($AD$1005:$AU$1005,1,MATCH(COLUMNS($AD$1006:AN1006),$AD$1006:$AU$1006,0))&gt;=100000), " ",IF(INDEX($AD$2:$AU$1001,MATCH(ROWS($W$2:W758),$W$2:$W$1001,0),MATCH(COLUMNS($AD$1006:AN1006),$AD$1006:$AU$1006,0)), HYPERLINK("#",""), HYPERLINK(CONCATENATE("#metadata!", ADDRESS(INDEX($Y$2:$Y$1001,MATCH(ROWS($W$2:W758),$W$2:$W$1001,0),0), INDEX($AD$1004:$AU$1004,1,MATCH(COLUMNS($AD$1006:AN1006),$AD$1006:$AU$1006,0)))),"Fix")))</f>
        <v xml:space="preserve"> </v>
      </c>
      <c r="M758" s="4" t="str">
        <f ca="1">IF(OR(INDEX($X$2:$X$1001,MATCH(ROWS($W$2:W758),$W$2:$W$1001,0),1)&gt;=100000,INDEX($AD$1005:$AU$1005,1,MATCH(COLUMNS($AD$1006:AO1006),$AD$1006:$AU$1006,0))&gt;=100000), " ",IF(INDEX($AD$2:$AU$1001,MATCH(ROWS($W$2:W758),$W$2:$W$1001,0),MATCH(COLUMNS($AD$1006:AO1006),$AD$1006:$AU$1006,0)), HYPERLINK("#",""), HYPERLINK(CONCATENATE("#metadata!", ADDRESS(INDEX($Y$2:$Y$1001,MATCH(ROWS($W$2:W758),$W$2:$W$1001,0),0), INDEX($AD$1004:$AU$1004,1,MATCH(COLUMNS($AD$1006:AO1006),$AD$1006:$AU$1006,0)))),"Fix")))</f>
        <v xml:space="preserve"> </v>
      </c>
      <c r="N758" s="4" t="str">
        <f ca="1">IF(OR(INDEX($X$2:$X$1001,MATCH(ROWS($W$2:W758),$W$2:$W$1001,0),1)&gt;=100000,INDEX($AD$1005:$AU$1005,1,MATCH(COLUMNS($AD$1006:AP1006),$AD$1006:$AU$1006,0))&gt;=100000), " ",IF(INDEX($AD$2:$AU$1001,MATCH(ROWS($W$2:W758),$W$2:$W$1001,0),MATCH(COLUMNS($AD$1006:AP1006),$AD$1006:$AU$1006,0)), HYPERLINK("#",""), HYPERLINK(CONCATENATE("#metadata!", ADDRESS(INDEX($Y$2:$Y$1001,MATCH(ROWS($W$2:W758),$W$2:$W$1001,0),0), INDEX($AD$1004:$AU$1004,1,MATCH(COLUMNS($AD$1006:AP1006),$AD$1006:$AU$1006,0)))),"Fix")))</f>
        <v xml:space="preserve"> </v>
      </c>
      <c r="O758" s="4" t="str">
        <f ca="1">IF(OR(INDEX($X$2:$X$1001,MATCH(ROWS($W$2:W758),$W$2:$W$1001,0),1)&gt;=100000,INDEX($AD$1005:$AU$1005,1,MATCH(COLUMNS($AD$1006:AQ1006),$AD$1006:$AU$1006,0))&gt;=100000), " ",IF(INDEX($AD$2:$AU$1001,MATCH(ROWS($W$2:W758),$W$2:$W$1001,0),MATCH(COLUMNS($AD$1006:AQ1006),$AD$1006:$AU$1006,0)), HYPERLINK("#",""), HYPERLINK(CONCATENATE("#metadata!", ADDRESS(INDEX($Y$2:$Y$1001,MATCH(ROWS($W$2:W758),$W$2:$W$1001,0),0), INDEX($AD$1004:$AU$1004,1,MATCH(COLUMNS($AD$1006:AQ1006),$AD$1006:$AU$1006,0)))),"Fix")))</f>
        <v xml:space="preserve"> </v>
      </c>
      <c r="P758" s="4" t="str">
        <f ca="1">IF(OR(INDEX($X$2:$X$1001,MATCH(ROWS($W$2:W758),$W$2:$W$1001,0),1)&gt;=100000,INDEX($AD$1005:$AU$1005,1,MATCH(COLUMNS($AD$1006:AR1006),$AD$1006:$AU$1006,0))&gt;=100000), " ",IF(INDEX($AD$2:$AU$1001,MATCH(ROWS($W$2:W758),$W$2:$W$1001,0),MATCH(COLUMNS($AD$1006:AR1006),$AD$1006:$AU$1006,0)), HYPERLINK("#",""), HYPERLINK(CONCATENATE("#metadata!", ADDRESS(INDEX($Y$2:$Y$1001,MATCH(ROWS($W$2:W758),$W$2:$W$1001,0),0), INDEX($AD$1004:$AU$1004,1,MATCH(COLUMNS($AD$1006:AR1006),$AD$1006:$AU$1006,0)))),"Fix")))</f>
        <v xml:space="preserve"> </v>
      </c>
      <c r="Q758" s="4" t="str">
        <f ca="1">IF(OR(INDEX($X$2:$X$1001,MATCH(ROWS($W$2:W758),$W$2:$W$1001,0),1)&gt;=100000,INDEX($AD$1005:$AU$1005,1,MATCH(COLUMNS($AD$1006:AS1006),$AD$1006:$AU$1006,0))&gt;=100000), " ",IF(INDEX($AD$2:$AU$1001,MATCH(ROWS($W$2:W758),$W$2:$W$1001,0),MATCH(COLUMNS($AD$1006:AS1006),$AD$1006:$AU$1006,0)), HYPERLINK("#",""), HYPERLINK(CONCATENATE("#metadata!", ADDRESS(INDEX($Y$2:$Y$1001,MATCH(ROWS($W$2:W758),$W$2:$W$1001,0),0), INDEX($AD$1004:$AU$1004,1,MATCH(COLUMNS($AD$1006:AS1006),$AD$1006:$AU$1006,0)))),"Fix")))</f>
        <v xml:space="preserve"> </v>
      </c>
      <c r="R758" s="4" t="str">
        <f ca="1">IF(OR(INDEX($X$2:$X$1001,MATCH(ROWS($W$2:W758),$W$2:$W$1001,0),1)&gt;=100000,INDEX($AD$1005:$AU$1005,1,MATCH(COLUMNS($AD$1006:AT1006),$AD$1006:$AU$1006,0))&gt;=100000), " ",IF(INDEX($AD$2:$AU$1001,MATCH(ROWS($W$2:W758),$W$2:$W$1001,0),MATCH(COLUMNS($AD$1006:AT1006),$AD$1006:$AU$1006,0)), HYPERLINK("#",""), HYPERLINK(CONCATENATE("#metadata!", ADDRESS(INDEX($Y$2:$Y$1001,MATCH(ROWS($W$2:W758),$W$2:$W$1001,0),0), INDEX($AD$1004:$AU$1004,1,MATCH(COLUMNS($AD$1006:AT1006),$AD$1006:$AU$1006,0)))),"Fix")))</f>
        <v xml:space="preserve"> </v>
      </c>
      <c r="S758" s="4" t="str">
        <f ca="1">IF(OR(INDEX($X$2:$X$1001,MATCH(ROWS($W$2:W758),$W$2:$W$1001,0),1)&gt;=100000,INDEX($AD$1005:$AU$1005,1,MATCH(COLUMNS($AD$1006:AU1006),$AD$1006:$AU$1006,0))&gt;=100000), " ",IF(INDEX($AD$2:$AU$1001,MATCH(ROWS($W$2:W758),$W$2:$W$1001,0),MATCH(COLUMNS($AD$1006:AU1006),$AD$1006:$AU$1006,0)), HYPERLINK("#",""), HYPERLINK(CONCATENATE("#metadata!", ADDRESS(INDEX($Y$2:$Y$1001,MATCH(ROWS($W$2:W758),$W$2:$W$1001,0),0), INDEX($AD$1004:$AU$1004,1,MATCH(COLUMNS($AD$1006:AU1006),$AD$1006:$AU$1006,0)))),"Fix")))</f>
        <v xml:space="preserve"> </v>
      </c>
      <c r="W758">
        <v>757</v>
      </c>
      <c r="X758">
        <v>100758</v>
      </c>
      <c r="Y758">
        <v>758</v>
      </c>
      <c r="Z758" t="b">
        <f t="shared" si="11"/>
        <v>1</v>
      </c>
      <c r="AA758" t="b">
        <f>COUNTBLANK(metadata!B758:S758)=COLUMNS(metadata!B758:S758)</f>
        <v>1</v>
      </c>
      <c r="AB758" t="str">
        <v/>
      </c>
      <c r="AD758" t="b">
        <f ca="1">AND(IF(metadata!B758="",FALSE,TRUE),COUNTIF(metadata!B:B, metadata!B758) = 1,NOT(ISERROR(SUMPRODUCT(SEARCH(MID(metadata!B758,ROW(INDIRECT("1:"&amp;LEN(metadata!B758))), 1),"0123456789abcdefghijklmnopqrstuvwxyzABCDEFGHIJKLMNOPQRSTUVWXYZ.")))))</f>
        <v>0</v>
      </c>
      <c r="AE758" t="b">
        <f>OR(AND(IF(metadata!C758="",FALSE,TRUE),OR(EXACT(metadata!C758,"not applicable"),EXACT(metadata!C758,"missing: not collected"),EXACT(metadata!C758,"missing: not provided"),EXACT(metadata!C758,"missing: restricted access"))),AND(IF(metadata!C758="",FALSE,ISNUMBER(VALUE(metadata!C758))),metadata!C758&gt;0))</f>
        <v>0</v>
      </c>
      <c r="AF758" t="b">
        <f>AND(IF(metadata!D758="",FALSE,TRUE),EXACT(metadata!D758,"missing: not provided"))</f>
        <v>0</v>
      </c>
      <c r="AG758" t="b">
        <f>AND(IF(metadata!E758="",FALSE,TRUE),EXACT(metadata!E758,"Host-associated"))</f>
        <v>0</v>
      </c>
      <c r="AH758" t="b">
        <f>AND(IF(metadata!F758="",FALSE,TRUE),OR(EXACT(metadata!F758,"Animal"),EXACT(metadata!F758,"Fungus"),EXACT(metadata!F758,"Plant")))</f>
        <v>0</v>
      </c>
      <c r="AI758" t="b">
        <f>AND(IF(metadata!G758="",FALSE,TRUE),OR(EXACT(metadata!G758,"Plant secretion"),EXACT(metadata!G758,"Plant rhizosphere"),EXACT(metadata!G758,"Plant surface"),EXACT(metadata!G758,"Plant corpus"),EXACT(metadata!G758,"Fungus surface"),EXACT(metadata!G758,"Fungus corpus"),EXACT(metadata!G758,"Animal surface"),EXACT(metadata!G758,"Animal proximal gut"),EXACT(metadata!G758,"Animal corpus"),EXACT(metadata!G758,"Animal distal gut"),EXACT(metadata!G758,"Animal secretion")))</f>
        <v>0</v>
      </c>
      <c r="AJ758" t="b">
        <f>OR(AND(IF(metadata!H758="",FALSE,TRUE),OR(EXACT(metadata!H758,"missing: not collected"),EXACT(metadata!H758,"missing: not provided"),EXACT(metadata!H758,"missing: restricted access"))),AND(IF(metadata!H758="",FALSE,TRUE),OR(EXACT(metadata!H758,"organism-associated habitat"),EXACT(metadata!H758,"plant-associated habitat"),EXACT(metadata!H758,"animal-associated habitat"),EXACT(metadata!H758,"insecta-associated habitat"),EXACT(metadata!H758,"mammalia-associated habitat"),EXACT(metadata!H758,"human-associated habitat"),EXACT(metadata!H758,"livestock-associated habitat"))))</f>
        <v>0</v>
      </c>
      <c r="AK758" t="b">
        <f>AND(IF(metadata!I758="",FALSE,TRUE),EXACT(metadata!I758,"host-associated"))</f>
        <v>0</v>
      </c>
      <c r="AL758" t="b">
        <f>OR(AND(IF(metadata!J758="",FALSE,TRUE),OR(EXACT(metadata!J758,"not applicable"),EXACT(metadata!J758,"missing: not collected"),EXACT(metadata!J758,"missing: not provided"),EXACT(metadata!J758,"missing: restricted access"))),AND(IF(metadata!J758="",FALSE,ISNUMBER(VALUE(metadata!J758))),metadata!J758&gt;0))</f>
        <v>0</v>
      </c>
      <c r="AM758" t="b">
        <f>AND(IF(metadata!K758="",FALSE,TRUE),EXACT(metadata!K758,"missing: not provided"))</f>
        <v>0</v>
      </c>
      <c r="AN758" t="b">
        <f>IF(metadata!L758="",FALSE,TRUE)</f>
        <v>0</v>
      </c>
      <c r="AO758" t="b">
        <f>IF(metadata!M758="",FALSE,TRUE)</f>
        <v>0</v>
      </c>
      <c r="AP758" t="b">
        <f>OR(AND(IF(metadata!N758="",FALSE,TRUE),OR(EXACT(metadata!N758,"not applicable"),EXACT(metadata!N758,"missing: not collected"),EXACT(metadata!N758,"missing: not provided"))),AND(IF(metadata!N758="",FALSE,IF(ISERROR(INT(metadata!N758)),FALSE,INT(metadata!N758)=metadata!N758)),metadata!N758&gt;0))</f>
        <v>0</v>
      </c>
      <c r="AQ758" t="b">
        <f>AND(IF(metadata!O758="",FALSE,TRUE),EXACT(metadata!O758,"Not applicable"))</f>
        <v>0</v>
      </c>
      <c r="AR758" t="b">
        <f>OR(AND(IF(metadata!P758="",FALSE,TRUE),OR(EXACT(metadata!P758,"not applicable"),EXACT(metadata!P758,"missing: not collected"),EXACT(metadata!P758,"missing: not provided"),EXACT(metadata!P758,"missing: restricted access"))),IF(metadata!P758="",FALSE,IF(ISERROR(INT(metadata!P758)),FALSE,INT(metadata!P758)=metadata!P758)))</f>
        <v>0</v>
      </c>
      <c r="AS758" t="b">
        <f>AND(IF(metadata!Q758="",FALSE,TRUE),EXACT(metadata!Q758,"Not applicable"))</f>
        <v>0</v>
      </c>
      <c r="AT758" t="b">
        <f>OR(AND(IF(metadata!R758="",FALSE,TRUE),OR(EXACT(metadata!R758,"not applicable"),EXACT(metadata!R758,"missing: not collected"),EXACT(metadata!R758,"missing: not provided"),EXACT(metadata!R758,"missing: restricted access"))),AND(IF(metadata!R758="",FALSE,ISNUMBER(VALUE(metadata!R758))),metadata!R758&gt;0))</f>
        <v>0</v>
      </c>
      <c r="AU758" t="b">
        <f>AND(IF(metadata!S758="",FALSE,TRUE),EXACT(metadata!S758,"missing: not provided"))</f>
        <v>0</v>
      </c>
    </row>
    <row r="759" spans="1:47" x14ac:dyDescent="0.2">
      <c r="A759" s="5" t="str">
        <f ca="1">IF(B759=" "," ",HYPERLINK(CONCATENATE("#metadata!",ADDRESS(INDEX($Y$2:$Y$1001,MATCH(ROWS($W$2:W759),$W$2:$W$1001,0),0),1)),INDEX($AB$2:$AB$1001,MATCH(ROWS($W$2:W759),$W$2:$W$1001,0),0)))</f>
        <v xml:space="preserve"> </v>
      </c>
      <c r="B759" s="4" t="str">
        <f ca="1">IF(OR(INDEX($X$2:$X$1001,MATCH(ROWS($W$2:W759),$W$2:$W$1001,0),1)&gt;=100000,INDEX($AD$1005:$AU$1005,1,MATCH(COLUMNS($AD$1006:AD1006),$AD$1006:$AU$1006,0))&gt;=100000), " ",IF(INDEX($AD$2:$AU$1001,MATCH(ROWS($W$2:W759),$W$2:$W$1001,0),MATCH(COLUMNS($AD$1006:AD1006),$AD$1006:$AU$1006,0)), HYPERLINK("#",""), HYPERLINK(CONCATENATE("#metadata!", ADDRESS(INDEX($Y$2:$Y$1001,MATCH(ROWS($W$2:W759),$W$2:$W$1001,0),0), INDEX($AD$1004:$AU$1004,1,MATCH(COLUMNS($AD$1006:AD1006),$AD$1006:$AU$1006,0)))),"Fix")))</f>
        <v xml:space="preserve"> </v>
      </c>
      <c r="C759" s="4" t="str">
        <f ca="1">IF(OR(INDEX($X$2:$X$1001,MATCH(ROWS($W$2:W759),$W$2:$W$1001,0),1)&gt;=100000,INDEX($AD$1005:$AU$1005,1,MATCH(COLUMNS($AD$1006:AE1006),$AD$1006:$AU$1006,0))&gt;=100000), " ",IF(INDEX($AD$2:$AU$1001,MATCH(ROWS($W$2:W759),$W$2:$W$1001,0),MATCH(COLUMNS($AD$1006:AE1006),$AD$1006:$AU$1006,0)), HYPERLINK("#",""), HYPERLINK(CONCATENATE("#metadata!", ADDRESS(INDEX($Y$2:$Y$1001,MATCH(ROWS($W$2:W759),$W$2:$W$1001,0),0), INDEX($AD$1004:$AU$1004,1,MATCH(COLUMNS($AD$1006:AE1006),$AD$1006:$AU$1006,0)))),"Fix")))</f>
        <v xml:space="preserve"> </v>
      </c>
      <c r="D759" s="4" t="str">
        <f ca="1">IF(OR(INDEX($X$2:$X$1001,MATCH(ROWS($W$2:W759),$W$2:$W$1001,0),1)&gt;=100000,INDEX($AD$1005:$AU$1005,1,MATCH(COLUMNS($AD$1006:AF1006),$AD$1006:$AU$1006,0))&gt;=100000), " ",IF(INDEX($AD$2:$AU$1001,MATCH(ROWS($W$2:W759),$W$2:$W$1001,0),MATCH(COLUMNS($AD$1006:AF1006),$AD$1006:$AU$1006,0)), HYPERLINK("#",""), HYPERLINK(CONCATENATE("#metadata!", ADDRESS(INDEX($Y$2:$Y$1001,MATCH(ROWS($W$2:W759),$W$2:$W$1001,0),0), INDEX($AD$1004:$AU$1004,1,MATCH(COLUMNS($AD$1006:AF1006),$AD$1006:$AU$1006,0)))),"Fix")))</f>
        <v xml:space="preserve"> </v>
      </c>
      <c r="E759" s="4" t="str">
        <f ca="1">IF(OR(INDEX($X$2:$X$1001,MATCH(ROWS($W$2:W759),$W$2:$W$1001,0),1)&gt;=100000,INDEX($AD$1005:$AU$1005,1,MATCH(COLUMNS($AD$1006:AG1006),$AD$1006:$AU$1006,0))&gt;=100000), " ",IF(INDEX($AD$2:$AU$1001,MATCH(ROWS($W$2:W759),$W$2:$W$1001,0),MATCH(COLUMNS($AD$1006:AG1006),$AD$1006:$AU$1006,0)), HYPERLINK("#",""), HYPERLINK(CONCATENATE("#metadata!", ADDRESS(INDEX($Y$2:$Y$1001,MATCH(ROWS($W$2:W759),$W$2:$W$1001,0),0), INDEX($AD$1004:$AU$1004,1,MATCH(COLUMNS($AD$1006:AG1006),$AD$1006:$AU$1006,0)))),"Fix")))</f>
        <v xml:space="preserve"> </v>
      </c>
      <c r="F759" s="4" t="str">
        <f ca="1">IF(OR(INDEX($X$2:$X$1001,MATCH(ROWS($W$2:W759),$W$2:$W$1001,0),1)&gt;=100000,INDEX($AD$1005:$AU$1005,1,MATCH(COLUMNS($AD$1006:AH1006),$AD$1006:$AU$1006,0))&gt;=100000), " ",IF(INDEX($AD$2:$AU$1001,MATCH(ROWS($W$2:W759),$W$2:$W$1001,0),MATCH(COLUMNS($AD$1006:AH1006),$AD$1006:$AU$1006,0)), HYPERLINK("#",""), HYPERLINK(CONCATENATE("#metadata!", ADDRESS(INDEX($Y$2:$Y$1001,MATCH(ROWS($W$2:W759),$W$2:$W$1001,0),0), INDEX($AD$1004:$AU$1004,1,MATCH(COLUMNS($AD$1006:AH1006),$AD$1006:$AU$1006,0)))),"Fix")))</f>
        <v xml:space="preserve"> </v>
      </c>
      <c r="G759" s="4" t="str">
        <f ca="1">IF(OR(INDEX($X$2:$X$1001,MATCH(ROWS($W$2:W759),$W$2:$W$1001,0),1)&gt;=100000,INDEX($AD$1005:$AU$1005,1,MATCH(COLUMNS($AD$1006:AI1006),$AD$1006:$AU$1006,0))&gt;=100000), " ",IF(INDEX($AD$2:$AU$1001,MATCH(ROWS($W$2:W759),$W$2:$W$1001,0),MATCH(COLUMNS($AD$1006:AI1006),$AD$1006:$AU$1006,0)), HYPERLINK("#",""), HYPERLINK(CONCATENATE("#metadata!", ADDRESS(INDEX($Y$2:$Y$1001,MATCH(ROWS($W$2:W759),$W$2:$W$1001,0),0), INDEX($AD$1004:$AU$1004,1,MATCH(COLUMNS($AD$1006:AI1006),$AD$1006:$AU$1006,0)))),"Fix")))</f>
        <v xml:space="preserve"> </v>
      </c>
      <c r="H759" s="4" t="str">
        <f ca="1">IF(OR(INDEX($X$2:$X$1001,MATCH(ROWS($W$2:W759),$W$2:$W$1001,0),1)&gt;=100000,INDEX($AD$1005:$AU$1005,1,MATCH(COLUMNS($AD$1006:AJ1006),$AD$1006:$AU$1006,0))&gt;=100000), " ",IF(INDEX($AD$2:$AU$1001,MATCH(ROWS($W$2:W759),$W$2:$W$1001,0),MATCH(COLUMNS($AD$1006:AJ1006),$AD$1006:$AU$1006,0)), HYPERLINK("#",""), HYPERLINK(CONCATENATE("#metadata!", ADDRESS(INDEX($Y$2:$Y$1001,MATCH(ROWS($W$2:W759),$W$2:$W$1001,0),0), INDEX($AD$1004:$AU$1004,1,MATCH(COLUMNS($AD$1006:AJ1006),$AD$1006:$AU$1006,0)))),"Fix")))</f>
        <v xml:space="preserve"> </v>
      </c>
      <c r="I759" s="4" t="str">
        <f ca="1">IF(OR(INDEX($X$2:$X$1001,MATCH(ROWS($W$2:W759),$W$2:$W$1001,0),1)&gt;=100000,INDEX($AD$1005:$AU$1005,1,MATCH(COLUMNS($AD$1006:AK1006),$AD$1006:$AU$1006,0))&gt;=100000), " ",IF(INDEX($AD$2:$AU$1001,MATCH(ROWS($W$2:W759),$W$2:$W$1001,0),MATCH(COLUMNS($AD$1006:AK1006),$AD$1006:$AU$1006,0)), HYPERLINK("#",""), HYPERLINK(CONCATENATE("#metadata!", ADDRESS(INDEX($Y$2:$Y$1001,MATCH(ROWS($W$2:W759),$W$2:$W$1001,0),0), INDEX($AD$1004:$AU$1004,1,MATCH(COLUMNS($AD$1006:AK1006),$AD$1006:$AU$1006,0)))),"Fix")))</f>
        <v xml:space="preserve"> </v>
      </c>
      <c r="J759" s="4" t="str">
        <f ca="1">IF(OR(INDEX($X$2:$X$1001,MATCH(ROWS($W$2:W759),$W$2:$W$1001,0),1)&gt;=100000,INDEX($AD$1005:$AU$1005,1,MATCH(COLUMNS($AD$1006:AL1006),$AD$1006:$AU$1006,0))&gt;=100000), " ",IF(INDEX($AD$2:$AU$1001,MATCH(ROWS($W$2:W759),$W$2:$W$1001,0),MATCH(COLUMNS($AD$1006:AL1006),$AD$1006:$AU$1006,0)), HYPERLINK("#",""), HYPERLINK(CONCATENATE("#metadata!", ADDRESS(INDEX($Y$2:$Y$1001,MATCH(ROWS($W$2:W759),$W$2:$W$1001,0),0), INDEX($AD$1004:$AU$1004,1,MATCH(COLUMNS($AD$1006:AL1006),$AD$1006:$AU$1006,0)))),"Fix")))</f>
        <v xml:space="preserve"> </v>
      </c>
      <c r="K759" s="4" t="str">
        <f ca="1">IF(OR(INDEX($X$2:$X$1001,MATCH(ROWS($W$2:W759),$W$2:$W$1001,0),1)&gt;=100000,INDEX($AD$1005:$AU$1005,1,MATCH(COLUMNS($AD$1006:AM1006),$AD$1006:$AU$1006,0))&gt;=100000), " ",IF(INDEX($AD$2:$AU$1001,MATCH(ROWS($W$2:W759),$W$2:$W$1001,0),MATCH(COLUMNS($AD$1006:AM1006),$AD$1006:$AU$1006,0)), HYPERLINK("#",""), HYPERLINK(CONCATENATE("#metadata!", ADDRESS(INDEX($Y$2:$Y$1001,MATCH(ROWS($W$2:W759),$W$2:$W$1001,0),0), INDEX($AD$1004:$AU$1004,1,MATCH(COLUMNS($AD$1006:AM1006),$AD$1006:$AU$1006,0)))),"Fix")))</f>
        <v xml:space="preserve"> </v>
      </c>
      <c r="L759" s="4" t="str">
        <f ca="1">IF(OR(INDEX($X$2:$X$1001,MATCH(ROWS($W$2:W759),$W$2:$W$1001,0),1)&gt;=100000,INDEX($AD$1005:$AU$1005,1,MATCH(COLUMNS($AD$1006:AN1006),$AD$1006:$AU$1006,0))&gt;=100000), " ",IF(INDEX($AD$2:$AU$1001,MATCH(ROWS($W$2:W759),$W$2:$W$1001,0),MATCH(COLUMNS($AD$1006:AN1006),$AD$1006:$AU$1006,0)), HYPERLINK("#",""), HYPERLINK(CONCATENATE("#metadata!", ADDRESS(INDEX($Y$2:$Y$1001,MATCH(ROWS($W$2:W759),$W$2:$W$1001,0),0), INDEX($AD$1004:$AU$1004,1,MATCH(COLUMNS($AD$1006:AN1006),$AD$1006:$AU$1006,0)))),"Fix")))</f>
        <v xml:space="preserve"> </v>
      </c>
      <c r="M759" s="4" t="str">
        <f ca="1">IF(OR(INDEX($X$2:$X$1001,MATCH(ROWS($W$2:W759),$W$2:$W$1001,0),1)&gt;=100000,INDEX($AD$1005:$AU$1005,1,MATCH(COLUMNS($AD$1006:AO1006),$AD$1006:$AU$1006,0))&gt;=100000), " ",IF(INDEX($AD$2:$AU$1001,MATCH(ROWS($W$2:W759),$W$2:$W$1001,0),MATCH(COLUMNS($AD$1006:AO1006),$AD$1006:$AU$1006,0)), HYPERLINK("#",""), HYPERLINK(CONCATENATE("#metadata!", ADDRESS(INDEX($Y$2:$Y$1001,MATCH(ROWS($W$2:W759),$W$2:$W$1001,0),0), INDEX($AD$1004:$AU$1004,1,MATCH(COLUMNS($AD$1006:AO1006),$AD$1006:$AU$1006,0)))),"Fix")))</f>
        <v xml:space="preserve"> </v>
      </c>
      <c r="N759" s="4" t="str">
        <f ca="1">IF(OR(INDEX($X$2:$X$1001,MATCH(ROWS($W$2:W759),$W$2:$W$1001,0),1)&gt;=100000,INDEX($AD$1005:$AU$1005,1,MATCH(COLUMNS($AD$1006:AP1006),$AD$1006:$AU$1006,0))&gt;=100000), " ",IF(INDEX($AD$2:$AU$1001,MATCH(ROWS($W$2:W759),$W$2:$W$1001,0),MATCH(COLUMNS($AD$1006:AP1006),$AD$1006:$AU$1006,0)), HYPERLINK("#",""), HYPERLINK(CONCATENATE("#metadata!", ADDRESS(INDEX($Y$2:$Y$1001,MATCH(ROWS($W$2:W759),$W$2:$W$1001,0),0), INDEX($AD$1004:$AU$1004,1,MATCH(COLUMNS($AD$1006:AP1006),$AD$1006:$AU$1006,0)))),"Fix")))</f>
        <v xml:space="preserve"> </v>
      </c>
      <c r="O759" s="4" t="str">
        <f ca="1">IF(OR(INDEX($X$2:$X$1001,MATCH(ROWS($W$2:W759),$W$2:$W$1001,0),1)&gt;=100000,INDEX($AD$1005:$AU$1005,1,MATCH(COLUMNS($AD$1006:AQ1006),$AD$1006:$AU$1006,0))&gt;=100000), " ",IF(INDEX($AD$2:$AU$1001,MATCH(ROWS($W$2:W759),$W$2:$W$1001,0),MATCH(COLUMNS($AD$1006:AQ1006),$AD$1006:$AU$1006,0)), HYPERLINK("#",""), HYPERLINK(CONCATENATE("#metadata!", ADDRESS(INDEX($Y$2:$Y$1001,MATCH(ROWS($W$2:W759),$W$2:$W$1001,0),0), INDEX($AD$1004:$AU$1004,1,MATCH(COLUMNS($AD$1006:AQ1006),$AD$1006:$AU$1006,0)))),"Fix")))</f>
        <v xml:space="preserve"> </v>
      </c>
      <c r="P759" s="4" t="str">
        <f ca="1">IF(OR(INDEX($X$2:$X$1001,MATCH(ROWS($W$2:W759),$W$2:$W$1001,0),1)&gt;=100000,INDEX($AD$1005:$AU$1005,1,MATCH(COLUMNS($AD$1006:AR1006),$AD$1006:$AU$1006,0))&gt;=100000), " ",IF(INDEX($AD$2:$AU$1001,MATCH(ROWS($W$2:W759),$W$2:$W$1001,0),MATCH(COLUMNS($AD$1006:AR1006),$AD$1006:$AU$1006,0)), HYPERLINK("#",""), HYPERLINK(CONCATENATE("#metadata!", ADDRESS(INDEX($Y$2:$Y$1001,MATCH(ROWS($W$2:W759),$W$2:$W$1001,0),0), INDEX($AD$1004:$AU$1004,1,MATCH(COLUMNS($AD$1006:AR1006),$AD$1006:$AU$1006,0)))),"Fix")))</f>
        <v xml:space="preserve"> </v>
      </c>
      <c r="Q759" s="4" t="str">
        <f ca="1">IF(OR(INDEX($X$2:$X$1001,MATCH(ROWS($W$2:W759),$W$2:$W$1001,0),1)&gt;=100000,INDEX($AD$1005:$AU$1005,1,MATCH(COLUMNS($AD$1006:AS1006),$AD$1006:$AU$1006,0))&gt;=100000), " ",IF(INDEX($AD$2:$AU$1001,MATCH(ROWS($W$2:W759),$W$2:$W$1001,0),MATCH(COLUMNS($AD$1006:AS1006),$AD$1006:$AU$1006,0)), HYPERLINK("#",""), HYPERLINK(CONCATENATE("#metadata!", ADDRESS(INDEX($Y$2:$Y$1001,MATCH(ROWS($W$2:W759),$W$2:$W$1001,0),0), INDEX($AD$1004:$AU$1004,1,MATCH(COLUMNS($AD$1006:AS1006),$AD$1006:$AU$1006,0)))),"Fix")))</f>
        <v xml:space="preserve"> </v>
      </c>
      <c r="R759" s="4" t="str">
        <f ca="1">IF(OR(INDEX($X$2:$X$1001,MATCH(ROWS($W$2:W759),$W$2:$W$1001,0),1)&gt;=100000,INDEX($AD$1005:$AU$1005,1,MATCH(COLUMNS($AD$1006:AT1006),$AD$1006:$AU$1006,0))&gt;=100000), " ",IF(INDEX($AD$2:$AU$1001,MATCH(ROWS($W$2:W759),$W$2:$W$1001,0),MATCH(COLUMNS($AD$1006:AT1006),$AD$1006:$AU$1006,0)), HYPERLINK("#",""), HYPERLINK(CONCATENATE("#metadata!", ADDRESS(INDEX($Y$2:$Y$1001,MATCH(ROWS($W$2:W759),$W$2:$W$1001,0),0), INDEX($AD$1004:$AU$1004,1,MATCH(COLUMNS($AD$1006:AT1006),$AD$1006:$AU$1006,0)))),"Fix")))</f>
        <v xml:space="preserve"> </v>
      </c>
      <c r="S759" s="4" t="str">
        <f ca="1">IF(OR(INDEX($X$2:$X$1001,MATCH(ROWS($W$2:W759),$W$2:$W$1001,0),1)&gt;=100000,INDEX($AD$1005:$AU$1005,1,MATCH(COLUMNS($AD$1006:AU1006),$AD$1006:$AU$1006,0))&gt;=100000), " ",IF(INDEX($AD$2:$AU$1001,MATCH(ROWS($W$2:W759),$W$2:$W$1001,0),MATCH(COLUMNS($AD$1006:AU1006),$AD$1006:$AU$1006,0)), HYPERLINK("#",""), HYPERLINK(CONCATENATE("#metadata!", ADDRESS(INDEX($Y$2:$Y$1001,MATCH(ROWS($W$2:W759),$W$2:$W$1001,0),0), INDEX($AD$1004:$AU$1004,1,MATCH(COLUMNS($AD$1006:AU1006),$AD$1006:$AU$1006,0)))),"Fix")))</f>
        <v xml:space="preserve"> </v>
      </c>
      <c r="W759">
        <v>758</v>
      </c>
      <c r="X759">
        <v>100759</v>
      </c>
      <c r="Y759">
        <v>759</v>
      </c>
      <c r="Z759" t="b">
        <f t="shared" si="11"/>
        <v>1</v>
      </c>
      <c r="AA759" t="b">
        <f>COUNTBLANK(metadata!B759:S759)=COLUMNS(metadata!B759:S759)</f>
        <v>1</v>
      </c>
      <c r="AB759" t="str">
        <v/>
      </c>
      <c r="AD759" t="b">
        <f ca="1">AND(IF(metadata!B759="",FALSE,TRUE),COUNTIF(metadata!B:B, metadata!B759) = 1,NOT(ISERROR(SUMPRODUCT(SEARCH(MID(metadata!B759,ROW(INDIRECT("1:"&amp;LEN(metadata!B759))), 1),"0123456789abcdefghijklmnopqrstuvwxyzABCDEFGHIJKLMNOPQRSTUVWXYZ.")))))</f>
        <v>0</v>
      </c>
      <c r="AE759" t="b">
        <f>OR(AND(IF(metadata!C759="",FALSE,TRUE),OR(EXACT(metadata!C759,"not applicable"),EXACT(metadata!C759,"missing: not collected"),EXACT(metadata!C759,"missing: not provided"),EXACT(metadata!C759,"missing: restricted access"))),AND(IF(metadata!C759="",FALSE,ISNUMBER(VALUE(metadata!C759))),metadata!C759&gt;0))</f>
        <v>0</v>
      </c>
      <c r="AF759" t="b">
        <f>AND(IF(metadata!D759="",FALSE,TRUE),EXACT(metadata!D759,"missing: not provided"))</f>
        <v>0</v>
      </c>
      <c r="AG759" t="b">
        <f>AND(IF(metadata!E759="",FALSE,TRUE),EXACT(metadata!E759,"Host-associated"))</f>
        <v>0</v>
      </c>
      <c r="AH759" t="b">
        <f>AND(IF(metadata!F759="",FALSE,TRUE),OR(EXACT(metadata!F759,"Animal"),EXACT(metadata!F759,"Fungus"),EXACT(metadata!F759,"Plant")))</f>
        <v>0</v>
      </c>
      <c r="AI759" t="b">
        <f>AND(IF(metadata!G759="",FALSE,TRUE),OR(EXACT(metadata!G759,"Plant secretion"),EXACT(metadata!G759,"Plant rhizosphere"),EXACT(metadata!G759,"Plant surface"),EXACT(metadata!G759,"Plant corpus"),EXACT(metadata!G759,"Fungus surface"),EXACT(metadata!G759,"Fungus corpus"),EXACT(metadata!G759,"Animal surface"),EXACT(metadata!G759,"Animal proximal gut"),EXACT(metadata!G759,"Animal corpus"),EXACT(metadata!G759,"Animal distal gut"),EXACT(metadata!G759,"Animal secretion")))</f>
        <v>0</v>
      </c>
      <c r="AJ759" t="b">
        <f>OR(AND(IF(metadata!H759="",FALSE,TRUE),OR(EXACT(metadata!H759,"missing: not collected"),EXACT(metadata!H759,"missing: not provided"),EXACT(metadata!H759,"missing: restricted access"))),AND(IF(metadata!H759="",FALSE,TRUE),OR(EXACT(metadata!H759,"organism-associated habitat"),EXACT(metadata!H759,"plant-associated habitat"),EXACT(metadata!H759,"animal-associated habitat"),EXACT(metadata!H759,"insecta-associated habitat"),EXACT(metadata!H759,"mammalia-associated habitat"),EXACT(metadata!H759,"human-associated habitat"),EXACT(metadata!H759,"livestock-associated habitat"))))</f>
        <v>0</v>
      </c>
      <c r="AK759" t="b">
        <f>AND(IF(metadata!I759="",FALSE,TRUE),EXACT(metadata!I759,"host-associated"))</f>
        <v>0</v>
      </c>
      <c r="AL759" t="b">
        <f>OR(AND(IF(metadata!J759="",FALSE,TRUE),OR(EXACT(metadata!J759,"not applicable"),EXACT(metadata!J759,"missing: not collected"),EXACT(metadata!J759,"missing: not provided"),EXACT(metadata!J759,"missing: restricted access"))),AND(IF(metadata!J759="",FALSE,ISNUMBER(VALUE(metadata!J759))),metadata!J759&gt;0))</f>
        <v>0</v>
      </c>
      <c r="AM759" t="b">
        <f>AND(IF(metadata!K759="",FALSE,TRUE),EXACT(metadata!K759,"missing: not provided"))</f>
        <v>0</v>
      </c>
      <c r="AN759" t="b">
        <f>IF(metadata!L759="",FALSE,TRUE)</f>
        <v>0</v>
      </c>
      <c r="AO759" t="b">
        <f>IF(metadata!M759="",FALSE,TRUE)</f>
        <v>0</v>
      </c>
      <c r="AP759" t="b">
        <f>OR(AND(IF(metadata!N759="",FALSE,TRUE),OR(EXACT(metadata!N759,"not applicable"),EXACT(metadata!N759,"missing: not collected"),EXACT(metadata!N759,"missing: not provided"))),AND(IF(metadata!N759="",FALSE,IF(ISERROR(INT(metadata!N759)),FALSE,INT(metadata!N759)=metadata!N759)),metadata!N759&gt;0))</f>
        <v>0</v>
      </c>
      <c r="AQ759" t="b">
        <f>AND(IF(metadata!O759="",FALSE,TRUE),EXACT(metadata!O759,"Not applicable"))</f>
        <v>0</v>
      </c>
      <c r="AR759" t="b">
        <f>OR(AND(IF(metadata!P759="",FALSE,TRUE),OR(EXACT(metadata!P759,"not applicable"),EXACT(metadata!P759,"missing: not collected"),EXACT(metadata!P759,"missing: not provided"),EXACT(metadata!P759,"missing: restricted access"))),IF(metadata!P759="",FALSE,IF(ISERROR(INT(metadata!P759)),FALSE,INT(metadata!P759)=metadata!P759)))</f>
        <v>0</v>
      </c>
      <c r="AS759" t="b">
        <f>AND(IF(metadata!Q759="",FALSE,TRUE),EXACT(metadata!Q759,"Not applicable"))</f>
        <v>0</v>
      </c>
      <c r="AT759" t="b">
        <f>OR(AND(IF(metadata!R759="",FALSE,TRUE),OR(EXACT(metadata!R759,"not applicable"),EXACT(metadata!R759,"missing: not collected"),EXACT(metadata!R759,"missing: not provided"),EXACT(metadata!R759,"missing: restricted access"))),AND(IF(metadata!R759="",FALSE,ISNUMBER(VALUE(metadata!R759))),metadata!R759&gt;0))</f>
        <v>0</v>
      </c>
      <c r="AU759" t="b">
        <f>AND(IF(metadata!S759="",FALSE,TRUE),EXACT(metadata!S759,"missing: not provided"))</f>
        <v>0</v>
      </c>
    </row>
    <row r="760" spans="1:47" x14ac:dyDescent="0.2">
      <c r="A760" s="5" t="str">
        <f ca="1">IF(B760=" "," ",HYPERLINK(CONCATENATE("#metadata!",ADDRESS(INDEX($Y$2:$Y$1001,MATCH(ROWS($W$2:W760),$W$2:$W$1001,0),0),1)),INDEX($AB$2:$AB$1001,MATCH(ROWS($W$2:W760),$W$2:$W$1001,0),0)))</f>
        <v xml:space="preserve"> </v>
      </c>
      <c r="B760" s="4" t="str">
        <f ca="1">IF(OR(INDEX($X$2:$X$1001,MATCH(ROWS($W$2:W760),$W$2:$W$1001,0),1)&gt;=100000,INDEX($AD$1005:$AU$1005,1,MATCH(COLUMNS($AD$1006:AD1006),$AD$1006:$AU$1006,0))&gt;=100000), " ",IF(INDEX($AD$2:$AU$1001,MATCH(ROWS($W$2:W760),$W$2:$W$1001,0),MATCH(COLUMNS($AD$1006:AD1006),$AD$1006:$AU$1006,0)), HYPERLINK("#",""), HYPERLINK(CONCATENATE("#metadata!", ADDRESS(INDEX($Y$2:$Y$1001,MATCH(ROWS($W$2:W760),$W$2:$W$1001,0),0), INDEX($AD$1004:$AU$1004,1,MATCH(COLUMNS($AD$1006:AD1006),$AD$1006:$AU$1006,0)))),"Fix")))</f>
        <v xml:space="preserve"> </v>
      </c>
      <c r="C760" s="4" t="str">
        <f ca="1">IF(OR(INDEX($X$2:$X$1001,MATCH(ROWS($W$2:W760),$W$2:$W$1001,0),1)&gt;=100000,INDEX($AD$1005:$AU$1005,1,MATCH(COLUMNS($AD$1006:AE1006),$AD$1006:$AU$1006,0))&gt;=100000), " ",IF(INDEX($AD$2:$AU$1001,MATCH(ROWS($W$2:W760),$W$2:$W$1001,0),MATCH(COLUMNS($AD$1006:AE1006),$AD$1006:$AU$1006,0)), HYPERLINK("#",""), HYPERLINK(CONCATENATE("#metadata!", ADDRESS(INDEX($Y$2:$Y$1001,MATCH(ROWS($W$2:W760),$W$2:$W$1001,0),0), INDEX($AD$1004:$AU$1004,1,MATCH(COLUMNS($AD$1006:AE1006),$AD$1006:$AU$1006,0)))),"Fix")))</f>
        <v xml:space="preserve"> </v>
      </c>
      <c r="D760" s="4" t="str">
        <f ca="1">IF(OR(INDEX($X$2:$X$1001,MATCH(ROWS($W$2:W760),$W$2:$W$1001,0),1)&gt;=100000,INDEX($AD$1005:$AU$1005,1,MATCH(COLUMNS($AD$1006:AF1006),$AD$1006:$AU$1006,0))&gt;=100000), " ",IF(INDEX($AD$2:$AU$1001,MATCH(ROWS($W$2:W760),$W$2:$W$1001,0),MATCH(COLUMNS($AD$1006:AF1006),$AD$1006:$AU$1006,0)), HYPERLINK("#",""), HYPERLINK(CONCATENATE("#metadata!", ADDRESS(INDEX($Y$2:$Y$1001,MATCH(ROWS($W$2:W760),$W$2:$W$1001,0),0), INDEX($AD$1004:$AU$1004,1,MATCH(COLUMNS($AD$1006:AF1006),$AD$1006:$AU$1006,0)))),"Fix")))</f>
        <v xml:space="preserve"> </v>
      </c>
      <c r="E760" s="4" t="str">
        <f ca="1">IF(OR(INDEX($X$2:$X$1001,MATCH(ROWS($W$2:W760),$W$2:$W$1001,0),1)&gt;=100000,INDEX($AD$1005:$AU$1005,1,MATCH(COLUMNS($AD$1006:AG1006),$AD$1006:$AU$1006,0))&gt;=100000), " ",IF(INDEX($AD$2:$AU$1001,MATCH(ROWS($W$2:W760),$W$2:$W$1001,0),MATCH(COLUMNS($AD$1006:AG1006),$AD$1006:$AU$1006,0)), HYPERLINK("#",""), HYPERLINK(CONCATENATE("#metadata!", ADDRESS(INDEX($Y$2:$Y$1001,MATCH(ROWS($W$2:W760),$W$2:$W$1001,0),0), INDEX($AD$1004:$AU$1004,1,MATCH(COLUMNS($AD$1006:AG1006),$AD$1006:$AU$1006,0)))),"Fix")))</f>
        <v xml:space="preserve"> </v>
      </c>
      <c r="F760" s="4" t="str">
        <f ca="1">IF(OR(INDEX($X$2:$X$1001,MATCH(ROWS($W$2:W760),$W$2:$W$1001,0),1)&gt;=100000,INDEX($AD$1005:$AU$1005,1,MATCH(COLUMNS($AD$1006:AH1006),$AD$1006:$AU$1006,0))&gt;=100000), " ",IF(INDEX($AD$2:$AU$1001,MATCH(ROWS($W$2:W760),$W$2:$W$1001,0),MATCH(COLUMNS($AD$1006:AH1006),$AD$1006:$AU$1006,0)), HYPERLINK("#",""), HYPERLINK(CONCATENATE("#metadata!", ADDRESS(INDEX($Y$2:$Y$1001,MATCH(ROWS($W$2:W760),$W$2:$W$1001,0),0), INDEX($AD$1004:$AU$1004,1,MATCH(COLUMNS($AD$1006:AH1006),$AD$1006:$AU$1006,0)))),"Fix")))</f>
        <v xml:space="preserve"> </v>
      </c>
      <c r="G760" s="4" t="str">
        <f ca="1">IF(OR(INDEX($X$2:$X$1001,MATCH(ROWS($W$2:W760),$W$2:$W$1001,0),1)&gt;=100000,INDEX($AD$1005:$AU$1005,1,MATCH(COLUMNS($AD$1006:AI1006),$AD$1006:$AU$1006,0))&gt;=100000), " ",IF(INDEX($AD$2:$AU$1001,MATCH(ROWS($W$2:W760),$W$2:$W$1001,0),MATCH(COLUMNS($AD$1006:AI1006),$AD$1006:$AU$1006,0)), HYPERLINK("#",""), HYPERLINK(CONCATENATE("#metadata!", ADDRESS(INDEX($Y$2:$Y$1001,MATCH(ROWS($W$2:W760),$W$2:$W$1001,0),0), INDEX($AD$1004:$AU$1004,1,MATCH(COLUMNS($AD$1006:AI1006),$AD$1006:$AU$1006,0)))),"Fix")))</f>
        <v xml:space="preserve"> </v>
      </c>
      <c r="H760" s="4" t="str">
        <f ca="1">IF(OR(INDEX($X$2:$X$1001,MATCH(ROWS($W$2:W760),$W$2:$W$1001,0),1)&gt;=100000,INDEX($AD$1005:$AU$1005,1,MATCH(COLUMNS($AD$1006:AJ1006),$AD$1006:$AU$1006,0))&gt;=100000), " ",IF(INDEX($AD$2:$AU$1001,MATCH(ROWS($W$2:W760),$W$2:$W$1001,0),MATCH(COLUMNS($AD$1006:AJ1006),$AD$1006:$AU$1006,0)), HYPERLINK("#",""), HYPERLINK(CONCATENATE("#metadata!", ADDRESS(INDEX($Y$2:$Y$1001,MATCH(ROWS($W$2:W760),$W$2:$W$1001,0),0), INDEX($AD$1004:$AU$1004,1,MATCH(COLUMNS($AD$1006:AJ1006),$AD$1006:$AU$1006,0)))),"Fix")))</f>
        <v xml:space="preserve"> </v>
      </c>
      <c r="I760" s="4" t="str">
        <f ca="1">IF(OR(INDEX($X$2:$X$1001,MATCH(ROWS($W$2:W760),$W$2:$W$1001,0),1)&gt;=100000,INDEX($AD$1005:$AU$1005,1,MATCH(COLUMNS($AD$1006:AK1006),$AD$1006:$AU$1006,0))&gt;=100000), " ",IF(INDEX($AD$2:$AU$1001,MATCH(ROWS($W$2:W760),$W$2:$W$1001,0),MATCH(COLUMNS($AD$1006:AK1006),$AD$1006:$AU$1006,0)), HYPERLINK("#",""), HYPERLINK(CONCATENATE("#metadata!", ADDRESS(INDEX($Y$2:$Y$1001,MATCH(ROWS($W$2:W760),$W$2:$W$1001,0),0), INDEX($AD$1004:$AU$1004,1,MATCH(COLUMNS($AD$1006:AK1006),$AD$1006:$AU$1006,0)))),"Fix")))</f>
        <v xml:space="preserve"> </v>
      </c>
      <c r="J760" s="4" t="str">
        <f ca="1">IF(OR(INDEX($X$2:$X$1001,MATCH(ROWS($W$2:W760),$W$2:$W$1001,0),1)&gt;=100000,INDEX($AD$1005:$AU$1005,1,MATCH(COLUMNS($AD$1006:AL1006),$AD$1006:$AU$1006,0))&gt;=100000), " ",IF(INDEX($AD$2:$AU$1001,MATCH(ROWS($W$2:W760),$W$2:$W$1001,0),MATCH(COLUMNS($AD$1006:AL1006),$AD$1006:$AU$1006,0)), HYPERLINK("#",""), HYPERLINK(CONCATENATE("#metadata!", ADDRESS(INDEX($Y$2:$Y$1001,MATCH(ROWS($W$2:W760),$W$2:$W$1001,0),0), INDEX($AD$1004:$AU$1004,1,MATCH(COLUMNS($AD$1006:AL1006),$AD$1006:$AU$1006,0)))),"Fix")))</f>
        <v xml:space="preserve"> </v>
      </c>
      <c r="K760" s="4" t="str">
        <f ca="1">IF(OR(INDEX($X$2:$X$1001,MATCH(ROWS($W$2:W760),$W$2:$W$1001,0),1)&gt;=100000,INDEX($AD$1005:$AU$1005,1,MATCH(COLUMNS($AD$1006:AM1006),$AD$1006:$AU$1006,0))&gt;=100000), " ",IF(INDEX($AD$2:$AU$1001,MATCH(ROWS($W$2:W760),$W$2:$W$1001,0),MATCH(COLUMNS($AD$1006:AM1006),$AD$1006:$AU$1006,0)), HYPERLINK("#",""), HYPERLINK(CONCATENATE("#metadata!", ADDRESS(INDEX($Y$2:$Y$1001,MATCH(ROWS($W$2:W760),$W$2:$W$1001,0),0), INDEX($AD$1004:$AU$1004,1,MATCH(COLUMNS($AD$1006:AM1006),$AD$1006:$AU$1006,0)))),"Fix")))</f>
        <v xml:space="preserve"> </v>
      </c>
      <c r="L760" s="4" t="str">
        <f ca="1">IF(OR(INDEX($X$2:$X$1001,MATCH(ROWS($W$2:W760),$W$2:$W$1001,0),1)&gt;=100000,INDEX($AD$1005:$AU$1005,1,MATCH(COLUMNS($AD$1006:AN1006),$AD$1006:$AU$1006,0))&gt;=100000), " ",IF(INDEX($AD$2:$AU$1001,MATCH(ROWS($W$2:W760),$W$2:$W$1001,0),MATCH(COLUMNS($AD$1006:AN1006),$AD$1006:$AU$1006,0)), HYPERLINK("#",""), HYPERLINK(CONCATENATE("#metadata!", ADDRESS(INDEX($Y$2:$Y$1001,MATCH(ROWS($W$2:W760),$W$2:$W$1001,0),0), INDEX($AD$1004:$AU$1004,1,MATCH(COLUMNS($AD$1006:AN1006),$AD$1006:$AU$1006,0)))),"Fix")))</f>
        <v xml:space="preserve"> </v>
      </c>
      <c r="M760" s="4" t="str">
        <f ca="1">IF(OR(INDEX($X$2:$X$1001,MATCH(ROWS($W$2:W760),$W$2:$W$1001,0),1)&gt;=100000,INDEX($AD$1005:$AU$1005,1,MATCH(COLUMNS($AD$1006:AO1006),$AD$1006:$AU$1006,0))&gt;=100000), " ",IF(INDEX($AD$2:$AU$1001,MATCH(ROWS($W$2:W760),$W$2:$W$1001,0),MATCH(COLUMNS($AD$1006:AO1006),$AD$1006:$AU$1006,0)), HYPERLINK("#",""), HYPERLINK(CONCATENATE("#metadata!", ADDRESS(INDEX($Y$2:$Y$1001,MATCH(ROWS($W$2:W760),$W$2:$W$1001,0),0), INDEX($AD$1004:$AU$1004,1,MATCH(COLUMNS($AD$1006:AO1006),$AD$1006:$AU$1006,0)))),"Fix")))</f>
        <v xml:space="preserve"> </v>
      </c>
      <c r="N760" s="4" t="str">
        <f ca="1">IF(OR(INDEX($X$2:$X$1001,MATCH(ROWS($W$2:W760),$W$2:$W$1001,0),1)&gt;=100000,INDEX($AD$1005:$AU$1005,1,MATCH(COLUMNS($AD$1006:AP1006),$AD$1006:$AU$1006,0))&gt;=100000), " ",IF(INDEX($AD$2:$AU$1001,MATCH(ROWS($W$2:W760),$W$2:$W$1001,0),MATCH(COLUMNS($AD$1006:AP1006),$AD$1006:$AU$1006,0)), HYPERLINK("#",""), HYPERLINK(CONCATENATE("#metadata!", ADDRESS(INDEX($Y$2:$Y$1001,MATCH(ROWS($W$2:W760),$W$2:$W$1001,0),0), INDEX($AD$1004:$AU$1004,1,MATCH(COLUMNS($AD$1006:AP1006),$AD$1006:$AU$1006,0)))),"Fix")))</f>
        <v xml:space="preserve"> </v>
      </c>
      <c r="O760" s="4" t="str">
        <f ca="1">IF(OR(INDEX($X$2:$X$1001,MATCH(ROWS($W$2:W760),$W$2:$W$1001,0),1)&gt;=100000,INDEX($AD$1005:$AU$1005,1,MATCH(COLUMNS($AD$1006:AQ1006),$AD$1006:$AU$1006,0))&gt;=100000), " ",IF(INDEX($AD$2:$AU$1001,MATCH(ROWS($W$2:W760),$W$2:$W$1001,0),MATCH(COLUMNS($AD$1006:AQ1006),$AD$1006:$AU$1006,0)), HYPERLINK("#",""), HYPERLINK(CONCATENATE("#metadata!", ADDRESS(INDEX($Y$2:$Y$1001,MATCH(ROWS($W$2:W760),$W$2:$W$1001,0),0), INDEX($AD$1004:$AU$1004,1,MATCH(COLUMNS($AD$1006:AQ1006),$AD$1006:$AU$1006,0)))),"Fix")))</f>
        <v xml:space="preserve"> </v>
      </c>
      <c r="P760" s="4" t="str">
        <f ca="1">IF(OR(INDEX($X$2:$X$1001,MATCH(ROWS($W$2:W760),$W$2:$W$1001,0),1)&gt;=100000,INDEX($AD$1005:$AU$1005,1,MATCH(COLUMNS($AD$1006:AR1006),$AD$1006:$AU$1006,0))&gt;=100000), " ",IF(INDEX($AD$2:$AU$1001,MATCH(ROWS($W$2:W760),$W$2:$W$1001,0),MATCH(COLUMNS($AD$1006:AR1006),$AD$1006:$AU$1006,0)), HYPERLINK("#",""), HYPERLINK(CONCATENATE("#metadata!", ADDRESS(INDEX($Y$2:$Y$1001,MATCH(ROWS($W$2:W760),$W$2:$W$1001,0),0), INDEX($AD$1004:$AU$1004,1,MATCH(COLUMNS($AD$1006:AR1006),$AD$1006:$AU$1006,0)))),"Fix")))</f>
        <v xml:space="preserve"> </v>
      </c>
      <c r="Q760" s="4" t="str">
        <f ca="1">IF(OR(INDEX($X$2:$X$1001,MATCH(ROWS($W$2:W760),$W$2:$W$1001,0),1)&gt;=100000,INDEX($AD$1005:$AU$1005,1,MATCH(COLUMNS($AD$1006:AS1006),$AD$1006:$AU$1006,0))&gt;=100000), " ",IF(INDEX($AD$2:$AU$1001,MATCH(ROWS($W$2:W760),$W$2:$W$1001,0),MATCH(COLUMNS($AD$1006:AS1006),$AD$1006:$AU$1006,0)), HYPERLINK("#",""), HYPERLINK(CONCATENATE("#metadata!", ADDRESS(INDEX($Y$2:$Y$1001,MATCH(ROWS($W$2:W760),$W$2:$W$1001,0),0), INDEX($AD$1004:$AU$1004,1,MATCH(COLUMNS($AD$1006:AS1006),$AD$1006:$AU$1006,0)))),"Fix")))</f>
        <v xml:space="preserve"> </v>
      </c>
      <c r="R760" s="4" t="str">
        <f ca="1">IF(OR(INDEX($X$2:$X$1001,MATCH(ROWS($W$2:W760),$W$2:$W$1001,0),1)&gt;=100000,INDEX($AD$1005:$AU$1005,1,MATCH(COLUMNS($AD$1006:AT1006),$AD$1006:$AU$1006,0))&gt;=100000), " ",IF(INDEX($AD$2:$AU$1001,MATCH(ROWS($W$2:W760),$W$2:$W$1001,0),MATCH(COLUMNS($AD$1006:AT1006),$AD$1006:$AU$1006,0)), HYPERLINK("#",""), HYPERLINK(CONCATENATE("#metadata!", ADDRESS(INDEX($Y$2:$Y$1001,MATCH(ROWS($W$2:W760),$W$2:$W$1001,0),0), INDEX($AD$1004:$AU$1004,1,MATCH(COLUMNS($AD$1006:AT1006),$AD$1006:$AU$1006,0)))),"Fix")))</f>
        <v xml:space="preserve"> </v>
      </c>
      <c r="S760" s="4" t="str">
        <f ca="1">IF(OR(INDEX($X$2:$X$1001,MATCH(ROWS($W$2:W760),$W$2:$W$1001,0),1)&gt;=100000,INDEX($AD$1005:$AU$1005,1,MATCH(COLUMNS($AD$1006:AU1006),$AD$1006:$AU$1006,0))&gt;=100000), " ",IF(INDEX($AD$2:$AU$1001,MATCH(ROWS($W$2:W760),$W$2:$W$1001,0),MATCH(COLUMNS($AD$1006:AU1006),$AD$1006:$AU$1006,0)), HYPERLINK("#",""), HYPERLINK(CONCATENATE("#metadata!", ADDRESS(INDEX($Y$2:$Y$1001,MATCH(ROWS($W$2:W760),$W$2:$W$1001,0),0), INDEX($AD$1004:$AU$1004,1,MATCH(COLUMNS($AD$1006:AU1006),$AD$1006:$AU$1006,0)))),"Fix")))</f>
        <v xml:space="preserve"> </v>
      </c>
      <c r="W760">
        <v>759</v>
      </c>
      <c r="X760">
        <v>100760</v>
      </c>
      <c r="Y760">
        <v>760</v>
      </c>
      <c r="Z760" t="b">
        <f t="shared" si="11"/>
        <v>1</v>
      </c>
      <c r="AA760" t="b">
        <f>COUNTBLANK(metadata!B760:S760)=COLUMNS(metadata!B760:S760)</f>
        <v>1</v>
      </c>
      <c r="AB760" t="str">
        <v/>
      </c>
      <c r="AD760" t="b">
        <f ca="1">AND(IF(metadata!B760="",FALSE,TRUE),COUNTIF(metadata!B:B, metadata!B760) = 1,NOT(ISERROR(SUMPRODUCT(SEARCH(MID(metadata!B760,ROW(INDIRECT("1:"&amp;LEN(metadata!B760))), 1),"0123456789abcdefghijklmnopqrstuvwxyzABCDEFGHIJKLMNOPQRSTUVWXYZ.")))))</f>
        <v>0</v>
      </c>
      <c r="AE760" t="b">
        <f>OR(AND(IF(metadata!C760="",FALSE,TRUE),OR(EXACT(metadata!C760,"not applicable"),EXACT(metadata!C760,"missing: not collected"),EXACT(metadata!C760,"missing: not provided"),EXACT(metadata!C760,"missing: restricted access"))),AND(IF(metadata!C760="",FALSE,ISNUMBER(VALUE(metadata!C760))),metadata!C760&gt;0))</f>
        <v>0</v>
      </c>
      <c r="AF760" t="b">
        <f>AND(IF(metadata!D760="",FALSE,TRUE),EXACT(metadata!D760,"missing: not provided"))</f>
        <v>0</v>
      </c>
      <c r="AG760" t="b">
        <f>AND(IF(metadata!E760="",FALSE,TRUE),EXACT(metadata!E760,"Host-associated"))</f>
        <v>0</v>
      </c>
      <c r="AH760" t="b">
        <f>AND(IF(metadata!F760="",FALSE,TRUE),OR(EXACT(metadata!F760,"Animal"),EXACT(metadata!F760,"Fungus"),EXACT(metadata!F760,"Plant")))</f>
        <v>0</v>
      </c>
      <c r="AI760" t="b">
        <f>AND(IF(metadata!G760="",FALSE,TRUE),OR(EXACT(metadata!G760,"Plant secretion"),EXACT(metadata!G760,"Plant rhizosphere"),EXACT(metadata!G760,"Plant surface"),EXACT(metadata!G760,"Plant corpus"),EXACT(metadata!G760,"Fungus surface"),EXACT(metadata!G760,"Fungus corpus"),EXACT(metadata!G760,"Animal surface"),EXACT(metadata!G760,"Animal proximal gut"),EXACT(metadata!G760,"Animal corpus"),EXACT(metadata!G760,"Animal distal gut"),EXACT(metadata!G760,"Animal secretion")))</f>
        <v>0</v>
      </c>
      <c r="AJ760" t="b">
        <f>OR(AND(IF(metadata!H760="",FALSE,TRUE),OR(EXACT(metadata!H760,"missing: not collected"),EXACT(metadata!H760,"missing: not provided"),EXACT(metadata!H760,"missing: restricted access"))),AND(IF(metadata!H760="",FALSE,TRUE),OR(EXACT(metadata!H760,"organism-associated habitat"),EXACT(metadata!H760,"plant-associated habitat"),EXACT(metadata!H760,"animal-associated habitat"),EXACT(metadata!H760,"insecta-associated habitat"),EXACT(metadata!H760,"mammalia-associated habitat"),EXACT(metadata!H760,"human-associated habitat"),EXACT(metadata!H760,"livestock-associated habitat"))))</f>
        <v>0</v>
      </c>
      <c r="AK760" t="b">
        <f>AND(IF(metadata!I760="",FALSE,TRUE),EXACT(metadata!I760,"host-associated"))</f>
        <v>0</v>
      </c>
      <c r="AL760" t="b">
        <f>OR(AND(IF(metadata!J760="",FALSE,TRUE),OR(EXACT(metadata!J760,"not applicable"),EXACT(metadata!J760,"missing: not collected"),EXACT(metadata!J760,"missing: not provided"),EXACT(metadata!J760,"missing: restricted access"))),AND(IF(metadata!J760="",FALSE,ISNUMBER(VALUE(metadata!J760))),metadata!J760&gt;0))</f>
        <v>0</v>
      </c>
      <c r="AM760" t="b">
        <f>AND(IF(metadata!K760="",FALSE,TRUE),EXACT(metadata!K760,"missing: not provided"))</f>
        <v>0</v>
      </c>
      <c r="AN760" t="b">
        <f>IF(metadata!L760="",FALSE,TRUE)</f>
        <v>0</v>
      </c>
      <c r="AO760" t="b">
        <f>IF(metadata!M760="",FALSE,TRUE)</f>
        <v>0</v>
      </c>
      <c r="AP760" t="b">
        <f>OR(AND(IF(metadata!N760="",FALSE,TRUE),OR(EXACT(metadata!N760,"not applicable"),EXACT(metadata!N760,"missing: not collected"),EXACT(metadata!N760,"missing: not provided"))),AND(IF(metadata!N760="",FALSE,IF(ISERROR(INT(metadata!N760)),FALSE,INT(metadata!N760)=metadata!N760)),metadata!N760&gt;0))</f>
        <v>0</v>
      </c>
      <c r="AQ760" t="b">
        <f>AND(IF(metadata!O760="",FALSE,TRUE),EXACT(metadata!O760,"Not applicable"))</f>
        <v>0</v>
      </c>
      <c r="AR760" t="b">
        <f>OR(AND(IF(metadata!P760="",FALSE,TRUE),OR(EXACT(metadata!P760,"not applicable"),EXACT(metadata!P760,"missing: not collected"),EXACT(metadata!P760,"missing: not provided"),EXACT(metadata!P760,"missing: restricted access"))),IF(metadata!P760="",FALSE,IF(ISERROR(INT(metadata!P760)),FALSE,INT(metadata!P760)=metadata!P760)))</f>
        <v>0</v>
      </c>
      <c r="AS760" t="b">
        <f>AND(IF(metadata!Q760="",FALSE,TRUE),EXACT(metadata!Q760,"Not applicable"))</f>
        <v>0</v>
      </c>
      <c r="AT760" t="b">
        <f>OR(AND(IF(metadata!R760="",FALSE,TRUE),OR(EXACT(metadata!R760,"not applicable"),EXACT(metadata!R760,"missing: not collected"),EXACT(metadata!R760,"missing: not provided"),EXACT(metadata!R760,"missing: restricted access"))),AND(IF(metadata!R760="",FALSE,ISNUMBER(VALUE(metadata!R760))),metadata!R760&gt;0))</f>
        <v>0</v>
      </c>
      <c r="AU760" t="b">
        <f>AND(IF(metadata!S760="",FALSE,TRUE),EXACT(metadata!S760,"missing: not provided"))</f>
        <v>0</v>
      </c>
    </row>
    <row r="761" spans="1:47" x14ac:dyDescent="0.2">
      <c r="A761" s="5" t="str">
        <f ca="1">IF(B761=" "," ",HYPERLINK(CONCATENATE("#metadata!",ADDRESS(INDEX($Y$2:$Y$1001,MATCH(ROWS($W$2:W761),$W$2:$W$1001,0),0),1)),INDEX($AB$2:$AB$1001,MATCH(ROWS($W$2:W761),$W$2:$W$1001,0),0)))</f>
        <v xml:space="preserve"> </v>
      </c>
      <c r="B761" s="4" t="str">
        <f ca="1">IF(OR(INDEX($X$2:$X$1001,MATCH(ROWS($W$2:W761),$W$2:$W$1001,0),1)&gt;=100000,INDEX($AD$1005:$AU$1005,1,MATCH(COLUMNS($AD$1006:AD1006),$AD$1006:$AU$1006,0))&gt;=100000), " ",IF(INDEX($AD$2:$AU$1001,MATCH(ROWS($W$2:W761),$W$2:$W$1001,0),MATCH(COLUMNS($AD$1006:AD1006),$AD$1006:$AU$1006,0)), HYPERLINK("#",""), HYPERLINK(CONCATENATE("#metadata!", ADDRESS(INDEX($Y$2:$Y$1001,MATCH(ROWS($W$2:W761),$W$2:$W$1001,0),0), INDEX($AD$1004:$AU$1004,1,MATCH(COLUMNS($AD$1006:AD1006),$AD$1006:$AU$1006,0)))),"Fix")))</f>
        <v xml:space="preserve"> </v>
      </c>
      <c r="C761" s="4" t="str">
        <f ca="1">IF(OR(INDEX($X$2:$X$1001,MATCH(ROWS($W$2:W761),$W$2:$W$1001,0),1)&gt;=100000,INDEX($AD$1005:$AU$1005,1,MATCH(COLUMNS($AD$1006:AE1006),$AD$1006:$AU$1006,0))&gt;=100000), " ",IF(INDEX($AD$2:$AU$1001,MATCH(ROWS($W$2:W761),$W$2:$W$1001,0),MATCH(COLUMNS($AD$1006:AE1006),$AD$1006:$AU$1006,0)), HYPERLINK("#",""), HYPERLINK(CONCATENATE("#metadata!", ADDRESS(INDEX($Y$2:$Y$1001,MATCH(ROWS($W$2:W761),$W$2:$W$1001,0),0), INDEX($AD$1004:$AU$1004,1,MATCH(COLUMNS($AD$1006:AE1006),$AD$1006:$AU$1006,0)))),"Fix")))</f>
        <v xml:space="preserve"> </v>
      </c>
      <c r="D761" s="4" t="str">
        <f ca="1">IF(OR(INDEX($X$2:$X$1001,MATCH(ROWS($W$2:W761),$W$2:$W$1001,0),1)&gt;=100000,INDEX($AD$1005:$AU$1005,1,MATCH(COLUMNS($AD$1006:AF1006),$AD$1006:$AU$1006,0))&gt;=100000), " ",IF(INDEX($AD$2:$AU$1001,MATCH(ROWS($W$2:W761),$W$2:$W$1001,0),MATCH(COLUMNS($AD$1006:AF1006),$AD$1006:$AU$1006,0)), HYPERLINK("#",""), HYPERLINK(CONCATENATE("#metadata!", ADDRESS(INDEX($Y$2:$Y$1001,MATCH(ROWS($W$2:W761),$W$2:$W$1001,0),0), INDEX($AD$1004:$AU$1004,1,MATCH(COLUMNS($AD$1006:AF1006),$AD$1006:$AU$1006,0)))),"Fix")))</f>
        <v xml:space="preserve"> </v>
      </c>
      <c r="E761" s="4" t="str">
        <f ca="1">IF(OR(INDEX($X$2:$X$1001,MATCH(ROWS($W$2:W761),$W$2:$W$1001,0),1)&gt;=100000,INDEX($AD$1005:$AU$1005,1,MATCH(COLUMNS($AD$1006:AG1006),$AD$1006:$AU$1006,0))&gt;=100000), " ",IF(INDEX($AD$2:$AU$1001,MATCH(ROWS($W$2:W761),$W$2:$W$1001,0),MATCH(COLUMNS($AD$1006:AG1006),$AD$1006:$AU$1006,0)), HYPERLINK("#",""), HYPERLINK(CONCATENATE("#metadata!", ADDRESS(INDEX($Y$2:$Y$1001,MATCH(ROWS($W$2:W761),$W$2:$W$1001,0),0), INDEX($AD$1004:$AU$1004,1,MATCH(COLUMNS($AD$1006:AG1006),$AD$1006:$AU$1006,0)))),"Fix")))</f>
        <v xml:space="preserve"> </v>
      </c>
      <c r="F761" s="4" t="str">
        <f ca="1">IF(OR(INDEX($X$2:$X$1001,MATCH(ROWS($W$2:W761),$W$2:$W$1001,0),1)&gt;=100000,INDEX($AD$1005:$AU$1005,1,MATCH(COLUMNS($AD$1006:AH1006),$AD$1006:$AU$1006,0))&gt;=100000), " ",IF(INDEX($AD$2:$AU$1001,MATCH(ROWS($W$2:W761),$W$2:$W$1001,0),MATCH(COLUMNS($AD$1006:AH1006),$AD$1006:$AU$1006,0)), HYPERLINK("#",""), HYPERLINK(CONCATENATE("#metadata!", ADDRESS(INDEX($Y$2:$Y$1001,MATCH(ROWS($W$2:W761),$W$2:$W$1001,0),0), INDEX($AD$1004:$AU$1004,1,MATCH(COLUMNS($AD$1006:AH1006),$AD$1006:$AU$1006,0)))),"Fix")))</f>
        <v xml:space="preserve"> </v>
      </c>
      <c r="G761" s="4" t="str">
        <f ca="1">IF(OR(INDEX($X$2:$X$1001,MATCH(ROWS($W$2:W761),$W$2:$W$1001,0),1)&gt;=100000,INDEX($AD$1005:$AU$1005,1,MATCH(COLUMNS($AD$1006:AI1006),$AD$1006:$AU$1006,0))&gt;=100000), " ",IF(INDEX($AD$2:$AU$1001,MATCH(ROWS($W$2:W761),$W$2:$W$1001,0),MATCH(COLUMNS($AD$1006:AI1006),$AD$1006:$AU$1006,0)), HYPERLINK("#",""), HYPERLINK(CONCATENATE("#metadata!", ADDRESS(INDEX($Y$2:$Y$1001,MATCH(ROWS($W$2:W761),$W$2:$W$1001,0),0), INDEX($AD$1004:$AU$1004,1,MATCH(COLUMNS($AD$1006:AI1006),$AD$1006:$AU$1006,0)))),"Fix")))</f>
        <v xml:space="preserve"> </v>
      </c>
      <c r="H761" s="4" t="str">
        <f ca="1">IF(OR(INDEX($X$2:$X$1001,MATCH(ROWS($W$2:W761),$W$2:$W$1001,0),1)&gt;=100000,INDEX($AD$1005:$AU$1005,1,MATCH(COLUMNS($AD$1006:AJ1006),$AD$1006:$AU$1006,0))&gt;=100000), " ",IF(INDEX($AD$2:$AU$1001,MATCH(ROWS($W$2:W761),$W$2:$W$1001,0),MATCH(COLUMNS($AD$1006:AJ1006),$AD$1006:$AU$1006,0)), HYPERLINK("#",""), HYPERLINK(CONCATENATE("#metadata!", ADDRESS(INDEX($Y$2:$Y$1001,MATCH(ROWS($W$2:W761),$W$2:$W$1001,0),0), INDEX($AD$1004:$AU$1004,1,MATCH(COLUMNS($AD$1006:AJ1006),$AD$1006:$AU$1006,0)))),"Fix")))</f>
        <v xml:space="preserve"> </v>
      </c>
      <c r="I761" s="4" t="str">
        <f ca="1">IF(OR(INDEX($X$2:$X$1001,MATCH(ROWS($W$2:W761),$W$2:$W$1001,0),1)&gt;=100000,INDEX($AD$1005:$AU$1005,1,MATCH(COLUMNS($AD$1006:AK1006),$AD$1006:$AU$1006,0))&gt;=100000), " ",IF(INDEX($AD$2:$AU$1001,MATCH(ROWS($W$2:W761),$W$2:$W$1001,0),MATCH(COLUMNS($AD$1006:AK1006),$AD$1006:$AU$1006,0)), HYPERLINK("#",""), HYPERLINK(CONCATENATE("#metadata!", ADDRESS(INDEX($Y$2:$Y$1001,MATCH(ROWS($W$2:W761),$W$2:$W$1001,0),0), INDEX($AD$1004:$AU$1004,1,MATCH(COLUMNS($AD$1006:AK1006),$AD$1006:$AU$1006,0)))),"Fix")))</f>
        <v xml:space="preserve"> </v>
      </c>
      <c r="J761" s="4" t="str">
        <f ca="1">IF(OR(INDEX($X$2:$X$1001,MATCH(ROWS($W$2:W761),$W$2:$W$1001,0),1)&gt;=100000,INDEX($AD$1005:$AU$1005,1,MATCH(COLUMNS($AD$1006:AL1006),$AD$1006:$AU$1006,0))&gt;=100000), " ",IF(INDEX($AD$2:$AU$1001,MATCH(ROWS($W$2:W761),$W$2:$W$1001,0),MATCH(COLUMNS($AD$1006:AL1006),$AD$1006:$AU$1006,0)), HYPERLINK("#",""), HYPERLINK(CONCATENATE("#metadata!", ADDRESS(INDEX($Y$2:$Y$1001,MATCH(ROWS($W$2:W761),$W$2:$W$1001,0),0), INDEX($AD$1004:$AU$1004,1,MATCH(COLUMNS($AD$1006:AL1006),$AD$1006:$AU$1006,0)))),"Fix")))</f>
        <v xml:space="preserve"> </v>
      </c>
      <c r="K761" s="4" t="str">
        <f ca="1">IF(OR(INDEX($X$2:$X$1001,MATCH(ROWS($W$2:W761),$W$2:$W$1001,0),1)&gt;=100000,INDEX($AD$1005:$AU$1005,1,MATCH(COLUMNS($AD$1006:AM1006),$AD$1006:$AU$1006,0))&gt;=100000), " ",IF(INDEX($AD$2:$AU$1001,MATCH(ROWS($W$2:W761),$W$2:$W$1001,0),MATCH(COLUMNS($AD$1006:AM1006),$AD$1006:$AU$1006,0)), HYPERLINK("#",""), HYPERLINK(CONCATENATE("#metadata!", ADDRESS(INDEX($Y$2:$Y$1001,MATCH(ROWS($W$2:W761),$W$2:$W$1001,0),0), INDEX($AD$1004:$AU$1004,1,MATCH(COLUMNS($AD$1006:AM1006),$AD$1006:$AU$1006,0)))),"Fix")))</f>
        <v xml:space="preserve"> </v>
      </c>
      <c r="L761" s="4" t="str">
        <f ca="1">IF(OR(INDEX($X$2:$X$1001,MATCH(ROWS($W$2:W761),$W$2:$W$1001,0),1)&gt;=100000,INDEX($AD$1005:$AU$1005,1,MATCH(COLUMNS($AD$1006:AN1006),$AD$1006:$AU$1006,0))&gt;=100000), " ",IF(INDEX($AD$2:$AU$1001,MATCH(ROWS($W$2:W761),$W$2:$W$1001,0),MATCH(COLUMNS($AD$1006:AN1006),$AD$1006:$AU$1006,0)), HYPERLINK("#",""), HYPERLINK(CONCATENATE("#metadata!", ADDRESS(INDEX($Y$2:$Y$1001,MATCH(ROWS($W$2:W761),$W$2:$W$1001,0),0), INDEX($AD$1004:$AU$1004,1,MATCH(COLUMNS($AD$1006:AN1006),$AD$1006:$AU$1006,0)))),"Fix")))</f>
        <v xml:space="preserve"> </v>
      </c>
      <c r="M761" s="4" t="str">
        <f ca="1">IF(OR(INDEX($X$2:$X$1001,MATCH(ROWS($W$2:W761),$W$2:$W$1001,0),1)&gt;=100000,INDEX($AD$1005:$AU$1005,1,MATCH(COLUMNS($AD$1006:AO1006),$AD$1006:$AU$1006,0))&gt;=100000), " ",IF(INDEX($AD$2:$AU$1001,MATCH(ROWS($W$2:W761),$W$2:$W$1001,0),MATCH(COLUMNS($AD$1006:AO1006),$AD$1006:$AU$1006,0)), HYPERLINK("#",""), HYPERLINK(CONCATENATE("#metadata!", ADDRESS(INDEX($Y$2:$Y$1001,MATCH(ROWS($W$2:W761),$W$2:$W$1001,0),0), INDEX($AD$1004:$AU$1004,1,MATCH(COLUMNS($AD$1006:AO1006),$AD$1006:$AU$1006,0)))),"Fix")))</f>
        <v xml:space="preserve"> </v>
      </c>
      <c r="N761" s="4" t="str">
        <f ca="1">IF(OR(INDEX($X$2:$X$1001,MATCH(ROWS($W$2:W761),$W$2:$W$1001,0),1)&gt;=100000,INDEX($AD$1005:$AU$1005,1,MATCH(COLUMNS($AD$1006:AP1006),$AD$1006:$AU$1006,0))&gt;=100000), " ",IF(INDEX($AD$2:$AU$1001,MATCH(ROWS($W$2:W761),$W$2:$W$1001,0),MATCH(COLUMNS($AD$1006:AP1006),$AD$1006:$AU$1006,0)), HYPERLINK("#",""), HYPERLINK(CONCATENATE("#metadata!", ADDRESS(INDEX($Y$2:$Y$1001,MATCH(ROWS($W$2:W761),$W$2:$W$1001,0),0), INDEX($AD$1004:$AU$1004,1,MATCH(COLUMNS($AD$1006:AP1006),$AD$1006:$AU$1006,0)))),"Fix")))</f>
        <v xml:space="preserve"> </v>
      </c>
      <c r="O761" s="4" t="str">
        <f ca="1">IF(OR(INDEX($X$2:$X$1001,MATCH(ROWS($W$2:W761),$W$2:$W$1001,0),1)&gt;=100000,INDEX($AD$1005:$AU$1005,1,MATCH(COLUMNS($AD$1006:AQ1006),$AD$1006:$AU$1006,0))&gt;=100000), " ",IF(INDEX($AD$2:$AU$1001,MATCH(ROWS($W$2:W761),$W$2:$W$1001,0),MATCH(COLUMNS($AD$1006:AQ1006),$AD$1006:$AU$1006,0)), HYPERLINK("#",""), HYPERLINK(CONCATENATE("#metadata!", ADDRESS(INDEX($Y$2:$Y$1001,MATCH(ROWS($W$2:W761),$W$2:$W$1001,0),0), INDEX($AD$1004:$AU$1004,1,MATCH(COLUMNS($AD$1006:AQ1006),$AD$1006:$AU$1006,0)))),"Fix")))</f>
        <v xml:space="preserve"> </v>
      </c>
      <c r="P761" s="4" t="str">
        <f ca="1">IF(OR(INDEX($X$2:$X$1001,MATCH(ROWS($W$2:W761),$W$2:$W$1001,0),1)&gt;=100000,INDEX($AD$1005:$AU$1005,1,MATCH(COLUMNS($AD$1006:AR1006),$AD$1006:$AU$1006,0))&gt;=100000), " ",IF(INDEX($AD$2:$AU$1001,MATCH(ROWS($W$2:W761),$W$2:$W$1001,0),MATCH(COLUMNS($AD$1006:AR1006),$AD$1006:$AU$1006,0)), HYPERLINK("#",""), HYPERLINK(CONCATENATE("#metadata!", ADDRESS(INDEX($Y$2:$Y$1001,MATCH(ROWS($W$2:W761),$W$2:$W$1001,0),0), INDEX($AD$1004:$AU$1004,1,MATCH(COLUMNS($AD$1006:AR1006),$AD$1006:$AU$1006,0)))),"Fix")))</f>
        <v xml:space="preserve"> </v>
      </c>
      <c r="Q761" s="4" t="str">
        <f ca="1">IF(OR(INDEX($X$2:$X$1001,MATCH(ROWS($W$2:W761),$W$2:$W$1001,0),1)&gt;=100000,INDEX($AD$1005:$AU$1005,1,MATCH(COLUMNS($AD$1006:AS1006),$AD$1006:$AU$1006,0))&gt;=100000), " ",IF(INDEX($AD$2:$AU$1001,MATCH(ROWS($W$2:W761),$W$2:$W$1001,0),MATCH(COLUMNS($AD$1006:AS1006),$AD$1006:$AU$1006,0)), HYPERLINK("#",""), HYPERLINK(CONCATENATE("#metadata!", ADDRESS(INDEX($Y$2:$Y$1001,MATCH(ROWS($W$2:W761),$W$2:$W$1001,0),0), INDEX($AD$1004:$AU$1004,1,MATCH(COLUMNS($AD$1006:AS1006),$AD$1006:$AU$1006,0)))),"Fix")))</f>
        <v xml:space="preserve"> </v>
      </c>
      <c r="R761" s="4" t="str">
        <f ca="1">IF(OR(INDEX($X$2:$X$1001,MATCH(ROWS($W$2:W761),$W$2:$W$1001,0),1)&gt;=100000,INDEX($AD$1005:$AU$1005,1,MATCH(COLUMNS($AD$1006:AT1006),$AD$1006:$AU$1006,0))&gt;=100000), " ",IF(INDEX($AD$2:$AU$1001,MATCH(ROWS($W$2:W761),$W$2:$W$1001,0),MATCH(COLUMNS($AD$1006:AT1006),$AD$1006:$AU$1006,0)), HYPERLINK("#",""), HYPERLINK(CONCATENATE("#metadata!", ADDRESS(INDEX($Y$2:$Y$1001,MATCH(ROWS($W$2:W761),$W$2:$W$1001,0),0), INDEX($AD$1004:$AU$1004,1,MATCH(COLUMNS($AD$1006:AT1006),$AD$1006:$AU$1006,0)))),"Fix")))</f>
        <v xml:space="preserve"> </v>
      </c>
      <c r="S761" s="4" t="str">
        <f ca="1">IF(OR(INDEX($X$2:$X$1001,MATCH(ROWS($W$2:W761),$W$2:$W$1001,0),1)&gt;=100000,INDEX($AD$1005:$AU$1005,1,MATCH(COLUMNS($AD$1006:AU1006),$AD$1006:$AU$1006,0))&gt;=100000), " ",IF(INDEX($AD$2:$AU$1001,MATCH(ROWS($W$2:W761),$W$2:$W$1001,0),MATCH(COLUMNS($AD$1006:AU1006),$AD$1006:$AU$1006,0)), HYPERLINK("#",""), HYPERLINK(CONCATENATE("#metadata!", ADDRESS(INDEX($Y$2:$Y$1001,MATCH(ROWS($W$2:W761),$W$2:$W$1001,0),0), INDEX($AD$1004:$AU$1004,1,MATCH(COLUMNS($AD$1006:AU1006),$AD$1006:$AU$1006,0)))),"Fix")))</f>
        <v xml:space="preserve"> </v>
      </c>
      <c r="W761">
        <v>760</v>
      </c>
      <c r="X761">
        <v>100761</v>
      </c>
      <c r="Y761">
        <v>761</v>
      </c>
      <c r="Z761" t="b">
        <f t="shared" si="11"/>
        <v>1</v>
      </c>
      <c r="AA761" t="b">
        <f>COUNTBLANK(metadata!B761:S761)=COLUMNS(metadata!B761:S761)</f>
        <v>1</v>
      </c>
      <c r="AB761" t="str">
        <v/>
      </c>
      <c r="AD761" t="b">
        <f ca="1">AND(IF(metadata!B761="",FALSE,TRUE),COUNTIF(metadata!B:B, metadata!B761) = 1,NOT(ISERROR(SUMPRODUCT(SEARCH(MID(metadata!B761,ROW(INDIRECT("1:"&amp;LEN(metadata!B761))), 1),"0123456789abcdefghijklmnopqrstuvwxyzABCDEFGHIJKLMNOPQRSTUVWXYZ.")))))</f>
        <v>0</v>
      </c>
      <c r="AE761" t="b">
        <f>OR(AND(IF(metadata!C761="",FALSE,TRUE),OR(EXACT(metadata!C761,"not applicable"),EXACT(metadata!C761,"missing: not collected"),EXACT(metadata!C761,"missing: not provided"),EXACT(metadata!C761,"missing: restricted access"))),AND(IF(metadata!C761="",FALSE,ISNUMBER(VALUE(metadata!C761))),metadata!C761&gt;0))</f>
        <v>0</v>
      </c>
      <c r="AF761" t="b">
        <f>AND(IF(metadata!D761="",FALSE,TRUE),EXACT(metadata!D761,"missing: not provided"))</f>
        <v>0</v>
      </c>
      <c r="AG761" t="b">
        <f>AND(IF(metadata!E761="",FALSE,TRUE),EXACT(metadata!E761,"Host-associated"))</f>
        <v>0</v>
      </c>
      <c r="AH761" t="b">
        <f>AND(IF(metadata!F761="",FALSE,TRUE),OR(EXACT(metadata!F761,"Animal"),EXACT(metadata!F761,"Fungus"),EXACT(metadata!F761,"Plant")))</f>
        <v>0</v>
      </c>
      <c r="AI761" t="b">
        <f>AND(IF(metadata!G761="",FALSE,TRUE),OR(EXACT(metadata!G761,"Plant secretion"),EXACT(metadata!G761,"Plant rhizosphere"),EXACT(metadata!G761,"Plant surface"),EXACT(metadata!G761,"Plant corpus"),EXACT(metadata!G761,"Fungus surface"),EXACT(metadata!G761,"Fungus corpus"),EXACT(metadata!G761,"Animal surface"),EXACT(metadata!G761,"Animal proximal gut"),EXACT(metadata!G761,"Animal corpus"),EXACT(metadata!G761,"Animal distal gut"),EXACT(metadata!G761,"Animal secretion")))</f>
        <v>0</v>
      </c>
      <c r="AJ761" t="b">
        <f>OR(AND(IF(metadata!H761="",FALSE,TRUE),OR(EXACT(metadata!H761,"missing: not collected"),EXACT(metadata!H761,"missing: not provided"),EXACT(metadata!H761,"missing: restricted access"))),AND(IF(metadata!H761="",FALSE,TRUE),OR(EXACT(metadata!H761,"organism-associated habitat"),EXACT(metadata!H761,"plant-associated habitat"),EXACT(metadata!H761,"animal-associated habitat"),EXACT(metadata!H761,"insecta-associated habitat"),EXACT(metadata!H761,"mammalia-associated habitat"),EXACT(metadata!H761,"human-associated habitat"),EXACT(metadata!H761,"livestock-associated habitat"))))</f>
        <v>0</v>
      </c>
      <c r="AK761" t="b">
        <f>AND(IF(metadata!I761="",FALSE,TRUE),EXACT(metadata!I761,"host-associated"))</f>
        <v>0</v>
      </c>
      <c r="AL761" t="b">
        <f>OR(AND(IF(metadata!J761="",FALSE,TRUE),OR(EXACT(metadata!J761,"not applicable"),EXACT(metadata!J761,"missing: not collected"),EXACT(metadata!J761,"missing: not provided"),EXACT(metadata!J761,"missing: restricted access"))),AND(IF(metadata!J761="",FALSE,ISNUMBER(VALUE(metadata!J761))),metadata!J761&gt;0))</f>
        <v>0</v>
      </c>
      <c r="AM761" t="b">
        <f>AND(IF(metadata!K761="",FALSE,TRUE),EXACT(metadata!K761,"missing: not provided"))</f>
        <v>0</v>
      </c>
      <c r="AN761" t="b">
        <f>IF(metadata!L761="",FALSE,TRUE)</f>
        <v>0</v>
      </c>
      <c r="AO761" t="b">
        <f>IF(metadata!M761="",FALSE,TRUE)</f>
        <v>0</v>
      </c>
      <c r="AP761" t="b">
        <f>OR(AND(IF(metadata!N761="",FALSE,TRUE),OR(EXACT(metadata!N761,"not applicable"),EXACT(metadata!N761,"missing: not collected"),EXACT(metadata!N761,"missing: not provided"))),AND(IF(metadata!N761="",FALSE,IF(ISERROR(INT(metadata!N761)),FALSE,INT(metadata!N761)=metadata!N761)),metadata!N761&gt;0))</f>
        <v>0</v>
      </c>
      <c r="AQ761" t="b">
        <f>AND(IF(metadata!O761="",FALSE,TRUE),EXACT(metadata!O761,"Not applicable"))</f>
        <v>0</v>
      </c>
      <c r="AR761" t="b">
        <f>OR(AND(IF(metadata!P761="",FALSE,TRUE),OR(EXACT(metadata!P761,"not applicable"),EXACT(metadata!P761,"missing: not collected"),EXACT(metadata!P761,"missing: not provided"),EXACT(metadata!P761,"missing: restricted access"))),IF(metadata!P761="",FALSE,IF(ISERROR(INT(metadata!P761)),FALSE,INT(metadata!P761)=metadata!P761)))</f>
        <v>0</v>
      </c>
      <c r="AS761" t="b">
        <f>AND(IF(metadata!Q761="",FALSE,TRUE),EXACT(metadata!Q761,"Not applicable"))</f>
        <v>0</v>
      </c>
      <c r="AT761" t="b">
        <f>OR(AND(IF(metadata!R761="",FALSE,TRUE),OR(EXACT(metadata!R761,"not applicable"),EXACT(metadata!R761,"missing: not collected"),EXACT(metadata!R761,"missing: not provided"),EXACT(metadata!R761,"missing: restricted access"))),AND(IF(metadata!R761="",FALSE,ISNUMBER(VALUE(metadata!R761))),metadata!R761&gt;0))</f>
        <v>0</v>
      </c>
      <c r="AU761" t="b">
        <f>AND(IF(metadata!S761="",FALSE,TRUE),EXACT(metadata!S761,"missing: not provided"))</f>
        <v>0</v>
      </c>
    </row>
    <row r="762" spans="1:47" x14ac:dyDescent="0.2">
      <c r="A762" s="5" t="str">
        <f ca="1">IF(B762=" "," ",HYPERLINK(CONCATENATE("#metadata!",ADDRESS(INDEX($Y$2:$Y$1001,MATCH(ROWS($W$2:W762),$W$2:$W$1001,0),0),1)),INDEX($AB$2:$AB$1001,MATCH(ROWS($W$2:W762),$W$2:$W$1001,0),0)))</f>
        <v xml:space="preserve"> </v>
      </c>
      <c r="B762" s="4" t="str">
        <f ca="1">IF(OR(INDEX($X$2:$X$1001,MATCH(ROWS($W$2:W762),$W$2:$W$1001,0),1)&gt;=100000,INDEX($AD$1005:$AU$1005,1,MATCH(COLUMNS($AD$1006:AD1006),$AD$1006:$AU$1006,0))&gt;=100000), " ",IF(INDEX($AD$2:$AU$1001,MATCH(ROWS($W$2:W762),$W$2:$W$1001,0),MATCH(COLUMNS($AD$1006:AD1006),$AD$1006:$AU$1006,0)), HYPERLINK("#",""), HYPERLINK(CONCATENATE("#metadata!", ADDRESS(INDEX($Y$2:$Y$1001,MATCH(ROWS($W$2:W762),$W$2:$W$1001,0),0), INDEX($AD$1004:$AU$1004,1,MATCH(COLUMNS($AD$1006:AD1006),$AD$1006:$AU$1006,0)))),"Fix")))</f>
        <v xml:space="preserve"> </v>
      </c>
      <c r="C762" s="4" t="str">
        <f ca="1">IF(OR(INDEX($X$2:$X$1001,MATCH(ROWS($W$2:W762),$W$2:$W$1001,0),1)&gt;=100000,INDEX($AD$1005:$AU$1005,1,MATCH(COLUMNS($AD$1006:AE1006),$AD$1006:$AU$1006,0))&gt;=100000), " ",IF(INDEX($AD$2:$AU$1001,MATCH(ROWS($W$2:W762),$W$2:$W$1001,0),MATCH(COLUMNS($AD$1006:AE1006),$AD$1006:$AU$1006,0)), HYPERLINK("#",""), HYPERLINK(CONCATENATE("#metadata!", ADDRESS(INDEX($Y$2:$Y$1001,MATCH(ROWS($W$2:W762),$W$2:$W$1001,0),0), INDEX($AD$1004:$AU$1004,1,MATCH(COLUMNS($AD$1006:AE1006),$AD$1006:$AU$1006,0)))),"Fix")))</f>
        <v xml:space="preserve"> </v>
      </c>
      <c r="D762" s="4" t="str">
        <f ca="1">IF(OR(INDEX($X$2:$X$1001,MATCH(ROWS($W$2:W762),$W$2:$W$1001,0),1)&gt;=100000,INDEX($AD$1005:$AU$1005,1,MATCH(COLUMNS($AD$1006:AF1006),$AD$1006:$AU$1006,0))&gt;=100000), " ",IF(INDEX($AD$2:$AU$1001,MATCH(ROWS($W$2:W762),$W$2:$W$1001,0),MATCH(COLUMNS($AD$1006:AF1006),$AD$1006:$AU$1006,0)), HYPERLINK("#",""), HYPERLINK(CONCATENATE("#metadata!", ADDRESS(INDEX($Y$2:$Y$1001,MATCH(ROWS($W$2:W762),$W$2:$W$1001,0),0), INDEX($AD$1004:$AU$1004,1,MATCH(COLUMNS($AD$1006:AF1006),$AD$1006:$AU$1006,0)))),"Fix")))</f>
        <v xml:space="preserve"> </v>
      </c>
      <c r="E762" s="4" t="str">
        <f ca="1">IF(OR(INDEX($X$2:$X$1001,MATCH(ROWS($W$2:W762),$W$2:$W$1001,0),1)&gt;=100000,INDEX($AD$1005:$AU$1005,1,MATCH(COLUMNS($AD$1006:AG1006),$AD$1006:$AU$1006,0))&gt;=100000), " ",IF(INDEX($AD$2:$AU$1001,MATCH(ROWS($W$2:W762),$W$2:$W$1001,0),MATCH(COLUMNS($AD$1006:AG1006),$AD$1006:$AU$1006,0)), HYPERLINK("#",""), HYPERLINK(CONCATENATE("#metadata!", ADDRESS(INDEX($Y$2:$Y$1001,MATCH(ROWS($W$2:W762),$W$2:$W$1001,0),0), INDEX($AD$1004:$AU$1004,1,MATCH(COLUMNS($AD$1006:AG1006),$AD$1006:$AU$1006,0)))),"Fix")))</f>
        <v xml:space="preserve"> </v>
      </c>
      <c r="F762" s="4" t="str">
        <f ca="1">IF(OR(INDEX($X$2:$X$1001,MATCH(ROWS($W$2:W762),$W$2:$W$1001,0),1)&gt;=100000,INDEX($AD$1005:$AU$1005,1,MATCH(COLUMNS($AD$1006:AH1006),$AD$1006:$AU$1006,0))&gt;=100000), " ",IF(INDEX($AD$2:$AU$1001,MATCH(ROWS($W$2:W762),$W$2:$W$1001,0),MATCH(COLUMNS($AD$1006:AH1006),$AD$1006:$AU$1006,0)), HYPERLINK("#",""), HYPERLINK(CONCATENATE("#metadata!", ADDRESS(INDEX($Y$2:$Y$1001,MATCH(ROWS($W$2:W762),$W$2:$W$1001,0),0), INDEX($AD$1004:$AU$1004,1,MATCH(COLUMNS($AD$1006:AH1006),$AD$1006:$AU$1006,0)))),"Fix")))</f>
        <v xml:space="preserve"> </v>
      </c>
      <c r="G762" s="4" t="str">
        <f ca="1">IF(OR(INDEX($X$2:$X$1001,MATCH(ROWS($W$2:W762),$W$2:$W$1001,0),1)&gt;=100000,INDEX($AD$1005:$AU$1005,1,MATCH(COLUMNS($AD$1006:AI1006),$AD$1006:$AU$1006,0))&gt;=100000), " ",IF(INDEX($AD$2:$AU$1001,MATCH(ROWS($W$2:W762),$W$2:$W$1001,0),MATCH(COLUMNS($AD$1006:AI1006),$AD$1006:$AU$1006,0)), HYPERLINK("#",""), HYPERLINK(CONCATENATE("#metadata!", ADDRESS(INDEX($Y$2:$Y$1001,MATCH(ROWS($W$2:W762),$W$2:$W$1001,0),0), INDEX($AD$1004:$AU$1004,1,MATCH(COLUMNS($AD$1006:AI1006),$AD$1006:$AU$1006,0)))),"Fix")))</f>
        <v xml:space="preserve"> </v>
      </c>
      <c r="H762" s="4" t="str">
        <f ca="1">IF(OR(INDEX($X$2:$X$1001,MATCH(ROWS($W$2:W762),$W$2:$W$1001,0),1)&gt;=100000,INDEX($AD$1005:$AU$1005,1,MATCH(COLUMNS($AD$1006:AJ1006),$AD$1006:$AU$1006,0))&gt;=100000), " ",IF(INDEX($AD$2:$AU$1001,MATCH(ROWS($W$2:W762),$W$2:$W$1001,0),MATCH(COLUMNS($AD$1006:AJ1006),$AD$1006:$AU$1006,0)), HYPERLINK("#",""), HYPERLINK(CONCATENATE("#metadata!", ADDRESS(INDEX($Y$2:$Y$1001,MATCH(ROWS($W$2:W762),$W$2:$W$1001,0),0), INDEX($AD$1004:$AU$1004,1,MATCH(COLUMNS($AD$1006:AJ1006),$AD$1006:$AU$1006,0)))),"Fix")))</f>
        <v xml:space="preserve"> </v>
      </c>
      <c r="I762" s="4" t="str">
        <f ca="1">IF(OR(INDEX($X$2:$X$1001,MATCH(ROWS($W$2:W762),$W$2:$W$1001,0),1)&gt;=100000,INDEX($AD$1005:$AU$1005,1,MATCH(COLUMNS($AD$1006:AK1006),$AD$1006:$AU$1006,0))&gt;=100000), " ",IF(INDEX($AD$2:$AU$1001,MATCH(ROWS($W$2:W762),$W$2:$W$1001,0),MATCH(COLUMNS($AD$1006:AK1006),$AD$1006:$AU$1006,0)), HYPERLINK("#",""), HYPERLINK(CONCATENATE("#metadata!", ADDRESS(INDEX($Y$2:$Y$1001,MATCH(ROWS($W$2:W762),$W$2:$W$1001,0),0), INDEX($AD$1004:$AU$1004,1,MATCH(COLUMNS($AD$1006:AK1006),$AD$1006:$AU$1006,0)))),"Fix")))</f>
        <v xml:space="preserve"> </v>
      </c>
      <c r="J762" s="4" t="str">
        <f ca="1">IF(OR(INDEX($X$2:$X$1001,MATCH(ROWS($W$2:W762),$W$2:$W$1001,0),1)&gt;=100000,INDEX($AD$1005:$AU$1005,1,MATCH(COLUMNS($AD$1006:AL1006),$AD$1006:$AU$1006,0))&gt;=100000), " ",IF(INDEX($AD$2:$AU$1001,MATCH(ROWS($W$2:W762),$W$2:$W$1001,0),MATCH(COLUMNS($AD$1006:AL1006),$AD$1006:$AU$1006,0)), HYPERLINK("#",""), HYPERLINK(CONCATENATE("#metadata!", ADDRESS(INDEX($Y$2:$Y$1001,MATCH(ROWS($W$2:W762),$W$2:$W$1001,0),0), INDEX($AD$1004:$AU$1004,1,MATCH(COLUMNS($AD$1006:AL1006),$AD$1006:$AU$1006,0)))),"Fix")))</f>
        <v xml:space="preserve"> </v>
      </c>
      <c r="K762" s="4" t="str">
        <f ca="1">IF(OR(INDEX($X$2:$X$1001,MATCH(ROWS($W$2:W762),$W$2:$W$1001,0),1)&gt;=100000,INDEX($AD$1005:$AU$1005,1,MATCH(COLUMNS($AD$1006:AM1006),$AD$1006:$AU$1006,0))&gt;=100000), " ",IF(INDEX($AD$2:$AU$1001,MATCH(ROWS($W$2:W762),$W$2:$W$1001,0),MATCH(COLUMNS($AD$1006:AM1006),$AD$1006:$AU$1006,0)), HYPERLINK("#",""), HYPERLINK(CONCATENATE("#metadata!", ADDRESS(INDEX($Y$2:$Y$1001,MATCH(ROWS($W$2:W762),$W$2:$W$1001,0),0), INDEX($AD$1004:$AU$1004,1,MATCH(COLUMNS($AD$1006:AM1006),$AD$1006:$AU$1006,0)))),"Fix")))</f>
        <v xml:space="preserve"> </v>
      </c>
      <c r="L762" s="4" t="str">
        <f ca="1">IF(OR(INDEX($X$2:$X$1001,MATCH(ROWS($W$2:W762),$W$2:$W$1001,0),1)&gt;=100000,INDEX($AD$1005:$AU$1005,1,MATCH(COLUMNS($AD$1006:AN1006),$AD$1006:$AU$1006,0))&gt;=100000), " ",IF(INDEX($AD$2:$AU$1001,MATCH(ROWS($W$2:W762),$W$2:$W$1001,0),MATCH(COLUMNS($AD$1006:AN1006),$AD$1006:$AU$1006,0)), HYPERLINK("#",""), HYPERLINK(CONCATENATE("#metadata!", ADDRESS(INDEX($Y$2:$Y$1001,MATCH(ROWS($W$2:W762),$W$2:$W$1001,0),0), INDEX($AD$1004:$AU$1004,1,MATCH(COLUMNS($AD$1006:AN1006),$AD$1006:$AU$1006,0)))),"Fix")))</f>
        <v xml:space="preserve"> </v>
      </c>
      <c r="M762" s="4" t="str">
        <f ca="1">IF(OR(INDEX($X$2:$X$1001,MATCH(ROWS($W$2:W762),$W$2:$W$1001,0),1)&gt;=100000,INDEX($AD$1005:$AU$1005,1,MATCH(COLUMNS($AD$1006:AO1006),$AD$1006:$AU$1006,0))&gt;=100000), " ",IF(INDEX($AD$2:$AU$1001,MATCH(ROWS($W$2:W762),$W$2:$W$1001,0),MATCH(COLUMNS($AD$1006:AO1006),$AD$1006:$AU$1006,0)), HYPERLINK("#",""), HYPERLINK(CONCATENATE("#metadata!", ADDRESS(INDEX($Y$2:$Y$1001,MATCH(ROWS($W$2:W762),$W$2:$W$1001,0),0), INDEX($AD$1004:$AU$1004,1,MATCH(COLUMNS($AD$1006:AO1006),$AD$1006:$AU$1006,0)))),"Fix")))</f>
        <v xml:space="preserve"> </v>
      </c>
      <c r="N762" s="4" t="str">
        <f ca="1">IF(OR(INDEX($X$2:$X$1001,MATCH(ROWS($W$2:W762),$W$2:$W$1001,0),1)&gt;=100000,INDEX($AD$1005:$AU$1005,1,MATCH(COLUMNS($AD$1006:AP1006),$AD$1006:$AU$1006,0))&gt;=100000), " ",IF(INDEX($AD$2:$AU$1001,MATCH(ROWS($W$2:W762),$W$2:$W$1001,0),MATCH(COLUMNS($AD$1006:AP1006),$AD$1006:$AU$1006,0)), HYPERLINK("#",""), HYPERLINK(CONCATENATE("#metadata!", ADDRESS(INDEX($Y$2:$Y$1001,MATCH(ROWS($W$2:W762),$W$2:$W$1001,0),0), INDEX($AD$1004:$AU$1004,1,MATCH(COLUMNS($AD$1006:AP1006),$AD$1006:$AU$1006,0)))),"Fix")))</f>
        <v xml:space="preserve"> </v>
      </c>
      <c r="O762" s="4" t="str">
        <f ca="1">IF(OR(INDEX($X$2:$X$1001,MATCH(ROWS($W$2:W762),$W$2:$W$1001,0),1)&gt;=100000,INDEX($AD$1005:$AU$1005,1,MATCH(COLUMNS($AD$1006:AQ1006),$AD$1006:$AU$1006,0))&gt;=100000), " ",IF(INDEX($AD$2:$AU$1001,MATCH(ROWS($W$2:W762),$W$2:$W$1001,0),MATCH(COLUMNS($AD$1006:AQ1006),$AD$1006:$AU$1006,0)), HYPERLINK("#",""), HYPERLINK(CONCATENATE("#metadata!", ADDRESS(INDEX($Y$2:$Y$1001,MATCH(ROWS($W$2:W762),$W$2:$W$1001,0),0), INDEX($AD$1004:$AU$1004,1,MATCH(COLUMNS($AD$1006:AQ1006),$AD$1006:$AU$1006,0)))),"Fix")))</f>
        <v xml:space="preserve"> </v>
      </c>
      <c r="P762" s="4" t="str">
        <f ca="1">IF(OR(INDEX($X$2:$X$1001,MATCH(ROWS($W$2:W762),$W$2:$W$1001,0),1)&gt;=100000,INDEX($AD$1005:$AU$1005,1,MATCH(COLUMNS($AD$1006:AR1006),$AD$1006:$AU$1006,0))&gt;=100000), " ",IF(INDEX($AD$2:$AU$1001,MATCH(ROWS($W$2:W762),$W$2:$W$1001,0),MATCH(COLUMNS($AD$1006:AR1006),$AD$1006:$AU$1006,0)), HYPERLINK("#",""), HYPERLINK(CONCATENATE("#metadata!", ADDRESS(INDEX($Y$2:$Y$1001,MATCH(ROWS($W$2:W762),$W$2:$W$1001,0),0), INDEX($AD$1004:$AU$1004,1,MATCH(COLUMNS($AD$1006:AR1006),$AD$1006:$AU$1006,0)))),"Fix")))</f>
        <v xml:space="preserve"> </v>
      </c>
      <c r="Q762" s="4" t="str">
        <f ca="1">IF(OR(INDEX($X$2:$X$1001,MATCH(ROWS($W$2:W762),$W$2:$W$1001,0),1)&gt;=100000,INDEX($AD$1005:$AU$1005,1,MATCH(COLUMNS($AD$1006:AS1006),$AD$1006:$AU$1006,0))&gt;=100000), " ",IF(INDEX($AD$2:$AU$1001,MATCH(ROWS($W$2:W762),$W$2:$W$1001,0),MATCH(COLUMNS($AD$1006:AS1006),$AD$1006:$AU$1006,0)), HYPERLINK("#",""), HYPERLINK(CONCATENATE("#metadata!", ADDRESS(INDEX($Y$2:$Y$1001,MATCH(ROWS($W$2:W762),$W$2:$W$1001,0),0), INDEX($AD$1004:$AU$1004,1,MATCH(COLUMNS($AD$1006:AS1006),$AD$1006:$AU$1006,0)))),"Fix")))</f>
        <v xml:space="preserve"> </v>
      </c>
      <c r="R762" s="4" t="str">
        <f ca="1">IF(OR(INDEX($X$2:$X$1001,MATCH(ROWS($W$2:W762),$W$2:$W$1001,0),1)&gt;=100000,INDEX($AD$1005:$AU$1005,1,MATCH(COLUMNS($AD$1006:AT1006),$AD$1006:$AU$1006,0))&gt;=100000), " ",IF(INDEX($AD$2:$AU$1001,MATCH(ROWS($W$2:W762),$W$2:$W$1001,0),MATCH(COLUMNS($AD$1006:AT1006),$AD$1006:$AU$1006,0)), HYPERLINK("#",""), HYPERLINK(CONCATENATE("#metadata!", ADDRESS(INDEX($Y$2:$Y$1001,MATCH(ROWS($W$2:W762),$W$2:$W$1001,0),0), INDEX($AD$1004:$AU$1004,1,MATCH(COLUMNS($AD$1006:AT1006),$AD$1006:$AU$1006,0)))),"Fix")))</f>
        <v xml:space="preserve"> </v>
      </c>
      <c r="S762" s="4" t="str">
        <f ca="1">IF(OR(INDEX($X$2:$X$1001,MATCH(ROWS($W$2:W762),$W$2:$W$1001,0),1)&gt;=100000,INDEX($AD$1005:$AU$1005,1,MATCH(COLUMNS($AD$1006:AU1006),$AD$1006:$AU$1006,0))&gt;=100000), " ",IF(INDEX($AD$2:$AU$1001,MATCH(ROWS($W$2:W762),$W$2:$W$1001,0),MATCH(COLUMNS($AD$1006:AU1006),$AD$1006:$AU$1006,0)), HYPERLINK("#",""), HYPERLINK(CONCATENATE("#metadata!", ADDRESS(INDEX($Y$2:$Y$1001,MATCH(ROWS($W$2:W762),$W$2:$W$1001,0),0), INDEX($AD$1004:$AU$1004,1,MATCH(COLUMNS($AD$1006:AU1006),$AD$1006:$AU$1006,0)))),"Fix")))</f>
        <v xml:space="preserve"> </v>
      </c>
      <c r="W762">
        <v>761</v>
      </c>
      <c r="X762">
        <v>100762</v>
      </c>
      <c r="Y762">
        <v>762</v>
      </c>
      <c r="Z762" t="b">
        <f t="shared" si="11"/>
        <v>1</v>
      </c>
      <c r="AA762" t="b">
        <f>COUNTBLANK(metadata!B762:S762)=COLUMNS(metadata!B762:S762)</f>
        <v>1</v>
      </c>
      <c r="AB762" t="str">
        <v/>
      </c>
      <c r="AD762" t="b">
        <f ca="1">AND(IF(metadata!B762="",FALSE,TRUE),COUNTIF(metadata!B:B, metadata!B762) = 1,NOT(ISERROR(SUMPRODUCT(SEARCH(MID(metadata!B762,ROW(INDIRECT("1:"&amp;LEN(metadata!B762))), 1),"0123456789abcdefghijklmnopqrstuvwxyzABCDEFGHIJKLMNOPQRSTUVWXYZ.")))))</f>
        <v>0</v>
      </c>
      <c r="AE762" t="b">
        <f>OR(AND(IF(metadata!C762="",FALSE,TRUE),OR(EXACT(metadata!C762,"not applicable"),EXACT(metadata!C762,"missing: not collected"),EXACT(metadata!C762,"missing: not provided"),EXACT(metadata!C762,"missing: restricted access"))),AND(IF(metadata!C762="",FALSE,ISNUMBER(VALUE(metadata!C762))),metadata!C762&gt;0))</f>
        <v>0</v>
      </c>
      <c r="AF762" t="b">
        <f>AND(IF(metadata!D762="",FALSE,TRUE),EXACT(metadata!D762,"missing: not provided"))</f>
        <v>0</v>
      </c>
      <c r="AG762" t="b">
        <f>AND(IF(metadata!E762="",FALSE,TRUE),EXACT(metadata!E762,"Host-associated"))</f>
        <v>0</v>
      </c>
      <c r="AH762" t="b">
        <f>AND(IF(metadata!F762="",FALSE,TRUE),OR(EXACT(metadata!F762,"Animal"),EXACT(metadata!F762,"Fungus"),EXACT(metadata!F762,"Plant")))</f>
        <v>0</v>
      </c>
      <c r="AI762" t="b">
        <f>AND(IF(metadata!G762="",FALSE,TRUE),OR(EXACT(metadata!G762,"Plant secretion"),EXACT(metadata!G762,"Plant rhizosphere"),EXACT(metadata!G762,"Plant surface"),EXACT(metadata!G762,"Plant corpus"),EXACT(metadata!G762,"Fungus surface"),EXACT(metadata!G762,"Fungus corpus"),EXACT(metadata!G762,"Animal surface"),EXACT(metadata!G762,"Animal proximal gut"),EXACT(metadata!G762,"Animal corpus"),EXACT(metadata!G762,"Animal distal gut"),EXACT(metadata!G762,"Animal secretion")))</f>
        <v>0</v>
      </c>
      <c r="AJ762" t="b">
        <f>OR(AND(IF(metadata!H762="",FALSE,TRUE),OR(EXACT(metadata!H762,"missing: not collected"),EXACT(metadata!H762,"missing: not provided"),EXACT(metadata!H762,"missing: restricted access"))),AND(IF(metadata!H762="",FALSE,TRUE),OR(EXACT(metadata!H762,"organism-associated habitat"),EXACT(metadata!H762,"plant-associated habitat"),EXACT(metadata!H762,"animal-associated habitat"),EXACT(metadata!H762,"insecta-associated habitat"),EXACT(metadata!H762,"mammalia-associated habitat"),EXACT(metadata!H762,"human-associated habitat"),EXACT(metadata!H762,"livestock-associated habitat"))))</f>
        <v>0</v>
      </c>
      <c r="AK762" t="b">
        <f>AND(IF(metadata!I762="",FALSE,TRUE),EXACT(metadata!I762,"host-associated"))</f>
        <v>0</v>
      </c>
      <c r="AL762" t="b">
        <f>OR(AND(IF(metadata!J762="",FALSE,TRUE),OR(EXACT(metadata!J762,"not applicable"),EXACT(metadata!J762,"missing: not collected"),EXACT(metadata!J762,"missing: not provided"),EXACT(metadata!J762,"missing: restricted access"))),AND(IF(metadata!J762="",FALSE,ISNUMBER(VALUE(metadata!J762))),metadata!J762&gt;0))</f>
        <v>0</v>
      </c>
      <c r="AM762" t="b">
        <f>AND(IF(metadata!K762="",FALSE,TRUE),EXACT(metadata!K762,"missing: not provided"))</f>
        <v>0</v>
      </c>
      <c r="AN762" t="b">
        <f>IF(metadata!L762="",FALSE,TRUE)</f>
        <v>0</v>
      </c>
      <c r="AO762" t="b">
        <f>IF(metadata!M762="",FALSE,TRUE)</f>
        <v>0</v>
      </c>
      <c r="AP762" t="b">
        <f>OR(AND(IF(metadata!N762="",FALSE,TRUE),OR(EXACT(metadata!N762,"not applicable"),EXACT(metadata!N762,"missing: not collected"),EXACT(metadata!N762,"missing: not provided"))),AND(IF(metadata!N762="",FALSE,IF(ISERROR(INT(metadata!N762)),FALSE,INT(metadata!N762)=metadata!N762)),metadata!N762&gt;0))</f>
        <v>0</v>
      </c>
      <c r="AQ762" t="b">
        <f>AND(IF(metadata!O762="",FALSE,TRUE),EXACT(metadata!O762,"Not applicable"))</f>
        <v>0</v>
      </c>
      <c r="AR762" t="b">
        <f>OR(AND(IF(metadata!P762="",FALSE,TRUE),OR(EXACT(metadata!P762,"not applicable"),EXACT(metadata!P762,"missing: not collected"),EXACT(metadata!P762,"missing: not provided"),EXACT(metadata!P762,"missing: restricted access"))),IF(metadata!P762="",FALSE,IF(ISERROR(INT(metadata!P762)),FALSE,INT(metadata!P762)=metadata!P762)))</f>
        <v>0</v>
      </c>
      <c r="AS762" t="b">
        <f>AND(IF(metadata!Q762="",FALSE,TRUE),EXACT(metadata!Q762,"Not applicable"))</f>
        <v>0</v>
      </c>
      <c r="AT762" t="b">
        <f>OR(AND(IF(metadata!R762="",FALSE,TRUE),OR(EXACT(metadata!R762,"not applicable"),EXACT(metadata!R762,"missing: not collected"),EXACT(metadata!R762,"missing: not provided"),EXACT(metadata!R762,"missing: restricted access"))),AND(IF(metadata!R762="",FALSE,ISNUMBER(VALUE(metadata!R762))),metadata!R762&gt;0))</f>
        <v>0</v>
      </c>
      <c r="AU762" t="b">
        <f>AND(IF(metadata!S762="",FALSE,TRUE),EXACT(metadata!S762,"missing: not provided"))</f>
        <v>0</v>
      </c>
    </row>
    <row r="763" spans="1:47" x14ac:dyDescent="0.2">
      <c r="A763" s="5" t="str">
        <f ca="1">IF(B763=" "," ",HYPERLINK(CONCATENATE("#metadata!",ADDRESS(INDEX($Y$2:$Y$1001,MATCH(ROWS($W$2:W763),$W$2:$W$1001,0),0),1)),INDEX($AB$2:$AB$1001,MATCH(ROWS($W$2:W763),$W$2:$W$1001,0),0)))</f>
        <v xml:space="preserve"> </v>
      </c>
      <c r="B763" s="4" t="str">
        <f ca="1">IF(OR(INDEX($X$2:$X$1001,MATCH(ROWS($W$2:W763),$W$2:$W$1001,0),1)&gt;=100000,INDEX($AD$1005:$AU$1005,1,MATCH(COLUMNS($AD$1006:AD1006),$AD$1006:$AU$1006,0))&gt;=100000), " ",IF(INDEX($AD$2:$AU$1001,MATCH(ROWS($W$2:W763),$W$2:$W$1001,0),MATCH(COLUMNS($AD$1006:AD1006),$AD$1006:$AU$1006,0)), HYPERLINK("#",""), HYPERLINK(CONCATENATE("#metadata!", ADDRESS(INDEX($Y$2:$Y$1001,MATCH(ROWS($W$2:W763),$W$2:$W$1001,0),0), INDEX($AD$1004:$AU$1004,1,MATCH(COLUMNS($AD$1006:AD1006),$AD$1006:$AU$1006,0)))),"Fix")))</f>
        <v xml:space="preserve"> </v>
      </c>
      <c r="C763" s="4" t="str">
        <f ca="1">IF(OR(INDEX($X$2:$X$1001,MATCH(ROWS($W$2:W763),$W$2:$W$1001,0),1)&gt;=100000,INDEX($AD$1005:$AU$1005,1,MATCH(COLUMNS($AD$1006:AE1006),$AD$1006:$AU$1006,0))&gt;=100000), " ",IF(INDEX($AD$2:$AU$1001,MATCH(ROWS($W$2:W763),$W$2:$W$1001,0),MATCH(COLUMNS($AD$1006:AE1006),$AD$1006:$AU$1006,0)), HYPERLINK("#",""), HYPERLINK(CONCATENATE("#metadata!", ADDRESS(INDEX($Y$2:$Y$1001,MATCH(ROWS($W$2:W763),$W$2:$W$1001,0),0), INDEX($AD$1004:$AU$1004,1,MATCH(COLUMNS($AD$1006:AE1006),$AD$1006:$AU$1006,0)))),"Fix")))</f>
        <v xml:space="preserve"> </v>
      </c>
      <c r="D763" s="4" t="str">
        <f ca="1">IF(OR(INDEX($X$2:$X$1001,MATCH(ROWS($W$2:W763),$W$2:$W$1001,0),1)&gt;=100000,INDEX($AD$1005:$AU$1005,1,MATCH(COLUMNS($AD$1006:AF1006),$AD$1006:$AU$1006,0))&gt;=100000), " ",IF(INDEX($AD$2:$AU$1001,MATCH(ROWS($W$2:W763),$W$2:$W$1001,0),MATCH(COLUMNS($AD$1006:AF1006),$AD$1006:$AU$1006,0)), HYPERLINK("#",""), HYPERLINK(CONCATENATE("#metadata!", ADDRESS(INDEX($Y$2:$Y$1001,MATCH(ROWS($W$2:W763),$W$2:$W$1001,0),0), INDEX($AD$1004:$AU$1004,1,MATCH(COLUMNS($AD$1006:AF1006),$AD$1006:$AU$1006,0)))),"Fix")))</f>
        <v xml:space="preserve"> </v>
      </c>
      <c r="E763" s="4" t="str">
        <f ca="1">IF(OR(INDEX($X$2:$X$1001,MATCH(ROWS($W$2:W763),$W$2:$W$1001,0),1)&gt;=100000,INDEX($AD$1005:$AU$1005,1,MATCH(COLUMNS($AD$1006:AG1006),$AD$1006:$AU$1006,0))&gt;=100000), " ",IF(INDEX($AD$2:$AU$1001,MATCH(ROWS($W$2:W763),$W$2:$W$1001,0),MATCH(COLUMNS($AD$1006:AG1006),$AD$1006:$AU$1006,0)), HYPERLINK("#",""), HYPERLINK(CONCATENATE("#metadata!", ADDRESS(INDEX($Y$2:$Y$1001,MATCH(ROWS($W$2:W763),$W$2:$W$1001,0),0), INDEX($AD$1004:$AU$1004,1,MATCH(COLUMNS($AD$1006:AG1006),$AD$1006:$AU$1006,0)))),"Fix")))</f>
        <v xml:space="preserve"> </v>
      </c>
      <c r="F763" s="4" t="str">
        <f ca="1">IF(OR(INDEX($X$2:$X$1001,MATCH(ROWS($W$2:W763),$W$2:$W$1001,0),1)&gt;=100000,INDEX($AD$1005:$AU$1005,1,MATCH(COLUMNS($AD$1006:AH1006),$AD$1006:$AU$1006,0))&gt;=100000), " ",IF(INDEX($AD$2:$AU$1001,MATCH(ROWS($W$2:W763),$W$2:$W$1001,0),MATCH(COLUMNS($AD$1006:AH1006),$AD$1006:$AU$1006,0)), HYPERLINK("#",""), HYPERLINK(CONCATENATE("#metadata!", ADDRESS(INDEX($Y$2:$Y$1001,MATCH(ROWS($W$2:W763),$W$2:$W$1001,0),0), INDEX($AD$1004:$AU$1004,1,MATCH(COLUMNS($AD$1006:AH1006),$AD$1006:$AU$1006,0)))),"Fix")))</f>
        <v xml:space="preserve"> </v>
      </c>
      <c r="G763" s="4" t="str">
        <f ca="1">IF(OR(INDEX($X$2:$X$1001,MATCH(ROWS($W$2:W763),$W$2:$W$1001,0),1)&gt;=100000,INDEX($AD$1005:$AU$1005,1,MATCH(COLUMNS($AD$1006:AI1006),$AD$1006:$AU$1006,0))&gt;=100000), " ",IF(INDEX($AD$2:$AU$1001,MATCH(ROWS($W$2:W763),$W$2:$W$1001,0),MATCH(COLUMNS($AD$1006:AI1006),$AD$1006:$AU$1006,0)), HYPERLINK("#",""), HYPERLINK(CONCATENATE("#metadata!", ADDRESS(INDEX($Y$2:$Y$1001,MATCH(ROWS($W$2:W763),$W$2:$W$1001,0),0), INDEX($AD$1004:$AU$1004,1,MATCH(COLUMNS($AD$1006:AI1006),$AD$1006:$AU$1006,0)))),"Fix")))</f>
        <v xml:space="preserve"> </v>
      </c>
      <c r="H763" s="4" t="str">
        <f ca="1">IF(OR(INDEX($X$2:$X$1001,MATCH(ROWS($W$2:W763),$W$2:$W$1001,0),1)&gt;=100000,INDEX($AD$1005:$AU$1005,1,MATCH(COLUMNS($AD$1006:AJ1006),$AD$1006:$AU$1006,0))&gt;=100000), " ",IF(INDEX($AD$2:$AU$1001,MATCH(ROWS($W$2:W763),$W$2:$W$1001,0),MATCH(COLUMNS($AD$1006:AJ1006),$AD$1006:$AU$1006,0)), HYPERLINK("#",""), HYPERLINK(CONCATENATE("#metadata!", ADDRESS(INDEX($Y$2:$Y$1001,MATCH(ROWS($W$2:W763),$W$2:$W$1001,0),0), INDEX($AD$1004:$AU$1004,1,MATCH(COLUMNS($AD$1006:AJ1006),$AD$1006:$AU$1006,0)))),"Fix")))</f>
        <v xml:space="preserve"> </v>
      </c>
      <c r="I763" s="4" t="str">
        <f ca="1">IF(OR(INDEX($X$2:$X$1001,MATCH(ROWS($W$2:W763),$W$2:$W$1001,0),1)&gt;=100000,INDEX($AD$1005:$AU$1005,1,MATCH(COLUMNS($AD$1006:AK1006),$AD$1006:$AU$1006,0))&gt;=100000), " ",IF(INDEX($AD$2:$AU$1001,MATCH(ROWS($W$2:W763),$W$2:$W$1001,0),MATCH(COLUMNS($AD$1006:AK1006),$AD$1006:$AU$1006,0)), HYPERLINK("#",""), HYPERLINK(CONCATENATE("#metadata!", ADDRESS(INDEX($Y$2:$Y$1001,MATCH(ROWS($W$2:W763),$W$2:$W$1001,0),0), INDEX($AD$1004:$AU$1004,1,MATCH(COLUMNS($AD$1006:AK1006),$AD$1006:$AU$1006,0)))),"Fix")))</f>
        <v xml:space="preserve"> </v>
      </c>
      <c r="J763" s="4" t="str">
        <f ca="1">IF(OR(INDEX($X$2:$X$1001,MATCH(ROWS($W$2:W763),$W$2:$W$1001,0),1)&gt;=100000,INDEX($AD$1005:$AU$1005,1,MATCH(COLUMNS($AD$1006:AL1006),$AD$1006:$AU$1006,0))&gt;=100000), " ",IF(INDEX($AD$2:$AU$1001,MATCH(ROWS($W$2:W763),$W$2:$W$1001,0),MATCH(COLUMNS($AD$1006:AL1006),$AD$1006:$AU$1006,0)), HYPERLINK("#",""), HYPERLINK(CONCATENATE("#metadata!", ADDRESS(INDEX($Y$2:$Y$1001,MATCH(ROWS($W$2:W763),$W$2:$W$1001,0),0), INDEX($AD$1004:$AU$1004,1,MATCH(COLUMNS($AD$1006:AL1006),$AD$1006:$AU$1006,0)))),"Fix")))</f>
        <v xml:space="preserve"> </v>
      </c>
      <c r="K763" s="4" t="str">
        <f ca="1">IF(OR(INDEX($X$2:$X$1001,MATCH(ROWS($W$2:W763),$W$2:$W$1001,0),1)&gt;=100000,INDEX($AD$1005:$AU$1005,1,MATCH(COLUMNS($AD$1006:AM1006),$AD$1006:$AU$1006,0))&gt;=100000), " ",IF(INDEX($AD$2:$AU$1001,MATCH(ROWS($W$2:W763),$W$2:$W$1001,0),MATCH(COLUMNS($AD$1006:AM1006),$AD$1006:$AU$1006,0)), HYPERLINK("#",""), HYPERLINK(CONCATENATE("#metadata!", ADDRESS(INDEX($Y$2:$Y$1001,MATCH(ROWS($W$2:W763),$W$2:$W$1001,0),0), INDEX($AD$1004:$AU$1004,1,MATCH(COLUMNS($AD$1006:AM1006),$AD$1006:$AU$1006,0)))),"Fix")))</f>
        <v xml:space="preserve"> </v>
      </c>
      <c r="L763" s="4" t="str">
        <f ca="1">IF(OR(INDEX($X$2:$X$1001,MATCH(ROWS($W$2:W763),$W$2:$W$1001,0),1)&gt;=100000,INDEX($AD$1005:$AU$1005,1,MATCH(COLUMNS($AD$1006:AN1006),$AD$1006:$AU$1006,0))&gt;=100000), " ",IF(INDEX($AD$2:$AU$1001,MATCH(ROWS($W$2:W763),$W$2:$W$1001,0),MATCH(COLUMNS($AD$1006:AN1006),$AD$1006:$AU$1006,0)), HYPERLINK("#",""), HYPERLINK(CONCATENATE("#metadata!", ADDRESS(INDEX($Y$2:$Y$1001,MATCH(ROWS($W$2:W763),$W$2:$W$1001,0),0), INDEX($AD$1004:$AU$1004,1,MATCH(COLUMNS($AD$1006:AN1006),$AD$1006:$AU$1006,0)))),"Fix")))</f>
        <v xml:space="preserve"> </v>
      </c>
      <c r="M763" s="4" t="str">
        <f ca="1">IF(OR(INDEX($X$2:$X$1001,MATCH(ROWS($W$2:W763),$W$2:$W$1001,0),1)&gt;=100000,INDEX($AD$1005:$AU$1005,1,MATCH(COLUMNS($AD$1006:AO1006),$AD$1006:$AU$1006,0))&gt;=100000), " ",IF(INDEX($AD$2:$AU$1001,MATCH(ROWS($W$2:W763),$W$2:$W$1001,0),MATCH(COLUMNS($AD$1006:AO1006),$AD$1006:$AU$1006,0)), HYPERLINK("#",""), HYPERLINK(CONCATENATE("#metadata!", ADDRESS(INDEX($Y$2:$Y$1001,MATCH(ROWS($W$2:W763),$W$2:$W$1001,0),0), INDEX($AD$1004:$AU$1004,1,MATCH(COLUMNS($AD$1006:AO1006),$AD$1006:$AU$1006,0)))),"Fix")))</f>
        <v xml:space="preserve"> </v>
      </c>
      <c r="N763" s="4" t="str">
        <f ca="1">IF(OR(INDEX($X$2:$X$1001,MATCH(ROWS($W$2:W763),$W$2:$W$1001,0),1)&gt;=100000,INDEX($AD$1005:$AU$1005,1,MATCH(COLUMNS($AD$1006:AP1006),$AD$1006:$AU$1006,0))&gt;=100000), " ",IF(INDEX($AD$2:$AU$1001,MATCH(ROWS($W$2:W763),$W$2:$W$1001,0),MATCH(COLUMNS($AD$1006:AP1006),$AD$1006:$AU$1006,0)), HYPERLINK("#",""), HYPERLINK(CONCATENATE("#metadata!", ADDRESS(INDEX($Y$2:$Y$1001,MATCH(ROWS($W$2:W763),$W$2:$W$1001,0),0), INDEX($AD$1004:$AU$1004,1,MATCH(COLUMNS($AD$1006:AP1006),$AD$1006:$AU$1006,0)))),"Fix")))</f>
        <v xml:space="preserve"> </v>
      </c>
      <c r="O763" s="4" t="str">
        <f ca="1">IF(OR(INDEX($X$2:$X$1001,MATCH(ROWS($W$2:W763),$W$2:$W$1001,0),1)&gt;=100000,INDEX($AD$1005:$AU$1005,1,MATCH(COLUMNS($AD$1006:AQ1006),$AD$1006:$AU$1006,0))&gt;=100000), " ",IF(INDEX($AD$2:$AU$1001,MATCH(ROWS($W$2:W763),$W$2:$W$1001,0),MATCH(COLUMNS($AD$1006:AQ1006),$AD$1006:$AU$1006,0)), HYPERLINK("#",""), HYPERLINK(CONCATENATE("#metadata!", ADDRESS(INDEX($Y$2:$Y$1001,MATCH(ROWS($W$2:W763),$W$2:$W$1001,0),0), INDEX($AD$1004:$AU$1004,1,MATCH(COLUMNS($AD$1006:AQ1006),$AD$1006:$AU$1006,0)))),"Fix")))</f>
        <v xml:space="preserve"> </v>
      </c>
      <c r="P763" s="4" t="str">
        <f ca="1">IF(OR(INDEX($X$2:$X$1001,MATCH(ROWS($W$2:W763),$W$2:$W$1001,0),1)&gt;=100000,INDEX($AD$1005:$AU$1005,1,MATCH(COLUMNS($AD$1006:AR1006),$AD$1006:$AU$1006,0))&gt;=100000), " ",IF(INDEX($AD$2:$AU$1001,MATCH(ROWS($W$2:W763),$W$2:$W$1001,0),MATCH(COLUMNS($AD$1006:AR1006),$AD$1006:$AU$1006,0)), HYPERLINK("#",""), HYPERLINK(CONCATENATE("#metadata!", ADDRESS(INDEX($Y$2:$Y$1001,MATCH(ROWS($W$2:W763),$W$2:$W$1001,0),0), INDEX($AD$1004:$AU$1004,1,MATCH(COLUMNS($AD$1006:AR1006),$AD$1006:$AU$1006,0)))),"Fix")))</f>
        <v xml:space="preserve"> </v>
      </c>
      <c r="Q763" s="4" t="str">
        <f ca="1">IF(OR(INDEX($X$2:$X$1001,MATCH(ROWS($W$2:W763),$W$2:$W$1001,0),1)&gt;=100000,INDEX($AD$1005:$AU$1005,1,MATCH(COLUMNS($AD$1006:AS1006),$AD$1006:$AU$1006,0))&gt;=100000), " ",IF(INDEX($AD$2:$AU$1001,MATCH(ROWS($W$2:W763),$W$2:$W$1001,0),MATCH(COLUMNS($AD$1006:AS1006),$AD$1006:$AU$1006,0)), HYPERLINK("#",""), HYPERLINK(CONCATENATE("#metadata!", ADDRESS(INDEX($Y$2:$Y$1001,MATCH(ROWS($W$2:W763),$W$2:$W$1001,0),0), INDEX($AD$1004:$AU$1004,1,MATCH(COLUMNS($AD$1006:AS1006),$AD$1006:$AU$1006,0)))),"Fix")))</f>
        <v xml:space="preserve"> </v>
      </c>
      <c r="R763" s="4" t="str">
        <f ca="1">IF(OR(INDEX($X$2:$X$1001,MATCH(ROWS($W$2:W763),$W$2:$W$1001,0),1)&gt;=100000,INDEX($AD$1005:$AU$1005,1,MATCH(COLUMNS($AD$1006:AT1006),$AD$1006:$AU$1006,0))&gt;=100000), " ",IF(INDEX($AD$2:$AU$1001,MATCH(ROWS($W$2:W763),$W$2:$W$1001,0),MATCH(COLUMNS($AD$1006:AT1006),$AD$1006:$AU$1006,0)), HYPERLINK("#",""), HYPERLINK(CONCATENATE("#metadata!", ADDRESS(INDEX($Y$2:$Y$1001,MATCH(ROWS($W$2:W763),$W$2:$W$1001,0),0), INDEX($AD$1004:$AU$1004,1,MATCH(COLUMNS($AD$1006:AT1006),$AD$1006:$AU$1006,0)))),"Fix")))</f>
        <v xml:space="preserve"> </v>
      </c>
      <c r="S763" s="4" t="str">
        <f ca="1">IF(OR(INDEX($X$2:$X$1001,MATCH(ROWS($W$2:W763),$W$2:$W$1001,0),1)&gt;=100000,INDEX($AD$1005:$AU$1005,1,MATCH(COLUMNS($AD$1006:AU1006),$AD$1006:$AU$1006,0))&gt;=100000), " ",IF(INDEX($AD$2:$AU$1001,MATCH(ROWS($W$2:W763),$W$2:$W$1001,0),MATCH(COLUMNS($AD$1006:AU1006),$AD$1006:$AU$1006,0)), HYPERLINK("#",""), HYPERLINK(CONCATENATE("#metadata!", ADDRESS(INDEX($Y$2:$Y$1001,MATCH(ROWS($W$2:W763),$W$2:$W$1001,0),0), INDEX($AD$1004:$AU$1004,1,MATCH(COLUMNS($AD$1006:AU1006),$AD$1006:$AU$1006,0)))),"Fix")))</f>
        <v xml:space="preserve"> </v>
      </c>
      <c r="W763">
        <v>762</v>
      </c>
      <c r="X763">
        <v>100763</v>
      </c>
      <c r="Y763">
        <v>763</v>
      </c>
      <c r="Z763" t="b">
        <f t="shared" si="11"/>
        <v>1</v>
      </c>
      <c r="AA763" t="b">
        <f>COUNTBLANK(metadata!B763:S763)=COLUMNS(metadata!B763:S763)</f>
        <v>1</v>
      </c>
      <c r="AB763" t="str">
        <v/>
      </c>
      <c r="AD763" t="b">
        <f ca="1">AND(IF(metadata!B763="",FALSE,TRUE),COUNTIF(metadata!B:B, metadata!B763) = 1,NOT(ISERROR(SUMPRODUCT(SEARCH(MID(metadata!B763,ROW(INDIRECT("1:"&amp;LEN(metadata!B763))), 1),"0123456789abcdefghijklmnopqrstuvwxyzABCDEFGHIJKLMNOPQRSTUVWXYZ.")))))</f>
        <v>0</v>
      </c>
      <c r="AE763" t="b">
        <f>OR(AND(IF(metadata!C763="",FALSE,TRUE),OR(EXACT(metadata!C763,"not applicable"),EXACT(metadata!C763,"missing: not collected"),EXACT(metadata!C763,"missing: not provided"),EXACT(metadata!C763,"missing: restricted access"))),AND(IF(metadata!C763="",FALSE,ISNUMBER(VALUE(metadata!C763))),metadata!C763&gt;0))</f>
        <v>0</v>
      </c>
      <c r="AF763" t="b">
        <f>AND(IF(metadata!D763="",FALSE,TRUE),EXACT(metadata!D763,"missing: not provided"))</f>
        <v>0</v>
      </c>
      <c r="AG763" t="b">
        <f>AND(IF(metadata!E763="",FALSE,TRUE),EXACT(metadata!E763,"Host-associated"))</f>
        <v>0</v>
      </c>
      <c r="AH763" t="b">
        <f>AND(IF(metadata!F763="",FALSE,TRUE),OR(EXACT(metadata!F763,"Animal"),EXACT(metadata!F763,"Fungus"),EXACT(metadata!F763,"Plant")))</f>
        <v>0</v>
      </c>
      <c r="AI763" t="b">
        <f>AND(IF(metadata!G763="",FALSE,TRUE),OR(EXACT(metadata!G763,"Plant secretion"),EXACT(metadata!G763,"Plant rhizosphere"),EXACT(metadata!G763,"Plant surface"),EXACT(metadata!G763,"Plant corpus"),EXACT(metadata!G763,"Fungus surface"),EXACT(metadata!G763,"Fungus corpus"),EXACT(metadata!G763,"Animal surface"),EXACT(metadata!G763,"Animal proximal gut"),EXACT(metadata!G763,"Animal corpus"),EXACT(metadata!G763,"Animal distal gut"),EXACT(metadata!G763,"Animal secretion")))</f>
        <v>0</v>
      </c>
      <c r="AJ763" t="b">
        <f>OR(AND(IF(metadata!H763="",FALSE,TRUE),OR(EXACT(metadata!H763,"missing: not collected"),EXACT(metadata!H763,"missing: not provided"),EXACT(metadata!H763,"missing: restricted access"))),AND(IF(metadata!H763="",FALSE,TRUE),OR(EXACT(metadata!H763,"organism-associated habitat"),EXACT(metadata!H763,"plant-associated habitat"),EXACT(metadata!H763,"animal-associated habitat"),EXACT(metadata!H763,"insecta-associated habitat"),EXACT(metadata!H763,"mammalia-associated habitat"),EXACT(metadata!H763,"human-associated habitat"),EXACT(metadata!H763,"livestock-associated habitat"))))</f>
        <v>0</v>
      </c>
      <c r="AK763" t="b">
        <f>AND(IF(metadata!I763="",FALSE,TRUE),EXACT(metadata!I763,"host-associated"))</f>
        <v>0</v>
      </c>
      <c r="AL763" t="b">
        <f>OR(AND(IF(metadata!J763="",FALSE,TRUE),OR(EXACT(metadata!J763,"not applicable"),EXACT(metadata!J763,"missing: not collected"),EXACT(metadata!J763,"missing: not provided"),EXACT(metadata!J763,"missing: restricted access"))),AND(IF(metadata!J763="",FALSE,ISNUMBER(VALUE(metadata!J763))),metadata!J763&gt;0))</f>
        <v>0</v>
      </c>
      <c r="AM763" t="b">
        <f>AND(IF(metadata!K763="",FALSE,TRUE),EXACT(metadata!K763,"missing: not provided"))</f>
        <v>0</v>
      </c>
      <c r="AN763" t="b">
        <f>IF(metadata!L763="",FALSE,TRUE)</f>
        <v>0</v>
      </c>
      <c r="AO763" t="b">
        <f>IF(metadata!M763="",FALSE,TRUE)</f>
        <v>0</v>
      </c>
      <c r="AP763" t="b">
        <f>OR(AND(IF(metadata!N763="",FALSE,TRUE),OR(EXACT(metadata!N763,"not applicable"),EXACT(metadata!N763,"missing: not collected"),EXACT(metadata!N763,"missing: not provided"))),AND(IF(metadata!N763="",FALSE,IF(ISERROR(INT(metadata!N763)),FALSE,INT(metadata!N763)=metadata!N763)),metadata!N763&gt;0))</f>
        <v>0</v>
      </c>
      <c r="AQ763" t="b">
        <f>AND(IF(metadata!O763="",FALSE,TRUE),EXACT(metadata!O763,"Not applicable"))</f>
        <v>0</v>
      </c>
      <c r="AR763" t="b">
        <f>OR(AND(IF(metadata!P763="",FALSE,TRUE),OR(EXACT(metadata!P763,"not applicable"),EXACT(metadata!P763,"missing: not collected"),EXACT(metadata!P763,"missing: not provided"),EXACT(metadata!P763,"missing: restricted access"))),IF(metadata!P763="",FALSE,IF(ISERROR(INT(metadata!P763)),FALSE,INT(metadata!P763)=metadata!P763)))</f>
        <v>0</v>
      </c>
      <c r="AS763" t="b">
        <f>AND(IF(metadata!Q763="",FALSE,TRUE),EXACT(metadata!Q763,"Not applicable"))</f>
        <v>0</v>
      </c>
      <c r="AT763" t="b">
        <f>OR(AND(IF(metadata!R763="",FALSE,TRUE),OR(EXACT(metadata!R763,"not applicable"),EXACT(metadata!R763,"missing: not collected"),EXACT(metadata!R763,"missing: not provided"),EXACT(metadata!R763,"missing: restricted access"))),AND(IF(metadata!R763="",FALSE,ISNUMBER(VALUE(metadata!R763))),metadata!R763&gt;0))</f>
        <v>0</v>
      </c>
      <c r="AU763" t="b">
        <f>AND(IF(metadata!S763="",FALSE,TRUE),EXACT(metadata!S763,"missing: not provided"))</f>
        <v>0</v>
      </c>
    </row>
    <row r="764" spans="1:47" x14ac:dyDescent="0.2">
      <c r="A764" s="5" t="str">
        <f ca="1">IF(B764=" "," ",HYPERLINK(CONCATENATE("#metadata!",ADDRESS(INDEX($Y$2:$Y$1001,MATCH(ROWS($W$2:W764),$W$2:$W$1001,0),0),1)),INDEX($AB$2:$AB$1001,MATCH(ROWS($W$2:W764),$W$2:$W$1001,0),0)))</f>
        <v xml:space="preserve"> </v>
      </c>
      <c r="B764" s="4" t="str">
        <f ca="1">IF(OR(INDEX($X$2:$X$1001,MATCH(ROWS($W$2:W764),$W$2:$W$1001,0),1)&gt;=100000,INDEX($AD$1005:$AU$1005,1,MATCH(COLUMNS($AD$1006:AD1006),$AD$1006:$AU$1006,0))&gt;=100000), " ",IF(INDEX($AD$2:$AU$1001,MATCH(ROWS($W$2:W764),$W$2:$W$1001,0),MATCH(COLUMNS($AD$1006:AD1006),$AD$1006:$AU$1006,0)), HYPERLINK("#",""), HYPERLINK(CONCATENATE("#metadata!", ADDRESS(INDEX($Y$2:$Y$1001,MATCH(ROWS($W$2:W764),$W$2:$W$1001,0),0), INDEX($AD$1004:$AU$1004,1,MATCH(COLUMNS($AD$1006:AD1006),$AD$1006:$AU$1006,0)))),"Fix")))</f>
        <v xml:space="preserve"> </v>
      </c>
      <c r="C764" s="4" t="str">
        <f ca="1">IF(OR(INDEX($X$2:$X$1001,MATCH(ROWS($W$2:W764),$W$2:$W$1001,0),1)&gt;=100000,INDEX($AD$1005:$AU$1005,1,MATCH(COLUMNS($AD$1006:AE1006),$AD$1006:$AU$1006,0))&gt;=100000), " ",IF(INDEX($AD$2:$AU$1001,MATCH(ROWS($W$2:W764),$W$2:$W$1001,0),MATCH(COLUMNS($AD$1006:AE1006),$AD$1006:$AU$1006,0)), HYPERLINK("#",""), HYPERLINK(CONCATENATE("#metadata!", ADDRESS(INDEX($Y$2:$Y$1001,MATCH(ROWS($W$2:W764),$W$2:$W$1001,0),0), INDEX($AD$1004:$AU$1004,1,MATCH(COLUMNS($AD$1006:AE1006),$AD$1006:$AU$1006,0)))),"Fix")))</f>
        <v xml:space="preserve"> </v>
      </c>
      <c r="D764" s="4" t="str">
        <f ca="1">IF(OR(INDEX($X$2:$X$1001,MATCH(ROWS($W$2:W764),$W$2:$W$1001,0),1)&gt;=100000,INDEX($AD$1005:$AU$1005,1,MATCH(COLUMNS($AD$1006:AF1006),$AD$1006:$AU$1006,0))&gt;=100000), " ",IF(INDEX($AD$2:$AU$1001,MATCH(ROWS($W$2:W764),$W$2:$W$1001,0),MATCH(COLUMNS($AD$1006:AF1006),$AD$1006:$AU$1006,0)), HYPERLINK("#",""), HYPERLINK(CONCATENATE("#metadata!", ADDRESS(INDEX($Y$2:$Y$1001,MATCH(ROWS($W$2:W764),$W$2:$W$1001,0),0), INDEX($AD$1004:$AU$1004,1,MATCH(COLUMNS($AD$1006:AF1006),$AD$1006:$AU$1006,0)))),"Fix")))</f>
        <v xml:space="preserve"> </v>
      </c>
      <c r="E764" s="4" t="str">
        <f ca="1">IF(OR(INDEX($X$2:$X$1001,MATCH(ROWS($W$2:W764),$W$2:$W$1001,0),1)&gt;=100000,INDEX($AD$1005:$AU$1005,1,MATCH(COLUMNS($AD$1006:AG1006),$AD$1006:$AU$1006,0))&gt;=100000), " ",IF(INDEX($AD$2:$AU$1001,MATCH(ROWS($W$2:W764),$W$2:$W$1001,0),MATCH(COLUMNS($AD$1006:AG1006),$AD$1006:$AU$1006,0)), HYPERLINK("#",""), HYPERLINK(CONCATENATE("#metadata!", ADDRESS(INDEX($Y$2:$Y$1001,MATCH(ROWS($W$2:W764),$W$2:$W$1001,0),0), INDEX($AD$1004:$AU$1004,1,MATCH(COLUMNS($AD$1006:AG1006),$AD$1006:$AU$1006,0)))),"Fix")))</f>
        <v xml:space="preserve"> </v>
      </c>
      <c r="F764" s="4" t="str">
        <f ca="1">IF(OR(INDEX($X$2:$X$1001,MATCH(ROWS($W$2:W764),$W$2:$W$1001,0),1)&gt;=100000,INDEX($AD$1005:$AU$1005,1,MATCH(COLUMNS($AD$1006:AH1006),$AD$1006:$AU$1006,0))&gt;=100000), " ",IF(INDEX($AD$2:$AU$1001,MATCH(ROWS($W$2:W764),$W$2:$W$1001,0),MATCH(COLUMNS($AD$1006:AH1006),$AD$1006:$AU$1006,0)), HYPERLINK("#",""), HYPERLINK(CONCATENATE("#metadata!", ADDRESS(INDEX($Y$2:$Y$1001,MATCH(ROWS($W$2:W764),$W$2:$W$1001,0),0), INDEX($AD$1004:$AU$1004,1,MATCH(COLUMNS($AD$1006:AH1006),$AD$1006:$AU$1006,0)))),"Fix")))</f>
        <v xml:space="preserve"> </v>
      </c>
      <c r="G764" s="4" t="str">
        <f ca="1">IF(OR(INDEX($X$2:$X$1001,MATCH(ROWS($W$2:W764),$W$2:$W$1001,0),1)&gt;=100000,INDEX($AD$1005:$AU$1005,1,MATCH(COLUMNS($AD$1006:AI1006),$AD$1006:$AU$1006,0))&gt;=100000), " ",IF(INDEX($AD$2:$AU$1001,MATCH(ROWS($W$2:W764),$W$2:$W$1001,0),MATCH(COLUMNS($AD$1006:AI1006),$AD$1006:$AU$1006,0)), HYPERLINK("#",""), HYPERLINK(CONCATENATE("#metadata!", ADDRESS(INDEX($Y$2:$Y$1001,MATCH(ROWS($W$2:W764),$W$2:$W$1001,0),0), INDEX($AD$1004:$AU$1004,1,MATCH(COLUMNS($AD$1006:AI1006),$AD$1006:$AU$1006,0)))),"Fix")))</f>
        <v xml:space="preserve"> </v>
      </c>
      <c r="H764" s="4" t="str">
        <f ca="1">IF(OR(INDEX($X$2:$X$1001,MATCH(ROWS($W$2:W764),$W$2:$W$1001,0),1)&gt;=100000,INDEX($AD$1005:$AU$1005,1,MATCH(COLUMNS($AD$1006:AJ1006),$AD$1006:$AU$1006,0))&gt;=100000), " ",IF(INDEX($AD$2:$AU$1001,MATCH(ROWS($W$2:W764),$W$2:$W$1001,0),MATCH(COLUMNS($AD$1006:AJ1006),$AD$1006:$AU$1006,0)), HYPERLINK("#",""), HYPERLINK(CONCATENATE("#metadata!", ADDRESS(INDEX($Y$2:$Y$1001,MATCH(ROWS($W$2:W764),$W$2:$W$1001,0),0), INDEX($AD$1004:$AU$1004,1,MATCH(COLUMNS($AD$1006:AJ1006),$AD$1006:$AU$1006,0)))),"Fix")))</f>
        <v xml:space="preserve"> </v>
      </c>
      <c r="I764" s="4" t="str">
        <f ca="1">IF(OR(INDEX($X$2:$X$1001,MATCH(ROWS($W$2:W764),$W$2:$W$1001,0),1)&gt;=100000,INDEX($AD$1005:$AU$1005,1,MATCH(COLUMNS($AD$1006:AK1006),$AD$1006:$AU$1006,0))&gt;=100000), " ",IF(INDEX($AD$2:$AU$1001,MATCH(ROWS($W$2:W764),$W$2:$W$1001,0),MATCH(COLUMNS($AD$1006:AK1006),$AD$1006:$AU$1006,0)), HYPERLINK("#",""), HYPERLINK(CONCATENATE("#metadata!", ADDRESS(INDEX($Y$2:$Y$1001,MATCH(ROWS($W$2:W764),$W$2:$W$1001,0),0), INDEX($AD$1004:$AU$1004,1,MATCH(COLUMNS($AD$1006:AK1006),$AD$1006:$AU$1006,0)))),"Fix")))</f>
        <v xml:space="preserve"> </v>
      </c>
      <c r="J764" s="4" t="str">
        <f ca="1">IF(OR(INDEX($X$2:$X$1001,MATCH(ROWS($W$2:W764),$W$2:$W$1001,0),1)&gt;=100000,INDEX($AD$1005:$AU$1005,1,MATCH(COLUMNS($AD$1006:AL1006),$AD$1006:$AU$1006,0))&gt;=100000), " ",IF(INDEX($AD$2:$AU$1001,MATCH(ROWS($W$2:W764),$W$2:$W$1001,0),MATCH(COLUMNS($AD$1006:AL1006),$AD$1006:$AU$1006,0)), HYPERLINK("#",""), HYPERLINK(CONCATENATE("#metadata!", ADDRESS(INDEX($Y$2:$Y$1001,MATCH(ROWS($W$2:W764),$W$2:$W$1001,0),0), INDEX($AD$1004:$AU$1004,1,MATCH(COLUMNS($AD$1006:AL1006),$AD$1006:$AU$1006,0)))),"Fix")))</f>
        <v xml:space="preserve"> </v>
      </c>
      <c r="K764" s="4" t="str">
        <f ca="1">IF(OR(INDEX($X$2:$X$1001,MATCH(ROWS($W$2:W764),$W$2:$W$1001,0),1)&gt;=100000,INDEX($AD$1005:$AU$1005,1,MATCH(COLUMNS($AD$1006:AM1006),$AD$1006:$AU$1006,0))&gt;=100000), " ",IF(INDEX($AD$2:$AU$1001,MATCH(ROWS($W$2:W764),$W$2:$W$1001,0),MATCH(COLUMNS($AD$1006:AM1006),$AD$1006:$AU$1006,0)), HYPERLINK("#",""), HYPERLINK(CONCATENATE("#metadata!", ADDRESS(INDEX($Y$2:$Y$1001,MATCH(ROWS($W$2:W764),$W$2:$W$1001,0),0), INDEX($AD$1004:$AU$1004,1,MATCH(COLUMNS($AD$1006:AM1006),$AD$1006:$AU$1006,0)))),"Fix")))</f>
        <v xml:space="preserve"> </v>
      </c>
      <c r="L764" s="4" t="str">
        <f ca="1">IF(OR(INDEX($X$2:$X$1001,MATCH(ROWS($W$2:W764),$W$2:$W$1001,0),1)&gt;=100000,INDEX($AD$1005:$AU$1005,1,MATCH(COLUMNS($AD$1006:AN1006),$AD$1006:$AU$1006,0))&gt;=100000), " ",IF(INDEX($AD$2:$AU$1001,MATCH(ROWS($W$2:W764),$W$2:$W$1001,0),MATCH(COLUMNS($AD$1006:AN1006),$AD$1006:$AU$1006,0)), HYPERLINK("#",""), HYPERLINK(CONCATENATE("#metadata!", ADDRESS(INDEX($Y$2:$Y$1001,MATCH(ROWS($W$2:W764),$W$2:$W$1001,0),0), INDEX($AD$1004:$AU$1004,1,MATCH(COLUMNS($AD$1006:AN1006),$AD$1006:$AU$1006,0)))),"Fix")))</f>
        <v xml:space="preserve"> </v>
      </c>
      <c r="M764" s="4" t="str">
        <f ca="1">IF(OR(INDEX($X$2:$X$1001,MATCH(ROWS($W$2:W764),$W$2:$W$1001,0),1)&gt;=100000,INDEX($AD$1005:$AU$1005,1,MATCH(COLUMNS($AD$1006:AO1006),$AD$1006:$AU$1006,0))&gt;=100000), " ",IF(INDEX($AD$2:$AU$1001,MATCH(ROWS($W$2:W764),$W$2:$W$1001,0),MATCH(COLUMNS($AD$1006:AO1006),$AD$1006:$AU$1006,0)), HYPERLINK("#",""), HYPERLINK(CONCATENATE("#metadata!", ADDRESS(INDEX($Y$2:$Y$1001,MATCH(ROWS($W$2:W764),$W$2:$W$1001,0),0), INDEX($AD$1004:$AU$1004,1,MATCH(COLUMNS($AD$1006:AO1006),$AD$1006:$AU$1006,0)))),"Fix")))</f>
        <v xml:space="preserve"> </v>
      </c>
      <c r="N764" s="4" t="str">
        <f ca="1">IF(OR(INDEX($X$2:$X$1001,MATCH(ROWS($W$2:W764),$W$2:$W$1001,0),1)&gt;=100000,INDEX($AD$1005:$AU$1005,1,MATCH(COLUMNS($AD$1006:AP1006),$AD$1006:$AU$1006,0))&gt;=100000), " ",IF(INDEX($AD$2:$AU$1001,MATCH(ROWS($W$2:W764),$W$2:$W$1001,0),MATCH(COLUMNS($AD$1006:AP1006),$AD$1006:$AU$1006,0)), HYPERLINK("#",""), HYPERLINK(CONCATENATE("#metadata!", ADDRESS(INDEX($Y$2:$Y$1001,MATCH(ROWS($W$2:W764),$W$2:$W$1001,0),0), INDEX($AD$1004:$AU$1004,1,MATCH(COLUMNS($AD$1006:AP1006),$AD$1006:$AU$1006,0)))),"Fix")))</f>
        <v xml:space="preserve"> </v>
      </c>
      <c r="O764" s="4" t="str">
        <f ca="1">IF(OR(INDEX($X$2:$X$1001,MATCH(ROWS($W$2:W764),$W$2:$W$1001,0),1)&gt;=100000,INDEX($AD$1005:$AU$1005,1,MATCH(COLUMNS($AD$1006:AQ1006),$AD$1006:$AU$1006,0))&gt;=100000), " ",IF(INDEX($AD$2:$AU$1001,MATCH(ROWS($W$2:W764),$W$2:$W$1001,0),MATCH(COLUMNS($AD$1006:AQ1006),$AD$1006:$AU$1006,0)), HYPERLINK("#",""), HYPERLINK(CONCATENATE("#metadata!", ADDRESS(INDEX($Y$2:$Y$1001,MATCH(ROWS($W$2:W764),$W$2:$W$1001,0),0), INDEX($AD$1004:$AU$1004,1,MATCH(COLUMNS($AD$1006:AQ1006),$AD$1006:$AU$1006,0)))),"Fix")))</f>
        <v xml:space="preserve"> </v>
      </c>
      <c r="P764" s="4" t="str">
        <f ca="1">IF(OR(INDEX($X$2:$X$1001,MATCH(ROWS($W$2:W764),$W$2:$W$1001,0),1)&gt;=100000,INDEX($AD$1005:$AU$1005,1,MATCH(COLUMNS($AD$1006:AR1006),$AD$1006:$AU$1006,0))&gt;=100000), " ",IF(INDEX($AD$2:$AU$1001,MATCH(ROWS($W$2:W764),$W$2:$W$1001,0),MATCH(COLUMNS($AD$1006:AR1006),$AD$1006:$AU$1006,0)), HYPERLINK("#",""), HYPERLINK(CONCATENATE("#metadata!", ADDRESS(INDEX($Y$2:$Y$1001,MATCH(ROWS($W$2:W764),$W$2:$W$1001,0),0), INDEX($AD$1004:$AU$1004,1,MATCH(COLUMNS($AD$1006:AR1006),$AD$1006:$AU$1006,0)))),"Fix")))</f>
        <v xml:space="preserve"> </v>
      </c>
      <c r="Q764" s="4" t="str">
        <f ca="1">IF(OR(INDEX($X$2:$X$1001,MATCH(ROWS($W$2:W764),$W$2:$W$1001,0),1)&gt;=100000,INDEX($AD$1005:$AU$1005,1,MATCH(COLUMNS($AD$1006:AS1006),$AD$1006:$AU$1006,0))&gt;=100000), " ",IF(INDEX($AD$2:$AU$1001,MATCH(ROWS($W$2:W764),$W$2:$W$1001,0),MATCH(COLUMNS($AD$1006:AS1006),$AD$1006:$AU$1006,0)), HYPERLINK("#",""), HYPERLINK(CONCATENATE("#metadata!", ADDRESS(INDEX($Y$2:$Y$1001,MATCH(ROWS($W$2:W764),$W$2:$W$1001,0),0), INDEX($AD$1004:$AU$1004,1,MATCH(COLUMNS($AD$1006:AS1006),$AD$1006:$AU$1006,0)))),"Fix")))</f>
        <v xml:space="preserve"> </v>
      </c>
      <c r="R764" s="4" t="str">
        <f ca="1">IF(OR(INDEX($X$2:$X$1001,MATCH(ROWS($W$2:W764),$W$2:$W$1001,0),1)&gt;=100000,INDEX($AD$1005:$AU$1005,1,MATCH(COLUMNS($AD$1006:AT1006),$AD$1006:$AU$1006,0))&gt;=100000), " ",IF(INDEX($AD$2:$AU$1001,MATCH(ROWS($W$2:W764),$W$2:$W$1001,0),MATCH(COLUMNS($AD$1006:AT1006),$AD$1006:$AU$1006,0)), HYPERLINK("#",""), HYPERLINK(CONCATENATE("#metadata!", ADDRESS(INDEX($Y$2:$Y$1001,MATCH(ROWS($W$2:W764),$W$2:$W$1001,0),0), INDEX($AD$1004:$AU$1004,1,MATCH(COLUMNS($AD$1006:AT1006),$AD$1006:$AU$1006,0)))),"Fix")))</f>
        <v xml:space="preserve"> </v>
      </c>
      <c r="S764" s="4" t="str">
        <f ca="1">IF(OR(INDEX($X$2:$X$1001,MATCH(ROWS($W$2:W764),$W$2:$W$1001,0),1)&gt;=100000,INDEX($AD$1005:$AU$1005,1,MATCH(COLUMNS($AD$1006:AU1006),$AD$1006:$AU$1006,0))&gt;=100000), " ",IF(INDEX($AD$2:$AU$1001,MATCH(ROWS($W$2:W764),$W$2:$W$1001,0),MATCH(COLUMNS($AD$1006:AU1006),$AD$1006:$AU$1006,0)), HYPERLINK("#",""), HYPERLINK(CONCATENATE("#metadata!", ADDRESS(INDEX($Y$2:$Y$1001,MATCH(ROWS($W$2:W764),$W$2:$W$1001,0),0), INDEX($AD$1004:$AU$1004,1,MATCH(COLUMNS($AD$1006:AU1006),$AD$1006:$AU$1006,0)))),"Fix")))</f>
        <v xml:space="preserve"> </v>
      </c>
      <c r="W764">
        <v>763</v>
      </c>
      <c r="X764">
        <v>100764</v>
      </c>
      <c r="Y764">
        <v>764</v>
      </c>
      <c r="Z764" t="b">
        <f t="shared" si="11"/>
        <v>1</v>
      </c>
      <c r="AA764" t="b">
        <f>COUNTBLANK(metadata!B764:S764)=COLUMNS(metadata!B764:S764)</f>
        <v>1</v>
      </c>
      <c r="AB764" t="str">
        <v/>
      </c>
      <c r="AD764" t="b">
        <f ca="1">AND(IF(metadata!B764="",FALSE,TRUE),COUNTIF(metadata!B:B, metadata!B764) = 1,NOT(ISERROR(SUMPRODUCT(SEARCH(MID(metadata!B764,ROW(INDIRECT("1:"&amp;LEN(metadata!B764))), 1),"0123456789abcdefghijklmnopqrstuvwxyzABCDEFGHIJKLMNOPQRSTUVWXYZ.")))))</f>
        <v>0</v>
      </c>
      <c r="AE764" t="b">
        <f>OR(AND(IF(metadata!C764="",FALSE,TRUE),OR(EXACT(metadata!C764,"not applicable"),EXACT(metadata!C764,"missing: not collected"),EXACT(metadata!C764,"missing: not provided"),EXACT(metadata!C764,"missing: restricted access"))),AND(IF(metadata!C764="",FALSE,ISNUMBER(VALUE(metadata!C764))),metadata!C764&gt;0))</f>
        <v>0</v>
      </c>
      <c r="AF764" t="b">
        <f>AND(IF(metadata!D764="",FALSE,TRUE),EXACT(metadata!D764,"missing: not provided"))</f>
        <v>0</v>
      </c>
      <c r="AG764" t="b">
        <f>AND(IF(metadata!E764="",FALSE,TRUE),EXACT(metadata!E764,"Host-associated"))</f>
        <v>0</v>
      </c>
      <c r="AH764" t="b">
        <f>AND(IF(metadata!F764="",FALSE,TRUE),OR(EXACT(metadata!F764,"Animal"),EXACT(metadata!F764,"Fungus"),EXACT(metadata!F764,"Plant")))</f>
        <v>0</v>
      </c>
      <c r="AI764" t="b">
        <f>AND(IF(metadata!G764="",FALSE,TRUE),OR(EXACT(metadata!G764,"Plant secretion"),EXACT(metadata!G764,"Plant rhizosphere"),EXACT(metadata!G764,"Plant surface"),EXACT(metadata!G764,"Plant corpus"),EXACT(metadata!G764,"Fungus surface"),EXACT(metadata!G764,"Fungus corpus"),EXACT(metadata!G764,"Animal surface"),EXACT(metadata!G764,"Animal proximal gut"),EXACT(metadata!G764,"Animal corpus"),EXACT(metadata!G764,"Animal distal gut"),EXACT(metadata!G764,"Animal secretion")))</f>
        <v>0</v>
      </c>
      <c r="AJ764" t="b">
        <f>OR(AND(IF(metadata!H764="",FALSE,TRUE),OR(EXACT(metadata!H764,"missing: not collected"),EXACT(metadata!H764,"missing: not provided"),EXACT(metadata!H764,"missing: restricted access"))),AND(IF(metadata!H764="",FALSE,TRUE),OR(EXACT(metadata!H764,"organism-associated habitat"),EXACT(metadata!H764,"plant-associated habitat"),EXACT(metadata!H764,"animal-associated habitat"),EXACT(metadata!H764,"insecta-associated habitat"),EXACT(metadata!H764,"mammalia-associated habitat"),EXACT(metadata!H764,"human-associated habitat"),EXACT(metadata!H764,"livestock-associated habitat"))))</f>
        <v>0</v>
      </c>
      <c r="AK764" t="b">
        <f>AND(IF(metadata!I764="",FALSE,TRUE),EXACT(metadata!I764,"host-associated"))</f>
        <v>0</v>
      </c>
      <c r="AL764" t="b">
        <f>OR(AND(IF(metadata!J764="",FALSE,TRUE),OR(EXACT(metadata!J764,"not applicable"),EXACT(metadata!J764,"missing: not collected"),EXACT(metadata!J764,"missing: not provided"),EXACT(metadata!J764,"missing: restricted access"))),AND(IF(metadata!J764="",FALSE,ISNUMBER(VALUE(metadata!J764))),metadata!J764&gt;0))</f>
        <v>0</v>
      </c>
      <c r="AM764" t="b">
        <f>AND(IF(metadata!K764="",FALSE,TRUE),EXACT(metadata!K764,"missing: not provided"))</f>
        <v>0</v>
      </c>
      <c r="AN764" t="b">
        <f>IF(metadata!L764="",FALSE,TRUE)</f>
        <v>0</v>
      </c>
      <c r="AO764" t="b">
        <f>IF(metadata!M764="",FALSE,TRUE)</f>
        <v>0</v>
      </c>
      <c r="AP764" t="b">
        <f>OR(AND(IF(metadata!N764="",FALSE,TRUE),OR(EXACT(metadata!N764,"not applicable"),EXACT(metadata!N764,"missing: not collected"),EXACT(metadata!N764,"missing: not provided"))),AND(IF(metadata!N764="",FALSE,IF(ISERROR(INT(metadata!N764)),FALSE,INT(metadata!N764)=metadata!N764)),metadata!N764&gt;0))</f>
        <v>0</v>
      </c>
      <c r="AQ764" t="b">
        <f>AND(IF(metadata!O764="",FALSE,TRUE),EXACT(metadata!O764,"Not applicable"))</f>
        <v>0</v>
      </c>
      <c r="AR764" t="b">
        <f>OR(AND(IF(metadata!P764="",FALSE,TRUE),OR(EXACT(metadata!P764,"not applicable"),EXACT(metadata!P764,"missing: not collected"),EXACT(metadata!P764,"missing: not provided"),EXACT(metadata!P764,"missing: restricted access"))),IF(metadata!P764="",FALSE,IF(ISERROR(INT(metadata!P764)),FALSE,INT(metadata!P764)=metadata!P764)))</f>
        <v>0</v>
      </c>
      <c r="AS764" t="b">
        <f>AND(IF(metadata!Q764="",FALSE,TRUE),EXACT(metadata!Q764,"Not applicable"))</f>
        <v>0</v>
      </c>
      <c r="AT764" t="b">
        <f>OR(AND(IF(metadata!R764="",FALSE,TRUE),OR(EXACT(metadata!R764,"not applicable"),EXACT(metadata!R764,"missing: not collected"),EXACT(metadata!R764,"missing: not provided"),EXACT(metadata!R764,"missing: restricted access"))),AND(IF(metadata!R764="",FALSE,ISNUMBER(VALUE(metadata!R764))),metadata!R764&gt;0))</f>
        <v>0</v>
      </c>
      <c r="AU764" t="b">
        <f>AND(IF(metadata!S764="",FALSE,TRUE),EXACT(metadata!S764,"missing: not provided"))</f>
        <v>0</v>
      </c>
    </row>
    <row r="765" spans="1:47" x14ac:dyDescent="0.2">
      <c r="A765" s="5" t="str">
        <f ca="1">IF(B765=" "," ",HYPERLINK(CONCATENATE("#metadata!",ADDRESS(INDEX($Y$2:$Y$1001,MATCH(ROWS($W$2:W765),$W$2:$W$1001,0),0),1)),INDEX($AB$2:$AB$1001,MATCH(ROWS($W$2:W765),$W$2:$W$1001,0),0)))</f>
        <v xml:space="preserve"> </v>
      </c>
      <c r="B765" s="4" t="str">
        <f ca="1">IF(OR(INDEX($X$2:$X$1001,MATCH(ROWS($W$2:W765),$W$2:$W$1001,0),1)&gt;=100000,INDEX($AD$1005:$AU$1005,1,MATCH(COLUMNS($AD$1006:AD1006),$AD$1006:$AU$1006,0))&gt;=100000), " ",IF(INDEX($AD$2:$AU$1001,MATCH(ROWS($W$2:W765),$W$2:$W$1001,0),MATCH(COLUMNS($AD$1006:AD1006),$AD$1006:$AU$1006,0)), HYPERLINK("#",""), HYPERLINK(CONCATENATE("#metadata!", ADDRESS(INDEX($Y$2:$Y$1001,MATCH(ROWS($W$2:W765),$W$2:$W$1001,0),0), INDEX($AD$1004:$AU$1004,1,MATCH(COLUMNS($AD$1006:AD1006),$AD$1006:$AU$1006,0)))),"Fix")))</f>
        <v xml:space="preserve"> </v>
      </c>
      <c r="C765" s="4" t="str">
        <f ca="1">IF(OR(INDEX($X$2:$X$1001,MATCH(ROWS($W$2:W765),$W$2:$W$1001,0),1)&gt;=100000,INDEX($AD$1005:$AU$1005,1,MATCH(COLUMNS($AD$1006:AE1006),$AD$1006:$AU$1006,0))&gt;=100000), " ",IF(INDEX($AD$2:$AU$1001,MATCH(ROWS($W$2:W765),$W$2:$W$1001,0),MATCH(COLUMNS($AD$1006:AE1006),$AD$1006:$AU$1006,0)), HYPERLINK("#",""), HYPERLINK(CONCATENATE("#metadata!", ADDRESS(INDEX($Y$2:$Y$1001,MATCH(ROWS($W$2:W765),$W$2:$W$1001,0),0), INDEX($AD$1004:$AU$1004,1,MATCH(COLUMNS($AD$1006:AE1006),$AD$1006:$AU$1006,0)))),"Fix")))</f>
        <v xml:space="preserve"> </v>
      </c>
      <c r="D765" s="4" t="str">
        <f ca="1">IF(OR(INDEX($X$2:$X$1001,MATCH(ROWS($W$2:W765),$W$2:$W$1001,0),1)&gt;=100000,INDEX($AD$1005:$AU$1005,1,MATCH(COLUMNS($AD$1006:AF1006),$AD$1006:$AU$1006,0))&gt;=100000), " ",IF(INDEX($AD$2:$AU$1001,MATCH(ROWS($W$2:W765),$W$2:$W$1001,0),MATCH(COLUMNS($AD$1006:AF1006),$AD$1006:$AU$1006,0)), HYPERLINK("#",""), HYPERLINK(CONCATENATE("#metadata!", ADDRESS(INDEX($Y$2:$Y$1001,MATCH(ROWS($W$2:W765),$W$2:$W$1001,0),0), INDEX($AD$1004:$AU$1004,1,MATCH(COLUMNS($AD$1006:AF1006),$AD$1006:$AU$1006,0)))),"Fix")))</f>
        <v xml:space="preserve"> </v>
      </c>
      <c r="E765" s="4" t="str">
        <f ca="1">IF(OR(INDEX($X$2:$X$1001,MATCH(ROWS($W$2:W765),$W$2:$W$1001,0),1)&gt;=100000,INDEX($AD$1005:$AU$1005,1,MATCH(COLUMNS($AD$1006:AG1006),$AD$1006:$AU$1006,0))&gt;=100000), " ",IF(INDEX($AD$2:$AU$1001,MATCH(ROWS($W$2:W765),$W$2:$W$1001,0),MATCH(COLUMNS($AD$1006:AG1006),$AD$1006:$AU$1006,0)), HYPERLINK("#",""), HYPERLINK(CONCATENATE("#metadata!", ADDRESS(INDEX($Y$2:$Y$1001,MATCH(ROWS($W$2:W765),$W$2:$W$1001,0),0), INDEX($AD$1004:$AU$1004,1,MATCH(COLUMNS($AD$1006:AG1006),$AD$1006:$AU$1006,0)))),"Fix")))</f>
        <v xml:space="preserve"> </v>
      </c>
      <c r="F765" s="4" t="str">
        <f ca="1">IF(OR(INDEX($X$2:$X$1001,MATCH(ROWS($W$2:W765),$W$2:$W$1001,0),1)&gt;=100000,INDEX($AD$1005:$AU$1005,1,MATCH(COLUMNS($AD$1006:AH1006),$AD$1006:$AU$1006,0))&gt;=100000), " ",IF(INDEX($AD$2:$AU$1001,MATCH(ROWS($W$2:W765),$W$2:$W$1001,0),MATCH(COLUMNS($AD$1006:AH1006),$AD$1006:$AU$1006,0)), HYPERLINK("#",""), HYPERLINK(CONCATENATE("#metadata!", ADDRESS(INDEX($Y$2:$Y$1001,MATCH(ROWS($W$2:W765),$W$2:$W$1001,0),0), INDEX($AD$1004:$AU$1004,1,MATCH(COLUMNS($AD$1006:AH1006),$AD$1006:$AU$1006,0)))),"Fix")))</f>
        <v xml:space="preserve"> </v>
      </c>
      <c r="G765" s="4" t="str">
        <f ca="1">IF(OR(INDEX($X$2:$X$1001,MATCH(ROWS($W$2:W765),$W$2:$W$1001,0),1)&gt;=100000,INDEX($AD$1005:$AU$1005,1,MATCH(COLUMNS($AD$1006:AI1006),$AD$1006:$AU$1006,0))&gt;=100000), " ",IF(INDEX($AD$2:$AU$1001,MATCH(ROWS($W$2:W765),$W$2:$W$1001,0),MATCH(COLUMNS($AD$1006:AI1006),$AD$1006:$AU$1006,0)), HYPERLINK("#",""), HYPERLINK(CONCATENATE("#metadata!", ADDRESS(INDEX($Y$2:$Y$1001,MATCH(ROWS($W$2:W765),$W$2:$W$1001,0),0), INDEX($AD$1004:$AU$1004,1,MATCH(COLUMNS($AD$1006:AI1006),$AD$1006:$AU$1006,0)))),"Fix")))</f>
        <v xml:space="preserve"> </v>
      </c>
      <c r="H765" s="4" t="str">
        <f ca="1">IF(OR(INDEX($X$2:$X$1001,MATCH(ROWS($W$2:W765),$W$2:$W$1001,0),1)&gt;=100000,INDEX($AD$1005:$AU$1005,1,MATCH(COLUMNS($AD$1006:AJ1006),$AD$1006:$AU$1006,0))&gt;=100000), " ",IF(INDEX($AD$2:$AU$1001,MATCH(ROWS($W$2:W765),$W$2:$W$1001,0),MATCH(COLUMNS($AD$1006:AJ1006),$AD$1006:$AU$1006,0)), HYPERLINK("#",""), HYPERLINK(CONCATENATE("#metadata!", ADDRESS(INDEX($Y$2:$Y$1001,MATCH(ROWS($W$2:W765),$W$2:$W$1001,0),0), INDEX($AD$1004:$AU$1004,1,MATCH(COLUMNS($AD$1006:AJ1006),$AD$1006:$AU$1006,0)))),"Fix")))</f>
        <v xml:space="preserve"> </v>
      </c>
      <c r="I765" s="4" t="str">
        <f ca="1">IF(OR(INDEX($X$2:$X$1001,MATCH(ROWS($W$2:W765),$W$2:$W$1001,0),1)&gt;=100000,INDEX($AD$1005:$AU$1005,1,MATCH(COLUMNS($AD$1006:AK1006),$AD$1006:$AU$1006,0))&gt;=100000), " ",IF(INDEX($AD$2:$AU$1001,MATCH(ROWS($W$2:W765),$W$2:$W$1001,0),MATCH(COLUMNS($AD$1006:AK1006),$AD$1006:$AU$1006,0)), HYPERLINK("#",""), HYPERLINK(CONCATENATE("#metadata!", ADDRESS(INDEX($Y$2:$Y$1001,MATCH(ROWS($W$2:W765),$W$2:$W$1001,0),0), INDEX($AD$1004:$AU$1004,1,MATCH(COLUMNS($AD$1006:AK1006),$AD$1006:$AU$1006,0)))),"Fix")))</f>
        <v xml:space="preserve"> </v>
      </c>
      <c r="J765" s="4" t="str">
        <f ca="1">IF(OR(INDEX($X$2:$X$1001,MATCH(ROWS($W$2:W765),$W$2:$W$1001,0),1)&gt;=100000,INDEX($AD$1005:$AU$1005,1,MATCH(COLUMNS($AD$1006:AL1006),$AD$1006:$AU$1006,0))&gt;=100000), " ",IF(INDEX($AD$2:$AU$1001,MATCH(ROWS($W$2:W765),$W$2:$W$1001,0),MATCH(COLUMNS($AD$1006:AL1006),$AD$1006:$AU$1006,0)), HYPERLINK("#",""), HYPERLINK(CONCATENATE("#metadata!", ADDRESS(INDEX($Y$2:$Y$1001,MATCH(ROWS($W$2:W765),$W$2:$W$1001,0),0), INDEX($AD$1004:$AU$1004,1,MATCH(COLUMNS($AD$1006:AL1006),$AD$1006:$AU$1006,0)))),"Fix")))</f>
        <v xml:space="preserve"> </v>
      </c>
      <c r="K765" s="4" t="str">
        <f ca="1">IF(OR(INDEX($X$2:$X$1001,MATCH(ROWS($W$2:W765),$W$2:$W$1001,0),1)&gt;=100000,INDEX($AD$1005:$AU$1005,1,MATCH(COLUMNS($AD$1006:AM1006),$AD$1006:$AU$1006,0))&gt;=100000), " ",IF(INDEX($AD$2:$AU$1001,MATCH(ROWS($W$2:W765),$W$2:$W$1001,0),MATCH(COLUMNS($AD$1006:AM1006),$AD$1006:$AU$1006,0)), HYPERLINK("#",""), HYPERLINK(CONCATENATE("#metadata!", ADDRESS(INDEX($Y$2:$Y$1001,MATCH(ROWS($W$2:W765),$W$2:$W$1001,0),0), INDEX($AD$1004:$AU$1004,1,MATCH(COLUMNS($AD$1006:AM1006),$AD$1006:$AU$1006,0)))),"Fix")))</f>
        <v xml:space="preserve"> </v>
      </c>
      <c r="L765" s="4" t="str">
        <f ca="1">IF(OR(INDEX($X$2:$X$1001,MATCH(ROWS($W$2:W765),$W$2:$W$1001,0),1)&gt;=100000,INDEX($AD$1005:$AU$1005,1,MATCH(COLUMNS($AD$1006:AN1006),$AD$1006:$AU$1006,0))&gt;=100000), " ",IF(INDEX($AD$2:$AU$1001,MATCH(ROWS($W$2:W765),$W$2:$W$1001,0),MATCH(COLUMNS($AD$1006:AN1006),$AD$1006:$AU$1006,0)), HYPERLINK("#",""), HYPERLINK(CONCATENATE("#metadata!", ADDRESS(INDEX($Y$2:$Y$1001,MATCH(ROWS($W$2:W765),$W$2:$W$1001,0),0), INDEX($AD$1004:$AU$1004,1,MATCH(COLUMNS($AD$1006:AN1006),$AD$1006:$AU$1006,0)))),"Fix")))</f>
        <v xml:space="preserve"> </v>
      </c>
      <c r="M765" s="4" t="str">
        <f ca="1">IF(OR(INDEX($X$2:$X$1001,MATCH(ROWS($W$2:W765),$W$2:$W$1001,0),1)&gt;=100000,INDEX($AD$1005:$AU$1005,1,MATCH(COLUMNS($AD$1006:AO1006),$AD$1006:$AU$1006,0))&gt;=100000), " ",IF(INDEX($AD$2:$AU$1001,MATCH(ROWS($W$2:W765),$W$2:$W$1001,0),MATCH(COLUMNS($AD$1006:AO1006),$AD$1006:$AU$1006,0)), HYPERLINK("#",""), HYPERLINK(CONCATENATE("#metadata!", ADDRESS(INDEX($Y$2:$Y$1001,MATCH(ROWS($W$2:W765),$W$2:$W$1001,0),0), INDEX($AD$1004:$AU$1004,1,MATCH(COLUMNS($AD$1006:AO1006),$AD$1006:$AU$1006,0)))),"Fix")))</f>
        <v xml:space="preserve"> </v>
      </c>
      <c r="N765" s="4" t="str">
        <f ca="1">IF(OR(INDEX($X$2:$X$1001,MATCH(ROWS($W$2:W765),$W$2:$W$1001,0),1)&gt;=100000,INDEX($AD$1005:$AU$1005,1,MATCH(COLUMNS($AD$1006:AP1006),$AD$1006:$AU$1006,0))&gt;=100000), " ",IF(INDEX($AD$2:$AU$1001,MATCH(ROWS($W$2:W765),$W$2:$W$1001,0),MATCH(COLUMNS($AD$1006:AP1006),$AD$1006:$AU$1006,0)), HYPERLINK("#",""), HYPERLINK(CONCATENATE("#metadata!", ADDRESS(INDEX($Y$2:$Y$1001,MATCH(ROWS($W$2:W765),$W$2:$W$1001,0),0), INDEX($AD$1004:$AU$1004,1,MATCH(COLUMNS($AD$1006:AP1006),$AD$1006:$AU$1006,0)))),"Fix")))</f>
        <v xml:space="preserve"> </v>
      </c>
      <c r="O765" s="4" t="str">
        <f ca="1">IF(OR(INDEX($X$2:$X$1001,MATCH(ROWS($W$2:W765),$W$2:$W$1001,0),1)&gt;=100000,INDEX($AD$1005:$AU$1005,1,MATCH(COLUMNS($AD$1006:AQ1006),$AD$1006:$AU$1006,0))&gt;=100000), " ",IF(INDEX($AD$2:$AU$1001,MATCH(ROWS($W$2:W765),$W$2:$W$1001,0),MATCH(COLUMNS($AD$1006:AQ1006),$AD$1006:$AU$1006,0)), HYPERLINK("#",""), HYPERLINK(CONCATENATE("#metadata!", ADDRESS(INDEX($Y$2:$Y$1001,MATCH(ROWS($W$2:W765),$W$2:$W$1001,0),0), INDEX($AD$1004:$AU$1004,1,MATCH(COLUMNS($AD$1006:AQ1006),$AD$1006:$AU$1006,0)))),"Fix")))</f>
        <v xml:space="preserve"> </v>
      </c>
      <c r="P765" s="4" t="str">
        <f ca="1">IF(OR(INDEX($X$2:$X$1001,MATCH(ROWS($W$2:W765),$W$2:$W$1001,0),1)&gt;=100000,INDEX($AD$1005:$AU$1005,1,MATCH(COLUMNS($AD$1006:AR1006),$AD$1006:$AU$1006,0))&gt;=100000), " ",IF(INDEX($AD$2:$AU$1001,MATCH(ROWS($W$2:W765),$W$2:$W$1001,0),MATCH(COLUMNS($AD$1006:AR1006),$AD$1006:$AU$1006,0)), HYPERLINK("#",""), HYPERLINK(CONCATENATE("#metadata!", ADDRESS(INDEX($Y$2:$Y$1001,MATCH(ROWS($W$2:W765),$W$2:$W$1001,0),0), INDEX($AD$1004:$AU$1004,1,MATCH(COLUMNS($AD$1006:AR1006),$AD$1006:$AU$1006,0)))),"Fix")))</f>
        <v xml:space="preserve"> </v>
      </c>
      <c r="Q765" s="4" t="str">
        <f ca="1">IF(OR(INDEX($X$2:$X$1001,MATCH(ROWS($W$2:W765),$W$2:$W$1001,0),1)&gt;=100000,INDEX($AD$1005:$AU$1005,1,MATCH(COLUMNS($AD$1006:AS1006),$AD$1006:$AU$1006,0))&gt;=100000), " ",IF(INDEX($AD$2:$AU$1001,MATCH(ROWS($W$2:W765),$W$2:$W$1001,0),MATCH(COLUMNS($AD$1006:AS1006),$AD$1006:$AU$1006,0)), HYPERLINK("#",""), HYPERLINK(CONCATENATE("#metadata!", ADDRESS(INDEX($Y$2:$Y$1001,MATCH(ROWS($W$2:W765),$W$2:$W$1001,0),0), INDEX($AD$1004:$AU$1004,1,MATCH(COLUMNS($AD$1006:AS1006),$AD$1006:$AU$1006,0)))),"Fix")))</f>
        <v xml:space="preserve"> </v>
      </c>
      <c r="R765" s="4" t="str">
        <f ca="1">IF(OR(INDEX($X$2:$X$1001,MATCH(ROWS($W$2:W765),$W$2:$W$1001,0),1)&gt;=100000,INDEX($AD$1005:$AU$1005,1,MATCH(COLUMNS($AD$1006:AT1006),$AD$1006:$AU$1006,0))&gt;=100000), " ",IF(INDEX($AD$2:$AU$1001,MATCH(ROWS($W$2:W765),$W$2:$W$1001,0),MATCH(COLUMNS($AD$1006:AT1006),$AD$1006:$AU$1006,0)), HYPERLINK("#",""), HYPERLINK(CONCATENATE("#metadata!", ADDRESS(INDEX($Y$2:$Y$1001,MATCH(ROWS($W$2:W765),$W$2:$W$1001,0),0), INDEX($AD$1004:$AU$1004,1,MATCH(COLUMNS($AD$1006:AT1006),$AD$1006:$AU$1006,0)))),"Fix")))</f>
        <v xml:space="preserve"> </v>
      </c>
      <c r="S765" s="4" t="str">
        <f ca="1">IF(OR(INDEX($X$2:$X$1001,MATCH(ROWS($W$2:W765),$W$2:$W$1001,0),1)&gt;=100000,INDEX($AD$1005:$AU$1005,1,MATCH(COLUMNS($AD$1006:AU1006),$AD$1006:$AU$1006,0))&gt;=100000), " ",IF(INDEX($AD$2:$AU$1001,MATCH(ROWS($W$2:W765),$W$2:$W$1001,0),MATCH(COLUMNS($AD$1006:AU1006),$AD$1006:$AU$1006,0)), HYPERLINK("#",""), HYPERLINK(CONCATENATE("#metadata!", ADDRESS(INDEX($Y$2:$Y$1001,MATCH(ROWS($W$2:W765),$W$2:$W$1001,0),0), INDEX($AD$1004:$AU$1004,1,MATCH(COLUMNS($AD$1006:AU1006),$AD$1006:$AU$1006,0)))),"Fix")))</f>
        <v xml:space="preserve"> </v>
      </c>
      <c r="W765">
        <v>764</v>
      </c>
      <c r="X765">
        <v>100765</v>
      </c>
      <c r="Y765">
        <v>765</v>
      </c>
      <c r="Z765" t="b">
        <f t="shared" si="11"/>
        <v>1</v>
      </c>
      <c r="AA765" t="b">
        <f>COUNTBLANK(metadata!B765:S765)=COLUMNS(metadata!B765:S765)</f>
        <v>1</v>
      </c>
      <c r="AB765" t="str">
        <v/>
      </c>
      <c r="AD765" t="b">
        <f ca="1">AND(IF(metadata!B765="",FALSE,TRUE),COUNTIF(metadata!B:B, metadata!B765) = 1,NOT(ISERROR(SUMPRODUCT(SEARCH(MID(metadata!B765,ROW(INDIRECT("1:"&amp;LEN(metadata!B765))), 1),"0123456789abcdefghijklmnopqrstuvwxyzABCDEFGHIJKLMNOPQRSTUVWXYZ.")))))</f>
        <v>0</v>
      </c>
      <c r="AE765" t="b">
        <f>OR(AND(IF(metadata!C765="",FALSE,TRUE),OR(EXACT(metadata!C765,"not applicable"),EXACT(metadata!C765,"missing: not collected"),EXACT(metadata!C765,"missing: not provided"),EXACT(metadata!C765,"missing: restricted access"))),AND(IF(metadata!C765="",FALSE,ISNUMBER(VALUE(metadata!C765))),metadata!C765&gt;0))</f>
        <v>0</v>
      </c>
      <c r="AF765" t="b">
        <f>AND(IF(metadata!D765="",FALSE,TRUE),EXACT(metadata!D765,"missing: not provided"))</f>
        <v>0</v>
      </c>
      <c r="AG765" t="b">
        <f>AND(IF(metadata!E765="",FALSE,TRUE),EXACT(metadata!E765,"Host-associated"))</f>
        <v>0</v>
      </c>
      <c r="AH765" t="b">
        <f>AND(IF(metadata!F765="",FALSE,TRUE),OR(EXACT(metadata!F765,"Animal"),EXACT(metadata!F765,"Fungus"),EXACT(metadata!F765,"Plant")))</f>
        <v>0</v>
      </c>
      <c r="AI765" t="b">
        <f>AND(IF(metadata!G765="",FALSE,TRUE),OR(EXACT(metadata!G765,"Plant secretion"),EXACT(metadata!G765,"Plant rhizosphere"),EXACT(metadata!G765,"Plant surface"),EXACT(metadata!G765,"Plant corpus"),EXACT(metadata!G765,"Fungus surface"),EXACT(metadata!G765,"Fungus corpus"),EXACT(metadata!G765,"Animal surface"),EXACT(metadata!G765,"Animal proximal gut"),EXACT(metadata!G765,"Animal corpus"),EXACT(metadata!G765,"Animal distal gut"),EXACT(metadata!G765,"Animal secretion")))</f>
        <v>0</v>
      </c>
      <c r="AJ765" t="b">
        <f>OR(AND(IF(metadata!H765="",FALSE,TRUE),OR(EXACT(metadata!H765,"missing: not collected"),EXACT(metadata!H765,"missing: not provided"),EXACT(metadata!H765,"missing: restricted access"))),AND(IF(metadata!H765="",FALSE,TRUE),OR(EXACT(metadata!H765,"organism-associated habitat"),EXACT(metadata!H765,"plant-associated habitat"),EXACT(metadata!H765,"animal-associated habitat"),EXACT(metadata!H765,"insecta-associated habitat"),EXACT(metadata!H765,"mammalia-associated habitat"),EXACT(metadata!H765,"human-associated habitat"),EXACT(metadata!H765,"livestock-associated habitat"))))</f>
        <v>0</v>
      </c>
      <c r="AK765" t="b">
        <f>AND(IF(metadata!I765="",FALSE,TRUE),EXACT(metadata!I765,"host-associated"))</f>
        <v>0</v>
      </c>
      <c r="AL765" t="b">
        <f>OR(AND(IF(metadata!J765="",FALSE,TRUE),OR(EXACT(metadata!J765,"not applicable"),EXACT(metadata!J765,"missing: not collected"),EXACT(metadata!J765,"missing: not provided"),EXACT(metadata!J765,"missing: restricted access"))),AND(IF(metadata!J765="",FALSE,ISNUMBER(VALUE(metadata!J765))),metadata!J765&gt;0))</f>
        <v>0</v>
      </c>
      <c r="AM765" t="b">
        <f>AND(IF(metadata!K765="",FALSE,TRUE),EXACT(metadata!K765,"missing: not provided"))</f>
        <v>0</v>
      </c>
      <c r="AN765" t="b">
        <f>IF(metadata!L765="",FALSE,TRUE)</f>
        <v>0</v>
      </c>
      <c r="AO765" t="b">
        <f>IF(metadata!M765="",FALSE,TRUE)</f>
        <v>0</v>
      </c>
      <c r="AP765" t="b">
        <f>OR(AND(IF(metadata!N765="",FALSE,TRUE),OR(EXACT(metadata!N765,"not applicable"),EXACT(metadata!N765,"missing: not collected"),EXACT(metadata!N765,"missing: not provided"))),AND(IF(metadata!N765="",FALSE,IF(ISERROR(INT(metadata!N765)),FALSE,INT(metadata!N765)=metadata!N765)),metadata!N765&gt;0))</f>
        <v>0</v>
      </c>
      <c r="AQ765" t="b">
        <f>AND(IF(metadata!O765="",FALSE,TRUE),EXACT(metadata!O765,"Not applicable"))</f>
        <v>0</v>
      </c>
      <c r="AR765" t="b">
        <f>OR(AND(IF(metadata!P765="",FALSE,TRUE),OR(EXACT(metadata!P765,"not applicable"),EXACT(metadata!P765,"missing: not collected"),EXACT(metadata!P765,"missing: not provided"),EXACT(metadata!P765,"missing: restricted access"))),IF(metadata!P765="",FALSE,IF(ISERROR(INT(metadata!P765)),FALSE,INT(metadata!P765)=metadata!P765)))</f>
        <v>0</v>
      </c>
      <c r="AS765" t="b">
        <f>AND(IF(metadata!Q765="",FALSE,TRUE),EXACT(metadata!Q765,"Not applicable"))</f>
        <v>0</v>
      </c>
      <c r="AT765" t="b">
        <f>OR(AND(IF(metadata!R765="",FALSE,TRUE),OR(EXACT(metadata!R765,"not applicable"),EXACT(metadata!R765,"missing: not collected"),EXACT(metadata!R765,"missing: not provided"),EXACT(metadata!R765,"missing: restricted access"))),AND(IF(metadata!R765="",FALSE,ISNUMBER(VALUE(metadata!R765))),metadata!R765&gt;0))</f>
        <v>0</v>
      </c>
      <c r="AU765" t="b">
        <f>AND(IF(metadata!S765="",FALSE,TRUE),EXACT(metadata!S765,"missing: not provided"))</f>
        <v>0</v>
      </c>
    </row>
    <row r="766" spans="1:47" x14ac:dyDescent="0.2">
      <c r="A766" s="5" t="str">
        <f ca="1">IF(B766=" "," ",HYPERLINK(CONCATENATE("#metadata!",ADDRESS(INDEX($Y$2:$Y$1001,MATCH(ROWS($W$2:W766),$W$2:$W$1001,0),0),1)),INDEX($AB$2:$AB$1001,MATCH(ROWS($W$2:W766),$W$2:$W$1001,0),0)))</f>
        <v xml:space="preserve"> </v>
      </c>
      <c r="B766" s="4" t="str">
        <f ca="1">IF(OR(INDEX($X$2:$X$1001,MATCH(ROWS($W$2:W766),$W$2:$W$1001,0),1)&gt;=100000,INDEX($AD$1005:$AU$1005,1,MATCH(COLUMNS($AD$1006:AD1006),$AD$1006:$AU$1006,0))&gt;=100000), " ",IF(INDEX($AD$2:$AU$1001,MATCH(ROWS($W$2:W766),$W$2:$W$1001,0),MATCH(COLUMNS($AD$1006:AD1006),$AD$1006:$AU$1006,0)), HYPERLINK("#",""), HYPERLINK(CONCATENATE("#metadata!", ADDRESS(INDEX($Y$2:$Y$1001,MATCH(ROWS($W$2:W766),$W$2:$W$1001,0),0), INDEX($AD$1004:$AU$1004,1,MATCH(COLUMNS($AD$1006:AD1006),$AD$1006:$AU$1006,0)))),"Fix")))</f>
        <v xml:space="preserve"> </v>
      </c>
      <c r="C766" s="4" t="str">
        <f ca="1">IF(OR(INDEX($X$2:$X$1001,MATCH(ROWS($W$2:W766),$W$2:$W$1001,0),1)&gt;=100000,INDEX($AD$1005:$AU$1005,1,MATCH(COLUMNS($AD$1006:AE1006),$AD$1006:$AU$1006,0))&gt;=100000), " ",IF(INDEX($AD$2:$AU$1001,MATCH(ROWS($W$2:W766),$W$2:$W$1001,0),MATCH(COLUMNS($AD$1006:AE1006),$AD$1006:$AU$1006,0)), HYPERLINK("#",""), HYPERLINK(CONCATENATE("#metadata!", ADDRESS(INDEX($Y$2:$Y$1001,MATCH(ROWS($W$2:W766),$W$2:$W$1001,0),0), INDEX($AD$1004:$AU$1004,1,MATCH(COLUMNS($AD$1006:AE1006),$AD$1006:$AU$1006,0)))),"Fix")))</f>
        <v xml:space="preserve"> </v>
      </c>
      <c r="D766" s="4" t="str">
        <f ca="1">IF(OR(INDEX($X$2:$X$1001,MATCH(ROWS($W$2:W766),$W$2:$W$1001,0),1)&gt;=100000,INDEX($AD$1005:$AU$1005,1,MATCH(COLUMNS($AD$1006:AF1006),$AD$1006:$AU$1006,0))&gt;=100000), " ",IF(INDEX($AD$2:$AU$1001,MATCH(ROWS($W$2:W766),$W$2:$W$1001,0),MATCH(COLUMNS($AD$1006:AF1006),$AD$1006:$AU$1006,0)), HYPERLINK("#",""), HYPERLINK(CONCATENATE("#metadata!", ADDRESS(INDEX($Y$2:$Y$1001,MATCH(ROWS($W$2:W766),$W$2:$W$1001,0),0), INDEX($AD$1004:$AU$1004,1,MATCH(COLUMNS($AD$1006:AF1006),$AD$1006:$AU$1006,0)))),"Fix")))</f>
        <v xml:space="preserve"> </v>
      </c>
      <c r="E766" s="4" t="str">
        <f ca="1">IF(OR(INDEX($X$2:$X$1001,MATCH(ROWS($W$2:W766),$W$2:$W$1001,0),1)&gt;=100000,INDEX($AD$1005:$AU$1005,1,MATCH(COLUMNS($AD$1006:AG1006),$AD$1006:$AU$1006,0))&gt;=100000), " ",IF(INDEX($AD$2:$AU$1001,MATCH(ROWS($W$2:W766),$W$2:$W$1001,0),MATCH(COLUMNS($AD$1006:AG1006),$AD$1006:$AU$1006,0)), HYPERLINK("#",""), HYPERLINK(CONCATENATE("#metadata!", ADDRESS(INDEX($Y$2:$Y$1001,MATCH(ROWS($W$2:W766),$W$2:$W$1001,0),0), INDEX($AD$1004:$AU$1004,1,MATCH(COLUMNS($AD$1006:AG1006),$AD$1006:$AU$1006,0)))),"Fix")))</f>
        <v xml:space="preserve"> </v>
      </c>
      <c r="F766" s="4" t="str">
        <f ca="1">IF(OR(INDEX($X$2:$X$1001,MATCH(ROWS($W$2:W766),$W$2:$W$1001,0),1)&gt;=100000,INDEX($AD$1005:$AU$1005,1,MATCH(COLUMNS($AD$1006:AH1006),$AD$1006:$AU$1006,0))&gt;=100000), " ",IF(INDEX($AD$2:$AU$1001,MATCH(ROWS($W$2:W766),$W$2:$W$1001,0),MATCH(COLUMNS($AD$1006:AH1006),$AD$1006:$AU$1006,0)), HYPERLINK("#",""), HYPERLINK(CONCATENATE("#metadata!", ADDRESS(INDEX($Y$2:$Y$1001,MATCH(ROWS($W$2:W766),$W$2:$W$1001,0),0), INDEX($AD$1004:$AU$1004,1,MATCH(COLUMNS($AD$1006:AH1006),$AD$1006:$AU$1006,0)))),"Fix")))</f>
        <v xml:space="preserve"> </v>
      </c>
      <c r="G766" s="4" t="str">
        <f ca="1">IF(OR(INDEX($X$2:$X$1001,MATCH(ROWS($W$2:W766),$W$2:$W$1001,0),1)&gt;=100000,INDEX($AD$1005:$AU$1005,1,MATCH(COLUMNS($AD$1006:AI1006),$AD$1006:$AU$1006,0))&gt;=100000), " ",IF(INDEX($AD$2:$AU$1001,MATCH(ROWS($W$2:W766),$W$2:$W$1001,0),MATCH(COLUMNS($AD$1006:AI1006),$AD$1006:$AU$1006,0)), HYPERLINK("#",""), HYPERLINK(CONCATENATE("#metadata!", ADDRESS(INDEX($Y$2:$Y$1001,MATCH(ROWS($W$2:W766),$W$2:$W$1001,0),0), INDEX($AD$1004:$AU$1004,1,MATCH(COLUMNS($AD$1006:AI1006),$AD$1006:$AU$1006,0)))),"Fix")))</f>
        <v xml:space="preserve"> </v>
      </c>
      <c r="H766" s="4" t="str">
        <f ca="1">IF(OR(INDEX($X$2:$X$1001,MATCH(ROWS($W$2:W766),$W$2:$W$1001,0),1)&gt;=100000,INDEX($AD$1005:$AU$1005,1,MATCH(COLUMNS($AD$1006:AJ1006),$AD$1006:$AU$1006,0))&gt;=100000), " ",IF(INDEX($AD$2:$AU$1001,MATCH(ROWS($W$2:W766),$W$2:$W$1001,0),MATCH(COLUMNS($AD$1006:AJ1006),$AD$1006:$AU$1006,0)), HYPERLINK("#",""), HYPERLINK(CONCATENATE("#metadata!", ADDRESS(INDEX($Y$2:$Y$1001,MATCH(ROWS($W$2:W766),$W$2:$W$1001,0),0), INDEX($AD$1004:$AU$1004,1,MATCH(COLUMNS($AD$1006:AJ1006),$AD$1006:$AU$1006,0)))),"Fix")))</f>
        <v xml:space="preserve"> </v>
      </c>
      <c r="I766" s="4" t="str">
        <f ca="1">IF(OR(INDEX($X$2:$X$1001,MATCH(ROWS($W$2:W766),$W$2:$W$1001,0),1)&gt;=100000,INDEX($AD$1005:$AU$1005,1,MATCH(COLUMNS($AD$1006:AK1006),$AD$1006:$AU$1006,0))&gt;=100000), " ",IF(INDEX($AD$2:$AU$1001,MATCH(ROWS($W$2:W766),$W$2:$W$1001,0),MATCH(COLUMNS($AD$1006:AK1006),$AD$1006:$AU$1006,0)), HYPERLINK("#",""), HYPERLINK(CONCATENATE("#metadata!", ADDRESS(INDEX($Y$2:$Y$1001,MATCH(ROWS($W$2:W766),$W$2:$W$1001,0),0), INDEX($AD$1004:$AU$1004,1,MATCH(COLUMNS($AD$1006:AK1006),$AD$1006:$AU$1006,0)))),"Fix")))</f>
        <v xml:space="preserve"> </v>
      </c>
      <c r="J766" s="4" t="str">
        <f ca="1">IF(OR(INDEX($X$2:$X$1001,MATCH(ROWS($W$2:W766),$W$2:$W$1001,0),1)&gt;=100000,INDEX($AD$1005:$AU$1005,1,MATCH(COLUMNS($AD$1006:AL1006),$AD$1006:$AU$1006,0))&gt;=100000), " ",IF(INDEX($AD$2:$AU$1001,MATCH(ROWS($W$2:W766),$W$2:$W$1001,0),MATCH(COLUMNS($AD$1006:AL1006),$AD$1006:$AU$1006,0)), HYPERLINK("#",""), HYPERLINK(CONCATENATE("#metadata!", ADDRESS(INDEX($Y$2:$Y$1001,MATCH(ROWS($W$2:W766),$W$2:$W$1001,0),0), INDEX($AD$1004:$AU$1004,1,MATCH(COLUMNS($AD$1006:AL1006),$AD$1006:$AU$1006,0)))),"Fix")))</f>
        <v xml:space="preserve"> </v>
      </c>
      <c r="K766" s="4" t="str">
        <f ca="1">IF(OR(INDEX($X$2:$X$1001,MATCH(ROWS($W$2:W766),$W$2:$W$1001,0),1)&gt;=100000,INDEX($AD$1005:$AU$1005,1,MATCH(COLUMNS($AD$1006:AM1006),$AD$1006:$AU$1006,0))&gt;=100000), " ",IF(INDEX($AD$2:$AU$1001,MATCH(ROWS($W$2:W766),$W$2:$W$1001,0),MATCH(COLUMNS($AD$1006:AM1006),$AD$1006:$AU$1006,0)), HYPERLINK("#",""), HYPERLINK(CONCATENATE("#metadata!", ADDRESS(INDEX($Y$2:$Y$1001,MATCH(ROWS($W$2:W766),$W$2:$W$1001,0),0), INDEX($AD$1004:$AU$1004,1,MATCH(COLUMNS($AD$1006:AM1006),$AD$1006:$AU$1006,0)))),"Fix")))</f>
        <v xml:space="preserve"> </v>
      </c>
      <c r="L766" s="4" t="str">
        <f ca="1">IF(OR(INDEX($X$2:$X$1001,MATCH(ROWS($W$2:W766),$W$2:$W$1001,0),1)&gt;=100000,INDEX($AD$1005:$AU$1005,1,MATCH(COLUMNS($AD$1006:AN1006),$AD$1006:$AU$1006,0))&gt;=100000), " ",IF(INDEX($AD$2:$AU$1001,MATCH(ROWS($W$2:W766),$W$2:$W$1001,0),MATCH(COLUMNS($AD$1006:AN1006),$AD$1006:$AU$1006,0)), HYPERLINK("#",""), HYPERLINK(CONCATENATE("#metadata!", ADDRESS(INDEX($Y$2:$Y$1001,MATCH(ROWS($W$2:W766),$W$2:$W$1001,0),0), INDEX($AD$1004:$AU$1004,1,MATCH(COLUMNS($AD$1006:AN1006),$AD$1006:$AU$1006,0)))),"Fix")))</f>
        <v xml:space="preserve"> </v>
      </c>
      <c r="M766" s="4" t="str">
        <f ca="1">IF(OR(INDEX($X$2:$X$1001,MATCH(ROWS($W$2:W766),$W$2:$W$1001,0),1)&gt;=100000,INDEX($AD$1005:$AU$1005,1,MATCH(COLUMNS($AD$1006:AO1006),$AD$1006:$AU$1006,0))&gt;=100000), " ",IF(INDEX($AD$2:$AU$1001,MATCH(ROWS($W$2:W766),$W$2:$W$1001,0),MATCH(COLUMNS($AD$1006:AO1006),$AD$1006:$AU$1006,0)), HYPERLINK("#",""), HYPERLINK(CONCATENATE("#metadata!", ADDRESS(INDEX($Y$2:$Y$1001,MATCH(ROWS($W$2:W766),$W$2:$W$1001,0),0), INDEX($AD$1004:$AU$1004,1,MATCH(COLUMNS($AD$1006:AO1006),$AD$1006:$AU$1006,0)))),"Fix")))</f>
        <v xml:space="preserve"> </v>
      </c>
      <c r="N766" s="4" t="str">
        <f ca="1">IF(OR(INDEX($X$2:$X$1001,MATCH(ROWS($W$2:W766),$W$2:$W$1001,0),1)&gt;=100000,INDEX($AD$1005:$AU$1005,1,MATCH(COLUMNS($AD$1006:AP1006),$AD$1006:$AU$1006,0))&gt;=100000), " ",IF(INDEX($AD$2:$AU$1001,MATCH(ROWS($W$2:W766),$W$2:$W$1001,0),MATCH(COLUMNS($AD$1006:AP1006),$AD$1006:$AU$1006,0)), HYPERLINK("#",""), HYPERLINK(CONCATENATE("#metadata!", ADDRESS(INDEX($Y$2:$Y$1001,MATCH(ROWS($W$2:W766),$W$2:$W$1001,0),0), INDEX($AD$1004:$AU$1004,1,MATCH(COLUMNS($AD$1006:AP1006),$AD$1006:$AU$1006,0)))),"Fix")))</f>
        <v xml:space="preserve"> </v>
      </c>
      <c r="O766" s="4" t="str">
        <f ca="1">IF(OR(INDEX($X$2:$X$1001,MATCH(ROWS($W$2:W766),$W$2:$W$1001,0),1)&gt;=100000,INDEX($AD$1005:$AU$1005,1,MATCH(COLUMNS($AD$1006:AQ1006),$AD$1006:$AU$1006,0))&gt;=100000), " ",IF(INDEX($AD$2:$AU$1001,MATCH(ROWS($W$2:W766),$W$2:$W$1001,0),MATCH(COLUMNS($AD$1006:AQ1006),$AD$1006:$AU$1006,0)), HYPERLINK("#",""), HYPERLINK(CONCATENATE("#metadata!", ADDRESS(INDEX($Y$2:$Y$1001,MATCH(ROWS($W$2:W766),$W$2:$W$1001,0),0), INDEX($AD$1004:$AU$1004,1,MATCH(COLUMNS($AD$1006:AQ1006),$AD$1006:$AU$1006,0)))),"Fix")))</f>
        <v xml:space="preserve"> </v>
      </c>
      <c r="P766" s="4" t="str">
        <f ca="1">IF(OR(INDEX($X$2:$X$1001,MATCH(ROWS($W$2:W766),$W$2:$W$1001,0),1)&gt;=100000,INDEX($AD$1005:$AU$1005,1,MATCH(COLUMNS($AD$1006:AR1006),$AD$1006:$AU$1006,0))&gt;=100000), " ",IF(INDEX($AD$2:$AU$1001,MATCH(ROWS($W$2:W766),$W$2:$W$1001,0),MATCH(COLUMNS($AD$1006:AR1006),$AD$1006:$AU$1006,0)), HYPERLINK("#",""), HYPERLINK(CONCATENATE("#metadata!", ADDRESS(INDEX($Y$2:$Y$1001,MATCH(ROWS($W$2:W766),$W$2:$W$1001,0),0), INDEX($AD$1004:$AU$1004,1,MATCH(COLUMNS($AD$1006:AR1006),$AD$1006:$AU$1006,0)))),"Fix")))</f>
        <v xml:space="preserve"> </v>
      </c>
      <c r="Q766" s="4" t="str">
        <f ca="1">IF(OR(INDEX($X$2:$X$1001,MATCH(ROWS($W$2:W766),$W$2:$W$1001,0),1)&gt;=100000,INDEX($AD$1005:$AU$1005,1,MATCH(COLUMNS($AD$1006:AS1006),$AD$1006:$AU$1006,0))&gt;=100000), " ",IF(INDEX($AD$2:$AU$1001,MATCH(ROWS($W$2:W766),$W$2:$W$1001,0),MATCH(COLUMNS($AD$1006:AS1006),$AD$1006:$AU$1006,0)), HYPERLINK("#",""), HYPERLINK(CONCATENATE("#metadata!", ADDRESS(INDEX($Y$2:$Y$1001,MATCH(ROWS($W$2:W766),$W$2:$W$1001,0),0), INDEX($AD$1004:$AU$1004,1,MATCH(COLUMNS($AD$1006:AS1006),$AD$1006:$AU$1006,0)))),"Fix")))</f>
        <v xml:space="preserve"> </v>
      </c>
      <c r="R766" s="4" t="str">
        <f ca="1">IF(OR(INDEX($X$2:$X$1001,MATCH(ROWS($W$2:W766),$W$2:$W$1001,0),1)&gt;=100000,INDEX($AD$1005:$AU$1005,1,MATCH(COLUMNS($AD$1006:AT1006),$AD$1006:$AU$1006,0))&gt;=100000), " ",IF(INDEX($AD$2:$AU$1001,MATCH(ROWS($W$2:W766),$W$2:$W$1001,0),MATCH(COLUMNS($AD$1006:AT1006),$AD$1006:$AU$1006,0)), HYPERLINK("#",""), HYPERLINK(CONCATENATE("#metadata!", ADDRESS(INDEX($Y$2:$Y$1001,MATCH(ROWS($W$2:W766),$W$2:$W$1001,0),0), INDEX($AD$1004:$AU$1004,1,MATCH(COLUMNS($AD$1006:AT1006),$AD$1006:$AU$1006,0)))),"Fix")))</f>
        <v xml:space="preserve"> </v>
      </c>
      <c r="S766" s="4" t="str">
        <f ca="1">IF(OR(INDEX($X$2:$X$1001,MATCH(ROWS($W$2:W766),$W$2:$W$1001,0),1)&gt;=100000,INDEX($AD$1005:$AU$1005,1,MATCH(COLUMNS($AD$1006:AU1006),$AD$1006:$AU$1006,0))&gt;=100000), " ",IF(INDEX($AD$2:$AU$1001,MATCH(ROWS($W$2:W766),$W$2:$W$1001,0),MATCH(COLUMNS($AD$1006:AU1006),$AD$1006:$AU$1006,0)), HYPERLINK("#",""), HYPERLINK(CONCATENATE("#metadata!", ADDRESS(INDEX($Y$2:$Y$1001,MATCH(ROWS($W$2:W766),$W$2:$W$1001,0),0), INDEX($AD$1004:$AU$1004,1,MATCH(COLUMNS($AD$1006:AU1006),$AD$1006:$AU$1006,0)))),"Fix")))</f>
        <v xml:space="preserve"> </v>
      </c>
      <c r="W766">
        <v>765</v>
      </c>
      <c r="X766">
        <v>100766</v>
      </c>
      <c r="Y766">
        <v>766</v>
      </c>
      <c r="Z766" t="b">
        <f t="shared" si="11"/>
        <v>1</v>
      </c>
      <c r="AA766" t="b">
        <f>COUNTBLANK(metadata!B766:S766)=COLUMNS(metadata!B766:S766)</f>
        <v>1</v>
      </c>
      <c r="AB766" t="str">
        <v/>
      </c>
      <c r="AD766" t="b">
        <f ca="1">AND(IF(metadata!B766="",FALSE,TRUE),COUNTIF(metadata!B:B, metadata!B766) = 1,NOT(ISERROR(SUMPRODUCT(SEARCH(MID(metadata!B766,ROW(INDIRECT("1:"&amp;LEN(metadata!B766))), 1),"0123456789abcdefghijklmnopqrstuvwxyzABCDEFGHIJKLMNOPQRSTUVWXYZ.")))))</f>
        <v>0</v>
      </c>
      <c r="AE766" t="b">
        <f>OR(AND(IF(metadata!C766="",FALSE,TRUE),OR(EXACT(metadata!C766,"not applicable"),EXACT(metadata!C766,"missing: not collected"),EXACT(metadata!C766,"missing: not provided"),EXACT(metadata!C766,"missing: restricted access"))),AND(IF(metadata!C766="",FALSE,ISNUMBER(VALUE(metadata!C766))),metadata!C766&gt;0))</f>
        <v>0</v>
      </c>
      <c r="AF766" t="b">
        <f>AND(IF(metadata!D766="",FALSE,TRUE),EXACT(metadata!D766,"missing: not provided"))</f>
        <v>0</v>
      </c>
      <c r="AG766" t="b">
        <f>AND(IF(metadata!E766="",FALSE,TRUE),EXACT(metadata!E766,"Host-associated"))</f>
        <v>0</v>
      </c>
      <c r="AH766" t="b">
        <f>AND(IF(metadata!F766="",FALSE,TRUE),OR(EXACT(metadata!F766,"Animal"),EXACT(metadata!F766,"Fungus"),EXACT(metadata!F766,"Plant")))</f>
        <v>0</v>
      </c>
      <c r="AI766" t="b">
        <f>AND(IF(metadata!G766="",FALSE,TRUE),OR(EXACT(metadata!G766,"Plant secretion"),EXACT(metadata!G766,"Plant rhizosphere"),EXACT(metadata!G766,"Plant surface"),EXACT(metadata!G766,"Plant corpus"),EXACT(metadata!G766,"Fungus surface"),EXACT(metadata!G766,"Fungus corpus"),EXACT(metadata!G766,"Animal surface"),EXACT(metadata!G766,"Animal proximal gut"),EXACT(metadata!G766,"Animal corpus"),EXACT(metadata!G766,"Animal distal gut"),EXACT(metadata!G766,"Animal secretion")))</f>
        <v>0</v>
      </c>
      <c r="AJ766" t="b">
        <f>OR(AND(IF(metadata!H766="",FALSE,TRUE),OR(EXACT(metadata!H766,"missing: not collected"),EXACT(metadata!H766,"missing: not provided"),EXACT(metadata!H766,"missing: restricted access"))),AND(IF(metadata!H766="",FALSE,TRUE),OR(EXACT(metadata!H766,"organism-associated habitat"),EXACT(metadata!H766,"plant-associated habitat"),EXACT(metadata!H766,"animal-associated habitat"),EXACT(metadata!H766,"insecta-associated habitat"),EXACT(metadata!H766,"mammalia-associated habitat"),EXACT(metadata!H766,"human-associated habitat"),EXACT(metadata!H766,"livestock-associated habitat"))))</f>
        <v>0</v>
      </c>
      <c r="AK766" t="b">
        <f>AND(IF(metadata!I766="",FALSE,TRUE),EXACT(metadata!I766,"host-associated"))</f>
        <v>0</v>
      </c>
      <c r="AL766" t="b">
        <f>OR(AND(IF(metadata!J766="",FALSE,TRUE),OR(EXACT(metadata!J766,"not applicable"),EXACT(metadata!J766,"missing: not collected"),EXACT(metadata!J766,"missing: not provided"),EXACT(metadata!J766,"missing: restricted access"))),AND(IF(metadata!J766="",FALSE,ISNUMBER(VALUE(metadata!J766))),metadata!J766&gt;0))</f>
        <v>0</v>
      </c>
      <c r="AM766" t="b">
        <f>AND(IF(metadata!K766="",FALSE,TRUE),EXACT(metadata!K766,"missing: not provided"))</f>
        <v>0</v>
      </c>
      <c r="AN766" t="b">
        <f>IF(metadata!L766="",FALSE,TRUE)</f>
        <v>0</v>
      </c>
      <c r="AO766" t="b">
        <f>IF(metadata!M766="",FALSE,TRUE)</f>
        <v>0</v>
      </c>
      <c r="AP766" t="b">
        <f>OR(AND(IF(metadata!N766="",FALSE,TRUE),OR(EXACT(metadata!N766,"not applicable"),EXACT(metadata!N766,"missing: not collected"),EXACT(metadata!N766,"missing: not provided"))),AND(IF(metadata!N766="",FALSE,IF(ISERROR(INT(metadata!N766)),FALSE,INT(metadata!N766)=metadata!N766)),metadata!N766&gt;0))</f>
        <v>0</v>
      </c>
      <c r="AQ766" t="b">
        <f>AND(IF(metadata!O766="",FALSE,TRUE),EXACT(metadata!O766,"Not applicable"))</f>
        <v>0</v>
      </c>
      <c r="AR766" t="b">
        <f>OR(AND(IF(metadata!P766="",FALSE,TRUE),OR(EXACT(metadata!P766,"not applicable"),EXACT(metadata!P766,"missing: not collected"),EXACT(metadata!P766,"missing: not provided"),EXACT(metadata!P766,"missing: restricted access"))),IF(metadata!P766="",FALSE,IF(ISERROR(INT(metadata!P766)),FALSE,INT(metadata!P766)=metadata!P766)))</f>
        <v>0</v>
      </c>
      <c r="AS766" t="b">
        <f>AND(IF(metadata!Q766="",FALSE,TRUE),EXACT(metadata!Q766,"Not applicable"))</f>
        <v>0</v>
      </c>
      <c r="AT766" t="b">
        <f>OR(AND(IF(metadata!R766="",FALSE,TRUE),OR(EXACT(metadata!R766,"not applicable"),EXACT(metadata!R766,"missing: not collected"),EXACT(metadata!R766,"missing: not provided"),EXACT(metadata!R766,"missing: restricted access"))),AND(IF(metadata!R766="",FALSE,ISNUMBER(VALUE(metadata!R766))),metadata!R766&gt;0))</f>
        <v>0</v>
      </c>
      <c r="AU766" t="b">
        <f>AND(IF(metadata!S766="",FALSE,TRUE),EXACT(metadata!S766,"missing: not provided"))</f>
        <v>0</v>
      </c>
    </row>
    <row r="767" spans="1:47" x14ac:dyDescent="0.2">
      <c r="A767" s="5" t="str">
        <f ca="1">IF(B767=" "," ",HYPERLINK(CONCATENATE("#metadata!",ADDRESS(INDEX($Y$2:$Y$1001,MATCH(ROWS($W$2:W767),$W$2:$W$1001,0),0),1)),INDEX($AB$2:$AB$1001,MATCH(ROWS($W$2:W767),$W$2:$W$1001,0),0)))</f>
        <v xml:space="preserve"> </v>
      </c>
      <c r="B767" s="4" t="str">
        <f ca="1">IF(OR(INDEX($X$2:$X$1001,MATCH(ROWS($W$2:W767),$W$2:$W$1001,0),1)&gt;=100000,INDEX($AD$1005:$AU$1005,1,MATCH(COLUMNS($AD$1006:AD1006),$AD$1006:$AU$1006,0))&gt;=100000), " ",IF(INDEX($AD$2:$AU$1001,MATCH(ROWS($W$2:W767),$W$2:$W$1001,0),MATCH(COLUMNS($AD$1006:AD1006),$AD$1006:$AU$1006,0)), HYPERLINK("#",""), HYPERLINK(CONCATENATE("#metadata!", ADDRESS(INDEX($Y$2:$Y$1001,MATCH(ROWS($W$2:W767),$W$2:$W$1001,0),0), INDEX($AD$1004:$AU$1004,1,MATCH(COLUMNS($AD$1006:AD1006),$AD$1006:$AU$1006,0)))),"Fix")))</f>
        <v xml:space="preserve"> </v>
      </c>
      <c r="C767" s="4" t="str">
        <f ca="1">IF(OR(INDEX($X$2:$X$1001,MATCH(ROWS($W$2:W767),$W$2:$W$1001,0),1)&gt;=100000,INDEX($AD$1005:$AU$1005,1,MATCH(COLUMNS($AD$1006:AE1006),$AD$1006:$AU$1006,0))&gt;=100000), " ",IF(INDEX($AD$2:$AU$1001,MATCH(ROWS($W$2:W767),$W$2:$W$1001,0),MATCH(COLUMNS($AD$1006:AE1006),$AD$1006:$AU$1006,0)), HYPERLINK("#",""), HYPERLINK(CONCATENATE("#metadata!", ADDRESS(INDEX($Y$2:$Y$1001,MATCH(ROWS($W$2:W767),$W$2:$W$1001,0),0), INDEX($AD$1004:$AU$1004,1,MATCH(COLUMNS($AD$1006:AE1006),$AD$1006:$AU$1006,0)))),"Fix")))</f>
        <v xml:space="preserve"> </v>
      </c>
      <c r="D767" s="4" t="str">
        <f ca="1">IF(OR(INDEX($X$2:$X$1001,MATCH(ROWS($W$2:W767),$W$2:$W$1001,0),1)&gt;=100000,INDEX($AD$1005:$AU$1005,1,MATCH(COLUMNS($AD$1006:AF1006),$AD$1006:$AU$1006,0))&gt;=100000), " ",IF(INDEX($AD$2:$AU$1001,MATCH(ROWS($W$2:W767),$W$2:$W$1001,0),MATCH(COLUMNS($AD$1006:AF1006),$AD$1006:$AU$1006,0)), HYPERLINK("#",""), HYPERLINK(CONCATENATE("#metadata!", ADDRESS(INDEX($Y$2:$Y$1001,MATCH(ROWS($W$2:W767),$W$2:$W$1001,0),0), INDEX($AD$1004:$AU$1004,1,MATCH(COLUMNS($AD$1006:AF1006),$AD$1006:$AU$1006,0)))),"Fix")))</f>
        <v xml:space="preserve"> </v>
      </c>
      <c r="E767" s="4" t="str">
        <f ca="1">IF(OR(INDEX($X$2:$X$1001,MATCH(ROWS($W$2:W767),$W$2:$W$1001,0),1)&gt;=100000,INDEX($AD$1005:$AU$1005,1,MATCH(COLUMNS($AD$1006:AG1006),$AD$1006:$AU$1006,0))&gt;=100000), " ",IF(INDEX($AD$2:$AU$1001,MATCH(ROWS($W$2:W767),$W$2:$W$1001,0),MATCH(COLUMNS($AD$1006:AG1006),$AD$1006:$AU$1006,0)), HYPERLINK("#",""), HYPERLINK(CONCATENATE("#metadata!", ADDRESS(INDEX($Y$2:$Y$1001,MATCH(ROWS($W$2:W767),$W$2:$W$1001,0),0), INDEX($AD$1004:$AU$1004,1,MATCH(COLUMNS($AD$1006:AG1006),$AD$1006:$AU$1006,0)))),"Fix")))</f>
        <v xml:space="preserve"> </v>
      </c>
      <c r="F767" s="4" t="str">
        <f ca="1">IF(OR(INDEX($X$2:$X$1001,MATCH(ROWS($W$2:W767),$W$2:$W$1001,0),1)&gt;=100000,INDEX($AD$1005:$AU$1005,1,MATCH(COLUMNS($AD$1006:AH1006),$AD$1006:$AU$1006,0))&gt;=100000), " ",IF(INDEX($AD$2:$AU$1001,MATCH(ROWS($W$2:W767),$W$2:$W$1001,0),MATCH(COLUMNS($AD$1006:AH1006),$AD$1006:$AU$1006,0)), HYPERLINK("#",""), HYPERLINK(CONCATENATE("#metadata!", ADDRESS(INDEX($Y$2:$Y$1001,MATCH(ROWS($W$2:W767),$W$2:$W$1001,0),0), INDEX($AD$1004:$AU$1004,1,MATCH(COLUMNS($AD$1006:AH1006),$AD$1006:$AU$1006,0)))),"Fix")))</f>
        <v xml:space="preserve"> </v>
      </c>
      <c r="G767" s="4" t="str">
        <f ca="1">IF(OR(INDEX($X$2:$X$1001,MATCH(ROWS($W$2:W767),$W$2:$W$1001,0),1)&gt;=100000,INDEX($AD$1005:$AU$1005,1,MATCH(COLUMNS($AD$1006:AI1006),$AD$1006:$AU$1006,0))&gt;=100000), " ",IF(INDEX($AD$2:$AU$1001,MATCH(ROWS($W$2:W767),$W$2:$W$1001,0),MATCH(COLUMNS($AD$1006:AI1006),$AD$1006:$AU$1006,0)), HYPERLINK("#",""), HYPERLINK(CONCATENATE("#metadata!", ADDRESS(INDEX($Y$2:$Y$1001,MATCH(ROWS($W$2:W767),$W$2:$W$1001,0),0), INDEX($AD$1004:$AU$1004,1,MATCH(COLUMNS($AD$1006:AI1006),$AD$1006:$AU$1006,0)))),"Fix")))</f>
        <v xml:space="preserve"> </v>
      </c>
      <c r="H767" s="4" t="str">
        <f ca="1">IF(OR(INDEX($X$2:$X$1001,MATCH(ROWS($W$2:W767),$W$2:$W$1001,0),1)&gt;=100000,INDEX($AD$1005:$AU$1005,1,MATCH(COLUMNS($AD$1006:AJ1006),$AD$1006:$AU$1006,0))&gt;=100000), " ",IF(INDEX($AD$2:$AU$1001,MATCH(ROWS($W$2:W767),$W$2:$W$1001,0),MATCH(COLUMNS($AD$1006:AJ1006),$AD$1006:$AU$1006,0)), HYPERLINK("#",""), HYPERLINK(CONCATENATE("#metadata!", ADDRESS(INDEX($Y$2:$Y$1001,MATCH(ROWS($W$2:W767),$W$2:$W$1001,0),0), INDEX($AD$1004:$AU$1004,1,MATCH(COLUMNS($AD$1006:AJ1006),$AD$1006:$AU$1006,0)))),"Fix")))</f>
        <v xml:space="preserve"> </v>
      </c>
      <c r="I767" s="4" t="str">
        <f ca="1">IF(OR(INDEX($X$2:$X$1001,MATCH(ROWS($W$2:W767),$W$2:$W$1001,0),1)&gt;=100000,INDEX($AD$1005:$AU$1005,1,MATCH(COLUMNS($AD$1006:AK1006),$AD$1006:$AU$1006,0))&gt;=100000), " ",IF(INDEX($AD$2:$AU$1001,MATCH(ROWS($W$2:W767),$W$2:$W$1001,0),MATCH(COLUMNS($AD$1006:AK1006),$AD$1006:$AU$1006,0)), HYPERLINK("#",""), HYPERLINK(CONCATENATE("#metadata!", ADDRESS(INDEX($Y$2:$Y$1001,MATCH(ROWS($W$2:W767),$W$2:$W$1001,0),0), INDEX($AD$1004:$AU$1004,1,MATCH(COLUMNS($AD$1006:AK1006),$AD$1006:$AU$1006,0)))),"Fix")))</f>
        <v xml:space="preserve"> </v>
      </c>
      <c r="J767" s="4" t="str">
        <f ca="1">IF(OR(INDEX($X$2:$X$1001,MATCH(ROWS($W$2:W767),$W$2:$W$1001,0),1)&gt;=100000,INDEX($AD$1005:$AU$1005,1,MATCH(COLUMNS($AD$1006:AL1006),$AD$1006:$AU$1006,0))&gt;=100000), " ",IF(INDEX($AD$2:$AU$1001,MATCH(ROWS($W$2:W767),$W$2:$W$1001,0),MATCH(COLUMNS($AD$1006:AL1006),$AD$1006:$AU$1006,0)), HYPERLINK("#",""), HYPERLINK(CONCATENATE("#metadata!", ADDRESS(INDEX($Y$2:$Y$1001,MATCH(ROWS($W$2:W767),$W$2:$W$1001,0),0), INDEX($AD$1004:$AU$1004,1,MATCH(COLUMNS($AD$1006:AL1006),$AD$1006:$AU$1006,0)))),"Fix")))</f>
        <v xml:space="preserve"> </v>
      </c>
      <c r="K767" s="4" t="str">
        <f ca="1">IF(OR(INDEX($X$2:$X$1001,MATCH(ROWS($W$2:W767),$W$2:$W$1001,0),1)&gt;=100000,INDEX($AD$1005:$AU$1005,1,MATCH(COLUMNS($AD$1006:AM1006),$AD$1006:$AU$1006,0))&gt;=100000), " ",IF(INDEX($AD$2:$AU$1001,MATCH(ROWS($W$2:W767),$W$2:$W$1001,0),MATCH(COLUMNS($AD$1006:AM1006),$AD$1006:$AU$1006,0)), HYPERLINK("#",""), HYPERLINK(CONCATENATE("#metadata!", ADDRESS(INDEX($Y$2:$Y$1001,MATCH(ROWS($W$2:W767),$W$2:$W$1001,0),0), INDEX($AD$1004:$AU$1004,1,MATCH(COLUMNS($AD$1006:AM1006),$AD$1006:$AU$1006,0)))),"Fix")))</f>
        <v xml:space="preserve"> </v>
      </c>
      <c r="L767" s="4" t="str">
        <f ca="1">IF(OR(INDEX($X$2:$X$1001,MATCH(ROWS($W$2:W767),$W$2:$W$1001,0),1)&gt;=100000,INDEX($AD$1005:$AU$1005,1,MATCH(COLUMNS($AD$1006:AN1006),$AD$1006:$AU$1006,0))&gt;=100000), " ",IF(INDEX($AD$2:$AU$1001,MATCH(ROWS($W$2:W767),$W$2:$W$1001,0),MATCH(COLUMNS($AD$1006:AN1006),$AD$1006:$AU$1006,0)), HYPERLINK("#",""), HYPERLINK(CONCATENATE("#metadata!", ADDRESS(INDEX($Y$2:$Y$1001,MATCH(ROWS($W$2:W767),$W$2:$W$1001,0),0), INDEX($AD$1004:$AU$1004,1,MATCH(COLUMNS($AD$1006:AN1006),$AD$1006:$AU$1006,0)))),"Fix")))</f>
        <v xml:space="preserve"> </v>
      </c>
      <c r="M767" s="4" t="str">
        <f ca="1">IF(OR(INDEX($X$2:$X$1001,MATCH(ROWS($W$2:W767),$W$2:$W$1001,0),1)&gt;=100000,INDEX($AD$1005:$AU$1005,1,MATCH(COLUMNS($AD$1006:AO1006),$AD$1006:$AU$1006,0))&gt;=100000), " ",IF(INDEX($AD$2:$AU$1001,MATCH(ROWS($W$2:W767),$W$2:$W$1001,0),MATCH(COLUMNS($AD$1006:AO1006),$AD$1006:$AU$1006,0)), HYPERLINK("#",""), HYPERLINK(CONCATENATE("#metadata!", ADDRESS(INDEX($Y$2:$Y$1001,MATCH(ROWS($W$2:W767),$W$2:$W$1001,0),0), INDEX($AD$1004:$AU$1004,1,MATCH(COLUMNS($AD$1006:AO1006),$AD$1006:$AU$1006,0)))),"Fix")))</f>
        <v xml:space="preserve"> </v>
      </c>
      <c r="N767" s="4" t="str">
        <f ca="1">IF(OR(INDEX($X$2:$X$1001,MATCH(ROWS($W$2:W767),$W$2:$W$1001,0),1)&gt;=100000,INDEX($AD$1005:$AU$1005,1,MATCH(COLUMNS($AD$1006:AP1006),$AD$1006:$AU$1006,0))&gt;=100000), " ",IF(INDEX($AD$2:$AU$1001,MATCH(ROWS($W$2:W767),$W$2:$W$1001,0),MATCH(COLUMNS($AD$1006:AP1006),$AD$1006:$AU$1006,0)), HYPERLINK("#",""), HYPERLINK(CONCATENATE("#metadata!", ADDRESS(INDEX($Y$2:$Y$1001,MATCH(ROWS($W$2:W767),$W$2:$W$1001,0),0), INDEX($AD$1004:$AU$1004,1,MATCH(COLUMNS($AD$1006:AP1006),$AD$1006:$AU$1006,0)))),"Fix")))</f>
        <v xml:space="preserve"> </v>
      </c>
      <c r="O767" s="4" t="str">
        <f ca="1">IF(OR(INDEX($X$2:$X$1001,MATCH(ROWS($W$2:W767),$W$2:$W$1001,0),1)&gt;=100000,INDEX($AD$1005:$AU$1005,1,MATCH(COLUMNS($AD$1006:AQ1006),$AD$1006:$AU$1006,0))&gt;=100000), " ",IF(INDEX($AD$2:$AU$1001,MATCH(ROWS($W$2:W767),$W$2:$W$1001,0),MATCH(COLUMNS($AD$1006:AQ1006),$AD$1006:$AU$1006,0)), HYPERLINK("#",""), HYPERLINK(CONCATENATE("#metadata!", ADDRESS(INDEX($Y$2:$Y$1001,MATCH(ROWS($W$2:W767),$W$2:$W$1001,0),0), INDEX($AD$1004:$AU$1004,1,MATCH(COLUMNS($AD$1006:AQ1006),$AD$1006:$AU$1006,0)))),"Fix")))</f>
        <v xml:space="preserve"> </v>
      </c>
      <c r="P767" s="4" t="str">
        <f ca="1">IF(OR(INDEX($X$2:$X$1001,MATCH(ROWS($W$2:W767),$W$2:$W$1001,0),1)&gt;=100000,INDEX($AD$1005:$AU$1005,1,MATCH(COLUMNS($AD$1006:AR1006),$AD$1006:$AU$1006,0))&gt;=100000), " ",IF(INDEX($AD$2:$AU$1001,MATCH(ROWS($W$2:W767),$W$2:$W$1001,0),MATCH(COLUMNS($AD$1006:AR1006),$AD$1006:$AU$1006,0)), HYPERLINK("#",""), HYPERLINK(CONCATENATE("#metadata!", ADDRESS(INDEX($Y$2:$Y$1001,MATCH(ROWS($W$2:W767),$W$2:$W$1001,0),0), INDEX($AD$1004:$AU$1004,1,MATCH(COLUMNS($AD$1006:AR1006),$AD$1006:$AU$1006,0)))),"Fix")))</f>
        <v xml:space="preserve"> </v>
      </c>
      <c r="Q767" s="4" t="str">
        <f ca="1">IF(OR(INDEX($X$2:$X$1001,MATCH(ROWS($W$2:W767),$W$2:$W$1001,0),1)&gt;=100000,INDEX($AD$1005:$AU$1005,1,MATCH(COLUMNS($AD$1006:AS1006),$AD$1006:$AU$1006,0))&gt;=100000), " ",IF(INDEX($AD$2:$AU$1001,MATCH(ROWS($W$2:W767),$W$2:$W$1001,0),MATCH(COLUMNS($AD$1006:AS1006),$AD$1006:$AU$1006,0)), HYPERLINK("#",""), HYPERLINK(CONCATENATE("#metadata!", ADDRESS(INDEX($Y$2:$Y$1001,MATCH(ROWS($W$2:W767),$W$2:$W$1001,0),0), INDEX($AD$1004:$AU$1004,1,MATCH(COLUMNS($AD$1006:AS1006),$AD$1006:$AU$1006,0)))),"Fix")))</f>
        <v xml:space="preserve"> </v>
      </c>
      <c r="R767" s="4" t="str">
        <f ca="1">IF(OR(INDEX($X$2:$X$1001,MATCH(ROWS($W$2:W767),$W$2:$W$1001,0),1)&gt;=100000,INDEX($AD$1005:$AU$1005,1,MATCH(COLUMNS($AD$1006:AT1006),$AD$1006:$AU$1006,0))&gt;=100000), " ",IF(INDEX($AD$2:$AU$1001,MATCH(ROWS($W$2:W767),$W$2:$W$1001,0),MATCH(COLUMNS($AD$1006:AT1006),$AD$1006:$AU$1006,0)), HYPERLINK("#",""), HYPERLINK(CONCATENATE("#metadata!", ADDRESS(INDEX($Y$2:$Y$1001,MATCH(ROWS($W$2:W767),$W$2:$W$1001,0),0), INDEX($AD$1004:$AU$1004,1,MATCH(COLUMNS($AD$1006:AT1006),$AD$1006:$AU$1006,0)))),"Fix")))</f>
        <v xml:space="preserve"> </v>
      </c>
      <c r="S767" s="4" t="str">
        <f ca="1">IF(OR(INDEX($X$2:$X$1001,MATCH(ROWS($W$2:W767),$W$2:$W$1001,0),1)&gt;=100000,INDEX($AD$1005:$AU$1005,1,MATCH(COLUMNS($AD$1006:AU1006),$AD$1006:$AU$1006,0))&gt;=100000), " ",IF(INDEX($AD$2:$AU$1001,MATCH(ROWS($W$2:W767),$W$2:$W$1001,0),MATCH(COLUMNS($AD$1006:AU1006),$AD$1006:$AU$1006,0)), HYPERLINK("#",""), HYPERLINK(CONCATENATE("#metadata!", ADDRESS(INDEX($Y$2:$Y$1001,MATCH(ROWS($W$2:W767),$W$2:$W$1001,0),0), INDEX($AD$1004:$AU$1004,1,MATCH(COLUMNS($AD$1006:AU1006),$AD$1006:$AU$1006,0)))),"Fix")))</f>
        <v xml:space="preserve"> </v>
      </c>
      <c r="W767">
        <v>766</v>
      </c>
      <c r="X767">
        <v>100767</v>
      </c>
      <c r="Y767">
        <v>767</v>
      </c>
      <c r="Z767" t="b">
        <f t="shared" si="11"/>
        <v>1</v>
      </c>
      <c r="AA767" t="b">
        <f>COUNTBLANK(metadata!B767:S767)=COLUMNS(metadata!B767:S767)</f>
        <v>1</v>
      </c>
      <c r="AB767" t="str">
        <v/>
      </c>
      <c r="AD767" t="b">
        <f ca="1">AND(IF(metadata!B767="",FALSE,TRUE),COUNTIF(metadata!B:B, metadata!B767) = 1,NOT(ISERROR(SUMPRODUCT(SEARCH(MID(metadata!B767,ROW(INDIRECT("1:"&amp;LEN(metadata!B767))), 1),"0123456789abcdefghijklmnopqrstuvwxyzABCDEFGHIJKLMNOPQRSTUVWXYZ.")))))</f>
        <v>0</v>
      </c>
      <c r="AE767" t="b">
        <f>OR(AND(IF(metadata!C767="",FALSE,TRUE),OR(EXACT(metadata!C767,"not applicable"),EXACT(metadata!C767,"missing: not collected"),EXACT(metadata!C767,"missing: not provided"),EXACT(metadata!C767,"missing: restricted access"))),AND(IF(metadata!C767="",FALSE,ISNUMBER(VALUE(metadata!C767))),metadata!C767&gt;0))</f>
        <v>0</v>
      </c>
      <c r="AF767" t="b">
        <f>AND(IF(metadata!D767="",FALSE,TRUE),EXACT(metadata!D767,"missing: not provided"))</f>
        <v>0</v>
      </c>
      <c r="AG767" t="b">
        <f>AND(IF(metadata!E767="",FALSE,TRUE),EXACT(metadata!E767,"Host-associated"))</f>
        <v>0</v>
      </c>
      <c r="AH767" t="b">
        <f>AND(IF(metadata!F767="",FALSE,TRUE),OR(EXACT(metadata!F767,"Animal"),EXACT(metadata!F767,"Fungus"),EXACT(metadata!F767,"Plant")))</f>
        <v>0</v>
      </c>
      <c r="AI767" t="b">
        <f>AND(IF(metadata!G767="",FALSE,TRUE),OR(EXACT(metadata!G767,"Plant secretion"),EXACT(metadata!G767,"Plant rhizosphere"),EXACT(metadata!G767,"Plant surface"),EXACT(metadata!G767,"Plant corpus"),EXACT(metadata!G767,"Fungus surface"),EXACT(metadata!G767,"Fungus corpus"),EXACT(metadata!G767,"Animal surface"),EXACT(metadata!G767,"Animal proximal gut"),EXACT(metadata!G767,"Animal corpus"),EXACT(metadata!G767,"Animal distal gut"),EXACT(metadata!G767,"Animal secretion")))</f>
        <v>0</v>
      </c>
      <c r="AJ767" t="b">
        <f>OR(AND(IF(metadata!H767="",FALSE,TRUE),OR(EXACT(metadata!H767,"missing: not collected"),EXACT(metadata!H767,"missing: not provided"),EXACT(metadata!H767,"missing: restricted access"))),AND(IF(metadata!H767="",FALSE,TRUE),OR(EXACT(metadata!H767,"organism-associated habitat"),EXACT(metadata!H767,"plant-associated habitat"),EXACT(metadata!H767,"animal-associated habitat"),EXACT(metadata!H767,"insecta-associated habitat"),EXACT(metadata!H767,"mammalia-associated habitat"),EXACT(metadata!H767,"human-associated habitat"),EXACT(metadata!H767,"livestock-associated habitat"))))</f>
        <v>0</v>
      </c>
      <c r="AK767" t="b">
        <f>AND(IF(metadata!I767="",FALSE,TRUE),EXACT(metadata!I767,"host-associated"))</f>
        <v>0</v>
      </c>
      <c r="AL767" t="b">
        <f>OR(AND(IF(metadata!J767="",FALSE,TRUE),OR(EXACT(metadata!J767,"not applicable"),EXACT(metadata!J767,"missing: not collected"),EXACT(metadata!J767,"missing: not provided"),EXACT(metadata!J767,"missing: restricted access"))),AND(IF(metadata!J767="",FALSE,ISNUMBER(VALUE(metadata!J767))),metadata!J767&gt;0))</f>
        <v>0</v>
      </c>
      <c r="AM767" t="b">
        <f>AND(IF(metadata!K767="",FALSE,TRUE),EXACT(metadata!K767,"missing: not provided"))</f>
        <v>0</v>
      </c>
      <c r="AN767" t="b">
        <f>IF(metadata!L767="",FALSE,TRUE)</f>
        <v>0</v>
      </c>
      <c r="AO767" t="b">
        <f>IF(metadata!M767="",FALSE,TRUE)</f>
        <v>0</v>
      </c>
      <c r="AP767" t="b">
        <f>OR(AND(IF(metadata!N767="",FALSE,TRUE),OR(EXACT(metadata!N767,"not applicable"),EXACT(metadata!N767,"missing: not collected"),EXACT(metadata!N767,"missing: not provided"))),AND(IF(metadata!N767="",FALSE,IF(ISERROR(INT(metadata!N767)),FALSE,INT(metadata!N767)=metadata!N767)),metadata!N767&gt;0))</f>
        <v>0</v>
      </c>
      <c r="AQ767" t="b">
        <f>AND(IF(metadata!O767="",FALSE,TRUE),EXACT(metadata!O767,"Not applicable"))</f>
        <v>0</v>
      </c>
      <c r="AR767" t="b">
        <f>OR(AND(IF(metadata!P767="",FALSE,TRUE),OR(EXACT(metadata!P767,"not applicable"),EXACT(metadata!P767,"missing: not collected"),EXACT(metadata!P767,"missing: not provided"),EXACT(metadata!P767,"missing: restricted access"))),IF(metadata!P767="",FALSE,IF(ISERROR(INT(metadata!P767)),FALSE,INT(metadata!P767)=metadata!P767)))</f>
        <v>0</v>
      </c>
      <c r="AS767" t="b">
        <f>AND(IF(metadata!Q767="",FALSE,TRUE),EXACT(metadata!Q767,"Not applicable"))</f>
        <v>0</v>
      </c>
      <c r="AT767" t="b">
        <f>OR(AND(IF(metadata!R767="",FALSE,TRUE),OR(EXACT(metadata!R767,"not applicable"),EXACT(metadata!R767,"missing: not collected"),EXACT(metadata!R767,"missing: not provided"),EXACT(metadata!R767,"missing: restricted access"))),AND(IF(metadata!R767="",FALSE,ISNUMBER(VALUE(metadata!R767))),metadata!R767&gt;0))</f>
        <v>0</v>
      </c>
      <c r="AU767" t="b">
        <f>AND(IF(metadata!S767="",FALSE,TRUE),EXACT(metadata!S767,"missing: not provided"))</f>
        <v>0</v>
      </c>
    </row>
    <row r="768" spans="1:47" x14ac:dyDescent="0.2">
      <c r="A768" s="5" t="str">
        <f ca="1">IF(B768=" "," ",HYPERLINK(CONCATENATE("#metadata!",ADDRESS(INDEX($Y$2:$Y$1001,MATCH(ROWS($W$2:W768),$W$2:$W$1001,0),0),1)),INDEX($AB$2:$AB$1001,MATCH(ROWS($W$2:W768),$W$2:$W$1001,0),0)))</f>
        <v xml:space="preserve"> </v>
      </c>
      <c r="B768" s="4" t="str">
        <f ca="1">IF(OR(INDEX($X$2:$X$1001,MATCH(ROWS($W$2:W768),$W$2:$W$1001,0),1)&gt;=100000,INDEX($AD$1005:$AU$1005,1,MATCH(COLUMNS($AD$1006:AD1006),$AD$1006:$AU$1006,0))&gt;=100000), " ",IF(INDEX($AD$2:$AU$1001,MATCH(ROWS($W$2:W768),$W$2:$W$1001,0),MATCH(COLUMNS($AD$1006:AD1006),$AD$1006:$AU$1006,0)), HYPERLINK("#",""), HYPERLINK(CONCATENATE("#metadata!", ADDRESS(INDEX($Y$2:$Y$1001,MATCH(ROWS($W$2:W768),$W$2:$W$1001,0),0), INDEX($AD$1004:$AU$1004,1,MATCH(COLUMNS($AD$1006:AD1006),$AD$1006:$AU$1006,0)))),"Fix")))</f>
        <v xml:space="preserve"> </v>
      </c>
      <c r="C768" s="4" t="str">
        <f ca="1">IF(OR(INDEX($X$2:$X$1001,MATCH(ROWS($W$2:W768),$W$2:$W$1001,0),1)&gt;=100000,INDEX($AD$1005:$AU$1005,1,MATCH(COLUMNS($AD$1006:AE1006),$AD$1006:$AU$1006,0))&gt;=100000), " ",IF(INDEX($AD$2:$AU$1001,MATCH(ROWS($W$2:W768),$W$2:$W$1001,0),MATCH(COLUMNS($AD$1006:AE1006),$AD$1006:$AU$1006,0)), HYPERLINK("#",""), HYPERLINK(CONCATENATE("#metadata!", ADDRESS(INDEX($Y$2:$Y$1001,MATCH(ROWS($W$2:W768),$W$2:$W$1001,0),0), INDEX($AD$1004:$AU$1004,1,MATCH(COLUMNS($AD$1006:AE1006),$AD$1006:$AU$1006,0)))),"Fix")))</f>
        <v xml:space="preserve"> </v>
      </c>
      <c r="D768" s="4" t="str">
        <f ca="1">IF(OR(INDEX($X$2:$X$1001,MATCH(ROWS($W$2:W768),$W$2:$W$1001,0),1)&gt;=100000,INDEX($AD$1005:$AU$1005,1,MATCH(COLUMNS($AD$1006:AF1006),$AD$1006:$AU$1006,0))&gt;=100000), " ",IF(INDEX($AD$2:$AU$1001,MATCH(ROWS($W$2:W768),$W$2:$W$1001,0),MATCH(COLUMNS($AD$1006:AF1006),$AD$1006:$AU$1006,0)), HYPERLINK("#",""), HYPERLINK(CONCATENATE("#metadata!", ADDRESS(INDEX($Y$2:$Y$1001,MATCH(ROWS($W$2:W768),$W$2:$W$1001,0),0), INDEX($AD$1004:$AU$1004,1,MATCH(COLUMNS($AD$1006:AF1006),$AD$1006:$AU$1006,0)))),"Fix")))</f>
        <v xml:space="preserve"> </v>
      </c>
      <c r="E768" s="4" t="str">
        <f ca="1">IF(OR(INDEX($X$2:$X$1001,MATCH(ROWS($W$2:W768),$W$2:$W$1001,0),1)&gt;=100000,INDEX($AD$1005:$AU$1005,1,MATCH(COLUMNS($AD$1006:AG1006),$AD$1006:$AU$1006,0))&gt;=100000), " ",IF(INDEX($AD$2:$AU$1001,MATCH(ROWS($W$2:W768),$W$2:$W$1001,0),MATCH(COLUMNS($AD$1006:AG1006),$AD$1006:$AU$1006,0)), HYPERLINK("#",""), HYPERLINK(CONCATENATE("#metadata!", ADDRESS(INDEX($Y$2:$Y$1001,MATCH(ROWS($W$2:W768),$W$2:$W$1001,0),0), INDEX($AD$1004:$AU$1004,1,MATCH(COLUMNS($AD$1006:AG1006),$AD$1006:$AU$1006,0)))),"Fix")))</f>
        <v xml:space="preserve"> </v>
      </c>
      <c r="F768" s="4" t="str">
        <f ca="1">IF(OR(INDEX($X$2:$X$1001,MATCH(ROWS($W$2:W768),$W$2:$W$1001,0),1)&gt;=100000,INDEX($AD$1005:$AU$1005,1,MATCH(COLUMNS($AD$1006:AH1006),$AD$1006:$AU$1006,0))&gt;=100000), " ",IF(INDEX($AD$2:$AU$1001,MATCH(ROWS($W$2:W768),$W$2:$W$1001,0),MATCH(COLUMNS($AD$1006:AH1006),$AD$1006:$AU$1006,0)), HYPERLINK("#",""), HYPERLINK(CONCATENATE("#metadata!", ADDRESS(INDEX($Y$2:$Y$1001,MATCH(ROWS($W$2:W768),$W$2:$W$1001,0),0), INDEX($AD$1004:$AU$1004,1,MATCH(COLUMNS($AD$1006:AH1006),$AD$1006:$AU$1006,0)))),"Fix")))</f>
        <v xml:space="preserve"> </v>
      </c>
      <c r="G768" s="4" t="str">
        <f ca="1">IF(OR(INDEX($X$2:$X$1001,MATCH(ROWS($W$2:W768),$W$2:$W$1001,0),1)&gt;=100000,INDEX($AD$1005:$AU$1005,1,MATCH(COLUMNS($AD$1006:AI1006),$AD$1006:$AU$1006,0))&gt;=100000), " ",IF(INDEX($AD$2:$AU$1001,MATCH(ROWS($W$2:W768),$W$2:$W$1001,0),MATCH(COLUMNS($AD$1006:AI1006),$AD$1006:$AU$1006,0)), HYPERLINK("#",""), HYPERLINK(CONCATENATE("#metadata!", ADDRESS(INDEX($Y$2:$Y$1001,MATCH(ROWS($W$2:W768),$W$2:$W$1001,0),0), INDEX($AD$1004:$AU$1004,1,MATCH(COLUMNS($AD$1006:AI1006),$AD$1006:$AU$1006,0)))),"Fix")))</f>
        <v xml:space="preserve"> </v>
      </c>
      <c r="H768" s="4" t="str">
        <f ca="1">IF(OR(INDEX($X$2:$X$1001,MATCH(ROWS($W$2:W768),$W$2:$W$1001,0),1)&gt;=100000,INDEX($AD$1005:$AU$1005,1,MATCH(COLUMNS($AD$1006:AJ1006),$AD$1006:$AU$1006,0))&gt;=100000), " ",IF(INDEX($AD$2:$AU$1001,MATCH(ROWS($W$2:W768),$W$2:$W$1001,0),MATCH(COLUMNS($AD$1006:AJ1006),$AD$1006:$AU$1006,0)), HYPERLINK("#",""), HYPERLINK(CONCATENATE("#metadata!", ADDRESS(INDEX($Y$2:$Y$1001,MATCH(ROWS($W$2:W768),$W$2:$W$1001,0),0), INDEX($AD$1004:$AU$1004,1,MATCH(COLUMNS($AD$1006:AJ1006),$AD$1006:$AU$1006,0)))),"Fix")))</f>
        <v xml:space="preserve"> </v>
      </c>
      <c r="I768" s="4" t="str">
        <f ca="1">IF(OR(INDEX($X$2:$X$1001,MATCH(ROWS($W$2:W768),$W$2:$W$1001,0),1)&gt;=100000,INDEX($AD$1005:$AU$1005,1,MATCH(COLUMNS($AD$1006:AK1006),$AD$1006:$AU$1006,0))&gt;=100000), " ",IF(INDEX($AD$2:$AU$1001,MATCH(ROWS($W$2:W768),$W$2:$W$1001,0),MATCH(COLUMNS($AD$1006:AK1006),$AD$1006:$AU$1006,0)), HYPERLINK("#",""), HYPERLINK(CONCATENATE("#metadata!", ADDRESS(INDEX($Y$2:$Y$1001,MATCH(ROWS($W$2:W768),$W$2:$W$1001,0),0), INDEX($AD$1004:$AU$1004,1,MATCH(COLUMNS($AD$1006:AK1006),$AD$1006:$AU$1006,0)))),"Fix")))</f>
        <v xml:space="preserve"> </v>
      </c>
      <c r="J768" s="4" t="str">
        <f ca="1">IF(OR(INDEX($X$2:$X$1001,MATCH(ROWS($W$2:W768),$W$2:$W$1001,0),1)&gt;=100000,INDEX($AD$1005:$AU$1005,1,MATCH(COLUMNS($AD$1006:AL1006),$AD$1006:$AU$1006,0))&gt;=100000), " ",IF(INDEX($AD$2:$AU$1001,MATCH(ROWS($W$2:W768),$W$2:$W$1001,0),MATCH(COLUMNS($AD$1006:AL1006),$AD$1006:$AU$1006,0)), HYPERLINK("#",""), HYPERLINK(CONCATENATE("#metadata!", ADDRESS(INDEX($Y$2:$Y$1001,MATCH(ROWS($W$2:W768),$W$2:$W$1001,0),0), INDEX($AD$1004:$AU$1004,1,MATCH(COLUMNS($AD$1006:AL1006),$AD$1006:$AU$1006,0)))),"Fix")))</f>
        <v xml:space="preserve"> </v>
      </c>
      <c r="K768" s="4" t="str">
        <f ca="1">IF(OR(INDEX($X$2:$X$1001,MATCH(ROWS($W$2:W768),$W$2:$W$1001,0),1)&gt;=100000,INDEX($AD$1005:$AU$1005,1,MATCH(COLUMNS($AD$1006:AM1006),$AD$1006:$AU$1006,0))&gt;=100000), " ",IF(INDEX($AD$2:$AU$1001,MATCH(ROWS($W$2:W768),$W$2:$W$1001,0),MATCH(COLUMNS($AD$1006:AM1006),$AD$1006:$AU$1006,0)), HYPERLINK("#",""), HYPERLINK(CONCATENATE("#metadata!", ADDRESS(INDEX($Y$2:$Y$1001,MATCH(ROWS($W$2:W768),$W$2:$W$1001,0),0), INDEX($AD$1004:$AU$1004,1,MATCH(COLUMNS($AD$1006:AM1006),$AD$1006:$AU$1006,0)))),"Fix")))</f>
        <v xml:space="preserve"> </v>
      </c>
      <c r="L768" s="4" t="str">
        <f ca="1">IF(OR(INDEX($X$2:$X$1001,MATCH(ROWS($W$2:W768),$W$2:$W$1001,0),1)&gt;=100000,INDEX($AD$1005:$AU$1005,1,MATCH(COLUMNS($AD$1006:AN1006),$AD$1006:$AU$1006,0))&gt;=100000), " ",IF(INDEX($AD$2:$AU$1001,MATCH(ROWS($W$2:W768),$W$2:$W$1001,0),MATCH(COLUMNS($AD$1006:AN1006),$AD$1006:$AU$1006,0)), HYPERLINK("#",""), HYPERLINK(CONCATENATE("#metadata!", ADDRESS(INDEX($Y$2:$Y$1001,MATCH(ROWS($W$2:W768),$W$2:$W$1001,0),0), INDEX($AD$1004:$AU$1004,1,MATCH(COLUMNS($AD$1006:AN1006),$AD$1006:$AU$1006,0)))),"Fix")))</f>
        <v xml:space="preserve"> </v>
      </c>
      <c r="M768" s="4" t="str">
        <f ca="1">IF(OR(INDEX($X$2:$X$1001,MATCH(ROWS($W$2:W768),$W$2:$W$1001,0),1)&gt;=100000,INDEX($AD$1005:$AU$1005,1,MATCH(COLUMNS($AD$1006:AO1006),$AD$1006:$AU$1006,0))&gt;=100000), " ",IF(INDEX($AD$2:$AU$1001,MATCH(ROWS($W$2:W768),$W$2:$W$1001,0),MATCH(COLUMNS($AD$1006:AO1006),$AD$1006:$AU$1006,0)), HYPERLINK("#",""), HYPERLINK(CONCATENATE("#metadata!", ADDRESS(INDEX($Y$2:$Y$1001,MATCH(ROWS($W$2:W768),$W$2:$W$1001,0),0), INDEX($AD$1004:$AU$1004,1,MATCH(COLUMNS($AD$1006:AO1006),$AD$1006:$AU$1006,0)))),"Fix")))</f>
        <v xml:space="preserve"> </v>
      </c>
      <c r="N768" s="4" t="str">
        <f ca="1">IF(OR(INDEX($X$2:$X$1001,MATCH(ROWS($W$2:W768),$W$2:$W$1001,0),1)&gt;=100000,INDEX($AD$1005:$AU$1005,1,MATCH(COLUMNS($AD$1006:AP1006),$AD$1006:$AU$1006,0))&gt;=100000), " ",IF(INDEX($AD$2:$AU$1001,MATCH(ROWS($W$2:W768),$W$2:$W$1001,0),MATCH(COLUMNS($AD$1006:AP1006),$AD$1006:$AU$1006,0)), HYPERLINK("#",""), HYPERLINK(CONCATENATE("#metadata!", ADDRESS(INDEX($Y$2:$Y$1001,MATCH(ROWS($W$2:W768),$W$2:$W$1001,0),0), INDEX($AD$1004:$AU$1004,1,MATCH(COLUMNS($AD$1006:AP1006),$AD$1006:$AU$1006,0)))),"Fix")))</f>
        <v xml:space="preserve"> </v>
      </c>
      <c r="O768" s="4" t="str">
        <f ca="1">IF(OR(INDEX($X$2:$X$1001,MATCH(ROWS($W$2:W768),$W$2:$W$1001,0),1)&gt;=100000,INDEX($AD$1005:$AU$1005,1,MATCH(COLUMNS($AD$1006:AQ1006),$AD$1006:$AU$1006,0))&gt;=100000), " ",IF(INDEX($AD$2:$AU$1001,MATCH(ROWS($W$2:W768),$W$2:$W$1001,0),MATCH(COLUMNS($AD$1006:AQ1006),$AD$1006:$AU$1006,0)), HYPERLINK("#",""), HYPERLINK(CONCATENATE("#metadata!", ADDRESS(INDEX($Y$2:$Y$1001,MATCH(ROWS($W$2:W768),$W$2:$W$1001,0),0), INDEX($AD$1004:$AU$1004,1,MATCH(COLUMNS($AD$1006:AQ1006),$AD$1006:$AU$1006,0)))),"Fix")))</f>
        <v xml:space="preserve"> </v>
      </c>
      <c r="P768" s="4" t="str">
        <f ca="1">IF(OR(INDEX($X$2:$X$1001,MATCH(ROWS($W$2:W768),$W$2:$W$1001,0),1)&gt;=100000,INDEX($AD$1005:$AU$1005,1,MATCH(COLUMNS($AD$1006:AR1006),$AD$1006:$AU$1006,0))&gt;=100000), " ",IF(INDEX($AD$2:$AU$1001,MATCH(ROWS($W$2:W768),$W$2:$W$1001,0),MATCH(COLUMNS($AD$1006:AR1006),$AD$1006:$AU$1006,0)), HYPERLINK("#",""), HYPERLINK(CONCATENATE("#metadata!", ADDRESS(INDEX($Y$2:$Y$1001,MATCH(ROWS($W$2:W768),$W$2:$W$1001,0),0), INDEX($AD$1004:$AU$1004,1,MATCH(COLUMNS($AD$1006:AR1006),$AD$1006:$AU$1006,0)))),"Fix")))</f>
        <v xml:space="preserve"> </v>
      </c>
      <c r="Q768" s="4" t="str">
        <f ca="1">IF(OR(INDEX($X$2:$X$1001,MATCH(ROWS($W$2:W768),$W$2:$W$1001,0),1)&gt;=100000,INDEX($AD$1005:$AU$1005,1,MATCH(COLUMNS($AD$1006:AS1006),$AD$1006:$AU$1006,0))&gt;=100000), " ",IF(INDEX($AD$2:$AU$1001,MATCH(ROWS($W$2:W768),$W$2:$W$1001,0),MATCH(COLUMNS($AD$1006:AS1006),$AD$1006:$AU$1006,0)), HYPERLINK("#",""), HYPERLINK(CONCATENATE("#metadata!", ADDRESS(INDEX($Y$2:$Y$1001,MATCH(ROWS($W$2:W768),$W$2:$W$1001,0),0), INDEX($AD$1004:$AU$1004,1,MATCH(COLUMNS($AD$1006:AS1006),$AD$1006:$AU$1006,0)))),"Fix")))</f>
        <v xml:space="preserve"> </v>
      </c>
      <c r="R768" s="4" t="str">
        <f ca="1">IF(OR(INDEX($X$2:$X$1001,MATCH(ROWS($W$2:W768),$W$2:$W$1001,0),1)&gt;=100000,INDEX($AD$1005:$AU$1005,1,MATCH(COLUMNS($AD$1006:AT1006),$AD$1006:$AU$1006,0))&gt;=100000), " ",IF(INDEX($AD$2:$AU$1001,MATCH(ROWS($W$2:W768),$W$2:$W$1001,0),MATCH(COLUMNS($AD$1006:AT1006),$AD$1006:$AU$1006,0)), HYPERLINK("#",""), HYPERLINK(CONCATENATE("#metadata!", ADDRESS(INDEX($Y$2:$Y$1001,MATCH(ROWS($W$2:W768),$W$2:$W$1001,0),0), INDEX($AD$1004:$AU$1004,1,MATCH(COLUMNS($AD$1006:AT1006),$AD$1006:$AU$1006,0)))),"Fix")))</f>
        <v xml:space="preserve"> </v>
      </c>
      <c r="S768" s="4" t="str">
        <f ca="1">IF(OR(INDEX($X$2:$X$1001,MATCH(ROWS($W$2:W768),$W$2:$W$1001,0),1)&gt;=100000,INDEX($AD$1005:$AU$1005,1,MATCH(COLUMNS($AD$1006:AU1006),$AD$1006:$AU$1006,0))&gt;=100000), " ",IF(INDEX($AD$2:$AU$1001,MATCH(ROWS($W$2:W768),$W$2:$W$1001,0),MATCH(COLUMNS($AD$1006:AU1006),$AD$1006:$AU$1006,0)), HYPERLINK("#",""), HYPERLINK(CONCATENATE("#metadata!", ADDRESS(INDEX($Y$2:$Y$1001,MATCH(ROWS($W$2:W768),$W$2:$W$1001,0),0), INDEX($AD$1004:$AU$1004,1,MATCH(COLUMNS($AD$1006:AU1006),$AD$1006:$AU$1006,0)))),"Fix")))</f>
        <v xml:space="preserve"> </v>
      </c>
      <c r="W768">
        <v>767</v>
      </c>
      <c r="X768">
        <v>100768</v>
      </c>
      <c r="Y768">
        <v>768</v>
      </c>
      <c r="Z768" t="b">
        <f t="shared" si="11"/>
        <v>1</v>
      </c>
      <c r="AA768" t="b">
        <f>COUNTBLANK(metadata!B768:S768)=COLUMNS(metadata!B768:S768)</f>
        <v>1</v>
      </c>
      <c r="AB768" t="str">
        <v/>
      </c>
      <c r="AD768" t="b">
        <f ca="1">AND(IF(metadata!B768="",FALSE,TRUE),COUNTIF(metadata!B:B, metadata!B768) = 1,NOT(ISERROR(SUMPRODUCT(SEARCH(MID(metadata!B768,ROW(INDIRECT("1:"&amp;LEN(metadata!B768))), 1),"0123456789abcdefghijklmnopqrstuvwxyzABCDEFGHIJKLMNOPQRSTUVWXYZ.")))))</f>
        <v>0</v>
      </c>
      <c r="AE768" t="b">
        <f>OR(AND(IF(metadata!C768="",FALSE,TRUE),OR(EXACT(metadata!C768,"not applicable"),EXACT(metadata!C768,"missing: not collected"),EXACT(metadata!C768,"missing: not provided"),EXACT(metadata!C768,"missing: restricted access"))),AND(IF(metadata!C768="",FALSE,ISNUMBER(VALUE(metadata!C768))),metadata!C768&gt;0))</f>
        <v>0</v>
      </c>
      <c r="AF768" t="b">
        <f>AND(IF(metadata!D768="",FALSE,TRUE),EXACT(metadata!D768,"missing: not provided"))</f>
        <v>0</v>
      </c>
      <c r="AG768" t="b">
        <f>AND(IF(metadata!E768="",FALSE,TRUE),EXACT(metadata!E768,"Host-associated"))</f>
        <v>0</v>
      </c>
      <c r="AH768" t="b">
        <f>AND(IF(metadata!F768="",FALSE,TRUE),OR(EXACT(metadata!F768,"Animal"),EXACT(metadata!F768,"Fungus"),EXACT(metadata!F768,"Plant")))</f>
        <v>0</v>
      </c>
      <c r="AI768" t="b">
        <f>AND(IF(metadata!G768="",FALSE,TRUE),OR(EXACT(metadata!G768,"Plant secretion"),EXACT(metadata!G768,"Plant rhizosphere"),EXACT(metadata!G768,"Plant surface"),EXACT(metadata!G768,"Plant corpus"),EXACT(metadata!G768,"Fungus surface"),EXACT(metadata!G768,"Fungus corpus"),EXACT(metadata!G768,"Animal surface"),EXACT(metadata!G768,"Animal proximal gut"),EXACT(metadata!G768,"Animal corpus"),EXACT(metadata!G768,"Animal distal gut"),EXACT(metadata!G768,"Animal secretion")))</f>
        <v>0</v>
      </c>
      <c r="AJ768" t="b">
        <f>OR(AND(IF(metadata!H768="",FALSE,TRUE),OR(EXACT(metadata!H768,"missing: not collected"),EXACT(metadata!H768,"missing: not provided"),EXACT(metadata!H768,"missing: restricted access"))),AND(IF(metadata!H768="",FALSE,TRUE),OR(EXACT(metadata!H768,"organism-associated habitat"),EXACT(metadata!H768,"plant-associated habitat"),EXACT(metadata!H768,"animal-associated habitat"),EXACT(metadata!H768,"insecta-associated habitat"),EXACT(metadata!H768,"mammalia-associated habitat"),EXACT(metadata!H768,"human-associated habitat"),EXACT(metadata!H768,"livestock-associated habitat"))))</f>
        <v>0</v>
      </c>
      <c r="AK768" t="b">
        <f>AND(IF(metadata!I768="",FALSE,TRUE),EXACT(metadata!I768,"host-associated"))</f>
        <v>0</v>
      </c>
      <c r="AL768" t="b">
        <f>OR(AND(IF(metadata!J768="",FALSE,TRUE),OR(EXACT(metadata!J768,"not applicable"),EXACT(metadata!J768,"missing: not collected"),EXACT(metadata!J768,"missing: not provided"),EXACT(metadata!J768,"missing: restricted access"))),AND(IF(metadata!J768="",FALSE,ISNUMBER(VALUE(metadata!J768))),metadata!J768&gt;0))</f>
        <v>0</v>
      </c>
      <c r="AM768" t="b">
        <f>AND(IF(metadata!K768="",FALSE,TRUE),EXACT(metadata!K768,"missing: not provided"))</f>
        <v>0</v>
      </c>
      <c r="AN768" t="b">
        <f>IF(metadata!L768="",FALSE,TRUE)</f>
        <v>0</v>
      </c>
      <c r="AO768" t="b">
        <f>IF(metadata!M768="",FALSE,TRUE)</f>
        <v>0</v>
      </c>
      <c r="AP768" t="b">
        <f>OR(AND(IF(metadata!N768="",FALSE,TRUE),OR(EXACT(metadata!N768,"not applicable"),EXACT(metadata!N768,"missing: not collected"),EXACT(metadata!N768,"missing: not provided"))),AND(IF(metadata!N768="",FALSE,IF(ISERROR(INT(metadata!N768)),FALSE,INT(metadata!N768)=metadata!N768)),metadata!N768&gt;0))</f>
        <v>0</v>
      </c>
      <c r="AQ768" t="b">
        <f>AND(IF(metadata!O768="",FALSE,TRUE),EXACT(metadata!O768,"Not applicable"))</f>
        <v>0</v>
      </c>
      <c r="AR768" t="b">
        <f>OR(AND(IF(metadata!P768="",FALSE,TRUE),OR(EXACT(metadata!P768,"not applicable"),EXACT(metadata!P768,"missing: not collected"),EXACT(metadata!P768,"missing: not provided"),EXACT(metadata!P768,"missing: restricted access"))),IF(metadata!P768="",FALSE,IF(ISERROR(INT(metadata!P768)),FALSE,INT(metadata!P768)=metadata!P768)))</f>
        <v>0</v>
      </c>
      <c r="AS768" t="b">
        <f>AND(IF(metadata!Q768="",FALSE,TRUE),EXACT(metadata!Q768,"Not applicable"))</f>
        <v>0</v>
      </c>
      <c r="AT768" t="b">
        <f>OR(AND(IF(metadata!R768="",FALSE,TRUE),OR(EXACT(metadata!R768,"not applicable"),EXACT(metadata!R768,"missing: not collected"),EXACT(metadata!R768,"missing: not provided"),EXACT(metadata!R768,"missing: restricted access"))),AND(IF(metadata!R768="",FALSE,ISNUMBER(VALUE(metadata!R768))),metadata!R768&gt;0))</f>
        <v>0</v>
      </c>
      <c r="AU768" t="b">
        <f>AND(IF(metadata!S768="",FALSE,TRUE),EXACT(metadata!S768,"missing: not provided"))</f>
        <v>0</v>
      </c>
    </row>
    <row r="769" spans="1:47" x14ac:dyDescent="0.2">
      <c r="A769" s="5" t="str">
        <f ca="1">IF(B769=" "," ",HYPERLINK(CONCATENATE("#metadata!",ADDRESS(INDEX($Y$2:$Y$1001,MATCH(ROWS($W$2:W769),$W$2:$W$1001,0),0),1)),INDEX($AB$2:$AB$1001,MATCH(ROWS($W$2:W769),$W$2:$W$1001,0),0)))</f>
        <v xml:space="preserve"> </v>
      </c>
      <c r="B769" s="4" t="str">
        <f ca="1">IF(OR(INDEX($X$2:$X$1001,MATCH(ROWS($W$2:W769),$W$2:$W$1001,0),1)&gt;=100000,INDEX($AD$1005:$AU$1005,1,MATCH(COLUMNS($AD$1006:AD1006),$AD$1006:$AU$1006,0))&gt;=100000), " ",IF(INDEX($AD$2:$AU$1001,MATCH(ROWS($W$2:W769),$W$2:$W$1001,0),MATCH(COLUMNS($AD$1006:AD1006),$AD$1006:$AU$1006,0)), HYPERLINK("#",""), HYPERLINK(CONCATENATE("#metadata!", ADDRESS(INDEX($Y$2:$Y$1001,MATCH(ROWS($W$2:W769),$W$2:$W$1001,0),0), INDEX($AD$1004:$AU$1004,1,MATCH(COLUMNS($AD$1006:AD1006),$AD$1006:$AU$1006,0)))),"Fix")))</f>
        <v xml:space="preserve"> </v>
      </c>
      <c r="C769" s="4" t="str">
        <f ca="1">IF(OR(INDEX($X$2:$X$1001,MATCH(ROWS($W$2:W769),$W$2:$W$1001,0),1)&gt;=100000,INDEX($AD$1005:$AU$1005,1,MATCH(COLUMNS($AD$1006:AE1006),$AD$1006:$AU$1006,0))&gt;=100000), " ",IF(INDEX($AD$2:$AU$1001,MATCH(ROWS($W$2:W769),$W$2:$W$1001,0),MATCH(COLUMNS($AD$1006:AE1006),$AD$1006:$AU$1006,0)), HYPERLINK("#",""), HYPERLINK(CONCATENATE("#metadata!", ADDRESS(INDEX($Y$2:$Y$1001,MATCH(ROWS($W$2:W769),$W$2:$W$1001,0),0), INDEX($AD$1004:$AU$1004,1,MATCH(COLUMNS($AD$1006:AE1006),$AD$1006:$AU$1006,0)))),"Fix")))</f>
        <v xml:space="preserve"> </v>
      </c>
      <c r="D769" s="4" t="str">
        <f ca="1">IF(OR(INDEX($X$2:$X$1001,MATCH(ROWS($W$2:W769),$W$2:$W$1001,0),1)&gt;=100000,INDEX($AD$1005:$AU$1005,1,MATCH(COLUMNS($AD$1006:AF1006),$AD$1006:$AU$1006,0))&gt;=100000), " ",IF(INDEX($AD$2:$AU$1001,MATCH(ROWS($W$2:W769),$W$2:$W$1001,0),MATCH(COLUMNS($AD$1006:AF1006),$AD$1006:$AU$1006,0)), HYPERLINK("#",""), HYPERLINK(CONCATENATE("#metadata!", ADDRESS(INDEX($Y$2:$Y$1001,MATCH(ROWS($W$2:W769),$W$2:$W$1001,0),0), INDEX($AD$1004:$AU$1004,1,MATCH(COLUMNS($AD$1006:AF1006),$AD$1006:$AU$1006,0)))),"Fix")))</f>
        <v xml:space="preserve"> </v>
      </c>
      <c r="E769" s="4" t="str">
        <f ca="1">IF(OR(INDEX($X$2:$X$1001,MATCH(ROWS($W$2:W769),$W$2:$W$1001,0),1)&gt;=100000,INDEX($AD$1005:$AU$1005,1,MATCH(COLUMNS($AD$1006:AG1006),$AD$1006:$AU$1006,0))&gt;=100000), " ",IF(INDEX($AD$2:$AU$1001,MATCH(ROWS($W$2:W769),$W$2:$W$1001,0),MATCH(COLUMNS($AD$1006:AG1006),$AD$1006:$AU$1006,0)), HYPERLINK("#",""), HYPERLINK(CONCATENATE("#metadata!", ADDRESS(INDEX($Y$2:$Y$1001,MATCH(ROWS($W$2:W769),$W$2:$W$1001,0),0), INDEX($AD$1004:$AU$1004,1,MATCH(COLUMNS($AD$1006:AG1006),$AD$1006:$AU$1006,0)))),"Fix")))</f>
        <v xml:space="preserve"> </v>
      </c>
      <c r="F769" s="4" t="str">
        <f ca="1">IF(OR(INDEX($X$2:$X$1001,MATCH(ROWS($W$2:W769),$W$2:$W$1001,0),1)&gt;=100000,INDEX($AD$1005:$AU$1005,1,MATCH(COLUMNS($AD$1006:AH1006),$AD$1006:$AU$1006,0))&gt;=100000), " ",IF(INDEX($AD$2:$AU$1001,MATCH(ROWS($W$2:W769),$W$2:$W$1001,0),MATCH(COLUMNS($AD$1006:AH1006),$AD$1006:$AU$1006,0)), HYPERLINK("#",""), HYPERLINK(CONCATENATE("#metadata!", ADDRESS(INDEX($Y$2:$Y$1001,MATCH(ROWS($W$2:W769),$W$2:$W$1001,0),0), INDEX($AD$1004:$AU$1004,1,MATCH(COLUMNS($AD$1006:AH1006),$AD$1006:$AU$1006,0)))),"Fix")))</f>
        <v xml:space="preserve"> </v>
      </c>
      <c r="G769" s="4" t="str">
        <f ca="1">IF(OR(INDEX($X$2:$X$1001,MATCH(ROWS($W$2:W769),$W$2:$W$1001,0),1)&gt;=100000,INDEX($AD$1005:$AU$1005,1,MATCH(COLUMNS($AD$1006:AI1006),$AD$1006:$AU$1006,0))&gt;=100000), " ",IF(INDEX($AD$2:$AU$1001,MATCH(ROWS($W$2:W769),$W$2:$W$1001,0),MATCH(COLUMNS($AD$1006:AI1006),$AD$1006:$AU$1006,0)), HYPERLINK("#",""), HYPERLINK(CONCATENATE("#metadata!", ADDRESS(INDEX($Y$2:$Y$1001,MATCH(ROWS($W$2:W769),$W$2:$W$1001,0),0), INDEX($AD$1004:$AU$1004,1,MATCH(COLUMNS($AD$1006:AI1006),$AD$1006:$AU$1006,0)))),"Fix")))</f>
        <v xml:space="preserve"> </v>
      </c>
      <c r="H769" s="4" t="str">
        <f ca="1">IF(OR(INDEX($X$2:$X$1001,MATCH(ROWS($W$2:W769),$W$2:$W$1001,0),1)&gt;=100000,INDEX($AD$1005:$AU$1005,1,MATCH(COLUMNS($AD$1006:AJ1006),$AD$1006:$AU$1006,0))&gt;=100000), " ",IF(INDEX($AD$2:$AU$1001,MATCH(ROWS($W$2:W769),$W$2:$W$1001,0),MATCH(COLUMNS($AD$1006:AJ1006),$AD$1006:$AU$1006,0)), HYPERLINK("#",""), HYPERLINK(CONCATENATE("#metadata!", ADDRESS(INDEX($Y$2:$Y$1001,MATCH(ROWS($W$2:W769),$W$2:$W$1001,0),0), INDEX($AD$1004:$AU$1004,1,MATCH(COLUMNS($AD$1006:AJ1006),$AD$1006:$AU$1006,0)))),"Fix")))</f>
        <v xml:space="preserve"> </v>
      </c>
      <c r="I769" s="4" t="str">
        <f ca="1">IF(OR(INDEX($X$2:$X$1001,MATCH(ROWS($W$2:W769),$W$2:$W$1001,0),1)&gt;=100000,INDEX($AD$1005:$AU$1005,1,MATCH(COLUMNS($AD$1006:AK1006),$AD$1006:$AU$1006,0))&gt;=100000), " ",IF(INDEX($AD$2:$AU$1001,MATCH(ROWS($W$2:W769),$W$2:$W$1001,0),MATCH(COLUMNS($AD$1006:AK1006),$AD$1006:$AU$1006,0)), HYPERLINK("#",""), HYPERLINK(CONCATENATE("#metadata!", ADDRESS(INDEX($Y$2:$Y$1001,MATCH(ROWS($W$2:W769),$W$2:$W$1001,0),0), INDEX($AD$1004:$AU$1004,1,MATCH(COLUMNS($AD$1006:AK1006),$AD$1006:$AU$1006,0)))),"Fix")))</f>
        <v xml:space="preserve"> </v>
      </c>
      <c r="J769" s="4" t="str">
        <f ca="1">IF(OR(INDEX($X$2:$X$1001,MATCH(ROWS($W$2:W769),$W$2:$W$1001,0),1)&gt;=100000,INDEX($AD$1005:$AU$1005,1,MATCH(COLUMNS($AD$1006:AL1006),$AD$1006:$AU$1006,0))&gt;=100000), " ",IF(INDEX($AD$2:$AU$1001,MATCH(ROWS($W$2:W769),$W$2:$W$1001,0),MATCH(COLUMNS($AD$1006:AL1006),$AD$1006:$AU$1006,0)), HYPERLINK("#",""), HYPERLINK(CONCATENATE("#metadata!", ADDRESS(INDEX($Y$2:$Y$1001,MATCH(ROWS($W$2:W769),$W$2:$W$1001,0),0), INDEX($AD$1004:$AU$1004,1,MATCH(COLUMNS($AD$1006:AL1006),$AD$1006:$AU$1006,0)))),"Fix")))</f>
        <v xml:space="preserve"> </v>
      </c>
      <c r="K769" s="4" t="str">
        <f ca="1">IF(OR(INDEX($X$2:$X$1001,MATCH(ROWS($W$2:W769),$W$2:$W$1001,0),1)&gt;=100000,INDEX($AD$1005:$AU$1005,1,MATCH(COLUMNS($AD$1006:AM1006),$AD$1006:$AU$1006,0))&gt;=100000), " ",IF(INDEX($AD$2:$AU$1001,MATCH(ROWS($W$2:W769),$W$2:$W$1001,0),MATCH(COLUMNS($AD$1006:AM1006),$AD$1006:$AU$1006,0)), HYPERLINK("#",""), HYPERLINK(CONCATENATE("#metadata!", ADDRESS(INDEX($Y$2:$Y$1001,MATCH(ROWS($W$2:W769),$W$2:$W$1001,0),0), INDEX($AD$1004:$AU$1004,1,MATCH(COLUMNS($AD$1006:AM1006),$AD$1006:$AU$1006,0)))),"Fix")))</f>
        <v xml:space="preserve"> </v>
      </c>
      <c r="L769" s="4" t="str">
        <f ca="1">IF(OR(INDEX($X$2:$X$1001,MATCH(ROWS($W$2:W769),$W$2:$W$1001,0),1)&gt;=100000,INDEX($AD$1005:$AU$1005,1,MATCH(COLUMNS($AD$1006:AN1006),$AD$1006:$AU$1006,0))&gt;=100000), " ",IF(INDEX($AD$2:$AU$1001,MATCH(ROWS($W$2:W769),$W$2:$W$1001,0),MATCH(COLUMNS($AD$1006:AN1006),$AD$1006:$AU$1006,0)), HYPERLINK("#",""), HYPERLINK(CONCATENATE("#metadata!", ADDRESS(INDEX($Y$2:$Y$1001,MATCH(ROWS($W$2:W769),$W$2:$W$1001,0),0), INDEX($AD$1004:$AU$1004,1,MATCH(COLUMNS($AD$1006:AN1006),$AD$1006:$AU$1006,0)))),"Fix")))</f>
        <v xml:space="preserve"> </v>
      </c>
      <c r="M769" s="4" t="str">
        <f ca="1">IF(OR(INDEX($X$2:$X$1001,MATCH(ROWS($W$2:W769),$W$2:$W$1001,0),1)&gt;=100000,INDEX($AD$1005:$AU$1005,1,MATCH(COLUMNS($AD$1006:AO1006),$AD$1006:$AU$1006,0))&gt;=100000), " ",IF(INDEX($AD$2:$AU$1001,MATCH(ROWS($W$2:W769),$W$2:$W$1001,0),MATCH(COLUMNS($AD$1006:AO1006),$AD$1006:$AU$1006,0)), HYPERLINK("#",""), HYPERLINK(CONCATENATE("#metadata!", ADDRESS(INDEX($Y$2:$Y$1001,MATCH(ROWS($W$2:W769),$W$2:$W$1001,0),0), INDEX($AD$1004:$AU$1004,1,MATCH(COLUMNS($AD$1006:AO1006),$AD$1006:$AU$1006,0)))),"Fix")))</f>
        <v xml:space="preserve"> </v>
      </c>
      <c r="N769" s="4" t="str">
        <f ca="1">IF(OR(INDEX($X$2:$X$1001,MATCH(ROWS($W$2:W769),$W$2:$W$1001,0),1)&gt;=100000,INDEX($AD$1005:$AU$1005,1,MATCH(COLUMNS($AD$1006:AP1006),$AD$1006:$AU$1006,0))&gt;=100000), " ",IF(INDEX($AD$2:$AU$1001,MATCH(ROWS($W$2:W769),$W$2:$W$1001,0),MATCH(COLUMNS($AD$1006:AP1006),$AD$1006:$AU$1006,0)), HYPERLINK("#",""), HYPERLINK(CONCATENATE("#metadata!", ADDRESS(INDEX($Y$2:$Y$1001,MATCH(ROWS($W$2:W769),$W$2:$W$1001,0),0), INDEX($AD$1004:$AU$1004,1,MATCH(COLUMNS($AD$1006:AP1006),$AD$1006:$AU$1006,0)))),"Fix")))</f>
        <v xml:space="preserve"> </v>
      </c>
      <c r="O769" s="4" t="str">
        <f ca="1">IF(OR(INDEX($X$2:$X$1001,MATCH(ROWS($W$2:W769),$W$2:$W$1001,0),1)&gt;=100000,INDEX($AD$1005:$AU$1005,1,MATCH(COLUMNS($AD$1006:AQ1006),$AD$1006:$AU$1006,0))&gt;=100000), " ",IF(INDEX($AD$2:$AU$1001,MATCH(ROWS($W$2:W769),$W$2:$W$1001,0),MATCH(COLUMNS($AD$1006:AQ1006),$AD$1006:$AU$1006,0)), HYPERLINK("#",""), HYPERLINK(CONCATENATE("#metadata!", ADDRESS(INDEX($Y$2:$Y$1001,MATCH(ROWS($W$2:W769),$W$2:$W$1001,0),0), INDEX($AD$1004:$AU$1004,1,MATCH(COLUMNS($AD$1006:AQ1006),$AD$1006:$AU$1006,0)))),"Fix")))</f>
        <v xml:space="preserve"> </v>
      </c>
      <c r="P769" s="4" t="str">
        <f ca="1">IF(OR(INDEX($X$2:$X$1001,MATCH(ROWS($W$2:W769),$W$2:$W$1001,0),1)&gt;=100000,INDEX($AD$1005:$AU$1005,1,MATCH(COLUMNS($AD$1006:AR1006),$AD$1006:$AU$1006,0))&gt;=100000), " ",IF(INDEX($AD$2:$AU$1001,MATCH(ROWS($W$2:W769),$W$2:$W$1001,0),MATCH(COLUMNS($AD$1006:AR1006),$AD$1006:$AU$1006,0)), HYPERLINK("#",""), HYPERLINK(CONCATENATE("#metadata!", ADDRESS(INDEX($Y$2:$Y$1001,MATCH(ROWS($W$2:W769),$W$2:$W$1001,0),0), INDEX($AD$1004:$AU$1004,1,MATCH(COLUMNS($AD$1006:AR1006),$AD$1006:$AU$1006,0)))),"Fix")))</f>
        <v xml:space="preserve"> </v>
      </c>
      <c r="Q769" s="4" t="str">
        <f ca="1">IF(OR(INDEX($X$2:$X$1001,MATCH(ROWS($W$2:W769),$W$2:$W$1001,0),1)&gt;=100000,INDEX($AD$1005:$AU$1005,1,MATCH(COLUMNS($AD$1006:AS1006),$AD$1006:$AU$1006,0))&gt;=100000), " ",IF(INDEX($AD$2:$AU$1001,MATCH(ROWS($W$2:W769),$W$2:$W$1001,0),MATCH(COLUMNS($AD$1006:AS1006),$AD$1006:$AU$1006,0)), HYPERLINK("#",""), HYPERLINK(CONCATENATE("#metadata!", ADDRESS(INDEX($Y$2:$Y$1001,MATCH(ROWS($W$2:W769),$W$2:$W$1001,0),0), INDEX($AD$1004:$AU$1004,1,MATCH(COLUMNS($AD$1006:AS1006),$AD$1006:$AU$1006,0)))),"Fix")))</f>
        <v xml:space="preserve"> </v>
      </c>
      <c r="R769" s="4" t="str">
        <f ca="1">IF(OR(INDEX($X$2:$X$1001,MATCH(ROWS($W$2:W769),$W$2:$W$1001,0),1)&gt;=100000,INDEX($AD$1005:$AU$1005,1,MATCH(COLUMNS($AD$1006:AT1006),$AD$1006:$AU$1006,0))&gt;=100000), " ",IF(INDEX($AD$2:$AU$1001,MATCH(ROWS($W$2:W769),$W$2:$W$1001,0),MATCH(COLUMNS($AD$1006:AT1006),$AD$1006:$AU$1006,0)), HYPERLINK("#",""), HYPERLINK(CONCATENATE("#metadata!", ADDRESS(INDEX($Y$2:$Y$1001,MATCH(ROWS($W$2:W769),$W$2:$W$1001,0),0), INDEX($AD$1004:$AU$1004,1,MATCH(COLUMNS($AD$1006:AT1006),$AD$1006:$AU$1006,0)))),"Fix")))</f>
        <v xml:space="preserve"> </v>
      </c>
      <c r="S769" s="4" t="str">
        <f ca="1">IF(OR(INDEX($X$2:$X$1001,MATCH(ROWS($W$2:W769),$W$2:$W$1001,0),1)&gt;=100000,INDEX($AD$1005:$AU$1005,1,MATCH(COLUMNS($AD$1006:AU1006),$AD$1006:$AU$1006,0))&gt;=100000), " ",IF(INDEX($AD$2:$AU$1001,MATCH(ROWS($W$2:W769),$W$2:$W$1001,0),MATCH(COLUMNS($AD$1006:AU1006),$AD$1006:$AU$1006,0)), HYPERLINK("#",""), HYPERLINK(CONCATENATE("#metadata!", ADDRESS(INDEX($Y$2:$Y$1001,MATCH(ROWS($W$2:W769),$W$2:$W$1001,0),0), INDEX($AD$1004:$AU$1004,1,MATCH(COLUMNS($AD$1006:AU1006),$AD$1006:$AU$1006,0)))),"Fix")))</f>
        <v xml:space="preserve"> </v>
      </c>
      <c r="W769">
        <v>768</v>
      </c>
      <c r="X769">
        <v>100769</v>
      </c>
      <c r="Y769">
        <v>769</v>
      </c>
      <c r="Z769" t="b">
        <f t="shared" si="11"/>
        <v>1</v>
      </c>
      <c r="AA769" t="b">
        <f>COUNTBLANK(metadata!B769:S769)=COLUMNS(metadata!B769:S769)</f>
        <v>1</v>
      </c>
      <c r="AB769" t="str">
        <v/>
      </c>
      <c r="AD769" t="b">
        <f ca="1">AND(IF(metadata!B769="",FALSE,TRUE),COUNTIF(metadata!B:B, metadata!B769) = 1,NOT(ISERROR(SUMPRODUCT(SEARCH(MID(metadata!B769,ROW(INDIRECT("1:"&amp;LEN(metadata!B769))), 1),"0123456789abcdefghijklmnopqrstuvwxyzABCDEFGHIJKLMNOPQRSTUVWXYZ.")))))</f>
        <v>0</v>
      </c>
      <c r="AE769" t="b">
        <f>OR(AND(IF(metadata!C769="",FALSE,TRUE),OR(EXACT(metadata!C769,"not applicable"),EXACT(metadata!C769,"missing: not collected"),EXACT(metadata!C769,"missing: not provided"),EXACT(metadata!C769,"missing: restricted access"))),AND(IF(metadata!C769="",FALSE,ISNUMBER(VALUE(metadata!C769))),metadata!C769&gt;0))</f>
        <v>0</v>
      </c>
      <c r="AF769" t="b">
        <f>AND(IF(metadata!D769="",FALSE,TRUE),EXACT(metadata!D769,"missing: not provided"))</f>
        <v>0</v>
      </c>
      <c r="AG769" t="b">
        <f>AND(IF(metadata!E769="",FALSE,TRUE),EXACT(metadata!E769,"Host-associated"))</f>
        <v>0</v>
      </c>
      <c r="AH769" t="b">
        <f>AND(IF(metadata!F769="",FALSE,TRUE),OR(EXACT(metadata!F769,"Animal"),EXACT(metadata!F769,"Fungus"),EXACT(metadata!F769,"Plant")))</f>
        <v>0</v>
      </c>
      <c r="AI769" t="b">
        <f>AND(IF(metadata!G769="",FALSE,TRUE),OR(EXACT(metadata!G769,"Plant secretion"),EXACT(metadata!G769,"Plant rhizosphere"),EXACT(metadata!G769,"Plant surface"),EXACT(metadata!G769,"Plant corpus"),EXACT(metadata!G769,"Fungus surface"),EXACT(metadata!G769,"Fungus corpus"),EXACT(metadata!G769,"Animal surface"),EXACT(metadata!G769,"Animal proximal gut"),EXACT(metadata!G769,"Animal corpus"),EXACT(metadata!G769,"Animal distal gut"),EXACT(metadata!G769,"Animal secretion")))</f>
        <v>0</v>
      </c>
      <c r="AJ769" t="b">
        <f>OR(AND(IF(metadata!H769="",FALSE,TRUE),OR(EXACT(metadata!H769,"missing: not collected"),EXACT(metadata!H769,"missing: not provided"),EXACT(metadata!H769,"missing: restricted access"))),AND(IF(metadata!H769="",FALSE,TRUE),OR(EXACT(metadata!H769,"organism-associated habitat"),EXACT(metadata!H769,"plant-associated habitat"),EXACT(metadata!H769,"animal-associated habitat"),EXACT(metadata!H769,"insecta-associated habitat"),EXACT(metadata!H769,"mammalia-associated habitat"),EXACT(metadata!H769,"human-associated habitat"),EXACT(metadata!H769,"livestock-associated habitat"))))</f>
        <v>0</v>
      </c>
      <c r="AK769" t="b">
        <f>AND(IF(metadata!I769="",FALSE,TRUE),EXACT(metadata!I769,"host-associated"))</f>
        <v>0</v>
      </c>
      <c r="AL769" t="b">
        <f>OR(AND(IF(metadata!J769="",FALSE,TRUE),OR(EXACT(metadata!J769,"not applicable"),EXACT(metadata!J769,"missing: not collected"),EXACT(metadata!J769,"missing: not provided"),EXACT(metadata!J769,"missing: restricted access"))),AND(IF(metadata!J769="",FALSE,ISNUMBER(VALUE(metadata!J769))),metadata!J769&gt;0))</f>
        <v>0</v>
      </c>
      <c r="AM769" t="b">
        <f>AND(IF(metadata!K769="",FALSE,TRUE),EXACT(metadata!K769,"missing: not provided"))</f>
        <v>0</v>
      </c>
      <c r="AN769" t="b">
        <f>IF(metadata!L769="",FALSE,TRUE)</f>
        <v>0</v>
      </c>
      <c r="AO769" t="b">
        <f>IF(metadata!M769="",FALSE,TRUE)</f>
        <v>0</v>
      </c>
      <c r="AP769" t="b">
        <f>OR(AND(IF(metadata!N769="",FALSE,TRUE),OR(EXACT(metadata!N769,"not applicable"),EXACT(metadata!N769,"missing: not collected"),EXACT(metadata!N769,"missing: not provided"))),AND(IF(metadata!N769="",FALSE,IF(ISERROR(INT(metadata!N769)),FALSE,INT(metadata!N769)=metadata!N769)),metadata!N769&gt;0))</f>
        <v>0</v>
      </c>
      <c r="AQ769" t="b">
        <f>AND(IF(metadata!O769="",FALSE,TRUE),EXACT(metadata!O769,"Not applicable"))</f>
        <v>0</v>
      </c>
      <c r="AR769" t="b">
        <f>OR(AND(IF(metadata!P769="",FALSE,TRUE),OR(EXACT(metadata!P769,"not applicable"),EXACT(metadata!P769,"missing: not collected"),EXACT(metadata!P769,"missing: not provided"),EXACT(metadata!P769,"missing: restricted access"))),IF(metadata!P769="",FALSE,IF(ISERROR(INT(metadata!P769)),FALSE,INT(metadata!P769)=metadata!P769)))</f>
        <v>0</v>
      </c>
      <c r="AS769" t="b">
        <f>AND(IF(metadata!Q769="",FALSE,TRUE),EXACT(metadata!Q769,"Not applicable"))</f>
        <v>0</v>
      </c>
      <c r="AT769" t="b">
        <f>OR(AND(IF(metadata!R769="",FALSE,TRUE),OR(EXACT(metadata!R769,"not applicable"),EXACT(metadata!R769,"missing: not collected"),EXACT(metadata!R769,"missing: not provided"),EXACT(metadata!R769,"missing: restricted access"))),AND(IF(metadata!R769="",FALSE,ISNUMBER(VALUE(metadata!R769))),metadata!R769&gt;0))</f>
        <v>0</v>
      </c>
      <c r="AU769" t="b">
        <f>AND(IF(metadata!S769="",FALSE,TRUE),EXACT(metadata!S769,"missing: not provided"))</f>
        <v>0</v>
      </c>
    </row>
    <row r="770" spans="1:47" x14ac:dyDescent="0.2">
      <c r="A770" s="5" t="str">
        <f ca="1">IF(B770=" "," ",HYPERLINK(CONCATENATE("#metadata!",ADDRESS(INDEX($Y$2:$Y$1001,MATCH(ROWS($W$2:W770),$W$2:$W$1001,0),0),1)),INDEX($AB$2:$AB$1001,MATCH(ROWS($W$2:W770),$W$2:$W$1001,0),0)))</f>
        <v xml:space="preserve"> </v>
      </c>
      <c r="B770" s="4" t="str">
        <f ca="1">IF(OR(INDEX($X$2:$X$1001,MATCH(ROWS($W$2:W770),$W$2:$W$1001,0),1)&gt;=100000,INDEX($AD$1005:$AU$1005,1,MATCH(COLUMNS($AD$1006:AD1006),$AD$1006:$AU$1006,0))&gt;=100000), " ",IF(INDEX($AD$2:$AU$1001,MATCH(ROWS($W$2:W770),$W$2:$W$1001,0),MATCH(COLUMNS($AD$1006:AD1006),$AD$1006:$AU$1006,0)), HYPERLINK("#",""), HYPERLINK(CONCATENATE("#metadata!", ADDRESS(INDEX($Y$2:$Y$1001,MATCH(ROWS($W$2:W770),$W$2:$W$1001,0),0), INDEX($AD$1004:$AU$1004,1,MATCH(COLUMNS($AD$1006:AD1006),$AD$1006:$AU$1006,0)))),"Fix")))</f>
        <v xml:space="preserve"> </v>
      </c>
      <c r="C770" s="4" t="str">
        <f ca="1">IF(OR(INDEX($X$2:$X$1001,MATCH(ROWS($W$2:W770),$W$2:$W$1001,0),1)&gt;=100000,INDEX($AD$1005:$AU$1005,1,MATCH(COLUMNS($AD$1006:AE1006),$AD$1006:$AU$1006,0))&gt;=100000), " ",IF(INDEX($AD$2:$AU$1001,MATCH(ROWS($W$2:W770),$W$2:$W$1001,0),MATCH(COLUMNS($AD$1006:AE1006),$AD$1006:$AU$1006,0)), HYPERLINK("#",""), HYPERLINK(CONCATENATE("#metadata!", ADDRESS(INDEX($Y$2:$Y$1001,MATCH(ROWS($W$2:W770),$W$2:$W$1001,0),0), INDEX($AD$1004:$AU$1004,1,MATCH(COLUMNS($AD$1006:AE1006),$AD$1006:$AU$1006,0)))),"Fix")))</f>
        <v xml:space="preserve"> </v>
      </c>
      <c r="D770" s="4" t="str">
        <f ca="1">IF(OR(INDEX($X$2:$X$1001,MATCH(ROWS($W$2:W770),$W$2:$W$1001,0),1)&gt;=100000,INDEX($AD$1005:$AU$1005,1,MATCH(COLUMNS($AD$1006:AF1006),$AD$1006:$AU$1006,0))&gt;=100000), " ",IF(INDEX($AD$2:$AU$1001,MATCH(ROWS($W$2:W770),$W$2:$W$1001,0),MATCH(COLUMNS($AD$1006:AF1006),$AD$1006:$AU$1006,0)), HYPERLINK("#",""), HYPERLINK(CONCATENATE("#metadata!", ADDRESS(INDEX($Y$2:$Y$1001,MATCH(ROWS($W$2:W770),$W$2:$W$1001,0),0), INDEX($AD$1004:$AU$1004,1,MATCH(COLUMNS($AD$1006:AF1006),$AD$1006:$AU$1006,0)))),"Fix")))</f>
        <v xml:space="preserve"> </v>
      </c>
      <c r="E770" s="4" t="str">
        <f ca="1">IF(OR(INDEX($X$2:$X$1001,MATCH(ROWS($W$2:W770),$W$2:$W$1001,0),1)&gt;=100000,INDEX($AD$1005:$AU$1005,1,MATCH(COLUMNS($AD$1006:AG1006),$AD$1006:$AU$1006,0))&gt;=100000), " ",IF(INDEX($AD$2:$AU$1001,MATCH(ROWS($W$2:W770),$W$2:$W$1001,0),MATCH(COLUMNS($AD$1006:AG1006),$AD$1006:$AU$1006,0)), HYPERLINK("#",""), HYPERLINK(CONCATENATE("#metadata!", ADDRESS(INDEX($Y$2:$Y$1001,MATCH(ROWS($W$2:W770),$W$2:$W$1001,0),0), INDEX($AD$1004:$AU$1004,1,MATCH(COLUMNS($AD$1006:AG1006),$AD$1006:$AU$1006,0)))),"Fix")))</f>
        <v xml:space="preserve"> </v>
      </c>
      <c r="F770" s="4" t="str">
        <f ca="1">IF(OR(INDEX($X$2:$X$1001,MATCH(ROWS($W$2:W770),$W$2:$W$1001,0),1)&gt;=100000,INDEX($AD$1005:$AU$1005,1,MATCH(COLUMNS($AD$1006:AH1006),$AD$1006:$AU$1006,0))&gt;=100000), " ",IF(INDEX($AD$2:$AU$1001,MATCH(ROWS($W$2:W770),$W$2:$W$1001,0),MATCH(COLUMNS($AD$1006:AH1006),$AD$1006:$AU$1006,0)), HYPERLINK("#",""), HYPERLINK(CONCATENATE("#metadata!", ADDRESS(INDEX($Y$2:$Y$1001,MATCH(ROWS($W$2:W770),$W$2:$W$1001,0),0), INDEX($AD$1004:$AU$1004,1,MATCH(COLUMNS($AD$1006:AH1006),$AD$1006:$AU$1006,0)))),"Fix")))</f>
        <v xml:space="preserve"> </v>
      </c>
      <c r="G770" s="4" t="str">
        <f ca="1">IF(OR(INDEX($X$2:$X$1001,MATCH(ROWS($W$2:W770),$W$2:$W$1001,0),1)&gt;=100000,INDEX($AD$1005:$AU$1005,1,MATCH(COLUMNS($AD$1006:AI1006),$AD$1006:$AU$1006,0))&gt;=100000), " ",IF(INDEX($AD$2:$AU$1001,MATCH(ROWS($W$2:W770),$W$2:$W$1001,0),MATCH(COLUMNS($AD$1006:AI1006),$AD$1006:$AU$1006,0)), HYPERLINK("#",""), HYPERLINK(CONCATENATE("#metadata!", ADDRESS(INDEX($Y$2:$Y$1001,MATCH(ROWS($W$2:W770),$W$2:$W$1001,0),0), INDEX($AD$1004:$AU$1004,1,MATCH(COLUMNS($AD$1006:AI1006),$AD$1006:$AU$1006,0)))),"Fix")))</f>
        <v xml:space="preserve"> </v>
      </c>
      <c r="H770" s="4" t="str">
        <f ca="1">IF(OR(INDEX($X$2:$X$1001,MATCH(ROWS($W$2:W770),$W$2:$W$1001,0),1)&gt;=100000,INDEX($AD$1005:$AU$1005,1,MATCH(COLUMNS($AD$1006:AJ1006),$AD$1006:$AU$1006,0))&gt;=100000), " ",IF(INDEX($AD$2:$AU$1001,MATCH(ROWS($W$2:W770),$W$2:$W$1001,0),MATCH(COLUMNS($AD$1006:AJ1006),$AD$1006:$AU$1006,0)), HYPERLINK("#",""), HYPERLINK(CONCATENATE("#metadata!", ADDRESS(INDEX($Y$2:$Y$1001,MATCH(ROWS($W$2:W770),$W$2:$W$1001,0),0), INDEX($AD$1004:$AU$1004,1,MATCH(COLUMNS($AD$1006:AJ1006),$AD$1006:$AU$1006,0)))),"Fix")))</f>
        <v xml:space="preserve"> </v>
      </c>
      <c r="I770" s="4" t="str">
        <f ca="1">IF(OR(INDEX($X$2:$X$1001,MATCH(ROWS($W$2:W770),$W$2:$W$1001,0),1)&gt;=100000,INDEX($AD$1005:$AU$1005,1,MATCH(COLUMNS($AD$1006:AK1006),$AD$1006:$AU$1006,0))&gt;=100000), " ",IF(INDEX($AD$2:$AU$1001,MATCH(ROWS($W$2:W770),$W$2:$W$1001,0),MATCH(COLUMNS($AD$1006:AK1006),$AD$1006:$AU$1006,0)), HYPERLINK("#",""), HYPERLINK(CONCATENATE("#metadata!", ADDRESS(INDEX($Y$2:$Y$1001,MATCH(ROWS($W$2:W770),$W$2:$W$1001,0),0), INDEX($AD$1004:$AU$1004,1,MATCH(COLUMNS($AD$1006:AK1006),$AD$1006:$AU$1006,0)))),"Fix")))</f>
        <v xml:space="preserve"> </v>
      </c>
      <c r="J770" s="4" t="str">
        <f ca="1">IF(OR(INDEX($X$2:$X$1001,MATCH(ROWS($W$2:W770),$W$2:$W$1001,0),1)&gt;=100000,INDEX($AD$1005:$AU$1005,1,MATCH(COLUMNS($AD$1006:AL1006),$AD$1006:$AU$1006,0))&gt;=100000), " ",IF(INDEX($AD$2:$AU$1001,MATCH(ROWS($W$2:W770),$W$2:$W$1001,0),MATCH(COLUMNS($AD$1006:AL1006),$AD$1006:$AU$1006,0)), HYPERLINK("#",""), HYPERLINK(CONCATENATE("#metadata!", ADDRESS(INDEX($Y$2:$Y$1001,MATCH(ROWS($W$2:W770),$W$2:$W$1001,0),0), INDEX($AD$1004:$AU$1004,1,MATCH(COLUMNS($AD$1006:AL1006),$AD$1006:$AU$1006,0)))),"Fix")))</f>
        <v xml:space="preserve"> </v>
      </c>
      <c r="K770" s="4" t="str">
        <f ca="1">IF(OR(INDEX($X$2:$X$1001,MATCH(ROWS($W$2:W770),$W$2:$W$1001,0),1)&gt;=100000,INDEX($AD$1005:$AU$1005,1,MATCH(COLUMNS($AD$1006:AM1006),$AD$1006:$AU$1006,0))&gt;=100000), " ",IF(INDEX($AD$2:$AU$1001,MATCH(ROWS($W$2:W770),$W$2:$W$1001,0),MATCH(COLUMNS($AD$1006:AM1006),$AD$1006:$AU$1006,0)), HYPERLINK("#",""), HYPERLINK(CONCATENATE("#metadata!", ADDRESS(INDEX($Y$2:$Y$1001,MATCH(ROWS($W$2:W770),$W$2:$W$1001,0),0), INDEX($AD$1004:$AU$1004,1,MATCH(COLUMNS($AD$1006:AM1006),$AD$1006:$AU$1006,0)))),"Fix")))</f>
        <v xml:space="preserve"> </v>
      </c>
      <c r="L770" s="4" t="str">
        <f ca="1">IF(OR(INDEX($X$2:$X$1001,MATCH(ROWS($W$2:W770),$W$2:$W$1001,0),1)&gt;=100000,INDEX($AD$1005:$AU$1005,1,MATCH(COLUMNS($AD$1006:AN1006),$AD$1006:$AU$1006,0))&gt;=100000), " ",IF(INDEX($AD$2:$AU$1001,MATCH(ROWS($W$2:W770),$W$2:$W$1001,0),MATCH(COLUMNS($AD$1006:AN1006),$AD$1006:$AU$1006,0)), HYPERLINK("#",""), HYPERLINK(CONCATENATE("#metadata!", ADDRESS(INDEX($Y$2:$Y$1001,MATCH(ROWS($W$2:W770),$W$2:$W$1001,0),0), INDEX($AD$1004:$AU$1004,1,MATCH(COLUMNS($AD$1006:AN1006),$AD$1006:$AU$1006,0)))),"Fix")))</f>
        <v xml:space="preserve"> </v>
      </c>
      <c r="M770" s="4" t="str">
        <f ca="1">IF(OR(INDEX($X$2:$X$1001,MATCH(ROWS($W$2:W770),$W$2:$W$1001,0),1)&gt;=100000,INDEX($AD$1005:$AU$1005,1,MATCH(COLUMNS($AD$1006:AO1006),$AD$1006:$AU$1006,0))&gt;=100000), " ",IF(INDEX($AD$2:$AU$1001,MATCH(ROWS($W$2:W770),$W$2:$W$1001,0),MATCH(COLUMNS($AD$1006:AO1006),$AD$1006:$AU$1006,0)), HYPERLINK("#",""), HYPERLINK(CONCATENATE("#metadata!", ADDRESS(INDEX($Y$2:$Y$1001,MATCH(ROWS($W$2:W770),$W$2:$W$1001,0),0), INDEX($AD$1004:$AU$1004,1,MATCH(COLUMNS($AD$1006:AO1006),$AD$1006:$AU$1006,0)))),"Fix")))</f>
        <v xml:space="preserve"> </v>
      </c>
      <c r="N770" s="4" t="str">
        <f ca="1">IF(OR(INDEX($X$2:$X$1001,MATCH(ROWS($W$2:W770),$W$2:$W$1001,0),1)&gt;=100000,INDEX($AD$1005:$AU$1005,1,MATCH(COLUMNS($AD$1006:AP1006),$AD$1006:$AU$1006,0))&gt;=100000), " ",IF(INDEX($AD$2:$AU$1001,MATCH(ROWS($W$2:W770),$W$2:$W$1001,0),MATCH(COLUMNS($AD$1006:AP1006),$AD$1006:$AU$1006,0)), HYPERLINK("#",""), HYPERLINK(CONCATENATE("#metadata!", ADDRESS(INDEX($Y$2:$Y$1001,MATCH(ROWS($W$2:W770),$W$2:$W$1001,0),0), INDEX($AD$1004:$AU$1004,1,MATCH(COLUMNS($AD$1006:AP1006),$AD$1006:$AU$1006,0)))),"Fix")))</f>
        <v xml:space="preserve"> </v>
      </c>
      <c r="O770" s="4" t="str">
        <f ca="1">IF(OR(INDEX($X$2:$X$1001,MATCH(ROWS($W$2:W770),$W$2:$W$1001,0),1)&gt;=100000,INDEX($AD$1005:$AU$1005,1,MATCH(COLUMNS($AD$1006:AQ1006),$AD$1006:$AU$1006,0))&gt;=100000), " ",IF(INDEX($AD$2:$AU$1001,MATCH(ROWS($W$2:W770),$W$2:$W$1001,0),MATCH(COLUMNS($AD$1006:AQ1006),$AD$1006:$AU$1006,0)), HYPERLINK("#",""), HYPERLINK(CONCATENATE("#metadata!", ADDRESS(INDEX($Y$2:$Y$1001,MATCH(ROWS($W$2:W770),$W$2:$W$1001,0),0), INDEX($AD$1004:$AU$1004,1,MATCH(COLUMNS($AD$1006:AQ1006),$AD$1006:$AU$1006,0)))),"Fix")))</f>
        <v xml:space="preserve"> </v>
      </c>
      <c r="P770" s="4" t="str">
        <f ca="1">IF(OR(INDEX($X$2:$X$1001,MATCH(ROWS($W$2:W770),$W$2:$W$1001,0),1)&gt;=100000,INDEX($AD$1005:$AU$1005,1,MATCH(COLUMNS($AD$1006:AR1006),$AD$1006:$AU$1006,0))&gt;=100000), " ",IF(INDEX($AD$2:$AU$1001,MATCH(ROWS($W$2:W770),$W$2:$W$1001,0),MATCH(COLUMNS($AD$1006:AR1006),$AD$1006:$AU$1006,0)), HYPERLINK("#",""), HYPERLINK(CONCATENATE("#metadata!", ADDRESS(INDEX($Y$2:$Y$1001,MATCH(ROWS($W$2:W770),$W$2:$W$1001,0),0), INDEX($AD$1004:$AU$1004,1,MATCH(COLUMNS($AD$1006:AR1006),$AD$1006:$AU$1006,0)))),"Fix")))</f>
        <v xml:space="preserve"> </v>
      </c>
      <c r="Q770" s="4" t="str">
        <f ca="1">IF(OR(INDEX($X$2:$X$1001,MATCH(ROWS($W$2:W770),$W$2:$W$1001,0),1)&gt;=100000,INDEX($AD$1005:$AU$1005,1,MATCH(COLUMNS($AD$1006:AS1006),$AD$1006:$AU$1006,0))&gt;=100000), " ",IF(INDEX($AD$2:$AU$1001,MATCH(ROWS($W$2:W770),$W$2:$W$1001,0),MATCH(COLUMNS($AD$1006:AS1006),$AD$1006:$AU$1006,0)), HYPERLINK("#",""), HYPERLINK(CONCATENATE("#metadata!", ADDRESS(INDEX($Y$2:$Y$1001,MATCH(ROWS($W$2:W770),$W$2:$W$1001,0),0), INDEX($AD$1004:$AU$1004,1,MATCH(COLUMNS($AD$1006:AS1006),$AD$1006:$AU$1006,0)))),"Fix")))</f>
        <v xml:space="preserve"> </v>
      </c>
      <c r="R770" s="4" t="str">
        <f ca="1">IF(OR(INDEX($X$2:$X$1001,MATCH(ROWS($W$2:W770),$W$2:$W$1001,0),1)&gt;=100000,INDEX($AD$1005:$AU$1005,1,MATCH(COLUMNS($AD$1006:AT1006),$AD$1006:$AU$1006,0))&gt;=100000), " ",IF(INDEX($AD$2:$AU$1001,MATCH(ROWS($W$2:W770),$W$2:$W$1001,0),MATCH(COLUMNS($AD$1006:AT1006),$AD$1006:$AU$1006,0)), HYPERLINK("#",""), HYPERLINK(CONCATENATE("#metadata!", ADDRESS(INDEX($Y$2:$Y$1001,MATCH(ROWS($W$2:W770),$W$2:$W$1001,0),0), INDEX($AD$1004:$AU$1004,1,MATCH(COLUMNS($AD$1006:AT1006),$AD$1006:$AU$1006,0)))),"Fix")))</f>
        <v xml:space="preserve"> </v>
      </c>
      <c r="S770" s="4" t="str">
        <f ca="1">IF(OR(INDEX($X$2:$X$1001,MATCH(ROWS($W$2:W770),$W$2:$W$1001,0),1)&gt;=100000,INDEX($AD$1005:$AU$1005,1,MATCH(COLUMNS($AD$1006:AU1006),$AD$1006:$AU$1006,0))&gt;=100000), " ",IF(INDEX($AD$2:$AU$1001,MATCH(ROWS($W$2:W770),$W$2:$W$1001,0),MATCH(COLUMNS($AD$1006:AU1006),$AD$1006:$AU$1006,0)), HYPERLINK("#",""), HYPERLINK(CONCATENATE("#metadata!", ADDRESS(INDEX($Y$2:$Y$1001,MATCH(ROWS($W$2:W770),$W$2:$W$1001,0),0), INDEX($AD$1004:$AU$1004,1,MATCH(COLUMNS($AD$1006:AU1006),$AD$1006:$AU$1006,0)))),"Fix")))</f>
        <v xml:space="preserve"> </v>
      </c>
      <c r="W770">
        <v>769</v>
      </c>
      <c r="X770">
        <v>100770</v>
      </c>
      <c r="Y770">
        <v>770</v>
      </c>
      <c r="Z770" t="b">
        <f t="shared" ref="Z770:Z833" si="12">IF(AA770,TRUE,AND(AD770:AU770))</f>
        <v>1</v>
      </c>
      <c r="AA770" t="b">
        <f>COUNTBLANK(metadata!B770:S770)=COLUMNS(metadata!B770:S770)</f>
        <v>1</v>
      </c>
      <c r="AB770" t="str">
        <v/>
      </c>
      <c r="AD770" t="b">
        <f ca="1">AND(IF(metadata!B770="",FALSE,TRUE),COUNTIF(metadata!B:B, metadata!B770) = 1,NOT(ISERROR(SUMPRODUCT(SEARCH(MID(metadata!B770,ROW(INDIRECT("1:"&amp;LEN(metadata!B770))), 1),"0123456789abcdefghijklmnopqrstuvwxyzABCDEFGHIJKLMNOPQRSTUVWXYZ.")))))</f>
        <v>0</v>
      </c>
      <c r="AE770" t="b">
        <f>OR(AND(IF(metadata!C770="",FALSE,TRUE),OR(EXACT(metadata!C770,"not applicable"),EXACT(metadata!C770,"missing: not collected"),EXACT(metadata!C770,"missing: not provided"),EXACT(metadata!C770,"missing: restricted access"))),AND(IF(metadata!C770="",FALSE,ISNUMBER(VALUE(metadata!C770))),metadata!C770&gt;0))</f>
        <v>0</v>
      </c>
      <c r="AF770" t="b">
        <f>AND(IF(metadata!D770="",FALSE,TRUE),EXACT(metadata!D770,"missing: not provided"))</f>
        <v>0</v>
      </c>
      <c r="AG770" t="b">
        <f>AND(IF(metadata!E770="",FALSE,TRUE),EXACT(metadata!E770,"Host-associated"))</f>
        <v>0</v>
      </c>
      <c r="AH770" t="b">
        <f>AND(IF(metadata!F770="",FALSE,TRUE),OR(EXACT(metadata!F770,"Animal"),EXACT(metadata!F770,"Fungus"),EXACT(metadata!F770,"Plant")))</f>
        <v>0</v>
      </c>
      <c r="AI770" t="b">
        <f>AND(IF(metadata!G770="",FALSE,TRUE),OR(EXACT(metadata!G770,"Plant secretion"),EXACT(metadata!G770,"Plant rhizosphere"),EXACT(metadata!G770,"Plant surface"),EXACT(metadata!G770,"Plant corpus"),EXACT(metadata!G770,"Fungus surface"),EXACT(metadata!G770,"Fungus corpus"),EXACT(metadata!G770,"Animal surface"),EXACT(metadata!G770,"Animal proximal gut"),EXACT(metadata!G770,"Animal corpus"),EXACT(metadata!G770,"Animal distal gut"),EXACT(metadata!G770,"Animal secretion")))</f>
        <v>0</v>
      </c>
      <c r="AJ770" t="b">
        <f>OR(AND(IF(metadata!H770="",FALSE,TRUE),OR(EXACT(metadata!H770,"missing: not collected"),EXACT(metadata!H770,"missing: not provided"),EXACT(metadata!H770,"missing: restricted access"))),AND(IF(metadata!H770="",FALSE,TRUE),OR(EXACT(metadata!H770,"organism-associated habitat"),EXACT(metadata!H770,"plant-associated habitat"),EXACT(metadata!H770,"animal-associated habitat"),EXACT(metadata!H770,"insecta-associated habitat"),EXACT(metadata!H770,"mammalia-associated habitat"),EXACT(metadata!H770,"human-associated habitat"),EXACT(metadata!H770,"livestock-associated habitat"))))</f>
        <v>0</v>
      </c>
      <c r="AK770" t="b">
        <f>AND(IF(metadata!I770="",FALSE,TRUE),EXACT(metadata!I770,"host-associated"))</f>
        <v>0</v>
      </c>
      <c r="AL770" t="b">
        <f>OR(AND(IF(metadata!J770="",FALSE,TRUE),OR(EXACT(metadata!J770,"not applicable"),EXACT(metadata!J770,"missing: not collected"),EXACT(metadata!J770,"missing: not provided"),EXACT(metadata!J770,"missing: restricted access"))),AND(IF(metadata!J770="",FALSE,ISNUMBER(VALUE(metadata!J770))),metadata!J770&gt;0))</f>
        <v>0</v>
      </c>
      <c r="AM770" t="b">
        <f>AND(IF(metadata!K770="",FALSE,TRUE),EXACT(metadata!K770,"missing: not provided"))</f>
        <v>0</v>
      </c>
      <c r="AN770" t="b">
        <f>IF(metadata!L770="",FALSE,TRUE)</f>
        <v>0</v>
      </c>
      <c r="AO770" t="b">
        <f>IF(metadata!M770="",FALSE,TRUE)</f>
        <v>0</v>
      </c>
      <c r="AP770" t="b">
        <f>OR(AND(IF(metadata!N770="",FALSE,TRUE),OR(EXACT(metadata!N770,"not applicable"),EXACT(metadata!N770,"missing: not collected"),EXACT(metadata!N770,"missing: not provided"))),AND(IF(metadata!N770="",FALSE,IF(ISERROR(INT(metadata!N770)),FALSE,INT(metadata!N770)=metadata!N770)),metadata!N770&gt;0))</f>
        <v>0</v>
      </c>
      <c r="AQ770" t="b">
        <f>AND(IF(metadata!O770="",FALSE,TRUE),EXACT(metadata!O770,"Not applicable"))</f>
        <v>0</v>
      </c>
      <c r="AR770" t="b">
        <f>OR(AND(IF(metadata!P770="",FALSE,TRUE),OR(EXACT(metadata!P770,"not applicable"),EXACT(metadata!P770,"missing: not collected"),EXACT(metadata!P770,"missing: not provided"),EXACT(metadata!P770,"missing: restricted access"))),IF(metadata!P770="",FALSE,IF(ISERROR(INT(metadata!P770)),FALSE,INT(metadata!P770)=metadata!P770)))</f>
        <v>0</v>
      </c>
      <c r="AS770" t="b">
        <f>AND(IF(metadata!Q770="",FALSE,TRUE),EXACT(metadata!Q770,"Not applicable"))</f>
        <v>0</v>
      </c>
      <c r="AT770" t="b">
        <f>OR(AND(IF(metadata!R770="",FALSE,TRUE),OR(EXACT(metadata!R770,"not applicable"),EXACT(metadata!R770,"missing: not collected"),EXACT(metadata!R770,"missing: not provided"),EXACT(metadata!R770,"missing: restricted access"))),AND(IF(metadata!R770="",FALSE,ISNUMBER(VALUE(metadata!R770))),metadata!R770&gt;0))</f>
        <v>0</v>
      </c>
      <c r="AU770" t="b">
        <f>AND(IF(metadata!S770="",FALSE,TRUE),EXACT(metadata!S770,"missing: not provided"))</f>
        <v>0</v>
      </c>
    </row>
    <row r="771" spans="1:47" x14ac:dyDescent="0.2">
      <c r="A771" s="5" t="str">
        <f ca="1">IF(B771=" "," ",HYPERLINK(CONCATENATE("#metadata!",ADDRESS(INDEX($Y$2:$Y$1001,MATCH(ROWS($W$2:W771),$W$2:$W$1001,0),0),1)),INDEX($AB$2:$AB$1001,MATCH(ROWS($W$2:W771),$W$2:$W$1001,0),0)))</f>
        <v xml:space="preserve"> </v>
      </c>
      <c r="B771" s="4" t="str">
        <f ca="1">IF(OR(INDEX($X$2:$X$1001,MATCH(ROWS($W$2:W771),$W$2:$W$1001,0),1)&gt;=100000,INDEX($AD$1005:$AU$1005,1,MATCH(COLUMNS($AD$1006:AD1006),$AD$1006:$AU$1006,0))&gt;=100000), " ",IF(INDEX($AD$2:$AU$1001,MATCH(ROWS($W$2:W771),$W$2:$W$1001,0),MATCH(COLUMNS($AD$1006:AD1006),$AD$1006:$AU$1006,0)), HYPERLINK("#",""), HYPERLINK(CONCATENATE("#metadata!", ADDRESS(INDEX($Y$2:$Y$1001,MATCH(ROWS($W$2:W771),$W$2:$W$1001,0),0), INDEX($AD$1004:$AU$1004,1,MATCH(COLUMNS($AD$1006:AD1006),$AD$1006:$AU$1006,0)))),"Fix")))</f>
        <v xml:space="preserve"> </v>
      </c>
      <c r="C771" s="4" t="str">
        <f ca="1">IF(OR(INDEX($X$2:$X$1001,MATCH(ROWS($W$2:W771),$W$2:$W$1001,0),1)&gt;=100000,INDEX($AD$1005:$AU$1005,1,MATCH(COLUMNS($AD$1006:AE1006),$AD$1006:$AU$1006,0))&gt;=100000), " ",IF(INDEX($AD$2:$AU$1001,MATCH(ROWS($W$2:W771),$W$2:$W$1001,0),MATCH(COLUMNS($AD$1006:AE1006),$AD$1006:$AU$1006,0)), HYPERLINK("#",""), HYPERLINK(CONCATENATE("#metadata!", ADDRESS(INDEX($Y$2:$Y$1001,MATCH(ROWS($W$2:W771),$W$2:$W$1001,0),0), INDEX($AD$1004:$AU$1004,1,MATCH(COLUMNS($AD$1006:AE1006),$AD$1006:$AU$1006,0)))),"Fix")))</f>
        <v xml:space="preserve"> </v>
      </c>
      <c r="D771" s="4" t="str">
        <f ca="1">IF(OR(INDEX($X$2:$X$1001,MATCH(ROWS($W$2:W771),$W$2:$W$1001,0),1)&gt;=100000,INDEX($AD$1005:$AU$1005,1,MATCH(COLUMNS($AD$1006:AF1006),$AD$1006:$AU$1006,0))&gt;=100000), " ",IF(INDEX($AD$2:$AU$1001,MATCH(ROWS($W$2:W771),$W$2:$W$1001,0),MATCH(COLUMNS($AD$1006:AF1006),$AD$1006:$AU$1006,0)), HYPERLINK("#",""), HYPERLINK(CONCATENATE("#metadata!", ADDRESS(INDEX($Y$2:$Y$1001,MATCH(ROWS($W$2:W771),$W$2:$W$1001,0),0), INDEX($AD$1004:$AU$1004,1,MATCH(COLUMNS($AD$1006:AF1006),$AD$1006:$AU$1006,0)))),"Fix")))</f>
        <v xml:space="preserve"> </v>
      </c>
      <c r="E771" s="4" t="str">
        <f ca="1">IF(OR(INDEX($X$2:$X$1001,MATCH(ROWS($W$2:W771),$W$2:$W$1001,0),1)&gt;=100000,INDEX($AD$1005:$AU$1005,1,MATCH(COLUMNS($AD$1006:AG1006),$AD$1006:$AU$1006,0))&gt;=100000), " ",IF(INDEX($AD$2:$AU$1001,MATCH(ROWS($W$2:W771),$W$2:$W$1001,0),MATCH(COLUMNS($AD$1006:AG1006),$AD$1006:$AU$1006,0)), HYPERLINK("#",""), HYPERLINK(CONCATENATE("#metadata!", ADDRESS(INDEX($Y$2:$Y$1001,MATCH(ROWS($W$2:W771),$W$2:$W$1001,0),0), INDEX($AD$1004:$AU$1004,1,MATCH(COLUMNS($AD$1006:AG1006),$AD$1006:$AU$1006,0)))),"Fix")))</f>
        <v xml:space="preserve"> </v>
      </c>
      <c r="F771" s="4" t="str">
        <f ca="1">IF(OR(INDEX($X$2:$X$1001,MATCH(ROWS($W$2:W771),$W$2:$W$1001,0),1)&gt;=100000,INDEX($AD$1005:$AU$1005,1,MATCH(COLUMNS($AD$1006:AH1006),$AD$1006:$AU$1006,0))&gt;=100000), " ",IF(INDEX($AD$2:$AU$1001,MATCH(ROWS($W$2:W771),$W$2:$W$1001,0),MATCH(COLUMNS($AD$1006:AH1006),$AD$1006:$AU$1006,0)), HYPERLINK("#",""), HYPERLINK(CONCATENATE("#metadata!", ADDRESS(INDEX($Y$2:$Y$1001,MATCH(ROWS($W$2:W771),$W$2:$W$1001,0),0), INDEX($AD$1004:$AU$1004,1,MATCH(COLUMNS($AD$1006:AH1006),$AD$1006:$AU$1006,0)))),"Fix")))</f>
        <v xml:space="preserve"> </v>
      </c>
      <c r="G771" s="4" t="str">
        <f ca="1">IF(OR(INDEX($X$2:$X$1001,MATCH(ROWS($W$2:W771),$W$2:$W$1001,0),1)&gt;=100000,INDEX($AD$1005:$AU$1005,1,MATCH(COLUMNS($AD$1006:AI1006),$AD$1006:$AU$1006,0))&gt;=100000), " ",IF(INDEX($AD$2:$AU$1001,MATCH(ROWS($W$2:W771),$W$2:$W$1001,0),MATCH(COLUMNS($AD$1006:AI1006),$AD$1006:$AU$1006,0)), HYPERLINK("#",""), HYPERLINK(CONCATENATE("#metadata!", ADDRESS(INDEX($Y$2:$Y$1001,MATCH(ROWS($W$2:W771),$W$2:$W$1001,0),0), INDEX($AD$1004:$AU$1004,1,MATCH(COLUMNS($AD$1006:AI1006),$AD$1006:$AU$1006,0)))),"Fix")))</f>
        <v xml:space="preserve"> </v>
      </c>
      <c r="H771" s="4" t="str">
        <f ca="1">IF(OR(INDEX($X$2:$X$1001,MATCH(ROWS($W$2:W771),$W$2:$W$1001,0),1)&gt;=100000,INDEX($AD$1005:$AU$1005,1,MATCH(COLUMNS($AD$1006:AJ1006),$AD$1006:$AU$1006,0))&gt;=100000), " ",IF(INDEX($AD$2:$AU$1001,MATCH(ROWS($W$2:W771),$W$2:$W$1001,0),MATCH(COLUMNS($AD$1006:AJ1006),$AD$1006:$AU$1006,0)), HYPERLINK("#",""), HYPERLINK(CONCATENATE("#metadata!", ADDRESS(INDEX($Y$2:$Y$1001,MATCH(ROWS($W$2:W771),$W$2:$W$1001,0),0), INDEX($AD$1004:$AU$1004,1,MATCH(COLUMNS($AD$1006:AJ1006),$AD$1006:$AU$1006,0)))),"Fix")))</f>
        <v xml:space="preserve"> </v>
      </c>
      <c r="I771" s="4" t="str">
        <f ca="1">IF(OR(INDEX($X$2:$X$1001,MATCH(ROWS($W$2:W771),$W$2:$W$1001,0),1)&gt;=100000,INDEX($AD$1005:$AU$1005,1,MATCH(COLUMNS($AD$1006:AK1006),$AD$1006:$AU$1006,0))&gt;=100000), " ",IF(INDEX($AD$2:$AU$1001,MATCH(ROWS($W$2:W771),$W$2:$W$1001,0),MATCH(COLUMNS($AD$1006:AK1006),$AD$1006:$AU$1006,0)), HYPERLINK("#",""), HYPERLINK(CONCATENATE("#metadata!", ADDRESS(INDEX($Y$2:$Y$1001,MATCH(ROWS($W$2:W771),$W$2:$W$1001,0),0), INDEX($AD$1004:$AU$1004,1,MATCH(COLUMNS($AD$1006:AK1006),$AD$1006:$AU$1006,0)))),"Fix")))</f>
        <v xml:space="preserve"> </v>
      </c>
      <c r="J771" s="4" t="str">
        <f ca="1">IF(OR(INDEX($X$2:$X$1001,MATCH(ROWS($W$2:W771),$W$2:$W$1001,0),1)&gt;=100000,INDEX($AD$1005:$AU$1005,1,MATCH(COLUMNS($AD$1006:AL1006),$AD$1006:$AU$1006,0))&gt;=100000), " ",IF(INDEX($AD$2:$AU$1001,MATCH(ROWS($W$2:W771),$W$2:$W$1001,0),MATCH(COLUMNS($AD$1006:AL1006),$AD$1006:$AU$1006,0)), HYPERLINK("#",""), HYPERLINK(CONCATENATE("#metadata!", ADDRESS(INDEX($Y$2:$Y$1001,MATCH(ROWS($W$2:W771),$W$2:$W$1001,0),0), INDEX($AD$1004:$AU$1004,1,MATCH(COLUMNS($AD$1006:AL1006),$AD$1006:$AU$1006,0)))),"Fix")))</f>
        <v xml:space="preserve"> </v>
      </c>
      <c r="K771" s="4" t="str">
        <f ca="1">IF(OR(INDEX($X$2:$X$1001,MATCH(ROWS($W$2:W771),$W$2:$W$1001,0),1)&gt;=100000,INDEX($AD$1005:$AU$1005,1,MATCH(COLUMNS($AD$1006:AM1006),$AD$1006:$AU$1006,0))&gt;=100000), " ",IF(INDEX($AD$2:$AU$1001,MATCH(ROWS($W$2:W771),$W$2:$W$1001,0),MATCH(COLUMNS($AD$1006:AM1006),$AD$1006:$AU$1006,0)), HYPERLINK("#",""), HYPERLINK(CONCATENATE("#metadata!", ADDRESS(INDEX($Y$2:$Y$1001,MATCH(ROWS($W$2:W771),$W$2:$W$1001,0),0), INDEX($AD$1004:$AU$1004,1,MATCH(COLUMNS($AD$1006:AM1006),$AD$1006:$AU$1006,0)))),"Fix")))</f>
        <v xml:space="preserve"> </v>
      </c>
      <c r="L771" s="4" t="str">
        <f ca="1">IF(OR(INDEX($X$2:$X$1001,MATCH(ROWS($W$2:W771),$W$2:$W$1001,0),1)&gt;=100000,INDEX($AD$1005:$AU$1005,1,MATCH(COLUMNS($AD$1006:AN1006),$AD$1006:$AU$1006,0))&gt;=100000), " ",IF(INDEX($AD$2:$AU$1001,MATCH(ROWS($W$2:W771),$W$2:$W$1001,0),MATCH(COLUMNS($AD$1006:AN1006),$AD$1006:$AU$1006,0)), HYPERLINK("#",""), HYPERLINK(CONCATENATE("#metadata!", ADDRESS(INDEX($Y$2:$Y$1001,MATCH(ROWS($W$2:W771),$W$2:$W$1001,0),0), INDEX($AD$1004:$AU$1004,1,MATCH(COLUMNS($AD$1006:AN1006),$AD$1006:$AU$1006,0)))),"Fix")))</f>
        <v xml:space="preserve"> </v>
      </c>
      <c r="M771" s="4" t="str">
        <f ca="1">IF(OR(INDEX($X$2:$X$1001,MATCH(ROWS($W$2:W771),$W$2:$W$1001,0),1)&gt;=100000,INDEX($AD$1005:$AU$1005,1,MATCH(COLUMNS($AD$1006:AO1006),$AD$1006:$AU$1006,0))&gt;=100000), " ",IF(INDEX($AD$2:$AU$1001,MATCH(ROWS($W$2:W771),$W$2:$W$1001,0),MATCH(COLUMNS($AD$1006:AO1006),$AD$1006:$AU$1006,0)), HYPERLINK("#",""), HYPERLINK(CONCATENATE("#metadata!", ADDRESS(INDEX($Y$2:$Y$1001,MATCH(ROWS($W$2:W771),$W$2:$W$1001,0),0), INDEX($AD$1004:$AU$1004,1,MATCH(COLUMNS($AD$1006:AO1006),$AD$1006:$AU$1006,0)))),"Fix")))</f>
        <v xml:space="preserve"> </v>
      </c>
      <c r="N771" s="4" t="str">
        <f ca="1">IF(OR(INDEX($X$2:$X$1001,MATCH(ROWS($W$2:W771),$W$2:$W$1001,0),1)&gt;=100000,INDEX($AD$1005:$AU$1005,1,MATCH(COLUMNS($AD$1006:AP1006),$AD$1006:$AU$1006,0))&gt;=100000), " ",IF(INDEX($AD$2:$AU$1001,MATCH(ROWS($W$2:W771),$W$2:$W$1001,0),MATCH(COLUMNS($AD$1006:AP1006),$AD$1006:$AU$1006,0)), HYPERLINK("#",""), HYPERLINK(CONCATENATE("#metadata!", ADDRESS(INDEX($Y$2:$Y$1001,MATCH(ROWS($W$2:W771),$W$2:$W$1001,0),0), INDEX($AD$1004:$AU$1004,1,MATCH(COLUMNS($AD$1006:AP1006),$AD$1006:$AU$1006,0)))),"Fix")))</f>
        <v xml:space="preserve"> </v>
      </c>
      <c r="O771" s="4" t="str">
        <f ca="1">IF(OR(INDEX($X$2:$X$1001,MATCH(ROWS($W$2:W771),$W$2:$W$1001,0),1)&gt;=100000,INDEX($AD$1005:$AU$1005,1,MATCH(COLUMNS($AD$1006:AQ1006),$AD$1006:$AU$1006,0))&gt;=100000), " ",IF(INDEX($AD$2:$AU$1001,MATCH(ROWS($W$2:W771),$W$2:$W$1001,0),MATCH(COLUMNS($AD$1006:AQ1006),$AD$1006:$AU$1006,0)), HYPERLINK("#",""), HYPERLINK(CONCATENATE("#metadata!", ADDRESS(INDEX($Y$2:$Y$1001,MATCH(ROWS($W$2:W771),$W$2:$W$1001,0),0), INDEX($AD$1004:$AU$1004,1,MATCH(COLUMNS($AD$1006:AQ1006),$AD$1006:$AU$1006,0)))),"Fix")))</f>
        <v xml:space="preserve"> </v>
      </c>
      <c r="P771" s="4" t="str">
        <f ca="1">IF(OR(INDEX($X$2:$X$1001,MATCH(ROWS($W$2:W771),$W$2:$W$1001,0),1)&gt;=100000,INDEX($AD$1005:$AU$1005,1,MATCH(COLUMNS($AD$1006:AR1006),$AD$1006:$AU$1006,0))&gt;=100000), " ",IF(INDEX($AD$2:$AU$1001,MATCH(ROWS($W$2:W771),$W$2:$W$1001,0),MATCH(COLUMNS($AD$1006:AR1006),$AD$1006:$AU$1006,0)), HYPERLINK("#",""), HYPERLINK(CONCATENATE("#metadata!", ADDRESS(INDEX($Y$2:$Y$1001,MATCH(ROWS($W$2:W771),$W$2:$W$1001,0),0), INDEX($AD$1004:$AU$1004,1,MATCH(COLUMNS($AD$1006:AR1006),$AD$1006:$AU$1006,0)))),"Fix")))</f>
        <v xml:space="preserve"> </v>
      </c>
      <c r="Q771" s="4" t="str">
        <f ca="1">IF(OR(INDEX($X$2:$X$1001,MATCH(ROWS($W$2:W771),$W$2:$W$1001,0),1)&gt;=100000,INDEX($AD$1005:$AU$1005,1,MATCH(COLUMNS($AD$1006:AS1006),$AD$1006:$AU$1006,0))&gt;=100000), " ",IF(INDEX($AD$2:$AU$1001,MATCH(ROWS($W$2:W771),$W$2:$W$1001,0),MATCH(COLUMNS($AD$1006:AS1006),$AD$1006:$AU$1006,0)), HYPERLINK("#",""), HYPERLINK(CONCATENATE("#metadata!", ADDRESS(INDEX($Y$2:$Y$1001,MATCH(ROWS($W$2:W771),$W$2:$W$1001,0),0), INDEX($AD$1004:$AU$1004,1,MATCH(COLUMNS($AD$1006:AS1006),$AD$1006:$AU$1006,0)))),"Fix")))</f>
        <v xml:space="preserve"> </v>
      </c>
      <c r="R771" s="4" t="str">
        <f ca="1">IF(OR(INDEX($X$2:$X$1001,MATCH(ROWS($W$2:W771),$W$2:$W$1001,0),1)&gt;=100000,INDEX($AD$1005:$AU$1005,1,MATCH(COLUMNS($AD$1006:AT1006),$AD$1006:$AU$1006,0))&gt;=100000), " ",IF(INDEX($AD$2:$AU$1001,MATCH(ROWS($W$2:W771),$W$2:$W$1001,0),MATCH(COLUMNS($AD$1006:AT1006),$AD$1006:$AU$1006,0)), HYPERLINK("#",""), HYPERLINK(CONCATENATE("#metadata!", ADDRESS(INDEX($Y$2:$Y$1001,MATCH(ROWS($W$2:W771),$W$2:$W$1001,0),0), INDEX($AD$1004:$AU$1004,1,MATCH(COLUMNS($AD$1006:AT1006),$AD$1006:$AU$1006,0)))),"Fix")))</f>
        <v xml:space="preserve"> </v>
      </c>
      <c r="S771" s="4" t="str">
        <f ca="1">IF(OR(INDEX($X$2:$X$1001,MATCH(ROWS($W$2:W771),$W$2:$W$1001,0),1)&gt;=100000,INDEX($AD$1005:$AU$1005,1,MATCH(COLUMNS($AD$1006:AU1006),$AD$1006:$AU$1006,0))&gt;=100000), " ",IF(INDEX($AD$2:$AU$1001,MATCH(ROWS($W$2:W771),$W$2:$W$1001,0),MATCH(COLUMNS($AD$1006:AU1006),$AD$1006:$AU$1006,0)), HYPERLINK("#",""), HYPERLINK(CONCATENATE("#metadata!", ADDRESS(INDEX($Y$2:$Y$1001,MATCH(ROWS($W$2:W771),$W$2:$W$1001,0),0), INDEX($AD$1004:$AU$1004,1,MATCH(COLUMNS($AD$1006:AU1006),$AD$1006:$AU$1006,0)))),"Fix")))</f>
        <v xml:space="preserve"> </v>
      </c>
      <c r="W771">
        <v>770</v>
      </c>
      <c r="X771">
        <v>100771</v>
      </c>
      <c r="Y771">
        <v>771</v>
      </c>
      <c r="Z771" t="b">
        <f t="shared" si="12"/>
        <v>1</v>
      </c>
      <c r="AA771" t="b">
        <f>COUNTBLANK(metadata!B771:S771)=COLUMNS(metadata!B771:S771)</f>
        <v>1</v>
      </c>
      <c r="AB771" t="str">
        <v/>
      </c>
      <c r="AD771" t="b">
        <f ca="1">AND(IF(metadata!B771="",FALSE,TRUE),COUNTIF(metadata!B:B, metadata!B771) = 1,NOT(ISERROR(SUMPRODUCT(SEARCH(MID(metadata!B771,ROW(INDIRECT("1:"&amp;LEN(metadata!B771))), 1),"0123456789abcdefghijklmnopqrstuvwxyzABCDEFGHIJKLMNOPQRSTUVWXYZ.")))))</f>
        <v>0</v>
      </c>
      <c r="AE771" t="b">
        <f>OR(AND(IF(metadata!C771="",FALSE,TRUE),OR(EXACT(metadata!C771,"not applicable"),EXACT(metadata!C771,"missing: not collected"),EXACT(metadata!C771,"missing: not provided"),EXACT(metadata!C771,"missing: restricted access"))),AND(IF(metadata!C771="",FALSE,ISNUMBER(VALUE(metadata!C771))),metadata!C771&gt;0))</f>
        <v>0</v>
      </c>
      <c r="AF771" t="b">
        <f>AND(IF(metadata!D771="",FALSE,TRUE),EXACT(metadata!D771,"missing: not provided"))</f>
        <v>0</v>
      </c>
      <c r="AG771" t="b">
        <f>AND(IF(metadata!E771="",FALSE,TRUE),EXACT(metadata!E771,"Host-associated"))</f>
        <v>0</v>
      </c>
      <c r="AH771" t="b">
        <f>AND(IF(metadata!F771="",FALSE,TRUE),OR(EXACT(metadata!F771,"Animal"),EXACT(metadata!F771,"Fungus"),EXACT(metadata!F771,"Plant")))</f>
        <v>0</v>
      </c>
      <c r="AI771" t="b">
        <f>AND(IF(metadata!G771="",FALSE,TRUE),OR(EXACT(metadata!G771,"Plant secretion"),EXACT(metadata!G771,"Plant rhizosphere"),EXACT(metadata!G771,"Plant surface"),EXACT(metadata!G771,"Plant corpus"),EXACT(metadata!G771,"Fungus surface"),EXACT(metadata!G771,"Fungus corpus"),EXACT(metadata!G771,"Animal surface"),EXACT(metadata!G771,"Animal proximal gut"),EXACT(metadata!G771,"Animal corpus"),EXACT(metadata!G771,"Animal distal gut"),EXACT(metadata!G771,"Animal secretion")))</f>
        <v>0</v>
      </c>
      <c r="AJ771" t="b">
        <f>OR(AND(IF(metadata!H771="",FALSE,TRUE),OR(EXACT(metadata!H771,"missing: not collected"),EXACT(metadata!H771,"missing: not provided"),EXACT(metadata!H771,"missing: restricted access"))),AND(IF(metadata!H771="",FALSE,TRUE),OR(EXACT(metadata!H771,"organism-associated habitat"),EXACT(metadata!H771,"plant-associated habitat"),EXACT(metadata!H771,"animal-associated habitat"),EXACT(metadata!H771,"insecta-associated habitat"),EXACT(metadata!H771,"mammalia-associated habitat"),EXACT(metadata!H771,"human-associated habitat"),EXACT(metadata!H771,"livestock-associated habitat"))))</f>
        <v>0</v>
      </c>
      <c r="AK771" t="b">
        <f>AND(IF(metadata!I771="",FALSE,TRUE),EXACT(metadata!I771,"host-associated"))</f>
        <v>0</v>
      </c>
      <c r="AL771" t="b">
        <f>OR(AND(IF(metadata!J771="",FALSE,TRUE),OR(EXACT(metadata!J771,"not applicable"),EXACT(metadata!J771,"missing: not collected"),EXACT(metadata!J771,"missing: not provided"),EXACT(metadata!J771,"missing: restricted access"))),AND(IF(metadata!J771="",FALSE,ISNUMBER(VALUE(metadata!J771))),metadata!J771&gt;0))</f>
        <v>0</v>
      </c>
      <c r="AM771" t="b">
        <f>AND(IF(metadata!K771="",FALSE,TRUE),EXACT(metadata!K771,"missing: not provided"))</f>
        <v>0</v>
      </c>
      <c r="AN771" t="b">
        <f>IF(metadata!L771="",FALSE,TRUE)</f>
        <v>0</v>
      </c>
      <c r="AO771" t="b">
        <f>IF(metadata!M771="",FALSE,TRUE)</f>
        <v>0</v>
      </c>
      <c r="AP771" t="b">
        <f>OR(AND(IF(metadata!N771="",FALSE,TRUE),OR(EXACT(metadata!N771,"not applicable"),EXACT(metadata!N771,"missing: not collected"),EXACT(metadata!N771,"missing: not provided"))),AND(IF(metadata!N771="",FALSE,IF(ISERROR(INT(metadata!N771)),FALSE,INT(metadata!N771)=metadata!N771)),metadata!N771&gt;0))</f>
        <v>0</v>
      </c>
      <c r="AQ771" t="b">
        <f>AND(IF(metadata!O771="",FALSE,TRUE),EXACT(metadata!O771,"Not applicable"))</f>
        <v>0</v>
      </c>
      <c r="AR771" t="b">
        <f>OR(AND(IF(metadata!P771="",FALSE,TRUE),OR(EXACT(metadata!P771,"not applicable"),EXACT(metadata!P771,"missing: not collected"),EXACT(metadata!P771,"missing: not provided"),EXACT(metadata!P771,"missing: restricted access"))),IF(metadata!P771="",FALSE,IF(ISERROR(INT(metadata!P771)),FALSE,INT(metadata!P771)=metadata!P771)))</f>
        <v>0</v>
      </c>
      <c r="AS771" t="b">
        <f>AND(IF(metadata!Q771="",FALSE,TRUE),EXACT(metadata!Q771,"Not applicable"))</f>
        <v>0</v>
      </c>
      <c r="AT771" t="b">
        <f>OR(AND(IF(metadata!R771="",FALSE,TRUE),OR(EXACT(metadata!R771,"not applicable"),EXACT(metadata!R771,"missing: not collected"),EXACT(metadata!R771,"missing: not provided"),EXACT(metadata!R771,"missing: restricted access"))),AND(IF(metadata!R771="",FALSE,ISNUMBER(VALUE(metadata!R771))),metadata!R771&gt;0))</f>
        <v>0</v>
      </c>
      <c r="AU771" t="b">
        <f>AND(IF(metadata!S771="",FALSE,TRUE),EXACT(metadata!S771,"missing: not provided"))</f>
        <v>0</v>
      </c>
    </row>
    <row r="772" spans="1:47" x14ac:dyDescent="0.2">
      <c r="A772" s="5" t="str">
        <f ca="1">IF(B772=" "," ",HYPERLINK(CONCATENATE("#metadata!",ADDRESS(INDEX($Y$2:$Y$1001,MATCH(ROWS($W$2:W772),$W$2:$W$1001,0),0),1)),INDEX($AB$2:$AB$1001,MATCH(ROWS($W$2:W772),$W$2:$W$1001,0),0)))</f>
        <v xml:space="preserve"> </v>
      </c>
      <c r="B772" s="4" t="str">
        <f ca="1">IF(OR(INDEX($X$2:$X$1001,MATCH(ROWS($W$2:W772),$W$2:$W$1001,0),1)&gt;=100000,INDEX($AD$1005:$AU$1005,1,MATCH(COLUMNS($AD$1006:AD1006),$AD$1006:$AU$1006,0))&gt;=100000), " ",IF(INDEX($AD$2:$AU$1001,MATCH(ROWS($W$2:W772),$W$2:$W$1001,0),MATCH(COLUMNS($AD$1006:AD1006),$AD$1006:$AU$1006,0)), HYPERLINK("#",""), HYPERLINK(CONCATENATE("#metadata!", ADDRESS(INDEX($Y$2:$Y$1001,MATCH(ROWS($W$2:W772),$W$2:$W$1001,0),0), INDEX($AD$1004:$AU$1004,1,MATCH(COLUMNS($AD$1006:AD1006),$AD$1006:$AU$1006,0)))),"Fix")))</f>
        <v xml:space="preserve"> </v>
      </c>
      <c r="C772" s="4" t="str">
        <f ca="1">IF(OR(INDEX($X$2:$X$1001,MATCH(ROWS($W$2:W772),$W$2:$W$1001,0),1)&gt;=100000,INDEX($AD$1005:$AU$1005,1,MATCH(COLUMNS($AD$1006:AE1006),$AD$1006:$AU$1006,0))&gt;=100000), " ",IF(INDEX($AD$2:$AU$1001,MATCH(ROWS($W$2:W772),$W$2:$W$1001,0),MATCH(COLUMNS($AD$1006:AE1006),$AD$1006:$AU$1006,0)), HYPERLINK("#",""), HYPERLINK(CONCATENATE("#metadata!", ADDRESS(INDEX($Y$2:$Y$1001,MATCH(ROWS($W$2:W772),$W$2:$W$1001,0),0), INDEX($AD$1004:$AU$1004,1,MATCH(COLUMNS($AD$1006:AE1006),$AD$1006:$AU$1006,0)))),"Fix")))</f>
        <v xml:space="preserve"> </v>
      </c>
      <c r="D772" s="4" t="str">
        <f ca="1">IF(OR(INDEX($X$2:$X$1001,MATCH(ROWS($W$2:W772),$W$2:$W$1001,0),1)&gt;=100000,INDEX($AD$1005:$AU$1005,1,MATCH(COLUMNS($AD$1006:AF1006),$AD$1006:$AU$1006,0))&gt;=100000), " ",IF(INDEX($AD$2:$AU$1001,MATCH(ROWS($W$2:W772),$W$2:$W$1001,0),MATCH(COLUMNS($AD$1006:AF1006),$AD$1006:$AU$1006,0)), HYPERLINK("#",""), HYPERLINK(CONCATENATE("#metadata!", ADDRESS(INDEX($Y$2:$Y$1001,MATCH(ROWS($W$2:W772),$W$2:$W$1001,0),0), INDEX($AD$1004:$AU$1004,1,MATCH(COLUMNS($AD$1006:AF1006),$AD$1006:$AU$1006,0)))),"Fix")))</f>
        <v xml:space="preserve"> </v>
      </c>
      <c r="E772" s="4" t="str">
        <f ca="1">IF(OR(INDEX($X$2:$X$1001,MATCH(ROWS($W$2:W772),$W$2:$W$1001,0),1)&gt;=100000,INDEX($AD$1005:$AU$1005,1,MATCH(COLUMNS($AD$1006:AG1006),$AD$1006:$AU$1006,0))&gt;=100000), " ",IF(INDEX($AD$2:$AU$1001,MATCH(ROWS($W$2:W772),$W$2:$W$1001,0),MATCH(COLUMNS($AD$1006:AG1006),$AD$1006:$AU$1006,0)), HYPERLINK("#",""), HYPERLINK(CONCATENATE("#metadata!", ADDRESS(INDEX($Y$2:$Y$1001,MATCH(ROWS($W$2:W772),$W$2:$W$1001,0),0), INDEX($AD$1004:$AU$1004,1,MATCH(COLUMNS($AD$1006:AG1006),$AD$1006:$AU$1006,0)))),"Fix")))</f>
        <v xml:space="preserve"> </v>
      </c>
      <c r="F772" s="4" t="str">
        <f ca="1">IF(OR(INDEX($X$2:$X$1001,MATCH(ROWS($W$2:W772),$W$2:$W$1001,0),1)&gt;=100000,INDEX($AD$1005:$AU$1005,1,MATCH(COLUMNS($AD$1006:AH1006),$AD$1006:$AU$1006,0))&gt;=100000), " ",IF(INDEX($AD$2:$AU$1001,MATCH(ROWS($W$2:W772),$W$2:$W$1001,0),MATCH(COLUMNS($AD$1006:AH1006),$AD$1006:$AU$1006,0)), HYPERLINK("#",""), HYPERLINK(CONCATENATE("#metadata!", ADDRESS(INDEX($Y$2:$Y$1001,MATCH(ROWS($W$2:W772),$W$2:$W$1001,0),0), INDEX($AD$1004:$AU$1004,1,MATCH(COLUMNS($AD$1006:AH1006),$AD$1006:$AU$1006,0)))),"Fix")))</f>
        <v xml:space="preserve"> </v>
      </c>
      <c r="G772" s="4" t="str">
        <f ca="1">IF(OR(INDEX($X$2:$X$1001,MATCH(ROWS($W$2:W772),$W$2:$W$1001,0),1)&gt;=100000,INDEX($AD$1005:$AU$1005,1,MATCH(COLUMNS($AD$1006:AI1006),$AD$1006:$AU$1006,0))&gt;=100000), " ",IF(INDEX($AD$2:$AU$1001,MATCH(ROWS($W$2:W772),$W$2:$W$1001,0),MATCH(COLUMNS($AD$1006:AI1006),$AD$1006:$AU$1006,0)), HYPERLINK("#",""), HYPERLINK(CONCATENATE("#metadata!", ADDRESS(INDEX($Y$2:$Y$1001,MATCH(ROWS($W$2:W772),$W$2:$W$1001,0),0), INDEX($AD$1004:$AU$1004,1,MATCH(COLUMNS($AD$1006:AI1006),$AD$1006:$AU$1006,0)))),"Fix")))</f>
        <v xml:space="preserve"> </v>
      </c>
      <c r="H772" s="4" t="str">
        <f ca="1">IF(OR(INDEX($X$2:$X$1001,MATCH(ROWS($W$2:W772),$W$2:$W$1001,0),1)&gt;=100000,INDEX($AD$1005:$AU$1005,1,MATCH(COLUMNS($AD$1006:AJ1006),$AD$1006:$AU$1006,0))&gt;=100000), " ",IF(INDEX($AD$2:$AU$1001,MATCH(ROWS($W$2:W772),$W$2:$W$1001,0),MATCH(COLUMNS($AD$1006:AJ1006),$AD$1006:$AU$1006,0)), HYPERLINK("#",""), HYPERLINK(CONCATENATE("#metadata!", ADDRESS(INDEX($Y$2:$Y$1001,MATCH(ROWS($W$2:W772),$W$2:$W$1001,0),0), INDEX($AD$1004:$AU$1004,1,MATCH(COLUMNS($AD$1006:AJ1006),$AD$1006:$AU$1006,0)))),"Fix")))</f>
        <v xml:space="preserve"> </v>
      </c>
      <c r="I772" s="4" t="str">
        <f ca="1">IF(OR(INDEX($X$2:$X$1001,MATCH(ROWS($W$2:W772),$W$2:$W$1001,0),1)&gt;=100000,INDEX($AD$1005:$AU$1005,1,MATCH(COLUMNS($AD$1006:AK1006),$AD$1006:$AU$1006,0))&gt;=100000), " ",IF(INDEX($AD$2:$AU$1001,MATCH(ROWS($W$2:W772),$W$2:$W$1001,0),MATCH(COLUMNS($AD$1006:AK1006),$AD$1006:$AU$1006,0)), HYPERLINK("#",""), HYPERLINK(CONCATENATE("#metadata!", ADDRESS(INDEX($Y$2:$Y$1001,MATCH(ROWS($W$2:W772),$W$2:$W$1001,0),0), INDEX($AD$1004:$AU$1004,1,MATCH(COLUMNS($AD$1006:AK1006),$AD$1006:$AU$1006,0)))),"Fix")))</f>
        <v xml:space="preserve"> </v>
      </c>
      <c r="J772" s="4" t="str">
        <f ca="1">IF(OR(INDEX($X$2:$X$1001,MATCH(ROWS($W$2:W772),$W$2:$W$1001,0),1)&gt;=100000,INDEX($AD$1005:$AU$1005,1,MATCH(COLUMNS($AD$1006:AL1006),$AD$1006:$AU$1006,0))&gt;=100000), " ",IF(INDEX($AD$2:$AU$1001,MATCH(ROWS($W$2:W772),$W$2:$W$1001,0),MATCH(COLUMNS($AD$1006:AL1006),$AD$1006:$AU$1006,0)), HYPERLINK("#",""), HYPERLINK(CONCATENATE("#metadata!", ADDRESS(INDEX($Y$2:$Y$1001,MATCH(ROWS($W$2:W772),$W$2:$W$1001,0),0), INDEX($AD$1004:$AU$1004,1,MATCH(COLUMNS($AD$1006:AL1006),$AD$1006:$AU$1006,0)))),"Fix")))</f>
        <v xml:space="preserve"> </v>
      </c>
      <c r="K772" s="4" t="str">
        <f ca="1">IF(OR(INDEX($X$2:$X$1001,MATCH(ROWS($W$2:W772),$W$2:$W$1001,0),1)&gt;=100000,INDEX($AD$1005:$AU$1005,1,MATCH(COLUMNS($AD$1006:AM1006),$AD$1006:$AU$1006,0))&gt;=100000), " ",IF(INDEX($AD$2:$AU$1001,MATCH(ROWS($W$2:W772),$W$2:$W$1001,0),MATCH(COLUMNS($AD$1006:AM1006),$AD$1006:$AU$1006,0)), HYPERLINK("#",""), HYPERLINK(CONCATENATE("#metadata!", ADDRESS(INDEX($Y$2:$Y$1001,MATCH(ROWS($W$2:W772),$W$2:$W$1001,0),0), INDEX($AD$1004:$AU$1004,1,MATCH(COLUMNS($AD$1006:AM1006),$AD$1006:$AU$1006,0)))),"Fix")))</f>
        <v xml:space="preserve"> </v>
      </c>
      <c r="L772" s="4" t="str">
        <f ca="1">IF(OR(INDEX($X$2:$X$1001,MATCH(ROWS($W$2:W772),$W$2:$W$1001,0),1)&gt;=100000,INDEX($AD$1005:$AU$1005,1,MATCH(COLUMNS($AD$1006:AN1006),$AD$1006:$AU$1006,0))&gt;=100000), " ",IF(INDEX($AD$2:$AU$1001,MATCH(ROWS($W$2:W772),$W$2:$W$1001,0),MATCH(COLUMNS($AD$1006:AN1006),$AD$1006:$AU$1006,0)), HYPERLINK("#",""), HYPERLINK(CONCATENATE("#metadata!", ADDRESS(INDEX($Y$2:$Y$1001,MATCH(ROWS($W$2:W772),$W$2:$W$1001,0),0), INDEX($AD$1004:$AU$1004,1,MATCH(COLUMNS($AD$1006:AN1006),$AD$1006:$AU$1006,0)))),"Fix")))</f>
        <v xml:space="preserve"> </v>
      </c>
      <c r="M772" s="4" t="str">
        <f ca="1">IF(OR(INDEX($X$2:$X$1001,MATCH(ROWS($W$2:W772),$W$2:$W$1001,0),1)&gt;=100000,INDEX($AD$1005:$AU$1005,1,MATCH(COLUMNS($AD$1006:AO1006),$AD$1006:$AU$1006,0))&gt;=100000), " ",IF(INDEX($AD$2:$AU$1001,MATCH(ROWS($W$2:W772),$W$2:$W$1001,0),MATCH(COLUMNS($AD$1006:AO1006),$AD$1006:$AU$1006,0)), HYPERLINK("#",""), HYPERLINK(CONCATENATE("#metadata!", ADDRESS(INDEX($Y$2:$Y$1001,MATCH(ROWS($W$2:W772),$W$2:$W$1001,0),0), INDEX($AD$1004:$AU$1004,1,MATCH(COLUMNS($AD$1006:AO1006),$AD$1006:$AU$1006,0)))),"Fix")))</f>
        <v xml:space="preserve"> </v>
      </c>
      <c r="N772" s="4" t="str">
        <f ca="1">IF(OR(INDEX($X$2:$X$1001,MATCH(ROWS($W$2:W772),$W$2:$W$1001,0),1)&gt;=100000,INDEX($AD$1005:$AU$1005,1,MATCH(COLUMNS($AD$1006:AP1006),$AD$1006:$AU$1006,0))&gt;=100000), " ",IF(INDEX($AD$2:$AU$1001,MATCH(ROWS($W$2:W772),$W$2:$W$1001,0),MATCH(COLUMNS($AD$1006:AP1006),$AD$1006:$AU$1006,0)), HYPERLINK("#",""), HYPERLINK(CONCATENATE("#metadata!", ADDRESS(INDEX($Y$2:$Y$1001,MATCH(ROWS($W$2:W772),$W$2:$W$1001,0),0), INDEX($AD$1004:$AU$1004,1,MATCH(COLUMNS($AD$1006:AP1006),$AD$1006:$AU$1006,0)))),"Fix")))</f>
        <v xml:space="preserve"> </v>
      </c>
      <c r="O772" s="4" t="str">
        <f ca="1">IF(OR(INDEX($X$2:$X$1001,MATCH(ROWS($W$2:W772),$W$2:$W$1001,0),1)&gt;=100000,INDEX($AD$1005:$AU$1005,1,MATCH(COLUMNS($AD$1006:AQ1006),$AD$1006:$AU$1006,0))&gt;=100000), " ",IF(INDEX($AD$2:$AU$1001,MATCH(ROWS($W$2:W772),$W$2:$W$1001,0),MATCH(COLUMNS($AD$1006:AQ1006),$AD$1006:$AU$1006,0)), HYPERLINK("#",""), HYPERLINK(CONCATENATE("#metadata!", ADDRESS(INDEX($Y$2:$Y$1001,MATCH(ROWS($W$2:W772),$W$2:$W$1001,0),0), INDEX($AD$1004:$AU$1004,1,MATCH(COLUMNS($AD$1006:AQ1006),$AD$1006:$AU$1006,0)))),"Fix")))</f>
        <v xml:space="preserve"> </v>
      </c>
      <c r="P772" s="4" t="str">
        <f ca="1">IF(OR(INDEX($X$2:$X$1001,MATCH(ROWS($W$2:W772),$W$2:$W$1001,0),1)&gt;=100000,INDEX($AD$1005:$AU$1005,1,MATCH(COLUMNS($AD$1006:AR1006),$AD$1006:$AU$1006,0))&gt;=100000), " ",IF(INDEX($AD$2:$AU$1001,MATCH(ROWS($W$2:W772),$W$2:$W$1001,0),MATCH(COLUMNS($AD$1006:AR1006),$AD$1006:$AU$1006,0)), HYPERLINK("#",""), HYPERLINK(CONCATENATE("#metadata!", ADDRESS(INDEX($Y$2:$Y$1001,MATCH(ROWS($W$2:W772),$W$2:$W$1001,0),0), INDEX($AD$1004:$AU$1004,1,MATCH(COLUMNS($AD$1006:AR1006),$AD$1006:$AU$1006,0)))),"Fix")))</f>
        <v xml:space="preserve"> </v>
      </c>
      <c r="Q772" s="4" t="str">
        <f ca="1">IF(OR(INDEX($X$2:$X$1001,MATCH(ROWS($W$2:W772),$W$2:$W$1001,0),1)&gt;=100000,INDEX($AD$1005:$AU$1005,1,MATCH(COLUMNS($AD$1006:AS1006),$AD$1006:$AU$1006,0))&gt;=100000), " ",IF(INDEX($AD$2:$AU$1001,MATCH(ROWS($W$2:W772),$W$2:$W$1001,0),MATCH(COLUMNS($AD$1006:AS1006),$AD$1006:$AU$1006,0)), HYPERLINK("#",""), HYPERLINK(CONCATENATE("#metadata!", ADDRESS(INDEX($Y$2:$Y$1001,MATCH(ROWS($W$2:W772),$W$2:$W$1001,0),0), INDEX($AD$1004:$AU$1004,1,MATCH(COLUMNS($AD$1006:AS1006),$AD$1006:$AU$1006,0)))),"Fix")))</f>
        <v xml:space="preserve"> </v>
      </c>
      <c r="R772" s="4" t="str">
        <f ca="1">IF(OR(INDEX($X$2:$X$1001,MATCH(ROWS($W$2:W772),$W$2:$W$1001,0),1)&gt;=100000,INDEX($AD$1005:$AU$1005,1,MATCH(COLUMNS($AD$1006:AT1006),$AD$1006:$AU$1006,0))&gt;=100000), " ",IF(INDEX($AD$2:$AU$1001,MATCH(ROWS($W$2:W772),$W$2:$W$1001,0),MATCH(COLUMNS($AD$1006:AT1006),$AD$1006:$AU$1006,0)), HYPERLINK("#",""), HYPERLINK(CONCATENATE("#metadata!", ADDRESS(INDEX($Y$2:$Y$1001,MATCH(ROWS($W$2:W772),$W$2:$W$1001,0),0), INDEX($AD$1004:$AU$1004,1,MATCH(COLUMNS($AD$1006:AT1006),$AD$1006:$AU$1006,0)))),"Fix")))</f>
        <v xml:space="preserve"> </v>
      </c>
      <c r="S772" s="4" t="str">
        <f ca="1">IF(OR(INDEX($X$2:$X$1001,MATCH(ROWS($W$2:W772),$W$2:$W$1001,0),1)&gt;=100000,INDEX($AD$1005:$AU$1005,1,MATCH(COLUMNS($AD$1006:AU1006),$AD$1006:$AU$1006,0))&gt;=100000), " ",IF(INDEX($AD$2:$AU$1001,MATCH(ROWS($W$2:W772),$W$2:$W$1001,0),MATCH(COLUMNS($AD$1006:AU1006),$AD$1006:$AU$1006,0)), HYPERLINK("#",""), HYPERLINK(CONCATENATE("#metadata!", ADDRESS(INDEX($Y$2:$Y$1001,MATCH(ROWS($W$2:W772),$W$2:$W$1001,0),0), INDEX($AD$1004:$AU$1004,1,MATCH(COLUMNS($AD$1006:AU1006),$AD$1006:$AU$1006,0)))),"Fix")))</f>
        <v xml:space="preserve"> </v>
      </c>
      <c r="W772">
        <v>771</v>
      </c>
      <c r="X772">
        <v>100772</v>
      </c>
      <c r="Y772">
        <v>772</v>
      </c>
      <c r="Z772" t="b">
        <f t="shared" si="12"/>
        <v>1</v>
      </c>
      <c r="AA772" t="b">
        <f>COUNTBLANK(metadata!B772:S772)=COLUMNS(metadata!B772:S772)</f>
        <v>1</v>
      </c>
      <c r="AB772" t="str">
        <v/>
      </c>
      <c r="AD772" t="b">
        <f ca="1">AND(IF(metadata!B772="",FALSE,TRUE),COUNTIF(metadata!B:B, metadata!B772) = 1,NOT(ISERROR(SUMPRODUCT(SEARCH(MID(metadata!B772,ROW(INDIRECT("1:"&amp;LEN(metadata!B772))), 1),"0123456789abcdefghijklmnopqrstuvwxyzABCDEFGHIJKLMNOPQRSTUVWXYZ.")))))</f>
        <v>0</v>
      </c>
      <c r="AE772" t="b">
        <f>OR(AND(IF(metadata!C772="",FALSE,TRUE),OR(EXACT(metadata!C772,"not applicable"),EXACT(metadata!C772,"missing: not collected"),EXACT(metadata!C772,"missing: not provided"),EXACT(metadata!C772,"missing: restricted access"))),AND(IF(metadata!C772="",FALSE,ISNUMBER(VALUE(metadata!C772))),metadata!C772&gt;0))</f>
        <v>0</v>
      </c>
      <c r="AF772" t="b">
        <f>AND(IF(metadata!D772="",FALSE,TRUE),EXACT(metadata!D772,"missing: not provided"))</f>
        <v>0</v>
      </c>
      <c r="AG772" t="b">
        <f>AND(IF(metadata!E772="",FALSE,TRUE),EXACT(metadata!E772,"Host-associated"))</f>
        <v>0</v>
      </c>
      <c r="AH772" t="b">
        <f>AND(IF(metadata!F772="",FALSE,TRUE),OR(EXACT(metadata!F772,"Animal"),EXACT(metadata!F772,"Fungus"),EXACT(metadata!F772,"Plant")))</f>
        <v>0</v>
      </c>
      <c r="AI772" t="b">
        <f>AND(IF(metadata!G772="",FALSE,TRUE),OR(EXACT(metadata!G772,"Plant secretion"),EXACT(metadata!G772,"Plant rhizosphere"),EXACT(metadata!G772,"Plant surface"),EXACT(metadata!G772,"Plant corpus"),EXACT(metadata!G772,"Fungus surface"),EXACT(metadata!G772,"Fungus corpus"),EXACT(metadata!G772,"Animal surface"),EXACT(metadata!G772,"Animal proximal gut"),EXACT(metadata!G772,"Animal corpus"),EXACT(metadata!G772,"Animal distal gut"),EXACT(metadata!G772,"Animal secretion")))</f>
        <v>0</v>
      </c>
      <c r="AJ772" t="b">
        <f>OR(AND(IF(metadata!H772="",FALSE,TRUE),OR(EXACT(metadata!H772,"missing: not collected"),EXACT(metadata!H772,"missing: not provided"),EXACT(metadata!H772,"missing: restricted access"))),AND(IF(metadata!H772="",FALSE,TRUE),OR(EXACT(metadata!H772,"organism-associated habitat"),EXACT(metadata!H772,"plant-associated habitat"),EXACT(metadata!H772,"animal-associated habitat"),EXACT(metadata!H772,"insecta-associated habitat"),EXACT(metadata!H772,"mammalia-associated habitat"),EXACT(metadata!H772,"human-associated habitat"),EXACT(metadata!H772,"livestock-associated habitat"))))</f>
        <v>0</v>
      </c>
      <c r="AK772" t="b">
        <f>AND(IF(metadata!I772="",FALSE,TRUE),EXACT(metadata!I772,"host-associated"))</f>
        <v>0</v>
      </c>
      <c r="AL772" t="b">
        <f>OR(AND(IF(metadata!J772="",FALSE,TRUE),OR(EXACT(metadata!J772,"not applicable"),EXACT(metadata!J772,"missing: not collected"),EXACT(metadata!J772,"missing: not provided"),EXACT(metadata!J772,"missing: restricted access"))),AND(IF(metadata!J772="",FALSE,ISNUMBER(VALUE(metadata!J772))),metadata!J772&gt;0))</f>
        <v>0</v>
      </c>
      <c r="AM772" t="b">
        <f>AND(IF(metadata!K772="",FALSE,TRUE),EXACT(metadata!K772,"missing: not provided"))</f>
        <v>0</v>
      </c>
      <c r="AN772" t="b">
        <f>IF(metadata!L772="",FALSE,TRUE)</f>
        <v>0</v>
      </c>
      <c r="AO772" t="b">
        <f>IF(metadata!M772="",FALSE,TRUE)</f>
        <v>0</v>
      </c>
      <c r="AP772" t="b">
        <f>OR(AND(IF(metadata!N772="",FALSE,TRUE),OR(EXACT(metadata!N772,"not applicable"),EXACT(metadata!N772,"missing: not collected"),EXACT(metadata!N772,"missing: not provided"))),AND(IF(metadata!N772="",FALSE,IF(ISERROR(INT(metadata!N772)),FALSE,INT(metadata!N772)=metadata!N772)),metadata!N772&gt;0))</f>
        <v>0</v>
      </c>
      <c r="AQ772" t="b">
        <f>AND(IF(metadata!O772="",FALSE,TRUE),EXACT(metadata!O772,"Not applicable"))</f>
        <v>0</v>
      </c>
      <c r="AR772" t="b">
        <f>OR(AND(IF(metadata!P772="",FALSE,TRUE),OR(EXACT(metadata!P772,"not applicable"),EXACT(metadata!P772,"missing: not collected"),EXACT(metadata!P772,"missing: not provided"),EXACT(metadata!P772,"missing: restricted access"))),IF(metadata!P772="",FALSE,IF(ISERROR(INT(metadata!P772)),FALSE,INT(metadata!P772)=metadata!P772)))</f>
        <v>0</v>
      </c>
      <c r="AS772" t="b">
        <f>AND(IF(metadata!Q772="",FALSE,TRUE),EXACT(metadata!Q772,"Not applicable"))</f>
        <v>0</v>
      </c>
      <c r="AT772" t="b">
        <f>OR(AND(IF(metadata!R772="",FALSE,TRUE),OR(EXACT(metadata!R772,"not applicable"),EXACT(metadata!R772,"missing: not collected"),EXACT(metadata!R772,"missing: not provided"),EXACT(metadata!R772,"missing: restricted access"))),AND(IF(metadata!R772="",FALSE,ISNUMBER(VALUE(metadata!R772))),metadata!R772&gt;0))</f>
        <v>0</v>
      </c>
      <c r="AU772" t="b">
        <f>AND(IF(metadata!S772="",FALSE,TRUE),EXACT(metadata!S772,"missing: not provided"))</f>
        <v>0</v>
      </c>
    </row>
    <row r="773" spans="1:47" x14ac:dyDescent="0.2">
      <c r="A773" s="5" t="str">
        <f ca="1">IF(B773=" "," ",HYPERLINK(CONCATENATE("#metadata!",ADDRESS(INDEX($Y$2:$Y$1001,MATCH(ROWS($W$2:W773),$W$2:$W$1001,0),0),1)),INDEX($AB$2:$AB$1001,MATCH(ROWS($W$2:W773),$W$2:$W$1001,0),0)))</f>
        <v xml:space="preserve"> </v>
      </c>
      <c r="B773" s="4" t="str">
        <f ca="1">IF(OR(INDEX($X$2:$X$1001,MATCH(ROWS($W$2:W773),$W$2:$W$1001,0),1)&gt;=100000,INDEX($AD$1005:$AU$1005,1,MATCH(COLUMNS($AD$1006:AD1006),$AD$1006:$AU$1006,0))&gt;=100000), " ",IF(INDEX($AD$2:$AU$1001,MATCH(ROWS($W$2:W773),$W$2:$W$1001,0),MATCH(COLUMNS($AD$1006:AD1006),$AD$1006:$AU$1006,0)), HYPERLINK("#",""), HYPERLINK(CONCATENATE("#metadata!", ADDRESS(INDEX($Y$2:$Y$1001,MATCH(ROWS($W$2:W773),$W$2:$W$1001,0),0), INDEX($AD$1004:$AU$1004,1,MATCH(COLUMNS($AD$1006:AD1006),$AD$1006:$AU$1006,0)))),"Fix")))</f>
        <v xml:space="preserve"> </v>
      </c>
      <c r="C773" s="4" t="str">
        <f ca="1">IF(OR(INDEX($X$2:$X$1001,MATCH(ROWS($W$2:W773),$W$2:$W$1001,0),1)&gt;=100000,INDEX($AD$1005:$AU$1005,1,MATCH(COLUMNS($AD$1006:AE1006),$AD$1006:$AU$1006,0))&gt;=100000), " ",IF(INDEX($AD$2:$AU$1001,MATCH(ROWS($W$2:W773),$W$2:$W$1001,0),MATCH(COLUMNS($AD$1006:AE1006),$AD$1006:$AU$1006,0)), HYPERLINK("#",""), HYPERLINK(CONCATENATE("#metadata!", ADDRESS(INDEX($Y$2:$Y$1001,MATCH(ROWS($W$2:W773),$W$2:$W$1001,0),0), INDEX($AD$1004:$AU$1004,1,MATCH(COLUMNS($AD$1006:AE1006),$AD$1006:$AU$1006,0)))),"Fix")))</f>
        <v xml:space="preserve"> </v>
      </c>
      <c r="D773" s="4" t="str">
        <f ca="1">IF(OR(INDEX($X$2:$X$1001,MATCH(ROWS($W$2:W773),$W$2:$W$1001,0),1)&gt;=100000,INDEX($AD$1005:$AU$1005,1,MATCH(COLUMNS($AD$1006:AF1006),$AD$1006:$AU$1006,0))&gt;=100000), " ",IF(INDEX($AD$2:$AU$1001,MATCH(ROWS($W$2:W773),$W$2:$W$1001,0),MATCH(COLUMNS($AD$1006:AF1006),$AD$1006:$AU$1006,0)), HYPERLINK("#",""), HYPERLINK(CONCATENATE("#metadata!", ADDRESS(INDEX($Y$2:$Y$1001,MATCH(ROWS($W$2:W773),$W$2:$W$1001,0),0), INDEX($AD$1004:$AU$1004,1,MATCH(COLUMNS($AD$1006:AF1006),$AD$1006:$AU$1006,0)))),"Fix")))</f>
        <v xml:space="preserve"> </v>
      </c>
      <c r="E773" s="4" t="str">
        <f ca="1">IF(OR(INDEX($X$2:$X$1001,MATCH(ROWS($W$2:W773),$W$2:$W$1001,0),1)&gt;=100000,INDEX($AD$1005:$AU$1005,1,MATCH(COLUMNS($AD$1006:AG1006),$AD$1006:$AU$1006,0))&gt;=100000), " ",IF(INDEX($AD$2:$AU$1001,MATCH(ROWS($W$2:W773),$W$2:$W$1001,0),MATCH(COLUMNS($AD$1006:AG1006),$AD$1006:$AU$1006,0)), HYPERLINK("#",""), HYPERLINK(CONCATENATE("#metadata!", ADDRESS(INDEX($Y$2:$Y$1001,MATCH(ROWS($W$2:W773),$W$2:$W$1001,0),0), INDEX($AD$1004:$AU$1004,1,MATCH(COLUMNS($AD$1006:AG1006),$AD$1006:$AU$1006,0)))),"Fix")))</f>
        <v xml:space="preserve"> </v>
      </c>
      <c r="F773" s="4" t="str">
        <f ca="1">IF(OR(INDEX($X$2:$X$1001,MATCH(ROWS($W$2:W773),$W$2:$W$1001,0),1)&gt;=100000,INDEX($AD$1005:$AU$1005,1,MATCH(COLUMNS($AD$1006:AH1006),$AD$1006:$AU$1006,0))&gt;=100000), " ",IF(INDEX($AD$2:$AU$1001,MATCH(ROWS($W$2:W773),$W$2:$W$1001,0),MATCH(COLUMNS($AD$1006:AH1006),$AD$1006:$AU$1006,0)), HYPERLINK("#",""), HYPERLINK(CONCATENATE("#metadata!", ADDRESS(INDEX($Y$2:$Y$1001,MATCH(ROWS($W$2:W773),$W$2:$W$1001,0),0), INDEX($AD$1004:$AU$1004,1,MATCH(COLUMNS($AD$1006:AH1006),$AD$1006:$AU$1006,0)))),"Fix")))</f>
        <v xml:space="preserve"> </v>
      </c>
      <c r="G773" s="4" t="str">
        <f ca="1">IF(OR(INDEX($X$2:$X$1001,MATCH(ROWS($W$2:W773),$W$2:$W$1001,0),1)&gt;=100000,INDEX($AD$1005:$AU$1005,1,MATCH(COLUMNS($AD$1006:AI1006),$AD$1006:$AU$1006,0))&gt;=100000), " ",IF(INDEX($AD$2:$AU$1001,MATCH(ROWS($W$2:W773),$W$2:$W$1001,0),MATCH(COLUMNS($AD$1006:AI1006),$AD$1006:$AU$1006,0)), HYPERLINK("#",""), HYPERLINK(CONCATENATE("#metadata!", ADDRESS(INDEX($Y$2:$Y$1001,MATCH(ROWS($W$2:W773),$W$2:$W$1001,0),0), INDEX($AD$1004:$AU$1004,1,MATCH(COLUMNS($AD$1006:AI1006),$AD$1006:$AU$1006,0)))),"Fix")))</f>
        <v xml:space="preserve"> </v>
      </c>
      <c r="H773" s="4" t="str">
        <f ca="1">IF(OR(INDEX($X$2:$X$1001,MATCH(ROWS($W$2:W773),$W$2:$W$1001,0),1)&gt;=100000,INDEX($AD$1005:$AU$1005,1,MATCH(COLUMNS($AD$1006:AJ1006),$AD$1006:$AU$1006,0))&gt;=100000), " ",IF(INDEX($AD$2:$AU$1001,MATCH(ROWS($W$2:W773),$W$2:$W$1001,0),MATCH(COLUMNS($AD$1006:AJ1006),$AD$1006:$AU$1006,0)), HYPERLINK("#",""), HYPERLINK(CONCATENATE("#metadata!", ADDRESS(INDEX($Y$2:$Y$1001,MATCH(ROWS($W$2:W773),$W$2:$W$1001,0),0), INDEX($AD$1004:$AU$1004,1,MATCH(COLUMNS($AD$1006:AJ1006),$AD$1006:$AU$1006,0)))),"Fix")))</f>
        <v xml:space="preserve"> </v>
      </c>
      <c r="I773" s="4" t="str">
        <f ca="1">IF(OR(INDEX($X$2:$X$1001,MATCH(ROWS($W$2:W773),$W$2:$W$1001,0),1)&gt;=100000,INDEX($AD$1005:$AU$1005,1,MATCH(COLUMNS($AD$1006:AK1006),$AD$1006:$AU$1006,0))&gt;=100000), " ",IF(INDEX($AD$2:$AU$1001,MATCH(ROWS($W$2:W773),$W$2:$W$1001,0),MATCH(COLUMNS($AD$1006:AK1006),$AD$1006:$AU$1006,0)), HYPERLINK("#",""), HYPERLINK(CONCATENATE("#metadata!", ADDRESS(INDEX($Y$2:$Y$1001,MATCH(ROWS($W$2:W773),$W$2:$W$1001,0),0), INDEX($AD$1004:$AU$1004,1,MATCH(COLUMNS($AD$1006:AK1006),$AD$1006:$AU$1006,0)))),"Fix")))</f>
        <v xml:space="preserve"> </v>
      </c>
      <c r="J773" s="4" t="str">
        <f ca="1">IF(OR(INDEX($X$2:$X$1001,MATCH(ROWS($W$2:W773),$W$2:$W$1001,0),1)&gt;=100000,INDEX($AD$1005:$AU$1005,1,MATCH(COLUMNS($AD$1006:AL1006),$AD$1006:$AU$1006,0))&gt;=100000), " ",IF(INDEX($AD$2:$AU$1001,MATCH(ROWS($W$2:W773),$W$2:$W$1001,0),MATCH(COLUMNS($AD$1006:AL1006),$AD$1006:$AU$1006,0)), HYPERLINK("#",""), HYPERLINK(CONCATENATE("#metadata!", ADDRESS(INDEX($Y$2:$Y$1001,MATCH(ROWS($W$2:W773),$W$2:$W$1001,0),0), INDEX($AD$1004:$AU$1004,1,MATCH(COLUMNS($AD$1006:AL1006),$AD$1006:$AU$1006,0)))),"Fix")))</f>
        <v xml:space="preserve"> </v>
      </c>
      <c r="K773" s="4" t="str">
        <f ca="1">IF(OR(INDEX($X$2:$X$1001,MATCH(ROWS($W$2:W773),$W$2:$W$1001,0),1)&gt;=100000,INDEX($AD$1005:$AU$1005,1,MATCH(COLUMNS($AD$1006:AM1006),$AD$1006:$AU$1006,0))&gt;=100000), " ",IF(INDEX($AD$2:$AU$1001,MATCH(ROWS($W$2:W773),$W$2:$W$1001,0),MATCH(COLUMNS($AD$1006:AM1006),$AD$1006:$AU$1006,0)), HYPERLINK("#",""), HYPERLINK(CONCATENATE("#metadata!", ADDRESS(INDEX($Y$2:$Y$1001,MATCH(ROWS($W$2:W773),$W$2:$W$1001,0),0), INDEX($AD$1004:$AU$1004,1,MATCH(COLUMNS($AD$1006:AM1006),$AD$1006:$AU$1006,0)))),"Fix")))</f>
        <v xml:space="preserve"> </v>
      </c>
      <c r="L773" s="4" t="str">
        <f ca="1">IF(OR(INDEX($X$2:$X$1001,MATCH(ROWS($W$2:W773),$W$2:$W$1001,0),1)&gt;=100000,INDEX($AD$1005:$AU$1005,1,MATCH(COLUMNS($AD$1006:AN1006),$AD$1006:$AU$1006,0))&gt;=100000), " ",IF(INDEX($AD$2:$AU$1001,MATCH(ROWS($W$2:W773),$W$2:$W$1001,0),MATCH(COLUMNS($AD$1006:AN1006),$AD$1006:$AU$1006,0)), HYPERLINK("#",""), HYPERLINK(CONCATENATE("#metadata!", ADDRESS(INDEX($Y$2:$Y$1001,MATCH(ROWS($W$2:W773),$W$2:$W$1001,0),0), INDEX($AD$1004:$AU$1004,1,MATCH(COLUMNS($AD$1006:AN1006),$AD$1006:$AU$1006,0)))),"Fix")))</f>
        <v xml:space="preserve"> </v>
      </c>
      <c r="M773" s="4" t="str">
        <f ca="1">IF(OR(INDEX($X$2:$X$1001,MATCH(ROWS($W$2:W773),$W$2:$W$1001,0),1)&gt;=100000,INDEX($AD$1005:$AU$1005,1,MATCH(COLUMNS($AD$1006:AO1006),$AD$1006:$AU$1006,0))&gt;=100000), " ",IF(INDEX($AD$2:$AU$1001,MATCH(ROWS($W$2:W773),$W$2:$W$1001,0),MATCH(COLUMNS($AD$1006:AO1006),$AD$1006:$AU$1006,0)), HYPERLINK("#",""), HYPERLINK(CONCATENATE("#metadata!", ADDRESS(INDEX($Y$2:$Y$1001,MATCH(ROWS($W$2:W773),$W$2:$W$1001,0),0), INDEX($AD$1004:$AU$1004,1,MATCH(COLUMNS($AD$1006:AO1006),$AD$1006:$AU$1006,0)))),"Fix")))</f>
        <v xml:space="preserve"> </v>
      </c>
      <c r="N773" s="4" t="str">
        <f ca="1">IF(OR(INDEX($X$2:$X$1001,MATCH(ROWS($W$2:W773),$W$2:$W$1001,0),1)&gt;=100000,INDEX($AD$1005:$AU$1005,1,MATCH(COLUMNS($AD$1006:AP1006),$AD$1006:$AU$1006,0))&gt;=100000), " ",IF(INDEX($AD$2:$AU$1001,MATCH(ROWS($W$2:W773),$W$2:$W$1001,0),MATCH(COLUMNS($AD$1006:AP1006),$AD$1006:$AU$1006,0)), HYPERLINK("#",""), HYPERLINK(CONCATENATE("#metadata!", ADDRESS(INDEX($Y$2:$Y$1001,MATCH(ROWS($W$2:W773),$W$2:$W$1001,0),0), INDEX($AD$1004:$AU$1004,1,MATCH(COLUMNS($AD$1006:AP1006),$AD$1006:$AU$1006,0)))),"Fix")))</f>
        <v xml:space="preserve"> </v>
      </c>
      <c r="O773" s="4" t="str">
        <f ca="1">IF(OR(INDEX($X$2:$X$1001,MATCH(ROWS($W$2:W773),$W$2:$W$1001,0),1)&gt;=100000,INDEX($AD$1005:$AU$1005,1,MATCH(COLUMNS($AD$1006:AQ1006),$AD$1006:$AU$1006,0))&gt;=100000), " ",IF(INDEX($AD$2:$AU$1001,MATCH(ROWS($W$2:W773),$W$2:$W$1001,0),MATCH(COLUMNS($AD$1006:AQ1006),$AD$1006:$AU$1006,0)), HYPERLINK("#",""), HYPERLINK(CONCATENATE("#metadata!", ADDRESS(INDEX($Y$2:$Y$1001,MATCH(ROWS($W$2:W773),$W$2:$W$1001,0),0), INDEX($AD$1004:$AU$1004,1,MATCH(COLUMNS($AD$1006:AQ1006),$AD$1006:$AU$1006,0)))),"Fix")))</f>
        <v xml:space="preserve"> </v>
      </c>
      <c r="P773" s="4" t="str">
        <f ca="1">IF(OR(INDEX($X$2:$X$1001,MATCH(ROWS($W$2:W773),$W$2:$W$1001,0),1)&gt;=100000,INDEX($AD$1005:$AU$1005,1,MATCH(COLUMNS($AD$1006:AR1006),$AD$1006:$AU$1006,0))&gt;=100000), " ",IF(INDEX($AD$2:$AU$1001,MATCH(ROWS($W$2:W773),$W$2:$W$1001,0),MATCH(COLUMNS($AD$1006:AR1006),$AD$1006:$AU$1006,0)), HYPERLINK("#",""), HYPERLINK(CONCATENATE("#metadata!", ADDRESS(INDEX($Y$2:$Y$1001,MATCH(ROWS($W$2:W773),$W$2:$W$1001,0),0), INDEX($AD$1004:$AU$1004,1,MATCH(COLUMNS($AD$1006:AR1006),$AD$1006:$AU$1006,0)))),"Fix")))</f>
        <v xml:space="preserve"> </v>
      </c>
      <c r="Q773" s="4" t="str">
        <f ca="1">IF(OR(INDEX($X$2:$X$1001,MATCH(ROWS($W$2:W773),$W$2:$W$1001,0),1)&gt;=100000,INDEX($AD$1005:$AU$1005,1,MATCH(COLUMNS($AD$1006:AS1006),$AD$1006:$AU$1006,0))&gt;=100000), " ",IF(INDEX($AD$2:$AU$1001,MATCH(ROWS($W$2:W773),$W$2:$W$1001,0),MATCH(COLUMNS($AD$1006:AS1006),$AD$1006:$AU$1006,0)), HYPERLINK("#",""), HYPERLINK(CONCATENATE("#metadata!", ADDRESS(INDEX($Y$2:$Y$1001,MATCH(ROWS($W$2:W773),$W$2:$W$1001,0),0), INDEX($AD$1004:$AU$1004,1,MATCH(COLUMNS($AD$1006:AS1006),$AD$1006:$AU$1006,0)))),"Fix")))</f>
        <v xml:space="preserve"> </v>
      </c>
      <c r="R773" s="4" t="str">
        <f ca="1">IF(OR(INDEX($X$2:$X$1001,MATCH(ROWS($W$2:W773),$W$2:$W$1001,0),1)&gt;=100000,INDEX($AD$1005:$AU$1005,1,MATCH(COLUMNS($AD$1006:AT1006),$AD$1006:$AU$1006,0))&gt;=100000), " ",IF(INDEX($AD$2:$AU$1001,MATCH(ROWS($W$2:W773),$W$2:$W$1001,0),MATCH(COLUMNS($AD$1006:AT1006),$AD$1006:$AU$1006,0)), HYPERLINK("#",""), HYPERLINK(CONCATENATE("#metadata!", ADDRESS(INDEX($Y$2:$Y$1001,MATCH(ROWS($W$2:W773),$W$2:$W$1001,0),0), INDEX($AD$1004:$AU$1004,1,MATCH(COLUMNS($AD$1006:AT1006),$AD$1006:$AU$1006,0)))),"Fix")))</f>
        <v xml:space="preserve"> </v>
      </c>
      <c r="S773" s="4" t="str">
        <f ca="1">IF(OR(INDEX($X$2:$X$1001,MATCH(ROWS($W$2:W773),$W$2:$W$1001,0),1)&gt;=100000,INDEX($AD$1005:$AU$1005,1,MATCH(COLUMNS($AD$1006:AU1006),$AD$1006:$AU$1006,0))&gt;=100000), " ",IF(INDEX($AD$2:$AU$1001,MATCH(ROWS($W$2:W773),$W$2:$W$1001,0),MATCH(COLUMNS($AD$1006:AU1006),$AD$1006:$AU$1006,0)), HYPERLINK("#",""), HYPERLINK(CONCATENATE("#metadata!", ADDRESS(INDEX($Y$2:$Y$1001,MATCH(ROWS($W$2:W773),$W$2:$W$1001,0),0), INDEX($AD$1004:$AU$1004,1,MATCH(COLUMNS($AD$1006:AU1006),$AD$1006:$AU$1006,0)))),"Fix")))</f>
        <v xml:space="preserve"> </v>
      </c>
      <c r="W773">
        <v>772</v>
      </c>
      <c r="X773">
        <v>100773</v>
      </c>
      <c r="Y773">
        <v>773</v>
      </c>
      <c r="Z773" t="b">
        <f t="shared" si="12"/>
        <v>1</v>
      </c>
      <c r="AA773" t="b">
        <f>COUNTBLANK(metadata!B773:S773)=COLUMNS(metadata!B773:S773)</f>
        <v>1</v>
      </c>
      <c r="AB773" t="str">
        <v/>
      </c>
      <c r="AD773" t="b">
        <f ca="1">AND(IF(metadata!B773="",FALSE,TRUE),COUNTIF(metadata!B:B, metadata!B773) = 1,NOT(ISERROR(SUMPRODUCT(SEARCH(MID(metadata!B773,ROW(INDIRECT("1:"&amp;LEN(metadata!B773))), 1),"0123456789abcdefghijklmnopqrstuvwxyzABCDEFGHIJKLMNOPQRSTUVWXYZ.")))))</f>
        <v>0</v>
      </c>
      <c r="AE773" t="b">
        <f>OR(AND(IF(metadata!C773="",FALSE,TRUE),OR(EXACT(metadata!C773,"not applicable"),EXACT(metadata!C773,"missing: not collected"),EXACT(metadata!C773,"missing: not provided"),EXACT(metadata!C773,"missing: restricted access"))),AND(IF(metadata!C773="",FALSE,ISNUMBER(VALUE(metadata!C773))),metadata!C773&gt;0))</f>
        <v>0</v>
      </c>
      <c r="AF773" t="b">
        <f>AND(IF(metadata!D773="",FALSE,TRUE),EXACT(metadata!D773,"missing: not provided"))</f>
        <v>0</v>
      </c>
      <c r="AG773" t="b">
        <f>AND(IF(metadata!E773="",FALSE,TRUE),EXACT(metadata!E773,"Host-associated"))</f>
        <v>0</v>
      </c>
      <c r="AH773" t="b">
        <f>AND(IF(metadata!F773="",FALSE,TRUE),OR(EXACT(metadata!F773,"Animal"),EXACT(metadata!F773,"Fungus"),EXACT(metadata!F773,"Plant")))</f>
        <v>0</v>
      </c>
      <c r="AI773" t="b">
        <f>AND(IF(metadata!G773="",FALSE,TRUE),OR(EXACT(metadata!G773,"Plant secretion"),EXACT(metadata!G773,"Plant rhizosphere"),EXACT(metadata!G773,"Plant surface"),EXACT(metadata!G773,"Plant corpus"),EXACT(metadata!G773,"Fungus surface"),EXACT(metadata!G773,"Fungus corpus"),EXACT(metadata!G773,"Animal surface"),EXACT(metadata!G773,"Animal proximal gut"),EXACT(metadata!G773,"Animal corpus"),EXACT(metadata!G773,"Animal distal gut"),EXACT(metadata!G773,"Animal secretion")))</f>
        <v>0</v>
      </c>
      <c r="AJ773" t="b">
        <f>OR(AND(IF(metadata!H773="",FALSE,TRUE),OR(EXACT(metadata!H773,"missing: not collected"),EXACT(metadata!H773,"missing: not provided"),EXACT(metadata!H773,"missing: restricted access"))),AND(IF(metadata!H773="",FALSE,TRUE),OR(EXACT(metadata!H773,"organism-associated habitat"),EXACT(metadata!H773,"plant-associated habitat"),EXACT(metadata!H773,"animal-associated habitat"),EXACT(metadata!H773,"insecta-associated habitat"),EXACT(metadata!H773,"mammalia-associated habitat"),EXACT(metadata!H773,"human-associated habitat"),EXACT(metadata!H773,"livestock-associated habitat"))))</f>
        <v>0</v>
      </c>
      <c r="AK773" t="b">
        <f>AND(IF(metadata!I773="",FALSE,TRUE),EXACT(metadata!I773,"host-associated"))</f>
        <v>0</v>
      </c>
      <c r="AL773" t="b">
        <f>OR(AND(IF(metadata!J773="",FALSE,TRUE),OR(EXACT(metadata!J773,"not applicable"),EXACT(metadata!J773,"missing: not collected"),EXACT(metadata!J773,"missing: not provided"),EXACT(metadata!J773,"missing: restricted access"))),AND(IF(metadata!J773="",FALSE,ISNUMBER(VALUE(metadata!J773))),metadata!J773&gt;0))</f>
        <v>0</v>
      </c>
      <c r="AM773" t="b">
        <f>AND(IF(metadata!K773="",FALSE,TRUE),EXACT(metadata!K773,"missing: not provided"))</f>
        <v>0</v>
      </c>
      <c r="AN773" t="b">
        <f>IF(metadata!L773="",FALSE,TRUE)</f>
        <v>0</v>
      </c>
      <c r="AO773" t="b">
        <f>IF(metadata!M773="",FALSE,TRUE)</f>
        <v>0</v>
      </c>
      <c r="AP773" t="b">
        <f>OR(AND(IF(metadata!N773="",FALSE,TRUE),OR(EXACT(metadata!N773,"not applicable"),EXACT(metadata!N773,"missing: not collected"),EXACT(metadata!N773,"missing: not provided"))),AND(IF(metadata!N773="",FALSE,IF(ISERROR(INT(metadata!N773)),FALSE,INT(metadata!N773)=metadata!N773)),metadata!N773&gt;0))</f>
        <v>0</v>
      </c>
      <c r="AQ773" t="b">
        <f>AND(IF(metadata!O773="",FALSE,TRUE),EXACT(metadata!O773,"Not applicable"))</f>
        <v>0</v>
      </c>
      <c r="AR773" t="b">
        <f>OR(AND(IF(metadata!P773="",FALSE,TRUE),OR(EXACT(metadata!P773,"not applicable"),EXACT(metadata!P773,"missing: not collected"),EXACT(metadata!P773,"missing: not provided"),EXACT(metadata!P773,"missing: restricted access"))),IF(metadata!P773="",FALSE,IF(ISERROR(INT(metadata!P773)),FALSE,INT(metadata!P773)=metadata!P773)))</f>
        <v>0</v>
      </c>
      <c r="AS773" t="b">
        <f>AND(IF(metadata!Q773="",FALSE,TRUE),EXACT(metadata!Q773,"Not applicable"))</f>
        <v>0</v>
      </c>
      <c r="AT773" t="b">
        <f>OR(AND(IF(metadata!R773="",FALSE,TRUE),OR(EXACT(metadata!R773,"not applicable"),EXACT(metadata!R773,"missing: not collected"),EXACT(metadata!R773,"missing: not provided"),EXACT(metadata!R773,"missing: restricted access"))),AND(IF(metadata!R773="",FALSE,ISNUMBER(VALUE(metadata!R773))),metadata!R773&gt;0))</f>
        <v>0</v>
      </c>
      <c r="AU773" t="b">
        <f>AND(IF(metadata!S773="",FALSE,TRUE),EXACT(metadata!S773,"missing: not provided"))</f>
        <v>0</v>
      </c>
    </row>
    <row r="774" spans="1:47" x14ac:dyDescent="0.2">
      <c r="A774" s="5" t="str">
        <f ca="1">IF(B774=" "," ",HYPERLINK(CONCATENATE("#metadata!",ADDRESS(INDEX($Y$2:$Y$1001,MATCH(ROWS($W$2:W774),$W$2:$W$1001,0),0),1)),INDEX($AB$2:$AB$1001,MATCH(ROWS($W$2:W774),$W$2:$W$1001,0),0)))</f>
        <v xml:space="preserve"> </v>
      </c>
      <c r="B774" s="4" t="str">
        <f ca="1">IF(OR(INDEX($X$2:$X$1001,MATCH(ROWS($W$2:W774),$W$2:$W$1001,0),1)&gt;=100000,INDEX($AD$1005:$AU$1005,1,MATCH(COLUMNS($AD$1006:AD1006),$AD$1006:$AU$1006,0))&gt;=100000), " ",IF(INDEX($AD$2:$AU$1001,MATCH(ROWS($W$2:W774),$W$2:$W$1001,0),MATCH(COLUMNS($AD$1006:AD1006),$AD$1006:$AU$1006,0)), HYPERLINK("#",""), HYPERLINK(CONCATENATE("#metadata!", ADDRESS(INDEX($Y$2:$Y$1001,MATCH(ROWS($W$2:W774),$W$2:$W$1001,0),0), INDEX($AD$1004:$AU$1004,1,MATCH(COLUMNS($AD$1006:AD1006),$AD$1006:$AU$1006,0)))),"Fix")))</f>
        <v xml:space="preserve"> </v>
      </c>
      <c r="C774" s="4" t="str">
        <f ca="1">IF(OR(INDEX($X$2:$X$1001,MATCH(ROWS($W$2:W774),$W$2:$W$1001,0),1)&gt;=100000,INDEX($AD$1005:$AU$1005,1,MATCH(COLUMNS($AD$1006:AE1006),$AD$1006:$AU$1006,0))&gt;=100000), " ",IF(INDEX($AD$2:$AU$1001,MATCH(ROWS($W$2:W774),$W$2:$W$1001,0),MATCH(COLUMNS($AD$1006:AE1006),$AD$1006:$AU$1006,0)), HYPERLINK("#",""), HYPERLINK(CONCATENATE("#metadata!", ADDRESS(INDEX($Y$2:$Y$1001,MATCH(ROWS($W$2:W774),$W$2:$W$1001,0),0), INDEX($AD$1004:$AU$1004,1,MATCH(COLUMNS($AD$1006:AE1006),$AD$1006:$AU$1006,0)))),"Fix")))</f>
        <v xml:space="preserve"> </v>
      </c>
      <c r="D774" s="4" t="str">
        <f ca="1">IF(OR(INDEX($X$2:$X$1001,MATCH(ROWS($W$2:W774),$W$2:$W$1001,0),1)&gt;=100000,INDEX($AD$1005:$AU$1005,1,MATCH(COLUMNS($AD$1006:AF1006),$AD$1006:$AU$1006,0))&gt;=100000), " ",IF(INDEX($AD$2:$AU$1001,MATCH(ROWS($W$2:W774),$W$2:$W$1001,0),MATCH(COLUMNS($AD$1006:AF1006),$AD$1006:$AU$1006,0)), HYPERLINK("#",""), HYPERLINK(CONCATENATE("#metadata!", ADDRESS(INDEX($Y$2:$Y$1001,MATCH(ROWS($W$2:W774),$W$2:$W$1001,0),0), INDEX($AD$1004:$AU$1004,1,MATCH(COLUMNS($AD$1006:AF1006),$AD$1006:$AU$1006,0)))),"Fix")))</f>
        <v xml:space="preserve"> </v>
      </c>
      <c r="E774" s="4" t="str">
        <f ca="1">IF(OR(INDEX($X$2:$X$1001,MATCH(ROWS($W$2:W774),$W$2:$W$1001,0),1)&gt;=100000,INDEX($AD$1005:$AU$1005,1,MATCH(COLUMNS($AD$1006:AG1006),$AD$1006:$AU$1006,0))&gt;=100000), " ",IF(INDEX($AD$2:$AU$1001,MATCH(ROWS($W$2:W774),$W$2:$W$1001,0),MATCH(COLUMNS($AD$1006:AG1006),$AD$1006:$AU$1006,0)), HYPERLINK("#",""), HYPERLINK(CONCATENATE("#metadata!", ADDRESS(INDEX($Y$2:$Y$1001,MATCH(ROWS($W$2:W774),$W$2:$W$1001,0),0), INDEX($AD$1004:$AU$1004,1,MATCH(COLUMNS($AD$1006:AG1006),$AD$1006:$AU$1006,0)))),"Fix")))</f>
        <v xml:space="preserve"> </v>
      </c>
      <c r="F774" s="4" t="str">
        <f ca="1">IF(OR(INDEX($X$2:$X$1001,MATCH(ROWS($W$2:W774),$W$2:$W$1001,0),1)&gt;=100000,INDEX($AD$1005:$AU$1005,1,MATCH(COLUMNS($AD$1006:AH1006),$AD$1006:$AU$1006,0))&gt;=100000), " ",IF(INDEX($AD$2:$AU$1001,MATCH(ROWS($W$2:W774),$W$2:$W$1001,0),MATCH(COLUMNS($AD$1006:AH1006),$AD$1006:$AU$1006,0)), HYPERLINK("#",""), HYPERLINK(CONCATENATE("#metadata!", ADDRESS(INDEX($Y$2:$Y$1001,MATCH(ROWS($W$2:W774),$W$2:$W$1001,0),0), INDEX($AD$1004:$AU$1004,1,MATCH(COLUMNS($AD$1006:AH1006),$AD$1006:$AU$1006,0)))),"Fix")))</f>
        <v xml:space="preserve"> </v>
      </c>
      <c r="G774" s="4" t="str">
        <f ca="1">IF(OR(INDEX($X$2:$X$1001,MATCH(ROWS($W$2:W774),$W$2:$W$1001,0),1)&gt;=100000,INDEX($AD$1005:$AU$1005,1,MATCH(COLUMNS($AD$1006:AI1006),$AD$1006:$AU$1006,0))&gt;=100000), " ",IF(INDEX($AD$2:$AU$1001,MATCH(ROWS($W$2:W774),$W$2:$W$1001,0),MATCH(COLUMNS($AD$1006:AI1006),$AD$1006:$AU$1006,0)), HYPERLINK("#",""), HYPERLINK(CONCATENATE("#metadata!", ADDRESS(INDEX($Y$2:$Y$1001,MATCH(ROWS($W$2:W774),$W$2:$W$1001,0),0), INDEX($AD$1004:$AU$1004,1,MATCH(COLUMNS($AD$1006:AI1006),$AD$1006:$AU$1006,0)))),"Fix")))</f>
        <v xml:space="preserve"> </v>
      </c>
      <c r="H774" s="4" t="str">
        <f ca="1">IF(OR(INDEX($X$2:$X$1001,MATCH(ROWS($W$2:W774),$W$2:$W$1001,0),1)&gt;=100000,INDEX($AD$1005:$AU$1005,1,MATCH(COLUMNS($AD$1006:AJ1006),$AD$1006:$AU$1006,0))&gt;=100000), " ",IF(INDEX($AD$2:$AU$1001,MATCH(ROWS($W$2:W774),$W$2:$W$1001,0),MATCH(COLUMNS($AD$1006:AJ1006),$AD$1006:$AU$1006,0)), HYPERLINK("#",""), HYPERLINK(CONCATENATE("#metadata!", ADDRESS(INDEX($Y$2:$Y$1001,MATCH(ROWS($W$2:W774),$W$2:$W$1001,0),0), INDEX($AD$1004:$AU$1004,1,MATCH(COLUMNS($AD$1006:AJ1006),$AD$1006:$AU$1006,0)))),"Fix")))</f>
        <v xml:space="preserve"> </v>
      </c>
      <c r="I774" s="4" t="str">
        <f ca="1">IF(OR(INDEX($X$2:$X$1001,MATCH(ROWS($W$2:W774),$W$2:$W$1001,0),1)&gt;=100000,INDEX($AD$1005:$AU$1005,1,MATCH(COLUMNS($AD$1006:AK1006),$AD$1006:$AU$1006,0))&gt;=100000), " ",IF(INDEX($AD$2:$AU$1001,MATCH(ROWS($W$2:W774),$W$2:$W$1001,0),MATCH(COLUMNS($AD$1006:AK1006),$AD$1006:$AU$1006,0)), HYPERLINK("#",""), HYPERLINK(CONCATENATE("#metadata!", ADDRESS(INDEX($Y$2:$Y$1001,MATCH(ROWS($W$2:W774),$W$2:$W$1001,0),0), INDEX($AD$1004:$AU$1004,1,MATCH(COLUMNS($AD$1006:AK1006),$AD$1006:$AU$1006,0)))),"Fix")))</f>
        <v xml:space="preserve"> </v>
      </c>
      <c r="J774" s="4" t="str">
        <f ca="1">IF(OR(INDEX($X$2:$X$1001,MATCH(ROWS($W$2:W774),$W$2:$W$1001,0),1)&gt;=100000,INDEX($AD$1005:$AU$1005,1,MATCH(COLUMNS($AD$1006:AL1006),$AD$1006:$AU$1006,0))&gt;=100000), " ",IF(INDEX($AD$2:$AU$1001,MATCH(ROWS($W$2:W774),$W$2:$W$1001,0),MATCH(COLUMNS($AD$1006:AL1006),$AD$1006:$AU$1006,0)), HYPERLINK("#",""), HYPERLINK(CONCATENATE("#metadata!", ADDRESS(INDEX($Y$2:$Y$1001,MATCH(ROWS($W$2:W774),$W$2:$W$1001,0),0), INDEX($AD$1004:$AU$1004,1,MATCH(COLUMNS($AD$1006:AL1006),$AD$1006:$AU$1006,0)))),"Fix")))</f>
        <v xml:space="preserve"> </v>
      </c>
      <c r="K774" s="4" t="str">
        <f ca="1">IF(OR(INDEX($X$2:$X$1001,MATCH(ROWS($W$2:W774),$W$2:$W$1001,0),1)&gt;=100000,INDEX($AD$1005:$AU$1005,1,MATCH(COLUMNS($AD$1006:AM1006),$AD$1006:$AU$1006,0))&gt;=100000), " ",IF(INDEX($AD$2:$AU$1001,MATCH(ROWS($W$2:W774),$W$2:$W$1001,0),MATCH(COLUMNS($AD$1006:AM1006),$AD$1006:$AU$1006,0)), HYPERLINK("#",""), HYPERLINK(CONCATENATE("#metadata!", ADDRESS(INDEX($Y$2:$Y$1001,MATCH(ROWS($W$2:W774),$W$2:$W$1001,0),0), INDEX($AD$1004:$AU$1004,1,MATCH(COLUMNS($AD$1006:AM1006),$AD$1006:$AU$1006,0)))),"Fix")))</f>
        <v xml:space="preserve"> </v>
      </c>
      <c r="L774" s="4" t="str">
        <f ca="1">IF(OR(INDEX($X$2:$X$1001,MATCH(ROWS($W$2:W774),$W$2:$W$1001,0),1)&gt;=100000,INDEX($AD$1005:$AU$1005,1,MATCH(COLUMNS($AD$1006:AN1006),$AD$1006:$AU$1006,0))&gt;=100000), " ",IF(INDEX($AD$2:$AU$1001,MATCH(ROWS($W$2:W774),$W$2:$W$1001,0),MATCH(COLUMNS($AD$1006:AN1006),$AD$1006:$AU$1006,0)), HYPERLINK("#",""), HYPERLINK(CONCATENATE("#metadata!", ADDRESS(INDEX($Y$2:$Y$1001,MATCH(ROWS($W$2:W774),$W$2:$W$1001,0),0), INDEX($AD$1004:$AU$1004,1,MATCH(COLUMNS($AD$1006:AN1006),$AD$1006:$AU$1006,0)))),"Fix")))</f>
        <v xml:space="preserve"> </v>
      </c>
      <c r="M774" s="4" t="str">
        <f ca="1">IF(OR(INDEX($X$2:$X$1001,MATCH(ROWS($W$2:W774),$W$2:$W$1001,0),1)&gt;=100000,INDEX($AD$1005:$AU$1005,1,MATCH(COLUMNS($AD$1006:AO1006),$AD$1006:$AU$1006,0))&gt;=100000), " ",IF(INDEX($AD$2:$AU$1001,MATCH(ROWS($W$2:W774),$W$2:$W$1001,0),MATCH(COLUMNS($AD$1006:AO1006),$AD$1006:$AU$1006,0)), HYPERLINK("#",""), HYPERLINK(CONCATENATE("#metadata!", ADDRESS(INDEX($Y$2:$Y$1001,MATCH(ROWS($W$2:W774),$W$2:$W$1001,0),0), INDEX($AD$1004:$AU$1004,1,MATCH(COLUMNS($AD$1006:AO1006),$AD$1006:$AU$1006,0)))),"Fix")))</f>
        <v xml:space="preserve"> </v>
      </c>
      <c r="N774" s="4" t="str">
        <f ca="1">IF(OR(INDEX($X$2:$X$1001,MATCH(ROWS($W$2:W774),$W$2:$W$1001,0),1)&gt;=100000,INDEX($AD$1005:$AU$1005,1,MATCH(COLUMNS($AD$1006:AP1006),$AD$1006:$AU$1006,0))&gt;=100000), " ",IF(INDEX($AD$2:$AU$1001,MATCH(ROWS($W$2:W774),$W$2:$W$1001,0),MATCH(COLUMNS($AD$1006:AP1006),$AD$1006:$AU$1006,0)), HYPERLINK("#",""), HYPERLINK(CONCATENATE("#metadata!", ADDRESS(INDEX($Y$2:$Y$1001,MATCH(ROWS($W$2:W774),$W$2:$W$1001,0),0), INDEX($AD$1004:$AU$1004,1,MATCH(COLUMNS($AD$1006:AP1006),$AD$1006:$AU$1006,0)))),"Fix")))</f>
        <v xml:space="preserve"> </v>
      </c>
      <c r="O774" s="4" t="str">
        <f ca="1">IF(OR(INDEX($X$2:$X$1001,MATCH(ROWS($W$2:W774),$W$2:$W$1001,0),1)&gt;=100000,INDEX($AD$1005:$AU$1005,1,MATCH(COLUMNS($AD$1006:AQ1006),$AD$1006:$AU$1006,0))&gt;=100000), " ",IF(INDEX($AD$2:$AU$1001,MATCH(ROWS($W$2:W774),$W$2:$W$1001,0),MATCH(COLUMNS($AD$1006:AQ1006),$AD$1006:$AU$1006,0)), HYPERLINK("#",""), HYPERLINK(CONCATENATE("#metadata!", ADDRESS(INDEX($Y$2:$Y$1001,MATCH(ROWS($W$2:W774),$W$2:$W$1001,0),0), INDEX($AD$1004:$AU$1004,1,MATCH(COLUMNS($AD$1006:AQ1006),$AD$1006:$AU$1006,0)))),"Fix")))</f>
        <v xml:space="preserve"> </v>
      </c>
      <c r="P774" s="4" t="str">
        <f ca="1">IF(OR(INDEX($X$2:$X$1001,MATCH(ROWS($W$2:W774),$W$2:$W$1001,0),1)&gt;=100000,INDEX($AD$1005:$AU$1005,1,MATCH(COLUMNS($AD$1006:AR1006),$AD$1006:$AU$1006,0))&gt;=100000), " ",IF(INDEX($AD$2:$AU$1001,MATCH(ROWS($W$2:W774),$W$2:$W$1001,0),MATCH(COLUMNS($AD$1006:AR1006),$AD$1006:$AU$1006,0)), HYPERLINK("#",""), HYPERLINK(CONCATENATE("#metadata!", ADDRESS(INDEX($Y$2:$Y$1001,MATCH(ROWS($W$2:W774),$W$2:$W$1001,0),0), INDEX($AD$1004:$AU$1004,1,MATCH(COLUMNS($AD$1006:AR1006),$AD$1006:$AU$1006,0)))),"Fix")))</f>
        <v xml:space="preserve"> </v>
      </c>
      <c r="Q774" s="4" t="str">
        <f ca="1">IF(OR(INDEX($X$2:$X$1001,MATCH(ROWS($W$2:W774),$W$2:$W$1001,0),1)&gt;=100000,INDEX($AD$1005:$AU$1005,1,MATCH(COLUMNS($AD$1006:AS1006),$AD$1006:$AU$1006,0))&gt;=100000), " ",IF(INDEX($AD$2:$AU$1001,MATCH(ROWS($W$2:W774),$W$2:$W$1001,0),MATCH(COLUMNS($AD$1006:AS1006),$AD$1006:$AU$1006,0)), HYPERLINK("#",""), HYPERLINK(CONCATENATE("#metadata!", ADDRESS(INDEX($Y$2:$Y$1001,MATCH(ROWS($W$2:W774),$W$2:$W$1001,0),0), INDEX($AD$1004:$AU$1004,1,MATCH(COLUMNS($AD$1006:AS1006),$AD$1006:$AU$1006,0)))),"Fix")))</f>
        <v xml:space="preserve"> </v>
      </c>
      <c r="R774" s="4" t="str">
        <f ca="1">IF(OR(INDEX($X$2:$X$1001,MATCH(ROWS($W$2:W774),$W$2:$W$1001,0),1)&gt;=100000,INDEX($AD$1005:$AU$1005,1,MATCH(COLUMNS($AD$1006:AT1006),$AD$1006:$AU$1006,0))&gt;=100000), " ",IF(INDEX($AD$2:$AU$1001,MATCH(ROWS($W$2:W774),$W$2:$W$1001,0),MATCH(COLUMNS($AD$1006:AT1006),$AD$1006:$AU$1006,0)), HYPERLINK("#",""), HYPERLINK(CONCATENATE("#metadata!", ADDRESS(INDEX($Y$2:$Y$1001,MATCH(ROWS($W$2:W774),$W$2:$W$1001,0),0), INDEX($AD$1004:$AU$1004,1,MATCH(COLUMNS($AD$1006:AT1006),$AD$1006:$AU$1006,0)))),"Fix")))</f>
        <v xml:space="preserve"> </v>
      </c>
      <c r="S774" s="4" t="str">
        <f ca="1">IF(OR(INDEX($X$2:$X$1001,MATCH(ROWS($W$2:W774),$W$2:$W$1001,0),1)&gt;=100000,INDEX($AD$1005:$AU$1005,1,MATCH(COLUMNS($AD$1006:AU1006),$AD$1006:$AU$1006,0))&gt;=100000), " ",IF(INDEX($AD$2:$AU$1001,MATCH(ROWS($W$2:W774),$W$2:$W$1001,0),MATCH(COLUMNS($AD$1006:AU1006),$AD$1006:$AU$1006,0)), HYPERLINK("#",""), HYPERLINK(CONCATENATE("#metadata!", ADDRESS(INDEX($Y$2:$Y$1001,MATCH(ROWS($W$2:W774),$W$2:$W$1001,0),0), INDEX($AD$1004:$AU$1004,1,MATCH(COLUMNS($AD$1006:AU1006),$AD$1006:$AU$1006,0)))),"Fix")))</f>
        <v xml:space="preserve"> </v>
      </c>
      <c r="W774">
        <v>773</v>
      </c>
      <c r="X774">
        <v>100774</v>
      </c>
      <c r="Y774">
        <v>774</v>
      </c>
      <c r="Z774" t="b">
        <f t="shared" si="12"/>
        <v>1</v>
      </c>
      <c r="AA774" t="b">
        <f>COUNTBLANK(metadata!B774:S774)=COLUMNS(metadata!B774:S774)</f>
        <v>1</v>
      </c>
      <c r="AB774" t="str">
        <v/>
      </c>
      <c r="AD774" t="b">
        <f ca="1">AND(IF(metadata!B774="",FALSE,TRUE),COUNTIF(metadata!B:B, metadata!B774) = 1,NOT(ISERROR(SUMPRODUCT(SEARCH(MID(metadata!B774,ROW(INDIRECT("1:"&amp;LEN(metadata!B774))), 1),"0123456789abcdefghijklmnopqrstuvwxyzABCDEFGHIJKLMNOPQRSTUVWXYZ.")))))</f>
        <v>0</v>
      </c>
      <c r="AE774" t="b">
        <f>OR(AND(IF(metadata!C774="",FALSE,TRUE),OR(EXACT(metadata!C774,"not applicable"),EXACT(metadata!C774,"missing: not collected"),EXACT(metadata!C774,"missing: not provided"),EXACT(metadata!C774,"missing: restricted access"))),AND(IF(metadata!C774="",FALSE,ISNUMBER(VALUE(metadata!C774))),metadata!C774&gt;0))</f>
        <v>0</v>
      </c>
      <c r="AF774" t="b">
        <f>AND(IF(metadata!D774="",FALSE,TRUE),EXACT(metadata!D774,"missing: not provided"))</f>
        <v>0</v>
      </c>
      <c r="AG774" t="b">
        <f>AND(IF(metadata!E774="",FALSE,TRUE),EXACT(metadata!E774,"Host-associated"))</f>
        <v>0</v>
      </c>
      <c r="AH774" t="b">
        <f>AND(IF(metadata!F774="",FALSE,TRUE),OR(EXACT(metadata!F774,"Animal"),EXACT(metadata!F774,"Fungus"),EXACT(metadata!F774,"Plant")))</f>
        <v>0</v>
      </c>
      <c r="AI774" t="b">
        <f>AND(IF(metadata!G774="",FALSE,TRUE),OR(EXACT(metadata!G774,"Plant secretion"),EXACT(metadata!G774,"Plant rhizosphere"),EXACT(metadata!G774,"Plant surface"),EXACT(metadata!G774,"Plant corpus"),EXACT(metadata!G774,"Fungus surface"),EXACT(metadata!G774,"Fungus corpus"),EXACT(metadata!G774,"Animal surface"),EXACT(metadata!G774,"Animal proximal gut"),EXACT(metadata!G774,"Animal corpus"),EXACT(metadata!G774,"Animal distal gut"),EXACT(metadata!G774,"Animal secretion")))</f>
        <v>0</v>
      </c>
      <c r="AJ774" t="b">
        <f>OR(AND(IF(metadata!H774="",FALSE,TRUE),OR(EXACT(metadata!H774,"missing: not collected"),EXACT(metadata!H774,"missing: not provided"),EXACT(metadata!H774,"missing: restricted access"))),AND(IF(metadata!H774="",FALSE,TRUE),OR(EXACT(metadata!H774,"organism-associated habitat"),EXACT(metadata!H774,"plant-associated habitat"),EXACT(metadata!H774,"animal-associated habitat"),EXACT(metadata!H774,"insecta-associated habitat"),EXACT(metadata!H774,"mammalia-associated habitat"),EXACT(metadata!H774,"human-associated habitat"),EXACT(metadata!H774,"livestock-associated habitat"))))</f>
        <v>0</v>
      </c>
      <c r="AK774" t="b">
        <f>AND(IF(metadata!I774="",FALSE,TRUE),EXACT(metadata!I774,"host-associated"))</f>
        <v>0</v>
      </c>
      <c r="AL774" t="b">
        <f>OR(AND(IF(metadata!J774="",FALSE,TRUE),OR(EXACT(metadata!J774,"not applicable"),EXACT(metadata!J774,"missing: not collected"),EXACT(metadata!J774,"missing: not provided"),EXACT(metadata!J774,"missing: restricted access"))),AND(IF(metadata!J774="",FALSE,ISNUMBER(VALUE(metadata!J774))),metadata!J774&gt;0))</f>
        <v>0</v>
      </c>
      <c r="AM774" t="b">
        <f>AND(IF(metadata!K774="",FALSE,TRUE),EXACT(metadata!K774,"missing: not provided"))</f>
        <v>0</v>
      </c>
      <c r="AN774" t="b">
        <f>IF(metadata!L774="",FALSE,TRUE)</f>
        <v>0</v>
      </c>
      <c r="AO774" t="b">
        <f>IF(metadata!M774="",FALSE,TRUE)</f>
        <v>0</v>
      </c>
      <c r="AP774" t="b">
        <f>OR(AND(IF(metadata!N774="",FALSE,TRUE),OR(EXACT(metadata!N774,"not applicable"),EXACT(metadata!N774,"missing: not collected"),EXACT(metadata!N774,"missing: not provided"))),AND(IF(metadata!N774="",FALSE,IF(ISERROR(INT(metadata!N774)),FALSE,INT(metadata!N774)=metadata!N774)),metadata!N774&gt;0))</f>
        <v>0</v>
      </c>
      <c r="AQ774" t="b">
        <f>AND(IF(metadata!O774="",FALSE,TRUE),EXACT(metadata!O774,"Not applicable"))</f>
        <v>0</v>
      </c>
      <c r="AR774" t="b">
        <f>OR(AND(IF(metadata!P774="",FALSE,TRUE),OR(EXACT(metadata!P774,"not applicable"),EXACT(metadata!P774,"missing: not collected"),EXACT(metadata!P774,"missing: not provided"),EXACT(metadata!P774,"missing: restricted access"))),IF(metadata!P774="",FALSE,IF(ISERROR(INT(metadata!P774)),FALSE,INT(metadata!P774)=metadata!P774)))</f>
        <v>0</v>
      </c>
      <c r="AS774" t="b">
        <f>AND(IF(metadata!Q774="",FALSE,TRUE),EXACT(metadata!Q774,"Not applicable"))</f>
        <v>0</v>
      </c>
      <c r="AT774" t="b">
        <f>OR(AND(IF(metadata!R774="",FALSE,TRUE),OR(EXACT(metadata!R774,"not applicable"),EXACT(metadata!R774,"missing: not collected"),EXACT(metadata!R774,"missing: not provided"),EXACT(metadata!R774,"missing: restricted access"))),AND(IF(metadata!R774="",FALSE,ISNUMBER(VALUE(metadata!R774))),metadata!R774&gt;0))</f>
        <v>0</v>
      </c>
      <c r="AU774" t="b">
        <f>AND(IF(metadata!S774="",FALSE,TRUE),EXACT(metadata!S774,"missing: not provided"))</f>
        <v>0</v>
      </c>
    </row>
    <row r="775" spans="1:47" x14ac:dyDescent="0.2">
      <c r="A775" s="5" t="str">
        <f ca="1">IF(B775=" "," ",HYPERLINK(CONCATENATE("#metadata!",ADDRESS(INDEX($Y$2:$Y$1001,MATCH(ROWS($W$2:W775),$W$2:$W$1001,0),0),1)),INDEX($AB$2:$AB$1001,MATCH(ROWS($W$2:W775),$W$2:$W$1001,0),0)))</f>
        <v xml:space="preserve"> </v>
      </c>
      <c r="B775" s="4" t="str">
        <f ca="1">IF(OR(INDEX($X$2:$X$1001,MATCH(ROWS($W$2:W775),$W$2:$W$1001,0),1)&gt;=100000,INDEX($AD$1005:$AU$1005,1,MATCH(COLUMNS($AD$1006:AD1006),$AD$1006:$AU$1006,0))&gt;=100000), " ",IF(INDEX($AD$2:$AU$1001,MATCH(ROWS($W$2:W775),$W$2:$W$1001,0),MATCH(COLUMNS($AD$1006:AD1006),$AD$1006:$AU$1006,0)), HYPERLINK("#",""), HYPERLINK(CONCATENATE("#metadata!", ADDRESS(INDEX($Y$2:$Y$1001,MATCH(ROWS($W$2:W775),$W$2:$W$1001,0),0), INDEX($AD$1004:$AU$1004,1,MATCH(COLUMNS($AD$1006:AD1006),$AD$1006:$AU$1006,0)))),"Fix")))</f>
        <v xml:space="preserve"> </v>
      </c>
      <c r="C775" s="4" t="str">
        <f ca="1">IF(OR(INDEX($X$2:$X$1001,MATCH(ROWS($W$2:W775),$W$2:$W$1001,0),1)&gt;=100000,INDEX($AD$1005:$AU$1005,1,MATCH(COLUMNS($AD$1006:AE1006),$AD$1006:$AU$1006,0))&gt;=100000), " ",IF(INDEX($AD$2:$AU$1001,MATCH(ROWS($W$2:W775),$W$2:$W$1001,0),MATCH(COLUMNS($AD$1006:AE1006),$AD$1006:$AU$1006,0)), HYPERLINK("#",""), HYPERLINK(CONCATENATE("#metadata!", ADDRESS(INDEX($Y$2:$Y$1001,MATCH(ROWS($W$2:W775),$W$2:$W$1001,0),0), INDEX($AD$1004:$AU$1004,1,MATCH(COLUMNS($AD$1006:AE1006),$AD$1006:$AU$1006,0)))),"Fix")))</f>
        <v xml:space="preserve"> </v>
      </c>
      <c r="D775" s="4" t="str">
        <f ca="1">IF(OR(INDEX($X$2:$X$1001,MATCH(ROWS($W$2:W775),$W$2:$W$1001,0),1)&gt;=100000,INDEX($AD$1005:$AU$1005,1,MATCH(COLUMNS($AD$1006:AF1006),$AD$1006:$AU$1006,0))&gt;=100000), " ",IF(INDEX($AD$2:$AU$1001,MATCH(ROWS($W$2:W775),$W$2:$W$1001,0),MATCH(COLUMNS($AD$1006:AF1006),$AD$1006:$AU$1006,0)), HYPERLINK("#",""), HYPERLINK(CONCATENATE("#metadata!", ADDRESS(INDEX($Y$2:$Y$1001,MATCH(ROWS($W$2:W775),$W$2:$W$1001,0),0), INDEX($AD$1004:$AU$1004,1,MATCH(COLUMNS($AD$1006:AF1006),$AD$1006:$AU$1006,0)))),"Fix")))</f>
        <v xml:space="preserve"> </v>
      </c>
      <c r="E775" s="4" t="str">
        <f ca="1">IF(OR(INDEX($X$2:$X$1001,MATCH(ROWS($W$2:W775),$W$2:$W$1001,0),1)&gt;=100000,INDEX($AD$1005:$AU$1005,1,MATCH(COLUMNS($AD$1006:AG1006),$AD$1006:$AU$1006,0))&gt;=100000), " ",IF(INDEX($AD$2:$AU$1001,MATCH(ROWS($W$2:W775),$W$2:$W$1001,0),MATCH(COLUMNS($AD$1006:AG1006),$AD$1006:$AU$1006,0)), HYPERLINK("#",""), HYPERLINK(CONCATENATE("#metadata!", ADDRESS(INDEX($Y$2:$Y$1001,MATCH(ROWS($W$2:W775),$W$2:$W$1001,0),0), INDEX($AD$1004:$AU$1004,1,MATCH(COLUMNS($AD$1006:AG1006),$AD$1006:$AU$1006,0)))),"Fix")))</f>
        <v xml:space="preserve"> </v>
      </c>
      <c r="F775" s="4" t="str">
        <f ca="1">IF(OR(INDEX($X$2:$X$1001,MATCH(ROWS($W$2:W775),$W$2:$W$1001,0),1)&gt;=100000,INDEX($AD$1005:$AU$1005,1,MATCH(COLUMNS($AD$1006:AH1006),$AD$1006:$AU$1006,0))&gt;=100000), " ",IF(INDEX($AD$2:$AU$1001,MATCH(ROWS($W$2:W775),$W$2:$W$1001,0),MATCH(COLUMNS($AD$1006:AH1006),$AD$1006:$AU$1006,0)), HYPERLINK("#",""), HYPERLINK(CONCATENATE("#metadata!", ADDRESS(INDEX($Y$2:$Y$1001,MATCH(ROWS($W$2:W775),$W$2:$W$1001,0),0), INDEX($AD$1004:$AU$1004,1,MATCH(COLUMNS($AD$1006:AH1006),$AD$1006:$AU$1006,0)))),"Fix")))</f>
        <v xml:space="preserve"> </v>
      </c>
      <c r="G775" s="4" t="str">
        <f ca="1">IF(OR(INDEX($X$2:$X$1001,MATCH(ROWS($W$2:W775),$W$2:$W$1001,0),1)&gt;=100000,INDEX($AD$1005:$AU$1005,1,MATCH(COLUMNS($AD$1006:AI1006),$AD$1006:$AU$1006,0))&gt;=100000), " ",IF(INDEX($AD$2:$AU$1001,MATCH(ROWS($W$2:W775),$W$2:$W$1001,0),MATCH(COLUMNS($AD$1006:AI1006),$AD$1006:$AU$1006,0)), HYPERLINK("#",""), HYPERLINK(CONCATENATE("#metadata!", ADDRESS(INDEX($Y$2:$Y$1001,MATCH(ROWS($W$2:W775),$W$2:$W$1001,0),0), INDEX($AD$1004:$AU$1004,1,MATCH(COLUMNS($AD$1006:AI1006),$AD$1006:$AU$1006,0)))),"Fix")))</f>
        <v xml:space="preserve"> </v>
      </c>
      <c r="H775" s="4" t="str">
        <f ca="1">IF(OR(INDEX($X$2:$X$1001,MATCH(ROWS($W$2:W775),$W$2:$W$1001,0),1)&gt;=100000,INDEX($AD$1005:$AU$1005,1,MATCH(COLUMNS($AD$1006:AJ1006),$AD$1006:$AU$1006,0))&gt;=100000), " ",IF(INDEX($AD$2:$AU$1001,MATCH(ROWS($W$2:W775),$W$2:$W$1001,0),MATCH(COLUMNS($AD$1006:AJ1006),$AD$1006:$AU$1006,0)), HYPERLINK("#",""), HYPERLINK(CONCATENATE("#metadata!", ADDRESS(INDEX($Y$2:$Y$1001,MATCH(ROWS($W$2:W775),$W$2:$W$1001,0),0), INDEX($AD$1004:$AU$1004,1,MATCH(COLUMNS($AD$1006:AJ1006),$AD$1006:$AU$1006,0)))),"Fix")))</f>
        <v xml:space="preserve"> </v>
      </c>
      <c r="I775" s="4" t="str">
        <f ca="1">IF(OR(INDEX($X$2:$X$1001,MATCH(ROWS($W$2:W775),$W$2:$W$1001,0),1)&gt;=100000,INDEX($AD$1005:$AU$1005,1,MATCH(COLUMNS($AD$1006:AK1006),$AD$1006:$AU$1006,0))&gt;=100000), " ",IF(INDEX($AD$2:$AU$1001,MATCH(ROWS($W$2:W775),$W$2:$W$1001,0),MATCH(COLUMNS($AD$1006:AK1006),$AD$1006:$AU$1006,0)), HYPERLINK("#",""), HYPERLINK(CONCATENATE("#metadata!", ADDRESS(INDEX($Y$2:$Y$1001,MATCH(ROWS($W$2:W775),$W$2:$W$1001,0),0), INDEX($AD$1004:$AU$1004,1,MATCH(COLUMNS($AD$1006:AK1006),$AD$1006:$AU$1006,0)))),"Fix")))</f>
        <v xml:space="preserve"> </v>
      </c>
      <c r="J775" s="4" t="str">
        <f ca="1">IF(OR(INDEX($X$2:$X$1001,MATCH(ROWS($W$2:W775),$W$2:$W$1001,0),1)&gt;=100000,INDEX($AD$1005:$AU$1005,1,MATCH(COLUMNS($AD$1006:AL1006),$AD$1006:$AU$1006,0))&gt;=100000), " ",IF(INDEX($AD$2:$AU$1001,MATCH(ROWS($W$2:W775),$W$2:$W$1001,0),MATCH(COLUMNS($AD$1006:AL1006),$AD$1006:$AU$1006,0)), HYPERLINK("#",""), HYPERLINK(CONCATENATE("#metadata!", ADDRESS(INDEX($Y$2:$Y$1001,MATCH(ROWS($W$2:W775),$W$2:$W$1001,0),0), INDEX($AD$1004:$AU$1004,1,MATCH(COLUMNS($AD$1006:AL1006),$AD$1006:$AU$1006,0)))),"Fix")))</f>
        <v xml:space="preserve"> </v>
      </c>
      <c r="K775" s="4" t="str">
        <f ca="1">IF(OR(INDEX($X$2:$X$1001,MATCH(ROWS($W$2:W775),$W$2:$W$1001,0),1)&gt;=100000,INDEX($AD$1005:$AU$1005,1,MATCH(COLUMNS($AD$1006:AM1006),$AD$1006:$AU$1006,0))&gt;=100000), " ",IF(INDEX($AD$2:$AU$1001,MATCH(ROWS($W$2:W775),$W$2:$W$1001,0),MATCH(COLUMNS($AD$1006:AM1006),$AD$1006:$AU$1006,0)), HYPERLINK("#",""), HYPERLINK(CONCATENATE("#metadata!", ADDRESS(INDEX($Y$2:$Y$1001,MATCH(ROWS($W$2:W775),$W$2:$W$1001,0),0), INDEX($AD$1004:$AU$1004,1,MATCH(COLUMNS($AD$1006:AM1006),$AD$1006:$AU$1006,0)))),"Fix")))</f>
        <v xml:space="preserve"> </v>
      </c>
      <c r="L775" s="4" t="str">
        <f ca="1">IF(OR(INDEX($X$2:$X$1001,MATCH(ROWS($W$2:W775),$W$2:$W$1001,0),1)&gt;=100000,INDEX($AD$1005:$AU$1005,1,MATCH(COLUMNS($AD$1006:AN1006),$AD$1006:$AU$1006,0))&gt;=100000), " ",IF(INDEX($AD$2:$AU$1001,MATCH(ROWS($W$2:W775),$W$2:$W$1001,0),MATCH(COLUMNS($AD$1006:AN1006),$AD$1006:$AU$1006,0)), HYPERLINK("#",""), HYPERLINK(CONCATENATE("#metadata!", ADDRESS(INDEX($Y$2:$Y$1001,MATCH(ROWS($W$2:W775),$W$2:$W$1001,0),0), INDEX($AD$1004:$AU$1004,1,MATCH(COLUMNS($AD$1006:AN1006),$AD$1006:$AU$1006,0)))),"Fix")))</f>
        <v xml:space="preserve"> </v>
      </c>
      <c r="M775" s="4" t="str">
        <f ca="1">IF(OR(INDEX($X$2:$X$1001,MATCH(ROWS($W$2:W775),$W$2:$W$1001,0),1)&gt;=100000,INDEX($AD$1005:$AU$1005,1,MATCH(COLUMNS($AD$1006:AO1006),$AD$1006:$AU$1006,0))&gt;=100000), " ",IF(INDEX($AD$2:$AU$1001,MATCH(ROWS($W$2:W775),$W$2:$W$1001,0),MATCH(COLUMNS($AD$1006:AO1006),$AD$1006:$AU$1006,0)), HYPERLINK("#",""), HYPERLINK(CONCATENATE("#metadata!", ADDRESS(INDEX($Y$2:$Y$1001,MATCH(ROWS($W$2:W775),$W$2:$W$1001,0),0), INDEX($AD$1004:$AU$1004,1,MATCH(COLUMNS($AD$1006:AO1006),$AD$1006:$AU$1006,0)))),"Fix")))</f>
        <v xml:space="preserve"> </v>
      </c>
      <c r="N775" s="4" t="str">
        <f ca="1">IF(OR(INDEX($X$2:$X$1001,MATCH(ROWS($W$2:W775),$W$2:$W$1001,0),1)&gt;=100000,INDEX($AD$1005:$AU$1005,1,MATCH(COLUMNS($AD$1006:AP1006),$AD$1006:$AU$1006,0))&gt;=100000), " ",IF(INDEX($AD$2:$AU$1001,MATCH(ROWS($W$2:W775),$W$2:$W$1001,0),MATCH(COLUMNS($AD$1006:AP1006),$AD$1006:$AU$1006,0)), HYPERLINK("#",""), HYPERLINK(CONCATENATE("#metadata!", ADDRESS(INDEX($Y$2:$Y$1001,MATCH(ROWS($W$2:W775),$W$2:$W$1001,0),0), INDEX($AD$1004:$AU$1004,1,MATCH(COLUMNS($AD$1006:AP1006),$AD$1006:$AU$1006,0)))),"Fix")))</f>
        <v xml:space="preserve"> </v>
      </c>
      <c r="O775" s="4" t="str">
        <f ca="1">IF(OR(INDEX($X$2:$X$1001,MATCH(ROWS($W$2:W775),$W$2:$W$1001,0),1)&gt;=100000,INDEX($AD$1005:$AU$1005,1,MATCH(COLUMNS($AD$1006:AQ1006),$AD$1006:$AU$1006,0))&gt;=100000), " ",IF(INDEX($AD$2:$AU$1001,MATCH(ROWS($W$2:W775),$W$2:$W$1001,0),MATCH(COLUMNS($AD$1006:AQ1006),$AD$1006:$AU$1006,0)), HYPERLINK("#",""), HYPERLINK(CONCATENATE("#metadata!", ADDRESS(INDEX($Y$2:$Y$1001,MATCH(ROWS($W$2:W775),$W$2:$W$1001,0),0), INDEX($AD$1004:$AU$1004,1,MATCH(COLUMNS($AD$1006:AQ1006),$AD$1006:$AU$1006,0)))),"Fix")))</f>
        <v xml:space="preserve"> </v>
      </c>
      <c r="P775" s="4" t="str">
        <f ca="1">IF(OR(INDEX($X$2:$X$1001,MATCH(ROWS($W$2:W775),$W$2:$W$1001,0),1)&gt;=100000,INDEX($AD$1005:$AU$1005,1,MATCH(COLUMNS($AD$1006:AR1006),$AD$1006:$AU$1006,0))&gt;=100000), " ",IF(INDEX($AD$2:$AU$1001,MATCH(ROWS($W$2:W775),$W$2:$W$1001,0),MATCH(COLUMNS($AD$1006:AR1006),$AD$1006:$AU$1006,0)), HYPERLINK("#",""), HYPERLINK(CONCATENATE("#metadata!", ADDRESS(INDEX($Y$2:$Y$1001,MATCH(ROWS($W$2:W775),$W$2:$W$1001,0),0), INDEX($AD$1004:$AU$1004,1,MATCH(COLUMNS($AD$1006:AR1006),$AD$1006:$AU$1006,0)))),"Fix")))</f>
        <v xml:space="preserve"> </v>
      </c>
      <c r="Q775" s="4" t="str">
        <f ca="1">IF(OR(INDEX($X$2:$X$1001,MATCH(ROWS($W$2:W775),$W$2:$W$1001,0),1)&gt;=100000,INDEX($AD$1005:$AU$1005,1,MATCH(COLUMNS($AD$1006:AS1006),$AD$1006:$AU$1006,0))&gt;=100000), " ",IF(INDEX($AD$2:$AU$1001,MATCH(ROWS($W$2:W775),$W$2:$W$1001,0),MATCH(COLUMNS($AD$1006:AS1006),$AD$1006:$AU$1006,0)), HYPERLINK("#",""), HYPERLINK(CONCATENATE("#metadata!", ADDRESS(INDEX($Y$2:$Y$1001,MATCH(ROWS($W$2:W775),$W$2:$W$1001,0),0), INDEX($AD$1004:$AU$1004,1,MATCH(COLUMNS($AD$1006:AS1006),$AD$1006:$AU$1006,0)))),"Fix")))</f>
        <v xml:space="preserve"> </v>
      </c>
      <c r="R775" s="4" t="str">
        <f ca="1">IF(OR(INDEX($X$2:$X$1001,MATCH(ROWS($W$2:W775),$W$2:$W$1001,0),1)&gt;=100000,INDEX($AD$1005:$AU$1005,1,MATCH(COLUMNS($AD$1006:AT1006),$AD$1006:$AU$1006,0))&gt;=100000), " ",IF(INDEX($AD$2:$AU$1001,MATCH(ROWS($W$2:W775),$W$2:$W$1001,0),MATCH(COLUMNS($AD$1006:AT1006),$AD$1006:$AU$1006,0)), HYPERLINK("#",""), HYPERLINK(CONCATENATE("#metadata!", ADDRESS(INDEX($Y$2:$Y$1001,MATCH(ROWS($W$2:W775),$W$2:$W$1001,0),0), INDEX($AD$1004:$AU$1004,1,MATCH(COLUMNS($AD$1006:AT1006),$AD$1006:$AU$1006,0)))),"Fix")))</f>
        <v xml:space="preserve"> </v>
      </c>
      <c r="S775" s="4" t="str">
        <f ca="1">IF(OR(INDEX($X$2:$X$1001,MATCH(ROWS($W$2:W775),$W$2:$W$1001,0),1)&gt;=100000,INDEX($AD$1005:$AU$1005,1,MATCH(COLUMNS($AD$1006:AU1006),$AD$1006:$AU$1006,0))&gt;=100000), " ",IF(INDEX($AD$2:$AU$1001,MATCH(ROWS($W$2:W775),$W$2:$W$1001,0),MATCH(COLUMNS($AD$1006:AU1006),$AD$1006:$AU$1006,0)), HYPERLINK("#",""), HYPERLINK(CONCATENATE("#metadata!", ADDRESS(INDEX($Y$2:$Y$1001,MATCH(ROWS($W$2:W775),$W$2:$W$1001,0),0), INDEX($AD$1004:$AU$1004,1,MATCH(COLUMNS($AD$1006:AU1006),$AD$1006:$AU$1006,0)))),"Fix")))</f>
        <v xml:space="preserve"> </v>
      </c>
      <c r="W775">
        <v>774</v>
      </c>
      <c r="X775">
        <v>100775</v>
      </c>
      <c r="Y775">
        <v>775</v>
      </c>
      <c r="Z775" t="b">
        <f t="shared" si="12"/>
        <v>1</v>
      </c>
      <c r="AA775" t="b">
        <f>COUNTBLANK(metadata!B775:S775)=COLUMNS(metadata!B775:S775)</f>
        <v>1</v>
      </c>
      <c r="AB775" t="str">
        <v/>
      </c>
      <c r="AD775" t="b">
        <f ca="1">AND(IF(metadata!B775="",FALSE,TRUE),COUNTIF(metadata!B:B, metadata!B775) = 1,NOT(ISERROR(SUMPRODUCT(SEARCH(MID(metadata!B775,ROW(INDIRECT("1:"&amp;LEN(metadata!B775))), 1),"0123456789abcdefghijklmnopqrstuvwxyzABCDEFGHIJKLMNOPQRSTUVWXYZ.")))))</f>
        <v>0</v>
      </c>
      <c r="AE775" t="b">
        <f>OR(AND(IF(metadata!C775="",FALSE,TRUE),OR(EXACT(metadata!C775,"not applicable"),EXACT(metadata!C775,"missing: not collected"),EXACT(metadata!C775,"missing: not provided"),EXACT(metadata!C775,"missing: restricted access"))),AND(IF(metadata!C775="",FALSE,ISNUMBER(VALUE(metadata!C775))),metadata!C775&gt;0))</f>
        <v>0</v>
      </c>
      <c r="AF775" t="b">
        <f>AND(IF(metadata!D775="",FALSE,TRUE),EXACT(metadata!D775,"missing: not provided"))</f>
        <v>0</v>
      </c>
      <c r="AG775" t="b">
        <f>AND(IF(metadata!E775="",FALSE,TRUE),EXACT(metadata!E775,"Host-associated"))</f>
        <v>0</v>
      </c>
      <c r="AH775" t="b">
        <f>AND(IF(metadata!F775="",FALSE,TRUE),OR(EXACT(metadata!F775,"Animal"),EXACT(metadata!F775,"Fungus"),EXACT(metadata!F775,"Plant")))</f>
        <v>0</v>
      </c>
      <c r="AI775" t="b">
        <f>AND(IF(metadata!G775="",FALSE,TRUE),OR(EXACT(metadata!G775,"Plant secretion"),EXACT(metadata!G775,"Plant rhizosphere"),EXACT(metadata!G775,"Plant surface"),EXACT(metadata!G775,"Plant corpus"),EXACT(metadata!G775,"Fungus surface"),EXACT(metadata!G775,"Fungus corpus"),EXACT(metadata!G775,"Animal surface"),EXACT(metadata!G775,"Animal proximal gut"),EXACT(metadata!G775,"Animal corpus"),EXACT(metadata!G775,"Animal distal gut"),EXACT(metadata!G775,"Animal secretion")))</f>
        <v>0</v>
      </c>
      <c r="AJ775" t="b">
        <f>OR(AND(IF(metadata!H775="",FALSE,TRUE),OR(EXACT(metadata!H775,"missing: not collected"),EXACT(metadata!H775,"missing: not provided"),EXACT(metadata!H775,"missing: restricted access"))),AND(IF(metadata!H775="",FALSE,TRUE),OR(EXACT(metadata!H775,"organism-associated habitat"),EXACT(metadata!H775,"plant-associated habitat"),EXACT(metadata!H775,"animal-associated habitat"),EXACT(metadata!H775,"insecta-associated habitat"),EXACT(metadata!H775,"mammalia-associated habitat"),EXACT(metadata!H775,"human-associated habitat"),EXACT(metadata!H775,"livestock-associated habitat"))))</f>
        <v>0</v>
      </c>
      <c r="AK775" t="b">
        <f>AND(IF(metadata!I775="",FALSE,TRUE),EXACT(metadata!I775,"host-associated"))</f>
        <v>0</v>
      </c>
      <c r="AL775" t="b">
        <f>OR(AND(IF(metadata!J775="",FALSE,TRUE),OR(EXACT(metadata!J775,"not applicable"),EXACT(metadata!J775,"missing: not collected"),EXACT(metadata!J775,"missing: not provided"),EXACT(metadata!J775,"missing: restricted access"))),AND(IF(metadata!J775="",FALSE,ISNUMBER(VALUE(metadata!J775))),metadata!J775&gt;0))</f>
        <v>0</v>
      </c>
      <c r="AM775" t="b">
        <f>AND(IF(metadata!K775="",FALSE,TRUE),EXACT(metadata!K775,"missing: not provided"))</f>
        <v>0</v>
      </c>
      <c r="AN775" t="b">
        <f>IF(metadata!L775="",FALSE,TRUE)</f>
        <v>0</v>
      </c>
      <c r="AO775" t="b">
        <f>IF(metadata!M775="",FALSE,TRUE)</f>
        <v>0</v>
      </c>
      <c r="AP775" t="b">
        <f>OR(AND(IF(metadata!N775="",FALSE,TRUE),OR(EXACT(metadata!N775,"not applicable"),EXACT(metadata!N775,"missing: not collected"),EXACT(metadata!N775,"missing: not provided"))),AND(IF(metadata!N775="",FALSE,IF(ISERROR(INT(metadata!N775)),FALSE,INT(metadata!N775)=metadata!N775)),metadata!N775&gt;0))</f>
        <v>0</v>
      </c>
      <c r="AQ775" t="b">
        <f>AND(IF(metadata!O775="",FALSE,TRUE),EXACT(metadata!O775,"Not applicable"))</f>
        <v>0</v>
      </c>
      <c r="AR775" t="b">
        <f>OR(AND(IF(metadata!P775="",FALSE,TRUE),OR(EXACT(metadata!P775,"not applicable"),EXACT(metadata!P775,"missing: not collected"),EXACT(metadata!P775,"missing: not provided"),EXACT(metadata!P775,"missing: restricted access"))),IF(metadata!P775="",FALSE,IF(ISERROR(INT(metadata!P775)),FALSE,INT(metadata!P775)=metadata!P775)))</f>
        <v>0</v>
      </c>
      <c r="AS775" t="b">
        <f>AND(IF(metadata!Q775="",FALSE,TRUE),EXACT(metadata!Q775,"Not applicable"))</f>
        <v>0</v>
      </c>
      <c r="AT775" t="b">
        <f>OR(AND(IF(metadata!R775="",FALSE,TRUE),OR(EXACT(metadata!R775,"not applicable"),EXACT(metadata!R775,"missing: not collected"),EXACT(metadata!R775,"missing: not provided"),EXACT(metadata!R775,"missing: restricted access"))),AND(IF(metadata!R775="",FALSE,ISNUMBER(VALUE(metadata!R775))),metadata!R775&gt;0))</f>
        <v>0</v>
      </c>
      <c r="AU775" t="b">
        <f>AND(IF(metadata!S775="",FALSE,TRUE),EXACT(metadata!S775,"missing: not provided"))</f>
        <v>0</v>
      </c>
    </row>
    <row r="776" spans="1:47" x14ac:dyDescent="0.2">
      <c r="A776" s="5" t="str">
        <f ca="1">IF(B776=" "," ",HYPERLINK(CONCATENATE("#metadata!",ADDRESS(INDEX($Y$2:$Y$1001,MATCH(ROWS($W$2:W776),$W$2:$W$1001,0),0),1)),INDEX($AB$2:$AB$1001,MATCH(ROWS($W$2:W776),$W$2:$W$1001,0),0)))</f>
        <v xml:space="preserve"> </v>
      </c>
      <c r="B776" s="4" t="str">
        <f ca="1">IF(OR(INDEX($X$2:$X$1001,MATCH(ROWS($W$2:W776),$W$2:$W$1001,0),1)&gt;=100000,INDEX($AD$1005:$AU$1005,1,MATCH(COLUMNS($AD$1006:AD1006),$AD$1006:$AU$1006,0))&gt;=100000), " ",IF(INDEX($AD$2:$AU$1001,MATCH(ROWS($W$2:W776),$W$2:$W$1001,0),MATCH(COLUMNS($AD$1006:AD1006),$AD$1006:$AU$1006,0)), HYPERLINK("#",""), HYPERLINK(CONCATENATE("#metadata!", ADDRESS(INDEX($Y$2:$Y$1001,MATCH(ROWS($W$2:W776),$W$2:$W$1001,0),0), INDEX($AD$1004:$AU$1004,1,MATCH(COLUMNS($AD$1006:AD1006),$AD$1006:$AU$1006,0)))),"Fix")))</f>
        <v xml:space="preserve"> </v>
      </c>
      <c r="C776" s="4" t="str">
        <f ca="1">IF(OR(INDEX($X$2:$X$1001,MATCH(ROWS($W$2:W776),$W$2:$W$1001,0),1)&gt;=100000,INDEX($AD$1005:$AU$1005,1,MATCH(COLUMNS($AD$1006:AE1006),$AD$1006:$AU$1006,0))&gt;=100000), " ",IF(INDEX($AD$2:$AU$1001,MATCH(ROWS($W$2:W776),$W$2:$W$1001,0),MATCH(COLUMNS($AD$1006:AE1006),$AD$1006:$AU$1006,0)), HYPERLINK("#",""), HYPERLINK(CONCATENATE("#metadata!", ADDRESS(INDEX($Y$2:$Y$1001,MATCH(ROWS($W$2:W776),$W$2:$W$1001,0),0), INDEX($AD$1004:$AU$1004,1,MATCH(COLUMNS($AD$1006:AE1006),$AD$1006:$AU$1006,0)))),"Fix")))</f>
        <v xml:space="preserve"> </v>
      </c>
      <c r="D776" s="4" t="str">
        <f ca="1">IF(OR(INDEX($X$2:$X$1001,MATCH(ROWS($W$2:W776),$W$2:$W$1001,0),1)&gt;=100000,INDEX($AD$1005:$AU$1005,1,MATCH(COLUMNS($AD$1006:AF1006),$AD$1006:$AU$1006,0))&gt;=100000), " ",IF(INDEX($AD$2:$AU$1001,MATCH(ROWS($W$2:W776),$W$2:$W$1001,0),MATCH(COLUMNS($AD$1006:AF1006),$AD$1006:$AU$1006,0)), HYPERLINK("#",""), HYPERLINK(CONCATENATE("#metadata!", ADDRESS(INDEX($Y$2:$Y$1001,MATCH(ROWS($W$2:W776),$W$2:$W$1001,0),0), INDEX($AD$1004:$AU$1004,1,MATCH(COLUMNS($AD$1006:AF1006),$AD$1006:$AU$1006,0)))),"Fix")))</f>
        <v xml:space="preserve"> </v>
      </c>
      <c r="E776" s="4" t="str">
        <f ca="1">IF(OR(INDEX($X$2:$X$1001,MATCH(ROWS($W$2:W776),$W$2:$W$1001,0),1)&gt;=100000,INDEX($AD$1005:$AU$1005,1,MATCH(COLUMNS($AD$1006:AG1006),$AD$1006:$AU$1006,0))&gt;=100000), " ",IF(INDEX($AD$2:$AU$1001,MATCH(ROWS($W$2:W776),$W$2:$W$1001,0),MATCH(COLUMNS($AD$1006:AG1006),$AD$1006:$AU$1006,0)), HYPERLINK("#",""), HYPERLINK(CONCATENATE("#metadata!", ADDRESS(INDEX($Y$2:$Y$1001,MATCH(ROWS($W$2:W776),$W$2:$W$1001,0),0), INDEX($AD$1004:$AU$1004,1,MATCH(COLUMNS($AD$1006:AG1006),$AD$1006:$AU$1006,0)))),"Fix")))</f>
        <v xml:space="preserve"> </v>
      </c>
      <c r="F776" s="4" t="str">
        <f ca="1">IF(OR(INDEX($X$2:$X$1001,MATCH(ROWS($W$2:W776),$W$2:$W$1001,0),1)&gt;=100000,INDEX($AD$1005:$AU$1005,1,MATCH(COLUMNS($AD$1006:AH1006),$AD$1006:$AU$1006,0))&gt;=100000), " ",IF(INDEX($AD$2:$AU$1001,MATCH(ROWS($W$2:W776),$W$2:$W$1001,0),MATCH(COLUMNS($AD$1006:AH1006),$AD$1006:$AU$1006,0)), HYPERLINK("#",""), HYPERLINK(CONCATENATE("#metadata!", ADDRESS(INDEX($Y$2:$Y$1001,MATCH(ROWS($W$2:W776),$W$2:$W$1001,0),0), INDEX($AD$1004:$AU$1004,1,MATCH(COLUMNS($AD$1006:AH1006),$AD$1006:$AU$1006,0)))),"Fix")))</f>
        <v xml:space="preserve"> </v>
      </c>
      <c r="G776" s="4" t="str">
        <f ca="1">IF(OR(INDEX($X$2:$X$1001,MATCH(ROWS($W$2:W776),$W$2:$W$1001,0),1)&gt;=100000,INDEX($AD$1005:$AU$1005,1,MATCH(COLUMNS($AD$1006:AI1006),$AD$1006:$AU$1006,0))&gt;=100000), " ",IF(INDEX($AD$2:$AU$1001,MATCH(ROWS($W$2:W776),$W$2:$W$1001,0),MATCH(COLUMNS($AD$1006:AI1006),$AD$1006:$AU$1006,0)), HYPERLINK("#",""), HYPERLINK(CONCATENATE("#metadata!", ADDRESS(INDEX($Y$2:$Y$1001,MATCH(ROWS($W$2:W776),$W$2:$W$1001,0),0), INDEX($AD$1004:$AU$1004,1,MATCH(COLUMNS($AD$1006:AI1006),$AD$1006:$AU$1006,0)))),"Fix")))</f>
        <v xml:space="preserve"> </v>
      </c>
      <c r="H776" s="4" t="str">
        <f ca="1">IF(OR(INDEX($X$2:$X$1001,MATCH(ROWS($W$2:W776),$W$2:$W$1001,0),1)&gt;=100000,INDEX($AD$1005:$AU$1005,1,MATCH(COLUMNS($AD$1006:AJ1006),$AD$1006:$AU$1006,0))&gt;=100000), " ",IF(INDEX($AD$2:$AU$1001,MATCH(ROWS($W$2:W776),$W$2:$W$1001,0),MATCH(COLUMNS($AD$1006:AJ1006),$AD$1006:$AU$1006,0)), HYPERLINK("#",""), HYPERLINK(CONCATENATE("#metadata!", ADDRESS(INDEX($Y$2:$Y$1001,MATCH(ROWS($W$2:W776),$W$2:$W$1001,0),0), INDEX($AD$1004:$AU$1004,1,MATCH(COLUMNS($AD$1006:AJ1006),$AD$1006:$AU$1006,0)))),"Fix")))</f>
        <v xml:space="preserve"> </v>
      </c>
      <c r="I776" s="4" t="str">
        <f ca="1">IF(OR(INDEX($X$2:$X$1001,MATCH(ROWS($W$2:W776),$W$2:$W$1001,0),1)&gt;=100000,INDEX($AD$1005:$AU$1005,1,MATCH(COLUMNS($AD$1006:AK1006),$AD$1006:$AU$1006,0))&gt;=100000), " ",IF(INDEX($AD$2:$AU$1001,MATCH(ROWS($W$2:W776),$W$2:$W$1001,0),MATCH(COLUMNS($AD$1006:AK1006),$AD$1006:$AU$1006,0)), HYPERLINK("#",""), HYPERLINK(CONCATENATE("#metadata!", ADDRESS(INDEX($Y$2:$Y$1001,MATCH(ROWS($W$2:W776),$W$2:$W$1001,0),0), INDEX($AD$1004:$AU$1004,1,MATCH(COLUMNS($AD$1006:AK1006),$AD$1006:$AU$1006,0)))),"Fix")))</f>
        <v xml:space="preserve"> </v>
      </c>
      <c r="J776" s="4" t="str">
        <f ca="1">IF(OR(INDEX($X$2:$X$1001,MATCH(ROWS($W$2:W776),$W$2:$W$1001,0),1)&gt;=100000,INDEX($AD$1005:$AU$1005,1,MATCH(COLUMNS($AD$1006:AL1006),$AD$1006:$AU$1006,0))&gt;=100000), " ",IF(INDEX($AD$2:$AU$1001,MATCH(ROWS($W$2:W776),$W$2:$W$1001,0),MATCH(COLUMNS($AD$1006:AL1006),$AD$1006:$AU$1006,0)), HYPERLINK("#",""), HYPERLINK(CONCATENATE("#metadata!", ADDRESS(INDEX($Y$2:$Y$1001,MATCH(ROWS($W$2:W776),$W$2:$W$1001,0),0), INDEX($AD$1004:$AU$1004,1,MATCH(COLUMNS($AD$1006:AL1006),$AD$1006:$AU$1006,0)))),"Fix")))</f>
        <v xml:space="preserve"> </v>
      </c>
      <c r="K776" s="4" t="str">
        <f ca="1">IF(OR(INDEX($X$2:$X$1001,MATCH(ROWS($W$2:W776),$W$2:$W$1001,0),1)&gt;=100000,INDEX($AD$1005:$AU$1005,1,MATCH(COLUMNS($AD$1006:AM1006),$AD$1006:$AU$1006,0))&gt;=100000), " ",IF(INDEX($AD$2:$AU$1001,MATCH(ROWS($W$2:W776),$W$2:$W$1001,0),MATCH(COLUMNS($AD$1006:AM1006),$AD$1006:$AU$1006,0)), HYPERLINK("#",""), HYPERLINK(CONCATENATE("#metadata!", ADDRESS(INDEX($Y$2:$Y$1001,MATCH(ROWS($W$2:W776),$W$2:$W$1001,0),0), INDEX($AD$1004:$AU$1004,1,MATCH(COLUMNS($AD$1006:AM1006),$AD$1006:$AU$1006,0)))),"Fix")))</f>
        <v xml:space="preserve"> </v>
      </c>
      <c r="L776" s="4" t="str">
        <f ca="1">IF(OR(INDEX($X$2:$X$1001,MATCH(ROWS($W$2:W776),$W$2:$W$1001,0),1)&gt;=100000,INDEX($AD$1005:$AU$1005,1,MATCH(COLUMNS($AD$1006:AN1006),$AD$1006:$AU$1006,0))&gt;=100000), " ",IF(INDEX($AD$2:$AU$1001,MATCH(ROWS($W$2:W776),$W$2:$W$1001,0),MATCH(COLUMNS($AD$1006:AN1006),$AD$1006:$AU$1006,0)), HYPERLINK("#",""), HYPERLINK(CONCATENATE("#metadata!", ADDRESS(INDEX($Y$2:$Y$1001,MATCH(ROWS($W$2:W776),$W$2:$W$1001,0),0), INDEX($AD$1004:$AU$1004,1,MATCH(COLUMNS($AD$1006:AN1006),$AD$1006:$AU$1006,0)))),"Fix")))</f>
        <v xml:space="preserve"> </v>
      </c>
      <c r="M776" s="4" t="str">
        <f ca="1">IF(OR(INDEX($X$2:$X$1001,MATCH(ROWS($W$2:W776),$W$2:$W$1001,0),1)&gt;=100000,INDEX($AD$1005:$AU$1005,1,MATCH(COLUMNS($AD$1006:AO1006),$AD$1006:$AU$1006,0))&gt;=100000), " ",IF(INDEX($AD$2:$AU$1001,MATCH(ROWS($W$2:W776),$W$2:$W$1001,0),MATCH(COLUMNS($AD$1006:AO1006),$AD$1006:$AU$1006,0)), HYPERLINK("#",""), HYPERLINK(CONCATENATE("#metadata!", ADDRESS(INDEX($Y$2:$Y$1001,MATCH(ROWS($W$2:W776),$W$2:$W$1001,0),0), INDEX($AD$1004:$AU$1004,1,MATCH(COLUMNS($AD$1006:AO1006),$AD$1006:$AU$1006,0)))),"Fix")))</f>
        <v xml:space="preserve"> </v>
      </c>
      <c r="N776" s="4" t="str">
        <f ca="1">IF(OR(INDEX($X$2:$X$1001,MATCH(ROWS($W$2:W776),$W$2:$W$1001,0),1)&gt;=100000,INDEX($AD$1005:$AU$1005,1,MATCH(COLUMNS($AD$1006:AP1006),$AD$1006:$AU$1006,0))&gt;=100000), " ",IF(INDEX($AD$2:$AU$1001,MATCH(ROWS($W$2:W776),$W$2:$W$1001,0),MATCH(COLUMNS($AD$1006:AP1006),$AD$1006:$AU$1006,0)), HYPERLINK("#",""), HYPERLINK(CONCATENATE("#metadata!", ADDRESS(INDEX($Y$2:$Y$1001,MATCH(ROWS($W$2:W776),$W$2:$W$1001,0),0), INDEX($AD$1004:$AU$1004,1,MATCH(COLUMNS($AD$1006:AP1006),$AD$1006:$AU$1006,0)))),"Fix")))</f>
        <v xml:space="preserve"> </v>
      </c>
      <c r="O776" s="4" t="str">
        <f ca="1">IF(OR(INDEX($X$2:$X$1001,MATCH(ROWS($W$2:W776),$W$2:$W$1001,0),1)&gt;=100000,INDEX($AD$1005:$AU$1005,1,MATCH(COLUMNS($AD$1006:AQ1006),$AD$1006:$AU$1006,0))&gt;=100000), " ",IF(INDEX($AD$2:$AU$1001,MATCH(ROWS($W$2:W776),$W$2:$W$1001,0),MATCH(COLUMNS($AD$1006:AQ1006),$AD$1006:$AU$1006,0)), HYPERLINK("#",""), HYPERLINK(CONCATENATE("#metadata!", ADDRESS(INDEX($Y$2:$Y$1001,MATCH(ROWS($W$2:W776),$W$2:$W$1001,0),0), INDEX($AD$1004:$AU$1004,1,MATCH(COLUMNS($AD$1006:AQ1006),$AD$1006:$AU$1006,0)))),"Fix")))</f>
        <v xml:space="preserve"> </v>
      </c>
      <c r="P776" s="4" t="str">
        <f ca="1">IF(OR(INDEX($X$2:$X$1001,MATCH(ROWS($W$2:W776),$W$2:$W$1001,0),1)&gt;=100000,INDEX($AD$1005:$AU$1005,1,MATCH(COLUMNS($AD$1006:AR1006),$AD$1006:$AU$1006,0))&gt;=100000), " ",IF(INDEX($AD$2:$AU$1001,MATCH(ROWS($W$2:W776),$W$2:$W$1001,0),MATCH(COLUMNS($AD$1006:AR1006),$AD$1006:$AU$1006,0)), HYPERLINK("#",""), HYPERLINK(CONCATENATE("#metadata!", ADDRESS(INDEX($Y$2:$Y$1001,MATCH(ROWS($W$2:W776),$W$2:$W$1001,0),0), INDEX($AD$1004:$AU$1004,1,MATCH(COLUMNS($AD$1006:AR1006),$AD$1006:$AU$1006,0)))),"Fix")))</f>
        <v xml:space="preserve"> </v>
      </c>
      <c r="Q776" s="4" t="str">
        <f ca="1">IF(OR(INDEX($X$2:$X$1001,MATCH(ROWS($W$2:W776),$W$2:$W$1001,0),1)&gt;=100000,INDEX($AD$1005:$AU$1005,1,MATCH(COLUMNS($AD$1006:AS1006),$AD$1006:$AU$1006,0))&gt;=100000), " ",IF(INDEX($AD$2:$AU$1001,MATCH(ROWS($W$2:W776),$W$2:$W$1001,0),MATCH(COLUMNS($AD$1006:AS1006),$AD$1006:$AU$1006,0)), HYPERLINK("#",""), HYPERLINK(CONCATENATE("#metadata!", ADDRESS(INDEX($Y$2:$Y$1001,MATCH(ROWS($W$2:W776),$W$2:$W$1001,0),0), INDEX($AD$1004:$AU$1004,1,MATCH(COLUMNS($AD$1006:AS1006),$AD$1006:$AU$1006,0)))),"Fix")))</f>
        <v xml:space="preserve"> </v>
      </c>
      <c r="R776" s="4" t="str">
        <f ca="1">IF(OR(INDEX($X$2:$X$1001,MATCH(ROWS($W$2:W776),$W$2:$W$1001,0),1)&gt;=100000,INDEX($AD$1005:$AU$1005,1,MATCH(COLUMNS($AD$1006:AT1006),$AD$1006:$AU$1006,0))&gt;=100000), " ",IF(INDEX($AD$2:$AU$1001,MATCH(ROWS($W$2:W776),$W$2:$W$1001,0),MATCH(COLUMNS($AD$1006:AT1006),$AD$1006:$AU$1006,0)), HYPERLINK("#",""), HYPERLINK(CONCATENATE("#metadata!", ADDRESS(INDEX($Y$2:$Y$1001,MATCH(ROWS($W$2:W776),$W$2:$W$1001,0),0), INDEX($AD$1004:$AU$1004,1,MATCH(COLUMNS($AD$1006:AT1006),$AD$1006:$AU$1006,0)))),"Fix")))</f>
        <v xml:space="preserve"> </v>
      </c>
      <c r="S776" s="4" t="str">
        <f ca="1">IF(OR(INDEX($X$2:$X$1001,MATCH(ROWS($W$2:W776),$W$2:$W$1001,0),1)&gt;=100000,INDEX($AD$1005:$AU$1005,1,MATCH(COLUMNS($AD$1006:AU1006),$AD$1006:$AU$1006,0))&gt;=100000), " ",IF(INDEX($AD$2:$AU$1001,MATCH(ROWS($W$2:W776),$W$2:$W$1001,0),MATCH(COLUMNS($AD$1006:AU1006),$AD$1006:$AU$1006,0)), HYPERLINK("#",""), HYPERLINK(CONCATENATE("#metadata!", ADDRESS(INDEX($Y$2:$Y$1001,MATCH(ROWS($W$2:W776),$W$2:$W$1001,0),0), INDEX($AD$1004:$AU$1004,1,MATCH(COLUMNS($AD$1006:AU1006),$AD$1006:$AU$1006,0)))),"Fix")))</f>
        <v xml:space="preserve"> </v>
      </c>
      <c r="W776">
        <v>775</v>
      </c>
      <c r="X776">
        <v>100776</v>
      </c>
      <c r="Y776">
        <v>776</v>
      </c>
      <c r="Z776" t="b">
        <f t="shared" si="12"/>
        <v>1</v>
      </c>
      <c r="AA776" t="b">
        <f>COUNTBLANK(metadata!B776:S776)=COLUMNS(metadata!B776:S776)</f>
        <v>1</v>
      </c>
      <c r="AB776" t="str">
        <v/>
      </c>
      <c r="AD776" t="b">
        <f ca="1">AND(IF(metadata!B776="",FALSE,TRUE),COUNTIF(metadata!B:B, metadata!B776) = 1,NOT(ISERROR(SUMPRODUCT(SEARCH(MID(metadata!B776,ROW(INDIRECT("1:"&amp;LEN(metadata!B776))), 1),"0123456789abcdefghijklmnopqrstuvwxyzABCDEFGHIJKLMNOPQRSTUVWXYZ.")))))</f>
        <v>0</v>
      </c>
      <c r="AE776" t="b">
        <f>OR(AND(IF(metadata!C776="",FALSE,TRUE),OR(EXACT(metadata!C776,"not applicable"),EXACT(metadata!C776,"missing: not collected"),EXACT(metadata!C776,"missing: not provided"),EXACT(metadata!C776,"missing: restricted access"))),AND(IF(metadata!C776="",FALSE,ISNUMBER(VALUE(metadata!C776))),metadata!C776&gt;0))</f>
        <v>0</v>
      </c>
      <c r="AF776" t="b">
        <f>AND(IF(metadata!D776="",FALSE,TRUE),EXACT(metadata!D776,"missing: not provided"))</f>
        <v>0</v>
      </c>
      <c r="AG776" t="b">
        <f>AND(IF(metadata!E776="",FALSE,TRUE),EXACT(metadata!E776,"Host-associated"))</f>
        <v>0</v>
      </c>
      <c r="AH776" t="b">
        <f>AND(IF(metadata!F776="",FALSE,TRUE),OR(EXACT(metadata!F776,"Animal"),EXACT(metadata!F776,"Fungus"),EXACT(metadata!F776,"Plant")))</f>
        <v>0</v>
      </c>
      <c r="AI776" t="b">
        <f>AND(IF(metadata!G776="",FALSE,TRUE),OR(EXACT(metadata!G776,"Plant secretion"),EXACT(metadata!G776,"Plant rhizosphere"),EXACT(metadata!G776,"Plant surface"),EXACT(metadata!G776,"Plant corpus"),EXACT(metadata!G776,"Fungus surface"),EXACT(metadata!G776,"Fungus corpus"),EXACT(metadata!G776,"Animal surface"),EXACT(metadata!G776,"Animal proximal gut"),EXACT(metadata!G776,"Animal corpus"),EXACT(metadata!G776,"Animal distal gut"),EXACT(metadata!G776,"Animal secretion")))</f>
        <v>0</v>
      </c>
      <c r="AJ776" t="b">
        <f>OR(AND(IF(metadata!H776="",FALSE,TRUE),OR(EXACT(metadata!H776,"missing: not collected"),EXACT(metadata!H776,"missing: not provided"),EXACT(metadata!H776,"missing: restricted access"))),AND(IF(metadata!H776="",FALSE,TRUE),OR(EXACT(metadata!H776,"organism-associated habitat"),EXACT(metadata!H776,"plant-associated habitat"),EXACT(metadata!H776,"animal-associated habitat"),EXACT(metadata!H776,"insecta-associated habitat"),EXACT(metadata!H776,"mammalia-associated habitat"),EXACT(metadata!H776,"human-associated habitat"),EXACT(metadata!H776,"livestock-associated habitat"))))</f>
        <v>0</v>
      </c>
      <c r="AK776" t="b">
        <f>AND(IF(metadata!I776="",FALSE,TRUE),EXACT(metadata!I776,"host-associated"))</f>
        <v>0</v>
      </c>
      <c r="AL776" t="b">
        <f>OR(AND(IF(metadata!J776="",FALSE,TRUE),OR(EXACT(metadata!J776,"not applicable"),EXACT(metadata!J776,"missing: not collected"),EXACT(metadata!J776,"missing: not provided"),EXACT(metadata!J776,"missing: restricted access"))),AND(IF(metadata!J776="",FALSE,ISNUMBER(VALUE(metadata!J776))),metadata!J776&gt;0))</f>
        <v>0</v>
      </c>
      <c r="AM776" t="b">
        <f>AND(IF(metadata!K776="",FALSE,TRUE),EXACT(metadata!K776,"missing: not provided"))</f>
        <v>0</v>
      </c>
      <c r="AN776" t="b">
        <f>IF(metadata!L776="",FALSE,TRUE)</f>
        <v>0</v>
      </c>
      <c r="AO776" t="b">
        <f>IF(metadata!M776="",FALSE,TRUE)</f>
        <v>0</v>
      </c>
      <c r="AP776" t="b">
        <f>OR(AND(IF(metadata!N776="",FALSE,TRUE),OR(EXACT(metadata!N776,"not applicable"),EXACT(metadata!N776,"missing: not collected"),EXACT(metadata!N776,"missing: not provided"))),AND(IF(metadata!N776="",FALSE,IF(ISERROR(INT(metadata!N776)),FALSE,INT(metadata!N776)=metadata!N776)),metadata!N776&gt;0))</f>
        <v>0</v>
      </c>
      <c r="AQ776" t="b">
        <f>AND(IF(metadata!O776="",FALSE,TRUE),EXACT(metadata!O776,"Not applicable"))</f>
        <v>0</v>
      </c>
      <c r="AR776" t="b">
        <f>OR(AND(IF(metadata!P776="",FALSE,TRUE),OR(EXACT(metadata!P776,"not applicable"),EXACT(metadata!P776,"missing: not collected"),EXACT(metadata!P776,"missing: not provided"),EXACT(metadata!P776,"missing: restricted access"))),IF(metadata!P776="",FALSE,IF(ISERROR(INT(metadata!P776)),FALSE,INT(metadata!P776)=metadata!P776)))</f>
        <v>0</v>
      </c>
      <c r="AS776" t="b">
        <f>AND(IF(metadata!Q776="",FALSE,TRUE),EXACT(metadata!Q776,"Not applicable"))</f>
        <v>0</v>
      </c>
      <c r="AT776" t="b">
        <f>OR(AND(IF(metadata!R776="",FALSE,TRUE),OR(EXACT(metadata!R776,"not applicable"),EXACT(metadata!R776,"missing: not collected"),EXACT(metadata!R776,"missing: not provided"),EXACT(metadata!R776,"missing: restricted access"))),AND(IF(metadata!R776="",FALSE,ISNUMBER(VALUE(metadata!R776))),metadata!R776&gt;0))</f>
        <v>0</v>
      </c>
      <c r="AU776" t="b">
        <f>AND(IF(metadata!S776="",FALSE,TRUE),EXACT(metadata!S776,"missing: not provided"))</f>
        <v>0</v>
      </c>
    </row>
    <row r="777" spans="1:47" x14ac:dyDescent="0.2">
      <c r="A777" s="5" t="str">
        <f ca="1">IF(B777=" "," ",HYPERLINK(CONCATENATE("#metadata!",ADDRESS(INDEX($Y$2:$Y$1001,MATCH(ROWS($W$2:W777),$W$2:$W$1001,0),0),1)),INDEX($AB$2:$AB$1001,MATCH(ROWS($W$2:W777),$W$2:$W$1001,0),0)))</f>
        <v xml:space="preserve"> </v>
      </c>
      <c r="B777" s="4" t="str">
        <f ca="1">IF(OR(INDEX($X$2:$X$1001,MATCH(ROWS($W$2:W777),$W$2:$W$1001,0),1)&gt;=100000,INDEX($AD$1005:$AU$1005,1,MATCH(COLUMNS($AD$1006:AD1006),$AD$1006:$AU$1006,0))&gt;=100000), " ",IF(INDEX($AD$2:$AU$1001,MATCH(ROWS($W$2:W777),$W$2:$W$1001,0),MATCH(COLUMNS($AD$1006:AD1006),$AD$1006:$AU$1006,0)), HYPERLINK("#",""), HYPERLINK(CONCATENATE("#metadata!", ADDRESS(INDEX($Y$2:$Y$1001,MATCH(ROWS($W$2:W777),$W$2:$W$1001,0),0), INDEX($AD$1004:$AU$1004,1,MATCH(COLUMNS($AD$1006:AD1006),$AD$1006:$AU$1006,0)))),"Fix")))</f>
        <v xml:space="preserve"> </v>
      </c>
      <c r="C777" s="4" t="str">
        <f ca="1">IF(OR(INDEX($X$2:$X$1001,MATCH(ROWS($W$2:W777),$W$2:$W$1001,0),1)&gt;=100000,INDEX($AD$1005:$AU$1005,1,MATCH(COLUMNS($AD$1006:AE1006),$AD$1006:$AU$1006,0))&gt;=100000), " ",IF(INDEX($AD$2:$AU$1001,MATCH(ROWS($W$2:W777),$W$2:$W$1001,0),MATCH(COLUMNS($AD$1006:AE1006),$AD$1006:$AU$1006,0)), HYPERLINK("#",""), HYPERLINK(CONCATENATE("#metadata!", ADDRESS(INDEX($Y$2:$Y$1001,MATCH(ROWS($W$2:W777),$W$2:$W$1001,0),0), INDEX($AD$1004:$AU$1004,1,MATCH(COLUMNS($AD$1006:AE1006),$AD$1006:$AU$1006,0)))),"Fix")))</f>
        <v xml:space="preserve"> </v>
      </c>
      <c r="D777" s="4" t="str">
        <f ca="1">IF(OR(INDEX($X$2:$X$1001,MATCH(ROWS($W$2:W777),$W$2:$W$1001,0),1)&gt;=100000,INDEX($AD$1005:$AU$1005,1,MATCH(COLUMNS($AD$1006:AF1006),$AD$1006:$AU$1006,0))&gt;=100000), " ",IF(INDEX($AD$2:$AU$1001,MATCH(ROWS($W$2:W777),$W$2:$W$1001,0),MATCH(COLUMNS($AD$1006:AF1006),$AD$1006:$AU$1006,0)), HYPERLINK("#",""), HYPERLINK(CONCATENATE("#metadata!", ADDRESS(INDEX($Y$2:$Y$1001,MATCH(ROWS($W$2:W777),$W$2:$W$1001,0),0), INDEX($AD$1004:$AU$1004,1,MATCH(COLUMNS($AD$1006:AF1006),$AD$1006:$AU$1006,0)))),"Fix")))</f>
        <v xml:space="preserve"> </v>
      </c>
      <c r="E777" s="4" t="str">
        <f ca="1">IF(OR(INDEX($X$2:$X$1001,MATCH(ROWS($W$2:W777),$W$2:$W$1001,0),1)&gt;=100000,INDEX($AD$1005:$AU$1005,1,MATCH(COLUMNS($AD$1006:AG1006),$AD$1006:$AU$1006,0))&gt;=100000), " ",IF(INDEX($AD$2:$AU$1001,MATCH(ROWS($W$2:W777),$W$2:$W$1001,0),MATCH(COLUMNS($AD$1006:AG1006),$AD$1006:$AU$1006,0)), HYPERLINK("#",""), HYPERLINK(CONCATENATE("#metadata!", ADDRESS(INDEX($Y$2:$Y$1001,MATCH(ROWS($W$2:W777),$W$2:$W$1001,0),0), INDEX($AD$1004:$AU$1004,1,MATCH(COLUMNS($AD$1006:AG1006),$AD$1006:$AU$1006,0)))),"Fix")))</f>
        <v xml:space="preserve"> </v>
      </c>
      <c r="F777" s="4" t="str">
        <f ca="1">IF(OR(INDEX($X$2:$X$1001,MATCH(ROWS($W$2:W777),$W$2:$W$1001,0),1)&gt;=100000,INDEX($AD$1005:$AU$1005,1,MATCH(COLUMNS($AD$1006:AH1006),$AD$1006:$AU$1006,0))&gt;=100000), " ",IF(INDEX($AD$2:$AU$1001,MATCH(ROWS($W$2:W777),$W$2:$W$1001,0),MATCH(COLUMNS($AD$1006:AH1006),$AD$1006:$AU$1006,0)), HYPERLINK("#",""), HYPERLINK(CONCATENATE("#metadata!", ADDRESS(INDEX($Y$2:$Y$1001,MATCH(ROWS($W$2:W777),$W$2:$W$1001,0),0), INDEX($AD$1004:$AU$1004,1,MATCH(COLUMNS($AD$1006:AH1006),$AD$1006:$AU$1006,0)))),"Fix")))</f>
        <v xml:space="preserve"> </v>
      </c>
      <c r="G777" s="4" t="str">
        <f ca="1">IF(OR(INDEX($X$2:$X$1001,MATCH(ROWS($W$2:W777),$W$2:$W$1001,0),1)&gt;=100000,INDEX($AD$1005:$AU$1005,1,MATCH(COLUMNS($AD$1006:AI1006),$AD$1006:$AU$1006,0))&gt;=100000), " ",IF(INDEX($AD$2:$AU$1001,MATCH(ROWS($W$2:W777),$W$2:$W$1001,0),MATCH(COLUMNS($AD$1006:AI1006),$AD$1006:$AU$1006,0)), HYPERLINK("#",""), HYPERLINK(CONCATENATE("#metadata!", ADDRESS(INDEX($Y$2:$Y$1001,MATCH(ROWS($W$2:W777),$W$2:$W$1001,0),0), INDEX($AD$1004:$AU$1004,1,MATCH(COLUMNS($AD$1006:AI1006),$AD$1006:$AU$1006,0)))),"Fix")))</f>
        <v xml:space="preserve"> </v>
      </c>
      <c r="H777" s="4" t="str">
        <f ca="1">IF(OR(INDEX($X$2:$X$1001,MATCH(ROWS($W$2:W777),$W$2:$W$1001,0),1)&gt;=100000,INDEX($AD$1005:$AU$1005,1,MATCH(COLUMNS($AD$1006:AJ1006),$AD$1006:$AU$1006,0))&gt;=100000), " ",IF(INDEX($AD$2:$AU$1001,MATCH(ROWS($W$2:W777),$W$2:$W$1001,0),MATCH(COLUMNS($AD$1006:AJ1006),$AD$1006:$AU$1006,0)), HYPERLINK("#",""), HYPERLINK(CONCATENATE("#metadata!", ADDRESS(INDEX($Y$2:$Y$1001,MATCH(ROWS($W$2:W777),$W$2:$W$1001,0),0), INDEX($AD$1004:$AU$1004,1,MATCH(COLUMNS($AD$1006:AJ1006),$AD$1006:$AU$1006,0)))),"Fix")))</f>
        <v xml:space="preserve"> </v>
      </c>
      <c r="I777" s="4" t="str">
        <f ca="1">IF(OR(INDEX($X$2:$X$1001,MATCH(ROWS($W$2:W777),$W$2:$W$1001,0),1)&gt;=100000,INDEX($AD$1005:$AU$1005,1,MATCH(COLUMNS($AD$1006:AK1006),$AD$1006:$AU$1006,0))&gt;=100000), " ",IF(INDEX($AD$2:$AU$1001,MATCH(ROWS($W$2:W777),$W$2:$W$1001,0),MATCH(COLUMNS($AD$1006:AK1006),$AD$1006:$AU$1006,0)), HYPERLINK("#",""), HYPERLINK(CONCATENATE("#metadata!", ADDRESS(INDEX($Y$2:$Y$1001,MATCH(ROWS($W$2:W777),$W$2:$W$1001,0),0), INDEX($AD$1004:$AU$1004,1,MATCH(COLUMNS($AD$1006:AK1006),$AD$1006:$AU$1006,0)))),"Fix")))</f>
        <v xml:space="preserve"> </v>
      </c>
      <c r="J777" s="4" t="str">
        <f ca="1">IF(OR(INDEX($X$2:$X$1001,MATCH(ROWS($W$2:W777),$W$2:$W$1001,0),1)&gt;=100000,INDEX($AD$1005:$AU$1005,1,MATCH(COLUMNS($AD$1006:AL1006),$AD$1006:$AU$1006,0))&gt;=100000), " ",IF(INDEX($AD$2:$AU$1001,MATCH(ROWS($W$2:W777),$W$2:$W$1001,0),MATCH(COLUMNS($AD$1006:AL1006),$AD$1006:$AU$1006,0)), HYPERLINK("#",""), HYPERLINK(CONCATENATE("#metadata!", ADDRESS(INDEX($Y$2:$Y$1001,MATCH(ROWS($W$2:W777),$W$2:$W$1001,0),0), INDEX($AD$1004:$AU$1004,1,MATCH(COLUMNS($AD$1006:AL1006),$AD$1006:$AU$1006,0)))),"Fix")))</f>
        <v xml:space="preserve"> </v>
      </c>
      <c r="K777" s="4" t="str">
        <f ca="1">IF(OR(INDEX($X$2:$X$1001,MATCH(ROWS($W$2:W777),$W$2:$W$1001,0),1)&gt;=100000,INDEX($AD$1005:$AU$1005,1,MATCH(COLUMNS($AD$1006:AM1006),$AD$1006:$AU$1006,0))&gt;=100000), " ",IF(INDEX($AD$2:$AU$1001,MATCH(ROWS($W$2:W777),$W$2:$W$1001,0),MATCH(COLUMNS($AD$1006:AM1006),$AD$1006:$AU$1006,0)), HYPERLINK("#",""), HYPERLINK(CONCATENATE("#metadata!", ADDRESS(INDEX($Y$2:$Y$1001,MATCH(ROWS($W$2:W777),$W$2:$W$1001,0),0), INDEX($AD$1004:$AU$1004,1,MATCH(COLUMNS($AD$1006:AM1006),$AD$1006:$AU$1006,0)))),"Fix")))</f>
        <v xml:space="preserve"> </v>
      </c>
      <c r="L777" s="4" t="str">
        <f ca="1">IF(OR(INDEX($X$2:$X$1001,MATCH(ROWS($W$2:W777),$W$2:$W$1001,0),1)&gt;=100000,INDEX($AD$1005:$AU$1005,1,MATCH(COLUMNS($AD$1006:AN1006),$AD$1006:$AU$1006,0))&gt;=100000), " ",IF(INDEX($AD$2:$AU$1001,MATCH(ROWS($W$2:W777),$W$2:$W$1001,0),MATCH(COLUMNS($AD$1006:AN1006),$AD$1006:$AU$1006,0)), HYPERLINK("#",""), HYPERLINK(CONCATENATE("#metadata!", ADDRESS(INDEX($Y$2:$Y$1001,MATCH(ROWS($W$2:W777),$W$2:$W$1001,0),0), INDEX($AD$1004:$AU$1004,1,MATCH(COLUMNS($AD$1006:AN1006),$AD$1006:$AU$1006,0)))),"Fix")))</f>
        <v xml:space="preserve"> </v>
      </c>
      <c r="M777" s="4" t="str">
        <f ca="1">IF(OR(INDEX($X$2:$X$1001,MATCH(ROWS($W$2:W777),$W$2:$W$1001,0),1)&gt;=100000,INDEX($AD$1005:$AU$1005,1,MATCH(COLUMNS($AD$1006:AO1006),$AD$1006:$AU$1006,0))&gt;=100000), " ",IF(INDEX($AD$2:$AU$1001,MATCH(ROWS($W$2:W777),$W$2:$W$1001,0),MATCH(COLUMNS($AD$1006:AO1006),$AD$1006:$AU$1006,0)), HYPERLINK("#",""), HYPERLINK(CONCATENATE("#metadata!", ADDRESS(INDEX($Y$2:$Y$1001,MATCH(ROWS($W$2:W777),$W$2:$W$1001,0),0), INDEX($AD$1004:$AU$1004,1,MATCH(COLUMNS($AD$1006:AO1006),$AD$1006:$AU$1006,0)))),"Fix")))</f>
        <v xml:space="preserve"> </v>
      </c>
      <c r="N777" s="4" t="str">
        <f ca="1">IF(OR(INDEX($X$2:$X$1001,MATCH(ROWS($W$2:W777),$W$2:$W$1001,0),1)&gt;=100000,INDEX($AD$1005:$AU$1005,1,MATCH(COLUMNS($AD$1006:AP1006),$AD$1006:$AU$1006,0))&gt;=100000), " ",IF(INDEX($AD$2:$AU$1001,MATCH(ROWS($W$2:W777),$W$2:$W$1001,0),MATCH(COLUMNS($AD$1006:AP1006),$AD$1006:$AU$1006,0)), HYPERLINK("#",""), HYPERLINK(CONCATENATE("#metadata!", ADDRESS(INDEX($Y$2:$Y$1001,MATCH(ROWS($W$2:W777),$W$2:$W$1001,0),0), INDEX($AD$1004:$AU$1004,1,MATCH(COLUMNS($AD$1006:AP1006),$AD$1006:$AU$1006,0)))),"Fix")))</f>
        <v xml:space="preserve"> </v>
      </c>
      <c r="O777" s="4" t="str">
        <f ca="1">IF(OR(INDEX($X$2:$X$1001,MATCH(ROWS($W$2:W777),$W$2:$W$1001,0),1)&gt;=100000,INDEX($AD$1005:$AU$1005,1,MATCH(COLUMNS($AD$1006:AQ1006),$AD$1006:$AU$1006,0))&gt;=100000), " ",IF(INDEX($AD$2:$AU$1001,MATCH(ROWS($W$2:W777),$W$2:$W$1001,0),MATCH(COLUMNS($AD$1006:AQ1006),$AD$1006:$AU$1006,0)), HYPERLINK("#",""), HYPERLINK(CONCATENATE("#metadata!", ADDRESS(INDEX($Y$2:$Y$1001,MATCH(ROWS($W$2:W777),$W$2:$W$1001,0),0), INDEX($AD$1004:$AU$1004,1,MATCH(COLUMNS($AD$1006:AQ1006),$AD$1006:$AU$1006,0)))),"Fix")))</f>
        <v xml:space="preserve"> </v>
      </c>
      <c r="P777" s="4" t="str">
        <f ca="1">IF(OR(INDEX($X$2:$X$1001,MATCH(ROWS($W$2:W777),$W$2:$W$1001,0),1)&gt;=100000,INDEX($AD$1005:$AU$1005,1,MATCH(COLUMNS($AD$1006:AR1006),$AD$1006:$AU$1006,0))&gt;=100000), " ",IF(INDEX($AD$2:$AU$1001,MATCH(ROWS($W$2:W777),$W$2:$W$1001,0),MATCH(COLUMNS($AD$1006:AR1006),$AD$1006:$AU$1006,0)), HYPERLINK("#",""), HYPERLINK(CONCATENATE("#metadata!", ADDRESS(INDEX($Y$2:$Y$1001,MATCH(ROWS($W$2:W777),$W$2:$W$1001,0),0), INDEX($AD$1004:$AU$1004,1,MATCH(COLUMNS($AD$1006:AR1006),$AD$1006:$AU$1006,0)))),"Fix")))</f>
        <v xml:space="preserve"> </v>
      </c>
      <c r="Q777" s="4" t="str">
        <f ca="1">IF(OR(INDEX($X$2:$X$1001,MATCH(ROWS($W$2:W777),$W$2:$W$1001,0),1)&gt;=100000,INDEX($AD$1005:$AU$1005,1,MATCH(COLUMNS($AD$1006:AS1006),$AD$1006:$AU$1006,0))&gt;=100000), " ",IF(INDEX($AD$2:$AU$1001,MATCH(ROWS($W$2:W777),$W$2:$W$1001,0),MATCH(COLUMNS($AD$1006:AS1006),$AD$1006:$AU$1006,0)), HYPERLINK("#",""), HYPERLINK(CONCATENATE("#metadata!", ADDRESS(INDEX($Y$2:$Y$1001,MATCH(ROWS($W$2:W777),$W$2:$W$1001,0),0), INDEX($AD$1004:$AU$1004,1,MATCH(COLUMNS($AD$1006:AS1006),$AD$1006:$AU$1006,0)))),"Fix")))</f>
        <v xml:space="preserve"> </v>
      </c>
      <c r="R777" s="4" t="str">
        <f ca="1">IF(OR(INDEX($X$2:$X$1001,MATCH(ROWS($W$2:W777),$W$2:$W$1001,0),1)&gt;=100000,INDEX($AD$1005:$AU$1005,1,MATCH(COLUMNS($AD$1006:AT1006),$AD$1006:$AU$1006,0))&gt;=100000), " ",IF(INDEX($AD$2:$AU$1001,MATCH(ROWS($W$2:W777),$W$2:$W$1001,0),MATCH(COLUMNS($AD$1006:AT1006),$AD$1006:$AU$1006,0)), HYPERLINK("#",""), HYPERLINK(CONCATENATE("#metadata!", ADDRESS(INDEX($Y$2:$Y$1001,MATCH(ROWS($W$2:W777),$W$2:$W$1001,0),0), INDEX($AD$1004:$AU$1004,1,MATCH(COLUMNS($AD$1006:AT1006),$AD$1006:$AU$1006,0)))),"Fix")))</f>
        <v xml:space="preserve"> </v>
      </c>
      <c r="S777" s="4" t="str">
        <f ca="1">IF(OR(INDEX($X$2:$X$1001,MATCH(ROWS($W$2:W777),$W$2:$W$1001,0),1)&gt;=100000,INDEX($AD$1005:$AU$1005,1,MATCH(COLUMNS($AD$1006:AU1006),$AD$1006:$AU$1006,0))&gt;=100000), " ",IF(INDEX($AD$2:$AU$1001,MATCH(ROWS($W$2:W777),$W$2:$W$1001,0),MATCH(COLUMNS($AD$1006:AU1006),$AD$1006:$AU$1006,0)), HYPERLINK("#",""), HYPERLINK(CONCATENATE("#metadata!", ADDRESS(INDEX($Y$2:$Y$1001,MATCH(ROWS($W$2:W777),$W$2:$W$1001,0),0), INDEX($AD$1004:$AU$1004,1,MATCH(COLUMNS($AD$1006:AU1006),$AD$1006:$AU$1006,0)))),"Fix")))</f>
        <v xml:space="preserve"> </v>
      </c>
      <c r="W777">
        <v>776</v>
      </c>
      <c r="X777">
        <v>100777</v>
      </c>
      <c r="Y777">
        <v>777</v>
      </c>
      <c r="Z777" t="b">
        <f t="shared" si="12"/>
        <v>1</v>
      </c>
      <c r="AA777" t="b">
        <f>COUNTBLANK(metadata!B777:S777)=COLUMNS(metadata!B777:S777)</f>
        <v>1</v>
      </c>
      <c r="AB777" t="str">
        <v/>
      </c>
      <c r="AD777" t="b">
        <f ca="1">AND(IF(metadata!B777="",FALSE,TRUE),COUNTIF(metadata!B:B, metadata!B777) = 1,NOT(ISERROR(SUMPRODUCT(SEARCH(MID(metadata!B777,ROW(INDIRECT("1:"&amp;LEN(metadata!B777))), 1),"0123456789abcdefghijklmnopqrstuvwxyzABCDEFGHIJKLMNOPQRSTUVWXYZ.")))))</f>
        <v>0</v>
      </c>
      <c r="AE777" t="b">
        <f>OR(AND(IF(metadata!C777="",FALSE,TRUE),OR(EXACT(metadata!C777,"not applicable"),EXACT(metadata!C777,"missing: not collected"),EXACT(metadata!C777,"missing: not provided"),EXACT(metadata!C777,"missing: restricted access"))),AND(IF(metadata!C777="",FALSE,ISNUMBER(VALUE(metadata!C777))),metadata!C777&gt;0))</f>
        <v>0</v>
      </c>
      <c r="AF777" t="b">
        <f>AND(IF(metadata!D777="",FALSE,TRUE),EXACT(metadata!D777,"missing: not provided"))</f>
        <v>0</v>
      </c>
      <c r="AG777" t="b">
        <f>AND(IF(metadata!E777="",FALSE,TRUE),EXACT(metadata!E777,"Host-associated"))</f>
        <v>0</v>
      </c>
      <c r="AH777" t="b">
        <f>AND(IF(metadata!F777="",FALSE,TRUE),OR(EXACT(metadata!F777,"Animal"),EXACT(metadata!F777,"Fungus"),EXACT(metadata!F777,"Plant")))</f>
        <v>0</v>
      </c>
      <c r="AI777" t="b">
        <f>AND(IF(metadata!G777="",FALSE,TRUE),OR(EXACT(metadata!G777,"Plant secretion"),EXACT(metadata!G777,"Plant rhizosphere"),EXACT(metadata!G777,"Plant surface"),EXACT(metadata!G777,"Plant corpus"),EXACT(metadata!G777,"Fungus surface"),EXACT(metadata!G777,"Fungus corpus"),EXACT(metadata!G777,"Animal surface"),EXACT(metadata!G777,"Animal proximal gut"),EXACT(metadata!G777,"Animal corpus"),EXACT(metadata!G777,"Animal distal gut"),EXACT(metadata!G777,"Animal secretion")))</f>
        <v>0</v>
      </c>
      <c r="AJ777" t="b">
        <f>OR(AND(IF(metadata!H777="",FALSE,TRUE),OR(EXACT(metadata!H777,"missing: not collected"),EXACT(metadata!H777,"missing: not provided"),EXACT(metadata!H777,"missing: restricted access"))),AND(IF(metadata!H777="",FALSE,TRUE),OR(EXACT(metadata!H777,"organism-associated habitat"),EXACT(metadata!H777,"plant-associated habitat"),EXACT(metadata!H777,"animal-associated habitat"),EXACT(metadata!H777,"insecta-associated habitat"),EXACT(metadata!H777,"mammalia-associated habitat"),EXACT(metadata!H777,"human-associated habitat"),EXACT(metadata!H777,"livestock-associated habitat"))))</f>
        <v>0</v>
      </c>
      <c r="AK777" t="b">
        <f>AND(IF(metadata!I777="",FALSE,TRUE),EXACT(metadata!I777,"host-associated"))</f>
        <v>0</v>
      </c>
      <c r="AL777" t="b">
        <f>OR(AND(IF(metadata!J777="",FALSE,TRUE),OR(EXACT(metadata!J777,"not applicable"),EXACT(metadata!J777,"missing: not collected"),EXACT(metadata!J777,"missing: not provided"),EXACT(metadata!J777,"missing: restricted access"))),AND(IF(metadata!J777="",FALSE,ISNUMBER(VALUE(metadata!J777))),metadata!J777&gt;0))</f>
        <v>0</v>
      </c>
      <c r="AM777" t="b">
        <f>AND(IF(metadata!K777="",FALSE,TRUE),EXACT(metadata!K777,"missing: not provided"))</f>
        <v>0</v>
      </c>
      <c r="AN777" t="b">
        <f>IF(metadata!L777="",FALSE,TRUE)</f>
        <v>0</v>
      </c>
      <c r="AO777" t="b">
        <f>IF(metadata!M777="",FALSE,TRUE)</f>
        <v>0</v>
      </c>
      <c r="AP777" t="b">
        <f>OR(AND(IF(metadata!N777="",FALSE,TRUE),OR(EXACT(metadata!N777,"not applicable"),EXACT(metadata!N777,"missing: not collected"),EXACT(metadata!N777,"missing: not provided"))),AND(IF(metadata!N777="",FALSE,IF(ISERROR(INT(metadata!N777)),FALSE,INT(metadata!N777)=metadata!N777)),metadata!N777&gt;0))</f>
        <v>0</v>
      </c>
      <c r="AQ777" t="b">
        <f>AND(IF(metadata!O777="",FALSE,TRUE),EXACT(metadata!O777,"Not applicable"))</f>
        <v>0</v>
      </c>
      <c r="AR777" t="b">
        <f>OR(AND(IF(metadata!P777="",FALSE,TRUE),OR(EXACT(metadata!P777,"not applicable"),EXACT(metadata!P777,"missing: not collected"),EXACT(metadata!P777,"missing: not provided"),EXACT(metadata!P777,"missing: restricted access"))),IF(metadata!P777="",FALSE,IF(ISERROR(INT(metadata!P777)),FALSE,INT(metadata!P777)=metadata!P777)))</f>
        <v>0</v>
      </c>
      <c r="AS777" t="b">
        <f>AND(IF(metadata!Q777="",FALSE,TRUE),EXACT(metadata!Q777,"Not applicable"))</f>
        <v>0</v>
      </c>
      <c r="AT777" t="b">
        <f>OR(AND(IF(metadata!R777="",FALSE,TRUE),OR(EXACT(metadata!R777,"not applicable"),EXACT(metadata!R777,"missing: not collected"),EXACT(metadata!R777,"missing: not provided"),EXACT(metadata!R777,"missing: restricted access"))),AND(IF(metadata!R777="",FALSE,ISNUMBER(VALUE(metadata!R777))),metadata!R777&gt;0))</f>
        <v>0</v>
      </c>
      <c r="AU777" t="b">
        <f>AND(IF(metadata!S777="",FALSE,TRUE),EXACT(metadata!S777,"missing: not provided"))</f>
        <v>0</v>
      </c>
    </row>
    <row r="778" spans="1:47" x14ac:dyDescent="0.2">
      <c r="A778" s="5" t="str">
        <f ca="1">IF(B778=" "," ",HYPERLINK(CONCATENATE("#metadata!",ADDRESS(INDEX($Y$2:$Y$1001,MATCH(ROWS($W$2:W778),$W$2:$W$1001,0),0),1)),INDEX($AB$2:$AB$1001,MATCH(ROWS($W$2:W778),$W$2:$W$1001,0),0)))</f>
        <v xml:space="preserve"> </v>
      </c>
      <c r="B778" s="4" t="str">
        <f ca="1">IF(OR(INDEX($X$2:$X$1001,MATCH(ROWS($W$2:W778),$W$2:$W$1001,0),1)&gt;=100000,INDEX($AD$1005:$AU$1005,1,MATCH(COLUMNS($AD$1006:AD1006),$AD$1006:$AU$1006,0))&gt;=100000), " ",IF(INDEX($AD$2:$AU$1001,MATCH(ROWS($W$2:W778),$W$2:$W$1001,0),MATCH(COLUMNS($AD$1006:AD1006),$AD$1006:$AU$1006,0)), HYPERLINK("#",""), HYPERLINK(CONCATENATE("#metadata!", ADDRESS(INDEX($Y$2:$Y$1001,MATCH(ROWS($W$2:W778),$W$2:$W$1001,0),0), INDEX($AD$1004:$AU$1004,1,MATCH(COLUMNS($AD$1006:AD1006),$AD$1006:$AU$1006,0)))),"Fix")))</f>
        <v xml:space="preserve"> </v>
      </c>
      <c r="C778" s="4" t="str">
        <f ca="1">IF(OR(INDEX($X$2:$X$1001,MATCH(ROWS($W$2:W778),$W$2:$W$1001,0),1)&gt;=100000,INDEX($AD$1005:$AU$1005,1,MATCH(COLUMNS($AD$1006:AE1006),$AD$1006:$AU$1006,0))&gt;=100000), " ",IF(INDEX($AD$2:$AU$1001,MATCH(ROWS($W$2:W778),$W$2:$W$1001,0),MATCH(COLUMNS($AD$1006:AE1006),$AD$1006:$AU$1006,0)), HYPERLINK("#",""), HYPERLINK(CONCATENATE("#metadata!", ADDRESS(INDEX($Y$2:$Y$1001,MATCH(ROWS($W$2:W778),$W$2:$W$1001,0),0), INDEX($AD$1004:$AU$1004,1,MATCH(COLUMNS($AD$1006:AE1006),$AD$1006:$AU$1006,0)))),"Fix")))</f>
        <v xml:space="preserve"> </v>
      </c>
      <c r="D778" s="4" t="str">
        <f ca="1">IF(OR(INDEX($X$2:$X$1001,MATCH(ROWS($W$2:W778),$W$2:$W$1001,0),1)&gt;=100000,INDEX($AD$1005:$AU$1005,1,MATCH(COLUMNS($AD$1006:AF1006),$AD$1006:$AU$1006,0))&gt;=100000), " ",IF(INDEX($AD$2:$AU$1001,MATCH(ROWS($W$2:W778),$W$2:$W$1001,0),MATCH(COLUMNS($AD$1006:AF1006),$AD$1006:$AU$1006,0)), HYPERLINK("#",""), HYPERLINK(CONCATENATE("#metadata!", ADDRESS(INDEX($Y$2:$Y$1001,MATCH(ROWS($W$2:W778),$W$2:$W$1001,0),0), INDEX($AD$1004:$AU$1004,1,MATCH(COLUMNS($AD$1006:AF1006),$AD$1006:$AU$1006,0)))),"Fix")))</f>
        <v xml:space="preserve"> </v>
      </c>
      <c r="E778" s="4" t="str">
        <f ca="1">IF(OR(INDEX($X$2:$X$1001,MATCH(ROWS($W$2:W778),$W$2:$W$1001,0),1)&gt;=100000,INDEX($AD$1005:$AU$1005,1,MATCH(COLUMNS($AD$1006:AG1006),$AD$1006:$AU$1006,0))&gt;=100000), " ",IF(INDEX($AD$2:$AU$1001,MATCH(ROWS($W$2:W778),$W$2:$W$1001,0),MATCH(COLUMNS($AD$1006:AG1006),$AD$1006:$AU$1006,0)), HYPERLINK("#",""), HYPERLINK(CONCATENATE("#metadata!", ADDRESS(INDEX($Y$2:$Y$1001,MATCH(ROWS($W$2:W778),$W$2:$W$1001,0),0), INDEX($AD$1004:$AU$1004,1,MATCH(COLUMNS($AD$1006:AG1006),$AD$1006:$AU$1006,0)))),"Fix")))</f>
        <v xml:space="preserve"> </v>
      </c>
      <c r="F778" s="4" t="str">
        <f ca="1">IF(OR(INDEX($X$2:$X$1001,MATCH(ROWS($W$2:W778),$W$2:$W$1001,0),1)&gt;=100000,INDEX($AD$1005:$AU$1005,1,MATCH(COLUMNS($AD$1006:AH1006),$AD$1006:$AU$1006,0))&gt;=100000), " ",IF(INDEX($AD$2:$AU$1001,MATCH(ROWS($W$2:W778),$W$2:$W$1001,0),MATCH(COLUMNS($AD$1006:AH1006),$AD$1006:$AU$1006,0)), HYPERLINK("#",""), HYPERLINK(CONCATENATE("#metadata!", ADDRESS(INDEX($Y$2:$Y$1001,MATCH(ROWS($W$2:W778),$W$2:$W$1001,0),0), INDEX($AD$1004:$AU$1004,1,MATCH(COLUMNS($AD$1006:AH1006),$AD$1006:$AU$1006,0)))),"Fix")))</f>
        <v xml:space="preserve"> </v>
      </c>
      <c r="G778" s="4" t="str">
        <f ca="1">IF(OR(INDEX($X$2:$X$1001,MATCH(ROWS($W$2:W778),$W$2:$W$1001,0),1)&gt;=100000,INDEX($AD$1005:$AU$1005,1,MATCH(COLUMNS($AD$1006:AI1006),$AD$1006:$AU$1006,0))&gt;=100000), " ",IF(INDEX($AD$2:$AU$1001,MATCH(ROWS($W$2:W778),$W$2:$W$1001,0),MATCH(COLUMNS($AD$1006:AI1006),$AD$1006:$AU$1006,0)), HYPERLINK("#",""), HYPERLINK(CONCATENATE("#metadata!", ADDRESS(INDEX($Y$2:$Y$1001,MATCH(ROWS($W$2:W778),$W$2:$W$1001,0),0), INDEX($AD$1004:$AU$1004,1,MATCH(COLUMNS($AD$1006:AI1006),$AD$1006:$AU$1006,0)))),"Fix")))</f>
        <v xml:space="preserve"> </v>
      </c>
      <c r="H778" s="4" t="str">
        <f ca="1">IF(OR(INDEX($X$2:$X$1001,MATCH(ROWS($W$2:W778),$W$2:$W$1001,0),1)&gt;=100000,INDEX($AD$1005:$AU$1005,1,MATCH(COLUMNS($AD$1006:AJ1006),$AD$1006:$AU$1006,0))&gt;=100000), " ",IF(INDEX($AD$2:$AU$1001,MATCH(ROWS($W$2:W778),$W$2:$W$1001,0),MATCH(COLUMNS($AD$1006:AJ1006),$AD$1006:$AU$1006,0)), HYPERLINK("#",""), HYPERLINK(CONCATENATE("#metadata!", ADDRESS(INDEX($Y$2:$Y$1001,MATCH(ROWS($W$2:W778),$W$2:$W$1001,0),0), INDEX($AD$1004:$AU$1004,1,MATCH(COLUMNS($AD$1006:AJ1006),$AD$1006:$AU$1006,0)))),"Fix")))</f>
        <v xml:space="preserve"> </v>
      </c>
      <c r="I778" s="4" t="str">
        <f ca="1">IF(OR(INDEX($X$2:$X$1001,MATCH(ROWS($W$2:W778),$W$2:$W$1001,0),1)&gt;=100000,INDEX($AD$1005:$AU$1005,1,MATCH(COLUMNS($AD$1006:AK1006),$AD$1006:$AU$1006,0))&gt;=100000), " ",IF(INDEX($AD$2:$AU$1001,MATCH(ROWS($W$2:W778),$W$2:$W$1001,0),MATCH(COLUMNS($AD$1006:AK1006),$AD$1006:$AU$1006,0)), HYPERLINK("#",""), HYPERLINK(CONCATENATE("#metadata!", ADDRESS(INDEX($Y$2:$Y$1001,MATCH(ROWS($W$2:W778),$W$2:$W$1001,0),0), INDEX($AD$1004:$AU$1004,1,MATCH(COLUMNS($AD$1006:AK1006),$AD$1006:$AU$1006,0)))),"Fix")))</f>
        <v xml:space="preserve"> </v>
      </c>
      <c r="J778" s="4" t="str">
        <f ca="1">IF(OR(INDEX($X$2:$X$1001,MATCH(ROWS($W$2:W778),$W$2:$W$1001,0),1)&gt;=100000,INDEX($AD$1005:$AU$1005,1,MATCH(COLUMNS($AD$1006:AL1006),$AD$1006:$AU$1006,0))&gt;=100000), " ",IF(INDEX($AD$2:$AU$1001,MATCH(ROWS($W$2:W778),$W$2:$W$1001,0),MATCH(COLUMNS($AD$1006:AL1006),$AD$1006:$AU$1006,0)), HYPERLINK("#",""), HYPERLINK(CONCATENATE("#metadata!", ADDRESS(INDEX($Y$2:$Y$1001,MATCH(ROWS($W$2:W778),$W$2:$W$1001,0),0), INDEX($AD$1004:$AU$1004,1,MATCH(COLUMNS($AD$1006:AL1006),$AD$1006:$AU$1006,0)))),"Fix")))</f>
        <v xml:space="preserve"> </v>
      </c>
      <c r="K778" s="4" t="str">
        <f ca="1">IF(OR(INDEX($X$2:$X$1001,MATCH(ROWS($W$2:W778),$W$2:$W$1001,0),1)&gt;=100000,INDEX($AD$1005:$AU$1005,1,MATCH(COLUMNS($AD$1006:AM1006),$AD$1006:$AU$1006,0))&gt;=100000), " ",IF(INDEX($AD$2:$AU$1001,MATCH(ROWS($W$2:W778),$W$2:$W$1001,0),MATCH(COLUMNS($AD$1006:AM1006),$AD$1006:$AU$1006,0)), HYPERLINK("#",""), HYPERLINK(CONCATENATE("#metadata!", ADDRESS(INDEX($Y$2:$Y$1001,MATCH(ROWS($W$2:W778),$W$2:$W$1001,0),0), INDEX($AD$1004:$AU$1004,1,MATCH(COLUMNS($AD$1006:AM1006),$AD$1006:$AU$1006,0)))),"Fix")))</f>
        <v xml:space="preserve"> </v>
      </c>
      <c r="L778" s="4" t="str">
        <f ca="1">IF(OR(INDEX($X$2:$X$1001,MATCH(ROWS($W$2:W778),$W$2:$W$1001,0),1)&gt;=100000,INDEX($AD$1005:$AU$1005,1,MATCH(COLUMNS($AD$1006:AN1006),$AD$1006:$AU$1006,0))&gt;=100000), " ",IF(INDEX($AD$2:$AU$1001,MATCH(ROWS($W$2:W778),$W$2:$W$1001,0),MATCH(COLUMNS($AD$1006:AN1006),$AD$1006:$AU$1006,0)), HYPERLINK("#",""), HYPERLINK(CONCATENATE("#metadata!", ADDRESS(INDEX($Y$2:$Y$1001,MATCH(ROWS($W$2:W778),$W$2:$W$1001,0),0), INDEX($AD$1004:$AU$1004,1,MATCH(COLUMNS($AD$1006:AN1006),$AD$1006:$AU$1006,0)))),"Fix")))</f>
        <v xml:space="preserve"> </v>
      </c>
      <c r="M778" s="4" t="str">
        <f ca="1">IF(OR(INDEX($X$2:$X$1001,MATCH(ROWS($W$2:W778),$W$2:$W$1001,0),1)&gt;=100000,INDEX($AD$1005:$AU$1005,1,MATCH(COLUMNS($AD$1006:AO1006),$AD$1006:$AU$1006,0))&gt;=100000), " ",IF(INDEX($AD$2:$AU$1001,MATCH(ROWS($W$2:W778),$W$2:$W$1001,0),MATCH(COLUMNS($AD$1006:AO1006),$AD$1006:$AU$1006,0)), HYPERLINK("#",""), HYPERLINK(CONCATENATE("#metadata!", ADDRESS(INDEX($Y$2:$Y$1001,MATCH(ROWS($W$2:W778),$W$2:$W$1001,0),0), INDEX($AD$1004:$AU$1004,1,MATCH(COLUMNS($AD$1006:AO1006),$AD$1006:$AU$1006,0)))),"Fix")))</f>
        <v xml:space="preserve"> </v>
      </c>
      <c r="N778" s="4" t="str">
        <f ca="1">IF(OR(INDEX($X$2:$X$1001,MATCH(ROWS($W$2:W778),$W$2:$W$1001,0),1)&gt;=100000,INDEX($AD$1005:$AU$1005,1,MATCH(COLUMNS($AD$1006:AP1006),$AD$1006:$AU$1006,0))&gt;=100000), " ",IF(INDEX($AD$2:$AU$1001,MATCH(ROWS($W$2:W778),$W$2:$W$1001,0),MATCH(COLUMNS($AD$1006:AP1006),$AD$1006:$AU$1006,0)), HYPERLINK("#",""), HYPERLINK(CONCATENATE("#metadata!", ADDRESS(INDEX($Y$2:$Y$1001,MATCH(ROWS($W$2:W778),$W$2:$W$1001,0),0), INDEX($AD$1004:$AU$1004,1,MATCH(COLUMNS($AD$1006:AP1006),$AD$1006:$AU$1006,0)))),"Fix")))</f>
        <v xml:space="preserve"> </v>
      </c>
      <c r="O778" s="4" t="str">
        <f ca="1">IF(OR(INDEX($X$2:$X$1001,MATCH(ROWS($W$2:W778),$W$2:$W$1001,0),1)&gt;=100000,INDEX($AD$1005:$AU$1005,1,MATCH(COLUMNS($AD$1006:AQ1006),$AD$1006:$AU$1006,0))&gt;=100000), " ",IF(INDEX($AD$2:$AU$1001,MATCH(ROWS($W$2:W778),$W$2:$W$1001,0),MATCH(COLUMNS($AD$1006:AQ1006),$AD$1006:$AU$1006,0)), HYPERLINK("#",""), HYPERLINK(CONCATENATE("#metadata!", ADDRESS(INDEX($Y$2:$Y$1001,MATCH(ROWS($W$2:W778),$W$2:$W$1001,0),0), INDEX($AD$1004:$AU$1004,1,MATCH(COLUMNS($AD$1006:AQ1006),$AD$1006:$AU$1006,0)))),"Fix")))</f>
        <v xml:space="preserve"> </v>
      </c>
      <c r="P778" s="4" t="str">
        <f ca="1">IF(OR(INDEX($X$2:$X$1001,MATCH(ROWS($W$2:W778),$W$2:$W$1001,0),1)&gt;=100000,INDEX($AD$1005:$AU$1005,1,MATCH(COLUMNS($AD$1006:AR1006),$AD$1006:$AU$1006,0))&gt;=100000), " ",IF(INDEX($AD$2:$AU$1001,MATCH(ROWS($W$2:W778),$W$2:$W$1001,0),MATCH(COLUMNS($AD$1006:AR1006),$AD$1006:$AU$1006,0)), HYPERLINK("#",""), HYPERLINK(CONCATENATE("#metadata!", ADDRESS(INDEX($Y$2:$Y$1001,MATCH(ROWS($W$2:W778),$W$2:$W$1001,0),0), INDEX($AD$1004:$AU$1004,1,MATCH(COLUMNS($AD$1006:AR1006),$AD$1006:$AU$1006,0)))),"Fix")))</f>
        <v xml:space="preserve"> </v>
      </c>
      <c r="Q778" s="4" t="str">
        <f ca="1">IF(OR(INDEX($X$2:$X$1001,MATCH(ROWS($W$2:W778),$W$2:$W$1001,0),1)&gt;=100000,INDEX($AD$1005:$AU$1005,1,MATCH(COLUMNS($AD$1006:AS1006),$AD$1006:$AU$1006,0))&gt;=100000), " ",IF(INDEX($AD$2:$AU$1001,MATCH(ROWS($W$2:W778),$W$2:$W$1001,0),MATCH(COLUMNS($AD$1006:AS1006),$AD$1006:$AU$1006,0)), HYPERLINK("#",""), HYPERLINK(CONCATENATE("#metadata!", ADDRESS(INDEX($Y$2:$Y$1001,MATCH(ROWS($W$2:W778),$W$2:$W$1001,0),0), INDEX($AD$1004:$AU$1004,1,MATCH(COLUMNS($AD$1006:AS1006),$AD$1006:$AU$1006,0)))),"Fix")))</f>
        <v xml:space="preserve"> </v>
      </c>
      <c r="R778" s="4" t="str">
        <f ca="1">IF(OR(INDEX($X$2:$X$1001,MATCH(ROWS($W$2:W778),$W$2:$W$1001,0),1)&gt;=100000,INDEX($AD$1005:$AU$1005,1,MATCH(COLUMNS($AD$1006:AT1006),$AD$1006:$AU$1006,0))&gt;=100000), " ",IF(INDEX($AD$2:$AU$1001,MATCH(ROWS($W$2:W778),$W$2:$W$1001,0),MATCH(COLUMNS($AD$1006:AT1006),$AD$1006:$AU$1006,0)), HYPERLINK("#",""), HYPERLINK(CONCATENATE("#metadata!", ADDRESS(INDEX($Y$2:$Y$1001,MATCH(ROWS($W$2:W778),$W$2:$W$1001,0),0), INDEX($AD$1004:$AU$1004,1,MATCH(COLUMNS($AD$1006:AT1006),$AD$1006:$AU$1006,0)))),"Fix")))</f>
        <v xml:space="preserve"> </v>
      </c>
      <c r="S778" s="4" t="str">
        <f ca="1">IF(OR(INDEX($X$2:$X$1001,MATCH(ROWS($W$2:W778),$W$2:$W$1001,0),1)&gt;=100000,INDEX($AD$1005:$AU$1005,1,MATCH(COLUMNS($AD$1006:AU1006),$AD$1006:$AU$1006,0))&gt;=100000), " ",IF(INDEX($AD$2:$AU$1001,MATCH(ROWS($W$2:W778),$W$2:$W$1001,0),MATCH(COLUMNS($AD$1006:AU1006),$AD$1006:$AU$1006,0)), HYPERLINK("#",""), HYPERLINK(CONCATENATE("#metadata!", ADDRESS(INDEX($Y$2:$Y$1001,MATCH(ROWS($W$2:W778),$W$2:$W$1001,0),0), INDEX($AD$1004:$AU$1004,1,MATCH(COLUMNS($AD$1006:AU1006),$AD$1006:$AU$1006,0)))),"Fix")))</f>
        <v xml:space="preserve"> </v>
      </c>
      <c r="W778">
        <v>777</v>
      </c>
      <c r="X778">
        <v>100778</v>
      </c>
      <c r="Y778">
        <v>778</v>
      </c>
      <c r="Z778" t="b">
        <f t="shared" si="12"/>
        <v>1</v>
      </c>
      <c r="AA778" t="b">
        <f>COUNTBLANK(metadata!B778:S778)=COLUMNS(metadata!B778:S778)</f>
        <v>1</v>
      </c>
      <c r="AB778" t="str">
        <v/>
      </c>
      <c r="AD778" t="b">
        <f ca="1">AND(IF(metadata!B778="",FALSE,TRUE),COUNTIF(metadata!B:B, metadata!B778) = 1,NOT(ISERROR(SUMPRODUCT(SEARCH(MID(metadata!B778,ROW(INDIRECT("1:"&amp;LEN(metadata!B778))), 1),"0123456789abcdefghijklmnopqrstuvwxyzABCDEFGHIJKLMNOPQRSTUVWXYZ.")))))</f>
        <v>0</v>
      </c>
      <c r="AE778" t="b">
        <f>OR(AND(IF(metadata!C778="",FALSE,TRUE),OR(EXACT(metadata!C778,"not applicable"),EXACT(metadata!C778,"missing: not collected"),EXACT(metadata!C778,"missing: not provided"),EXACT(metadata!C778,"missing: restricted access"))),AND(IF(metadata!C778="",FALSE,ISNUMBER(VALUE(metadata!C778))),metadata!C778&gt;0))</f>
        <v>0</v>
      </c>
      <c r="AF778" t="b">
        <f>AND(IF(metadata!D778="",FALSE,TRUE),EXACT(metadata!D778,"missing: not provided"))</f>
        <v>0</v>
      </c>
      <c r="AG778" t="b">
        <f>AND(IF(metadata!E778="",FALSE,TRUE),EXACT(metadata!E778,"Host-associated"))</f>
        <v>0</v>
      </c>
      <c r="AH778" t="b">
        <f>AND(IF(metadata!F778="",FALSE,TRUE),OR(EXACT(metadata!F778,"Animal"),EXACT(metadata!F778,"Fungus"),EXACT(metadata!F778,"Plant")))</f>
        <v>0</v>
      </c>
      <c r="AI778" t="b">
        <f>AND(IF(metadata!G778="",FALSE,TRUE),OR(EXACT(metadata!G778,"Plant secretion"),EXACT(metadata!G778,"Plant rhizosphere"),EXACT(metadata!G778,"Plant surface"),EXACT(metadata!G778,"Plant corpus"),EXACT(metadata!G778,"Fungus surface"),EXACT(metadata!G778,"Fungus corpus"),EXACT(metadata!G778,"Animal surface"),EXACT(metadata!G778,"Animal proximal gut"),EXACT(metadata!G778,"Animal corpus"),EXACT(metadata!G778,"Animal distal gut"),EXACT(metadata!G778,"Animal secretion")))</f>
        <v>0</v>
      </c>
      <c r="AJ778" t="b">
        <f>OR(AND(IF(metadata!H778="",FALSE,TRUE),OR(EXACT(metadata!H778,"missing: not collected"),EXACT(metadata!H778,"missing: not provided"),EXACT(metadata!H778,"missing: restricted access"))),AND(IF(metadata!H778="",FALSE,TRUE),OR(EXACT(metadata!H778,"organism-associated habitat"),EXACT(metadata!H778,"plant-associated habitat"),EXACT(metadata!H778,"animal-associated habitat"),EXACT(metadata!H778,"insecta-associated habitat"),EXACT(metadata!H778,"mammalia-associated habitat"),EXACT(metadata!H778,"human-associated habitat"),EXACT(metadata!H778,"livestock-associated habitat"))))</f>
        <v>0</v>
      </c>
      <c r="AK778" t="b">
        <f>AND(IF(metadata!I778="",FALSE,TRUE),EXACT(metadata!I778,"host-associated"))</f>
        <v>0</v>
      </c>
      <c r="AL778" t="b">
        <f>OR(AND(IF(metadata!J778="",FALSE,TRUE),OR(EXACT(metadata!J778,"not applicable"),EXACT(metadata!J778,"missing: not collected"),EXACT(metadata!J778,"missing: not provided"),EXACT(metadata!J778,"missing: restricted access"))),AND(IF(metadata!J778="",FALSE,ISNUMBER(VALUE(metadata!J778))),metadata!J778&gt;0))</f>
        <v>0</v>
      </c>
      <c r="AM778" t="b">
        <f>AND(IF(metadata!K778="",FALSE,TRUE),EXACT(metadata!K778,"missing: not provided"))</f>
        <v>0</v>
      </c>
      <c r="AN778" t="b">
        <f>IF(metadata!L778="",FALSE,TRUE)</f>
        <v>0</v>
      </c>
      <c r="AO778" t="b">
        <f>IF(metadata!M778="",FALSE,TRUE)</f>
        <v>0</v>
      </c>
      <c r="AP778" t="b">
        <f>OR(AND(IF(metadata!N778="",FALSE,TRUE),OR(EXACT(metadata!N778,"not applicable"),EXACT(metadata!N778,"missing: not collected"),EXACT(metadata!N778,"missing: not provided"))),AND(IF(metadata!N778="",FALSE,IF(ISERROR(INT(metadata!N778)),FALSE,INT(metadata!N778)=metadata!N778)),metadata!N778&gt;0))</f>
        <v>0</v>
      </c>
      <c r="AQ778" t="b">
        <f>AND(IF(metadata!O778="",FALSE,TRUE),EXACT(metadata!O778,"Not applicable"))</f>
        <v>0</v>
      </c>
      <c r="AR778" t="b">
        <f>OR(AND(IF(metadata!P778="",FALSE,TRUE),OR(EXACT(metadata!P778,"not applicable"),EXACT(metadata!P778,"missing: not collected"),EXACT(metadata!P778,"missing: not provided"),EXACT(metadata!P778,"missing: restricted access"))),IF(metadata!P778="",FALSE,IF(ISERROR(INT(metadata!P778)),FALSE,INT(metadata!P778)=metadata!P778)))</f>
        <v>0</v>
      </c>
      <c r="AS778" t="b">
        <f>AND(IF(metadata!Q778="",FALSE,TRUE),EXACT(metadata!Q778,"Not applicable"))</f>
        <v>0</v>
      </c>
      <c r="AT778" t="b">
        <f>OR(AND(IF(metadata!R778="",FALSE,TRUE),OR(EXACT(metadata!R778,"not applicable"),EXACT(metadata!R778,"missing: not collected"),EXACT(metadata!R778,"missing: not provided"),EXACT(metadata!R778,"missing: restricted access"))),AND(IF(metadata!R778="",FALSE,ISNUMBER(VALUE(metadata!R778))),metadata!R778&gt;0))</f>
        <v>0</v>
      </c>
      <c r="AU778" t="b">
        <f>AND(IF(metadata!S778="",FALSE,TRUE),EXACT(metadata!S778,"missing: not provided"))</f>
        <v>0</v>
      </c>
    </row>
    <row r="779" spans="1:47" x14ac:dyDescent="0.2">
      <c r="A779" s="5" t="str">
        <f ca="1">IF(B779=" "," ",HYPERLINK(CONCATENATE("#metadata!",ADDRESS(INDEX($Y$2:$Y$1001,MATCH(ROWS($W$2:W779),$W$2:$W$1001,0),0),1)),INDEX($AB$2:$AB$1001,MATCH(ROWS($W$2:W779),$W$2:$W$1001,0),0)))</f>
        <v xml:space="preserve"> </v>
      </c>
      <c r="B779" s="4" t="str">
        <f ca="1">IF(OR(INDEX($X$2:$X$1001,MATCH(ROWS($W$2:W779),$W$2:$W$1001,0),1)&gt;=100000,INDEX($AD$1005:$AU$1005,1,MATCH(COLUMNS($AD$1006:AD1006),$AD$1006:$AU$1006,0))&gt;=100000), " ",IF(INDEX($AD$2:$AU$1001,MATCH(ROWS($W$2:W779),$W$2:$W$1001,0),MATCH(COLUMNS($AD$1006:AD1006),$AD$1006:$AU$1006,0)), HYPERLINK("#",""), HYPERLINK(CONCATENATE("#metadata!", ADDRESS(INDEX($Y$2:$Y$1001,MATCH(ROWS($W$2:W779),$W$2:$W$1001,0),0), INDEX($AD$1004:$AU$1004,1,MATCH(COLUMNS($AD$1006:AD1006),$AD$1006:$AU$1006,0)))),"Fix")))</f>
        <v xml:space="preserve"> </v>
      </c>
      <c r="C779" s="4" t="str">
        <f ca="1">IF(OR(INDEX($X$2:$X$1001,MATCH(ROWS($W$2:W779),$W$2:$W$1001,0),1)&gt;=100000,INDEX($AD$1005:$AU$1005,1,MATCH(COLUMNS($AD$1006:AE1006),$AD$1006:$AU$1006,0))&gt;=100000), " ",IF(INDEX($AD$2:$AU$1001,MATCH(ROWS($W$2:W779),$W$2:$W$1001,0),MATCH(COLUMNS($AD$1006:AE1006),$AD$1006:$AU$1006,0)), HYPERLINK("#",""), HYPERLINK(CONCATENATE("#metadata!", ADDRESS(INDEX($Y$2:$Y$1001,MATCH(ROWS($W$2:W779),$W$2:$W$1001,0),0), INDEX($AD$1004:$AU$1004,1,MATCH(COLUMNS($AD$1006:AE1006),$AD$1006:$AU$1006,0)))),"Fix")))</f>
        <v xml:space="preserve"> </v>
      </c>
      <c r="D779" s="4" t="str">
        <f ca="1">IF(OR(INDEX($X$2:$X$1001,MATCH(ROWS($W$2:W779),$W$2:$W$1001,0),1)&gt;=100000,INDEX($AD$1005:$AU$1005,1,MATCH(COLUMNS($AD$1006:AF1006),$AD$1006:$AU$1006,0))&gt;=100000), " ",IF(INDEX($AD$2:$AU$1001,MATCH(ROWS($W$2:W779),$W$2:$W$1001,0),MATCH(COLUMNS($AD$1006:AF1006),$AD$1006:$AU$1006,0)), HYPERLINK("#",""), HYPERLINK(CONCATENATE("#metadata!", ADDRESS(INDEX($Y$2:$Y$1001,MATCH(ROWS($W$2:W779),$W$2:$W$1001,0),0), INDEX($AD$1004:$AU$1004,1,MATCH(COLUMNS($AD$1006:AF1006),$AD$1006:$AU$1006,0)))),"Fix")))</f>
        <v xml:space="preserve"> </v>
      </c>
      <c r="E779" s="4" t="str">
        <f ca="1">IF(OR(INDEX($X$2:$X$1001,MATCH(ROWS($W$2:W779),$W$2:$W$1001,0),1)&gt;=100000,INDEX($AD$1005:$AU$1005,1,MATCH(COLUMNS($AD$1006:AG1006),$AD$1006:$AU$1006,0))&gt;=100000), " ",IF(INDEX($AD$2:$AU$1001,MATCH(ROWS($W$2:W779),$W$2:$W$1001,0),MATCH(COLUMNS($AD$1006:AG1006),$AD$1006:$AU$1006,0)), HYPERLINK("#",""), HYPERLINK(CONCATENATE("#metadata!", ADDRESS(INDEX($Y$2:$Y$1001,MATCH(ROWS($W$2:W779),$W$2:$W$1001,0),0), INDEX($AD$1004:$AU$1004,1,MATCH(COLUMNS($AD$1006:AG1006),$AD$1006:$AU$1006,0)))),"Fix")))</f>
        <v xml:space="preserve"> </v>
      </c>
      <c r="F779" s="4" t="str">
        <f ca="1">IF(OR(INDEX($X$2:$X$1001,MATCH(ROWS($W$2:W779),$W$2:$W$1001,0),1)&gt;=100000,INDEX($AD$1005:$AU$1005,1,MATCH(COLUMNS($AD$1006:AH1006),$AD$1006:$AU$1006,0))&gt;=100000), " ",IF(INDEX($AD$2:$AU$1001,MATCH(ROWS($W$2:W779),$W$2:$W$1001,0),MATCH(COLUMNS($AD$1006:AH1006),$AD$1006:$AU$1006,0)), HYPERLINK("#",""), HYPERLINK(CONCATENATE("#metadata!", ADDRESS(INDEX($Y$2:$Y$1001,MATCH(ROWS($W$2:W779),$W$2:$W$1001,0),0), INDEX($AD$1004:$AU$1004,1,MATCH(COLUMNS($AD$1006:AH1006),$AD$1006:$AU$1006,0)))),"Fix")))</f>
        <v xml:space="preserve"> </v>
      </c>
      <c r="G779" s="4" t="str">
        <f ca="1">IF(OR(INDEX($X$2:$X$1001,MATCH(ROWS($W$2:W779),$W$2:$W$1001,0),1)&gt;=100000,INDEX($AD$1005:$AU$1005,1,MATCH(COLUMNS($AD$1006:AI1006),$AD$1006:$AU$1006,0))&gt;=100000), " ",IF(INDEX($AD$2:$AU$1001,MATCH(ROWS($W$2:W779),$W$2:$W$1001,0),MATCH(COLUMNS($AD$1006:AI1006),$AD$1006:$AU$1006,0)), HYPERLINK("#",""), HYPERLINK(CONCATENATE("#metadata!", ADDRESS(INDEX($Y$2:$Y$1001,MATCH(ROWS($W$2:W779),$W$2:$W$1001,0),0), INDEX($AD$1004:$AU$1004,1,MATCH(COLUMNS($AD$1006:AI1006),$AD$1006:$AU$1006,0)))),"Fix")))</f>
        <v xml:space="preserve"> </v>
      </c>
      <c r="H779" s="4" t="str">
        <f ca="1">IF(OR(INDEX($X$2:$X$1001,MATCH(ROWS($W$2:W779),$W$2:$W$1001,0),1)&gt;=100000,INDEX($AD$1005:$AU$1005,1,MATCH(COLUMNS($AD$1006:AJ1006),$AD$1006:$AU$1006,0))&gt;=100000), " ",IF(INDEX($AD$2:$AU$1001,MATCH(ROWS($W$2:W779),$W$2:$W$1001,0),MATCH(COLUMNS($AD$1006:AJ1006),$AD$1006:$AU$1006,0)), HYPERLINK("#",""), HYPERLINK(CONCATENATE("#metadata!", ADDRESS(INDEX($Y$2:$Y$1001,MATCH(ROWS($W$2:W779),$W$2:$W$1001,0),0), INDEX($AD$1004:$AU$1004,1,MATCH(COLUMNS($AD$1006:AJ1006),$AD$1006:$AU$1006,0)))),"Fix")))</f>
        <v xml:space="preserve"> </v>
      </c>
      <c r="I779" s="4" t="str">
        <f ca="1">IF(OR(INDEX($X$2:$X$1001,MATCH(ROWS($W$2:W779),$W$2:$W$1001,0),1)&gt;=100000,INDEX($AD$1005:$AU$1005,1,MATCH(COLUMNS($AD$1006:AK1006),$AD$1006:$AU$1006,0))&gt;=100000), " ",IF(INDEX($AD$2:$AU$1001,MATCH(ROWS($W$2:W779),$W$2:$W$1001,0),MATCH(COLUMNS($AD$1006:AK1006),$AD$1006:$AU$1006,0)), HYPERLINK("#",""), HYPERLINK(CONCATENATE("#metadata!", ADDRESS(INDEX($Y$2:$Y$1001,MATCH(ROWS($W$2:W779),$W$2:$W$1001,0),0), INDEX($AD$1004:$AU$1004,1,MATCH(COLUMNS($AD$1006:AK1006),$AD$1006:$AU$1006,0)))),"Fix")))</f>
        <v xml:space="preserve"> </v>
      </c>
      <c r="J779" s="4" t="str">
        <f ca="1">IF(OR(INDEX($X$2:$X$1001,MATCH(ROWS($W$2:W779),$W$2:$W$1001,0),1)&gt;=100000,INDEX($AD$1005:$AU$1005,1,MATCH(COLUMNS($AD$1006:AL1006),$AD$1006:$AU$1006,0))&gt;=100000), " ",IF(INDEX($AD$2:$AU$1001,MATCH(ROWS($W$2:W779),$W$2:$W$1001,0),MATCH(COLUMNS($AD$1006:AL1006),$AD$1006:$AU$1006,0)), HYPERLINK("#",""), HYPERLINK(CONCATENATE("#metadata!", ADDRESS(INDEX($Y$2:$Y$1001,MATCH(ROWS($W$2:W779),$W$2:$W$1001,0),0), INDEX($AD$1004:$AU$1004,1,MATCH(COLUMNS($AD$1006:AL1006),$AD$1006:$AU$1006,0)))),"Fix")))</f>
        <v xml:space="preserve"> </v>
      </c>
      <c r="K779" s="4" t="str">
        <f ca="1">IF(OR(INDEX($X$2:$X$1001,MATCH(ROWS($W$2:W779),$W$2:$W$1001,0),1)&gt;=100000,INDEX($AD$1005:$AU$1005,1,MATCH(COLUMNS($AD$1006:AM1006),$AD$1006:$AU$1006,0))&gt;=100000), " ",IF(INDEX($AD$2:$AU$1001,MATCH(ROWS($W$2:W779),$W$2:$W$1001,0),MATCH(COLUMNS($AD$1006:AM1006),$AD$1006:$AU$1006,0)), HYPERLINK("#",""), HYPERLINK(CONCATENATE("#metadata!", ADDRESS(INDEX($Y$2:$Y$1001,MATCH(ROWS($W$2:W779),$W$2:$W$1001,0),0), INDEX($AD$1004:$AU$1004,1,MATCH(COLUMNS($AD$1006:AM1006),$AD$1006:$AU$1006,0)))),"Fix")))</f>
        <v xml:space="preserve"> </v>
      </c>
      <c r="L779" s="4" t="str">
        <f ca="1">IF(OR(INDEX($X$2:$X$1001,MATCH(ROWS($W$2:W779),$W$2:$W$1001,0),1)&gt;=100000,INDEX($AD$1005:$AU$1005,1,MATCH(COLUMNS($AD$1006:AN1006),$AD$1006:$AU$1006,0))&gt;=100000), " ",IF(INDEX($AD$2:$AU$1001,MATCH(ROWS($W$2:W779),$W$2:$W$1001,0),MATCH(COLUMNS($AD$1006:AN1006),$AD$1006:$AU$1006,0)), HYPERLINK("#",""), HYPERLINK(CONCATENATE("#metadata!", ADDRESS(INDEX($Y$2:$Y$1001,MATCH(ROWS($W$2:W779),$W$2:$W$1001,0),0), INDEX($AD$1004:$AU$1004,1,MATCH(COLUMNS($AD$1006:AN1006),$AD$1006:$AU$1006,0)))),"Fix")))</f>
        <v xml:space="preserve"> </v>
      </c>
      <c r="M779" s="4" t="str">
        <f ca="1">IF(OR(INDEX($X$2:$X$1001,MATCH(ROWS($W$2:W779),$W$2:$W$1001,0),1)&gt;=100000,INDEX($AD$1005:$AU$1005,1,MATCH(COLUMNS($AD$1006:AO1006),$AD$1006:$AU$1006,0))&gt;=100000), " ",IF(INDEX($AD$2:$AU$1001,MATCH(ROWS($W$2:W779),$W$2:$W$1001,0),MATCH(COLUMNS($AD$1006:AO1006),$AD$1006:$AU$1006,0)), HYPERLINK("#",""), HYPERLINK(CONCATENATE("#metadata!", ADDRESS(INDEX($Y$2:$Y$1001,MATCH(ROWS($W$2:W779),$W$2:$W$1001,0),0), INDEX($AD$1004:$AU$1004,1,MATCH(COLUMNS($AD$1006:AO1006),$AD$1006:$AU$1006,0)))),"Fix")))</f>
        <v xml:space="preserve"> </v>
      </c>
      <c r="N779" s="4" t="str">
        <f ca="1">IF(OR(INDEX($X$2:$X$1001,MATCH(ROWS($W$2:W779),$W$2:$W$1001,0),1)&gt;=100000,INDEX($AD$1005:$AU$1005,1,MATCH(COLUMNS($AD$1006:AP1006),$AD$1006:$AU$1006,0))&gt;=100000), " ",IF(INDEX($AD$2:$AU$1001,MATCH(ROWS($W$2:W779),$W$2:$W$1001,0),MATCH(COLUMNS($AD$1006:AP1006),$AD$1006:$AU$1006,0)), HYPERLINK("#",""), HYPERLINK(CONCATENATE("#metadata!", ADDRESS(INDEX($Y$2:$Y$1001,MATCH(ROWS($W$2:W779),$W$2:$W$1001,0),0), INDEX($AD$1004:$AU$1004,1,MATCH(COLUMNS($AD$1006:AP1006),$AD$1006:$AU$1006,0)))),"Fix")))</f>
        <v xml:space="preserve"> </v>
      </c>
      <c r="O779" s="4" t="str">
        <f ca="1">IF(OR(INDEX($X$2:$X$1001,MATCH(ROWS($W$2:W779),$W$2:$W$1001,0),1)&gt;=100000,INDEX($AD$1005:$AU$1005,1,MATCH(COLUMNS($AD$1006:AQ1006),$AD$1006:$AU$1006,0))&gt;=100000), " ",IF(INDEX($AD$2:$AU$1001,MATCH(ROWS($W$2:W779),$W$2:$W$1001,0),MATCH(COLUMNS($AD$1006:AQ1006),$AD$1006:$AU$1006,0)), HYPERLINK("#",""), HYPERLINK(CONCATENATE("#metadata!", ADDRESS(INDEX($Y$2:$Y$1001,MATCH(ROWS($W$2:W779),$W$2:$W$1001,0),0), INDEX($AD$1004:$AU$1004,1,MATCH(COLUMNS($AD$1006:AQ1006),$AD$1006:$AU$1006,0)))),"Fix")))</f>
        <v xml:space="preserve"> </v>
      </c>
      <c r="P779" s="4" t="str">
        <f ca="1">IF(OR(INDEX($X$2:$X$1001,MATCH(ROWS($W$2:W779),$W$2:$W$1001,0),1)&gt;=100000,INDEX($AD$1005:$AU$1005,1,MATCH(COLUMNS($AD$1006:AR1006),$AD$1006:$AU$1006,0))&gt;=100000), " ",IF(INDEX($AD$2:$AU$1001,MATCH(ROWS($W$2:W779),$W$2:$W$1001,0),MATCH(COLUMNS($AD$1006:AR1006),$AD$1006:$AU$1006,0)), HYPERLINK("#",""), HYPERLINK(CONCATENATE("#metadata!", ADDRESS(INDEX($Y$2:$Y$1001,MATCH(ROWS($W$2:W779),$W$2:$W$1001,0),0), INDEX($AD$1004:$AU$1004,1,MATCH(COLUMNS($AD$1006:AR1006),$AD$1006:$AU$1006,0)))),"Fix")))</f>
        <v xml:space="preserve"> </v>
      </c>
      <c r="Q779" s="4" t="str">
        <f ca="1">IF(OR(INDEX($X$2:$X$1001,MATCH(ROWS($W$2:W779),$W$2:$W$1001,0),1)&gt;=100000,INDEX($AD$1005:$AU$1005,1,MATCH(COLUMNS($AD$1006:AS1006),$AD$1006:$AU$1006,0))&gt;=100000), " ",IF(INDEX($AD$2:$AU$1001,MATCH(ROWS($W$2:W779),$W$2:$W$1001,0),MATCH(COLUMNS($AD$1006:AS1006),$AD$1006:$AU$1006,0)), HYPERLINK("#",""), HYPERLINK(CONCATENATE("#metadata!", ADDRESS(INDEX($Y$2:$Y$1001,MATCH(ROWS($W$2:W779),$W$2:$W$1001,0),0), INDEX($AD$1004:$AU$1004,1,MATCH(COLUMNS($AD$1006:AS1006),$AD$1006:$AU$1006,0)))),"Fix")))</f>
        <v xml:space="preserve"> </v>
      </c>
      <c r="R779" s="4" t="str">
        <f ca="1">IF(OR(INDEX($X$2:$X$1001,MATCH(ROWS($W$2:W779),$W$2:$W$1001,0),1)&gt;=100000,INDEX($AD$1005:$AU$1005,1,MATCH(COLUMNS($AD$1006:AT1006),$AD$1006:$AU$1006,0))&gt;=100000), " ",IF(INDEX($AD$2:$AU$1001,MATCH(ROWS($W$2:W779),$W$2:$W$1001,0),MATCH(COLUMNS($AD$1006:AT1006),$AD$1006:$AU$1006,0)), HYPERLINK("#",""), HYPERLINK(CONCATENATE("#metadata!", ADDRESS(INDEX($Y$2:$Y$1001,MATCH(ROWS($W$2:W779),$W$2:$W$1001,0),0), INDEX($AD$1004:$AU$1004,1,MATCH(COLUMNS($AD$1006:AT1006),$AD$1006:$AU$1006,0)))),"Fix")))</f>
        <v xml:space="preserve"> </v>
      </c>
      <c r="S779" s="4" t="str">
        <f ca="1">IF(OR(INDEX($X$2:$X$1001,MATCH(ROWS($W$2:W779),$W$2:$W$1001,0),1)&gt;=100000,INDEX($AD$1005:$AU$1005,1,MATCH(COLUMNS($AD$1006:AU1006),$AD$1006:$AU$1006,0))&gt;=100000), " ",IF(INDEX($AD$2:$AU$1001,MATCH(ROWS($W$2:W779),$W$2:$W$1001,0),MATCH(COLUMNS($AD$1006:AU1006),$AD$1006:$AU$1006,0)), HYPERLINK("#",""), HYPERLINK(CONCATENATE("#metadata!", ADDRESS(INDEX($Y$2:$Y$1001,MATCH(ROWS($W$2:W779),$W$2:$W$1001,0),0), INDEX($AD$1004:$AU$1004,1,MATCH(COLUMNS($AD$1006:AU1006),$AD$1006:$AU$1006,0)))),"Fix")))</f>
        <v xml:space="preserve"> </v>
      </c>
      <c r="W779">
        <v>778</v>
      </c>
      <c r="X779">
        <v>100779</v>
      </c>
      <c r="Y779">
        <v>779</v>
      </c>
      <c r="Z779" t="b">
        <f t="shared" si="12"/>
        <v>1</v>
      </c>
      <c r="AA779" t="b">
        <f>COUNTBLANK(metadata!B779:S779)=COLUMNS(metadata!B779:S779)</f>
        <v>1</v>
      </c>
      <c r="AB779" t="str">
        <v/>
      </c>
      <c r="AD779" t="b">
        <f ca="1">AND(IF(metadata!B779="",FALSE,TRUE),COUNTIF(metadata!B:B, metadata!B779) = 1,NOT(ISERROR(SUMPRODUCT(SEARCH(MID(metadata!B779,ROW(INDIRECT("1:"&amp;LEN(metadata!B779))), 1),"0123456789abcdefghijklmnopqrstuvwxyzABCDEFGHIJKLMNOPQRSTUVWXYZ.")))))</f>
        <v>0</v>
      </c>
      <c r="AE779" t="b">
        <f>OR(AND(IF(metadata!C779="",FALSE,TRUE),OR(EXACT(metadata!C779,"not applicable"),EXACT(metadata!C779,"missing: not collected"),EXACT(metadata!C779,"missing: not provided"),EXACT(metadata!C779,"missing: restricted access"))),AND(IF(metadata!C779="",FALSE,ISNUMBER(VALUE(metadata!C779))),metadata!C779&gt;0))</f>
        <v>0</v>
      </c>
      <c r="AF779" t="b">
        <f>AND(IF(metadata!D779="",FALSE,TRUE),EXACT(metadata!D779,"missing: not provided"))</f>
        <v>0</v>
      </c>
      <c r="AG779" t="b">
        <f>AND(IF(metadata!E779="",FALSE,TRUE),EXACT(metadata!E779,"Host-associated"))</f>
        <v>0</v>
      </c>
      <c r="AH779" t="b">
        <f>AND(IF(metadata!F779="",FALSE,TRUE),OR(EXACT(metadata!F779,"Animal"),EXACT(metadata!F779,"Fungus"),EXACT(metadata!F779,"Plant")))</f>
        <v>0</v>
      </c>
      <c r="AI779" t="b">
        <f>AND(IF(metadata!G779="",FALSE,TRUE),OR(EXACT(metadata!G779,"Plant secretion"),EXACT(metadata!G779,"Plant rhizosphere"),EXACT(metadata!G779,"Plant surface"),EXACT(metadata!G779,"Plant corpus"),EXACT(metadata!G779,"Fungus surface"),EXACT(metadata!G779,"Fungus corpus"),EXACT(metadata!G779,"Animal surface"),EXACT(metadata!G779,"Animal proximal gut"),EXACT(metadata!G779,"Animal corpus"),EXACT(metadata!G779,"Animal distal gut"),EXACT(metadata!G779,"Animal secretion")))</f>
        <v>0</v>
      </c>
      <c r="AJ779" t="b">
        <f>OR(AND(IF(metadata!H779="",FALSE,TRUE),OR(EXACT(metadata!H779,"missing: not collected"),EXACT(metadata!H779,"missing: not provided"),EXACT(metadata!H779,"missing: restricted access"))),AND(IF(metadata!H779="",FALSE,TRUE),OR(EXACT(metadata!H779,"organism-associated habitat"),EXACT(metadata!H779,"plant-associated habitat"),EXACT(metadata!H779,"animal-associated habitat"),EXACT(metadata!H779,"insecta-associated habitat"),EXACT(metadata!H779,"mammalia-associated habitat"),EXACT(metadata!H779,"human-associated habitat"),EXACT(metadata!H779,"livestock-associated habitat"))))</f>
        <v>0</v>
      </c>
      <c r="AK779" t="b">
        <f>AND(IF(metadata!I779="",FALSE,TRUE),EXACT(metadata!I779,"host-associated"))</f>
        <v>0</v>
      </c>
      <c r="AL779" t="b">
        <f>OR(AND(IF(metadata!J779="",FALSE,TRUE),OR(EXACT(metadata!J779,"not applicable"),EXACT(metadata!J779,"missing: not collected"),EXACT(metadata!J779,"missing: not provided"),EXACT(metadata!J779,"missing: restricted access"))),AND(IF(metadata!J779="",FALSE,ISNUMBER(VALUE(metadata!J779))),metadata!J779&gt;0))</f>
        <v>0</v>
      </c>
      <c r="AM779" t="b">
        <f>AND(IF(metadata!K779="",FALSE,TRUE),EXACT(metadata!K779,"missing: not provided"))</f>
        <v>0</v>
      </c>
      <c r="AN779" t="b">
        <f>IF(metadata!L779="",FALSE,TRUE)</f>
        <v>0</v>
      </c>
      <c r="AO779" t="b">
        <f>IF(metadata!M779="",FALSE,TRUE)</f>
        <v>0</v>
      </c>
      <c r="AP779" t="b">
        <f>OR(AND(IF(metadata!N779="",FALSE,TRUE),OR(EXACT(metadata!N779,"not applicable"),EXACT(metadata!N779,"missing: not collected"),EXACT(metadata!N779,"missing: not provided"))),AND(IF(metadata!N779="",FALSE,IF(ISERROR(INT(metadata!N779)),FALSE,INT(metadata!N779)=metadata!N779)),metadata!N779&gt;0))</f>
        <v>0</v>
      </c>
      <c r="AQ779" t="b">
        <f>AND(IF(metadata!O779="",FALSE,TRUE),EXACT(metadata!O779,"Not applicable"))</f>
        <v>0</v>
      </c>
      <c r="AR779" t="b">
        <f>OR(AND(IF(metadata!P779="",FALSE,TRUE),OR(EXACT(metadata!P779,"not applicable"),EXACT(metadata!P779,"missing: not collected"),EXACT(metadata!P779,"missing: not provided"),EXACT(metadata!P779,"missing: restricted access"))),IF(metadata!P779="",FALSE,IF(ISERROR(INT(metadata!P779)),FALSE,INT(metadata!P779)=metadata!P779)))</f>
        <v>0</v>
      </c>
      <c r="AS779" t="b">
        <f>AND(IF(metadata!Q779="",FALSE,TRUE),EXACT(metadata!Q779,"Not applicable"))</f>
        <v>0</v>
      </c>
      <c r="AT779" t="b">
        <f>OR(AND(IF(metadata!R779="",FALSE,TRUE),OR(EXACT(metadata!R779,"not applicable"),EXACT(metadata!R779,"missing: not collected"),EXACT(metadata!R779,"missing: not provided"),EXACT(metadata!R779,"missing: restricted access"))),AND(IF(metadata!R779="",FALSE,ISNUMBER(VALUE(metadata!R779))),metadata!R779&gt;0))</f>
        <v>0</v>
      </c>
      <c r="AU779" t="b">
        <f>AND(IF(metadata!S779="",FALSE,TRUE),EXACT(metadata!S779,"missing: not provided"))</f>
        <v>0</v>
      </c>
    </row>
    <row r="780" spans="1:47" x14ac:dyDescent="0.2">
      <c r="A780" s="5" t="str">
        <f ca="1">IF(B780=" "," ",HYPERLINK(CONCATENATE("#metadata!",ADDRESS(INDEX($Y$2:$Y$1001,MATCH(ROWS($W$2:W780),$W$2:$W$1001,0),0),1)),INDEX($AB$2:$AB$1001,MATCH(ROWS($W$2:W780),$W$2:$W$1001,0),0)))</f>
        <v xml:space="preserve"> </v>
      </c>
      <c r="B780" s="4" t="str">
        <f ca="1">IF(OR(INDEX($X$2:$X$1001,MATCH(ROWS($W$2:W780),$W$2:$W$1001,0),1)&gt;=100000,INDEX($AD$1005:$AU$1005,1,MATCH(COLUMNS($AD$1006:AD1006),$AD$1006:$AU$1006,0))&gt;=100000), " ",IF(INDEX($AD$2:$AU$1001,MATCH(ROWS($W$2:W780),$W$2:$W$1001,0),MATCH(COLUMNS($AD$1006:AD1006),$AD$1006:$AU$1006,0)), HYPERLINK("#",""), HYPERLINK(CONCATENATE("#metadata!", ADDRESS(INDEX($Y$2:$Y$1001,MATCH(ROWS($W$2:W780),$W$2:$W$1001,0),0), INDEX($AD$1004:$AU$1004,1,MATCH(COLUMNS($AD$1006:AD1006),$AD$1006:$AU$1006,0)))),"Fix")))</f>
        <v xml:space="preserve"> </v>
      </c>
      <c r="C780" s="4" t="str">
        <f ca="1">IF(OR(INDEX($X$2:$X$1001,MATCH(ROWS($W$2:W780),$W$2:$W$1001,0),1)&gt;=100000,INDEX($AD$1005:$AU$1005,1,MATCH(COLUMNS($AD$1006:AE1006),$AD$1006:$AU$1006,0))&gt;=100000), " ",IF(INDEX($AD$2:$AU$1001,MATCH(ROWS($W$2:W780),$W$2:$W$1001,0),MATCH(COLUMNS($AD$1006:AE1006),$AD$1006:$AU$1006,0)), HYPERLINK("#",""), HYPERLINK(CONCATENATE("#metadata!", ADDRESS(INDEX($Y$2:$Y$1001,MATCH(ROWS($W$2:W780),$W$2:$W$1001,0),0), INDEX($AD$1004:$AU$1004,1,MATCH(COLUMNS($AD$1006:AE1006),$AD$1006:$AU$1006,0)))),"Fix")))</f>
        <v xml:space="preserve"> </v>
      </c>
      <c r="D780" s="4" t="str">
        <f ca="1">IF(OR(INDEX($X$2:$X$1001,MATCH(ROWS($W$2:W780),$W$2:$W$1001,0),1)&gt;=100000,INDEX($AD$1005:$AU$1005,1,MATCH(COLUMNS($AD$1006:AF1006),$AD$1006:$AU$1006,0))&gt;=100000), " ",IF(INDEX($AD$2:$AU$1001,MATCH(ROWS($W$2:W780),$W$2:$W$1001,0),MATCH(COLUMNS($AD$1006:AF1006),$AD$1006:$AU$1006,0)), HYPERLINK("#",""), HYPERLINK(CONCATENATE("#metadata!", ADDRESS(INDEX($Y$2:$Y$1001,MATCH(ROWS($W$2:W780),$W$2:$W$1001,0),0), INDEX($AD$1004:$AU$1004,1,MATCH(COLUMNS($AD$1006:AF1006),$AD$1006:$AU$1006,0)))),"Fix")))</f>
        <v xml:space="preserve"> </v>
      </c>
      <c r="E780" s="4" t="str">
        <f ca="1">IF(OR(INDEX($X$2:$X$1001,MATCH(ROWS($W$2:W780),$W$2:$W$1001,0),1)&gt;=100000,INDEX($AD$1005:$AU$1005,1,MATCH(COLUMNS($AD$1006:AG1006),$AD$1006:$AU$1006,0))&gt;=100000), " ",IF(INDEX($AD$2:$AU$1001,MATCH(ROWS($W$2:W780),$W$2:$W$1001,0),MATCH(COLUMNS($AD$1006:AG1006),$AD$1006:$AU$1006,0)), HYPERLINK("#",""), HYPERLINK(CONCATENATE("#metadata!", ADDRESS(INDEX($Y$2:$Y$1001,MATCH(ROWS($W$2:W780),$W$2:$W$1001,0),0), INDEX($AD$1004:$AU$1004,1,MATCH(COLUMNS($AD$1006:AG1006),$AD$1006:$AU$1006,0)))),"Fix")))</f>
        <v xml:space="preserve"> </v>
      </c>
      <c r="F780" s="4" t="str">
        <f ca="1">IF(OR(INDEX($X$2:$X$1001,MATCH(ROWS($W$2:W780),$W$2:$W$1001,0),1)&gt;=100000,INDEX($AD$1005:$AU$1005,1,MATCH(COLUMNS($AD$1006:AH1006),$AD$1006:$AU$1006,0))&gt;=100000), " ",IF(INDEX($AD$2:$AU$1001,MATCH(ROWS($W$2:W780),$W$2:$W$1001,0),MATCH(COLUMNS($AD$1006:AH1006),$AD$1006:$AU$1006,0)), HYPERLINK("#",""), HYPERLINK(CONCATENATE("#metadata!", ADDRESS(INDEX($Y$2:$Y$1001,MATCH(ROWS($W$2:W780),$W$2:$W$1001,0),0), INDEX($AD$1004:$AU$1004,1,MATCH(COLUMNS($AD$1006:AH1006),$AD$1006:$AU$1006,0)))),"Fix")))</f>
        <v xml:space="preserve"> </v>
      </c>
      <c r="G780" s="4" t="str">
        <f ca="1">IF(OR(INDEX($X$2:$X$1001,MATCH(ROWS($W$2:W780),$W$2:$W$1001,0),1)&gt;=100000,INDEX($AD$1005:$AU$1005,1,MATCH(COLUMNS($AD$1006:AI1006),$AD$1006:$AU$1006,0))&gt;=100000), " ",IF(INDEX($AD$2:$AU$1001,MATCH(ROWS($W$2:W780),$W$2:$W$1001,0),MATCH(COLUMNS($AD$1006:AI1006),$AD$1006:$AU$1006,0)), HYPERLINK("#",""), HYPERLINK(CONCATENATE("#metadata!", ADDRESS(INDEX($Y$2:$Y$1001,MATCH(ROWS($W$2:W780),$W$2:$W$1001,0),0), INDEX($AD$1004:$AU$1004,1,MATCH(COLUMNS($AD$1006:AI1006),$AD$1006:$AU$1006,0)))),"Fix")))</f>
        <v xml:space="preserve"> </v>
      </c>
      <c r="H780" s="4" t="str">
        <f ca="1">IF(OR(INDEX($X$2:$X$1001,MATCH(ROWS($W$2:W780),$W$2:$W$1001,0),1)&gt;=100000,INDEX($AD$1005:$AU$1005,1,MATCH(COLUMNS($AD$1006:AJ1006),$AD$1006:$AU$1006,0))&gt;=100000), " ",IF(INDEX($AD$2:$AU$1001,MATCH(ROWS($W$2:W780),$W$2:$W$1001,0),MATCH(COLUMNS($AD$1006:AJ1006),$AD$1006:$AU$1006,0)), HYPERLINK("#",""), HYPERLINK(CONCATENATE("#metadata!", ADDRESS(INDEX($Y$2:$Y$1001,MATCH(ROWS($W$2:W780),$W$2:$W$1001,0),0), INDEX($AD$1004:$AU$1004,1,MATCH(COLUMNS($AD$1006:AJ1006),$AD$1006:$AU$1006,0)))),"Fix")))</f>
        <v xml:space="preserve"> </v>
      </c>
      <c r="I780" s="4" t="str">
        <f ca="1">IF(OR(INDEX($X$2:$X$1001,MATCH(ROWS($W$2:W780),$W$2:$W$1001,0),1)&gt;=100000,INDEX($AD$1005:$AU$1005,1,MATCH(COLUMNS($AD$1006:AK1006),$AD$1006:$AU$1006,0))&gt;=100000), " ",IF(INDEX($AD$2:$AU$1001,MATCH(ROWS($W$2:W780),$W$2:$W$1001,0),MATCH(COLUMNS($AD$1006:AK1006),$AD$1006:$AU$1006,0)), HYPERLINK("#",""), HYPERLINK(CONCATENATE("#metadata!", ADDRESS(INDEX($Y$2:$Y$1001,MATCH(ROWS($W$2:W780),$W$2:$W$1001,0),0), INDEX($AD$1004:$AU$1004,1,MATCH(COLUMNS($AD$1006:AK1006),$AD$1006:$AU$1006,0)))),"Fix")))</f>
        <v xml:space="preserve"> </v>
      </c>
      <c r="J780" s="4" t="str">
        <f ca="1">IF(OR(INDEX($X$2:$X$1001,MATCH(ROWS($W$2:W780),$W$2:$W$1001,0),1)&gt;=100000,INDEX($AD$1005:$AU$1005,1,MATCH(COLUMNS($AD$1006:AL1006),$AD$1006:$AU$1006,0))&gt;=100000), " ",IF(INDEX($AD$2:$AU$1001,MATCH(ROWS($W$2:W780),$W$2:$W$1001,0),MATCH(COLUMNS($AD$1006:AL1006),$AD$1006:$AU$1006,0)), HYPERLINK("#",""), HYPERLINK(CONCATENATE("#metadata!", ADDRESS(INDEX($Y$2:$Y$1001,MATCH(ROWS($W$2:W780),$W$2:$W$1001,0),0), INDEX($AD$1004:$AU$1004,1,MATCH(COLUMNS($AD$1006:AL1006),$AD$1006:$AU$1006,0)))),"Fix")))</f>
        <v xml:space="preserve"> </v>
      </c>
      <c r="K780" s="4" t="str">
        <f ca="1">IF(OR(INDEX($X$2:$X$1001,MATCH(ROWS($W$2:W780),$W$2:$W$1001,0),1)&gt;=100000,INDEX($AD$1005:$AU$1005,1,MATCH(COLUMNS($AD$1006:AM1006),$AD$1006:$AU$1006,0))&gt;=100000), " ",IF(INDEX($AD$2:$AU$1001,MATCH(ROWS($W$2:W780),$W$2:$W$1001,0),MATCH(COLUMNS($AD$1006:AM1006),$AD$1006:$AU$1006,0)), HYPERLINK("#",""), HYPERLINK(CONCATENATE("#metadata!", ADDRESS(INDEX($Y$2:$Y$1001,MATCH(ROWS($W$2:W780),$W$2:$W$1001,0),0), INDEX($AD$1004:$AU$1004,1,MATCH(COLUMNS($AD$1006:AM1006),$AD$1006:$AU$1006,0)))),"Fix")))</f>
        <v xml:space="preserve"> </v>
      </c>
      <c r="L780" s="4" t="str">
        <f ca="1">IF(OR(INDEX($X$2:$X$1001,MATCH(ROWS($W$2:W780),$W$2:$W$1001,0),1)&gt;=100000,INDEX($AD$1005:$AU$1005,1,MATCH(COLUMNS($AD$1006:AN1006),$AD$1006:$AU$1006,0))&gt;=100000), " ",IF(INDEX($AD$2:$AU$1001,MATCH(ROWS($W$2:W780),$W$2:$W$1001,0),MATCH(COLUMNS($AD$1006:AN1006),$AD$1006:$AU$1006,0)), HYPERLINK("#",""), HYPERLINK(CONCATENATE("#metadata!", ADDRESS(INDEX($Y$2:$Y$1001,MATCH(ROWS($W$2:W780),$W$2:$W$1001,0),0), INDEX($AD$1004:$AU$1004,1,MATCH(COLUMNS($AD$1006:AN1006),$AD$1006:$AU$1006,0)))),"Fix")))</f>
        <v xml:space="preserve"> </v>
      </c>
      <c r="M780" s="4" t="str">
        <f ca="1">IF(OR(INDEX($X$2:$X$1001,MATCH(ROWS($W$2:W780),$W$2:$W$1001,0),1)&gt;=100000,INDEX($AD$1005:$AU$1005,1,MATCH(COLUMNS($AD$1006:AO1006),$AD$1006:$AU$1006,0))&gt;=100000), " ",IF(INDEX($AD$2:$AU$1001,MATCH(ROWS($W$2:W780),$W$2:$W$1001,0),MATCH(COLUMNS($AD$1006:AO1006),$AD$1006:$AU$1006,0)), HYPERLINK("#",""), HYPERLINK(CONCATENATE("#metadata!", ADDRESS(INDEX($Y$2:$Y$1001,MATCH(ROWS($W$2:W780),$W$2:$W$1001,0),0), INDEX($AD$1004:$AU$1004,1,MATCH(COLUMNS($AD$1006:AO1006),$AD$1006:$AU$1006,0)))),"Fix")))</f>
        <v xml:space="preserve"> </v>
      </c>
      <c r="N780" s="4" t="str">
        <f ca="1">IF(OR(INDEX($X$2:$X$1001,MATCH(ROWS($W$2:W780),$W$2:$W$1001,0),1)&gt;=100000,INDEX($AD$1005:$AU$1005,1,MATCH(COLUMNS($AD$1006:AP1006),$AD$1006:$AU$1006,0))&gt;=100000), " ",IF(INDEX($AD$2:$AU$1001,MATCH(ROWS($W$2:W780),$W$2:$W$1001,0),MATCH(COLUMNS($AD$1006:AP1006),$AD$1006:$AU$1006,0)), HYPERLINK("#",""), HYPERLINK(CONCATENATE("#metadata!", ADDRESS(INDEX($Y$2:$Y$1001,MATCH(ROWS($W$2:W780),$W$2:$W$1001,0),0), INDEX($AD$1004:$AU$1004,1,MATCH(COLUMNS($AD$1006:AP1006),$AD$1006:$AU$1006,0)))),"Fix")))</f>
        <v xml:space="preserve"> </v>
      </c>
      <c r="O780" s="4" t="str">
        <f ca="1">IF(OR(INDEX($X$2:$X$1001,MATCH(ROWS($W$2:W780),$W$2:$W$1001,0),1)&gt;=100000,INDEX($AD$1005:$AU$1005,1,MATCH(COLUMNS($AD$1006:AQ1006),$AD$1006:$AU$1006,0))&gt;=100000), " ",IF(INDEX($AD$2:$AU$1001,MATCH(ROWS($W$2:W780),$W$2:$W$1001,0),MATCH(COLUMNS($AD$1006:AQ1006),$AD$1006:$AU$1006,0)), HYPERLINK("#",""), HYPERLINK(CONCATENATE("#metadata!", ADDRESS(INDEX($Y$2:$Y$1001,MATCH(ROWS($W$2:W780),$W$2:$W$1001,0),0), INDEX($AD$1004:$AU$1004,1,MATCH(COLUMNS($AD$1006:AQ1006),$AD$1006:$AU$1006,0)))),"Fix")))</f>
        <v xml:space="preserve"> </v>
      </c>
      <c r="P780" s="4" t="str">
        <f ca="1">IF(OR(INDEX($X$2:$X$1001,MATCH(ROWS($W$2:W780),$W$2:$W$1001,0),1)&gt;=100000,INDEX($AD$1005:$AU$1005,1,MATCH(COLUMNS($AD$1006:AR1006),$AD$1006:$AU$1006,0))&gt;=100000), " ",IF(INDEX($AD$2:$AU$1001,MATCH(ROWS($W$2:W780),$W$2:$W$1001,0),MATCH(COLUMNS($AD$1006:AR1006),$AD$1006:$AU$1006,0)), HYPERLINK("#",""), HYPERLINK(CONCATENATE("#metadata!", ADDRESS(INDEX($Y$2:$Y$1001,MATCH(ROWS($W$2:W780),$W$2:$W$1001,0),0), INDEX($AD$1004:$AU$1004,1,MATCH(COLUMNS($AD$1006:AR1006),$AD$1006:$AU$1006,0)))),"Fix")))</f>
        <v xml:space="preserve"> </v>
      </c>
      <c r="Q780" s="4" t="str">
        <f ca="1">IF(OR(INDEX($X$2:$X$1001,MATCH(ROWS($W$2:W780),$W$2:$W$1001,0),1)&gt;=100000,INDEX($AD$1005:$AU$1005,1,MATCH(COLUMNS($AD$1006:AS1006),$AD$1006:$AU$1006,0))&gt;=100000), " ",IF(INDEX($AD$2:$AU$1001,MATCH(ROWS($W$2:W780),$W$2:$W$1001,0),MATCH(COLUMNS($AD$1006:AS1006),$AD$1006:$AU$1006,0)), HYPERLINK("#",""), HYPERLINK(CONCATENATE("#metadata!", ADDRESS(INDEX($Y$2:$Y$1001,MATCH(ROWS($W$2:W780),$W$2:$W$1001,0),0), INDEX($AD$1004:$AU$1004,1,MATCH(COLUMNS($AD$1006:AS1006),$AD$1006:$AU$1006,0)))),"Fix")))</f>
        <v xml:space="preserve"> </v>
      </c>
      <c r="R780" s="4" t="str">
        <f ca="1">IF(OR(INDEX($X$2:$X$1001,MATCH(ROWS($W$2:W780),$W$2:$W$1001,0),1)&gt;=100000,INDEX($AD$1005:$AU$1005,1,MATCH(COLUMNS($AD$1006:AT1006),$AD$1006:$AU$1006,0))&gt;=100000), " ",IF(INDEX($AD$2:$AU$1001,MATCH(ROWS($W$2:W780),$W$2:$W$1001,0),MATCH(COLUMNS($AD$1006:AT1006),$AD$1006:$AU$1006,0)), HYPERLINK("#",""), HYPERLINK(CONCATENATE("#metadata!", ADDRESS(INDEX($Y$2:$Y$1001,MATCH(ROWS($W$2:W780),$W$2:$W$1001,0),0), INDEX($AD$1004:$AU$1004,1,MATCH(COLUMNS($AD$1006:AT1006),$AD$1006:$AU$1006,0)))),"Fix")))</f>
        <v xml:space="preserve"> </v>
      </c>
      <c r="S780" s="4" t="str">
        <f ca="1">IF(OR(INDEX($X$2:$X$1001,MATCH(ROWS($W$2:W780),$W$2:$W$1001,0),1)&gt;=100000,INDEX($AD$1005:$AU$1005,1,MATCH(COLUMNS($AD$1006:AU1006),$AD$1006:$AU$1006,0))&gt;=100000), " ",IF(INDEX($AD$2:$AU$1001,MATCH(ROWS($W$2:W780),$W$2:$W$1001,0),MATCH(COLUMNS($AD$1006:AU1006),$AD$1006:$AU$1006,0)), HYPERLINK("#",""), HYPERLINK(CONCATENATE("#metadata!", ADDRESS(INDEX($Y$2:$Y$1001,MATCH(ROWS($W$2:W780),$W$2:$W$1001,0),0), INDEX($AD$1004:$AU$1004,1,MATCH(COLUMNS($AD$1006:AU1006),$AD$1006:$AU$1006,0)))),"Fix")))</f>
        <v xml:space="preserve"> </v>
      </c>
      <c r="W780">
        <v>779</v>
      </c>
      <c r="X780">
        <v>100780</v>
      </c>
      <c r="Y780">
        <v>780</v>
      </c>
      <c r="Z780" t="b">
        <f t="shared" si="12"/>
        <v>1</v>
      </c>
      <c r="AA780" t="b">
        <f>COUNTBLANK(metadata!B780:S780)=COLUMNS(metadata!B780:S780)</f>
        <v>1</v>
      </c>
      <c r="AB780" t="str">
        <v/>
      </c>
      <c r="AD780" t="b">
        <f ca="1">AND(IF(metadata!B780="",FALSE,TRUE),COUNTIF(metadata!B:B, metadata!B780) = 1,NOT(ISERROR(SUMPRODUCT(SEARCH(MID(metadata!B780,ROW(INDIRECT("1:"&amp;LEN(metadata!B780))), 1),"0123456789abcdefghijklmnopqrstuvwxyzABCDEFGHIJKLMNOPQRSTUVWXYZ.")))))</f>
        <v>0</v>
      </c>
      <c r="AE780" t="b">
        <f>OR(AND(IF(metadata!C780="",FALSE,TRUE),OR(EXACT(metadata!C780,"not applicable"),EXACT(metadata!C780,"missing: not collected"),EXACT(metadata!C780,"missing: not provided"),EXACT(metadata!C780,"missing: restricted access"))),AND(IF(metadata!C780="",FALSE,ISNUMBER(VALUE(metadata!C780))),metadata!C780&gt;0))</f>
        <v>0</v>
      </c>
      <c r="AF780" t="b">
        <f>AND(IF(metadata!D780="",FALSE,TRUE),EXACT(metadata!D780,"missing: not provided"))</f>
        <v>0</v>
      </c>
      <c r="AG780" t="b">
        <f>AND(IF(metadata!E780="",FALSE,TRUE),EXACT(metadata!E780,"Host-associated"))</f>
        <v>0</v>
      </c>
      <c r="AH780" t="b">
        <f>AND(IF(metadata!F780="",FALSE,TRUE),OR(EXACT(metadata!F780,"Animal"),EXACT(metadata!F780,"Fungus"),EXACT(metadata!F780,"Plant")))</f>
        <v>0</v>
      </c>
      <c r="AI780" t="b">
        <f>AND(IF(metadata!G780="",FALSE,TRUE),OR(EXACT(metadata!G780,"Plant secretion"),EXACT(metadata!G780,"Plant rhizosphere"),EXACT(metadata!G780,"Plant surface"),EXACT(metadata!G780,"Plant corpus"),EXACT(metadata!G780,"Fungus surface"),EXACT(metadata!G780,"Fungus corpus"),EXACT(metadata!G780,"Animal surface"),EXACT(metadata!G780,"Animal proximal gut"),EXACT(metadata!G780,"Animal corpus"),EXACT(metadata!G780,"Animal distal gut"),EXACT(metadata!G780,"Animal secretion")))</f>
        <v>0</v>
      </c>
      <c r="AJ780" t="b">
        <f>OR(AND(IF(metadata!H780="",FALSE,TRUE),OR(EXACT(metadata!H780,"missing: not collected"),EXACT(metadata!H780,"missing: not provided"),EXACT(metadata!H780,"missing: restricted access"))),AND(IF(metadata!H780="",FALSE,TRUE),OR(EXACT(metadata!H780,"organism-associated habitat"),EXACT(metadata!H780,"plant-associated habitat"),EXACT(metadata!H780,"animal-associated habitat"),EXACT(metadata!H780,"insecta-associated habitat"),EXACT(metadata!H780,"mammalia-associated habitat"),EXACT(metadata!H780,"human-associated habitat"),EXACT(metadata!H780,"livestock-associated habitat"))))</f>
        <v>0</v>
      </c>
      <c r="AK780" t="b">
        <f>AND(IF(metadata!I780="",FALSE,TRUE),EXACT(metadata!I780,"host-associated"))</f>
        <v>0</v>
      </c>
      <c r="AL780" t="b">
        <f>OR(AND(IF(metadata!J780="",FALSE,TRUE),OR(EXACT(metadata!J780,"not applicable"),EXACT(metadata!J780,"missing: not collected"),EXACT(metadata!J780,"missing: not provided"),EXACT(metadata!J780,"missing: restricted access"))),AND(IF(metadata!J780="",FALSE,ISNUMBER(VALUE(metadata!J780))),metadata!J780&gt;0))</f>
        <v>0</v>
      </c>
      <c r="AM780" t="b">
        <f>AND(IF(metadata!K780="",FALSE,TRUE),EXACT(metadata!K780,"missing: not provided"))</f>
        <v>0</v>
      </c>
      <c r="AN780" t="b">
        <f>IF(metadata!L780="",FALSE,TRUE)</f>
        <v>0</v>
      </c>
      <c r="AO780" t="b">
        <f>IF(metadata!M780="",FALSE,TRUE)</f>
        <v>0</v>
      </c>
      <c r="AP780" t="b">
        <f>OR(AND(IF(metadata!N780="",FALSE,TRUE),OR(EXACT(metadata!N780,"not applicable"),EXACT(metadata!N780,"missing: not collected"),EXACT(metadata!N780,"missing: not provided"))),AND(IF(metadata!N780="",FALSE,IF(ISERROR(INT(metadata!N780)),FALSE,INT(metadata!N780)=metadata!N780)),metadata!N780&gt;0))</f>
        <v>0</v>
      </c>
      <c r="AQ780" t="b">
        <f>AND(IF(metadata!O780="",FALSE,TRUE),EXACT(metadata!O780,"Not applicable"))</f>
        <v>0</v>
      </c>
      <c r="AR780" t="b">
        <f>OR(AND(IF(metadata!P780="",FALSE,TRUE),OR(EXACT(metadata!P780,"not applicable"),EXACT(metadata!P780,"missing: not collected"),EXACT(metadata!P780,"missing: not provided"),EXACT(metadata!P780,"missing: restricted access"))),IF(metadata!P780="",FALSE,IF(ISERROR(INT(metadata!P780)),FALSE,INT(metadata!P780)=metadata!P780)))</f>
        <v>0</v>
      </c>
      <c r="AS780" t="b">
        <f>AND(IF(metadata!Q780="",FALSE,TRUE),EXACT(metadata!Q780,"Not applicable"))</f>
        <v>0</v>
      </c>
      <c r="AT780" t="b">
        <f>OR(AND(IF(metadata!R780="",FALSE,TRUE),OR(EXACT(metadata!R780,"not applicable"),EXACT(metadata!R780,"missing: not collected"),EXACT(metadata!R780,"missing: not provided"),EXACT(metadata!R780,"missing: restricted access"))),AND(IF(metadata!R780="",FALSE,ISNUMBER(VALUE(metadata!R780))),metadata!R780&gt;0))</f>
        <v>0</v>
      </c>
      <c r="AU780" t="b">
        <f>AND(IF(metadata!S780="",FALSE,TRUE),EXACT(metadata!S780,"missing: not provided"))</f>
        <v>0</v>
      </c>
    </row>
    <row r="781" spans="1:47" x14ac:dyDescent="0.2">
      <c r="A781" s="5" t="str">
        <f ca="1">IF(B781=" "," ",HYPERLINK(CONCATENATE("#metadata!",ADDRESS(INDEX($Y$2:$Y$1001,MATCH(ROWS($W$2:W781),$W$2:$W$1001,0),0),1)),INDEX($AB$2:$AB$1001,MATCH(ROWS($W$2:W781),$W$2:$W$1001,0),0)))</f>
        <v xml:space="preserve"> </v>
      </c>
      <c r="B781" s="4" t="str">
        <f ca="1">IF(OR(INDEX($X$2:$X$1001,MATCH(ROWS($W$2:W781),$W$2:$W$1001,0),1)&gt;=100000,INDEX($AD$1005:$AU$1005,1,MATCH(COLUMNS($AD$1006:AD1006),$AD$1006:$AU$1006,0))&gt;=100000), " ",IF(INDEX($AD$2:$AU$1001,MATCH(ROWS($W$2:W781),$W$2:$W$1001,0),MATCH(COLUMNS($AD$1006:AD1006),$AD$1006:$AU$1006,0)), HYPERLINK("#",""), HYPERLINK(CONCATENATE("#metadata!", ADDRESS(INDEX($Y$2:$Y$1001,MATCH(ROWS($W$2:W781),$W$2:$W$1001,0),0), INDEX($AD$1004:$AU$1004,1,MATCH(COLUMNS($AD$1006:AD1006),$AD$1006:$AU$1006,0)))),"Fix")))</f>
        <v xml:space="preserve"> </v>
      </c>
      <c r="C781" s="4" t="str">
        <f ca="1">IF(OR(INDEX($X$2:$X$1001,MATCH(ROWS($W$2:W781),$W$2:$W$1001,0),1)&gt;=100000,INDEX($AD$1005:$AU$1005,1,MATCH(COLUMNS($AD$1006:AE1006),$AD$1006:$AU$1006,0))&gt;=100000), " ",IF(INDEX($AD$2:$AU$1001,MATCH(ROWS($W$2:W781),$W$2:$W$1001,0),MATCH(COLUMNS($AD$1006:AE1006),$AD$1006:$AU$1006,0)), HYPERLINK("#",""), HYPERLINK(CONCATENATE("#metadata!", ADDRESS(INDEX($Y$2:$Y$1001,MATCH(ROWS($W$2:W781),$W$2:$W$1001,0),0), INDEX($AD$1004:$AU$1004,1,MATCH(COLUMNS($AD$1006:AE1006),$AD$1006:$AU$1006,0)))),"Fix")))</f>
        <v xml:space="preserve"> </v>
      </c>
      <c r="D781" s="4" t="str">
        <f ca="1">IF(OR(INDEX($X$2:$X$1001,MATCH(ROWS($W$2:W781),$W$2:$W$1001,0),1)&gt;=100000,INDEX($AD$1005:$AU$1005,1,MATCH(COLUMNS($AD$1006:AF1006),$AD$1006:$AU$1006,0))&gt;=100000), " ",IF(INDEX($AD$2:$AU$1001,MATCH(ROWS($W$2:W781),$W$2:$W$1001,0),MATCH(COLUMNS($AD$1006:AF1006),$AD$1006:$AU$1006,0)), HYPERLINK("#",""), HYPERLINK(CONCATENATE("#metadata!", ADDRESS(INDEX($Y$2:$Y$1001,MATCH(ROWS($W$2:W781),$W$2:$W$1001,0),0), INDEX($AD$1004:$AU$1004,1,MATCH(COLUMNS($AD$1006:AF1006),$AD$1006:$AU$1006,0)))),"Fix")))</f>
        <v xml:space="preserve"> </v>
      </c>
      <c r="E781" s="4" t="str">
        <f ca="1">IF(OR(INDEX($X$2:$X$1001,MATCH(ROWS($W$2:W781),$W$2:$W$1001,0),1)&gt;=100000,INDEX($AD$1005:$AU$1005,1,MATCH(COLUMNS($AD$1006:AG1006),$AD$1006:$AU$1006,0))&gt;=100000), " ",IF(INDEX($AD$2:$AU$1001,MATCH(ROWS($W$2:W781),$W$2:$W$1001,0),MATCH(COLUMNS($AD$1006:AG1006),$AD$1006:$AU$1006,0)), HYPERLINK("#",""), HYPERLINK(CONCATENATE("#metadata!", ADDRESS(INDEX($Y$2:$Y$1001,MATCH(ROWS($W$2:W781),$W$2:$W$1001,0),0), INDEX($AD$1004:$AU$1004,1,MATCH(COLUMNS($AD$1006:AG1006),$AD$1006:$AU$1006,0)))),"Fix")))</f>
        <v xml:space="preserve"> </v>
      </c>
      <c r="F781" s="4" t="str">
        <f ca="1">IF(OR(INDEX($X$2:$X$1001,MATCH(ROWS($W$2:W781),$W$2:$W$1001,0),1)&gt;=100000,INDEX($AD$1005:$AU$1005,1,MATCH(COLUMNS($AD$1006:AH1006),$AD$1006:$AU$1006,0))&gt;=100000), " ",IF(INDEX($AD$2:$AU$1001,MATCH(ROWS($W$2:W781),$W$2:$W$1001,0),MATCH(COLUMNS($AD$1006:AH1006),$AD$1006:$AU$1006,0)), HYPERLINK("#",""), HYPERLINK(CONCATENATE("#metadata!", ADDRESS(INDEX($Y$2:$Y$1001,MATCH(ROWS($W$2:W781),$W$2:$W$1001,0),0), INDEX($AD$1004:$AU$1004,1,MATCH(COLUMNS($AD$1006:AH1006),$AD$1006:$AU$1006,0)))),"Fix")))</f>
        <v xml:space="preserve"> </v>
      </c>
      <c r="G781" s="4" t="str">
        <f ca="1">IF(OR(INDEX($X$2:$X$1001,MATCH(ROWS($W$2:W781),$W$2:$W$1001,0),1)&gt;=100000,INDEX($AD$1005:$AU$1005,1,MATCH(COLUMNS($AD$1006:AI1006),$AD$1006:$AU$1006,0))&gt;=100000), " ",IF(INDEX($AD$2:$AU$1001,MATCH(ROWS($W$2:W781),$W$2:$W$1001,0),MATCH(COLUMNS($AD$1006:AI1006),$AD$1006:$AU$1006,0)), HYPERLINK("#",""), HYPERLINK(CONCATENATE("#metadata!", ADDRESS(INDEX($Y$2:$Y$1001,MATCH(ROWS($W$2:W781),$W$2:$W$1001,0),0), INDEX($AD$1004:$AU$1004,1,MATCH(COLUMNS($AD$1006:AI1006),$AD$1006:$AU$1006,0)))),"Fix")))</f>
        <v xml:space="preserve"> </v>
      </c>
      <c r="H781" s="4" t="str">
        <f ca="1">IF(OR(INDEX($X$2:$X$1001,MATCH(ROWS($W$2:W781),$W$2:$W$1001,0),1)&gt;=100000,INDEX($AD$1005:$AU$1005,1,MATCH(COLUMNS($AD$1006:AJ1006),$AD$1006:$AU$1006,0))&gt;=100000), " ",IF(INDEX($AD$2:$AU$1001,MATCH(ROWS($W$2:W781),$W$2:$W$1001,0),MATCH(COLUMNS($AD$1006:AJ1006),$AD$1006:$AU$1006,0)), HYPERLINK("#",""), HYPERLINK(CONCATENATE("#metadata!", ADDRESS(INDEX($Y$2:$Y$1001,MATCH(ROWS($W$2:W781),$W$2:$W$1001,0),0), INDEX($AD$1004:$AU$1004,1,MATCH(COLUMNS($AD$1006:AJ1006),$AD$1006:$AU$1006,0)))),"Fix")))</f>
        <v xml:space="preserve"> </v>
      </c>
      <c r="I781" s="4" t="str">
        <f ca="1">IF(OR(INDEX($X$2:$X$1001,MATCH(ROWS($W$2:W781),$W$2:$W$1001,0),1)&gt;=100000,INDEX($AD$1005:$AU$1005,1,MATCH(COLUMNS($AD$1006:AK1006),$AD$1006:$AU$1006,0))&gt;=100000), " ",IF(INDEX($AD$2:$AU$1001,MATCH(ROWS($W$2:W781),$W$2:$W$1001,0),MATCH(COLUMNS($AD$1006:AK1006),$AD$1006:$AU$1006,0)), HYPERLINK("#",""), HYPERLINK(CONCATENATE("#metadata!", ADDRESS(INDEX($Y$2:$Y$1001,MATCH(ROWS($W$2:W781),$W$2:$W$1001,0),0), INDEX($AD$1004:$AU$1004,1,MATCH(COLUMNS($AD$1006:AK1006),$AD$1006:$AU$1006,0)))),"Fix")))</f>
        <v xml:space="preserve"> </v>
      </c>
      <c r="J781" s="4" t="str">
        <f ca="1">IF(OR(INDEX($X$2:$X$1001,MATCH(ROWS($W$2:W781),$W$2:$W$1001,0),1)&gt;=100000,INDEX($AD$1005:$AU$1005,1,MATCH(COLUMNS($AD$1006:AL1006),$AD$1006:$AU$1006,0))&gt;=100000), " ",IF(INDEX($AD$2:$AU$1001,MATCH(ROWS($W$2:W781),$W$2:$W$1001,0),MATCH(COLUMNS($AD$1006:AL1006),$AD$1006:$AU$1006,0)), HYPERLINK("#",""), HYPERLINK(CONCATENATE("#metadata!", ADDRESS(INDEX($Y$2:$Y$1001,MATCH(ROWS($W$2:W781),$W$2:$W$1001,0),0), INDEX($AD$1004:$AU$1004,1,MATCH(COLUMNS($AD$1006:AL1006),$AD$1006:$AU$1006,0)))),"Fix")))</f>
        <v xml:space="preserve"> </v>
      </c>
      <c r="K781" s="4" t="str">
        <f ca="1">IF(OR(INDEX($X$2:$X$1001,MATCH(ROWS($W$2:W781),$W$2:$W$1001,0),1)&gt;=100000,INDEX($AD$1005:$AU$1005,1,MATCH(COLUMNS($AD$1006:AM1006),$AD$1006:$AU$1006,0))&gt;=100000), " ",IF(INDEX($AD$2:$AU$1001,MATCH(ROWS($W$2:W781),$W$2:$W$1001,0),MATCH(COLUMNS($AD$1006:AM1006),$AD$1006:$AU$1006,0)), HYPERLINK("#",""), HYPERLINK(CONCATENATE("#metadata!", ADDRESS(INDEX($Y$2:$Y$1001,MATCH(ROWS($W$2:W781),$W$2:$W$1001,0),0), INDEX($AD$1004:$AU$1004,1,MATCH(COLUMNS($AD$1006:AM1006),$AD$1006:$AU$1006,0)))),"Fix")))</f>
        <v xml:space="preserve"> </v>
      </c>
      <c r="L781" s="4" t="str">
        <f ca="1">IF(OR(INDEX($X$2:$X$1001,MATCH(ROWS($W$2:W781),$W$2:$W$1001,0),1)&gt;=100000,INDEX($AD$1005:$AU$1005,1,MATCH(COLUMNS($AD$1006:AN1006),$AD$1006:$AU$1006,0))&gt;=100000), " ",IF(INDEX($AD$2:$AU$1001,MATCH(ROWS($W$2:W781),$W$2:$W$1001,0),MATCH(COLUMNS($AD$1006:AN1006),$AD$1006:$AU$1006,0)), HYPERLINK("#",""), HYPERLINK(CONCATENATE("#metadata!", ADDRESS(INDEX($Y$2:$Y$1001,MATCH(ROWS($W$2:W781),$W$2:$W$1001,0),0), INDEX($AD$1004:$AU$1004,1,MATCH(COLUMNS($AD$1006:AN1006),$AD$1006:$AU$1006,0)))),"Fix")))</f>
        <v xml:space="preserve"> </v>
      </c>
      <c r="M781" s="4" t="str">
        <f ca="1">IF(OR(INDEX($X$2:$X$1001,MATCH(ROWS($W$2:W781),$W$2:$W$1001,0),1)&gt;=100000,INDEX($AD$1005:$AU$1005,1,MATCH(COLUMNS($AD$1006:AO1006),$AD$1006:$AU$1006,0))&gt;=100000), " ",IF(INDEX($AD$2:$AU$1001,MATCH(ROWS($W$2:W781),$W$2:$W$1001,0),MATCH(COLUMNS($AD$1006:AO1006),$AD$1006:$AU$1006,0)), HYPERLINK("#",""), HYPERLINK(CONCATENATE("#metadata!", ADDRESS(INDEX($Y$2:$Y$1001,MATCH(ROWS($W$2:W781),$W$2:$W$1001,0),0), INDEX($AD$1004:$AU$1004,1,MATCH(COLUMNS($AD$1006:AO1006),$AD$1006:$AU$1006,0)))),"Fix")))</f>
        <v xml:space="preserve"> </v>
      </c>
      <c r="N781" s="4" t="str">
        <f ca="1">IF(OR(INDEX($X$2:$X$1001,MATCH(ROWS($W$2:W781),$W$2:$W$1001,0),1)&gt;=100000,INDEX($AD$1005:$AU$1005,1,MATCH(COLUMNS($AD$1006:AP1006),$AD$1006:$AU$1006,0))&gt;=100000), " ",IF(INDEX($AD$2:$AU$1001,MATCH(ROWS($W$2:W781),$W$2:$W$1001,0),MATCH(COLUMNS($AD$1006:AP1006),$AD$1006:$AU$1006,0)), HYPERLINK("#",""), HYPERLINK(CONCATENATE("#metadata!", ADDRESS(INDEX($Y$2:$Y$1001,MATCH(ROWS($W$2:W781),$W$2:$W$1001,0),0), INDEX($AD$1004:$AU$1004,1,MATCH(COLUMNS($AD$1006:AP1006),$AD$1006:$AU$1006,0)))),"Fix")))</f>
        <v xml:space="preserve"> </v>
      </c>
      <c r="O781" s="4" t="str">
        <f ca="1">IF(OR(INDEX($X$2:$X$1001,MATCH(ROWS($W$2:W781),$W$2:$W$1001,0),1)&gt;=100000,INDEX($AD$1005:$AU$1005,1,MATCH(COLUMNS($AD$1006:AQ1006),$AD$1006:$AU$1006,0))&gt;=100000), " ",IF(INDEX($AD$2:$AU$1001,MATCH(ROWS($W$2:W781),$W$2:$W$1001,0),MATCH(COLUMNS($AD$1006:AQ1006),$AD$1006:$AU$1006,0)), HYPERLINK("#",""), HYPERLINK(CONCATENATE("#metadata!", ADDRESS(INDEX($Y$2:$Y$1001,MATCH(ROWS($W$2:W781),$W$2:$W$1001,0),0), INDEX($AD$1004:$AU$1004,1,MATCH(COLUMNS($AD$1006:AQ1006),$AD$1006:$AU$1006,0)))),"Fix")))</f>
        <v xml:space="preserve"> </v>
      </c>
      <c r="P781" s="4" t="str">
        <f ca="1">IF(OR(INDEX($X$2:$X$1001,MATCH(ROWS($W$2:W781),$W$2:$W$1001,0),1)&gt;=100000,INDEX($AD$1005:$AU$1005,1,MATCH(COLUMNS($AD$1006:AR1006),$AD$1006:$AU$1006,0))&gt;=100000), " ",IF(INDEX($AD$2:$AU$1001,MATCH(ROWS($W$2:W781),$W$2:$W$1001,0),MATCH(COLUMNS($AD$1006:AR1006),$AD$1006:$AU$1006,0)), HYPERLINK("#",""), HYPERLINK(CONCATENATE("#metadata!", ADDRESS(INDEX($Y$2:$Y$1001,MATCH(ROWS($W$2:W781),$W$2:$W$1001,0),0), INDEX($AD$1004:$AU$1004,1,MATCH(COLUMNS($AD$1006:AR1006),$AD$1006:$AU$1006,0)))),"Fix")))</f>
        <v xml:space="preserve"> </v>
      </c>
      <c r="Q781" s="4" t="str">
        <f ca="1">IF(OR(INDEX($X$2:$X$1001,MATCH(ROWS($W$2:W781),$W$2:$W$1001,0),1)&gt;=100000,INDEX($AD$1005:$AU$1005,1,MATCH(COLUMNS($AD$1006:AS1006),$AD$1006:$AU$1006,0))&gt;=100000), " ",IF(INDEX($AD$2:$AU$1001,MATCH(ROWS($W$2:W781),$W$2:$W$1001,0),MATCH(COLUMNS($AD$1006:AS1006),$AD$1006:$AU$1006,0)), HYPERLINK("#",""), HYPERLINK(CONCATENATE("#metadata!", ADDRESS(INDEX($Y$2:$Y$1001,MATCH(ROWS($W$2:W781),$W$2:$W$1001,0),0), INDEX($AD$1004:$AU$1004,1,MATCH(COLUMNS($AD$1006:AS1006),$AD$1006:$AU$1006,0)))),"Fix")))</f>
        <v xml:space="preserve"> </v>
      </c>
      <c r="R781" s="4" t="str">
        <f ca="1">IF(OR(INDEX($X$2:$X$1001,MATCH(ROWS($W$2:W781),$W$2:$W$1001,0),1)&gt;=100000,INDEX($AD$1005:$AU$1005,1,MATCH(COLUMNS($AD$1006:AT1006),$AD$1006:$AU$1006,0))&gt;=100000), " ",IF(INDEX($AD$2:$AU$1001,MATCH(ROWS($W$2:W781),$W$2:$W$1001,0),MATCH(COLUMNS($AD$1006:AT1006),$AD$1006:$AU$1006,0)), HYPERLINK("#",""), HYPERLINK(CONCATENATE("#metadata!", ADDRESS(INDEX($Y$2:$Y$1001,MATCH(ROWS($W$2:W781),$W$2:$W$1001,0),0), INDEX($AD$1004:$AU$1004,1,MATCH(COLUMNS($AD$1006:AT1006),$AD$1006:$AU$1006,0)))),"Fix")))</f>
        <v xml:space="preserve"> </v>
      </c>
      <c r="S781" s="4" t="str">
        <f ca="1">IF(OR(INDEX($X$2:$X$1001,MATCH(ROWS($W$2:W781),$W$2:$W$1001,0),1)&gt;=100000,INDEX($AD$1005:$AU$1005,1,MATCH(COLUMNS($AD$1006:AU1006),$AD$1006:$AU$1006,0))&gt;=100000), " ",IF(INDEX($AD$2:$AU$1001,MATCH(ROWS($W$2:W781),$W$2:$W$1001,0),MATCH(COLUMNS($AD$1006:AU1006),$AD$1006:$AU$1006,0)), HYPERLINK("#",""), HYPERLINK(CONCATENATE("#metadata!", ADDRESS(INDEX($Y$2:$Y$1001,MATCH(ROWS($W$2:W781),$W$2:$W$1001,0),0), INDEX($AD$1004:$AU$1004,1,MATCH(COLUMNS($AD$1006:AU1006),$AD$1006:$AU$1006,0)))),"Fix")))</f>
        <v xml:space="preserve"> </v>
      </c>
      <c r="W781">
        <v>780</v>
      </c>
      <c r="X781">
        <v>100781</v>
      </c>
      <c r="Y781">
        <v>781</v>
      </c>
      <c r="Z781" t="b">
        <f t="shared" si="12"/>
        <v>1</v>
      </c>
      <c r="AA781" t="b">
        <f>COUNTBLANK(metadata!B781:S781)=COLUMNS(metadata!B781:S781)</f>
        <v>1</v>
      </c>
      <c r="AB781" t="str">
        <v/>
      </c>
      <c r="AD781" t="b">
        <f ca="1">AND(IF(metadata!B781="",FALSE,TRUE),COUNTIF(metadata!B:B, metadata!B781) = 1,NOT(ISERROR(SUMPRODUCT(SEARCH(MID(metadata!B781,ROW(INDIRECT("1:"&amp;LEN(metadata!B781))), 1),"0123456789abcdefghijklmnopqrstuvwxyzABCDEFGHIJKLMNOPQRSTUVWXYZ.")))))</f>
        <v>0</v>
      </c>
      <c r="AE781" t="b">
        <f>OR(AND(IF(metadata!C781="",FALSE,TRUE),OR(EXACT(metadata!C781,"not applicable"),EXACT(metadata!C781,"missing: not collected"),EXACT(metadata!C781,"missing: not provided"),EXACT(metadata!C781,"missing: restricted access"))),AND(IF(metadata!C781="",FALSE,ISNUMBER(VALUE(metadata!C781))),metadata!C781&gt;0))</f>
        <v>0</v>
      </c>
      <c r="AF781" t="b">
        <f>AND(IF(metadata!D781="",FALSE,TRUE),EXACT(metadata!D781,"missing: not provided"))</f>
        <v>0</v>
      </c>
      <c r="AG781" t="b">
        <f>AND(IF(metadata!E781="",FALSE,TRUE),EXACT(metadata!E781,"Host-associated"))</f>
        <v>0</v>
      </c>
      <c r="AH781" t="b">
        <f>AND(IF(metadata!F781="",FALSE,TRUE),OR(EXACT(metadata!F781,"Animal"),EXACT(metadata!F781,"Fungus"),EXACT(metadata!F781,"Plant")))</f>
        <v>0</v>
      </c>
      <c r="AI781" t="b">
        <f>AND(IF(metadata!G781="",FALSE,TRUE),OR(EXACT(metadata!G781,"Plant secretion"),EXACT(metadata!G781,"Plant rhizosphere"),EXACT(metadata!G781,"Plant surface"),EXACT(metadata!G781,"Plant corpus"),EXACT(metadata!G781,"Fungus surface"),EXACT(metadata!G781,"Fungus corpus"),EXACT(metadata!G781,"Animal surface"),EXACT(metadata!G781,"Animal proximal gut"),EXACT(metadata!G781,"Animal corpus"),EXACT(metadata!G781,"Animal distal gut"),EXACT(metadata!G781,"Animal secretion")))</f>
        <v>0</v>
      </c>
      <c r="AJ781" t="b">
        <f>OR(AND(IF(metadata!H781="",FALSE,TRUE),OR(EXACT(metadata!H781,"missing: not collected"),EXACT(metadata!H781,"missing: not provided"),EXACT(metadata!H781,"missing: restricted access"))),AND(IF(metadata!H781="",FALSE,TRUE),OR(EXACT(metadata!H781,"organism-associated habitat"),EXACT(metadata!H781,"plant-associated habitat"),EXACT(metadata!H781,"animal-associated habitat"),EXACT(metadata!H781,"insecta-associated habitat"),EXACT(metadata!H781,"mammalia-associated habitat"),EXACT(metadata!H781,"human-associated habitat"),EXACT(metadata!H781,"livestock-associated habitat"))))</f>
        <v>0</v>
      </c>
      <c r="AK781" t="b">
        <f>AND(IF(metadata!I781="",FALSE,TRUE),EXACT(metadata!I781,"host-associated"))</f>
        <v>0</v>
      </c>
      <c r="AL781" t="b">
        <f>OR(AND(IF(metadata!J781="",FALSE,TRUE),OR(EXACT(metadata!J781,"not applicable"),EXACT(metadata!J781,"missing: not collected"),EXACT(metadata!J781,"missing: not provided"),EXACT(metadata!J781,"missing: restricted access"))),AND(IF(metadata!J781="",FALSE,ISNUMBER(VALUE(metadata!J781))),metadata!J781&gt;0))</f>
        <v>0</v>
      </c>
      <c r="AM781" t="b">
        <f>AND(IF(metadata!K781="",FALSE,TRUE),EXACT(metadata!K781,"missing: not provided"))</f>
        <v>0</v>
      </c>
      <c r="AN781" t="b">
        <f>IF(metadata!L781="",FALSE,TRUE)</f>
        <v>0</v>
      </c>
      <c r="AO781" t="b">
        <f>IF(metadata!M781="",FALSE,TRUE)</f>
        <v>0</v>
      </c>
      <c r="AP781" t="b">
        <f>OR(AND(IF(metadata!N781="",FALSE,TRUE),OR(EXACT(metadata!N781,"not applicable"),EXACT(metadata!N781,"missing: not collected"),EXACT(metadata!N781,"missing: not provided"))),AND(IF(metadata!N781="",FALSE,IF(ISERROR(INT(metadata!N781)),FALSE,INT(metadata!N781)=metadata!N781)),metadata!N781&gt;0))</f>
        <v>0</v>
      </c>
      <c r="AQ781" t="b">
        <f>AND(IF(metadata!O781="",FALSE,TRUE),EXACT(metadata!O781,"Not applicable"))</f>
        <v>0</v>
      </c>
      <c r="AR781" t="b">
        <f>OR(AND(IF(metadata!P781="",FALSE,TRUE),OR(EXACT(metadata!P781,"not applicable"),EXACT(metadata!P781,"missing: not collected"),EXACT(metadata!P781,"missing: not provided"),EXACT(metadata!P781,"missing: restricted access"))),IF(metadata!P781="",FALSE,IF(ISERROR(INT(metadata!P781)),FALSE,INT(metadata!P781)=metadata!P781)))</f>
        <v>0</v>
      </c>
      <c r="AS781" t="b">
        <f>AND(IF(metadata!Q781="",FALSE,TRUE),EXACT(metadata!Q781,"Not applicable"))</f>
        <v>0</v>
      </c>
      <c r="AT781" t="b">
        <f>OR(AND(IF(metadata!R781="",FALSE,TRUE),OR(EXACT(metadata!R781,"not applicable"),EXACT(metadata!R781,"missing: not collected"),EXACT(metadata!R781,"missing: not provided"),EXACT(metadata!R781,"missing: restricted access"))),AND(IF(metadata!R781="",FALSE,ISNUMBER(VALUE(metadata!R781))),metadata!R781&gt;0))</f>
        <v>0</v>
      </c>
      <c r="AU781" t="b">
        <f>AND(IF(metadata!S781="",FALSE,TRUE),EXACT(metadata!S781,"missing: not provided"))</f>
        <v>0</v>
      </c>
    </row>
    <row r="782" spans="1:47" x14ac:dyDescent="0.2">
      <c r="A782" s="5" t="str">
        <f ca="1">IF(B782=" "," ",HYPERLINK(CONCATENATE("#metadata!",ADDRESS(INDEX($Y$2:$Y$1001,MATCH(ROWS($W$2:W782),$W$2:$W$1001,0),0),1)),INDEX($AB$2:$AB$1001,MATCH(ROWS($W$2:W782),$W$2:$W$1001,0),0)))</f>
        <v xml:space="preserve"> </v>
      </c>
      <c r="B782" s="4" t="str">
        <f ca="1">IF(OR(INDEX($X$2:$X$1001,MATCH(ROWS($W$2:W782),$W$2:$W$1001,0),1)&gt;=100000,INDEX($AD$1005:$AU$1005,1,MATCH(COLUMNS($AD$1006:AD1006),$AD$1006:$AU$1006,0))&gt;=100000), " ",IF(INDEX($AD$2:$AU$1001,MATCH(ROWS($W$2:W782),$W$2:$W$1001,0),MATCH(COLUMNS($AD$1006:AD1006),$AD$1006:$AU$1006,0)), HYPERLINK("#",""), HYPERLINK(CONCATENATE("#metadata!", ADDRESS(INDEX($Y$2:$Y$1001,MATCH(ROWS($W$2:W782),$W$2:$W$1001,0),0), INDEX($AD$1004:$AU$1004,1,MATCH(COLUMNS($AD$1006:AD1006),$AD$1006:$AU$1006,0)))),"Fix")))</f>
        <v xml:space="preserve"> </v>
      </c>
      <c r="C782" s="4" t="str">
        <f ca="1">IF(OR(INDEX($X$2:$X$1001,MATCH(ROWS($W$2:W782),$W$2:$W$1001,0),1)&gt;=100000,INDEX($AD$1005:$AU$1005,1,MATCH(COLUMNS($AD$1006:AE1006),$AD$1006:$AU$1006,0))&gt;=100000), " ",IF(INDEX($AD$2:$AU$1001,MATCH(ROWS($W$2:W782),$W$2:$W$1001,0),MATCH(COLUMNS($AD$1006:AE1006),$AD$1006:$AU$1006,0)), HYPERLINK("#",""), HYPERLINK(CONCATENATE("#metadata!", ADDRESS(INDEX($Y$2:$Y$1001,MATCH(ROWS($W$2:W782),$W$2:$W$1001,0),0), INDEX($AD$1004:$AU$1004,1,MATCH(COLUMNS($AD$1006:AE1006),$AD$1006:$AU$1006,0)))),"Fix")))</f>
        <v xml:space="preserve"> </v>
      </c>
      <c r="D782" s="4" t="str">
        <f ca="1">IF(OR(INDEX($X$2:$X$1001,MATCH(ROWS($W$2:W782),$W$2:$W$1001,0),1)&gt;=100000,INDEX($AD$1005:$AU$1005,1,MATCH(COLUMNS($AD$1006:AF1006),$AD$1006:$AU$1006,0))&gt;=100000), " ",IF(INDEX($AD$2:$AU$1001,MATCH(ROWS($W$2:W782),$W$2:$W$1001,0),MATCH(COLUMNS($AD$1006:AF1006),$AD$1006:$AU$1006,0)), HYPERLINK("#",""), HYPERLINK(CONCATENATE("#metadata!", ADDRESS(INDEX($Y$2:$Y$1001,MATCH(ROWS($W$2:W782),$W$2:$W$1001,0),0), INDEX($AD$1004:$AU$1004,1,MATCH(COLUMNS($AD$1006:AF1006),$AD$1006:$AU$1006,0)))),"Fix")))</f>
        <v xml:space="preserve"> </v>
      </c>
      <c r="E782" s="4" t="str">
        <f ca="1">IF(OR(INDEX($X$2:$X$1001,MATCH(ROWS($W$2:W782),$W$2:$W$1001,0),1)&gt;=100000,INDEX($AD$1005:$AU$1005,1,MATCH(COLUMNS($AD$1006:AG1006),$AD$1006:$AU$1006,0))&gt;=100000), " ",IF(INDEX($AD$2:$AU$1001,MATCH(ROWS($W$2:W782),$W$2:$W$1001,0),MATCH(COLUMNS($AD$1006:AG1006),$AD$1006:$AU$1006,0)), HYPERLINK("#",""), HYPERLINK(CONCATENATE("#metadata!", ADDRESS(INDEX($Y$2:$Y$1001,MATCH(ROWS($W$2:W782),$W$2:$W$1001,0),0), INDEX($AD$1004:$AU$1004,1,MATCH(COLUMNS($AD$1006:AG1006),$AD$1006:$AU$1006,0)))),"Fix")))</f>
        <v xml:space="preserve"> </v>
      </c>
      <c r="F782" s="4" t="str">
        <f ca="1">IF(OR(INDEX($X$2:$X$1001,MATCH(ROWS($W$2:W782),$W$2:$W$1001,0),1)&gt;=100000,INDEX($AD$1005:$AU$1005,1,MATCH(COLUMNS($AD$1006:AH1006),$AD$1006:$AU$1006,0))&gt;=100000), " ",IF(INDEX($AD$2:$AU$1001,MATCH(ROWS($W$2:W782),$W$2:$W$1001,0),MATCH(COLUMNS($AD$1006:AH1006),$AD$1006:$AU$1006,0)), HYPERLINK("#",""), HYPERLINK(CONCATENATE("#metadata!", ADDRESS(INDEX($Y$2:$Y$1001,MATCH(ROWS($W$2:W782),$W$2:$W$1001,0),0), INDEX($AD$1004:$AU$1004,1,MATCH(COLUMNS($AD$1006:AH1006),$AD$1006:$AU$1006,0)))),"Fix")))</f>
        <v xml:space="preserve"> </v>
      </c>
      <c r="G782" s="4" t="str">
        <f ca="1">IF(OR(INDEX($X$2:$X$1001,MATCH(ROWS($W$2:W782),$W$2:$W$1001,0),1)&gt;=100000,INDEX($AD$1005:$AU$1005,1,MATCH(COLUMNS($AD$1006:AI1006),$AD$1006:$AU$1006,0))&gt;=100000), " ",IF(INDEX($AD$2:$AU$1001,MATCH(ROWS($W$2:W782),$W$2:$W$1001,0),MATCH(COLUMNS($AD$1006:AI1006),$AD$1006:$AU$1006,0)), HYPERLINK("#",""), HYPERLINK(CONCATENATE("#metadata!", ADDRESS(INDEX($Y$2:$Y$1001,MATCH(ROWS($W$2:W782),$W$2:$W$1001,0),0), INDEX($AD$1004:$AU$1004,1,MATCH(COLUMNS($AD$1006:AI1006),$AD$1006:$AU$1006,0)))),"Fix")))</f>
        <v xml:space="preserve"> </v>
      </c>
      <c r="H782" s="4" t="str">
        <f ca="1">IF(OR(INDEX($X$2:$X$1001,MATCH(ROWS($W$2:W782),$W$2:$W$1001,0),1)&gt;=100000,INDEX($AD$1005:$AU$1005,1,MATCH(COLUMNS($AD$1006:AJ1006),$AD$1006:$AU$1006,0))&gt;=100000), " ",IF(INDEX($AD$2:$AU$1001,MATCH(ROWS($W$2:W782),$W$2:$W$1001,0),MATCH(COLUMNS($AD$1006:AJ1006),$AD$1006:$AU$1006,0)), HYPERLINK("#",""), HYPERLINK(CONCATENATE("#metadata!", ADDRESS(INDEX($Y$2:$Y$1001,MATCH(ROWS($W$2:W782),$W$2:$W$1001,0),0), INDEX($AD$1004:$AU$1004,1,MATCH(COLUMNS($AD$1006:AJ1006),$AD$1006:$AU$1006,0)))),"Fix")))</f>
        <v xml:space="preserve"> </v>
      </c>
      <c r="I782" s="4" t="str">
        <f ca="1">IF(OR(INDEX($X$2:$X$1001,MATCH(ROWS($W$2:W782),$W$2:$W$1001,0),1)&gt;=100000,INDEX($AD$1005:$AU$1005,1,MATCH(COLUMNS($AD$1006:AK1006),$AD$1006:$AU$1006,0))&gt;=100000), " ",IF(INDEX($AD$2:$AU$1001,MATCH(ROWS($W$2:W782),$W$2:$W$1001,0),MATCH(COLUMNS($AD$1006:AK1006),$AD$1006:$AU$1006,0)), HYPERLINK("#",""), HYPERLINK(CONCATENATE("#metadata!", ADDRESS(INDEX($Y$2:$Y$1001,MATCH(ROWS($W$2:W782),$W$2:$W$1001,0),0), INDEX($AD$1004:$AU$1004,1,MATCH(COLUMNS($AD$1006:AK1006),$AD$1006:$AU$1006,0)))),"Fix")))</f>
        <v xml:space="preserve"> </v>
      </c>
      <c r="J782" s="4" t="str">
        <f ca="1">IF(OR(INDEX($X$2:$X$1001,MATCH(ROWS($W$2:W782),$W$2:$W$1001,0),1)&gt;=100000,INDEX($AD$1005:$AU$1005,1,MATCH(COLUMNS($AD$1006:AL1006),$AD$1006:$AU$1006,0))&gt;=100000), " ",IF(INDEX($AD$2:$AU$1001,MATCH(ROWS($W$2:W782),$W$2:$W$1001,0),MATCH(COLUMNS($AD$1006:AL1006),$AD$1006:$AU$1006,0)), HYPERLINK("#",""), HYPERLINK(CONCATENATE("#metadata!", ADDRESS(INDEX($Y$2:$Y$1001,MATCH(ROWS($W$2:W782),$W$2:$W$1001,0),0), INDEX($AD$1004:$AU$1004,1,MATCH(COLUMNS($AD$1006:AL1006),$AD$1006:$AU$1006,0)))),"Fix")))</f>
        <v xml:space="preserve"> </v>
      </c>
      <c r="K782" s="4" t="str">
        <f ca="1">IF(OR(INDEX($X$2:$X$1001,MATCH(ROWS($W$2:W782),$W$2:$W$1001,0),1)&gt;=100000,INDEX($AD$1005:$AU$1005,1,MATCH(COLUMNS($AD$1006:AM1006),$AD$1006:$AU$1006,0))&gt;=100000), " ",IF(INDEX($AD$2:$AU$1001,MATCH(ROWS($W$2:W782),$W$2:$W$1001,0),MATCH(COLUMNS($AD$1006:AM1006),$AD$1006:$AU$1006,0)), HYPERLINK("#",""), HYPERLINK(CONCATENATE("#metadata!", ADDRESS(INDEX($Y$2:$Y$1001,MATCH(ROWS($W$2:W782),$W$2:$W$1001,0),0), INDEX($AD$1004:$AU$1004,1,MATCH(COLUMNS($AD$1006:AM1006),$AD$1006:$AU$1006,0)))),"Fix")))</f>
        <v xml:space="preserve"> </v>
      </c>
      <c r="L782" s="4" t="str">
        <f ca="1">IF(OR(INDEX($X$2:$X$1001,MATCH(ROWS($W$2:W782),$W$2:$W$1001,0),1)&gt;=100000,INDEX($AD$1005:$AU$1005,1,MATCH(COLUMNS($AD$1006:AN1006),$AD$1006:$AU$1006,0))&gt;=100000), " ",IF(INDEX($AD$2:$AU$1001,MATCH(ROWS($W$2:W782),$W$2:$W$1001,0),MATCH(COLUMNS($AD$1006:AN1006),$AD$1006:$AU$1006,0)), HYPERLINK("#",""), HYPERLINK(CONCATENATE("#metadata!", ADDRESS(INDEX($Y$2:$Y$1001,MATCH(ROWS($W$2:W782),$W$2:$W$1001,0),0), INDEX($AD$1004:$AU$1004,1,MATCH(COLUMNS($AD$1006:AN1006),$AD$1006:$AU$1006,0)))),"Fix")))</f>
        <v xml:space="preserve"> </v>
      </c>
      <c r="M782" s="4" t="str">
        <f ca="1">IF(OR(INDEX($X$2:$X$1001,MATCH(ROWS($W$2:W782),$W$2:$W$1001,0),1)&gt;=100000,INDEX($AD$1005:$AU$1005,1,MATCH(COLUMNS($AD$1006:AO1006),$AD$1006:$AU$1006,0))&gt;=100000), " ",IF(INDEX($AD$2:$AU$1001,MATCH(ROWS($W$2:W782),$W$2:$W$1001,0),MATCH(COLUMNS($AD$1006:AO1006),$AD$1006:$AU$1006,0)), HYPERLINK("#",""), HYPERLINK(CONCATENATE("#metadata!", ADDRESS(INDEX($Y$2:$Y$1001,MATCH(ROWS($W$2:W782),$W$2:$W$1001,0),0), INDEX($AD$1004:$AU$1004,1,MATCH(COLUMNS($AD$1006:AO1006),$AD$1006:$AU$1006,0)))),"Fix")))</f>
        <v xml:space="preserve"> </v>
      </c>
      <c r="N782" s="4" t="str">
        <f ca="1">IF(OR(INDEX($X$2:$X$1001,MATCH(ROWS($W$2:W782),$W$2:$W$1001,0),1)&gt;=100000,INDEX($AD$1005:$AU$1005,1,MATCH(COLUMNS($AD$1006:AP1006),$AD$1006:$AU$1006,0))&gt;=100000), " ",IF(INDEX($AD$2:$AU$1001,MATCH(ROWS($W$2:W782),$W$2:$W$1001,0),MATCH(COLUMNS($AD$1006:AP1006),$AD$1006:$AU$1006,0)), HYPERLINK("#",""), HYPERLINK(CONCATENATE("#metadata!", ADDRESS(INDEX($Y$2:$Y$1001,MATCH(ROWS($W$2:W782),$W$2:$W$1001,0),0), INDEX($AD$1004:$AU$1004,1,MATCH(COLUMNS($AD$1006:AP1006),$AD$1006:$AU$1006,0)))),"Fix")))</f>
        <v xml:space="preserve"> </v>
      </c>
      <c r="O782" s="4" t="str">
        <f ca="1">IF(OR(INDEX($X$2:$X$1001,MATCH(ROWS($W$2:W782),$W$2:$W$1001,0),1)&gt;=100000,INDEX($AD$1005:$AU$1005,1,MATCH(COLUMNS($AD$1006:AQ1006),$AD$1006:$AU$1006,0))&gt;=100000), " ",IF(INDEX($AD$2:$AU$1001,MATCH(ROWS($W$2:W782),$W$2:$W$1001,0),MATCH(COLUMNS($AD$1006:AQ1006),$AD$1006:$AU$1006,0)), HYPERLINK("#",""), HYPERLINK(CONCATENATE("#metadata!", ADDRESS(INDEX($Y$2:$Y$1001,MATCH(ROWS($W$2:W782),$W$2:$W$1001,0),0), INDEX($AD$1004:$AU$1004,1,MATCH(COLUMNS($AD$1006:AQ1006),$AD$1006:$AU$1006,0)))),"Fix")))</f>
        <v xml:space="preserve"> </v>
      </c>
      <c r="P782" s="4" t="str">
        <f ca="1">IF(OR(INDEX($X$2:$X$1001,MATCH(ROWS($W$2:W782),$W$2:$W$1001,0),1)&gt;=100000,INDEX($AD$1005:$AU$1005,1,MATCH(COLUMNS($AD$1006:AR1006),$AD$1006:$AU$1006,0))&gt;=100000), " ",IF(INDEX($AD$2:$AU$1001,MATCH(ROWS($W$2:W782),$W$2:$W$1001,0),MATCH(COLUMNS($AD$1006:AR1006),$AD$1006:$AU$1006,0)), HYPERLINK("#",""), HYPERLINK(CONCATENATE("#metadata!", ADDRESS(INDEX($Y$2:$Y$1001,MATCH(ROWS($W$2:W782),$W$2:$W$1001,0),0), INDEX($AD$1004:$AU$1004,1,MATCH(COLUMNS($AD$1006:AR1006),$AD$1006:$AU$1006,0)))),"Fix")))</f>
        <v xml:space="preserve"> </v>
      </c>
      <c r="Q782" s="4" t="str">
        <f ca="1">IF(OR(INDEX($X$2:$X$1001,MATCH(ROWS($W$2:W782),$W$2:$W$1001,0),1)&gt;=100000,INDEX($AD$1005:$AU$1005,1,MATCH(COLUMNS($AD$1006:AS1006),$AD$1006:$AU$1006,0))&gt;=100000), " ",IF(INDEX($AD$2:$AU$1001,MATCH(ROWS($W$2:W782),$W$2:$W$1001,0),MATCH(COLUMNS($AD$1006:AS1006),$AD$1006:$AU$1006,0)), HYPERLINK("#",""), HYPERLINK(CONCATENATE("#metadata!", ADDRESS(INDEX($Y$2:$Y$1001,MATCH(ROWS($W$2:W782),$W$2:$W$1001,0),0), INDEX($AD$1004:$AU$1004,1,MATCH(COLUMNS($AD$1006:AS1006),$AD$1006:$AU$1006,0)))),"Fix")))</f>
        <v xml:space="preserve"> </v>
      </c>
      <c r="R782" s="4" t="str">
        <f ca="1">IF(OR(INDEX($X$2:$X$1001,MATCH(ROWS($W$2:W782),$W$2:$W$1001,0),1)&gt;=100000,INDEX($AD$1005:$AU$1005,1,MATCH(COLUMNS($AD$1006:AT1006),$AD$1006:$AU$1006,0))&gt;=100000), " ",IF(INDEX($AD$2:$AU$1001,MATCH(ROWS($W$2:W782),$W$2:$W$1001,0),MATCH(COLUMNS($AD$1006:AT1006),$AD$1006:$AU$1006,0)), HYPERLINK("#",""), HYPERLINK(CONCATENATE("#metadata!", ADDRESS(INDEX($Y$2:$Y$1001,MATCH(ROWS($W$2:W782),$W$2:$W$1001,0),0), INDEX($AD$1004:$AU$1004,1,MATCH(COLUMNS($AD$1006:AT1006),$AD$1006:$AU$1006,0)))),"Fix")))</f>
        <v xml:space="preserve"> </v>
      </c>
      <c r="S782" s="4" t="str">
        <f ca="1">IF(OR(INDEX($X$2:$X$1001,MATCH(ROWS($W$2:W782),$W$2:$W$1001,0),1)&gt;=100000,INDEX($AD$1005:$AU$1005,1,MATCH(COLUMNS($AD$1006:AU1006),$AD$1006:$AU$1006,0))&gt;=100000), " ",IF(INDEX($AD$2:$AU$1001,MATCH(ROWS($W$2:W782),$W$2:$W$1001,0),MATCH(COLUMNS($AD$1006:AU1006),$AD$1006:$AU$1006,0)), HYPERLINK("#",""), HYPERLINK(CONCATENATE("#metadata!", ADDRESS(INDEX($Y$2:$Y$1001,MATCH(ROWS($W$2:W782),$W$2:$W$1001,0),0), INDEX($AD$1004:$AU$1004,1,MATCH(COLUMNS($AD$1006:AU1006),$AD$1006:$AU$1006,0)))),"Fix")))</f>
        <v xml:space="preserve"> </v>
      </c>
      <c r="W782">
        <v>781</v>
      </c>
      <c r="X782">
        <v>100782</v>
      </c>
      <c r="Y782">
        <v>782</v>
      </c>
      <c r="Z782" t="b">
        <f t="shared" si="12"/>
        <v>1</v>
      </c>
      <c r="AA782" t="b">
        <f>COUNTBLANK(metadata!B782:S782)=COLUMNS(metadata!B782:S782)</f>
        <v>1</v>
      </c>
      <c r="AB782" t="str">
        <v/>
      </c>
      <c r="AD782" t="b">
        <f ca="1">AND(IF(metadata!B782="",FALSE,TRUE),COUNTIF(metadata!B:B, metadata!B782) = 1,NOT(ISERROR(SUMPRODUCT(SEARCH(MID(metadata!B782,ROW(INDIRECT("1:"&amp;LEN(metadata!B782))), 1),"0123456789abcdefghijklmnopqrstuvwxyzABCDEFGHIJKLMNOPQRSTUVWXYZ.")))))</f>
        <v>0</v>
      </c>
      <c r="AE782" t="b">
        <f>OR(AND(IF(metadata!C782="",FALSE,TRUE),OR(EXACT(metadata!C782,"not applicable"),EXACT(metadata!C782,"missing: not collected"),EXACT(metadata!C782,"missing: not provided"),EXACT(metadata!C782,"missing: restricted access"))),AND(IF(metadata!C782="",FALSE,ISNUMBER(VALUE(metadata!C782))),metadata!C782&gt;0))</f>
        <v>0</v>
      </c>
      <c r="AF782" t="b">
        <f>AND(IF(metadata!D782="",FALSE,TRUE),EXACT(metadata!D782,"missing: not provided"))</f>
        <v>0</v>
      </c>
      <c r="AG782" t="b">
        <f>AND(IF(metadata!E782="",FALSE,TRUE),EXACT(metadata!E782,"Host-associated"))</f>
        <v>0</v>
      </c>
      <c r="AH782" t="b">
        <f>AND(IF(metadata!F782="",FALSE,TRUE),OR(EXACT(metadata!F782,"Animal"),EXACT(metadata!F782,"Fungus"),EXACT(metadata!F782,"Plant")))</f>
        <v>0</v>
      </c>
      <c r="AI782" t="b">
        <f>AND(IF(metadata!G782="",FALSE,TRUE),OR(EXACT(metadata!G782,"Plant secretion"),EXACT(metadata!G782,"Plant rhizosphere"),EXACT(metadata!G782,"Plant surface"),EXACT(metadata!G782,"Plant corpus"),EXACT(metadata!G782,"Fungus surface"),EXACT(metadata!G782,"Fungus corpus"),EXACT(metadata!G782,"Animal surface"),EXACT(metadata!G782,"Animal proximal gut"),EXACT(metadata!G782,"Animal corpus"),EXACT(metadata!G782,"Animal distal gut"),EXACT(metadata!G782,"Animal secretion")))</f>
        <v>0</v>
      </c>
      <c r="AJ782" t="b">
        <f>OR(AND(IF(metadata!H782="",FALSE,TRUE),OR(EXACT(metadata!H782,"missing: not collected"),EXACT(metadata!H782,"missing: not provided"),EXACT(metadata!H782,"missing: restricted access"))),AND(IF(metadata!H782="",FALSE,TRUE),OR(EXACT(metadata!H782,"organism-associated habitat"),EXACT(metadata!H782,"plant-associated habitat"),EXACT(metadata!H782,"animal-associated habitat"),EXACT(metadata!H782,"insecta-associated habitat"),EXACT(metadata!H782,"mammalia-associated habitat"),EXACT(metadata!H782,"human-associated habitat"),EXACT(metadata!H782,"livestock-associated habitat"))))</f>
        <v>0</v>
      </c>
      <c r="AK782" t="b">
        <f>AND(IF(metadata!I782="",FALSE,TRUE),EXACT(metadata!I782,"host-associated"))</f>
        <v>0</v>
      </c>
      <c r="AL782" t="b">
        <f>OR(AND(IF(metadata!J782="",FALSE,TRUE),OR(EXACT(metadata!J782,"not applicable"),EXACT(metadata!J782,"missing: not collected"),EXACT(metadata!J782,"missing: not provided"),EXACT(metadata!J782,"missing: restricted access"))),AND(IF(metadata!J782="",FALSE,ISNUMBER(VALUE(metadata!J782))),metadata!J782&gt;0))</f>
        <v>0</v>
      </c>
      <c r="AM782" t="b">
        <f>AND(IF(metadata!K782="",FALSE,TRUE),EXACT(metadata!K782,"missing: not provided"))</f>
        <v>0</v>
      </c>
      <c r="AN782" t="b">
        <f>IF(metadata!L782="",FALSE,TRUE)</f>
        <v>0</v>
      </c>
      <c r="AO782" t="b">
        <f>IF(metadata!M782="",FALSE,TRUE)</f>
        <v>0</v>
      </c>
      <c r="AP782" t="b">
        <f>OR(AND(IF(metadata!N782="",FALSE,TRUE),OR(EXACT(metadata!N782,"not applicable"),EXACT(metadata!N782,"missing: not collected"),EXACT(metadata!N782,"missing: not provided"))),AND(IF(metadata!N782="",FALSE,IF(ISERROR(INT(metadata!N782)),FALSE,INT(metadata!N782)=metadata!N782)),metadata!N782&gt;0))</f>
        <v>0</v>
      </c>
      <c r="AQ782" t="b">
        <f>AND(IF(metadata!O782="",FALSE,TRUE),EXACT(metadata!O782,"Not applicable"))</f>
        <v>0</v>
      </c>
      <c r="AR782" t="b">
        <f>OR(AND(IF(metadata!P782="",FALSE,TRUE),OR(EXACT(metadata!P782,"not applicable"),EXACT(metadata!P782,"missing: not collected"),EXACT(metadata!P782,"missing: not provided"),EXACT(metadata!P782,"missing: restricted access"))),IF(metadata!P782="",FALSE,IF(ISERROR(INT(metadata!P782)),FALSE,INT(metadata!P782)=metadata!P782)))</f>
        <v>0</v>
      </c>
      <c r="AS782" t="b">
        <f>AND(IF(metadata!Q782="",FALSE,TRUE),EXACT(metadata!Q782,"Not applicable"))</f>
        <v>0</v>
      </c>
      <c r="AT782" t="b">
        <f>OR(AND(IF(metadata!R782="",FALSE,TRUE),OR(EXACT(metadata!R782,"not applicable"),EXACT(metadata!R782,"missing: not collected"),EXACT(metadata!R782,"missing: not provided"),EXACT(metadata!R782,"missing: restricted access"))),AND(IF(metadata!R782="",FALSE,ISNUMBER(VALUE(metadata!R782))),metadata!R782&gt;0))</f>
        <v>0</v>
      </c>
      <c r="AU782" t="b">
        <f>AND(IF(metadata!S782="",FALSE,TRUE),EXACT(metadata!S782,"missing: not provided"))</f>
        <v>0</v>
      </c>
    </row>
    <row r="783" spans="1:47" x14ac:dyDescent="0.2">
      <c r="A783" s="5" t="str">
        <f ca="1">IF(B783=" "," ",HYPERLINK(CONCATENATE("#metadata!",ADDRESS(INDEX($Y$2:$Y$1001,MATCH(ROWS($W$2:W783),$W$2:$W$1001,0),0),1)),INDEX($AB$2:$AB$1001,MATCH(ROWS($W$2:W783),$W$2:$W$1001,0),0)))</f>
        <v xml:space="preserve"> </v>
      </c>
      <c r="B783" s="4" t="str">
        <f ca="1">IF(OR(INDEX($X$2:$X$1001,MATCH(ROWS($W$2:W783),$W$2:$W$1001,0),1)&gt;=100000,INDEX($AD$1005:$AU$1005,1,MATCH(COLUMNS($AD$1006:AD1006),$AD$1006:$AU$1006,0))&gt;=100000), " ",IF(INDEX($AD$2:$AU$1001,MATCH(ROWS($W$2:W783),$W$2:$W$1001,0),MATCH(COLUMNS($AD$1006:AD1006),$AD$1006:$AU$1006,0)), HYPERLINK("#",""), HYPERLINK(CONCATENATE("#metadata!", ADDRESS(INDEX($Y$2:$Y$1001,MATCH(ROWS($W$2:W783),$W$2:$W$1001,0),0), INDEX($AD$1004:$AU$1004,1,MATCH(COLUMNS($AD$1006:AD1006),$AD$1006:$AU$1006,0)))),"Fix")))</f>
        <v xml:space="preserve"> </v>
      </c>
      <c r="C783" s="4" t="str">
        <f ca="1">IF(OR(INDEX($X$2:$X$1001,MATCH(ROWS($W$2:W783),$W$2:$W$1001,0),1)&gt;=100000,INDEX($AD$1005:$AU$1005,1,MATCH(COLUMNS($AD$1006:AE1006),$AD$1006:$AU$1006,0))&gt;=100000), " ",IF(INDEX($AD$2:$AU$1001,MATCH(ROWS($W$2:W783),$W$2:$W$1001,0),MATCH(COLUMNS($AD$1006:AE1006),$AD$1006:$AU$1006,0)), HYPERLINK("#",""), HYPERLINK(CONCATENATE("#metadata!", ADDRESS(INDEX($Y$2:$Y$1001,MATCH(ROWS($W$2:W783),$W$2:$W$1001,0),0), INDEX($AD$1004:$AU$1004,1,MATCH(COLUMNS($AD$1006:AE1006),$AD$1006:$AU$1006,0)))),"Fix")))</f>
        <v xml:space="preserve"> </v>
      </c>
      <c r="D783" s="4" t="str">
        <f ca="1">IF(OR(INDEX($X$2:$X$1001,MATCH(ROWS($W$2:W783),$W$2:$W$1001,0),1)&gt;=100000,INDEX($AD$1005:$AU$1005,1,MATCH(COLUMNS($AD$1006:AF1006),$AD$1006:$AU$1006,0))&gt;=100000), " ",IF(INDEX($AD$2:$AU$1001,MATCH(ROWS($W$2:W783),$W$2:$W$1001,0),MATCH(COLUMNS($AD$1006:AF1006),$AD$1006:$AU$1006,0)), HYPERLINK("#",""), HYPERLINK(CONCATENATE("#metadata!", ADDRESS(INDEX($Y$2:$Y$1001,MATCH(ROWS($W$2:W783),$W$2:$W$1001,0),0), INDEX($AD$1004:$AU$1004,1,MATCH(COLUMNS($AD$1006:AF1006),$AD$1006:$AU$1006,0)))),"Fix")))</f>
        <v xml:space="preserve"> </v>
      </c>
      <c r="E783" s="4" t="str">
        <f ca="1">IF(OR(INDEX($X$2:$X$1001,MATCH(ROWS($W$2:W783),$W$2:$W$1001,0),1)&gt;=100000,INDEX($AD$1005:$AU$1005,1,MATCH(COLUMNS($AD$1006:AG1006),$AD$1006:$AU$1006,0))&gt;=100000), " ",IF(INDEX($AD$2:$AU$1001,MATCH(ROWS($W$2:W783),$W$2:$W$1001,0),MATCH(COLUMNS($AD$1006:AG1006),$AD$1006:$AU$1006,0)), HYPERLINK("#",""), HYPERLINK(CONCATENATE("#metadata!", ADDRESS(INDEX($Y$2:$Y$1001,MATCH(ROWS($W$2:W783),$W$2:$W$1001,0),0), INDEX($AD$1004:$AU$1004,1,MATCH(COLUMNS($AD$1006:AG1006),$AD$1006:$AU$1006,0)))),"Fix")))</f>
        <v xml:space="preserve"> </v>
      </c>
      <c r="F783" s="4" t="str">
        <f ca="1">IF(OR(INDEX($X$2:$X$1001,MATCH(ROWS($W$2:W783),$W$2:$W$1001,0),1)&gt;=100000,INDEX($AD$1005:$AU$1005,1,MATCH(COLUMNS($AD$1006:AH1006),$AD$1006:$AU$1006,0))&gt;=100000), " ",IF(INDEX($AD$2:$AU$1001,MATCH(ROWS($W$2:W783),$W$2:$W$1001,0),MATCH(COLUMNS($AD$1006:AH1006),$AD$1006:$AU$1006,0)), HYPERLINK("#",""), HYPERLINK(CONCATENATE("#metadata!", ADDRESS(INDEX($Y$2:$Y$1001,MATCH(ROWS($W$2:W783),$W$2:$W$1001,0),0), INDEX($AD$1004:$AU$1004,1,MATCH(COLUMNS($AD$1006:AH1006),$AD$1006:$AU$1006,0)))),"Fix")))</f>
        <v xml:space="preserve"> </v>
      </c>
      <c r="G783" s="4" t="str">
        <f ca="1">IF(OR(INDEX($X$2:$X$1001,MATCH(ROWS($W$2:W783),$W$2:$W$1001,0),1)&gt;=100000,INDEX($AD$1005:$AU$1005,1,MATCH(COLUMNS($AD$1006:AI1006),$AD$1006:$AU$1006,0))&gt;=100000), " ",IF(INDEX($AD$2:$AU$1001,MATCH(ROWS($W$2:W783),$W$2:$W$1001,0),MATCH(COLUMNS($AD$1006:AI1006),$AD$1006:$AU$1006,0)), HYPERLINK("#",""), HYPERLINK(CONCATENATE("#metadata!", ADDRESS(INDEX($Y$2:$Y$1001,MATCH(ROWS($W$2:W783),$W$2:$W$1001,0),0), INDEX($AD$1004:$AU$1004,1,MATCH(COLUMNS($AD$1006:AI1006),$AD$1006:$AU$1006,0)))),"Fix")))</f>
        <v xml:space="preserve"> </v>
      </c>
      <c r="H783" s="4" t="str">
        <f ca="1">IF(OR(INDEX($X$2:$X$1001,MATCH(ROWS($W$2:W783),$W$2:$W$1001,0),1)&gt;=100000,INDEX($AD$1005:$AU$1005,1,MATCH(COLUMNS($AD$1006:AJ1006),$AD$1006:$AU$1006,0))&gt;=100000), " ",IF(INDEX($AD$2:$AU$1001,MATCH(ROWS($W$2:W783),$W$2:$W$1001,0),MATCH(COLUMNS($AD$1006:AJ1006),$AD$1006:$AU$1006,0)), HYPERLINK("#",""), HYPERLINK(CONCATENATE("#metadata!", ADDRESS(INDEX($Y$2:$Y$1001,MATCH(ROWS($W$2:W783),$W$2:$W$1001,0),0), INDEX($AD$1004:$AU$1004,1,MATCH(COLUMNS($AD$1006:AJ1006),$AD$1006:$AU$1006,0)))),"Fix")))</f>
        <v xml:space="preserve"> </v>
      </c>
      <c r="I783" s="4" t="str">
        <f ca="1">IF(OR(INDEX($X$2:$X$1001,MATCH(ROWS($W$2:W783),$W$2:$W$1001,0),1)&gt;=100000,INDEX($AD$1005:$AU$1005,1,MATCH(COLUMNS($AD$1006:AK1006),$AD$1006:$AU$1006,0))&gt;=100000), " ",IF(INDEX($AD$2:$AU$1001,MATCH(ROWS($W$2:W783),$W$2:$W$1001,0),MATCH(COLUMNS($AD$1006:AK1006),$AD$1006:$AU$1006,0)), HYPERLINK("#",""), HYPERLINK(CONCATENATE("#metadata!", ADDRESS(INDEX($Y$2:$Y$1001,MATCH(ROWS($W$2:W783),$W$2:$W$1001,0),0), INDEX($AD$1004:$AU$1004,1,MATCH(COLUMNS($AD$1006:AK1006),$AD$1006:$AU$1006,0)))),"Fix")))</f>
        <v xml:space="preserve"> </v>
      </c>
      <c r="J783" s="4" t="str">
        <f ca="1">IF(OR(INDEX($X$2:$X$1001,MATCH(ROWS($W$2:W783),$W$2:$W$1001,0),1)&gt;=100000,INDEX($AD$1005:$AU$1005,1,MATCH(COLUMNS($AD$1006:AL1006),$AD$1006:$AU$1006,0))&gt;=100000), " ",IF(INDEX($AD$2:$AU$1001,MATCH(ROWS($W$2:W783),$W$2:$W$1001,0),MATCH(COLUMNS($AD$1006:AL1006),$AD$1006:$AU$1006,0)), HYPERLINK("#",""), HYPERLINK(CONCATENATE("#metadata!", ADDRESS(INDEX($Y$2:$Y$1001,MATCH(ROWS($W$2:W783),$W$2:$W$1001,0),0), INDEX($AD$1004:$AU$1004,1,MATCH(COLUMNS($AD$1006:AL1006),$AD$1006:$AU$1006,0)))),"Fix")))</f>
        <v xml:space="preserve"> </v>
      </c>
      <c r="K783" s="4" t="str">
        <f ca="1">IF(OR(INDEX($X$2:$X$1001,MATCH(ROWS($W$2:W783),$W$2:$W$1001,0),1)&gt;=100000,INDEX($AD$1005:$AU$1005,1,MATCH(COLUMNS($AD$1006:AM1006),$AD$1006:$AU$1006,0))&gt;=100000), " ",IF(INDEX($AD$2:$AU$1001,MATCH(ROWS($W$2:W783),$W$2:$W$1001,0),MATCH(COLUMNS($AD$1006:AM1006),$AD$1006:$AU$1006,0)), HYPERLINK("#",""), HYPERLINK(CONCATENATE("#metadata!", ADDRESS(INDEX($Y$2:$Y$1001,MATCH(ROWS($W$2:W783),$W$2:$W$1001,0),0), INDEX($AD$1004:$AU$1004,1,MATCH(COLUMNS($AD$1006:AM1006),$AD$1006:$AU$1006,0)))),"Fix")))</f>
        <v xml:space="preserve"> </v>
      </c>
      <c r="L783" s="4" t="str">
        <f ca="1">IF(OR(INDEX($X$2:$X$1001,MATCH(ROWS($W$2:W783),$W$2:$W$1001,0),1)&gt;=100000,INDEX($AD$1005:$AU$1005,1,MATCH(COLUMNS($AD$1006:AN1006),$AD$1006:$AU$1006,0))&gt;=100000), " ",IF(INDEX($AD$2:$AU$1001,MATCH(ROWS($W$2:W783),$W$2:$W$1001,0),MATCH(COLUMNS($AD$1006:AN1006),$AD$1006:$AU$1006,0)), HYPERLINK("#",""), HYPERLINK(CONCATENATE("#metadata!", ADDRESS(INDEX($Y$2:$Y$1001,MATCH(ROWS($W$2:W783),$W$2:$W$1001,0),0), INDEX($AD$1004:$AU$1004,1,MATCH(COLUMNS($AD$1006:AN1006),$AD$1006:$AU$1006,0)))),"Fix")))</f>
        <v xml:space="preserve"> </v>
      </c>
      <c r="M783" s="4" t="str">
        <f ca="1">IF(OR(INDEX($X$2:$X$1001,MATCH(ROWS($W$2:W783),$W$2:$W$1001,0),1)&gt;=100000,INDEX($AD$1005:$AU$1005,1,MATCH(COLUMNS($AD$1006:AO1006),$AD$1006:$AU$1006,0))&gt;=100000), " ",IF(INDEX($AD$2:$AU$1001,MATCH(ROWS($W$2:W783),$W$2:$W$1001,0),MATCH(COLUMNS($AD$1006:AO1006),$AD$1006:$AU$1006,0)), HYPERLINK("#",""), HYPERLINK(CONCATENATE("#metadata!", ADDRESS(INDEX($Y$2:$Y$1001,MATCH(ROWS($W$2:W783),$W$2:$W$1001,0),0), INDEX($AD$1004:$AU$1004,1,MATCH(COLUMNS($AD$1006:AO1006),$AD$1006:$AU$1006,0)))),"Fix")))</f>
        <v xml:space="preserve"> </v>
      </c>
      <c r="N783" s="4" t="str">
        <f ca="1">IF(OR(INDEX($X$2:$X$1001,MATCH(ROWS($W$2:W783),$W$2:$W$1001,0),1)&gt;=100000,INDEX($AD$1005:$AU$1005,1,MATCH(COLUMNS($AD$1006:AP1006),$AD$1006:$AU$1006,0))&gt;=100000), " ",IF(INDEX($AD$2:$AU$1001,MATCH(ROWS($W$2:W783),$W$2:$W$1001,0),MATCH(COLUMNS($AD$1006:AP1006),$AD$1006:$AU$1006,0)), HYPERLINK("#",""), HYPERLINK(CONCATENATE("#metadata!", ADDRESS(INDEX($Y$2:$Y$1001,MATCH(ROWS($W$2:W783),$W$2:$W$1001,0),0), INDEX($AD$1004:$AU$1004,1,MATCH(COLUMNS($AD$1006:AP1006),$AD$1006:$AU$1006,0)))),"Fix")))</f>
        <v xml:space="preserve"> </v>
      </c>
      <c r="O783" s="4" t="str">
        <f ca="1">IF(OR(INDEX($X$2:$X$1001,MATCH(ROWS($W$2:W783),$W$2:$W$1001,0),1)&gt;=100000,INDEX($AD$1005:$AU$1005,1,MATCH(COLUMNS($AD$1006:AQ1006),$AD$1006:$AU$1006,0))&gt;=100000), " ",IF(INDEX($AD$2:$AU$1001,MATCH(ROWS($W$2:W783),$W$2:$W$1001,0),MATCH(COLUMNS($AD$1006:AQ1006),$AD$1006:$AU$1006,0)), HYPERLINK("#",""), HYPERLINK(CONCATENATE("#metadata!", ADDRESS(INDEX($Y$2:$Y$1001,MATCH(ROWS($W$2:W783),$W$2:$W$1001,0),0), INDEX($AD$1004:$AU$1004,1,MATCH(COLUMNS($AD$1006:AQ1006),$AD$1006:$AU$1006,0)))),"Fix")))</f>
        <v xml:space="preserve"> </v>
      </c>
      <c r="P783" s="4" t="str">
        <f ca="1">IF(OR(INDEX($X$2:$X$1001,MATCH(ROWS($W$2:W783),$W$2:$W$1001,0),1)&gt;=100000,INDEX($AD$1005:$AU$1005,1,MATCH(COLUMNS($AD$1006:AR1006),$AD$1006:$AU$1006,0))&gt;=100000), " ",IF(INDEX($AD$2:$AU$1001,MATCH(ROWS($W$2:W783),$W$2:$W$1001,0),MATCH(COLUMNS($AD$1006:AR1006),$AD$1006:$AU$1006,0)), HYPERLINK("#",""), HYPERLINK(CONCATENATE("#metadata!", ADDRESS(INDEX($Y$2:$Y$1001,MATCH(ROWS($W$2:W783),$W$2:$W$1001,0),0), INDEX($AD$1004:$AU$1004,1,MATCH(COLUMNS($AD$1006:AR1006),$AD$1006:$AU$1006,0)))),"Fix")))</f>
        <v xml:space="preserve"> </v>
      </c>
      <c r="Q783" s="4" t="str">
        <f ca="1">IF(OR(INDEX($X$2:$X$1001,MATCH(ROWS($W$2:W783),$W$2:$W$1001,0),1)&gt;=100000,INDEX($AD$1005:$AU$1005,1,MATCH(COLUMNS($AD$1006:AS1006),$AD$1006:$AU$1006,0))&gt;=100000), " ",IF(INDEX($AD$2:$AU$1001,MATCH(ROWS($W$2:W783),$W$2:$W$1001,0),MATCH(COLUMNS($AD$1006:AS1006),$AD$1006:$AU$1006,0)), HYPERLINK("#",""), HYPERLINK(CONCATENATE("#metadata!", ADDRESS(INDEX($Y$2:$Y$1001,MATCH(ROWS($W$2:W783),$W$2:$W$1001,0),0), INDEX($AD$1004:$AU$1004,1,MATCH(COLUMNS($AD$1006:AS1006),$AD$1006:$AU$1006,0)))),"Fix")))</f>
        <v xml:space="preserve"> </v>
      </c>
      <c r="R783" s="4" t="str">
        <f ca="1">IF(OR(INDEX($X$2:$X$1001,MATCH(ROWS($W$2:W783),$W$2:$W$1001,0),1)&gt;=100000,INDEX($AD$1005:$AU$1005,1,MATCH(COLUMNS($AD$1006:AT1006),$AD$1006:$AU$1006,0))&gt;=100000), " ",IF(INDEX($AD$2:$AU$1001,MATCH(ROWS($W$2:W783),$W$2:$W$1001,0),MATCH(COLUMNS($AD$1006:AT1006),$AD$1006:$AU$1006,0)), HYPERLINK("#",""), HYPERLINK(CONCATENATE("#metadata!", ADDRESS(INDEX($Y$2:$Y$1001,MATCH(ROWS($W$2:W783),$W$2:$W$1001,0),0), INDEX($AD$1004:$AU$1004,1,MATCH(COLUMNS($AD$1006:AT1006),$AD$1006:$AU$1006,0)))),"Fix")))</f>
        <v xml:space="preserve"> </v>
      </c>
      <c r="S783" s="4" t="str">
        <f ca="1">IF(OR(INDEX($X$2:$X$1001,MATCH(ROWS($W$2:W783),$W$2:$W$1001,0),1)&gt;=100000,INDEX($AD$1005:$AU$1005,1,MATCH(COLUMNS($AD$1006:AU1006),$AD$1006:$AU$1006,0))&gt;=100000), " ",IF(INDEX($AD$2:$AU$1001,MATCH(ROWS($W$2:W783),$W$2:$W$1001,0),MATCH(COLUMNS($AD$1006:AU1006),$AD$1006:$AU$1006,0)), HYPERLINK("#",""), HYPERLINK(CONCATENATE("#metadata!", ADDRESS(INDEX($Y$2:$Y$1001,MATCH(ROWS($W$2:W783),$W$2:$W$1001,0),0), INDEX($AD$1004:$AU$1004,1,MATCH(COLUMNS($AD$1006:AU1006),$AD$1006:$AU$1006,0)))),"Fix")))</f>
        <v xml:space="preserve"> </v>
      </c>
      <c r="W783">
        <v>782</v>
      </c>
      <c r="X783">
        <v>100783</v>
      </c>
      <c r="Y783">
        <v>783</v>
      </c>
      <c r="Z783" t="b">
        <f t="shared" si="12"/>
        <v>1</v>
      </c>
      <c r="AA783" t="b">
        <f>COUNTBLANK(metadata!B783:S783)=COLUMNS(metadata!B783:S783)</f>
        <v>1</v>
      </c>
      <c r="AB783" t="str">
        <v/>
      </c>
      <c r="AD783" t="b">
        <f ca="1">AND(IF(metadata!B783="",FALSE,TRUE),COUNTIF(metadata!B:B, metadata!B783) = 1,NOT(ISERROR(SUMPRODUCT(SEARCH(MID(metadata!B783,ROW(INDIRECT("1:"&amp;LEN(metadata!B783))), 1),"0123456789abcdefghijklmnopqrstuvwxyzABCDEFGHIJKLMNOPQRSTUVWXYZ.")))))</f>
        <v>0</v>
      </c>
      <c r="AE783" t="b">
        <f>OR(AND(IF(metadata!C783="",FALSE,TRUE),OR(EXACT(metadata!C783,"not applicable"),EXACT(metadata!C783,"missing: not collected"),EXACT(metadata!C783,"missing: not provided"),EXACT(metadata!C783,"missing: restricted access"))),AND(IF(metadata!C783="",FALSE,ISNUMBER(VALUE(metadata!C783))),metadata!C783&gt;0))</f>
        <v>0</v>
      </c>
      <c r="AF783" t="b">
        <f>AND(IF(metadata!D783="",FALSE,TRUE),EXACT(metadata!D783,"missing: not provided"))</f>
        <v>0</v>
      </c>
      <c r="AG783" t="b">
        <f>AND(IF(metadata!E783="",FALSE,TRUE),EXACT(metadata!E783,"Host-associated"))</f>
        <v>0</v>
      </c>
      <c r="AH783" t="b">
        <f>AND(IF(metadata!F783="",FALSE,TRUE),OR(EXACT(metadata!F783,"Animal"),EXACT(metadata!F783,"Fungus"),EXACT(metadata!F783,"Plant")))</f>
        <v>0</v>
      </c>
      <c r="AI783" t="b">
        <f>AND(IF(metadata!G783="",FALSE,TRUE),OR(EXACT(metadata!G783,"Plant secretion"),EXACT(metadata!G783,"Plant rhizosphere"),EXACT(metadata!G783,"Plant surface"),EXACT(metadata!G783,"Plant corpus"),EXACT(metadata!G783,"Fungus surface"),EXACT(metadata!G783,"Fungus corpus"),EXACT(metadata!G783,"Animal surface"),EXACT(metadata!G783,"Animal proximal gut"),EXACT(metadata!G783,"Animal corpus"),EXACT(metadata!G783,"Animal distal gut"),EXACT(metadata!G783,"Animal secretion")))</f>
        <v>0</v>
      </c>
      <c r="AJ783" t="b">
        <f>OR(AND(IF(metadata!H783="",FALSE,TRUE),OR(EXACT(metadata!H783,"missing: not collected"),EXACT(metadata!H783,"missing: not provided"),EXACT(metadata!H783,"missing: restricted access"))),AND(IF(metadata!H783="",FALSE,TRUE),OR(EXACT(metadata!H783,"organism-associated habitat"),EXACT(metadata!H783,"plant-associated habitat"),EXACT(metadata!H783,"animal-associated habitat"),EXACT(metadata!H783,"insecta-associated habitat"),EXACT(metadata!H783,"mammalia-associated habitat"),EXACT(metadata!H783,"human-associated habitat"),EXACT(metadata!H783,"livestock-associated habitat"))))</f>
        <v>0</v>
      </c>
      <c r="AK783" t="b">
        <f>AND(IF(metadata!I783="",FALSE,TRUE),EXACT(metadata!I783,"host-associated"))</f>
        <v>0</v>
      </c>
      <c r="AL783" t="b">
        <f>OR(AND(IF(metadata!J783="",FALSE,TRUE),OR(EXACT(metadata!J783,"not applicable"),EXACT(metadata!J783,"missing: not collected"),EXACT(metadata!J783,"missing: not provided"),EXACT(metadata!J783,"missing: restricted access"))),AND(IF(metadata!J783="",FALSE,ISNUMBER(VALUE(metadata!J783))),metadata!J783&gt;0))</f>
        <v>0</v>
      </c>
      <c r="AM783" t="b">
        <f>AND(IF(metadata!K783="",FALSE,TRUE),EXACT(metadata!K783,"missing: not provided"))</f>
        <v>0</v>
      </c>
      <c r="AN783" t="b">
        <f>IF(metadata!L783="",FALSE,TRUE)</f>
        <v>0</v>
      </c>
      <c r="AO783" t="b">
        <f>IF(metadata!M783="",FALSE,TRUE)</f>
        <v>0</v>
      </c>
      <c r="AP783" t="b">
        <f>OR(AND(IF(metadata!N783="",FALSE,TRUE),OR(EXACT(metadata!N783,"not applicable"),EXACT(metadata!N783,"missing: not collected"),EXACT(metadata!N783,"missing: not provided"))),AND(IF(metadata!N783="",FALSE,IF(ISERROR(INT(metadata!N783)),FALSE,INT(metadata!N783)=metadata!N783)),metadata!N783&gt;0))</f>
        <v>0</v>
      </c>
      <c r="AQ783" t="b">
        <f>AND(IF(metadata!O783="",FALSE,TRUE),EXACT(metadata!O783,"Not applicable"))</f>
        <v>0</v>
      </c>
      <c r="AR783" t="b">
        <f>OR(AND(IF(metadata!P783="",FALSE,TRUE),OR(EXACT(metadata!P783,"not applicable"),EXACT(metadata!P783,"missing: not collected"),EXACT(metadata!P783,"missing: not provided"),EXACT(metadata!P783,"missing: restricted access"))),IF(metadata!P783="",FALSE,IF(ISERROR(INT(metadata!P783)),FALSE,INT(metadata!P783)=metadata!P783)))</f>
        <v>0</v>
      </c>
      <c r="AS783" t="b">
        <f>AND(IF(metadata!Q783="",FALSE,TRUE),EXACT(metadata!Q783,"Not applicable"))</f>
        <v>0</v>
      </c>
      <c r="AT783" t="b">
        <f>OR(AND(IF(metadata!R783="",FALSE,TRUE),OR(EXACT(metadata!R783,"not applicable"),EXACT(metadata!R783,"missing: not collected"),EXACT(metadata!R783,"missing: not provided"),EXACT(metadata!R783,"missing: restricted access"))),AND(IF(metadata!R783="",FALSE,ISNUMBER(VALUE(metadata!R783))),metadata!R783&gt;0))</f>
        <v>0</v>
      </c>
      <c r="AU783" t="b">
        <f>AND(IF(metadata!S783="",FALSE,TRUE),EXACT(metadata!S783,"missing: not provided"))</f>
        <v>0</v>
      </c>
    </row>
    <row r="784" spans="1:47" x14ac:dyDescent="0.2">
      <c r="A784" s="5" t="str">
        <f ca="1">IF(B784=" "," ",HYPERLINK(CONCATENATE("#metadata!",ADDRESS(INDEX($Y$2:$Y$1001,MATCH(ROWS($W$2:W784),$W$2:$W$1001,0),0),1)),INDEX($AB$2:$AB$1001,MATCH(ROWS($W$2:W784),$W$2:$W$1001,0),0)))</f>
        <v xml:space="preserve"> </v>
      </c>
      <c r="B784" s="4" t="str">
        <f ca="1">IF(OR(INDEX($X$2:$X$1001,MATCH(ROWS($W$2:W784),$W$2:$W$1001,0),1)&gt;=100000,INDEX($AD$1005:$AU$1005,1,MATCH(COLUMNS($AD$1006:AD1006),$AD$1006:$AU$1006,0))&gt;=100000), " ",IF(INDEX($AD$2:$AU$1001,MATCH(ROWS($W$2:W784),$W$2:$W$1001,0),MATCH(COLUMNS($AD$1006:AD1006),$AD$1006:$AU$1006,0)), HYPERLINK("#",""), HYPERLINK(CONCATENATE("#metadata!", ADDRESS(INDEX($Y$2:$Y$1001,MATCH(ROWS($W$2:W784),$W$2:$W$1001,0),0), INDEX($AD$1004:$AU$1004,1,MATCH(COLUMNS($AD$1006:AD1006),$AD$1006:$AU$1006,0)))),"Fix")))</f>
        <v xml:space="preserve"> </v>
      </c>
      <c r="C784" s="4" t="str">
        <f ca="1">IF(OR(INDEX($X$2:$X$1001,MATCH(ROWS($W$2:W784),$W$2:$W$1001,0),1)&gt;=100000,INDEX($AD$1005:$AU$1005,1,MATCH(COLUMNS($AD$1006:AE1006),$AD$1006:$AU$1006,0))&gt;=100000), " ",IF(INDEX($AD$2:$AU$1001,MATCH(ROWS($W$2:W784),$W$2:$W$1001,0),MATCH(COLUMNS($AD$1006:AE1006),$AD$1006:$AU$1006,0)), HYPERLINK("#",""), HYPERLINK(CONCATENATE("#metadata!", ADDRESS(INDEX($Y$2:$Y$1001,MATCH(ROWS($W$2:W784),$W$2:$W$1001,0),0), INDEX($AD$1004:$AU$1004,1,MATCH(COLUMNS($AD$1006:AE1006),$AD$1006:$AU$1006,0)))),"Fix")))</f>
        <v xml:space="preserve"> </v>
      </c>
      <c r="D784" s="4" t="str">
        <f ca="1">IF(OR(INDEX($X$2:$X$1001,MATCH(ROWS($W$2:W784),$W$2:$W$1001,0),1)&gt;=100000,INDEX($AD$1005:$AU$1005,1,MATCH(COLUMNS($AD$1006:AF1006),$AD$1006:$AU$1006,0))&gt;=100000), " ",IF(INDEX($AD$2:$AU$1001,MATCH(ROWS($W$2:W784),$W$2:$W$1001,0),MATCH(COLUMNS($AD$1006:AF1006),$AD$1006:$AU$1006,0)), HYPERLINK("#",""), HYPERLINK(CONCATENATE("#metadata!", ADDRESS(INDEX($Y$2:$Y$1001,MATCH(ROWS($W$2:W784),$W$2:$W$1001,0),0), INDEX($AD$1004:$AU$1004,1,MATCH(COLUMNS($AD$1006:AF1006),$AD$1006:$AU$1006,0)))),"Fix")))</f>
        <v xml:space="preserve"> </v>
      </c>
      <c r="E784" s="4" t="str">
        <f ca="1">IF(OR(INDEX($X$2:$X$1001,MATCH(ROWS($W$2:W784),$W$2:$W$1001,0),1)&gt;=100000,INDEX($AD$1005:$AU$1005,1,MATCH(COLUMNS($AD$1006:AG1006),$AD$1006:$AU$1006,0))&gt;=100000), " ",IF(INDEX($AD$2:$AU$1001,MATCH(ROWS($W$2:W784),$W$2:$W$1001,0),MATCH(COLUMNS($AD$1006:AG1006),$AD$1006:$AU$1006,0)), HYPERLINK("#",""), HYPERLINK(CONCATENATE("#metadata!", ADDRESS(INDEX($Y$2:$Y$1001,MATCH(ROWS($W$2:W784),$W$2:$W$1001,0),0), INDEX($AD$1004:$AU$1004,1,MATCH(COLUMNS($AD$1006:AG1006),$AD$1006:$AU$1006,0)))),"Fix")))</f>
        <v xml:space="preserve"> </v>
      </c>
      <c r="F784" s="4" t="str">
        <f ca="1">IF(OR(INDEX($X$2:$X$1001,MATCH(ROWS($W$2:W784),$W$2:$W$1001,0),1)&gt;=100000,INDEX($AD$1005:$AU$1005,1,MATCH(COLUMNS($AD$1006:AH1006),$AD$1006:$AU$1006,0))&gt;=100000), " ",IF(INDEX($AD$2:$AU$1001,MATCH(ROWS($W$2:W784),$W$2:$W$1001,0),MATCH(COLUMNS($AD$1006:AH1006),$AD$1006:$AU$1006,0)), HYPERLINK("#",""), HYPERLINK(CONCATENATE("#metadata!", ADDRESS(INDEX($Y$2:$Y$1001,MATCH(ROWS($W$2:W784),$W$2:$W$1001,0),0), INDEX($AD$1004:$AU$1004,1,MATCH(COLUMNS($AD$1006:AH1006),$AD$1006:$AU$1006,0)))),"Fix")))</f>
        <v xml:space="preserve"> </v>
      </c>
      <c r="G784" s="4" t="str">
        <f ca="1">IF(OR(INDEX($X$2:$X$1001,MATCH(ROWS($W$2:W784),$W$2:$W$1001,0),1)&gt;=100000,INDEX($AD$1005:$AU$1005,1,MATCH(COLUMNS($AD$1006:AI1006),$AD$1006:$AU$1006,0))&gt;=100000), " ",IF(INDEX($AD$2:$AU$1001,MATCH(ROWS($W$2:W784),$W$2:$W$1001,0),MATCH(COLUMNS($AD$1006:AI1006),$AD$1006:$AU$1006,0)), HYPERLINK("#",""), HYPERLINK(CONCATENATE("#metadata!", ADDRESS(INDEX($Y$2:$Y$1001,MATCH(ROWS($W$2:W784),$W$2:$W$1001,0),0), INDEX($AD$1004:$AU$1004,1,MATCH(COLUMNS($AD$1006:AI1006),$AD$1006:$AU$1006,0)))),"Fix")))</f>
        <v xml:space="preserve"> </v>
      </c>
      <c r="H784" s="4" t="str">
        <f ca="1">IF(OR(INDEX($X$2:$X$1001,MATCH(ROWS($W$2:W784),$W$2:$W$1001,0),1)&gt;=100000,INDEX($AD$1005:$AU$1005,1,MATCH(COLUMNS($AD$1006:AJ1006),$AD$1006:$AU$1006,0))&gt;=100000), " ",IF(INDEX($AD$2:$AU$1001,MATCH(ROWS($W$2:W784),$W$2:$W$1001,0),MATCH(COLUMNS($AD$1006:AJ1006),$AD$1006:$AU$1006,0)), HYPERLINK("#",""), HYPERLINK(CONCATENATE("#metadata!", ADDRESS(INDEX($Y$2:$Y$1001,MATCH(ROWS($W$2:W784),$W$2:$W$1001,0),0), INDEX($AD$1004:$AU$1004,1,MATCH(COLUMNS($AD$1006:AJ1006),$AD$1006:$AU$1006,0)))),"Fix")))</f>
        <v xml:space="preserve"> </v>
      </c>
      <c r="I784" s="4" t="str">
        <f ca="1">IF(OR(INDEX($X$2:$X$1001,MATCH(ROWS($W$2:W784),$W$2:$W$1001,0),1)&gt;=100000,INDEX($AD$1005:$AU$1005,1,MATCH(COLUMNS($AD$1006:AK1006),$AD$1006:$AU$1006,0))&gt;=100000), " ",IF(INDEX($AD$2:$AU$1001,MATCH(ROWS($W$2:W784),$W$2:$W$1001,0),MATCH(COLUMNS($AD$1006:AK1006),$AD$1006:$AU$1006,0)), HYPERLINK("#",""), HYPERLINK(CONCATENATE("#metadata!", ADDRESS(INDEX($Y$2:$Y$1001,MATCH(ROWS($W$2:W784),$W$2:$W$1001,0),0), INDEX($AD$1004:$AU$1004,1,MATCH(COLUMNS($AD$1006:AK1006),$AD$1006:$AU$1006,0)))),"Fix")))</f>
        <v xml:space="preserve"> </v>
      </c>
      <c r="J784" s="4" t="str">
        <f ca="1">IF(OR(INDEX($X$2:$X$1001,MATCH(ROWS($W$2:W784),$W$2:$W$1001,0),1)&gt;=100000,INDEX($AD$1005:$AU$1005,1,MATCH(COLUMNS($AD$1006:AL1006),$AD$1006:$AU$1006,0))&gt;=100000), " ",IF(INDEX($AD$2:$AU$1001,MATCH(ROWS($W$2:W784),$W$2:$W$1001,0),MATCH(COLUMNS($AD$1006:AL1006),$AD$1006:$AU$1006,0)), HYPERLINK("#",""), HYPERLINK(CONCATENATE("#metadata!", ADDRESS(INDEX($Y$2:$Y$1001,MATCH(ROWS($W$2:W784),$W$2:$W$1001,0),0), INDEX($AD$1004:$AU$1004,1,MATCH(COLUMNS($AD$1006:AL1006),$AD$1006:$AU$1006,0)))),"Fix")))</f>
        <v xml:space="preserve"> </v>
      </c>
      <c r="K784" s="4" t="str">
        <f ca="1">IF(OR(INDEX($X$2:$X$1001,MATCH(ROWS($W$2:W784),$W$2:$W$1001,0),1)&gt;=100000,INDEX($AD$1005:$AU$1005,1,MATCH(COLUMNS($AD$1006:AM1006),$AD$1006:$AU$1006,0))&gt;=100000), " ",IF(INDEX($AD$2:$AU$1001,MATCH(ROWS($W$2:W784),$W$2:$W$1001,0),MATCH(COLUMNS($AD$1006:AM1006),$AD$1006:$AU$1006,0)), HYPERLINK("#",""), HYPERLINK(CONCATENATE("#metadata!", ADDRESS(INDEX($Y$2:$Y$1001,MATCH(ROWS($W$2:W784),$W$2:$W$1001,0),0), INDEX($AD$1004:$AU$1004,1,MATCH(COLUMNS($AD$1006:AM1006),$AD$1006:$AU$1006,0)))),"Fix")))</f>
        <v xml:space="preserve"> </v>
      </c>
      <c r="L784" s="4" t="str">
        <f ca="1">IF(OR(INDEX($X$2:$X$1001,MATCH(ROWS($W$2:W784),$W$2:$W$1001,0),1)&gt;=100000,INDEX($AD$1005:$AU$1005,1,MATCH(COLUMNS($AD$1006:AN1006),$AD$1006:$AU$1006,0))&gt;=100000), " ",IF(INDEX($AD$2:$AU$1001,MATCH(ROWS($W$2:W784),$W$2:$W$1001,0),MATCH(COLUMNS($AD$1006:AN1006),$AD$1006:$AU$1006,0)), HYPERLINK("#",""), HYPERLINK(CONCATENATE("#metadata!", ADDRESS(INDEX($Y$2:$Y$1001,MATCH(ROWS($W$2:W784),$W$2:$W$1001,0),0), INDEX($AD$1004:$AU$1004,1,MATCH(COLUMNS($AD$1006:AN1006),$AD$1006:$AU$1006,0)))),"Fix")))</f>
        <v xml:space="preserve"> </v>
      </c>
      <c r="M784" s="4" t="str">
        <f ca="1">IF(OR(INDEX($X$2:$X$1001,MATCH(ROWS($W$2:W784),$W$2:$W$1001,0),1)&gt;=100000,INDEX($AD$1005:$AU$1005,1,MATCH(COLUMNS($AD$1006:AO1006),$AD$1006:$AU$1006,0))&gt;=100000), " ",IF(INDEX($AD$2:$AU$1001,MATCH(ROWS($W$2:W784),$W$2:$W$1001,0),MATCH(COLUMNS($AD$1006:AO1006),$AD$1006:$AU$1006,0)), HYPERLINK("#",""), HYPERLINK(CONCATENATE("#metadata!", ADDRESS(INDEX($Y$2:$Y$1001,MATCH(ROWS($W$2:W784),$W$2:$W$1001,0),0), INDEX($AD$1004:$AU$1004,1,MATCH(COLUMNS($AD$1006:AO1006),$AD$1006:$AU$1006,0)))),"Fix")))</f>
        <v xml:space="preserve"> </v>
      </c>
      <c r="N784" s="4" t="str">
        <f ca="1">IF(OR(INDEX($X$2:$X$1001,MATCH(ROWS($W$2:W784),$W$2:$W$1001,0),1)&gt;=100000,INDEX($AD$1005:$AU$1005,1,MATCH(COLUMNS($AD$1006:AP1006),$AD$1006:$AU$1006,0))&gt;=100000), " ",IF(INDEX($AD$2:$AU$1001,MATCH(ROWS($W$2:W784),$W$2:$W$1001,0),MATCH(COLUMNS($AD$1006:AP1006),$AD$1006:$AU$1006,0)), HYPERLINK("#",""), HYPERLINK(CONCATENATE("#metadata!", ADDRESS(INDEX($Y$2:$Y$1001,MATCH(ROWS($W$2:W784),$W$2:$W$1001,0),0), INDEX($AD$1004:$AU$1004,1,MATCH(COLUMNS($AD$1006:AP1006),$AD$1006:$AU$1006,0)))),"Fix")))</f>
        <v xml:space="preserve"> </v>
      </c>
      <c r="O784" s="4" t="str">
        <f ca="1">IF(OR(INDEX($X$2:$X$1001,MATCH(ROWS($W$2:W784),$W$2:$W$1001,0),1)&gt;=100000,INDEX($AD$1005:$AU$1005,1,MATCH(COLUMNS($AD$1006:AQ1006),$AD$1006:$AU$1006,0))&gt;=100000), " ",IF(INDEX($AD$2:$AU$1001,MATCH(ROWS($W$2:W784),$W$2:$W$1001,0),MATCH(COLUMNS($AD$1006:AQ1006),$AD$1006:$AU$1006,0)), HYPERLINK("#",""), HYPERLINK(CONCATENATE("#metadata!", ADDRESS(INDEX($Y$2:$Y$1001,MATCH(ROWS($W$2:W784),$W$2:$W$1001,0),0), INDEX($AD$1004:$AU$1004,1,MATCH(COLUMNS($AD$1006:AQ1006),$AD$1006:$AU$1006,0)))),"Fix")))</f>
        <v xml:space="preserve"> </v>
      </c>
      <c r="P784" s="4" t="str">
        <f ca="1">IF(OR(INDEX($X$2:$X$1001,MATCH(ROWS($W$2:W784),$W$2:$W$1001,0),1)&gt;=100000,INDEX($AD$1005:$AU$1005,1,MATCH(COLUMNS($AD$1006:AR1006),$AD$1006:$AU$1006,0))&gt;=100000), " ",IF(INDEX($AD$2:$AU$1001,MATCH(ROWS($W$2:W784),$W$2:$W$1001,0),MATCH(COLUMNS($AD$1006:AR1006),$AD$1006:$AU$1006,0)), HYPERLINK("#",""), HYPERLINK(CONCATENATE("#metadata!", ADDRESS(INDEX($Y$2:$Y$1001,MATCH(ROWS($W$2:W784),$W$2:$W$1001,0),0), INDEX($AD$1004:$AU$1004,1,MATCH(COLUMNS($AD$1006:AR1006),$AD$1006:$AU$1006,0)))),"Fix")))</f>
        <v xml:space="preserve"> </v>
      </c>
      <c r="Q784" s="4" t="str">
        <f ca="1">IF(OR(INDEX($X$2:$X$1001,MATCH(ROWS($W$2:W784),$W$2:$W$1001,0),1)&gt;=100000,INDEX($AD$1005:$AU$1005,1,MATCH(COLUMNS($AD$1006:AS1006),$AD$1006:$AU$1006,0))&gt;=100000), " ",IF(INDEX($AD$2:$AU$1001,MATCH(ROWS($W$2:W784),$W$2:$W$1001,0),MATCH(COLUMNS($AD$1006:AS1006),$AD$1006:$AU$1006,0)), HYPERLINK("#",""), HYPERLINK(CONCATENATE("#metadata!", ADDRESS(INDEX($Y$2:$Y$1001,MATCH(ROWS($W$2:W784),$W$2:$W$1001,0),0), INDEX($AD$1004:$AU$1004,1,MATCH(COLUMNS($AD$1006:AS1006),$AD$1006:$AU$1006,0)))),"Fix")))</f>
        <v xml:space="preserve"> </v>
      </c>
      <c r="R784" s="4" t="str">
        <f ca="1">IF(OR(INDEX($X$2:$X$1001,MATCH(ROWS($W$2:W784),$W$2:$W$1001,0),1)&gt;=100000,INDEX($AD$1005:$AU$1005,1,MATCH(COLUMNS($AD$1006:AT1006),$AD$1006:$AU$1006,0))&gt;=100000), " ",IF(INDEX($AD$2:$AU$1001,MATCH(ROWS($W$2:W784),$W$2:$W$1001,0),MATCH(COLUMNS($AD$1006:AT1006),$AD$1006:$AU$1006,0)), HYPERLINK("#",""), HYPERLINK(CONCATENATE("#metadata!", ADDRESS(INDEX($Y$2:$Y$1001,MATCH(ROWS($W$2:W784),$W$2:$W$1001,0),0), INDEX($AD$1004:$AU$1004,1,MATCH(COLUMNS($AD$1006:AT1006),$AD$1006:$AU$1006,0)))),"Fix")))</f>
        <v xml:space="preserve"> </v>
      </c>
      <c r="S784" s="4" t="str">
        <f ca="1">IF(OR(INDEX($X$2:$X$1001,MATCH(ROWS($W$2:W784),$W$2:$W$1001,0),1)&gt;=100000,INDEX($AD$1005:$AU$1005,1,MATCH(COLUMNS($AD$1006:AU1006),$AD$1006:$AU$1006,0))&gt;=100000), " ",IF(INDEX($AD$2:$AU$1001,MATCH(ROWS($W$2:W784),$W$2:$W$1001,0),MATCH(COLUMNS($AD$1006:AU1006),$AD$1006:$AU$1006,0)), HYPERLINK("#",""), HYPERLINK(CONCATENATE("#metadata!", ADDRESS(INDEX($Y$2:$Y$1001,MATCH(ROWS($W$2:W784),$W$2:$W$1001,0),0), INDEX($AD$1004:$AU$1004,1,MATCH(COLUMNS($AD$1006:AU1006),$AD$1006:$AU$1006,0)))),"Fix")))</f>
        <v xml:space="preserve"> </v>
      </c>
      <c r="W784">
        <v>783</v>
      </c>
      <c r="X784">
        <v>100784</v>
      </c>
      <c r="Y784">
        <v>784</v>
      </c>
      <c r="Z784" t="b">
        <f t="shared" si="12"/>
        <v>1</v>
      </c>
      <c r="AA784" t="b">
        <f>COUNTBLANK(metadata!B784:S784)=COLUMNS(metadata!B784:S784)</f>
        <v>1</v>
      </c>
      <c r="AB784" t="str">
        <v/>
      </c>
      <c r="AD784" t="b">
        <f ca="1">AND(IF(metadata!B784="",FALSE,TRUE),COUNTIF(metadata!B:B, metadata!B784) = 1,NOT(ISERROR(SUMPRODUCT(SEARCH(MID(metadata!B784,ROW(INDIRECT("1:"&amp;LEN(metadata!B784))), 1),"0123456789abcdefghijklmnopqrstuvwxyzABCDEFGHIJKLMNOPQRSTUVWXYZ.")))))</f>
        <v>0</v>
      </c>
      <c r="AE784" t="b">
        <f>OR(AND(IF(metadata!C784="",FALSE,TRUE),OR(EXACT(metadata!C784,"not applicable"),EXACT(metadata!C784,"missing: not collected"),EXACT(metadata!C784,"missing: not provided"),EXACT(metadata!C784,"missing: restricted access"))),AND(IF(metadata!C784="",FALSE,ISNUMBER(VALUE(metadata!C784))),metadata!C784&gt;0))</f>
        <v>0</v>
      </c>
      <c r="AF784" t="b">
        <f>AND(IF(metadata!D784="",FALSE,TRUE),EXACT(metadata!D784,"missing: not provided"))</f>
        <v>0</v>
      </c>
      <c r="AG784" t="b">
        <f>AND(IF(metadata!E784="",FALSE,TRUE),EXACT(metadata!E784,"Host-associated"))</f>
        <v>0</v>
      </c>
      <c r="AH784" t="b">
        <f>AND(IF(metadata!F784="",FALSE,TRUE),OR(EXACT(metadata!F784,"Animal"),EXACT(metadata!F784,"Fungus"),EXACT(metadata!F784,"Plant")))</f>
        <v>0</v>
      </c>
      <c r="AI784" t="b">
        <f>AND(IF(metadata!G784="",FALSE,TRUE),OR(EXACT(metadata!G784,"Plant secretion"),EXACT(metadata!G784,"Plant rhizosphere"),EXACT(metadata!G784,"Plant surface"),EXACT(metadata!G784,"Plant corpus"),EXACT(metadata!G784,"Fungus surface"),EXACT(metadata!G784,"Fungus corpus"),EXACT(metadata!G784,"Animal surface"),EXACT(metadata!G784,"Animal proximal gut"),EXACT(metadata!G784,"Animal corpus"),EXACT(metadata!G784,"Animal distal gut"),EXACT(metadata!G784,"Animal secretion")))</f>
        <v>0</v>
      </c>
      <c r="AJ784" t="b">
        <f>OR(AND(IF(metadata!H784="",FALSE,TRUE),OR(EXACT(metadata!H784,"missing: not collected"),EXACT(metadata!H784,"missing: not provided"),EXACT(metadata!H784,"missing: restricted access"))),AND(IF(metadata!H784="",FALSE,TRUE),OR(EXACT(metadata!H784,"organism-associated habitat"),EXACT(metadata!H784,"plant-associated habitat"),EXACT(metadata!H784,"animal-associated habitat"),EXACT(metadata!H784,"insecta-associated habitat"),EXACT(metadata!H784,"mammalia-associated habitat"),EXACT(metadata!H784,"human-associated habitat"),EXACT(metadata!H784,"livestock-associated habitat"))))</f>
        <v>0</v>
      </c>
      <c r="AK784" t="b">
        <f>AND(IF(metadata!I784="",FALSE,TRUE),EXACT(metadata!I784,"host-associated"))</f>
        <v>0</v>
      </c>
      <c r="AL784" t="b">
        <f>OR(AND(IF(metadata!J784="",FALSE,TRUE),OR(EXACT(metadata!J784,"not applicable"),EXACT(metadata!J784,"missing: not collected"),EXACT(metadata!J784,"missing: not provided"),EXACT(metadata!J784,"missing: restricted access"))),AND(IF(metadata!J784="",FALSE,ISNUMBER(VALUE(metadata!J784))),metadata!J784&gt;0))</f>
        <v>0</v>
      </c>
      <c r="AM784" t="b">
        <f>AND(IF(metadata!K784="",FALSE,TRUE),EXACT(metadata!K784,"missing: not provided"))</f>
        <v>0</v>
      </c>
      <c r="AN784" t="b">
        <f>IF(metadata!L784="",FALSE,TRUE)</f>
        <v>0</v>
      </c>
      <c r="AO784" t="b">
        <f>IF(metadata!M784="",FALSE,TRUE)</f>
        <v>0</v>
      </c>
      <c r="AP784" t="b">
        <f>OR(AND(IF(metadata!N784="",FALSE,TRUE),OR(EXACT(metadata!N784,"not applicable"),EXACT(metadata!N784,"missing: not collected"),EXACT(metadata!N784,"missing: not provided"))),AND(IF(metadata!N784="",FALSE,IF(ISERROR(INT(metadata!N784)),FALSE,INT(metadata!N784)=metadata!N784)),metadata!N784&gt;0))</f>
        <v>0</v>
      </c>
      <c r="AQ784" t="b">
        <f>AND(IF(metadata!O784="",FALSE,TRUE),EXACT(metadata!O784,"Not applicable"))</f>
        <v>0</v>
      </c>
      <c r="AR784" t="b">
        <f>OR(AND(IF(metadata!P784="",FALSE,TRUE),OR(EXACT(metadata!P784,"not applicable"),EXACT(metadata!P784,"missing: not collected"),EXACT(metadata!P784,"missing: not provided"),EXACT(metadata!P784,"missing: restricted access"))),IF(metadata!P784="",FALSE,IF(ISERROR(INT(metadata!P784)),FALSE,INT(metadata!P784)=metadata!P784)))</f>
        <v>0</v>
      </c>
      <c r="AS784" t="b">
        <f>AND(IF(metadata!Q784="",FALSE,TRUE),EXACT(metadata!Q784,"Not applicable"))</f>
        <v>0</v>
      </c>
      <c r="AT784" t="b">
        <f>OR(AND(IF(metadata!R784="",FALSE,TRUE),OR(EXACT(metadata!R784,"not applicable"),EXACT(metadata!R784,"missing: not collected"),EXACT(metadata!R784,"missing: not provided"),EXACT(metadata!R784,"missing: restricted access"))),AND(IF(metadata!R784="",FALSE,ISNUMBER(VALUE(metadata!R784))),metadata!R784&gt;0))</f>
        <v>0</v>
      </c>
      <c r="AU784" t="b">
        <f>AND(IF(metadata!S784="",FALSE,TRUE),EXACT(metadata!S784,"missing: not provided"))</f>
        <v>0</v>
      </c>
    </row>
    <row r="785" spans="1:47" x14ac:dyDescent="0.2">
      <c r="A785" s="5" t="str">
        <f ca="1">IF(B785=" "," ",HYPERLINK(CONCATENATE("#metadata!",ADDRESS(INDEX($Y$2:$Y$1001,MATCH(ROWS($W$2:W785),$W$2:$W$1001,0),0),1)),INDEX($AB$2:$AB$1001,MATCH(ROWS($W$2:W785),$W$2:$W$1001,0),0)))</f>
        <v xml:space="preserve"> </v>
      </c>
      <c r="B785" s="4" t="str">
        <f ca="1">IF(OR(INDEX($X$2:$X$1001,MATCH(ROWS($W$2:W785),$W$2:$W$1001,0),1)&gt;=100000,INDEX($AD$1005:$AU$1005,1,MATCH(COLUMNS($AD$1006:AD1006),$AD$1006:$AU$1006,0))&gt;=100000), " ",IF(INDEX($AD$2:$AU$1001,MATCH(ROWS($W$2:W785),$W$2:$W$1001,0),MATCH(COLUMNS($AD$1006:AD1006),$AD$1006:$AU$1006,0)), HYPERLINK("#",""), HYPERLINK(CONCATENATE("#metadata!", ADDRESS(INDEX($Y$2:$Y$1001,MATCH(ROWS($W$2:W785),$W$2:$W$1001,0),0), INDEX($AD$1004:$AU$1004,1,MATCH(COLUMNS($AD$1006:AD1006),$AD$1006:$AU$1006,0)))),"Fix")))</f>
        <v xml:space="preserve"> </v>
      </c>
      <c r="C785" s="4" t="str">
        <f ca="1">IF(OR(INDEX($X$2:$X$1001,MATCH(ROWS($W$2:W785),$W$2:$W$1001,0),1)&gt;=100000,INDEX($AD$1005:$AU$1005,1,MATCH(COLUMNS($AD$1006:AE1006),$AD$1006:$AU$1006,0))&gt;=100000), " ",IF(INDEX($AD$2:$AU$1001,MATCH(ROWS($W$2:W785),$W$2:$W$1001,0),MATCH(COLUMNS($AD$1006:AE1006),$AD$1006:$AU$1006,0)), HYPERLINK("#",""), HYPERLINK(CONCATENATE("#metadata!", ADDRESS(INDEX($Y$2:$Y$1001,MATCH(ROWS($W$2:W785),$W$2:$W$1001,0),0), INDEX($AD$1004:$AU$1004,1,MATCH(COLUMNS($AD$1006:AE1006),$AD$1006:$AU$1006,0)))),"Fix")))</f>
        <v xml:space="preserve"> </v>
      </c>
      <c r="D785" s="4" t="str">
        <f ca="1">IF(OR(INDEX($X$2:$X$1001,MATCH(ROWS($W$2:W785),$W$2:$W$1001,0),1)&gt;=100000,INDEX($AD$1005:$AU$1005,1,MATCH(COLUMNS($AD$1006:AF1006),$AD$1006:$AU$1006,0))&gt;=100000), " ",IF(INDEX($AD$2:$AU$1001,MATCH(ROWS($W$2:W785),$W$2:$W$1001,0),MATCH(COLUMNS($AD$1006:AF1006),$AD$1006:$AU$1006,0)), HYPERLINK("#",""), HYPERLINK(CONCATENATE("#metadata!", ADDRESS(INDEX($Y$2:$Y$1001,MATCH(ROWS($W$2:W785),$W$2:$W$1001,0),0), INDEX($AD$1004:$AU$1004,1,MATCH(COLUMNS($AD$1006:AF1006),$AD$1006:$AU$1006,0)))),"Fix")))</f>
        <v xml:space="preserve"> </v>
      </c>
      <c r="E785" s="4" t="str">
        <f ca="1">IF(OR(INDEX($X$2:$X$1001,MATCH(ROWS($W$2:W785),$W$2:$W$1001,0),1)&gt;=100000,INDEX($AD$1005:$AU$1005,1,MATCH(COLUMNS($AD$1006:AG1006),$AD$1006:$AU$1006,0))&gt;=100000), " ",IF(INDEX($AD$2:$AU$1001,MATCH(ROWS($W$2:W785),$W$2:$W$1001,0),MATCH(COLUMNS($AD$1006:AG1006),$AD$1006:$AU$1006,0)), HYPERLINK("#",""), HYPERLINK(CONCATENATE("#metadata!", ADDRESS(INDEX($Y$2:$Y$1001,MATCH(ROWS($W$2:W785),$W$2:$W$1001,0),0), INDEX($AD$1004:$AU$1004,1,MATCH(COLUMNS($AD$1006:AG1006),$AD$1006:$AU$1006,0)))),"Fix")))</f>
        <v xml:space="preserve"> </v>
      </c>
      <c r="F785" s="4" t="str">
        <f ca="1">IF(OR(INDEX($X$2:$X$1001,MATCH(ROWS($W$2:W785),$W$2:$W$1001,0),1)&gt;=100000,INDEX($AD$1005:$AU$1005,1,MATCH(COLUMNS($AD$1006:AH1006),$AD$1006:$AU$1006,0))&gt;=100000), " ",IF(INDEX($AD$2:$AU$1001,MATCH(ROWS($W$2:W785),$W$2:$W$1001,0),MATCH(COLUMNS($AD$1006:AH1006),$AD$1006:$AU$1006,0)), HYPERLINK("#",""), HYPERLINK(CONCATENATE("#metadata!", ADDRESS(INDEX($Y$2:$Y$1001,MATCH(ROWS($W$2:W785),$W$2:$W$1001,0),0), INDEX($AD$1004:$AU$1004,1,MATCH(COLUMNS($AD$1006:AH1006),$AD$1006:$AU$1006,0)))),"Fix")))</f>
        <v xml:space="preserve"> </v>
      </c>
      <c r="G785" s="4" t="str">
        <f ca="1">IF(OR(INDEX($X$2:$X$1001,MATCH(ROWS($W$2:W785),$W$2:$W$1001,0),1)&gt;=100000,INDEX($AD$1005:$AU$1005,1,MATCH(COLUMNS($AD$1006:AI1006),$AD$1006:$AU$1006,0))&gt;=100000), " ",IF(INDEX($AD$2:$AU$1001,MATCH(ROWS($W$2:W785),$W$2:$W$1001,0),MATCH(COLUMNS($AD$1006:AI1006),$AD$1006:$AU$1006,0)), HYPERLINK("#",""), HYPERLINK(CONCATENATE("#metadata!", ADDRESS(INDEX($Y$2:$Y$1001,MATCH(ROWS($W$2:W785),$W$2:$W$1001,0),0), INDEX($AD$1004:$AU$1004,1,MATCH(COLUMNS($AD$1006:AI1006),$AD$1006:$AU$1006,0)))),"Fix")))</f>
        <v xml:space="preserve"> </v>
      </c>
      <c r="H785" s="4" t="str">
        <f ca="1">IF(OR(INDEX($X$2:$X$1001,MATCH(ROWS($W$2:W785),$W$2:$W$1001,0),1)&gt;=100000,INDEX($AD$1005:$AU$1005,1,MATCH(COLUMNS($AD$1006:AJ1006),$AD$1006:$AU$1006,0))&gt;=100000), " ",IF(INDEX($AD$2:$AU$1001,MATCH(ROWS($W$2:W785),$W$2:$W$1001,0),MATCH(COLUMNS($AD$1006:AJ1006),$AD$1006:$AU$1006,0)), HYPERLINK("#",""), HYPERLINK(CONCATENATE("#metadata!", ADDRESS(INDEX($Y$2:$Y$1001,MATCH(ROWS($W$2:W785),$W$2:$W$1001,0),0), INDEX($AD$1004:$AU$1004,1,MATCH(COLUMNS($AD$1006:AJ1006),$AD$1006:$AU$1006,0)))),"Fix")))</f>
        <v xml:space="preserve"> </v>
      </c>
      <c r="I785" s="4" t="str">
        <f ca="1">IF(OR(INDEX($X$2:$X$1001,MATCH(ROWS($W$2:W785),$W$2:$W$1001,0),1)&gt;=100000,INDEX($AD$1005:$AU$1005,1,MATCH(COLUMNS($AD$1006:AK1006),$AD$1006:$AU$1006,0))&gt;=100000), " ",IF(INDEX($AD$2:$AU$1001,MATCH(ROWS($W$2:W785),$W$2:$W$1001,0),MATCH(COLUMNS($AD$1006:AK1006),$AD$1006:$AU$1006,0)), HYPERLINK("#",""), HYPERLINK(CONCATENATE("#metadata!", ADDRESS(INDEX($Y$2:$Y$1001,MATCH(ROWS($W$2:W785),$W$2:$W$1001,0),0), INDEX($AD$1004:$AU$1004,1,MATCH(COLUMNS($AD$1006:AK1006),$AD$1006:$AU$1006,0)))),"Fix")))</f>
        <v xml:space="preserve"> </v>
      </c>
      <c r="J785" s="4" t="str">
        <f ca="1">IF(OR(INDEX($X$2:$X$1001,MATCH(ROWS($W$2:W785),$W$2:$W$1001,0),1)&gt;=100000,INDEX($AD$1005:$AU$1005,1,MATCH(COLUMNS($AD$1006:AL1006),$AD$1006:$AU$1006,0))&gt;=100000), " ",IF(INDEX($AD$2:$AU$1001,MATCH(ROWS($W$2:W785),$W$2:$W$1001,0),MATCH(COLUMNS($AD$1006:AL1006),$AD$1006:$AU$1006,0)), HYPERLINK("#",""), HYPERLINK(CONCATENATE("#metadata!", ADDRESS(INDEX($Y$2:$Y$1001,MATCH(ROWS($W$2:W785),$W$2:$W$1001,0),0), INDEX($AD$1004:$AU$1004,1,MATCH(COLUMNS($AD$1006:AL1006),$AD$1006:$AU$1006,0)))),"Fix")))</f>
        <v xml:space="preserve"> </v>
      </c>
      <c r="K785" s="4" t="str">
        <f ca="1">IF(OR(INDEX($X$2:$X$1001,MATCH(ROWS($W$2:W785),$W$2:$W$1001,0),1)&gt;=100000,INDEX($AD$1005:$AU$1005,1,MATCH(COLUMNS($AD$1006:AM1006),$AD$1006:$AU$1006,0))&gt;=100000), " ",IF(INDEX($AD$2:$AU$1001,MATCH(ROWS($W$2:W785),$W$2:$W$1001,0),MATCH(COLUMNS($AD$1006:AM1006),$AD$1006:$AU$1006,0)), HYPERLINK("#",""), HYPERLINK(CONCATENATE("#metadata!", ADDRESS(INDEX($Y$2:$Y$1001,MATCH(ROWS($W$2:W785),$W$2:$W$1001,0),0), INDEX($AD$1004:$AU$1004,1,MATCH(COLUMNS($AD$1006:AM1006),$AD$1006:$AU$1006,0)))),"Fix")))</f>
        <v xml:space="preserve"> </v>
      </c>
      <c r="L785" s="4" t="str">
        <f ca="1">IF(OR(INDEX($X$2:$X$1001,MATCH(ROWS($W$2:W785),$W$2:$W$1001,0),1)&gt;=100000,INDEX($AD$1005:$AU$1005,1,MATCH(COLUMNS($AD$1006:AN1006),$AD$1006:$AU$1006,0))&gt;=100000), " ",IF(INDEX($AD$2:$AU$1001,MATCH(ROWS($W$2:W785),$W$2:$W$1001,0),MATCH(COLUMNS($AD$1006:AN1006),$AD$1006:$AU$1006,0)), HYPERLINK("#",""), HYPERLINK(CONCATENATE("#metadata!", ADDRESS(INDEX($Y$2:$Y$1001,MATCH(ROWS($W$2:W785),$W$2:$W$1001,0),0), INDEX($AD$1004:$AU$1004,1,MATCH(COLUMNS($AD$1006:AN1006),$AD$1006:$AU$1006,0)))),"Fix")))</f>
        <v xml:space="preserve"> </v>
      </c>
      <c r="M785" s="4" t="str">
        <f ca="1">IF(OR(INDEX($X$2:$X$1001,MATCH(ROWS($W$2:W785),$W$2:$W$1001,0),1)&gt;=100000,INDEX($AD$1005:$AU$1005,1,MATCH(COLUMNS($AD$1006:AO1006),$AD$1006:$AU$1006,0))&gt;=100000), " ",IF(INDEX($AD$2:$AU$1001,MATCH(ROWS($W$2:W785),$W$2:$W$1001,0),MATCH(COLUMNS($AD$1006:AO1006),$AD$1006:$AU$1006,0)), HYPERLINK("#",""), HYPERLINK(CONCATENATE("#metadata!", ADDRESS(INDEX($Y$2:$Y$1001,MATCH(ROWS($W$2:W785),$W$2:$W$1001,0),0), INDEX($AD$1004:$AU$1004,1,MATCH(COLUMNS($AD$1006:AO1006),$AD$1006:$AU$1006,0)))),"Fix")))</f>
        <v xml:space="preserve"> </v>
      </c>
      <c r="N785" s="4" t="str">
        <f ca="1">IF(OR(INDEX($X$2:$X$1001,MATCH(ROWS($W$2:W785),$W$2:$W$1001,0),1)&gt;=100000,INDEX($AD$1005:$AU$1005,1,MATCH(COLUMNS($AD$1006:AP1006),$AD$1006:$AU$1006,0))&gt;=100000), " ",IF(INDEX($AD$2:$AU$1001,MATCH(ROWS($W$2:W785),$W$2:$W$1001,0),MATCH(COLUMNS($AD$1006:AP1006),$AD$1006:$AU$1006,0)), HYPERLINK("#",""), HYPERLINK(CONCATENATE("#metadata!", ADDRESS(INDEX($Y$2:$Y$1001,MATCH(ROWS($W$2:W785),$W$2:$W$1001,0),0), INDEX($AD$1004:$AU$1004,1,MATCH(COLUMNS($AD$1006:AP1006),$AD$1006:$AU$1006,0)))),"Fix")))</f>
        <v xml:space="preserve"> </v>
      </c>
      <c r="O785" s="4" t="str">
        <f ca="1">IF(OR(INDEX($X$2:$X$1001,MATCH(ROWS($W$2:W785),$W$2:$W$1001,0),1)&gt;=100000,INDEX($AD$1005:$AU$1005,1,MATCH(COLUMNS($AD$1006:AQ1006),$AD$1006:$AU$1006,0))&gt;=100000), " ",IF(INDEX($AD$2:$AU$1001,MATCH(ROWS($W$2:W785),$W$2:$W$1001,0),MATCH(COLUMNS($AD$1006:AQ1006),$AD$1006:$AU$1006,0)), HYPERLINK("#",""), HYPERLINK(CONCATENATE("#metadata!", ADDRESS(INDEX($Y$2:$Y$1001,MATCH(ROWS($W$2:W785),$W$2:$W$1001,0),0), INDEX($AD$1004:$AU$1004,1,MATCH(COLUMNS($AD$1006:AQ1006),$AD$1006:$AU$1006,0)))),"Fix")))</f>
        <v xml:space="preserve"> </v>
      </c>
      <c r="P785" s="4" t="str">
        <f ca="1">IF(OR(INDEX($X$2:$X$1001,MATCH(ROWS($W$2:W785),$W$2:$W$1001,0),1)&gt;=100000,INDEX($AD$1005:$AU$1005,1,MATCH(COLUMNS($AD$1006:AR1006),$AD$1006:$AU$1006,0))&gt;=100000), " ",IF(INDEX($AD$2:$AU$1001,MATCH(ROWS($W$2:W785),$W$2:$W$1001,0),MATCH(COLUMNS($AD$1006:AR1006),$AD$1006:$AU$1006,0)), HYPERLINK("#",""), HYPERLINK(CONCATENATE("#metadata!", ADDRESS(INDEX($Y$2:$Y$1001,MATCH(ROWS($W$2:W785),$W$2:$W$1001,0),0), INDEX($AD$1004:$AU$1004,1,MATCH(COLUMNS($AD$1006:AR1006),$AD$1006:$AU$1006,0)))),"Fix")))</f>
        <v xml:space="preserve"> </v>
      </c>
      <c r="Q785" s="4" t="str">
        <f ca="1">IF(OR(INDEX($X$2:$X$1001,MATCH(ROWS($W$2:W785),$W$2:$W$1001,0),1)&gt;=100000,INDEX($AD$1005:$AU$1005,1,MATCH(COLUMNS($AD$1006:AS1006),$AD$1006:$AU$1006,0))&gt;=100000), " ",IF(INDEX($AD$2:$AU$1001,MATCH(ROWS($W$2:W785),$W$2:$W$1001,0),MATCH(COLUMNS($AD$1006:AS1006),$AD$1006:$AU$1006,0)), HYPERLINK("#",""), HYPERLINK(CONCATENATE("#metadata!", ADDRESS(INDEX($Y$2:$Y$1001,MATCH(ROWS($W$2:W785),$W$2:$W$1001,0),0), INDEX($AD$1004:$AU$1004,1,MATCH(COLUMNS($AD$1006:AS1006),$AD$1006:$AU$1006,0)))),"Fix")))</f>
        <v xml:space="preserve"> </v>
      </c>
      <c r="R785" s="4" t="str">
        <f ca="1">IF(OR(INDEX($X$2:$X$1001,MATCH(ROWS($W$2:W785),$W$2:$W$1001,0),1)&gt;=100000,INDEX($AD$1005:$AU$1005,1,MATCH(COLUMNS($AD$1006:AT1006),$AD$1006:$AU$1006,0))&gt;=100000), " ",IF(INDEX($AD$2:$AU$1001,MATCH(ROWS($W$2:W785),$W$2:$W$1001,0),MATCH(COLUMNS($AD$1006:AT1006),$AD$1006:$AU$1006,0)), HYPERLINK("#",""), HYPERLINK(CONCATENATE("#metadata!", ADDRESS(INDEX($Y$2:$Y$1001,MATCH(ROWS($W$2:W785),$W$2:$W$1001,0),0), INDEX($AD$1004:$AU$1004,1,MATCH(COLUMNS($AD$1006:AT1006),$AD$1006:$AU$1006,0)))),"Fix")))</f>
        <v xml:space="preserve"> </v>
      </c>
      <c r="S785" s="4" t="str">
        <f ca="1">IF(OR(INDEX($X$2:$X$1001,MATCH(ROWS($W$2:W785),$W$2:$W$1001,0),1)&gt;=100000,INDEX($AD$1005:$AU$1005,1,MATCH(COLUMNS($AD$1006:AU1006),$AD$1006:$AU$1006,0))&gt;=100000), " ",IF(INDEX($AD$2:$AU$1001,MATCH(ROWS($W$2:W785),$W$2:$W$1001,0),MATCH(COLUMNS($AD$1006:AU1006),$AD$1006:$AU$1006,0)), HYPERLINK("#",""), HYPERLINK(CONCATENATE("#metadata!", ADDRESS(INDEX($Y$2:$Y$1001,MATCH(ROWS($W$2:W785),$W$2:$W$1001,0),0), INDEX($AD$1004:$AU$1004,1,MATCH(COLUMNS($AD$1006:AU1006),$AD$1006:$AU$1006,0)))),"Fix")))</f>
        <v xml:space="preserve"> </v>
      </c>
      <c r="W785">
        <v>784</v>
      </c>
      <c r="X785">
        <v>100785</v>
      </c>
      <c r="Y785">
        <v>785</v>
      </c>
      <c r="Z785" t="b">
        <f t="shared" si="12"/>
        <v>1</v>
      </c>
      <c r="AA785" t="b">
        <f>COUNTBLANK(metadata!B785:S785)=COLUMNS(metadata!B785:S785)</f>
        <v>1</v>
      </c>
      <c r="AB785" t="str">
        <v/>
      </c>
      <c r="AD785" t="b">
        <f ca="1">AND(IF(metadata!B785="",FALSE,TRUE),COUNTIF(metadata!B:B, metadata!B785) = 1,NOT(ISERROR(SUMPRODUCT(SEARCH(MID(metadata!B785,ROW(INDIRECT("1:"&amp;LEN(metadata!B785))), 1),"0123456789abcdefghijklmnopqrstuvwxyzABCDEFGHIJKLMNOPQRSTUVWXYZ.")))))</f>
        <v>0</v>
      </c>
      <c r="AE785" t="b">
        <f>OR(AND(IF(metadata!C785="",FALSE,TRUE),OR(EXACT(metadata!C785,"not applicable"),EXACT(metadata!C785,"missing: not collected"),EXACT(metadata!C785,"missing: not provided"),EXACT(metadata!C785,"missing: restricted access"))),AND(IF(metadata!C785="",FALSE,ISNUMBER(VALUE(metadata!C785))),metadata!C785&gt;0))</f>
        <v>0</v>
      </c>
      <c r="AF785" t="b">
        <f>AND(IF(metadata!D785="",FALSE,TRUE),EXACT(metadata!D785,"missing: not provided"))</f>
        <v>0</v>
      </c>
      <c r="AG785" t="b">
        <f>AND(IF(metadata!E785="",FALSE,TRUE),EXACT(metadata!E785,"Host-associated"))</f>
        <v>0</v>
      </c>
      <c r="AH785" t="b">
        <f>AND(IF(metadata!F785="",FALSE,TRUE),OR(EXACT(metadata!F785,"Animal"),EXACT(metadata!F785,"Fungus"),EXACT(metadata!F785,"Plant")))</f>
        <v>0</v>
      </c>
      <c r="AI785" t="b">
        <f>AND(IF(metadata!G785="",FALSE,TRUE),OR(EXACT(metadata!G785,"Plant secretion"),EXACT(metadata!G785,"Plant rhizosphere"),EXACT(metadata!G785,"Plant surface"),EXACT(metadata!G785,"Plant corpus"),EXACT(metadata!G785,"Fungus surface"),EXACT(metadata!G785,"Fungus corpus"),EXACT(metadata!G785,"Animal surface"),EXACT(metadata!G785,"Animal proximal gut"),EXACT(metadata!G785,"Animal corpus"),EXACT(metadata!G785,"Animal distal gut"),EXACT(metadata!G785,"Animal secretion")))</f>
        <v>0</v>
      </c>
      <c r="AJ785" t="b">
        <f>OR(AND(IF(metadata!H785="",FALSE,TRUE),OR(EXACT(metadata!H785,"missing: not collected"),EXACT(metadata!H785,"missing: not provided"),EXACT(metadata!H785,"missing: restricted access"))),AND(IF(metadata!H785="",FALSE,TRUE),OR(EXACT(metadata!H785,"organism-associated habitat"),EXACT(metadata!H785,"plant-associated habitat"),EXACT(metadata!H785,"animal-associated habitat"),EXACT(metadata!H785,"insecta-associated habitat"),EXACT(metadata!H785,"mammalia-associated habitat"),EXACT(metadata!H785,"human-associated habitat"),EXACT(metadata!H785,"livestock-associated habitat"))))</f>
        <v>0</v>
      </c>
      <c r="AK785" t="b">
        <f>AND(IF(metadata!I785="",FALSE,TRUE),EXACT(metadata!I785,"host-associated"))</f>
        <v>0</v>
      </c>
      <c r="AL785" t="b">
        <f>OR(AND(IF(metadata!J785="",FALSE,TRUE),OR(EXACT(metadata!J785,"not applicable"),EXACT(metadata!J785,"missing: not collected"),EXACT(metadata!J785,"missing: not provided"),EXACT(metadata!J785,"missing: restricted access"))),AND(IF(metadata!J785="",FALSE,ISNUMBER(VALUE(metadata!J785))),metadata!J785&gt;0))</f>
        <v>0</v>
      </c>
      <c r="AM785" t="b">
        <f>AND(IF(metadata!K785="",FALSE,TRUE),EXACT(metadata!K785,"missing: not provided"))</f>
        <v>0</v>
      </c>
      <c r="AN785" t="b">
        <f>IF(metadata!L785="",FALSE,TRUE)</f>
        <v>0</v>
      </c>
      <c r="AO785" t="b">
        <f>IF(metadata!M785="",FALSE,TRUE)</f>
        <v>0</v>
      </c>
      <c r="AP785" t="b">
        <f>OR(AND(IF(metadata!N785="",FALSE,TRUE),OR(EXACT(metadata!N785,"not applicable"),EXACT(metadata!N785,"missing: not collected"),EXACT(metadata!N785,"missing: not provided"))),AND(IF(metadata!N785="",FALSE,IF(ISERROR(INT(metadata!N785)),FALSE,INT(metadata!N785)=metadata!N785)),metadata!N785&gt;0))</f>
        <v>0</v>
      </c>
      <c r="AQ785" t="b">
        <f>AND(IF(metadata!O785="",FALSE,TRUE),EXACT(metadata!O785,"Not applicable"))</f>
        <v>0</v>
      </c>
      <c r="AR785" t="b">
        <f>OR(AND(IF(metadata!P785="",FALSE,TRUE),OR(EXACT(metadata!P785,"not applicable"),EXACT(metadata!P785,"missing: not collected"),EXACT(metadata!P785,"missing: not provided"),EXACT(metadata!P785,"missing: restricted access"))),IF(metadata!P785="",FALSE,IF(ISERROR(INT(metadata!P785)),FALSE,INT(metadata!P785)=metadata!P785)))</f>
        <v>0</v>
      </c>
      <c r="AS785" t="b">
        <f>AND(IF(metadata!Q785="",FALSE,TRUE),EXACT(metadata!Q785,"Not applicable"))</f>
        <v>0</v>
      </c>
      <c r="AT785" t="b">
        <f>OR(AND(IF(metadata!R785="",FALSE,TRUE),OR(EXACT(metadata!R785,"not applicable"),EXACT(metadata!R785,"missing: not collected"),EXACT(metadata!R785,"missing: not provided"),EXACT(metadata!R785,"missing: restricted access"))),AND(IF(metadata!R785="",FALSE,ISNUMBER(VALUE(metadata!R785))),metadata!R785&gt;0))</f>
        <v>0</v>
      </c>
      <c r="AU785" t="b">
        <f>AND(IF(metadata!S785="",FALSE,TRUE),EXACT(metadata!S785,"missing: not provided"))</f>
        <v>0</v>
      </c>
    </row>
    <row r="786" spans="1:47" x14ac:dyDescent="0.2">
      <c r="A786" s="5" t="str">
        <f ca="1">IF(B786=" "," ",HYPERLINK(CONCATENATE("#metadata!",ADDRESS(INDEX($Y$2:$Y$1001,MATCH(ROWS($W$2:W786),$W$2:$W$1001,0),0),1)),INDEX($AB$2:$AB$1001,MATCH(ROWS($W$2:W786),$W$2:$W$1001,0),0)))</f>
        <v xml:space="preserve"> </v>
      </c>
      <c r="B786" s="4" t="str">
        <f ca="1">IF(OR(INDEX($X$2:$X$1001,MATCH(ROWS($W$2:W786),$W$2:$W$1001,0),1)&gt;=100000,INDEX($AD$1005:$AU$1005,1,MATCH(COLUMNS($AD$1006:AD1006),$AD$1006:$AU$1006,0))&gt;=100000), " ",IF(INDEX($AD$2:$AU$1001,MATCH(ROWS($W$2:W786),$W$2:$W$1001,0),MATCH(COLUMNS($AD$1006:AD1006),$AD$1006:$AU$1006,0)), HYPERLINK("#",""), HYPERLINK(CONCATENATE("#metadata!", ADDRESS(INDEX($Y$2:$Y$1001,MATCH(ROWS($W$2:W786),$W$2:$W$1001,0),0), INDEX($AD$1004:$AU$1004,1,MATCH(COLUMNS($AD$1006:AD1006),$AD$1006:$AU$1006,0)))),"Fix")))</f>
        <v xml:space="preserve"> </v>
      </c>
      <c r="C786" s="4" t="str">
        <f ca="1">IF(OR(INDEX($X$2:$X$1001,MATCH(ROWS($W$2:W786),$W$2:$W$1001,0),1)&gt;=100000,INDEX($AD$1005:$AU$1005,1,MATCH(COLUMNS($AD$1006:AE1006),$AD$1006:$AU$1006,0))&gt;=100000), " ",IF(INDEX($AD$2:$AU$1001,MATCH(ROWS($W$2:W786),$W$2:$W$1001,0),MATCH(COLUMNS($AD$1006:AE1006),$AD$1006:$AU$1006,0)), HYPERLINK("#",""), HYPERLINK(CONCATENATE("#metadata!", ADDRESS(INDEX($Y$2:$Y$1001,MATCH(ROWS($W$2:W786),$W$2:$W$1001,0),0), INDEX($AD$1004:$AU$1004,1,MATCH(COLUMNS($AD$1006:AE1006),$AD$1006:$AU$1006,0)))),"Fix")))</f>
        <v xml:space="preserve"> </v>
      </c>
      <c r="D786" s="4" t="str">
        <f ca="1">IF(OR(INDEX($X$2:$X$1001,MATCH(ROWS($W$2:W786),$W$2:$W$1001,0),1)&gt;=100000,INDEX($AD$1005:$AU$1005,1,MATCH(COLUMNS($AD$1006:AF1006),$AD$1006:$AU$1006,0))&gt;=100000), " ",IF(INDEX($AD$2:$AU$1001,MATCH(ROWS($W$2:W786),$W$2:$W$1001,0),MATCH(COLUMNS($AD$1006:AF1006),$AD$1006:$AU$1006,0)), HYPERLINK("#",""), HYPERLINK(CONCATENATE("#metadata!", ADDRESS(INDEX($Y$2:$Y$1001,MATCH(ROWS($W$2:W786),$W$2:$W$1001,0),0), INDEX($AD$1004:$AU$1004,1,MATCH(COLUMNS($AD$1006:AF1006),$AD$1006:$AU$1006,0)))),"Fix")))</f>
        <v xml:space="preserve"> </v>
      </c>
      <c r="E786" s="4" t="str">
        <f ca="1">IF(OR(INDEX($X$2:$X$1001,MATCH(ROWS($W$2:W786),$W$2:$W$1001,0),1)&gt;=100000,INDEX($AD$1005:$AU$1005,1,MATCH(COLUMNS($AD$1006:AG1006),$AD$1006:$AU$1006,0))&gt;=100000), " ",IF(INDEX($AD$2:$AU$1001,MATCH(ROWS($W$2:W786),$W$2:$W$1001,0),MATCH(COLUMNS($AD$1006:AG1006),$AD$1006:$AU$1006,0)), HYPERLINK("#",""), HYPERLINK(CONCATENATE("#metadata!", ADDRESS(INDEX($Y$2:$Y$1001,MATCH(ROWS($W$2:W786),$W$2:$W$1001,0),0), INDEX($AD$1004:$AU$1004,1,MATCH(COLUMNS($AD$1006:AG1006),$AD$1006:$AU$1006,0)))),"Fix")))</f>
        <v xml:space="preserve"> </v>
      </c>
      <c r="F786" s="4" t="str">
        <f ca="1">IF(OR(INDEX($X$2:$X$1001,MATCH(ROWS($W$2:W786),$W$2:$W$1001,0),1)&gt;=100000,INDEX($AD$1005:$AU$1005,1,MATCH(COLUMNS($AD$1006:AH1006),$AD$1006:$AU$1006,0))&gt;=100000), " ",IF(INDEX($AD$2:$AU$1001,MATCH(ROWS($W$2:W786),$W$2:$W$1001,0),MATCH(COLUMNS($AD$1006:AH1006),$AD$1006:$AU$1006,0)), HYPERLINK("#",""), HYPERLINK(CONCATENATE("#metadata!", ADDRESS(INDEX($Y$2:$Y$1001,MATCH(ROWS($W$2:W786),$W$2:$W$1001,0),0), INDEX($AD$1004:$AU$1004,1,MATCH(COLUMNS($AD$1006:AH1006),$AD$1006:$AU$1006,0)))),"Fix")))</f>
        <v xml:space="preserve"> </v>
      </c>
      <c r="G786" s="4" t="str">
        <f ca="1">IF(OR(INDEX($X$2:$X$1001,MATCH(ROWS($W$2:W786),$W$2:$W$1001,0),1)&gt;=100000,INDEX($AD$1005:$AU$1005,1,MATCH(COLUMNS($AD$1006:AI1006),$AD$1006:$AU$1006,0))&gt;=100000), " ",IF(INDEX($AD$2:$AU$1001,MATCH(ROWS($W$2:W786),$W$2:$W$1001,0),MATCH(COLUMNS($AD$1006:AI1006),$AD$1006:$AU$1006,0)), HYPERLINK("#",""), HYPERLINK(CONCATENATE("#metadata!", ADDRESS(INDEX($Y$2:$Y$1001,MATCH(ROWS($W$2:W786),$W$2:$W$1001,0),0), INDEX($AD$1004:$AU$1004,1,MATCH(COLUMNS($AD$1006:AI1006),$AD$1006:$AU$1006,0)))),"Fix")))</f>
        <v xml:space="preserve"> </v>
      </c>
      <c r="H786" s="4" t="str">
        <f ca="1">IF(OR(INDEX($X$2:$X$1001,MATCH(ROWS($W$2:W786),$W$2:$W$1001,0),1)&gt;=100000,INDEX($AD$1005:$AU$1005,1,MATCH(COLUMNS($AD$1006:AJ1006),$AD$1006:$AU$1006,0))&gt;=100000), " ",IF(INDEX($AD$2:$AU$1001,MATCH(ROWS($W$2:W786),$W$2:$W$1001,0),MATCH(COLUMNS($AD$1006:AJ1006),$AD$1006:$AU$1006,0)), HYPERLINK("#",""), HYPERLINK(CONCATENATE("#metadata!", ADDRESS(INDEX($Y$2:$Y$1001,MATCH(ROWS($W$2:W786),$W$2:$W$1001,0),0), INDEX($AD$1004:$AU$1004,1,MATCH(COLUMNS($AD$1006:AJ1006),$AD$1006:$AU$1006,0)))),"Fix")))</f>
        <v xml:space="preserve"> </v>
      </c>
      <c r="I786" s="4" t="str">
        <f ca="1">IF(OR(INDEX($X$2:$X$1001,MATCH(ROWS($W$2:W786),$W$2:$W$1001,0),1)&gt;=100000,INDEX($AD$1005:$AU$1005,1,MATCH(COLUMNS($AD$1006:AK1006),$AD$1006:$AU$1006,0))&gt;=100000), " ",IF(INDEX($AD$2:$AU$1001,MATCH(ROWS($W$2:W786),$W$2:$W$1001,0),MATCH(COLUMNS($AD$1006:AK1006),$AD$1006:$AU$1006,0)), HYPERLINK("#",""), HYPERLINK(CONCATENATE("#metadata!", ADDRESS(INDEX($Y$2:$Y$1001,MATCH(ROWS($W$2:W786),$W$2:$W$1001,0),0), INDEX($AD$1004:$AU$1004,1,MATCH(COLUMNS($AD$1006:AK1006),$AD$1006:$AU$1006,0)))),"Fix")))</f>
        <v xml:space="preserve"> </v>
      </c>
      <c r="J786" s="4" t="str">
        <f ca="1">IF(OR(INDEX($X$2:$X$1001,MATCH(ROWS($W$2:W786),$W$2:$W$1001,0),1)&gt;=100000,INDEX($AD$1005:$AU$1005,1,MATCH(COLUMNS($AD$1006:AL1006),$AD$1006:$AU$1006,0))&gt;=100000), " ",IF(INDEX($AD$2:$AU$1001,MATCH(ROWS($W$2:W786),$W$2:$W$1001,0),MATCH(COLUMNS($AD$1006:AL1006),$AD$1006:$AU$1006,0)), HYPERLINK("#",""), HYPERLINK(CONCATENATE("#metadata!", ADDRESS(INDEX($Y$2:$Y$1001,MATCH(ROWS($W$2:W786),$W$2:$W$1001,0),0), INDEX($AD$1004:$AU$1004,1,MATCH(COLUMNS($AD$1006:AL1006),$AD$1006:$AU$1006,0)))),"Fix")))</f>
        <v xml:space="preserve"> </v>
      </c>
      <c r="K786" s="4" t="str">
        <f ca="1">IF(OR(INDEX($X$2:$X$1001,MATCH(ROWS($W$2:W786),$W$2:$W$1001,0),1)&gt;=100000,INDEX($AD$1005:$AU$1005,1,MATCH(COLUMNS($AD$1006:AM1006),$AD$1006:$AU$1006,0))&gt;=100000), " ",IF(INDEX($AD$2:$AU$1001,MATCH(ROWS($W$2:W786),$W$2:$W$1001,0),MATCH(COLUMNS($AD$1006:AM1006),$AD$1006:$AU$1006,0)), HYPERLINK("#",""), HYPERLINK(CONCATENATE("#metadata!", ADDRESS(INDEX($Y$2:$Y$1001,MATCH(ROWS($W$2:W786),$W$2:$W$1001,0),0), INDEX($AD$1004:$AU$1004,1,MATCH(COLUMNS($AD$1006:AM1006),$AD$1006:$AU$1006,0)))),"Fix")))</f>
        <v xml:space="preserve"> </v>
      </c>
      <c r="L786" s="4" t="str">
        <f ca="1">IF(OR(INDEX($X$2:$X$1001,MATCH(ROWS($W$2:W786),$W$2:$W$1001,0),1)&gt;=100000,INDEX($AD$1005:$AU$1005,1,MATCH(COLUMNS($AD$1006:AN1006),$AD$1006:$AU$1006,0))&gt;=100000), " ",IF(INDEX($AD$2:$AU$1001,MATCH(ROWS($W$2:W786),$W$2:$W$1001,0),MATCH(COLUMNS($AD$1006:AN1006),$AD$1006:$AU$1006,0)), HYPERLINK("#",""), HYPERLINK(CONCATENATE("#metadata!", ADDRESS(INDEX($Y$2:$Y$1001,MATCH(ROWS($W$2:W786),$W$2:$W$1001,0),0), INDEX($AD$1004:$AU$1004,1,MATCH(COLUMNS($AD$1006:AN1006),$AD$1006:$AU$1006,0)))),"Fix")))</f>
        <v xml:space="preserve"> </v>
      </c>
      <c r="M786" s="4" t="str">
        <f ca="1">IF(OR(INDEX($X$2:$X$1001,MATCH(ROWS($W$2:W786),$W$2:$W$1001,0),1)&gt;=100000,INDEX($AD$1005:$AU$1005,1,MATCH(COLUMNS($AD$1006:AO1006),$AD$1006:$AU$1006,0))&gt;=100000), " ",IF(INDEX($AD$2:$AU$1001,MATCH(ROWS($W$2:W786),$W$2:$W$1001,0),MATCH(COLUMNS($AD$1006:AO1006),$AD$1006:$AU$1006,0)), HYPERLINK("#",""), HYPERLINK(CONCATENATE("#metadata!", ADDRESS(INDEX($Y$2:$Y$1001,MATCH(ROWS($W$2:W786),$W$2:$W$1001,0),0), INDEX($AD$1004:$AU$1004,1,MATCH(COLUMNS($AD$1006:AO1006),$AD$1006:$AU$1006,0)))),"Fix")))</f>
        <v xml:space="preserve"> </v>
      </c>
      <c r="N786" s="4" t="str">
        <f ca="1">IF(OR(INDEX($X$2:$X$1001,MATCH(ROWS($W$2:W786),$W$2:$W$1001,0),1)&gt;=100000,INDEX($AD$1005:$AU$1005,1,MATCH(COLUMNS($AD$1006:AP1006),$AD$1006:$AU$1006,0))&gt;=100000), " ",IF(INDEX($AD$2:$AU$1001,MATCH(ROWS($W$2:W786),$W$2:$W$1001,0),MATCH(COLUMNS($AD$1006:AP1006),$AD$1006:$AU$1006,0)), HYPERLINK("#",""), HYPERLINK(CONCATENATE("#metadata!", ADDRESS(INDEX($Y$2:$Y$1001,MATCH(ROWS($W$2:W786),$W$2:$W$1001,0),0), INDEX($AD$1004:$AU$1004,1,MATCH(COLUMNS($AD$1006:AP1006),$AD$1006:$AU$1006,0)))),"Fix")))</f>
        <v xml:space="preserve"> </v>
      </c>
      <c r="O786" s="4" t="str">
        <f ca="1">IF(OR(INDEX($X$2:$X$1001,MATCH(ROWS($W$2:W786),$W$2:$W$1001,0),1)&gt;=100000,INDEX($AD$1005:$AU$1005,1,MATCH(COLUMNS($AD$1006:AQ1006),$AD$1006:$AU$1006,0))&gt;=100000), " ",IF(INDEX($AD$2:$AU$1001,MATCH(ROWS($W$2:W786),$W$2:$W$1001,0),MATCH(COLUMNS($AD$1006:AQ1006),$AD$1006:$AU$1006,0)), HYPERLINK("#",""), HYPERLINK(CONCATENATE("#metadata!", ADDRESS(INDEX($Y$2:$Y$1001,MATCH(ROWS($W$2:W786),$W$2:$W$1001,0),0), INDEX($AD$1004:$AU$1004,1,MATCH(COLUMNS($AD$1006:AQ1006),$AD$1006:$AU$1006,0)))),"Fix")))</f>
        <v xml:space="preserve"> </v>
      </c>
      <c r="P786" s="4" t="str">
        <f ca="1">IF(OR(INDEX($X$2:$X$1001,MATCH(ROWS($W$2:W786),$W$2:$W$1001,0),1)&gt;=100000,INDEX($AD$1005:$AU$1005,1,MATCH(COLUMNS($AD$1006:AR1006),$AD$1006:$AU$1006,0))&gt;=100000), " ",IF(INDEX($AD$2:$AU$1001,MATCH(ROWS($W$2:W786),$W$2:$W$1001,0),MATCH(COLUMNS($AD$1006:AR1006),$AD$1006:$AU$1006,0)), HYPERLINK("#",""), HYPERLINK(CONCATENATE("#metadata!", ADDRESS(INDEX($Y$2:$Y$1001,MATCH(ROWS($W$2:W786),$W$2:$W$1001,0),0), INDEX($AD$1004:$AU$1004,1,MATCH(COLUMNS($AD$1006:AR1006),$AD$1006:$AU$1006,0)))),"Fix")))</f>
        <v xml:space="preserve"> </v>
      </c>
      <c r="Q786" s="4" t="str">
        <f ca="1">IF(OR(INDEX($X$2:$X$1001,MATCH(ROWS($W$2:W786),$W$2:$W$1001,0),1)&gt;=100000,INDEX($AD$1005:$AU$1005,1,MATCH(COLUMNS($AD$1006:AS1006),$AD$1006:$AU$1006,0))&gt;=100000), " ",IF(INDEX($AD$2:$AU$1001,MATCH(ROWS($W$2:W786),$W$2:$W$1001,0),MATCH(COLUMNS($AD$1006:AS1006),$AD$1006:$AU$1006,0)), HYPERLINK("#",""), HYPERLINK(CONCATENATE("#metadata!", ADDRESS(INDEX($Y$2:$Y$1001,MATCH(ROWS($W$2:W786),$W$2:$W$1001,0),0), INDEX($AD$1004:$AU$1004,1,MATCH(COLUMNS($AD$1006:AS1006),$AD$1006:$AU$1006,0)))),"Fix")))</f>
        <v xml:space="preserve"> </v>
      </c>
      <c r="R786" s="4" t="str">
        <f ca="1">IF(OR(INDEX($X$2:$X$1001,MATCH(ROWS($W$2:W786),$W$2:$W$1001,0),1)&gt;=100000,INDEX($AD$1005:$AU$1005,1,MATCH(COLUMNS($AD$1006:AT1006),$AD$1006:$AU$1006,0))&gt;=100000), " ",IF(INDEX($AD$2:$AU$1001,MATCH(ROWS($W$2:W786),$W$2:$W$1001,0),MATCH(COLUMNS($AD$1006:AT1006),$AD$1006:$AU$1006,0)), HYPERLINK("#",""), HYPERLINK(CONCATENATE("#metadata!", ADDRESS(INDEX($Y$2:$Y$1001,MATCH(ROWS($W$2:W786),$W$2:$W$1001,0),0), INDEX($AD$1004:$AU$1004,1,MATCH(COLUMNS($AD$1006:AT1006),$AD$1006:$AU$1006,0)))),"Fix")))</f>
        <v xml:space="preserve"> </v>
      </c>
      <c r="S786" s="4" t="str">
        <f ca="1">IF(OR(INDEX($X$2:$X$1001,MATCH(ROWS($W$2:W786),$W$2:$W$1001,0),1)&gt;=100000,INDEX($AD$1005:$AU$1005,1,MATCH(COLUMNS($AD$1006:AU1006),$AD$1006:$AU$1006,0))&gt;=100000), " ",IF(INDEX($AD$2:$AU$1001,MATCH(ROWS($W$2:W786),$W$2:$W$1001,0),MATCH(COLUMNS($AD$1006:AU1006),$AD$1006:$AU$1006,0)), HYPERLINK("#",""), HYPERLINK(CONCATENATE("#metadata!", ADDRESS(INDEX($Y$2:$Y$1001,MATCH(ROWS($W$2:W786),$W$2:$W$1001,0),0), INDEX($AD$1004:$AU$1004,1,MATCH(COLUMNS($AD$1006:AU1006),$AD$1006:$AU$1006,0)))),"Fix")))</f>
        <v xml:space="preserve"> </v>
      </c>
      <c r="W786">
        <v>785</v>
      </c>
      <c r="X786">
        <v>100786</v>
      </c>
      <c r="Y786">
        <v>786</v>
      </c>
      <c r="Z786" t="b">
        <f t="shared" si="12"/>
        <v>1</v>
      </c>
      <c r="AA786" t="b">
        <f>COUNTBLANK(metadata!B786:S786)=COLUMNS(metadata!B786:S786)</f>
        <v>1</v>
      </c>
      <c r="AB786" t="str">
        <v/>
      </c>
      <c r="AD786" t="b">
        <f ca="1">AND(IF(metadata!B786="",FALSE,TRUE),COUNTIF(metadata!B:B, metadata!B786) = 1,NOT(ISERROR(SUMPRODUCT(SEARCH(MID(metadata!B786,ROW(INDIRECT("1:"&amp;LEN(metadata!B786))), 1),"0123456789abcdefghijklmnopqrstuvwxyzABCDEFGHIJKLMNOPQRSTUVWXYZ.")))))</f>
        <v>0</v>
      </c>
      <c r="AE786" t="b">
        <f>OR(AND(IF(metadata!C786="",FALSE,TRUE),OR(EXACT(metadata!C786,"not applicable"),EXACT(metadata!C786,"missing: not collected"),EXACT(metadata!C786,"missing: not provided"),EXACT(metadata!C786,"missing: restricted access"))),AND(IF(metadata!C786="",FALSE,ISNUMBER(VALUE(metadata!C786))),metadata!C786&gt;0))</f>
        <v>0</v>
      </c>
      <c r="AF786" t="b">
        <f>AND(IF(metadata!D786="",FALSE,TRUE),EXACT(metadata!D786,"missing: not provided"))</f>
        <v>0</v>
      </c>
      <c r="AG786" t="b">
        <f>AND(IF(metadata!E786="",FALSE,TRUE),EXACT(metadata!E786,"Host-associated"))</f>
        <v>0</v>
      </c>
      <c r="AH786" t="b">
        <f>AND(IF(metadata!F786="",FALSE,TRUE),OR(EXACT(metadata!F786,"Animal"),EXACT(metadata!F786,"Fungus"),EXACT(metadata!F786,"Plant")))</f>
        <v>0</v>
      </c>
      <c r="AI786" t="b">
        <f>AND(IF(metadata!G786="",FALSE,TRUE),OR(EXACT(metadata!G786,"Plant secretion"),EXACT(metadata!G786,"Plant rhizosphere"),EXACT(metadata!G786,"Plant surface"),EXACT(metadata!G786,"Plant corpus"),EXACT(metadata!G786,"Fungus surface"),EXACT(metadata!G786,"Fungus corpus"),EXACT(metadata!G786,"Animal surface"),EXACT(metadata!G786,"Animal proximal gut"),EXACT(metadata!G786,"Animal corpus"),EXACT(metadata!G786,"Animal distal gut"),EXACT(metadata!G786,"Animal secretion")))</f>
        <v>0</v>
      </c>
      <c r="AJ786" t="b">
        <f>OR(AND(IF(metadata!H786="",FALSE,TRUE),OR(EXACT(metadata!H786,"missing: not collected"),EXACT(metadata!H786,"missing: not provided"),EXACT(metadata!H786,"missing: restricted access"))),AND(IF(metadata!H786="",FALSE,TRUE),OR(EXACT(metadata!H786,"organism-associated habitat"),EXACT(metadata!H786,"plant-associated habitat"),EXACT(metadata!H786,"animal-associated habitat"),EXACT(metadata!H786,"insecta-associated habitat"),EXACT(metadata!H786,"mammalia-associated habitat"),EXACT(metadata!H786,"human-associated habitat"),EXACT(metadata!H786,"livestock-associated habitat"))))</f>
        <v>0</v>
      </c>
      <c r="AK786" t="b">
        <f>AND(IF(metadata!I786="",FALSE,TRUE),EXACT(metadata!I786,"host-associated"))</f>
        <v>0</v>
      </c>
      <c r="AL786" t="b">
        <f>OR(AND(IF(metadata!J786="",FALSE,TRUE),OR(EXACT(metadata!J786,"not applicable"),EXACT(metadata!J786,"missing: not collected"),EXACT(metadata!J786,"missing: not provided"),EXACT(metadata!J786,"missing: restricted access"))),AND(IF(metadata!J786="",FALSE,ISNUMBER(VALUE(metadata!J786))),metadata!J786&gt;0))</f>
        <v>0</v>
      </c>
      <c r="AM786" t="b">
        <f>AND(IF(metadata!K786="",FALSE,TRUE),EXACT(metadata!K786,"missing: not provided"))</f>
        <v>0</v>
      </c>
      <c r="AN786" t="b">
        <f>IF(metadata!L786="",FALSE,TRUE)</f>
        <v>0</v>
      </c>
      <c r="AO786" t="b">
        <f>IF(metadata!M786="",FALSE,TRUE)</f>
        <v>0</v>
      </c>
      <c r="AP786" t="b">
        <f>OR(AND(IF(metadata!N786="",FALSE,TRUE),OR(EXACT(metadata!N786,"not applicable"),EXACT(metadata!N786,"missing: not collected"),EXACT(metadata!N786,"missing: not provided"))),AND(IF(metadata!N786="",FALSE,IF(ISERROR(INT(metadata!N786)),FALSE,INT(metadata!N786)=metadata!N786)),metadata!N786&gt;0))</f>
        <v>0</v>
      </c>
      <c r="AQ786" t="b">
        <f>AND(IF(metadata!O786="",FALSE,TRUE),EXACT(metadata!O786,"Not applicable"))</f>
        <v>0</v>
      </c>
      <c r="AR786" t="b">
        <f>OR(AND(IF(metadata!P786="",FALSE,TRUE),OR(EXACT(metadata!P786,"not applicable"),EXACT(metadata!P786,"missing: not collected"),EXACT(metadata!P786,"missing: not provided"),EXACT(metadata!P786,"missing: restricted access"))),IF(metadata!P786="",FALSE,IF(ISERROR(INT(metadata!P786)),FALSE,INT(metadata!P786)=metadata!P786)))</f>
        <v>0</v>
      </c>
      <c r="AS786" t="b">
        <f>AND(IF(metadata!Q786="",FALSE,TRUE),EXACT(metadata!Q786,"Not applicable"))</f>
        <v>0</v>
      </c>
      <c r="AT786" t="b">
        <f>OR(AND(IF(metadata!R786="",FALSE,TRUE),OR(EXACT(metadata!R786,"not applicable"),EXACT(metadata!R786,"missing: not collected"),EXACT(metadata!R786,"missing: not provided"),EXACT(metadata!R786,"missing: restricted access"))),AND(IF(metadata!R786="",FALSE,ISNUMBER(VALUE(metadata!R786))),metadata!R786&gt;0))</f>
        <v>0</v>
      </c>
      <c r="AU786" t="b">
        <f>AND(IF(metadata!S786="",FALSE,TRUE),EXACT(metadata!S786,"missing: not provided"))</f>
        <v>0</v>
      </c>
    </row>
    <row r="787" spans="1:47" x14ac:dyDescent="0.2">
      <c r="A787" s="5" t="str">
        <f ca="1">IF(B787=" "," ",HYPERLINK(CONCATENATE("#metadata!",ADDRESS(INDEX($Y$2:$Y$1001,MATCH(ROWS($W$2:W787),$W$2:$W$1001,0),0),1)),INDEX($AB$2:$AB$1001,MATCH(ROWS($W$2:W787),$W$2:$W$1001,0),0)))</f>
        <v xml:space="preserve"> </v>
      </c>
      <c r="B787" s="4" t="str">
        <f ca="1">IF(OR(INDEX($X$2:$X$1001,MATCH(ROWS($W$2:W787),$W$2:$W$1001,0),1)&gt;=100000,INDEX($AD$1005:$AU$1005,1,MATCH(COLUMNS($AD$1006:AD1006),$AD$1006:$AU$1006,0))&gt;=100000), " ",IF(INDEX($AD$2:$AU$1001,MATCH(ROWS($W$2:W787),$W$2:$W$1001,0),MATCH(COLUMNS($AD$1006:AD1006),$AD$1006:$AU$1006,0)), HYPERLINK("#",""), HYPERLINK(CONCATENATE("#metadata!", ADDRESS(INDEX($Y$2:$Y$1001,MATCH(ROWS($W$2:W787),$W$2:$W$1001,0),0), INDEX($AD$1004:$AU$1004,1,MATCH(COLUMNS($AD$1006:AD1006),$AD$1006:$AU$1006,0)))),"Fix")))</f>
        <v xml:space="preserve"> </v>
      </c>
      <c r="C787" s="4" t="str">
        <f ca="1">IF(OR(INDEX($X$2:$X$1001,MATCH(ROWS($W$2:W787),$W$2:$W$1001,0),1)&gt;=100000,INDEX($AD$1005:$AU$1005,1,MATCH(COLUMNS($AD$1006:AE1006),$AD$1006:$AU$1006,0))&gt;=100000), " ",IF(INDEX($AD$2:$AU$1001,MATCH(ROWS($W$2:W787),$W$2:$W$1001,0),MATCH(COLUMNS($AD$1006:AE1006),$AD$1006:$AU$1006,0)), HYPERLINK("#",""), HYPERLINK(CONCATENATE("#metadata!", ADDRESS(INDEX($Y$2:$Y$1001,MATCH(ROWS($W$2:W787),$W$2:$W$1001,0),0), INDEX($AD$1004:$AU$1004,1,MATCH(COLUMNS($AD$1006:AE1006),$AD$1006:$AU$1006,0)))),"Fix")))</f>
        <v xml:space="preserve"> </v>
      </c>
      <c r="D787" s="4" t="str">
        <f ca="1">IF(OR(INDEX($X$2:$X$1001,MATCH(ROWS($W$2:W787),$W$2:$W$1001,0),1)&gt;=100000,INDEX($AD$1005:$AU$1005,1,MATCH(COLUMNS($AD$1006:AF1006),$AD$1006:$AU$1006,0))&gt;=100000), " ",IF(INDEX($AD$2:$AU$1001,MATCH(ROWS($W$2:W787),$W$2:$W$1001,0),MATCH(COLUMNS($AD$1006:AF1006),$AD$1006:$AU$1006,0)), HYPERLINK("#",""), HYPERLINK(CONCATENATE("#metadata!", ADDRESS(INDEX($Y$2:$Y$1001,MATCH(ROWS($W$2:W787),$W$2:$W$1001,0),0), INDEX($AD$1004:$AU$1004,1,MATCH(COLUMNS($AD$1006:AF1006),$AD$1006:$AU$1006,0)))),"Fix")))</f>
        <v xml:space="preserve"> </v>
      </c>
      <c r="E787" s="4" t="str">
        <f ca="1">IF(OR(INDEX($X$2:$X$1001,MATCH(ROWS($W$2:W787),$W$2:$W$1001,0),1)&gt;=100000,INDEX($AD$1005:$AU$1005,1,MATCH(COLUMNS($AD$1006:AG1006),$AD$1006:$AU$1006,0))&gt;=100000), " ",IF(INDEX($AD$2:$AU$1001,MATCH(ROWS($W$2:W787),$W$2:$W$1001,0),MATCH(COLUMNS($AD$1006:AG1006),$AD$1006:$AU$1006,0)), HYPERLINK("#",""), HYPERLINK(CONCATENATE("#metadata!", ADDRESS(INDEX($Y$2:$Y$1001,MATCH(ROWS($W$2:W787),$W$2:$W$1001,0),0), INDEX($AD$1004:$AU$1004,1,MATCH(COLUMNS($AD$1006:AG1006),$AD$1006:$AU$1006,0)))),"Fix")))</f>
        <v xml:space="preserve"> </v>
      </c>
      <c r="F787" s="4" t="str">
        <f ca="1">IF(OR(INDEX($X$2:$X$1001,MATCH(ROWS($W$2:W787),$W$2:$W$1001,0),1)&gt;=100000,INDEX($AD$1005:$AU$1005,1,MATCH(COLUMNS($AD$1006:AH1006),$AD$1006:$AU$1006,0))&gt;=100000), " ",IF(INDEX($AD$2:$AU$1001,MATCH(ROWS($W$2:W787),$W$2:$W$1001,0),MATCH(COLUMNS($AD$1006:AH1006),$AD$1006:$AU$1006,0)), HYPERLINK("#",""), HYPERLINK(CONCATENATE("#metadata!", ADDRESS(INDEX($Y$2:$Y$1001,MATCH(ROWS($W$2:W787),$W$2:$W$1001,0),0), INDEX($AD$1004:$AU$1004,1,MATCH(COLUMNS($AD$1006:AH1006),$AD$1006:$AU$1006,0)))),"Fix")))</f>
        <v xml:space="preserve"> </v>
      </c>
      <c r="G787" s="4" t="str">
        <f ca="1">IF(OR(INDEX($X$2:$X$1001,MATCH(ROWS($W$2:W787),$W$2:$W$1001,0),1)&gt;=100000,INDEX($AD$1005:$AU$1005,1,MATCH(COLUMNS($AD$1006:AI1006),$AD$1006:$AU$1006,0))&gt;=100000), " ",IF(INDEX($AD$2:$AU$1001,MATCH(ROWS($W$2:W787),$W$2:$W$1001,0),MATCH(COLUMNS($AD$1006:AI1006),$AD$1006:$AU$1006,0)), HYPERLINK("#",""), HYPERLINK(CONCATENATE("#metadata!", ADDRESS(INDEX($Y$2:$Y$1001,MATCH(ROWS($W$2:W787),$W$2:$W$1001,0),0), INDEX($AD$1004:$AU$1004,1,MATCH(COLUMNS($AD$1006:AI1006),$AD$1006:$AU$1006,0)))),"Fix")))</f>
        <v xml:space="preserve"> </v>
      </c>
      <c r="H787" s="4" t="str">
        <f ca="1">IF(OR(INDEX($X$2:$X$1001,MATCH(ROWS($W$2:W787),$W$2:$W$1001,0),1)&gt;=100000,INDEX($AD$1005:$AU$1005,1,MATCH(COLUMNS($AD$1006:AJ1006),$AD$1006:$AU$1006,0))&gt;=100000), " ",IF(INDEX($AD$2:$AU$1001,MATCH(ROWS($W$2:W787),$W$2:$W$1001,0),MATCH(COLUMNS($AD$1006:AJ1006),$AD$1006:$AU$1006,0)), HYPERLINK("#",""), HYPERLINK(CONCATENATE("#metadata!", ADDRESS(INDEX($Y$2:$Y$1001,MATCH(ROWS($W$2:W787),$W$2:$W$1001,0),0), INDEX($AD$1004:$AU$1004,1,MATCH(COLUMNS($AD$1006:AJ1006),$AD$1006:$AU$1006,0)))),"Fix")))</f>
        <v xml:space="preserve"> </v>
      </c>
      <c r="I787" s="4" t="str">
        <f ca="1">IF(OR(INDEX($X$2:$X$1001,MATCH(ROWS($W$2:W787),$W$2:$W$1001,0),1)&gt;=100000,INDEX($AD$1005:$AU$1005,1,MATCH(COLUMNS($AD$1006:AK1006),$AD$1006:$AU$1006,0))&gt;=100000), " ",IF(INDEX($AD$2:$AU$1001,MATCH(ROWS($W$2:W787),$W$2:$W$1001,0),MATCH(COLUMNS($AD$1006:AK1006),$AD$1006:$AU$1006,0)), HYPERLINK("#",""), HYPERLINK(CONCATENATE("#metadata!", ADDRESS(INDEX($Y$2:$Y$1001,MATCH(ROWS($W$2:W787),$W$2:$W$1001,0),0), INDEX($AD$1004:$AU$1004,1,MATCH(COLUMNS($AD$1006:AK1006),$AD$1006:$AU$1006,0)))),"Fix")))</f>
        <v xml:space="preserve"> </v>
      </c>
      <c r="J787" s="4" t="str">
        <f ca="1">IF(OR(INDEX($X$2:$X$1001,MATCH(ROWS($W$2:W787),$W$2:$W$1001,0),1)&gt;=100000,INDEX($AD$1005:$AU$1005,1,MATCH(COLUMNS($AD$1006:AL1006),$AD$1006:$AU$1006,0))&gt;=100000), " ",IF(INDEX($AD$2:$AU$1001,MATCH(ROWS($W$2:W787),$W$2:$W$1001,0),MATCH(COLUMNS($AD$1006:AL1006),$AD$1006:$AU$1006,0)), HYPERLINK("#",""), HYPERLINK(CONCATENATE("#metadata!", ADDRESS(INDEX($Y$2:$Y$1001,MATCH(ROWS($W$2:W787),$W$2:$W$1001,0),0), INDEX($AD$1004:$AU$1004,1,MATCH(COLUMNS($AD$1006:AL1006),$AD$1006:$AU$1006,0)))),"Fix")))</f>
        <v xml:space="preserve"> </v>
      </c>
      <c r="K787" s="4" t="str">
        <f ca="1">IF(OR(INDEX($X$2:$X$1001,MATCH(ROWS($W$2:W787),$W$2:$W$1001,0),1)&gt;=100000,INDEX($AD$1005:$AU$1005,1,MATCH(COLUMNS($AD$1006:AM1006),$AD$1006:$AU$1006,0))&gt;=100000), " ",IF(INDEX($AD$2:$AU$1001,MATCH(ROWS($W$2:W787),$W$2:$W$1001,0),MATCH(COLUMNS($AD$1006:AM1006),$AD$1006:$AU$1006,0)), HYPERLINK("#",""), HYPERLINK(CONCATENATE("#metadata!", ADDRESS(INDEX($Y$2:$Y$1001,MATCH(ROWS($W$2:W787),$W$2:$W$1001,0),0), INDEX($AD$1004:$AU$1004,1,MATCH(COLUMNS($AD$1006:AM1006),$AD$1006:$AU$1006,0)))),"Fix")))</f>
        <v xml:space="preserve"> </v>
      </c>
      <c r="L787" s="4" t="str">
        <f ca="1">IF(OR(INDEX($X$2:$X$1001,MATCH(ROWS($W$2:W787),$W$2:$W$1001,0),1)&gt;=100000,INDEX($AD$1005:$AU$1005,1,MATCH(COLUMNS($AD$1006:AN1006),$AD$1006:$AU$1006,0))&gt;=100000), " ",IF(INDEX($AD$2:$AU$1001,MATCH(ROWS($W$2:W787),$W$2:$W$1001,0),MATCH(COLUMNS($AD$1006:AN1006),$AD$1006:$AU$1006,0)), HYPERLINK("#",""), HYPERLINK(CONCATENATE("#metadata!", ADDRESS(INDEX($Y$2:$Y$1001,MATCH(ROWS($W$2:W787),$W$2:$W$1001,0),0), INDEX($AD$1004:$AU$1004,1,MATCH(COLUMNS($AD$1006:AN1006),$AD$1006:$AU$1006,0)))),"Fix")))</f>
        <v xml:space="preserve"> </v>
      </c>
      <c r="M787" s="4" t="str">
        <f ca="1">IF(OR(INDEX($X$2:$X$1001,MATCH(ROWS($W$2:W787),$W$2:$W$1001,0),1)&gt;=100000,INDEX($AD$1005:$AU$1005,1,MATCH(COLUMNS($AD$1006:AO1006),$AD$1006:$AU$1006,0))&gt;=100000), " ",IF(INDEX($AD$2:$AU$1001,MATCH(ROWS($W$2:W787),$W$2:$W$1001,0),MATCH(COLUMNS($AD$1006:AO1006),$AD$1006:$AU$1006,0)), HYPERLINK("#",""), HYPERLINK(CONCATENATE("#metadata!", ADDRESS(INDEX($Y$2:$Y$1001,MATCH(ROWS($W$2:W787),$W$2:$W$1001,0),0), INDEX($AD$1004:$AU$1004,1,MATCH(COLUMNS($AD$1006:AO1006),$AD$1006:$AU$1006,0)))),"Fix")))</f>
        <v xml:space="preserve"> </v>
      </c>
      <c r="N787" s="4" t="str">
        <f ca="1">IF(OR(INDEX($X$2:$X$1001,MATCH(ROWS($W$2:W787),$W$2:$W$1001,0),1)&gt;=100000,INDEX($AD$1005:$AU$1005,1,MATCH(COLUMNS($AD$1006:AP1006),$AD$1006:$AU$1006,0))&gt;=100000), " ",IF(INDEX($AD$2:$AU$1001,MATCH(ROWS($W$2:W787),$W$2:$W$1001,0),MATCH(COLUMNS($AD$1006:AP1006),$AD$1006:$AU$1006,0)), HYPERLINK("#",""), HYPERLINK(CONCATENATE("#metadata!", ADDRESS(INDEX($Y$2:$Y$1001,MATCH(ROWS($W$2:W787),$W$2:$W$1001,0),0), INDEX($AD$1004:$AU$1004,1,MATCH(COLUMNS($AD$1006:AP1006),$AD$1006:$AU$1006,0)))),"Fix")))</f>
        <v xml:space="preserve"> </v>
      </c>
      <c r="O787" s="4" t="str">
        <f ca="1">IF(OR(INDEX($X$2:$X$1001,MATCH(ROWS($W$2:W787),$W$2:$W$1001,0),1)&gt;=100000,INDEX($AD$1005:$AU$1005,1,MATCH(COLUMNS($AD$1006:AQ1006),$AD$1006:$AU$1006,0))&gt;=100000), " ",IF(INDEX($AD$2:$AU$1001,MATCH(ROWS($W$2:W787),$W$2:$W$1001,0),MATCH(COLUMNS($AD$1006:AQ1006),$AD$1006:$AU$1006,0)), HYPERLINK("#",""), HYPERLINK(CONCATENATE("#metadata!", ADDRESS(INDEX($Y$2:$Y$1001,MATCH(ROWS($W$2:W787),$W$2:$W$1001,0),0), INDEX($AD$1004:$AU$1004,1,MATCH(COLUMNS($AD$1006:AQ1006),$AD$1006:$AU$1006,0)))),"Fix")))</f>
        <v xml:space="preserve"> </v>
      </c>
      <c r="P787" s="4" t="str">
        <f ca="1">IF(OR(INDEX($X$2:$X$1001,MATCH(ROWS($W$2:W787),$W$2:$W$1001,0),1)&gt;=100000,INDEX($AD$1005:$AU$1005,1,MATCH(COLUMNS($AD$1006:AR1006),$AD$1006:$AU$1006,0))&gt;=100000), " ",IF(INDEX($AD$2:$AU$1001,MATCH(ROWS($W$2:W787),$W$2:$W$1001,0),MATCH(COLUMNS($AD$1006:AR1006),$AD$1006:$AU$1006,0)), HYPERLINK("#",""), HYPERLINK(CONCATENATE("#metadata!", ADDRESS(INDEX($Y$2:$Y$1001,MATCH(ROWS($W$2:W787),$W$2:$W$1001,0),0), INDEX($AD$1004:$AU$1004,1,MATCH(COLUMNS($AD$1006:AR1006),$AD$1006:$AU$1006,0)))),"Fix")))</f>
        <v xml:space="preserve"> </v>
      </c>
      <c r="Q787" s="4" t="str">
        <f ca="1">IF(OR(INDEX($X$2:$X$1001,MATCH(ROWS($W$2:W787),$W$2:$W$1001,0),1)&gt;=100000,INDEX($AD$1005:$AU$1005,1,MATCH(COLUMNS($AD$1006:AS1006),$AD$1006:$AU$1006,0))&gt;=100000), " ",IF(INDEX($AD$2:$AU$1001,MATCH(ROWS($W$2:W787),$W$2:$W$1001,0),MATCH(COLUMNS($AD$1006:AS1006),$AD$1006:$AU$1006,0)), HYPERLINK("#",""), HYPERLINK(CONCATENATE("#metadata!", ADDRESS(INDEX($Y$2:$Y$1001,MATCH(ROWS($W$2:W787),$W$2:$W$1001,0),0), INDEX($AD$1004:$AU$1004,1,MATCH(COLUMNS($AD$1006:AS1006),$AD$1006:$AU$1006,0)))),"Fix")))</f>
        <v xml:space="preserve"> </v>
      </c>
      <c r="R787" s="4" t="str">
        <f ca="1">IF(OR(INDEX($X$2:$X$1001,MATCH(ROWS($W$2:W787),$W$2:$W$1001,0),1)&gt;=100000,INDEX($AD$1005:$AU$1005,1,MATCH(COLUMNS($AD$1006:AT1006),$AD$1006:$AU$1006,0))&gt;=100000), " ",IF(INDEX($AD$2:$AU$1001,MATCH(ROWS($W$2:W787),$W$2:$W$1001,0),MATCH(COLUMNS($AD$1006:AT1006),$AD$1006:$AU$1006,0)), HYPERLINK("#",""), HYPERLINK(CONCATENATE("#metadata!", ADDRESS(INDEX($Y$2:$Y$1001,MATCH(ROWS($W$2:W787),$W$2:$W$1001,0),0), INDEX($AD$1004:$AU$1004,1,MATCH(COLUMNS($AD$1006:AT1006),$AD$1006:$AU$1006,0)))),"Fix")))</f>
        <v xml:space="preserve"> </v>
      </c>
      <c r="S787" s="4" t="str">
        <f ca="1">IF(OR(INDEX($X$2:$X$1001,MATCH(ROWS($W$2:W787),$W$2:$W$1001,0),1)&gt;=100000,INDEX($AD$1005:$AU$1005,1,MATCH(COLUMNS($AD$1006:AU1006),$AD$1006:$AU$1006,0))&gt;=100000), " ",IF(INDEX($AD$2:$AU$1001,MATCH(ROWS($W$2:W787),$W$2:$W$1001,0),MATCH(COLUMNS($AD$1006:AU1006),$AD$1006:$AU$1006,0)), HYPERLINK("#",""), HYPERLINK(CONCATENATE("#metadata!", ADDRESS(INDEX($Y$2:$Y$1001,MATCH(ROWS($W$2:W787),$W$2:$W$1001,0),0), INDEX($AD$1004:$AU$1004,1,MATCH(COLUMNS($AD$1006:AU1006),$AD$1006:$AU$1006,0)))),"Fix")))</f>
        <v xml:space="preserve"> </v>
      </c>
      <c r="W787">
        <v>786</v>
      </c>
      <c r="X787">
        <v>100787</v>
      </c>
      <c r="Y787">
        <v>787</v>
      </c>
      <c r="Z787" t="b">
        <f t="shared" si="12"/>
        <v>1</v>
      </c>
      <c r="AA787" t="b">
        <f>COUNTBLANK(metadata!B787:S787)=COLUMNS(metadata!B787:S787)</f>
        <v>1</v>
      </c>
      <c r="AB787" t="str">
        <v/>
      </c>
      <c r="AD787" t="b">
        <f ca="1">AND(IF(metadata!B787="",FALSE,TRUE),COUNTIF(metadata!B:B, metadata!B787) = 1,NOT(ISERROR(SUMPRODUCT(SEARCH(MID(metadata!B787,ROW(INDIRECT("1:"&amp;LEN(metadata!B787))), 1),"0123456789abcdefghijklmnopqrstuvwxyzABCDEFGHIJKLMNOPQRSTUVWXYZ.")))))</f>
        <v>0</v>
      </c>
      <c r="AE787" t="b">
        <f>OR(AND(IF(metadata!C787="",FALSE,TRUE),OR(EXACT(metadata!C787,"not applicable"),EXACT(metadata!C787,"missing: not collected"),EXACT(metadata!C787,"missing: not provided"),EXACT(metadata!C787,"missing: restricted access"))),AND(IF(metadata!C787="",FALSE,ISNUMBER(VALUE(metadata!C787))),metadata!C787&gt;0))</f>
        <v>0</v>
      </c>
      <c r="AF787" t="b">
        <f>AND(IF(metadata!D787="",FALSE,TRUE),EXACT(metadata!D787,"missing: not provided"))</f>
        <v>0</v>
      </c>
      <c r="AG787" t="b">
        <f>AND(IF(metadata!E787="",FALSE,TRUE),EXACT(metadata!E787,"Host-associated"))</f>
        <v>0</v>
      </c>
      <c r="AH787" t="b">
        <f>AND(IF(metadata!F787="",FALSE,TRUE),OR(EXACT(metadata!F787,"Animal"),EXACT(metadata!F787,"Fungus"),EXACT(metadata!F787,"Plant")))</f>
        <v>0</v>
      </c>
      <c r="AI787" t="b">
        <f>AND(IF(metadata!G787="",FALSE,TRUE),OR(EXACT(metadata!G787,"Plant secretion"),EXACT(metadata!G787,"Plant rhizosphere"),EXACT(metadata!G787,"Plant surface"),EXACT(metadata!G787,"Plant corpus"),EXACT(metadata!G787,"Fungus surface"),EXACT(metadata!G787,"Fungus corpus"),EXACT(metadata!G787,"Animal surface"),EXACT(metadata!G787,"Animal proximal gut"),EXACT(metadata!G787,"Animal corpus"),EXACT(metadata!G787,"Animal distal gut"),EXACT(metadata!G787,"Animal secretion")))</f>
        <v>0</v>
      </c>
      <c r="AJ787" t="b">
        <f>OR(AND(IF(metadata!H787="",FALSE,TRUE),OR(EXACT(metadata!H787,"missing: not collected"),EXACT(metadata!H787,"missing: not provided"),EXACT(metadata!H787,"missing: restricted access"))),AND(IF(metadata!H787="",FALSE,TRUE),OR(EXACT(metadata!H787,"organism-associated habitat"),EXACT(metadata!H787,"plant-associated habitat"),EXACT(metadata!H787,"animal-associated habitat"),EXACT(metadata!H787,"insecta-associated habitat"),EXACT(metadata!H787,"mammalia-associated habitat"),EXACT(metadata!H787,"human-associated habitat"),EXACT(metadata!H787,"livestock-associated habitat"))))</f>
        <v>0</v>
      </c>
      <c r="AK787" t="b">
        <f>AND(IF(metadata!I787="",FALSE,TRUE),EXACT(metadata!I787,"host-associated"))</f>
        <v>0</v>
      </c>
      <c r="AL787" t="b">
        <f>OR(AND(IF(metadata!J787="",FALSE,TRUE),OR(EXACT(metadata!J787,"not applicable"),EXACT(metadata!J787,"missing: not collected"),EXACT(metadata!J787,"missing: not provided"),EXACT(metadata!J787,"missing: restricted access"))),AND(IF(metadata!J787="",FALSE,ISNUMBER(VALUE(metadata!J787))),metadata!J787&gt;0))</f>
        <v>0</v>
      </c>
      <c r="AM787" t="b">
        <f>AND(IF(metadata!K787="",FALSE,TRUE),EXACT(metadata!K787,"missing: not provided"))</f>
        <v>0</v>
      </c>
      <c r="AN787" t="b">
        <f>IF(metadata!L787="",FALSE,TRUE)</f>
        <v>0</v>
      </c>
      <c r="AO787" t="b">
        <f>IF(metadata!M787="",FALSE,TRUE)</f>
        <v>0</v>
      </c>
      <c r="AP787" t="b">
        <f>OR(AND(IF(metadata!N787="",FALSE,TRUE),OR(EXACT(metadata!N787,"not applicable"),EXACT(metadata!N787,"missing: not collected"),EXACT(metadata!N787,"missing: not provided"))),AND(IF(metadata!N787="",FALSE,IF(ISERROR(INT(metadata!N787)),FALSE,INT(metadata!N787)=metadata!N787)),metadata!N787&gt;0))</f>
        <v>0</v>
      </c>
      <c r="AQ787" t="b">
        <f>AND(IF(metadata!O787="",FALSE,TRUE),EXACT(metadata!O787,"Not applicable"))</f>
        <v>0</v>
      </c>
      <c r="AR787" t="b">
        <f>OR(AND(IF(metadata!P787="",FALSE,TRUE),OR(EXACT(metadata!P787,"not applicable"),EXACT(metadata!P787,"missing: not collected"),EXACT(metadata!P787,"missing: not provided"),EXACT(metadata!P787,"missing: restricted access"))),IF(metadata!P787="",FALSE,IF(ISERROR(INT(metadata!P787)),FALSE,INT(metadata!P787)=metadata!P787)))</f>
        <v>0</v>
      </c>
      <c r="AS787" t="b">
        <f>AND(IF(metadata!Q787="",FALSE,TRUE),EXACT(metadata!Q787,"Not applicable"))</f>
        <v>0</v>
      </c>
      <c r="AT787" t="b">
        <f>OR(AND(IF(metadata!R787="",FALSE,TRUE),OR(EXACT(metadata!R787,"not applicable"),EXACT(metadata!R787,"missing: not collected"),EXACT(metadata!R787,"missing: not provided"),EXACT(metadata!R787,"missing: restricted access"))),AND(IF(metadata!R787="",FALSE,ISNUMBER(VALUE(metadata!R787))),metadata!R787&gt;0))</f>
        <v>0</v>
      </c>
      <c r="AU787" t="b">
        <f>AND(IF(metadata!S787="",FALSE,TRUE),EXACT(metadata!S787,"missing: not provided"))</f>
        <v>0</v>
      </c>
    </row>
    <row r="788" spans="1:47" x14ac:dyDescent="0.2">
      <c r="A788" s="5" t="str">
        <f ca="1">IF(B788=" "," ",HYPERLINK(CONCATENATE("#metadata!",ADDRESS(INDEX($Y$2:$Y$1001,MATCH(ROWS($W$2:W788),$W$2:$W$1001,0),0),1)),INDEX($AB$2:$AB$1001,MATCH(ROWS($W$2:W788),$W$2:$W$1001,0),0)))</f>
        <v xml:space="preserve"> </v>
      </c>
      <c r="B788" s="4" t="str">
        <f ca="1">IF(OR(INDEX($X$2:$X$1001,MATCH(ROWS($W$2:W788),$W$2:$W$1001,0),1)&gt;=100000,INDEX($AD$1005:$AU$1005,1,MATCH(COLUMNS($AD$1006:AD1006),$AD$1006:$AU$1006,0))&gt;=100000), " ",IF(INDEX($AD$2:$AU$1001,MATCH(ROWS($W$2:W788),$W$2:$W$1001,0),MATCH(COLUMNS($AD$1006:AD1006),$AD$1006:$AU$1006,0)), HYPERLINK("#",""), HYPERLINK(CONCATENATE("#metadata!", ADDRESS(INDEX($Y$2:$Y$1001,MATCH(ROWS($W$2:W788),$W$2:$W$1001,0),0), INDEX($AD$1004:$AU$1004,1,MATCH(COLUMNS($AD$1006:AD1006),$AD$1006:$AU$1006,0)))),"Fix")))</f>
        <v xml:space="preserve"> </v>
      </c>
      <c r="C788" s="4" t="str">
        <f ca="1">IF(OR(INDEX($X$2:$X$1001,MATCH(ROWS($W$2:W788),$W$2:$W$1001,0),1)&gt;=100000,INDEX($AD$1005:$AU$1005,1,MATCH(COLUMNS($AD$1006:AE1006),$AD$1006:$AU$1006,0))&gt;=100000), " ",IF(INDEX($AD$2:$AU$1001,MATCH(ROWS($W$2:W788),$W$2:$W$1001,0),MATCH(COLUMNS($AD$1006:AE1006),$AD$1006:$AU$1006,0)), HYPERLINK("#",""), HYPERLINK(CONCATENATE("#metadata!", ADDRESS(INDEX($Y$2:$Y$1001,MATCH(ROWS($W$2:W788),$W$2:$W$1001,0),0), INDEX($AD$1004:$AU$1004,1,MATCH(COLUMNS($AD$1006:AE1006),$AD$1006:$AU$1006,0)))),"Fix")))</f>
        <v xml:space="preserve"> </v>
      </c>
      <c r="D788" s="4" t="str">
        <f ca="1">IF(OR(INDEX($X$2:$X$1001,MATCH(ROWS($W$2:W788),$W$2:$W$1001,0),1)&gt;=100000,INDEX($AD$1005:$AU$1005,1,MATCH(COLUMNS($AD$1006:AF1006),$AD$1006:$AU$1006,0))&gt;=100000), " ",IF(INDEX($AD$2:$AU$1001,MATCH(ROWS($W$2:W788),$W$2:$W$1001,0),MATCH(COLUMNS($AD$1006:AF1006),$AD$1006:$AU$1006,0)), HYPERLINK("#",""), HYPERLINK(CONCATENATE("#metadata!", ADDRESS(INDEX($Y$2:$Y$1001,MATCH(ROWS($W$2:W788),$W$2:$W$1001,0),0), INDEX($AD$1004:$AU$1004,1,MATCH(COLUMNS($AD$1006:AF1006),$AD$1006:$AU$1006,0)))),"Fix")))</f>
        <v xml:space="preserve"> </v>
      </c>
      <c r="E788" s="4" t="str">
        <f ca="1">IF(OR(INDEX($X$2:$X$1001,MATCH(ROWS($W$2:W788),$W$2:$W$1001,0),1)&gt;=100000,INDEX($AD$1005:$AU$1005,1,MATCH(COLUMNS($AD$1006:AG1006),$AD$1006:$AU$1006,0))&gt;=100000), " ",IF(INDEX($AD$2:$AU$1001,MATCH(ROWS($W$2:W788),$W$2:$W$1001,0),MATCH(COLUMNS($AD$1006:AG1006),$AD$1006:$AU$1006,0)), HYPERLINK("#",""), HYPERLINK(CONCATENATE("#metadata!", ADDRESS(INDEX($Y$2:$Y$1001,MATCH(ROWS($W$2:W788),$W$2:$W$1001,0),0), INDEX($AD$1004:$AU$1004,1,MATCH(COLUMNS($AD$1006:AG1006),$AD$1006:$AU$1006,0)))),"Fix")))</f>
        <v xml:space="preserve"> </v>
      </c>
      <c r="F788" s="4" t="str">
        <f ca="1">IF(OR(INDEX($X$2:$X$1001,MATCH(ROWS($W$2:W788),$W$2:$W$1001,0),1)&gt;=100000,INDEX($AD$1005:$AU$1005,1,MATCH(COLUMNS($AD$1006:AH1006),$AD$1006:$AU$1006,0))&gt;=100000), " ",IF(INDEX($AD$2:$AU$1001,MATCH(ROWS($W$2:W788),$W$2:$W$1001,0),MATCH(COLUMNS($AD$1006:AH1006),$AD$1006:$AU$1006,0)), HYPERLINK("#",""), HYPERLINK(CONCATENATE("#metadata!", ADDRESS(INDEX($Y$2:$Y$1001,MATCH(ROWS($W$2:W788),$W$2:$W$1001,0),0), INDEX($AD$1004:$AU$1004,1,MATCH(COLUMNS($AD$1006:AH1006),$AD$1006:$AU$1006,0)))),"Fix")))</f>
        <v xml:space="preserve"> </v>
      </c>
      <c r="G788" s="4" t="str">
        <f ca="1">IF(OR(INDEX($X$2:$X$1001,MATCH(ROWS($W$2:W788),$W$2:$W$1001,0),1)&gt;=100000,INDEX($AD$1005:$AU$1005,1,MATCH(COLUMNS($AD$1006:AI1006),$AD$1006:$AU$1006,0))&gt;=100000), " ",IF(INDEX($AD$2:$AU$1001,MATCH(ROWS($W$2:W788),$W$2:$W$1001,0),MATCH(COLUMNS($AD$1006:AI1006),$AD$1006:$AU$1006,0)), HYPERLINK("#",""), HYPERLINK(CONCATENATE("#metadata!", ADDRESS(INDEX($Y$2:$Y$1001,MATCH(ROWS($W$2:W788),$W$2:$W$1001,0),0), INDEX($AD$1004:$AU$1004,1,MATCH(COLUMNS($AD$1006:AI1006),$AD$1006:$AU$1006,0)))),"Fix")))</f>
        <v xml:space="preserve"> </v>
      </c>
      <c r="H788" s="4" t="str">
        <f ca="1">IF(OR(INDEX($X$2:$X$1001,MATCH(ROWS($W$2:W788),$W$2:$W$1001,0),1)&gt;=100000,INDEX($AD$1005:$AU$1005,1,MATCH(COLUMNS($AD$1006:AJ1006),$AD$1006:$AU$1006,0))&gt;=100000), " ",IF(INDEX($AD$2:$AU$1001,MATCH(ROWS($W$2:W788),$W$2:$W$1001,0),MATCH(COLUMNS($AD$1006:AJ1006),$AD$1006:$AU$1006,0)), HYPERLINK("#",""), HYPERLINK(CONCATENATE("#metadata!", ADDRESS(INDEX($Y$2:$Y$1001,MATCH(ROWS($W$2:W788),$W$2:$W$1001,0),0), INDEX($AD$1004:$AU$1004,1,MATCH(COLUMNS($AD$1006:AJ1006),$AD$1006:$AU$1006,0)))),"Fix")))</f>
        <v xml:space="preserve"> </v>
      </c>
      <c r="I788" s="4" t="str">
        <f ca="1">IF(OR(INDEX($X$2:$X$1001,MATCH(ROWS($W$2:W788),$W$2:$W$1001,0),1)&gt;=100000,INDEX($AD$1005:$AU$1005,1,MATCH(COLUMNS($AD$1006:AK1006),$AD$1006:$AU$1006,0))&gt;=100000), " ",IF(INDEX($AD$2:$AU$1001,MATCH(ROWS($W$2:W788),$W$2:$W$1001,0),MATCH(COLUMNS($AD$1006:AK1006),$AD$1006:$AU$1006,0)), HYPERLINK("#",""), HYPERLINK(CONCATENATE("#metadata!", ADDRESS(INDEX($Y$2:$Y$1001,MATCH(ROWS($W$2:W788),$W$2:$W$1001,0),0), INDEX($AD$1004:$AU$1004,1,MATCH(COLUMNS($AD$1006:AK1006),$AD$1006:$AU$1006,0)))),"Fix")))</f>
        <v xml:space="preserve"> </v>
      </c>
      <c r="J788" s="4" t="str">
        <f ca="1">IF(OR(INDEX($X$2:$X$1001,MATCH(ROWS($W$2:W788),$W$2:$W$1001,0),1)&gt;=100000,INDEX($AD$1005:$AU$1005,1,MATCH(COLUMNS($AD$1006:AL1006),$AD$1006:$AU$1006,0))&gt;=100000), " ",IF(INDEX($AD$2:$AU$1001,MATCH(ROWS($W$2:W788),$W$2:$W$1001,0),MATCH(COLUMNS($AD$1006:AL1006),$AD$1006:$AU$1006,0)), HYPERLINK("#",""), HYPERLINK(CONCATENATE("#metadata!", ADDRESS(INDEX($Y$2:$Y$1001,MATCH(ROWS($W$2:W788),$W$2:$W$1001,0),0), INDEX($AD$1004:$AU$1004,1,MATCH(COLUMNS($AD$1006:AL1006),$AD$1006:$AU$1006,0)))),"Fix")))</f>
        <v xml:space="preserve"> </v>
      </c>
      <c r="K788" s="4" t="str">
        <f ca="1">IF(OR(INDEX($X$2:$X$1001,MATCH(ROWS($W$2:W788),$W$2:$W$1001,0),1)&gt;=100000,INDEX($AD$1005:$AU$1005,1,MATCH(COLUMNS($AD$1006:AM1006),$AD$1006:$AU$1006,0))&gt;=100000), " ",IF(INDEX($AD$2:$AU$1001,MATCH(ROWS($W$2:W788),$W$2:$W$1001,0),MATCH(COLUMNS($AD$1006:AM1006),$AD$1006:$AU$1006,0)), HYPERLINK("#",""), HYPERLINK(CONCATENATE("#metadata!", ADDRESS(INDEX($Y$2:$Y$1001,MATCH(ROWS($W$2:W788),$W$2:$W$1001,0),0), INDEX($AD$1004:$AU$1004,1,MATCH(COLUMNS($AD$1006:AM1006),$AD$1006:$AU$1006,0)))),"Fix")))</f>
        <v xml:space="preserve"> </v>
      </c>
      <c r="L788" s="4" t="str">
        <f ca="1">IF(OR(INDEX($X$2:$X$1001,MATCH(ROWS($W$2:W788),$W$2:$W$1001,0),1)&gt;=100000,INDEX($AD$1005:$AU$1005,1,MATCH(COLUMNS($AD$1006:AN1006),$AD$1006:$AU$1006,0))&gt;=100000), " ",IF(INDEX($AD$2:$AU$1001,MATCH(ROWS($W$2:W788),$W$2:$W$1001,0),MATCH(COLUMNS($AD$1006:AN1006),$AD$1006:$AU$1006,0)), HYPERLINK("#",""), HYPERLINK(CONCATENATE("#metadata!", ADDRESS(INDEX($Y$2:$Y$1001,MATCH(ROWS($W$2:W788),$W$2:$W$1001,0),0), INDEX($AD$1004:$AU$1004,1,MATCH(COLUMNS($AD$1006:AN1006),$AD$1006:$AU$1006,0)))),"Fix")))</f>
        <v xml:space="preserve"> </v>
      </c>
      <c r="M788" s="4" t="str">
        <f ca="1">IF(OR(INDEX($X$2:$X$1001,MATCH(ROWS($W$2:W788),$W$2:$W$1001,0),1)&gt;=100000,INDEX($AD$1005:$AU$1005,1,MATCH(COLUMNS($AD$1006:AO1006),$AD$1006:$AU$1006,0))&gt;=100000), " ",IF(INDEX($AD$2:$AU$1001,MATCH(ROWS($W$2:W788),$W$2:$W$1001,0),MATCH(COLUMNS($AD$1006:AO1006),$AD$1006:$AU$1006,0)), HYPERLINK("#",""), HYPERLINK(CONCATENATE("#metadata!", ADDRESS(INDEX($Y$2:$Y$1001,MATCH(ROWS($W$2:W788),$W$2:$W$1001,0),0), INDEX($AD$1004:$AU$1004,1,MATCH(COLUMNS($AD$1006:AO1006),$AD$1006:$AU$1006,0)))),"Fix")))</f>
        <v xml:space="preserve"> </v>
      </c>
      <c r="N788" s="4" t="str">
        <f ca="1">IF(OR(INDEX($X$2:$X$1001,MATCH(ROWS($W$2:W788),$W$2:$W$1001,0),1)&gt;=100000,INDEX($AD$1005:$AU$1005,1,MATCH(COLUMNS($AD$1006:AP1006),$AD$1006:$AU$1006,0))&gt;=100000), " ",IF(INDEX($AD$2:$AU$1001,MATCH(ROWS($W$2:W788),$W$2:$W$1001,0),MATCH(COLUMNS($AD$1006:AP1006),$AD$1006:$AU$1006,0)), HYPERLINK("#",""), HYPERLINK(CONCATENATE("#metadata!", ADDRESS(INDEX($Y$2:$Y$1001,MATCH(ROWS($W$2:W788),$W$2:$W$1001,0),0), INDEX($AD$1004:$AU$1004,1,MATCH(COLUMNS($AD$1006:AP1006),$AD$1006:$AU$1006,0)))),"Fix")))</f>
        <v xml:space="preserve"> </v>
      </c>
      <c r="O788" s="4" t="str">
        <f ca="1">IF(OR(INDEX($X$2:$X$1001,MATCH(ROWS($W$2:W788),$W$2:$W$1001,0),1)&gt;=100000,INDEX($AD$1005:$AU$1005,1,MATCH(COLUMNS($AD$1006:AQ1006),$AD$1006:$AU$1006,0))&gt;=100000), " ",IF(INDEX($AD$2:$AU$1001,MATCH(ROWS($W$2:W788),$W$2:$W$1001,0),MATCH(COLUMNS($AD$1006:AQ1006),$AD$1006:$AU$1006,0)), HYPERLINK("#",""), HYPERLINK(CONCATENATE("#metadata!", ADDRESS(INDEX($Y$2:$Y$1001,MATCH(ROWS($W$2:W788),$W$2:$W$1001,0),0), INDEX($AD$1004:$AU$1004,1,MATCH(COLUMNS($AD$1006:AQ1006),$AD$1006:$AU$1006,0)))),"Fix")))</f>
        <v xml:space="preserve"> </v>
      </c>
      <c r="P788" s="4" t="str">
        <f ca="1">IF(OR(INDEX($X$2:$X$1001,MATCH(ROWS($W$2:W788),$W$2:$W$1001,0),1)&gt;=100000,INDEX($AD$1005:$AU$1005,1,MATCH(COLUMNS($AD$1006:AR1006),$AD$1006:$AU$1006,0))&gt;=100000), " ",IF(INDEX($AD$2:$AU$1001,MATCH(ROWS($W$2:W788),$W$2:$W$1001,0),MATCH(COLUMNS($AD$1006:AR1006),$AD$1006:$AU$1006,0)), HYPERLINK("#",""), HYPERLINK(CONCATENATE("#metadata!", ADDRESS(INDEX($Y$2:$Y$1001,MATCH(ROWS($W$2:W788),$W$2:$W$1001,0),0), INDEX($AD$1004:$AU$1004,1,MATCH(COLUMNS($AD$1006:AR1006),$AD$1006:$AU$1006,0)))),"Fix")))</f>
        <v xml:space="preserve"> </v>
      </c>
      <c r="Q788" s="4" t="str">
        <f ca="1">IF(OR(INDEX($X$2:$X$1001,MATCH(ROWS($W$2:W788),$W$2:$W$1001,0),1)&gt;=100000,INDEX($AD$1005:$AU$1005,1,MATCH(COLUMNS($AD$1006:AS1006),$AD$1006:$AU$1006,0))&gt;=100000), " ",IF(INDEX($AD$2:$AU$1001,MATCH(ROWS($W$2:W788),$W$2:$W$1001,0),MATCH(COLUMNS($AD$1006:AS1006),$AD$1006:$AU$1006,0)), HYPERLINK("#",""), HYPERLINK(CONCATENATE("#metadata!", ADDRESS(INDEX($Y$2:$Y$1001,MATCH(ROWS($W$2:W788),$W$2:$W$1001,0),0), INDEX($AD$1004:$AU$1004,1,MATCH(COLUMNS($AD$1006:AS1006),$AD$1006:$AU$1006,0)))),"Fix")))</f>
        <v xml:space="preserve"> </v>
      </c>
      <c r="R788" s="4" t="str">
        <f ca="1">IF(OR(INDEX($X$2:$X$1001,MATCH(ROWS($W$2:W788),$W$2:$W$1001,0),1)&gt;=100000,INDEX($AD$1005:$AU$1005,1,MATCH(COLUMNS($AD$1006:AT1006),$AD$1006:$AU$1006,0))&gt;=100000), " ",IF(INDEX($AD$2:$AU$1001,MATCH(ROWS($W$2:W788),$W$2:$W$1001,0),MATCH(COLUMNS($AD$1006:AT1006),$AD$1006:$AU$1006,0)), HYPERLINK("#",""), HYPERLINK(CONCATENATE("#metadata!", ADDRESS(INDEX($Y$2:$Y$1001,MATCH(ROWS($W$2:W788),$W$2:$W$1001,0),0), INDEX($AD$1004:$AU$1004,1,MATCH(COLUMNS($AD$1006:AT1006),$AD$1006:$AU$1006,0)))),"Fix")))</f>
        <v xml:space="preserve"> </v>
      </c>
      <c r="S788" s="4" t="str">
        <f ca="1">IF(OR(INDEX($X$2:$X$1001,MATCH(ROWS($W$2:W788),$W$2:$W$1001,0),1)&gt;=100000,INDEX($AD$1005:$AU$1005,1,MATCH(COLUMNS($AD$1006:AU1006),$AD$1006:$AU$1006,0))&gt;=100000), " ",IF(INDEX($AD$2:$AU$1001,MATCH(ROWS($W$2:W788),$W$2:$W$1001,0),MATCH(COLUMNS($AD$1006:AU1006),$AD$1006:$AU$1006,0)), HYPERLINK("#",""), HYPERLINK(CONCATENATE("#metadata!", ADDRESS(INDEX($Y$2:$Y$1001,MATCH(ROWS($W$2:W788),$W$2:$W$1001,0),0), INDEX($AD$1004:$AU$1004,1,MATCH(COLUMNS($AD$1006:AU1006),$AD$1006:$AU$1006,0)))),"Fix")))</f>
        <v xml:space="preserve"> </v>
      </c>
      <c r="W788">
        <v>787</v>
      </c>
      <c r="X788">
        <v>100788</v>
      </c>
      <c r="Y788">
        <v>788</v>
      </c>
      <c r="Z788" t="b">
        <f t="shared" si="12"/>
        <v>1</v>
      </c>
      <c r="AA788" t="b">
        <f>COUNTBLANK(metadata!B788:S788)=COLUMNS(metadata!B788:S788)</f>
        <v>1</v>
      </c>
      <c r="AB788" t="str">
        <v/>
      </c>
      <c r="AD788" t="b">
        <f ca="1">AND(IF(metadata!B788="",FALSE,TRUE),COUNTIF(metadata!B:B, metadata!B788) = 1,NOT(ISERROR(SUMPRODUCT(SEARCH(MID(metadata!B788,ROW(INDIRECT("1:"&amp;LEN(metadata!B788))), 1),"0123456789abcdefghijklmnopqrstuvwxyzABCDEFGHIJKLMNOPQRSTUVWXYZ.")))))</f>
        <v>0</v>
      </c>
      <c r="AE788" t="b">
        <f>OR(AND(IF(metadata!C788="",FALSE,TRUE),OR(EXACT(metadata!C788,"not applicable"),EXACT(metadata!C788,"missing: not collected"),EXACT(metadata!C788,"missing: not provided"),EXACT(metadata!C788,"missing: restricted access"))),AND(IF(metadata!C788="",FALSE,ISNUMBER(VALUE(metadata!C788))),metadata!C788&gt;0))</f>
        <v>0</v>
      </c>
      <c r="AF788" t="b">
        <f>AND(IF(metadata!D788="",FALSE,TRUE),EXACT(metadata!D788,"missing: not provided"))</f>
        <v>0</v>
      </c>
      <c r="AG788" t="b">
        <f>AND(IF(metadata!E788="",FALSE,TRUE),EXACT(metadata!E788,"Host-associated"))</f>
        <v>0</v>
      </c>
      <c r="AH788" t="b">
        <f>AND(IF(metadata!F788="",FALSE,TRUE),OR(EXACT(metadata!F788,"Animal"),EXACT(metadata!F788,"Fungus"),EXACT(metadata!F788,"Plant")))</f>
        <v>0</v>
      </c>
      <c r="AI788" t="b">
        <f>AND(IF(metadata!G788="",FALSE,TRUE),OR(EXACT(metadata!G788,"Plant secretion"),EXACT(metadata!G788,"Plant rhizosphere"),EXACT(metadata!G788,"Plant surface"),EXACT(metadata!G788,"Plant corpus"),EXACT(metadata!G788,"Fungus surface"),EXACT(metadata!G788,"Fungus corpus"),EXACT(metadata!G788,"Animal surface"),EXACT(metadata!G788,"Animal proximal gut"),EXACT(metadata!G788,"Animal corpus"),EXACT(metadata!G788,"Animal distal gut"),EXACT(metadata!G788,"Animal secretion")))</f>
        <v>0</v>
      </c>
      <c r="AJ788" t="b">
        <f>OR(AND(IF(metadata!H788="",FALSE,TRUE),OR(EXACT(metadata!H788,"missing: not collected"),EXACT(metadata!H788,"missing: not provided"),EXACT(metadata!H788,"missing: restricted access"))),AND(IF(metadata!H788="",FALSE,TRUE),OR(EXACT(metadata!H788,"organism-associated habitat"),EXACT(metadata!H788,"plant-associated habitat"),EXACT(metadata!H788,"animal-associated habitat"),EXACT(metadata!H788,"insecta-associated habitat"),EXACT(metadata!H788,"mammalia-associated habitat"),EXACT(metadata!H788,"human-associated habitat"),EXACT(metadata!H788,"livestock-associated habitat"))))</f>
        <v>0</v>
      </c>
      <c r="AK788" t="b">
        <f>AND(IF(metadata!I788="",FALSE,TRUE),EXACT(metadata!I788,"host-associated"))</f>
        <v>0</v>
      </c>
      <c r="AL788" t="b">
        <f>OR(AND(IF(metadata!J788="",FALSE,TRUE),OR(EXACT(metadata!J788,"not applicable"),EXACT(metadata!J788,"missing: not collected"),EXACT(metadata!J788,"missing: not provided"),EXACT(metadata!J788,"missing: restricted access"))),AND(IF(metadata!J788="",FALSE,ISNUMBER(VALUE(metadata!J788))),metadata!J788&gt;0))</f>
        <v>0</v>
      </c>
      <c r="AM788" t="b">
        <f>AND(IF(metadata!K788="",FALSE,TRUE),EXACT(metadata!K788,"missing: not provided"))</f>
        <v>0</v>
      </c>
      <c r="AN788" t="b">
        <f>IF(metadata!L788="",FALSE,TRUE)</f>
        <v>0</v>
      </c>
      <c r="AO788" t="b">
        <f>IF(metadata!M788="",FALSE,TRUE)</f>
        <v>0</v>
      </c>
      <c r="AP788" t="b">
        <f>OR(AND(IF(metadata!N788="",FALSE,TRUE),OR(EXACT(metadata!N788,"not applicable"),EXACT(metadata!N788,"missing: not collected"),EXACT(metadata!N788,"missing: not provided"))),AND(IF(metadata!N788="",FALSE,IF(ISERROR(INT(metadata!N788)),FALSE,INT(metadata!N788)=metadata!N788)),metadata!N788&gt;0))</f>
        <v>0</v>
      </c>
      <c r="AQ788" t="b">
        <f>AND(IF(metadata!O788="",FALSE,TRUE),EXACT(metadata!O788,"Not applicable"))</f>
        <v>0</v>
      </c>
      <c r="AR788" t="b">
        <f>OR(AND(IF(metadata!P788="",FALSE,TRUE),OR(EXACT(metadata!P788,"not applicable"),EXACT(metadata!P788,"missing: not collected"),EXACT(metadata!P788,"missing: not provided"),EXACT(metadata!P788,"missing: restricted access"))),IF(metadata!P788="",FALSE,IF(ISERROR(INT(metadata!P788)),FALSE,INT(metadata!P788)=metadata!P788)))</f>
        <v>0</v>
      </c>
      <c r="AS788" t="b">
        <f>AND(IF(metadata!Q788="",FALSE,TRUE),EXACT(metadata!Q788,"Not applicable"))</f>
        <v>0</v>
      </c>
      <c r="AT788" t="b">
        <f>OR(AND(IF(metadata!R788="",FALSE,TRUE),OR(EXACT(metadata!R788,"not applicable"),EXACT(metadata!R788,"missing: not collected"),EXACT(metadata!R788,"missing: not provided"),EXACT(metadata!R788,"missing: restricted access"))),AND(IF(metadata!R788="",FALSE,ISNUMBER(VALUE(metadata!R788))),metadata!R788&gt;0))</f>
        <v>0</v>
      </c>
      <c r="AU788" t="b">
        <f>AND(IF(metadata!S788="",FALSE,TRUE),EXACT(metadata!S788,"missing: not provided"))</f>
        <v>0</v>
      </c>
    </row>
    <row r="789" spans="1:47" x14ac:dyDescent="0.2">
      <c r="A789" s="5" t="str">
        <f ca="1">IF(B789=" "," ",HYPERLINK(CONCATENATE("#metadata!",ADDRESS(INDEX($Y$2:$Y$1001,MATCH(ROWS($W$2:W789),$W$2:$W$1001,0),0),1)),INDEX($AB$2:$AB$1001,MATCH(ROWS($W$2:W789),$W$2:$W$1001,0),0)))</f>
        <v xml:space="preserve"> </v>
      </c>
      <c r="B789" s="4" t="str">
        <f ca="1">IF(OR(INDEX($X$2:$X$1001,MATCH(ROWS($W$2:W789),$W$2:$W$1001,0),1)&gt;=100000,INDEX($AD$1005:$AU$1005,1,MATCH(COLUMNS($AD$1006:AD1006),$AD$1006:$AU$1006,0))&gt;=100000), " ",IF(INDEX($AD$2:$AU$1001,MATCH(ROWS($W$2:W789),$W$2:$W$1001,0),MATCH(COLUMNS($AD$1006:AD1006),$AD$1006:$AU$1006,0)), HYPERLINK("#",""), HYPERLINK(CONCATENATE("#metadata!", ADDRESS(INDEX($Y$2:$Y$1001,MATCH(ROWS($W$2:W789),$W$2:$W$1001,0),0), INDEX($AD$1004:$AU$1004,1,MATCH(COLUMNS($AD$1006:AD1006),$AD$1006:$AU$1006,0)))),"Fix")))</f>
        <v xml:space="preserve"> </v>
      </c>
      <c r="C789" s="4" t="str">
        <f ca="1">IF(OR(INDEX($X$2:$X$1001,MATCH(ROWS($W$2:W789),$W$2:$W$1001,0),1)&gt;=100000,INDEX($AD$1005:$AU$1005,1,MATCH(COLUMNS($AD$1006:AE1006),$AD$1006:$AU$1006,0))&gt;=100000), " ",IF(INDEX($AD$2:$AU$1001,MATCH(ROWS($W$2:W789),$W$2:$W$1001,0),MATCH(COLUMNS($AD$1006:AE1006),$AD$1006:$AU$1006,0)), HYPERLINK("#",""), HYPERLINK(CONCATENATE("#metadata!", ADDRESS(INDEX($Y$2:$Y$1001,MATCH(ROWS($W$2:W789),$W$2:$W$1001,0),0), INDEX($AD$1004:$AU$1004,1,MATCH(COLUMNS($AD$1006:AE1006),$AD$1006:$AU$1006,0)))),"Fix")))</f>
        <v xml:space="preserve"> </v>
      </c>
      <c r="D789" s="4" t="str">
        <f ca="1">IF(OR(INDEX($X$2:$X$1001,MATCH(ROWS($W$2:W789),$W$2:$W$1001,0),1)&gt;=100000,INDEX($AD$1005:$AU$1005,1,MATCH(COLUMNS($AD$1006:AF1006),$AD$1006:$AU$1006,0))&gt;=100000), " ",IF(INDEX($AD$2:$AU$1001,MATCH(ROWS($W$2:W789),$W$2:$W$1001,0),MATCH(COLUMNS($AD$1006:AF1006),$AD$1006:$AU$1006,0)), HYPERLINK("#",""), HYPERLINK(CONCATENATE("#metadata!", ADDRESS(INDEX($Y$2:$Y$1001,MATCH(ROWS($W$2:W789),$W$2:$W$1001,0),0), INDEX($AD$1004:$AU$1004,1,MATCH(COLUMNS($AD$1006:AF1006),$AD$1006:$AU$1006,0)))),"Fix")))</f>
        <v xml:space="preserve"> </v>
      </c>
      <c r="E789" s="4" t="str">
        <f ca="1">IF(OR(INDEX($X$2:$X$1001,MATCH(ROWS($W$2:W789),$W$2:$W$1001,0),1)&gt;=100000,INDEX($AD$1005:$AU$1005,1,MATCH(COLUMNS($AD$1006:AG1006),$AD$1006:$AU$1006,0))&gt;=100000), " ",IF(INDEX($AD$2:$AU$1001,MATCH(ROWS($W$2:W789),$W$2:$W$1001,0),MATCH(COLUMNS($AD$1006:AG1006),$AD$1006:$AU$1006,0)), HYPERLINK("#",""), HYPERLINK(CONCATENATE("#metadata!", ADDRESS(INDEX($Y$2:$Y$1001,MATCH(ROWS($W$2:W789),$W$2:$W$1001,0),0), INDEX($AD$1004:$AU$1004,1,MATCH(COLUMNS($AD$1006:AG1006),$AD$1006:$AU$1006,0)))),"Fix")))</f>
        <v xml:space="preserve"> </v>
      </c>
      <c r="F789" s="4" t="str">
        <f ca="1">IF(OR(INDEX($X$2:$X$1001,MATCH(ROWS($W$2:W789),$W$2:$W$1001,0),1)&gt;=100000,INDEX($AD$1005:$AU$1005,1,MATCH(COLUMNS($AD$1006:AH1006),$AD$1006:$AU$1006,0))&gt;=100000), " ",IF(INDEX($AD$2:$AU$1001,MATCH(ROWS($W$2:W789),$W$2:$W$1001,0),MATCH(COLUMNS($AD$1006:AH1006),$AD$1006:$AU$1006,0)), HYPERLINK("#",""), HYPERLINK(CONCATENATE("#metadata!", ADDRESS(INDEX($Y$2:$Y$1001,MATCH(ROWS($W$2:W789),$W$2:$W$1001,0),0), INDEX($AD$1004:$AU$1004,1,MATCH(COLUMNS($AD$1006:AH1006),$AD$1006:$AU$1006,0)))),"Fix")))</f>
        <v xml:space="preserve"> </v>
      </c>
      <c r="G789" s="4" t="str">
        <f ca="1">IF(OR(INDEX($X$2:$X$1001,MATCH(ROWS($W$2:W789),$W$2:$W$1001,0),1)&gt;=100000,INDEX($AD$1005:$AU$1005,1,MATCH(COLUMNS($AD$1006:AI1006),$AD$1006:$AU$1006,0))&gt;=100000), " ",IF(INDEX($AD$2:$AU$1001,MATCH(ROWS($W$2:W789),$W$2:$W$1001,0),MATCH(COLUMNS($AD$1006:AI1006),$AD$1006:$AU$1006,0)), HYPERLINK("#",""), HYPERLINK(CONCATENATE("#metadata!", ADDRESS(INDEX($Y$2:$Y$1001,MATCH(ROWS($W$2:W789),$W$2:$W$1001,0),0), INDEX($AD$1004:$AU$1004,1,MATCH(COLUMNS($AD$1006:AI1006),$AD$1006:$AU$1006,0)))),"Fix")))</f>
        <v xml:space="preserve"> </v>
      </c>
      <c r="H789" s="4" t="str">
        <f ca="1">IF(OR(INDEX($X$2:$X$1001,MATCH(ROWS($W$2:W789),$W$2:$W$1001,0),1)&gt;=100000,INDEX($AD$1005:$AU$1005,1,MATCH(COLUMNS($AD$1006:AJ1006),$AD$1006:$AU$1006,0))&gt;=100000), " ",IF(INDEX($AD$2:$AU$1001,MATCH(ROWS($W$2:W789),$W$2:$W$1001,0),MATCH(COLUMNS($AD$1006:AJ1006),$AD$1006:$AU$1006,0)), HYPERLINK("#",""), HYPERLINK(CONCATENATE("#metadata!", ADDRESS(INDEX($Y$2:$Y$1001,MATCH(ROWS($W$2:W789),$W$2:$W$1001,0),0), INDEX($AD$1004:$AU$1004,1,MATCH(COLUMNS($AD$1006:AJ1006),$AD$1006:$AU$1006,0)))),"Fix")))</f>
        <v xml:space="preserve"> </v>
      </c>
      <c r="I789" s="4" t="str">
        <f ca="1">IF(OR(INDEX($X$2:$X$1001,MATCH(ROWS($W$2:W789),$W$2:$W$1001,0),1)&gt;=100000,INDEX($AD$1005:$AU$1005,1,MATCH(COLUMNS($AD$1006:AK1006),$AD$1006:$AU$1006,0))&gt;=100000), " ",IF(INDEX($AD$2:$AU$1001,MATCH(ROWS($W$2:W789),$W$2:$W$1001,0),MATCH(COLUMNS($AD$1006:AK1006),$AD$1006:$AU$1006,0)), HYPERLINK("#",""), HYPERLINK(CONCATENATE("#metadata!", ADDRESS(INDEX($Y$2:$Y$1001,MATCH(ROWS($W$2:W789),$W$2:$W$1001,0),0), INDEX($AD$1004:$AU$1004,1,MATCH(COLUMNS($AD$1006:AK1006),$AD$1006:$AU$1006,0)))),"Fix")))</f>
        <v xml:space="preserve"> </v>
      </c>
      <c r="J789" s="4" t="str">
        <f ca="1">IF(OR(INDEX($X$2:$X$1001,MATCH(ROWS($W$2:W789),$W$2:$W$1001,0),1)&gt;=100000,INDEX($AD$1005:$AU$1005,1,MATCH(COLUMNS($AD$1006:AL1006),$AD$1006:$AU$1006,0))&gt;=100000), " ",IF(INDEX($AD$2:$AU$1001,MATCH(ROWS($W$2:W789),$W$2:$W$1001,0),MATCH(COLUMNS($AD$1006:AL1006),$AD$1006:$AU$1006,0)), HYPERLINK("#",""), HYPERLINK(CONCATENATE("#metadata!", ADDRESS(INDEX($Y$2:$Y$1001,MATCH(ROWS($W$2:W789),$W$2:$W$1001,0),0), INDEX($AD$1004:$AU$1004,1,MATCH(COLUMNS($AD$1006:AL1006),$AD$1006:$AU$1006,0)))),"Fix")))</f>
        <v xml:space="preserve"> </v>
      </c>
      <c r="K789" s="4" t="str">
        <f ca="1">IF(OR(INDEX($X$2:$X$1001,MATCH(ROWS($W$2:W789),$W$2:$W$1001,0),1)&gt;=100000,INDEX($AD$1005:$AU$1005,1,MATCH(COLUMNS($AD$1006:AM1006),$AD$1006:$AU$1006,0))&gt;=100000), " ",IF(INDEX($AD$2:$AU$1001,MATCH(ROWS($W$2:W789),$W$2:$W$1001,0),MATCH(COLUMNS($AD$1006:AM1006),$AD$1006:$AU$1006,0)), HYPERLINK("#",""), HYPERLINK(CONCATENATE("#metadata!", ADDRESS(INDEX($Y$2:$Y$1001,MATCH(ROWS($W$2:W789),$W$2:$W$1001,0),0), INDEX($AD$1004:$AU$1004,1,MATCH(COLUMNS($AD$1006:AM1006),$AD$1006:$AU$1006,0)))),"Fix")))</f>
        <v xml:space="preserve"> </v>
      </c>
      <c r="L789" s="4" t="str">
        <f ca="1">IF(OR(INDEX($X$2:$X$1001,MATCH(ROWS($W$2:W789),$W$2:$W$1001,0),1)&gt;=100000,INDEX($AD$1005:$AU$1005,1,MATCH(COLUMNS($AD$1006:AN1006),$AD$1006:$AU$1006,0))&gt;=100000), " ",IF(INDEX($AD$2:$AU$1001,MATCH(ROWS($W$2:W789),$W$2:$W$1001,0),MATCH(COLUMNS($AD$1006:AN1006),$AD$1006:$AU$1006,0)), HYPERLINK("#",""), HYPERLINK(CONCATENATE("#metadata!", ADDRESS(INDEX($Y$2:$Y$1001,MATCH(ROWS($W$2:W789),$W$2:$W$1001,0),0), INDEX($AD$1004:$AU$1004,1,MATCH(COLUMNS($AD$1006:AN1006),$AD$1006:$AU$1006,0)))),"Fix")))</f>
        <v xml:space="preserve"> </v>
      </c>
      <c r="M789" s="4" t="str">
        <f ca="1">IF(OR(INDEX($X$2:$X$1001,MATCH(ROWS($W$2:W789),$W$2:$W$1001,0),1)&gt;=100000,INDEX($AD$1005:$AU$1005,1,MATCH(COLUMNS($AD$1006:AO1006),$AD$1006:$AU$1006,0))&gt;=100000), " ",IF(INDEX($AD$2:$AU$1001,MATCH(ROWS($W$2:W789),$W$2:$W$1001,0),MATCH(COLUMNS($AD$1006:AO1006),$AD$1006:$AU$1006,0)), HYPERLINK("#",""), HYPERLINK(CONCATENATE("#metadata!", ADDRESS(INDEX($Y$2:$Y$1001,MATCH(ROWS($W$2:W789),$W$2:$W$1001,0),0), INDEX($AD$1004:$AU$1004,1,MATCH(COLUMNS($AD$1006:AO1006),$AD$1006:$AU$1006,0)))),"Fix")))</f>
        <v xml:space="preserve"> </v>
      </c>
      <c r="N789" s="4" t="str">
        <f ca="1">IF(OR(INDEX($X$2:$X$1001,MATCH(ROWS($W$2:W789),$W$2:$W$1001,0),1)&gt;=100000,INDEX($AD$1005:$AU$1005,1,MATCH(COLUMNS($AD$1006:AP1006),$AD$1006:$AU$1006,0))&gt;=100000), " ",IF(INDEX($AD$2:$AU$1001,MATCH(ROWS($W$2:W789),$W$2:$W$1001,0),MATCH(COLUMNS($AD$1006:AP1006),$AD$1006:$AU$1006,0)), HYPERLINK("#",""), HYPERLINK(CONCATENATE("#metadata!", ADDRESS(INDEX($Y$2:$Y$1001,MATCH(ROWS($W$2:W789),$W$2:$W$1001,0),0), INDEX($AD$1004:$AU$1004,1,MATCH(COLUMNS($AD$1006:AP1006),$AD$1006:$AU$1006,0)))),"Fix")))</f>
        <v xml:space="preserve"> </v>
      </c>
      <c r="O789" s="4" t="str">
        <f ca="1">IF(OR(INDEX($X$2:$X$1001,MATCH(ROWS($W$2:W789),$W$2:$W$1001,0),1)&gt;=100000,INDEX($AD$1005:$AU$1005,1,MATCH(COLUMNS($AD$1006:AQ1006),$AD$1006:$AU$1006,0))&gt;=100000), " ",IF(INDEX($AD$2:$AU$1001,MATCH(ROWS($W$2:W789),$W$2:$W$1001,0),MATCH(COLUMNS($AD$1006:AQ1006),$AD$1006:$AU$1006,0)), HYPERLINK("#",""), HYPERLINK(CONCATENATE("#metadata!", ADDRESS(INDEX($Y$2:$Y$1001,MATCH(ROWS($W$2:W789),$W$2:$W$1001,0),0), INDEX($AD$1004:$AU$1004,1,MATCH(COLUMNS($AD$1006:AQ1006),$AD$1006:$AU$1006,0)))),"Fix")))</f>
        <v xml:space="preserve"> </v>
      </c>
      <c r="P789" s="4" t="str">
        <f ca="1">IF(OR(INDEX($X$2:$X$1001,MATCH(ROWS($W$2:W789),$W$2:$W$1001,0),1)&gt;=100000,INDEX($AD$1005:$AU$1005,1,MATCH(COLUMNS($AD$1006:AR1006),$AD$1006:$AU$1006,0))&gt;=100000), " ",IF(INDEX($AD$2:$AU$1001,MATCH(ROWS($W$2:W789),$W$2:$W$1001,0),MATCH(COLUMNS($AD$1006:AR1006),$AD$1006:$AU$1006,0)), HYPERLINK("#",""), HYPERLINK(CONCATENATE("#metadata!", ADDRESS(INDEX($Y$2:$Y$1001,MATCH(ROWS($W$2:W789),$W$2:$W$1001,0),0), INDEX($AD$1004:$AU$1004,1,MATCH(COLUMNS($AD$1006:AR1006),$AD$1006:$AU$1006,0)))),"Fix")))</f>
        <v xml:space="preserve"> </v>
      </c>
      <c r="Q789" s="4" t="str">
        <f ca="1">IF(OR(INDEX($X$2:$X$1001,MATCH(ROWS($W$2:W789),$W$2:$W$1001,0),1)&gt;=100000,INDEX($AD$1005:$AU$1005,1,MATCH(COLUMNS($AD$1006:AS1006),$AD$1006:$AU$1006,0))&gt;=100000), " ",IF(INDEX($AD$2:$AU$1001,MATCH(ROWS($W$2:W789),$W$2:$W$1001,0),MATCH(COLUMNS($AD$1006:AS1006),$AD$1006:$AU$1006,0)), HYPERLINK("#",""), HYPERLINK(CONCATENATE("#metadata!", ADDRESS(INDEX($Y$2:$Y$1001,MATCH(ROWS($W$2:W789),$W$2:$W$1001,0),0), INDEX($AD$1004:$AU$1004,1,MATCH(COLUMNS($AD$1006:AS1006),$AD$1006:$AU$1006,0)))),"Fix")))</f>
        <v xml:space="preserve"> </v>
      </c>
      <c r="R789" s="4" t="str">
        <f ca="1">IF(OR(INDEX($X$2:$X$1001,MATCH(ROWS($W$2:W789),$W$2:$W$1001,0),1)&gt;=100000,INDEX($AD$1005:$AU$1005,1,MATCH(COLUMNS($AD$1006:AT1006),$AD$1006:$AU$1006,0))&gt;=100000), " ",IF(INDEX($AD$2:$AU$1001,MATCH(ROWS($W$2:W789),$W$2:$W$1001,0),MATCH(COLUMNS($AD$1006:AT1006),$AD$1006:$AU$1006,0)), HYPERLINK("#",""), HYPERLINK(CONCATENATE("#metadata!", ADDRESS(INDEX($Y$2:$Y$1001,MATCH(ROWS($W$2:W789),$W$2:$W$1001,0),0), INDEX($AD$1004:$AU$1004,1,MATCH(COLUMNS($AD$1006:AT1006),$AD$1006:$AU$1006,0)))),"Fix")))</f>
        <v xml:space="preserve"> </v>
      </c>
      <c r="S789" s="4" t="str">
        <f ca="1">IF(OR(INDEX($X$2:$X$1001,MATCH(ROWS($W$2:W789),$W$2:$W$1001,0),1)&gt;=100000,INDEX($AD$1005:$AU$1005,1,MATCH(COLUMNS($AD$1006:AU1006),$AD$1006:$AU$1006,0))&gt;=100000), " ",IF(INDEX($AD$2:$AU$1001,MATCH(ROWS($W$2:W789),$W$2:$W$1001,0),MATCH(COLUMNS($AD$1006:AU1006),$AD$1006:$AU$1006,0)), HYPERLINK("#",""), HYPERLINK(CONCATENATE("#metadata!", ADDRESS(INDEX($Y$2:$Y$1001,MATCH(ROWS($W$2:W789),$W$2:$W$1001,0),0), INDEX($AD$1004:$AU$1004,1,MATCH(COLUMNS($AD$1006:AU1006),$AD$1006:$AU$1006,0)))),"Fix")))</f>
        <v xml:space="preserve"> </v>
      </c>
      <c r="W789">
        <v>788</v>
      </c>
      <c r="X789">
        <v>100789</v>
      </c>
      <c r="Y789">
        <v>789</v>
      </c>
      <c r="Z789" t="b">
        <f t="shared" si="12"/>
        <v>1</v>
      </c>
      <c r="AA789" t="b">
        <f>COUNTBLANK(metadata!B789:S789)=COLUMNS(metadata!B789:S789)</f>
        <v>1</v>
      </c>
      <c r="AB789" t="str">
        <v/>
      </c>
      <c r="AD789" t="b">
        <f ca="1">AND(IF(metadata!B789="",FALSE,TRUE),COUNTIF(metadata!B:B, metadata!B789) = 1,NOT(ISERROR(SUMPRODUCT(SEARCH(MID(metadata!B789,ROW(INDIRECT("1:"&amp;LEN(metadata!B789))), 1),"0123456789abcdefghijklmnopqrstuvwxyzABCDEFGHIJKLMNOPQRSTUVWXYZ.")))))</f>
        <v>0</v>
      </c>
      <c r="AE789" t="b">
        <f>OR(AND(IF(metadata!C789="",FALSE,TRUE),OR(EXACT(metadata!C789,"not applicable"),EXACT(metadata!C789,"missing: not collected"),EXACT(metadata!C789,"missing: not provided"),EXACT(metadata!C789,"missing: restricted access"))),AND(IF(metadata!C789="",FALSE,ISNUMBER(VALUE(metadata!C789))),metadata!C789&gt;0))</f>
        <v>0</v>
      </c>
      <c r="AF789" t="b">
        <f>AND(IF(metadata!D789="",FALSE,TRUE),EXACT(metadata!D789,"missing: not provided"))</f>
        <v>0</v>
      </c>
      <c r="AG789" t="b">
        <f>AND(IF(metadata!E789="",FALSE,TRUE),EXACT(metadata!E789,"Host-associated"))</f>
        <v>0</v>
      </c>
      <c r="AH789" t="b">
        <f>AND(IF(metadata!F789="",FALSE,TRUE),OR(EXACT(metadata!F789,"Animal"),EXACT(metadata!F789,"Fungus"),EXACT(metadata!F789,"Plant")))</f>
        <v>0</v>
      </c>
      <c r="AI789" t="b">
        <f>AND(IF(metadata!G789="",FALSE,TRUE),OR(EXACT(metadata!G789,"Plant secretion"),EXACT(metadata!G789,"Plant rhizosphere"),EXACT(metadata!G789,"Plant surface"),EXACT(metadata!G789,"Plant corpus"),EXACT(metadata!G789,"Fungus surface"),EXACT(metadata!G789,"Fungus corpus"),EXACT(metadata!G789,"Animal surface"),EXACT(metadata!G789,"Animal proximal gut"),EXACT(metadata!G789,"Animal corpus"),EXACT(metadata!G789,"Animal distal gut"),EXACT(metadata!G789,"Animal secretion")))</f>
        <v>0</v>
      </c>
      <c r="AJ789" t="b">
        <f>OR(AND(IF(metadata!H789="",FALSE,TRUE),OR(EXACT(metadata!H789,"missing: not collected"),EXACT(metadata!H789,"missing: not provided"),EXACT(metadata!H789,"missing: restricted access"))),AND(IF(metadata!H789="",FALSE,TRUE),OR(EXACT(metadata!H789,"organism-associated habitat"),EXACT(metadata!H789,"plant-associated habitat"),EXACT(metadata!H789,"animal-associated habitat"),EXACT(metadata!H789,"insecta-associated habitat"),EXACT(metadata!H789,"mammalia-associated habitat"),EXACT(metadata!H789,"human-associated habitat"),EXACT(metadata!H789,"livestock-associated habitat"))))</f>
        <v>0</v>
      </c>
      <c r="AK789" t="b">
        <f>AND(IF(metadata!I789="",FALSE,TRUE),EXACT(metadata!I789,"host-associated"))</f>
        <v>0</v>
      </c>
      <c r="AL789" t="b">
        <f>OR(AND(IF(metadata!J789="",FALSE,TRUE),OR(EXACT(metadata!J789,"not applicable"),EXACT(metadata!J789,"missing: not collected"),EXACT(metadata!J789,"missing: not provided"),EXACT(metadata!J789,"missing: restricted access"))),AND(IF(metadata!J789="",FALSE,ISNUMBER(VALUE(metadata!J789))),metadata!J789&gt;0))</f>
        <v>0</v>
      </c>
      <c r="AM789" t="b">
        <f>AND(IF(metadata!K789="",FALSE,TRUE),EXACT(metadata!K789,"missing: not provided"))</f>
        <v>0</v>
      </c>
      <c r="AN789" t="b">
        <f>IF(metadata!L789="",FALSE,TRUE)</f>
        <v>0</v>
      </c>
      <c r="AO789" t="b">
        <f>IF(metadata!M789="",FALSE,TRUE)</f>
        <v>0</v>
      </c>
      <c r="AP789" t="b">
        <f>OR(AND(IF(metadata!N789="",FALSE,TRUE),OR(EXACT(metadata!N789,"not applicable"),EXACT(metadata!N789,"missing: not collected"),EXACT(metadata!N789,"missing: not provided"))),AND(IF(metadata!N789="",FALSE,IF(ISERROR(INT(metadata!N789)),FALSE,INT(metadata!N789)=metadata!N789)),metadata!N789&gt;0))</f>
        <v>0</v>
      </c>
      <c r="AQ789" t="b">
        <f>AND(IF(metadata!O789="",FALSE,TRUE),EXACT(metadata!O789,"Not applicable"))</f>
        <v>0</v>
      </c>
      <c r="AR789" t="b">
        <f>OR(AND(IF(metadata!P789="",FALSE,TRUE),OR(EXACT(metadata!P789,"not applicable"),EXACT(metadata!P789,"missing: not collected"),EXACT(metadata!P789,"missing: not provided"),EXACT(metadata!P789,"missing: restricted access"))),IF(metadata!P789="",FALSE,IF(ISERROR(INT(metadata!P789)),FALSE,INT(metadata!P789)=metadata!P789)))</f>
        <v>0</v>
      </c>
      <c r="AS789" t="b">
        <f>AND(IF(metadata!Q789="",FALSE,TRUE),EXACT(metadata!Q789,"Not applicable"))</f>
        <v>0</v>
      </c>
      <c r="AT789" t="b">
        <f>OR(AND(IF(metadata!R789="",FALSE,TRUE),OR(EXACT(metadata!R789,"not applicable"),EXACT(metadata!R789,"missing: not collected"),EXACT(metadata!R789,"missing: not provided"),EXACT(metadata!R789,"missing: restricted access"))),AND(IF(metadata!R789="",FALSE,ISNUMBER(VALUE(metadata!R789))),metadata!R789&gt;0))</f>
        <v>0</v>
      </c>
      <c r="AU789" t="b">
        <f>AND(IF(metadata!S789="",FALSE,TRUE),EXACT(metadata!S789,"missing: not provided"))</f>
        <v>0</v>
      </c>
    </row>
    <row r="790" spans="1:47" x14ac:dyDescent="0.2">
      <c r="A790" s="5" t="str">
        <f ca="1">IF(B790=" "," ",HYPERLINK(CONCATENATE("#metadata!",ADDRESS(INDEX($Y$2:$Y$1001,MATCH(ROWS($W$2:W790),$W$2:$W$1001,0),0),1)),INDEX($AB$2:$AB$1001,MATCH(ROWS($W$2:W790),$W$2:$W$1001,0),0)))</f>
        <v xml:space="preserve"> </v>
      </c>
      <c r="B790" s="4" t="str">
        <f ca="1">IF(OR(INDEX($X$2:$X$1001,MATCH(ROWS($W$2:W790),$W$2:$W$1001,0),1)&gt;=100000,INDEX($AD$1005:$AU$1005,1,MATCH(COLUMNS($AD$1006:AD1006),$AD$1006:$AU$1006,0))&gt;=100000), " ",IF(INDEX($AD$2:$AU$1001,MATCH(ROWS($W$2:W790),$W$2:$W$1001,0),MATCH(COLUMNS($AD$1006:AD1006),$AD$1006:$AU$1006,0)), HYPERLINK("#",""), HYPERLINK(CONCATENATE("#metadata!", ADDRESS(INDEX($Y$2:$Y$1001,MATCH(ROWS($W$2:W790),$W$2:$W$1001,0),0), INDEX($AD$1004:$AU$1004,1,MATCH(COLUMNS($AD$1006:AD1006),$AD$1006:$AU$1006,0)))),"Fix")))</f>
        <v xml:space="preserve"> </v>
      </c>
      <c r="C790" s="4" t="str">
        <f ca="1">IF(OR(INDEX($X$2:$X$1001,MATCH(ROWS($W$2:W790),$W$2:$W$1001,0),1)&gt;=100000,INDEX($AD$1005:$AU$1005,1,MATCH(COLUMNS($AD$1006:AE1006),$AD$1006:$AU$1006,0))&gt;=100000), " ",IF(INDEX($AD$2:$AU$1001,MATCH(ROWS($W$2:W790),$W$2:$W$1001,0),MATCH(COLUMNS($AD$1006:AE1006),$AD$1006:$AU$1006,0)), HYPERLINK("#",""), HYPERLINK(CONCATENATE("#metadata!", ADDRESS(INDEX($Y$2:$Y$1001,MATCH(ROWS($W$2:W790),$W$2:$W$1001,0),0), INDEX($AD$1004:$AU$1004,1,MATCH(COLUMNS($AD$1006:AE1006),$AD$1006:$AU$1006,0)))),"Fix")))</f>
        <v xml:space="preserve"> </v>
      </c>
      <c r="D790" s="4" t="str">
        <f ca="1">IF(OR(INDEX($X$2:$X$1001,MATCH(ROWS($W$2:W790),$W$2:$W$1001,0),1)&gt;=100000,INDEX($AD$1005:$AU$1005,1,MATCH(COLUMNS($AD$1006:AF1006),$AD$1006:$AU$1006,0))&gt;=100000), " ",IF(INDEX($AD$2:$AU$1001,MATCH(ROWS($W$2:W790),$W$2:$W$1001,0),MATCH(COLUMNS($AD$1006:AF1006),$AD$1006:$AU$1006,0)), HYPERLINK("#",""), HYPERLINK(CONCATENATE("#metadata!", ADDRESS(INDEX($Y$2:$Y$1001,MATCH(ROWS($W$2:W790),$W$2:$W$1001,0),0), INDEX($AD$1004:$AU$1004,1,MATCH(COLUMNS($AD$1006:AF1006),$AD$1006:$AU$1006,0)))),"Fix")))</f>
        <v xml:space="preserve"> </v>
      </c>
      <c r="E790" s="4" t="str">
        <f ca="1">IF(OR(INDEX($X$2:$X$1001,MATCH(ROWS($W$2:W790),$W$2:$W$1001,0),1)&gt;=100000,INDEX($AD$1005:$AU$1005,1,MATCH(COLUMNS($AD$1006:AG1006),$AD$1006:$AU$1006,0))&gt;=100000), " ",IF(INDEX($AD$2:$AU$1001,MATCH(ROWS($W$2:W790),$W$2:$W$1001,0),MATCH(COLUMNS($AD$1006:AG1006),$AD$1006:$AU$1006,0)), HYPERLINK("#",""), HYPERLINK(CONCATENATE("#metadata!", ADDRESS(INDEX($Y$2:$Y$1001,MATCH(ROWS($W$2:W790),$W$2:$W$1001,0),0), INDEX($AD$1004:$AU$1004,1,MATCH(COLUMNS($AD$1006:AG1006),$AD$1006:$AU$1006,0)))),"Fix")))</f>
        <v xml:space="preserve"> </v>
      </c>
      <c r="F790" s="4" t="str">
        <f ca="1">IF(OR(INDEX($X$2:$X$1001,MATCH(ROWS($W$2:W790),$W$2:$W$1001,0),1)&gt;=100000,INDEX($AD$1005:$AU$1005,1,MATCH(COLUMNS($AD$1006:AH1006),$AD$1006:$AU$1006,0))&gt;=100000), " ",IF(INDEX($AD$2:$AU$1001,MATCH(ROWS($W$2:W790),$W$2:$W$1001,0),MATCH(COLUMNS($AD$1006:AH1006),$AD$1006:$AU$1006,0)), HYPERLINK("#",""), HYPERLINK(CONCATENATE("#metadata!", ADDRESS(INDEX($Y$2:$Y$1001,MATCH(ROWS($W$2:W790),$W$2:$W$1001,0),0), INDEX($AD$1004:$AU$1004,1,MATCH(COLUMNS($AD$1006:AH1006),$AD$1006:$AU$1006,0)))),"Fix")))</f>
        <v xml:space="preserve"> </v>
      </c>
      <c r="G790" s="4" t="str">
        <f ca="1">IF(OR(INDEX($X$2:$X$1001,MATCH(ROWS($W$2:W790),$W$2:$W$1001,0),1)&gt;=100000,INDEX($AD$1005:$AU$1005,1,MATCH(COLUMNS($AD$1006:AI1006),$AD$1006:$AU$1006,0))&gt;=100000), " ",IF(INDEX($AD$2:$AU$1001,MATCH(ROWS($W$2:W790),$W$2:$W$1001,0),MATCH(COLUMNS($AD$1006:AI1006),$AD$1006:$AU$1006,0)), HYPERLINK("#",""), HYPERLINK(CONCATENATE("#metadata!", ADDRESS(INDEX($Y$2:$Y$1001,MATCH(ROWS($W$2:W790),$W$2:$W$1001,0),0), INDEX($AD$1004:$AU$1004,1,MATCH(COLUMNS($AD$1006:AI1006),$AD$1006:$AU$1006,0)))),"Fix")))</f>
        <v xml:space="preserve"> </v>
      </c>
      <c r="H790" s="4" t="str">
        <f ca="1">IF(OR(INDEX($X$2:$X$1001,MATCH(ROWS($W$2:W790),$W$2:$W$1001,0),1)&gt;=100000,INDEX($AD$1005:$AU$1005,1,MATCH(COLUMNS($AD$1006:AJ1006),$AD$1006:$AU$1006,0))&gt;=100000), " ",IF(INDEX($AD$2:$AU$1001,MATCH(ROWS($W$2:W790),$W$2:$W$1001,0),MATCH(COLUMNS($AD$1006:AJ1006),$AD$1006:$AU$1006,0)), HYPERLINK("#",""), HYPERLINK(CONCATENATE("#metadata!", ADDRESS(INDEX($Y$2:$Y$1001,MATCH(ROWS($W$2:W790),$W$2:$W$1001,0),0), INDEX($AD$1004:$AU$1004,1,MATCH(COLUMNS($AD$1006:AJ1006),$AD$1006:$AU$1006,0)))),"Fix")))</f>
        <v xml:space="preserve"> </v>
      </c>
      <c r="I790" s="4" t="str">
        <f ca="1">IF(OR(INDEX($X$2:$X$1001,MATCH(ROWS($W$2:W790),$W$2:$W$1001,0),1)&gt;=100000,INDEX($AD$1005:$AU$1005,1,MATCH(COLUMNS($AD$1006:AK1006),$AD$1006:$AU$1006,0))&gt;=100000), " ",IF(INDEX($AD$2:$AU$1001,MATCH(ROWS($W$2:W790),$W$2:$W$1001,0),MATCH(COLUMNS($AD$1006:AK1006),$AD$1006:$AU$1006,0)), HYPERLINK("#",""), HYPERLINK(CONCATENATE("#metadata!", ADDRESS(INDEX($Y$2:$Y$1001,MATCH(ROWS($W$2:W790),$W$2:$W$1001,0),0), INDEX($AD$1004:$AU$1004,1,MATCH(COLUMNS($AD$1006:AK1006),$AD$1006:$AU$1006,0)))),"Fix")))</f>
        <v xml:space="preserve"> </v>
      </c>
      <c r="J790" s="4" t="str">
        <f ca="1">IF(OR(INDEX($X$2:$X$1001,MATCH(ROWS($W$2:W790),$W$2:$W$1001,0),1)&gt;=100000,INDEX($AD$1005:$AU$1005,1,MATCH(COLUMNS($AD$1006:AL1006),$AD$1006:$AU$1006,0))&gt;=100000), " ",IF(INDEX($AD$2:$AU$1001,MATCH(ROWS($W$2:W790),$W$2:$W$1001,0),MATCH(COLUMNS($AD$1006:AL1006),$AD$1006:$AU$1006,0)), HYPERLINK("#",""), HYPERLINK(CONCATENATE("#metadata!", ADDRESS(INDEX($Y$2:$Y$1001,MATCH(ROWS($W$2:W790),$W$2:$W$1001,0),0), INDEX($AD$1004:$AU$1004,1,MATCH(COLUMNS($AD$1006:AL1006),$AD$1006:$AU$1006,0)))),"Fix")))</f>
        <v xml:space="preserve"> </v>
      </c>
      <c r="K790" s="4" t="str">
        <f ca="1">IF(OR(INDEX($X$2:$X$1001,MATCH(ROWS($W$2:W790),$W$2:$W$1001,0),1)&gt;=100000,INDEX($AD$1005:$AU$1005,1,MATCH(COLUMNS($AD$1006:AM1006),$AD$1006:$AU$1006,0))&gt;=100000), " ",IF(INDEX($AD$2:$AU$1001,MATCH(ROWS($W$2:W790),$W$2:$W$1001,0),MATCH(COLUMNS($AD$1006:AM1006),$AD$1006:$AU$1006,0)), HYPERLINK("#",""), HYPERLINK(CONCATENATE("#metadata!", ADDRESS(INDEX($Y$2:$Y$1001,MATCH(ROWS($W$2:W790),$W$2:$W$1001,0),0), INDEX($AD$1004:$AU$1004,1,MATCH(COLUMNS($AD$1006:AM1006),$AD$1006:$AU$1006,0)))),"Fix")))</f>
        <v xml:space="preserve"> </v>
      </c>
      <c r="L790" s="4" t="str">
        <f ca="1">IF(OR(INDEX($X$2:$X$1001,MATCH(ROWS($W$2:W790),$W$2:$W$1001,0),1)&gt;=100000,INDEX($AD$1005:$AU$1005,1,MATCH(COLUMNS($AD$1006:AN1006),$AD$1006:$AU$1006,0))&gt;=100000), " ",IF(INDEX($AD$2:$AU$1001,MATCH(ROWS($W$2:W790),$W$2:$W$1001,0),MATCH(COLUMNS($AD$1006:AN1006),$AD$1006:$AU$1006,0)), HYPERLINK("#",""), HYPERLINK(CONCATENATE("#metadata!", ADDRESS(INDEX($Y$2:$Y$1001,MATCH(ROWS($W$2:W790),$W$2:$W$1001,0),0), INDEX($AD$1004:$AU$1004,1,MATCH(COLUMNS($AD$1006:AN1006),$AD$1006:$AU$1006,0)))),"Fix")))</f>
        <v xml:space="preserve"> </v>
      </c>
      <c r="M790" s="4" t="str">
        <f ca="1">IF(OR(INDEX($X$2:$X$1001,MATCH(ROWS($W$2:W790),$W$2:$W$1001,0),1)&gt;=100000,INDEX($AD$1005:$AU$1005,1,MATCH(COLUMNS($AD$1006:AO1006),$AD$1006:$AU$1006,0))&gt;=100000), " ",IF(INDEX($AD$2:$AU$1001,MATCH(ROWS($W$2:W790),$W$2:$W$1001,0),MATCH(COLUMNS($AD$1006:AO1006),$AD$1006:$AU$1006,0)), HYPERLINK("#",""), HYPERLINK(CONCATENATE("#metadata!", ADDRESS(INDEX($Y$2:$Y$1001,MATCH(ROWS($W$2:W790),$W$2:$W$1001,0),0), INDEX($AD$1004:$AU$1004,1,MATCH(COLUMNS($AD$1006:AO1006),$AD$1006:$AU$1006,0)))),"Fix")))</f>
        <v xml:space="preserve"> </v>
      </c>
      <c r="N790" s="4" t="str">
        <f ca="1">IF(OR(INDEX($X$2:$X$1001,MATCH(ROWS($W$2:W790),$W$2:$W$1001,0),1)&gt;=100000,INDEX($AD$1005:$AU$1005,1,MATCH(COLUMNS($AD$1006:AP1006),$AD$1006:$AU$1006,0))&gt;=100000), " ",IF(INDEX($AD$2:$AU$1001,MATCH(ROWS($W$2:W790),$W$2:$W$1001,0),MATCH(COLUMNS($AD$1006:AP1006),$AD$1006:$AU$1006,0)), HYPERLINK("#",""), HYPERLINK(CONCATENATE("#metadata!", ADDRESS(INDEX($Y$2:$Y$1001,MATCH(ROWS($W$2:W790),$W$2:$W$1001,0),0), INDEX($AD$1004:$AU$1004,1,MATCH(COLUMNS($AD$1006:AP1006),$AD$1006:$AU$1006,0)))),"Fix")))</f>
        <v xml:space="preserve"> </v>
      </c>
      <c r="O790" s="4" t="str">
        <f ca="1">IF(OR(INDEX($X$2:$X$1001,MATCH(ROWS($W$2:W790),$W$2:$W$1001,0),1)&gt;=100000,INDEX($AD$1005:$AU$1005,1,MATCH(COLUMNS($AD$1006:AQ1006),$AD$1006:$AU$1006,0))&gt;=100000), " ",IF(INDEX($AD$2:$AU$1001,MATCH(ROWS($W$2:W790),$W$2:$W$1001,0),MATCH(COLUMNS($AD$1006:AQ1006),$AD$1006:$AU$1006,0)), HYPERLINK("#",""), HYPERLINK(CONCATENATE("#metadata!", ADDRESS(INDEX($Y$2:$Y$1001,MATCH(ROWS($W$2:W790),$W$2:$W$1001,0),0), INDEX($AD$1004:$AU$1004,1,MATCH(COLUMNS($AD$1006:AQ1006),$AD$1006:$AU$1006,0)))),"Fix")))</f>
        <v xml:space="preserve"> </v>
      </c>
      <c r="P790" s="4" t="str">
        <f ca="1">IF(OR(INDEX($X$2:$X$1001,MATCH(ROWS($W$2:W790),$W$2:$W$1001,0),1)&gt;=100000,INDEX($AD$1005:$AU$1005,1,MATCH(COLUMNS($AD$1006:AR1006),$AD$1006:$AU$1006,0))&gt;=100000), " ",IF(INDEX($AD$2:$AU$1001,MATCH(ROWS($W$2:W790),$W$2:$W$1001,0),MATCH(COLUMNS($AD$1006:AR1006),$AD$1006:$AU$1006,0)), HYPERLINK("#",""), HYPERLINK(CONCATENATE("#metadata!", ADDRESS(INDEX($Y$2:$Y$1001,MATCH(ROWS($W$2:W790),$W$2:$W$1001,0),0), INDEX($AD$1004:$AU$1004,1,MATCH(COLUMNS($AD$1006:AR1006),$AD$1006:$AU$1006,0)))),"Fix")))</f>
        <v xml:space="preserve"> </v>
      </c>
      <c r="Q790" s="4" t="str">
        <f ca="1">IF(OR(INDEX($X$2:$X$1001,MATCH(ROWS($W$2:W790),$W$2:$W$1001,0),1)&gt;=100000,INDEX($AD$1005:$AU$1005,1,MATCH(COLUMNS($AD$1006:AS1006),$AD$1006:$AU$1006,0))&gt;=100000), " ",IF(INDEX($AD$2:$AU$1001,MATCH(ROWS($W$2:W790),$W$2:$W$1001,0),MATCH(COLUMNS($AD$1006:AS1006),$AD$1006:$AU$1006,0)), HYPERLINK("#",""), HYPERLINK(CONCATENATE("#metadata!", ADDRESS(INDEX($Y$2:$Y$1001,MATCH(ROWS($W$2:W790),$W$2:$W$1001,0),0), INDEX($AD$1004:$AU$1004,1,MATCH(COLUMNS($AD$1006:AS1006),$AD$1006:$AU$1006,0)))),"Fix")))</f>
        <v xml:space="preserve"> </v>
      </c>
      <c r="R790" s="4" t="str">
        <f ca="1">IF(OR(INDEX($X$2:$X$1001,MATCH(ROWS($W$2:W790),$W$2:$W$1001,0),1)&gt;=100000,INDEX($AD$1005:$AU$1005,1,MATCH(COLUMNS($AD$1006:AT1006),$AD$1006:$AU$1006,0))&gt;=100000), " ",IF(INDEX($AD$2:$AU$1001,MATCH(ROWS($W$2:W790),$W$2:$W$1001,0),MATCH(COLUMNS($AD$1006:AT1006),$AD$1006:$AU$1006,0)), HYPERLINK("#",""), HYPERLINK(CONCATENATE("#metadata!", ADDRESS(INDEX($Y$2:$Y$1001,MATCH(ROWS($W$2:W790),$W$2:$W$1001,0),0), INDEX($AD$1004:$AU$1004,1,MATCH(COLUMNS($AD$1006:AT1006),$AD$1006:$AU$1006,0)))),"Fix")))</f>
        <v xml:space="preserve"> </v>
      </c>
      <c r="S790" s="4" t="str">
        <f ca="1">IF(OR(INDEX($X$2:$X$1001,MATCH(ROWS($W$2:W790),$W$2:$W$1001,0),1)&gt;=100000,INDEX($AD$1005:$AU$1005,1,MATCH(COLUMNS($AD$1006:AU1006),$AD$1006:$AU$1006,0))&gt;=100000), " ",IF(INDEX($AD$2:$AU$1001,MATCH(ROWS($W$2:W790),$W$2:$W$1001,0),MATCH(COLUMNS($AD$1006:AU1006),$AD$1006:$AU$1006,0)), HYPERLINK("#",""), HYPERLINK(CONCATENATE("#metadata!", ADDRESS(INDEX($Y$2:$Y$1001,MATCH(ROWS($W$2:W790),$W$2:$W$1001,0),0), INDEX($AD$1004:$AU$1004,1,MATCH(COLUMNS($AD$1006:AU1006),$AD$1006:$AU$1006,0)))),"Fix")))</f>
        <v xml:space="preserve"> </v>
      </c>
      <c r="W790">
        <v>789</v>
      </c>
      <c r="X790">
        <v>100790</v>
      </c>
      <c r="Y790">
        <v>790</v>
      </c>
      <c r="Z790" t="b">
        <f t="shared" si="12"/>
        <v>1</v>
      </c>
      <c r="AA790" t="b">
        <f>COUNTBLANK(metadata!B790:S790)=COLUMNS(metadata!B790:S790)</f>
        <v>1</v>
      </c>
      <c r="AB790" t="str">
        <v/>
      </c>
      <c r="AD790" t="b">
        <f ca="1">AND(IF(metadata!B790="",FALSE,TRUE),COUNTIF(metadata!B:B, metadata!B790) = 1,NOT(ISERROR(SUMPRODUCT(SEARCH(MID(metadata!B790,ROW(INDIRECT("1:"&amp;LEN(metadata!B790))), 1),"0123456789abcdefghijklmnopqrstuvwxyzABCDEFGHIJKLMNOPQRSTUVWXYZ.")))))</f>
        <v>0</v>
      </c>
      <c r="AE790" t="b">
        <f>OR(AND(IF(metadata!C790="",FALSE,TRUE),OR(EXACT(metadata!C790,"not applicable"),EXACT(metadata!C790,"missing: not collected"),EXACT(metadata!C790,"missing: not provided"),EXACT(metadata!C790,"missing: restricted access"))),AND(IF(metadata!C790="",FALSE,ISNUMBER(VALUE(metadata!C790))),metadata!C790&gt;0))</f>
        <v>0</v>
      </c>
      <c r="AF790" t="b">
        <f>AND(IF(metadata!D790="",FALSE,TRUE),EXACT(metadata!D790,"missing: not provided"))</f>
        <v>0</v>
      </c>
      <c r="AG790" t="b">
        <f>AND(IF(metadata!E790="",FALSE,TRUE),EXACT(metadata!E790,"Host-associated"))</f>
        <v>0</v>
      </c>
      <c r="AH790" t="b">
        <f>AND(IF(metadata!F790="",FALSE,TRUE),OR(EXACT(metadata!F790,"Animal"),EXACT(metadata!F790,"Fungus"),EXACT(metadata!F790,"Plant")))</f>
        <v>0</v>
      </c>
      <c r="AI790" t="b">
        <f>AND(IF(metadata!G790="",FALSE,TRUE),OR(EXACT(metadata!G790,"Plant secretion"),EXACT(metadata!G790,"Plant rhizosphere"),EXACT(metadata!G790,"Plant surface"),EXACT(metadata!G790,"Plant corpus"),EXACT(metadata!G790,"Fungus surface"),EXACT(metadata!G790,"Fungus corpus"),EXACT(metadata!G790,"Animal surface"),EXACT(metadata!G790,"Animal proximal gut"),EXACT(metadata!G790,"Animal corpus"),EXACT(metadata!G790,"Animal distal gut"),EXACT(metadata!G790,"Animal secretion")))</f>
        <v>0</v>
      </c>
      <c r="AJ790" t="b">
        <f>OR(AND(IF(metadata!H790="",FALSE,TRUE),OR(EXACT(metadata!H790,"missing: not collected"),EXACT(metadata!H790,"missing: not provided"),EXACT(metadata!H790,"missing: restricted access"))),AND(IF(metadata!H790="",FALSE,TRUE),OR(EXACT(metadata!H790,"organism-associated habitat"),EXACT(metadata!H790,"plant-associated habitat"),EXACT(metadata!H790,"animal-associated habitat"),EXACT(metadata!H790,"insecta-associated habitat"),EXACT(metadata!H790,"mammalia-associated habitat"),EXACT(metadata!H790,"human-associated habitat"),EXACT(metadata!H790,"livestock-associated habitat"))))</f>
        <v>0</v>
      </c>
      <c r="AK790" t="b">
        <f>AND(IF(metadata!I790="",FALSE,TRUE),EXACT(metadata!I790,"host-associated"))</f>
        <v>0</v>
      </c>
      <c r="AL790" t="b">
        <f>OR(AND(IF(metadata!J790="",FALSE,TRUE),OR(EXACT(metadata!J790,"not applicable"),EXACT(metadata!J790,"missing: not collected"),EXACT(metadata!J790,"missing: not provided"),EXACT(metadata!J790,"missing: restricted access"))),AND(IF(metadata!J790="",FALSE,ISNUMBER(VALUE(metadata!J790))),metadata!J790&gt;0))</f>
        <v>0</v>
      </c>
      <c r="AM790" t="b">
        <f>AND(IF(metadata!K790="",FALSE,TRUE),EXACT(metadata!K790,"missing: not provided"))</f>
        <v>0</v>
      </c>
      <c r="AN790" t="b">
        <f>IF(metadata!L790="",FALSE,TRUE)</f>
        <v>0</v>
      </c>
      <c r="AO790" t="b">
        <f>IF(metadata!M790="",FALSE,TRUE)</f>
        <v>0</v>
      </c>
      <c r="AP790" t="b">
        <f>OR(AND(IF(metadata!N790="",FALSE,TRUE),OR(EXACT(metadata!N790,"not applicable"),EXACT(metadata!N790,"missing: not collected"),EXACT(metadata!N790,"missing: not provided"))),AND(IF(metadata!N790="",FALSE,IF(ISERROR(INT(metadata!N790)),FALSE,INT(metadata!N790)=metadata!N790)),metadata!N790&gt;0))</f>
        <v>0</v>
      </c>
      <c r="AQ790" t="b">
        <f>AND(IF(metadata!O790="",FALSE,TRUE),EXACT(metadata!O790,"Not applicable"))</f>
        <v>0</v>
      </c>
      <c r="AR790" t="b">
        <f>OR(AND(IF(metadata!P790="",FALSE,TRUE),OR(EXACT(metadata!P790,"not applicable"),EXACT(metadata!P790,"missing: not collected"),EXACT(metadata!P790,"missing: not provided"),EXACT(metadata!P790,"missing: restricted access"))),IF(metadata!P790="",FALSE,IF(ISERROR(INT(metadata!P790)),FALSE,INT(metadata!P790)=metadata!P790)))</f>
        <v>0</v>
      </c>
      <c r="AS790" t="b">
        <f>AND(IF(metadata!Q790="",FALSE,TRUE),EXACT(metadata!Q790,"Not applicable"))</f>
        <v>0</v>
      </c>
      <c r="AT790" t="b">
        <f>OR(AND(IF(metadata!R790="",FALSE,TRUE),OR(EXACT(metadata!R790,"not applicable"),EXACT(metadata!R790,"missing: not collected"),EXACT(metadata!R790,"missing: not provided"),EXACT(metadata!R790,"missing: restricted access"))),AND(IF(metadata!R790="",FALSE,ISNUMBER(VALUE(metadata!R790))),metadata!R790&gt;0))</f>
        <v>0</v>
      </c>
      <c r="AU790" t="b">
        <f>AND(IF(metadata!S790="",FALSE,TRUE),EXACT(metadata!S790,"missing: not provided"))</f>
        <v>0</v>
      </c>
    </row>
    <row r="791" spans="1:47" x14ac:dyDescent="0.2">
      <c r="A791" s="5" t="str">
        <f ca="1">IF(B791=" "," ",HYPERLINK(CONCATENATE("#metadata!",ADDRESS(INDEX($Y$2:$Y$1001,MATCH(ROWS($W$2:W791),$W$2:$W$1001,0),0),1)),INDEX($AB$2:$AB$1001,MATCH(ROWS($W$2:W791),$W$2:$W$1001,0),0)))</f>
        <v xml:space="preserve"> </v>
      </c>
      <c r="B791" s="4" t="str">
        <f ca="1">IF(OR(INDEX($X$2:$X$1001,MATCH(ROWS($W$2:W791),$W$2:$W$1001,0),1)&gt;=100000,INDEX($AD$1005:$AU$1005,1,MATCH(COLUMNS($AD$1006:AD1006),$AD$1006:$AU$1006,0))&gt;=100000), " ",IF(INDEX($AD$2:$AU$1001,MATCH(ROWS($W$2:W791),$W$2:$W$1001,0),MATCH(COLUMNS($AD$1006:AD1006),$AD$1006:$AU$1006,0)), HYPERLINK("#",""), HYPERLINK(CONCATENATE("#metadata!", ADDRESS(INDEX($Y$2:$Y$1001,MATCH(ROWS($W$2:W791),$W$2:$W$1001,0),0), INDEX($AD$1004:$AU$1004,1,MATCH(COLUMNS($AD$1006:AD1006),$AD$1006:$AU$1006,0)))),"Fix")))</f>
        <v xml:space="preserve"> </v>
      </c>
      <c r="C791" s="4" t="str">
        <f ca="1">IF(OR(INDEX($X$2:$X$1001,MATCH(ROWS($W$2:W791),$W$2:$W$1001,0),1)&gt;=100000,INDEX($AD$1005:$AU$1005,1,MATCH(COLUMNS($AD$1006:AE1006),$AD$1006:$AU$1006,0))&gt;=100000), " ",IF(INDEX($AD$2:$AU$1001,MATCH(ROWS($W$2:W791),$W$2:$W$1001,0),MATCH(COLUMNS($AD$1006:AE1006),$AD$1006:$AU$1006,0)), HYPERLINK("#",""), HYPERLINK(CONCATENATE("#metadata!", ADDRESS(INDEX($Y$2:$Y$1001,MATCH(ROWS($W$2:W791),$W$2:$W$1001,0),0), INDEX($AD$1004:$AU$1004,1,MATCH(COLUMNS($AD$1006:AE1006),$AD$1006:$AU$1006,0)))),"Fix")))</f>
        <v xml:space="preserve"> </v>
      </c>
      <c r="D791" s="4" t="str">
        <f ca="1">IF(OR(INDEX($X$2:$X$1001,MATCH(ROWS($W$2:W791),$W$2:$W$1001,0),1)&gt;=100000,INDEX($AD$1005:$AU$1005,1,MATCH(COLUMNS($AD$1006:AF1006),$AD$1006:$AU$1006,0))&gt;=100000), " ",IF(INDEX($AD$2:$AU$1001,MATCH(ROWS($W$2:W791),$W$2:$W$1001,0),MATCH(COLUMNS($AD$1006:AF1006),$AD$1006:$AU$1006,0)), HYPERLINK("#",""), HYPERLINK(CONCATENATE("#metadata!", ADDRESS(INDEX($Y$2:$Y$1001,MATCH(ROWS($W$2:W791),$W$2:$W$1001,0),0), INDEX($AD$1004:$AU$1004,1,MATCH(COLUMNS($AD$1006:AF1006),$AD$1006:$AU$1006,0)))),"Fix")))</f>
        <v xml:space="preserve"> </v>
      </c>
      <c r="E791" s="4" t="str">
        <f ca="1">IF(OR(INDEX($X$2:$X$1001,MATCH(ROWS($W$2:W791),$W$2:$W$1001,0),1)&gt;=100000,INDEX($AD$1005:$AU$1005,1,MATCH(COLUMNS($AD$1006:AG1006),$AD$1006:$AU$1006,0))&gt;=100000), " ",IF(INDEX($AD$2:$AU$1001,MATCH(ROWS($W$2:W791),$W$2:$W$1001,0),MATCH(COLUMNS($AD$1006:AG1006),$AD$1006:$AU$1006,0)), HYPERLINK("#",""), HYPERLINK(CONCATENATE("#metadata!", ADDRESS(INDEX($Y$2:$Y$1001,MATCH(ROWS($W$2:W791),$W$2:$W$1001,0),0), INDEX($AD$1004:$AU$1004,1,MATCH(COLUMNS($AD$1006:AG1006),$AD$1006:$AU$1006,0)))),"Fix")))</f>
        <v xml:space="preserve"> </v>
      </c>
      <c r="F791" s="4" t="str">
        <f ca="1">IF(OR(INDEX($X$2:$X$1001,MATCH(ROWS($W$2:W791),$W$2:$W$1001,0),1)&gt;=100000,INDEX($AD$1005:$AU$1005,1,MATCH(COLUMNS($AD$1006:AH1006),$AD$1006:$AU$1006,0))&gt;=100000), " ",IF(INDEX($AD$2:$AU$1001,MATCH(ROWS($W$2:W791),$W$2:$W$1001,0),MATCH(COLUMNS($AD$1006:AH1006),$AD$1006:$AU$1006,0)), HYPERLINK("#",""), HYPERLINK(CONCATENATE("#metadata!", ADDRESS(INDEX($Y$2:$Y$1001,MATCH(ROWS($W$2:W791),$W$2:$W$1001,0),0), INDEX($AD$1004:$AU$1004,1,MATCH(COLUMNS($AD$1006:AH1006),$AD$1006:$AU$1006,0)))),"Fix")))</f>
        <v xml:space="preserve"> </v>
      </c>
      <c r="G791" s="4" t="str">
        <f ca="1">IF(OR(INDEX($X$2:$X$1001,MATCH(ROWS($W$2:W791),$W$2:$W$1001,0),1)&gt;=100000,INDEX($AD$1005:$AU$1005,1,MATCH(COLUMNS($AD$1006:AI1006),$AD$1006:$AU$1006,0))&gt;=100000), " ",IF(INDEX($AD$2:$AU$1001,MATCH(ROWS($W$2:W791),$W$2:$W$1001,0),MATCH(COLUMNS($AD$1006:AI1006),$AD$1006:$AU$1006,0)), HYPERLINK("#",""), HYPERLINK(CONCATENATE("#metadata!", ADDRESS(INDEX($Y$2:$Y$1001,MATCH(ROWS($W$2:W791),$W$2:$W$1001,0),0), INDEX($AD$1004:$AU$1004,1,MATCH(COLUMNS($AD$1006:AI1006),$AD$1006:$AU$1006,0)))),"Fix")))</f>
        <v xml:space="preserve"> </v>
      </c>
      <c r="H791" s="4" t="str">
        <f ca="1">IF(OR(INDEX($X$2:$X$1001,MATCH(ROWS($W$2:W791),$W$2:$W$1001,0),1)&gt;=100000,INDEX($AD$1005:$AU$1005,1,MATCH(COLUMNS($AD$1006:AJ1006),$AD$1006:$AU$1006,0))&gt;=100000), " ",IF(INDEX($AD$2:$AU$1001,MATCH(ROWS($W$2:W791),$W$2:$W$1001,0),MATCH(COLUMNS($AD$1006:AJ1006),$AD$1006:$AU$1006,0)), HYPERLINK("#",""), HYPERLINK(CONCATENATE("#metadata!", ADDRESS(INDEX($Y$2:$Y$1001,MATCH(ROWS($W$2:W791),$W$2:$W$1001,0),0), INDEX($AD$1004:$AU$1004,1,MATCH(COLUMNS($AD$1006:AJ1006),$AD$1006:$AU$1006,0)))),"Fix")))</f>
        <v xml:space="preserve"> </v>
      </c>
      <c r="I791" s="4" t="str">
        <f ca="1">IF(OR(INDEX($X$2:$X$1001,MATCH(ROWS($W$2:W791),$W$2:$W$1001,0),1)&gt;=100000,INDEX($AD$1005:$AU$1005,1,MATCH(COLUMNS($AD$1006:AK1006),$AD$1006:$AU$1006,0))&gt;=100000), " ",IF(INDEX($AD$2:$AU$1001,MATCH(ROWS($W$2:W791),$W$2:$W$1001,0),MATCH(COLUMNS($AD$1006:AK1006),$AD$1006:$AU$1006,0)), HYPERLINK("#",""), HYPERLINK(CONCATENATE("#metadata!", ADDRESS(INDEX($Y$2:$Y$1001,MATCH(ROWS($W$2:W791),$W$2:$W$1001,0),0), INDEX($AD$1004:$AU$1004,1,MATCH(COLUMNS($AD$1006:AK1006),$AD$1006:$AU$1006,0)))),"Fix")))</f>
        <v xml:space="preserve"> </v>
      </c>
      <c r="J791" s="4" t="str">
        <f ca="1">IF(OR(INDEX($X$2:$X$1001,MATCH(ROWS($W$2:W791),$W$2:$W$1001,0),1)&gt;=100000,INDEX($AD$1005:$AU$1005,1,MATCH(COLUMNS($AD$1006:AL1006),$AD$1006:$AU$1006,0))&gt;=100000), " ",IF(INDEX($AD$2:$AU$1001,MATCH(ROWS($W$2:W791),$W$2:$W$1001,0),MATCH(COLUMNS($AD$1006:AL1006),$AD$1006:$AU$1006,0)), HYPERLINK("#",""), HYPERLINK(CONCATENATE("#metadata!", ADDRESS(INDEX($Y$2:$Y$1001,MATCH(ROWS($W$2:W791),$W$2:$W$1001,0),0), INDEX($AD$1004:$AU$1004,1,MATCH(COLUMNS($AD$1006:AL1006),$AD$1006:$AU$1006,0)))),"Fix")))</f>
        <v xml:space="preserve"> </v>
      </c>
      <c r="K791" s="4" t="str">
        <f ca="1">IF(OR(INDEX($X$2:$X$1001,MATCH(ROWS($W$2:W791),$W$2:$W$1001,0),1)&gt;=100000,INDEX($AD$1005:$AU$1005,1,MATCH(COLUMNS($AD$1006:AM1006),$AD$1006:$AU$1006,0))&gt;=100000), " ",IF(INDEX($AD$2:$AU$1001,MATCH(ROWS($W$2:W791),$W$2:$W$1001,0),MATCH(COLUMNS($AD$1006:AM1006),$AD$1006:$AU$1006,0)), HYPERLINK("#",""), HYPERLINK(CONCATENATE("#metadata!", ADDRESS(INDEX($Y$2:$Y$1001,MATCH(ROWS($W$2:W791),$W$2:$W$1001,0),0), INDEX($AD$1004:$AU$1004,1,MATCH(COLUMNS($AD$1006:AM1006),$AD$1006:$AU$1006,0)))),"Fix")))</f>
        <v xml:space="preserve"> </v>
      </c>
      <c r="L791" s="4" t="str">
        <f ca="1">IF(OR(INDEX($X$2:$X$1001,MATCH(ROWS($W$2:W791),$W$2:$W$1001,0),1)&gt;=100000,INDEX($AD$1005:$AU$1005,1,MATCH(COLUMNS($AD$1006:AN1006),$AD$1006:$AU$1006,0))&gt;=100000), " ",IF(INDEX($AD$2:$AU$1001,MATCH(ROWS($W$2:W791),$W$2:$W$1001,0),MATCH(COLUMNS($AD$1006:AN1006),$AD$1006:$AU$1006,0)), HYPERLINK("#",""), HYPERLINK(CONCATENATE("#metadata!", ADDRESS(INDEX($Y$2:$Y$1001,MATCH(ROWS($W$2:W791),$W$2:$W$1001,0),0), INDEX($AD$1004:$AU$1004,1,MATCH(COLUMNS($AD$1006:AN1006),$AD$1006:$AU$1006,0)))),"Fix")))</f>
        <v xml:space="preserve"> </v>
      </c>
      <c r="M791" s="4" t="str">
        <f ca="1">IF(OR(INDEX($X$2:$X$1001,MATCH(ROWS($W$2:W791),$W$2:$W$1001,0),1)&gt;=100000,INDEX($AD$1005:$AU$1005,1,MATCH(COLUMNS($AD$1006:AO1006),$AD$1006:$AU$1006,0))&gt;=100000), " ",IF(INDEX($AD$2:$AU$1001,MATCH(ROWS($W$2:W791),$W$2:$W$1001,0),MATCH(COLUMNS($AD$1006:AO1006),$AD$1006:$AU$1006,0)), HYPERLINK("#",""), HYPERLINK(CONCATENATE("#metadata!", ADDRESS(INDEX($Y$2:$Y$1001,MATCH(ROWS($W$2:W791),$W$2:$W$1001,0),0), INDEX($AD$1004:$AU$1004,1,MATCH(COLUMNS($AD$1006:AO1006),$AD$1006:$AU$1006,0)))),"Fix")))</f>
        <v xml:space="preserve"> </v>
      </c>
      <c r="N791" s="4" t="str">
        <f ca="1">IF(OR(INDEX($X$2:$X$1001,MATCH(ROWS($W$2:W791),$W$2:$W$1001,0),1)&gt;=100000,INDEX($AD$1005:$AU$1005,1,MATCH(COLUMNS($AD$1006:AP1006),$AD$1006:$AU$1006,0))&gt;=100000), " ",IF(INDEX($AD$2:$AU$1001,MATCH(ROWS($W$2:W791),$W$2:$W$1001,0),MATCH(COLUMNS($AD$1006:AP1006),$AD$1006:$AU$1006,0)), HYPERLINK("#",""), HYPERLINK(CONCATENATE("#metadata!", ADDRESS(INDEX($Y$2:$Y$1001,MATCH(ROWS($W$2:W791),$W$2:$W$1001,0),0), INDEX($AD$1004:$AU$1004,1,MATCH(COLUMNS($AD$1006:AP1006),$AD$1006:$AU$1006,0)))),"Fix")))</f>
        <v xml:space="preserve"> </v>
      </c>
      <c r="O791" s="4" t="str">
        <f ca="1">IF(OR(INDEX($X$2:$X$1001,MATCH(ROWS($W$2:W791),$W$2:$W$1001,0),1)&gt;=100000,INDEX($AD$1005:$AU$1005,1,MATCH(COLUMNS($AD$1006:AQ1006),$AD$1006:$AU$1006,0))&gt;=100000), " ",IF(INDEX($AD$2:$AU$1001,MATCH(ROWS($W$2:W791),$W$2:$W$1001,0),MATCH(COLUMNS($AD$1006:AQ1006),$AD$1006:$AU$1006,0)), HYPERLINK("#",""), HYPERLINK(CONCATENATE("#metadata!", ADDRESS(INDEX($Y$2:$Y$1001,MATCH(ROWS($W$2:W791),$W$2:$W$1001,0),0), INDEX($AD$1004:$AU$1004,1,MATCH(COLUMNS($AD$1006:AQ1006),$AD$1006:$AU$1006,0)))),"Fix")))</f>
        <v xml:space="preserve"> </v>
      </c>
      <c r="P791" s="4" t="str">
        <f ca="1">IF(OR(INDEX($X$2:$X$1001,MATCH(ROWS($W$2:W791),$W$2:$W$1001,0),1)&gt;=100000,INDEX($AD$1005:$AU$1005,1,MATCH(COLUMNS($AD$1006:AR1006),$AD$1006:$AU$1006,0))&gt;=100000), " ",IF(INDEX($AD$2:$AU$1001,MATCH(ROWS($W$2:W791),$W$2:$W$1001,0),MATCH(COLUMNS($AD$1006:AR1006),$AD$1006:$AU$1006,0)), HYPERLINK("#",""), HYPERLINK(CONCATENATE("#metadata!", ADDRESS(INDEX($Y$2:$Y$1001,MATCH(ROWS($W$2:W791),$W$2:$W$1001,0),0), INDEX($AD$1004:$AU$1004,1,MATCH(COLUMNS($AD$1006:AR1006),$AD$1006:$AU$1006,0)))),"Fix")))</f>
        <v xml:space="preserve"> </v>
      </c>
      <c r="Q791" s="4" t="str">
        <f ca="1">IF(OR(INDEX($X$2:$X$1001,MATCH(ROWS($W$2:W791),$W$2:$W$1001,0),1)&gt;=100000,INDEX($AD$1005:$AU$1005,1,MATCH(COLUMNS($AD$1006:AS1006),$AD$1006:$AU$1006,0))&gt;=100000), " ",IF(INDEX($AD$2:$AU$1001,MATCH(ROWS($W$2:W791),$W$2:$W$1001,0),MATCH(COLUMNS($AD$1006:AS1006),$AD$1006:$AU$1006,0)), HYPERLINK("#",""), HYPERLINK(CONCATENATE("#metadata!", ADDRESS(INDEX($Y$2:$Y$1001,MATCH(ROWS($W$2:W791),$W$2:$W$1001,0),0), INDEX($AD$1004:$AU$1004,1,MATCH(COLUMNS($AD$1006:AS1006),$AD$1006:$AU$1006,0)))),"Fix")))</f>
        <v xml:space="preserve"> </v>
      </c>
      <c r="R791" s="4" t="str">
        <f ca="1">IF(OR(INDEX($X$2:$X$1001,MATCH(ROWS($W$2:W791),$W$2:$W$1001,0),1)&gt;=100000,INDEX($AD$1005:$AU$1005,1,MATCH(COLUMNS($AD$1006:AT1006),$AD$1006:$AU$1006,0))&gt;=100000), " ",IF(INDEX($AD$2:$AU$1001,MATCH(ROWS($W$2:W791),$W$2:$W$1001,0),MATCH(COLUMNS($AD$1006:AT1006),$AD$1006:$AU$1006,0)), HYPERLINK("#",""), HYPERLINK(CONCATENATE("#metadata!", ADDRESS(INDEX($Y$2:$Y$1001,MATCH(ROWS($W$2:W791),$W$2:$W$1001,0),0), INDEX($AD$1004:$AU$1004,1,MATCH(COLUMNS($AD$1006:AT1006),$AD$1006:$AU$1006,0)))),"Fix")))</f>
        <v xml:space="preserve"> </v>
      </c>
      <c r="S791" s="4" t="str">
        <f ca="1">IF(OR(INDEX($X$2:$X$1001,MATCH(ROWS($W$2:W791),$W$2:$W$1001,0),1)&gt;=100000,INDEX($AD$1005:$AU$1005,1,MATCH(COLUMNS($AD$1006:AU1006),$AD$1006:$AU$1006,0))&gt;=100000), " ",IF(INDEX($AD$2:$AU$1001,MATCH(ROWS($W$2:W791),$W$2:$W$1001,0),MATCH(COLUMNS($AD$1006:AU1006),$AD$1006:$AU$1006,0)), HYPERLINK("#",""), HYPERLINK(CONCATENATE("#metadata!", ADDRESS(INDEX($Y$2:$Y$1001,MATCH(ROWS($W$2:W791),$W$2:$W$1001,0),0), INDEX($AD$1004:$AU$1004,1,MATCH(COLUMNS($AD$1006:AU1006),$AD$1006:$AU$1006,0)))),"Fix")))</f>
        <v xml:space="preserve"> </v>
      </c>
      <c r="W791">
        <v>790</v>
      </c>
      <c r="X791">
        <v>100791</v>
      </c>
      <c r="Y791">
        <v>791</v>
      </c>
      <c r="Z791" t="b">
        <f t="shared" si="12"/>
        <v>1</v>
      </c>
      <c r="AA791" t="b">
        <f>COUNTBLANK(metadata!B791:S791)=COLUMNS(metadata!B791:S791)</f>
        <v>1</v>
      </c>
      <c r="AB791" t="str">
        <v/>
      </c>
      <c r="AD791" t="b">
        <f ca="1">AND(IF(metadata!B791="",FALSE,TRUE),COUNTIF(metadata!B:B, metadata!B791) = 1,NOT(ISERROR(SUMPRODUCT(SEARCH(MID(metadata!B791,ROW(INDIRECT("1:"&amp;LEN(metadata!B791))), 1),"0123456789abcdefghijklmnopqrstuvwxyzABCDEFGHIJKLMNOPQRSTUVWXYZ.")))))</f>
        <v>0</v>
      </c>
      <c r="AE791" t="b">
        <f>OR(AND(IF(metadata!C791="",FALSE,TRUE),OR(EXACT(metadata!C791,"not applicable"),EXACT(metadata!C791,"missing: not collected"),EXACT(metadata!C791,"missing: not provided"),EXACT(metadata!C791,"missing: restricted access"))),AND(IF(metadata!C791="",FALSE,ISNUMBER(VALUE(metadata!C791))),metadata!C791&gt;0))</f>
        <v>0</v>
      </c>
      <c r="AF791" t="b">
        <f>AND(IF(metadata!D791="",FALSE,TRUE),EXACT(metadata!D791,"missing: not provided"))</f>
        <v>0</v>
      </c>
      <c r="AG791" t="b">
        <f>AND(IF(metadata!E791="",FALSE,TRUE),EXACT(metadata!E791,"Host-associated"))</f>
        <v>0</v>
      </c>
      <c r="AH791" t="b">
        <f>AND(IF(metadata!F791="",FALSE,TRUE),OR(EXACT(metadata!F791,"Animal"),EXACT(metadata!F791,"Fungus"),EXACT(metadata!F791,"Plant")))</f>
        <v>0</v>
      </c>
      <c r="AI791" t="b">
        <f>AND(IF(metadata!G791="",FALSE,TRUE),OR(EXACT(metadata!G791,"Plant secretion"),EXACT(metadata!G791,"Plant rhizosphere"),EXACT(metadata!G791,"Plant surface"),EXACT(metadata!G791,"Plant corpus"),EXACT(metadata!G791,"Fungus surface"),EXACT(metadata!G791,"Fungus corpus"),EXACT(metadata!G791,"Animal surface"),EXACT(metadata!G791,"Animal proximal gut"),EXACT(metadata!G791,"Animal corpus"),EXACT(metadata!G791,"Animal distal gut"),EXACT(metadata!G791,"Animal secretion")))</f>
        <v>0</v>
      </c>
      <c r="AJ791" t="b">
        <f>OR(AND(IF(metadata!H791="",FALSE,TRUE),OR(EXACT(metadata!H791,"missing: not collected"),EXACT(metadata!H791,"missing: not provided"),EXACT(metadata!H791,"missing: restricted access"))),AND(IF(metadata!H791="",FALSE,TRUE),OR(EXACT(metadata!H791,"organism-associated habitat"),EXACT(metadata!H791,"plant-associated habitat"),EXACT(metadata!H791,"animal-associated habitat"),EXACT(metadata!H791,"insecta-associated habitat"),EXACT(metadata!H791,"mammalia-associated habitat"),EXACT(metadata!H791,"human-associated habitat"),EXACT(metadata!H791,"livestock-associated habitat"))))</f>
        <v>0</v>
      </c>
      <c r="AK791" t="b">
        <f>AND(IF(metadata!I791="",FALSE,TRUE),EXACT(metadata!I791,"host-associated"))</f>
        <v>0</v>
      </c>
      <c r="AL791" t="b">
        <f>OR(AND(IF(metadata!J791="",FALSE,TRUE),OR(EXACT(metadata!J791,"not applicable"),EXACT(metadata!J791,"missing: not collected"),EXACT(metadata!J791,"missing: not provided"),EXACT(metadata!J791,"missing: restricted access"))),AND(IF(metadata!J791="",FALSE,ISNUMBER(VALUE(metadata!J791))),metadata!J791&gt;0))</f>
        <v>0</v>
      </c>
      <c r="AM791" t="b">
        <f>AND(IF(metadata!K791="",FALSE,TRUE),EXACT(metadata!K791,"missing: not provided"))</f>
        <v>0</v>
      </c>
      <c r="AN791" t="b">
        <f>IF(metadata!L791="",FALSE,TRUE)</f>
        <v>0</v>
      </c>
      <c r="AO791" t="b">
        <f>IF(metadata!M791="",FALSE,TRUE)</f>
        <v>0</v>
      </c>
      <c r="AP791" t="b">
        <f>OR(AND(IF(metadata!N791="",FALSE,TRUE),OR(EXACT(metadata!N791,"not applicable"),EXACT(metadata!N791,"missing: not collected"),EXACT(metadata!N791,"missing: not provided"))),AND(IF(metadata!N791="",FALSE,IF(ISERROR(INT(metadata!N791)),FALSE,INT(metadata!N791)=metadata!N791)),metadata!N791&gt;0))</f>
        <v>0</v>
      </c>
      <c r="AQ791" t="b">
        <f>AND(IF(metadata!O791="",FALSE,TRUE),EXACT(metadata!O791,"Not applicable"))</f>
        <v>0</v>
      </c>
      <c r="AR791" t="b">
        <f>OR(AND(IF(metadata!P791="",FALSE,TRUE),OR(EXACT(metadata!P791,"not applicable"),EXACT(metadata!P791,"missing: not collected"),EXACT(metadata!P791,"missing: not provided"),EXACT(metadata!P791,"missing: restricted access"))),IF(metadata!P791="",FALSE,IF(ISERROR(INT(metadata!P791)),FALSE,INT(metadata!P791)=metadata!P791)))</f>
        <v>0</v>
      </c>
      <c r="AS791" t="b">
        <f>AND(IF(metadata!Q791="",FALSE,TRUE),EXACT(metadata!Q791,"Not applicable"))</f>
        <v>0</v>
      </c>
      <c r="AT791" t="b">
        <f>OR(AND(IF(metadata!R791="",FALSE,TRUE),OR(EXACT(metadata!R791,"not applicable"),EXACT(metadata!R791,"missing: not collected"),EXACT(metadata!R791,"missing: not provided"),EXACT(metadata!R791,"missing: restricted access"))),AND(IF(metadata!R791="",FALSE,ISNUMBER(VALUE(metadata!R791))),metadata!R791&gt;0))</f>
        <v>0</v>
      </c>
      <c r="AU791" t="b">
        <f>AND(IF(metadata!S791="",FALSE,TRUE),EXACT(metadata!S791,"missing: not provided"))</f>
        <v>0</v>
      </c>
    </row>
    <row r="792" spans="1:47" x14ac:dyDescent="0.2">
      <c r="A792" s="5" t="str">
        <f ca="1">IF(B792=" "," ",HYPERLINK(CONCATENATE("#metadata!",ADDRESS(INDEX($Y$2:$Y$1001,MATCH(ROWS($W$2:W792),$W$2:$W$1001,0),0),1)),INDEX($AB$2:$AB$1001,MATCH(ROWS($W$2:W792),$W$2:$W$1001,0),0)))</f>
        <v xml:space="preserve"> </v>
      </c>
      <c r="B792" s="4" t="str">
        <f ca="1">IF(OR(INDEX($X$2:$X$1001,MATCH(ROWS($W$2:W792),$W$2:$W$1001,0),1)&gt;=100000,INDEX($AD$1005:$AU$1005,1,MATCH(COLUMNS($AD$1006:AD1006),$AD$1006:$AU$1006,0))&gt;=100000), " ",IF(INDEX($AD$2:$AU$1001,MATCH(ROWS($W$2:W792),$W$2:$W$1001,0),MATCH(COLUMNS($AD$1006:AD1006),$AD$1006:$AU$1006,0)), HYPERLINK("#",""), HYPERLINK(CONCATENATE("#metadata!", ADDRESS(INDEX($Y$2:$Y$1001,MATCH(ROWS($W$2:W792),$W$2:$W$1001,0),0), INDEX($AD$1004:$AU$1004,1,MATCH(COLUMNS($AD$1006:AD1006),$AD$1006:$AU$1006,0)))),"Fix")))</f>
        <v xml:space="preserve"> </v>
      </c>
      <c r="C792" s="4" t="str">
        <f ca="1">IF(OR(INDEX($X$2:$X$1001,MATCH(ROWS($W$2:W792),$W$2:$W$1001,0),1)&gt;=100000,INDEX($AD$1005:$AU$1005,1,MATCH(COLUMNS($AD$1006:AE1006),$AD$1006:$AU$1006,0))&gt;=100000), " ",IF(INDEX($AD$2:$AU$1001,MATCH(ROWS($W$2:W792),$W$2:$W$1001,0),MATCH(COLUMNS($AD$1006:AE1006),$AD$1006:$AU$1006,0)), HYPERLINK("#",""), HYPERLINK(CONCATENATE("#metadata!", ADDRESS(INDEX($Y$2:$Y$1001,MATCH(ROWS($W$2:W792),$W$2:$W$1001,0),0), INDEX($AD$1004:$AU$1004,1,MATCH(COLUMNS($AD$1006:AE1006),$AD$1006:$AU$1006,0)))),"Fix")))</f>
        <v xml:space="preserve"> </v>
      </c>
      <c r="D792" s="4" t="str">
        <f ca="1">IF(OR(INDEX($X$2:$X$1001,MATCH(ROWS($W$2:W792),$W$2:$W$1001,0),1)&gt;=100000,INDEX($AD$1005:$AU$1005,1,MATCH(COLUMNS($AD$1006:AF1006),$AD$1006:$AU$1006,0))&gt;=100000), " ",IF(INDEX($AD$2:$AU$1001,MATCH(ROWS($W$2:W792),$W$2:$W$1001,0),MATCH(COLUMNS($AD$1006:AF1006),$AD$1006:$AU$1006,0)), HYPERLINK("#",""), HYPERLINK(CONCATENATE("#metadata!", ADDRESS(INDEX($Y$2:$Y$1001,MATCH(ROWS($W$2:W792),$W$2:$W$1001,0),0), INDEX($AD$1004:$AU$1004,1,MATCH(COLUMNS($AD$1006:AF1006),$AD$1006:$AU$1006,0)))),"Fix")))</f>
        <v xml:space="preserve"> </v>
      </c>
      <c r="E792" s="4" t="str">
        <f ca="1">IF(OR(INDEX($X$2:$X$1001,MATCH(ROWS($W$2:W792),$W$2:$W$1001,0),1)&gt;=100000,INDEX($AD$1005:$AU$1005,1,MATCH(COLUMNS($AD$1006:AG1006),$AD$1006:$AU$1006,0))&gt;=100000), " ",IF(INDEX($AD$2:$AU$1001,MATCH(ROWS($W$2:W792),$W$2:$W$1001,0),MATCH(COLUMNS($AD$1006:AG1006),$AD$1006:$AU$1006,0)), HYPERLINK("#",""), HYPERLINK(CONCATENATE("#metadata!", ADDRESS(INDEX($Y$2:$Y$1001,MATCH(ROWS($W$2:W792),$W$2:$W$1001,0),0), INDEX($AD$1004:$AU$1004,1,MATCH(COLUMNS($AD$1006:AG1006),$AD$1006:$AU$1006,0)))),"Fix")))</f>
        <v xml:space="preserve"> </v>
      </c>
      <c r="F792" s="4" t="str">
        <f ca="1">IF(OR(INDEX($X$2:$X$1001,MATCH(ROWS($W$2:W792),$W$2:$W$1001,0),1)&gt;=100000,INDEX($AD$1005:$AU$1005,1,MATCH(COLUMNS($AD$1006:AH1006),$AD$1006:$AU$1006,0))&gt;=100000), " ",IF(INDEX($AD$2:$AU$1001,MATCH(ROWS($W$2:W792),$W$2:$W$1001,0),MATCH(COLUMNS($AD$1006:AH1006),$AD$1006:$AU$1006,0)), HYPERLINK("#",""), HYPERLINK(CONCATENATE("#metadata!", ADDRESS(INDEX($Y$2:$Y$1001,MATCH(ROWS($W$2:W792),$W$2:$W$1001,0),0), INDEX($AD$1004:$AU$1004,1,MATCH(COLUMNS($AD$1006:AH1006),$AD$1006:$AU$1006,0)))),"Fix")))</f>
        <v xml:space="preserve"> </v>
      </c>
      <c r="G792" s="4" t="str">
        <f ca="1">IF(OR(INDEX($X$2:$X$1001,MATCH(ROWS($W$2:W792),$W$2:$W$1001,0),1)&gt;=100000,INDEX($AD$1005:$AU$1005,1,MATCH(COLUMNS($AD$1006:AI1006),$AD$1006:$AU$1006,0))&gt;=100000), " ",IF(INDEX($AD$2:$AU$1001,MATCH(ROWS($W$2:W792),$W$2:$W$1001,0),MATCH(COLUMNS($AD$1006:AI1006),$AD$1006:$AU$1006,0)), HYPERLINK("#",""), HYPERLINK(CONCATENATE("#metadata!", ADDRESS(INDEX($Y$2:$Y$1001,MATCH(ROWS($W$2:W792),$W$2:$W$1001,0),0), INDEX($AD$1004:$AU$1004,1,MATCH(COLUMNS($AD$1006:AI1006),$AD$1006:$AU$1006,0)))),"Fix")))</f>
        <v xml:space="preserve"> </v>
      </c>
      <c r="H792" s="4" t="str">
        <f ca="1">IF(OR(INDEX($X$2:$X$1001,MATCH(ROWS($W$2:W792),$W$2:$W$1001,0),1)&gt;=100000,INDEX($AD$1005:$AU$1005,1,MATCH(COLUMNS($AD$1006:AJ1006),$AD$1006:$AU$1006,0))&gt;=100000), " ",IF(INDEX($AD$2:$AU$1001,MATCH(ROWS($W$2:W792),$W$2:$W$1001,0),MATCH(COLUMNS($AD$1006:AJ1006),$AD$1006:$AU$1006,0)), HYPERLINK("#",""), HYPERLINK(CONCATENATE("#metadata!", ADDRESS(INDEX($Y$2:$Y$1001,MATCH(ROWS($W$2:W792),$W$2:$W$1001,0),0), INDEX($AD$1004:$AU$1004,1,MATCH(COLUMNS($AD$1006:AJ1006),$AD$1006:$AU$1006,0)))),"Fix")))</f>
        <v xml:space="preserve"> </v>
      </c>
      <c r="I792" s="4" t="str">
        <f ca="1">IF(OR(INDEX($X$2:$X$1001,MATCH(ROWS($W$2:W792),$W$2:$W$1001,0),1)&gt;=100000,INDEX($AD$1005:$AU$1005,1,MATCH(COLUMNS($AD$1006:AK1006),$AD$1006:$AU$1006,0))&gt;=100000), " ",IF(INDEX($AD$2:$AU$1001,MATCH(ROWS($W$2:W792),$W$2:$W$1001,0),MATCH(COLUMNS($AD$1006:AK1006),$AD$1006:$AU$1006,0)), HYPERLINK("#",""), HYPERLINK(CONCATENATE("#metadata!", ADDRESS(INDEX($Y$2:$Y$1001,MATCH(ROWS($W$2:W792),$W$2:$W$1001,0),0), INDEX($AD$1004:$AU$1004,1,MATCH(COLUMNS($AD$1006:AK1006),$AD$1006:$AU$1006,0)))),"Fix")))</f>
        <v xml:space="preserve"> </v>
      </c>
      <c r="J792" s="4" t="str">
        <f ca="1">IF(OR(INDEX($X$2:$X$1001,MATCH(ROWS($W$2:W792),$W$2:$W$1001,0),1)&gt;=100000,INDEX($AD$1005:$AU$1005,1,MATCH(COLUMNS($AD$1006:AL1006),$AD$1006:$AU$1006,0))&gt;=100000), " ",IF(INDEX($AD$2:$AU$1001,MATCH(ROWS($W$2:W792),$W$2:$W$1001,0),MATCH(COLUMNS($AD$1006:AL1006),$AD$1006:$AU$1006,0)), HYPERLINK("#",""), HYPERLINK(CONCATENATE("#metadata!", ADDRESS(INDEX($Y$2:$Y$1001,MATCH(ROWS($W$2:W792),$W$2:$W$1001,0),0), INDEX($AD$1004:$AU$1004,1,MATCH(COLUMNS($AD$1006:AL1006),$AD$1006:$AU$1006,0)))),"Fix")))</f>
        <v xml:space="preserve"> </v>
      </c>
      <c r="K792" s="4" t="str">
        <f ca="1">IF(OR(INDEX($X$2:$X$1001,MATCH(ROWS($W$2:W792),$W$2:$W$1001,0),1)&gt;=100000,INDEX($AD$1005:$AU$1005,1,MATCH(COLUMNS($AD$1006:AM1006),$AD$1006:$AU$1006,0))&gt;=100000), " ",IF(INDEX($AD$2:$AU$1001,MATCH(ROWS($W$2:W792),$W$2:$W$1001,0),MATCH(COLUMNS($AD$1006:AM1006),$AD$1006:$AU$1006,0)), HYPERLINK("#",""), HYPERLINK(CONCATENATE("#metadata!", ADDRESS(INDEX($Y$2:$Y$1001,MATCH(ROWS($W$2:W792),$W$2:$W$1001,0),0), INDEX($AD$1004:$AU$1004,1,MATCH(COLUMNS($AD$1006:AM1006),$AD$1006:$AU$1006,0)))),"Fix")))</f>
        <v xml:space="preserve"> </v>
      </c>
      <c r="L792" s="4" t="str">
        <f ca="1">IF(OR(INDEX($X$2:$X$1001,MATCH(ROWS($W$2:W792),$W$2:$W$1001,0),1)&gt;=100000,INDEX($AD$1005:$AU$1005,1,MATCH(COLUMNS($AD$1006:AN1006),$AD$1006:$AU$1006,0))&gt;=100000), " ",IF(INDEX($AD$2:$AU$1001,MATCH(ROWS($W$2:W792),$W$2:$W$1001,0),MATCH(COLUMNS($AD$1006:AN1006),$AD$1006:$AU$1006,0)), HYPERLINK("#",""), HYPERLINK(CONCATENATE("#metadata!", ADDRESS(INDEX($Y$2:$Y$1001,MATCH(ROWS($W$2:W792),$W$2:$W$1001,0),0), INDEX($AD$1004:$AU$1004,1,MATCH(COLUMNS($AD$1006:AN1006),$AD$1006:$AU$1006,0)))),"Fix")))</f>
        <v xml:space="preserve"> </v>
      </c>
      <c r="M792" s="4" t="str">
        <f ca="1">IF(OR(INDEX($X$2:$X$1001,MATCH(ROWS($W$2:W792),$W$2:$W$1001,0),1)&gt;=100000,INDEX($AD$1005:$AU$1005,1,MATCH(COLUMNS($AD$1006:AO1006),$AD$1006:$AU$1006,0))&gt;=100000), " ",IF(INDEX($AD$2:$AU$1001,MATCH(ROWS($W$2:W792),$W$2:$W$1001,0),MATCH(COLUMNS($AD$1006:AO1006),$AD$1006:$AU$1006,0)), HYPERLINK("#",""), HYPERLINK(CONCATENATE("#metadata!", ADDRESS(INDEX($Y$2:$Y$1001,MATCH(ROWS($W$2:W792),$W$2:$W$1001,0),0), INDEX($AD$1004:$AU$1004,1,MATCH(COLUMNS($AD$1006:AO1006),$AD$1006:$AU$1006,0)))),"Fix")))</f>
        <v xml:space="preserve"> </v>
      </c>
      <c r="N792" s="4" t="str">
        <f ca="1">IF(OR(INDEX($X$2:$X$1001,MATCH(ROWS($W$2:W792),$W$2:$W$1001,0),1)&gt;=100000,INDEX($AD$1005:$AU$1005,1,MATCH(COLUMNS($AD$1006:AP1006),$AD$1006:$AU$1006,0))&gt;=100000), " ",IF(INDEX($AD$2:$AU$1001,MATCH(ROWS($W$2:W792),$W$2:$W$1001,0),MATCH(COLUMNS($AD$1006:AP1006),$AD$1006:$AU$1006,0)), HYPERLINK("#",""), HYPERLINK(CONCATENATE("#metadata!", ADDRESS(INDEX($Y$2:$Y$1001,MATCH(ROWS($W$2:W792),$W$2:$W$1001,0),0), INDEX($AD$1004:$AU$1004,1,MATCH(COLUMNS($AD$1006:AP1006),$AD$1006:$AU$1006,0)))),"Fix")))</f>
        <v xml:space="preserve"> </v>
      </c>
      <c r="O792" s="4" t="str">
        <f ca="1">IF(OR(INDEX($X$2:$X$1001,MATCH(ROWS($W$2:W792),$W$2:$W$1001,0),1)&gt;=100000,INDEX($AD$1005:$AU$1005,1,MATCH(COLUMNS($AD$1006:AQ1006),$AD$1006:$AU$1006,0))&gt;=100000), " ",IF(INDEX($AD$2:$AU$1001,MATCH(ROWS($W$2:W792),$W$2:$W$1001,0),MATCH(COLUMNS($AD$1006:AQ1006),$AD$1006:$AU$1006,0)), HYPERLINK("#",""), HYPERLINK(CONCATENATE("#metadata!", ADDRESS(INDEX($Y$2:$Y$1001,MATCH(ROWS($W$2:W792),$W$2:$W$1001,0),0), INDEX($AD$1004:$AU$1004,1,MATCH(COLUMNS($AD$1006:AQ1006),$AD$1006:$AU$1006,0)))),"Fix")))</f>
        <v xml:space="preserve"> </v>
      </c>
      <c r="P792" s="4" t="str">
        <f ca="1">IF(OR(INDEX($X$2:$X$1001,MATCH(ROWS($W$2:W792),$W$2:$W$1001,0),1)&gt;=100000,INDEX($AD$1005:$AU$1005,1,MATCH(COLUMNS($AD$1006:AR1006),$AD$1006:$AU$1006,0))&gt;=100000), " ",IF(INDEX($AD$2:$AU$1001,MATCH(ROWS($W$2:W792),$W$2:$W$1001,0),MATCH(COLUMNS($AD$1006:AR1006),$AD$1006:$AU$1006,0)), HYPERLINK("#",""), HYPERLINK(CONCATENATE("#metadata!", ADDRESS(INDEX($Y$2:$Y$1001,MATCH(ROWS($W$2:W792),$W$2:$W$1001,0),0), INDEX($AD$1004:$AU$1004,1,MATCH(COLUMNS($AD$1006:AR1006),$AD$1006:$AU$1006,0)))),"Fix")))</f>
        <v xml:space="preserve"> </v>
      </c>
      <c r="Q792" s="4" t="str">
        <f ca="1">IF(OR(INDEX($X$2:$X$1001,MATCH(ROWS($W$2:W792),$W$2:$W$1001,0),1)&gt;=100000,INDEX($AD$1005:$AU$1005,1,MATCH(COLUMNS($AD$1006:AS1006),$AD$1006:$AU$1006,0))&gt;=100000), " ",IF(INDEX($AD$2:$AU$1001,MATCH(ROWS($W$2:W792),$W$2:$W$1001,0),MATCH(COLUMNS($AD$1006:AS1006),$AD$1006:$AU$1006,0)), HYPERLINK("#",""), HYPERLINK(CONCATENATE("#metadata!", ADDRESS(INDEX($Y$2:$Y$1001,MATCH(ROWS($W$2:W792),$W$2:$W$1001,0),0), INDEX($AD$1004:$AU$1004,1,MATCH(COLUMNS($AD$1006:AS1006),$AD$1006:$AU$1006,0)))),"Fix")))</f>
        <v xml:space="preserve"> </v>
      </c>
      <c r="R792" s="4" t="str">
        <f ca="1">IF(OR(INDEX($X$2:$X$1001,MATCH(ROWS($W$2:W792),$W$2:$W$1001,0),1)&gt;=100000,INDEX($AD$1005:$AU$1005,1,MATCH(COLUMNS($AD$1006:AT1006),$AD$1006:$AU$1006,0))&gt;=100000), " ",IF(INDEX($AD$2:$AU$1001,MATCH(ROWS($W$2:W792),$W$2:$W$1001,0),MATCH(COLUMNS($AD$1006:AT1006),$AD$1006:$AU$1006,0)), HYPERLINK("#",""), HYPERLINK(CONCATENATE("#metadata!", ADDRESS(INDEX($Y$2:$Y$1001,MATCH(ROWS($W$2:W792),$W$2:$W$1001,0),0), INDEX($AD$1004:$AU$1004,1,MATCH(COLUMNS($AD$1006:AT1006),$AD$1006:$AU$1006,0)))),"Fix")))</f>
        <v xml:space="preserve"> </v>
      </c>
      <c r="S792" s="4" t="str">
        <f ca="1">IF(OR(INDEX($X$2:$X$1001,MATCH(ROWS($W$2:W792),$W$2:$W$1001,0),1)&gt;=100000,INDEX($AD$1005:$AU$1005,1,MATCH(COLUMNS($AD$1006:AU1006),$AD$1006:$AU$1006,0))&gt;=100000), " ",IF(INDEX($AD$2:$AU$1001,MATCH(ROWS($W$2:W792),$W$2:$W$1001,0),MATCH(COLUMNS($AD$1006:AU1006),$AD$1006:$AU$1006,0)), HYPERLINK("#",""), HYPERLINK(CONCATENATE("#metadata!", ADDRESS(INDEX($Y$2:$Y$1001,MATCH(ROWS($W$2:W792),$W$2:$W$1001,0),0), INDEX($AD$1004:$AU$1004,1,MATCH(COLUMNS($AD$1006:AU1006),$AD$1006:$AU$1006,0)))),"Fix")))</f>
        <v xml:space="preserve"> </v>
      </c>
      <c r="W792">
        <v>791</v>
      </c>
      <c r="X792">
        <v>100792</v>
      </c>
      <c r="Y792">
        <v>792</v>
      </c>
      <c r="Z792" t="b">
        <f t="shared" si="12"/>
        <v>1</v>
      </c>
      <c r="AA792" t="b">
        <f>COUNTBLANK(metadata!B792:S792)=COLUMNS(metadata!B792:S792)</f>
        <v>1</v>
      </c>
      <c r="AB792" t="str">
        <v/>
      </c>
      <c r="AD792" t="b">
        <f ca="1">AND(IF(metadata!B792="",FALSE,TRUE),COUNTIF(metadata!B:B, metadata!B792) = 1,NOT(ISERROR(SUMPRODUCT(SEARCH(MID(metadata!B792,ROW(INDIRECT("1:"&amp;LEN(metadata!B792))), 1),"0123456789abcdefghijklmnopqrstuvwxyzABCDEFGHIJKLMNOPQRSTUVWXYZ.")))))</f>
        <v>0</v>
      </c>
      <c r="AE792" t="b">
        <f>OR(AND(IF(metadata!C792="",FALSE,TRUE),OR(EXACT(metadata!C792,"not applicable"),EXACT(metadata!C792,"missing: not collected"),EXACT(metadata!C792,"missing: not provided"),EXACT(metadata!C792,"missing: restricted access"))),AND(IF(metadata!C792="",FALSE,ISNUMBER(VALUE(metadata!C792))),metadata!C792&gt;0))</f>
        <v>0</v>
      </c>
      <c r="AF792" t="b">
        <f>AND(IF(metadata!D792="",FALSE,TRUE),EXACT(metadata!D792,"missing: not provided"))</f>
        <v>0</v>
      </c>
      <c r="AG792" t="b">
        <f>AND(IF(metadata!E792="",FALSE,TRUE),EXACT(metadata!E792,"Host-associated"))</f>
        <v>0</v>
      </c>
      <c r="AH792" t="b">
        <f>AND(IF(metadata!F792="",FALSE,TRUE),OR(EXACT(metadata!F792,"Animal"),EXACT(metadata!F792,"Fungus"),EXACT(metadata!F792,"Plant")))</f>
        <v>0</v>
      </c>
      <c r="AI792" t="b">
        <f>AND(IF(metadata!G792="",FALSE,TRUE),OR(EXACT(metadata!G792,"Plant secretion"),EXACT(metadata!G792,"Plant rhizosphere"),EXACT(metadata!G792,"Plant surface"),EXACT(metadata!G792,"Plant corpus"),EXACT(metadata!G792,"Fungus surface"),EXACT(metadata!G792,"Fungus corpus"),EXACT(metadata!G792,"Animal surface"),EXACT(metadata!G792,"Animal proximal gut"),EXACT(metadata!G792,"Animal corpus"),EXACT(metadata!G792,"Animal distal gut"),EXACT(metadata!G792,"Animal secretion")))</f>
        <v>0</v>
      </c>
      <c r="AJ792" t="b">
        <f>OR(AND(IF(metadata!H792="",FALSE,TRUE),OR(EXACT(metadata!H792,"missing: not collected"),EXACT(metadata!H792,"missing: not provided"),EXACT(metadata!H792,"missing: restricted access"))),AND(IF(metadata!H792="",FALSE,TRUE),OR(EXACT(metadata!H792,"organism-associated habitat"),EXACT(metadata!H792,"plant-associated habitat"),EXACT(metadata!H792,"animal-associated habitat"),EXACT(metadata!H792,"insecta-associated habitat"),EXACT(metadata!H792,"mammalia-associated habitat"),EXACT(metadata!H792,"human-associated habitat"),EXACT(metadata!H792,"livestock-associated habitat"))))</f>
        <v>0</v>
      </c>
      <c r="AK792" t="b">
        <f>AND(IF(metadata!I792="",FALSE,TRUE),EXACT(metadata!I792,"host-associated"))</f>
        <v>0</v>
      </c>
      <c r="AL792" t="b">
        <f>OR(AND(IF(metadata!J792="",FALSE,TRUE),OR(EXACT(metadata!J792,"not applicable"),EXACT(metadata!J792,"missing: not collected"),EXACT(metadata!J792,"missing: not provided"),EXACT(metadata!J792,"missing: restricted access"))),AND(IF(metadata!J792="",FALSE,ISNUMBER(VALUE(metadata!J792))),metadata!J792&gt;0))</f>
        <v>0</v>
      </c>
      <c r="AM792" t="b">
        <f>AND(IF(metadata!K792="",FALSE,TRUE),EXACT(metadata!K792,"missing: not provided"))</f>
        <v>0</v>
      </c>
      <c r="AN792" t="b">
        <f>IF(metadata!L792="",FALSE,TRUE)</f>
        <v>0</v>
      </c>
      <c r="AO792" t="b">
        <f>IF(metadata!M792="",FALSE,TRUE)</f>
        <v>0</v>
      </c>
      <c r="AP792" t="b">
        <f>OR(AND(IF(metadata!N792="",FALSE,TRUE),OR(EXACT(metadata!N792,"not applicable"),EXACT(metadata!N792,"missing: not collected"),EXACT(metadata!N792,"missing: not provided"))),AND(IF(metadata!N792="",FALSE,IF(ISERROR(INT(metadata!N792)),FALSE,INT(metadata!N792)=metadata!N792)),metadata!N792&gt;0))</f>
        <v>0</v>
      </c>
      <c r="AQ792" t="b">
        <f>AND(IF(metadata!O792="",FALSE,TRUE),EXACT(metadata!O792,"Not applicable"))</f>
        <v>0</v>
      </c>
      <c r="AR792" t="b">
        <f>OR(AND(IF(metadata!P792="",FALSE,TRUE),OR(EXACT(metadata!P792,"not applicable"),EXACT(metadata!P792,"missing: not collected"),EXACT(metadata!P792,"missing: not provided"),EXACT(metadata!P792,"missing: restricted access"))),IF(metadata!P792="",FALSE,IF(ISERROR(INT(metadata!P792)),FALSE,INT(metadata!P792)=metadata!P792)))</f>
        <v>0</v>
      </c>
      <c r="AS792" t="b">
        <f>AND(IF(metadata!Q792="",FALSE,TRUE),EXACT(metadata!Q792,"Not applicable"))</f>
        <v>0</v>
      </c>
      <c r="AT792" t="b">
        <f>OR(AND(IF(metadata!R792="",FALSE,TRUE),OR(EXACT(metadata!R792,"not applicable"),EXACT(metadata!R792,"missing: not collected"),EXACT(metadata!R792,"missing: not provided"),EXACT(metadata!R792,"missing: restricted access"))),AND(IF(metadata!R792="",FALSE,ISNUMBER(VALUE(metadata!R792))),metadata!R792&gt;0))</f>
        <v>0</v>
      </c>
      <c r="AU792" t="b">
        <f>AND(IF(metadata!S792="",FALSE,TRUE),EXACT(metadata!S792,"missing: not provided"))</f>
        <v>0</v>
      </c>
    </row>
    <row r="793" spans="1:47" x14ac:dyDescent="0.2">
      <c r="A793" s="5" t="str">
        <f ca="1">IF(B793=" "," ",HYPERLINK(CONCATENATE("#metadata!",ADDRESS(INDEX($Y$2:$Y$1001,MATCH(ROWS($W$2:W793),$W$2:$W$1001,0),0),1)),INDEX($AB$2:$AB$1001,MATCH(ROWS($W$2:W793),$W$2:$W$1001,0),0)))</f>
        <v xml:space="preserve"> </v>
      </c>
      <c r="B793" s="4" t="str">
        <f ca="1">IF(OR(INDEX($X$2:$X$1001,MATCH(ROWS($W$2:W793),$W$2:$W$1001,0),1)&gt;=100000,INDEX($AD$1005:$AU$1005,1,MATCH(COLUMNS($AD$1006:AD1006),$AD$1006:$AU$1006,0))&gt;=100000), " ",IF(INDEX($AD$2:$AU$1001,MATCH(ROWS($W$2:W793),$W$2:$W$1001,0),MATCH(COLUMNS($AD$1006:AD1006),$AD$1006:$AU$1006,0)), HYPERLINK("#",""), HYPERLINK(CONCATENATE("#metadata!", ADDRESS(INDEX($Y$2:$Y$1001,MATCH(ROWS($W$2:W793),$W$2:$W$1001,0),0), INDEX($AD$1004:$AU$1004,1,MATCH(COLUMNS($AD$1006:AD1006),$AD$1006:$AU$1006,0)))),"Fix")))</f>
        <v xml:space="preserve"> </v>
      </c>
      <c r="C793" s="4" t="str">
        <f ca="1">IF(OR(INDEX($X$2:$X$1001,MATCH(ROWS($W$2:W793),$W$2:$W$1001,0),1)&gt;=100000,INDEX($AD$1005:$AU$1005,1,MATCH(COLUMNS($AD$1006:AE1006),$AD$1006:$AU$1006,0))&gt;=100000), " ",IF(INDEX($AD$2:$AU$1001,MATCH(ROWS($W$2:W793),$W$2:$W$1001,0),MATCH(COLUMNS($AD$1006:AE1006),$AD$1006:$AU$1006,0)), HYPERLINK("#",""), HYPERLINK(CONCATENATE("#metadata!", ADDRESS(INDEX($Y$2:$Y$1001,MATCH(ROWS($W$2:W793),$W$2:$W$1001,0),0), INDEX($AD$1004:$AU$1004,1,MATCH(COLUMNS($AD$1006:AE1006),$AD$1006:$AU$1006,0)))),"Fix")))</f>
        <v xml:space="preserve"> </v>
      </c>
      <c r="D793" s="4" t="str">
        <f ca="1">IF(OR(INDEX($X$2:$X$1001,MATCH(ROWS($W$2:W793),$W$2:$W$1001,0),1)&gt;=100000,INDEX($AD$1005:$AU$1005,1,MATCH(COLUMNS($AD$1006:AF1006),$AD$1006:$AU$1006,0))&gt;=100000), " ",IF(INDEX($AD$2:$AU$1001,MATCH(ROWS($W$2:W793),$W$2:$W$1001,0),MATCH(COLUMNS($AD$1006:AF1006),$AD$1006:$AU$1006,0)), HYPERLINK("#",""), HYPERLINK(CONCATENATE("#metadata!", ADDRESS(INDEX($Y$2:$Y$1001,MATCH(ROWS($W$2:W793),$W$2:$W$1001,0),0), INDEX($AD$1004:$AU$1004,1,MATCH(COLUMNS($AD$1006:AF1006),$AD$1006:$AU$1006,0)))),"Fix")))</f>
        <v xml:space="preserve"> </v>
      </c>
      <c r="E793" s="4" t="str">
        <f ca="1">IF(OR(INDEX($X$2:$X$1001,MATCH(ROWS($W$2:W793),$W$2:$W$1001,0),1)&gt;=100000,INDEX($AD$1005:$AU$1005,1,MATCH(COLUMNS($AD$1006:AG1006),$AD$1006:$AU$1006,0))&gt;=100000), " ",IF(INDEX($AD$2:$AU$1001,MATCH(ROWS($W$2:W793),$W$2:$W$1001,0),MATCH(COLUMNS($AD$1006:AG1006),$AD$1006:$AU$1006,0)), HYPERLINK("#",""), HYPERLINK(CONCATENATE("#metadata!", ADDRESS(INDEX($Y$2:$Y$1001,MATCH(ROWS($W$2:W793),$W$2:$W$1001,0),0), INDEX($AD$1004:$AU$1004,1,MATCH(COLUMNS($AD$1006:AG1006),$AD$1006:$AU$1006,0)))),"Fix")))</f>
        <v xml:space="preserve"> </v>
      </c>
      <c r="F793" s="4" t="str">
        <f ca="1">IF(OR(INDEX($X$2:$X$1001,MATCH(ROWS($W$2:W793),$W$2:$W$1001,0),1)&gt;=100000,INDEX($AD$1005:$AU$1005,1,MATCH(COLUMNS($AD$1006:AH1006),$AD$1006:$AU$1006,0))&gt;=100000), " ",IF(INDEX($AD$2:$AU$1001,MATCH(ROWS($W$2:W793),$W$2:$W$1001,0),MATCH(COLUMNS($AD$1006:AH1006),$AD$1006:$AU$1006,0)), HYPERLINK("#",""), HYPERLINK(CONCATENATE("#metadata!", ADDRESS(INDEX($Y$2:$Y$1001,MATCH(ROWS($W$2:W793),$W$2:$W$1001,0),0), INDEX($AD$1004:$AU$1004,1,MATCH(COLUMNS($AD$1006:AH1006),$AD$1006:$AU$1006,0)))),"Fix")))</f>
        <v xml:space="preserve"> </v>
      </c>
      <c r="G793" s="4" t="str">
        <f ca="1">IF(OR(INDEX($X$2:$X$1001,MATCH(ROWS($W$2:W793),$W$2:$W$1001,0),1)&gt;=100000,INDEX($AD$1005:$AU$1005,1,MATCH(COLUMNS($AD$1006:AI1006),$AD$1006:$AU$1006,0))&gt;=100000), " ",IF(INDEX($AD$2:$AU$1001,MATCH(ROWS($W$2:W793),$W$2:$W$1001,0),MATCH(COLUMNS($AD$1006:AI1006),$AD$1006:$AU$1006,0)), HYPERLINK("#",""), HYPERLINK(CONCATENATE("#metadata!", ADDRESS(INDEX($Y$2:$Y$1001,MATCH(ROWS($W$2:W793),$W$2:$W$1001,0),0), INDEX($AD$1004:$AU$1004,1,MATCH(COLUMNS($AD$1006:AI1006),$AD$1006:$AU$1006,0)))),"Fix")))</f>
        <v xml:space="preserve"> </v>
      </c>
      <c r="H793" s="4" t="str">
        <f ca="1">IF(OR(INDEX($X$2:$X$1001,MATCH(ROWS($W$2:W793),$W$2:$W$1001,0),1)&gt;=100000,INDEX($AD$1005:$AU$1005,1,MATCH(COLUMNS($AD$1006:AJ1006),$AD$1006:$AU$1006,0))&gt;=100000), " ",IF(INDEX($AD$2:$AU$1001,MATCH(ROWS($W$2:W793),$W$2:$W$1001,0),MATCH(COLUMNS($AD$1006:AJ1006),$AD$1006:$AU$1006,0)), HYPERLINK("#",""), HYPERLINK(CONCATENATE("#metadata!", ADDRESS(INDEX($Y$2:$Y$1001,MATCH(ROWS($W$2:W793),$W$2:$W$1001,0),0), INDEX($AD$1004:$AU$1004,1,MATCH(COLUMNS($AD$1006:AJ1006),$AD$1006:$AU$1006,0)))),"Fix")))</f>
        <v xml:space="preserve"> </v>
      </c>
      <c r="I793" s="4" t="str">
        <f ca="1">IF(OR(INDEX($X$2:$X$1001,MATCH(ROWS($W$2:W793),$W$2:$W$1001,0),1)&gt;=100000,INDEX($AD$1005:$AU$1005,1,MATCH(COLUMNS($AD$1006:AK1006),$AD$1006:$AU$1006,0))&gt;=100000), " ",IF(INDEX($AD$2:$AU$1001,MATCH(ROWS($W$2:W793),$W$2:$W$1001,0),MATCH(COLUMNS($AD$1006:AK1006),$AD$1006:$AU$1006,0)), HYPERLINK("#",""), HYPERLINK(CONCATENATE("#metadata!", ADDRESS(INDEX($Y$2:$Y$1001,MATCH(ROWS($W$2:W793),$W$2:$W$1001,0),0), INDEX($AD$1004:$AU$1004,1,MATCH(COLUMNS($AD$1006:AK1006),$AD$1006:$AU$1006,0)))),"Fix")))</f>
        <v xml:space="preserve"> </v>
      </c>
      <c r="J793" s="4" t="str">
        <f ca="1">IF(OR(INDEX($X$2:$X$1001,MATCH(ROWS($W$2:W793),$W$2:$W$1001,0),1)&gt;=100000,INDEX($AD$1005:$AU$1005,1,MATCH(COLUMNS($AD$1006:AL1006),$AD$1006:$AU$1006,0))&gt;=100000), " ",IF(INDEX($AD$2:$AU$1001,MATCH(ROWS($W$2:W793),$W$2:$W$1001,0),MATCH(COLUMNS($AD$1006:AL1006),$AD$1006:$AU$1006,0)), HYPERLINK("#",""), HYPERLINK(CONCATENATE("#metadata!", ADDRESS(INDEX($Y$2:$Y$1001,MATCH(ROWS($W$2:W793),$W$2:$W$1001,0),0), INDEX($AD$1004:$AU$1004,1,MATCH(COLUMNS($AD$1006:AL1006),$AD$1006:$AU$1006,0)))),"Fix")))</f>
        <v xml:space="preserve"> </v>
      </c>
      <c r="K793" s="4" t="str">
        <f ca="1">IF(OR(INDEX($X$2:$X$1001,MATCH(ROWS($W$2:W793),$W$2:$W$1001,0),1)&gt;=100000,INDEX($AD$1005:$AU$1005,1,MATCH(COLUMNS($AD$1006:AM1006),$AD$1006:$AU$1006,0))&gt;=100000), " ",IF(INDEX($AD$2:$AU$1001,MATCH(ROWS($W$2:W793),$W$2:$W$1001,0),MATCH(COLUMNS($AD$1006:AM1006),$AD$1006:$AU$1006,0)), HYPERLINK("#",""), HYPERLINK(CONCATENATE("#metadata!", ADDRESS(INDEX($Y$2:$Y$1001,MATCH(ROWS($W$2:W793),$W$2:$W$1001,0),0), INDEX($AD$1004:$AU$1004,1,MATCH(COLUMNS($AD$1006:AM1006),$AD$1006:$AU$1006,0)))),"Fix")))</f>
        <v xml:space="preserve"> </v>
      </c>
      <c r="L793" s="4" t="str">
        <f ca="1">IF(OR(INDEX($X$2:$X$1001,MATCH(ROWS($W$2:W793),$W$2:$W$1001,0),1)&gt;=100000,INDEX($AD$1005:$AU$1005,1,MATCH(COLUMNS($AD$1006:AN1006),$AD$1006:$AU$1006,0))&gt;=100000), " ",IF(INDEX($AD$2:$AU$1001,MATCH(ROWS($W$2:W793),$W$2:$W$1001,0),MATCH(COLUMNS($AD$1006:AN1006),$AD$1006:$AU$1006,0)), HYPERLINK("#",""), HYPERLINK(CONCATENATE("#metadata!", ADDRESS(INDEX($Y$2:$Y$1001,MATCH(ROWS($W$2:W793),$W$2:$W$1001,0),0), INDEX($AD$1004:$AU$1004,1,MATCH(COLUMNS($AD$1006:AN1006),$AD$1006:$AU$1006,0)))),"Fix")))</f>
        <v xml:space="preserve"> </v>
      </c>
      <c r="M793" s="4" t="str">
        <f ca="1">IF(OR(INDEX($X$2:$X$1001,MATCH(ROWS($W$2:W793),$W$2:$W$1001,0),1)&gt;=100000,INDEX($AD$1005:$AU$1005,1,MATCH(COLUMNS($AD$1006:AO1006),$AD$1006:$AU$1006,0))&gt;=100000), " ",IF(INDEX($AD$2:$AU$1001,MATCH(ROWS($W$2:W793),$W$2:$W$1001,0),MATCH(COLUMNS($AD$1006:AO1006),$AD$1006:$AU$1006,0)), HYPERLINK("#",""), HYPERLINK(CONCATENATE("#metadata!", ADDRESS(INDEX($Y$2:$Y$1001,MATCH(ROWS($W$2:W793),$W$2:$W$1001,0),0), INDEX($AD$1004:$AU$1004,1,MATCH(COLUMNS($AD$1006:AO1006),$AD$1006:$AU$1006,0)))),"Fix")))</f>
        <v xml:space="preserve"> </v>
      </c>
      <c r="N793" s="4" t="str">
        <f ca="1">IF(OR(INDEX($X$2:$X$1001,MATCH(ROWS($W$2:W793),$W$2:$W$1001,0),1)&gt;=100000,INDEX($AD$1005:$AU$1005,1,MATCH(COLUMNS($AD$1006:AP1006),$AD$1006:$AU$1006,0))&gt;=100000), " ",IF(INDEX($AD$2:$AU$1001,MATCH(ROWS($W$2:W793),$W$2:$W$1001,0),MATCH(COLUMNS($AD$1006:AP1006),$AD$1006:$AU$1006,0)), HYPERLINK("#",""), HYPERLINK(CONCATENATE("#metadata!", ADDRESS(INDEX($Y$2:$Y$1001,MATCH(ROWS($W$2:W793),$W$2:$W$1001,0),0), INDEX($AD$1004:$AU$1004,1,MATCH(COLUMNS($AD$1006:AP1006),$AD$1006:$AU$1006,0)))),"Fix")))</f>
        <v xml:space="preserve"> </v>
      </c>
      <c r="O793" s="4" t="str">
        <f ca="1">IF(OR(INDEX($X$2:$X$1001,MATCH(ROWS($W$2:W793),$W$2:$W$1001,0),1)&gt;=100000,INDEX($AD$1005:$AU$1005,1,MATCH(COLUMNS($AD$1006:AQ1006),$AD$1006:$AU$1006,0))&gt;=100000), " ",IF(INDEX($AD$2:$AU$1001,MATCH(ROWS($W$2:W793),$W$2:$W$1001,0),MATCH(COLUMNS($AD$1006:AQ1006),$AD$1006:$AU$1006,0)), HYPERLINK("#",""), HYPERLINK(CONCATENATE("#metadata!", ADDRESS(INDEX($Y$2:$Y$1001,MATCH(ROWS($W$2:W793),$W$2:$W$1001,0),0), INDEX($AD$1004:$AU$1004,1,MATCH(COLUMNS($AD$1006:AQ1006),$AD$1006:$AU$1006,0)))),"Fix")))</f>
        <v xml:space="preserve"> </v>
      </c>
      <c r="P793" s="4" t="str">
        <f ca="1">IF(OR(INDEX($X$2:$X$1001,MATCH(ROWS($W$2:W793),$W$2:$W$1001,0),1)&gt;=100000,INDEX($AD$1005:$AU$1005,1,MATCH(COLUMNS($AD$1006:AR1006),$AD$1006:$AU$1006,0))&gt;=100000), " ",IF(INDEX($AD$2:$AU$1001,MATCH(ROWS($W$2:W793),$W$2:$W$1001,0),MATCH(COLUMNS($AD$1006:AR1006),$AD$1006:$AU$1006,0)), HYPERLINK("#",""), HYPERLINK(CONCATENATE("#metadata!", ADDRESS(INDEX($Y$2:$Y$1001,MATCH(ROWS($W$2:W793),$W$2:$W$1001,0),0), INDEX($AD$1004:$AU$1004,1,MATCH(COLUMNS($AD$1006:AR1006),$AD$1006:$AU$1006,0)))),"Fix")))</f>
        <v xml:space="preserve"> </v>
      </c>
      <c r="Q793" s="4" t="str">
        <f ca="1">IF(OR(INDEX($X$2:$X$1001,MATCH(ROWS($W$2:W793),$W$2:$W$1001,0),1)&gt;=100000,INDEX($AD$1005:$AU$1005,1,MATCH(COLUMNS($AD$1006:AS1006),$AD$1006:$AU$1006,0))&gt;=100000), " ",IF(INDEX($AD$2:$AU$1001,MATCH(ROWS($W$2:W793),$W$2:$W$1001,0),MATCH(COLUMNS($AD$1006:AS1006),$AD$1006:$AU$1006,0)), HYPERLINK("#",""), HYPERLINK(CONCATENATE("#metadata!", ADDRESS(INDEX($Y$2:$Y$1001,MATCH(ROWS($W$2:W793),$W$2:$W$1001,0),0), INDEX($AD$1004:$AU$1004,1,MATCH(COLUMNS($AD$1006:AS1006),$AD$1006:$AU$1006,0)))),"Fix")))</f>
        <v xml:space="preserve"> </v>
      </c>
      <c r="R793" s="4" t="str">
        <f ca="1">IF(OR(INDEX($X$2:$X$1001,MATCH(ROWS($W$2:W793),$W$2:$W$1001,0),1)&gt;=100000,INDEX($AD$1005:$AU$1005,1,MATCH(COLUMNS($AD$1006:AT1006),$AD$1006:$AU$1006,0))&gt;=100000), " ",IF(INDEX($AD$2:$AU$1001,MATCH(ROWS($W$2:W793),$W$2:$W$1001,0),MATCH(COLUMNS($AD$1006:AT1006),$AD$1006:$AU$1006,0)), HYPERLINK("#",""), HYPERLINK(CONCATENATE("#metadata!", ADDRESS(INDEX($Y$2:$Y$1001,MATCH(ROWS($W$2:W793),$W$2:$W$1001,0),0), INDEX($AD$1004:$AU$1004,1,MATCH(COLUMNS($AD$1006:AT1006),$AD$1006:$AU$1006,0)))),"Fix")))</f>
        <v xml:space="preserve"> </v>
      </c>
      <c r="S793" s="4" t="str">
        <f ca="1">IF(OR(INDEX($X$2:$X$1001,MATCH(ROWS($W$2:W793),$W$2:$W$1001,0),1)&gt;=100000,INDEX($AD$1005:$AU$1005,1,MATCH(COLUMNS($AD$1006:AU1006),$AD$1006:$AU$1006,0))&gt;=100000), " ",IF(INDEX($AD$2:$AU$1001,MATCH(ROWS($W$2:W793),$W$2:$W$1001,0),MATCH(COLUMNS($AD$1006:AU1006),$AD$1006:$AU$1006,0)), HYPERLINK("#",""), HYPERLINK(CONCATENATE("#metadata!", ADDRESS(INDEX($Y$2:$Y$1001,MATCH(ROWS($W$2:W793),$W$2:$W$1001,0),0), INDEX($AD$1004:$AU$1004,1,MATCH(COLUMNS($AD$1006:AU1006),$AD$1006:$AU$1006,0)))),"Fix")))</f>
        <v xml:space="preserve"> </v>
      </c>
      <c r="W793">
        <v>792</v>
      </c>
      <c r="X793">
        <v>100793</v>
      </c>
      <c r="Y793">
        <v>793</v>
      </c>
      <c r="Z793" t="b">
        <f t="shared" si="12"/>
        <v>1</v>
      </c>
      <c r="AA793" t="b">
        <f>COUNTBLANK(metadata!B793:S793)=COLUMNS(metadata!B793:S793)</f>
        <v>1</v>
      </c>
      <c r="AB793" t="str">
        <v/>
      </c>
      <c r="AD793" t="b">
        <f ca="1">AND(IF(metadata!B793="",FALSE,TRUE),COUNTIF(metadata!B:B, metadata!B793) = 1,NOT(ISERROR(SUMPRODUCT(SEARCH(MID(metadata!B793,ROW(INDIRECT("1:"&amp;LEN(metadata!B793))), 1),"0123456789abcdefghijklmnopqrstuvwxyzABCDEFGHIJKLMNOPQRSTUVWXYZ.")))))</f>
        <v>0</v>
      </c>
      <c r="AE793" t="b">
        <f>OR(AND(IF(metadata!C793="",FALSE,TRUE),OR(EXACT(metadata!C793,"not applicable"),EXACT(metadata!C793,"missing: not collected"),EXACT(metadata!C793,"missing: not provided"),EXACT(metadata!C793,"missing: restricted access"))),AND(IF(metadata!C793="",FALSE,ISNUMBER(VALUE(metadata!C793))),metadata!C793&gt;0))</f>
        <v>0</v>
      </c>
      <c r="AF793" t="b">
        <f>AND(IF(metadata!D793="",FALSE,TRUE),EXACT(metadata!D793,"missing: not provided"))</f>
        <v>0</v>
      </c>
      <c r="AG793" t="b">
        <f>AND(IF(metadata!E793="",FALSE,TRUE),EXACT(metadata!E793,"Host-associated"))</f>
        <v>0</v>
      </c>
      <c r="AH793" t="b">
        <f>AND(IF(metadata!F793="",FALSE,TRUE),OR(EXACT(metadata!F793,"Animal"),EXACT(metadata!F793,"Fungus"),EXACT(metadata!F793,"Plant")))</f>
        <v>0</v>
      </c>
      <c r="AI793" t="b">
        <f>AND(IF(metadata!G793="",FALSE,TRUE),OR(EXACT(metadata!G793,"Plant secretion"),EXACT(metadata!G793,"Plant rhizosphere"),EXACT(metadata!G793,"Plant surface"),EXACT(metadata!G793,"Plant corpus"),EXACT(metadata!G793,"Fungus surface"),EXACT(metadata!G793,"Fungus corpus"),EXACT(metadata!G793,"Animal surface"),EXACT(metadata!G793,"Animal proximal gut"),EXACT(metadata!G793,"Animal corpus"),EXACT(metadata!G793,"Animal distal gut"),EXACT(metadata!G793,"Animal secretion")))</f>
        <v>0</v>
      </c>
      <c r="AJ793" t="b">
        <f>OR(AND(IF(metadata!H793="",FALSE,TRUE),OR(EXACT(metadata!H793,"missing: not collected"),EXACT(metadata!H793,"missing: not provided"),EXACT(metadata!H793,"missing: restricted access"))),AND(IF(metadata!H793="",FALSE,TRUE),OR(EXACT(metadata!H793,"organism-associated habitat"),EXACT(metadata!H793,"plant-associated habitat"),EXACT(metadata!H793,"animal-associated habitat"),EXACT(metadata!H793,"insecta-associated habitat"),EXACT(metadata!H793,"mammalia-associated habitat"),EXACT(metadata!H793,"human-associated habitat"),EXACT(metadata!H793,"livestock-associated habitat"))))</f>
        <v>0</v>
      </c>
      <c r="AK793" t="b">
        <f>AND(IF(metadata!I793="",FALSE,TRUE),EXACT(metadata!I793,"host-associated"))</f>
        <v>0</v>
      </c>
      <c r="AL793" t="b">
        <f>OR(AND(IF(metadata!J793="",FALSE,TRUE),OR(EXACT(metadata!J793,"not applicable"),EXACT(metadata!J793,"missing: not collected"),EXACT(metadata!J793,"missing: not provided"),EXACT(metadata!J793,"missing: restricted access"))),AND(IF(metadata!J793="",FALSE,ISNUMBER(VALUE(metadata!J793))),metadata!J793&gt;0))</f>
        <v>0</v>
      </c>
      <c r="AM793" t="b">
        <f>AND(IF(metadata!K793="",FALSE,TRUE),EXACT(metadata!K793,"missing: not provided"))</f>
        <v>0</v>
      </c>
      <c r="AN793" t="b">
        <f>IF(metadata!L793="",FALSE,TRUE)</f>
        <v>0</v>
      </c>
      <c r="AO793" t="b">
        <f>IF(metadata!M793="",FALSE,TRUE)</f>
        <v>0</v>
      </c>
      <c r="AP793" t="b">
        <f>OR(AND(IF(metadata!N793="",FALSE,TRUE),OR(EXACT(metadata!N793,"not applicable"),EXACT(metadata!N793,"missing: not collected"),EXACT(metadata!N793,"missing: not provided"))),AND(IF(metadata!N793="",FALSE,IF(ISERROR(INT(metadata!N793)),FALSE,INT(metadata!N793)=metadata!N793)),metadata!N793&gt;0))</f>
        <v>0</v>
      </c>
      <c r="AQ793" t="b">
        <f>AND(IF(metadata!O793="",FALSE,TRUE),EXACT(metadata!O793,"Not applicable"))</f>
        <v>0</v>
      </c>
      <c r="AR793" t="b">
        <f>OR(AND(IF(metadata!P793="",FALSE,TRUE),OR(EXACT(metadata!P793,"not applicable"),EXACT(metadata!P793,"missing: not collected"),EXACT(metadata!P793,"missing: not provided"),EXACT(metadata!P793,"missing: restricted access"))),IF(metadata!P793="",FALSE,IF(ISERROR(INT(metadata!P793)),FALSE,INT(metadata!P793)=metadata!P793)))</f>
        <v>0</v>
      </c>
      <c r="AS793" t="b">
        <f>AND(IF(metadata!Q793="",FALSE,TRUE),EXACT(metadata!Q793,"Not applicable"))</f>
        <v>0</v>
      </c>
      <c r="AT793" t="b">
        <f>OR(AND(IF(metadata!R793="",FALSE,TRUE),OR(EXACT(metadata!R793,"not applicable"),EXACT(metadata!R793,"missing: not collected"),EXACT(metadata!R793,"missing: not provided"),EXACT(metadata!R793,"missing: restricted access"))),AND(IF(metadata!R793="",FALSE,ISNUMBER(VALUE(metadata!R793))),metadata!R793&gt;0))</f>
        <v>0</v>
      </c>
      <c r="AU793" t="b">
        <f>AND(IF(metadata!S793="",FALSE,TRUE),EXACT(metadata!S793,"missing: not provided"))</f>
        <v>0</v>
      </c>
    </row>
    <row r="794" spans="1:47" x14ac:dyDescent="0.2">
      <c r="A794" s="5" t="str">
        <f ca="1">IF(B794=" "," ",HYPERLINK(CONCATENATE("#metadata!",ADDRESS(INDEX($Y$2:$Y$1001,MATCH(ROWS($W$2:W794),$W$2:$W$1001,0),0),1)),INDEX($AB$2:$AB$1001,MATCH(ROWS($W$2:W794),$W$2:$W$1001,0),0)))</f>
        <v xml:space="preserve"> </v>
      </c>
      <c r="B794" s="4" t="str">
        <f ca="1">IF(OR(INDEX($X$2:$X$1001,MATCH(ROWS($W$2:W794),$W$2:$W$1001,0),1)&gt;=100000,INDEX($AD$1005:$AU$1005,1,MATCH(COLUMNS($AD$1006:AD1006),$AD$1006:$AU$1006,0))&gt;=100000), " ",IF(INDEX($AD$2:$AU$1001,MATCH(ROWS($W$2:W794),$W$2:$W$1001,0),MATCH(COLUMNS($AD$1006:AD1006),$AD$1006:$AU$1006,0)), HYPERLINK("#",""), HYPERLINK(CONCATENATE("#metadata!", ADDRESS(INDEX($Y$2:$Y$1001,MATCH(ROWS($W$2:W794),$W$2:$W$1001,0),0), INDEX($AD$1004:$AU$1004,1,MATCH(COLUMNS($AD$1006:AD1006),$AD$1006:$AU$1006,0)))),"Fix")))</f>
        <v xml:space="preserve"> </v>
      </c>
      <c r="C794" s="4" t="str">
        <f ca="1">IF(OR(INDEX($X$2:$X$1001,MATCH(ROWS($W$2:W794),$W$2:$W$1001,0),1)&gt;=100000,INDEX($AD$1005:$AU$1005,1,MATCH(COLUMNS($AD$1006:AE1006),$AD$1006:$AU$1006,0))&gt;=100000), " ",IF(INDEX($AD$2:$AU$1001,MATCH(ROWS($W$2:W794),$W$2:$W$1001,0),MATCH(COLUMNS($AD$1006:AE1006),$AD$1006:$AU$1006,0)), HYPERLINK("#",""), HYPERLINK(CONCATENATE("#metadata!", ADDRESS(INDEX($Y$2:$Y$1001,MATCH(ROWS($W$2:W794),$W$2:$W$1001,0),0), INDEX($AD$1004:$AU$1004,1,MATCH(COLUMNS($AD$1006:AE1006),$AD$1006:$AU$1006,0)))),"Fix")))</f>
        <v xml:space="preserve"> </v>
      </c>
      <c r="D794" s="4" t="str">
        <f ca="1">IF(OR(INDEX($X$2:$X$1001,MATCH(ROWS($W$2:W794),$W$2:$W$1001,0),1)&gt;=100000,INDEX($AD$1005:$AU$1005,1,MATCH(COLUMNS($AD$1006:AF1006),$AD$1006:$AU$1006,0))&gt;=100000), " ",IF(INDEX($AD$2:$AU$1001,MATCH(ROWS($W$2:W794),$W$2:$W$1001,0),MATCH(COLUMNS($AD$1006:AF1006),$AD$1006:$AU$1006,0)), HYPERLINK("#",""), HYPERLINK(CONCATENATE("#metadata!", ADDRESS(INDEX($Y$2:$Y$1001,MATCH(ROWS($W$2:W794),$W$2:$W$1001,0),0), INDEX($AD$1004:$AU$1004,1,MATCH(COLUMNS($AD$1006:AF1006),$AD$1006:$AU$1006,0)))),"Fix")))</f>
        <v xml:space="preserve"> </v>
      </c>
      <c r="E794" s="4" t="str">
        <f ca="1">IF(OR(INDEX($X$2:$X$1001,MATCH(ROWS($W$2:W794),$W$2:$W$1001,0),1)&gt;=100000,INDEX($AD$1005:$AU$1005,1,MATCH(COLUMNS($AD$1006:AG1006),$AD$1006:$AU$1006,0))&gt;=100000), " ",IF(INDEX($AD$2:$AU$1001,MATCH(ROWS($W$2:W794),$W$2:$W$1001,0),MATCH(COLUMNS($AD$1006:AG1006),$AD$1006:$AU$1006,0)), HYPERLINK("#",""), HYPERLINK(CONCATENATE("#metadata!", ADDRESS(INDEX($Y$2:$Y$1001,MATCH(ROWS($W$2:W794),$W$2:$W$1001,0),0), INDEX($AD$1004:$AU$1004,1,MATCH(COLUMNS($AD$1006:AG1006),$AD$1006:$AU$1006,0)))),"Fix")))</f>
        <v xml:space="preserve"> </v>
      </c>
      <c r="F794" s="4" t="str">
        <f ca="1">IF(OR(INDEX($X$2:$X$1001,MATCH(ROWS($W$2:W794),$W$2:$W$1001,0),1)&gt;=100000,INDEX($AD$1005:$AU$1005,1,MATCH(COLUMNS($AD$1006:AH1006),$AD$1006:$AU$1006,0))&gt;=100000), " ",IF(INDEX($AD$2:$AU$1001,MATCH(ROWS($W$2:W794),$W$2:$W$1001,0),MATCH(COLUMNS($AD$1006:AH1006),$AD$1006:$AU$1006,0)), HYPERLINK("#",""), HYPERLINK(CONCATENATE("#metadata!", ADDRESS(INDEX($Y$2:$Y$1001,MATCH(ROWS($W$2:W794),$W$2:$W$1001,0),0), INDEX($AD$1004:$AU$1004,1,MATCH(COLUMNS($AD$1006:AH1006),$AD$1006:$AU$1006,0)))),"Fix")))</f>
        <v xml:space="preserve"> </v>
      </c>
      <c r="G794" s="4" t="str">
        <f ca="1">IF(OR(INDEX($X$2:$X$1001,MATCH(ROWS($W$2:W794),$W$2:$W$1001,0),1)&gt;=100000,INDEX($AD$1005:$AU$1005,1,MATCH(COLUMNS($AD$1006:AI1006),$AD$1006:$AU$1006,0))&gt;=100000), " ",IF(INDEX($AD$2:$AU$1001,MATCH(ROWS($W$2:W794),$W$2:$W$1001,0),MATCH(COLUMNS($AD$1006:AI1006),$AD$1006:$AU$1006,0)), HYPERLINK("#",""), HYPERLINK(CONCATENATE("#metadata!", ADDRESS(INDEX($Y$2:$Y$1001,MATCH(ROWS($W$2:W794),$W$2:$W$1001,0),0), INDEX($AD$1004:$AU$1004,1,MATCH(COLUMNS($AD$1006:AI1006),$AD$1006:$AU$1006,0)))),"Fix")))</f>
        <v xml:space="preserve"> </v>
      </c>
      <c r="H794" s="4" t="str">
        <f ca="1">IF(OR(INDEX($X$2:$X$1001,MATCH(ROWS($W$2:W794),$W$2:$W$1001,0),1)&gt;=100000,INDEX($AD$1005:$AU$1005,1,MATCH(COLUMNS($AD$1006:AJ1006),$AD$1006:$AU$1006,0))&gt;=100000), " ",IF(INDEX($AD$2:$AU$1001,MATCH(ROWS($W$2:W794),$W$2:$W$1001,0),MATCH(COLUMNS($AD$1006:AJ1006),$AD$1006:$AU$1006,0)), HYPERLINK("#",""), HYPERLINK(CONCATENATE("#metadata!", ADDRESS(INDEX($Y$2:$Y$1001,MATCH(ROWS($W$2:W794),$W$2:$W$1001,0),0), INDEX($AD$1004:$AU$1004,1,MATCH(COLUMNS($AD$1006:AJ1006),$AD$1006:$AU$1006,0)))),"Fix")))</f>
        <v xml:space="preserve"> </v>
      </c>
      <c r="I794" s="4" t="str">
        <f ca="1">IF(OR(INDEX($X$2:$X$1001,MATCH(ROWS($W$2:W794),$W$2:$W$1001,0),1)&gt;=100000,INDEX($AD$1005:$AU$1005,1,MATCH(COLUMNS($AD$1006:AK1006),$AD$1006:$AU$1006,0))&gt;=100000), " ",IF(INDEX($AD$2:$AU$1001,MATCH(ROWS($W$2:W794),$W$2:$W$1001,0),MATCH(COLUMNS($AD$1006:AK1006),$AD$1006:$AU$1006,0)), HYPERLINK("#",""), HYPERLINK(CONCATENATE("#metadata!", ADDRESS(INDEX($Y$2:$Y$1001,MATCH(ROWS($W$2:W794),$W$2:$W$1001,0),0), INDEX($AD$1004:$AU$1004,1,MATCH(COLUMNS($AD$1006:AK1006),$AD$1006:$AU$1006,0)))),"Fix")))</f>
        <v xml:space="preserve"> </v>
      </c>
      <c r="J794" s="4" t="str">
        <f ca="1">IF(OR(INDEX($X$2:$X$1001,MATCH(ROWS($W$2:W794),$W$2:$W$1001,0),1)&gt;=100000,INDEX($AD$1005:$AU$1005,1,MATCH(COLUMNS($AD$1006:AL1006),$AD$1006:$AU$1006,0))&gt;=100000), " ",IF(INDEX($AD$2:$AU$1001,MATCH(ROWS($W$2:W794),$W$2:$W$1001,0),MATCH(COLUMNS($AD$1006:AL1006),$AD$1006:$AU$1006,0)), HYPERLINK("#",""), HYPERLINK(CONCATENATE("#metadata!", ADDRESS(INDEX($Y$2:$Y$1001,MATCH(ROWS($W$2:W794),$W$2:$W$1001,0),0), INDEX($AD$1004:$AU$1004,1,MATCH(COLUMNS($AD$1006:AL1006),$AD$1006:$AU$1006,0)))),"Fix")))</f>
        <v xml:space="preserve"> </v>
      </c>
      <c r="K794" s="4" t="str">
        <f ca="1">IF(OR(INDEX($X$2:$X$1001,MATCH(ROWS($W$2:W794),$W$2:$W$1001,0),1)&gt;=100000,INDEX($AD$1005:$AU$1005,1,MATCH(COLUMNS($AD$1006:AM1006),$AD$1006:$AU$1006,0))&gt;=100000), " ",IF(INDEX($AD$2:$AU$1001,MATCH(ROWS($W$2:W794),$W$2:$W$1001,0),MATCH(COLUMNS($AD$1006:AM1006),$AD$1006:$AU$1006,0)), HYPERLINK("#",""), HYPERLINK(CONCATENATE("#metadata!", ADDRESS(INDEX($Y$2:$Y$1001,MATCH(ROWS($W$2:W794),$W$2:$W$1001,0),0), INDEX($AD$1004:$AU$1004,1,MATCH(COLUMNS($AD$1006:AM1006),$AD$1006:$AU$1006,0)))),"Fix")))</f>
        <v xml:space="preserve"> </v>
      </c>
      <c r="L794" s="4" t="str">
        <f ca="1">IF(OR(INDEX($X$2:$X$1001,MATCH(ROWS($W$2:W794),$W$2:$W$1001,0),1)&gt;=100000,INDEX($AD$1005:$AU$1005,1,MATCH(COLUMNS($AD$1006:AN1006),$AD$1006:$AU$1006,0))&gt;=100000), " ",IF(INDEX($AD$2:$AU$1001,MATCH(ROWS($W$2:W794),$W$2:$W$1001,0),MATCH(COLUMNS($AD$1006:AN1006),$AD$1006:$AU$1006,0)), HYPERLINK("#",""), HYPERLINK(CONCATENATE("#metadata!", ADDRESS(INDEX($Y$2:$Y$1001,MATCH(ROWS($W$2:W794),$W$2:$W$1001,0),0), INDEX($AD$1004:$AU$1004,1,MATCH(COLUMNS($AD$1006:AN1006),$AD$1006:$AU$1006,0)))),"Fix")))</f>
        <v xml:space="preserve"> </v>
      </c>
      <c r="M794" s="4" t="str">
        <f ca="1">IF(OR(INDEX($X$2:$X$1001,MATCH(ROWS($W$2:W794),$W$2:$W$1001,0),1)&gt;=100000,INDEX($AD$1005:$AU$1005,1,MATCH(COLUMNS($AD$1006:AO1006),$AD$1006:$AU$1006,0))&gt;=100000), " ",IF(INDEX($AD$2:$AU$1001,MATCH(ROWS($W$2:W794),$W$2:$W$1001,0),MATCH(COLUMNS($AD$1006:AO1006),$AD$1006:$AU$1006,0)), HYPERLINK("#",""), HYPERLINK(CONCATENATE("#metadata!", ADDRESS(INDEX($Y$2:$Y$1001,MATCH(ROWS($W$2:W794),$W$2:$W$1001,0),0), INDEX($AD$1004:$AU$1004,1,MATCH(COLUMNS($AD$1006:AO1006),$AD$1006:$AU$1006,0)))),"Fix")))</f>
        <v xml:space="preserve"> </v>
      </c>
      <c r="N794" s="4" t="str">
        <f ca="1">IF(OR(INDEX($X$2:$X$1001,MATCH(ROWS($W$2:W794),$W$2:$W$1001,0),1)&gt;=100000,INDEX($AD$1005:$AU$1005,1,MATCH(COLUMNS($AD$1006:AP1006),$AD$1006:$AU$1006,0))&gt;=100000), " ",IF(INDEX($AD$2:$AU$1001,MATCH(ROWS($W$2:W794),$W$2:$W$1001,0),MATCH(COLUMNS($AD$1006:AP1006),$AD$1006:$AU$1006,0)), HYPERLINK("#",""), HYPERLINK(CONCATENATE("#metadata!", ADDRESS(INDEX($Y$2:$Y$1001,MATCH(ROWS($W$2:W794),$W$2:$W$1001,0),0), INDEX($AD$1004:$AU$1004,1,MATCH(COLUMNS($AD$1006:AP1006),$AD$1006:$AU$1006,0)))),"Fix")))</f>
        <v xml:space="preserve"> </v>
      </c>
      <c r="O794" s="4" t="str">
        <f ca="1">IF(OR(INDEX($X$2:$X$1001,MATCH(ROWS($W$2:W794),$W$2:$W$1001,0),1)&gt;=100000,INDEX($AD$1005:$AU$1005,1,MATCH(COLUMNS($AD$1006:AQ1006),$AD$1006:$AU$1006,0))&gt;=100000), " ",IF(INDEX($AD$2:$AU$1001,MATCH(ROWS($W$2:W794),$W$2:$W$1001,0),MATCH(COLUMNS($AD$1006:AQ1006),$AD$1006:$AU$1006,0)), HYPERLINK("#",""), HYPERLINK(CONCATENATE("#metadata!", ADDRESS(INDEX($Y$2:$Y$1001,MATCH(ROWS($W$2:W794),$W$2:$W$1001,0),0), INDEX($AD$1004:$AU$1004,1,MATCH(COLUMNS($AD$1006:AQ1006),$AD$1006:$AU$1006,0)))),"Fix")))</f>
        <v xml:space="preserve"> </v>
      </c>
      <c r="P794" s="4" t="str">
        <f ca="1">IF(OR(INDEX($X$2:$X$1001,MATCH(ROWS($W$2:W794),$W$2:$W$1001,0),1)&gt;=100000,INDEX($AD$1005:$AU$1005,1,MATCH(COLUMNS($AD$1006:AR1006),$AD$1006:$AU$1006,0))&gt;=100000), " ",IF(INDEX($AD$2:$AU$1001,MATCH(ROWS($W$2:W794),$W$2:$W$1001,0),MATCH(COLUMNS($AD$1006:AR1006),$AD$1006:$AU$1006,0)), HYPERLINK("#",""), HYPERLINK(CONCATENATE("#metadata!", ADDRESS(INDEX($Y$2:$Y$1001,MATCH(ROWS($W$2:W794),$W$2:$W$1001,0),0), INDEX($AD$1004:$AU$1004,1,MATCH(COLUMNS($AD$1006:AR1006),$AD$1006:$AU$1006,0)))),"Fix")))</f>
        <v xml:space="preserve"> </v>
      </c>
      <c r="Q794" s="4" t="str">
        <f ca="1">IF(OR(INDEX($X$2:$X$1001,MATCH(ROWS($W$2:W794),$W$2:$W$1001,0),1)&gt;=100000,INDEX($AD$1005:$AU$1005,1,MATCH(COLUMNS($AD$1006:AS1006),$AD$1006:$AU$1006,0))&gt;=100000), " ",IF(INDEX($AD$2:$AU$1001,MATCH(ROWS($W$2:W794),$W$2:$W$1001,0),MATCH(COLUMNS($AD$1006:AS1006),$AD$1006:$AU$1006,0)), HYPERLINK("#",""), HYPERLINK(CONCATENATE("#metadata!", ADDRESS(INDEX($Y$2:$Y$1001,MATCH(ROWS($W$2:W794),$W$2:$W$1001,0),0), INDEX($AD$1004:$AU$1004,1,MATCH(COLUMNS($AD$1006:AS1006),$AD$1006:$AU$1006,0)))),"Fix")))</f>
        <v xml:space="preserve"> </v>
      </c>
      <c r="R794" s="4" t="str">
        <f ca="1">IF(OR(INDEX($X$2:$X$1001,MATCH(ROWS($W$2:W794),$W$2:$W$1001,0),1)&gt;=100000,INDEX($AD$1005:$AU$1005,1,MATCH(COLUMNS($AD$1006:AT1006),$AD$1006:$AU$1006,0))&gt;=100000), " ",IF(INDEX($AD$2:$AU$1001,MATCH(ROWS($W$2:W794),$W$2:$W$1001,0),MATCH(COLUMNS($AD$1006:AT1006),$AD$1006:$AU$1006,0)), HYPERLINK("#",""), HYPERLINK(CONCATENATE("#metadata!", ADDRESS(INDEX($Y$2:$Y$1001,MATCH(ROWS($W$2:W794),$W$2:$W$1001,0),0), INDEX($AD$1004:$AU$1004,1,MATCH(COLUMNS($AD$1006:AT1006),$AD$1006:$AU$1006,0)))),"Fix")))</f>
        <v xml:space="preserve"> </v>
      </c>
      <c r="S794" s="4" t="str">
        <f ca="1">IF(OR(INDEX($X$2:$X$1001,MATCH(ROWS($W$2:W794),$W$2:$W$1001,0),1)&gt;=100000,INDEX($AD$1005:$AU$1005,1,MATCH(COLUMNS($AD$1006:AU1006),$AD$1006:$AU$1006,0))&gt;=100000), " ",IF(INDEX($AD$2:$AU$1001,MATCH(ROWS($W$2:W794),$W$2:$W$1001,0),MATCH(COLUMNS($AD$1006:AU1006),$AD$1006:$AU$1006,0)), HYPERLINK("#",""), HYPERLINK(CONCATENATE("#metadata!", ADDRESS(INDEX($Y$2:$Y$1001,MATCH(ROWS($W$2:W794),$W$2:$W$1001,0),0), INDEX($AD$1004:$AU$1004,1,MATCH(COLUMNS($AD$1006:AU1006),$AD$1006:$AU$1006,0)))),"Fix")))</f>
        <v xml:space="preserve"> </v>
      </c>
      <c r="W794">
        <v>793</v>
      </c>
      <c r="X794">
        <v>100794</v>
      </c>
      <c r="Y794">
        <v>794</v>
      </c>
      <c r="Z794" t="b">
        <f t="shared" si="12"/>
        <v>1</v>
      </c>
      <c r="AA794" t="b">
        <f>COUNTBLANK(metadata!B794:S794)=COLUMNS(metadata!B794:S794)</f>
        <v>1</v>
      </c>
      <c r="AB794" t="str">
        <v/>
      </c>
      <c r="AD794" t="b">
        <f ca="1">AND(IF(metadata!B794="",FALSE,TRUE),COUNTIF(metadata!B:B, metadata!B794) = 1,NOT(ISERROR(SUMPRODUCT(SEARCH(MID(metadata!B794,ROW(INDIRECT("1:"&amp;LEN(metadata!B794))), 1),"0123456789abcdefghijklmnopqrstuvwxyzABCDEFGHIJKLMNOPQRSTUVWXYZ.")))))</f>
        <v>0</v>
      </c>
      <c r="AE794" t="b">
        <f>OR(AND(IF(metadata!C794="",FALSE,TRUE),OR(EXACT(metadata!C794,"not applicable"),EXACT(metadata!C794,"missing: not collected"),EXACT(metadata!C794,"missing: not provided"),EXACT(metadata!C794,"missing: restricted access"))),AND(IF(metadata!C794="",FALSE,ISNUMBER(VALUE(metadata!C794))),metadata!C794&gt;0))</f>
        <v>0</v>
      </c>
      <c r="AF794" t="b">
        <f>AND(IF(metadata!D794="",FALSE,TRUE),EXACT(metadata!D794,"missing: not provided"))</f>
        <v>0</v>
      </c>
      <c r="AG794" t="b">
        <f>AND(IF(metadata!E794="",FALSE,TRUE),EXACT(metadata!E794,"Host-associated"))</f>
        <v>0</v>
      </c>
      <c r="AH794" t="b">
        <f>AND(IF(metadata!F794="",FALSE,TRUE),OR(EXACT(metadata!F794,"Animal"),EXACT(metadata!F794,"Fungus"),EXACT(metadata!F794,"Plant")))</f>
        <v>0</v>
      </c>
      <c r="AI794" t="b">
        <f>AND(IF(metadata!G794="",FALSE,TRUE),OR(EXACT(metadata!G794,"Plant secretion"),EXACT(metadata!G794,"Plant rhizosphere"),EXACT(metadata!G794,"Plant surface"),EXACT(metadata!G794,"Plant corpus"),EXACT(metadata!G794,"Fungus surface"),EXACT(metadata!G794,"Fungus corpus"),EXACT(metadata!G794,"Animal surface"),EXACT(metadata!G794,"Animal proximal gut"),EXACT(metadata!G794,"Animal corpus"),EXACT(metadata!G794,"Animal distal gut"),EXACT(metadata!G794,"Animal secretion")))</f>
        <v>0</v>
      </c>
      <c r="AJ794" t="b">
        <f>OR(AND(IF(metadata!H794="",FALSE,TRUE),OR(EXACT(metadata!H794,"missing: not collected"),EXACT(metadata!H794,"missing: not provided"),EXACT(metadata!H794,"missing: restricted access"))),AND(IF(metadata!H794="",FALSE,TRUE),OR(EXACT(metadata!H794,"organism-associated habitat"),EXACT(metadata!H794,"plant-associated habitat"),EXACT(metadata!H794,"animal-associated habitat"),EXACT(metadata!H794,"insecta-associated habitat"),EXACT(metadata!H794,"mammalia-associated habitat"),EXACT(metadata!H794,"human-associated habitat"),EXACT(metadata!H794,"livestock-associated habitat"))))</f>
        <v>0</v>
      </c>
      <c r="AK794" t="b">
        <f>AND(IF(metadata!I794="",FALSE,TRUE),EXACT(metadata!I794,"host-associated"))</f>
        <v>0</v>
      </c>
      <c r="AL794" t="b">
        <f>OR(AND(IF(metadata!J794="",FALSE,TRUE),OR(EXACT(metadata!J794,"not applicable"),EXACT(metadata!J794,"missing: not collected"),EXACT(metadata!J794,"missing: not provided"),EXACT(metadata!J794,"missing: restricted access"))),AND(IF(metadata!J794="",FALSE,ISNUMBER(VALUE(metadata!J794))),metadata!J794&gt;0))</f>
        <v>0</v>
      </c>
      <c r="AM794" t="b">
        <f>AND(IF(metadata!K794="",FALSE,TRUE),EXACT(metadata!K794,"missing: not provided"))</f>
        <v>0</v>
      </c>
      <c r="AN794" t="b">
        <f>IF(metadata!L794="",FALSE,TRUE)</f>
        <v>0</v>
      </c>
      <c r="AO794" t="b">
        <f>IF(metadata!M794="",FALSE,TRUE)</f>
        <v>0</v>
      </c>
      <c r="AP794" t="b">
        <f>OR(AND(IF(metadata!N794="",FALSE,TRUE),OR(EXACT(metadata!N794,"not applicable"),EXACT(metadata!N794,"missing: not collected"),EXACT(metadata!N794,"missing: not provided"))),AND(IF(metadata!N794="",FALSE,IF(ISERROR(INT(metadata!N794)),FALSE,INT(metadata!N794)=metadata!N794)),metadata!N794&gt;0))</f>
        <v>0</v>
      </c>
      <c r="AQ794" t="b">
        <f>AND(IF(metadata!O794="",FALSE,TRUE),EXACT(metadata!O794,"Not applicable"))</f>
        <v>0</v>
      </c>
      <c r="AR794" t="b">
        <f>OR(AND(IF(metadata!P794="",FALSE,TRUE),OR(EXACT(metadata!P794,"not applicable"),EXACT(metadata!P794,"missing: not collected"),EXACT(metadata!P794,"missing: not provided"),EXACT(metadata!P794,"missing: restricted access"))),IF(metadata!P794="",FALSE,IF(ISERROR(INT(metadata!P794)),FALSE,INT(metadata!P794)=metadata!P794)))</f>
        <v>0</v>
      </c>
      <c r="AS794" t="b">
        <f>AND(IF(metadata!Q794="",FALSE,TRUE),EXACT(metadata!Q794,"Not applicable"))</f>
        <v>0</v>
      </c>
      <c r="AT794" t="b">
        <f>OR(AND(IF(metadata!R794="",FALSE,TRUE),OR(EXACT(metadata!R794,"not applicable"),EXACT(metadata!R794,"missing: not collected"),EXACT(metadata!R794,"missing: not provided"),EXACT(metadata!R794,"missing: restricted access"))),AND(IF(metadata!R794="",FALSE,ISNUMBER(VALUE(metadata!R794))),metadata!R794&gt;0))</f>
        <v>0</v>
      </c>
      <c r="AU794" t="b">
        <f>AND(IF(metadata!S794="",FALSE,TRUE),EXACT(metadata!S794,"missing: not provided"))</f>
        <v>0</v>
      </c>
    </row>
    <row r="795" spans="1:47" x14ac:dyDescent="0.2">
      <c r="A795" s="5" t="str">
        <f ca="1">IF(B795=" "," ",HYPERLINK(CONCATENATE("#metadata!",ADDRESS(INDEX($Y$2:$Y$1001,MATCH(ROWS($W$2:W795),$W$2:$W$1001,0),0),1)),INDEX($AB$2:$AB$1001,MATCH(ROWS($W$2:W795),$W$2:$W$1001,0),0)))</f>
        <v xml:space="preserve"> </v>
      </c>
      <c r="B795" s="4" t="str">
        <f ca="1">IF(OR(INDEX($X$2:$X$1001,MATCH(ROWS($W$2:W795),$W$2:$W$1001,0),1)&gt;=100000,INDEX($AD$1005:$AU$1005,1,MATCH(COLUMNS($AD$1006:AD1006),$AD$1006:$AU$1006,0))&gt;=100000), " ",IF(INDEX($AD$2:$AU$1001,MATCH(ROWS($W$2:W795),$W$2:$W$1001,0),MATCH(COLUMNS($AD$1006:AD1006),$AD$1006:$AU$1006,0)), HYPERLINK("#",""), HYPERLINK(CONCATENATE("#metadata!", ADDRESS(INDEX($Y$2:$Y$1001,MATCH(ROWS($W$2:W795),$W$2:$W$1001,0),0), INDEX($AD$1004:$AU$1004,1,MATCH(COLUMNS($AD$1006:AD1006),$AD$1006:$AU$1006,0)))),"Fix")))</f>
        <v xml:space="preserve"> </v>
      </c>
      <c r="C795" s="4" t="str">
        <f ca="1">IF(OR(INDEX($X$2:$X$1001,MATCH(ROWS($W$2:W795),$W$2:$W$1001,0),1)&gt;=100000,INDEX($AD$1005:$AU$1005,1,MATCH(COLUMNS($AD$1006:AE1006),$AD$1006:$AU$1006,0))&gt;=100000), " ",IF(INDEX($AD$2:$AU$1001,MATCH(ROWS($W$2:W795),$W$2:$W$1001,0),MATCH(COLUMNS($AD$1006:AE1006),$AD$1006:$AU$1006,0)), HYPERLINK("#",""), HYPERLINK(CONCATENATE("#metadata!", ADDRESS(INDEX($Y$2:$Y$1001,MATCH(ROWS($W$2:W795),$W$2:$W$1001,0),0), INDEX($AD$1004:$AU$1004,1,MATCH(COLUMNS($AD$1006:AE1006),$AD$1006:$AU$1006,0)))),"Fix")))</f>
        <v xml:space="preserve"> </v>
      </c>
      <c r="D795" s="4" t="str">
        <f ca="1">IF(OR(INDEX($X$2:$X$1001,MATCH(ROWS($W$2:W795),$W$2:$W$1001,0),1)&gt;=100000,INDEX($AD$1005:$AU$1005,1,MATCH(COLUMNS($AD$1006:AF1006),$AD$1006:$AU$1006,0))&gt;=100000), " ",IF(INDEX($AD$2:$AU$1001,MATCH(ROWS($W$2:W795),$W$2:$W$1001,0),MATCH(COLUMNS($AD$1006:AF1006),$AD$1006:$AU$1006,0)), HYPERLINK("#",""), HYPERLINK(CONCATENATE("#metadata!", ADDRESS(INDEX($Y$2:$Y$1001,MATCH(ROWS($W$2:W795),$W$2:$W$1001,0),0), INDEX($AD$1004:$AU$1004,1,MATCH(COLUMNS($AD$1006:AF1006),$AD$1006:$AU$1006,0)))),"Fix")))</f>
        <v xml:space="preserve"> </v>
      </c>
      <c r="E795" s="4" t="str">
        <f ca="1">IF(OR(INDEX($X$2:$X$1001,MATCH(ROWS($W$2:W795),$W$2:$W$1001,0),1)&gt;=100000,INDEX($AD$1005:$AU$1005,1,MATCH(COLUMNS($AD$1006:AG1006),$AD$1006:$AU$1006,0))&gt;=100000), " ",IF(INDEX($AD$2:$AU$1001,MATCH(ROWS($W$2:W795),$W$2:$W$1001,0),MATCH(COLUMNS($AD$1006:AG1006),$AD$1006:$AU$1006,0)), HYPERLINK("#",""), HYPERLINK(CONCATENATE("#metadata!", ADDRESS(INDEX($Y$2:$Y$1001,MATCH(ROWS($W$2:W795),$W$2:$W$1001,0),0), INDEX($AD$1004:$AU$1004,1,MATCH(COLUMNS($AD$1006:AG1006),$AD$1006:$AU$1006,0)))),"Fix")))</f>
        <v xml:space="preserve"> </v>
      </c>
      <c r="F795" s="4" t="str">
        <f ca="1">IF(OR(INDEX($X$2:$X$1001,MATCH(ROWS($W$2:W795),$W$2:$W$1001,0),1)&gt;=100000,INDEX($AD$1005:$AU$1005,1,MATCH(COLUMNS($AD$1006:AH1006),$AD$1006:$AU$1006,0))&gt;=100000), " ",IF(INDEX($AD$2:$AU$1001,MATCH(ROWS($W$2:W795),$W$2:$W$1001,0),MATCH(COLUMNS($AD$1006:AH1006),$AD$1006:$AU$1006,0)), HYPERLINK("#",""), HYPERLINK(CONCATENATE("#metadata!", ADDRESS(INDEX($Y$2:$Y$1001,MATCH(ROWS($W$2:W795),$W$2:$W$1001,0),0), INDEX($AD$1004:$AU$1004,1,MATCH(COLUMNS($AD$1006:AH1006),$AD$1006:$AU$1006,0)))),"Fix")))</f>
        <v xml:space="preserve"> </v>
      </c>
      <c r="G795" s="4" t="str">
        <f ca="1">IF(OR(INDEX($X$2:$X$1001,MATCH(ROWS($W$2:W795),$W$2:$W$1001,0),1)&gt;=100000,INDEX($AD$1005:$AU$1005,1,MATCH(COLUMNS($AD$1006:AI1006),$AD$1006:$AU$1006,0))&gt;=100000), " ",IF(INDEX($AD$2:$AU$1001,MATCH(ROWS($W$2:W795),$W$2:$W$1001,0),MATCH(COLUMNS($AD$1006:AI1006),$AD$1006:$AU$1006,0)), HYPERLINK("#",""), HYPERLINK(CONCATENATE("#metadata!", ADDRESS(INDEX($Y$2:$Y$1001,MATCH(ROWS($W$2:W795),$W$2:$W$1001,0),0), INDEX($AD$1004:$AU$1004,1,MATCH(COLUMNS($AD$1006:AI1006),$AD$1006:$AU$1006,0)))),"Fix")))</f>
        <v xml:space="preserve"> </v>
      </c>
      <c r="H795" s="4" t="str">
        <f ca="1">IF(OR(INDEX($X$2:$X$1001,MATCH(ROWS($W$2:W795),$W$2:$W$1001,0),1)&gt;=100000,INDEX($AD$1005:$AU$1005,1,MATCH(COLUMNS($AD$1006:AJ1006),$AD$1006:$AU$1006,0))&gt;=100000), " ",IF(INDEX($AD$2:$AU$1001,MATCH(ROWS($W$2:W795),$W$2:$W$1001,0),MATCH(COLUMNS($AD$1006:AJ1006),$AD$1006:$AU$1006,0)), HYPERLINK("#",""), HYPERLINK(CONCATENATE("#metadata!", ADDRESS(INDEX($Y$2:$Y$1001,MATCH(ROWS($W$2:W795),$W$2:$W$1001,0),0), INDEX($AD$1004:$AU$1004,1,MATCH(COLUMNS($AD$1006:AJ1006),$AD$1006:$AU$1006,0)))),"Fix")))</f>
        <v xml:space="preserve"> </v>
      </c>
      <c r="I795" s="4" t="str">
        <f ca="1">IF(OR(INDEX($X$2:$X$1001,MATCH(ROWS($W$2:W795),$W$2:$W$1001,0),1)&gt;=100000,INDEX($AD$1005:$AU$1005,1,MATCH(COLUMNS($AD$1006:AK1006),$AD$1006:$AU$1006,0))&gt;=100000), " ",IF(INDEX($AD$2:$AU$1001,MATCH(ROWS($W$2:W795),$W$2:$W$1001,0),MATCH(COLUMNS($AD$1006:AK1006),$AD$1006:$AU$1006,0)), HYPERLINK("#",""), HYPERLINK(CONCATENATE("#metadata!", ADDRESS(INDEX($Y$2:$Y$1001,MATCH(ROWS($W$2:W795),$W$2:$W$1001,0),0), INDEX($AD$1004:$AU$1004,1,MATCH(COLUMNS($AD$1006:AK1006),$AD$1006:$AU$1006,0)))),"Fix")))</f>
        <v xml:space="preserve"> </v>
      </c>
      <c r="J795" s="4" t="str">
        <f ca="1">IF(OR(INDEX($X$2:$X$1001,MATCH(ROWS($W$2:W795),$W$2:$W$1001,0),1)&gt;=100000,INDEX($AD$1005:$AU$1005,1,MATCH(COLUMNS($AD$1006:AL1006),$AD$1006:$AU$1006,0))&gt;=100000), " ",IF(INDEX($AD$2:$AU$1001,MATCH(ROWS($W$2:W795),$W$2:$W$1001,0),MATCH(COLUMNS($AD$1006:AL1006),$AD$1006:$AU$1006,0)), HYPERLINK("#",""), HYPERLINK(CONCATENATE("#metadata!", ADDRESS(INDEX($Y$2:$Y$1001,MATCH(ROWS($W$2:W795),$W$2:$W$1001,0),0), INDEX($AD$1004:$AU$1004,1,MATCH(COLUMNS($AD$1006:AL1006),$AD$1006:$AU$1006,0)))),"Fix")))</f>
        <v xml:space="preserve"> </v>
      </c>
      <c r="K795" s="4" t="str">
        <f ca="1">IF(OR(INDEX($X$2:$X$1001,MATCH(ROWS($W$2:W795),$W$2:$W$1001,0),1)&gt;=100000,INDEX($AD$1005:$AU$1005,1,MATCH(COLUMNS($AD$1006:AM1006),$AD$1006:$AU$1006,0))&gt;=100000), " ",IF(INDEX($AD$2:$AU$1001,MATCH(ROWS($W$2:W795),$W$2:$W$1001,0),MATCH(COLUMNS($AD$1006:AM1006),$AD$1006:$AU$1006,0)), HYPERLINK("#",""), HYPERLINK(CONCATENATE("#metadata!", ADDRESS(INDEX($Y$2:$Y$1001,MATCH(ROWS($W$2:W795),$W$2:$W$1001,0),0), INDEX($AD$1004:$AU$1004,1,MATCH(COLUMNS($AD$1006:AM1006),$AD$1006:$AU$1006,0)))),"Fix")))</f>
        <v xml:space="preserve"> </v>
      </c>
      <c r="L795" s="4" t="str">
        <f ca="1">IF(OR(INDEX($X$2:$X$1001,MATCH(ROWS($W$2:W795),$W$2:$W$1001,0),1)&gt;=100000,INDEX($AD$1005:$AU$1005,1,MATCH(COLUMNS($AD$1006:AN1006),$AD$1006:$AU$1006,0))&gt;=100000), " ",IF(INDEX($AD$2:$AU$1001,MATCH(ROWS($W$2:W795),$W$2:$W$1001,0),MATCH(COLUMNS($AD$1006:AN1006),$AD$1006:$AU$1006,0)), HYPERLINK("#",""), HYPERLINK(CONCATENATE("#metadata!", ADDRESS(INDEX($Y$2:$Y$1001,MATCH(ROWS($W$2:W795),$W$2:$W$1001,0),0), INDEX($AD$1004:$AU$1004,1,MATCH(COLUMNS($AD$1006:AN1006),$AD$1006:$AU$1006,0)))),"Fix")))</f>
        <v xml:space="preserve"> </v>
      </c>
      <c r="M795" s="4" t="str">
        <f ca="1">IF(OR(INDEX($X$2:$X$1001,MATCH(ROWS($W$2:W795),$W$2:$W$1001,0),1)&gt;=100000,INDEX($AD$1005:$AU$1005,1,MATCH(COLUMNS($AD$1006:AO1006),$AD$1006:$AU$1006,0))&gt;=100000), " ",IF(INDEX($AD$2:$AU$1001,MATCH(ROWS($W$2:W795),$W$2:$W$1001,0),MATCH(COLUMNS($AD$1006:AO1006),$AD$1006:$AU$1006,0)), HYPERLINK("#",""), HYPERLINK(CONCATENATE("#metadata!", ADDRESS(INDEX($Y$2:$Y$1001,MATCH(ROWS($W$2:W795),$W$2:$W$1001,0),0), INDEX($AD$1004:$AU$1004,1,MATCH(COLUMNS($AD$1006:AO1006),$AD$1006:$AU$1006,0)))),"Fix")))</f>
        <v xml:space="preserve"> </v>
      </c>
      <c r="N795" s="4" t="str">
        <f ca="1">IF(OR(INDEX($X$2:$X$1001,MATCH(ROWS($W$2:W795),$W$2:$W$1001,0),1)&gt;=100000,INDEX($AD$1005:$AU$1005,1,MATCH(COLUMNS($AD$1006:AP1006),$AD$1006:$AU$1006,0))&gt;=100000), " ",IF(INDEX($AD$2:$AU$1001,MATCH(ROWS($W$2:W795),$W$2:$W$1001,0),MATCH(COLUMNS($AD$1006:AP1006),$AD$1006:$AU$1006,0)), HYPERLINK("#",""), HYPERLINK(CONCATENATE("#metadata!", ADDRESS(INDEX($Y$2:$Y$1001,MATCH(ROWS($W$2:W795),$W$2:$W$1001,0),0), INDEX($AD$1004:$AU$1004,1,MATCH(COLUMNS($AD$1006:AP1006),$AD$1006:$AU$1006,0)))),"Fix")))</f>
        <v xml:space="preserve"> </v>
      </c>
      <c r="O795" s="4" t="str">
        <f ca="1">IF(OR(INDEX($X$2:$X$1001,MATCH(ROWS($W$2:W795),$W$2:$W$1001,0),1)&gt;=100000,INDEX($AD$1005:$AU$1005,1,MATCH(COLUMNS($AD$1006:AQ1006),$AD$1006:$AU$1006,0))&gt;=100000), " ",IF(INDEX($AD$2:$AU$1001,MATCH(ROWS($W$2:W795),$W$2:$W$1001,0),MATCH(COLUMNS($AD$1006:AQ1006),$AD$1006:$AU$1006,0)), HYPERLINK("#",""), HYPERLINK(CONCATENATE("#metadata!", ADDRESS(INDEX($Y$2:$Y$1001,MATCH(ROWS($W$2:W795),$W$2:$W$1001,0),0), INDEX($AD$1004:$AU$1004,1,MATCH(COLUMNS($AD$1006:AQ1006),$AD$1006:$AU$1006,0)))),"Fix")))</f>
        <v xml:space="preserve"> </v>
      </c>
      <c r="P795" s="4" t="str">
        <f ca="1">IF(OR(INDEX($X$2:$X$1001,MATCH(ROWS($W$2:W795),$W$2:$W$1001,0),1)&gt;=100000,INDEX($AD$1005:$AU$1005,1,MATCH(COLUMNS($AD$1006:AR1006),$AD$1006:$AU$1006,0))&gt;=100000), " ",IF(INDEX($AD$2:$AU$1001,MATCH(ROWS($W$2:W795),$W$2:$W$1001,0),MATCH(COLUMNS($AD$1006:AR1006),$AD$1006:$AU$1006,0)), HYPERLINK("#",""), HYPERLINK(CONCATENATE("#metadata!", ADDRESS(INDEX($Y$2:$Y$1001,MATCH(ROWS($W$2:W795),$W$2:$W$1001,0),0), INDEX($AD$1004:$AU$1004,1,MATCH(COLUMNS($AD$1006:AR1006),$AD$1006:$AU$1006,0)))),"Fix")))</f>
        <v xml:space="preserve"> </v>
      </c>
      <c r="Q795" s="4" t="str">
        <f ca="1">IF(OR(INDEX($X$2:$X$1001,MATCH(ROWS($W$2:W795),$W$2:$W$1001,0),1)&gt;=100000,INDEX($AD$1005:$AU$1005,1,MATCH(COLUMNS($AD$1006:AS1006),$AD$1006:$AU$1006,0))&gt;=100000), " ",IF(INDEX($AD$2:$AU$1001,MATCH(ROWS($W$2:W795),$W$2:$W$1001,0),MATCH(COLUMNS($AD$1006:AS1006),$AD$1006:$AU$1006,0)), HYPERLINK("#",""), HYPERLINK(CONCATENATE("#metadata!", ADDRESS(INDEX($Y$2:$Y$1001,MATCH(ROWS($W$2:W795),$W$2:$W$1001,0),0), INDEX($AD$1004:$AU$1004,1,MATCH(COLUMNS($AD$1006:AS1006),$AD$1006:$AU$1006,0)))),"Fix")))</f>
        <v xml:space="preserve"> </v>
      </c>
      <c r="R795" s="4" t="str">
        <f ca="1">IF(OR(INDEX($X$2:$X$1001,MATCH(ROWS($W$2:W795),$W$2:$W$1001,0),1)&gt;=100000,INDEX($AD$1005:$AU$1005,1,MATCH(COLUMNS($AD$1006:AT1006),$AD$1006:$AU$1006,0))&gt;=100000), " ",IF(INDEX($AD$2:$AU$1001,MATCH(ROWS($W$2:W795),$W$2:$W$1001,0),MATCH(COLUMNS($AD$1006:AT1006),$AD$1006:$AU$1006,0)), HYPERLINK("#",""), HYPERLINK(CONCATENATE("#metadata!", ADDRESS(INDEX($Y$2:$Y$1001,MATCH(ROWS($W$2:W795),$W$2:$W$1001,0),0), INDEX($AD$1004:$AU$1004,1,MATCH(COLUMNS($AD$1006:AT1006),$AD$1006:$AU$1006,0)))),"Fix")))</f>
        <v xml:space="preserve"> </v>
      </c>
      <c r="S795" s="4" t="str">
        <f ca="1">IF(OR(INDEX($X$2:$X$1001,MATCH(ROWS($W$2:W795),$W$2:$W$1001,0),1)&gt;=100000,INDEX($AD$1005:$AU$1005,1,MATCH(COLUMNS($AD$1006:AU1006),$AD$1006:$AU$1006,0))&gt;=100000), " ",IF(INDEX($AD$2:$AU$1001,MATCH(ROWS($W$2:W795),$W$2:$W$1001,0),MATCH(COLUMNS($AD$1006:AU1006),$AD$1006:$AU$1006,0)), HYPERLINK("#",""), HYPERLINK(CONCATENATE("#metadata!", ADDRESS(INDEX($Y$2:$Y$1001,MATCH(ROWS($W$2:W795),$W$2:$W$1001,0),0), INDEX($AD$1004:$AU$1004,1,MATCH(COLUMNS($AD$1006:AU1006),$AD$1006:$AU$1006,0)))),"Fix")))</f>
        <v xml:space="preserve"> </v>
      </c>
      <c r="W795">
        <v>794</v>
      </c>
      <c r="X795">
        <v>100795</v>
      </c>
      <c r="Y795">
        <v>795</v>
      </c>
      <c r="Z795" t="b">
        <f t="shared" si="12"/>
        <v>1</v>
      </c>
      <c r="AA795" t="b">
        <f>COUNTBLANK(metadata!B795:S795)=COLUMNS(metadata!B795:S795)</f>
        <v>1</v>
      </c>
      <c r="AB795" t="str">
        <v/>
      </c>
      <c r="AD795" t="b">
        <f ca="1">AND(IF(metadata!B795="",FALSE,TRUE),COUNTIF(metadata!B:B, metadata!B795) = 1,NOT(ISERROR(SUMPRODUCT(SEARCH(MID(metadata!B795,ROW(INDIRECT("1:"&amp;LEN(metadata!B795))), 1),"0123456789abcdefghijklmnopqrstuvwxyzABCDEFGHIJKLMNOPQRSTUVWXYZ.")))))</f>
        <v>0</v>
      </c>
      <c r="AE795" t="b">
        <f>OR(AND(IF(metadata!C795="",FALSE,TRUE),OR(EXACT(metadata!C795,"not applicable"),EXACT(metadata!C795,"missing: not collected"),EXACT(metadata!C795,"missing: not provided"),EXACT(metadata!C795,"missing: restricted access"))),AND(IF(metadata!C795="",FALSE,ISNUMBER(VALUE(metadata!C795))),metadata!C795&gt;0))</f>
        <v>0</v>
      </c>
      <c r="AF795" t="b">
        <f>AND(IF(metadata!D795="",FALSE,TRUE),EXACT(metadata!D795,"missing: not provided"))</f>
        <v>0</v>
      </c>
      <c r="AG795" t="b">
        <f>AND(IF(metadata!E795="",FALSE,TRUE),EXACT(metadata!E795,"Host-associated"))</f>
        <v>0</v>
      </c>
      <c r="AH795" t="b">
        <f>AND(IF(metadata!F795="",FALSE,TRUE),OR(EXACT(metadata!F795,"Animal"),EXACT(metadata!F795,"Fungus"),EXACT(metadata!F795,"Plant")))</f>
        <v>0</v>
      </c>
      <c r="AI795" t="b">
        <f>AND(IF(metadata!G795="",FALSE,TRUE),OR(EXACT(metadata!G795,"Plant secretion"),EXACT(metadata!G795,"Plant rhizosphere"),EXACT(metadata!G795,"Plant surface"),EXACT(metadata!G795,"Plant corpus"),EXACT(metadata!G795,"Fungus surface"),EXACT(metadata!G795,"Fungus corpus"),EXACT(metadata!G795,"Animal surface"),EXACT(metadata!G795,"Animal proximal gut"),EXACT(metadata!G795,"Animal corpus"),EXACT(metadata!G795,"Animal distal gut"),EXACT(metadata!G795,"Animal secretion")))</f>
        <v>0</v>
      </c>
      <c r="AJ795" t="b">
        <f>OR(AND(IF(metadata!H795="",FALSE,TRUE),OR(EXACT(metadata!H795,"missing: not collected"),EXACT(metadata!H795,"missing: not provided"),EXACT(metadata!H795,"missing: restricted access"))),AND(IF(metadata!H795="",FALSE,TRUE),OR(EXACT(metadata!H795,"organism-associated habitat"),EXACT(metadata!H795,"plant-associated habitat"),EXACT(metadata!H795,"animal-associated habitat"),EXACT(metadata!H795,"insecta-associated habitat"),EXACT(metadata!H795,"mammalia-associated habitat"),EXACT(metadata!H795,"human-associated habitat"),EXACT(metadata!H795,"livestock-associated habitat"))))</f>
        <v>0</v>
      </c>
      <c r="AK795" t="b">
        <f>AND(IF(metadata!I795="",FALSE,TRUE),EXACT(metadata!I795,"host-associated"))</f>
        <v>0</v>
      </c>
      <c r="AL795" t="b">
        <f>OR(AND(IF(metadata!J795="",FALSE,TRUE),OR(EXACT(metadata!J795,"not applicable"),EXACT(metadata!J795,"missing: not collected"),EXACT(metadata!J795,"missing: not provided"),EXACT(metadata!J795,"missing: restricted access"))),AND(IF(metadata!J795="",FALSE,ISNUMBER(VALUE(metadata!J795))),metadata!J795&gt;0))</f>
        <v>0</v>
      </c>
      <c r="AM795" t="b">
        <f>AND(IF(metadata!K795="",FALSE,TRUE),EXACT(metadata!K795,"missing: not provided"))</f>
        <v>0</v>
      </c>
      <c r="AN795" t="b">
        <f>IF(metadata!L795="",FALSE,TRUE)</f>
        <v>0</v>
      </c>
      <c r="AO795" t="b">
        <f>IF(metadata!M795="",FALSE,TRUE)</f>
        <v>0</v>
      </c>
      <c r="AP795" t="b">
        <f>OR(AND(IF(metadata!N795="",FALSE,TRUE),OR(EXACT(metadata!N795,"not applicable"),EXACT(metadata!N795,"missing: not collected"),EXACT(metadata!N795,"missing: not provided"))),AND(IF(metadata!N795="",FALSE,IF(ISERROR(INT(metadata!N795)),FALSE,INT(metadata!N795)=metadata!N795)),metadata!N795&gt;0))</f>
        <v>0</v>
      </c>
      <c r="AQ795" t="b">
        <f>AND(IF(metadata!O795="",FALSE,TRUE),EXACT(metadata!O795,"Not applicable"))</f>
        <v>0</v>
      </c>
      <c r="AR795" t="b">
        <f>OR(AND(IF(metadata!P795="",FALSE,TRUE),OR(EXACT(metadata!P795,"not applicable"),EXACT(metadata!P795,"missing: not collected"),EXACT(metadata!P795,"missing: not provided"),EXACT(metadata!P795,"missing: restricted access"))),IF(metadata!P795="",FALSE,IF(ISERROR(INT(metadata!P795)),FALSE,INT(metadata!P795)=metadata!P795)))</f>
        <v>0</v>
      </c>
      <c r="AS795" t="b">
        <f>AND(IF(metadata!Q795="",FALSE,TRUE),EXACT(metadata!Q795,"Not applicable"))</f>
        <v>0</v>
      </c>
      <c r="AT795" t="b">
        <f>OR(AND(IF(metadata!R795="",FALSE,TRUE),OR(EXACT(metadata!R795,"not applicable"),EXACT(metadata!R795,"missing: not collected"),EXACT(metadata!R795,"missing: not provided"),EXACT(metadata!R795,"missing: restricted access"))),AND(IF(metadata!R795="",FALSE,ISNUMBER(VALUE(metadata!R795))),metadata!R795&gt;0))</f>
        <v>0</v>
      </c>
      <c r="AU795" t="b">
        <f>AND(IF(metadata!S795="",FALSE,TRUE),EXACT(metadata!S795,"missing: not provided"))</f>
        <v>0</v>
      </c>
    </row>
    <row r="796" spans="1:47" x14ac:dyDescent="0.2">
      <c r="A796" s="5" t="str">
        <f ca="1">IF(B796=" "," ",HYPERLINK(CONCATENATE("#metadata!",ADDRESS(INDEX($Y$2:$Y$1001,MATCH(ROWS($W$2:W796),$W$2:$W$1001,0),0),1)),INDEX($AB$2:$AB$1001,MATCH(ROWS($W$2:W796),$W$2:$W$1001,0),0)))</f>
        <v xml:space="preserve"> </v>
      </c>
      <c r="B796" s="4" t="str">
        <f ca="1">IF(OR(INDEX($X$2:$X$1001,MATCH(ROWS($W$2:W796),$W$2:$W$1001,0),1)&gt;=100000,INDEX($AD$1005:$AU$1005,1,MATCH(COLUMNS($AD$1006:AD1006),$AD$1006:$AU$1006,0))&gt;=100000), " ",IF(INDEX($AD$2:$AU$1001,MATCH(ROWS($W$2:W796),$W$2:$W$1001,0),MATCH(COLUMNS($AD$1006:AD1006),$AD$1006:$AU$1006,0)), HYPERLINK("#",""), HYPERLINK(CONCATENATE("#metadata!", ADDRESS(INDEX($Y$2:$Y$1001,MATCH(ROWS($W$2:W796),$W$2:$W$1001,0),0), INDEX($AD$1004:$AU$1004,1,MATCH(COLUMNS($AD$1006:AD1006),$AD$1006:$AU$1006,0)))),"Fix")))</f>
        <v xml:space="preserve"> </v>
      </c>
      <c r="C796" s="4" t="str">
        <f ca="1">IF(OR(INDEX($X$2:$X$1001,MATCH(ROWS($W$2:W796),$W$2:$W$1001,0),1)&gt;=100000,INDEX($AD$1005:$AU$1005,1,MATCH(COLUMNS($AD$1006:AE1006),$AD$1006:$AU$1006,0))&gt;=100000), " ",IF(INDEX($AD$2:$AU$1001,MATCH(ROWS($W$2:W796),$W$2:$W$1001,0),MATCH(COLUMNS($AD$1006:AE1006),$AD$1006:$AU$1006,0)), HYPERLINK("#",""), HYPERLINK(CONCATENATE("#metadata!", ADDRESS(INDEX($Y$2:$Y$1001,MATCH(ROWS($W$2:W796),$W$2:$W$1001,0),0), INDEX($AD$1004:$AU$1004,1,MATCH(COLUMNS($AD$1006:AE1006),$AD$1006:$AU$1006,0)))),"Fix")))</f>
        <v xml:space="preserve"> </v>
      </c>
      <c r="D796" s="4" t="str">
        <f ca="1">IF(OR(INDEX($X$2:$X$1001,MATCH(ROWS($W$2:W796),$W$2:$W$1001,0),1)&gt;=100000,INDEX($AD$1005:$AU$1005,1,MATCH(COLUMNS($AD$1006:AF1006),$AD$1006:$AU$1006,0))&gt;=100000), " ",IF(INDEX($AD$2:$AU$1001,MATCH(ROWS($W$2:W796),$W$2:$W$1001,0),MATCH(COLUMNS($AD$1006:AF1006),$AD$1006:$AU$1006,0)), HYPERLINK("#",""), HYPERLINK(CONCATENATE("#metadata!", ADDRESS(INDEX($Y$2:$Y$1001,MATCH(ROWS($W$2:W796),$W$2:$W$1001,0),0), INDEX($AD$1004:$AU$1004,1,MATCH(COLUMNS($AD$1006:AF1006),$AD$1006:$AU$1006,0)))),"Fix")))</f>
        <v xml:space="preserve"> </v>
      </c>
      <c r="E796" s="4" t="str">
        <f ca="1">IF(OR(INDEX($X$2:$X$1001,MATCH(ROWS($W$2:W796),$W$2:$W$1001,0),1)&gt;=100000,INDEX($AD$1005:$AU$1005,1,MATCH(COLUMNS($AD$1006:AG1006),$AD$1006:$AU$1006,0))&gt;=100000), " ",IF(INDEX($AD$2:$AU$1001,MATCH(ROWS($W$2:W796),$W$2:$W$1001,0),MATCH(COLUMNS($AD$1006:AG1006),$AD$1006:$AU$1006,0)), HYPERLINK("#",""), HYPERLINK(CONCATENATE("#metadata!", ADDRESS(INDEX($Y$2:$Y$1001,MATCH(ROWS($W$2:W796),$W$2:$W$1001,0),0), INDEX($AD$1004:$AU$1004,1,MATCH(COLUMNS($AD$1006:AG1006),$AD$1006:$AU$1006,0)))),"Fix")))</f>
        <v xml:space="preserve"> </v>
      </c>
      <c r="F796" s="4" t="str">
        <f ca="1">IF(OR(INDEX($X$2:$X$1001,MATCH(ROWS($W$2:W796),$W$2:$W$1001,0),1)&gt;=100000,INDEX($AD$1005:$AU$1005,1,MATCH(COLUMNS($AD$1006:AH1006),$AD$1006:$AU$1006,0))&gt;=100000), " ",IF(INDEX($AD$2:$AU$1001,MATCH(ROWS($W$2:W796),$W$2:$W$1001,0),MATCH(COLUMNS($AD$1006:AH1006),$AD$1006:$AU$1006,0)), HYPERLINK("#",""), HYPERLINK(CONCATENATE("#metadata!", ADDRESS(INDEX($Y$2:$Y$1001,MATCH(ROWS($W$2:W796),$W$2:$W$1001,0),0), INDEX($AD$1004:$AU$1004,1,MATCH(COLUMNS($AD$1006:AH1006),$AD$1006:$AU$1006,0)))),"Fix")))</f>
        <v xml:space="preserve"> </v>
      </c>
      <c r="G796" s="4" t="str">
        <f ca="1">IF(OR(INDEX($X$2:$X$1001,MATCH(ROWS($W$2:W796),$W$2:$W$1001,0),1)&gt;=100000,INDEX($AD$1005:$AU$1005,1,MATCH(COLUMNS($AD$1006:AI1006),$AD$1006:$AU$1006,0))&gt;=100000), " ",IF(INDEX($AD$2:$AU$1001,MATCH(ROWS($W$2:W796),$W$2:$W$1001,0),MATCH(COLUMNS($AD$1006:AI1006),$AD$1006:$AU$1006,0)), HYPERLINK("#",""), HYPERLINK(CONCATENATE("#metadata!", ADDRESS(INDEX($Y$2:$Y$1001,MATCH(ROWS($W$2:W796),$W$2:$W$1001,0),0), INDEX($AD$1004:$AU$1004,1,MATCH(COLUMNS($AD$1006:AI1006),$AD$1006:$AU$1006,0)))),"Fix")))</f>
        <v xml:space="preserve"> </v>
      </c>
      <c r="H796" s="4" t="str">
        <f ca="1">IF(OR(INDEX($X$2:$X$1001,MATCH(ROWS($W$2:W796),$W$2:$W$1001,0),1)&gt;=100000,INDEX($AD$1005:$AU$1005,1,MATCH(COLUMNS($AD$1006:AJ1006),$AD$1006:$AU$1006,0))&gt;=100000), " ",IF(INDEX($AD$2:$AU$1001,MATCH(ROWS($W$2:W796),$W$2:$W$1001,0),MATCH(COLUMNS($AD$1006:AJ1006),$AD$1006:$AU$1006,0)), HYPERLINK("#",""), HYPERLINK(CONCATENATE("#metadata!", ADDRESS(INDEX($Y$2:$Y$1001,MATCH(ROWS($W$2:W796),$W$2:$W$1001,0),0), INDEX($AD$1004:$AU$1004,1,MATCH(COLUMNS($AD$1006:AJ1006),$AD$1006:$AU$1006,0)))),"Fix")))</f>
        <v xml:space="preserve"> </v>
      </c>
      <c r="I796" s="4" t="str">
        <f ca="1">IF(OR(INDEX($X$2:$X$1001,MATCH(ROWS($W$2:W796),$W$2:$W$1001,0),1)&gt;=100000,INDEX($AD$1005:$AU$1005,1,MATCH(COLUMNS($AD$1006:AK1006),$AD$1006:$AU$1006,0))&gt;=100000), " ",IF(INDEX($AD$2:$AU$1001,MATCH(ROWS($W$2:W796),$W$2:$W$1001,0),MATCH(COLUMNS($AD$1006:AK1006),$AD$1006:$AU$1006,0)), HYPERLINK("#",""), HYPERLINK(CONCATENATE("#metadata!", ADDRESS(INDEX($Y$2:$Y$1001,MATCH(ROWS($W$2:W796),$W$2:$W$1001,0),0), INDEX($AD$1004:$AU$1004,1,MATCH(COLUMNS($AD$1006:AK1006),$AD$1006:$AU$1006,0)))),"Fix")))</f>
        <v xml:space="preserve"> </v>
      </c>
      <c r="J796" s="4" t="str">
        <f ca="1">IF(OR(INDEX($X$2:$X$1001,MATCH(ROWS($W$2:W796),$W$2:$W$1001,0),1)&gt;=100000,INDEX($AD$1005:$AU$1005,1,MATCH(COLUMNS($AD$1006:AL1006),$AD$1006:$AU$1006,0))&gt;=100000), " ",IF(INDEX($AD$2:$AU$1001,MATCH(ROWS($W$2:W796),$W$2:$W$1001,0),MATCH(COLUMNS($AD$1006:AL1006),$AD$1006:$AU$1006,0)), HYPERLINK("#",""), HYPERLINK(CONCATENATE("#metadata!", ADDRESS(INDEX($Y$2:$Y$1001,MATCH(ROWS($W$2:W796),$W$2:$W$1001,0),0), INDEX($AD$1004:$AU$1004,1,MATCH(COLUMNS($AD$1006:AL1006),$AD$1006:$AU$1006,0)))),"Fix")))</f>
        <v xml:space="preserve"> </v>
      </c>
      <c r="K796" s="4" t="str">
        <f ca="1">IF(OR(INDEX($X$2:$X$1001,MATCH(ROWS($W$2:W796),$W$2:$W$1001,0),1)&gt;=100000,INDEX($AD$1005:$AU$1005,1,MATCH(COLUMNS($AD$1006:AM1006),$AD$1006:$AU$1006,0))&gt;=100000), " ",IF(INDEX($AD$2:$AU$1001,MATCH(ROWS($W$2:W796),$W$2:$W$1001,0),MATCH(COLUMNS($AD$1006:AM1006),$AD$1006:$AU$1006,0)), HYPERLINK("#",""), HYPERLINK(CONCATENATE("#metadata!", ADDRESS(INDEX($Y$2:$Y$1001,MATCH(ROWS($W$2:W796),$W$2:$W$1001,0),0), INDEX($AD$1004:$AU$1004,1,MATCH(COLUMNS($AD$1006:AM1006),$AD$1006:$AU$1006,0)))),"Fix")))</f>
        <v xml:space="preserve"> </v>
      </c>
      <c r="L796" s="4" t="str">
        <f ca="1">IF(OR(INDEX($X$2:$X$1001,MATCH(ROWS($W$2:W796),$W$2:$W$1001,0),1)&gt;=100000,INDEX($AD$1005:$AU$1005,1,MATCH(COLUMNS($AD$1006:AN1006),$AD$1006:$AU$1006,0))&gt;=100000), " ",IF(INDEX($AD$2:$AU$1001,MATCH(ROWS($W$2:W796),$W$2:$W$1001,0),MATCH(COLUMNS($AD$1006:AN1006),$AD$1006:$AU$1006,0)), HYPERLINK("#",""), HYPERLINK(CONCATENATE("#metadata!", ADDRESS(INDEX($Y$2:$Y$1001,MATCH(ROWS($W$2:W796),$W$2:$W$1001,0),0), INDEX($AD$1004:$AU$1004,1,MATCH(COLUMNS($AD$1006:AN1006),$AD$1006:$AU$1006,0)))),"Fix")))</f>
        <v xml:space="preserve"> </v>
      </c>
      <c r="M796" s="4" t="str">
        <f ca="1">IF(OR(INDEX($X$2:$X$1001,MATCH(ROWS($W$2:W796),$W$2:$W$1001,0),1)&gt;=100000,INDEX($AD$1005:$AU$1005,1,MATCH(COLUMNS($AD$1006:AO1006),$AD$1006:$AU$1006,0))&gt;=100000), " ",IF(INDEX($AD$2:$AU$1001,MATCH(ROWS($W$2:W796),$W$2:$W$1001,0),MATCH(COLUMNS($AD$1006:AO1006),$AD$1006:$AU$1006,0)), HYPERLINK("#",""), HYPERLINK(CONCATENATE("#metadata!", ADDRESS(INDEX($Y$2:$Y$1001,MATCH(ROWS($W$2:W796),$W$2:$W$1001,0),0), INDEX($AD$1004:$AU$1004,1,MATCH(COLUMNS($AD$1006:AO1006),$AD$1006:$AU$1006,0)))),"Fix")))</f>
        <v xml:space="preserve"> </v>
      </c>
      <c r="N796" s="4" t="str">
        <f ca="1">IF(OR(INDEX($X$2:$X$1001,MATCH(ROWS($W$2:W796),$W$2:$W$1001,0),1)&gt;=100000,INDEX($AD$1005:$AU$1005,1,MATCH(COLUMNS($AD$1006:AP1006),$AD$1006:$AU$1006,0))&gt;=100000), " ",IF(INDEX($AD$2:$AU$1001,MATCH(ROWS($W$2:W796),$W$2:$W$1001,0),MATCH(COLUMNS($AD$1006:AP1006),$AD$1006:$AU$1006,0)), HYPERLINK("#",""), HYPERLINK(CONCATENATE("#metadata!", ADDRESS(INDEX($Y$2:$Y$1001,MATCH(ROWS($W$2:W796),$W$2:$W$1001,0),0), INDEX($AD$1004:$AU$1004,1,MATCH(COLUMNS($AD$1006:AP1006),$AD$1006:$AU$1006,0)))),"Fix")))</f>
        <v xml:space="preserve"> </v>
      </c>
      <c r="O796" s="4" t="str">
        <f ca="1">IF(OR(INDEX($X$2:$X$1001,MATCH(ROWS($W$2:W796),$W$2:$W$1001,0),1)&gt;=100000,INDEX($AD$1005:$AU$1005,1,MATCH(COLUMNS($AD$1006:AQ1006),$AD$1006:$AU$1006,0))&gt;=100000), " ",IF(INDEX($AD$2:$AU$1001,MATCH(ROWS($W$2:W796),$W$2:$W$1001,0),MATCH(COLUMNS($AD$1006:AQ1006),$AD$1006:$AU$1006,0)), HYPERLINK("#",""), HYPERLINK(CONCATENATE("#metadata!", ADDRESS(INDEX($Y$2:$Y$1001,MATCH(ROWS($W$2:W796),$W$2:$W$1001,0),0), INDEX($AD$1004:$AU$1004,1,MATCH(COLUMNS($AD$1006:AQ1006),$AD$1006:$AU$1006,0)))),"Fix")))</f>
        <v xml:space="preserve"> </v>
      </c>
      <c r="P796" s="4" t="str">
        <f ca="1">IF(OR(INDEX($X$2:$X$1001,MATCH(ROWS($W$2:W796),$W$2:$W$1001,0),1)&gt;=100000,INDEX($AD$1005:$AU$1005,1,MATCH(COLUMNS($AD$1006:AR1006),$AD$1006:$AU$1006,0))&gt;=100000), " ",IF(INDEX($AD$2:$AU$1001,MATCH(ROWS($W$2:W796),$W$2:$W$1001,0),MATCH(COLUMNS($AD$1006:AR1006),$AD$1006:$AU$1006,0)), HYPERLINK("#",""), HYPERLINK(CONCATENATE("#metadata!", ADDRESS(INDEX($Y$2:$Y$1001,MATCH(ROWS($W$2:W796),$W$2:$W$1001,0),0), INDEX($AD$1004:$AU$1004,1,MATCH(COLUMNS($AD$1006:AR1006),$AD$1006:$AU$1006,0)))),"Fix")))</f>
        <v xml:space="preserve"> </v>
      </c>
      <c r="Q796" s="4" t="str">
        <f ca="1">IF(OR(INDEX($X$2:$X$1001,MATCH(ROWS($W$2:W796),$W$2:$W$1001,0),1)&gt;=100000,INDEX($AD$1005:$AU$1005,1,MATCH(COLUMNS($AD$1006:AS1006),$AD$1006:$AU$1006,0))&gt;=100000), " ",IF(INDEX($AD$2:$AU$1001,MATCH(ROWS($W$2:W796),$W$2:$W$1001,0),MATCH(COLUMNS($AD$1006:AS1006),$AD$1006:$AU$1006,0)), HYPERLINK("#",""), HYPERLINK(CONCATENATE("#metadata!", ADDRESS(INDEX($Y$2:$Y$1001,MATCH(ROWS($W$2:W796),$W$2:$W$1001,0),0), INDEX($AD$1004:$AU$1004,1,MATCH(COLUMNS($AD$1006:AS1006),$AD$1006:$AU$1006,0)))),"Fix")))</f>
        <v xml:space="preserve"> </v>
      </c>
      <c r="R796" s="4" t="str">
        <f ca="1">IF(OR(INDEX($X$2:$X$1001,MATCH(ROWS($W$2:W796),$W$2:$W$1001,0),1)&gt;=100000,INDEX($AD$1005:$AU$1005,1,MATCH(COLUMNS($AD$1006:AT1006),$AD$1006:$AU$1006,0))&gt;=100000), " ",IF(INDEX($AD$2:$AU$1001,MATCH(ROWS($W$2:W796),$W$2:$W$1001,0),MATCH(COLUMNS($AD$1006:AT1006),$AD$1006:$AU$1006,0)), HYPERLINK("#",""), HYPERLINK(CONCATENATE("#metadata!", ADDRESS(INDEX($Y$2:$Y$1001,MATCH(ROWS($W$2:W796),$W$2:$W$1001,0),0), INDEX($AD$1004:$AU$1004,1,MATCH(COLUMNS($AD$1006:AT1006),$AD$1006:$AU$1006,0)))),"Fix")))</f>
        <v xml:space="preserve"> </v>
      </c>
      <c r="S796" s="4" t="str">
        <f ca="1">IF(OR(INDEX($X$2:$X$1001,MATCH(ROWS($W$2:W796),$W$2:$W$1001,0),1)&gt;=100000,INDEX($AD$1005:$AU$1005,1,MATCH(COLUMNS($AD$1006:AU1006),$AD$1006:$AU$1006,0))&gt;=100000), " ",IF(INDEX($AD$2:$AU$1001,MATCH(ROWS($W$2:W796),$W$2:$W$1001,0),MATCH(COLUMNS($AD$1006:AU1006),$AD$1006:$AU$1006,0)), HYPERLINK("#",""), HYPERLINK(CONCATENATE("#metadata!", ADDRESS(INDEX($Y$2:$Y$1001,MATCH(ROWS($W$2:W796),$W$2:$W$1001,0),0), INDEX($AD$1004:$AU$1004,1,MATCH(COLUMNS($AD$1006:AU1006),$AD$1006:$AU$1006,0)))),"Fix")))</f>
        <v xml:space="preserve"> </v>
      </c>
      <c r="W796">
        <v>795</v>
      </c>
      <c r="X796">
        <v>100796</v>
      </c>
      <c r="Y796">
        <v>796</v>
      </c>
      <c r="Z796" t="b">
        <f t="shared" si="12"/>
        <v>1</v>
      </c>
      <c r="AA796" t="b">
        <f>COUNTBLANK(metadata!B796:S796)=COLUMNS(metadata!B796:S796)</f>
        <v>1</v>
      </c>
      <c r="AB796" t="str">
        <v/>
      </c>
      <c r="AD796" t="b">
        <f ca="1">AND(IF(metadata!B796="",FALSE,TRUE),COUNTIF(metadata!B:B, metadata!B796) = 1,NOT(ISERROR(SUMPRODUCT(SEARCH(MID(metadata!B796,ROW(INDIRECT("1:"&amp;LEN(metadata!B796))), 1),"0123456789abcdefghijklmnopqrstuvwxyzABCDEFGHIJKLMNOPQRSTUVWXYZ.")))))</f>
        <v>0</v>
      </c>
      <c r="AE796" t="b">
        <f>OR(AND(IF(metadata!C796="",FALSE,TRUE),OR(EXACT(metadata!C796,"not applicable"),EXACT(metadata!C796,"missing: not collected"),EXACT(metadata!C796,"missing: not provided"),EXACT(metadata!C796,"missing: restricted access"))),AND(IF(metadata!C796="",FALSE,ISNUMBER(VALUE(metadata!C796))),metadata!C796&gt;0))</f>
        <v>0</v>
      </c>
      <c r="AF796" t="b">
        <f>AND(IF(metadata!D796="",FALSE,TRUE),EXACT(metadata!D796,"missing: not provided"))</f>
        <v>0</v>
      </c>
      <c r="AG796" t="b">
        <f>AND(IF(metadata!E796="",FALSE,TRUE),EXACT(metadata!E796,"Host-associated"))</f>
        <v>0</v>
      </c>
      <c r="AH796" t="b">
        <f>AND(IF(metadata!F796="",FALSE,TRUE),OR(EXACT(metadata!F796,"Animal"),EXACT(metadata!F796,"Fungus"),EXACT(metadata!F796,"Plant")))</f>
        <v>0</v>
      </c>
      <c r="AI796" t="b">
        <f>AND(IF(metadata!G796="",FALSE,TRUE),OR(EXACT(metadata!G796,"Plant secretion"),EXACT(metadata!G796,"Plant rhizosphere"),EXACT(metadata!G796,"Plant surface"),EXACT(metadata!G796,"Plant corpus"),EXACT(metadata!G796,"Fungus surface"),EXACT(metadata!G796,"Fungus corpus"),EXACT(metadata!G796,"Animal surface"),EXACT(metadata!G796,"Animal proximal gut"),EXACT(metadata!G796,"Animal corpus"),EXACT(metadata!G796,"Animal distal gut"),EXACT(metadata!G796,"Animal secretion")))</f>
        <v>0</v>
      </c>
      <c r="AJ796" t="b">
        <f>OR(AND(IF(metadata!H796="",FALSE,TRUE),OR(EXACT(metadata!H796,"missing: not collected"),EXACT(metadata!H796,"missing: not provided"),EXACT(metadata!H796,"missing: restricted access"))),AND(IF(metadata!H796="",FALSE,TRUE),OR(EXACT(metadata!H796,"organism-associated habitat"),EXACT(metadata!H796,"plant-associated habitat"),EXACT(metadata!H796,"animal-associated habitat"),EXACT(metadata!H796,"insecta-associated habitat"),EXACT(metadata!H796,"mammalia-associated habitat"),EXACT(metadata!H796,"human-associated habitat"),EXACT(metadata!H796,"livestock-associated habitat"))))</f>
        <v>0</v>
      </c>
      <c r="AK796" t="b">
        <f>AND(IF(metadata!I796="",FALSE,TRUE),EXACT(metadata!I796,"host-associated"))</f>
        <v>0</v>
      </c>
      <c r="AL796" t="b">
        <f>OR(AND(IF(metadata!J796="",FALSE,TRUE),OR(EXACT(metadata!J796,"not applicable"),EXACT(metadata!J796,"missing: not collected"),EXACT(metadata!J796,"missing: not provided"),EXACT(metadata!J796,"missing: restricted access"))),AND(IF(metadata!J796="",FALSE,ISNUMBER(VALUE(metadata!J796))),metadata!J796&gt;0))</f>
        <v>0</v>
      </c>
      <c r="AM796" t="b">
        <f>AND(IF(metadata!K796="",FALSE,TRUE),EXACT(metadata!K796,"missing: not provided"))</f>
        <v>0</v>
      </c>
      <c r="AN796" t="b">
        <f>IF(metadata!L796="",FALSE,TRUE)</f>
        <v>0</v>
      </c>
      <c r="AO796" t="b">
        <f>IF(metadata!M796="",FALSE,TRUE)</f>
        <v>0</v>
      </c>
      <c r="AP796" t="b">
        <f>OR(AND(IF(metadata!N796="",FALSE,TRUE),OR(EXACT(metadata!N796,"not applicable"),EXACT(metadata!N796,"missing: not collected"),EXACT(metadata!N796,"missing: not provided"))),AND(IF(metadata!N796="",FALSE,IF(ISERROR(INT(metadata!N796)),FALSE,INT(metadata!N796)=metadata!N796)),metadata!N796&gt;0))</f>
        <v>0</v>
      </c>
      <c r="AQ796" t="b">
        <f>AND(IF(metadata!O796="",FALSE,TRUE),EXACT(metadata!O796,"Not applicable"))</f>
        <v>0</v>
      </c>
      <c r="AR796" t="b">
        <f>OR(AND(IF(metadata!P796="",FALSE,TRUE),OR(EXACT(metadata!P796,"not applicable"),EXACT(metadata!P796,"missing: not collected"),EXACT(metadata!P796,"missing: not provided"),EXACT(metadata!P796,"missing: restricted access"))),IF(metadata!P796="",FALSE,IF(ISERROR(INT(metadata!P796)),FALSE,INT(metadata!P796)=metadata!P796)))</f>
        <v>0</v>
      </c>
      <c r="AS796" t="b">
        <f>AND(IF(metadata!Q796="",FALSE,TRUE),EXACT(metadata!Q796,"Not applicable"))</f>
        <v>0</v>
      </c>
      <c r="AT796" t="b">
        <f>OR(AND(IF(metadata!R796="",FALSE,TRUE),OR(EXACT(metadata!R796,"not applicable"),EXACT(metadata!R796,"missing: not collected"),EXACT(metadata!R796,"missing: not provided"),EXACT(metadata!R796,"missing: restricted access"))),AND(IF(metadata!R796="",FALSE,ISNUMBER(VALUE(metadata!R796))),metadata!R796&gt;0))</f>
        <v>0</v>
      </c>
      <c r="AU796" t="b">
        <f>AND(IF(metadata!S796="",FALSE,TRUE),EXACT(metadata!S796,"missing: not provided"))</f>
        <v>0</v>
      </c>
    </row>
    <row r="797" spans="1:47" x14ac:dyDescent="0.2">
      <c r="A797" s="5" t="str">
        <f ca="1">IF(B797=" "," ",HYPERLINK(CONCATENATE("#metadata!",ADDRESS(INDEX($Y$2:$Y$1001,MATCH(ROWS($W$2:W797),$W$2:$W$1001,0),0),1)),INDEX($AB$2:$AB$1001,MATCH(ROWS($W$2:W797),$W$2:$W$1001,0),0)))</f>
        <v xml:space="preserve"> </v>
      </c>
      <c r="B797" s="4" t="str">
        <f ca="1">IF(OR(INDEX($X$2:$X$1001,MATCH(ROWS($W$2:W797),$W$2:$W$1001,0),1)&gt;=100000,INDEX($AD$1005:$AU$1005,1,MATCH(COLUMNS($AD$1006:AD1006),$AD$1006:$AU$1006,0))&gt;=100000), " ",IF(INDEX($AD$2:$AU$1001,MATCH(ROWS($W$2:W797),$W$2:$W$1001,0),MATCH(COLUMNS($AD$1006:AD1006),$AD$1006:$AU$1006,0)), HYPERLINK("#",""), HYPERLINK(CONCATENATE("#metadata!", ADDRESS(INDEX($Y$2:$Y$1001,MATCH(ROWS($W$2:W797),$W$2:$W$1001,0),0), INDEX($AD$1004:$AU$1004,1,MATCH(COLUMNS($AD$1006:AD1006),$AD$1006:$AU$1006,0)))),"Fix")))</f>
        <v xml:space="preserve"> </v>
      </c>
      <c r="C797" s="4" t="str">
        <f ca="1">IF(OR(INDEX($X$2:$X$1001,MATCH(ROWS($W$2:W797),$W$2:$W$1001,0),1)&gt;=100000,INDEX($AD$1005:$AU$1005,1,MATCH(COLUMNS($AD$1006:AE1006),$AD$1006:$AU$1006,0))&gt;=100000), " ",IF(INDEX($AD$2:$AU$1001,MATCH(ROWS($W$2:W797),$W$2:$W$1001,0),MATCH(COLUMNS($AD$1006:AE1006),$AD$1006:$AU$1006,0)), HYPERLINK("#",""), HYPERLINK(CONCATENATE("#metadata!", ADDRESS(INDEX($Y$2:$Y$1001,MATCH(ROWS($W$2:W797),$W$2:$W$1001,0),0), INDEX($AD$1004:$AU$1004,1,MATCH(COLUMNS($AD$1006:AE1006),$AD$1006:$AU$1006,0)))),"Fix")))</f>
        <v xml:space="preserve"> </v>
      </c>
      <c r="D797" s="4" t="str">
        <f ca="1">IF(OR(INDEX($X$2:$X$1001,MATCH(ROWS($W$2:W797),$W$2:$W$1001,0),1)&gt;=100000,INDEX($AD$1005:$AU$1005,1,MATCH(COLUMNS($AD$1006:AF1006),$AD$1006:$AU$1006,0))&gt;=100000), " ",IF(INDEX($AD$2:$AU$1001,MATCH(ROWS($W$2:W797),$W$2:$W$1001,0),MATCH(COLUMNS($AD$1006:AF1006),$AD$1006:$AU$1006,0)), HYPERLINK("#",""), HYPERLINK(CONCATENATE("#metadata!", ADDRESS(INDEX($Y$2:$Y$1001,MATCH(ROWS($W$2:W797),$W$2:$W$1001,0),0), INDEX($AD$1004:$AU$1004,1,MATCH(COLUMNS($AD$1006:AF1006),$AD$1006:$AU$1006,0)))),"Fix")))</f>
        <v xml:space="preserve"> </v>
      </c>
      <c r="E797" s="4" t="str">
        <f ca="1">IF(OR(INDEX($X$2:$X$1001,MATCH(ROWS($W$2:W797),$W$2:$W$1001,0),1)&gt;=100000,INDEX($AD$1005:$AU$1005,1,MATCH(COLUMNS($AD$1006:AG1006),$AD$1006:$AU$1006,0))&gt;=100000), " ",IF(INDEX($AD$2:$AU$1001,MATCH(ROWS($W$2:W797),$W$2:$W$1001,0),MATCH(COLUMNS($AD$1006:AG1006),$AD$1006:$AU$1006,0)), HYPERLINK("#",""), HYPERLINK(CONCATENATE("#metadata!", ADDRESS(INDEX($Y$2:$Y$1001,MATCH(ROWS($W$2:W797),$W$2:$W$1001,0),0), INDEX($AD$1004:$AU$1004,1,MATCH(COLUMNS($AD$1006:AG1006),$AD$1006:$AU$1006,0)))),"Fix")))</f>
        <v xml:space="preserve"> </v>
      </c>
      <c r="F797" s="4" t="str">
        <f ca="1">IF(OR(INDEX($X$2:$X$1001,MATCH(ROWS($W$2:W797),$W$2:$W$1001,0),1)&gt;=100000,INDEX($AD$1005:$AU$1005,1,MATCH(COLUMNS($AD$1006:AH1006),$AD$1006:$AU$1006,0))&gt;=100000), " ",IF(INDEX($AD$2:$AU$1001,MATCH(ROWS($W$2:W797),$W$2:$W$1001,0),MATCH(COLUMNS($AD$1006:AH1006),$AD$1006:$AU$1006,0)), HYPERLINK("#",""), HYPERLINK(CONCATENATE("#metadata!", ADDRESS(INDEX($Y$2:$Y$1001,MATCH(ROWS($W$2:W797),$W$2:$W$1001,0),0), INDEX($AD$1004:$AU$1004,1,MATCH(COLUMNS($AD$1006:AH1006),$AD$1006:$AU$1006,0)))),"Fix")))</f>
        <v xml:space="preserve"> </v>
      </c>
      <c r="G797" s="4" t="str">
        <f ca="1">IF(OR(INDEX($X$2:$X$1001,MATCH(ROWS($W$2:W797),$W$2:$W$1001,0),1)&gt;=100000,INDEX($AD$1005:$AU$1005,1,MATCH(COLUMNS($AD$1006:AI1006),$AD$1006:$AU$1006,0))&gt;=100000), " ",IF(INDEX($AD$2:$AU$1001,MATCH(ROWS($W$2:W797),$W$2:$W$1001,0),MATCH(COLUMNS($AD$1006:AI1006),$AD$1006:$AU$1006,0)), HYPERLINK("#",""), HYPERLINK(CONCATENATE("#metadata!", ADDRESS(INDEX($Y$2:$Y$1001,MATCH(ROWS($W$2:W797),$W$2:$W$1001,0),0), INDEX($AD$1004:$AU$1004,1,MATCH(COLUMNS($AD$1006:AI1006),$AD$1006:$AU$1006,0)))),"Fix")))</f>
        <v xml:space="preserve"> </v>
      </c>
      <c r="H797" s="4" t="str">
        <f ca="1">IF(OR(INDEX($X$2:$X$1001,MATCH(ROWS($W$2:W797),$W$2:$W$1001,0),1)&gt;=100000,INDEX($AD$1005:$AU$1005,1,MATCH(COLUMNS($AD$1006:AJ1006),$AD$1006:$AU$1006,0))&gt;=100000), " ",IF(INDEX($AD$2:$AU$1001,MATCH(ROWS($W$2:W797),$W$2:$W$1001,0),MATCH(COLUMNS($AD$1006:AJ1006),$AD$1006:$AU$1006,0)), HYPERLINK("#",""), HYPERLINK(CONCATENATE("#metadata!", ADDRESS(INDEX($Y$2:$Y$1001,MATCH(ROWS($W$2:W797),$W$2:$W$1001,0),0), INDEX($AD$1004:$AU$1004,1,MATCH(COLUMNS($AD$1006:AJ1006),$AD$1006:$AU$1006,0)))),"Fix")))</f>
        <v xml:space="preserve"> </v>
      </c>
      <c r="I797" s="4" t="str">
        <f ca="1">IF(OR(INDEX($X$2:$X$1001,MATCH(ROWS($W$2:W797),$W$2:$W$1001,0),1)&gt;=100000,INDEX($AD$1005:$AU$1005,1,MATCH(COLUMNS($AD$1006:AK1006),$AD$1006:$AU$1006,0))&gt;=100000), " ",IF(INDEX($AD$2:$AU$1001,MATCH(ROWS($W$2:W797),$W$2:$W$1001,0),MATCH(COLUMNS($AD$1006:AK1006),$AD$1006:$AU$1006,0)), HYPERLINK("#",""), HYPERLINK(CONCATENATE("#metadata!", ADDRESS(INDEX($Y$2:$Y$1001,MATCH(ROWS($W$2:W797),$W$2:$W$1001,0),0), INDEX($AD$1004:$AU$1004,1,MATCH(COLUMNS($AD$1006:AK1006),$AD$1006:$AU$1006,0)))),"Fix")))</f>
        <v xml:space="preserve"> </v>
      </c>
      <c r="J797" s="4" t="str">
        <f ca="1">IF(OR(INDEX($X$2:$X$1001,MATCH(ROWS($W$2:W797),$W$2:$W$1001,0),1)&gt;=100000,INDEX($AD$1005:$AU$1005,1,MATCH(COLUMNS($AD$1006:AL1006),$AD$1006:$AU$1006,0))&gt;=100000), " ",IF(INDEX($AD$2:$AU$1001,MATCH(ROWS($W$2:W797),$W$2:$W$1001,0),MATCH(COLUMNS($AD$1006:AL1006),$AD$1006:$AU$1006,0)), HYPERLINK("#",""), HYPERLINK(CONCATENATE("#metadata!", ADDRESS(INDEX($Y$2:$Y$1001,MATCH(ROWS($W$2:W797),$W$2:$W$1001,0),0), INDEX($AD$1004:$AU$1004,1,MATCH(COLUMNS($AD$1006:AL1006),$AD$1006:$AU$1006,0)))),"Fix")))</f>
        <v xml:space="preserve"> </v>
      </c>
      <c r="K797" s="4" t="str">
        <f ca="1">IF(OR(INDEX($X$2:$X$1001,MATCH(ROWS($W$2:W797),$W$2:$W$1001,0),1)&gt;=100000,INDEX($AD$1005:$AU$1005,1,MATCH(COLUMNS($AD$1006:AM1006),$AD$1006:$AU$1006,0))&gt;=100000), " ",IF(INDEX($AD$2:$AU$1001,MATCH(ROWS($W$2:W797),$W$2:$W$1001,0),MATCH(COLUMNS($AD$1006:AM1006),$AD$1006:$AU$1006,0)), HYPERLINK("#",""), HYPERLINK(CONCATENATE("#metadata!", ADDRESS(INDEX($Y$2:$Y$1001,MATCH(ROWS($W$2:W797),$W$2:$W$1001,0),0), INDEX($AD$1004:$AU$1004,1,MATCH(COLUMNS($AD$1006:AM1006),$AD$1006:$AU$1006,0)))),"Fix")))</f>
        <v xml:space="preserve"> </v>
      </c>
      <c r="L797" s="4" t="str">
        <f ca="1">IF(OR(INDEX($X$2:$X$1001,MATCH(ROWS($W$2:W797),$W$2:$W$1001,0),1)&gt;=100000,INDEX($AD$1005:$AU$1005,1,MATCH(COLUMNS($AD$1006:AN1006),$AD$1006:$AU$1006,0))&gt;=100000), " ",IF(INDEX($AD$2:$AU$1001,MATCH(ROWS($W$2:W797),$W$2:$W$1001,0),MATCH(COLUMNS($AD$1006:AN1006),$AD$1006:$AU$1006,0)), HYPERLINK("#",""), HYPERLINK(CONCATENATE("#metadata!", ADDRESS(INDEX($Y$2:$Y$1001,MATCH(ROWS($W$2:W797),$W$2:$W$1001,0),0), INDEX($AD$1004:$AU$1004,1,MATCH(COLUMNS($AD$1006:AN1006),$AD$1006:$AU$1006,0)))),"Fix")))</f>
        <v xml:space="preserve"> </v>
      </c>
      <c r="M797" s="4" t="str">
        <f ca="1">IF(OR(INDEX($X$2:$X$1001,MATCH(ROWS($W$2:W797),$W$2:$W$1001,0),1)&gt;=100000,INDEX($AD$1005:$AU$1005,1,MATCH(COLUMNS($AD$1006:AO1006),$AD$1006:$AU$1006,0))&gt;=100000), " ",IF(INDEX($AD$2:$AU$1001,MATCH(ROWS($W$2:W797),$W$2:$W$1001,0),MATCH(COLUMNS($AD$1006:AO1006),$AD$1006:$AU$1006,0)), HYPERLINK("#",""), HYPERLINK(CONCATENATE("#metadata!", ADDRESS(INDEX($Y$2:$Y$1001,MATCH(ROWS($W$2:W797),$W$2:$W$1001,0),0), INDEX($AD$1004:$AU$1004,1,MATCH(COLUMNS($AD$1006:AO1006),$AD$1006:$AU$1006,0)))),"Fix")))</f>
        <v xml:space="preserve"> </v>
      </c>
      <c r="N797" s="4" t="str">
        <f ca="1">IF(OR(INDEX($X$2:$X$1001,MATCH(ROWS($W$2:W797),$W$2:$W$1001,0),1)&gt;=100000,INDEX($AD$1005:$AU$1005,1,MATCH(COLUMNS($AD$1006:AP1006),$AD$1006:$AU$1006,0))&gt;=100000), " ",IF(INDEX($AD$2:$AU$1001,MATCH(ROWS($W$2:W797),$W$2:$W$1001,0),MATCH(COLUMNS($AD$1006:AP1006),$AD$1006:$AU$1006,0)), HYPERLINK("#",""), HYPERLINK(CONCATENATE("#metadata!", ADDRESS(INDEX($Y$2:$Y$1001,MATCH(ROWS($W$2:W797),$W$2:$W$1001,0),0), INDEX($AD$1004:$AU$1004,1,MATCH(COLUMNS($AD$1006:AP1006),$AD$1006:$AU$1006,0)))),"Fix")))</f>
        <v xml:space="preserve"> </v>
      </c>
      <c r="O797" s="4" t="str">
        <f ca="1">IF(OR(INDEX($X$2:$X$1001,MATCH(ROWS($W$2:W797),$W$2:$W$1001,0),1)&gt;=100000,INDEX($AD$1005:$AU$1005,1,MATCH(COLUMNS($AD$1006:AQ1006),$AD$1006:$AU$1006,0))&gt;=100000), " ",IF(INDEX($AD$2:$AU$1001,MATCH(ROWS($W$2:W797),$W$2:$W$1001,0),MATCH(COLUMNS($AD$1006:AQ1006),$AD$1006:$AU$1006,0)), HYPERLINK("#",""), HYPERLINK(CONCATENATE("#metadata!", ADDRESS(INDEX($Y$2:$Y$1001,MATCH(ROWS($W$2:W797),$W$2:$W$1001,0),0), INDEX($AD$1004:$AU$1004,1,MATCH(COLUMNS($AD$1006:AQ1006),$AD$1006:$AU$1006,0)))),"Fix")))</f>
        <v xml:space="preserve"> </v>
      </c>
      <c r="P797" s="4" t="str">
        <f ca="1">IF(OR(INDEX($X$2:$X$1001,MATCH(ROWS($W$2:W797),$W$2:$W$1001,0),1)&gt;=100000,INDEX($AD$1005:$AU$1005,1,MATCH(COLUMNS($AD$1006:AR1006),$AD$1006:$AU$1006,0))&gt;=100000), " ",IF(INDEX($AD$2:$AU$1001,MATCH(ROWS($W$2:W797),$W$2:$W$1001,0),MATCH(COLUMNS($AD$1006:AR1006),$AD$1006:$AU$1006,0)), HYPERLINK("#",""), HYPERLINK(CONCATENATE("#metadata!", ADDRESS(INDEX($Y$2:$Y$1001,MATCH(ROWS($W$2:W797),$W$2:$W$1001,0),0), INDEX($AD$1004:$AU$1004,1,MATCH(COLUMNS($AD$1006:AR1006),$AD$1006:$AU$1006,0)))),"Fix")))</f>
        <v xml:space="preserve"> </v>
      </c>
      <c r="Q797" s="4" t="str">
        <f ca="1">IF(OR(INDEX($X$2:$X$1001,MATCH(ROWS($W$2:W797),$W$2:$W$1001,0),1)&gt;=100000,INDEX($AD$1005:$AU$1005,1,MATCH(COLUMNS($AD$1006:AS1006),$AD$1006:$AU$1006,0))&gt;=100000), " ",IF(INDEX($AD$2:$AU$1001,MATCH(ROWS($W$2:W797),$W$2:$W$1001,0),MATCH(COLUMNS($AD$1006:AS1006),$AD$1006:$AU$1006,0)), HYPERLINK("#",""), HYPERLINK(CONCATENATE("#metadata!", ADDRESS(INDEX($Y$2:$Y$1001,MATCH(ROWS($W$2:W797),$W$2:$W$1001,0),0), INDEX($AD$1004:$AU$1004,1,MATCH(COLUMNS($AD$1006:AS1006),$AD$1006:$AU$1006,0)))),"Fix")))</f>
        <v xml:space="preserve"> </v>
      </c>
      <c r="R797" s="4" t="str">
        <f ca="1">IF(OR(INDEX($X$2:$X$1001,MATCH(ROWS($W$2:W797),$W$2:$W$1001,0),1)&gt;=100000,INDEX($AD$1005:$AU$1005,1,MATCH(COLUMNS($AD$1006:AT1006),$AD$1006:$AU$1006,0))&gt;=100000), " ",IF(INDEX($AD$2:$AU$1001,MATCH(ROWS($W$2:W797),$W$2:$W$1001,0),MATCH(COLUMNS($AD$1006:AT1006),$AD$1006:$AU$1006,0)), HYPERLINK("#",""), HYPERLINK(CONCATENATE("#metadata!", ADDRESS(INDEX($Y$2:$Y$1001,MATCH(ROWS($W$2:W797),$W$2:$W$1001,0),0), INDEX($AD$1004:$AU$1004,1,MATCH(COLUMNS($AD$1006:AT1006),$AD$1006:$AU$1006,0)))),"Fix")))</f>
        <v xml:space="preserve"> </v>
      </c>
      <c r="S797" s="4" t="str">
        <f ca="1">IF(OR(INDEX($X$2:$X$1001,MATCH(ROWS($W$2:W797),$W$2:$W$1001,0),1)&gt;=100000,INDEX($AD$1005:$AU$1005,1,MATCH(COLUMNS($AD$1006:AU1006),$AD$1006:$AU$1006,0))&gt;=100000), " ",IF(INDEX($AD$2:$AU$1001,MATCH(ROWS($W$2:W797),$W$2:$W$1001,0),MATCH(COLUMNS($AD$1006:AU1006),$AD$1006:$AU$1006,0)), HYPERLINK("#",""), HYPERLINK(CONCATENATE("#metadata!", ADDRESS(INDEX($Y$2:$Y$1001,MATCH(ROWS($W$2:W797),$W$2:$W$1001,0),0), INDEX($AD$1004:$AU$1004,1,MATCH(COLUMNS($AD$1006:AU1006),$AD$1006:$AU$1006,0)))),"Fix")))</f>
        <v xml:space="preserve"> </v>
      </c>
      <c r="W797">
        <v>796</v>
      </c>
      <c r="X797">
        <v>100797</v>
      </c>
      <c r="Y797">
        <v>797</v>
      </c>
      <c r="Z797" t="b">
        <f t="shared" si="12"/>
        <v>1</v>
      </c>
      <c r="AA797" t="b">
        <f>COUNTBLANK(metadata!B797:S797)=COLUMNS(metadata!B797:S797)</f>
        <v>1</v>
      </c>
      <c r="AB797" t="str">
        <v/>
      </c>
      <c r="AD797" t="b">
        <f ca="1">AND(IF(metadata!B797="",FALSE,TRUE),COUNTIF(metadata!B:B, metadata!B797) = 1,NOT(ISERROR(SUMPRODUCT(SEARCH(MID(metadata!B797,ROW(INDIRECT("1:"&amp;LEN(metadata!B797))), 1),"0123456789abcdefghijklmnopqrstuvwxyzABCDEFGHIJKLMNOPQRSTUVWXYZ.")))))</f>
        <v>0</v>
      </c>
      <c r="AE797" t="b">
        <f>OR(AND(IF(metadata!C797="",FALSE,TRUE),OR(EXACT(metadata!C797,"not applicable"),EXACT(metadata!C797,"missing: not collected"),EXACT(metadata!C797,"missing: not provided"),EXACT(metadata!C797,"missing: restricted access"))),AND(IF(metadata!C797="",FALSE,ISNUMBER(VALUE(metadata!C797))),metadata!C797&gt;0))</f>
        <v>0</v>
      </c>
      <c r="AF797" t="b">
        <f>AND(IF(metadata!D797="",FALSE,TRUE),EXACT(metadata!D797,"missing: not provided"))</f>
        <v>0</v>
      </c>
      <c r="AG797" t="b">
        <f>AND(IF(metadata!E797="",FALSE,TRUE),EXACT(metadata!E797,"Host-associated"))</f>
        <v>0</v>
      </c>
      <c r="AH797" t="b">
        <f>AND(IF(metadata!F797="",FALSE,TRUE),OR(EXACT(metadata!F797,"Animal"),EXACT(metadata!F797,"Fungus"),EXACT(metadata!F797,"Plant")))</f>
        <v>0</v>
      </c>
      <c r="AI797" t="b">
        <f>AND(IF(metadata!G797="",FALSE,TRUE),OR(EXACT(metadata!G797,"Plant secretion"),EXACT(metadata!G797,"Plant rhizosphere"),EXACT(metadata!G797,"Plant surface"),EXACT(metadata!G797,"Plant corpus"),EXACT(metadata!G797,"Fungus surface"),EXACT(metadata!G797,"Fungus corpus"),EXACT(metadata!G797,"Animal surface"),EXACT(metadata!G797,"Animal proximal gut"),EXACT(metadata!G797,"Animal corpus"),EXACT(metadata!G797,"Animal distal gut"),EXACT(metadata!G797,"Animal secretion")))</f>
        <v>0</v>
      </c>
      <c r="AJ797" t="b">
        <f>OR(AND(IF(metadata!H797="",FALSE,TRUE),OR(EXACT(metadata!H797,"missing: not collected"),EXACT(metadata!H797,"missing: not provided"),EXACT(metadata!H797,"missing: restricted access"))),AND(IF(metadata!H797="",FALSE,TRUE),OR(EXACT(metadata!H797,"organism-associated habitat"),EXACT(metadata!H797,"plant-associated habitat"),EXACT(metadata!H797,"animal-associated habitat"),EXACT(metadata!H797,"insecta-associated habitat"),EXACT(metadata!H797,"mammalia-associated habitat"),EXACT(metadata!H797,"human-associated habitat"),EXACT(metadata!H797,"livestock-associated habitat"))))</f>
        <v>0</v>
      </c>
      <c r="AK797" t="b">
        <f>AND(IF(metadata!I797="",FALSE,TRUE),EXACT(metadata!I797,"host-associated"))</f>
        <v>0</v>
      </c>
      <c r="AL797" t="b">
        <f>OR(AND(IF(metadata!J797="",FALSE,TRUE),OR(EXACT(metadata!J797,"not applicable"),EXACT(metadata!J797,"missing: not collected"),EXACT(metadata!J797,"missing: not provided"),EXACT(metadata!J797,"missing: restricted access"))),AND(IF(metadata!J797="",FALSE,ISNUMBER(VALUE(metadata!J797))),metadata!J797&gt;0))</f>
        <v>0</v>
      </c>
      <c r="AM797" t="b">
        <f>AND(IF(metadata!K797="",FALSE,TRUE),EXACT(metadata!K797,"missing: not provided"))</f>
        <v>0</v>
      </c>
      <c r="AN797" t="b">
        <f>IF(metadata!L797="",FALSE,TRUE)</f>
        <v>0</v>
      </c>
      <c r="AO797" t="b">
        <f>IF(metadata!M797="",FALSE,TRUE)</f>
        <v>0</v>
      </c>
      <c r="AP797" t="b">
        <f>OR(AND(IF(metadata!N797="",FALSE,TRUE),OR(EXACT(metadata!N797,"not applicable"),EXACT(metadata!N797,"missing: not collected"),EXACT(metadata!N797,"missing: not provided"))),AND(IF(metadata!N797="",FALSE,IF(ISERROR(INT(metadata!N797)),FALSE,INT(metadata!N797)=metadata!N797)),metadata!N797&gt;0))</f>
        <v>0</v>
      </c>
      <c r="AQ797" t="b">
        <f>AND(IF(metadata!O797="",FALSE,TRUE),EXACT(metadata!O797,"Not applicable"))</f>
        <v>0</v>
      </c>
      <c r="AR797" t="b">
        <f>OR(AND(IF(metadata!P797="",FALSE,TRUE),OR(EXACT(metadata!P797,"not applicable"),EXACT(metadata!P797,"missing: not collected"),EXACT(metadata!P797,"missing: not provided"),EXACT(metadata!P797,"missing: restricted access"))),IF(metadata!P797="",FALSE,IF(ISERROR(INT(metadata!P797)),FALSE,INT(metadata!P797)=metadata!P797)))</f>
        <v>0</v>
      </c>
      <c r="AS797" t="b">
        <f>AND(IF(metadata!Q797="",FALSE,TRUE),EXACT(metadata!Q797,"Not applicable"))</f>
        <v>0</v>
      </c>
      <c r="AT797" t="b">
        <f>OR(AND(IF(metadata!R797="",FALSE,TRUE),OR(EXACT(metadata!R797,"not applicable"),EXACT(metadata!R797,"missing: not collected"),EXACT(metadata!R797,"missing: not provided"),EXACT(metadata!R797,"missing: restricted access"))),AND(IF(metadata!R797="",FALSE,ISNUMBER(VALUE(metadata!R797))),metadata!R797&gt;0))</f>
        <v>0</v>
      </c>
      <c r="AU797" t="b">
        <f>AND(IF(metadata!S797="",FALSE,TRUE),EXACT(metadata!S797,"missing: not provided"))</f>
        <v>0</v>
      </c>
    </row>
    <row r="798" spans="1:47" x14ac:dyDescent="0.2">
      <c r="A798" s="5" t="str">
        <f ca="1">IF(B798=" "," ",HYPERLINK(CONCATENATE("#metadata!",ADDRESS(INDEX($Y$2:$Y$1001,MATCH(ROWS($W$2:W798),$W$2:$W$1001,0),0),1)),INDEX($AB$2:$AB$1001,MATCH(ROWS($W$2:W798),$W$2:$W$1001,0),0)))</f>
        <v xml:space="preserve"> </v>
      </c>
      <c r="B798" s="4" t="str">
        <f ca="1">IF(OR(INDEX($X$2:$X$1001,MATCH(ROWS($W$2:W798),$W$2:$W$1001,0),1)&gt;=100000,INDEX($AD$1005:$AU$1005,1,MATCH(COLUMNS($AD$1006:AD1006),$AD$1006:$AU$1006,0))&gt;=100000), " ",IF(INDEX($AD$2:$AU$1001,MATCH(ROWS($W$2:W798),$W$2:$W$1001,0),MATCH(COLUMNS($AD$1006:AD1006),$AD$1006:$AU$1006,0)), HYPERLINK("#",""), HYPERLINK(CONCATENATE("#metadata!", ADDRESS(INDEX($Y$2:$Y$1001,MATCH(ROWS($W$2:W798),$W$2:$W$1001,0),0), INDEX($AD$1004:$AU$1004,1,MATCH(COLUMNS($AD$1006:AD1006),$AD$1006:$AU$1006,0)))),"Fix")))</f>
        <v xml:space="preserve"> </v>
      </c>
      <c r="C798" s="4" t="str">
        <f ca="1">IF(OR(INDEX($X$2:$X$1001,MATCH(ROWS($W$2:W798),$W$2:$W$1001,0),1)&gt;=100000,INDEX($AD$1005:$AU$1005,1,MATCH(COLUMNS($AD$1006:AE1006),$AD$1006:$AU$1006,0))&gt;=100000), " ",IF(INDEX($AD$2:$AU$1001,MATCH(ROWS($W$2:W798),$W$2:$W$1001,0),MATCH(COLUMNS($AD$1006:AE1006),$AD$1006:$AU$1006,0)), HYPERLINK("#",""), HYPERLINK(CONCATENATE("#metadata!", ADDRESS(INDEX($Y$2:$Y$1001,MATCH(ROWS($W$2:W798),$W$2:$W$1001,0),0), INDEX($AD$1004:$AU$1004,1,MATCH(COLUMNS($AD$1006:AE1006),$AD$1006:$AU$1006,0)))),"Fix")))</f>
        <v xml:space="preserve"> </v>
      </c>
      <c r="D798" s="4" t="str">
        <f ca="1">IF(OR(INDEX($X$2:$X$1001,MATCH(ROWS($W$2:W798),$W$2:$W$1001,0),1)&gt;=100000,INDEX($AD$1005:$AU$1005,1,MATCH(COLUMNS($AD$1006:AF1006),$AD$1006:$AU$1006,0))&gt;=100000), " ",IF(INDEX($AD$2:$AU$1001,MATCH(ROWS($W$2:W798),$W$2:$W$1001,0),MATCH(COLUMNS($AD$1006:AF1006),$AD$1006:$AU$1006,0)), HYPERLINK("#",""), HYPERLINK(CONCATENATE("#metadata!", ADDRESS(INDEX($Y$2:$Y$1001,MATCH(ROWS($W$2:W798),$W$2:$W$1001,0),0), INDEX($AD$1004:$AU$1004,1,MATCH(COLUMNS($AD$1006:AF1006),$AD$1006:$AU$1006,0)))),"Fix")))</f>
        <v xml:space="preserve"> </v>
      </c>
      <c r="E798" s="4" t="str">
        <f ca="1">IF(OR(INDEX($X$2:$X$1001,MATCH(ROWS($W$2:W798),$W$2:$W$1001,0),1)&gt;=100000,INDEX($AD$1005:$AU$1005,1,MATCH(COLUMNS($AD$1006:AG1006),$AD$1006:$AU$1006,0))&gt;=100000), " ",IF(INDEX($AD$2:$AU$1001,MATCH(ROWS($W$2:W798),$W$2:$W$1001,0),MATCH(COLUMNS($AD$1006:AG1006),$AD$1006:$AU$1006,0)), HYPERLINK("#",""), HYPERLINK(CONCATENATE("#metadata!", ADDRESS(INDEX($Y$2:$Y$1001,MATCH(ROWS($W$2:W798),$W$2:$W$1001,0),0), INDEX($AD$1004:$AU$1004,1,MATCH(COLUMNS($AD$1006:AG1006),$AD$1006:$AU$1006,0)))),"Fix")))</f>
        <v xml:space="preserve"> </v>
      </c>
      <c r="F798" s="4" t="str">
        <f ca="1">IF(OR(INDEX($X$2:$X$1001,MATCH(ROWS($W$2:W798),$W$2:$W$1001,0),1)&gt;=100000,INDEX($AD$1005:$AU$1005,1,MATCH(COLUMNS($AD$1006:AH1006),$AD$1006:$AU$1006,0))&gt;=100000), " ",IF(INDEX($AD$2:$AU$1001,MATCH(ROWS($W$2:W798),$W$2:$W$1001,0),MATCH(COLUMNS($AD$1006:AH1006),$AD$1006:$AU$1006,0)), HYPERLINK("#",""), HYPERLINK(CONCATENATE("#metadata!", ADDRESS(INDEX($Y$2:$Y$1001,MATCH(ROWS($W$2:W798),$W$2:$W$1001,0),0), INDEX($AD$1004:$AU$1004,1,MATCH(COLUMNS($AD$1006:AH1006),$AD$1006:$AU$1006,0)))),"Fix")))</f>
        <v xml:space="preserve"> </v>
      </c>
      <c r="G798" s="4" t="str">
        <f ca="1">IF(OR(INDEX($X$2:$X$1001,MATCH(ROWS($W$2:W798),$W$2:$W$1001,0),1)&gt;=100000,INDEX($AD$1005:$AU$1005,1,MATCH(COLUMNS($AD$1006:AI1006),$AD$1006:$AU$1006,0))&gt;=100000), " ",IF(INDEX($AD$2:$AU$1001,MATCH(ROWS($W$2:W798),$W$2:$W$1001,0),MATCH(COLUMNS($AD$1006:AI1006),$AD$1006:$AU$1006,0)), HYPERLINK("#",""), HYPERLINK(CONCATENATE("#metadata!", ADDRESS(INDEX($Y$2:$Y$1001,MATCH(ROWS($W$2:W798),$W$2:$W$1001,0),0), INDEX($AD$1004:$AU$1004,1,MATCH(COLUMNS($AD$1006:AI1006),$AD$1006:$AU$1006,0)))),"Fix")))</f>
        <v xml:space="preserve"> </v>
      </c>
      <c r="H798" s="4" t="str">
        <f ca="1">IF(OR(INDEX($X$2:$X$1001,MATCH(ROWS($W$2:W798),$W$2:$W$1001,0),1)&gt;=100000,INDEX($AD$1005:$AU$1005,1,MATCH(COLUMNS($AD$1006:AJ1006),$AD$1006:$AU$1006,0))&gt;=100000), " ",IF(INDEX($AD$2:$AU$1001,MATCH(ROWS($W$2:W798),$W$2:$W$1001,0),MATCH(COLUMNS($AD$1006:AJ1006),$AD$1006:$AU$1006,0)), HYPERLINK("#",""), HYPERLINK(CONCATENATE("#metadata!", ADDRESS(INDEX($Y$2:$Y$1001,MATCH(ROWS($W$2:W798),$W$2:$W$1001,0),0), INDEX($AD$1004:$AU$1004,1,MATCH(COLUMNS($AD$1006:AJ1006),$AD$1006:$AU$1006,0)))),"Fix")))</f>
        <v xml:space="preserve"> </v>
      </c>
      <c r="I798" s="4" t="str">
        <f ca="1">IF(OR(INDEX($X$2:$X$1001,MATCH(ROWS($W$2:W798),$W$2:$W$1001,0),1)&gt;=100000,INDEX($AD$1005:$AU$1005,1,MATCH(COLUMNS($AD$1006:AK1006),$AD$1006:$AU$1006,0))&gt;=100000), " ",IF(INDEX($AD$2:$AU$1001,MATCH(ROWS($W$2:W798),$W$2:$W$1001,0),MATCH(COLUMNS($AD$1006:AK1006),$AD$1006:$AU$1006,0)), HYPERLINK("#",""), HYPERLINK(CONCATENATE("#metadata!", ADDRESS(INDEX($Y$2:$Y$1001,MATCH(ROWS($W$2:W798),$W$2:$W$1001,0),0), INDEX($AD$1004:$AU$1004,1,MATCH(COLUMNS($AD$1006:AK1006),$AD$1006:$AU$1006,0)))),"Fix")))</f>
        <v xml:space="preserve"> </v>
      </c>
      <c r="J798" s="4" t="str">
        <f ca="1">IF(OR(INDEX($X$2:$X$1001,MATCH(ROWS($W$2:W798),$W$2:$W$1001,0),1)&gt;=100000,INDEX($AD$1005:$AU$1005,1,MATCH(COLUMNS($AD$1006:AL1006),$AD$1006:$AU$1006,0))&gt;=100000), " ",IF(INDEX($AD$2:$AU$1001,MATCH(ROWS($W$2:W798),$W$2:$W$1001,0),MATCH(COLUMNS($AD$1006:AL1006),$AD$1006:$AU$1006,0)), HYPERLINK("#",""), HYPERLINK(CONCATENATE("#metadata!", ADDRESS(INDEX($Y$2:$Y$1001,MATCH(ROWS($W$2:W798),$W$2:$W$1001,0),0), INDEX($AD$1004:$AU$1004,1,MATCH(COLUMNS($AD$1006:AL1006),$AD$1006:$AU$1006,0)))),"Fix")))</f>
        <v xml:space="preserve"> </v>
      </c>
      <c r="K798" s="4" t="str">
        <f ca="1">IF(OR(INDEX($X$2:$X$1001,MATCH(ROWS($W$2:W798),$W$2:$W$1001,0),1)&gt;=100000,INDEX($AD$1005:$AU$1005,1,MATCH(COLUMNS($AD$1006:AM1006),$AD$1006:$AU$1006,0))&gt;=100000), " ",IF(INDEX($AD$2:$AU$1001,MATCH(ROWS($W$2:W798),$W$2:$W$1001,0),MATCH(COLUMNS($AD$1006:AM1006),$AD$1006:$AU$1006,0)), HYPERLINK("#",""), HYPERLINK(CONCATENATE("#metadata!", ADDRESS(INDEX($Y$2:$Y$1001,MATCH(ROWS($W$2:W798),$W$2:$W$1001,0),0), INDEX($AD$1004:$AU$1004,1,MATCH(COLUMNS($AD$1006:AM1006),$AD$1006:$AU$1006,0)))),"Fix")))</f>
        <v xml:space="preserve"> </v>
      </c>
      <c r="L798" s="4" t="str">
        <f ca="1">IF(OR(INDEX($X$2:$X$1001,MATCH(ROWS($W$2:W798),$W$2:$W$1001,0),1)&gt;=100000,INDEX($AD$1005:$AU$1005,1,MATCH(COLUMNS($AD$1006:AN1006),$AD$1006:$AU$1006,0))&gt;=100000), " ",IF(INDEX($AD$2:$AU$1001,MATCH(ROWS($W$2:W798),$W$2:$W$1001,0),MATCH(COLUMNS($AD$1006:AN1006),$AD$1006:$AU$1006,0)), HYPERLINK("#",""), HYPERLINK(CONCATENATE("#metadata!", ADDRESS(INDEX($Y$2:$Y$1001,MATCH(ROWS($W$2:W798),$W$2:$W$1001,0),0), INDEX($AD$1004:$AU$1004,1,MATCH(COLUMNS($AD$1006:AN1006),$AD$1006:$AU$1006,0)))),"Fix")))</f>
        <v xml:space="preserve"> </v>
      </c>
      <c r="M798" s="4" t="str">
        <f ca="1">IF(OR(INDEX($X$2:$X$1001,MATCH(ROWS($W$2:W798),$W$2:$W$1001,0),1)&gt;=100000,INDEX($AD$1005:$AU$1005,1,MATCH(COLUMNS($AD$1006:AO1006),$AD$1006:$AU$1006,0))&gt;=100000), " ",IF(INDEX($AD$2:$AU$1001,MATCH(ROWS($W$2:W798),$W$2:$W$1001,0),MATCH(COLUMNS($AD$1006:AO1006),$AD$1006:$AU$1006,0)), HYPERLINK("#",""), HYPERLINK(CONCATENATE("#metadata!", ADDRESS(INDEX($Y$2:$Y$1001,MATCH(ROWS($W$2:W798),$W$2:$W$1001,0),0), INDEX($AD$1004:$AU$1004,1,MATCH(COLUMNS($AD$1006:AO1006),$AD$1006:$AU$1006,0)))),"Fix")))</f>
        <v xml:space="preserve"> </v>
      </c>
      <c r="N798" s="4" t="str">
        <f ca="1">IF(OR(INDEX($X$2:$X$1001,MATCH(ROWS($W$2:W798),$W$2:$W$1001,0),1)&gt;=100000,INDEX($AD$1005:$AU$1005,1,MATCH(COLUMNS($AD$1006:AP1006),$AD$1006:$AU$1006,0))&gt;=100000), " ",IF(INDEX($AD$2:$AU$1001,MATCH(ROWS($W$2:W798),$W$2:$W$1001,0),MATCH(COLUMNS($AD$1006:AP1006),$AD$1006:$AU$1006,0)), HYPERLINK("#",""), HYPERLINK(CONCATENATE("#metadata!", ADDRESS(INDEX($Y$2:$Y$1001,MATCH(ROWS($W$2:W798),$W$2:$W$1001,0),0), INDEX($AD$1004:$AU$1004,1,MATCH(COLUMNS($AD$1006:AP1006),$AD$1006:$AU$1006,0)))),"Fix")))</f>
        <v xml:space="preserve"> </v>
      </c>
      <c r="O798" s="4" t="str">
        <f ca="1">IF(OR(INDEX($X$2:$X$1001,MATCH(ROWS($W$2:W798),$W$2:$W$1001,0),1)&gt;=100000,INDEX($AD$1005:$AU$1005,1,MATCH(COLUMNS($AD$1006:AQ1006),$AD$1006:$AU$1006,0))&gt;=100000), " ",IF(INDEX($AD$2:$AU$1001,MATCH(ROWS($W$2:W798),$W$2:$W$1001,0),MATCH(COLUMNS($AD$1006:AQ1006),$AD$1006:$AU$1006,0)), HYPERLINK("#",""), HYPERLINK(CONCATENATE("#metadata!", ADDRESS(INDEX($Y$2:$Y$1001,MATCH(ROWS($W$2:W798),$W$2:$W$1001,0),0), INDEX($AD$1004:$AU$1004,1,MATCH(COLUMNS($AD$1006:AQ1006),$AD$1006:$AU$1006,0)))),"Fix")))</f>
        <v xml:space="preserve"> </v>
      </c>
      <c r="P798" s="4" t="str">
        <f ca="1">IF(OR(INDEX($X$2:$X$1001,MATCH(ROWS($W$2:W798),$W$2:$W$1001,0),1)&gt;=100000,INDEX($AD$1005:$AU$1005,1,MATCH(COLUMNS($AD$1006:AR1006),$AD$1006:$AU$1006,0))&gt;=100000), " ",IF(INDEX($AD$2:$AU$1001,MATCH(ROWS($W$2:W798),$W$2:$W$1001,0),MATCH(COLUMNS($AD$1006:AR1006),$AD$1006:$AU$1006,0)), HYPERLINK("#",""), HYPERLINK(CONCATENATE("#metadata!", ADDRESS(INDEX($Y$2:$Y$1001,MATCH(ROWS($W$2:W798),$W$2:$W$1001,0),0), INDEX($AD$1004:$AU$1004,1,MATCH(COLUMNS($AD$1006:AR1006),$AD$1006:$AU$1006,0)))),"Fix")))</f>
        <v xml:space="preserve"> </v>
      </c>
      <c r="Q798" s="4" t="str">
        <f ca="1">IF(OR(INDEX($X$2:$X$1001,MATCH(ROWS($W$2:W798),$W$2:$W$1001,0),1)&gt;=100000,INDEX($AD$1005:$AU$1005,1,MATCH(COLUMNS($AD$1006:AS1006),$AD$1006:$AU$1006,0))&gt;=100000), " ",IF(INDEX($AD$2:$AU$1001,MATCH(ROWS($W$2:W798),$W$2:$W$1001,0),MATCH(COLUMNS($AD$1006:AS1006),$AD$1006:$AU$1006,0)), HYPERLINK("#",""), HYPERLINK(CONCATENATE("#metadata!", ADDRESS(INDEX($Y$2:$Y$1001,MATCH(ROWS($W$2:W798),$W$2:$W$1001,0),0), INDEX($AD$1004:$AU$1004,1,MATCH(COLUMNS($AD$1006:AS1006),$AD$1006:$AU$1006,0)))),"Fix")))</f>
        <v xml:space="preserve"> </v>
      </c>
      <c r="R798" s="4" t="str">
        <f ca="1">IF(OR(INDEX($X$2:$X$1001,MATCH(ROWS($W$2:W798),$W$2:$W$1001,0),1)&gt;=100000,INDEX($AD$1005:$AU$1005,1,MATCH(COLUMNS($AD$1006:AT1006),$AD$1006:$AU$1006,0))&gt;=100000), " ",IF(INDEX($AD$2:$AU$1001,MATCH(ROWS($W$2:W798),$W$2:$W$1001,0),MATCH(COLUMNS($AD$1006:AT1006),$AD$1006:$AU$1006,0)), HYPERLINK("#",""), HYPERLINK(CONCATENATE("#metadata!", ADDRESS(INDEX($Y$2:$Y$1001,MATCH(ROWS($W$2:W798),$W$2:$W$1001,0),0), INDEX($AD$1004:$AU$1004,1,MATCH(COLUMNS($AD$1006:AT1006),$AD$1006:$AU$1006,0)))),"Fix")))</f>
        <v xml:space="preserve"> </v>
      </c>
      <c r="S798" s="4" t="str">
        <f ca="1">IF(OR(INDEX($X$2:$X$1001,MATCH(ROWS($W$2:W798),$W$2:$W$1001,0),1)&gt;=100000,INDEX($AD$1005:$AU$1005,1,MATCH(COLUMNS($AD$1006:AU1006),$AD$1006:$AU$1006,0))&gt;=100000), " ",IF(INDEX($AD$2:$AU$1001,MATCH(ROWS($W$2:W798),$W$2:$W$1001,0),MATCH(COLUMNS($AD$1006:AU1006),$AD$1006:$AU$1006,0)), HYPERLINK("#",""), HYPERLINK(CONCATENATE("#metadata!", ADDRESS(INDEX($Y$2:$Y$1001,MATCH(ROWS($W$2:W798),$W$2:$W$1001,0),0), INDEX($AD$1004:$AU$1004,1,MATCH(COLUMNS($AD$1006:AU1006),$AD$1006:$AU$1006,0)))),"Fix")))</f>
        <v xml:space="preserve"> </v>
      </c>
      <c r="W798">
        <v>797</v>
      </c>
      <c r="X798">
        <v>100798</v>
      </c>
      <c r="Y798">
        <v>798</v>
      </c>
      <c r="Z798" t="b">
        <f t="shared" si="12"/>
        <v>1</v>
      </c>
      <c r="AA798" t="b">
        <f>COUNTBLANK(metadata!B798:S798)=COLUMNS(metadata!B798:S798)</f>
        <v>1</v>
      </c>
      <c r="AB798" t="str">
        <v/>
      </c>
      <c r="AD798" t="b">
        <f ca="1">AND(IF(metadata!B798="",FALSE,TRUE),COUNTIF(metadata!B:B, metadata!B798) = 1,NOT(ISERROR(SUMPRODUCT(SEARCH(MID(metadata!B798,ROW(INDIRECT("1:"&amp;LEN(metadata!B798))), 1),"0123456789abcdefghijklmnopqrstuvwxyzABCDEFGHIJKLMNOPQRSTUVWXYZ.")))))</f>
        <v>0</v>
      </c>
      <c r="AE798" t="b">
        <f>OR(AND(IF(metadata!C798="",FALSE,TRUE),OR(EXACT(metadata!C798,"not applicable"),EXACT(metadata!C798,"missing: not collected"),EXACT(metadata!C798,"missing: not provided"),EXACT(metadata!C798,"missing: restricted access"))),AND(IF(metadata!C798="",FALSE,ISNUMBER(VALUE(metadata!C798))),metadata!C798&gt;0))</f>
        <v>0</v>
      </c>
      <c r="AF798" t="b">
        <f>AND(IF(metadata!D798="",FALSE,TRUE),EXACT(metadata!D798,"missing: not provided"))</f>
        <v>0</v>
      </c>
      <c r="AG798" t="b">
        <f>AND(IF(metadata!E798="",FALSE,TRUE),EXACT(metadata!E798,"Host-associated"))</f>
        <v>0</v>
      </c>
      <c r="AH798" t="b">
        <f>AND(IF(metadata!F798="",FALSE,TRUE),OR(EXACT(metadata!F798,"Animal"),EXACT(metadata!F798,"Fungus"),EXACT(metadata!F798,"Plant")))</f>
        <v>0</v>
      </c>
      <c r="AI798" t="b">
        <f>AND(IF(metadata!G798="",FALSE,TRUE),OR(EXACT(metadata!G798,"Plant secretion"),EXACT(metadata!G798,"Plant rhizosphere"),EXACT(metadata!G798,"Plant surface"),EXACT(metadata!G798,"Plant corpus"),EXACT(metadata!G798,"Fungus surface"),EXACT(metadata!G798,"Fungus corpus"),EXACT(metadata!G798,"Animal surface"),EXACT(metadata!G798,"Animal proximal gut"),EXACT(metadata!G798,"Animal corpus"),EXACT(metadata!G798,"Animal distal gut"),EXACT(metadata!G798,"Animal secretion")))</f>
        <v>0</v>
      </c>
      <c r="AJ798" t="b">
        <f>OR(AND(IF(metadata!H798="",FALSE,TRUE),OR(EXACT(metadata!H798,"missing: not collected"),EXACT(metadata!H798,"missing: not provided"),EXACT(metadata!H798,"missing: restricted access"))),AND(IF(metadata!H798="",FALSE,TRUE),OR(EXACT(metadata!H798,"organism-associated habitat"),EXACT(metadata!H798,"plant-associated habitat"),EXACT(metadata!H798,"animal-associated habitat"),EXACT(metadata!H798,"insecta-associated habitat"),EXACT(metadata!H798,"mammalia-associated habitat"),EXACT(metadata!H798,"human-associated habitat"),EXACT(metadata!H798,"livestock-associated habitat"))))</f>
        <v>0</v>
      </c>
      <c r="AK798" t="b">
        <f>AND(IF(metadata!I798="",FALSE,TRUE),EXACT(metadata!I798,"host-associated"))</f>
        <v>0</v>
      </c>
      <c r="AL798" t="b">
        <f>OR(AND(IF(metadata!J798="",FALSE,TRUE),OR(EXACT(metadata!J798,"not applicable"),EXACT(metadata!J798,"missing: not collected"),EXACT(metadata!J798,"missing: not provided"),EXACT(metadata!J798,"missing: restricted access"))),AND(IF(metadata!J798="",FALSE,ISNUMBER(VALUE(metadata!J798))),metadata!J798&gt;0))</f>
        <v>0</v>
      </c>
      <c r="AM798" t="b">
        <f>AND(IF(metadata!K798="",FALSE,TRUE),EXACT(metadata!K798,"missing: not provided"))</f>
        <v>0</v>
      </c>
      <c r="AN798" t="b">
        <f>IF(metadata!L798="",FALSE,TRUE)</f>
        <v>0</v>
      </c>
      <c r="AO798" t="b">
        <f>IF(metadata!M798="",FALSE,TRUE)</f>
        <v>0</v>
      </c>
      <c r="AP798" t="b">
        <f>OR(AND(IF(metadata!N798="",FALSE,TRUE),OR(EXACT(metadata!N798,"not applicable"),EXACT(metadata!N798,"missing: not collected"),EXACT(metadata!N798,"missing: not provided"))),AND(IF(metadata!N798="",FALSE,IF(ISERROR(INT(metadata!N798)),FALSE,INT(metadata!N798)=metadata!N798)),metadata!N798&gt;0))</f>
        <v>0</v>
      </c>
      <c r="AQ798" t="b">
        <f>AND(IF(metadata!O798="",FALSE,TRUE),EXACT(metadata!O798,"Not applicable"))</f>
        <v>0</v>
      </c>
      <c r="AR798" t="b">
        <f>OR(AND(IF(metadata!P798="",FALSE,TRUE),OR(EXACT(metadata!P798,"not applicable"),EXACT(metadata!P798,"missing: not collected"),EXACT(metadata!P798,"missing: not provided"),EXACT(metadata!P798,"missing: restricted access"))),IF(metadata!P798="",FALSE,IF(ISERROR(INT(metadata!P798)),FALSE,INT(metadata!P798)=metadata!P798)))</f>
        <v>0</v>
      </c>
      <c r="AS798" t="b">
        <f>AND(IF(metadata!Q798="",FALSE,TRUE),EXACT(metadata!Q798,"Not applicable"))</f>
        <v>0</v>
      </c>
      <c r="AT798" t="b">
        <f>OR(AND(IF(metadata!R798="",FALSE,TRUE),OR(EXACT(metadata!R798,"not applicable"),EXACT(metadata!R798,"missing: not collected"),EXACT(metadata!R798,"missing: not provided"),EXACT(metadata!R798,"missing: restricted access"))),AND(IF(metadata!R798="",FALSE,ISNUMBER(VALUE(metadata!R798))),metadata!R798&gt;0))</f>
        <v>0</v>
      </c>
      <c r="AU798" t="b">
        <f>AND(IF(metadata!S798="",FALSE,TRUE),EXACT(metadata!S798,"missing: not provided"))</f>
        <v>0</v>
      </c>
    </row>
    <row r="799" spans="1:47" x14ac:dyDescent="0.2">
      <c r="A799" s="5" t="str">
        <f ca="1">IF(B799=" "," ",HYPERLINK(CONCATENATE("#metadata!",ADDRESS(INDEX($Y$2:$Y$1001,MATCH(ROWS($W$2:W799),$W$2:$W$1001,0),0),1)),INDEX($AB$2:$AB$1001,MATCH(ROWS($W$2:W799),$W$2:$W$1001,0),0)))</f>
        <v xml:space="preserve"> </v>
      </c>
      <c r="B799" s="4" t="str">
        <f ca="1">IF(OR(INDEX($X$2:$X$1001,MATCH(ROWS($W$2:W799),$W$2:$W$1001,0),1)&gt;=100000,INDEX($AD$1005:$AU$1005,1,MATCH(COLUMNS($AD$1006:AD1006),$AD$1006:$AU$1006,0))&gt;=100000), " ",IF(INDEX($AD$2:$AU$1001,MATCH(ROWS($W$2:W799),$W$2:$W$1001,0),MATCH(COLUMNS($AD$1006:AD1006),$AD$1006:$AU$1006,0)), HYPERLINK("#",""), HYPERLINK(CONCATENATE("#metadata!", ADDRESS(INDEX($Y$2:$Y$1001,MATCH(ROWS($W$2:W799),$W$2:$W$1001,0),0), INDEX($AD$1004:$AU$1004,1,MATCH(COLUMNS($AD$1006:AD1006),$AD$1006:$AU$1006,0)))),"Fix")))</f>
        <v xml:space="preserve"> </v>
      </c>
      <c r="C799" s="4" t="str">
        <f ca="1">IF(OR(INDEX($X$2:$X$1001,MATCH(ROWS($W$2:W799),$W$2:$W$1001,0),1)&gt;=100000,INDEX($AD$1005:$AU$1005,1,MATCH(COLUMNS($AD$1006:AE1006),$AD$1006:$AU$1006,0))&gt;=100000), " ",IF(INDEX($AD$2:$AU$1001,MATCH(ROWS($W$2:W799),$W$2:$W$1001,0),MATCH(COLUMNS($AD$1006:AE1006),$AD$1006:$AU$1006,0)), HYPERLINK("#",""), HYPERLINK(CONCATENATE("#metadata!", ADDRESS(INDEX($Y$2:$Y$1001,MATCH(ROWS($W$2:W799),$W$2:$W$1001,0),0), INDEX($AD$1004:$AU$1004,1,MATCH(COLUMNS($AD$1006:AE1006),$AD$1006:$AU$1006,0)))),"Fix")))</f>
        <v xml:space="preserve"> </v>
      </c>
      <c r="D799" s="4" t="str">
        <f ca="1">IF(OR(INDEX($X$2:$X$1001,MATCH(ROWS($W$2:W799),$W$2:$W$1001,0),1)&gt;=100000,INDEX($AD$1005:$AU$1005,1,MATCH(COLUMNS($AD$1006:AF1006),$AD$1006:$AU$1006,0))&gt;=100000), " ",IF(INDEX($AD$2:$AU$1001,MATCH(ROWS($W$2:W799),$W$2:$W$1001,0),MATCH(COLUMNS($AD$1006:AF1006),$AD$1006:$AU$1006,0)), HYPERLINK("#",""), HYPERLINK(CONCATENATE("#metadata!", ADDRESS(INDEX($Y$2:$Y$1001,MATCH(ROWS($W$2:W799),$W$2:$W$1001,0),0), INDEX($AD$1004:$AU$1004,1,MATCH(COLUMNS($AD$1006:AF1006),$AD$1006:$AU$1006,0)))),"Fix")))</f>
        <v xml:space="preserve"> </v>
      </c>
      <c r="E799" s="4" t="str">
        <f ca="1">IF(OR(INDEX($X$2:$X$1001,MATCH(ROWS($W$2:W799),$W$2:$W$1001,0),1)&gt;=100000,INDEX($AD$1005:$AU$1005,1,MATCH(COLUMNS($AD$1006:AG1006),$AD$1006:$AU$1006,0))&gt;=100000), " ",IF(INDEX($AD$2:$AU$1001,MATCH(ROWS($W$2:W799),$W$2:$W$1001,0),MATCH(COLUMNS($AD$1006:AG1006),$AD$1006:$AU$1006,0)), HYPERLINK("#",""), HYPERLINK(CONCATENATE("#metadata!", ADDRESS(INDEX($Y$2:$Y$1001,MATCH(ROWS($W$2:W799),$W$2:$W$1001,0),0), INDEX($AD$1004:$AU$1004,1,MATCH(COLUMNS($AD$1006:AG1006),$AD$1006:$AU$1006,0)))),"Fix")))</f>
        <v xml:space="preserve"> </v>
      </c>
      <c r="F799" s="4" t="str">
        <f ca="1">IF(OR(INDEX($X$2:$X$1001,MATCH(ROWS($W$2:W799),$W$2:$W$1001,0),1)&gt;=100000,INDEX($AD$1005:$AU$1005,1,MATCH(COLUMNS($AD$1006:AH1006),$AD$1006:$AU$1006,0))&gt;=100000), " ",IF(INDEX($AD$2:$AU$1001,MATCH(ROWS($W$2:W799),$W$2:$W$1001,0),MATCH(COLUMNS($AD$1006:AH1006),$AD$1006:$AU$1006,0)), HYPERLINK("#",""), HYPERLINK(CONCATENATE("#metadata!", ADDRESS(INDEX($Y$2:$Y$1001,MATCH(ROWS($W$2:W799),$W$2:$W$1001,0),0), INDEX($AD$1004:$AU$1004,1,MATCH(COLUMNS($AD$1006:AH1006),$AD$1006:$AU$1006,0)))),"Fix")))</f>
        <v xml:space="preserve"> </v>
      </c>
      <c r="G799" s="4" t="str">
        <f ca="1">IF(OR(INDEX($X$2:$X$1001,MATCH(ROWS($W$2:W799),$W$2:$W$1001,0),1)&gt;=100000,INDEX($AD$1005:$AU$1005,1,MATCH(COLUMNS($AD$1006:AI1006),$AD$1006:$AU$1006,0))&gt;=100000), " ",IF(INDEX($AD$2:$AU$1001,MATCH(ROWS($W$2:W799),$W$2:$W$1001,0),MATCH(COLUMNS($AD$1006:AI1006),$AD$1006:$AU$1006,0)), HYPERLINK("#",""), HYPERLINK(CONCATENATE("#metadata!", ADDRESS(INDEX($Y$2:$Y$1001,MATCH(ROWS($W$2:W799),$W$2:$W$1001,0),0), INDEX($AD$1004:$AU$1004,1,MATCH(COLUMNS($AD$1006:AI1006),$AD$1006:$AU$1006,0)))),"Fix")))</f>
        <v xml:space="preserve"> </v>
      </c>
      <c r="H799" s="4" t="str">
        <f ca="1">IF(OR(INDEX($X$2:$X$1001,MATCH(ROWS($W$2:W799),$W$2:$W$1001,0),1)&gt;=100000,INDEX($AD$1005:$AU$1005,1,MATCH(COLUMNS($AD$1006:AJ1006),$AD$1006:$AU$1006,0))&gt;=100000), " ",IF(INDEX($AD$2:$AU$1001,MATCH(ROWS($W$2:W799),$W$2:$W$1001,0),MATCH(COLUMNS($AD$1006:AJ1006),$AD$1006:$AU$1006,0)), HYPERLINK("#",""), HYPERLINK(CONCATENATE("#metadata!", ADDRESS(INDEX($Y$2:$Y$1001,MATCH(ROWS($W$2:W799),$W$2:$W$1001,0),0), INDEX($AD$1004:$AU$1004,1,MATCH(COLUMNS($AD$1006:AJ1006),$AD$1006:$AU$1006,0)))),"Fix")))</f>
        <v xml:space="preserve"> </v>
      </c>
      <c r="I799" s="4" t="str">
        <f ca="1">IF(OR(INDEX($X$2:$X$1001,MATCH(ROWS($W$2:W799),$W$2:$W$1001,0),1)&gt;=100000,INDEX($AD$1005:$AU$1005,1,MATCH(COLUMNS($AD$1006:AK1006),$AD$1006:$AU$1006,0))&gt;=100000), " ",IF(INDEX($AD$2:$AU$1001,MATCH(ROWS($W$2:W799),$W$2:$W$1001,0),MATCH(COLUMNS($AD$1006:AK1006),$AD$1006:$AU$1006,0)), HYPERLINK("#",""), HYPERLINK(CONCATENATE("#metadata!", ADDRESS(INDEX($Y$2:$Y$1001,MATCH(ROWS($W$2:W799),$W$2:$W$1001,0),0), INDEX($AD$1004:$AU$1004,1,MATCH(COLUMNS($AD$1006:AK1006),$AD$1006:$AU$1006,0)))),"Fix")))</f>
        <v xml:space="preserve"> </v>
      </c>
      <c r="J799" s="4" t="str">
        <f ca="1">IF(OR(INDEX($X$2:$X$1001,MATCH(ROWS($W$2:W799),$W$2:$W$1001,0),1)&gt;=100000,INDEX($AD$1005:$AU$1005,1,MATCH(COLUMNS($AD$1006:AL1006),$AD$1006:$AU$1006,0))&gt;=100000), " ",IF(INDEX($AD$2:$AU$1001,MATCH(ROWS($W$2:W799),$W$2:$W$1001,0),MATCH(COLUMNS($AD$1006:AL1006),$AD$1006:$AU$1006,0)), HYPERLINK("#",""), HYPERLINK(CONCATENATE("#metadata!", ADDRESS(INDEX($Y$2:$Y$1001,MATCH(ROWS($W$2:W799),$W$2:$W$1001,0),0), INDEX($AD$1004:$AU$1004,1,MATCH(COLUMNS($AD$1006:AL1006),$AD$1006:$AU$1006,0)))),"Fix")))</f>
        <v xml:space="preserve"> </v>
      </c>
      <c r="K799" s="4" t="str">
        <f ca="1">IF(OR(INDEX($X$2:$X$1001,MATCH(ROWS($W$2:W799),$W$2:$W$1001,0),1)&gt;=100000,INDEX($AD$1005:$AU$1005,1,MATCH(COLUMNS($AD$1006:AM1006),$AD$1006:$AU$1006,0))&gt;=100000), " ",IF(INDEX($AD$2:$AU$1001,MATCH(ROWS($W$2:W799),$W$2:$W$1001,0),MATCH(COLUMNS($AD$1006:AM1006),$AD$1006:$AU$1006,0)), HYPERLINK("#",""), HYPERLINK(CONCATENATE("#metadata!", ADDRESS(INDEX($Y$2:$Y$1001,MATCH(ROWS($W$2:W799),$W$2:$W$1001,0),0), INDEX($AD$1004:$AU$1004,1,MATCH(COLUMNS($AD$1006:AM1006),$AD$1006:$AU$1006,0)))),"Fix")))</f>
        <v xml:space="preserve"> </v>
      </c>
      <c r="L799" s="4" t="str">
        <f ca="1">IF(OR(INDEX($X$2:$X$1001,MATCH(ROWS($W$2:W799),$W$2:$W$1001,0),1)&gt;=100000,INDEX($AD$1005:$AU$1005,1,MATCH(COLUMNS($AD$1006:AN1006),$AD$1006:$AU$1006,0))&gt;=100000), " ",IF(INDEX($AD$2:$AU$1001,MATCH(ROWS($W$2:W799),$W$2:$W$1001,0),MATCH(COLUMNS($AD$1006:AN1006),$AD$1006:$AU$1006,0)), HYPERLINK("#",""), HYPERLINK(CONCATENATE("#metadata!", ADDRESS(INDEX($Y$2:$Y$1001,MATCH(ROWS($W$2:W799),$W$2:$W$1001,0),0), INDEX($AD$1004:$AU$1004,1,MATCH(COLUMNS($AD$1006:AN1006),$AD$1006:$AU$1006,0)))),"Fix")))</f>
        <v xml:space="preserve"> </v>
      </c>
      <c r="M799" s="4" t="str">
        <f ca="1">IF(OR(INDEX($X$2:$X$1001,MATCH(ROWS($W$2:W799),$W$2:$W$1001,0),1)&gt;=100000,INDEX($AD$1005:$AU$1005,1,MATCH(COLUMNS($AD$1006:AO1006),$AD$1006:$AU$1006,0))&gt;=100000), " ",IF(INDEX($AD$2:$AU$1001,MATCH(ROWS($W$2:W799),$W$2:$W$1001,0),MATCH(COLUMNS($AD$1006:AO1006),$AD$1006:$AU$1006,0)), HYPERLINK("#",""), HYPERLINK(CONCATENATE("#metadata!", ADDRESS(INDEX($Y$2:$Y$1001,MATCH(ROWS($W$2:W799),$W$2:$W$1001,0),0), INDEX($AD$1004:$AU$1004,1,MATCH(COLUMNS($AD$1006:AO1006),$AD$1006:$AU$1006,0)))),"Fix")))</f>
        <v xml:space="preserve"> </v>
      </c>
      <c r="N799" s="4" t="str">
        <f ca="1">IF(OR(INDEX($X$2:$X$1001,MATCH(ROWS($W$2:W799),$W$2:$W$1001,0),1)&gt;=100000,INDEX($AD$1005:$AU$1005,1,MATCH(COLUMNS($AD$1006:AP1006),$AD$1006:$AU$1006,0))&gt;=100000), " ",IF(INDEX($AD$2:$AU$1001,MATCH(ROWS($W$2:W799),$W$2:$W$1001,0),MATCH(COLUMNS($AD$1006:AP1006),$AD$1006:$AU$1006,0)), HYPERLINK("#",""), HYPERLINK(CONCATENATE("#metadata!", ADDRESS(INDEX($Y$2:$Y$1001,MATCH(ROWS($W$2:W799),$W$2:$W$1001,0),0), INDEX($AD$1004:$AU$1004,1,MATCH(COLUMNS($AD$1006:AP1006),$AD$1006:$AU$1006,0)))),"Fix")))</f>
        <v xml:space="preserve"> </v>
      </c>
      <c r="O799" s="4" t="str">
        <f ca="1">IF(OR(INDEX($X$2:$X$1001,MATCH(ROWS($W$2:W799),$W$2:$W$1001,0),1)&gt;=100000,INDEX($AD$1005:$AU$1005,1,MATCH(COLUMNS($AD$1006:AQ1006),$AD$1006:$AU$1006,0))&gt;=100000), " ",IF(INDEX($AD$2:$AU$1001,MATCH(ROWS($W$2:W799),$W$2:$W$1001,0),MATCH(COLUMNS($AD$1006:AQ1006),$AD$1006:$AU$1006,0)), HYPERLINK("#",""), HYPERLINK(CONCATENATE("#metadata!", ADDRESS(INDEX($Y$2:$Y$1001,MATCH(ROWS($W$2:W799),$W$2:$W$1001,0),0), INDEX($AD$1004:$AU$1004,1,MATCH(COLUMNS($AD$1006:AQ1006),$AD$1006:$AU$1006,0)))),"Fix")))</f>
        <v xml:space="preserve"> </v>
      </c>
      <c r="P799" s="4" t="str">
        <f ca="1">IF(OR(INDEX($X$2:$X$1001,MATCH(ROWS($W$2:W799),$W$2:$W$1001,0),1)&gt;=100000,INDEX($AD$1005:$AU$1005,1,MATCH(COLUMNS($AD$1006:AR1006),$AD$1006:$AU$1006,0))&gt;=100000), " ",IF(INDEX($AD$2:$AU$1001,MATCH(ROWS($W$2:W799),$W$2:$W$1001,0),MATCH(COLUMNS($AD$1006:AR1006),$AD$1006:$AU$1006,0)), HYPERLINK("#",""), HYPERLINK(CONCATENATE("#metadata!", ADDRESS(INDEX($Y$2:$Y$1001,MATCH(ROWS($W$2:W799),$W$2:$W$1001,0),0), INDEX($AD$1004:$AU$1004,1,MATCH(COLUMNS($AD$1006:AR1006),$AD$1006:$AU$1006,0)))),"Fix")))</f>
        <v xml:space="preserve"> </v>
      </c>
      <c r="Q799" s="4" t="str">
        <f ca="1">IF(OR(INDEX($X$2:$X$1001,MATCH(ROWS($W$2:W799),$W$2:$W$1001,0),1)&gt;=100000,INDEX($AD$1005:$AU$1005,1,MATCH(COLUMNS($AD$1006:AS1006),$AD$1006:$AU$1006,0))&gt;=100000), " ",IF(INDEX($AD$2:$AU$1001,MATCH(ROWS($W$2:W799),$W$2:$W$1001,0),MATCH(COLUMNS($AD$1006:AS1006),$AD$1006:$AU$1006,0)), HYPERLINK("#",""), HYPERLINK(CONCATENATE("#metadata!", ADDRESS(INDEX($Y$2:$Y$1001,MATCH(ROWS($W$2:W799),$W$2:$W$1001,0),0), INDEX($AD$1004:$AU$1004,1,MATCH(COLUMNS($AD$1006:AS1006),$AD$1006:$AU$1006,0)))),"Fix")))</f>
        <v xml:space="preserve"> </v>
      </c>
      <c r="R799" s="4" t="str">
        <f ca="1">IF(OR(INDEX($X$2:$X$1001,MATCH(ROWS($W$2:W799),$W$2:$W$1001,0),1)&gt;=100000,INDEX($AD$1005:$AU$1005,1,MATCH(COLUMNS($AD$1006:AT1006),$AD$1006:$AU$1006,0))&gt;=100000), " ",IF(INDEX($AD$2:$AU$1001,MATCH(ROWS($W$2:W799),$W$2:$W$1001,0),MATCH(COLUMNS($AD$1006:AT1006),$AD$1006:$AU$1006,0)), HYPERLINK("#",""), HYPERLINK(CONCATENATE("#metadata!", ADDRESS(INDEX($Y$2:$Y$1001,MATCH(ROWS($W$2:W799),$W$2:$W$1001,0),0), INDEX($AD$1004:$AU$1004,1,MATCH(COLUMNS($AD$1006:AT1006),$AD$1006:$AU$1006,0)))),"Fix")))</f>
        <v xml:space="preserve"> </v>
      </c>
      <c r="S799" s="4" t="str">
        <f ca="1">IF(OR(INDEX($X$2:$X$1001,MATCH(ROWS($W$2:W799),$W$2:$W$1001,0),1)&gt;=100000,INDEX($AD$1005:$AU$1005,1,MATCH(COLUMNS($AD$1006:AU1006),$AD$1006:$AU$1006,0))&gt;=100000), " ",IF(INDEX($AD$2:$AU$1001,MATCH(ROWS($W$2:W799),$W$2:$W$1001,0),MATCH(COLUMNS($AD$1006:AU1006),$AD$1006:$AU$1006,0)), HYPERLINK("#",""), HYPERLINK(CONCATENATE("#metadata!", ADDRESS(INDEX($Y$2:$Y$1001,MATCH(ROWS($W$2:W799),$W$2:$W$1001,0),0), INDEX($AD$1004:$AU$1004,1,MATCH(COLUMNS($AD$1006:AU1006),$AD$1006:$AU$1006,0)))),"Fix")))</f>
        <v xml:space="preserve"> </v>
      </c>
      <c r="W799">
        <v>798</v>
      </c>
      <c r="X799">
        <v>100799</v>
      </c>
      <c r="Y799">
        <v>799</v>
      </c>
      <c r="Z799" t="b">
        <f t="shared" si="12"/>
        <v>1</v>
      </c>
      <c r="AA799" t="b">
        <f>COUNTBLANK(metadata!B799:S799)=COLUMNS(metadata!B799:S799)</f>
        <v>1</v>
      </c>
      <c r="AB799" t="str">
        <v/>
      </c>
      <c r="AD799" t="b">
        <f ca="1">AND(IF(metadata!B799="",FALSE,TRUE),COUNTIF(metadata!B:B, metadata!B799) = 1,NOT(ISERROR(SUMPRODUCT(SEARCH(MID(metadata!B799,ROW(INDIRECT("1:"&amp;LEN(metadata!B799))), 1),"0123456789abcdefghijklmnopqrstuvwxyzABCDEFGHIJKLMNOPQRSTUVWXYZ.")))))</f>
        <v>0</v>
      </c>
      <c r="AE799" t="b">
        <f>OR(AND(IF(metadata!C799="",FALSE,TRUE),OR(EXACT(metadata!C799,"not applicable"),EXACT(metadata!C799,"missing: not collected"),EXACT(metadata!C799,"missing: not provided"),EXACT(metadata!C799,"missing: restricted access"))),AND(IF(metadata!C799="",FALSE,ISNUMBER(VALUE(metadata!C799))),metadata!C799&gt;0))</f>
        <v>0</v>
      </c>
      <c r="AF799" t="b">
        <f>AND(IF(metadata!D799="",FALSE,TRUE),EXACT(metadata!D799,"missing: not provided"))</f>
        <v>0</v>
      </c>
      <c r="AG799" t="b">
        <f>AND(IF(metadata!E799="",FALSE,TRUE),EXACT(metadata!E799,"Host-associated"))</f>
        <v>0</v>
      </c>
      <c r="AH799" t="b">
        <f>AND(IF(metadata!F799="",FALSE,TRUE),OR(EXACT(metadata!F799,"Animal"),EXACT(metadata!F799,"Fungus"),EXACT(metadata!F799,"Plant")))</f>
        <v>0</v>
      </c>
      <c r="AI799" t="b">
        <f>AND(IF(metadata!G799="",FALSE,TRUE),OR(EXACT(metadata!G799,"Plant secretion"),EXACT(metadata!G799,"Plant rhizosphere"),EXACT(metadata!G799,"Plant surface"),EXACT(metadata!G799,"Plant corpus"),EXACT(metadata!G799,"Fungus surface"),EXACT(metadata!G799,"Fungus corpus"),EXACT(metadata!G799,"Animal surface"),EXACT(metadata!G799,"Animal proximal gut"),EXACT(metadata!G799,"Animal corpus"),EXACT(metadata!G799,"Animal distal gut"),EXACT(metadata!G799,"Animal secretion")))</f>
        <v>0</v>
      </c>
      <c r="AJ799" t="b">
        <f>OR(AND(IF(metadata!H799="",FALSE,TRUE),OR(EXACT(metadata!H799,"missing: not collected"),EXACT(metadata!H799,"missing: not provided"),EXACT(metadata!H799,"missing: restricted access"))),AND(IF(metadata!H799="",FALSE,TRUE),OR(EXACT(metadata!H799,"organism-associated habitat"),EXACT(metadata!H799,"plant-associated habitat"),EXACT(metadata!H799,"animal-associated habitat"),EXACT(metadata!H799,"insecta-associated habitat"),EXACT(metadata!H799,"mammalia-associated habitat"),EXACT(metadata!H799,"human-associated habitat"),EXACT(metadata!H799,"livestock-associated habitat"))))</f>
        <v>0</v>
      </c>
      <c r="AK799" t="b">
        <f>AND(IF(metadata!I799="",FALSE,TRUE),EXACT(metadata!I799,"host-associated"))</f>
        <v>0</v>
      </c>
      <c r="AL799" t="b">
        <f>OR(AND(IF(metadata!J799="",FALSE,TRUE),OR(EXACT(metadata!J799,"not applicable"),EXACT(metadata!J799,"missing: not collected"),EXACT(metadata!J799,"missing: not provided"),EXACT(metadata!J799,"missing: restricted access"))),AND(IF(metadata!J799="",FALSE,ISNUMBER(VALUE(metadata!J799))),metadata!J799&gt;0))</f>
        <v>0</v>
      </c>
      <c r="AM799" t="b">
        <f>AND(IF(metadata!K799="",FALSE,TRUE),EXACT(metadata!K799,"missing: not provided"))</f>
        <v>0</v>
      </c>
      <c r="AN799" t="b">
        <f>IF(metadata!L799="",FALSE,TRUE)</f>
        <v>0</v>
      </c>
      <c r="AO799" t="b">
        <f>IF(metadata!M799="",FALSE,TRUE)</f>
        <v>0</v>
      </c>
      <c r="AP799" t="b">
        <f>OR(AND(IF(metadata!N799="",FALSE,TRUE),OR(EXACT(metadata!N799,"not applicable"),EXACT(metadata!N799,"missing: not collected"),EXACT(metadata!N799,"missing: not provided"))),AND(IF(metadata!N799="",FALSE,IF(ISERROR(INT(metadata!N799)),FALSE,INT(metadata!N799)=metadata!N799)),metadata!N799&gt;0))</f>
        <v>0</v>
      </c>
      <c r="AQ799" t="b">
        <f>AND(IF(metadata!O799="",FALSE,TRUE),EXACT(metadata!O799,"Not applicable"))</f>
        <v>0</v>
      </c>
      <c r="AR799" t="b">
        <f>OR(AND(IF(metadata!P799="",FALSE,TRUE),OR(EXACT(metadata!P799,"not applicable"),EXACT(metadata!P799,"missing: not collected"),EXACT(metadata!P799,"missing: not provided"),EXACT(metadata!P799,"missing: restricted access"))),IF(metadata!P799="",FALSE,IF(ISERROR(INT(metadata!P799)),FALSE,INT(metadata!P799)=metadata!P799)))</f>
        <v>0</v>
      </c>
      <c r="AS799" t="b">
        <f>AND(IF(metadata!Q799="",FALSE,TRUE),EXACT(metadata!Q799,"Not applicable"))</f>
        <v>0</v>
      </c>
      <c r="AT799" t="b">
        <f>OR(AND(IF(metadata!R799="",FALSE,TRUE),OR(EXACT(metadata!R799,"not applicable"),EXACT(metadata!R799,"missing: not collected"),EXACT(metadata!R799,"missing: not provided"),EXACT(metadata!R799,"missing: restricted access"))),AND(IF(metadata!R799="",FALSE,ISNUMBER(VALUE(metadata!R799))),metadata!R799&gt;0))</f>
        <v>0</v>
      </c>
      <c r="AU799" t="b">
        <f>AND(IF(metadata!S799="",FALSE,TRUE),EXACT(metadata!S799,"missing: not provided"))</f>
        <v>0</v>
      </c>
    </row>
    <row r="800" spans="1:47" x14ac:dyDescent="0.2">
      <c r="A800" s="5" t="str">
        <f ca="1">IF(B800=" "," ",HYPERLINK(CONCATENATE("#metadata!",ADDRESS(INDEX($Y$2:$Y$1001,MATCH(ROWS($W$2:W800),$W$2:$W$1001,0),0),1)),INDEX($AB$2:$AB$1001,MATCH(ROWS($W$2:W800),$W$2:$W$1001,0),0)))</f>
        <v xml:space="preserve"> </v>
      </c>
      <c r="B800" s="4" t="str">
        <f ca="1">IF(OR(INDEX($X$2:$X$1001,MATCH(ROWS($W$2:W800),$W$2:$W$1001,0),1)&gt;=100000,INDEX($AD$1005:$AU$1005,1,MATCH(COLUMNS($AD$1006:AD1006),$AD$1006:$AU$1006,0))&gt;=100000), " ",IF(INDEX($AD$2:$AU$1001,MATCH(ROWS($W$2:W800),$W$2:$W$1001,0),MATCH(COLUMNS($AD$1006:AD1006),$AD$1006:$AU$1006,0)), HYPERLINK("#",""), HYPERLINK(CONCATENATE("#metadata!", ADDRESS(INDEX($Y$2:$Y$1001,MATCH(ROWS($W$2:W800),$W$2:$W$1001,0),0), INDEX($AD$1004:$AU$1004,1,MATCH(COLUMNS($AD$1006:AD1006),$AD$1006:$AU$1006,0)))),"Fix")))</f>
        <v xml:space="preserve"> </v>
      </c>
      <c r="C800" s="4" t="str">
        <f ca="1">IF(OR(INDEX($X$2:$X$1001,MATCH(ROWS($W$2:W800),$W$2:$W$1001,0),1)&gt;=100000,INDEX($AD$1005:$AU$1005,1,MATCH(COLUMNS($AD$1006:AE1006),$AD$1006:$AU$1006,0))&gt;=100000), " ",IF(INDEX($AD$2:$AU$1001,MATCH(ROWS($W$2:W800),$W$2:$W$1001,0),MATCH(COLUMNS($AD$1006:AE1006),$AD$1006:$AU$1006,0)), HYPERLINK("#",""), HYPERLINK(CONCATENATE("#metadata!", ADDRESS(INDEX($Y$2:$Y$1001,MATCH(ROWS($W$2:W800),$W$2:$W$1001,0),0), INDEX($AD$1004:$AU$1004,1,MATCH(COLUMNS($AD$1006:AE1006),$AD$1006:$AU$1006,0)))),"Fix")))</f>
        <v xml:space="preserve"> </v>
      </c>
      <c r="D800" s="4" t="str">
        <f ca="1">IF(OR(INDEX($X$2:$X$1001,MATCH(ROWS($W$2:W800),$W$2:$W$1001,0),1)&gt;=100000,INDEX($AD$1005:$AU$1005,1,MATCH(COLUMNS($AD$1006:AF1006),$AD$1006:$AU$1006,0))&gt;=100000), " ",IF(INDEX($AD$2:$AU$1001,MATCH(ROWS($W$2:W800),$W$2:$W$1001,0),MATCH(COLUMNS($AD$1006:AF1006),$AD$1006:$AU$1006,0)), HYPERLINK("#",""), HYPERLINK(CONCATENATE("#metadata!", ADDRESS(INDEX($Y$2:$Y$1001,MATCH(ROWS($W$2:W800),$W$2:$W$1001,0),0), INDEX($AD$1004:$AU$1004,1,MATCH(COLUMNS($AD$1006:AF1006),$AD$1006:$AU$1006,0)))),"Fix")))</f>
        <v xml:space="preserve"> </v>
      </c>
      <c r="E800" s="4" t="str">
        <f ca="1">IF(OR(INDEX($X$2:$X$1001,MATCH(ROWS($W$2:W800),$W$2:$W$1001,0),1)&gt;=100000,INDEX($AD$1005:$AU$1005,1,MATCH(COLUMNS($AD$1006:AG1006),$AD$1006:$AU$1006,0))&gt;=100000), " ",IF(INDEX($AD$2:$AU$1001,MATCH(ROWS($W$2:W800),$W$2:$W$1001,0),MATCH(COLUMNS($AD$1006:AG1006),$AD$1006:$AU$1006,0)), HYPERLINK("#",""), HYPERLINK(CONCATENATE("#metadata!", ADDRESS(INDEX($Y$2:$Y$1001,MATCH(ROWS($W$2:W800),$W$2:$W$1001,0),0), INDEX($AD$1004:$AU$1004,1,MATCH(COLUMNS($AD$1006:AG1006),$AD$1006:$AU$1006,0)))),"Fix")))</f>
        <v xml:space="preserve"> </v>
      </c>
      <c r="F800" s="4" t="str">
        <f ca="1">IF(OR(INDEX($X$2:$X$1001,MATCH(ROWS($W$2:W800),$W$2:$W$1001,0),1)&gt;=100000,INDEX($AD$1005:$AU$1005,1,MATCH(COLUMNS($AD$1006:AH1006),$AD$1006:$AU$1006,0))&gt;=100000), " ",IF(INDEX($AD$2:$AU$1001,MATCH(ROWS($W$2:W800),$W$2:$W$1001,0),MATCH(COLUMNS($AD$1006:AH1006),$AD$1006:$AU$1006,0)), HYPERLINK("#",""), HYPERLINK(CONCATENATE("#metadata!", ADDRESS(INDEX($Y$2:$Y$1001,MATCH(ROWS($W$2:W800),$W$2:$W$1001,0),0), INDEX($AD$1004:$AU$1004,1,MATCH(COLUMNS($AD$1006:AH1006),$AD$1006:$AU$1006,0)))),"Fix")))</f>
        <v xml:space="preserve"> </v>
      </c>
      <c r="G800" s="4" t="str">
        <f ca="1">IF(OR(INDEX($X$2:$X$1001,MATCH(ROWS($W$2:W800),$W$2:$W$1001,0),1)&gt;=100000,INDEX($AD$1005:$AU$1005,1,MATCH(COLUMNS($AD$1006:AI1006),$AD$1006:$AU$1006,0))&gt;=100000), " ",IF(INDEX($AD$2:$AU$1001,MATCH(ROWS($W$2:W800),$W$2:$W$1001,0),MATCH(COLUMNS($AD$1006:AI1006),$AD$1006:$AU$1006,0)), HYPERLINK("#",""), HYPERLINK(CONCATENATE("#metadata!", ADDRESS(INDEX($Y$2:$Y$1001,MATCH(ROWS($W$2:W800),$W$2:$W$1001,0),0), INDEX($AD$1004:$AU$1004,1,MATCH(COLUMNS($AD$1006:AI1006),$AD$1006:$AU$1006,0)))),"Fix")))</f>
        <v xml:space="preserve"> </v>
      </c>
      <c r="H800" s="4" t="str">
        <f ca="1">IF(OR(INDEX($X$2:$X$1001,MATCH(ROWS($W$2:W800),$W$2:$W$1001,0),1)&gt;=100000,INDEX($AD$1005:$AU$1005,1,MATCH(COLUMNS($AD$1006:AJ1006),$AD$1006:$AU$1006,0))&gt;=100000), " ",IF(INDEX($AD$2:$AU$1001,MATCH(ROWS($W$2:W800),$W$2:$W$1001,0),MATCH(COLUMNS($AD$1006:AJ1006),$AD$1006:$AU$1006,0)), HYPERLINK("#",""), HYPERLINK(CONCATENATE("#metadata!", ADDRESS(INDEX($Y$2:$Y$1001,MATCH(ROWS($W$2:W800),$W$2:$W$1001,0),0), INDEX($AD$1004:$AU$1004,1,MATCH(COLUMNS($AD$1006:AJ1006),$AD$1006:$AU$1006,0)))),"Fix")))</f>
        <v xml:space="preserve"> </v>
      </c>
      <c r="I800" s="4" t="str">
        <f ca="1">IF(OR(INDEX($X$2:$X$1001,MATCH(ROWS($W$2:W800),$W$2:$W$1001,0),1)&gt;=100000,INDEX($AD$1005:$AU$1005,1,MATCH(COLUMNS($AD$1006:AK1006),$AD$1006:$AU$1006,0))&gt;=100000), " ",IF(INDEX($AD$2:$AU$1001,MATCH(ROWS($W$2:W800),$W$2:$W$1001,0),MATCH(COLUMNS($AD$1006:AK1006),$AD$1006:$AU$1006,0)), HYPERLINK("#",""), HYPERLINK(CONCATENATE("#metadata!", ADDRESS(INDEX($Y$2:$Y$1001,MATCH(ROWS($W$2:W800),$W$2:$W$1001,0),0), INDEX($AD$1004:$AU$1004,1,MATCH(COLUMNS($AD$1006:AK1006),$AD$1006:$AU$1006,0)))),"Fix")))</f>
        <v xml:space="preserve"> </v>
      </c>
      <c r="J800" s="4" t="str">
        <f ca="1">IF(OR(INDEX($X$2:$X$1001,MATCH(ROWS($W$2:W800),$W$2:$W$1001,0),1)&gt;=100000,INDEX($AD$1005:$AU$1005,1,MATCH(COLUMNS($AD$1006:AL1006),$AD$1006:$AU$1006,0))&gt;=100000), " ",IF(INDEX($AD$2:$AU$1001,MATCH(ROWS($W$2:W800),$W$2:$W$1001,0),MATCH(COLUMNS($AD$1006:AL1006),$AD$1006:$AU$1006,0)), HYPERLINK("#",""), HYPERLINK(CONCATENATE("#metadata!", ADDRESS(INDEX($Y$2:$Y$1001,MATCH(ROWS($W$2:W800),$W$2:$W$1001,0),0), INDEX($AD$1004:$AU$1004,1,MATCH(COLUMNS($AD$1006:AL1006),$AD$1006:$AU$1006,0)))),"Fix")))</f>
        <v xml:space="preserve"> </v>
      </c>
      <c r="K800" s="4" t="str">
        <f ca="1">IF(OR(INDEX($X$2:$X$1001,MATCH(ROWS($W$2:W800),$W$2:$W$1001,0),1)&gt;=100000,INDEX($AD$1005:$AU$1005,1,MATCH(COLUMNS($AD$1006:AM1006),$AD$1006:$AU$1006,0))&gt;=100000), " ",IF(INDEX($AD$2:$AU$1001,MATCH(ROWS($W$2:W800),$W$2:$W$1001,0),MATCH(COLUMNS($AD$1006:AM1006),$AD$1006:$AU$1006,0)), HYPERLINK("#",""), HYPERLINK(CONCATENATE("#metadata!", ADDRESS(INDEX($Y$2:$Y$1001,MATCH(ROWS($W$2:W800),$W$2:$W$1001,0),0), INDEX($AD$1004:$AU$1004,1,MATCH(COLUMNS($AD$1006:AM1006),$AD$1006:$AU$1006,0)))),"Fix")))</f>
        <v xml:space="preserve"> </v>
      </c>
      <c r="L800" s="4" t="str">
        <f ca="1">IF(OR(INDEX($X$2:$X$1001,MATCH(ROWS($W$2:W800),$W$2:$W$1001,0),1)&gt;=100000,INDEX($AD$1005:$AU$1005,1,MATCH(COLUMNS($AD$1006:AN1006),$AD$1006:$AU$1006,0))&gt;=100000), " ",IF(INDEX($AD$2:$AU$1001,MATCH(ROWS($W$2:W800),$W$2:$W$1001,0),MATCH(COLUMNS($AD$1006:AN1006),$AD$1006:$AU$1006,0)), HYPERLINK("#",""), HYPERLINK(CONCATENATE("#metadata!", ADDRESS(INDEX($Y$2:$Y$1001,MATCH(ROWS($W$2:W800),$W$2:$W$1001,0),0), INDEX($AD$1004:$AU$1004,1,MATCH(COLUMNS($AD$1006:AN1006),$AD$1006:$AU$1006,0)))),"Fix")))</f>
        <v xml:space="preserve"> </v>
      </c>
      <c r="M800" s="4" t="str">
        <f ca="1">IF(OR(INDEX($X$2:$X$1001,MATCH(ROWS($W$2:W800),$W$2:$W$1001,0),1)&gt;=100000,INDEX($AD$1005:$AU$1005,1,MATCH(COLUMNS($AD$1006:AO1006),$AD$1006:$AU$1006,0))&gt;=100000), " ",IF(INDEX($AD$2:$AU$1001,MATCH(ROWS($W$2:W800),$W$2:$W$1001,0),MATCH(COLUMNS($AD$1006:AO1006),$AD$1006:$AU$1006,0)), HYPERLINK("#",""), HYPERLINK(CONCATENATE("#metadata!", ADDRESS(INDEX($Y$2:$Y$1001,MATCH(ROWS($W$2:W800),$W$2:$W$1001,0),0), INDEX($AD$1004:$AU$1004,1,MATCH(COLUMNS($AD$1006:AO1006),$AD$1006:$AU$1006,0)))),"Fix")))</f>
        <v xml:space="preserve"> </v>
      </c>
      <c r="N800" s="4" t="str">
        <f ca="1">IF(OR(INDEX($X$2:$X$1001,MATCH(ROWS($W$2:W800),$W$2:$W$1001,0),1)&gt;=100000,INDEX($AD$1005:$AU$1005,1,MATCH(COLUMNS($AD$1006:AP1006),$AD$1006:$AU$1006,0))&gt;=100000), " ",IF(INDEX($AD$2:$AU$1001,MATCH(ROWS($W$2:W800),$W$2:$W$1001,0),MATCH(COLUMNS($AD$1006:AP1006),$AD$1006:$AU$1006,0)), HYPERLINK("#",""), HYPERLINK(CONCATENATE("#metadata!", ADDRESS(INDEX($Y$2:$Y$1001,MATCH(ROWS($W$2:W800),$W$2:$W$1001,0),0), INDEX($AD$1004:$AU$1004,1,MATCH(COLUMNS($AD$1006:AP1006),$AD$1006:$AU$1006,0)))),"Fix")))</f>
        <v xml:space="preserve"> </v>
      </c>
      <c r="O800" s="4" t="str">
        <f ca="1">IF(OR(INDEX($X$2:$X$1001,MATCH(ROWS($W$2:W800),$W$2:$W$1001,0),1)&gt;=100000,INDEX($AD$1005:$AU$1005,1,MATCH(COLUMNS($AD$1006:AQ1006),$AD$1006:$AU$1006,0))&gt;=100000), " ",IF(INDEX($AD$2:$AU$1001,MATCH(ROWS($W$2:W800),$W$2:$W$1001,0),MATCH(COLUMNS($AD$1006:AQ1006),$AD$1006:$AU$1006,0)), HYPERLINK("#",""), HYPERLINK(CONCATENATE("#metadata!", ADDRESS(INDEX($Y$2:$Y$1001,MATCH(ROWS($W$2:W800),$W$2:$W$1001,0),0), INDEX($AD$1004:$AU$1004,1,MATCH(COLUMNS($AD$1006:AQ1006),$AD$1006:$AU$1006,0)))),"Fix")))</f>
        <v xml:space="preserve"> </v>
      </c>
      <c r="P800" s="4" t="str">
        <f ca="1">IF(OR(INDEX($X$2:$X$1001,MATCH(ROWS($W$2:W800),$W$2:$W$1001,0),1)&gt;=100000,INDEX($AD$1005:$AU$1005,1,MATCH(COLUMNS($AD$1006:AR1006),$AD$1006:$AU$1006,0))&gt;=100000), " ",IF(INDEX($AD$2:$AU$1001,MATCH(ROWS($W$2:W800),$W$2:$W$1001,0),MATCH(COLUMNS($AD$1006:AR1006),$AD$1006:$AU$1006,0)), HYPERLINK("#",""), HYPERLINK(CONCATENATE("#metadata!", ADDRESS(INDEX($Y$2:$Y$1001,MATCH(ROWS($W$2:W800),$W$2:$W$1001,0),0), INDEX($AD$1004:$AU$1004,1,MATCH(COLUMNS($AD$1006:AR1006),$AD$1006:$AU$1006,0)))),"Fix")))</f>
        <v xml:space="preserve"> </v>
      </c>
      <c r="Q800" s="4" t="str">
        <f ca="1">IF(OR(INDEX($X$2:$X$1001,MATCH(ROWS($W$2:W800),$W$2:$W$1001,0),1)&gt;=100000,INDEX($AD$1005:$AU$1005,1,MATCH(COLUMNS($AD$1006:AS1006),$AD$1006:$AU$1006,0))&gt;=100000), " ",IF(INDEX($AD$2:$AU$1001,MATCH(ROWS($W$2:W800),$W$2:$W$1001,0),MATCH(COLUMNS($AD$1006:AS1006),$AD$1006:$AU$1006,0)), HYPERLINK("#",""), HYPERLINK(CONCATENATE("#metadata!", ADDRESS(INDEX($Y$2:$Y$1001,MATCH(ROWS($W$2:W800),$W$2:$W$1001,0),0), INDEX($AD$1004:$AU$1004,1,MATCH(COLUMNS($AD$1006:AS1006),$AD$1006:$AU$1006,0)))),"Fix")))</f>
        <v xml:space="preserve"> </v>
      </c>
      <c r="R800" s="4" t="str">
        <f ca="1">IF(OR(INDEX($X$2:$X$1001,MATCH(ROWS($W$2:W800),$W$2:$W$1001,0),1)&gt;=100000,INDEX($AD$1005:$AU$1005,1,MATCH(COLUMNS($AD$1006:AT1006),$AD$1006:$AU$1006,0))&gt;=100000), " ",IF(INDEX($AD$2:$AU$1001,MATCH(ROWS($W$2:W800),$W$2:$W$1001,0),MATCH(COLUMNS($AD$1006:AT1006),$AD$1006:$AU$1006,0)), HYPERLINK("#",""), HYPERLINK(CONCATENATE("#metadata!", ADDRESS(INDEX($Y$2:$Y$1001,MATCH(ROWS($W$2:W800),$W$2:$W$1001,0),0), INDEX($AD$1004:$AU$1004,1,MATCH(COLUMNS($AD$1006:AT1006),$AD$1006:$AU$1006,0)))),"Fix")))</f>
        <v xml:space="preserve"> </v>
      </c>
      <c r="S800" s="4" t="str">
        <f ca="1">IF(OR(INDEX($X$2:$X$1001,MATCH(ROWS($W$2:W800),$W$2:$W$1001,0),1)&gt;=100000,INDEX($AD$1005:$AU$1005,1,MATCH(COLUMNS($AD$1006:AU1006),$AD$1006:$AU$1006,0))&gt;=100000), " ",IF(INDEX($AD$2:$AU$1001,MATCH(ROWS($W$2:W800),$W$2:$W$1001,0),MATCH(COLUMNS($AD$1006:AU1006),$AD$1006:$AU$1006,0)), HYPERLINK("#",""), HYPERLINK(CONCATENATE("#metadata!", ADDRESS(INDEX($Y$2:$Y$1001,MATCH(ROWS($W$2:W800),$W$2:$W$1001,0),0), INDEX($AD$1004:$AU$1004,1,MATCH(COLUMNS($AD$1006:AU1006),$AD$1006:$AU$1006,0)))),"Fix")))</f>
        <v xml:space="preserve"> </v>
      </c>
      <c r="W800">
        <v>799</v>
      </c>
      <c r="X800">
        <v>100800</v>
      </c>
      <c r="Y800">
        <v>800</v>
      </c>
      <c r="Z800" t="b">
        <f t="shared" si="12"/>
        <v>1</v>
      </c>
      <c r="AA800" t="b">
        <f>COUNTBLANK(metadata!B800:S800)=COLUMNS(metadata!B800:S800)</f>
        <v>1</v>
      </c>
      <c r="AB800" t="str">
        <v/>
      </c>
      <c r="AD800" t="b">
        <f ca="1">AND(IF(metadata!B800="",FALSE,TRUE),COUNTIF(metadata!B:B, metadata!B800) = 1,NOT(ISERROR(SUMPRODUCT(SEARCH(MID(metadata!B800,ROW(INDIRECT("1:"&amp;LEN(metadata!B800))), 1),"0123456789abcdefghijklmnopqrstuvwxyzABCDEFGHIJKLMNOPQRSTUVWXYZ.")))))</f>
        <v>0</v>
      </c>
      <c r="AE800" t="b">
        <f>OR(AND(IF(metadata!C800="",FALSE,TRUE),OR(EXACT(metadata!C800,"not applicable"),EXACT(metadata!C800,"missing: not collected"),EXACT(metadata!C800,"missing: not provided"),EXACT(metadata!C800,"missing: restricted access"))),AND(IF(metadata!C800="",FALSE,ISNUMBER(VALUE(metadata!C800))),metadata!C800&gt;0))</f>
        <v>0</v>
      </c>
      <c r="AF800" t="b">
        <f>AND(IF(metadata!D800="",FALSE,TRUE),EXACT(metadata!D800,"missing: not provided"))</f>
        <v>0</v>
      </c>
      <c r="AG800" t="b">
        <f>AND(IF(metadata!E800="",FALSE,TRUE),EXACT(metadata!E800,"Host-associated"))</f>
        <v>0</v>
      </c>
      <c r="AH800" t="b">
        <f>AND(IF(metadata!F800="",FALSE,TRUE),OR(EXACT(metadata!F800,"Animal"),EXACT(metadata!F800,"Fungus"),EXACT(metadata!F800,"Plant")))</f>
        <v>0</v>
      </c>
      <c r="AI800" t="b">
        <f>AND(IF(metadata!G800="",FALSE,TRUE),OR(EXACT(metadata!G800,"Plant secretion"),EXACT(metadata!G800,"Plant rhizosphere"),EXACT(metadata!G800,"Plant surface"),EXACT(metadata!G800,"Plant corpus"),EXACT(metadata!G800,"Fungus surface"),EXACT(metadata!G800,"Fungus corpus"),EXACT(metadata!G800,"Animal surface"),EXACT(metadata!G800,"Animal proximal gut"),EXACT(metadata!G800,"Animal corpus"),EXACT(metadata!G800,"Animal distal gut"),EXACT(metadata!G800,"Animal secretion")))</f>
        <v>0</v>
      </c>
      <c r="AJ800" t="b">
        <f>OR(AND(IF(metadata!H800="",FALSE,TRUE),OR(EXACT(metadata!H800,"missing: not collected"),EXACT(metadata!H800,"missing: not provided"),EXACT(metadata!H800,"missing: restricted access"))),AND(IF(metadata!H800="",FALSE,TRUE),OR(EXACT(metadata!H800,"organism-associated habitat"),EXACT(metadata!H800,"plant-associated habitat"),EXACT(metadata!H800,"animal-associated habitat"),EXACT(metadata!H800,"insecta-associated habitat"),EXACT(metadata!H800,"mammalia-associated habitat"),EXACT(metadata!H800,"human-associated habitat"),EXACT(metadata!H800,"livestock-associated habitat"))))</f>
        <v>0</v>
      </c>
      <c r="AK800" t="b">
        <f>AND(IF(metadata!I800="",FALSE,TRUE),EXACT(metadata!I800,"host-associated"))</f>
        <v>0</v>
      </c>
      <c r="AL800" t="b">
        <f>OR(AND(IF(metadata!J800="",FALSE,TRUE),OR(EXACT(metadata!J800,"not applicable"),EXACT(metadata!J800,"missing: not collected"),EXACT(metadata!J800,"missing: not provided"),EXACT(metadata!J800,"missing: restricted access"))),AND(IF(metadata!J800="",FALSE,ISNUMBER(VALUE(metadata!J800))),metadata!J800&gt;0))</f>
        <v>0</v>
      </c>
      <c r="AM800" t="b">
        <f>AND(IF(metadata!K800="",FALSE,TRUE),EXACT(metadata!K800,"missing: not provided"))</f>
        <v>0</v>
      </c>
      <c r="AN800" t="b">
        <f>IF(metadata!L800="",FALSE,TRUE)</f>
        <v>0</v>
      </c>
      <c r="AO800" t="b">
        <f>IF(metadata!M800="",FALSE,TRUE)</f>
        <v>0</v>
      </c>
      <c r="AP800" t="b">
        <f>OR(AND(IF(metadata!N800="",FALSE,TRUE),OR(EXACT(metadata!N800,"not applicable"),EXACT(metadata!N800,"missing: not collected"),EXACT(metadata!N800,"missing: not provided"))),AND(IF(metadata!N800="",FALSE,IF(ISERROR(INT(metadata!N800)),FALSE,INT(metadata!N800)=metadata!N800)),metadata!N800&gt;0))</f>
        <v>0</v>
      </c>
      <c r="AQ800" t="b">
        <f>AND(IF(metadata!O800="",FALSE,TRUE),EXACT(metadata!O800,"Not applicable"))</f>
        <v>0</v>
      </c>
      <c r="AR800" t="b">
        <f>OR(AND(IF(metadata!P800="",FALSE,TRUE),OR(EXACT(metadata!P800,"not applicable"),EXACT(metadata!P800,"missing: not collected"),EXACT(metadata!P800,"missing: not provided"),EXACT(metadata!P800,"missing: restricted access"))),IF(metadata!P800="",FALSE,IF(ISERROR(INT(metadata!P800)),FALSE,INT(metadata!P800)=metadata!P800)))</f>
        <v>0</v>
      </c>
      <c r="AS800" t="b">
        <f>AND(IF(metadata!Q800="",FALSE,TRUE),EXACT(metadata!Q800,"Not applicable"))</f>
        <v>0</v>
      </c>
      <c r="AT800" t="b">
        <f>OR(AND(IF(metadata!R800="",FALSE,TRUE),OR(EXACT(metadata!R800,"not applicable"),EXACT(metadata!R800,"missing: not collected"),EXACT(metadata!R800,"missing: not provided"),EXACT(metadata!R800,"missing: restricted access"))),AND(IF(metadata!R800="",FALSE,ISNUMBER(VALUE(metadata!R800))),metadata!R800&gt;0))</f>
        <v>0</v>
      </c>
      <c r="AU800" t="b">
        <f>AND(IF(metadata!S800="",FALSE,TRUE),EXACT(metadata!S800,"missing: not provided"))</f>
        <v>0</v>
      </c>
    </row>
    <row r="801" spans="1:47" x14ac:dyDescent="0.2">
      <c r="A801" s="5" t="str">
        <f ca="1">IF(B801=" "," ",HYPERLINK(CONCATENATE("#metadata!",ADDRESS(INDEX($Y$2:$Y$1001,MATCH(ROWS($W$2:W801),$W$2:$W$1001,0),0),1)),INDEX($AB$2:$AB$1001,MATCH(ROWS($W$2:W801),$W$2:$W$1001,0),0)))</f>
        <v xml:space="preserve"> </v>
      </c>
      <c r="B801" s="4" t="str">
        <f ca="1">IF(OR(INDEX($X$2:$X$1001,MATCH(ROWS($W$2:W801),$W$2:$W$1001,0),1)&gt;=100000,INDEX($AD$1005:$AU$1005,1,MATCH(COLUMNS($AD$1006:AD1006),$AD$1006:$AU$1006,0))&gt;=100000), " ",IF(INDEX($AD$2:$AU$1001,MATCH(ROWS($W$2:W801),$W$2:$W$1001,0),MATCH(COLUMNS($AD$1006:AD1006),$AD$1006:$AU$1006,0)), HYPERLINK("#",""), HYPERLINK(CONCATENATE("#metadata!", ADDRESS(INDEX($Y$2:$Y$1001,MATCH(ROWS($W$2:W801),$W$2:$W$1001,0),0), INDEX($AD$1004:$AU$1004,1,MATCH(COLUMNS($AD$1006:AD1006),$AD$1006:$AU$1006,0)))),"Fix")))</f>
        <v xml:space="preserve"> </v>
      </c>
      <c r="C801" s="4" t="str">
        <f ca="1">IF(OR(INDEX($X$2:$X$1001,MATCH(ROWS($W$2:W801),$W$2:$W$1001,0),1)&gt;=100000,INDEX($AD$1005:$AU$1005,1,MATCH(COLUMNS($AD$1006:AE1006),$AD$1006:$AU$1006,0))&gt;=100000), " ",IF(INDEX($AD$2:$AU$1001,MATCH(ROWS($W$2:W801),$W$2:$W$1001,0),MATCH(COLUMNS($AD$1006:AE1006),$AD$1006:$AU$1006,0)), HYPERLINK("#",""), HYPERLINK(CONCATENATE("#metadata!", ADDRESS(INDEX($Y$2:$Y$1001,MATCH(ROWS($W$2:W801),$W$2:$W$1001,0),0), INDEX($AD$1004:$AU$1004,1,MATCH(COLUMNS($AD$1006:AE1006),$AD$1006:$AU$1006,0)))),"Fix")))</f>
        <v xml:space="preserve"> </v>
      </c>
      <c r="D801" s="4" t="str">
        <f ca="1">IF(OR(INDEX($X$2:$X$1001,MATCH(ROWS($W$2:W801),$W$2:$W$1001,0),1)&gt;=100000,INDEX($AD$1005:$AU$1005,1,MATCH(COLUMNS($AD$1006:AF1006),$AD$1006:$AU$1006,0))&gt;=100000), " ",IF(INDEX($AD$2:$AU$1001,MATCH(ROWS($W$2:W801),$W$2:$W$1001,0),MATCH(COLUMNS($AD$1006:AF1006),$AD$1006:$AU$1006,0)), HYPERLINK("#",""), HYPERLINK(CONCATENATE("#metadata!", ADDRESS(INDEX($Y$2:$Y$1001,MATCH(ROWS($W$2:W801),$W$2:$W$1001,0),0), INDEX($AD$1004:$AU$1004,1,MATCH(COLUMNS($AD$1006:AF1006),$AD$1006:$AU$1006,0)))),"Fix")))</f>
        <v xml:space="preserve"> </v>
      </c>
      <c r="E801" s="4" t="str">
        <f ca="1">IF(OR(INDEX($X$2:$X$1001,MATCH(ROWS($W$2:W801),$W$2:$W$1001,0),1)&gt;=100000,INDEX($AD$1005:$AU$1005,1,MATCH(COLUMNS($AD$1006:AG1006),$AD$1006:$AU$1006,0))&gt;=100000), " ",IF(INDEX($AD$2:$AU$1001,MATCH(ROWS($W$2:W801),$W$2:$W$1001,0),MATCH(COLUMNS($AD$1006:AG1006),$AD$1006:$AU$1006,0)), HYPERLINK("#",""), HYPERLINK(CONCATENATE("#metadata!", ADDRESS(INDEX($Y$2:$Y$1001,MATCH(ROWS($W$2:W801),$W$2:$W$1001,0),0), INDEX($AD$1004:$AU$1004,1,MATCH(COLUMNS($AD$1006:AG1006),$AD$1006:$AU$1006,0)))),"Fix")))</f>
        <v xml:space="preserve"> </v>
      </c>
      <c r="F801" s="4" t="str">
        <f ca="1">IF(OR(INDEX($X$2:$X$1001,MATCH(ROWS($W$2:W801),$W$2:$W$1001,0),1)&gt;=100000,INDEX($AD$1005:$AU$1005,1,MATCH(COLUMNS($AD$1006:AH1006),$AD$1006:$AU$1006,0))&gt;=100000), " ",IF(INDEX($AD$2:$AU$1001,MATCH(ROWS($W$2:W801),$W$2:$W$1001,0),MATCH(COLUMNS($AD$1006:AH1006),$AD$1006:$AU$1006,0)), HYPERLINK("#",""), HYPERLINK(CONCATENATE("#metadata!", ADDRESS(INDEX($Y$2:$Y$1001,MATCH(ROWS($W$2:W801),$W$2:$W$1001,0),0), INDEX($AD$1004:$AU$1004,1,MATCH(COLUMNS($AD$1006:AH1006),$AD$1006:$AU$1006,0)))),"Fix")))</f>
        <v xml:space="preserve"> </v>
      </c>
      <c r="G801" s="4" t="str">
        <f ca="1">IF(OR(INDEX($X$2:$X$1001,MATCH(ROWS($W$2:W801),$W$2:$W$1001,0),1)&gt;=100000,INDEX($AD$1005:$AU$1005,1,MATCH(COLUMNS($AD$1006:AI1006),$AD$1006:$AU$1006,0))&gt;=100000), " ",IF(INDEX($AD$2:$AU$1001,MATCH(ROWS($W$2:W801),$W$2:$W$1001,0),MATCH(COLUMNS($AD$1006:AI1006),$AD$1006:$AU$1006,0)), HYPERLINK("#",""), HYPERLINK(CONCATENATE("#metadata!", ADDRESS(INDEX($Y$2:$Y$1001,MATCH(ROWS($W$2:W801),$W$2:$W$1001,0),0), INDEX($AD$1004:$AU$1004,1,MATCH(COLUMNS($AD$1006:AI1006),$AD$1006:$AU$1006,0)))),"Fix")))</f>
        <v xml:space="preserve"> </v>
      </c>
      <c r="H801" s="4" t="str">
        <f ca="1">IF(OR(INDEX($X$2:$X$1001,MATCH(ROWS($W$2:W801),$W$2:$W$1001,0),1)&gt;=100000,INDEX($AD$1005:$AU$1005,1,MATCH(COLUMNS($AD$1006:AJ1006),$AD$1006:$AU$1006,0))&gt;=100000), " ",IF(INDEX($AD$2:$AU$1001,MATCH(ROWS($W$2:W801),$W$2:$W$1001,0),MATCH(COLUMNS($AD$1006:AJ1006),$AD$1006:$AU$1006,0)), HYPERLINK("#",""), HYPERLINK(CONCATENATE("#metadata!", ADDRESS(INDEX($Y$2:$Y$1001,MATCH(ROWS($W$2:W801),$W$2:$W$1001,0),0), INDEX($AD$1004:$AU$1004,1,MATCH(COLUMNS($AD$1006:AJ1006),$AD$1006:$AU$1006,0)))),"Fix")))</f>
        <v xml:space="preserve"> </v>
      </c>
      <c r="I801" s="4" t="str">
        <f ca="1">IF(OR(INDEX($X$2:$X$1001,MATCH(ROWS($W$2:W801),$W$2:$W$1001,0),1)&gt;=100000,INDEX($AD$1005:$AU$1005,1,MATCH(COLUMNS($AD$1006:AK1006),$AD$1006:$AU$1006,0))&gt;=100000), " ",IF(INDEX($AD$2:$AU$1001,MATCH(ROWS($W$2:W801),$W$2:$W$1001,0),MATCH(COLUMNS($AD$1006:AK1006),$AD$1006:$AU$1006,0)), HYPERLINK("#",""), HYPERLINK(CONCATENATE("#metadata!", ADDRESS(INDEX($Y$2:$Y$1001,MATCH(ROWS($W$2:W801),$W$2:$W$1001,0),0), INDEX($AD$1004:$AU$1004,1,MATCH(COLUMNS($AD$1006:AK1006),$AD$1006:$AU$1006,0)))),"Fix")))</f>
        <v xml:space="preserve"> </v>
      </c>
      <c r="J801" s="4" t="str">
        <f ca="1">IF(OR(INDEX($X$2:$X$1001,MATCH(ROWS($W$2:W801),$W$2:$W$1001,0),1)&gt;=100000,INDEX($AD$1005:$AU$1005,1,MATCH(COLUMNS($AD$1006:AL1006),$AD$1006:$AU$1006,0))&gt;=100000), " ",IF(INDEX($AD$2:$AU$1001,MATCH(ROWS($W$2:W801),$W$2:$W$1001,0),MATCH(COLUMNS($AD$1006:AL1006),$AD$1006:$AU$1006,0)), HYPERLINK("#",""), HYPERLINK(CONCATENATE("#metadata!", ADDRESS(INDEX($Y$2:$Y$1001,MATCH(ROWS($W$2:W801),$W$2:$W$1001,0),0), INDEX($AD$1004:$AU$1004,1,MATCH(COLUMNS($AD$1006:AL1006),$AD$1006:$AU$1006,0)))),"Fix")))</f>
        <v xml:space="preserve"> </v>
      </c>
      <c r="K801" s="4" t="str">
        <f ca="1">IF(OR(INDEX($X$2:$X$1001,MATCH(ROWS($W$2:W801),$W$2:$W$1001,0),1)&gt;=100000,INDEX($AD$1005:$AU$1005,1,MATCH(COLUMNS($AD$1006:AM1006),$AD$1006:$AU$1006,0))&gt;=100000), " ",IF(INDEX($AD$2:$AU$1001,MATCH(ROWS($W$2:W801),$W$2:$W$1001,0),MATCH(COLUMNS($AD$1006:AM1006),$AD$1006:$AU$1006,0)), HYPERLINK("#",""), HYPERLINK(CONCATENATE("#metadata!", ADDRESS(INDEX($Y$2:$Y$1001,MATCH(ROWS($W$2:W801),$W$2:$W$1001,0),0), INDEX($AD$1004:$AU$1004,1,MATCH(COLUMNS($AD$1006:AM1006),$AD$1006:$AU$1006,0)))),"Fix")))</f>
        <v xml:space="preserve"> </v>
      </c>
      <c r="L801" s="4" t="str">
        <f ca="1">IF(OR(INDEX($X$2:$X$1001,MATCH(ROWS($W$2:W801),$W$2:$W$1001,0),1)&gt;=100000,INDEX($AD$1005:$AU$1005,1,MATCH(COLUMNS($AD$1006:AN1006),$AD$1006:$AU$1006,0))&gt;=100000), " ",IF(INDEX($AD$2:$AU$1001,MATCH(ROWS($W$2:W801),$W$2:$W$1001,0),MATCH(COLUMNS($AD$1006:AN1006),$AD$1006:$AU$1006,0)), HYPERLINK("#",""), HYPERLINK(CONCATENATE("#metadata!", ADDRESS(INDEX($Y$2:$Y$1001,MATCH(ROWS($W$2:W801),$W$2:$W$1001,0),0), INDEX($AD$1004:$AU$1004,1,MATCH(COLUMNS($AD$1006:AN1006),$AD$1006:$AU$1006,0)))),"Fix")))</f>
        <v xml:space="preserve"> </v>
      </c>
      <c r="M801" s="4" t="str">
        <f ca="1">IF(OR(INDEX($X$2:$X$1001,MATCH(ROWS($W$2:W801),$W$2:$W$1001,0),1)&gt;=100000,INDEX($AD$1005:$AU$1005,1,MATCH(COLUMNS($AD$1006:AO1006),$AD$1006:$AU$1006,0))&gt;=100000), " ",IF(INDEX($AD$2:$AU$1001,MATCH(ROWS($W$2:W801),$W$2:$W$1001,0),MATCH(COLUMNS($AD$1006:AO1006),$AD$1006:$AU$1006,0)), HYPERLINK("#",""), HYPERLINK(CONCATENATE("#metadata!", ADDRESS(INDEX($Y$2:$Y$1001,MATCH(ROWS($W$2:W801),$W$2:$W$1001,0),0), INDEX($AD$1004:$AU$1004,1,MATCH(COLUMNS($AD$1006:AO1006),$AD$1006:$AU$1006,0)))),"Fix")))</f>
        <v xml:space="preserve"> </v>
      </c>
      <c r="N801" s="4" t="str">
        <f ca="1">IF(OR(INDEX($X$2:$X$1001,MATCH(ROWS($W$2:W801),$W$2:$W$1001,0),1)&gt;=100000,INDEX($AD$1005:$AU$1005,1,MATCH(COLUMNS($AD$1006:AP1006),$AD$1006:$AU$1006,0))&gt;=100000), " ",IF(INDEX($AD$2:$AU$1001,MATCH(ROWS($W$2:W801),$W$2:$W$1001,0),MATCH(COLUMNS($AD$1006:AP1006),$AD$1006:$AU$1006,0)), HYPERLINK("#",""), HYPERLINK(CONCATENATE("#metadata!", ADDRESS(INDEX($Y$2:$Y$1001,MATCH(ROWS($W$2:W801),$W$2:$W$1001,0),0), INDEX($AD$1004:$AU$1004,1,MATCH(COLUMNS($AD$1006:AP1006),$AD$1006:$AU$1006,0)))),"Fix")))</f>
        <v xml:space="preserve"> </v>
      </c>
      <c r="O801" s="4" t="str">
        <f ca="1">IF(OR(INDEX($X$2:$X$1001,MATCH(ROWS($W$2:W801),$W$2:$W$1001,0),1)&gt;=100000,INDEX($AD$1005:$AU$1005,1,MATCH(COLUMNS($AD$1006:AQ1006),$AD$1006:$AU$1006,0))&gt;=100000), " ",IF(INDEX($AD$2:$AU$1001,MATCH(ROWS($W$2:W801),$W$2:$W$1001,0),MATCH(COLUMNS($AD$1006:AQ1006),$AD$1006:$AU$1006,0)), HYPERLINK("#",""), HYPERLINK(CONCATENATE("#metadata!", ADDRESS(INDEX($Y$2:$Y$1001,MATCH(ROWS($W$2:W801),$W$2:$W$1001,0),0), INDEX($AD$1004:$AU$1004,1,MATCH(COLUMNS($AD$1006:AQ1006),$AD$1006:$AU$1006,0)))),"Fix")))</f>
        <v xml:space="preserve"> </v>
      </c>
      <c r="P801" s="4" t="str">
        <f ca="1">IF(OR(INDEX($X$2:$X$1001,MATCH(ROWS($W$2:W801),$W$2:$W$1001,0),1)&gt;=100000,INDEX($AD$1005:$AU$1005,1,MATCH(COLUMNS($AD$1006:AR1006),$AD$1006:$AU$1006,0))&gt;=100000), " ",IF(INDEX($AD$2:$AU$1001,MATCH(ROWS($W$2:W801),$W$2:$W$1001,0),MATCH(COLUMNS($AD$1006:AR1006),$AD$1006:$AU$1006,0)), HYPERLINK("#",""), HYPERLINK(CONCATENATE("#metadata!", ADDRESS(INDEX($Y$2:$Y$1001,MATCH(ROWS($W$2:W801),$W$2:$W$1001,0),0), INDEX($AD$1004:$AU$1004,1,MATCH(COLUMNS($AD$1006:AR1006),$AD$1006:$AU$1006,0)))),"Fix")))</f>
        <v xml:space="preserve"> </v>
      </c>
      <c r="Q801" s="4" t="str">
        <f ca="1">IF(OR(INDEX($X$2:$X$1001,MATCH(ROWS($W$2:W801),$W$2:$W$1001,0),1)&gt;=100000,INDEX($AD$1005:$AU$1005,1,MATCH(COLUMNS($AD$1006:AS1006),$AD$1006:$AU$1006,0))&gt;=100000), " ",IF(INDEX($AD$2:$AU$1001,MATCH(ROWS($W$2:W801),$W$2:$W$1001,0),MATCH(COLUMNS($AD$1006:AS1006),$AD$1006:$AU$1006,0)), HYPERLINK("#",""), HYPERLINK(CONCATENATE("#metadata!", ADDRESS(INDEX($Y$2:$Y$1001,MATCH(ROWS($W$2:W801),$W$2:$W$1001,0),0), INDEX($AD$1004:$AU$1004,1,MATCH(COLUMNS($AD$1006:AS1006),$AD$1006:$AU$1006,0)))),"Fix")))</f>
        <v xml:space="preserve"> </v>
      </c>
      <c r="R801" s="4" t="str">
        <f ca="1">IF(OR(INDEX($X$2:$X$1001,MATCH(ROWS($W$2:W801),$W$2:$W$1001,0),1)&gt;=100000,INDEX($AD$1005:$AU$1005,1,MATCH(COLUMNS($AD$1006:AT1006),$AD$1006:$AU$1006,0))&gt;=100000), " ",IF(INDEX($AD$2:$AU$1001,MATCH(ROWS($W$2:W801),$W$2:$W$1001,0),MATCH(COLUMNS($AD$1006:AT1006),$AD$1006:$AU$1006,0)), HYPERLINK("#",""), HYPERLINK(CONCATENATE("#metadata!", ADDRESS(INDEX($Y$2:$Y$1001,MATCH(ROWS($W$2:W801),$W$2:$W$1001,0),0), INDEX($AD$1004:$AU$1004,1,MATCH(COLUMNS($AD$1006:AT1006),$AD$1006:$AU$1006,0)))),"Fix")))</f>
        <v xml:space="preserve"> </v>
      </c>
      <c r="S801" s="4" t="str">
        <f ca="1">IF(OR(INDEX($X$2:$X$1001,MATCH(ROWS($W$2:W801),$W$2:$W$1001,0),1)&gt;=100000,INDEX($AD$1005:$AU$1005,1,MATCH(COLUMNS($AD$1006:AU1006),$AD$1006:$AU$1006,0))&gt;=100000), " ",IF(INDEX($AD$2:$AU$1001,MATCH(ROWS($W$2:W801),$W$2:$W$1001,0),MATCH(COLUMNS($AD$1006:AU1006),$AD$1006:$AU$1006,0)), HYPERLINK("#",""), HYPERLINK(CONCATENATE("#metadata!", ADDRESS(INDEX($Y$2:$Y$1001,MATCH(ROWS($W$2:W801),$W$2:$W$1001,0),0), INDEX($AD$1004:$AU$1004,1,MATCH(COLUMNS($AD$1006:AU1006),$AD$1006:$AU$1006,0)))),"Fix")))</f>
        <v xml:space="preserve"> </v>
      </c>
      <c r="W801">
        <v>800</v>
      </c>
      <c r="X801">
        <v>100801</v>
      </c>
      <c r="Y801">
        <v>801</v>
      </c>
      <c r="Z801" t="b">
        <f t="shared" si="12"/>
        <v>1</v>
      </c>
      <c r="AA801" t="b">
        <f>COUNTBLANK(metadata!B801:S801)=COLUMNS(metadata!B801:S801)</f>
        <v>1</v>
      </c>
      <c r="AB801" t="str">
        <v/>
      </c>
      <c r="AD801" t="b">
        <f ca="1">AND(IF(metadata!B801="",FALSE,TRUE),COUNTIF(metadata!B:B, metadata!B801) = 1,NOT(ISERROR(SUMPRODUCT(SEARCH(MID(metadata!B801,ROW(INDIRECT("1:"&amp;LEN(metadata!B801))), 1),"0123456789abcdefghijklmnopqrstuvwxyzABCDEFGHIJKLMNOPQRSTUVWXYZ.")))))</f>
        <v>0</v>
      </c>
      <c r="AE801" t="b">
        <f>OR(AND(IF(metadata!C801="",FALSE,TRUE),OR(EXACT(metadata!C801,"not applicable"),EXACT(metadata!C801,"missing: not collected"),EXACT(metadata!C801,"missing: not provided"),EXACT(metadata!C801,"missing: restricted access"))),AND(IF(metadata!C801="",FALSE,ISNUMBER(VALUE(metadata!C801))),metadata!C801&gt;0))</f>
        <v>0</v>
      </c>
      <c r="AF801" t="b">
        <f>AND(IF(metadata!D801="",FALSE,TRUE),EXACT(metadata!D801,"missing: not provided"))</f>
        <v>0</v>
      </c>
      <c r="AG801" t="b">
        <f>AND(IF(metadata!E801="",FALSE,TRUE),EXACT(metadata!E801,"Host-associated"))</f>
        <v>0</v>
      </c>
      <c r="AH801" t="b">
        <f>AND(IF(metadata!F801="",FALSE,TRUE),OR(EXACT(metadata!F801,"Animal"),EXACT(metadata!F801,"Fungus"),EXACT(metadata!F801,"Plant")))</f>
        <v>0</v>
      </c>
      <c r="AI801" t="b">
        <f>AND(IF(metadata!G801="",FALSE,TRUE),OR(EXACT(metadata!G801,"Plant secretion"),EXACT(metadata!G801,"Plant rhizosphere"),EXACT(metadata!G801,"Plant surface"),EXACT(metadata!G801,"Plant corpus"),EXACT(metadata!G801,"Fungus surface"),EXACT(metadata!G801,"Fungus corpus"),EXACT(metadata!G801,"Animal surface"),EXACT(metadata!G801,"Animal proximal gut"),EXACT(metadata!G801,"Animal corpus"),EXACT(metadata!G801,"Animal distal gut"),EXACT(metadata!G801,"Animal secretion")))</f>
        <v>0</v>
      </c>
      <c r="AJ801" t="b">
        <f>OR(AND(IF(metadata!H801="",FALSE,TRUE),OR(EXACT(metadata!H801,"missing: not collected"),EXACT(metadata!H801,"missing: not provided"),EXACT(metadata!H801,"missing: restricted access"))),AND(IF(metadata!H801="",FALSE,TRUE),OR(EXACT(metadata!H801,"organism-associated habitat"),EXACT(metadata!H801,"plant-associated habitat"),EXACT(metadata!H801,"animal-associated habitat"),EXACT(metadata!H801,"insecta-associated habitat"),EXACT(metadata!H801,"mammalia-associated habitat"),EXACT(metadata!H801,"human-associated habitat"),EXACT(metadata!H801,"livestock-associated habitat"))))</f>
        <v>0</v>
      </c>
      <c r="AK801" t="b">
        <f>AND(IF(metadata!I801="",FALSE,TRUE),EXACT(metadata!I801,"host-associated"))</f>
        <v>0</v>
      </c>
      <c r="AL801" t="b">
        <f>OR(AND(IF(metadata!J801="",FALSE,TRUE),OR(EXACT(metadata!J801,"not applicable"),EXACT(metadata!J801,"missing: not collected"),EXACT(metadata!J801,"missing: not provided"),EXACT(metadata!J801,"missing: restricted access"))),AND(IF(metadata!J801="",FALSE,ISNUMBER(VALUE(metadata!J801))),metadata!J801&gt;0))</f>
        <v>0</v>
      </c>
      <c r="AM801" t="b">
        <f>AND(IF(metadata!K801="",FALSE,TRUE),EXACT(metadata!K801,"missing: not provided"))</f>
        <v>0</v>
      </c>
      <c r="AN801" t="b">
        <f>IF(metadata!L801="",FALSE,TRUE)</f>
        <v>0</v>
      </c>
      <c r="AO801" t="b">
        <f>IF(metadata!M801="",FALSE,TRUE)</f>
        <v>0</v>
      </c>
      <c r="AP801" t="b">
        <f>OR(AND(IF(metadata!N801="",FALSE,TRUE),OR(EXACT(metadata!N801,"not applicable"),EXACT(metadata!N801,"missing: not collected"),EXACT(metadata!N801,"missing: not provided"))),AND(IF(metadata!N801="",FALSE,IF(ISERROR(INT(metadata!N801)),FALSE,INT(metadata!N801)=metadata!N801)),metadata!N801&gt;0))</f>
        <v>0</v>
      </c>
      <c r="AQ801" t="b">
        <f>AND(IF(metadata!O801="",FALSE,TRUE),EXACT(metadata!O801,"Not applicable"))</f>
        <v>0</v>
      </c>
      <c r="AR801" t="b">
        <f>OR(AND(IF(metadata!P801="",FALSE,TRUE),OR(EXACT(metadata!P801,"not applicable"),EXACT(metadata!P801,"missing: not collected"),EXACT(metadata!P801,"missing: not provided"),EXACT(metadata!P801,"missing: restricted access"))),IF(metadata!P801="",FALSE,IF(ISERROR(INT(metadata!P801)),FALSE,INT(metadata!P801)=metadata!P801)))</f>
        <v>0</v>
      </c>
      <c r="AS801" t="b">
        <f>AND(IF(metadata!Q801="",FALSE,TRUE),EXACT(metadata!Q801,"Not applicable"))</f>
        <v>0</v>
      </c>
      <c r="AT801" t="b">
        <f>OR(AND(IF(metadata!R801="",FALSE,TRUE),OR(EXACT(metadata!R801,"not applicable"),EXACT(metadata!R801,"missing: not collected"),EXACT(metadata!R801,"missing: not provided"),EXACT(metadata!R801,"missing: restricted access"))),AND(IF(metadata!R801="",FALSE,ISNUMBER(VALUE(metadata!R801))),metadata!R801&gt;0))</f>
        <v>0</v>
      </c>
      <c r="AU801" t="b">
        <f>AND(IF(metadata!S801="",FALSE,TRUE),EXACT(metadata!S801,"missing: not provided"))</f>
        <v>0</v>
      </c>
    </row>
    <row r="802" spans="1:47" x14ac:dyDescent="0.2">
      <c r="A802" s="5" t="str">
        <f ca="1">IF(B802=" "," ",HYPERLINK(CONCATENATE("#metadata!",ADDRESS(INDEX($Y$2:$Y$1001,MATCH(ROWS($W$2:W802),$W$2:$W$1001,0),0),1)),INDEX($AB$2:$AB$1001,MATCH(ROWS($W$2:W802),$W$2:$W$1001,0),0)))</f>
        <v xml:space="preserve"> </v>
      </c>
      <c r="B802" s="4" t="str">
        <f ca="1">IF(OR(INDEX($X$2:$X$1001,MATCH(ROWS($W$2:W802),$W$2:$W$1001,0),1)&gt;=100000,INDEX($AD$1005:$AU$1005,1,MATCH(COLUMNS($AD$1006:AD1006),$AD$1006:$AU$1006,0))&gt;=100000), " ",IF(INDEX($AD$2:$AU$1001,MATCH(ROWS($W$2:W802),$W$2:$W$1001,0),MATCH(COLUMNS($AD$1006:AD1006),$AD$1006:$AU$1006,0)), HYPERLINK("#",""), HYPERLINK(CONCATENATE("#metadata!", ADDRESS(INDEX($Y$2:$Y$1001,MATCH(ROWS($W$2:W802),$W$2:$W$1001,0),0), INDEX($AD$1004:$AU$1004,1,MATCH(COLUMNS($AD$1006:AD1006),$AD$1006:$AU$1006,0)))),"Fix")))</f>
        <v xml:space="preserve"> </v>
      </c>
      <c r="C802" s="4" t="str">
        <f ca="1">IF(OR(INDEX($X$2:$X$1001,MATCH(ROWS($W$2:W802),$W$2:$W$1001,0),1)&gt;=100000,INDEX($AD$1005:$AU$1005,1,MATCH(COLUMNS($AD$1006:AE1006),$AD$1006:$AU$1006,0))&gt;=100000), " ",IF(INDEX($AD$2:$AU$1001,MATCH(ROWS($W$2:W802),$W$2:$W$1001,0),MATCH(COLUMNS($AD$1006:AE1006),$AD$1006:$AU$1006,0)), HYPERLINK("#",""), HYPERLINK(CONCATENATE("#metadata!", ADDRESS(INDEX($Y$2:$Y$1001,MATCH(ROWS($W$2:W802),$W$2:$W$1001,0),0), INDEX($AD$1004:$AU$1004,1,MATCH(COLUMNS($AD$1006:AE1006),$AD$1006:$AU$1006,0)))),"Fix")))</f>
        <v xml:space="preserve"> </v>
      </c>
      <c r="D802" s="4" t="str">
        <f ca="1">IF(OR(INDEX($X$2:$X$1001,MATCH(ROWS($W$2:W802),$W$2:$W$1001,0),1)&gt;=100000,INDEX($AD$1005:$AU$1005,1,MATCH(COLUMNS($AD$1006:AF1006),$AD$1006:$AU$1006,0))&gt;=100000), " ",IF(INDEX($AD$2:$AU$1001,MATCH(ROWS($W$2:W802),$W$2:$W$1001,0),MATCH(COLUMNS($AD$1006:AF1006),$AD$1006:$AU$1006,0)), HYPERLINK("#",""), HYPERLINK(CONCATENATE("#metadata!", ADDRESS(INDEX($Y$2:$Y$1001,MATCH(ROWS($W$2:W802),$W$2:$W$1001,0),0), INDEX($AD$1004:$AU$1004,1,MATCH(COLUMNS($AD$1006:AF1006),$AD$1006:$AU$1006,0)))),"Fix")))</f>
        <v xml:space="preserve"> </v>
      </c>
      <c r="E802" s="4" t="str">
        <f ca="1">IF(OR(INDEX($X$2:$X$1001,MATCH(ROWS($W$2:W802),$W$2:$W$1001,0),1)&gt;=100000,INDEX($AD$1005:$AU$1005,1,MATCH(COLUMNS($AD$1006:AG1006),$AD$1006:$AU$1006,0))&gt;=100000), " ",IF(INDEX($AD$2:$AU$1001,MATCH(ROWS($W$2:W802),$W$2:$W$1001,0),MATCH(COLUMNS($AD$1006:AG1006),$AD$1006:$AU$1006,0)), HYPERLINK("#",""), HYPERLINK(CONCATENATE("#metadata!", ADDRESS(INDEX($Y$2:$Y$1001,MATCH(ROWS($W$2:W802),$W$2:$W$1001,0),0), INDEX($AD$1004:$AU$1004,1,MATCH(COLUMNS($AD$1006:AG1006),$AD$1006:$AU$1006,0)))),"Fix")))</f>
        <v xml:space="preserve"> </v>
      </c>
      <c r="F802" s="4" t="str">
        <f ca="1">IF(OR(INDEX($X$2:$X$1001,MATCH(ROWS($W$2:W802),$W$2:$W$1001,0),1)&gt;=100000,INDEX($AD$1005:$AU$1005,1,MATCH(COLUMNS($AD$1006:AH1006),$AD$1006:$AU$1006,0))&gt;=100000), " ",IF(INDEX($AD$2:$AU$1001,MATCH(ROWS($W$2:W802),$W$2:$W$1001,0),MATCH(COLUMNS($AD$1006:AH1006),$AD$1006:$AU$1006,0)), HYPERLINK("#",""), HYPERLINK(CONCATENATE("#metadata!", ADDRESS(INDEX($Y$2:$Y$1001,MATCH(ROWS($W$2:W802),$W$2:$W$1001,0),0), INDEX($AD$1004:$AU$1004,1,MATCH(COLUMNS($AD$1006:AH1006),$AD$1006:$AU$1006,0)))),"Fix")))</f>
        <v xml:space="preserve"> </v>
      </c>
      <c r="G802" s="4" t="str">
        <f ca="1">IF(OR(INDEX($X$2:$X$1001,MATCH(ROWS($W$2:W802),$W$2:$W$1001,0),1)&gt;=100000,INDEX($AD$1005:$AU$1005,1,MATCH(COLUMNS($AD$1006:AI1006),$AD$1006:$AU$1006,0))&gt;=100000), " ",IF(INDEX($AD$2:$AU$1001,MATCH(ROWS($W$2:W802),$W$2:$W$1001,0),MATCH(COLUMNS($AD$1006:AI1006),$AD$1006:$AU$1006,0)), HYPERLINK("#",""), HYPERLINK(CONCATENATE("#metadata!", ADDRESS(INDEX($Y$2:$Y$1001,MATCH(ROWS($W$2:W802),$W$2:$W$1001,0),0), INDEX($AD$1004:$AU$1004,1,MATCH(COLUMNS($AD$1006:AI1006),$AD$1006:$AU$1006,0)))),"Fix")))</f>
        <v xml:space="preserve"> </v>
      </c>
      <c r="H802" s="4" t="str">
        <f ca="1">IF(OR(INDEX($X$2:$X$1001,MATCH(ROWS($W$2:W802),$W$2:$W$1001,0),1)&gt;=100000,INDEX($AD$1005:$AU$1005,1,MATCH(COLUMNS($AD$1006:AJ1006),$AD$1006:$AU$1006,0))&gt;=100000), " ",IF(INDEX($AD$2:$AU$1001,MATCH(ROWS($W$2:W802),$W$2:$W$1001,0),MATCH(COLUMNS($AD$1006:AJ1006),$AD$1006:$AU$1006,0)), HYPERLINK("#",""), HYPERLINK(CONCATENATE("#metadata!", ADDRESS(INDEX($Y$2:$Y$1001,MATCH(ROWS($W$2:W802),$W$2:$W$1001,0),0), INDEX($AD$1004:$AU$1004,1,MATCH(COLUMNS($AD$1006:AJ1006),$AD$1006:$AU$1006,0)))),"Fix")))</f>
        <v xml:space="preserve"> </v>
      </c>
      <c r="I802" s="4" t="str">
        <f ca="1">IF(OR(INDEX($X$2:$X$1001,MATCH(ROWS($W$2:W802),$W$2:$W$1001,0),1)&gt;=100000,INDEX($AD$1005:$AU$1005,1,MATCH(COLUMNS($AD$1006:AK1006),$AD$1006:$AU$1006,0))&gt;=100000), " ",IF(INDEX($AD$2:$AU$1001,MATCH(ROWS($W$2:W802),$W$2:$W$1001,0),MATCH(COLUMNS($AD$1006:AK1006),$AD$1006:$AU$1006,0)), HYPERLINK("#",""), HYPERLINK(CONCATENATE("#metadata!", ADDRESS(INDEX($Y$2:$Y$1001,MATCH(ROWS($W$2:W802),$W$2:$W$1001,0),0), INDEX($AD$1004:$AU$1004,1,MATCH(COLUMNS($AD$1006:AK1006),$AD$1006:$AU$1006,0)))),"Fix")))</f>
        <v xml:space="preserve"> </v>
      </c>
      <c r="J802" s="4" t="str">
        <f ca="1">IF(OR(INDEX($X$2:$X$1001,MATCH(ROWS($W$2:W802),$W$2:$W$1001,0),1)&gt;=100000,INDEX($AD$1005:$AU$1005,1,MATCH(COLUMNS($AD$1006:AL1006),$AD$1006:$AU$1006,0))&gt;=100000), " ",IF(INDEX($AD$2:$AU$1001,MATCH(ROWS($W$2:W802),$W$2:$W$1001,0),MATCH(COLUMNS($AD$1006:AL1006),$AD$1006:$AU$1006,0)), HYPERLINK("#",""), HYPERLINK(CONCATENATE("#metadata!", ADDRESS(INDEX($Y$2:$Y$1001,MATCH(ROWS($W$2:W802),$W$2:$W$1001,0),0), INDEX($AD$1004:$AU$1004,1,MATCH(COLUMNS($AD$1006:AL1006),$AD$1006:$AU$1006,0)))),"Fix")))</f>
        <v xml:space="preserve"> </v>
      </c>
      <c r="K802" s="4" t="str">
        <f ca="1">IF(OR(INDEX($X$2:$X$1001,MATCH(ROWS($W$2:W802),$W$2:$W$1001,0),1)&gt;=100000,INDEX($AD$1005:$AU$1005,1,MATCH(COLUMNS($AD$1006:AM1006),$AD$1006:$AU$1006,0))&gt;=100000), " ",IF(INDEX($AD$2:$AU$1001,MATCH(ROWS($W$2:W802),$W$2:$W$1001,0),MATCH(COLUMNS($AD$1006:AM1006),$AD$1006:$AU$1006,0)), HYPERLINK("#",""), HYPERLINK(CONCATENATE("#metadata!", ADDRESS(INDEX($Y$2:$Y$1001,MATCH(ROWS($W$2:W802),$W$2:$W$1001,0),0), INDEX($AD$1004:$AU$1004,1,MATCH(COLUMNS($AD$1006:AM1006),$AD$1006:$AU$1006,0)))),"Fix")))</f>
        <v xml:space="preserve"> </v>
      </c>
      <c r="L802" s="4" t="str">
        <f ca="1">IF(OR(INDEX($X$2:$X$1001,MATCH(ROWS($W$2:W802),$W$2:$W$1001,0),1)&gt;=100000,INDEX($AD$1005:$AU$1005,1,MATCH(COLUMNS($AD$1006:AN1006),$AD$1006:$AU$1006,0))&gt;=100000), " ",IF(INDEX($AD$2:$AU$1001,MATCH(ROWS($W$2:W802),$W$2:$W$1001,0),MATCH(COLUMNS($AD$1006:AN1006),$AD$1006:$AU$1006,0)), HYPERLINK("#",""), HYPERLINK(CONCATENATE("#metadata!", ADDRESS(INDEX($Y$2:$Y$1001,MATCH(ROWS($W$2:W802),$W$2:$W$1001,0),0), INDEX($AD$1004:$AU$1004,1,MATCH(COLUMNS($AD$1006:AN1006),$AD$1006:$AU$1006,0)))),"Fix")))</f>
        <v xml:space="preserve"> </v>
      </c>
      <c r="M802" s="4" t="str">
        <f ca="1">IF(OR(INDEX($X$2:$X$1001,MATCH(ROWS($W$2:W802),$W$2:$W$1001,0),1)&gt;=100000,INDEX($AD$1005:$AU$1005,1,MATCH(COLUMNS($AD$1006:AO1006),$AD$1006:$AU$1006,0))&gt;=100000), " ",IF(INDEX($AD$2:$AU$1001,MATCH(ROWS($W$2:W802),$W$2:$W$1001,0),MATCH(COLUMNS($AD$1006:AO1006),$AD$1006:$AU$1006,0)), HYPERLINK("#",""), HYPERLINK(CONCATENATE("#metadata!", ADDRESS(INDEX($Y$2:$Y$1001,MATCH(ROWS($W$2:W802),$W$2:$W$1001,0),0), INDEX($AD$1004:$AU$1004,1,MATCH(COLUMNS($AD$1006:AO1006),$AD$1006:$AU$1006,0)))),"Fix")))</f>
        <v xml:space="preserve"> </v>
      </c>
      <c r="N802" s="4" t="str">
        <f ca="1">IF(OR(INDEX($X$2:$X$1001,MATCH(ROWS($W$2:W802),$W$2:$W$1001,0),1)&gt;=100000,INDEX($AD$1005:$AU$1005,1,MATCH(COLUMNS($AD$1006:AP1006),$AD$1006:$AU$1006,0))&gt;=100000), " ",IF(INDEX($AD$2:$AU$1001,MATCH(ROWS($W$2:W802),$W$2:$W$1001,0),MATCH(COLUMNS($AD$1006:AP1006),$AD$1006:$AU$1006,0)), HYPERLINK("#",""), HYPERLINK(CONCATENATE("#metadata!", ADDRESS(INDEX($Y$2:$Y$1001,MATCH(ROWS($W$2:W802),$W$2:$W$1001,0),0), INDEX($AD$1004:$AU$1004,1,MATCH(COLUMNS($AD$1006:AP1006),$AD$1006:$AU$1006,0)))),"Fix")))</f>
        <v xml:space="preserve"> </v>
      </c>
      <c r="O802" s="4" t="str">
        <f ca="1">IF(OR(INDEX($X$2:$X$1001,MATCH(ROWS($W$2:W802),$W$2:$W$1001,0),1)&gt;=100000,INDEX($AD$1005:$AU$1005,1,MATCH(COLUMNS($AD$1006:AQ1006),$AD$1006:$AU$1006,0))&gt;=100000), " ",IF(INDEX($AD$2:$AU$1001,MATCH(ROWS($W$2:W802),$W$2:$W$1001,0),MATCH(COLUMNS($AD$1006:AQ1006),$AD$1006:$AU$1006,0)), HYPERLINK("#",""), HYPERLINK(CONCATENATE("#metadata!", ADDRESS(INDEX($Y$2:$Y$1001,MATCH(ROWS($W$2:W802),$W$2:$W$1001,0),0), INDEX($AD$1004:$AU$1004,1,MATCH(COLUMNS($AD$1006:AQ1006),$AD$1006:$AU$1006,0)))),"Fix")))</f>
        <v xml:space="preserve"> </v>
      </c>
      <c r="P802" s="4" t="str">
        <f ca="1">IF(OR(INDEX($X$2:$X$1001,MATCH(ROWS($W$2:W802),$W$2:$W$1001,0),1)&gt;=100000,INDEX($AD$1005:$AU$1005,1,MATCH(COLUMNS($AD$1006:AR1006),$AD$1006:$AU$1006,0))&gt;=100000), " ",IF(INDEX($AD$2:$AU$1001,MATCH(ROWS($W$2:W802),$W$2:$W$1001,0),MATCH(COLUMNS($AD$1006:AR1006),$AD$1006:$AU$1006,0)), HYPERLINK("#",""), HYPERLINK(CONCATENATE("#metadata!", ADDRESS(INDEX($Y$2:$Y$1001,MATCH(ROWS($W$2:W802),$W$2:$W$1001,0),0), INDEX($AD$1004:$AU$1004,1,MATCH(COLUMNS($AD$1006:AR1006),$AD$1006:$AU$1006,0)))),"Fix")))</f>
        <v xml:space="preserve"> </v>
      </c>
      <c r="Q802" s="4" t="str">
        <f ca="1">IF(OR(INDEX($X$2:$X$1001,MATCH(ROWS($W$2:W802),$W$2:$W$1001,0),1)&gt;=100000,INDEX($AD$1005:$AU$1005,1,MATCH(COLUMNS($AD$1006:AS1006),$AD$1006:$AU$1006,0))&gt;=100000), " ",IF(INDEX($AD$2:$AU$1001,MATCH(ROWS($W$2:W802),$W$2:$W$1001,0),MATCH(COLUMNS($AD$1006:AS1006),$AD$1006:$AU$1006,0)), HYPERLINK("#",""), HYPERLINK(CONCATENATE("#metadata!", ADDRESS(INDEX($Y$2:$Y$1001,MATCH(ROWS($W$2:W802),$W$2:$W$1001,0),0), INDEX($AD$1004:$AU$1004,1,MATCH(COLUMNS($AD$1006:AS1006),$AD$1006:$AU$1006,0)))),"Fix")))</f>
        <v xml:space="preserve"> </v>
      </c>
      <c r="R802" s="4" t="str">
        <f ca="1">IF(OR(INDEX($X$2:$X$1001,MATCH(ROWS($W$2:W802),$W$2:$W$1001,0),1)&gt;=100000,INDEX($AD$1005:$AU$1005,1,MATCH(COLUMNS($AD$1006:AT1006),$AD$1006:$AU$1006,0))&gt;=100000), " ",IF(INDEX($AD$2:$AU$1001,MATCH(ROWS($W$2:W802),$W$2:$W$1001,0),MATCH(COLUMNS($AD$1006:AT1006),$AD$1006:$AU$1006,0)), HYPERLINK("#",""), HYPERLINK(CONCATENATE("#metadata!", ADDRESS(INDEX($Y$2:$Y$1001,MATCH(ROWS($W$2:W802),$W$2:$W$1001,0),0), INDEX($AD$1004:$AU$1004,1,MATCH(COLUMNS($AD$1006:AT1006),$AD$1006:$AU$1006,0)))),"Fix")))</f>
        <v xml:space="preserve"> </v>
      </c>
      <c r="S802" s="4" t="str">
        <f ca="1">IF(OR(INDEX($X$2:$X$1001,MATCH(ROWS($W$2:W802),$W$2:$W$1001,0),1)&gt;=100000,INDEX($AD$1005:$AU$1005,1,MATCH(COLUMNS($AD$1006:AU1006),$AD$1006:$AU$1006,0))&gt;=100000), " ",IF(INDEX($AD$2:$AU$1001,MATCH(ROWS($W$2:W802),$W$2:$W$1001,0),MATCH(COLUMNS($AD$1006:AU1006),$AD$1006:$AU$1006,0)), HYPERLINK("#",""), HYPERLINK(CONCATENATE("#metadata!", ADDRESS(INDEX($Y$2:$Y$1001,MATCH(ROWS($W$2:W802),$W$2:$W$1001,0),0), INDEX($AD$1004:$AU$1004,1,MATCH(COLUMNS($AD$1006:AU1006),$AD$1006:$AU$1006,0)))),"Fix")))</f>
        <v xml:space="preserve"> </v>
      </c>
      <c r="W802">
        <v>801</v>
      </c>
      <c r="X802">
        <v>100802</v>
      </c>
      <c r="Y802">
        <v>802</v>
      </c>
      <c r="Z802" t="b">
        <f t="shared" si="12"/>
        <v>1</v>
      </c>
      <c r="AA802" t="b">
        <f>COUNTBLANK(metadata!B802:S802)=COLUMNS(metadata!B802:S802)</f>
        <v>1</v>
      </c>
      <c r="AB802" t="str">
        <v/>
      </c>
      <c r="AD802" t="b">
        <f ca="1">AND(IF(metadata!B802="",FALSE,TRUE),COUNTIF(metadata!B:B, metadata!B802) = 1,NOT(ISERROR(SUMPRODUCT(SEARCH(MID(metadata!B802,ROW(INDIRECT("1:"&amp;LEN(metadata!B802))), 1),"0123456789abcdefghijklmnopqrstuvwxyzABCDEFGHIJKLMNOPQRSTUVWXYZ.")))))</f>
        <v>0</v>
      </c>
      <c r="AE802" t="b">
        <f>OR(AND(IF(metadata!C802="",FALSE,TRUE),OR(EXACT(metadata!C802,"not applicable"),EXACT(metadata!C802,"missing: not collected"),EXACT(metadata!C802,"missing: not provided"),EXACT(metadata!C802,"missing: restricted access"))),AND(IF(metadata!C802="",FALSE,ISNUMBER(VALUE(metadata!C802))),metadata!C802&gt;0))</f>
        <v>0</v>
      </c>
      <c r="AF802" t="b">
        <f>AND(IF(metadata!D802="",FALSE,TRUE),EXACT(metadata!D802,"missing: not provided"))</f>
        <v>0</v>
      </c>
      <c r="AG802" t="b">
        <f>AND(IF(metadata!E802="",FALSE,TRUE),EXACT(metadata!E802,"Host-associated"))</f>
        <v>0</v>
      </c>
      <c r="AH802" t="b">
        <f>AND(IF(metadata!F802="",FALSE,TRUE),OR(EXACT(metadata!F802,"Animal"),EXACT(metadata!F802,"Fungus"),EXACT(metadata!F802,"Plant")))</f>
        <v>0</v>
      </c>
      <c r="AI802" t="b">
        <f>AND(IF(metadata!G802="",FALSE,TRUE),OR(EXACT(metadata!G802,"Plant secretion"),EXACT(metadata!G802,"Plant rhizosphere"),EXACT(metadata!G802,"Plant surface"),EXACT(metadata!G802,"Plant corpus"),EXACT(metadata!G802,"Fungus surface"),EXACT(metadata!G802,"Fungus corpus"),EXACT(metadata!G802,"Animal surface"),EXACT(metadata!G802,"Animal proximal gut"),EXACT(metadata!G802,"Animal corpus"),EXACT(metadata!G802,"Animal distal gut"),EXACT(metadata!G802,"Animal secretion")))</f>
        <v>0</v>
      </c>
      <c r="AJ802" t="b">
        <f>OR(AND(IF(metadata!H802="",FALSE,TRUE),OR(EXACT(metadata!H802,"missing: not collected"),EXACT(metadata!H802,"missing: not provided"),EXACT(metadata!H802,"missing: restricted access"))),AND(IF(metadata!H802="",FALSE,TRUE),OR(EXACT(metadata!H802,"organism-associated habitat"),EXACT(metadata!H802,"plant-associated habitat"),EXACT(metadata!H802,"animal-associated habitat"),EXACT(metadata!H802,"insecta-associated habitat"),EXACT(metadata!H802,"mammalia-associated habitat"),EXACT(metadata!H802,"human-associated habitat"),EXACT(metadata!H802,"livestock-associated habitat"))))</f>
        <v>0</v>
      </c>
      <c r="AK802" t="b">
        <f>AND(IF(metadata!I802="",FALSE,TRUE),EXACT(metadata!I802,"host-associated"))</f>
        <v>0</v>
      </c>
      <c r="AL802" t="b">
        <f>OR(AND(IF(metadata!J802="",FALSE,TRUE),OR(EXACT(metadata!J802,"not applicable"),EXACT(metadata!J802,"missing: not collected"),EXACT(metadata!J802,"missing: not provided"),EXACT(metadata!J802,"missing: restricted access"))),AND(IF(metadata!J802="",FALSE,ISNUMBER(VALUE(metadata!J802))),metadata!J802&gt;0))</f>
        <v>0</v>
      </c>
      <c r="AM802" t="b">
        <f>AND(IF(metadata!K802="",FALSE,TRUE),EXACT(metadata!K802,"missing: not provided"))</f>
        <v>0</v>
      </c>
      <c r="AN802" t="b">
        <f>IF(metadata!L802="",FALSE,TRUE)</f>
        <v>0</v>
      </c>
      <c r="AO802" t="b">
        <f>IF(metadata!M802="",FALSE,TRUE)</f>
        <v>0</v>
      </c>
      <c r="AP802" t="b">
        <f>OR(AND(IF(metadata!N802="",FALSE,TRUE),OR(EXACT(metadata!N802,"not applicable"),EXACT(metadata!N802,"missing: not collected"),EXACT(metadata!N802,"missing: not provided"))),AND(IF(metadata!N802="",FALSE,IF(ISERROR(INT(metadata!N802)),FALSE,INT(metadata!N802)=metadata!N802)),metadata!N802&gt;0))</f>
        <v>0</v>
      </c>
      <c r="AQ802" t="b">
        <f>AND(IF(metadata!O802="",FALSE,TRUE),EXACT(metadata!O802,"Not applicable"))</f>
        <v>0</v>
      </c>
      <c r="AR802" t="b">
        <f>OR(AND(IF(metadata!P802="",FALSE,TRUE),OR(EXACT(metadata!P802,"not applicable"),EXACT(metadata!P802,"missing: not collected"),EXACT(metadata!P802,"missing: not provided"),EXACT(metadata!P802,"missing: restricted access"))),IF(metadata!P802="",FALSE,IF(ISERROR(INT(metadata!P802)),FALSE,INT(metadata!P802)=metadata!P802)))</f>
        <v>0</v>
      </c>
      <c r="AS802" t="b">
        <f>AND(IF(metadata!Q802="",FALSE,TRUE),EXACT(metadata!Q802,"Not applicable"))</f>
        <v>0</v>
      </c>
      <c r="AT802" t="b">
        <f>OR(AND(IF(metadata!R802="",FALSE,TRUE),OR(EXACT(metadata!R802,"not applicable"),EXACT(metadata!R802,"missing: not collected"),EXACT(metadata!R802,"missing: not provided"),EXACT(metadata!R802,"missing: restricted access"))),AND(IF(metadata!R802="",FALSE,ISNUMBER(VALUE(metadata!R802))),metadata!R802&gt;0))</f>
        <v>0</v>
      </c>
      <c r="AU802" t="b">
        <f>AND(IF(metadata!S802="",FALSE,TRUE),EXACT(metadata!S802,"missing: not provided"))</f>
        <v>0</v>
      </c>
    </row>
    <row r="803" spans="1:47" x14ac:dyDescent="0.2">
      <c r="A803" s="5" t="str">
        <f ca="1">IF(B803=" "," ",HYPERLINK(CONCATENATE("#metadata!",ADDRESS(INDEX($Y$2:$Y$1001,MATCH(ROWS($W$2:W803),$W$2:$W$1001,0),0),1)),INDEX($AB$2:$AB$1001,MATCH(ROWS($W$2:W803),$W$2:$W$1001,0),0)))</f>
        <v xml:space="preserve"> </v>
      </c>
      <c r="B803" s="4" t="str">
        <f ca="1">IF(OR(INDEX($X$2:$X$1001,MATCH(ROWS($W$2:W803),$W$2:$W$1001,0),1)&gt;=100000,INDEX($AD$1005:$AU$1005,1,MATCH(COLUMNS($AD$1006:AD1006),$AD$1006:$AU$1006,0))&gt;=100000), " ",IF(INDEX($AD$2:$AU$1001,MATCH(ROWS($W$2:W803),$W$2:$W$1001,0),MATCH(COLUMNS($AD$1006:AD1006),$AD$1006:$AU$1006,0)), HYPERLINK("#",""), HYPERLINK(CONCATENATE("#metadata!", ADDRESS(INDEX($Y$2:$Y$1001,MATCH(ROWS($W$2:W803),$W$2:$W$1001,0),0), INDEX($AD$1004:$AU$1004,1,MATCH(COLUMNS($AD$1006:AD1006),$AD$1006:$AU$1006,0)))),"Fix")))</f>
        <v xml:space="preserve"> </v>
      </c>
      <c r="C803" s="4" t="str">
        <f ca="1">IF(OR(INDEX($X$2:$X$1001,MATCH(ROWS($W$2:W803),$W$2:$W$1001,0),1)&gt;=100000,INDEX($AD$1005:$AU$1005,1,MATCH(COLUMNS($AD$1006:AE1006),$AD$1006:$AU$1006,0))&gt;=100000), " ",IF(INDEX($AD$2:$AU$1001,MATCH(ROWS($W$2:W803),$W$2:$W$1001,0),MATCH(COLUMNS($AD$1006:AE1006),$AD$1006:$AU$1006,0)), HYPERLINK("#",""), HYPERLINK(CONCATENATE("#metadata!", ADDRESS(INDEX($Y$2:$Y$1001,MATCH(ROWS($W$2:W803),$W$2:$W$1001,0),0), INDEX($AD$1004:$AU$1004,1,MATCH(COLUMNS($AD$1006:AE1006),$AD$1006:$AU$1006,0)))),"Fix")))</f>
        <v xml:space="preserve"> </v>
      </c>
      <c r="D803" s="4" t="str">
        <f ca="1">IF(OR(INDEX($X$2:$X$1001,MATCH(ROWS($W$2:W803),$W$2:$W$1001,0),1)&gt;=100000,INDEX($AD$1005:$AU$1005,1,MATCH(COLUMNS($AD$1006:AF1006),$AD$1006:$AU$1006,0))&gt;=100000), " ",IF(INDEX($AD$2:$AU$1001,MATCH(ROWS($W$2:W803),$W$2:$W$1001,0),MATCH(COLUMNS($AD$1006:AF1006),$AD$1006:$AU$1006,0)), HYPERLINK("#",""), HYPERLINK(CONCATENATE("#metadata!", ADDRESS(INDEX($Y$2:$Y$1001,MATCH(ROWS($W$2:W803),$W$2:$W$1001,0),0), INDEX($AD$1004:$AU$1004,1,MATCH(COLUMNS($AD$1006:AF1006),$AD$1006:$AU$1006,0)))),"Fix")))</f>
        <v xml:space="preserve"> </v>
      </c>
      <c r="E803" s="4" t="str">
        <f ca="1">IF(OR(INDEX($X$2:$X$1001,MATCH(ROWS($W$2:W803),$W$2:$W$1001,0),1)&gt;=100000,INDEX($AD$1005:$AU$1005,1,MATCH(COLUMNS($AD$1006:AG1006),$AD$1006:$AU$1006,0))&gt;=100000), " ",IF(INDEX($AD$2:$AU$1001,MATCH(ROWS($W$2:W803),$W$2:$W$1001,0),MATCH(COLUMNS($AD$1006:AG1006),$AD$1006:$AU$1006,0)), HYPERLINK("#",""), HYPERLINK(CONCATENATE("#metadata!", ADDRESS(INDEX($Y$2:$Y$1001,MATCH(ROWS($W$2:W803),$W$2:$W$1001,0),0), INDEX($AD$1004:$AU$1004,1,MATCH(COLUMNS($AD$1006:AG1006),$AD$1006:$AU$1006,0)))),"Fix")))</f>
        <v xml:space="preserve"> </v>
      </c>
      <c r="F803" s="4" t="str">
        <f ca="1">IF(OR(INDEX($X$2:$X$1001,MATCH(ROWS($W$2:W803),$W$2:$W$1001,0),1)&gt;=100000,INDEX($AD$1005:$AU$1005,1,MATCH(COLUMNS($AD$1006:AH1006),$AD$1006:$AU$1006,0))&gt;=100000), " ",IF(INDEX($AD$2:$AU$1001,MATCH(ROWS($W$2:W803),$W$2:$W$1001,0),MATCH(COLUMNS($AD$1006:AH1006),$AD$1006:$AU$1006,0)), HYPERLINK("#",""), HYPERLINK(CONCATENATE("#metadata!", ADDRESS(INDEX($Y$2:$Y$1001,MATCH(ROWS($W$2:W803),$W$2:$W$1001,0),0), INDEX($AD$1004:$AU$1004,1,MATCH(COLUMNS($AD$1006:AH1006),$AD$1006:$AU$1006,0)))),"Fix")))</f>
        <v xml:space="preserve"> </v>
      </c>
      <c r="G803" s="4" t="str">
        <f ca="1">IF(OR(INDEX($X$2:$X$1001,MATCH(ROWS($W$2:W803),$W$2:$W$1001,0),1)&gt;=100000,INDEX($AD$1005:$AU$1005,1,MATCH(COLUMNS($AD$1006:AI1006),$AD$1006:$AU$1006,0))&gt;=100000), " ",IF(INDEX($AD$2:$AU$1001,MATCH(ROWS($W$2:W803),$W$2:$W$1001,0),MATCH(COLUMNS($AD$1006:AI1006),$AD$1006:$AU$1006,0)), HYPERLINK("#",""), HYPERLINK(CONCATENATE("#metadata!", ADDRESS(INDEX($Y$2:$Y$1001,MATCH(ROWS($W$2:W803),$W$2:$W$1001,0),0), INDEX($AD$1004:$AU$1004,1,MATCH(COLUMNS($AD$1006:AI1006),$AD$1006:$AU$1006,0)))),"Fix")))</f>
        <v xml:space="preserve"> </v>
      </c>
      <c r="H803" s="4" t="str">
        <f ca="1">IF(OR(INDEX($X$2:$X$1001,MATCH(ROWS($W$2:W803),$W$2:$W$1001,0),1)&gt;=100000,INDEX($AD$1005:$AU$1005,1,MATCH(COLUMNS($AD$1006:AJ1006),$AD$1006:$AU$1006,0))&gt;=100000), " ",IF(INDEX($AD$2:$AU$1001,MATCH(ROWS($W$2:W803),$W$2:$W$1001,0),MATCH(COLUMNS($AD$1006:AJ1006),$AD$1006:$AU$1006,0)), HYPERLINK("#",""), HYPERLINK(CONCATENATE("#metadata!", ADDRESS(INDEX($Y$2:$Y$1001,MATCH(ROWS($W$2:W803),$W$2:$W$1001,0),0), INDEX($AD$1004:$AU$1004,1,MATCH(COLUMNS($AD$1006:AJ1006),$AD$1006:$AU$1006,0)))),"Fix")))</f>
        <v xml:space="preserve"> </v>
      </c>
      <c r="I803" s="4" t="str">
        <f ca="1">IF(OR(INDEX($X$2:$X$1001,MATCH(ROWS($W$2:W803),$W$2:$W$1001,0),1)&gt;=100000,INDEX($AD$1005:$AU$1005,1,MATCH(COLUMNS($AD$1006:AK1006),$AD$1006:$AU$1006,0))&gt;=100000), " ",IF(INDEX($AD$2:$AU$1001,MATCH(ROWS($W$2:W803),$W$2:$W$1001,0),MATCH(COLUMNS($AD$1006:AK1006),$AD$1006:$AU$1006,0)), HYPERLINK("#",""), HYPERLINK(CONCATENATE("#metadata!", ADDRESS(INDEX($Y$2:$Y$1001,MATCH(ROWS($W$2:W803),$W$2:$W$1001,0),0), INDEX($AD$1004:$AU$1004,1,MATCH(COLUMNS($AD$1006:AK1006),$AD$1006:$AU$1006,0)))),"Fix")))</f>
        <v xml:space="preserve"> </v>
      </c>
      <c r="J803" s="4" t="str">
        <f ca="1">IF(OR(INDEX($X$2:$X$1001,MATCH(ROWS($W$2:W803),$W$2:$W$1001,0),1)&gt;=100000,INDEX($AD$1005:$AU$1005,1,MATCH(COLUMNS($AD$1006:AL1006),$AD$1006:$AU$1006,0))&gt;=100000), " ",IF(INDEX($AD$2:$AU$1001,MATCH(ROWS($W$2:W803),$W$2:$W$1001,0),MATCH(COLUMNS($AD$1006:AL1006),$AD$1006:$AU$1006,0)), HYPERLINK("#",""), HYPERLINK(CONCATENATE("#metadata!", ADDRESS(INDEX($Y$2:$Y$1001,MATCH(ROWS($W$2:W803),$W$2:$W$1001,0),0), INDEX($AD$1004:$AU$1004,1,MATCH(COLUMNS($AD$1006:AL1006),$AD$1006:$AU$1006,0)))),"Fix")))</f>
        <v xml:space="preserve"> </v>
      </c>
      <c r="K803" s="4" t="str">
        <f ca="1">IF(OR(INDEX($X$2:$X$1001,MATCH(ROWS($W$2:W803),$W$2:$W$1001,0),1)&gt;=100000,INDEX($AD$1005:$AU$1005,1,MATCH(COLUMNS($AD$1006:AM1006),$AD$1006:$AU$1006,0))&gt;=100000), " ",IF(INDEX($AD$2:$AU$1001,MATCH(ROWS($W$2:W803),$W$2:$W$1001,0),MATCH(COLUMNS($AD$1006:AM1006),$AD$1006:$AU$1006,0)), HYPERLINK("#",""), HYPERLINK(CONCATENATE("#metadata!", ADDRESS(INDEX($Y$2:$Y$1001,MATCH(ROWS($W$2:W803),$W$2:$W$1001,0),0), INDEX($AD$1004:$AU$1004,1,MATCH(COLUMNS($AD$1006:AM1006),$AD$1006:$AU$1006,0)))),"Fix")))</f>
        <v xml:space="preserve"> </v>
      </c>
      <c r="L803" s="4" t="str">
        <f ca="1">IF(OR(INDEX($X$2:$X$1001,MATCH(ROWS($W$2:W803),$W$2:$W$1001,0),1)&gt;=100000,INDEX($AD$1005:$AU$1005,1,MATCH(COLUMNS($AD$1006:AN1006),$AD$1006:$AU$1006,0))&gt;=100000), " ",IF(INDEX($AD$2:$AU$1001,MATCH(ROWS($W$2:W803),$W$2:$W$1001,0),MATCH(COLUMNS($AD$1006:AN1006),$AD$1006:$AU$1006,0)), HYPERLINK("#",""), HYPERLINK(CONCATENATE("#metadata!", ADDRESS(INDEX($Y$2:$Y$1001,MATCH(ROWS($W$2:W803),$W$2:$W$1001,0),0), INDEX($AD$1004:$AU$1004,1,MATCH(COLUMNS($AD$1006:AN1006),$AD$1006:$AU$1006,0)))),"Fix")))</f>
        <v xml:space="preserve"> </v>
      </c>
      <c r="M803" s="4" t="str">
        <f ca="1">IF(OR(INDEX($X$2:$X$1001,MATCH(ROWS($W$2:W803),$W$2:$W$1001,0),1)&gt;=100000,INDEX($AD$1005:$AU$1005,1,MATCH(COLUMNS($AD$1006:AO1006),$AD$1006:$AU$1006,0))&gt;=100000), " ",IF(INDEX($AD$2:$AU$1001,MATCH(ROWS($W$2:W803),$W$2:$W$1001,0),MATCH(COLUMNS($AD$1006:AO1006),$AD$1006:$AU$1006,0)), HYPERLINK("#",""), HYPERLINK(CONCATENATE("#metadata!", ADDRESS(INDEX($Y$2:$Y$1001,MATCH(ROWS($W$2:W803),$W$2:$W$1001,0),0), INDEX($AD$1004:$AU$1004,1,MATCH(COLUMNS($AD$1006:AO1006),$AD$1006:$AU$1006,0)))),"Fix")))</f>
        <v xml:space="preserve"> </v>
      </c>
      <c r="N803" s="4" t="str">
        <f ca="1">IF(OR(INDEX($X$2:$X$1001,MATCH(ROWS($W$2:W803),$W$2:$W$1001,0),1)&gt;=100000,INDEX($AD$1005:$AU$1005,1,MATCH(COLUMNS($AD$1006:AP1006),$AD$1006:$AU$1006,0))&gt;=100000), " ",IF(INDEX($AD$2:$AU$1001,MATCH(ROWS($W$2:W803),$W$2:$W$1001,0),MATCH(COLUMNS($AD$1006:AP1006),$AD$1006:$AU$1006,0)), HYPERLINK("#",""), HYPERLINK(CONCATENATE("#metadata!", ADDRESS(INDEX($Y$2:$Y$1001,MATCH(ROWS($W$2:W803),$W$2:$W$1001,0),0), INDEX($AD$1004:$AU$1004,1,MATCH(COLUMNS($AD$1006:AP1006),$AD$1006:$AU$1006,0)))),"Fix")))</f>
        <v xml:space="preserve"> </v>
      </c>
      <c r="O803" s="4" t="str">
        <f ca="1">IF(OR(INDEX($X$2:$X$1001,MATCH(ROWS($W$2:W803),$W$2:$W$1001,0),1)&gt;=100000,INDEX($AD$1005:$AU$1005,1,MATCH(COLUMNS($AD$1006:AQ1006),$AD$1006:$AU$1006,0))&gt;=100000), " ",IF(INDEX($AD$2:$AU$1001,MATCH(ROWS($W$2:W803),$W$2:$W$1001,0),MATCH(COLUMNS($AD$1006:AQ1006),$AD$1006:$AU$1006,0)), HYPERLINK("#",""), HYPERLINK(CONCATENATE("#metadata!", ADDRESS(INDEX($Y$2:$Y$1001,MATCH(ROWS($W$2:W803),$W$2:$W$1001,0),0), INDEX($AD$1004:$AU$1004,1,MATCH(COLUMNS($AD$1006:AQ1006),$AD$1006:$AU$1006,0)))),"Fix")))</f>
        <v xml:space="preserve"> </v>
      </c>
      <c r="P803" s="4" t="str">
        <f ca="1">IF(OR(INDEX($X$2:$X$1001,MATCH(ROWS($W$2:W803),$W$2:$W$1001,0),1)&gt;=100000,INDEX($AD$1005:$AU$1005,1,MATCH(COLUMNS($AD$1006:AR1006),$AD$1006:$AU$1006,0))&gt;=100000), " ",IF(INDEX($AD$2:$AU$1001,MATCH(ROWS($W$2:W803),$W$2:$W$1001,0),MATCH(COLUMNS($AD$1006:AR1006),$AD$1006:$AU$1006,0)), HYPERLINK("#",""), HYPERLINK(CONCATENATE("#metadata!", ADDRESS(INDEX($Y$2:$Y$1001,MATCH(ROWS($W$2:W803),$W$2:$W$1001,0),0), INDEX($AD$1004:$AU$1004,1,MATCH(COLUMNS($AD$1006:AR1006),$AD$1006:$AU$1006,0)))),"Fix")))</f>
        <v xml:space="preserve"> </v>
      </c>
      <c r="Q803" s="4" t="str">
        <f ca="1">IF(OR(INDEX($X$2:$X$1001,MATCH(ROWS($W$2:W803),$W$2:$W$1001,0),1)&gt;=100000,INDEX($AD$1005:$AU$1005,1,MATCH(COLUMNS($AD$1006:AS1006),$AD$1006:$AU$1006,0))&gt;=100000), " ",IF(INDEX($AD$2:$AU$1001,MATCH(ROWS($W$2:W803),$W$2:$W$1001,0),MATCH(COLUMNS($AD$1006:AS1006),$AD$1006:$AU$1006,0)), HYPERLINK("#",""), HYPERLINK(CONCATENATE("#metadata!", ADDRESS(INDEX($Y$2:$Y$1001,MATCH(ROWS($W$2:W803),$W$2:$W$1001,0),0), INDEX($AD$1004:$AU$1004,1,MATCH(COLUMNS($AD$1006:AS1006),$AD$1006:$AU$1006,0)))),"Fix")))</f>
        <v xml:space="preserve"> </v>
      </c>
      <c r="R803" s="4" t="str">
        <f ca="1">IF(OR(INDEX($X$2:$X$1001,MATCH(ROWS($W$2:W803),$W$2:$W$1001,0),1)&gt;=100000,INDEX($AD$1005:$AU$1005,1,MATCH(COLUMNS($AD$1006:AT1006),$AD$1006:$AU$1006,0))&gt;=100000), " ",IF(INDEX($AD$2:$AU$1001,MATCH(ROWS($W$2:W803),$W$2:$W$1001,0),MATCH(COLUMNS($AD$1006:AT1006),$AD$1006:$AU$1006,0)), HYPERLINK("#",""), HYPERLINK(CONCATENATE("#metadata!", ADDRESS(INDEX($Y$2:$Y$1001,MATCH(ROWS($W$2:W803),$W$2:$W$1001,0),0), INDEX($AD$1004:$AU$1004,1,MATCH(COLUMNS($AD$1006:AT1006),$AD$1006:$AU$1006,0)))),"Fix")))</f>
        <v xml:space="preserve"> </v>
      </c>
      <c r="S803" s="4" t="str">
        <f ca="1">IF(OR(INDEX($X$2:$X$1001,MATCH(ROWS($W$2:W803),$W$2:$W$1001,0),1)&gt;=100000,INDEX($AD$1005:$AU$1005,1,MATCH(COLUMNS($AD$1006:AU1006),$AD$1006:$AU$1006,0))&gt;=100000), " ",IF(INDEX($AD$2:$AU$1001,MATCH(ROWS($W$2:W803),$W$2:$W$1001,0),MATCH(COLUMNS($AD$1006:AU1006),$AD$1006:$AU$1006,0)), HYPERLINK("#",""), HYPERLINK(CONCATENATE("#metadata!", ADDRESS(INDEX($Y$2:$Y$1001,MATCH(ROWS($W$2:W803),$W$2:$W$1001,0),0), INDEX($AD$1004:$AU$1004,1,MATCH(COLUMNS($AD$1006:AU1006),$AD$1006:$AU$1006,0)))),"Fix")))</f>
        <v xml:space="preserve"> </v>
      </c>
      <c r="W803">
        <v>802</v>
      </c>
      <c r="X803">
        <v>100803</v>
      </c>
      <c r="Y803">
        <v>803</v>
      </c>
      <c r="Z803" t="b">
        <f t="shared" si="12"/>
        <v>1</v>
      </c>
      <c r="AA803" t="b">
        <f>COUNTBLANK(metadata!B803:S803)=COLUMNS(metadata!B803:S803)</f>
        <v>1</v>
      </c>
      <c r="AB803" t="str">
        <v/>
      </c>
      <c r="AD803" t="b">
        <f ca="1">AND(IF(metadata!B803="",FALSE,TRUE),COUNTIF(metadata!B:B, metadata!B803) = 1,NOT(ISERROR(SUMPRODUCT(SEARCH(MID(metadata!B803,ROW(INDIRECT("1:"&amp;LEN(metadata!B803))), 1),"0123456789abcdefghijklmnopqrstuvwxyzABCDEFGHIJKLMNOPQRSTUVWXYZ.")))))</f>
        <v>0</v>
      </c>
      <c r="AE803" t="b">
        <f>OR(AND(IF(metadata!C803="",FALSE,TRUE),OR(EXACT(metadata!C803,"not applicable"),EXACT(metadata!C803,"missing: not collected"),EXACT(metadata!C803,"missing: not provided"),EXACT(metadata!C803,"missing: restricted access"))),AND(IF(metadata!C803="",FALSE,ISNUMBER(VALUE(metadata!C803))),metadata!C803&gt;0))</f>
        <v>0</v>
      </c>
      <c r="AF803" t="b">
        <f>AND(IF(metadata!D803="",FALSE,TRUE),EXACT(metadata!D803,"missing: not provided"))</f>
        <v>0</v>
      </c>
      <c r="AG803" t="b">
        <f>AND(IF(metadata!E803="",FALSE,TRUE),EXACT(metadata!E803,"Host-associated"))</f>
        <v>0</v>
      </c>
      <c r="AH803" t="b">
        <f>AND(IF(metadata!F803="",FALSE,TRUE),OR(EXACT(metadata!F803,"Animal"),EXACT(metadata!F803,"Fungus"),EXACT(metadata!F803,"Plant")))</f>
        <v>0</v>
      </c>
      <c r="AI803" t="b">
        <f>AND(IF(metadata!G803="",FALSE,TRUE),OR(EXACT(metadata!G803,"Plant secretion"),EXACT(metadata!G803,"Plant rhizosphere"),EXACT(metadata!G803,"Plant surface"),EXACT(metadata!G803,"Plant corpus"),EXACT(metadata!G803,"Fungus surface"),EXACT(metadata!G803,"Fungus corpus"),EXACT(metadata!G803,"Animal surface"),EXACT(metadata!G803,"Animal proximal gut"),EXACT(metadata!G803,"Animal corpus"),EXACT(metadata!G803,"Animal distal gut"),EXACT(metadata!G803,"Animal secretion")))</f>
        <v>0</v>
      </c>
      <c r="AJ803" t="b">
        <f>OR(AND(IF(metadata!H803="",FALSE,TRUE),OR(EXACT(metadata!H803,"missing: not collected"),EXACT(metadata!H803,"missing: not provided"),EXACT(metadata!H803,"missing: restricted access"))),AND(IF(metadata!H803="",FALSE,TRUE),OR(EXACT(metadata!H803,"organism-associated habitat"),EXACT(metadata!H803,"plant-associated habitat"),EXACT(metadata!H803,"animal-associated habitat"),EXACT(metadata!H803,"insecta-associated habitat"),EXACT(metadata!H803,"mammalia-associated habitat"),EXACT(metadata!H803,"human-associated habitat"),EXACT(metadata!H803,"livestock-associated habitat"))))</f>
        <v>0</v>
      </c>
      <c r="AK803" t="b">
        <f>AND(IF(metadata!I803="",FALSE,TRUE),EXACT(metadata!I803,"host-associated"))</f>
        <v>0</v>
      </c>
      <c r="AL803" t="b">
        <f>OR(AND(IF(metadata!J803="",FALSE,TRUE),OR(EXACT(metadata!J803,"not applicable"),EXACT(metadata!J803,"missing: not collected"),EXACT(metadata!J803,"missing: not provided"),EXACT(metadata!J803,"missing: restricted access"))),AND(IF(metadata!J803="",FALSE,ISNUMBER(VALUE(metadata!J803))),metadata!J803&gt;0))</f>
        <v>0</v>
      </c>
      <c r="AM803" t="b">
        <f>AND(IF(metadata!K803="",FALSE,TRUE),EXACT(metadata!K803,"missing: not provided"))</f>
        <v>0</v>
      </c>
      <c r="AN803" t="b">
        <f>IF(metadata!L803="",FALSE,TRUE)</f>
        <v>0</v>
      </c>
      <c r="AO803" t="b">
        <f>IF(metadata!M803="",FALSE,TRUE)</f>
        <v>0</v>
      </c>
      <c r="AP803" t="b">
        <f>OR(AND(IF(metadata!N803="",FALSE,TRUE),OR(EXACT(metadata!N803,"not applicable"),EXACT(metadata!N803,"missing: not collected"),EXACT(metadata!N803,"missing: not provided"))),AND(IF(metadata!N803="",FALSE,IF(ISERROR(INT(metadata!N803)),FALSE,INT(metadata!N803)=metadata!N803)),metadata!N803&gt;0))</f>
        <v>0</v>
      </c>
      <c r="AQ803" t="b">
        <f>AND(IF(metadata!O803="",FALSE,TRUE),EXACT(metadata!O803,"Not applicable"))</f>
        <v>0</v>
      </c>
      <c r="AR803" t="b">
        <f>OR(AND(IF(metadata!P803="",FALSE,TRUE),OR(EXACT(metadata!P803,"not applicable"),EXACT(metadata!P803,"missing: not collected"),EXACT(metadata!P803,"missing: not provided"),EXACT(metadata!P803,"missing: restricted access"))),IF(metadata!P803="",FALSE,IF(ISERROR(INT(metadata!P803)),FALSE,INT(metadata!P803)=metadata!P803)))</f>
        <v>0</v>
      </c>
      <c r="AS803" t="b">
        <f>AND(IF(metadata!Q803="",FALSE,TRUE),EXACT(metadata!Q803,"Not applicable"))</f>
        <v>0</v>
      </c>
      <c r="AT803" t="b">
        <f>OR(AND(IF(metadata!R803="",FALSE,TRUE),OR(EXACT(metadata!R803,"not applicable"),EXACT(metadata!R803,"missing: not collected"),EXACT(metadata!R803,"missing: not provided"),EXACT(metadata!R803,"missing: restricted access"))),AND(IF(metadata!R803="",FALSE,ISNUMBER(VALUE(metadata!R803))),metadata!R803&gt;0))</f>
        <v>0</v>
      </c>
      <c r="AU803" t="b">
        <f>AND(IF(metadata!S803="",FALSE,TRUE),EXACT(metadata!S803,"missing: not provided"))</f>
        <v>0</v>
      </c>
    </row>
    <row r="804" spans="1:47" x14ac:dyDescent="0.2">
      <c r="A804" s="5" t="str">
        <f ca="1">IF(B804=" "," ",HYPERLINK(CONCATENATE("#metadata!",ADDRESS(INDEX($Y$2:$Y$1001,MATCH(ROWS($W$2:W804),$W$2:$W$1001,0),0),1)),INDEX($AB$2:$AB$1001,MATCH(ROWS($W$2:W804),$W$2:$W$1001,0),0)))</f>
        <v xml:space="preserve"> </v>
      </c>
      <c r="B804" s="4" t="str">
        <f ca="1">IF(OR(INDEX($X$2:$X$1001,MATCH(ROWS($W$2:W804),$W$2:$W$1001,0),1)&gt;=100000,INDEX($AD$1005:$AU$1005,1,MATCH(COLUMNS($AD$1006:AD1006),$AD$1006:$AU$1006,0))&gt;=100000), " ",IF(INDEX($AD$2:$AU$1001,MATCH(ROWS($W$2:W804),$W$2:$W$1001,0),MATCH(COLUMNS($AD$1006:AD1006),$AD$1006:$AU$1006,0)), HYPERLINK("#",""), HYPERLINK(CONCATENATE("#metadata!", ADDRESS(INDEX($Y$2:$Y$1001,MATCH(ROWS($W$2:W804),$W$2:$W$1001,0),0), INDEX($AD$1004:$AU$1004,1,MATCH(COLUMNS($AD$1006:AD1006),$AD$1006:$AU$1006,0)))),"Fix")))</f>
        <v xml:space="preserve"> </v>
      </c>
      <c r="C804" s="4" t="str">
        <f ca="1">IF(OR(INDEX($X$2:$X$1001,MATCH(ROWS($W$2:W804),$W$2:$W$1001,0),1)&gt;=100000,INDEX($AD$1005:$AU$1005,1,MATCH(COLUMNS($AD$1006:AE1006),$AD$1006:$AU$1006,0))&gt;=100000), " ",IF(INDEX($AD$2:$AU$1001,MATCH(ROWS($W$2:W804),$W$2:$W$1001,0),MATCH(COLUMNS($AD$1006:AE1006),$AD$1006:$AU$1006,0)), HYPERLINK("#",""), HYPERLINK(CONCATENATE("#metadata!", ADDRESS(INDEX($Y$2:$Y$1001,MATCH(ROWS($W$2:W804),$W$2:$W$1001,0),0), INDEX($AD$1004:$AU$1004,1,MATCH(COLUMNS($AD$1006:AE1006),$AD$1006:$AU$1006,0)))),"Fix")))</f>
        <v xml:space="preserve"> </v>
      </c>
      <c r="D804" s="4" t="str">
        <f ca="1">IF(OR(INDEX($X$2:$X$1001,MATCH(ROWS($W$2:W804),$W$2:$W$1001,0),1)&gt;=100000,INDEX($AD$1005:$AU$1005,1,MATCH(COLUMNS($AD$1006:AF1006),$AD$1006:$AU$1006,0))&gt;=100000), " ",IF(INDEX($AD$2:$AU$1001,MATCH(ROWS($W$2:W804),$W$2:$W$1001,0),MATCH(COLUMNS($AD$1006:AF1006),$AD$1006:$AU$1006,0)), HYPERLINK("#",""), HYPERLINK(CONCATENATE("#metadata!", ADDRESS(INDEX($Y$2:$Y$1001,MATCH(ROWS($W$2:W804),$W$2:$W$1001,0),0), INDEX($AD$1004:$AU$1004,1,MATCH(COLUMNS($AD$1006:AF1006),$AD$1006:$AU$1006,0)))),"Fix")))</f>
        <v xml:space="preserve"> </v>
      </c>
      <c r="E804" s="4" t="str">
        <f ca="1">IF(OR(INDEX($X$2:$X$1001,MATCH(ROWS($W$2:W804),$W$2:$W$1001,0),1)&gt;=100000,INDEX($AD$1005:$AU$1005,1,MATCH(COLUMNS($AD$1006:AG1006),$AD$1006:$AU$1006,0))&gt;=100000), " ",IF(INDEX($AD$2:$AU$1001,MATCH(ROWS($W$2:W804),$W$2:$W$1001,0),MATCH(COLUMNS($AD$1006:AG1006),$AD$1006:$AU$1006,0)), HYPERLINK("#",""), HYPERLINK(CONCATENATE("#metadata!", ADDRESS(INDEX($Y$2:$Y$1001,MATCH(ROWS($W$2:W804),$W$2:$W$1001,0),0), INDEX($AD$1004:$AU$1004,1,MATCH(COLUMNS($AD$1006:AG1006),$AD$1006:$AU$1006,0)))),"Fix")))</f>
        <v xml:space="preserve"> </v>
      </c>
      <c r="F804" s="4" t="str">
        <f ca="1">IF(OR(INDEX($X$2:$X$1001,MATCH(ROWS($W$2:W804),$W$2:$W$1001,0),1)&gt;=100000,INDEX($AD$1005:$AU$1005,1,MATCH(COLUMNS($AD$1006:AH1006),$AD$1006:$AU$1006,0))&gt;=100000), " ",IF(INDEX($AD$2:$AU$1001,MATCH(ROWS($W$2:W804),$W$2:$W$1001,0),MATCH(COLUMNS($AD$1006:AH1006),$AD$1006:$AU$1006,0)), HYPERLINK("#",""), HYPERLINK(CONCATENATE("#metadata!", ADDRESS(INDEX($Y$2:$Y$1001,MATCH(ROWS($W$2:W804),$W$2:$W$1001,0),0), INDEX($AD$1004:$AU$1004,1,MATCH(COLUMNS($AD$1006:AH1006),$AD$1006:$AU$1006,0)))),"Fix")))</f>
        <v xml:space="preserve"> </v>
      </c>
      <c r="G804" s="4" t="str">
        <f ca="1">IF(OR(INDEX($X$2:$X$1001,MATCH(ROWS($W$2:W804),$W$2:$W$1001,0),1)&gt;=100000,INDEX($AD$1005:$AU$1005,1,MATCH(COLUMNS($AD$1006:AI1006),$AD$1006:$AU$1006,0))&gt;=100000), " ",IF(INDEX($AD$2:$AU$1001,MATCH(ROWS($W$2:W804),$W$2:$W$1001,0),MATCH(COLUMNS($AD$1006:AI1006),$AD$1006:$AU$1006,0)), HYPERLINK("#",""), HYPERLINK(CONCATENATE("#metadata!", ADDRESS(INDEX($Y$2:$Y$1001,MATCH(ROWS($W$2:W804),$W$2:$W$1001,0),0), INDEX($AD$1004:$AU$1004,1,MATCH(COLUMNS($AD$1006:AI1006),$AD$1006:$AU$1006,0)))),"Fix")))</f>
        <v xml:space="preserve"> </v>
      </c>
      <c r="H804" s="4" t="str">
        <f ca="1">IF(OR(INDEX($X$2:$X$1001,MATCH(ROWS($W$2:W804),$W$2:$W$1001,0),1)&gt;=100000,INDEX($AD$1005:$AU$1005,1,MATCH(COLUMNS($AD$1006:AJ1006),$AD$1006:$AU$1006,0))&gt;=100000), " ",IF(INDEX($AD$2:$AU$1001,MATCH(ROWS($W$2:W804),$W$2:$W$1001,0),MATCH(COLUMNS($AD$1006:AJ1006),$AD$1006:$AU$1006,0)), HYPERLINK("#",""), HYPERLINK(CONCATENATE("#metadata!", ADDRESS(INDEX($Y$2:$Y$1001,MATCH(ROWS($W$2:W804),$W$2:$W$1001,0),0), INDEX($AD$1004:$AU$1004,1,MATCH(COLUMNS($AD$1006:AJ1006),$AD$1006:$AU$1006,0)))),"Fix")))</f>
        <v xml:space="preserve"> </v>
      </c>
      <c r="I804" s="4" t="str">
        <f ca="1">IF(OR(INDEX($X$2:$X$1001,MATCH(ROWS($W$2:W804),$W$2:$W$1001,0),1)&gt;=100000,INDEX($AD$1005:$AU$1005,1,MATCH(COLUMNS($AD$1006:AK1006),$AD$1006:$AU$1006,0))&gt;=100000), " ",IF(INDEX($AD$2:$AU$1001,MATCH(ROWS($W$2:W804),$W$2:$W$1001,0),MATCH(COLUMNS($AD$1006:AK1006),$AD$1006:$AU$1006,0)), HYPERLINK("#",""), HYPERLINK(CONCATENATE("#metadata!", ADDRESS(INDEX($Y$2:$Y$1001,MATCH(ROWS($W$2:W804),$W$2:$W$1001,0),0), INDEX($AD$1004:$AU$1004,1,MATCH(COLUMNS($AD$1006:AK1006),$AD$1006:$AU$1006,0)))),"Fix")))</f>
        <v xml:space="preserve"> </v>
      </c>
      <c r="J804" s="4" t="str">
        <f ca="1">IF(OR(INDEX($X$2:$X$1001,MATCH(ROWS($W$2:W804),$W$2:$W$1001,0),1)&gt;=100000,INDEX($AD$1005:$AU$1005,1,MATCH(COLUMNS($AD$1006:AL1006),$AD$1006:$AU$1006,0))&gt;=100000), " ",IF(INDEX($AD$2:$AU$1001,MATCH(ROWS($W$2:W804),$W$2:$W$1001,0),MATCH(COLUMNS($AD$1006:AL1006),$AD$1006:$AU$1006,0)), HYPERLINK("#",""), HYPERLINK(CONCATENATE("#metadata!", ADDRESS(INDEX($Y$2:$Y$1001,MATCH(ROWS($W$2:W804),$W$2:$W$1001,0),0), INDEX($AD$1004:$AU$1004,1,MATCH(COLUMNS($AD$1006:AL1006),$AD$1006:$AU$1006,0)))),"Fix")))</f>
        <v xml:space="preserve"> </v>
      </c>
      <c r="K804" s="4" t="str">
        <f ca="1">IF(OR(INDEX($X$2:$X$1001,MATCH(ROWS($W$2:W804),$W$2:$W$1001,0),1)&gt;=100000,INDEX($AD$1005:$AU$1005,1,MATCH(COLUMNS($AD$1006:AM1006),$AD$1006:$AU$1006,0))&gt;=100000), " ",IF(INDEX($AD$2:$AU$1001,MATCH(ROWS($W$2:W804),$W$2:$W$1001,0),MATCH(COLUMNS($AD$1006:AM1006),$AD$1006:$AU$1006,0)), HYPERLINK("#",""), HYPERLINK(CONCATENATE("#metadata!", ADDRESS(INDEX($Y$2:$Y$1001,MATCH(ROWS($W$2:W804),$W$2:$W$1001,0),0), INDEX($AD$1004:$AU$1004,1,MATCH(COLUMNS($AD$1006:AM1006),$AD$1006:$AU$1006,0)))),"Fix")))</f>
        <v xml:space="preserve"> </v>
      </c>
      <c r="L804" s="4" t="str">
        <f ca="1">IF(OR(INDEX($X$2:$X$1001,MATCH(ROWS($W$2:W804),$W$2:$W$1001,0),1)&gt;=100000,INDEX($AD$1005:$AU$1005,1,MATCH(COLUMNS($AD$1006:AN1006),$AD$1006:$AU$1006,0))&gt;=100000), " ",IF(INDEX($AD$2:$AU$1001,MATCH(ROWS($W$2:W804),$W$2:$W$1001,0),MATCH(COLUMNS($AD$1006:AN1006),$AD$1006:$AU$1006,0)), HYPERLINK("#",""), HYPERLINK(CONCATENATE("#metadata!", ADDRESS(INDEX($Y$2:$Y$1001,MATCH(ROWS($W$2:W804),$W$2:$W$1001,0),0), INDEX($AD$1004:$AU$1004,1,MATCH(COLUMNS($AD$1006:AN1006),$AD$1006:$AU$1006,0)))),"Fix")))</f>
        <v xml:space="preserve"> </v>
      </c>
      <c r="M804" s="4" t="str">
        <f ca="1">IF(OR(INDEX($X$2:$X$1001,MATCH(ROWS($W$2:W804),$W$2:$W$1001,0),1)&gt;=100000,INDEX($AD$1005:$AU$1005,1,MATCH(COLUMNS($AD$1006:AO1006),$AD$1006:$AU$1006,0))&gt;=100000), " ",IF(INDEX($AD$2:$AU$1001,MATCH(ROWS($W$2:W804),$W$2:$W$1001,0),MATCH(COLUMNS($AD$1006:AO1006),$AD$1006:$AU$1006,0)), HYPERLINK("#",""), HYPERLINK(CONCATENATE("#metadata!", ADDRESS(INDEX($Y$2:$Y$1001,MATCH(ROWS($W$2:W804),$W$2:$W$1001,0),0), INDEX($AD$1004:$AU$1004,1,MATCH(COLUMNS($AD$1006:AO1006),$AD$1006:$AU$1006,0)))),"Fix")))</f>
        <v xml:space="preserve"> </v>
      </c>
      <c r="N804" s="4" t="str">
        <f ca="1">IF(OR(INDEX($X$2:$X$1001,MATCH(ROWS($W$2:W804),$W$2:$W$1001,0),1)&gt;=100000,INDEX($AD$1005:$AU$1005,1,MATCH(COLUMNS($AD$1006:AP1006),$AD$1006:$AU$1006,0))&gt;=100000), " ",IF(INDEX($AD$2:$AU$1001,MATCH(ROWS($W$2:W804),$W$2:$W$1001,0),MATCH(COLUMNS($AD$1006:AP1006),$AD$1006:$AU$1006,0)), HYPERLINK("#",""), HYPERLINK(CONCATENATE("#metadata!", ADDRESS(INDEX($Y$2:$Y$1001,MATCH(ROWS($W$2:W804),$W$2:$W$1001,0),0), INDEX($AD$1004:$AU$1004,1,MATCH(COLUMNS($AD$1006:AP1006),$AD$1006:$AU$1006,0)))),"Fix")))</f>
        <v xml:space="preserve"> </v>
      </c>
      <c r="O804" s="4" t="str">
        <f ca="1">IF(OR(INDEX($X$2:$X$1001,MATCH(ROWS($W$2:W804),$W$2:$W$1001,0),1)&gt;=100000,INDEX($AD$1005:$AU$1005,1,MATCH(COLUMNS($AD$1006:AQ1006),$AD$1006:$AU$1006,0))&gt;=100000), " ",IF(INDEX($AD$2:$AU$1001,MATCH(ROWS($W$2:W804),$W$2:$W$1001,0),MATCH(COLUMNS($AD$1006:AQ1006),$AD$1006:$AU$1006,0)), HYPERLINK("#",""), HYPERLINK(CONCATENATE("#metadata!", ADDRESS(INDEX($Y$2:$Y$1001,MATCH(ROWS($W$2:W804),$W$2:$W$1001,0),0), INDEX($AD$1004:$AU$1004,1,MATCH(COLUMNS($AD$1006:AQ1006),$AD$1006:$AU$1006,0)))),"Fix")))</f>
        <v xml:space="preserve"> </v>
      </c>
      <c r="P804" s="4" t="str">
        <f ca="1">IF(OR(INDEX($X$2:$X$1001,MATCH(ROWS($W$2:W804),$W$2:$W$1001,0),1)&gt;=100000,INDEX($AD$1005:$AU$1005,1,MATCH(COLUMNS($AD$1006:AR1006),$AD$1006:$AU$1006,0))&gt;=100000), " ",IF(INDEX($AD$2:$AU$1001,MATCH(ROWS($W$2:W804),$W$2:$W$1001,0),MATCH(COLUMNS($AD$1006:AR1006),$AD$1006:$AU$1006,0)), HYPERLINK("#",""), HYPERLINK(CONCATENATE("#metadata!", ADDRESS(INDEX($Y$2:$Y$1001,MATCH(ROWS($W$2:W804),$W$2:$W$1001,0),0), INDEX($AD$1004:$AU$1004,1,MATCH(COLUMNS($AD$1006:AR1006),$AD$1006:$AU$1006,0)))),"Fix")))</f>
        <v xml:space="preserve"> </v>
      </c>
      <c r="Q804" s="4" t="str">
        <f ca="1">IF(OR(INDEX($X$2:$X$1001,MATCH(ROWS($W$2:W804),$W$2:$W$1001,0),1)&gt;=100000,INDEX($AD$1005:$AU$1005,1,MATCH(COLUMNS($AD$1006:AS1006),$AD$1006:$AU$1006,0))&gt;=100000), " ",IF(INDEX($AD$2:$AU$1001,MATCH(ROWS($W$2:W804),$W$2:$W$1001,0),MATCH(COLUMNS($AD$1006:AS1006),$AD$1006:$AU$1006,0)), HYPERLINK("#",""), HYPERLINK(CONCATENATE("#metadata!", ADDRESS(INDEX($Y$2:$Y$1001,MATCH(ROWS($W$2:W804),$W$2:$W$1001,0),0), INDEX($AD$1004:$AU$1004,1,MATCH(COLUMNS($AD$1006:AS1006),$AD$1006:$AU$1006,0)))),"Fix")))</f>
        <v xml:space="preserve"> </v>
      </c>
      <c r="R804" s="4" t="str">
        <f ca="1">IF(OR(INDEX($X$2:$X$1001,MATCH(ROWS($W$2:W804),$W$2:$W$1001,0),1)&gt;=100000,INDEX($AD$1005:$AU$1005,1,MATCH(COLUMNS($AD$1006:AT1006),$AD$1006:$AU$1006,0))&gt;=100000), " ",IF(INDEX($AD$2:$AU$1001,MATCH(ROWS($W$2:W804),$W$2:$W$1001,0),MATCH(COLUMNS($AD$1006:AT1006),$AD$1006:$AU$1006,0)), HYPERLINK("#",""), HYPERLINK(CONCATENATE("#metadata!", ADDRESS(INDEX($Y$2:$Y$1001,MATCH(ROWS($W$2:W804),$W$2:$W$1001,0),0), INDEX($AD$1004:$AU$1004,1,MATCH(COLUMNS($AD$1006:AT1006),$AD$1006:$AU$1006,0)))),"Fix")))</f>
        <v xml:space="preserve"> </v>
      </c>
      <c r="S804" s="4" t="str">
        <f ca="1">IF(OR(INDEX($X$2:$X$1001,MATCH(ROWS($W$2:W804),$W$2:$W$1001,0),1)&gt;=100000,INDEX($AD$1005:$AU$1005,1,MATCH(COLUMNS($AD$1006:AU1006),$AD$1006:$AU$1006,0))&gt;=100000), " ",IF(INDEX($AD$2:$AU$1001,MATCH(ROWS($W$2:W804),$W$2:$W$1001,0),MATCH(COLUMNS($AD$1006:AU1006),$AD$1006:$AU$1006,0)), HYPERLINK("#",""), HYPERLINK(CONCATENATE("#metadata!", ADDRESS(INDEX($Y$2:$Y$1001,MATCH(ROWS($W$2:W804),$W$2:$W$1001,0),0), INDEX($AD$1004:$AU$1004,1,MATCH(COLUMNS($AD$1006:AU1006),$AD$1006:$AU$1006,0)))),"Fix")))</f>
        <v xml:space="preserve"> </v>
      </c>
      <c r="W804">
        <v>803</v>
      </c>
      <c r="X804">
        <v>100804</v>
      </c>
      <c r="Y804">
        <v>804</v>
      </c>
      <c r="Z804" t="b">
        <f t="shared" si="12"/>
        <v>1</v>
      </c>
      <c r="AA804" t="b">
        <f>COUNTBLANK(metadata!B804:S804)=COLUMNS(metadata!B804:S804)</f>
        <v>1</v>
      </c>
      <c r="AB804" t="str">
        <v/>
      </c>
      <c r="AD804" t="b">
        <f ca="1">AND(IF(metadata!B804="",FALSE,TRUE),COUNTIF(metadata!B:B, metadata!B804) = 1,NOT(ISERROR(SUMPRODUCT(SEARCH(MID(metadata!B804,ROW(INDIRECT("1:"&amp;LEN(metadata!B804))), 1),"0123456789abcdefghijklmnopqrstuvwxyzABCDEFGHIJKLMNOPQRSTUVWXYZ.")))))</f>
        <v>0</v>
      </c>
      <c r="AE804" t="b">
        <f>OR(AND(IF(metadata!C804="",FALSE,TRUE),OR(EXACT(metadata!C804,"not applicable"),EXACT(metadata!C804,"missing: not collected"),EXACT(metadata!C804,"missing: not provided"),EXACT(metadata!C804,"missing: restricted access"))),AND(IF(metadata!C804="",FALSE,ISNUMBER(VALUE(metadata!C804))),metadata!C804&gt;0))</f>
        <v>0</v>
      </c>
      <c r="AF804" t="b">
        <f>AND(IF(metadata!D804="",FALSE,TRUE),EXACT(metadata!D804,"missing: not provided"))</f>
        <v>0</v>
      </c>
      <c r="AG804" t="b">
        <f>AND(IF(metadata!E804="",FALSE,TRUE),EXACT(metadata!E804,"Host-associated"))</f>
        <v>0</v>
      </c>
      <c r="AH804" t="b">
        <f>AND(IF(metadata!F804="",FALSE,TRUE),OR(EXACT(metadata!F804,"Animal"),EXACT(metadata!F804,"Fungus"),EXACT(metadata!F804,"Plant")))</f>
        <v>0</v>
      </c>
      <c r="AI804" t="b">
        <f>AND(IF(metadata!G804="",FALSE,TRUE),OR(EXACT(metadata!G804,"Plant secretion"),EXACT(metadata!G804,"Plant rhizosphere"),EXACT(metadata!G804,"Plant surface"),EXACT(metadata!G804,"Plant corpus"),EXACT(metadata!G804,"Fungus surface"),EXACT(metadata!G804,"Fungus corpus"),EXACT(metadata!G804,"Animal surface"),EXACT(metadata!G804,"Animal proximal gut"),EXACT(metadata!G804,"Animal corpus"),EXACT(metadata!G804,"Animal distal gut"),EXACT(metadata!G804,"Animal secretion")))</f>
        <v>0</v>
      </c>
      <c r="AJ804" t="b">
        <f>OR(AND(IF(metadata!H804="",FALSE,TRUE),OR(EXACT(metadata!H804,"missing: not collected"),EXACT(metadata!H804,"missing: not provided"),EXACT(metadata!H804,"missing: restricted access"))),AND(IF(metadata!H804="",FALSE,TRUE),OR(EXACT(metadata!H804,"organism-associated habitat"),EXACT(metadata!H804,"plant-associated habitat"),EXACT(metadata!H804,"animal-associated habitat"),EXACT(metadata!H804,"insecta-associated habitat"),EXACT(metadata!H804,"mammalia-associated habitat"),EXACT(metadata!H804,"human-associated habitat"),EXACT(metadata!H804,"livestock-associated habitat"))))</f>
        <v>0</v>
      </c>
      <c r="AK804" t="b">
        <f>AND(IF(metadata!I804="",FALSE,TRUE),EXACT(metadata!I804,"host-associated"))</f>
        <v>0</v>
      </c>
      <c r="AL804" t="b">
        <f>OR(AND(IF(metadata!J804="",FALSE,TRUE),OR(EXACT(metadata!J804,"not applicable"),EXACT(metadata!J804,"missing: not collected"),EXACT(metadata!J804,"missing: not provided"),EXACT(metadata!J804,"missing: restricted access"))),AND(IF(metadata!J804="",FALSE,ISNUMBER(VALUE(metadata!J804))),metadata!J804&gt;0))</f>
        <v>0</v>
      </c>
      <c r="AM804" t="b">
        <f>AND(IF(metadata!K804="",FALSE,TRUE),EXACT(metadata!K804,"missing: not provided"))</f>
        <v>0</v>
      </c>
      <c r="AN804" t="b">
        <f>IF(metadata!L804="",FALSE,TRUE)</f>
        <v>0</v>
      </c>
      <c r="AO804" t="b">
        <f>IF(metadata!M804="",FALSE,TRUE)</f>
        <v>0</v>
      </c>
      <c r="AP804" t="b">
        <f>OR(AND(IF(metadata!N804="",FALSE,TRUE),OR(EXACT(metadata!N804,"not applicable"),EXACT(metadata!N804,"missing: not collected"),EXACT(metadata!N804,"missing: not provided"))),AND(IF(metadata!N804="",FALSE,IF(ISERROR(INT(metadata!N804)),FALSE,INT(metadata!N804)=metadata!N804)),metadata!N804&gt;0))</f>
        <v>0</v>
      </c>
      <c r="AQ804" t="b">
        <f>AND(IF(metadata!O804="",FALSE,TRUE),EXACT(metadata!O804,"Not applicable"))</f>
        <v>0</v>
      </c>
      <c r="AR804" t="b">
        <f>OR(AND(IF(metadata!P804="",FALSE,TRUE),OR(EXACT(metadata!P804,"not applicable"),EXACT(metadata!P804,"missing: not collected"),EXACT(metadata!P804,"missing: not provided"),EXACT(metadata!P804,"missing: restricted access"))),IF(metadata!P804="",FALSE,IF(ISERROR(INT(metadata!P804)),FALSE,INT(metadata!P804)=metadata!P804)))</f>
        <v>0</v>
      </c>
      <c r="AS804" t="b">
        <f>AND(IF(metadata!Q804="",FALSE,TRUE),EXACT(metadata!Q804,"Not applicable"))</f>
        <v>0</v>
      </c>
      <c r="AT804" t="b">
        <f>OR(AND(IF(metadata!R804="",FALSE,TRUE),OR(EXACT(metadata!R804,"not applicable"),EXACT(metadata!R804,"missing: not collected"),EXACT(metadata!R804,"missing: not provided"),EXACT(metadata!R804,"missing: restricted access"))),AND(IF(metadata!R804="",FALSE,ISNUMBER(VALUE(metadata!R804))),metadata!R804&gt;0))</f>
        <v>0</v>
      </c>
      <c r="AU804" t="b">
        <f>AND(IF(metadata!S804="",FALSE,TRUE),EXACT(metadata!S804,"missing: not provided"))</f>
        <v>0</v>
      </c>
    </row>
    <row r="805" spans="1:47" x14ac:dyDescent="0.2">
      <c r="A805" s="5" t="str">
        <f ca="1">IF(B805=" "," ",HYPERLINK(CONCATENATE("#metadata!",ADDRESS(INDEX($Y$2:$Y$1001,MATCH(ROWS($W$2:W805),$W$2:$W$1001,0),0),1)),INDEX($AB$2:$AB$1001,MATCH(ROWS($W$2:W805),$W$2:$W$1001,0),0)))</f>
        <v xml:space="preserve"> </v>
      </c>
      <c r="B805" s="4" t="str">
        <f ca="1">IF(OR(INDEX($X$2:$X$1001,MATCH(ROWS($W$2:W805),$W$2:$W$1001,0),1)&gt;=100000,INDEX($AD$1005:$AU$1005,1,MATCH(COLUMNS($AD$1006:AD1006),$AD$1006:$AU$1006,0))&gt;=100000), " ",IF(INDEX($AD$2:$AU$1001,MATCH(ROWS($W$2:W805),$W$2:$W$1001,0),MATCH(COLUMNS($AD$1006:AD1006),$AD$1006:$AU$1006,0)), HYPERLINK("#",""), HYPERLINK(CONCATENATE("#metadata!", ADDRESS(INDEX($Y$2:$Y$1001,MATCH(ROWS($W$2:W805),$W$2:$W$1001,0),0), INDEX($AD$1004:$AU$1004,1,MATCH(COLUMNS($AD$1006:AD1006),$AD$1006:$AU$1006,0)))),"Fix")))</f>
        <v xml:space="preserve"> </v>
      </c>
      <c r="C805" s="4" t="str">
        <f ca="1">IF(OR(INDEX($X$2:$X$1001,MATCH(ROWS($W$2:W805),$W$2:$W$1001,0),1)&gt;=100000,INDEX($AD$1005:$AU$1005,1,MATCH(COLUMNS($AD$1006:AE1006),$AD$1006:$AU$1006,0))&gt;=100000), " ",IF(INDEX($AD$2:$AU$1001,MATCH(ROWS($W$2:W805),$W$2:$W$1001,0),MATCH(COLUMNS($AD$1006:AE1006),$AD$1006:$AU$1006,0)), HYPERLINK("#",""), HYPERLINK(CONCATENATE("#metadata!", ADDRESS(INDEX($Y$2:$Y$1001,MATCH(ROWS($W$2:W805),$W$2:$W$1001,0),0), INDEX($AD$1004:$AU$1004,1,MATCH(COLUMNS($AD$1006:AE1006),$AD$1006:$AU$1006,0)))),"Fix")))</f>
        <v xml:space="preserve"> </v>
      </c>
      <c r="D805" s="4" t="str">
        <f ca="1">IF(OR(INDEX($X$2:$X$1001,MATCH(ROWS($W$2:W805),$W$2:$W$1001,0),1)&gt;=100000,INDEX($AD$1005:$AU$1005,1,MATCH(COLUMNS($AD$1006:AF1006),$AD$1006:$AU$1006,0))&gt;=100000), " ",IF(INDEX($AD$2:$AU$1001,MATCH(ROWS($W$2:W805),$W$2:$W$1001,0),MATCH(COLUMNS($AD$1006:AF1006),$AD$1006:$AU$1006,0)), HYPERLINK("#",""), HYPERLINK(CONCATENATE("#metadata!", ADDRESS(INDEX($Y$2:$Y$1001,MATCH(ROWS($W$2:W805),$W$2:$W$1001,0),0), INDEX($AD$1004:$AU$1004,1,MATCH(COLUMNS($AD$1006:AF1006),$AD$1006:$AU$1006,0)))),"Fix")))</f>
        <v xml:space="preserve"> </v>
      </c>
      <c r="E805" s="4" t="str">
        <f ca="1">IF(OR(INDEX($X$2:$X$1001,MATCH(ROWS($W$2:W805),$W$2:$W$1001,0),1)&gt;=100000,INDEX($AD$1005:$AU$1005,1,MATCH(COLUMNS($AD$1006:AG1006),$AD$1006:$AU$1006,0))&gt;=100000), " ",IF(INDEX($AD$2:$AU$1001,MATCH(ROWS($W$2:W805),$W$2:$W$1001,0),MATCH(COLUMNS($AD$1006:AG1006),$AD$1006:$AU$1006,0)), HYPERLINK("#",""), HYPERLINK(CONCATENATE("#metadata!", ADDRESS(INDEX($Y$2:$Y$1001,MATCH(ROWS($W$2:W805),$W$2:$W$1001,0),0), INDEX($AD$1004:$AU$1004,1,MATCH(COLUMNS($AD$1006:AG1006),$AD$1006:$AU$1006,0)))),"Fix")))</f>
        <v xml:space="preserve"> </v>
      </c>
      <c r="F805" s="4" t="str">
        <f ca="1">IF(OR(INDEX($X$2:$X$1001,MATCH(ROWS($W$2:W805),$W$2:$W$1001,0),1)&gt;=100000,INDEX($AD$1005:$AU$1005,1,MATCH(COLUMNS($AD$1006:AH1006),$AD$1006:$AU$1006,0))&gt;=100000), " ",IF(INDEX($AD$2:$AU$1001,MATCH(ROWS($W$2:W805),$W$2:$W$1001,0),MATCH(COLUMNS($AD$1006:AH1006),$AD$1006:$AU$1006,0)), HYPERLINK("#",""), HYPERLINK(CONCATENATE("#metadata!", ADDRESS(INDEX($Y$2:$Y$1001,MATCH(ROWS($W$2:W805),$W$2:$W$1001,0),0), INDEX($AD$1004:$AU$1004,1,MATCH(COLUMNS($AD$1006:AH1006),$AD$1006:$AU$1006,0)))),"Fix")))</f>
        <v xml:space="preserve"> </v>
      </c>
      <c r="G805" s="4" t="str">
        <f ca="1">IF(OR(INDEX($X$2:$X$1001,MATCH(ROWS($W$2:W805),$W$2:$W$1001,0),1)&gt;=100000,INDEX($AD$1005:$AU$1005,1,MATCH(COLUMNS($AD$1006:AI1006),$AD$1006:$AU$1006,0))&gt;=100000), " ",IF(INDEX($AD$2:$AU$1001,MATCH(ROWS($W$2:W805),$W$2:$W$1001,0),MATCH(COLUMNS($AD$1006:AI1006),$AD$1006:$AU$1006,0)), HYPERLINK("#",""), HYPERLINK(CONCATENATE("#metadata!", ADDRESS(INDEX($Y$2:$Y$1001,MATCH(ROWS($W$2:W805),$W$2:$W$1001,0),0), INDEX($AD$1004:$AU$1004,1,MATCH(COLUMNS($AD$1006:AI1006),$AD$1006:$AU$1006,0)))),"Fix")))</f>
        <v xml:space="preserve"> </v>
      </c>
      <c r="H805" s="4" t="str">
        <f ca="1">IF(OR(INDEX($X$2:$X$1001,MATCH(ROWS($W$2:W805),$W$2:$W$1001,0),1)&gt;=100000,INDEX($AD$1005:$AU$1005,1,MATCH(COLUMNS($AD$1006:AJ1006),$AD$1006:$AU$1006,0))&gt;=100000), " ",IF(INDEX($AD$2:$AU$1001,MATCH(ROWS($W$2:W805),$W$2:$W$1001,0),MATCH(COLUMNS($AD$1006:AJ1006),$AD$1006:$AU$1006,0)), HYPERLINK("#",""), HYPERLINK(CONCATENATE("#metadata!", ADDRESS(INDEX($Y$2:$Y$1001,MATCH(ROWS($W$2:W805),$W$2:$W$1001,0),0), INDEX($AD$1004:$AU$1004,1,MATCH(COLUMNS($AD$1006:AJ1006),$AD$1006:$AU$1006,0)))),"Fix")))</f>
        <v xml:space="preserve"> </v>
      </c>
      <c r="I805" s="4" t="str">
        <f ca="1">IF(OR(INDEX($X$2:$X$1001,MATCH(ROWS($W$2:W805),$W$2:$W$1001,0),1)&gt;=100000,INDEX($AD$1005:$AU$1005,1,MATCH(COLUMNS($AD$1006:AK1006),$AD$1006:$AU$1006,0))&gt;=100000), " ",IF(INDEX($AD$2:$AU$1001,MATCH(ROWS($W$2:W805),$W$2:$W$1001,0),MATCH(COLUMNS($AD$1006:AK1006),$AD$1006:$AU$1006,0)), HYPERLINK("#",""), HYPERLINK(CONCATENATE("#metadata!", ADDRESS(INDEX($Y$2:$Y$1001,MATCH(ROWS($W$2:W805),$W$2:$W$1001,0),0), INDEX($AD$1004:$AU$1004,1,MATCH(COLUMNS($AD$1006:AK1006),$AD$1006:$AU$1006,0)))),"Fix")))</f>
        <v xml:space="preserve"> </v>
      </c>
      <c r="J805" s="4" t="str">
        <f ca="1">IF(OR(INDEX($X$2:$X$1001,MATCH(ROWS($W$2:W805),$W$2:$W$1001,0),1)&gt;=100000,INDEX($AD$1005:$AU$1005,1,MATCH(COLUMNS($AD$1006:AL1006),$AD$1006:$AU$1006,0))&gt;=100000), " ",IF(INDEX($AD$2:$AU$1001,MATCH(ROWS($W$2:W805),$W$2:$W$1001,0),MATCH(COLUMNS($AD$1006:AL1006),$AD$1006:$AU$1006,0)), HYPERLINK("#",""), HYPERLINK(CONCATENATE("#metadata!", ADDRESS(INDEX($Y$2:$Y$1001,MATCH(ROWS($W$2:W805),$W$2:$W$1001,0),0), INDEX($AD$1004:$AU$1004,1,MATCH(COLUMNS($AD$1006:AL1006),$AD$1006:$AU$1006,0)))),"Fix")))</f>
        <v xml:space="preserve"> </v>
      </c>
      <c r="K805" s="4" t="str">
        <f ca="1">IF(OR(INDEX($X$2:$X$1001,MATCH(ROWS($W$2:W805),$W$2:$W$1001,0),1)&gt;=100000,INDEX($AD$1005:$AU$1005,1,MATCH(COLUMNS($AD$1006:AM1006),$AD$1006:$AU$1006,0))&gt;=100000), " ",IF(INDEX($AD$2:$AU$1001,MATCH(ROWS($W$2:W805),$W$2:$W$1001,0),MATCH(COLUMNS($AD$1006:AM1006),$AD$1006:$AU$1006,0)), HYPERLINK("#",""), HYPERLINK(CONCATENATE("#metadata!", ADDRESS(INDEX($Y$2:$Y$1001,MATCH(ROWS($W$2:W805),$W$2:$W$1001,0),0), INDEX($AD$1004:$AU$1004,1,MATCH(COLUMNS($AD$1006:AM1006),$AD$1006:$AU$1006,0)))),"Fix")))</f>
        <v xml:space="preserve"> </v>
      </c>
      <c r="L805" s="4" t="str">
        <f ca="1">IF(OR(INDEX($X$2:$X$1001,MATCH(ROWS($W$2:W805),$W$2:$W$1001,0),1)&gt;=100000,INDEX($AD$1005:$AU$1005,1,MATCH(COLUMNS($AD$1006:AN1006),$AD$1006:$AU$1006,0))&gt;=100000), " ",IF(INDEX($AD$2:$AU$1001,MATCH(ROWS($W$2:W805),$W$2:$W$1001,0),MATCH(COLUMNS($AD$1006:AN1006),$AD$1006:$AU$1006,0)), HYPERLINK("#",""), HYPERLINK(CONCATENATE("#metadata!", ADDRESS(INDEX($Y$2:$Y$1001,MATCH(ROWS($W$2:W805),$W$2:$W$1001,0),0), INDEX($AD$1004:$AU$1004,1,MATCH(COLUMNS($AD$1006:AN1006),$AD$1006:$AU$1006,0)))),"Fix")))</f>
        <v xml:space="preserve"> </v>
      </c>
      <c r="M805" s="4" t="str">
        <f ca="1">IF(OR(INDEX($X$2:$X$1001,MATCH(ROWS($W$2:W805),$W$2:$W$1001,0),1)&gt;=100000,INDEX($AD$1005:$AU$1005,1,MATCH(COLUMNS($AD$1006:AO1006),$AD$1006:$AU$1006,0))&gt;=100000), " ",IF(INDEX($AD$2:$AU$1001,MATCH(ROWS($W$2:W805),$W$2:$W$1001,0),MATCH(COLUMNS($AD$1006:AO1006),$AD$1006:$AU$1006,0)), HYPERLINK("#",""), HYPERLINK(CONCATENATE("#metadata!", ADDRESS(INDEX($Y$2:$Y$1001,MATCH(ROWS($W$2:W805),$W$2:$W$1001,0),0), INDEX($AD$1004:$AU$1004,1,MATCH(COLUMNS($AD$1006:AO1006),$AD$1006:$AU$1006,0)))),"Fix")))</f>
        <v xml:space="preserve"> </v>
      </c>
      <c r="N805" s="4" t="str">
        <f ca="1">IF(OR(INDEX($X$2:$X$1001,MATCH(ROWS($W$2:W805),$W$2:$W$1001,0),1)&gt;=100000,INDEX($AD$1005:$AU$1005,1,MATCH(COLUMNS($AD$1006:AP1006),$AD$1006:$AU$1006,0))&gt;=100000), " ",IF(INDEX($AD$2:$AU$1001,MATCH(ROWS($W$2:W805),$W$2:$W$1001,0),MATCH(COLUMNS($AD$1006:AP1006),$AD$1006:$AU$1006,0)), HYPERLINK("#",""), HYPERLINK(CONCATENATE("#metadata!", ADDRESS(INDEX($Y$2:$Y$1001,MATCH(ROWS($W$2:W805),$W$2:$W$1001,0),0), INDEX($AD$1004:$AU$1004,1,MATCH(COLUMNS($AD$1006:AP1006),$AD$1006:$AU$1006,0)))),"Fix")))</f>
        <v xml:space="preserve"> </v>
      </c>
      <c r="O805" s="4" t="str">
        <f ca="1">IF(OR(INDEX($X$2:$X$1001,MATCH(ROWS($W$2:W805),$W$2:$W$1001,0),1)&gt;=100000,INDEX($AD$1005:$AU$1005,1,MATCH(COLUMNS($AD$1006:AQ1006),$AD$1006:$AU$1006,0))&gt;=100000), " ",IF(INDEX($AD$2:$AU$1001,MATCH(ROWS($W$2:W805),$W$2:$W$1001,0),MATCH(COLUMNS($AD$1006:AQ1006),$AD$1006:$AU$1006,0)), HYPERLINK("#",""), HYPERLINK(CONCATENATE("#metadata!", ADDRESS(INDEX($Y$2:$Y$1001,MATCH(ROWS($W$2:W805),$W$2:$W$1001,0),0), INDEX($AD$1004:$AU$1004,1,MATCH(COLUMNS($AD$1006:AQ1006),$AD$1006:$AU$1006,0)))),"Fix")))</f>
        <v xml:space="preserve"> </v>
      </c>
      <c r="P805" s="4" t="str">
        <f ca="1">IF(OR(INDEX($X$2:$X$1001,MATCH(ROWS($W$2:W805),$W$2:$W$1001,0),1)&gt;=100000,INDEX($AD$1005:$AU$1005,1,MATCH(COLUMNS($AD$1006:AR1006),$AD$1006:$AU$1006,0))&gt;=100000), " ",IF(INDEX($AD$2:$AU$1001,MATCH(ROWS($W$2:W805),$W$2:$W$1001,0),MATCH(COLUMNS($AD$1006:AR1006),$AD$1006:$AU$1006,0)), HYPERLINK("#",""), HYPERLINK(CONCATENATE("#metadata!", ADDRESS(INDEX($Y$2:$Y$1001,MATCH(ROWS($W$2:W805),$W$2:$W$1001,0),0), INDEX($AD$1004:$AU$1004,1,MATCH(COLUMNS($AD$1006:AR1006),$AD$1006:$AU$1006,0)))),"Fix")))</f>
        <v xml:space="preserve"> </v>
      </c>
      <c r="Q805" s="4" t="str">
        <f ca="1">IF(OR(INDEX($X$2:$X$1001,MATCH(ROWS($W$2:W805),$W$2:$W$1001,0),1)&gt;=100000,INDEX($AD$1005:$AU$1005,1,MATCH(COLUMNS($AD$1006:AS1006),$AD$1006:$AU$1006,0))&gt;=100000), " ",IF(INDEX($AD$2:$AU$1001,MATCH(ROWS($W$2:W805),$W$2:$W$1001,0),MATCH(COLUMNS($AD$1006:AS1006),$AD$1006:$AU$1006,0)), HYPERLINK("#",""), HYPERLINK(CONCATENATE("#metadata!", ADDRESS(INDEX($Y$2:$Y$1001,MATCH(ROWS($W$2:W805),$W$2:$W$1001,0),0), INDEX($AD$1004:$AU$1004,1,MATCH(COLUMNS($AD$1006:AS1006),$AD$1006:$AU$1006,0)))),"Fix")))</f>
        <v xml:space="preserve"> </v>
      </c>
      <c r="R805" s="4" t="str">
        <f ca="1">IF(OR(INDEX($X$2:$X$1001,MATCH(ROWS($W$2:W805),$W$2:$W$1001,0),1)&gt;=100000,INDEX($AD$1005:$AU$1005,1,MATCH(COLUMNS($AD$1006:AT1006),$AD$1006:$AU$1006,0))&gt;=100000), " ",IF(INDEX($AD$2:$AU$1001,MATCH(ROWS($W$2:W805),$W$2:$W$1001,0),MATCH(COLUMNS($AD$1006:AT1006),$AD$1006:$AU$1006,0)), HYPERLINK("#",""), HYPERLINK(CONCATENATE("#metadata!", ADDRESS(INDEX($Y$2:$Y$1001,MATCH(ROWS($W$2:W805),$W$2:$W$1001,0),0), INDEX($AD$1004:$AU$1004,1,MATCH(COLUMNS($AD$1006:AT1006),$AD$1006:$AU$1006,0)))),"Fix")))</f>
        <v xml:space="preserve"> </v>
      </c>
      <c r="S805" s="4" t="str">
        <f ca="1">IF(OR(INDEX($X$2:$X$1001,MATCH(ROWS($W$2:W805),$W$2:$W$1001,0),1)&gt;=100000,INDEX($AD$1005:$AU$1005,1,MATCH(COLUMNS($AD$1006:AU1006),$AD$1006:$AU$1006,0))&gt;=100000), " ",IF(INDEX($AD$2:$AU$1001,MATCH(ROWS($W$2:W805),$W$2:$W$1001,0),MATCH(COLUMNS($AD$1006:AU1006),$AD$1006:$AU$1006,0)), HYPERLINK("#",""), HYPERLINK(CONCATENATE("#metadata!", ADDRESS(INDEX($Y$2:$Y$1001,MATCH(ROWS($W$2:W805),$W$2:$W$1001,0),0), INDEX($AD$1004:$AU$1004,1,MATCH(COLUMNS($AD$1006:AU1006),$AD$1006:$AU$1006,0)))),"Fix")))</f>
        <v xml:space="preserve"> </v>
      </c>
      <c r="W805">
        <v>804</v>
      </c>
      <c r="X805">
        <v>100805</v>
      </c>
      <c r="Y805">
        <v>805</v>
      </c>
      <c r="Z805" t="b">
        <f t="shared" si="12"/>
        <v>1</v>
      </c>
      <c r="AA805" t="b">
        <f>COUNTBLANK(metadata!B805:S805)=COLUMNS(metadata!B805:S805)</f>
        <v>1</v>
      </c>
      <c r="AB805" t="str">
        <v/>
      </c>
      <c r="AD805" t="b">
        <f ca="1">AND(IF(metadata!B805="",FALSE,TRUE),COUNTIF(metadata!B:B, metadata!B805) = 1,NOT(ISERROR(SUMPRODUCT(SEARCH(MID(metadata!B805,ROW(INDIRECT("1:"&amp;LEN(metadata!B805))), 1),"0123456789abcdefghijklmnopqrstuvwxyzABCDEFGHIJKLMNOPQRSTUVWXYZ.")))))</f>
        <v>0</v>
      </c>
      <c r="AE805" t="b">
        <f>OR(AND(IF(metadata!C805="",FALSE,TRUE),OR(EXACT(metadata!C805,"not applicable"),EXACT(metadata!C805,"missing: not collected"),EXACT(metadata!C805,"missing: not provided"),EXACT(metadata!C805,"missing: restricted access"))),AND(IF(metadata!C805="",FALSE,ISNUMBER(VALUE(metadata!C805))),metadata!C805&gt;0))</f>
        <v>0</v>
      </c>
      <c r="AF805" t="b">
        <f>AND(IF(metadata!D805="",FALSE,TRUE),EXACT(metadata!D805,"missing: not provided"))</f>
        <v>0</v>
      </c>
      <c r="AG805" t="b">
        <f>AND(IF(metadata!E805="",FALSE,TRUE),EXACT(metadata!E805,"Host-associated"))</f>
        <v>0</v>
      </c>
      <c r="AH805" t="b">
        <f>AND(IF(metadata!F805="",FALSE,TRUE),OR(EXACT(metadata!F805,"Animal"),EXACT(metadata!F805,"Fungus"),EXACT(metadata!F805,"Plant")))</f>
        <v>0</v>
      </c>
      <c r="AI805" t="b">
        <f>AND(IF(metadata!G805="",FALSE,TRUE),OR(EXACT(metadata!G805,"Plant secretion"),EXACT(metadata!G805,"Plant rhizosphere"),EXACT(metadata!G805,"Plant surface"),EXACT(metadata!G805,"Plant corpus"),EXACT(metadata!G805,"Fungus surface"),EXACT(metadata!G805,"Fungus corpus"),EXACT(metadata!G805,"Animal surface"),EXACT(metadata!G805,"Animal proximal gut"),EXACT(metadata!G805,"Animal corpus"),EXACT(metadata!G805,"Animal distal gut"),EXACT(metadata!G805,"Animal secretion")))</f>
        <v>0</v>
      </c>
      <c r="AJ805" t="b">
        <f>OR(AND(IF(metadata!H805="",FALSE,TRUE),OR(EXACT(metadata!H805,"missing: not collected"),EXACT(metadata!H805,"missing: not provided"),EXACT(metadata!H805,"missing: restricted access"))),AND(IF(metadata!H805="",FALSE,TRUE),OR(EXACT(metadata!H805,"organism-associated habitat"),EXACT(metadata!H805,"plant-associated habitat"),EXACT(metadata!H805,"animal-associated habitat"),EXACT(metadata!H805,"insecta-associated habitat"),EXACT(metadata!H805,"mammalia-associated habitat"),EXACT(metadata!H805,"human-associated habitat"),EXACT(metadata!H805,"livestock-associated habitat"))))</f>
        <v>0</v>
      </c>
      <c r="AK805" t="b">
        <f>AND(IF(metadata!I805="",FALSE,TRUE),EXACT(metadata!I805,"host-associated"))</f>
        <v>0</v>
      </c>
      <c r="AL805" t="b">
        <f>OR(AND(IF(metadata!J805="",FALSE,TRUE),OR(EXACT(metadata!J805,"not applicable"),EXACT(metadata!J805,"missing: not collected"),EXACT(metadata!J805,"missing: not provided"),EXACT(metadata!J805,"missing: restricted access"))),AND(IF(metadata!J805="",FALSE,ISNUMBER(VALUE(metadata!J805))),metadata!J805&gt;0))</f>
        <v>0</v>
      </c>
      <c r="AM805" t="b">
        <f>AND(IF(metadata!K805="",FALSE,TRUE),EXACT(metadata!K805,"missing: not provided"))</f>
        <v>0</v>
      </c>
      <c r="AN805" t="b">
        <f>IF(metadata!L805="",FALSE,TRUE)</f>
        <v>0</v>
      </c>
      <c r="AO805" t="b">
        <f>IF(metadata!M805="",FALSE,TRUE)</f>
        <v>0</v>
      </c>
      <c r="AP805" t="b">
        <f>OR(AND(IF(metadata!N805="",FALSE,TRUE),OR(EXACT(metadata!N805,"not applicable"),EXACT(metadata!N805,"missing: not collected"),EXACT(metadata!N805,"missing: not provided"))),AND(IF(metadata!N805="",FALSE,IF(ISERROR(INT(metadata!N805)),FALSE,INT(metadata!N805)=metadata!N805)),metadata!N805&gt;0))</f>
        <v>0</v>
      </c>
      <c r="AQ805" t="b">
        <f>AND(IF(metadata!O805="",FALSE,TRUE),EXACT(metadata!O805,"Not applicable"))</f>
        <v>0</v>
      </c>
      <c r="AR805" t="b">
        <f>OR(AND(IF(metadata!P805="",FALSE,TRUE),OR(EXACT(metadata!P805,"not applicable"),EXACT(metadata!P805,"missing: not collected"),EXACT(metadata!P805,"missing: not provided"),EXACT(metadata!P805,"missing: restricted access"))),IF(metadata!P805="",FALSE,IF(ISERROR(INT(metadata!P805)),FALSE,INT(metadata!P805)=metadata!P805)))</f>
        <v>0</v>
      </c>
      <c r="AS805" t="b">
        <f>AND(IF(metadata!Q805="",FALSE,TRUE),EXACT(metadata!Q805,"Not applicable"))</f>
        <v>0</v>
      </c>
      <c r="AT805" t="b">
        <f>OR(AND(IF(metadata!R805="",FALSE,TRUE),OR(EXACT(metadata!R805,"not applicable"),EXACT(metadata!R805,"missing: not collected"),EXACT(metadata!R805,"missing: not provided"),EXACT(metadata!R805,"missing: restricted access"))),AND(IF(metadata!R805="",FALSE,ISNUMBER(VALUE(metadata!R805))),metadata!R805&gt;0))</f>
        <v>0</v>
      </c>
      <c r="AU805" t="b">
        <f>AND(IF(metadata!S805="",FALSE,TRUE),EXACT(metadata!S805,"missing: not provided"))</f>
        <v>0</v>
      </c>
    </row>
    <row r="806" spans="1:47" x14ac:dyDescent="0.2">
      <c r="A806" s="5" t="str">
        <f ca="1">IF(B806=" "," ",HYPERLINK(CONCATENATE("#metadata!",ADDRESS(INDEX($Y$2:$Y$1001,MATCH(ROWS($W$2:W806),$W$2:$W$1001,0),0),1)),INDEX($AB$2:$AB$1001,MATCH(ROWS($W$2:W806),$W$2:$W$1001,0),0)))</f>
        <v xml:space="preserve"> </v>
      </c>
      <c r="B806" s="4" t="str">
        <f ca="1">IF(OR(INDEX($X$2:$X$1001,MATCH(ROWS($W$2:W806),$W$2:$W$1001,0),1)&gt;=100000,INDEX($AD$1005:$AU$1005,1,MATCH(COLUMNS($AD$1006:AD1006),$AD$1006:$AU$1006,0))&gt;=100000), " ",IF(INDEX($AD$2:$AU$1001,MATCH(ROWS($W$2:W806),$W$2:$W$1001,0),MATCH(COLUMNS($AD$1006:AD1006),$AD$1006:$AU$1006,0)), HYPERLINK("#",""), HYPERLINK(CONCATENATE("#metadata!", ADDRESS(INDEX($Y$2:$Y$1001,MATCH(ROWS($W$2:W806),$W$2:$W$1001,0),0), INDEX($AD$1004:$AU$1004,1,MATCH(COLUMNS($AD$1006:AD1006),$AD$1006:$AU$1006,0)))),"Fix")))</f>
        <v xml:space="preserve"> </v>
      </c>
      <c r="C806" s="4" t="str">
        <f ca="1">IF(OR(INDEX($X$2:$X$1001,MATCH(ROWS($W$2:W806),$W$2:$W$1001,0),1)&gt;=100000,INDEX($AD$1005:$AU$1005,1,MATCH(COLUMNS($AD$1006:AE1006),$AD$1006:$AU$1006,0))&gt;=100000), " ",IF(INDEX($AD$2:$AU$1001,MATCH(ROWS($W$2:W806),$W$2:$W$1001,0),MATCH(COLUMNS($AD$1006:AE1006),$AD$1006:$AU$1006,0)), HYPERLINK("#",""), HYPERLINK(CONCATENATE("#metadata!", ADDRESS(INDEX($Y$2:$Y$1001,MATCH(ROWS($W$2:W806),$W$2:$W$1001,0),0), INDEX($AD$1004:$AU$1004,1,MATCH(COLUMNS($AD$1006:AE1006),$AD$1006:$AU$1006,0)))),"Fix")))</f>
        <v xml:space="preserve"> </v>
      </c>
      <c r="D806" s="4" t="str">
        <f ca="1">IF(OR(INDEX($X$2:$X$1001,MATCH(ROWS($W$2:W806),$W$2:$W$1001,0),1)&gt;=100000,INDEX($AD$1005:$AU$1005,1,MATCH(COLUMNS($AD$1006:AF1006),$AD$1006:$AU$1006,0))&gt;=100000), " ",IF(INDEX($AD$2:$AU$1001,MATCH(ROWS($W$2:W806),$W$2:$W$1001,0),MATCH(COLUMNS($AD$1006:AF1006),$AD$1006:$AU$1006,0)), HYPERLINK("#",""), HYPERLINK(CONCATENATE("#metadata!", ADDRESS(INDEX($Y$2:$Y$1001,MATCH(ROWS($W$2:W806),$W$2:$W$1001,0),0), INDEX($AD$1004:$AU$1004,1,MATCH(COLUMNS($AD$1006:AF1006),$AD$1006:$AU$1006,0)))),"Fix")))</f>
        <v xml:space="preserve"> </v>
      </c>
      <c r="E806" s="4" t="str">
        <f ca="1">IF(OR(INDEX($X$2:$X$1001,MATCH(ROWS($W$2:W806),$W$2:$W$1001,0),1)&gt;=100000,INDEX($AD$1005:$AU$1005,1,MATCH(COLUMNS($AD$1006:AG1006),$AD$1006:$AU$1006,0))&gt;=100000), " ",IF(INDEX($AD$2:$AU$1001,MATCH(ROWS($W$2:W806),$W$2:$W$1001,0),MATCH(COLUMNS($AD$1006:AG1006),$AD$1006:$AU$1006,0)), HYPERLINK("#",""), HYPERLINK(CONCATENATE("#metadata!", ADDRESS(INDEX($Y$2:$Y$1001,MATCH(ROWS($W$2:W806),$W$2:$W$1001,0),0), INDEX($AD$1004:$AU$1004,1,MATCH(COLUMNS($AD$1006:AG1006),$AD$1006:$AU$1006,0)))),"Fix")))</f>
        <v xml:space="preserve"> </v>
      </c>
      <c r="F806" s="4" t="str">
        <f ca="1">IF(OR(INDEX($X$2:$X$1001,MATCH(ROWS($W$2:W806),$W$2:$W$1001,0),1)&gt;=100000,INDEX($AD$1005:$AU$1005,1,MATCH(COLUMNS($AD$1006:AH1006),$AD$1006:$AU$1006,0))&gt;=100000), " ",IF(INDEX($AD$2:$AU$1001,MATCH(ROWS($W$2:W806),$W$2:$W$1001,0),MATCH(COLUMNS($AD$1006:AH1006),$AD$1006:$AU$1006,0)), HYPERLINK("#",""), HYPERLINK(CONCATENATE("#metadata!", ADDRESS(INDEX($Y$2:$Y$1001,MATCH(ROWS($W$2:W806),$W$2:$W$1001,0),0), INDEX($AD$1004:$AU$1004,1,MATCH(COLUMNS($AD$1006:AH1006),$AD$1006:$AU$1006,0)))),"Fix")))</f>
        <v xml:space="preserve"> </v>
      </c>
      <c r="G806" s="4" t="str">
        <f ca="1">IF(OR(INDEX($X$2:$X$1001,MATCH(ROWS($W$2:W806),$W$2:$W$1001,0),1)&gt;=100000,INDEX($AD$1005:$AU$1005,1,MATCH(COLUMNS($AD$1006:AI1006),$AD$1006:$AU$1006,0))&gt;=100000), " ",IF(INDEX($AD$2:$AU$1001,MATCH(ROWS($W$2:W806),$W$2:$W$1001,0),MATCH(COLUMNS($AD$1006:AI1006),$AD$1006:$AU$1006,0)), HYPERLINK("#",""), HYPERLINK(CONCATENATE("#metadata!", ADDRESS(INDEX($Y$2:$Y$1001,MATCH(ROWS($W$2:W806),$W$2:$W$1001,0),0), INDEX($AD$1004:$AU$1004,1,MATCH(COLUMNS($AD$1006:AI1006),$AD$1006:$AU$1006,0)))),"Fix")))</f>
        <v xml:space="preserve"> </v>
      </c>
      <c r="H806" s="4" t="str">
        <f ca="1">IF(OR(INDEX($X$2:$X$1001,MATCH(ROWS($W$2:W806),$W$2:$W$1001,0),1)&gt;=100000,INDEX($AD$1005:$AU$1005,1,MATCH(COLUMNS($AD$1006:AJ1006),$AD$1006:$AU$1006,0))&gt;=100000), " ",IF(INDEX($AD$2:$AU$1001,MATCH(ROWS($W$2:W806),$W$2:$W$1001,0),MATCH(COLUMNS($AD$1006:AJ1006),$AD$1006:$AU$1006,0)), HYPERLINK("#",""), HYPERLINK(CONCATENATE("#metadata!", ADDRESS(INDEX($Y$2:$Y$1001,MATCH(ROWS($W$2:W806),$W$2:$W$1001,0),0), INDEX($AD$1004:$AU$1004,1,MATCH(COLUMNS($AD$1006:AJ1006),$AD$1006:$AU$1006,0)))),"Fix")))</f>
        <v xml:space="preserve"> </v>
      </c>
      <c r="I806" s="4" t="str">
        <f ca="1">IF(OR(INDEX($X$2:$X$1001,MATCH(ROWS($W$2:W806),$W$2:$W$1001,0),1)&gt;=100000,INDEX($AD$1005:$AU$1005,1,MATCH(COLUMNS($AD$1006:AK1006),$AD$1006:$AU$1006,0))&gt;=100000), " ",IF(INDEX($AD$2:$AU$1001,MATCH(ROWS($W$2:W806),$W$2:$W$1001,0),MATCH(COLUMNS($AD$1006:AK1006),$AD$1006:$AU$1006,0)), HYPERLINK("#",""), HYPERLINK(CONCATENATE("#metadata!", ADDRESS(INDEX($Y$2:$Y$1001,MATCH(ROWS($W$2:W806),$W$2:$W$1001,0),0), INDEX($AD$1004:$AU$1004,1,MATCH(COLUMNS($AD$1006:AK1006),$AD$1006:$AU$1006,0)))),"Fix")))</f>
        <v xml:space="preserve"> </v>
      </c>
      <c r="J806" s="4" t="str">
        <f ca="1">IF(OR(INDEX($X$2:$X$1001,MATCH(ROWS($W$2:W806),$W$2:$W$1001,0),1)&gt;=100000,INDEX($AD$1005:$AU$1005,1,MATCH(COLUMNS($AD$1006:AL1006),$AD$1006:$AU$1006,0))&gt;=100000), " ",IF(INDEX($AD$2:$AU$1001,MATCH(ROWS($W$2:W806),$W$2:$W$1001,0),MATCH(COLUMNS($AD$1006:AL1006),$AD$1006:$AU$1006,0)), HYPERLINK("#",""), HYPERLINK(CONCATENATE("#metadata!", ADDRESS(INDEX($Y$2:$Y$1001,MATCH(ROWS($W$2:W806),$W$2:$W$1001,0),0), INDEX($AD$1004:$AU$1004,1,MATCH(COLUMNS($AD$1006:AL1006),$AD$1006:$AU$1006,0)))),"Fix")))</f>
        <v xml:space="preserve"> </v>
      </c>
      <c r="K806" s="4" t="str">
        <f ca="1">IF(OR(INDEX($X$2:$X$1001,MATCH(ROWS($W$2:W806),$W$2:$W$1001,0),1)&gt;=100000,INDEX($AD$1005:$AU$1005,1,MATCH(COLUMNS($AD$1006:AM1006),$AD$1006:$AU$1006,0))&gt;=100000), " ",IF(INDEX($AD$2:$AU$1001,MATCH(ROWS($W$2:W806),$W$2:$W$1001,0),MATCH(COLUMNS($AD$1006:AM1006),$AD$1006:$AU$1006,0)), HYPERLINK("#",""), HYPERLINK(CONCATENATE("#metadata!", ADDRESS(INDEX($Y$2:$Y$1001,MATCH(ROWS($W$2:W806),$W$2:$W$1001,0),0), INDEX($AD$1004:$AU$1004,1,MATCH(COLUMNS($AD$1006:AM1006),$AD$1006:$AU$1006,0)))),"Fix")))</f>
        <v xml:space="preserve"> </v>
      </c>
      <c r="L806" s="4" t="str">
        <f ca="1">IF(OR(INDEX($X$2:$X$1001,MATCH(ROWS($W$2:W806),$W$2:$W$1001,0),1)&gt;=100000,INDEX($AD$1005:$AU$1005,1,MATCH(COLUMNS($AD$1006:AN1006),$AD$1006:$AU$1006,0))&gt;=100000), " ",IF(INDEX($AD$2:$AU$1001,MATCH(ROWS($W$2:W806),$W$2:$W$1001,0),MATCH(COLUMNS($AD$1006:AN1006),$AD$1006:$AU$1006,0)), HYPERLINK("#",""), HYPERLINK(CONCATENATE("#metadata!", ADDRESS(INDEX($Y$2:$Y$1001,MATCH(ROWS($W$2:W806),$W$2:$W$1001,0),0), INDEX($AD$1004:$AU$1004,1,MATCH(COLUMNS($AD$1006:AN1006),$AD$1006:$AU$1006,0)))),"Fix")))</f>
        <v xml:space="preserve"> </v>
      </c>
      <c r="M806" s="4" t="str">
        <f ca="1">IF(OR(INDEX($X$2:$X$1001,MATCH(ROWS($W$2:W806),$W$2:$W$1001,0),1)&gt;=100000,INDEX($AD$1005:$AU$1005,1,MATCH(COLUMNS($AD$1006:AO1006),$AD$1006:$AU$1006,0))&gt;=100000), " ",IF(INDEX($AD$2:$AU$1001,MATCH(ROWS($W$2:W806),$W$2:$W$1001,0),MATCH(COLUMNS($AD$1006:AO1006),$AD$1006:$AU$1006,0)), HYPERLINK("#",""), HYPERLINK(CONCATENATE("#metadata!", ADDRESS(INDEX($Y$2:$Y$1001,MATCH(ROWS($W$2:W806),$W$2:$W$1001,0),0), INDEX($AD$1004:$AU$1004,1,MATCH(COLUMNS($AD$1006:AO1006),$AD$1006:$AU$1006,0)))),"Fix")))</f>
        <v xml:space="preserve"> </v>
      </c>
      <c r="N806" s="4" t="str">
        <f ca="1">IF(OR(INDEX($X$2:$X$1001,MATCH(ROWS($W$2:W806),$W$2:$W$1001,0),1)&gt;=100000,INDEX($AD$1005:$AU$1005,1,MATCH(COLUMNS($AD$1006:AP1006),$AD$1006:$AU$1006,0))&gt;=100000), " ",IF(INDEX($AD$2:$AU$1001,MATCH(ROWS($W$2:W806),$W$2:$W$1001,0),MATCH(COLUMNS($AD$1006:AP1006),$AD$1006:$AU$1006,0)), HYPERLINK("#",""), HYPERLINK(CONCATENATE("#metadata!", ADDRESS(INDEX($Y$2:$Y$1001,MATCH(ROWS($W$2:W806),$W$2:$W$1001,0),0), INDEX($AD$1004:$AU$1004,1,MATCH(COLUMNS($AD$1006:AP1006),$AD$1006:$AU$1006,0)))),"Fix")))</f>
        <v xml:space="preserve"> </v>
      </c>
      <c r="O806" s="4" t="str">
        <f ca="1">IF(OR(INDEX($X$2:$X$1001,MATCH(ROWS($W$2:W806),$W$2:$W$1001,0),1)&gt;=100000,INDEX($AD$1005:$AU$1005,1,MATCH(COLUMNS($AD$1006:AQ1006),$AD$1006:$AU$1006,0))&gt;=100000), " ",IF(INDEX($AD$2:$AU$1001,MATCH(ROWS($W$2:W806),$W$2:$W$1001,0),MATCH(COLUMNS($AD$1006:AQ1006),$AD$1006:$AU$1006,0)), HYPERLINK("#",""), HYPERLINK(CONCATENATE("#metadata!", ADDRESS(INDEX($Y$2:$Y$1001,MATCH(ROWS($W$2:W806),$W$2:$W$1001,0),0), INDEX($AD$1004:$AU$1004,1,MATCH(COLUMNS($AD$1006:AQ1006),$AD$1006:$AU$1006,0)))),"Fix")))</f>
        <v xml:space="preserve"> </v>
      </c>
      <c r="P806" s="4" t="str">
        <f ca="1">IF(OR(INDEX($X$2:$X$1001,MATCH(ROWS($W$2:W806),$W$2:$W$1001,0),1)&gt;=100000,INDEX($AD$1005:$AU$1005,1,MATCH(COLUMNS($AD$1006:AR1006),$AD$1006:$AU$1006,0))&gt;=100000), " ",IF(INDEX($AD$2:$AU$1001,MATCH(ROWS($W$2:W806),$W$2:$W$1001,0),MATCH(COLUMNS($AD$1006:AR1006),$AD$1006:$AU$1006,0)), HYPERLINK("#",""), HYPERLINK(CONCATENATE("#metadata!", ADDRESS(INDEX($Y$2:$Y$1001,MATCH(ROWS($W$2:W806),$W$2:$W$1001,0),0), INDEX($AD$1004:$AU$1004,1,MATCH(COLUMNS($AD$1006:AR1006),$AD$1006:$AU$1006,0)))),"Fix")))</f>
        <v xml:space="preserve"> </v>
      </c>
      <c r="Q806" s="4" t="str">
        <f ca="1">IF(OR(INDEX($X$2:$X$1001,MATCH(ROWS($W$2:W806),$W$2:$W$1001,0),1)&gt;=100000,INDEX($AD$1005:$AU$1005,1,MATCH(COLUMNS($AD$1006:AS1006),$AD$1006:$AU$1006,0))&gt;=100000), " ",IF(INDEX($AD$2:$AU$1001,MATCH(ROWS($W$2:W806),$W$2:$W$1001,0),MATCH(COLUMNS($AD$1006:AS1006),$AD$1006:$AU$1006,0)), HYPERLINK("#",""), HYPERLINK(CONCATENATE("#metadata!", ADDRESS(INDEX($Y$2:$Y$1001,MATCH(ROWS($W$2:W806),$W$2:$W$1001,0),0), INDEX($AD$1004:$AU$1004,1,MATCH(COLUMNS($AD$1006:AS1006),$AD$1006:$AU$1006,0)))),"Fix")))</f>
        <v xml:space="preserve"> </v>
      </c>
      <c r="R806" s="4" t="str">
        <f ca="1">IF(OR(INDEX($X$2:$X$1001,MATCH(ROWS($W$2:W806),$W$2:$W$1001,0),1)&gt;=100000,INDEX($AD$1005:$AU$1005,1,MATCH(COLUMNS($AD$1006:AT1006),$AD$1006:$AU$1006,0))&gt;=100000), " ",IF(INDEX($AD$2:$AU$1001,MATCH(ROWS($W$2:W806),$W$2:$W$1001,0),MATCH(COLUMNS($AD$1006:AT1006),$AD$1006:$AU$1006,0)), HYPERLINK("#",""), HYPERLINK(CONCATENATE("#metadata!", ADDRESS(INDEX($Y$2:$Y$1001,MATCH(ROWS($W$2:W806),$W$2:$W$1001,0),0), INDEX($AD$1004:$AU$1004,1,MATCH(COLUMNS($AD$1006:AT1006),$AD$1006:$AU$1006,0)))),"Fix")))</f>
        <v xml:space="preserve"> </v>
      </c>
      <c r="S806" s="4" t="str">
        <f ca="1">IF(OR(INDEX($X$2:$X$1001,MATCH(ROWS($W$2:W806),$W$2:$W$1001,0),1)&gt;=100000,INDEX($AD$1005:$AU$1005,1,MATCH(COLUMNS($AD$1006:AU1006),$AD$1006:$AU$1006,0))&gt;=100000), " ",IF(INDEX($AD$2:$AU$1001,MATCH(ROWS($W$2:W806),$W$2:$W$1001,0),MATCH(COLUMNS($AD$1006:AU1006),$AD$1006:$AU$1006,0)), HYPERLINK("#",""), HYPERLINK(CONCATENATE("#metadata!", ADDRESS(INDEX($Y$2:$Y$1001,MATCH(ROWS($W$2:W806),$W$2:$W$1001,0),0), INDEX($AD$1004:$AU$1004,1,MATCH(COLUMNS($AD$1006:AU1006),$AD$1006:$AU$1006,0)))),"Fix")))</f>
        <v xml:space="preserve"> </v>
      </c>
      <c r="W806">
        <v>805</v>
      </c>
      <c r="X806">
        <v>100806</v>
      </c>
      <c r="Y806">
        <v>806</v>
      </c>
      <c r="Z806" t="b">
        <f t="shared" si="12"/>
        <v>1</v>
      </c>
      <c r="AA806" t="b">
        <f>COUNTBLANK(metadata!B806:S806)=COLUMNS(metadata!B806:S806)</f>
        <v>1</v>
      </c>
      <c r="AB806" t="str">
        <v/>
      </c>
      <c r="AD806" t="b">
        <f ca="1">AND(IF(metadata!B806="",FALSE,TRUE),COUNTIF(metadata!B:B, metadata!B806) = 1,NOT(ISERROR(SUMPRODUCT(SEARCH(MID(metadata!B806,ROW(INDIRECT("1:"&amp;LEN(metadata!B806))), 1),"0123456789abcdefghijklmnopqrstuvwxyzABCDEFGHIJKLMNOPQRSTUVWXYZ.")))))</f>
        <v>0</v>
      </c>
      <c r="AE806" t="b">
        <f>OR(AND(IF(metadata!C806="",FALSE,TRUE),OR(EXACT(metadata!C806,"not applicable"),EXACT(metadata!C806,"missing: not collected"),EXACT(metadata!C806,"missing: not provided"),EXACT(metadata!C806,"missing: restricted access"))),AND(IF(metadata!C806="",FALSE,ISNUMBER(VALUE(metadata!C806))),metadata!C806&gt;0))</f>
        <v>0</v>
      </c>
      <c r="AF806" t="b">
        <f>AND(IF(metadata!D806="",FALSE,TRUE),EXACT(metadata!D806,"missing: not provided"))</f>
        <v>0</v>
      </c>
      <c r="AG806" t="b">
        <f>AND(IF(metadata!E806="",FALSE,TRUE),EXACT(metadata!E806,"Host-associated"))</f>
        <v>0</v>
      </c>
      <c r="AH806" t="b">
        <f>AND(IF(metadata!F806="",FALSE,TRUE),OR(EXACT(metadata!F806,"Animal"),EXACT(metadata!F806,"Fungus"),EXACT(metadata!F806,"Plant")))</f>
        <v>0</v>
      </c>
      <c r="AI806" t="b">
        <f>AND(IF(metadata!G806="",FALSE,TRUE),OR(EXACT(metadata!G806,"Plant secretion"),EXACT(metadata!G806,"Plant rhizosphere"),EXACT(metadata!G806,"Plant surface"),EXACT(metadata!G806,"Plant corpus"),EXACT(metadata!G806,"Fungus surface"),EXACT(metadata!G806,"Fungus corpus"),EXACT(metadata!G806,"Animal surface"),EXACT(metadata!G806,"Animal proximal gut"),EXACT(metadata!G806,"Animal corpus"),EXACT(metadata!G806,"Animal distal gut"),EXACT(metadata!G806,"Animal secretion")))</f>
        <v>0</v>
      </c>
      <c r="AJ806" t="b">
        <f>OR(AND(IF(metadata!H806="",FALSE,TRUE),OR(EXACT(metadata!H806,"missing: not collected"),EXACT(metadata!H806,"missing: not provided"),EXACT(metadata!H806,"missing: restricted access"))),AND(IF(metadata!H806="",FALSE,TRUE),OR(EXACT(metadata!H806,"organism-associated habitat"),EXACT(metadata!H806,"plant-associated habitat"),EXACT(metadata!H806,"animal-associated habitat"),EXACT(metadata!H806,"insecta-associated habitat"),EXACT(metadata!H806,"mammalia-associated habitat"),EXACT(metadata!H806,"human-associated habitat"),EXACT(metadata!H806,"livestock-associated habitat"))))</f>
        <v>0</v>
      </c>
      <c r="AK806" t="b">
        <f>AND(IF(metadata!I806="",FALSE,TRUE),EXACT(metadata!I806,"host-associated"))</f>
        <v>0</v>
      </c>
      <c r="AL806" t="b">
        <f>OR(AND(IF(metadata!J806="",FALSE,TRUE),OR(EXACT(metadata!J806,"not applicable"),EXACT(metadata!J806,"missing: not collected"),EXACT(metadata!J806,"missing: not provided"),EXACT(metadata!J806,"missing: restricted access"))),AND(IF(metadata!J806="",FALSE,ISNUMBER(VALUE(metadata!J806))),metadata!J806&gt;0))</f>
        <v>0</v>
      </c>
      <c r="AM806" t="b">
        <f>AND(IF(metadata!K806="",FALSE,TRUE),EXACT(metadata!K806,"missing: not provided"))</f>
        <v>0</v>
      </c>
      <c r="AN806" t="b">
        <f>IF(metadata!L806="",FALSE,TRUE)</f>
        <v>0</v>
      </c>
      <c r="AO806" t="b">
        <f>IF(metadata!M806="",FALSE,TRUE)</f>
        <v>0</v>
      </c>
      <c r="AP806" t="b">
        <f>OR(AND(IF(metadata!N806="",FALSE,TRUE),OR(EXACT(metadata!N806,"not applicable"),EXACT(metadata!N806,"missing: not collected"),EXACT(metadata!N806,"missing: not provided"))),AND(IF(metadata!N806="",FALSE,IF(ISERROR(INT(metadata!N806)),FALSE,INT(metadata!N806)=metadata!N806)),metadata!N806&gt;0))</f>
        <v>0</v>
      </c>
      <c r="AQ806" t="b">
        <f>AND(IF(metadata!O806="",FALSE,TRUE),EXACT(metadata!O806,"Not applicable"))</f>
        <v>0</v>
      </c>
      <c r="AR806" t="b">
        <f>OR(AND(IF(metadata!P806="",FALSE,TRUE),OR(EXACT(metadata!P806,"not applicable"),EXACT(metadata!P806,"missing: not collected"),EXACT(metadata!P806,"missing: not provided"),EXACT(metadata!P806,"missing: restricted access"))),IF(metadata!P806="",FALSE,IF(ISERROR(INT(metadata!P806)),FALSE,INT(metadata!P806)=metadata!P806)))</f>
        <v>0</v>
      </c>
      <c r="AS806" t="b">
        <f>AND(IF(metadata!Q806="",FALSE,TRUE),EXACT(metadata!Q806,"Not applicable"))</f>
        <v>0</v>
      </c>
      <c r="AT806" t="b">
        <f>OR(AND(IF(metadata!R806="",FALSE,TRUE),OR(EXACT(metadata!R806,"not applicable"),EXACT(metadata!R806,"missing: not collected"),EXACT(metadata!R806,"missing: not provided"),EXACT(metadata!R806,"missing: restricted access"))),AND(IF(metadata!R806="",FALSE,ISNUMBER(VALUE(metadata!R806))),metadata!R806&gt;0))</f>
        <v>0</v>
      </c>
      <c r="AU806" t="b">
        <f>AND(IF(metadata!S806="",FALSE,TRUE),EXACT(metadata!S806,"missing: not provided"))</f>
        <v>0</v>
      </c>
    </row>
    <row r="807" spans="1:47" x14ac:dyDescent="0.2">
      <c r="A807" s="5" t="str">
        <f ca="1">IF(B807=" "," ",HYPERLINK(CONCATENATE("#metadata!",ADDRESS(INDEX($Y$2:$Y$1001,MATCH(ROWS($W$2:W807),$W$2:$W$1001,0),0),1)),INDEX($AB$2:$AB$1001,MATCH(ROWS($W$2:W807),$W$2:$W$1001,0),0)))</f>
        <v xml:space="preserve"> </v>
      </c>
      <c r="B807" s="4" t="str">
        <f ca="1">IF(OR(INDEX($X$2:$X$1001,MATCH(ROWS($W$2:W807),$W$2:$W$1001,0),1)&gt;=100000,INDEX($AD$1005:$AU$1005,1,MATCH(COLUMNS($AD$1006:AD1006),$AD$1006:$AU$1006,0))&gt;=100000), " ",IF(INDEX($AD$2:$AU$1001,MATCH(ROWS($W$2:W807),$W$2:$W$1001,0),MATCH(COLUMNS($AD$1006:AD1006),$AD$1006:$AU$1006,0)), HYPERLINK("#",""), HYPERLINK(CONCATENATE("#metadata!", ADDRESS(INDEX($Y$2:$Y$1001,MATCH(ROWS($W$2:W807),$W$2:$W$1001,0),0), INDEX($AD$1004:$AU$1004,1,MATCH(COLUMNS($AD$1006:AD1006),$AD$1006:$AU$1006,0)))),"Fix")))</f>
        <v xml:space="preserve"> </v>
      </c>
      <c r="C807" s="4" t="str">
        <f ca="1">IF(OR(INDEX($X$2:$X$1001,MATCH(ROWS($W$2:W807),$W$2:$W$1001,0),1)&gt;=100000,INDEX($AD$1005:$AU$1005,1,MATCH(COLUMNS($AD$1006:AE1006),$AD$1006:$AU$1006,0))&gt;=100000), " ",IF(INDEX($AD$2:$AU$1001,MATCH(ROWS($W$2:W807),$W$2:$W$1001,0),MATCH(COLUMNS($AD$1006:AE1006),$AD$1006:$AU$1006,0)), HYPERLINK("#",""), HYPERLINK(CONCATENATE("#metadata!", ADDRESS(INDEX($Y$2:$Y$1001,MATCH(ROWS($W$2:W807),$W$2:$W$1001,0),0), INDEX($AD$1004:$AU$1004,1,MATCH(COLUMNS($AD$1006:AE1006),$AD$1006:$AU$1006,0)))),"Fix")))</f>
        <v xml:space="preserve"> </v>
      </c>
      <c r="D807" s="4" t="str">
        <f ca="1">IF(OR(INDEX($X$2:$X$1001,MATCH(ROWS($W$2:W807),$W$2:$W$1001,0),1)&gt;=100000,INDEX($AD$1005:$AU$1005,1,MATCH(COLUMNS($AD$1006:AF1006),$AD$1006:$AU$1006,0))&gt;=100000), " ",IF(INDEX($AD$2:$AU$1001,MATCH(ROWS($W$2:W807),$W$2:$W$1001,0),MATCH(COLUMNS($AD$1006:AF1006),$AD$1006:$AU$1006,0)), HYPERLINK("#",""), HYPERLINK(CONCATENATE("#metadata!", ADDRESS(INDEX($Y$2:$Y$1001,MATCH(ROWS($W$2:W807),$W$2:$W$1001,0),0), INDEX($AD$1004:$AU$1004,1,MATCH(COLUMNS($AD$1006:AF1006),$AD$1006:$AU$1006,0)))),"Fix")))</f>
        <v xml:space="preserve"> </v>
      </c>
      <c r="E807" s="4" t="str">
        <f ca="1">IF(OR(INDEX($X$2:$X$1001,MATCH(ROWS($W$2:W807),$W$2:$W$1001,0),1)&gt;=100000,INDEX($AD$1005:$AU$1005,1,MATCH(COLUMNS($AD$1006:AG1006),$AD$1006:$AU$1006,0))&gt;=100000), " ",IF(INDEX($AD$2:$AU$1001,MATCH(ROWS($W$2:W807),$W$2:$W$1001,0),MATCH(COLUMNS($AD$1006:AG1006),$AD$1006:$AU$1006,0)), HYPERLINK("#",""), HYPERLINK(CONCATENATE("#metadata!", ADDRESS(INDEX($Y$2:$Y$1001,MATCH(ROWS($W$2:W807),$W$2:$W$1001,0),0), INDEX($AD$1004:$AU$1004,1,MATCH(COLUMNS($AD$1006:AG1006),$AD$1006:$AU$1006,0)))),"Fix")))</f>
        <v xml:space="preserve"> </v>
      </c>
      <c r="F807" s="4" t="str">
        <f ca="1">IF(OR(INDEX($X$2:$X$1001,MATCH(ROWS($W$2:W807),$W$2:$W$1001,0),1)&gt;=100000,INDEX($AD$1005:$AU$1005,1,MATCH(COLUMNS($AD$1006:AH1006),$AD$1006:$AU$1006,0))&gt;=100000), " ",IF(INDEX($AD$2:$AU$1001,MATCH(ROWS($W$2:W807),$W$2:$W$1001,0),MATCH(COLUMNS($AD$1006:AH1006),$AD$1006:$AU$1006,0)), HYPERLINK("#",""), HYPERLINK(CONCATENATE("#metadata!", ADDRESS(INDEX($Y$2:$Y$1001,MATCH(ROWS($W$2:W807),$W$2:$W$1001,0),0), INDEX($AD$1004:$AU$1004,1,MATCH(COLUMNS($AD$1006:AH1006),$AD$1006:$AU$1006,0)))),"Fix")))</f>
        <v xml:space="preserve"> </v>
      </c>
      <c r="G807" s="4" t="str">
        <f ca="1">IF(OR(INDEX($X$2:$X$1001,MATCH(ROWS($W$2:W807),$W$2:$W$1001,0),1)&gt;=100000,INDEX($AD$1005:$AU$1005,1,MATCH(COLUMNS($AD$1006:AI1006),$AD$1006:$AU$1006,0))&gt;=100000), " ",IF(INDEX($AD$2:$AU$1001,MATCH(ROWS($W$2:W807),$W$2:$W$1001,0),MATCH(COLUMNS($AD$1006:AI1006),$AD$1006:$AU$1006,0)), HYPERLINK("#",""), HYPERLINK(CONCATENATE("#metadata!", ADDRESS(INDEX($Y$2:$Y$1001,MATCH(ROWS($W$2:W807),$W$2:$W$1001,0),0), INDEX($AD$1004:$AU$1004,1,MATCH(COLUMNS($AD$1006:AI1006),$AD$1006:$AU$1006,0)))),"Fix")))</f>
        <v xml:space="preserve"> </v>
      </c>
      <c r="H807" s="4" t="str">
        <f ca="1">IF(OR(INDEX($X$2:$X$1001,MATCH(ROWS($W$2:W807),$W$2:$W$1001,0),1)&gt;=100000,INDEX($AD$1005:$AU$1005,1,MATCH(COLUMNS($AD$1006:AJ1006),$AD$1006:$AU$1006,0))&gt;=100000), " ",IF(INDEX($AD$2:$AU$1001,MATCH(ROWS($W$2:W807),$W$2:$W$1001,0),MATCH(COLUMNS($AD$1006:AJ1006),$AD$1006:$AU$1006,0)), HYPERLINK("#",""), HYPERLINK(CONCATENATE("#metadata!", ADDRESS(INDEX($Y$2:$Y$1001,MATCH(ROWS($W$2:W807),$W$2:$W$1001,0),0), INDEX($AD$1004:$AU$1004,1,MATCH(COLUMNS($AD$1006:AJ1006),$AD$1006:$AU$1006,0)))),"Fix")))</f>
        <v xml:space="preserve"> </v>
      </c>
      <c r="I807" s="4" t="str">
        <f ca="1">IF(OR(INDEX($X$2:$X$1001,MATCH(ROWS($W$2:W807),$W$2:$W$1001,0),1)&gt;=100000,INDEX($AD$1005:$AU$1005,1,MATCH(COLUMNS($AD$1006:AK1006),$AD$1006:$AU$1006,0))&gt;=100000), " ",IF(INDEX($AD$2:$AU$1001,MATCH(ROWS($W$2:W807),$W$2:$W$1001,0),MATCH(COLUMNS($AD$1006:AK1006),$AD$1006:$AU$1006,0)), HYPERLINK("#",""), HYPERLINK(CONCATENATE("#metadata!", ADDRESS(INDEX($Y$2:$Y$1001,MATCH(ROWS($W$2:W807),$W$2:$W$1001,0),0), INDEX($AD$1004:$AU$1004,1,MATCH(COLUMNS($AD$1006:AK1006),$AD$1006:$AU$1006,0)))),"Fix")))</f>
        <v xml:space="preserve"> </v>
      </c>
      <c r="J807" s="4" t="str">
        <f ca="1">IF(OR(INDEX($X$2:$X$1001,MATCH(ROWS($W$2:W807),$W$2:$W$1001,0),1)&gt;=100000,INDEX($AD$1005:$AU$1005,1,MATCH(COLUMNS($AD$1006:AL1006),$AD$1006:$AU$1006,0))&gt;=100000), " ",IF(INDEX($AD$2:$AU$1001,MATCH(ROWS($W$2:W807),$W$2:$W$1001,0),MATCH(COLUMNS($AD$1006:AL1006),$AD$1006:$AU$1006,0)), HYPERLINK("#",""), HYPERLINK(CONCATENATE("#metadata!", ADDRESS(INDEX($Y$2:$Y$1001,MATCH(ROWS($W$2:W807),$W$2:$W$1001,0),0), INDEX($AD$1004:$AU$1004,1,MATCH(COLUMNS($AD$1006:AL1006),$AD$1006:$AU$1006,0)))),"Fix")))</f>
        <v xml:space="preserve"> </v>
      </c>
      <c r="K807" s="4" t="str">
        <f ca="1">IF(OR(INDEX($X$2:$X$1001,MATCH(ROWS($W$2:W807),$W$2:$W$1001,0),1)&gt;=100000,INDEX($AD$1005:$AU$1005,1,MATCH(COLUMNS($AD$1006:AM1006),$AD$1006:$AU$1006,0))&gt;=100000), " ",IF(INDEX($AD$2:$AU$1001,MATCH(ROWS($W$2:W807),$W$2:$W$1001,0),MATCH(COLUMNS($AD$1006:AM1006),$AD$1006:$AU$1006,0)), HYPERLINK("#",""), HYPERLINK(CONCATENATE("#metadata!", ADDRESS(INDEX($Y$2:$Y$1001,MATCH(ROWS($W$2:W807),$W$2:$W$1001,0),0), INDEX($AD$1004:$AU$1004,1,MATCH(COLUMNS($AD$1006:AM1006),$AD$1006:$AU$1006,0)))),"Fix")))</f>
        <v xml:space="preserve"> </v>
      </c>
      <c r="L807" s="4" t="str">
        <f ca="1">IF(OR(INDEX($X$2:$X$1001,MATCH(ROWS($W$2:W807),$W$2:$W$1001,0),1)&gt;=100000,INDEX($AD$1005:$AU$1005,1,MATCH(COLUMNS($AD$1006:AN1006),$AD$1006:$AU$1006,0))&gt;=100000), " ",IF(INDEX($AD$2:$AU$1001,MATCH(ROWS($W$2:W807),$W$2:$W$1001,0),MATCH(COLUMNS($AD$1006:AN1006),$AD$1006:$AU$1006,0)), HYPERLINK("#",""), HYPERLINK(CONCATENATE("#metadata!", ADDRESS(INDEX($Y$2:$Y$1001,MATCH(ROWS($W$2:W807),$W$2:$W$1001,0),0), INDEX($AD$1004:$AU$1004,1,MATCH(COLUMNS($AD$1006:AN1006),$AD$1006:$AU$1006,0)))),"Fix")))</f>
        <v xml:space="preserve"> </v>
      </c>
      <c r="M807" s="4" t="str">
        <f ca="1">IF(OR(INDEX($X$2:$X$1001,MATCH(ROWS($W$2:W807),$W$2:$W$1001,0),1)&gt;=100000,INDEX($AD$1005:$AU$1005,1,MATCH(COLUMNS($AD$1006:AO1006),$AD$1006:$AU$1006,0))&gt;=100000), " ",IF(INDEX($AD$2:$AU$1001,MATCH(ROWS($W$2:W807),$W$2:$W$1001,0),MATCH(COLUMNS($AD$1006:AO1006),$AD$1006:$AU$1006,0)), HYPERLINK("#",""), HYPERLINK(CONCATENATE("#metadata!", ADDRESS(INDEX($Y$2:$Y$1001,MATCH(ROWS($W$2:W807),$W$2:$W$1001,0),0), INDEX($AD$1004:$AU$1004,1,MATCH(COLUMNS($AD$1006:AO1006),$AD$1006:$AU$1006,0)))),"Fix")))</f>
        <v xml:space="preserve"> </v>
      </c>
      <c r="N807" s="4" t="str">
        <f ca="1">IF(OR(INDEX($X$2:$X$1001,MATCH(ROWS($W$2:W807),$W$2:$W$1001,0),1)&gt;=100000,INDEX($AD$1005:$AU$1005,1,MATCH(COLUMNS($AD$1006:AP1006),$AD$1006:$AU$1006,0))&gt;=100000), " ",IF(INDEX($AD$2:$AU$1001,MATCH(ROWS($W$2:W807),$W$2:$W$1001,0),MATCH(COLUMNS($AD$1006:AP1006),$AD$1006:$AU$1006,0)), HYPERLINK("#",""), HYPERLINK(CONCATENATE("#metadata!", ADDRESS(INDEX($Y$2:$Y$1001,MATCH(ROWS($W$2:W807),$W$2:$W$1001,0),0), INDEX($AD$1004:$AU$1004,1,MATCH(COLUMNS($AD$1006:AP1006),$AD$1006:$AU$1006,0)))),"Fix")))</f>
        <v xml:space="preserve"> </v>
      </c>
      <c r="O807" s="4" t="str">
        <f ca="1">IF(OR(INDEX($X$2:$X$1001,MATCH(ROWS($W$2:W807),$W$2:$W$1001,0),1)&gt;=100000,INDEX($AD$1005:$AU$1005,1,MATCH(COLUMNS($AD$1006:AQ1006),$AD$1006:$AU$1006,0))&gt;=100000), " ",IF(INDEX($AD$2:$AU$1001,MATCH(ROWS($W$2:W807),$W$2:$W$1001,0),MATCH(COLUMNS($AD$1006:AQ1006),$AD$1006:$AU$1006,0)), HYPERLINK("#",""), HYPERLINK(CONCATENATE("#metadata!", ADDRESS(INDEX($Y$2:$Y$1001,MATCH(ROWS($W$2:W807),$W$2:$W$1001,0),0), INDEX($AD$1004:$AU$1004,1,MATCH(COLUMNS($AD$1006:AQ1006),$AD$1006:$AU$1006,0)))),"Fix")))</f>
        <v xml:space="preserve"> </v>
      </c>
      <c r="P807" s="4" t="str">
        <f ca="1">IF(OR(INDEX($X$2:$X$1001,MATCH(ROWS($W$2:W807),$W$2:$W$1001,0),1)&gt;=100000,INDEX($AD$1005:$AU$1005,1,MATCH(COLUMNS($AD$1006:AR1006),$AD$1006:$AU$1006,0))&gt;=100000), " ",IF(INDEX($AD$2:$AU$1001,MATCH(ROWS($W$2:W807),$W$2:$W$1001,0),MATCH(COLUMNS($AD$1006:AR1006),$AD$1006:$AU$1006,0)), HYPERLINK("#",""), HYPERLINK(CONCATENATE("#metadata!", ADDRESS(INDEX($Y$2:$Y$1001,MATCH(ROWS($W$2:W807),$W$2:$W$1001,0),0), INDEX($AD$1004:$AU$1004,1,MATCH(COLUMNS($AD$1006:AR1006),$AD$1006:$AU$1006,0)))),"Fix")))</f>
        <v xml:space="preserve"> </v>
      </c>
      <c r="Q807" s="4" t="str">
        <f ca="1">IF(OR(INDEX($X$2:$X$1001,MATCH(ROWS($W$2:W807),$W$2:$W$1001,0),1)&gt;=100000,INDEX($AD$1005:$AU$1005,1,MATCH(COLUMNS($AD$1006:AS1006),$AD$1006:$AU$1006,0))&gt;=100000), " ",IF(INDEX($AD$2:$AU$1001,MATCH(ROWS($W$2:W807),$W$2:$W$1001,0),MATCH(COLUMNS($AD$1006:AS1006),$AD$1006:$AU$1006,0)), HYPERLINK("#",""), HYPERLINK(CONCATENATE("#metadata!", ADDRESS(INDEX($Y$2:$Y$1001,MATCH(ROWS($W$2:W807),$W$2:$W$1001,0),0), INDEX($AD$1004:$AU$1004,1,MATCH(COLUMNS($AD$1006:AS1006),$AD$1006:$AU$1006,0)))),"Fix")))</f>
        <v xml:space="preserve"> </v>
      </c>
      <c r="R807" s="4" t="str">
        <f ca="1">IF(OR(INDEX($X$2:$X$1001,MATCH(ROWS($W$2:W807),$W$2:$W$1001,0),1)&gt;=100000,INDEX($AD$1005:$AU$1005,1,MATCH(COLUMNS($AD$1006:AT1006),$AD$1006:$AU$1006,0))&gt;=100000), " ",IF(INDEX($AD$2:$AU$1001,MATCH(ROWS($W$2:W807),$W$2:$W$1001,0),MATCH(COLUMNS($AD$1006:AT1006),$AD$1006:$AU$1006,0)), HYPERLINK("#",""), HYPERLINK(CONCATENATE("#metadata!", ADDRESS(INDEX($Y$2:$Y$1001,MATCH(ROWS($W$2:W807),$W$2:$W$1001,0),0), INDEX($AD$1004:$AU$1004,1,MATCH(COLUMNS($AD$1006:AT1006),$AD$1006:$AU$1006,0)))),"Fix")))</f>
        <v xml:space="preserve"> </v>
      </c>
      <c r="S807" s="4" t="str">
        <f ca="1">IF(OR(INDEX($X$2:$X$1001,MATCH(ROWS($W$2:W807),$W$2:$W$1001,0),1)&gt;=100000,INDEX($AD$1005:$AU$1005,1,MATCH(COLUMNS($AD$1006:AU1006),$AD$1006:$AU$1006,0))&gt;=100000), " ",IF(INDEX($AD$2:$AU$1001,MATCH(ROWS($W$2:W807),$W$2:$W$1001,0),MATCH(COLUMNS($AD$1006:AU1006),$AD$1006:$AU$1006,0)), HYPERLINK("#",""), HYPERLINK(CONCATENATE("#metadata!", ADDRESS(INDEX($Y$2:$Y$1001,MATCH(ROWS($W$2:W807),$W$2:$W$1001,0),0), INDEX($AD$1004:$AU$1004,1,MATCH(COLUMNS($AD$1006:AU1006),$AD$1006:$AU$1006,0)))),"Fix")))</f>
        <v xml:space="preserve"> </v>
      </c>
      <c r="W807">
        <v>806</v>
      </c>
      <c r="X807">
        <v>100807</v>
      </c>
      <c r="Y807">
        <v>807</v>
      </c>
      <c r="Z807" t="b">
        <f t="shared" si="12"/>
        <v>1</v>
      </c>
      <c r="AA807" t="b">
        <f>COUNTBLANK(metadata!B807:S807)=COLUMNS(metadata!B807:S807)</f>
        <v>1</v>
      </c>
      <c r="AB807" t="str">
        <v/>
      </c>
      <c r="AD807" t="b">
        <f ca="1">AND(IF(metadata!B807="",FALSE,TRUE),COUNTIF(metadata!B:B, metadata!B807) = 1,NOT(ISERROR(SUMPRODUCT(SEARCH(MID(metadata!B807,ROW(INDIRECT("1:"&amp;LEN(metadata!B807))), 1),"0123456789abcdefghijklmnopqrstuvwxyzABCDEFGHIJKLMNOPQRSTUVWXYZ.")))))</f>
        <v>0</v>
      </c>
      <c r="AE807" t="b">
        <f>OR(AND(IF(metadata!C807="",FALSE,TRUE),OR(EXACT(metadata!C807,"not applicable"),EXACT(metadata!C807,"missing: not collected"),EXACT(metadata!C807,"missing: not provided"),EXACT(metadata!C807,"missing: restricted access"))),AND(IF(metadata!C807="",FALSE,ISNUMBER(VALUE(metadata!C807))),metadata!C807&gt;0))</f>
        <v>0</v>
      </c>
      <c r="AF807" t="b">
        <f>AND(IF(metadata!D807="",FALSE,TRUE),EXACT(metadata!D807,"missing: not provided"))</f>
        <v>0</v>
      </c>
      <c r="AG807" t="b">
        <f>AND(IF(metadata!E807="",FALSE,TRUE),EXACT(metadata!E807,"Host-associated"))</f>
        <v>0</v>
      </c>
      <c r="AH807" t="b">
        <f>AND(IF(metadata!F807="",FALSE,TRUE),OR(EXACT(metadata!F807,"Animal"),EXACT(metadata!F807,"Fungus"),EXACT(metadata!F807,"Plant")))</f>
        <v>0</v>
      </c>
      <c r="AI807" t="b">
        <f>AND(IF(metadata!G807="",FALSE,TRUE),OR(EXACT(metadata!G807,"Plant secretion"),EXACT(metadata!G807,"Plant rhizosphere"),EXACT(metadata!G807,"Plant surface"),EXACT(metadata!G807,"Plant corpus"),EXACT(metadata!G807,"Fungus surface"),EXACT(metadata!G807,"Fungus corpus"),EXACT(metadata!G807,"Animal surface"),EXACT(metadata!G807,"Animal proximal gut"),EXACT(metadata!G807,"Animal corpus"),EXACT(metadata!G807,"Animal distal gut"),EXACT(metadata!G807,"Animal secretion")))</f>
        <v>0</v>
      </c>
      <c r="AJ807" t="b">
        <f>OR(AND(IF(metadata!H807="",FALSE,TRUE),OR(EXACT(metadata!H807,"missing: not collected"),EXACT(metadata!H807,"missing: not provided"),EXACT(metadata!H807,"missing: restricted access"))),AND(IF(metadata!H807="",FALSE,TRUE),OR(EXACT(metadata!H807,"organism-associated habitat"),EXACT(metadata!H807,"plant-associated habitat"),EXACT(metadata!H807,"animal-associated habitat"),EXACT(metadata!H807,"insecta-associated habitat"),EXACT(metadata!H807,"mammalia-associated habitat"),EXACT(metadata!H807,"human-associated habitat"),EXACT(metadata!H807,"livestock-associated habitat"))))</f>
        <v>0</v>
      </c>
      <c r="AK807" t="b">
        <f>AND(IF(metadata!I807="",FALSE,TRUE),EXACT(metadata!I807,"host-associated"))</f>
        <v>0</v>
      </c>
      <c r="AL807" t="b">
        <f>OR(AND(IF(metadata!J807="",FALSE,TRUE),OR(EXACT(metadata!J807,"not applicable"),EXACT(metadata!J807,"missing: not collected"),EXACT(metadata!J807,"missing: not provided"),EXACT(metadata!J807,"missing: restricted access"))),AND(IF(metadata!J807="",FALSE,ISNUMBER(VALUE(metadata!J807))),metadata!J807&gt;0))</f>
        <v>0</v>
      </c>
      <c r="AM807" t="b">
        <f>AND(IF(metadata!K807="",FALSE,TRUE),EXACT(metadata!K807,"missing: not provided"))</f>
        <v>0</v>
      </c>
      <c r="AN807" t="b">
        <f>IF(metadata!L807="",FALSE,TRUE)</f>
        <v>0</v>
      </c>
      <c r="AO807" t="b">
        <f>IF(metadata!M807="",FALSE,TRUE)</f>
        <v>0</v>
      </c>
      <c r="AP807" t="b">
        <f>OR(AND(IF(metadata!N807="",FALSE,TRUE),OR(EXACT(metadata!N807,"not applicable"),EXACT(metadata!N807,"missing: not collected"),EXACT(metadata!N807,"missing: not provided"))),AND(IF(metadata!N807="",FALSE,IF(ISERROR(INT(metadata!N807)),FALSE,INT(metadata!N807)=metadata!N807)),metadata!N807&gt;0))</f>
        <v>0</v>
      </c>
      <c r="AQ807" t="b">
        <f>AND(IF(metadata!O807="",FALSE,TRUE),EXACT(metadata!O807,"Not applicable"))</f>
        <v>0</v>
      </c>
      <c r="AR807" t="b">
        <f>OR(AND(IF(metadata!P807="",FALSE,TRUE),OR(EXACT(metadata!P807,"not applicable"),EXACT(metadata!P807,"missing: not collected"),EXACT(metadata!P807,"missing: not provided"),EXACT(metadata!P807,"missing: restricted access"))),IF(metadata!P807="",FALSE,IF(ISERROR(INT(metadata!P807)),FALSE,INT(metadata!P807)=metadata!P807)))</f>
        <v>0</v>
      </c>
      <c r="AS807" t="b">
        <f>AND(IF(metadata!Q807="",FALSE,TRUE),EXACT(metadata!Q807,"Not applicable"))</f>
        <v>0</v>
      </c>
      <c r="AT807" t="b">
        <f>OR(AND(IF(metadata!R807="",FALSE,TRUE),OR(EXACT(metadata!R807,"not applicable"),EXACT(metadata!R807,"missing: not collected"),EXACT(metadata!R807,"missing: not provided"),EXACT(metadata!R807,"missing: restricted access"))),AND(IF(metadata!R807="",FALSE,ISNUMBER(VALUE(metadata!R807))),metadata!R807&gt;0))</f>
        <v>0</v>
      </c>
      <c r="AU807" t="b">
        <f>AND(IF(metadata!S807="",FALSE,TRUE),EXACT(metadata!S807,"missing: not provided"))</f>
        <v>0</v>
      </c>
    </row>
    <row r="808" spans="1:47" x14ac:dyDescent="0.2">
      <c r="A808" s="5" t="str">
        <f ca="1">IF(B808=" "," ",HYPERLINK(CONCATENATE("#metadata!",ADDRESS(INDEX($Y$2:$Y$1001,MATCH(ROWS($W$2:W808),$W$2:$W$1001,0),0),1)),INDEX($AB$2:$AB$1001,MATCH(ROWS($W$2:W808),$W$2:$W$1001,0),0)))</f>
        <v xml:space="preserve"> </v>
      </c>
      <c r="B808" s="4" t="str">
        <f ca="1">IF(OR(INDEX($X$2:$X$1001,MATCH(ROWS($W$2:W808),$W$2:$W$1001,0),1)&gt;=100000,INDEX($AD$1005:$AU$1005,1,MATCH(COLUMNS($AD$1006:AD1006),$AD$1006:$AU$1006,0))&gt;=100000), " ",IF(INDEX($AD$2:$AU$1001,MATCH(ROWS($W$2:W808),$W$2:$W$1001,0),MATCH(COLUMNS($AD$1006:AD1006),$AD$1006:$AU$1006,0)), HYPERLINK("#",""), HYPERLINK(CONCATENATE("#metadata!", ADDRESS(INDEX($Y$2:$Y$1001,MATCH(ROWS($W$2:W808),$W$2:$W$1001,0),0), INDEX($AD$1004:$AU$1004,1,MATCH(COLUMNS($AD$1006:AD1006),$AD$1006:$AU$1006,0)))),"Fix")))</f>
        <v xml:space="preserve"> </v>
      </c>
      <c r="C808" s="4" t="str">
        <f ca="1">IF(OR(INDEX($X$2:$X$1001,MATCH(ROWS($W$2:W808),$W$2:$W$1001,0),1)&gt;=100000,INDEX($AD$1005:$AU$1005,1,MATCH(COLUMNS($AD$1006:AE1006),$AD$1006:$AU$1006,0))&gt;=100000), " ",IF(INDEX($AD$2:$AU$1001,MATCH(ROWS($W$2:W808),$W$2:$W$1001,0),MATCH(COLUMNS($AD$1006:AE1006),$AD$1006:$AU$1006,0)), HYPERLINK("#",""), HYPERLINK(CONCATENATE("#metadata!", ADDRESS(INDEX($Y$2:$Y$1001,MATCH(ROWS($W$2:W808),$W$2:$W$1001,0),0), INDEX($AD$1004:$AU$1004,1,MATCH(COLUMNS($AD$1006:AE1006),$AD$1006:$AU$1006,0)))),"Fix")))</f>
        <v xml:space="preserve"> </v>
      </c>
      <c r="D808" s="4" t="str">
        <f ca="1">IF(OR(INDEX($X$2:$X$1001,MATCH(ROWS($W$2:W808),$W$2:$W$1001,0),1)&gt;=100000,INDEX($AD$1005:$AU$1005,1,MATCH(COLUMNS($AD$1006:AF1006),$AD$1006:$AU$1006,0))&gt;=100000), " ",IF(INDEX($AD$2:$AU$1001,MATCH(ROWS($W$2:W808),$W$2:$W$1001,0),MATCH(COLUMNS($AD$1006:AF1006),$AD$1006:$AU$1006,0)), HYPERLINK("#",""), HYPERLINK(CONCATENATE("#metadata!", ADDRESS(INDEX($Y$2:$Y$1001,MATCH(ROWS($W$2:W808),$W$2:$W$1001,0),0), INDEX($AD$1004:$AU$1004,1,MATCH(COLUMNS($AD$1006:AF1006),$AD$1006:$AU$1006,0)))),"Fix")))</f>
        <v xml:space="preserve"> </v>
      </c>
      <c r="E808" s="4" t="str">
        <f ca="1">IF(OR(INDEX($X$2:$X$1001,MATCH(ROWS($W$2:W808),$W$2:$W$1001,0),1)&gt;=100000,INDEX($AD$1005:$AU$1005,1,MATCH(COLUMNS($AD$1006:AG1006),$AD$1006:$AU$1006,0))&gt;=100000), " ",IF(INDEX($AD$2:$AU$1001,MATCH(ROWS($W$2:W808),$W$2:$W$1001,0),MATCH(COLUMNS($AD$1006:AG1006),$AD$1006:$AU$1006,0)), HYPERLINK("#",""), HYPERLINK(CONCATENATE("#metadata!", ADDRESS(INDEX($Y$2:$Y$1001,MATCH(ROWS($W$2:W808),$W$2:$W$1001,0),0), INDEX($AD$1004:$AU$1004,1,MATCH(COLUMNS($AD$1006:AG1006),$AD$1006:$AU$1006,0)))),"Fix")))</f>
        <v xml:space="preserve"> </v>
      </c>
      <c r="F808" s="4" t="str">
        <f ca="1">IF(OR(INDEX($X$2:$X$1001,MATCH(ROWS($W$2:W808),$W$2:$W$1001,0),1)&gt;=100000,INDEX($AD$1005:$AU$1005,1,MATCH(COLUMNS($AD$1006:AH1006),$AD$1006:$AU$1006,0))&gt;=100000), " ",IF(INDEX($AD$2:$AU$1001,MATCH(ROWS($W$2:W808),$W$2:$W$1001,0),MATCH(COLUMNS($AD$1006:AH1006),$AD$1006:$AU$1006,0)), HYPERLINK("#",""), HYPERLINK(CONCATENATE("#metadata!", ADDRESS(INDEX($Y$2:$Y$1001,MATCH(ROWS($W$2:W808),$W$2:$W$1001,0),0), INDEX($AD$1004:$AU$1004,1,MATCH(COLUMNS($AD$1006:AH1006),$AD$1006:$AU$1006,0)))),"Fix")))</f>
        <v xml:space="preserve"> </v>
      </c>
      <c r="G808" s="4" t="str">
        <f ca="1">IF(OR(INDEX($X$2:$X$1001,MATCH(ROWS($W$2:W808),$W$2:$W$1001,0),1)&gt;=100000,INDEX($AD$1005:$AU$1005,1,MATCH(COLUMNS($AD$1006:AI1006),$AD$1006:$AU$1006,0))&gt;=100000), " ",IF(INDEX($AD$2:$AU$1001,MATCH(ROWS($W$2:W808),$W$2:$W$1001,0),MATCH(COLUMNS($AD$1006:AI1006),$AD$1006:$AU$1006,0)), HYPERLINK("#",""), HYPERLINK(CONCATENATE("#metadata!", ADDRESS(INDEX($Y$2:$Y$1001,MATCH(ROWS($W$2:W808),$W$2:$W$1001,0),0), INDEX($AD$1004:$AU$1004,1,MATCH(COLUMNS($AD$1006:AI1006),$AD$1006:$AU$1006,0)))),"Fix")))</f>
        <v xml:space="preserve"> </v>
      </c>
      <c r="H808" s="4" t="str">
        <f ca="1">IF(OR(INDEX($X$2:$X$1001,MATCH(ROWS($W$2:W808),$W$2:$W$1001,0),1)&gt;=100000,INDEX($AD$1005:$AU$1005,1,MATCH(COLUMNS($AD$1006:AJ1006),$AD$1006:$AU$1006,0))&gt;=100000), " ",IF(INDEX($AD$2:$AU$1001,MATCH(ROWS($W$2:W808),$W$2:$W$1001,0),MATCH(COLUMNS($AD$1006:AJ1006),$AD$1006:$AU$1006,0)), HYPERLINK("#",""), HYPERLINK(CONCATENATE("#metadata!", ADDRESS(INDEX($Y$2:$Y$1001,MATCH(ROWS($W$2:W808),$W$2:$W$1001,0),0), INDEX($AD$1004:$AU$1004,1,MATCH(COLUMNS($AD$1006:AJ1006),$AD$1006:$AU$1006,0)))),"Fix")))</f>
        <v xml:space="preserve"> </v>
      </c>
      <c r="I808" s="4" t="str">
        <f ca="1">IF(OR(INDEX($X$2:$X$1001,MATCH(ROWS($W$2:W808),$W$2:$W$1001,0),1)&gt;=100000,INDEX($AD$1005:$AU$1005,1,MATCH(COLUMNS($AD$1006:AK1006),$AD$1006:$AU$1006,0))&gt;=100000), " ",IF(INDEX($AD$2:$AU$1001,MATCH(ROWS($W$2:W808),$W$2:$W$1001,0),MATCH(COLUMNS($AD$1006:AK1006),$AD$1006:$AU$1006,0)), HYPERLINK("#",""), HYPERLINK(CONCATENATE("#metadata!", ADDRESS(INDEX($Y$2:$Y$1001,MATCH(ROWS($W$2:W808),$W$2:$W$1001,0),0), INDEX($AD$1004:$AU$1004,1,MATCH(COLUMNS($AD$1006:AK1006),$AD$1006:$AU$1006,0)))),"Fix")))</f>
        <v xml:space="preserve"> </v>
      </c>
      <c r="J808" s="4" t="str">
        <f ca="1">IF(OR(INDEX($X$2:$X$1001,MATCH(ROWS($W$2:W808),$W$2:$W$1001,0),1)&gt;=100000,INDEX($AD$1005:$AU$1005,1,MATCH(COLUMNS($AD$1006:AL1006),$AD$1006:$AU$1006,0))&gt;=100000), " ",IF(INDEX($AD$2:$AU$1001,MATCH(ROWS($W$2:W808),$W$2:$W$1001,0),MATCH(COLUMNS($AD$1006:AL1006),$AD$1006:$AU$1006,0)), HYPERLINK("#",""), HYPERLINK(CONCATENATE("#metadata!", ADDRESS(INDEX($Y$2:$Y$1001,MATCH(ROWS($W$2:W808),$W$2:$W$1001,0),0), INDEX($AD$1004:$AU$1004,1,MATCH(COLUMNS($AD$1006:AL1006),$AD$1006:$AU$1006,0)))),"Fix")))</f>
        <v xml:space="preserve"> </v>
      </c>
      <c r="K808" s="4" t="str">
        <f ca="1">IF(OR(INDEX($X$2:$X$1001,MATCH(ROWS($W$2:W808),$W$2:$W$1001,0),1)&gt;=100000,INDEX($AD$1005:$AU$1005,1,MATCH(COLUMNS($AD$1006:AM1006),$AD$1006:$AU$1006,0))&gt;=100000), " ",IF(INDEX($AD$2:$AU$1001,MATCH(ROWS($W$2:W808),$W$2:$W$1001,0),MATCH(COLUMNS($AD$1006:AM1006),$AD$1006:$AU$1006,0)), HYPERLINK("#",""), HYPERLINK(CONCATENATE("#metadata!", ADDRESS(INDEX($Y$2:$Y$1001,MATCH(ROWS($W$2:W808),$W$2:$W$1001,0),0), INDEX($AD$1004:$AU$1004,1,MATCH(COLUMNS($AD$1006:AM1006),$AD$1006:$AU$1006,0)))),"Fix")))</f>
        <v xml:space="preserve"> </v>
      </c>
      <c r="L808" s="4" t="str">
        <f ca="1">IF(OR(INDEX($X$2:$X$1001,MATCH(ROWS($W$2:W808),$W$2:$W$1001,0),1)&gt;=100000,INDEX($AD$1005:$AU$1005,1,MATCH(COLUMNS($AD$1006:AN1006),$AD$1006:$AU$1006,0))&gt;=100000), " ",IF(INDEX($AD$2:$AU$1001,MATCH(ROWS($W$2:W808),$W$2:$W$1001,0),MATCH(COLUMNS($AD$1006:AN1006),$AD$1006:$AU$1006,0)), HYPERLINK("#",""), HYPERLINK(CONCATENATE("#metadata!", ADDRESS(INDEX($Y$2:$Y$1001,MATCH(ROWS($W$2:W808),$W$2:$W$1001,0),0), INDEX($AD$1004:$AU$1004,1,MATCH(COLUMNS($AD$1006:AN1006),$AD$1006:$AU$1006,0)))),"Fix")))</f>
        <v xml:space="preserve"> </v>
      </c>
      <c r="M808" s="4" t="str">
        <f ca="1">IF(OR(INDEX($X$2:$X$1001,MATCH(ROWS($W$2:W808),$W$2:$W$1001,0),1)&gt;=100000,INDEX($AD$1005:$AU$1005,1,MATCH(COLUMNS($AD$1006:AO1006),$AD$1006:$AU$1006,0))&gt;=100000), " ",IF(INDEX($AD$2:$AU$1001,MATCH(ROWS($W$2:W808),$W$2:$W$1001,0),MATCH(COLUMNS($AD$1006:AO1006),$AD$1006:$AU$1006,0)), HYPERLINK("#",""), HYPERLINK(CONCATENATE("#metadata!", ADDRESS(INDEX($Y$2:$Y$1001,MATCH(ROWS($W$2:W808),$W$2:$W$1001,0),0), INDEX($AD$1004:$AU$1004,1,MATCH(COLUMNS($AD$1006:AO1006),$AD$1006:$AU$1006,0)))),"Fix")))</f>
        <v xml:space="preserve"> </v>
      </c>
      <c r="N808" s="4" t="str">
        <f ca="1">IF(OR(INDEX($X$2:$X$1001,MATCH(ROWS($W$2:W808),$W$2:$W$1001,0),1)&gt;=100000,INDEX($AD$1005:$AU$1005,1,MATCH(COLUMNS($AD$1006:AP1006),$AD$1006:$AU$1006,0))&gt;=100000), " ",IF(INDEX($AD$2:$AU$1001,MATCH(ROWS($W$2:W808),$W$2:$W$1001,0),MATCH(COLUMNS($AD$1006:AP1006),$AD$1006:$AU$1006,0)), HYPERLINK("#",""), HYPERLINK(CONCATENATE("#metadata!", ADDRESS(INDEX($Y$2:$Y$1001,MATCH(ROWS($W$2:W808),$W$2:$W$1001,0),0), INDEX($AD$1004:$AU$1004,1,MATCH(COLUMNS($AD$1006:AP1006),$AD$1006:$AU$1006,0)))),"Fix")))</f>
        <v xml:space="preserve"> </v>
      </c>
      <c r="O808" s="4" t="str">
        <f ca="1">IF(OR(INDEX($X$2:$X$1001,MATCH(ROWS($W$2:W808),$W$2:$W$1001,0),1)&gt;=100000,INDEX($AD$1005:$AU$1005,1,MATCH(COLUMNS($AD$1006:AQ1006),$AD$1006:$AU$1006,0))&gt;=100000), " ",IF(INDEX($AD$2:$AU$1001,MATCH(ROWS($W$2:W808),$W$2:$W$1001,0),MATCH(COLUMNS($AD$1006:AQ1006),$AD$1006:$AU$1006,0)), HYPERLINK("#",""), HYPERLINK(CONCATENATE("#metadata!", ADDRESS(INDEX($Y$2:$Y$1001,MATCH(ROWS($W$2:W808),$W$2:$W$1001,0),0), INDEX($AD$1004:$AU$1004,1,MATCH(COLUMNS($AD$1006:AQ1006),$AD$1006:$AU$1006,0)))),"Fix")))</f>
        <v xml:space="preserve"> </v>
      </c>
      <c r="P808" s="4" t="str">
        <f ca="1">IF(OR(INDEX($X$2:$X$1001,MATCH(ROWS($W$2:W808),$W$2:$W$1001,0),1)&gt;=100000,INDEX($AD$1005:$AU$1005,1,MATCH(COLUMNS($AD$1006:AR1006),$AD$1006:$AU$1006,0))&gt;=100000), " ",IF(INDEX($AD$2:$AU$1001,MATCH(ROWS($W$2:W808),$W$2:$W$1001,0),MATCH(COLUMNS($AD$1006:AR1006),$AD$1006:$AU$1006,0)), HYPERLINK("#",""), HYPERLINK(CONCATENATE("#metadata!", ADDRESS(INDEX($Y$2:$Y$1001,MATCH(ROWS($W$2:W808),$W$2:$W$1001,0),0), INDEX($AD$1004:$AU$1004,1,MATCH(COLUMNS($AD$1006:AR1006),$AD$1006:$AU$1006,0)))),"Fix")))</f>
        <v xml:space="preserve"> </v>
      </c>
      <c r="Q808" s="4" t="str">
        <f ca="1">IF(OR(INDEX($X$2:$X$1001,MATCH(ROWS($W$2:W808),$W$2:$W$1001,0),1)&gt;=100000,INDEX($AD$1005:$AU$1005,1,MATCH(COLUMNS($AD$1006:AS1006),$AD$1006:$AU$1006,0))&gt;=100000), " ",IF(INDEX($AD$2:$AU$1001,MATCH(ROWS($W$2:W808),$W$2:$W$1001,0),MATCH(COLUMNS($AD$1006:AS1006),$AD$1006:$AU$1006,0)), HYPERLINK("#",""), HYPERLINK(CONCATENATE("#metadata!", ADDRESS(INDEX($Y$2:$Y$1001,MATCH(ROWS($W$2:W808),$W$2:$W$1001,0),0), INDEX($AD$1004:$AU$1004,1,MATCH(COLUMNS($AD$1006:AS1006),$AD$1006:$AU$1006,0)))),"Fix")))</f>
        <v xml:space="preserve"> </v>
      </c>
      <c r="R808" s="4" t="str">
        <f ca="1">IF(OR(INDEX($X$2:$X$1001,MATCH(ROWS($W$2:W808),$W$2:$W$1001,0),1)&gt;=100000,INDEX($AD$1005:$AU$1005,1,MATCH(COLUMNS($AD$1006:AT1006),$AD$1006:$AU$1006,0))&gt;=100000), " ",IF(INDEX($AD$2:$AU$1001,MATCH(ROWS($W$2:W808),$W$2:$W$1001,0),MATCH(COLUMNS($AD$1006:AT1006),$AD$1006:$AU$1006,0)), HYPERLINK("#",""), HYPERLINK(CONCATENATE("#metadata!", ADDRESS(INDEX($Y$2:$Y$1001,MATCH(ROWS($W$2:W808),$W$2:$W$1001,0),0), INDEX($AD$1004:$AU$1004,1,MATCH(COLUMNS($AD$1006:AT1006),$AD$1006:$AU$1006,0)))),"Fix")))</f>
        <v xml:space="preserve"> </v>
      </c>
      <c r="S808" s="4" t="str">
        <f ca="1">IF(OR(INDEX($X$2:$X$1001,MATCH(ROWS($W$2:W808),$W$2:$W$1001,0),1)&gt;=100000,INDEX($AD$1005:$AU$1005,1,MATCH(COLUMNS($AD$1006:AU1006),$AD$1006:$AU$1006,0))&gt;=100000), " ",IF(INDEX($AD$2:$AU$1001,MATCH(ROWS($W$2:W808),$W$2:$W$1001,0),MATCH(COLUMNS($AD$1006:AU1006),$AD$1006:$AU$1006,0)), HYPERLINK("#",""), HYPERLINK(CONCATENATE("#metadata!", ADDRESS(INDEX($Y$2:$Y$1001,MATCH(ROWS($W$2:W808),$W$2:$W$1001,0),0), INDEX($AD$1004:$AU$1004,1,MATCH(COLUMNS($AD$1006:AU1006),$AD$1006:$AU$1006,0)))),"Fix")))</f>
        <v xml:space="preserve"> </v>
      </c>
      <c r="W808">
        <v>807</v>
      </c>
      <c r="X808">
        <v>100808</v>
      </c>
      <c r="Y808">
        <v>808</v>
      </c>
      <c r="Z808" t="b">
        <f t="shared" si="12"/>
        <v>1</v>
      </c>
      <c r="AA808" t="b">
        <f>COUNTBLANK(metadata!B808:S808)=COLUMNS(metadata!B808:S808)</f>
        <v>1</v>
      </c>
      <c r="AB808" t="str">
        <v/>
      </c>
      <c r="AD808" t="b">
        <f ca="1">AND(IF(metadata!B808="",FALSE,TRUE),COUNTIF(metadata!B:B, metadata!B808) = 1,NOT(ISERROR(SUMPRODUCT(SEARCH(MID(metadata!B808,ROW(INDIRECT("1:"&amp;LEN(metadata!B808))), 1),"0123456789abcdefghijklmnopqrstuvwxyzABCDEFGHIJKLMNOPQRSTUVWXYZ.")))))</f>
        <v>0</v>
      </c>
      <c r="AE808" t="b">
        <f>OR(AND(IF(metadata!C808="",FALSE,TRUE),OR(EXACT(metadata!C808,"not applicable"),EXACT(metadata!C808,"missing: not collected"),EXACT(metadata!C808,"missing: not provided"),EXACT(metadata!C808,"missing: restricted access"))),AND(IF(metadata!C808="",FALSE,ISNUMBER(VALUE(metadata!C808))),metadata!C808&gt;0))</f>
        <v>0</v>
      </c>
      <c r="AF808" t="b">
        <f>AND(IF(metadata!D808="",FALSE,TRUE),EXACT(metadata!D808,"missing: not provided"))</f>
        <v>0</v>
      </c>
      <c r="AG808" t="b">
        <f>AND(IF(metadata!E808="",FALSE,TRUE),EXACT(metadata!E808,"Host-associated"))</f>
        <v>0</v>
      </c>
      <c r="AH808" t="b">
        <f>AND(IF(metadata!F808="",FALSE,TRUE),OR(EXACT(metadata!F808,"Animal"),EXACT(metadata!F808,"Fungus"),EXACT(metadata!F808,"Plant")))</f>
        <v>0</v>
      </c>
      <c r="AI808" t="b">
        <f>AND(IF(metadata!G808="",FALSE,TRUE),OR(EXACT(metadata!G808,"Plant secretion"),EXACT(metadata!G808,"Plant rhizosphere"),EXACT(metadata!G808,"Plant surface"),EXACT(metadata!G808,"Plant corpus"),EXACT(metadata!G808,"Fungus surface"),EXACT(metadata!G808,"Fungus corpus"),EXACT(metadata!G808,"Animal surface"),EXACT(metadata!G808,"Animal proximal gut"),EXACT(metadata!G808,"Animal corpus"),EXACT(metadata!G808,"Animal distal gut"),EXACT(metadata!G808,"Animal secretion")))</f>
        <v>0</v>
      </c>
      <c r="AJ808" t="b">
        <f>OR(AND(IF(metadata!H808="",FALSE,TRUE),OR(EXACT(metadata!H808,"missing: not collected"),EXACT(metadata!H808,"missing: not provided"),EXACT(metadata!H808,"missing: restricted access"))),AND(IF(metadata!H808="",FALSE,TRUE),OR(EXACT(metadata!H808,"organism-associated habitat"),EXACT(metadata!H808,"plant-associated habitat"),EXACT(metadata!H808,"animal-associated habitat"),EXACT(metadata!H808,"insecta-associated habitat"),EXACT(metadata!H808,"mammalia-associated habitat"),EXACT(metadata!H808,"human-associated habitat"),EXACT(metadata!H808,"livestock-associated habitat"))))</f>
        <v>0</v>
      </c>
      <c r="AK808" t="b">
        <f>AND(IF(metadata!I808="",FALSE,TRUE),EXACT(metadata!I808,"host-associated"))</f>
        <v>0</v>
      </c>
      <c r="AL808" t="b">
        <f>OR(AND(IF(metadata!J808="",FALSE,TRUE),OR(EXACT(metadata!J808,"not applicable"),EXACT(metadata!J808,"missing: not collected"),EXACT(metadata!J808,"missing: not provided"),EXACT(metadata!J808,"missing: restricted access"))),AND(IF(metadata!J808="",FALSE,ISNUMBER(VALUE(metadata!J808))),metadata!J808&gt;0))</f>
        <v>0</v>
      </c>
      <c r="AM808" t="b">
        <f>AND(IF(metadata!K808="",FALSE,TRUE),EXACT(metadata!K808,"missing: not provided"))</f>
        <v>0</v>
      </c>
      <c r="AN808" t="b">
        <f>IF(metadata!L808="",FALSE,TRUE)</f>
        <v>0</v>
      </c>
      <c r="AO808" t="b">
        <f>IF(metadata!M808="",FALSE,TRUE)</f>
        <v>0</v>
      </c>
      <c r="AP808" t="b">
        <f>OR(AND(IF(metadata!N808="",FALSE,TRUE),OR(EXACT(metadata!N808,"not applicable"),EXACT(metadata!N808,"missing: not collected"),EXACT(metadata!N808,"missing: not provided"))),AND(IF(metadata!N808="",FALSE,IF(ISERROR(INT(metadata!N808)),FALSE,INT(metadata!N808)=metadata!N808)),metadata!N808&gt;0))</f>
        <v>0</v>
      </c>
      <c r="AQ808" t="b">
        <f>AND(IF(metadata!O808="",FALSE,TRUE),EXACT(metadata!O808,"Not applicable"))</f>
        <v>0</v>
      </c>
      <c r="AR808" t="b">
        <f>OR(AND(IF(metadata!P808="",FALSE,TRUE),OR(EXACT(metadata!P808,"not applicable"),EXACT(metadata!P808,"missing: not collected"),EXACT(metadata!P808,"missing: not provided"),EXACT(metadata!P808,"missing: restricted access"))),IF(metadata!P808="",FALSE,IF(ISERROR(INT(metadata!P808)),FALSE,INT(metadata!P808)=metadata!P808)))</f>
        <v>0</v>
      </c>
      <c r="AS808" t="b">
        <f>AND(IF(metadata!Q808="",FALSE,TRUE),EXACT(metadata!Q808,"Not applicable"))</f>
        <v>0</v>
      </c>
      <c r="AT808" t="b">
        <f>OR(AND(IF(metadata!R808="",FALSE,TRUE),OR(EXACT(metadata!R808,"not applicable"),EXACT(metadata!R808,"missing: not collected"),EXACT(metadata!R808,"missing: not provided"),EXACT(metadata!R808,"missing: restricted access"))),AND(IF(metadata!R808="",FALSE,ISNUMBER(VALUE(metadata!R808))),metadata!R808&gt;0))</f>
        <v>0</v>
      </c>
      <c r="AU808" t="b">
        <f>AND(IF(metadata!S808="",FALSE,TRUE),EXACT(metadata!S808,"missing: not provided"))</f>
        <v>0</v>
      </c>
    </row>
    <row r="809" spans="1:47" x14ac:dyDescent="0.2">
      <c r="A809" s="5" t="str">
        <f ca="1">IF(B809=" "," ",HYPERLINK(CONCATENATE("#metadata!",ADDRESS(INDEX($Y$2:$Y$1001,MATCH(ROWS($W$2:W809),$W$2:$W$1001,0),0),1)),INDEX($AB$2:$AB$1001,MATCH(ROWS($W$2:W809),$W$2:$W$1001,0),0)))</f>
        <v xml:space="preserve"> </v>
      </c>
      <c r="B809" s="4" t="str">
        <f ca="1">IF(OR(INDEX($X$2:$X$1001,MATCH(ROWS($W$2:W809),$W$2:$W$1001,0),1)&gt;=100000,INDEX($AD$1005:$AU$1005,1,MATCH(COLUMNS($AD$1006:AD1006),$AD$1006:$AU$1006,0))&gt;=100000), " ",IF(INDEX($AD$2:$AU$1001,MATCH(ROWS($W$2:W809),$W$2:$W$1001,0),MATCH(COLUMNS($AD$1006:AD1006),$AD$1006:$AU$1006,0)), HYPERLINK("#",""), HYPERLINK(CONCATENATE("#metadata!", ADDRESS(INDEX($Y$2:$Y$1001,MATCH(ROWS($W$2:W809),$W$2:$W$1001,0),0), INDEX($AD$1004:$AU$1004,1,MATCH(COLUMNS($AD$1006:AD1006),$AD$1006:$AU$1006,0)))),"Fix")))</f>
        <v xml:space="preserve"> </v>
      </c>
      <c r="C809" s="4" t="str">
        <f ca="1">IF(OR(INDEX($X$2:$X$1001,MATCH(ROWS($W$2:W809),$W$2:$W$1001,0),1)&gt;=100000,INDEX($AD$1005:$AU$1005,1,MATCH(COLUMNS($AD$1006:AE1006),$AD$1006:$AU$1006,0))&gt;=100000), " ",IF(INDEX($AD$2:$AU$1001,MATCH(ROWS($W$2:W809),$W$2:$W$1001,0),MATCH(COLUMNS($AD$1006:AE1006),$AD$1006:$AU$1006,0)), HYPERLINK("#",""), HYPERLINK(CONCATENATE("#metadata!", ADDRESS(INDEX($Y$2:$Y$1001,MATCH(ROWS($W$2:W809),$W$2:$W$1001,0),0), INDEX($AD$1004:$AU$1004,1,MATCH(COLUMNS($AD$1006:AE1006),$AD$1006:$AU$1006,0)))),"Fix")))</f>
        <v xml:space="preserve"> </v>
      </c>
      <c r="D809" s="4" t="str">
        <f ca="1">IF(OR(INDEX($X$2:$X$1001,MATCH(ROWS($W$2:W809),$W$2:$W$1001,0),1)&gt;=100000,INDEX($AD$1005:$AU$1005,1,MATCH(COLUMNS($AD$1006:AF1006),$AD$1006:$AU$1006,0))&gt;=100000), " ",IF(INDEX($AD$2:$AU$1001,MATCH(ROWS($W$2:W809),$W$2:$W$1001,0),MATCH(COLUMNS($AD$1006:AF1006),$AD$1006:$AU$1006,0)), HYPERLINK("#",""), HYPERLINK(CONCATENATE("#metadata!", ADDRESS(INDEX($Y$2:$Y$1001,MATCH(ROWS($W$2:W809),$W$2:$W$1001,0),0), INDEX($AD$1004:$AU$1004,1,MATCH(COLUMNS($AD$1006:AF1006),$AD$1006:$AU$1006,0)))),"Fix")))</f>
        <v xml:space="preserve"> </v>
      </c>
      <c r="E809" s="4" t="str">
        <f ca="1">IF(OR(INDEX($X$2:$X$1001,MATCH(ROWS($W$2:W809),$W$2:$W$1001,0),1)&gt;=100000,INDEX($AD$1005:$AU$1005,1,MATCH(COLUMNS($AD$1006:AG1006),$AD$1006:$AU$1006,0))&gt;=100000), " ",IF(INDEX($AD$2:$AU$1001,MATCH(ROWS($W$2:W809),$W$2:$W$1001,0),MATCH(COLUMNS($AD$1006:AG1006),$AD$1006:$AU$1006,0)), HYPERLINK("#",""), HYPERLINK(CONCATENATE("#metadata!", ADDRESS(INDEX($Y$2:$Y$1001,MATCH(ROWS($W$2:W809),$W$2:$W$1001,0),0), INDEX($AD$1004:$AU$1004,1,MATCH(COLUMNS($AD$1006:AG1006),$AD$1006:$AU$1006,0)))),"Fix")))</f>
        <v xml:space="preserve"> </v>
      </c>
      <c r="F809" s="4" t="str">
        <f ca="1">IF(OR(INDEX($X$2:$X$1001,MATCH(ROWS($W$2:W809),$W$2:$W$1001,0),1)&gt;=100000,INDEX($AD$1005:$AU$1005,1,MATCH(COLUMNS($AD$1006:AH1006),$AD$1006:$AU$1006,0))&gt;=100000), " ",IF(INDEX($AD$2:$AU$1001,MATCH(ROWS($W$2:W809),$W$2:$W$1001,0),MATCH(COLUMNS($AD$1006:AH1006),$AD$1006:$AU$1006,0)), HYPERLINK("#",""), HYPERLINK(CONCATENATE("#metadata!", ADDRESS(INDEX($Y$2:$Y$1001,MATCH(ROWS($W$2:W809),$W$2:$W$1001,0),0), INDEX($AD$1004:$AU$1004,1,MATCH(COLUMNS($AD$1006:AH1006),$AD$1006:$AU$1006,0)))),"Fix")))</f>
        <v xml:space="preserve"> </v>
      </c>
      <c r="G809" s="4" t="str">
        <f ca="1">IF(OR(INDEX($X$2:$X$1001,MATCH(ROWS($W$2:W809),$W$2:$W$1001,0),1)&gt;=100000,INDEX($AD$1005:$AU$1005,1,MATCH(COLUMNS($AD$1006:AI1006),$AD$1006:$AU$1006,0))&gt;=100000), " ",IF(INDEX($AD$2:$AU$1001,MATCH(ROWS($W$2:W809),$W$2:$W$1001,0),MATCH(COLUMNS($AD$1006:AI1006),$AD$1006:$AU$1006,0)), HYPERLINK("#",""), HYPERLINK(CONCATENATE("#metadata!", ADDRESS(INDEX($Y$2:$Y$1001,MATCH(ROWS($W$2:W809),$W$2:$W$1001,0),0), INDEX($AD$1004:$AU$1004,1,MATCH(COLUMNS($AD$1006:AI1006),$AD$1006:$AU$1006,0)))),"Fix")))</f>
        <v xml:space="preserve"> </v>
      </c>
      <c r="H809" s="4" t="str">
        <f ca="1">IF(OR(INDEX($X$2:$X$1001,MATCH(ROWS($W$2:W809),$W$2:$W$1001,0),1)&gt;=100000,INDEX($AD$1005:$AU$1005,1,MATCH(COLUMNS($AD$1006:AJ1006),$AD$1006:$AU$1006,0))&gt;=100000), " ",IF(INDEX($AD$2:$AU$1001,MATCH(ROWS($W$2:W809),$W$2:$W$1001,0),MATCH(COLUMNS($AD$1006:AJ1006),$AD$1006:$AU$1006,0)), HYPERLINK("#",""), HYPERLINK(CONCATENATE("#metadata!", ADDRESS(INDEX($Y$2:$Y$1001,MATCH(ROWS($W$2:W809),$W$2:$W$1001,0),0), INDEX($AD$1004:$AU$1004,1,MATCH(COLUMNS($AD$1006:AJ1006),$AD$1006:$AU$1006,0)))),"Fix")))</f>
        <v xml:space="preserve"> </v>
      </c>
      <c r="I809" s="4" t="str">
        <f ca="1">IF(OR(INDEX($X$2:$X$1001,MATCH(ROWS($W$2:W809),$W$2:$W$1001,0),1)&gt;=100000,INDEX($AD$1005:$AU$1005,1,MATCH(COLUMNS($AD$1006:AK1006),$AD$1006:$AU$1006,0))&gt;=100000), " ",IF(INDEX($AD$2:$AU$1001,MATCH(ROWS($W$2:W809),$W$2:$W$1001,0),MATCH(COLUMNS($AD$1006:AK1006),$AD$1006:$AU$1006,0)), HYPERLINK("#",""), HYPERLINK(CONCATENATE("#metadata!", ADDRESS(INDEX($Y$2:$Y$1001,MATCH(ROWS($W$2:W809),$W$2:$W$1001,0),0), INDEX($AD$1004:$AU$1004,1,MATCH(COLUMNS($AD$1006:AK1006),$AD$1006:$AU$1006,0)))),"Fix")))</f>
        <v xml:space="preserve"> </v>
      </c>
      <c r="J809" s="4" t="str">
        <f ca="1">IF(OR(INDEX($X$2:$X$1001,MATCH(ROWS($W$2:W809),$W$2:$W$1001,0),1)&gt;=100000,INDEX($AD$1005:$AU$1005,1,MATCH(COLUMNS($AD$1006:AL1006),$AD$1006:$AU$1006,0))&gt;=100000), " ",IF(INDEX($AD$2:$AU$1001,MATCH(ROWS($W$2:W809),$W$2:$W$1001,0),MATCH(COLUMNS($AD$1006:AL1006),$AD$1006:$AU$1006,0)), HYPERLINK("#",""), HYPERLINK(CONCATENATE("#metadata!", ADDRESS(INDEX($Y$2:$Y$1001,MATCH(ROWS($W$2:W809),$W$2:$W$1001,0),0), INDEX($AD$1004:$AU$1004,1,MATCH(COLUMNS($AD$1006:AL1006),$AD$1006:$AU$1006,0)))),"Fix")))</f>
        <v xml:space="preserve"> </v>
      </c>
      <c r="K809" s="4" t="str">
        <f ca="1">IF(OR(INDEX($X$2:$X$1001,MATCH(ROWS($W$2:W809),$W$2:$W$1001,0),1)&gt;=100000,INDEX($AD$1005:$AU$1005,1,MATCH(COLUMNS($AD$1006:AM1006),$AD$1006:$AU$1006,0))&gt;=100000), " ",IF(INDEX($AD$2:$AU$1001,MATCH(ROWS($W$2:W809),$W$2:$W$1001,0),MATCH(COLUMNS($AD$1006:AM1006),$AD$1006:$AU$1006,0)), HYPERLINK("#",""), HYPERLINK(CONCATENATE("#metadata!", ADDRESS(INDEX($Y$2:$Y$1001,MATCH(ROWS($W$2:W809),$W$2:$W$1001,0),0), INDEX($AD$1004:$AU$1004,1,MATCH(COLUMNS($AD$1006:AM1006),$AD$1006:$AU$1006,0)))),"Fix")))</f>
        <v xml:space="preserve"> </v>
      </c>
      <c r="L809" s="4" t="str">
        <f ca="1">IF(OR(INDEX($X$2:$X$1001,MATCH(ROWS($W$2:W809),$W$2:$W$1001,0),1)&gt;=100000,INDEX($AD$1005:$AU$1005,1,MATCH(COLUMNS($AD$1006:AN1006),$AD$1006:$AU$1006,0))&gt;=100000), " ",IF(INDEX($AD$2:$AU$1001,MATCH(ROWS($W$2:W809),$W$2:$W$1001,0),MATCH(COLUMNS($AD$1006:AN1006),$AD$1006:$AU$1006,0)), HYPERLINK("#",""), HYPERLINK(CONCATENATE("#metadata!", ADDRESS(INDEX($Y$2:$Y$1001,MATCH(ROWS($W$2:W809),$W$2:$W$1001,0),0), INDEX($AD$1004:$AU$1004,1,MATCH(COLUMNS($AD$1006:AN1006),$AD$1006:$AU$1006,0)))),"Fix")))</f>
        <v xml:space="preserve"> </v>
      </c>
      <c r="M809" s="4" t="str">
        <f ca="1">IF(OR(INDEX($X$2:$X$1001,MATCH(ROWS($W$2:W809),$W$2:$W$1001,0),1)&gt;=100000,INDEX($AD$1005:$AU$1005,1,MATCH(COLUMNS($AD$1006:AO1006),$AD$1006:$AU$1006,0))&gt;=100000), " ",IF(INDEX($AD$2:$AU$1001,MATCH(ROWS($W$2:W809),$W$2:$W$1001,0),MATCH(COLUMNS($AD$1006:AO1006),$AD$1006:$AU$1006,0)), HYPERLINK("#",""), HYPERLINK(CONCATENATE("#metadata!", ADDRESS(INDEX($Y$2:$Y$1001,MATCH(ROWS($W$2:W809),$W$2:$W$1001,0),0), INDEX($AD$1004:$AU$1004,1,MATCH(COLUMNS($AD$1006:AO1006),$AD$1006:$AU$1006,0)))),"Fix")))</f>
        <v xml:space="preserve"> </v>
      </c>
      <c r="N809" s="4" t="str">
        <f ca="1">IF(OR(INDEX($X$2:$X$1001,MATCH(ROWS($W$2:W809),$W$2:$W$1001,0),1)&gt;=100000,INDEX($AD$1005:$AU$1005,1,MATCH(COLUMNS($AD$1006:AP1006),$AD$1006:$AU$1006,0))&gt;=100000), " ",IF(INDEX($AD$2:$AU$1001,MATCH(ROWS($W$2:W809),$W$2:$W$1001,0),MATCH(COLUMNS($AD$1006:AP1006),$AD$1006:$AU$1006,0)), HYPERLINK("#",""), HYPERLINK(CONCATENATE("#metadata!", ADDRESS(INDEX($Y$2:$Y$1001,MATCH(ROWS($W$2:W809),$W$2:$W$1001,0),0), INDEX($AD$1004:$AU$1004,1,MATCH(COLUMNS($AD$1006:AP1006),$AD$1006:$AU$1006,0)))),"Fix")))</f>
        <v xml:space="preserve"> </v>
      </c>
      <c r="O809" s="4" t="str">
        <f ca="1">IF(OR(INDEX($X$2:$X$1001,MATCH(ROWS($W$2:W809),$W$2:$W$1001,0),1)&gt;=100000,INDEX($AD$1005:$AU$1005,1,MATCH(COLUMNS($AD$1006:AQ1006),$AD$1006:$AU$1006,0))&gt;=100000), " ",IF(INDEX($AD$2:$AU$1001,MATCH(ROWS($W$2:W809),$W$2:$W$1001,0),MATCH(COLUMNS($AD$1006:AQ1006),$AD$1006:$AU$1006,0)), HYPERLINK("#",""), HYPERLINK(CONCATENATE("#metadata!", ADDRESS(INDEX($Y$2:$Y$1001,MATCH(ROWS($W$2:W809),$W$2:$W$1001,0),0), INDEX($AD$1004:$AU$1004,1,MATCH(COLUMNS($AD$1006:AQ1006),$AD$1006:$AU$1006,0)))),"Fix")))</f>
        <v xml:space="preserve"> </v>
      </c>
      <c r="P809" s="4" t="str">
        <f ca="1">IF(OR(INDEX($X$2:$X$1001,MATCH(ROWS($W$2:W809),$W$2:$W$1001,0),1)&gt;=100000,INDEX($AD$1005:$AU$1005,1,MATCH(COLUMNS($AD$1006:AR1006),$AD$1006:$AU$1006,0))&gt;=100000), " ",IF(INDEX($AD$2:$AU$1001,MATCH(ROWS($W$2:W809),$W$2:$W$1001,0),MATCH(COLUMNS($AD$1006:AR1006),$AD$1006:$AU$1006,0)), HYPERLINK("#",""), HYPERLINK(CONCATENATE("#metadata!", ADDRESS(INDEX($Y$2:$Y$1001,MATCH(ROWS($W$2:W809),$W$2:$W$1001,0),0), INDEX($AD$1004:$AU$1004,1,MATCH(COLUMNS($AD$1006:AR1006),$AD$1006:$AU$1006,0)))),"Fix")))</f>
        <v xml:space="preserve"> </v>
      </c>
      <c r="Q809" s="4" t="str">
        <f ca="1">IF(OR(INDEX($X$2:$X$1001,MATCH(ROWS($W$2:W809),$W$2:$W$1001,0),1)&gt;=100000,INDEX($AD$1005:$AU$1005,1,MATCH(COLUMNS($AD$1006:AS1006),$AD$1006:$AU$1006,0))&gt;=100000), " ",IF(INDEX($AD$2:$AU$1001,MATCH(ROWS($W$2:W809),$W$2:$W$1001,0),MATCH(COLUMNS($AD$1006:AS1006),$AD$1006:$AU$1006,0)), HYPERLINK("#",""), HYPERLINK(CONCATENATE("#metadata!", ADDRESS(INDEX($Y$2:$Y$1001,MATCH(ROWS($W$2:W809),$W$2:$W$1001,0),0), INDEX($AD$1004:$AU$1004,1,MATCH(COLUMNS($AD$1006:AS1006),$AD$1006:$AU$1006,0)))),"Fix")))</f>
        <v xml:space="preserve"> </v>
      </c>
      <c r="R809" s="4" t="str">
        <f ca="1">IF(OR(INDEX($X$2:$X$1001,MATCH(ROWS($W$2:W809),$W$2:$W$1001,0),1)&gt;=100000,INDEX($AD$1005:$AU$1005,1,MATCH(COLUMNS($AD$1006:AT1006),$AD$1006:$AU$1006,0))&gt;=100000), " ",IF(INDEX($AD$2:$AU$1001,MATCH(ROWS($W$2:W809),$W$2:$W$1001,0),MATCH(COLUMNS($AD$1006:AT1006),$AD$1006:$AU$1006,0)), HYPERLINK("#",""), HYPERLINK(CONCATENATE("#metadata!", ADDRESS(INDEX($Y$2:$Y$1001,MATCH(ROWS($W$2:W809),$W$2:$W$1001,0),0), INDEX($AD$1004:$AU$1004,1,MATCH(COLUMNS($AD$1006:AT1006),$AD$1006:$AU$1006,0)))),"Fix")))</f>
        <v xml:space="preserve"> </v>
      </c>
      <c r="S809" s="4" t="str">
        <f ca="1">IF(OR(INDEX($X$2:$X$1001,MATCH(ROWS($W$2:W809),$W$2:$W$1001,0),1)&gt;=100000,INDEX($AD$1005:$AU$1005,1,MATCH(COLUMNS($AD$1006:AU1006),$AD$1006:$AU$1006,0))&gt;=100000), " ",IF(INDEX($AD$2:$AU$1001,MATCH(ROWS($W$2:W809),$W$2:$W$1001,0),MATCH(COLUMNS($AD$1006:AU1006),$AD$1006:$AU$1006,0)), HYPERLINK("#",""), HYPERLINK(CONCATENATE("#metadata!", ADDRESS(INDEX($Y$2:$Y$1001,MATCH(ROWS($W$2:W809),$W$2:$W$1001,0),0), INDEX($AD$1004:$AU$1004,1,MATCH(COLUMNS($AD$1006:AU1006),$AD$1006:$AU$1006,0)))),"Fix")))</f>
        <v xml:space="preserve"> </v>
      </c>
      <c r="W809">
        <v>808</v>
      </c>
      <c r="X809">
        <v>100809</v>
      </c>
      <c r="Y809">
        <v>809</v>
      </c>
      <c r="Z809" t="b">
        <f t="shared" si="12"/>
        <v>1</v>
      </c>
      <c r="AA809" t="b">
        <f>COUNTBLANK(metadata!B809:S809)=COLUMNS(metadata!B809:S809)</f>
        <v>1</v>
      </c>
      <c r="AB809" t="str">
        <v/>
      </c>
      <c r="AD809" t="b">
        <f ca="1">AND(IF(metadata!B809="",FALSE,TRUE),COUNTIF(metadata!B:B, metadata!B809) = 1,NOT(ISERROR(SUMPRODUCT(SEARCH(MID(metadata!B809,ROW(INDIRECT("1:"&amp;LEN(metadata!B809))), 1),"0123456789abcdefghijklmnopqrstuvwxyzABCDEFGHIJKLMNOPQRSTUVWXYZ.")))))</f>
        <v>0</v>
      </c>
      <c r="AE809" t="b">
        <f>OR(AND(IF(metadata!C809="",FALSE,TRUE),OR(EXACT(metadata!C809,"not applicable"),EXACT(metadata!C809,"missing: not collected"),EXACT(metadata!C809,"missing: not provided"),EXACT(metadata!C809,"missing: restricted access"))),AND(IF(metadata!C809="",FALSE,ISNUMBER(VALUE(metadata!C809))),metadata!C809&gt;0))</f>
        <v>0</v>
      </c>
      <c r="AF809" t="b">
        <f>AND(IF(metadata!D809="",FALSE,TRUE),EXACT(metadata!D809,"missing: not provided"))</f>
        <v>0</v>
      </c>
      <c r="AG809" t="b">
        <f>AND(IF(metadata!E809="",FALSE,TRUE),EXACT(metadata!E809,"Host-associated"))</f>
        <v>0</v>
      </c>
      <c r="AH809" t="b">
        <f>AND(IF(metadata!F809="",FALSE,TRUE),OR(EXACT(metadata!F809,"Animal"),EXACT(metadata!F809,"Fungus"),EXACT(metadata!F809,"Plant")))</f>
        <v>0</v>
      </c>
      <c r="AI809" t="b">
        <f>AND(IF(metadata!G809="",FALSE,TRUE),OR(EXACT(metadata!G809,"Plant secretion"),EXACT(metadata!G809,"Plant rhizosphere"),EXACT(metadata!G809,"Plant surface"),EXACT(metadata!G809,"Plant corpus"),EXACT(metadata!G809,"Fungus surface"),EXACT(metadata!G809,"Fungus corpus"),EXACT(metadata!G809,"Animal surface"),EXACT(metadata!G809,"Animal proximal gut"),EXACT(metadata!G809,"Animal corpus"),EXACT(metadata!G809,"Animal distal gut"),EXACT(metadata!G809,"Animal secretion")))</f>
        <v>0</v>
      </c>
      <c r="AJ809" t="b">
        <f>OR(AND(IF(metadata!H809="",FALSE,TRUE),OR(EXACT(metadata!H809,"missing: not collected"),EXACT(metadata!H809,"missing: not provided"),EXACT(metadata!H809,"missing: restricted access"))),AND(IF(metadata!H809="",FALSE,TRUE),OR(EXACT(metadata!H809,"organism-associated habitat"),EXACT(metadata!H809,"plant-associated habitat"),EXACT(metadata!H809,"animal-associated habitat"),EXACT(metadata!H809,"insecta-associated habitat"),EXACT(metadata!H809,"mammalia-associated habitat"),EXACT(metadata!H809,"human-associated habitat"),EXACT(metadata!H809,"livestock-associated habitat"))))</f>
        <v>0</v>
      </c>
      <c r="AK809" t="b">
        <f>AND(IF(metadata!I809="",FALSE,TRUE),EXACT(metadata!I809,"host-associated"))</f>
        <v>0</v>
      </c>
      <c r="AL809" t="b">
        <f>OR(AND(IF(metadata!J809="",FALSE,TRUE),OR(EXACT(metadata!J809,"not applicable"),EXACT(metadata!J809,"missing: not collected"),EXACT(metadata!J809,"missing: not provided"),EXACT(metadata!J809,"missing: restricted access"))),AND(IF(metadata!J809="",FALSE,ISNUMBER(VALUE(metadata!J809))),metadata!J809&gt;0))</f>
        <v>0</v>
      </c>
      <c r="AM809" t="b">
        <f>AND(IF(metadata!K809="",FALSE,TRUE),EXACT(metadata!K809,"missing: not provided"))</f>
        <v>0</v>
      </c>
      <c r="AN809" t="b">
        <f>IF(metadata!L809="",FALSE,TRUE)</f>
        <v>0</v>
      </c>
      <c r="AO809" t="b">
        <f>IF(metadata!M809="",FALSE,TRUE)</f>
        <v>0</v>
      </c>
      <c r="AP809" t="b">
        <f>OR(AND(IF(metadata!N809="",FALSE,TRUE),OR(EXACT(metadata!N809,"not applicable"),EXACT(metadata!N809,"missing: not collected"),EXACT(metadata!N809,"missing: not provided"))),AND(IF(metadata!N809="",FALSE,IF(ISERROR(INT(metadata!N809)),FALSE,INT(metadata!N809)=metadata!N809)),metadata!N809&gt;0))</f>
        <v>0</v>
      </c>
      <c r="AQ809" t="b">
        <f>AND(IF(metadata!O809="",FALSE,TRUE),EXACT(metadata!O809,"Not applicable"))</f>
        <v>0</v>
      </c>
      <c r="AR809" t="b">
        <f>OR(AND(IF(metadata!P809="",FALSE,TRUE),OR(EXACT(metadata!P809,"not applicable"),EXACT(metadata!P809,"missing: not collected"),EXACT(metadata!P809,"missing: not provided"),EXACT(metadata!P809,"missing: restricted access"))),IF(metadata!P809="",FALSE,IF(ISERROR(INT(metadata!P809)),FALSE,INT(metadata!P809)=metadata!P809)))</f>
        <v>0</v>
      </c>
      <c r="AS809" t="b">
        <f>AND(IF(metadata!Q809="",FALSE,TRUE),EXACT(metadata!Q809,"Not applicable"))</f>
        <v>0</v>
      </c>
      <c r="AT809" t="b">
        <f>OR(AND(IF(metadata!R809="",FALSE,TRUE),OR(EXACT(metadata!R809,"not applicable"),EXACT(metadata!R809,"missing: not collected"),EXACT(metadata!R809,"missing: not provided"),EXACT(metadata!R809,"missing: restricted access"))),AND(IF(metadata!R809="",FALSE,ISNUMBER(VALUE(metadata!R809))),metadata!R809&gt;0))</f>
        <v>0</v>
      </c>
      <c r="AU809" t="b">
        <f>AND(IF(metadata!S809="",FALSE,TRUE),EXACT(metadata!S809,"missing: not provided"))</f>
        <v>0</v>
      </c>
    </row>
    <row r="810" spans="1:47" x14ac:dyDescent="0.2">
      <c r="A810" s="5" t="str">
        <f ca="1">IF(B810=" "," ",HYPERLINK(CONCATENATE("#metadata!",ADDRESS(INDEX($Y$2:$Y$1001,MATCH(ROWS($W$2:W810),$W$2:$W$1001,0),0),1)),INDEX($AB$2:$AB$1001,MATCH(ROWS($W$2:W810),$W$2:$W$1001,0),0)))</f>
        <v xml:space="preserve"> </v>
      </c>
      <c r="B810" s="4" t="str">
        <f ca="1">IF(OR(INDEX($X$2:$X$1001,MATCH(ROWS($W$2:W810),$W$2:$W$1001,0),1)&gt;=100000,INDEX($AD$1005:$AU$1005,1,MATCH(COLUMNS($AD$1006:AD1006),$AD$1006:$AU$1006,0))&gt;=100000), " ",IF(INDEX($AD$2:$AU$1001,MATCH(ROWS($W$2:W810),$W$2:$W$1001,0),MATCH(COLUMNS($AD$1006:AD1006),$AD$1006:$AU$1006,0)), HYPERLINK("#",""), HYPERLINK(CONCATENATE("#metadata!", ADDRESS(INDEX($Y$2:$Y$1001,MATCH(ROWS($W$2:W810),$W$2:$W$1001,0),0), INDEX($AD$1004:$AU$1004,1,MATCH(COLUMNS($AD$1006:AD1006),$AD$1006:$AU$1006,0)))),"Fix")))</f>
        <v xml:space="preserve"> </v>
      </c>
      <c r="C810" s="4" t="str">
        <f ca="1">IF(OR(INDEX($X$2:$X$1001,MATCH(ROWS($W$2:W810),$W$2:$W$1001,0),1)&gt;=100000,INDEX($AD$1005:$AU$1005,1,MATCH(COLUMNS($AD$1006:AE1006),$AD$1006:$AU$1006,0))&gt;=100000), " ",IF(INDEX($AD$2:$AU$1001,MATCH(ROWS($W$2:W810),$W$2:$W$1001,0),MATCH(COLUMNS($AD$1006:AE1006),$AD$1006:$AU$1006,0)), HYPERLINK("#",""), HYPERLINK(CONCATENATE("#metadata!", ADDRESS(INDEX($Y$2:$Y$1001,MATCH(ROWS($W$2:W810),$W$2:$W$1001,0),0), INDEX($AD$1004:$AU$1004,1,MATCH(COLUMNS($AD$1006:AE1006),$AD$1006:$AU$1006,0)))),"Fix")))</f>
        <v xml:space="preserve"> </v>
      </c>
      <c r="D810" s="4" t="str">
        <f ca="1">IF(OR(INDEX($X$2:$X$1001,MATCH(ROWS($W$2:W810),$W$2:$W$1001,0),1)&gt;=100000,INDEX($AD$1005:$AU$1005,1,MATCH(COLUMNS($AD$1006:AF1006),$AD$1006:$AU$1006,0))&gt;=100000), " ",IF(INDEX($AD$2:$AU$1001,MATCH(ROWS($W$2:W810),$W$2:$W$1001,0),MATCH(COLUMNS($AD$1006:AF1006),$AD$1006:$AU$1006,0)), HYPERLINK("#",""), HYPERLINK(CONCATENATE("#metadata!", ADDRESS(INDEX($Y$2:$Y$1001,MATCH(ROWS($W$2:W810),$W$2:$W$1001,0),0), INDEX($AD$1004:$AU$1004,1,MATCH(COLUMNS($AD$1006:AF1006),$AD$1006:$AU$1006,0)))),"Fix")))</f>
        <v xml:space="preserve"> </v>
      </c>
      <c r="E810" s="4" t="str">
        <f ca="1">IF(OR(INDEX($X$2:$X$1001,MATCH(ROWS($W$2:W810),$W$2:$W$1001,0),1)&gt;=100000,INDEX($AD$1005:$AU$1005,1,MATCH(COLUMNS($AD$1006:AG1006),$AD$1006:$AU$1006,0))&gt;=100000), " ",IF(INDEX($AD$2:$AU$1001,MATCH(ROWS($W$2:W810),$W$2:$W$1001,0),MATCH(COLUMNS($AD$1006:AG1006),$AD$1006:$AU$1006,0)), HYPERLINK("#",""), HYPERLINK(CONCATENATE("#metadata!", ADDRESS(INDEX($Y$2:$Y$1001,MATCH(ROWS($W$2:W810),$W$2:$W$1001,0),0), INDEX($AD$1004:$AU$1004,1,MATCH(COLUMNS($AD$1006:AG1006),$AD$1006:$AU$1006,0)))),"Fix")))</f>
        <v xml:space="preserve"> </v>
      </c>
      <c r="F810" s="4" t="str">
        <f ca="1">IF(OR(INDEX($X$2:$X$1001,MATCH(ROWS($W$2:W810),$W$2:$W$1001,0),1)&gt;=100000,INDEX($AD$1005:$AU$1005,1,MATCH(COLUMNS($AD$1006:AH1006),$AD$1006:$AU$1006,0))&gt;=100000), " ",IF(INDEX($AD$2:$AU$1001,MATCH(ROWS($W$2:W810),$W$2:$W$1001,0),MATCH(COLUMNS($AD$1006:AH1006),$AD$1006:$AU$1006,0)), HYPERLINK("#",""), HYPERLINK(CONCATENATE("#metadata!", ADDRESS(INDEX($Y$2:$Y$1001,MATCH(ROWS($W$2:W810),$W$2:$W$1001,0),0), INDEX($AD$1004:$AU$1004,1,MATCH(COLUMNS($AD$1006:AH1006),$AD$1006:$AU$1006,0)))),"Fix")))</f>
        <v xml:space="preserve"> </v>
      </c>
      <c r="G810" s="4" t="str">
        <f ca="1">IF(OR(INDEX($X$2:$X$1001,MATCH(ROWS($W$2:W810),$W$2:$W$1001,0),1)&gt;=100000,INDEX($AD$1005:$AU$1005,1,MATCH(COLUMNS($AD$1006:AI1006),$AD$1006:$AU$1006,0))&gt;=100000), " ",IF(INDEX($AD$2:$AU$1001,MATCH(ROWS($W$2:W810),$W$2:$W$1001,0),MATCH(COLUMNS($AD$1006:AI1006),$AD$1006:$AU$1006,0)), HYPERLINK("#",""), HYPERLINK(CONCATENATE("#metadata!", ADDRESS(INDEX($Y$2:$Y$1001,MATCH(ROWS($W$2:W810),$W$2:$W$1001,0),0), INDEX($AD$1004:$AU$1004,1,MATCH(COLUMNS($AD$1006:AI1006),$AD$1006:$AU$1006,0)))),"Fix")))</f>
        <v xml:space="preserve"> </v>
      </c>
      <c r="H810" s="4" t="str">
        <f ca="1">IF(OR(INDEX($X$2:$X$1001,MATCH(ROWS($W$2:W810),$W$2:$W$1001,0),1)&gt;=100000,INDEX($AD$1005:$AU$1005,1,MATCH(COLUMNS($AD$1006:AJ1006),$AD$1006:$AU$1006,0))&gt;=100000), " ",IF(INDEX($AD$2:$AU$1001,MATCH(ROWS($W$2:W810),$W$2:$W$1001,0),MATCH(COLUMNS($AD$1006:AJ1006),$AD$1006:$AU$1006,0)), HYPERLINK("#",""), HYPERLINK(CONCATENATE("#metadata!", ADDRESS(INDEX($Y$2:$Y$1001,MATCH(ROWS($W$2:W810),$W$2:$W$1001,0),0), INDEX($AD$1004:$AU$1004,1,MATCH(COLUMNS($AD$1006:AJ1006),$AD$1006:$AU$1006,0)))),"Fix")))</f>
        <v xml:space="preserve"> </v>
      </c>
      <c r="I810" s="4" t="str">
        <f ca="1">IF(OR(INDEX($X$2:$X$1001,MATCH(ROWS($W$2:W810),$W$2:$W$1001,0),1)&gt;=100000,INDEX($AD$1005:$AU$1005,1,MATCH(COLUMNS($AD$1006:AK1006),$AD$1006:$AU$1006,0))&gt;=100000), " ",IF(INDEX($AD$2:$AU$1001,MATCH(ROWS($W$2:W810),$W$2:$W$1001,0),MATCH(COLUMNS($AD$1006:AK1006),$AD$1006:$AU$1006,0)), HYPERLINK("#",""), HYPERLINK(CONCATENATE("#metadata!", ADDRESS(INDEX($Y$2:$Y$1001,MATCH(ROWS($W$2:W810),$W$2:$W$1001,0),0), INDEX($AD$1004:$AU$1004,1,MATCH(COLUMNS($AD$1006:AK1006),$AD$1006:$AU$1006,0)))),"Fix")))</f>
        <v xml:space="preserve"> </v>
      </c>
      <c r="J810" s="4" t="str">
        <f ca="1">IF(OR(INDEX($X$2:$X$1001,MATCH(ROWS($W$2:W810),$W$2:$W$1001,0),1)&gt;=100000,INDEX($AD$1005:$AU$1005,1,MATCH(COLUMNS($AD$1006:AL1006),$AD$1006:$AU$1006,0))&gt;=100000), " ",IF(INDEX($AD$2:$AU$1001,MATCH(ROWS($W$2:W810),$W$2:$W$1001,0),MATCH(COLUMNS($AD$1006:AL1006),$AD$1006:$AU$1006,0)), HYPERLINK("#",""), HYPERLINK(CONCATENATE("#metadata!", ADDRESS(INDEX($Y$2:$Y$1001,MATCH(ROWS($W$2:W810),$W$2:$W$1001,0),0), INDEX($AD$1004:$AU$1004,1,MATCH(COLUMNS($AD$1006:AL1006),$AD$1006:$AU$1006,0)))),"Fix")))</f>
        <v xml:space="preserve"> </v>
      </c>
      <c r="K810" s="4" t="str">
        <f ca="1">IF(OR(INDEX($X$2:$X$1001,MATCH(ROWS($W$2:W810),$W$2:$W$1001,0),1)&gt;=100000,INDEX($AD$1005:$AU$1005,1,MATCH(COLUMNS($AD$1006:AM1006),$AD$1006:$AU$1006,0))&gt;=100000), " ",IF(INDEX($AD$2:$AU$1001,MATCH(ROWS($W$2:W810),$W$2:$W$1001,0),MATCH(COLUMNS($AD$1006:AM1006),$AD$1006:$AU$1006,0)), HYPERLINK("#",""), HYPERLINK(CONCATENATE("#metadata!", ADDRESS(INDEX($Y$2:$Y$1001,MATCH(ROWS($W$2:W810),$W$2:$W$1001,0),0), INDEX($AD$1004:$AU$1004,1,MATCH(COLUMNS($AD$1006:AM1006),$AD$1006:$AU$1006,0)))),"Fix")))</f>
        <v xml:space="preserve"> </v>
      </c>
      <c r="L810" s="4" t="str">
        <f ca="1">IF(OR(INDEX($X$2:$X$1001,MATCH(ROWS($W$2:W810),$W$2:$W$1001,0),1)&gt;=100000,INDEX($AD$1005:$AU$1005,1,MATCH(COLUMNS($AD$1006:AN1006),$AD$1006:$AU$1006,0))&gt;=100000), " ",IF(INDEX($AD$2:$AU$1001,MATCH(ROWS($W$2:W810),$W$2:$W$1001,0),MATCH(COLUMNS($AD$1006:AN1006),$AD$1006:$AU$1006,0)), HYPERLINK("#",""), HYPERLINK(CONCATENATE("#metadata!", ADDRESS(INDEX($Y$2:$Y$1001,MATCH(ROWS($W$2:W810),$W$2:$W$1001,0),0), INDEX($AD$1004:$AU$1004,1,MATCH(COLUMNS($AD$1006:AN1006),$AD$1006:$AU$1006,0)))),"Fix")))</f>
        <v xml:space="preserve"> </v>
      </c>
      <c r="M810" s="4" t="str">
        <f ca="1">IF(OR(INDEX($X$2:$X$1001,MATCH(ROWS($W$2:W810),$W$2:$W$1001,0),1)&gt;=100000,INDEX($AD$1005:$AU$1005,1,MATCH(COLUMNS($AD$1006:AO1006),$AD$1006:$AU$1006,0))&gt;=100000), " ",IF(INDEX($AD$2:$AU$1001,MATCH(ROWS($W$2:W810),$W$2:$W$1001,0),MATCH(COLUMNS($AD$1006:AO1006),$AD$1006:$AU$1006,0)), HYPERLINK("#",""), HYPERLINK(CONCATENATE("#metadata!", ADDRESS(INDEX($Y$2:$Y$1001,MATCH(ROWS($W$2:W810),$W$2:$W$1001,0),0), INDEX($AD$1004:$AU$1004,1,MATCH(COLUMNS($AD$1006:AO1006),$AD$1006:$AU$1006,0)))),"Fix")))</f>
        <v xml:space="preserve"> </v>
      </c>
      <c r="N810" s="4" t="str">
        <f ca="1">IF(OR(INDEX($X$2:$X$1001,MATCH(ROWS($W$2:W810),$W$2:$W$1001,0),1)&gt;=100000,INDEX($AD$1005:$AU$1005,1,MATCH(COLUMNS($AD$1006:AP1006),$AD$1006:$AU$1006,0))&gt;=100000), " ",IF(INDEX($AD$2:$AU$1001,MATCH(ROWS($W$2:W810),$W$2:$W$1001,0),MATCH(COLUMNS($AD$1006:AP1006),$AD$1006:$AU$1006,0)), HYPERLINK("#",""), HYPERLINK(CONCATENATE("#metadata!", ADDRESS(INDEX($Y$2:$Y$1001,MATCH(ROWS($W$2:W810),$W$2:$W$1001,0),0), INDEX($AD$1004:$AU$1004,1,MATCH(COLUMNS($AD$1006:AP1006),$AD$1006:$AU$1006,0)))),"Fix")))</f>
        <v xml:space="preserve"> </v>
      </c>
      <c r="O810" s="4" t="str">
        <f ca="1">IF(OR(INDEX($X$2:$X$1001,MATCH(ROWS($W$2:W810),$W$2:$W$1001,0),1)&gt;=100000,INDEX($AD$1005:$AU$1005,1,MATCH(COLUMNS($AD$1006:AQ1006),$AD$1006:$AU$1006,0))&gt;=100000), " ",IF(INDEX($AD$2:$AU$1001,MATCH(ROWS($W$2:W810),$W$2:$W$1001,0),MATCH(COLUMNS($AD$1006:AQ1006),$AD$1006:$AU$1006,0)), HYPERLINK("#",""), HYPERLINK(CONCATENATE("#metadata!", ADDRESS(INDEX($Y$2:$Y$1001,MATCH(ROWS($W$2:W810),$W$2:$W$1001,0),0), INDEX($AD$1004:$AU$1004,1,MATCH(COLUMNS($AD$1006:AQ1006),$AD$1006:$AU$1006,0)))),"Fix")))</f>
        <v xml:space="preserve"> </v>
      </c>
      <c r="P810" s="4" t="str">
        <f ca="1">IF(OR(INDEX($X$2:$X$1001,MATCH(ROWS($W$2:W810),$W$2:$W$1001,0),1)&gt;=100000,INDEX($AD$1005:$AU$1005,1,MATCH(COLUMNS($AD$1006:AR1006),$AD$1006:$AU$1006,0))&gt;=100000), " ",IF(INDEX($AD$2:$AU$1001,MATCH(ROWS($W$2:W810),$W$2:$W$1001,0),MATCH(COLUMNS($AD$1006:AR1006),$AD$1006:$AU$1006,0)), HYPERLINK("#",""), HYPERLINK(CONCATENATE("#metadata!", ADDRESS(INDEX($Y$2:$Y$1001,MATCH(ROWS($W$2:W810),$W$2:$W$1001,0),0), INDEX($AD$1004:$AU$1004,1,MATCH(COLUMNS($AD$1006:AR1006),$AD$1006:$AU$1006,0)))),"Fix")))</f>
        <v xml:space="preserve"> </v>
      </c>
      <c r="Q810" s="4" t="str">
        <f ca="1">IF(OR(INDEX($X$2:$X$1001,MATCH(ROWS($W$2:W810),$W$2:$W$1001,0),1)&gt;=100000,INDEX($AD$1005:$AU$1005,1,MATCH(COLUMNS($AD$1006:AS1006),$AD$1006:$AU$1006,0))&gt;=100000), " ",IF(INDEX($AD$2:$AU$1001,MATCH(ROWS($W$2:W810),$W$2:$W$1001,0),MATCH(COLUMNS($AD$1006:AS1006),$AD$1006:$AU$1006,0)), HYPERLINK("#",""), HYPERLINK(CONCATENATE("#metadata!", ADDRESS(INDEX($Y$2:$Y$1001,MATCH(ROWS($W$2:W810),$W$2:$W$1001,0),0), INDEX($AD$1004:$AU$1004,1,MATCH(COLUMNS($AD$1006:AS1006),$AD$1006:$AU$1006,0)))),"Fix")))</f>
        <v xml:space="preserve"> </v>
      </c>
      <c r="R810" s="4" t="str">
        <f ca="1">IF(OR(INDEX($X$2:$X$1001,MATCH(ROWS($W$2:W810),$W$2:$W$1001,0),1)&gt;=100000,INDEX($AD$1005:$AU$1005,1,MATCH(COLUMNS($AD$1006:AT1006),$AD$1006:$AU$1006,0))&gt;=100000), " ",IF(INDEX($AD$2:$AU$1001,MATCH(ROWS($W$2:W810),$W$2:$W$1001,0),MATCH(COLUMNS($AD$1006:AT1006),$AD$1006:$AU$1006,0)), HYPERLINK("#",""), HYPERLINK(CONCATENATE("#metadata!", ADDRESS(INDEX($Y$2:$Y$1001,MATCH(ROWS($W$2:W810),$W$2:$W$1001,0),0), INDEX($AD$1004:$AU$1004,1,MATCH(COLUMNS($AD$1006:AT1006),$AD$1006:$AU$1006,0)))),"Fix")))</f>
        <v xml:space="preserve"> </v>
      </c>
      <c r="S810" s="4" t="str">
        <f ca="1">IF(OR(INDEX($X$2:$X$1001,MATCH(ROWS($W$2:W810),$W$2:$W$1001,0),1)&gt;=100000,INDEX($AD$1005:$AU$1005,1,MATCH(COLUMNS($AD$1006:AU1006),$AD$1006:$AU$1006,0))&gt;=100000), " ",IF(INDEX($AD$2:$AU$1001,MATCH(ROWS($W$2:W810),$W$2:$W$1001,0),MATCH(COLUMNS($AD$1006:AU1006),$AD$1006:$AU$1006,0)), HYPERLINK("#",""), HYPERLINK(CONCATENATE("#metadata!", ADDRESS(INDEX($Y$2:$Y$1001,MATCH(ROWS($W$2:W810),$W$2:$W$1001,0),0), INDEX($AD$1004:$AU$1004,1,MATCH(COLUMNS($AD$1006:AU1006),$AD$1006:$AU$1006,0)))),"Fix")))</f>
        <v xml:space="preserve"> </v>
      </c>
      <c r="W810">
        <v>809</v>
      </c>
      <c r="X810">
        <v>100810</v>
      </c>
      <c r="Y810">
        <v>810</v>
      </c>
      <c r="Z810" t="b">
        <f t="shared" si="12"/>
        <v>1</v>
      </c>
      <c r="AA810" t="b">
        <f>COUNTBLANK(metadata!B810:S810)=COLUMNS(metadata!B810:S810)</f>
        <v>1</v>
      </c>
      <c r="AB810" t="str">
        <v/>
      </c>
      <c r="AD810" t="b">
        <f ca="1">AND(IF(metadata!B810="",FALSE,TRUE),COUNTIF(metadata!B:B, metadata!B810) = 1,NOT(ISERROR(SUMPRODUCT(SEARCH(MID(metadata!B810,ROW(INDIRECT("1:"&amp;LEN(metadata!B810))), 1),"0123456789abcdefghijklmnopqrstuvwxyzABCDEFGHIJKLMNOPQRSTUVWXYZ.")))))</f>
        <v>0</v>
      </c>
      <c r="AE810" t="b">
        <f>OR(AND(IF(metadata!C810="",FALSE,TRUE),OR(EXACT(metadata!C810,"not applicable"),EXACT(metadata!C810,"missing: not collected"),EXACT(metadata!C810,"missing: not provided"),EXACT(metadata!C810,"missing: restricted access"))),AND(IF(metadata!C810="",FALSE,ISNUMBER(VALUE(metadata!C810))),metadata!C810&gt;0))</f>
        <v>0</v>
      </c>
      <c r="AF810" t="b">
        <f>AND(IF(metadata!D810="",FALSE,TRUE),EXACT(metadata!D810,"missing: not provided"))</f>
        <v>0</v>
      </c>
      <c r="AG810" t="b">
        <f>AND(IF(metadata!E810="",FALSE,TRUE),EXACT(metadata!E810,"Host-associated"))</f>
        <v>0</v>
      </c>
      <c r="AH810" t="b">
        <f>AND(IF(metadata!F810="",FALSE,TRUE),OR(EXACT(metadata!F810,"Animal"),EXACT(metadata!F810,"Fungus"),EXACT(metadata!F810,"Plant")))</f>
        <v>0</v>
      </c>
      <c r="AI810" t="b">
        <f>AND(IF(metadata!G810="",FALSE,TRUE),OR(EXACT(metadata!G810,"Plant secretion"),EXACT(metadata!G810,"Plant rhizosphere"),EXACT(metadata!G810,"Plant surface"),EXACT(metadata!G810,"Plant corpus"),EXACT(metadata!G810,"Fungus surface"),EXACT(metadata!G810,"Fungus corpus"),EXACT(metadata!G810,"Animal surface"),EXACT(metadata!G810,"Animal proximal gut"),EXACT(metadata!G810,"Animal corpus"),EXACT(metadata!G810,"Animal distal gut"),EXACT(metadata!G810,"Animal secretion")))</f>
        <v>0</v>
      </c>
      <c r="AJ810" t="b">
        <f>OR(AND(IF(metadata!H810="",FALSE,TRUE),OR(EXACT(metadata!H810,"missing: not collected"),EXACT(metadata!H810,"missing: not provided"),EXACT(metadata!H810,"missing: restricted access"))),AND(IF(metadata!H810="",FALSE,TRUE),OR(EXACT(metadata!H810,"organism-associated habitat"),EXACT(metadata!H810,"plant-associated habitat"),EXACT(metadata!H810,"animal-associated habitat"),EXACT(metadata!H810,"insecta-associated habitat"),EXACT(metadata!H810,"mammalia-associated habitat"),EXACT(metadata!H810,"human-associated habitat"),EXACT(metadata!H810,"livestock-associated habitat"))))</f>
        <v>0</v>
      </c>
      <c r="AK810" t="b">
        <f>AND(IF(metadata!I810="",FALSE,TRUE),EXACT(metadata!I810,"host-associated"))</f>
        <v>0</v>
      </c>
      <c r="AL810" t="b">
        <f>OR(AND(IF(metadata!J810="",FALSE,TRUE),OR(EXACT(metadata!J810,"not applicable"),EXACT(metadata!J810,"missing: not collected"),EXACT(metadata!J810,"missing: not provided"),EXACT(metadata!J810,"missing: restricted access"))),AND(IF(metadata!J810="",FALSE,ISNUMBER(VALUE(metadata!J810))),metadata!J810&gt;0))</f>
        <v>0</v>
      </c>
      <c r="AM810" t="b">
        <f>AND(IF(metadata!K810="",FALSE,TRUE),EXACT(metadata!K810,"missing: not provided"))</f>
        <v>0</v>
      </c>
      <c r="AN810" t="b">
        <f>IF(metadata!L810="",FALSE,TRUE)</f>
        <v>0</v>
      </c>
      <c r="AO810" t="b">
        <f>IF(metadata!M810="",FALSE,TRUE)</f>
        <v>0</v>
      </c>
      <c r="AP810" t="b">
        <f>OR(AND(IF(metadata!N810="",FALSE,TRUE),OR(EXACT(metadata!N810,"not applicable"),EXACT(metadata!N810,"missing: not collected"),EXACT(metadata!N810,"missing: not provided"))),AND(IF(metadata!N810="",FALSE,IF(ISERROR(INT(metadata!N810)),FALSE,INT(metadata!N810)=metadata!N810)),metadata!N810&gt;0))</f>
        <v>0</v>
      </c>
      <c r="AQ810" t="b">
        <f>AND(IF(metadata!O810="",FALSE,TRUE),EXACT(metadata!O810,"Not applicable"))</f>
        <v>0</v>
      </c>
      <c r="AR810" t="b">
        <f>OR(AND(IF(metadata!P810="",FALSE,TRUE),OR(EXACT(metadata!P810,"not applicable"),EXACT(metadata!P810,"missing: not collected"),EXACT(metadata!P810,"missing: not provided"),EXACT(metadata!P810,"missing: restricted access"))),IF(metadata!P810="",FALSE,IF(ISERROR(INT(metadata!P810)),FALSE,INT(metadata!P810)=metadata!P810)))</f>
        <v>0</v>
      </c>
      <c r="AS810" t="b">
        <f>AND(IF(metadata!Q810="",FALSE,TRUE),EXACT(metadata!Q810,"Not applicable"))</f>
        <v>0</v>
      </c>
      <c r="AT810" t="b">
        <f>OR(AND(IF(metadata!R810="",FALSE,TRUE),OR(EXACT(metadata!R810,"not applicable"),EXACT(metadata!R810,"missing: not collected"),EXACT(metadata!R810,"missing: not provided"),EXACT(metadata!R810,"missing: restricted access"))),AND(IF(metadata!R810="",FALSE,ISNUMBER(VALUE(metadata!R810))),metadata!R810&gt;0))</f>
        <v>0</v>
      </c>
      <c r="AU810" t="b">
        <f>AND(IF(metadata!S810="",FALSE,TRUE),EXACT(metadata!S810,"missing: not provided"))</f>
        <v>0</v>
      </c>
    </row>
    <row r="811" spans="1:47" x14ac:dyDescent="0.2">
      <c r="A811" s="5" t="str">
        <f ca="1">IF(B811=" "," ",HYPERLINK(CONCATENATE("#metadata!",ADDRESS(INDEX($Y$2:$Y$1001,MATCH(ROWS($W$2:W811),$W$2:$W$1001,0),0),1)),INDEX($AB$2:$AB$1001,MATCH(ROWS($W$2:W811),$W$2:$W$1001,0),0)))</f>
        <v xml:space="preserve"> </v>
      </c>
      <c r="B811" s="4" t="str">
        <f ca="1">IF(OR(INDEX($X$2:$X$1001,MATCH(ROWS($W$2:W811),$W$2:$W$1001,0),1)&gt;=100000,INDEX($AD$1005:$AU$1005,1,MATCH(COLUMNS($AD$1006:AD1006),$AD$1006:$AU$1006,0))&gt;=100000), " ",IF(INDEX($AD$2:$AU$1001,MATCH(ROWS($W$2:W811),$W$2:$W$1001,0),MATCH(COLUMNS($AD$1006:AD1006),$AD$1006:$AU$1006,0)), HYPERLINK("#",""), HYPERLINK(CONCATENATE("#metadata!", ADDRESS(INDEX($Y$2:$Y$1001,MATCH(ROWS($W$2:W811),$W$2:$W$1001,0),0), INDEX($AD$1004:$AU$1004,1,MATCH(COLUMNS($AD$1006:AD1006),$AD$1006:$AU$1006,0)))),"Fix")))</f>
        <v xml:space="preserve"> </v>
      </c>
      <c r="C811" s="4" t="str">
        <f ca="1">IF(OR(INDEX($X$2:$X$1001,MATCH(ROWS($W$2:W811),$W$2:$W$1001,0),1)&gt;=100000,INDEX($AD$1005:$AU$1005,1,MATCH(COLUMNS($AD$1006:AE1006),$AD$1006:$AU$1006,0))&gt;=100000), " ",IF(INDEX($AD$2:$AU$1001,MATCH(ROWS($W$2:W811),$W$2:$W$1001,0),MATCH(COLUMNS($AD$1006:AE1006),$AD$1006:$AU$1006,0)), HYPERLINK("#",""), HYPERLINK(CONCATENATE("#metadata!", ADDRESS(INDEX($Y$2:$Y$1001,MATCH(ROWS($W$2:W811),$W$2:$W$1001,0),0), INDEX($AD$1004:$AU$1004,1,MATCH(COLUMNS($AD$1006:AE1006),$AD$1006:$AU$1006,0)))),"Fix")))</f>
        <v xml:space="preserve"> </v>
      </c>
      <c r="D811" s="4" t="str">
        <f ca="1">IF(OR(INDEX($X$2:$X$1001,MATCH(ROWS($W$2:W811),$W$2:$W$1001,0),1)&gt;=100000,INDEX($AD$1005:$AU$1005,1,MATCH(COLUMNS($AD$1006:AF1006),$AD$1006:$AU$1006,0))&gt;=100000), " ",IF(INDEX($AD$2:$AU$1001,MATCH(ROWS($W$2:W811),$W$2:$W$1001,0),MATCH(COLUMNS($AD$1006:AF1006),$AD$1006:$AU$1006,0)), HYPERLINK("#",""), HYPERLINK(CONCATENATE("#metadata!", ADDRESS(INDEX($Y$2:$Y$1001,MATCH(ROWS($W$2:W811),$W$2:$W$1001,0),0), INDEX($AD$1004:$AU$1004,1,MATCH(COLUMNS($AD$1006:AF1006),$AD$1006:$AU$1006,0)))),"Fix")))</f>
        <v xml:space="preserve"> </v>
      </c>
      <c r="E811" s="4" t="str">
        <f ca="1">IF(OR(INDEX($X$2:$X$1001,MATCH(ROWS($W$2:W811),$W$2:$W$1001,0),1)&gt;=100000,INDEX($AD$1005:$AU$1005,1,MATCH(COLUMNS($AD$1006:AG1006),$AD$1006:$AU$1006,0))&gt;=100000), " ",IF(INDEX($AD$2:$AU$1001,MATCH(ROWS($W$2:W811),$W$2:$W$1001,0),MATCH(COLUMNS($AD$1006:AG1006),$AD$1006:$AU$1006,0)), HYPERLINK("#",""), HYPERLINK(CONCATENATE("#metadata!", ADDRESS(INDEX($Y$2:$Y$1001,MATCH(ROWS($W$2:W811),$W$2:$W$1001,0),0), INDEX($AD$1004:$AU$1004,1,MATCH(COLUMNS($AD$1006:AG1006),$AD$1006:$AU$1006,0)))),"Fix")))</f>
        <v xml:space="preserve"> </v>
      </c>
      <c r="F811" s="4" t="str">
        <f ca="1">IF(OR(INDEX($X$2:$X$1001,MATCH(ROWS($W$2:W811),$W$2:$W$1001,0),1)&gt;=100000,INDEX($AD$1005:$AU$1005,1,MATCH(COLUMNS($AD$1006:AH1006),$AD$1006:$AU$1006,0))&gt;=100000), " ",IF(INDEX($AD$2:$AU$1001,MATCH(ROWS($W$2:W811),$W$2:$W$1001,0),MATCH(COLUMNS($AD$1006:AH1006),$AD$1006:$AU$1006,0)), HYPERLINK("#",""), HYPERLINK(CONCATENATE("#metadata!", ADDRESS(INDEX($Y$2:$Y$1001,MATCH(ROWS($W$2:W811),$W$2:$W$1001,0),0), INDEX($AD$1004:$AU$1004,1,MATCH(COLUMNS($AD$1006:AH1006),$AD$1006:$AU$1006,0)))),"Fix")))</f>
        <v xml:space="preserve"> </v>
      </c>
      <c r="G811" s="4" t="str">
        <f ca="1">IF(OR(INDEX($X$2:$X$1001,MATCH(ROWS($W$2:W811),$W$2:$W$1001,0),1)&gt;=100000,INDEX($AD$1005:$AU$1005,1,MATCH(COLUMNS($AD$1006:AI1006),$AD$1006:$AU$1006,0))&gt;=100000), " ",IF(INDEX($AD$2:$AU$1001,MATCH(ROWS($W$2:W811),$W$2:$W$1001,0),MATCH(COLUMNS($AD$1006:AI1006),$AD$1006:$AU$1006,0)), HYPERLINK("#",""), HYPERLINK(CONCATENATE("#metadata!", ADDRESS(INDEX($Y$2:$Y$1001,MATCH(ROWS($W$2:W811),$W$2:$W$1001,0),0), INDEX($AD$1004:$AU$1004,1,MATCH(COLUMNS($AD$1006:AI1006),$AD$1006:$AU$1006,0)))),"Fix")))</f>
        <v xml:space="preserve"> </v>
      </c>
      <c r="H811" s="4" t="str">
        <f ca="1">IF(OR(INDEX($X$2:$X$1001,MATCH(ROWS($W$2:W811),$W$2:$W$1001,0),1)&gt;=100000,INDEX($AD$1005:$AU$1005,1,MATCH(COLUMNS($AD$1006:AJ1006),$AD$1006:$AU$1006,0))&gt;=100000), " ",IF(INDEX($AD$2:$AU$1001,MATCH(ROWS($W$2:W811),$W$2:$W$1001,0),MATCH(COLUMNS($AD$1006:AJ1006),$AD$1006:$AU$1006,0)), HYPERLINK("#",""), HYPERLINK(CONCATENATE("#metadata!", ADDRESS(INDEX($Y$2:$Y$1001,MATCH(ROWS($W$2:W811),$W$2:$W$1001,0),0), INDEX($AD$1004:$AU$1004,1,MATCH(COLUMNS($AD$1006:AJ1006),$AD$1006:$AU$1006,0)))),"Fix")))</f>
        <v xml:space="preserve"> </v>
      </c>
      <c r="I811" s="4" t="str">
        <f ca="1">IF(OR(INDEX($X$2:$X$1001,MATCH(ROWS($W$2:W811),$W$2:$W$1001,0),1)&gt;=100000,INDEX($AD$1005:$AU$1005,1,MATCH(COLUMNS($AD$1006:AK1006),$AD$1006:$AU$1006,0))&gt;=100000), " ",IF(INDEX($AD$2:$AU$1001,MATCH(ROWS($W$2:W811),$W$2:$W$1001,0),MATCH(COLUMNS($AD$1006:AK1006),$AD$1006:$AU$1006,0)), HYPERLINK("#",""), HYPERLINK(CONCATENATE("#metadata!", ADDRESS(INDEX($Y$2:$Y$1001,MATCH(ROWS($W$2:W811),$W$2:$W$1001,0),0), INDEX($AD$1004:$AU$1004,1,MATCH(COLUMNS($AD$1006:AK1006),$AD$1006:$AU$1006,0)))),"Fix")))</f>
        <v xml:space="preserve"> </v>
      </c>
      <c r="J811" s="4" t="str">
        <f ca="1">IF(OR(INDEX($X$2:$X$1001,MATCH(ROWS($W$2:W811),$W$2:$W$1001,0),1)&gt;=100000,INDEX($AD$1005:$AU$1005,1,MATCH(COLUMNS($AD$1006:AL1006),$AD$1006:$AU$1006,0))&gt;=100000), " ",IF(INDEX($AD$2:$AU$1001,MATCH(ROWS($W$2:W811),$W$2:$W$1001,0),MATCH(COLUMNS($AD$1006:AL1006),$AD$1006:$AU$1006,0)), HYPERLINK("#",""), HYPERLINK(CONCATENATE("#metadata!", ADDRESS(INDEX($Y$2:$Y$1001,MATCH(ROWS($W$2:W811),$W$2:$W$1001,0),0), INDEX($AD$1004:$AU$1004,1,MATCH(COLUMNS($AD$1006:AL1006),$AD$1006:$AU$1006,0)))),"Fix")))</f>
        <v xml:space="preserve"> </v>
      </c>
      <c r="K811" s="4" t="str">
        <f ca="1">IF(OR(INDEX($X$2:$X$1001,MATCH(ROWS($W$2:W811),$W$2:$W$1001,0),1)&gt;=100000,INDEX($AD$1005:$AU$1005,1,MATCH(COLUMNS($AD$1006:AM1006),$AD$1006:$AU$1006,0))&gt;=100000), " ",IF(INDEX($AD$2:$AU$1001,MATCH(ROWS($W$2:W811),$W$2:$W$1001,0),MATCH(COLUMNS($AD$1006:AM1006),$AD$1006:$AU$1006,0)), HYPERLINK("#",""), HYPERLINK(CONCATENATE("#metadata!", ADDRESS(INDEX($Y$2:$Y$1001,MATCH(ROWS($W$2:W811),$W$2:$W$1001,0),0), INDEX($AD$1004:$AU$1004,1,MATCH(COLUMNS($AD$1006:AM1006),$AD$1006:$AU$1006,0)))),"Fix")))</f>
        <v xml:space="preserve"> </v>
      </c>
      <c r="L811" s="4" t="str">
        <f ca="1">IF(OR(INDEX($X$2:$X$1001,MATCH(ROWS($W$2:W811),$W$2:$W$1001,0),1)&gt;=100000,INDEX($AD$1005:$AU$1005,1,MATCH(COLUMNS($AD$1006:AN1006),$AD$1006:$AU$1006,0))&gt;=100000), " ",IF(INDEX($AD$2:$AU$1001,MATCH(ROWS($W$2:W811),$W$2:$W$1001,0),MATCH(COLUMNS($AD$1006:AN1006),$AD$1006:$AU$1006,0)), HYPERLINK("#",""), HYPERLINK(CONCATENATE("#metadata!", ADDRESS(INDEX($Y$2:$Y$1001,MATCH(ROWS($W$2:W811),$W$2:$W$1001,0),0), INDEX($AD$1004:$AU$1004,1,MATCH(COLUMNS($AD$1006:AN1006),$AD$1006:$AU$1006,0)))),"Fix")))</f>
        <v xml:space="preserve"> </v>
      </c>
      <c r="M811" s="4" t="str">
        <f ca="1">IF(OR(INDEX($X$2:$X$1001,MATCH(ROWS($W$2:W811),$W$2:$W$1001,0),1)&gt;=100000,INDEX($AD$1005:$AU$1005,1,MATCH(COLUMNS($AD$1006:AO1006),$AD$1006:$AU$1006,0))&gt;=100000), " ",IF(INDEX($AD$2:$AU$1001,MATCH(ROWS($W$2:W811),$W$2:$W$1001,0),MATCH(COLUMNS($AD$1006:AO1006),$AD$1006:$AU$1006,0)), HYPERLINK("#",""), HYPERLINK(CONCATENATE("#metadata!", ADDRESS(INDEX($Y$2:$Y$1001,MATCH(ROWS($W$2:W811),$W$2:$W$1001,0),0), INDEX($AD$1004:$AU$1004,1,MATCH(COLUMNS($AD$1006:AO1006),$AD$1006:$AU$1006,0)))),"Fix")))</f>
        <v xml:space="preserve"> </v>
      </c>
      <c r="N811" s="4" t="str">
        <f ca="1">IF(OR(INDEX($X$2:$X$1001,MATCH(ROWS($W$2:W811),$W$2:$W$1001,0),1)&gt;=100000,INDEX($AD$1005:$AU$1005,1,MATCH(COLUMNS($AD$1006:AP1006),$AD$1006:$AU$1006,0))&gt;=100000), " ",IF(INDEX($AD$2:$AU$1001,MATCH(ROWS($W$2:W811),$W$2:$W$1001,0),MATCH(COLUMNS($AD$1006:AP1006),$AD$1006:$AU$1006,0)), HYPERLINK("#",""), HYPERLINK(CONCATENATE("#metadata!", ADDRESS(INDEX($Y$2:$Y$1001,MATCH(ROWS($W$2:W811),$W$2:$W$1001,0),0), INDEX($AD$1004:$AU$1004,1,MATCH(COLUMNS($AD$1006:AP1006),$AD$1006:$AU$1006,0)))),"Fix")))</f>
        <v xml:space="preserve"> </v>
      </c>
      <c r="O811" s="4" t="str">
        <f ca="1">IF(OR(INDEX($X$2:$X$1001,MATCH(ROWS($W$2:W811),$W$2:$W$1001,0),1)&gt;=100000,INDEX($AD$1005:$AU$1005,1,MATCH(COLUMNS($AD$1006:AQ1006),$AD$1006:$AU$1006,0))&gt;=100000), " ",IF(INDEX($AD$2:$AU$1001,MATCH(ROWS($W$2:W811),$W$2:$W$1001,0),MATCH(COLUMNS($AD$1006:AQ1006),$AD$1006:$AU$1006,0)), HYPERLINK("#",""), HYPERLINK(CONCATENATE("#metadata!", ADDRESS(INDEX($Y$2:$Y$1001,MATCH(ROWS($W$2:W811),$W$2:$W$1001,0),0), INDEX($AD$1004:$AU$1004,1,MATCH(COLUMNS($AD$1006:AQ1006),$AD$1006:$AU$1006,0)))),"Fix")))</f>
        <v xml:space="preserve"> </v>
      </c>
      <c r="P811" s="4" t="str">
        <f ca="1">IF(OR(INDEX($X$2:$X$1001,MATCH(ROWS($W$2:W811),$W$2:$W$1001,0),1)&gt;=100000,INDEX($AD$1005:$AU$1005,1,MATCH(COLUMNS($AD$1006:AR1006),$AD$1006:$AU$1006,0))&gt;=100000), " ",IF(INDEX($AD$2:$AU$1001,MATCH(ROWS($W$2:W811),$W$2:$W$1001,0),MATCH(COLUMNS($AD$1006:AR1006),$AD$1006:$AU$1006,0)), HYPERLINK("#",""), HYPERLINK(CONCATENATE("#metadata!", ADDRESS(INDEX($Y$2:$Y$1001,MATCH(ROWS($W$2:W811),$W$2:$W$1001,0),0), INDEX($AD$1004:$AU$1004,1,MATCH(COLUMNS($AD$1006:AR1006),$AD$1006:$AU$1006,0)))),"Fix")))</f>
        <v xml:space="preserve"> </v>
      </c>
      <c r="Q811" s="4" t="str">
        <f ca="1">IF(OR(INDEX($X$2:$X$1001,MATCH(ROWS($W$2:W811),$W$2:$W$1001,0),1)&gt;=100000,INDEX($AD$1005:$AU$1005,1,MATCH(COLUMNS($AD$1006:AS1006),$AD$1006:$AU$1006,0))&gt;=100000), " ",IF(INDEX($AD$2:$AU$1001,MATCH(ROWS($W$2:W811),$W$2:$W$1001,0),MATCH(COLUMNS($AD$1006:AS1006),$AD$1006:$AU$1006,0)), HYPERLINK("#",""), HYPERLINK(CONCATENATE("#metadata!", ADDRESS(INDEX($Y$2:$Y$1001,MATCH(ROWS($W$2:W811),$W$2:$W$1001,0),0), INDEX($AD$1004:$AU$1004,1,MATCH(COLUMNS($AD$1006:AS1006),$AD$1006:$AU$1006,0)))),"Fix")))</f>
        <v xml:space="preserve"> </v>
      </c>
      <c r="R811" s="4" t="str">
        <f ca="1">IF(OR(INDEX($X$2:$X$1001,MATCH(ROWS($W$2:W811),$W$2:$W$1001,0),1)&gt;=100000,INDEX($AD$1005:$AU$1005,1,MATCH(COLUMNS($AD$1006:AT1006),$AD$1006:$AU$1006,0))&gt;=100000), " ",IF(INDEX($AD$2:$AU$1001,MATCH(ROWS($W$2:W811),$W$2:$W$1001,0),MATCH(COLUMNS($AD$1006:AT1006),$AD$1006:$AU$1006,0)), HYPERLINK("#",""), HYPERLINK(CONCATENATE("#metadata!", ADDRESS(INDEX($Y$2:$Y$1001,MATCH(ROWS($W$2:W811),$W$2:$W$1001,0),0), INDEX($AD$1004:$AU$1004,1,MATCH(COLUMNS($AD$1006:AT1006),$AD$1006:$AU$1006,0)))),"Fix")))</f>
        <v xml:space="preserve"> </v>
      </c>
      <c r="S811" s="4" t="str">
        <f ca="1">IF(OR(INDEX($X$2:$X$1001,MATCH(ROWS($W$2:W811),$W$2:$W$1001,0),1)&gt;=100000,INDEX($AD$1005:$AU$1005,1,MATCH(COLUMNS($AD$1006:AU1006),$AD$1006:$AU$1006,0))&gt;=100000), " ",IF(INDEX($AD$2:$AU$1001,MATCH(ROWS($W$2:W811),$W$2:$W$1001,0),MATCH(COLUMNS($AD$1006:AU1006),$AD$1006:$AU$1006,0)), HYPERLINK("#",""), HYPERLINK(CONCATENATE("#metadata!", ADDRESS(INDEX($Y$2:$Y$1001,MATCH(ROWS($W$2:W811),$W$2:$W$1001,0),0), INDEX($AD$1004:$AU$1004,1,MATCH(COLUMNS($AD$1006:AU1006),$AD$1006:$AU$1006,0)))),"Fix")))</f>
        <v xml:space="preserve"> </v>
      </c>
      <c r="W811">
        <v>810</v>
      </c>
      <c r="X811">
        <v>100811</v>
      </c>
      <c r="Y811">
        <v>811</v>
      </c>
      <c r="Z811" t="b">
        <f t="shared" si="12"/>
        <v>1</v>
      </c>
      <c r="AA811" t="b">
        <f>COUNTBLANK(metadata!B811:S811)=COLUMNS(metadata!B811:S811)</f>
        <v>1</v>
      </c>
      <c r="AB811" t="str">
        <v/>
      </c>
      <c r="AD811" t="b">
        <f ca="1">AND(IF(metadata!B811="",FALSE,TRUE),COUNTIF(metadata!B:B, metadata!B811) = 1,NOT(ISERROR(SUMPRODUCT(SEARCH(MID(metadata!B811,ROW(INDIRECT("1:"&amp;LEN(metadata!B811))), 1),"0123456789abcdefghijklmnopqrstuvwxyzABCDEFGHIJKLMNOPQRSTUVWXYZ.")))))</f>
        <v>0</v>
      </c>
      <c r="AE811" t="b">
        <f>OR(AND(IF(metadata!C811="",FALSE,TRUE),OR(EXACT(metadata!C811,"not applicable"),EXACT(metadata!C811,"missing: not collected"),EXACT(metadata!C811,"missing: not provided"),EXACT(metadata!C811,"missing: restricted access"))),AND(IF(metadata!C811="",FALSE,ISNUMBER(VALUE(metadata!C811))),metadata!C811&gt;0))</f>
        <v>0</v>
      </c>
      <c r="AF811" t="b">
        <f>AND(IF(metadata!D811="",FALSE,TRUE),EXACT(metadata!D811,"missing: not provided"))</f>
        <v>0</v>
      </c>
      <c r="AG811" t="b">
        <f>AND(IF(metadata!E811="",FALSE,TRUE),EXACT(metadata!E811,"Host-associated"))</f>
        <v>0</v>
      </c>
      <c r="AH811" t="b">
        <f>AND(IF(metadata!F811="",FALSE,TRUE),OR(EXACT(metadata!F811,"Animal"),EXACT(metadata!F811,"Fungus"),EXACT(metadata!F811,"Plant")))</f>
        <v>0</v>
      </c>
      <c r="AI811" t="b">
        <f>AND(IF(metadata!G811="",FALSE,TRUE),OR(EXACT(metadata!G811,"Plant secretion"),EXACT(metadata!G811,"Plant rhizosphere"),EXACT(metadata!G811,"Plant surface"),EXACT(metadata!G811,"Plant corpus"),EXACT(metadata!G811,"Fungus surface"),EXACT(metadata!G811,"Fungus corpus"),EXACT(metadata!G811,"Animal surface"),EXACT(metadata!G811,"Animal proximal gut"),EXACT(metadata!G811,"Animal corpus"),EXACT(metadata!G811,"Animal distal gut"),EXACT(metadata!G811,"Animal secretion")))</f>
        <v>0</v>
      </c>
      <c r="AJ811" t="b">
        <f>OR(AND(IF(metadata!H811="",FALSE,TRUE),OR(EXACT(metadata!H811,"missing: not collected"),EXACT(metadata!H811,"missing: not provided"),EXACT(metadata!H811,"missing: restricted access"))),AND(IF(metadata!H811="",FALSE,TRUE),OR(EXACT(metadata!H811,"organism-associated habitat"),EXACT(metadata!H811,"plant-associated habitat"),EXACT(metadata!H811,"animal-associated habitat"),EXACT(metadata!H811,"insecta-associated habitat"),EXACT(metadata!H811,"mammalia-associated habitat"),EXACT(metadata!H811,"human-associated habitat"),EXACT(metadata!H811,"livestock-associated habitat"))))</f>
        <v>0</v>
      </c>
      <c r="AK811" t="b">
        <f>AND(IF(metadata!I811="",FALSE,TRUE),EXACT(metadata!I811,"host-associated"))</f>
        <v>0</v>
      </c>
      <c r="AL811" t="b">
        <f>OR(AND(IF(metadata!J811="",FALSE,TRUE),OR(EXACT(metadata!J811,"not applicable"),EXACT(metadata!J811,"missing: not collected"),EXACT(metadata!J811,"missing: not provided"),EXACT(metadata!J811,"missing: restricted access"))),AND(IF(metadata!J811="",FALSE,ISNUMBER(VALUE(metadata!J811))),metadata!J811&gt;0))</f>
        <v>0</v>
      </c>
      <c r="AM811" t="b">
        <f>AND(IF(metadata!K811="",FALSE,TRUE),EXACT(metadata!K811,"missing: not provided"))</f>
        <v>0</v>
      </c>
      <c r="AN811" t="b">
        <f>IF(metadata!L811="",FALSE,TRUE)</f>
        <v>0</v>
      </c>
      <c r="AO811" t="b">
        <f>IF(metadata!M811="",FALSE,TRUE)</f>
        <v>0</v>
      </c>
      <c r="AP811" t="b">
        <f>OR(AND(IF(metadata!N811="",FALSE,TRUE),OR(EXACT(metadata!N811,"not applicable"),EXACT(metadata!N811,"missing: not collected"),EXACT(metadata!N811,"missing: not provided"))),AND(IF(metadata!N811="",FALSE,IF(ISERROR(INT(metadata!N811)),FALSE,INT(metadata!N811)=metadata!N811)),metadata!N811&gt;0))</f>
        <v>0</v>
      </c>
      <c r="AQ811" t="b">
        <f>AND(IF(metadata!O811="",FALSE,TRUE),EXACT(metadata!O811,"Not applicable"))</f>
        <v>0</v>
      </c>
      <c r="AR811" t="b">
        <f>OR(AND(IF(metadata!P811="",FALSE,TRUE),OR(EXACT(metadata!P811,"not applicable"),EXACT(metadata!P811,"missing: not collected"),EXACT(metadata!P811,"missing: not provided"),EXACT(metadata!P811,"missing: restricted access"))),IF(metadata!P811="",FALSE,IF(ISERROR(INT(metadata!P811)),FALSE,INT(metadata!P811)=metadata!P811)))</f>
        <v>0</v>
      </c>
      <c r="AS811" t="b">
        <f>AND(IF(metadata!Q811="",FALSE,TRUE),EXACT(metadata!Q811,"Not applicable"))</f>
        <v>0</v>
      </c>
      <c r="AT811" t="b">
        <f>OR(AND(IF(metadata!R811="",FALSE,TRUE),OR(EXACT(metadata!R811,"not applicable"),EXACT(metadata!R811,"missing: not collected"),EXACT(metadata!R811,"missing: not provided"),EXACT(metadata!R811,"missing: restricted access"))),AND(IF(metadata!R811="",FALSE,ISNUMBER(VALUE(metadata!R811))),metadata!R811&gt;0))</f>
        <v>0</v>
      </c>
      <c r="AU811" t="b">
        <f>AND(IF(metadata!S811="",FALSE,TRUE),EXACT(metadata!S811,"missing: not provided"))</f>
        <v>0</v>
      </c>
    </row>
    <row r="812" spans="1:47" x14ac:dyDescent="0.2">
      <c r="A812" s="5" t="str">
        <f ca="1">IF(B812=" "," ",HYPERLINK(CONCATENATE("#metadata!",ADDRESS(INDEX($Y$2:$Y$1001,MATCH(ROWS($W$2:W812),$W$2:$W$1001,0),0),1)),INDEX($AB$2:$AB$1001,MATCH(ROWS($W$2:W812),$W$2:$W$1001,0),0)))</f>
        <v xml:space="preserve"> </v>
      </c>
      <c r="B812" s="4" t="str">
        <f ca="1">IF(OR(INDEX($X$2:$X$1001,MATCH(ROWS($W$2:W812),$W$2:$W$1001,0),1)&gt;=100000,INDEX($AD$1005:$AU$1005,1,MATCH(COLUMNS($AD$1006:AD1006),$AD$1006:$AU$1006,0))&gt;=100000), " ",IF(INDEX($AD$2:$AU$1001,MATCH(ROWS($W$2:W812),$W$2:$W$1001,0),MATCH(COLUMNS($AD$1006:AD1006),$AD$1006:$AU$1006,0)), HYPERLINK("#",""), HYPERLINK(CONCATENATE("#metadata!", ADDRESS(INDEX($Y$2:$Y$1001,MATCH(ROWS($W$2:W812),$W$2:$W$1001,0),0), INDEX($AD$1004:$AU$1004,1,MATCH(COLUMNS($AD$1006:AD1006),$AD$1006:$AU$1006,0)))),"Fix")))</f>
        <v xml:space="preserve"> </v>
      </c>
      <c r="C812" s="4" t="str">
        <f ca="1">IF(OR(INDEX($X$2:$X$1001,MATCH(ROWS($W$2:W812),$W$2:$W$1001,0),1)&gt;=100000,INDEX($AD$1005:$AU$1005,1,MATCH(COLUMNS($AD$1006:AE1006),$AD$1006:$AU$1006,0))&gt;=100000), " ",IF(INDEX($AD$2:$AU$1001,MATCH(ROWS($W$2:W812),$W$2:$W$1001,0),MATCH(COLUMNS($AD$1006:AE1006),$AD$1006:$AU$1006,0)), HYPERLINK("#",""), HYPERLINK(CONCATENATE("#metadata!", ADDRESS(INDEX($Y$2:$Y$1001,MATCH(ROWS($W$2:W812),$W$2:$W$1001,0),0), INDEX($AD$1004:$AU$1004,1,MATCH(COLUMNS($AD$1006:AE1006),$AD$1006:$AU$1006,0)))),"Fix")))</f>
        <v xml:space="preserve"> </v>
      </c>
      <c r="D812" s="4" t="str">
        <f ca="1">IF(OR(INDEX($X$2:$X$1001,MATCH(ROWS($W$2:W812),$W$2:$W$1001,0),1)&gt;=100000,INDEX($AD$1005:$AU$1005,1,MATCH(COLUMNS($AD$1006:AF1006),$AD$1006:$AU$1006,0))&gt;=100000), " ",IF(INDEX($AD$2:$AU$1001,MATCH(ROWS($W$2:W812),$W$2:$W$1001,0),MATCH(COLUMNS($AD$1006:AF1006),$AD$1006:$AU$1006,0)), HYPERLINK("#",""), HYPERLINK(CONCATENATE("#metadata!", ADDRESS(INDEX($Y$2:$Y$1001,MATCH(ROWS($W$2:W812),$W$2:$W$1001,0),0), INDEX($AD$1004:$AU$1004,1,MATCH(COLUMNS($AD$1006:AF1006),$AD$1006:$AU$1006,0)))),"Fix")))</f>
        <v xml:space="preserve"> </v>
      </c>
      <c r="E812" s="4" t="str">
        <f ca="1">IF(OR(INDEX($X$2:$X$1001,MATCH(ROWS($W$2:W812),$W$2:$W$1001,0),1)&gt;=100000,INDEX($AD$1005:$AU$1005,1,MATCH(COLUMNS($AD$1006:AG1006),$AD$1006:$AU$1006,0))&gt;=100000), " ",IF(INDEX($AD$2:$AU$1001,MATCH(ROWS($W$2:W812),$W$2:$W$1001,0),MATCH(COLUMNS($AD$1006:AG1006),$AD$1006:$AU$1006,0)), HYPERLINK("#",""), HYPERLINK(CONCATENATE("#metadata!", ADDRESS(INDEX($Y$2:$Y$1001,MATCH(ROWS($W$2:W812),$W$2:$W$1001,0),0), INDEX($AD$1004:$AU$1004,1,MATCH(COLUMNS($AD$1006:AG1006),$AD$1006:$AU$1006,0)))),"Fix")))</f>
        <v xml:space="preserve"> </v>
      </c>
      <c r="F812" s="4" t="str">
        <f ca="1">IF(OR(INDEX($X$2:$X$1001,MATCH(ROWS($W$2:W812),$W$2:$W$1001,0),1)&gt;=100000,INDEX($AD$1005:$AU$1005,1,MATCH(COLUMNS($AD$1006:AH1006),$AD$1006:$AU$1006,0))&gt;=100000), " ",IF(INDEX($AD$2:$AU$1001,MATCH(ROWS($W$2:W812),$W$2:$W$1001,0),MATCH(COLUMNS($AD$1006:AH1006),$AD$1006:$AU$1006,0)), HYPERLINK("#",""), HYPERLINK(CONCATENATE("#metadata!", ADDRESS(INDEX($Y$2:$Y$1001,MATCH(ROWS($W$2:W812),$W$2:$W$1001,0),0), INDEX($AD$1004:$AU$1004,1,MATCH(COLUMNS($AD$1006:AH1006),$AD$1006:$AU$1006,0)))),"Fix")))</f>
        <v xml:space="preserve"> </v>
      </c>
      <c r="G812" s="4" t="str">
        <f ca="1">IF(OR(INDEX($X$2:$X$1001,MATCH(ROWS($W$2:W812),$W$2:$W$1001,0),1)&gt;=100000,INDEX($AD$1005:$AU$1005,1,MATCH(COLUMNS($AD$1006:AI1006),$AD$1006:$AU$1006,0))&gt;=100000), " ",IF(INDEX($AD$2:$AU$1001,MATCH(ROWS($W$2:W812),$W$2:$W$1001,0),MATCH(COLUMNS($AD$1006:AI1006),$AD$1006:$AU$1006,0)), HYPERLINK("#",""), HYPERLINK(CONCATENATE("#metadata!", ADDRESS(INDEX($Y$2:$Y$1001,MATCH(ROWS($W$2:W812),$W$2:$W$1001,0),0), INDEX($AD$1004:$AU$1004,1,MATCH(COLUMNS($AD$1006:AI1006),$AD$1006:$AU$1006,0)))),"Fix")))</f>
        <v xml:space="preserve"> </v>
      </c>
      <c r="H812" s="4" t="str">
        <f ca="1">IF(OR(INDEX($X$2:$X$1001,MATCH(ROWS($W$2:W812),$W$2:$W$1001,0),1)&gt;=100000,INDEX($AD$1005:$AU$1005,1,MATCH(COLUMNS($AD$1006:AJ1006),$AD$1006:$AU$1006,0))&gt;=100000), " ",IF(INDEX($AD$2:$AU$1001,MATCH(ROWS($W$2:W812),$W$2:$W$1001,0),MATCH(COLUMNS($AD$1006:AJ1006),$AD$1006:$AU$1006,0)), HYPERLINK("#",""), HYPERLINK(CONCATENATE("#metadata!", ADDRESS(INDEX($Y$2:$Y$1001,MATCH(ROWS($W$2:W812),$W$2:$W$1001,0),0), INDEX($AD$1004:$AU$1004,1,MATCH(COLUMNS($AD$1006:AJ1006),$AD$1006:$AU$1006,0)))),"Fix")))</f>
        <v xml:space="preserve"> </v>
      </c>
      <c r="I812" s="4" t="str">
        <f ca="1">IF(OR(INDEX($X$2:$X$1001,MATCH(ROWS($W$2:W812),$W$2:$W$1001,0),1)&gt;=100000,INDEX($AD$1005:$AU$1005,1,MATCH(COLUMNS($AD$1006:AK1006),$AD$1006:$AU$1006,0))&gt;=100000), " ",IF(INDEX($AD$2:$AU$1001,MATCH(ROWS($W$2:W812),$W$2:$W$1001,0),MATCH(COLUMNS($AD$1006:AK1006),$AD$1006:$AU$1006,0)), HYPERLINK("#",""), HYPERLINK(CONCATENATE("#metadata!", ADDRESS(INDEX($Y$2:$Y$1001,MATCH(ROWS($W$2:W812),$W$2:$W$1001,0),0), INDEX($AD$1004:$AU$1004,1,MATCH(COLUMNS($AD$1006:AK1006),$AD$1006:$AU$1006,0)))),"Fix")))</f>
        <v xml:space="preserve"> </v>
      </c>
      <c r="J812" s="4" t="str">
        <f ca="1">IF(OR(INDEX($X$2:$X$1001,MATCH(ROWS($W$2:W812),$W$2:$W$1001,0),1)&gt;=100000,INDEX($AD$1005:$AU$1005,1,MATCH(COLUMNS($AD$1006:AL1006),$AD$1006:$AU$1006,0))&gt;=100000), " ",IF(INDEX($AD$2:$AU$1001,MATCH(ROWS($W$2:W812),$W$2:$W$1001,0),MATCH(COLUMNS($AD$1006:AL1006),$AD$1006:$AU$1006,0)), HYPERLINK("#",""), HYPERLINK(CONCATENATE("#metadata!", ADDRESS(INDEX($Y$2:$Y$1001,MATCH(ROWS($W$2:W812),$W$2:$W$1001,0),0), INDEX($AD$1004:$AU$1004,1,MATCH(COLUMNS($AD$1006:AL1006),$AD$1006:$AU$1006,0)))),"Fix")))</f>
        <v xml:space="preserve"> </v>
      </c>
      <c r="K812" s="4" t="str">
        <f ca="1">IF(OR(INDEX($X$2:$X$1001,MATCH(ROWS($W$2:W812),$W$2:$W$1001,0),1)&gt;=100000,INDEX($AD$1005:$AU$1005,1,MATCH(COLUMNS($AD$1006:AM1006),$AD$1006:$AU$1006,0))&gt;=100000), " ",IF(INDEX($AD$2:$AU$1001,MATCH(ROWS($W$2:W812),$W$2:$W$1001,0),MATCH(COLUMNS($AD$1006:AM1006),$AD$1006:$AU$1006,0)), HYPERLINK("#",""), HYPERLINK(CONCATENATE("#metadata!", ADDRESS(INDEX($Y$2:$Y$1001,MATCH(ROWS($W$2:W812),$W$2:$W$1001,0),0), INDEX($AD$1004:$AU$1004,1,MATCH(COLUMNS($AD$1006:AM1006),$AD$1006:$AU$1006,0)))),"Fix")))</f>
        <v xml:space="preserve"> </v>
      </c>
      <c r="L812" s="4" t="str">
        <f ca="1">IF(OR(INDEX($X$2:$X$1001,MATCH(ROWS($W$2:W812),$W$2:$W$1001,0),1)&gt;=100000,INDEX($AD$1005:$AU$1005,1,MATCH(COLUMNS($AD$1006:AN1006),$AD$1006:$AU$1006,0))&gt;=100000), " ",IF(INDEX($AD$2:$AU$1001,MATCH(ROWS($W$2:W812),$W$2:$W$1001,0),MATCH(COLUMNS($AD$1006:AN1006),$AD$1006:$AU$1006,0)), HYPERLINK("#",""), HYPERLINK(CONCATENATE("#metadata!", ADDRESS(INDEX($Y$2:$Y$1001,MATCH(ROWS($W$2:W812),$W$2:$W$1001,0),0), INDEX($AD$1004:$AU$1004,1,MATCH(COLUMNS($AD$1006:AN1006),$AD$1006:$AU$1006,0)))),"Fix")))</f>
        <v xml:space="preserve"> </v>
      </c>
      <c r="M812" s="4" t="str">
        <f ca="1">IF(OR(INDEX($X$2:$X$1001,MATCH(ROWS($W$2:W812),$W$2:$W$1001,0),1)&gt;=100000,INDEX($AD$1005:$AU$1005,1,MATCH(COLUMNS($AD$1006:AO1006),$AD$1006:$AU$1006,0))&gt;=100000), " ",IF(INDEX($AD$2:$AU$1001,MATCH(ROWS($W$2:W812),$W$2:$W$1001,0),MATCH(COLUMNS($AD$1006:AO1006),$AD$1006:$AU$1006,0)), HYPERLINK("#",""), HYPERLINK(CONCATENATE("#metadata!", ADDRESS(INDEX($Y$2:$Y$1001,MATCH(ROWS($W$2:W812),$W$2:$W$1001,0),0), INDEX($AD$1004:$AU$1004,1,MATCH(COLUMNS($AD$1006:AO1006),$AD$1006:$AU$1006,0)))),"Fix")))</f>
        <v xml:space="preserve"> </v>
      </c>
      <c r="N812" s="4" t="str">
        <f ca="1">IF(OR(INDEX($X$2:$X$1001,MATCH(ROWS($W$2:W812),$W$2:$W$1001,0),1)&gt;=100000,INDEX($AD$1005:$AU$1005,1,MATCH(COLUMNS($AD$1006:AP1006),$AD$1006:$AU$1006,0))&gt;=100000), " ",IF(INDEX($AD$2:$AU$1001,MATCH(ROWS($W$2:W812),$W$2:$W$1001,0),MATCH(COLUMNS($AD$1006:AP1006),$AD$1006:$AU$1006,0)), HYPERLINK("#",""), HYPERLINK(CONCATENATE("#metadata!", ADDRESS(INDEX($Y$2:$Y$1001,MATCH(ROWS($W$2:W812),$W$2:$W$1001,0),0), INDEX($AD$1004:$AU$1004,1,MATCH(COLUMNS($AD$1006:AP1006),$AD$1006:$AU$1006,0)))),"Fix")))</f>
        <v xml:space="preserve"> </v>
      </c>
      <c r="O812" s="4" t="str">
        <f ca="1">IF(OR(INDEX($X$2:$X$1001,MATCH(ROWS($W$2:W812),$W$2:$W$1001,0),1)&gt;=100000,INDEX($AD$1005:$AU$1005,1,MATCH(COLUMNS($AD$1006:AQ1006),$AD$1006:$AU$1006,0))&gt;=100000), " ",IF(INDEX($AD$2:$AU$1001,MATCH(ROWS($W$2:W812),$W$2:$W$1001,0),MATCH(COLUMNS($AD$1006:AQ1006),$AD$1006:$AU$1006,0)), HYPERLINK("#",""), HYPERLINK(CONCATENATE("#metadata!", ADDRESS(INDEX($Y$2:$Y$1001,MATCH(ROWS($W$2:W812),$W$2:$W$1001,0),0), INDEX($AD$1004:$AU$1004,1,MATCH(COLUMNS($AD$1006:AQ1006),$AD$1006:$AU$1006,0)))),"Fix")))</f>
        <v xml:space="preserve"> </v>
      </c>
      <c r="P812" s="4" t="str">
        <f ca="1">IF(OR(INDEX($X$2:$X$1001,MATCH(ROWS($W$2:W812),$W$2:$W$1001,0),1)&gt;=100000,INDEX($AD$1005:$AU$1005,1,MATCH(COLUMNS($AD$1006:AR1006),$AD$1006:$AU$1006,0))&gt;=100000), " ",IF(INDEX($AD$2:$AU$1001,MATCH(ROWS($W$2:W812),$W$2:$W$1001,0),MATCH(COLUMNS($AD$1006:AR1006),$AD$1006:$AU$1006,0)), HYPERLINK("#",""), HYPERLINK(CONCATENATE("#metadata!", ADDRESS(INDEX($Y$2:$Y$1001,MATCH(ROWS($W$2:W812),$W$2:$W$1001,0),0), INDEX($AD$1004:$AU$1004,1,MATCH(COLUMNS($AD$1006:AR1006),$AD$1006:$AU$1006,0)))),"Fix")))</f>
        <v xml:space="preserve"> </v>
      </c>
      <c r="Q812" s="4" t="str">
        <f ca="1">IF(OR(INDEX($X$2:$X$1001,MATCH(ROWS($W$2:W812),$W$2:$W$1001,0),1)&gt;=100000,INDEX($AD$1005:$AU$1005,1,MATCH(COLUMNS($AD$1006:AS1006),$AD$1006:$AU$1006,0))&gt;=100000), " ",IF(INDEX($AD$2:$AU$1001,MATCH(ROWS($W$2:W812),$W$2:$W$1001,0),MATCH(COLUMNS($AD$1006:AS1006),$AD$1006:$AU$1006,0)), HYPERLINK("#",""), HYPERLINK(CONCATENATE("#metadata!", ADDRESS(INDEX($Y$2:$Y$1001,MATCH(ROWS($W$2:W812),$W$2:$W$1001,0),0), INDEX($AD$1004:$AU$1004,1,MATCH(COLUMNS($AD$1006:AS1006),$AD$1006:$AU$1006,0)))),"Fix")))</f>
        <v xml:space="preserve"> </v>
      </c>
      <c r="R812" s="4" t="str">
        <f ca="1">IF(OR(INDEX($X$2:$X$1001,MATCH(ROWS($W$2:W812),$W$2:$W$1001,0),1)&gt;=100000,INDEX($AD$1005:$AU$1005,1,MATCH(COLUMNS($AD$1006:AT1006),$AD$1006:$AU$1006,0))&gt;=100000), " ",IF(INDEX($AD$2:$AU$1001,MATCH(ROWS($W$2:W812),$W$2:$W$1001,0),MATCH(COLUMNS($AD$1006:AT1006),$AD$1006:$AU$1006,0)), HYPERLINK("#",""), HYPERLINK(CONCATENATE("#metadata!", ADDRESS(INDEX($Y$2:$Y$1001,MATCH(ROWS($W$2:W812),$W$2:$W$1001,0),0), INDEX($AD$1004:$AU$1004,1,MATCH(COLUMNS($AD$1006:AT1006),$AD$1006:$AU$1006,0)))),"Fix")))</f>
        <v xml:space="preserve"> </v>
      </c>
      <c r="S812" s="4" t="str">
        <f ca="1">IF(OR(INDEX($X$2:$X$1001,MATCH(ROWS($W$2:W812),$W$2:$W$1001,0),1)&gt;=100000,INDEX($AD$1005:$AU$1005,1,MATCH(COLUMNS($AD$1006:AU1006),$AD$1006:$AU$1006,0))&gt;=100000), " ",IF(INDEX($AD$2:$AU$1001,MATCH(ROWS($W$2:W812),$W$2:$W$1001,0),MATCH(COLUMNS($AD$1006:AU1006),$AD$1006:$AU$1006,0)), HYPERLINK("#",""), HYPERLINK(CONCATENATE("#metadata!", ADDRESS(INDEX($Y$2:$Y$1001,MATCH(ROWS($W$2:W812),$W$2:$W$1001,0),0), INDEX($AD$1004:$AU$1004,1,MATCH(COLUMNS($AD$1006:AU1006),$AD$1006:$AU$1006,0)))),"Fix")))</f>
        <v xml:space="preserve"> </v>
      </c>
      <c r="W812">
        <v>811</v>
      </c>
      <c r="X812">
        <v>100812</v>
      </c>
      <c r="Y812">
        <v>812</v>
      </c>
      <c r="Z812" t="b">
        <f t="shared" si="12"/>
        <v>1</v>
      </c>
      <c r="AA812" t="b">
        <f>COUNTBLANK(metadata!B812:S812)=COLUMNS(metadata!B812:S812)</f>
        <v>1</v>
      </c>
      <c r="AB812" t="str">
        <v/>
      </c>
      <c r="AD812" t="b">
        <f ca="1">AND(IF(metadata!B812="",FALSE,TRUE),COUNTIF(metadata!B:B, metadata!B812) = 1,NOT(ISERROR(SUMPRODUCT(SEARCH(MID(metadata!B812,ROW(INDIRECT("1:"&amp;LEN(metadata!B812))), 1),"0123456789abcdefghijklmnopqrstuvwxyzABCDEFGHIJKLMNOPQRSTUVWXYZ.")))))</f>
        <v>0</v>
      </c>
      <c r="AE812" t="b">
        <f>OR(AND(IF(metadata!C812="",FALSE,TRUE),OR(EXACT(metadata!C812,"not applicable"),EXACT(metadata!C812,"missing: not collected"),EXACT(metadata!C812,"missing: not provided"),EXACT(metadata!C812,"missing: restricted access"))),AND(IF(metadata!C812="",FALSE,ISNUMBER(VALUE(metadata!C812))),metadata!C812&gt;0))</f>
        <v>0</v>
      </c>
      <c r="AF812" t="b">
        <f>AND(IF(metadata!D812="",FALSE,TRUE),EXACT(metadata!D812,"missing: not provided"))</f>
        <v>0</v>
      </c>
      <c r="AG812" t="b">
        <f>AND(IF(metadata!E812="",FALSE,TRUE),EXACT(metadata!E812,"Host-associated"))</f>
        <v>0</v>
      </c>
      <c r="AH812" t="b">
        <f>AND(IF(metadata!F812="",FALSE,TRUE),OR(EXACT(metadata!F812,"Animal"),EXACT(metadata!F812,"Fungus"),EXACT(metadata!F812,"Plant")))</f>
        <v>0</v>
      </c>
      <c r="AI812" t="b">
        <f>AND(IF(metadata!G812="",FALSE,TRUE),OR(EXACT(metadata!G812,"Plant secretion"),EXACT(metadata!G812,"Plant rhizosphere"),EXACT(metadata!G812,"Plant surface"),EXACT(metadata!G812,"Plant corpus"),EXACT(metadata!G812,"Fungus surface"),EXACT(metadata!G812,"Fungus corpus"),EXACT(metadata!G812,"Animal surface"),EXACT(metadata!G812,"Animal proximal gut"),EXACT(metadata!G812,"Animal corpus"),EXACT(metadata!G812,"Animal distal gut"),EXACT(metadata!G812,"Animal secretion")))</f>
        <v>0</v>
      </c>
      <c r="AJ812" t="b">
        <f>OR(AND(IF(metadata!H812="",FALSE,TRUE),OR(EXACT(metadata!H812,"missing: not collected"),EXACT(metadata!H812,"missing: not provided"),EXACT(metadata!H812,"missing: restricted access"))),AND(IF(metadata!H812="",FALSE,TRUE),OR(EXACT(metadata!H812,"organism-associated habitat"),EXACT(metadata!H812,"plant-associated habitat"),EXACT(metadata!H812,"animal-associated habitat"),EXACT(metadata!H812,"insecta-associated habitat"),EXACT(metadata!H812,"mammalia-associated habitat"),EXACT(metadata!H812,"human-associated habitat"),EXACT(metadata!H812,"livestock-associated habitat"))))</f>
        <v>0</v>
      </c>
      <c r="AK812" t="b">
        <f>AND(IF(metadata!I812="",FALSE,TRUE),EXACT(metadata!I812,"host-associated"))</f>
        <v>0</v>
      </c>
      <c r="AL812" t="b">
        <f>OR(AND(IF(metadata!J812="",FALSE,TRUE),OR(EXACT(metadata!J812,"not applicable"),EXACT(metadata!J812,"missing: not collected"),EXACT(metadata!J812,"missing: not provided"),EXACT(metadata!J812,"missing: restricted access"))),AND(IF(metadata!J812="",FALSE,ISNUMBER(VALUE(metadata!J812))),metadata!J812&gt;0))</f>
        <v>0</v>
      </c>
      <c r="AM812" t="b">
        <f>AND(IF(metadata!K812="",FALSE,TRUE),EXACT(metadata!K812,"missing: not provided"))</f>
        <v>0</v>
      </c>
      <c r="AN812" t="b">
        <f>IF(metadata!L812="",FALSE,TRUE)</f>
        <v>0</v>
      </c>
      <c r="AO812" t="b">
        <f>IF(metadata!M812="",FALSE,TRUE)</f>
        <v>0</v>
      </c>
      <c r="AP812" t="b">
        <f>OR(AND(IF(metadata!N812="",FALSE,TRUE),OR(EXACT(metadata!N812,"not applicable"),EXACT(metadata!N812,"missing: not collected"),EXACT(metadata!N812,"missing: not provided"))),AND(IF(metadata!N812="",FALSE,IF(ISERROR(INT(metadata!N812)),FALSE,INT(metadata!N812)=metadata!N812)),metadata!N812&gt;0))</f>
        <v>0</v>
      </c>
      <c r="AQ812" t="b">
        <f>AND(IF(metadata!O812="",FALSE,TRUE),EXACT(metadata!O812,"Not applicable"))</f>
        <v>0</v>
      </c>
      <c r="AR812" t="b">
        <f>OR(AND(IF(metadata!P812="",FALSE,TRUE),OR(EXACT(metadata!P812,"not applicable"),EXACT(metadata!P812,"missing: not collected"),EXACT(metadata!P812,"missing: not provided"),EXACT(metadata!P812,"missing: restricted access"))),IF(metadata!P812="",FALSE,IF(ISERROR(INT(metadata!P812)),FALSE,INT(metadata!P812)=metadata!P812)))</f>
        <v>0</v>
      </c>
      <c r="AS812" t="b">
        <f>AND(IF(metadata!Q812="",FALSE,TRUE),EXACT(metadata!Q812,"Not applicable"))</f>
        <v>0</v>
      </c>
      <c r="AT812" t="b">
        <f>OR(AND(IF(metadata!R812="",FALSE,TRUE),OR(EXACT(metadata!R812,"not applicable"),EXACT(metadata!R812,"missing: not collected"),EXACT(metadata!R812,"missing: not provided"),EXACT(metadata!R812,"missing: restricted access"))),AND(IF(metadata!R812="",FALSE,ISNUMBER(VALUE(metadata!R812))),metadata!R812&gt;0))</f>
        <v>0</v>
      </c>
      <c r="AU812" t="b">
        <f>AND(IF(metadata!S812="",FALSE,TRUE),EXACT(metadata!S812,"missing: not provided"))</f>
        <v>0</v>
      </c>
    </row>
    <row r="813" spans="1:47" x14ac:dyDescent="0.2">
      <c r="A813" s="5" t="str">
        <f ca="1">IF(B813=" "," ",HYPERLINK(CONCATENATE("#metadata!",ADDRESS(INDEX($Y$2:$Y$1001,MATCH(ROWS($W$2:W813),$W$2:$W$1001,0),0),1)),INDEX($AB$2:$AB$1001,MATCH(ROWS($W$2:W813),$W$2:$W$1001,0),0)))</f>
        <v xml:space="preserve"> </v>
      </c>
      <c r="B813" s="4" t="str">
        <f ca="1">IF(OR(INDEX($X$2:$X$1001,MATCH(ROWS($W$2:W813),$W$2:$W$1001,0),1)&gt;=100000,INDEX($AD$1005:$AU$1005,1,MATCH(COLUMNS($AD$1006:AD1006),$AD$1006:$AU$1006,0))&gt;=100000), " ",IF(INDEX($AD$2:$AU$1001,MATCH(ROWS($W$2:W813),$W$2:$W$1001,0),MATCH(COLUMNS($AD$1006:AD1006),$AD$1006:$AU$1006,0)), HYPERLINK("#",""), HYPERLINK(CONCATENATE("#metadata!", ADDRESS(INDEX($Y$2:$Y$1001,MATCH(ROWS($W$2:W813),$W$2:$W$1001,0),0), INDEX($AD$1004:$AU$1004,1,MATCH(COLUMNS($AD$1006:AD1006),$AD$1006:$AU$1006,0)))),"Fix")))</f>
        <v xml:space="preserve"> </v>
      </c>
      <c r="C813" s="4" t="str">
        <f ca="1">IF(OR(INDEX($X$2:$X$1001,MATCH(ROWS($W$2:W813),$W$2:$W$1001,0),1)&gt;=100000,INDEX($AD$1005:$AU$1005,1,MATCH(COLUMNS($AD$1006:AE1006),$AD$1006:$AU$1006,0))&gt;=100000), " ",IF(INDEX($AD$2:$AU$1001,MATCH(ROWS($W$2:W813),$W$2:$W$1001,0),MATCH(COLUMNS($AD$1006:AE1006),$AD$1006:$AU$1006,0)), HYPERLINK("#",""), HYPERLINK(CONCATENATE("#metadata!", ADDRESS(INDEX($Y$2:$Y$1001,MATCH(ROWS($W$2:W813),$W$2:$W$1001,0),0), INDEX($AD$1004:$AU$1004,1,MATCH(COLUMNS($AD$1006:AE1006),$AD$1006:$AU$1006,0)))),"Fix")))</f>
        <v xml:space="preserve"> </v>
      </c>
      <c r="D813" s="4" t="str">
        <f ca="1">IF(OR(INDEX($X$2:$X$1001,MATCH(ROWS($W$2:W813),$W$2:$W$1001,0),1)&gt;=100000,INDEX($AD$1005:$AU$1005,1,MATCH(COLUMNS($AD$1006:AF1006),$AD$1006:$AU$1006,0))&gt;=100000), " ",IF(INDEX($AD$2:$AU$1001,MATCH(ROWS($W$2:W813),$W$2:$W$1001,0),MATCH(COLUMNS($AD$1006:AF1006),$AD$1006:$AU$1006,0)), HYPERLINK("#",""), HYPERLINK(CONCATENATE("#metadata!", ADDRESS(INDEX($Y$2:$Y$1001,MATCH(ROWS($W$2:W813),$W$2:$W$1001,0),0), INDEX($AD$1004:$AU$1004,1,MATCH(COLUMNS($AD$1006:AF1006),$AD$1006:$AU$1006,0)))),"Fix")))</f>
        <v xml:space="preserve"> </v>
      </c>
      <c r="E813" s="4" t="str">
        <f ca="1">IF(OR(INDEX($X$2:$X$1001,MATCH(ROWS($W$2:W813),$W$2:$W$1001,0),1)&gt;=100000,INDEX($AD$1005:$AU$1005,1,MATCH(COLUMNS($AD$1006:AG1006),$AD$1006:$AU$1006,0))&gt;=100000), " ",IF(INDEX($AD$2:$AU$1001,MATCH(ROWS($W$2:W813),$W$2:$W$1001,0),MATCH(COLUMNS($AD$1006:AG1006),$AD$1006:$AU$1006,0)), HYPERLINK("#",""), HYPERLINK(CONCATENATE("#metadata!", ADDRESS(INDEX($Y$2:$Y$1001,MATCH(ROWS($W$2:W813),$W$2:$W$1001,0),0), INDEX($AD$1004:$AU$1004,1,MATCH(COLUMNS($AD$1006:AG1006),$AD$1006:$AU$1006,0)))),"Fix")))</f>
        <v xml:space="preserve"> </v>
      </c>
      <c r="F813" s="4" t="str">
        <f ca="1">IF(OR(INDEX($X$2:$X$1001,MATCH(ROWS($W$2:W813),$W$2:$W$1001,0),1)&gt;=100000,INDEX($AD$1005:$AU$1005,1,MATCH(COLUMNS($AD$1006:AH1006),$AD$1006:$AU$1006,0))&gt;=100000), " ",IF(INDEX($AD$2:$AU$1001,MATCH(ROWS($W$2:W813),$W$2:$W$1001,0),MATCH(COLUMNS($AD$1006:AH1006),$AD$1006:$AU$1006,0)), HYPERLINK("#",""), HYPERLINK(CONCATENATE("#metadata!", ADDRESS(INDEX($Y$2:$Y$1001,MATCH(ROWS($W$2:W813),$W$2:$W$1001,0),0), INDEX($AD$1004:$AU$1004,1,MATCH(COLUMNS($AD$1006:AH1006),$AD$1006:$AU$1006,0)))),"Fix")))</f>
        <v xml:space="preserve"> </v>
      </c>
      <c r="G813" s="4" t="str">
        <f ca="1">IF(OR(INDEX($X$2:$X$1001,MATCH(ROWS($W$2:W813),$W$2:$W$1001,0),1)&gt;=100000,INDEX($AD$1005:$AU$1005,1,MATCH(COLUMNS($AD$1006:AI1006),$AD$1006:$AU$1006,0))&gt;=100000), " ",IF(INDEX($AD$2:$AU$1001,MATCH(ROWS($W$2:W813),$W$2:$W$1001,0),MATCH(COLUMNS($AD$1006:AI1006),$AD$1006:$AU$1006,0)), HYPERLINK("#",""), HYPERLINK(CONCATENATE("#metadata!", ADDRESS(INDEX($Y$2:$Y$1001,MATCH(ROWS($W$2:W813),$W$2:$W$1001,0),0), INDEX($AD$1004:$AU$1004,1,MATCH(COLUMNS($AD$1006:AI1006),$AD$1006:$AU$1006,0)))),"Fix")))</f>
        <v xml:space="preserve"> </v>
      </c>
      <c r="H813" s="4" t="str">
        <f ca="1">IF(OR(INDEX($X$2:$X$1001,MATCH(ROWS($W$2:W813),$W$2:$W$1001,0),1)&gt;=100000,INDEX($AD$1005:$AU$1005,1,MATCH(COLUMNS($AD$1006:AJ1006),$AD$1006:$AU$1006,0))&gt;=100000), " ",IF(INDEX($AD$2:$AU$1001,MATCH(ROWS($W$2:W813),$W$2:$W$1001,0),MATCH(COLUMNS($AD$1006:AJ1006),$AD$1006:$AU$1006,0)), HYPERLINK("#",""), HYPERLINK(CONCATENATE("#metadata!", ADDRESS(INDEX($Y$2:$Y$1001,MATCH(ROWS($W$2:W813),$W$2:$W$1001,0),0), INDEX($AD$1004:$AU$1004,1,MATCH(COLUMNS($AD$1006:AJ1006),$AD$1006:$AU$1006,0)))),"Fix")))</f>
        <v xml:space="preserve"> </v>
      </c>
      <c r="I813" s="4" t="str">
        <f ca="1">IF(OR(INDEX($X$2:$X$1001,MATCH(ROWS($W$2:W813),$W$2:$W$1001,0),1)&gt;=100000,INDEX($AD$1005:$AU$1005,1,MATCH(COLUMNS($AD$1006:AK1006),$AD$1006:$AU$1006,0))&gt;=100000), " ",IF(INDEX($AD$2:$AU$1001,MATCH(ROWS($W$2:W813),$W$2:$W$1001,0),MATCH(COLUMNS($AD$1006:AK1006),$AD$1006:$AU$1006,0)), HYPERLINK("#",""), HYPERLINK(CONCATENATE("#metadata!", ADDRESS(INDEX($Y$2:$Y$1001,MATCH(ROWS($W$2:W813),$W$2:$W$1001,0),0), INDEX($AD$1004:$AU$1004,1,MATCH(COLUMNS($AD$1006:AK1006),$AD$1006:$AU$1006,0)))),"Fix")))</f>
        <v xml:space="preserve"> </v>
      </c>
      <c r="J813" s="4" t="str">
        <f ca="1">IF(OR(INDEX($X$2:$X$1001,MATCH(ROWS($W$2:W813),$W$2:$W$1001,0),1)&gt;=100000,INDEX($AD$1005:$AU$1005,1,MATCH(COLUMNS($AD$1006:AL1006),$AD$1006:$AU$1006,0))&gt;=100000), " ",IF(INDEX($AD$2:$AU$1001,MATCH(ROWS($W$2:W813),$W$2:$W$1001,0),MATCH(COLUMNS($AD$1006:AL1006),$AD$1006:$AU$1006,0)), HYPERLINK("#",""), HYPERLINK(CONCATENATE("#metadata!", ADDRESS(INDEX($Y$2:$Y$1001,MATCH(ROWS($W$2:W813),$W$2:$W$1001,0),0), INDEX($AD$1004:$AU$1004,1,MATCH(COLUMNS($AD$1006:AL1006),$AD$1006:$AU$1006,0)))),"Fix")))</f>
        <v xml:space="preserve"> </v>
      </c>
      <c r="K813" s="4" t="str">
        <f ca="1">IF(OR(INDEX($X$2:$X$1001,MATCH(ROWS($W$2:W813),$W$2:$W$1001,0),1)&gt;=100000,INDEX($AD$1005:$AU$1005,1,MATCH(COLUMNS($AD$1006:AM1006),$AD$1006:$AU$1006,0))&gt;=100000), " ",IF(INDEX($AD$2:$AU$1001,MATCH(ROWS($W$2:W813),$W$2:$W$1001,0),MATCH(COLUMNS($AD$1006:AM1006),$AD$1006:$AU$1006,0)), HYPERLINK("#",""), HYPERLINK(CONCATENATE("#metadata!", ADDRESS(INDEX($Y$2:$Y$1001,MATCH(ROWS($W$2:W813),$W$2:$W$1001,0),0), INDEX($AD$1004:$AU$1004,1,MATCH(COLUMNS($AD$1006:AM1006),$AD$1006:$AU$1006,0)))),"Fix")))</f>
        <v xml:space="preserve"> </v>
      </c>
      <c r="L813" s="4" t="str">
        <f ca="1">IF(OR(INDEX($X$2:$X$1001,MATCH(ROWS($W$2:W813),$W$2:$W$1001,0),1)&gt;=100000,INDEX($AD$1005:$AU$1005,1,MATCH(COLUMNS($AD$1006:AN1006),$AD$1006:$AU$1006,0))&gt;=100000), " ",IF(INDEX($AD$2:$AU$1001,MATCH(ROWS($W$2:W813),$W$2:$W$1001,0),MATCH(COLUMNS($AD$1006:AN1006),$AD$1006:$AU$1006,0)), HYPERLINK("#",""), HYPERLINK(CONCATENATE("#metadata!", ADDRESS(INDEX($Y$2:$Y$1001,MATCH(ROWS($W$2:W813),$W$2:$W$1001,0),0), INDEX($AD$1004:$AU$1004,1,MATCH(COLUMNS($AD$1006:AN1006),$AD$1006:$AU$1006,0)))),"Fix")))</f>
        <v xml:space="preserve"> </v>
      </c>
      <c r="M813" s="4" t="str">
        <f ca="1">IF(OR(INDEX($X$2:$X$1001,MATCH(ROWS($W$2:W813),$W$2:$W$1001,0),1)&gt;=100000,INDEX($AD$1005:$AU$1005,1,MATCH(COLUMNS($AD$1006:AO1006),$AD$1006:$AU$1006,0))&gt;=100000), " ",IF(INDEX($AD$2:$AU$1001,MATCH(ROWS($W$2:W813),$W$2:$W$1001,0),MATCH(COLUMNS($AD$1006:AO1006),$AD$1006:$AU$1006,0)), HYPERLINK("#",""), HYPERLINK(CONCATENATE("#metadata!", ADDRESS(INDEX($Y$2:$Y$1001,MATCH(ROWS($W$2:W813),$W$2:$W$1001,0),0), INDEX($AD$1004:$AU$1004,1,MATCH(COLUMNS($AD$1006:AO1006),$AD$1006:$AU$1006,0)))),"Fix")))</f>
        <v xml:space="preserve"> </v>
      </c>
      <c r="N813" s="4" t="str">
        <f ca="1">IF(OR(INDEX($X$2:$X$1001,MATCH(ROWS($W$2:W813),$W$2:$W$1001,0),1)&gt;=100000,INDEX($AD$1005:$AU$1005,1,MATCH(COLUMNS($AD$1006:AP1006),$AD$1006:$AU$1006,0))&gt;=100000), " ",IF(INDEX($AD$2:$AU$1001,MATCH(ROWS($W$2:W813),$W$2:$W$1001,0),MATCH(COLUMNS($AD$1006:AP1006),$AD$1006:$AU$1006,0)), HYPERLINK("#",""), HYPERLINK(CONCATENATE("#metadata!", ADDRESS(INDEX($Y$2:$Y$1001,MATCH(ROWS($W$2:W813),$W$2:$W$1001,0),0), INDEX($AD$1004:$AU$1004,1,MATCH(COLUMNS($AD$1006:AP1006),$AD$1006:$AU$1006,0)))),"Fix")))</f>
        <v xml:space="preserve"> </v>
      </c>
      <c r="O813" s="4" t="str">
        <f ca="1">IF(OR(INDEX($X$2:$X$1001,MATCH(ROWS($W$2:W813),$W$2:$W$1001,0),1)&gt;=100000,INDEX($AD$1005:$AU$1005,1,MATCH(COLUMNS($AD$1006:AQ1006),$AD$1006:$AU$1006,0))&gt;=100000), " ",IF(INDEX($AD$2:$AU$1001,MATCH(ROWS($W$2:W813),$W$2:$W$1001,0),MATCH(COLUMNS($AD$1006:AQ1006),$AD$1006:$AU$1006,0)), HYPERLINK("#",""), HYPERLINK(CONCATENATE("#metadata!", ADDRESS(INDEX($Y$2:$Y$1001,MATCH(ROWS($W$2:W813),$W$2:$W$1001,0),0), INDEX($AD$1004:$AU$1004,1,MATCH(COLUMNS($AD$1006:AQ1006),$AD$1006:$AU$1006,0)))),"Fix")))</f>
        <v xml:space="preserve"> </v>
      </c>
      <c r="P813" s="4" t="str">
        <f ca="1">IF(OR(INDEX($X$2:$X$1001,MATCH(ROWS($W$2:W813),$W$2:$W$1001,0),1)&gt;=100000,INDEX($AD$1005:$AU$1005,1,MATCH(COLUMNS($AD$1006:AR1006),$AD$1006:$AU$1006,0))&gt;=100000), " ",IF(INDEX($AD$2:$AU$1001,MATCH(ROWS($W$2:W813),$W$2:$W$1001,0),MATCH(COLUMNS($AD$1006:AR1006),$AD$1006:$AU$1006,0)), HYPERLINK("#",""), HYPERLINK(CONCATENATE("#metadata!", ADDRESS(INDEX($Y$2:$Y$1001,MATCH(ROWS($W$2:W813),$W$2:$W$1001,0),0), INDEX($AD$1004:$AU$1004,1,MATCH(COLUMNS($AD$1006:AR1006),$AD$1006:$AU$1006,0)))),"Fix")))</f>
        <v xml:space="preserve"> </v>
      </c>
      <c r="Q813" s="4" t="str">
        <f ca="1">IF(OR(INDEX($X$2:$X$1001,MATCH(ROWS($W$2:W813),$W$2:$W$1001,0),1)&gt;=100000,INDEX($AD$1005:$AU$1005,1,MATCH(COLUMNS($AD$1006:AS1006),$AD$1006:$AU$1006,0))&gt;=100000), " ",IF(INDEX($AD$2:$AU$1001,MATCH(ROWS($W$2:W813),$W$2:$W$1001,0),MATCH(COLUMNS($AD$1006:AS1006),$AD$1006:$AU$1006,0)), HYPERLINK("#",""), HYPERLINK(CONCATENATE("#metadata!", ADDRESS(INDEX($Y$2:$Y$1001,MATCH(ROWS($W$2:W813),$W$2:$W$1001,0),0), INDEX($AD$1004:$AU$1004,1,MATCH(COLUMNS($AD$1006:AS1006),$AD$1006:$AU$1006,0)))),"Fix")))</f>
        <v xml:space="preserve"> </v>
      </c>
      <c r="R813" s="4" t="str">
        <f ca="1">IF(OR(INDEX($X$2:$X$1001,MATCH(ROWS($W$2:W813),$W$2:$W$1001,0),1)&gt;=100000,INDEX($AD$1005:$AU$1005,1,MATCH(COLUMNS($AD$1006:AT1006),$AD$1006:$AU$1006,0))&gt;=100000), " ",IF(INDEX($AD$2:$AU$1001,MATCH(ROWS($W$2:W813),$W$2:$W$1001,0),MATCH(COLUMNS($AD$1006:AT1006),$AD$1006:$AU$1006,0)), HYPERLINK("#",""), HYPERLINK(CONCATENATE("#metadata!", ADDRESS(INDEX($Y$2:$Y$1001,MATCH(ROWS($W$2:W813),$W$2:$W$1001,0),0), INDEX($AD$1004:$AU$1004,1,MATCH(COLUMNS($AD$1006:AT1006),$AD$1006:$AU$1006,0)))),"Fix")))</f>
        <v xml:space="preserve"> </v>
      </c>
      <c r="S813" s="4" t="str">
        <f ca="1">IF(OR(INDEX($X$2:$X$1001,MATCH(ROWS($W$2:W813),$W$2:$W$1001,0),1)&gt;=100000,INDEX($AD$1005:$AU$1005,1,MATCH(COLUMNS($AD$1006:AU1006),$AD$1006:$AU$1006,0))&gt;=100000), " ",IF(INDEX($AD$2:$AU$1001,MATCH(ROWS($W$2:W813),$W$2:$W$1001,0),MATCH(COLUMNS($AD$1006:AU1006),$AD$1006:$AU$1006,0)), HYPERLINK("#",""), HYPERLINK(CONCATENATE("#metadata!", ADDRESS(INDEX($Y$2:$Y$1001,MATCH(ROWS($W$2:W813),$W$2:$W$1001,0),0), INDEX($AD$1004:$AU$1004,1,MATCH(COLUMNS($AD$1006:AU1006),$AD$1006:$AU$1006,0)))),"Fix")))</f>
        <v xml:space="preserve"> </v>
      </c>
      <c r="W813">
        <v>812</v>
      </c>
      <c r="X813">
        <v>100813</v>
      </c>
      <c r="Y813">
        <v>813</v>
      </c>
      <c r="Z813" t="b">
        <f t="shared" si="12"/>
        <v>1</v>
      </c>
      <c r="AA813" t="b">
        <f>COUNTBLANK(metadata!B813:S813)=COLUMNS(metadata!B813:S813)</f>
        <v>1</v>
      </c>
      <c r="AB813" t="str">
        <v/>
      </c>
      <c r="AD813" t="b">
        <f ca="1">AND(IF(metadata!B813="",FALSE,TRUE),COUNTIF(metadata!B:B, metadata!B813) = 1,NOT(ISERROR(SUMPRODUCT(SEARCH(MID(metadata!B813,ROW(INDIRECT("1:"&amp;LEN(metadata!B813))), 1),"0123456789abcdefghijklmnopqrstuvwxyzABCDEFGHIJKLMNOPQRSTUVWXYZ.")))))</f>
        <v>0</v>
      </c>
      <c r="AE813" t="b">
        <f>OR(AND(IF(metadata!C813="",FALSE,TRUE),OR(EXACT(metadata!C813,"not applicable"),EXACT(metadata!C813,"missing: not collected"),EXACT(metadata!C813,"missing: not provided"),EXACT(metadata!C813,"missing: restricted access"))),AND(IF(metadata!C813="",FALSE,ISNUMBER(VALUE(metadata!C813))),metadata!C813&gt;0))</f>
        <v>0</v>
      </c>
      <c r="AF813" t="b">
        <f>AND(IF(metadata!D813="",FALSE,TRUE),EXACT(metadata!D813,"missing: not provided"))</f>
        <v>0</v>
      </c>
      <c r="AG813" t="b">
        <f>AND(IF(metadata!E813="",FALSE,TRUE),EXACT(metadata!E813,"Host-associated"))</f>
        <v>0</v>
      </c>
      <c r="AH813" t="b">
        <f>AND(IF(metadata!F813="",FALSE,TRUE),OR(EXACT(metadata!F813,"Animal"),EXACT(metadata!F813,"Fungus"),EXACT(metadata!F813,"Plant")))</f>
        <v>0</v>
      </c>
      <c r="AI813" t="b">
        <f>AND(IF(metadata!G813="",FALSE,TRUE),OR(EXACT(metadata!G813,"Plant secretion"),EXACT(metadata!G813,"Plant rhizosphere"),EXACT(metadata!G813,"Plant surface"),EXACT(metadata!G813,"Plant corpus"),EXACT(metadata!G813,"Fungus surface"),EXACT(metadata!G813,"Fungus corpus"),EXACT(metadata!G813,"Animal surface"),EXACT(metadata!G813,"Animal proximal gut"),EXACT(metadata!G813,"Animal corpus"),EXACT(metadata!G813,"Animal distal gut"),EXACT(metadata!G813,"Animal secretion")))</f>
        <v>0</v>
      </c>
      <c r="AJ813" t="b">
        <f>OR(AND(IF(metadata!H813="",FALSE,TRUE),OR(EXACT(metadata!H813,"missing: not collected"),EXACT(metadata!H813,"missing: not provided"),EXACT(metadata!H813,"missing: restricted access"))),AND(IF(metadata!H813="",FALSE,TRUE),OR(EXACT(metadata!H813,"organism-associated habitat"),EXACT(metadata!H813,"plant-associated habitat"),EXACT(metadata!H813,"animal-associated habitat"),EXACT(metadata!H813,"insecta-associated habitat"),EXACT(metadata!H813,"mammalia-associated habitat"),EXACT(metadata!H813,"human-associated habitat"),EXACT(metadata!H813,"livestock-associated habitat"))))</f>
        <v>0</v>
      </c>
      <c r="AK813" t="b">
        <f>AND(IF(metadata!I813="",FALSE,TRUE),EXACT(metadata!I813,"host-associated"))</f>
        <v>0</v>
      </c>
      <c r="AL813" t="b">
        <f>OR(AND(IF(metadata!J813="",FALSE,TRUE),OR(EXACT(metadata!J813,"not applicable"),EXACT(metadata!J813,"missing: not collected"),EXACT(metadata!J813,"missing: not provided"),EXACT(metadata!J813,"missing: restricted access"))),AND(IF(metadata!J813="",FALSE,ISNUMBER(VALUE(metadata!J813))),metadata!J813&gt;0))</f>
        <v>0</v>
      </c>
      <c r="AM813" t="b">
        <f>AND(IF(metadata!K813="",FALSE,TRUE),EXACT(metadata!K813,"missing: not provided"))</f>
        <v>0</v>
      </c>
      <c r="AN813" t="b">
        <f>IF(metadata!L813="",FALSE,TRUE)</f>
        <v>0</v>
      </c>
      <c r="AO813" t="b">
        <f>IF(metadata!M813="",FALSE,TRUE)</f>
        <v>0</v>
      </c>
      <c r="AP813" t="b">
        <f>OR(AND(IF(metadata!N813="",FALSE,TRUE),OR(EXACT(metadata!N813,"not applicable"),EXACT(metadata!N813,"missing: not collected"),EXACT(metadata!N813,"missing: not provided"))),AND(IF(metadata!N813="",FALSE,IF(ISERROR(INT(metadata!N813)),FALSE,INT(metadata!N813)=metadata!N813)),metadata!N813&gt;0))</f>
        <v>0</v>
      </c>
      <c r="AQ813" t="b">
        <f>AND(IF(metadata!O813="",FALSE,TRUE),EXACT(metadata!O813,"Not applicable"))</f>
        <v>0</v>
      </c>
      <c r="AR813" t="b">
        <f>OR(AND(IF(metadata!P813="",FALSE,TRUE),OR(EXACT(metadata!P813,"not applicable"),EXACT(metadata!P813,"missing: not collected"),EXACT(metadata!P813,"missing: not provided"),EXACT(metadata!P813,"missing: restricted access"))),IF(metadata!P813="",FALSE,IF(ISERROR(INT(metadata!P813)),FALSE,INT(metadata!P813)=metadata!P813)))</f>
        <v>0</v>
      </c>
      <c r="AS813" t="b">
        <f>AND(IF(metadata!Q813="",FALSE,TRUE),EXACT(metadata!Q813,"Not applicable"))</f>
        <v>0</v>
      </c>
      <c r="AT813" t="b">
        <f>OR(AND(IF(metadata!R813="",FALSE,TRUE),OR(EXACT(metadata!R813,"not applicable"),EXACT(metadata!R813,"missing: not collected"),EXACT(metadata!R813,"missing: not provided"),EXACT(metadata!R813,"missing: restricted access"))),AND(IF(metadata!R813="",FALSE,ISNUMBER(VALUE(metadata!R813))),metadata!R813&gt;0))</f>
        <v>0</v>
      </c>
      <c r="AU813" t="b">
        <f>AND(IF(metadata!S813="",FALSE,TRUE),EXACT(metadata!S813,"missing: not provided"))</f>
        <v>0</v>
      </c>
    </row>
    <row r="814" spans="1:47" x14ac:dyDescent="0.2">
      <c r="A814" s="5" t="str">
        <f ca="1">IF(B814=" "," ",HYPERLINK(CONCATENATE("#metadata!",ADDRESS(INDEX($Y$2:$Y$1001,MATCH(ROWS($W$2:W814),$W$2:$W$1001,0),0),1)),INDEX($AB$2:$AB$1001,MATCH(ROWS($W$2:W814),$W$2:$W$1001,0),0)))</f>
        <v xml:space="preserve"> </v>
      </c>
      <c r="B814" s="4" t="str">
        <f ca="1">IF(OR(INDEX($X$2:$X$1001,MATCH(ROWS($W$2:W814),$W$2:$W$1001,0),1)&gt;=100000,INDEX($AD$1005:$AU$1005,1,MATCH(COLUMNS($AD$1006:AD1006),$AD$1006:$AU$1006,0))&gt;=100000), " ",IF(INDEX($AD$2:$AU$1001,MATCH(ROWS($W$2:W814),$W$2:$W$1001,0),MATCH(COLUMNS($AD$1006:AD1006),$AD$1006:$AU$1006,0)), HYPERLINK("#",""), HYPERLINK(CONCATENATE("#metadata!", ADDRESS(INDEX($Y$2:$Y$1001,MATCH(ROWS($W$2:W814),$W$2:$W$1001,0),0), INDEX($AD$1004:$AU$1004,1,MATCH(COLUMNS($AD$1006:AD1006),$AD$1006:$AU$1006,0)))),"Fix")))</f>
        <v xml:space="preserve"> </v>
      </c>
      <c r="C814" s="4" t="str">
        <f ca="1">IF(OR(INDEX($X$2:$X$1001,MATCH(ROWS($W$2:W814),$W$2:$W$1001,0),1)&gt;=100000,INDEX($AD$1005:$AU$1005,1,MATCH(COLUMNS($AD$1006:AE1006),$AD$1006:$AU$1006,0))&gt;=100000), " ",IF(INDEX($AD$2:$AU$1001,MATCH(ROWS($W$2:W814),$W$2:$W$1001,0),MATCH(COLUMNS($AD$1006:AE1006),$AD$1006:$AU$1006,0)), HYPERLINK("#",""), HYPERLINK(CONCATENATE("#metadata!", ADDRESS(INDEX($Y$2:$Y$1001,MATCH(ROWS($W$2:W814),$W$2:$W$1001,0),0), INDEX($AD$1004:$AU$1004,1,MATCH(COLUMNS($AD$1006:AE1006),$AD$1006:$AU$1006,0)))),"Fix")))</f>
        <v xml:space="preserve"> </v>
      </c>
      <c r="D814" s="4" t="str">
        <f ca="1">IF(OR(INDEX($X$2:$X$1001,MATCH(ROWS($W$2:W814),$W$2:$W$1001,0),1)&gt;=100000,INDEX($AD$1005:$AU$1005,1,MATCH(COLUMNS($AD$1006:AF1006),$AD$1006:$AU$1006,0))&gt;=100000), " ",IF(INDEX($AD$2:$AU$1001,MATCH(ROWS($W$2:W814),$W$2:$W$1001,0),MATCH(COLUMNS($AD$1006:AF1006),$AD$1006:$AU$1006,0)), HYPERLINK("#",""), HYPERLINK(CONCATENATE("#metadata!", ADDRESS(INDEX($Y$2:$Y$1001,MATCH(ROWS($W$2:W814),$W$2:$W$1001,0),0), INDEX($AD$1004:$AU$1004,1,MATCH(COLUMNS($AD$1006:AF1006),$AD$1006:$AU$1006,0)))),"Fix")))</f>
        <v xml:space="preserve"> </v>
      </c>
      <c r="E814" s="4" t="str">
        <f ca="1">IF(OR(INDEX($X$2:$X$1001,MATCH(ROWS($W$2:W814),$W$2:$W$1001,0),1)&gt;=100000,INDEX($AD$1005:$AU$1005,1,MATCH(COLUMNS($AD$1006:AG1006),$AD$1006:$AU$1006,0))&gt;=100000), " ",IF(INDEX($AD$2:$AU$1001,MATCH(ROWS($W$2:W814),$W$2:$W$1001,0),MATCH(COLUMNS($AD$1006:AG1006),$AD$1006:$AU$1006,0)), HYPERLINK("#",""), HYPERLINK(CONCATENATE("#metadata!", ADDRESS(INDEX($Y$2:$Y$1001,MATCH(ROWS($W$2:W814),$W$2:$W$1001,0),0), INDEX($AD$1004:$AU$1004,1,MATCH(COLUMNS($AD$1006:AG1006),$AD$1006:$AU$1006,0)))),"Fix")))</f>
        <v xml:space="preserve"> </v>
      </c>
      <c r="F814" s="4" t="str">
        <f ca="1">IF(OR(INDEX($X$2:$X$1001,MATCH(ROWS($W$2:W814),$W$2:$W$1001,0),1)&gt;=100000,INDEX($AD$1005:$AU$1005,1,MATCH(COLUMNS($AD$1006:AH1006),$AD$1006:$AU$1006,0))&gt;=100000), " ",IF(INDEX($AD$2:$AU$1001,MATCH(ROWS($W$2:W814),$W$2:$W$1001,0),MATCH(COLUMNS($AD$1006:AH1006),$AD$1006:$AU$1006,0)), HYPERLINK("#",""), HYPERLINK(CONCATENATE("#metadata!", ADDRESS(INDEX($Y$2:$Y$1001,MATCH(ROWS($W$2:W814),$W$2:$W$1001,0),0), INDEX($AD$1004:$AU$1004,1,MATCH(COLUMNS($AD$1006:AH1006),$AD$1006:$AU$1006,0)))),"Fix")))</f>
        <v xml:space="preserve"> </v>
      </c>
      <c r="G814" s="4" t="str">
        <f ca="1">IF(OR(INDEX($X$2:$X$1001,MATCH(ROWS($W$2:W814),$W$2:$W$1001,0),1)&gt;=100000,INDEX($AD$1005:$AU$1005,1,MATCH(COLUMNS($AD$1006:AI1006),$AD$1006:$AU$1006,0))&gt;=100000), " ",IF(INDEX($AD$2:$AU$1001,MATCH(ROWS($W$2:W814),$W$2:$W$1001,0),MATCH(COLUMNS($AD$1006:AI1006),$AD$1006:$AU$1006,0)), HYPERLINK("#",""), HYPERLINK(CONCATENATE("#metadata!", ADDRESS(INDEX($Y$2:$Y$1001,MATCH(ROWS($W$2:W814),$W$2:$W$1001,0),0), INDEX($AD$1004:$AU$1004,1,MATCH(COLUMNS($AD$1006:AI1006),$AD$1006:$AU$1006,0)))),"Fix")))</f>
        <v xml:space="preserve"> </v>
      </c>
      <c r="H814" s="4" t="str">
        <f ca="1">IF(OR(INDEX($X$2:$X$1001,MATCH(ROWS($W$2:W814),$W$2:$W$1001,0),1)&gt;=100000,INDEX($AD$1005:$AU$1005,1,MATCH(COLUMNS($AD$1006:AJ1006),$AD$1006:$AU$1006,0))&gt;=100000), " ",IF(INDEX($AD$2:$AU$1001,MATCH(ROWS($W$2:W814),$W$2:$W$1001,0),MATCH(COLUMNS($AD$1006:AJ1006),$AD$1006:$AU$1006,0)), HYPERLINK("#",""), HYPERLINK(CONCATENATE("#metadata!", ADDRESS(INDEX($Y$2:$Y$1001,MATCH(ROWS($W$2:W814),$W$2:$W$1001,0),0), INDEX($AD$1004:$AU$1004,1,MATCH(COLUMNS($AD$1006:AJ1006),$AD$1006:$AU$1006,0)))),"Fix")))</f>
        <v xml:space="preserve"> </v>
      </c>
      <c r="I814" s="4" t="str">
        <f ca="1">IF(OR(INDEX($X$2:$X$1001,MATCH(ROWS($W$2:W814),$W$2:$W$1001,0),1)&gt;=100000,INDEX($AD$1005:$AU$1005,1,MATCH(COLUMNS($AD$1006:AK1006),$AD$1006:$AU$1006,0))&gt;=100000), " ",IF(INDEX($AD$2:$AU$1001,MATCH(ROWS($W$2:W814),$W$2:$W$1001,0),MATCH(COLUMNS($AD$1006:AK1006),$AD$1006:$AU$1006,0)), HYPERLINK("#",""), HYPERLINK(CONCATENATE("#metadata!", ADDRESS(INDEX($Y$2:$Y$1001,MATCH(ROWS($W$2:W814),$W$2:$W$1001,0),0), INDEX($AD$1004:$AU$1004,1,MATCH(COLUMNS($AD$1006:AK1006),$AD$1006:$AU$1006,0)))),"Fix")))</f>
        <v xml:space="preserve"> </v>
      </c>
      <c r="J814" s="4" t="str">
        <f ca="1">IF(OR(INDEX($X$2:$X$1001,MATCH(ROWS($W$2:W814),$W$2:$W$1001,0),1)&gt;=100000,INDEX($AD$1005:$AU$1005,1,MATCH(COLUMNS($AD$1006:AL1006),$AD$1006:$AU$1006,0))&gt;=100000), " ",IF(INDEX($AD$2:$AU$1001,MATCH(ROWS($W$2:W814),$W$2:$W$1001,0),MATCH(COLUMNS($AD$1006:AL1006),$AD$1006:$AU$1006,0)), HYPERLINK("#",""), HYPERLINK(CONCATENATE("#metadata!", ADDRESS(INDEX($Y$2:$Y$1001,MATCH(ROWS($W$2:W814),$W$2:$W$1001,0),0), INDEX($AD$1004:$AU$1004,1,MATCH(COLUMNS($AD$1006:AL1006),$AD$1006:$AU$1006,0)))),"Fix")))</f>
        <v xml:space="preserve"> </v>
      </c>
      <c r="K814" s="4" t="str">
        <f ca="1">IF(OR(INDEX($X$2:$X$1001,MATCH(ROWS($W$2:W814),$W$2:$W$1001,0),1)&gt;=100000,INDEX($AD$1005:$AU$1005,1,MATCH(COLUMNS($AD$1006:AM1006),$AD$1006:$AU$1006,0))&gt;=100000), " ",IF(INDEX($AD$2:$AU$1001,MATCH(ROWS($W$2:W814),$W$2:$W$1001,0),MATCH(COLUMNS($AD$1006:AM1006),$AD$1006:$AU$1006,0)), HYPERLINK("#",""), HYPERLINK(CONCATENATE("#metadata!", ADDRESS(INDEX($Y$2:$Y$1001,MATCH(ROWS($W$2:W814),$W$2:$W$1001,0),0), INDEX($AD$1004:$AU$1004,1,MATCH(COLUMNS($AD$1006:AM1006),$AD$1006:$AU$1006,0)))),"Fix")))</f>
        <v xml:space="preserve"> </v>
      </c>
      <c r="L814" s="4" t="str">
        <f ca="1">IF(OR(INDEX($X$2:$X$1001,MATCH(ROWS($W$2:W814),$W$2:$W$1001,0),1)&gt;=100000,INDEX($AD$1005:$AU$1005,1,MATCH(COLUMNS($AD$1006:AN1006),$AD$1006:$AU$1006,0))&gt;=100000), " ",IF(INDEX($AD$2:$AU$1001,MATCH(ROWS($W$2:W814),$W$2:$W$1001,0),MATCH(COLUMNS($AD$1006:AN1006),$AD$1006:$AU$1006,0)), HYPERLINK("#",""), HYPERLINK(CONCATENATE("#metadata!", ADDRESS(INDEX($Y$2:$Y$1001,MATCH(ROWS($W$2:W814),$W$2:$W$1001,0),0), INDEX($AD$1004:$AU$1004,1,MATCH(COLUMNS($AD$1006:AN1006),$AD$1006:$AU$1006,0)))),"Fix")))</f>
        <v xml:space="preserve"> </v>
      </c>
      <c r="M814" s="4" t="str">
        <f ca="1">IF(OR(INDEX($X$2:$X$1001,MATCH(ROWS($W$2:W814),$W$2:$W$1001,0),1)&gt;=100000,INDEX($AD$1005:$AU$1005,1,MATCH(COLUMNS($AD$1006:AO1006),$AD$1006:$AU$1006,0))&gt;=100000), " ",IF(INDEX($AD$2:$AU$1001,MATCH(ROWS($W$2:W814),$W$2:$W$1001,0),MATCH(COLUMNS($AD$1006:AO1006),$AD$1006:$AU$1006,0)), HYPERLINK("#",""), HYPERLINK(CONCATENATE("#metadata!", ADDRESS(INDEX($Y$2:$Y$1001,MATCH(ROWS($W$2:W814),$W$2:$W$1001,0),0), INDEX($AD$1004:$AU$1004,1,MATCH(COLUMNS($AD$1006:AO1006),$AD$1006:$AU$1006,0)))),"Fix")))</f>
        <v xml:space="preserve"> </v>
      </c>
      <c r="N814" s="4" t="str">
        <f ca="1">IF(OR(INDEX($X$2:$X$1001,MATCH(ROWS($W$2:W814),$W$2:$W$1001,0),1)&gt;=100000,INDEX($AD$1005:$AU$1005,1,MATCH(COLUMNS($AD$1006:AP1006),$AD$1006:$AU$1006,0))&gt;=100000), " ",IF(INDEX($AD$2:$AU$1001,MATCH(ROWS($W$2:W814),$W$2:$W$1001,0),MATCH(COLUMNS($AD$1006:AP1006),$AD$1006:$AU$1006,0)), HYPERLINK("#",""), HYPERLINK(CONCATENATE("#metadata!", ADDRESS(INDEX($Y$2:$Y$1001,MATCH(ROWS($W$2:W814),$W$2:$W$1001,0),0), INDEX($AD$1004:$AU$1004,1,MATCH(COLUMNS($AD$1006:AP1006),$AD$1006:$AU$1006,0)))),"Fix")))</f>
        <v xml:space="preserve"> </v>
      </c>
      <c r="O814" s="4" t="str">
        <f ca="1">IF(OR(INDEX($X$2:$X$1001,MATCH(ROWS($W$2:W814),$W$2:$W$1001,0),1)&gt;=100000,INDEX($AD$1005:$AU$1005,1,MATCH(COLUMNS($AD$1006:AQ1006),$AD$1006:$AU$1006,0))&gt;=100000), " ",IF(INDEX($AD$2:$AU$1001,MATCH(ROWS($W$2:W814),$W$2:$W$1001,0),MATCH(COLUMNS($AD$1006:AQ1006),$AD$1006:$AU$1006,0)), HYPERLINK("#",""), HYPERLINK(CONCATENATE("#metadata!", ADDRESS(INDEX($Y$2:$Y$1001,MATCH(ROWS($W$2:W814),$W$2:$W$1001,0),0), INDEX($AD$1004:$AU$1004,1,MATCH(COLUMNS($AD$1006:AQ1006),$AD$1006:$AU$1006,0)))),"Fix")))</f>
        <v xml:space="preserve"> </v>
      </c>
      <c r="P814" s="4" t="str">
        <f ca="1">IF(OR(INDEX($X$2:$X$1001,MATCH(ROWS($W$2:W814),$W$2:$W$1001,0),1)&gt;=100000,INDEX($AD$1005:$AU$1005,1,MATCH(COLUMNS($AD$1006:AR1006),$AD$1006:$AU$1006,0))&gt;=100000), " ",IF(INDEX($AD$2:$AU$1001,MATCH(ROWS($W$2:W814),$W$2:$W$1001,0),MATCH(COLUMNS($AD$1006:AR1006),$AD$1006:$AU$1006,0)), HYPERLINK("#",""), HYPERLINK(CONCATENATE("#metadata!", ADDRESS(INDEX($Y$2:$Y$1001,MATCH(ROWS($W$2:W814),$W$2:$W$1001,0),0), INDEX($AD$1004:$AU$1004,1,MATCH(COLUMNS($AD$1006:AR1006),$AD$1006:$AU$1006,0)))),"Fix")))</f>
        <v xml:space="preserve"> </v>
      </c>
      <c r="Q814" s="4" t="str">
        <f ca="1">IF(OR(INDEX($X$2:$X$1001,MATCH(ROWS($W$2:W814),$W$2:$W$1001,0),1)&gt;=100000,INDEX($AD$1005:$AU$1005,1,MATCH(COLUMNS($AD$1006:AS1006),$AD$1006:$AU$1006,0))&gt;=100000), " ",IF(INDEX($AD$2:$AU$1001,MATCH(ROWS($W$2:W814),$W$2:$W$1001,0),MATCH(COLUMNS($AD$1006:AS1006),$AD$1006:$AU$1006,0)), HYPERLINK("#",""), HYPERLINK(CONCATENATE("#metadata!", ADDRESS(INDEX($Y$2:$Y$1001,MATCH(ROWS($W$2:W814),$W$2:$W$1001,0),0), INDEX($AD$1004:$AU$1004,1,MATCH(COLUMNS($AD$1006:AS1006),$AD$1006:$AU$1006,0)))),"Fix")))</f>
        <v xml:space="preserve"> </v>
      </c>
      <c r="R814" s="4" t="str">
        <f ca="1">IF(OR(INDEX($X$2:$X$1001,MATCH(ROWS($W$2:W814),$W$2:$W$1001,0),1)&gt;=100000,INDEX($AD$1005:$AU$1005,1,MATCH(COLUMNS($AD$1006:AT1006),$AD$1006:$AU$1006,0))&gt;=100000), " ",IF(INDEX($AD$2:$AU$1001,MATCH(ROWS($W$2:W814),$W$2:$W$1001,0),MATCH(COLUMNS($AD$1006:AT1006),$AD$1006:$AU$1006,0)), HYPERLINK("#",""), HYPERLINK(CONCATENATE("#metadata!", ADDRESS(INDEX($Y$2:$Y$1001,MATCH(ROWS($W$2:W814),$W$2:$W$1001,0),0), INDEX($AD$1004:$AU$1004,1,MATCH(COLUMNS($AD$1006:AT1006),$AD$1006:$AU$1006,0)))),"Fix")))</f>
        <v xml:space="preserve"> </v>
      </c>
      <c r="S814" s="4" t="str">
        <f ca="1">IF(OR(INDEX($X$2:$X$1001,MATCH(ROWS($W$2:W814),$W$2:$W$1001,0),1)&gt;=100000,INDEX($AD$1005:$AU$1005,1,MATCH(COLUMNS($AD$1006:AU1006),$AD$1006:$AU$1006,0))&gt;=100000), " ",IF(INDEX($AD$2:$AU$1001,MATCH(ROWS($W$2:W814),$W$2:$W$1001,0),MATCH(COLUMNS($AD$1006:AU1006),$AD$1006:$AU$1006,0)), HYPERLINK("#",""), HYPERLINK(CONCATENATE("#metadata!", ADDRESS(INDEX($Y$2:$Y$1001,MATCH(ROWS($W$2:W814),$W$2:$W$1001,0),0), INDEX($AD$1004:$AU$1004,1,MATCH(COLUMNS($AD$1006:AU1006),$AD$1006:$AU$1006,0)))),"Fix")))</f>
        <v xml:space="preserve"> </v>
      </c>
      <c r="W814">
        <v>813</v>
      </c>
      <c r="X814">
        <v>100814</v>
      </c>
      <c r="Y814">
        <v>814</v>
      </c>
      <c r="Z814" t="b">
        <f t="shared" si="12"/>
        <v>1</v>
      </c>
      <c r="AA814" t="b">
        <f>COUNTBLANK(metadata!B814:S814)=COLUMNS(metadata!B814:S814)</f>
        <v>1</v>
      </c>
      <c r="AB814" t="str">
        <v/>
      </c>
      <c r="AD814" t="b">
        <f ca="1">AND(IF(metadata!B814="",FALSE,TRUE),COUNTIF(metadata!B:B, metadata!B814) = 1,NOT(ISERROR(SUMPRODUCT(SEARCH(MID(metadata!B814,ROW(INDIRECT("1:"&amp;LEN(metadata!B814))), 1),"0123456789abcdefghijklmnopqrstuvwxyzABCDEFGHIJKLMNOPQRSTUVWXYZ.")))))</f>
        <v>0</v>
      </c>
      <c r="AE814" t="b">
        <f>OR(AND(IF(metadata!C814="",FALSE,TRUE),OR(EXACT(metadata!C814,"not applicable"),EXACT(metadata!C814,"missing: not collected"),EXACT(metadata!C814,"missing: not provided"),EXACT(metadata!C814,"missing: restricted access"))),AND(IF(metadata!C814="",FALSE,ISNUMBER(VALUE(metadata!C814))),metadata!C814&gt;0))</f>
        <v>0</v>
      </c>
      <c r="AF814" t="b">
        <f>AND(IF(metadata!D814="",FALSE,TRUE),EXACT(metadata!D814,"missing: not provided"))</f>
        <v>0</v>
      </c>
      <c r="AG814" t="b">
        <f>AND(IF(metadata!E814="",FALSE,TRUE),EXACT(metadata!E814,"Host-associated"))</f>
        <v>0</v>
      </c>
      <c r="AH814" t="b">
        <f>AND(IF(metadata!F814="",FALSE,TRUE),OR(EXACT(metadata!F814,"Animal"),EXACT(metadata!F814,"Fungus"),EXACT(metadata!F814,"Plant")))</f>
        <v>0</v>
      </c>
      <c r="AI814" t="b">
        <f>AND(IF(metadata!G814="",FALSE,TRUE),OR(EXACT(metadata!G814,"Plant secretion"),EXACT(metadata!G814,"Plant rhizosphere"),EXACT(metadata!G814,"Plant surface"),EXACT(metadata!G814,"Plant corpus"),EXACT(metadata!G814,"Fungus surface"),EXACT(metadata!G814,"Fungus corpus"),EXACT(metadata!G814,"Animal surface"),EXACT(metadata!G814,"Animal proximal gut"),EXACT(metadata!G814,"Animal corpus"),EXACT(metadata!G814,"Animal distal gut"),EXACT(metadata!G814,"Animal secretion")))</f>
        <v>0</v>
      </c>
      <c r="AJ814" t="b">
        <f>OR(AND(IF(metadata!H814="",FALSE,TRUE),OR(EXACT(metadata!H814,"missing: not collected"),EXACT(metadata!H814,"missing: not provided"),EXACT(metadata!H814,"missing: restricted access"))),AND(IF(metadata!H814="",FALSE,TRUE),OR(EXACT(metadata!H814,"organism-associated habitat"),EXACT(metadata!H814,"plant-associated habitat"),EXACT(metadata!H814,"animal-associated habitat"),EXACT(metadata!H814,"insecta-associated habitat"),EXACT(metadata!H814,"mammalia-associated habitat"),EXACT(metadata!H814,"human-associated habitat"),EXACT(metadata!H814,"livestock-associated habitat"))))</f>
        <v>0</v>
      </c>
      <c r="AK814" t="b">
        <f>AND(IF(metadata!I814="",FALSE,TRUE),EXACT(metadata!I814,"host-associated"))</f>
        <v>0</v>
      </c>
      <c r="AL814" t="b">
        <f>OR(AND(IF(metadata!J814="",FALSE,TRUE),OR(EXACT(metadata!J814,"not applicable"),EXACT(metadata!J814,"missing: not collected"),EXACT(metadata!J814,"missing: not provided"),EXACT(metadata!J814,"missing: restricted access"))),AND(IF(metadata!J814="",FALSE,ISNUMBER(VALUE(metadata!J814))),metadata!J814&gt;0))</f>
        <v>0</v>
      </c>
      <c r="AM814" t="b">
        <f>AND(IF(metadata!K814="",FALSE,TRUE),EXACT(metadata!K814,"missing: not provided"))</f>
        <v>0</v>
      </c>
      <c r="AN814" t="b">
        <f>IF(metadata!L814="",FALSE,TRUE)</f>
        <v>0</v>
      </c>
      <c r="AO814" t="b">
        <f>IF(metadata!M814="",FALSE,TRUE)</f>
        <v>0</v>
      </c>
      <c r="AP814" t="b">
        <f>OR(AND(IF(metadata!N814="",FALSE,TRUE),OR(EXACT(metadata!N814,"not applicable"),EXACT(metadata!N814,"missing: not collected"),EXACT(metadata!N814,"missing: not provided"))),AND(IF(metadata!N814="",FALSE,IF(ISERROR(INT(metadata!N814)),FALSE,INT(metadata!N814)=metadata!N814)),metadata!N814&gt;0))</f>
        <v>0</v>
      </c>
      <c r="AQ814" t="b">
        <f>AND(IF(metadata!O814="",FALSE,TRUE),EXACT(metadata!O814,"Not applicable"))</f>
        <v>0</v>
      </c>
      <c r="AR814" t="b">
        <f>OR(AND(IF(metadata!P814="",FALSE,TRUE),OR(EXACT(metadata!P814,"not applicable"),EXACT(metadata!P814,"missing: not collected"),EXACT(metadata!P814,"missing: not provided"),EXACT(metadata!P814,"missing: restricted access"))),IF(metadata!P814="",FALSE,IF(ISERROR(INT(metadata!P814)),FALSE,INT(metadata!P814)=metadata!P814)))</f>
        <v>0</v>
      </c>
      <c r="AS814" t="b">
        <f>AND(IF(metadata!Q814="",FALSE,TRUE),EXACT(metadata!Q814,"Not applicable"))</f>
        <v>0</v>
      </c>
      <c r="AT814" t="b">
        <f>OR(AND(IF(metadata!R814="",FALSE,TRUE),OR(EXACT(metadata!R814,"not applicable"),EXACT(metadata!R814,"missing: not collected"),EXACT(metadata!R814,"missing: not provided"),EXACT(metadata!R814,"missing: restricted access"))),AND(IF(metadata!R814="",FALSE,ISNUMBER(VALUE(metadata!R814))),metadata!R814&gt;0))</f>
        <v>0</v>
      </c>
      <c r="AU814" t="b">
        <f>AND(IF(metadata!S814="",FALSE,TRUE),EXACT(metadata!S814,"missing: not provided"))</f>
        <v>0</v>
      </c>
    </row>
    <row r="815" spans="1:47" x14ac:dyDescent="0.2">
      <c r="A815" s="5" t="str">
        <f ca="1">IF(B815=" "," ",HYPERLINK(CONCATENATE("#metadata!",ADDRESS(INDEX($Y$2:$Y$1001,MATCH(ROWS($W$2:W815),$W$2:$W$1001,0),0),1)),INDEX($AB$2:$AB$1001,MATCH(ROWS($W$2:W815),$W$2:$W$1001,0),0)))</f>
        <v xml:space="preserve"> </v>
      </c>
      <c r="B815" s="4" t="str">
        <f ca="1">IF(OR(INDEX($X$2:$X$1001,MATCH(ROWS($W$2:W815),$W$2:$W$1001,0),1)&gt;=100000,INDEX($AD$1005:$AU$1005,1,MATCH(COLUMNS($AD$1006:AD1006),$AD$1006:$AU$1006,0))&gt;=100000), " ",IF(INDEX($AD$2:$AU$1001,MATCH(ROWS($W$2:W815),$W$2:$W$1001,0),MATCH(COLUMNS($AD$1006:AD1006),$AD$1006:$AU$1006,0)), HYPERLINK("#",""), HYPERLINK(CONCATENATE("#metadata!", ADDRESS(INDEX($Y$2:$Y$1001,MATCH(ROWS($W$2:W815),$W$2:$W$1001,0),0), INDEX($AD$1004:$AU$1004,1,MATCH(COLUMNS($AD$1006:AD1006),$AD$1006:$AU$1006,0)))),"Fix")))</f>
        <v xml:space="preserve"> </v>
      </c>
      <c r="C815" s="4" t="str">
        <f ca="1">IF(OR(INDEX($X$2:$X$1001,MATCH(ROWS($W$2:W815),$W$2:$W$1001,0),1)&gt;=100000,INDEX($AD$1005:$AU$1005,1,MATCH(COLUMNS($AD$1006:AE1006),$AD$1006:$AU$1006,0))&gt;=100000), " ",IF(INDEX($AD$2:$AU$1001,MATCH(ROWS($W$2:W815),$W$2:$W$1001,0),MATCH(COLUMNS($AD$1006:AE1006),$AD$1006:$AU$1006,0)), HYPERLINK("#",""), HYPERLINK(CONCATENATE("#metadata!", ADDRESS(INDEX($Y$2:$Y$1001,MATCH(ROWS($W$2:W815),$W$2:$W$1001,0),0), INDEX($AD$1004:$AU$1004,1,MATCH(COLUMNS($AD$1006:AE1006),$AD$1006:$AU$1006,0)))),"Fix")))</f>
        <v xml:space="preserve"> </v>
      </c>
      <c r="D815" s="4" t="str">
        <f ca="1">IF(OR(INDEX($X$2:$X$1001,MATCH(ROWS($W$2:W815),$W$2:$W$1001,0),1)&gt;=100000,INDEX($AD$1005:$AU$1005,1,MATCH(COLUMNS($AD$1006:AF1006),$AD$1006:$AU$1006,0))&gt;=100000), " ",IF(INDEX($AD$2:$AU$1001,MATCH(ROWS($W$2:W815),$W$2:$W$1001,0),MATCH(COLUMNS($AD$1006:AF1006),$AD$1006:$AU$1006,0)), HYPERLINK("#",""), HYPERLINK(CONCATENATE("#metadata!", ADDRESS(INDEX($Y$2:$Y$1001,MATCH(ROWS($W$2:W815),$W$2:$W$1001,0),0), INDEX($AD$1004:$AU$1004,1,MATCH(COLUMNS($AD$1006:AF1006),$AD$1006:$AU$1006,0)))),"Fix")))</f>
        <v xml:space="preserve"> </v>
      </c>
      <c r="E815" s="4" t="str">
        <f ca="1">IF(OR(INDEX($X$2:$X$1001,MATCH(ROWS($W$2:W815),$W$2:$W$1001,0),1)&gt;=100000,INDEX($AD$1005:$AU$1005,1,MATCH(COLUMNS($AD$1006:AG1006),$AD$1006:$AU$1006,0))&gt;=100000), " ",IF(INDEX($AD$2:$AU$1001,MATCH(ROWS($W$2:W815),$W$2:$W$1001,0),MATCH(COLUMNS($AD$1006:AG1006),$AD$1006:$AU$1006,0)), HYPERLINK("#",""), HYPERLINK(CONCATENATE("#metadata!", ADDRESS(INDEX($Y$2:$Y$1001,MATCH(ROWS($W$2:W815),$W$2:$W$1001,0),0), INDEX($AD$1004:$AU$1004,1,MATCH(COLUMNS($AD$1006:AG1006),$AD$1006:$AU$1006,0)))),"Fix")))</f>
        <v xml:space="preserve"> </v>
      </c>
      <c r="F815" s="4" t="str">
        <f ca="1">IF(OR(INDEX($X$2:$X$1001,MATCH(ROWS($W$2:W815),$W$2:$W$1001,0),1)&gt;=100000,INDEX($AD$1005:$AU$1005,1,MATCH(COLUMNS($AD$1006:AH1006),$AD$1006:$AU$1006,0))&gt;=100000), " ",IF(INDEX($AD$2:$AU$1001,MATCH(ROWS($W$2:W815),$W$2:$W$1001,0),MATCH(COLUMNS($AD$1006:AH1006),$AD$1006:$AU$1006,0)), HYPERLINK("#",""), HYPERLINK(CONCATENATE("#metadata!", ADDRESS(INDEX($Y$2:$Y$1001,MATCH(ROWS($W$2:W815),$W$2:$W$1001,0),0), INDEX($AD$1004:$AU$1004,1,MATCH(COLUMNS($AD$1006:AH1006),$AD$1006:$AU$1006,0)))),"Fix")))</f>
        <v xml:space="preserve"> </v>
      </c>
      <c r="G815" s="4" t="str">
        <f ca="1">IF(OR(INDEX($X$2:$X$1001,MATCH(ROWS($W$2:W815),$W$2:$W$1001,0),1)&gt;=100000,INDEX($AD$1005:$AU$1005,1,MATCH(COLUMNS($AD$1006:AI1006),$AD$1006:$AU$1006,0))&gt;=100000), " ",IF(INDEX($AD$2:$AU$1001,MATCH(ROWS($W$2:W815),$W$2:$W$1001,0),MATCH(COLUMNS($AD$1006:AI1006),$AD$1006:$AU$1006,0)), HYPERLINK("#",""), HYPERLINK(CONCATENATE("#metadata!", ADDRESS(INDEX($Y$2:$Y$1001,MATCH(ROWS($W$2:W815),$W$2:$W$1001,0),0), INDEX($AD$1004:$AU$1004,1,MATCH(COLUMNS($AD$1006:AI1006),$AD$1006:$AU$1006,0)))),"Fix")))</f>
        <v xml:space="preserve"> </v>
      </c>
      <c r="H815" s="4" t="str">
        <f ca="1">IF(OR(INDEX($X$2:$X$1001,MATCH(ROWS($W$2:W815),$W$2:$W$1001,0),1)&gt;=100000,INDEX($AD$1005:$AU$1005,1,MATCH(COLUMNS($AD$1006:AJ1006),$AD$1006:$AU$1006,0))&gt;=100000), " ",IF(INDEX($AD$2:$AU$1001,MATCH(ROWS($W$2:W815),$W$2:$W$1001,0),MATCH(COLUMNS($AD$1006:AJ1006),$AD$1006:$AU$1006,0)), HYPERLINK("#",""), HYPERLINK(CONCATENATE("#metadata!", ADDRESS(INDEX($Y$2:$Y$1001,MATCH(ROWS($W$2:W815),$W$2:$W$1001,0),0), INDEX($AD$1004:$AU$1004,1,MATCH(COLUMNS($AD$1006:AJ1006),$AD$1006:$AU$1006,0)))),"Fix")))</f>
        <v xml:space="preserve"> </v>
      </c>
      <c r="I815" s="4" t="str">
        <f ca="1">IF(OR(INDEX($X$2:$X$1001,MATCH(ROWS($W$2:W815),$W$2:$W$1001,0),1)&gt;=100000,INDEX($AD$1005:$AU$1005,1,MATCH(COLUMNS($AD$1006:AK1006),$AD$1006:$AU$1006,0))&gt;=100000), " ",IF(INDEX($AD$2:$AU$1001,MATCH(ROWS($W$2:W815),$W$2:$W$1001,0),MATCH(COLUMNS($AD$1006:AK1006),$AD$1006:$AU$1006,0)), HYPERLINK("#",""), HYPERLINK(CONCATENATE("#metadata!", ADDRESS(INDEX($Y$2:$Y$1001,MATCH(ROWS($W$2:W815),$W$2:$W$1001,0),0), INDEX($AD$1004:$AU$1004,1,MATCH(COLUMNS($AD$1006:AK1006),$AD$1006:$AU$1006,0)))),"Fix")))</f>
        <v xml:space="preserve"> </v>
      </c>
      <c r="J815" s="4" t="str">
        <f ca="1">IF(OR(INDEX($X$2:$X$1001,MATCH(ROWS($W$2:W815),$W$2:$W$1001,0),1)&gt;=100000,INDEX($AD$1005:$AU$1005,1,MATCH(COLUMNS($AD$1006:AL1006),$AD$1006:$AU$1006,0))&gt;=100000), " ",IF(INDEX($AD$2:$AU$1001,MATCH(ROWS($W$2:W815),$W$2:$W$1001,0),MATCH(COLUMNS($AD$1006:AL1006),$AD$1006:$AU$1006,0)), HYPERLINK("#",""), HYPERLINK(CONCATENATE("#metadata!", ADDRESS(INDEX($Y$2:$Y$1001,MATCH(ROWS($W$2:W815),$W$2:$W$1001,0),0), INDEX($AD$1004:$AU$1004,1,MATCH(COLUMNS($AD$1006:AL1006),$AD$1006:$AU$1006,0)))),"Fix")))</f>
        <v xml:space="preserve"> </v>
      </c>
      <c r="K815" s="4" t="str">
        <f ca="1">IF(OR(INDEX($X$2:$X$1001,MATCH(ROWS($W$2:W815),$W$2:$W$1001,0),1)&gt;=100000,INDEX($AD$1005:$AU$1005,1,MATCH(COLUMNS($AD$1006:AM1006),$AD$1006:$AU$1006,0))&gt;=100000), " ",IF(INDEX($AD$2:$AU$1001,MATCH(ROWS($W$2:W815),$W$2:$W$1001,0),MATCH(COLUMNS($AD$1006:AM1006),$AD$1006:$AU$1006,0)), HYPERLINK("#",""), HYPERLINK(CONCATENATE("#metadata!", ADDRESS(INDEX($Y$2:$Y$1001,MATCH(ROWS($W$2:W815),$W$2:$W$1001,0),0), INDEX($AD$1004:$AU$1004,1,MATCH(COLUMNS($AD$1006:AM1006),$AD$1006:$AU$1006,0)))),"Fix")))</f>
        <v xml:space="preserve"> </v>
      </c>
      <c r="L815" s="4" t="str">
        <f ca="1">IF(OR(INDEX($X$2:$X$1001,MATCH(ROWS($W$2:W815),$W$2:$W$1001,0),1)&gt;=100000,INDEX($AD$1005:$AU$1005,1,MATCH(COLUMNS($AD$1006:AN1006),$AD$1006:$AU$1006,0))&gt;=100000), " ",IF(INDEX($AD$2:$AU$1001,MATCH(ROWS($W$2:W815),$W$2:$W$1001,0),MATCH(COLUMNS($AD$1006:AN1006),$AD$1006:$AU$1006,0)), HYPERLINK("#",""), HYPERLINK(CONCATENATE("#metadata!", ADDRESS(INDEX($Y$2:$Y$1001,MATCH(ROWS($W$2:W815),$W$2:$W$1001,0),0), INDEX($AD$1004:$AU$1004,1,MATCH(COLUMNS($AD$1006:AN1006),$AD$1006:$AU$1006,0)))),"Fix")))</f>
        <v xml:space="preserve"> </v>
      </c>
      <c r="M815" s="4" t="str">
        <f ca="1">IF(OR(INDEX($X$2:$X$1001,MATCH(ROWS($W$2:W815),$W$2:$W$1001,0),1)&gt;=100000,INDEX($AD$1005:$AU$1005,1,MATCH(COLUMNS($AD$1006:AO1006),$AD$1006:$AU$1006,0))&gt;=100000), " ",IF(INDEX($AD$2:$AU$1001,MATCH(ROWS($W$2:W815),$W$2:$W$1001,0),MATCH(COLUMNS($AD$1006:AO1006),$AD$1006:$AU$1006,0)), HYPERLINK("#",""), HYPERLINK(CONCATENATE("#metadata!", ADDRESS(INDEX($Y$2:$Y$1001,MATCH(ROWS($W$2:W815),$W$2:$W$1001,0),0), INDEX($AD$1004:$AU$1004,1,MATCH(COLUMNS($AD$1006:AO1006),$AD$1006:$AU$1006,0)))),"Fix")))</f>
        <v xml:space="preserve"> </v>
      </c>
      <c r="N815" s="4" t="str">
        <f ca="1">IF(OR(INDEX($X$2:$X$1001,MATCH(ROWS($W$2:W815),$W$2:$W$1001,0),1)&gt;=100000,INDEX($AD$1005:$AU$1005,1,MATCH(COLUMNS($AD$1006:AP1006),$AD$1006:$AU$1006,0))&gt;=100000), " ",IF(INDEX($AD$2:$AU$1001,MATCH(ROWS($W$2:W815),$W$2:$W$1001,0),MATCH(COLUMNS($AD$1006:AP1006),$AD$1006:$AU$1006,0)), HYPERLINK("#",""), HYPERLINK(CONCATENATE("#metadata!", ADDRESS(INDEX($Y$2:$Y$1001,MATCH(ROWS($W$2:W815),$W$2:$W$1001,0),0), INDEX($AD$1004:$AU$1004,1,MATCH(COLUMNS($AD$1006:AP1006),$AD$1006:$AU$1006,0)))),"Fix")))</f>
        <v xml:space="preserve"> </v>
      </c>
      <c r="O815" s="4" t="str">
        <f ca="1">IF(OR(INDEX($X$2:$X$1001,MATCH(ROWS($W$2:W815),$W$2:$W$1001,0),1)&gt;=100000,INDEX($AD$1005:$AU$1005,1,MATCH(COLUMNS($AD$1006:AQ1006),$AD$1006:$AU$1006,0))&gt;=100000), " ",IF(INDEX($AD$2:$AU$1001,MATCH(ROWS($W$2:W815),$W$2:$W$1001,0),MATCH(COLUMNS($AD$1006:AQ1006),$AD$1006:$AU$1006,0)), HYPERLINK("#",""), HYPERLINK(CONCATENATE("#metadata!", ADDRESS(INDEX($Y$2:$Y$1001,MATCH(ROWS($W$2:W815),$W$2:$W$1001,0),0), INDEX($AD$1004:$AU$1004,1,MATCH(COLUMNS($AD$1006:AQ1006),$AD$1006:$AU$1006,0)))),"Fix")))</f>
        <v xml:space="preserve"> </v>
      </c>
      <c r="P815" s="4" t="str">
        <f ca="1">IF(OR(INDEX($X$2:$X$1001,MATCH(ROWS($W$2:W815),$W$2:$W$1001,0),1)&gt;=100000,INDEX($AD$1005:$AU$1005,1,MATCH(COLUMNS($AD$1006:AR1006),$AD$1006:$AU$1006,0))&gt;=100000), " ",IF(INDEX($AD$2:$AU$1001,MATCH(ROWS($W$2:W815),$W$2:$W$1001,0),MATCH(COLUMNS($AD$1006:AR1006),$AD$1006:$AU$1006,0)), HYPERLINK("#",""), HYPERLINK(CONCATENATE("#metadata!", ADDRESS(INDEX($Y$2:$Y$1001,MATCH(ROWS($W$2:W815),$W$2:$W$1001,0),0), INDEX($AD$1004:$AU$1004,1,MATCH(COLUMNS($AD$1006:AR1006),$AD$1006:$AU$1006,0)))),"Fix")))</f>
        <v xml:space="preserve"> </v>
      </c>
      <c r="Q815" s="4" t="str">
        <f ca="1">IF(OR(INDEX($X$2:$X$1001,MATCH(ROWS($W$2:W815),$W$2:$W$1001,0),1)&gt;=100000,INDEX($AD$1005:$AU$1005,1,MATCH(COLUMNS($AD$1006:AS1006),$AD$1006:$AU$1006,0))&gt;=100000), " ",IF(INDEX($AD$2:$AU$1001,MATCH(ROWS($W$2:W815),$W$2:$W$1001,0),MATCH(COLUMNS($AD$1006:AS1006),$AD$1006:$AU$1006,0)), HYPERLINK("#",""), HYPERLINK(CONCATENATE("#metadata!", ADDRESS(INDEX($Y$2:$Y$1001,MATCH(ROWS($W$2:W815),$W$2:$W$1001,0),0), INDEX($AD$1004:$AU$1004,1,MATCH(COLUMNS($AD$1006:AS1006),$AD$1006:$AU$1006,0)))),"Fix")))</f>
        <v xml:space="preserve"> </v>
      </c>
      <c r="R815" s="4" t="str">
        <f ca="1">IF(OR(INDEX($X$2:$X$1001,MATCH(ROWS($W$2:W815),$W$2:$W$1001,0),1)&gt;=100000,INDEX($AD$1005:$AU$1005,1,MATCH(COLUMNS($AD$1006:AT1006),$AD$1006:$AU$1006,0))&gt;=100000), " ",IF(INDEX($AD$2:$AU$1001,MATCH(ROWS($W$2:W815),$W$2:$W$1001,0),MATCH(COLUMNS($AD$1006:AT1006),$AD$1006:$AU$1006,0)), HYPERLINK("#",""), HYPERLINK(CONCATENATE("#metadata!", ADDRESS(INDEX($Y$2:$Y$1001,MATCH(ROWS($W$2:W815),$W$2:$W$1001,0),0), INDEX($AD$1004:$AU$1004,1,MATCH(COLUMNS($AD$1006:AT1006),$AD$1006:$AU$1006,0)))),"Fix")))</f>
        <v xml:space="preserve"> </v>
      </c>
      <c r="S815" s="4" t="str">
        <f ca="1">IF(OR(INDEX($X$2:$X$1001,MATCH(ROWS($W$2:W815),$W$2:$W$1001,0),1)&gt;=100000,INDEX($AD$1005:$AU$1005,1,MATCH(COLUMNS($AD$1006:AU1006),$AD$1006:$AU$1006,0))&gt;=100000), " ",IF(INDEX($AD$2:$AU$1001,MATCH(ROWS($W$2:W815),$W$2:$W$1001,0),MATCH(COLUMNS($AD$1006:AU1006),$AD$1006:$AU$1006,0)), HYPERLINK("#",""), HYPERLINK(CONCATENATE("#metadata!", ADDRESS(INDEX($Y$2:$Y$1001,MATCH(ROWS($W$2:W815),$W$2:$W$1001,0),0), INDEX($AD$1004:$AU$1004,1,MATCH(COLUMNS($AD$1006:AU1006),$AD$1006:$AU$1006,0)))),"Fix")))</f>
        <v xml:space="preserve"> </v>
      </c>
      <c r="W815">
        <v>814</v>
      </c>
      <c r="X815">
        <v>100815</v>
      </c>
      <c r="Y815">
        <v>815</v>
      </c>
      <c r="Z815" t="b">
        <f t="shared" si="12"/>
        <v>1</v>
      </c>
      <c r="AA815" t="b">
        <f>COUNTBLANK(metadata!B815:S815)=COLUMNS(metadata!B815:S815)</f>
        <v>1</v>
      </c>
      <c r="AB815" t="str">
        <v/>
      </c>
      <c r="AD815" t="b">
        <f ca="1">AND(IF(metadata!B815="",FALSE,TRUE),COUNTIF(metadata!B:B, metadata!B815) = 1,NOT(ISERROR(SUMPRODUCT(SEARCH(MID(metadata!B815,ROW(INDIRECT("1:"&amp;LEN(metadata!B815))), 1),"0123456789abcdefghijklmnopqrstuvwxyzABCDEFGHIJKLMNOPQRSTUVWXYZ.")))))</f>
        <v>0</v>
      </c>
      <c r="AE815" t="b">
        <f>OR(AND(IF(metadata!C815="",FALSE,TRUE),OR(EXACT(metadata!C815,"not applicable"),EXACT(metadata!C815,"missing: not collected"),EXACT(metadata!C815,"missing: not provided"),EXACT(metadata!C815,"missing: restricted access"))),AND(IF(metadata!C815="",FALSE,ISNUMBER(VALUE(metadata!C815))),metadata!C815&gt;0))</f>
        <v>0</v>
      </c>
      <c r="AF815" t="b">
        <f>AND(IF(metadata!D815="",FALSE,TRUE),EXACT(metadata!D815,"missing: not provided"))</f>
        <v>0</v>
      </c>
      <c r="AG815" t="b">
        <f>AND(IF(metadata!E815="",FALSE,TRUE),EXACT(metadata!E815,"Host-associated"))</f>
        <v>0</v>
      </c>
      <c r="AH815" t="b">
        <f>AND(IF(metadata!F815="",FALSE,TRUE),OR(EXACT(metadata!F815,"Animal"),EXACT(metadata!F815,"Fungus"),EXACT(metadata!F815,"Plant")))</f>
        <v>0</v>
      </c>
      <c r="AI815" t="b">
        <f>AND(IF(metadata!G815="",FALSE,TRUE),OR(EXACT(metadata!G815,"Plant secretion"),EXACT(metadata!G815,"Plant rhizosphere"),EXACT(metadata!G815,"Plant surface"),EXACT(metadata!G815,"Plant corpus"),EXACT(metadata!G815,"Fungus surface"),EXACT(metadata!G815,"Fungus corpus"),EXACT(metadata!G815,"Animal surface"),EXACT(metadata!G815,"Animal proximal gut"),EXACT(metadata!G815,"Animal corpus"),EXACT(metadata!G815,"Animal distal gut"),EXACT(metadata!G815,"Animal secretion")))</f>
        <v>0</v>
      </c>
      <c r="AJ815" t="b">
        <f>OR(AND(IF(metadata!H815="",FALSE,TRUE),OR(EXACT(metadata!H815,"missing: not collected"),EXACT(metadata!H815,"missing: not provided"),EXACT(metadata!H815,"missing: restricted access"))),AND(IF(metadata!H815="",FALSE,TRUE),OR(EXACT(metadata!H815,"organism-associated habitat"),EXACT(metadata!H815,"plant-associated habitat"),EXACT(metadata!H815,"animal-associated habitat"),EXACT(metadata!H815,"insecta-associated habitat"),EXACT(metadata!H815,"mammalia-associated habitat"),EXACT(metadata!H815,"human-associated habitat"),EXACT(metadata!H815,"livestock-associated habitat"))))</f>
        <v>0</v>
      </c>
      <c r="AK815" t="b">
        <f>AND(IF(metadata!I815="",FALSE,TRUE),EXACT(metadata!I815,"host-associated"))</f>
        <v>0</v>
      </c>
      <c r="AL815" t="b">
        <f>OR(AND(IF(metadata!J815="",FALSE,TRUE),OR(EXACT(metadata!J815,"not applicable"),EXACT(metadata!J815,"missing: not collected"),EXACT(metadata!J815,"missing: not provided"),EXACT(metadata!J815,"missing: restricted access"))),AND(IF(metadata!J815="",FALSE,ISNUMBER(VALUE(metadata!J815))),metadata!J815&gt;0))</f>
        <v>0</v>
      </c>
      <c r="AM815" t="b">
        <f>AND(IF(metadata!K815="",FALSE,TRUE),EXACT(metadata!K815,"missing: not provided"))</f>
        <v>0</v>
      </c>
      <c r="AN815" t="b">
        <f>IF(metadata!L815="",FALSE,TRUE)</f>
        <v>0</v>
      </c>
      <c r="AO815" t="b">
        <f>IF(metadata!M815="",FALSE,TRUE)</f>
        <v>0</v>
      </c>
      <c r="AP815" t="b">
        <f>OR(AND(IF(metadata!N815="",FALSE,TRUE),OR(EXACT(metadata!N815,"not applicable"),EXACT(metadata!N815,"missing: not collected"),EXACT(metadata!N815,"missing: not provided"))),AND(IF(metadata!N815="",FALSE,IF(ISERROR(INT(metadata!N815)),FALSE,INT(metadata!N815)=metadata!N815)),metadata!N815&gt;0))</f>
        <v>0</v>
      </c>
      <c r="AQ815" t="b">
        <f>AND(IF(metadata!O815="",FALSE,TRUE),EXACT(metadata!O815,"Not applicable"))</f>
        <v>0</v>
      </c>
      <c r="AR815" t="b">
        <f>OR(AND(IF(metadata!P815="",FALSE,TRUE),OR(EXACT(metadata!P815,"not applicable"),EXACT(metadata!P815,"missing: not collected"),EXACT(metadata!P815,"missing: not provided"),EXACT(metadata!P815,"missing: restricted access"))),IF(metadata!P815="",FALSE,IF(ISERROR(INT(metadata!P815)),FALSE,INT(metadata!P815)=metadata!P815)))</f>
        <v>0</v>
      </c>
      <c r="AS815" t="b">
        <f>AND(IF(metadata!Q815="",FALSE,TRUE),EXACT(metadata!Q815,"Not applicable"))</f>
        <v>0</v>
      </c>
      <c r="AT815" t="b">
        <f>OR(AND(IF(metadata!R815="",FALSE,TRUE),OR(EXACT(metadata!R815,"not applicable"),EXACT(metadata!R815,"missing: not collected"),EXACT(metadata!R815,"missing: not provided"),EXACT(metadata!R815,"missing: restricted access"))),AND(IF(metadata!R815="",FALSE,ISNUMBER(VALUE(metadata!R815))),metadata!R815&gt;0))</f>
        <v>0</v>
      </c>
      <c r="AU815" t="b">
        <f>AND(IF(metadata!S815="",FALSE,TRUE),EXACT(metadata!S815,"missing: not provided"))</f>
        <v>0</v>
      </c>
    </row>
    <row r="816" spans="1:47" x14ac:dyDescent="0.2">
      <c r="A816" s="5" t="str">
        <f ca="1">IF(B816=" "," ",HYPERLINK(CONCATENATE("#metadata!",ADDRESS(INDEX($Y$2:$Y$1001,MATCH(ROWS($W$2:W816),$W$2:$W$1001,0),0),1)),INDEX($AB$2:$AB$1001,MATCH(ROWS($W$2:W816),$W$2:$W$1001,0),0)))</f>
        <v xml:space="preserve"> </v>
      </c>
      <c r="B816" s="4" t="str">
        <f ca="1">IF(OR(INDEX($X$2:$X$1001,MATCH(ROWS($W$2:W816),$W$2:$W$1001,0),1)&gt;=100000,INDEX($AD$1005:$AU$1005,1,MATCH(COLUMNS($AD$1006:AD1006),$AD$1006:$AU$1006,0))&gt;=100000), " ",IF(INDEX($AD$2:$AU$1001,MATCH(ROWS($W$2:W816),$W$2:$W$1001,0),MATCH(COLUMNS($AD$1006:AD1006),$AD$1006:$AU$1006,0)), HYPERLINK("#",""), HYPERLINK(CONCATENATE("#metadata!", ADDRESS(INDEX($Y$2:$Y$1001,MATCH(ROWS($W$2:W816),$W$2:$W$1001,0),0), INDEX($AD$1004:$AU$1004,1,MATCH(COLUMNS($AD$1006:AD1006),$AD$1006:$AU$1006,0)))),"Fix")))</f>
        <v xml:space="preserve"> </v>
      </c>
      <c r="C816" s="4" t="str">
        <f ca="1">IF(OR(INDEX($X$2:$X$1001,MATCH(ROWS($W$2:W816),$W$2:$W$1001,0),1)&gt;=100000,INDEX($AD$1005:$AU$1005,1,MATCH(COLUMNS($AD$1006:AE1006),$AD$1006:$AU$1006,0))&gt;=100000), " ",IF(INDEX($AD$2:$AU$1001,MATCH(ROWS($W$2:W816),$W$2:$W$1001,0),MATCH(COLUMNS($AD$1006:AE1006),$AD$1006:$AU$1006,0)), HYPERLINK("#",""), HYPERLINK(CONCATENATE("#metadata!", ADDRESS(INDEX($Y$2:$Y$1001,MATCH(ROWS($W$2:W816),$W$2:$W$1001,0),0), INDEX($AD$1004:$AU$1004,1,MATCH(COLUMNS($AD$1006:AE1006),$AD$1006:$AU$1006,0)))),"Fix")))</f>
        <v xml:space="preserve"> </v>
      </c>
      <c r="D816" s="4" t="str">
        <f ca="1">IF(OR(INDEX($X$2:$X$1001,MATCH(ROWS($W$2:W816),$W$2:$W$1001,0),1)&gt;=100000,INDEX($AD$1005:$AU$1005,1,MATCH(COLUMNS($AD$1006:AF1006),$AD$1006:$AU$1006,0))&gt;=100000), " ",IF(INDEX($AD$2:$AU$1001,MATCH(ROWS($W$2:W816),$W$2:$W$1001,0),MATCH(COLUMNS($AD$1006:AF1006),$AD$1006:$AU$1006,0)), HYPERLINK("#",""), HYPERLINK(CONCATENATE("#metadata!", ADDRESS(INDEX($Y$2:$Y$1001,MATCH(ROWS($W$2:W816),$W$2:$W$1001,0),0), INDEX($AD$1004:$AU$1004,1,MATCH(COLUMNS($AD$1006:AF1006),$AD$1006:$AU$1006,0)))),"Fix")))</f>
        <v xml:space="preserve"> </v>
      </c>
      <c r="E816" s="4" t="str">
        <f ca="1">IF(OR(INDEX($X$2:$X$1001,MATCH(ROWS($W$2:W816),$W$2:$W$1001,0),1)&gt;=100000,INDEX($AD$1005:$AU$1005,1,MATCH(COLUMNS($AD$1006:AG1006),$AD$1006:$AU$1006,0))&gt;=100000), " ",IF(INDEX($AD$2:$AU$1001,MATCH(ROWS($W$2:W816),$W$2:$W$1001,0),MATCH(COLUMNS($AD$1006:AG1006),$AD$1006:$AU$1006,0)), HYPERLINK("#",""), HYPERLINK(CONCATENATE("#metadata!", ADDRESS(INDEX($Y$2:$Y$1001,MATCH(ROWS($W$2:W816),$W$2:$W$1001,0),0), INDEX($AD$1004:$AU$1004,1,MATCH(COLUMNS($AD$1006:AG1006),$AD$1006:$AU$1006,0)))),"Fix")))</f>
        <v xml:space="preserve"> </v>
      </c>
      <c r="F816" s="4" t="str">
        <f ca="1">IF(OR(INDEX($X$2:$X$1001,MATCH(ROWS($W$2:W816),$W$2:$W$1001,0),1)&gt;=100000,INDEX($AD$1005:$AU$1005,1,MATCH(COLUMNS($AD$1006:AH1006),$AD$1006:$AU$1006,0))&gt;=100000), " ",IF(INDEX($AD$2:$AU$1001,MATCH(ROWS($W$2:W816),$W$2:$W$1001,0),MATCH(COLUMNS($AD$1006:AH1006),$AD$1006:$AU$1006,0)), HYPERLINK("#",""), HYPERLINK(CONCATENATE("#metadata!", ADDRESS(INDEX($Y$2:$Y$1001,MATCH(ROWS($W$2:W816),$W$2:$W$1001,0),0), INDEX($AD$1004:$AU$1004,1,MATCH(COLUMNS($AD$1006:AH1006),$AD$1006:$AU$1006,0)))),"Fix")))</f>
        <v xml:space="preserve"> </v>
      </c>
      <c r="G816" s="4" t="str">
        <f ca="1">IF(OR(INDEX($X$2:$X$1001,MATCH(ROWS($W$2:W816),$W$2:$W$1001,0),1)&gt;=100000,INDEX($AD$1005:$AU$1005,1,MATCH(COLUMNS($AD$1006:AI1006),$AD$1006:$AU$1006,0))&gt;=100000), " ",IF(INDEX($AD$2:$AU$1001,MATCH(ROWS($W$2:W816),$W$2:$W$1001,0),MATCH(COLUMNS($AD$1006:AI1006),$AD$1006:$AU$1006,0)), HYPERLINK("#",""), HYPERLINK(CONCATENATE("#metadata!", ADDRESS(INDEX($Y$2:$Y$1001,MATCH(ROWS($W$2:W816),$W$2:$W$1001,0),0), INDEX($AD$1004:$AU$1004,1,MATCH(COLUMNS($AD$1006:AI1006),$AD$1006:$AU$1006,0)))),"Fix")))</f>
        <v xml:space="preserve"> </v>
      </c>
      <c r="H816" s="4" t="str">
        <f ca="1">IF(OR(INDEX($X$2:$X$1001,MATCH(ROWS($W$2:W816),$W$2:$W$1001,0),1)&gt;=100000,INDEX($AD$1005:$AU$1005,1,MATCH(COLUMNS($AD$1006:AJ1006),$AD$1006:$AU$1006,0))&gt;=100000), " ",IF(INDEX($AD$2:$AU$1001,MATCH(ROWS($W$2:W816),$W$2:$W$1001,0),MATCH(COLUMNS($AD$1006:AJ1006),$AD$1006:$AU$1006,0)), HYPERLINK("#",""), HYPERLINK(CONCATENATE("#metadata!", ADDRESS(INDEX($Y$2:$Y$1001,MATCH(ROWS($W$2:W816),$W$2:$W$1001,0),0), INDEX($AD$1004:$AU$1004,1,MATCH(COLUMNS($AD$1006:AJ1006),$AD$1006:$AU$1006,0)))),"Fix")))</f>
        <v xml:space="preserve"> </v>
      </c>
      <c r="I816" s="4" t="str">
        <f ca="1">IF(OR(INDEX($X$2:$X$1001,MATCH(ROWS($W$2:W816),$W$2:$W$1001,0),1)&gt;=100000,INDEX($AD$1005:$AU$1005,1,MATCH(COLUMNS($AD$1006:AK1006),$AD$1006:$AU$1006,0))&gt;=100000), " ",IF(INDEX($AD$2:$AU$1001,MATCH(ROWS($W$2:W816),$W$2:$W$1001,0),MATCH(COLUMNS($AD$1006:AK1006),$AD$1006:$AU$1006,0)), HYPERLINK("#",""), HYPERLINK(CONCATENATE("#metadata!", ADDRESS(INDEX($Y$2:$Y$1001,MATCH(ROWS($W$2:W816),$W$2:$W$1001,0),0), INDEX($AD$1004:$AU$1004,1,MATCH(COLUMNS($AD$1006:AK1006),$AD$1006:$AU$1006,0)))),"Fix")))</f>
        <v xml:space="preserve"> </v>
      </c>
      <c r="J816" s="4" t="str">
        <f ca="1">IF(OR(INDEX($X$2:$X$1001,MATCH(ROWS($W$2:W816),$W$2:$W$1001,0),1)&gt;=100000,INDEX($AD$1005:$AU$1005,1,MATCH(COLUMNS($AD$1006:AL1006),$AD$1006:$AU$1006,0))&gt;=100000), " ",IF(INDEX($AD$2:$AU$1001,MATCH(ROWS($W$2:W816),$W$2:$W$1001,0),MATCH(COLUMNS($AD$1006:AL1006),$AD$1006:$AU$1006,0)), HYPERLINK("#",""), HYPERLINK(CONCATENATE("#metadata!", ADDRESS(INDEX($Y$2:$Y$1001,MATCH(ROWS($W$2:W816),$W$2:$W$1001,0),0), INDEX($AD$1004:$AU$1004,1,MATCH(COLUMNS($AD$1006:AL1006),$AD$1006:$AU$1006,0)))),"Fix")))</f>
        <v xml:space="preserve"> </v>
      </c>
      <c r="K816" s="4" t="str">
        <f ca="1">IF(OR(INDEX($X$2:$X$1001,MATCH(ROWS($W$2:W816),$W$2:$W$1001,0),1)&gt;=100000,INDEX($AD$1005:$AU$1005,1,MATCH(COLUMNS($AD$1006:AM1006),$AD$1006:$AU$1006,0))&gt;=100000), " ",IF(INDEX($AD$2:$AU$1001,MATCH(ROWS($W$2:W816),$W$2:$W$1001,0),MATCH(COLUMNS($AD$1006:AM1006),$AD$1006:$AU$1006,0)), HYPERLINK("#",""), HYPERLINK(CONCATENATE("#metadata!", ADDRESS(INDEX($Y$2:$Y$1001,MATCH(ROWS($W$2:W816),$W$2:$W$1001,0),0), INDEX($AD$1004:$AU$1004,1,MATCH(COLUMNS($AD$1006:AM1006),$AD$1006:$AU$1006,0)))),"Fix")))</f>
        <v xml:space="preserve"> </v>
      </c>
      <c r="L816" s="4" t="str">
        <f ca="1">IF(OR(INDEX($X$2:$X$1001,MATCH(ROWS($W$2:W816),$W$2:$W$1001,0),1)&gt;=100000,INDEX($AD$1005:$AU$1005,1,MATCH(COLUMNS($AD$1006:AN1006),$AD$1006:$AU$1006,0))&gt;=100000), " ",IF(INDEX($AD$2:$AU$1001,MATCH(ROWS($W$2:W816),$W$2:$W$1001,0),MATCH(COLUMNS($AD$1006:AN1006),$AD$1006:$AU$1006,0)), HYPERLINK("#",""), HYPERLINK(CONCATENATE("#metadata!", ADDRESS(INDEX($Y$2:$Y$1001,MATCH(ROWS($W$2:W816),$W$2:$W$1001,0),0), INDEX($AD$1004:$AU$1004,1,MATCH(COLUMNS($AD$1006:AN1006),$AD$1006:$AU$1006,0)))),"Fix")))</f>
        <v xml:space="preserve"> </v>
      </c>
      <c r="M816" s="4" t="str">
        <f ca="1">IF(OR(INDEX($X$2:$X$1001,MATCH(ROWS($W$2:W816),$W$2:$W$1001,0),1)&gt;=100000,INDEX($AD$1005:$AU$1005,1,MATCH(COLUMNS($AD$1006:AO1006),$AD$1006:$AU$1006,0))&gt;=100000), " ",IF(INDEX($AD$2:$AU$1001,MATCH(ROWS($W$2:W816),$W$2:$W$1001,0),MATCH(COLUMNS($AD$1006:AO1006),$AD$1006:$AU$1006,0)), HYPERLINK("#",""), HYPERLINK(CONCATENATE("#metadata!", ADDRESS(INDEX($Y$2:$Y$1001,MATCH(ROWS($W$2:W816),$W$2:$W$1001,0),0), INDEX($AD$1004:$AU$1004,1,MATCH(COLUMNS($AD$1006:AO1006),$AD$1006:$AU$1006,0)))),"Fix")))</f>
        <v xml:space="preserve"> </v>
      </c>
      <c r="N816" s="4" t="str">
        <f ca="1">IF(OR(INDEX($X$2:$X$1001,MATCH(ROWS($W$2:W816),$W$2:$W$1001,0),1)&gt;=100000,INDEX($AD$1005:$AU$1005,1,MATCH(COLUMNS($AD$1006:AP1006),$AD$1006:$AU$1006,0))&gt;=100000), " ",IF(INDEX($AD$2:$AU$1001,MATCH(ROWS($W$2:W816),$W$2:$W$1001,0),MATCH(COLUMNS($AD$1006:AP1006),$AD$1006:$AU$1006,0)), HYPERLINK("#",""), HYPERLINK(CONCATENATE("#metadata!", ADDRESS(INDEX($Y$2:$Y$1001,MATCH(ROWS($W$2:W816),$W$2:$W$1001,0),0), INDEX($AD$1004:$AU$1004,1,MATCH(COLUMNS($AD$1006:AP1006),$AD$1006:$AU$1006,0)))),"Fix")))</f>
        <v xml:space="preserve"> </v>
      </c>
      <c r="O816" s="4" t="str">
        <f ca="1">IF(OR(INDEX($X$2:$X$1001,MATCH(ROWS($W$2:W816),$W$2:$W$1001,0),1)&gt;=100000,INDEX($AD$1005:$AU$1005,1,MATCH(COLUMNS($AD$1006:AQ1006),$AD$1006:$AU$1006,0))&gt;=100000), " ",IF(INDEX($AD$2:$AU$1001,MATCH(ROWS($W$2:W816),$W$2:$W$1001,0),MATCH(COLUMNS($AD$1006:AQ1006),$AD$1006:$AU$1006,0)), HYPERLINK("#",""), HYPERLINK(CONCATENATE("#metadata!", ADDRESS(INDEX($Y$2:$Y$1001,MATCH(ROWS($W$2:W816),$W$2:$W$1001,0),0), INDEX($AD$1004:$AU$1004,1,MATCH(COLUMNS($AD$1006:AQ1006),$AD$1006:$AU$1006,0)))),"Fix")))</f>
        <v xml:space="preserve"> </v>
      </c>
      <c r="P816" s="4" t="str">
        <f ca="1">IF(OR(INDEX($X$2:$X$1001,MATCH(ROWS($W$2:W816),$W$2:$W$1001,0),1)&gt;=100000,INDEX($AD$1005:$AU$1005,1,MATCH(COLUMNS($AD$1006:AR1006),$AD$1006:$AU$1006,0))&gt;=100000), " ",IF(INDEX($AD$2:$AU$1001,MATCH(ROWS($W$2:W816),$W$2:$W$1001,0),MATCH(COLUMNS($AD$1006:AR1006),$AD$1006:$AU$1006,0)), HYPERLINK("#",""), HYPERLINK(CONCATENATE("#metadata!", ADDRESS(INDEX($Y$2:$Y$1001,MATCH(ROWS($W$2:W816),$W$2:$W$1001,0),0), INDEX($AD$1004:$AU$1004,1,MATCH(COLUMNS($AD$1006:AR1006),$AD$1006:$AU$1006,0)))),"Fix")))</f>
        <v xml:space="preserve"> </v>
      </c>
      <c r="Q816" s="4" t="str">
        <f ca="1">IF(OR(INDEX($X$2:$X$1001,MATCH(ROWS($W$2:W816),$W$2:$W$1001,0),1)&gt;=100000,INDEX($AD$1005:$AU$1005,1,MATCH(COLUMNS($AD$1006:AS1006),$AD$1006:$AU$1006,0))&gt;=100000), " ",IF(INDEX($AD$2:$AU$1001,MATCH(ROWS($W$2:W816),$W$2:$W$1001,0),MATCH(COLUMNS($AD$1006:AS1006),$AD$1006:$AU$1006,0)), HYPERLINK("#",""), HYPERLINK(CONCATENATE("#metadata!", ADDRESS(INDEX($Y$2:$Y$1001,MATCH(ROWS($W$2:W816),$W$2:$W$1001,0),0), INDEX($AD$1004:$AU$1004,1,MATCH(COLUMNS($AD$1006:AS1006),$AD$1006:$AU$1006,0)))),"Fix")))</f>
        <v xml:space="preserve"> </v>
      </c>
      <c r="R816" s="4" t="str">
        <f ca="1">IF(OR(INDEX($X$2:$X$1001,MATCH(ROWS($W$2:W816),$W$2:$W$1001,0),1)&gt;=100000,INDEX($AD$1005:$AU$1005,1,MATCH(COLUMNS($AD$1006:AT1006),$AD$1006:$AU$1006,0))&gt;=100000), " ",IF(INDEX($AD$2:$AU$1001,MATCH(ROWS($W$2:W816),$W$2:$W$1001,0),MATCH(COLUMNS($AD$1006:AT1006),$AD$1006:$AU$1006,0)), HYPERLINK("#",""), HYPERLINK(CONCATENATE("#metadata!", ADDRESS(INDEX($Y$2:$Y$1001,MATCH(ROWS($W$2:W816),$W$2:$W$1001,0),0), INDEX($AD$1004:$AU$1004,1,MATCH(COLUMNS($AD$1006:AT1006),$AD$1006:$AU$1006,0)))),"Fix")))</f>
        <v xml:space="preserve"> </v>
      </c>
      <c r="S816" s="4" t="str">
        <f ca="1">IF(OR(INDEX($X$2:$X$1001,MATCH(ROWS($W$2:W816),$W$2:$W$1001,0),1)&gt;=100000,INDEX($AD$1005:$AU$1005,1,MATCH(COLUMNS($AD$1006:AU1006),$AD$1006:$AU$1006,0))&gt;=100000), " ",IF(INDEX($AD$2:$AU$1001,MATCH(ROWS($W$2:W816),$W$2:$W$1001,0),MATCH(COLUMNS($AD$1006:AU1006),$AD$1006:$AU$1006,0)), HYPERLINK("#",""), HYPERLINK(CONCATENATE("#metadata!", ADDRESS(INDEX($Y$2:$Y$1001,MATCH(ROWS($W$2:W816),$W$2:$W$1001,0),0), INDEX($AD$1004:$AU$1004,1,MATCH(COLUMNS($AD$1006:AU1006),$AD$1006:$AU$1006,0)))),"Fix")))</f>
        <v xml:space="preserve"> </v>
      </c>
      <c r="W816">
        <v>815</v>
      </c>
      <c r="X816">
        <v>100816</v>
      </c>
      <c r="Y816">
        <v>816</v>
      </c>
      <c r="Z816" t="b">
        <f t="shared" si="12"/>
        <v>1</v>
      </c>
      <c r="AA816" t="b">
        <f>COUNTBLANK(metadata!B816:S816)=COLUMNS(metadata!B816:S816)</f>
        <v>1</v>
      </c>
      <c r="AB816" t="str">
        <v/>
      </c>
      <c r="AD816" t="b">
        <f ca="1">AND(IF(metadata!B816="",FALSE,TRUE),COUNTIF(metadata!B:B, metadata!B816) = 1,NOT(ISERROR(SUMPRODUCT(SEARCH(MID(metadata!B816,ROW(INDIRECT("1:"&amp;LEN(metadata!B816))), 1),"0123456789abcdefghijklmnopqrstuvwxyzABCDEFGHIJKLMNOPQRSTUVWXYZ.")))))</f>
        <v>0</v>
      </c>
      <c r="AE816" t="b">
        <f>OR(AND(IF(metadata!C816="",FALSE,TRUE),OR(EXACT(metadata!C816,"not applicable"),EXACT(metadata!C816,"missing: not collected"),EXACT(metadata!C816,"missing: not provided"),EXACT(metadata!C816,"missing: restricted access"))),AND(IF(metadata!C816="",FALSE,ISNUMBER(VALUE(metadata!C816))),metadata!C816&gt;0))</f>
        <v>0</v>
      </c>
      <c r="AF816" t="b">
        <f>AND(IF(metadata!D816="",FALSE,TRUE),EXACT(metadata!D816,"missing: not provided"))</f>
        <v>0</v>
      </c>
      <c r="AG816" t="b">
        <f>AND(IF(metadata!E816="",FALSE,TRUE),EXACT(metadata!E816,"Host-associated"))</f>
        <v>0</v>
      </c>
      <c r="AH816" t="b">
        <f>AND(IF(metadata!F816="",FALSE,TRUE),OR(EXACT(metadata!F816,"Animal"),EXACT(metadata!F816,"Fungus"),EXACT(metadata!F816,"Plant")))</f>
        <v>0</v>
      </c>
      <c r="AI816" t="b">
        <f>AND(IF(metadata!G816="",FALSE,TRUE),OR(EXACT(metadata!G816,"Plant secretion"),EXACT(metadata!G816,"Plant rhizosphere"),EXACT(metadata!G816,"Plant surface"),EXACT(metadata!G816,"Plant corpus"),EXACT(metadata!G816,"Fungus surface"),EXACT(metadata!G816,"Fungus corpus"),EXACT(metadata!G816,"Animal surface"),EXACT(metadata!G816,"Animal proximal gut"),EXACT(metadata!G816,"Animal corpus"),EXACT(metadata!G816,"Animal distal gut"),EXACT(metadata!G816,"Animal secretion")))</f>
        <v>0</v>
      </c>
      <c r="AJ816" t="b">
        <f>OR(AND(IF(metadata!H816="",FALSE,TRUE),OR(EXACT(metadata!H816,"missing: not collected"),EXACT(metadata!H816,"missing: not provided"),EXACT(metadata!H816,"missing: restricted access"))),AND(IF(metadata!H816="",FALSE,TRUE),OR(EXACT(metadata!H816,"organism-associated habitat"),EXACT(metadata!H816,"plant-associated habitat"),EXACT(metadata!H816,"animal-associated habitat"),EXACT(metadata!H816,"insecta-associated habitat"),EXACT(metadata!H816,"mammalia-associated habitat"),EXACT(metadata!H816,"human-associated habitat"),EXACT(metadata!H816,"livestock-associated habitat"))))</f>
        <v>0</v>
      </c>
      <c r="AK816" t="b">
        <f>AND(IF(metadata!I816="",FALSE,TRUE),EXACT(metadata!I816,"host-associated"))</f>
        <v>0</v>
      </c>
      <c r="AL816" t="b">
        <f>OR(AND(IF(metadata!J816="",FALSE,TRUE),OR(EXACT(metadata!J816,"not applicable"),EXACT(metadata!J816,"missing: not collected"),EXACT(metadata!J816,"missing: not provided"),EXACT(metadata!J816,"missing: restricted access"))),AND(IF(metadata!J816="",FALSE,ISNUMBER(VALUE(metadata!J816))),metadata!J816&gt;0))</f>
        <v>0</v>
      </c>
      <c r="AM816" t="b">
        <f>AND(IF(metadata!K816="",FALSE,TRUE),EXACT(metadata!K816,"missing: not provided"))</f>
        <v>0</v>
      </c>
      <c r="AN816" t="b">
        <f>IF(metadata!L816="",FALSE,TRUE)</f>
        <v>0</v>
      </c>
      <c r="AO816" t="b">
        <f>IF(metadata!M816="",FALSE,TRUE)</f>
        <v>0</v>
      </c>
      <c r="AP816" t="b">
        <f>OR(AND(IF(metadata!N816="",FALSE,TRUE),OR(EXACT(metadata!N816,"not applicable"),EXACT(metadata!N816,"missing: not collected"),EXACT(metadata!N816,"missing: not provided"))),AND(IF(metadata!N816="",FALSE,IF(ISERROR(INT(metadata!N816)),FALSE,INT(metadata!N816)=metadata!N816)),metadata!N816&gt;0))</f>
        <v>0</v>
      </c>
      <c r="AQ816" t="b">
        <f>AND(IF(metadata!O816="",FALSE,TRUE),EXACT(metadata!O816,"Not applicable"))</f>
        <v>0</v>
      </c>
      <c r="AR816" t="b">
        <f>OR(AND(IF(metadata!P816="",FALSE,TRUE),OR(EXACT(metadata!P816,"not applicable"),EXACT(metadata!P816,"missing: not collected"),EXACT(metadata!P816,"missing: not provided"),EXACT(metadata!P816,"missing: restricted access"))),IF(metadata!P816="",FALSE,IF(ISERROR(INT(metadata!P816)),FALSE,INT(metadata!P816)=metadata!P816)))</f>
        <v>0</v>
      </c>
      <c r="AS816" t="b">
        <f>AND(IF(metadata!Q816="",FALSE,TRUE),EXACT(metadata!Q816,"Not applicable"))</f>
        <v>0</v>
      </c>
      <c r="AT816" t="b">
        <f>OR(AND(IF(metadata!R816="",FALSE,TRUE),OR(EXACT(metadata!R816,"not applicable"),EXACT(metadata!R816,"missing: not collected"),EXACT(metadata!R816,"missing: not provided"),EXACT(metadata!R816,"missing: restricted access"))),AND(IF(metadata!R816="",FALSE,ISNUMBER(VALUE(metadata!R816))),metadata!R816&gt;0))</f>
        <v>0</v>
      </c>
      <c r="AU816" t="b">
        <f>AND(IF(metadata!S816="",FALSE,TRUE),EXACT(metadata!S816,"missing: not provided"))</f>
        <v>0</v>
      </c>
    </row>
    <row r="817" spans="1:47" x14ac:dyDescent="0.2">
      <c r="A817" s="5" t="str">
        <f ca="1">IF(B817=" "," ",HYPERLINK(CONCATENATE("#metadata!",ADDRESS(INDEX($Y$2:$Y$1001,MATCH(ROWS($W$2:W817),$W$2:$W$1001,0),0),1)),INDEX($AB$2:$AB$1001,MATCH(ROWS($W$2:W817),$W$2:$W$1001,0),0)))</f>
        <v xml:space="preserve"> </v>
      </c>
      <c r="B817" s="4" t="str">
        <f ca="1">IF(OR(INDEX($X$2:$X$1001,MATCH(ROWS($W$2:W817),$W$2:$W$1001,0),1)&gt;=100000,INDEX($AD$1005:$AU$1005,1,MATCH(COLUMNS($AD$1006:AD1006),$AD$1006:$AU$1006,0))&gt;=100000), " ",IF(INDEX($AD$2:$AU$1001,MATCH(ROWS($W$2:W817),$W$2:$W$1001,0),MATCH(COLUMNS($AD$1006:AD1006),$AD$1006:$AU$1006,0)), HYPERLINK("#",""), HYPERLINK(CONCATENATE("#metadata!", ADDRESS(INDEX($Y$2:$Y$1001,MATCH(ROWS($W$2:W817),$W$2:$W$1001,0),0), INDEX($AD$1004:$AU$1004,1,MATCH(COLUMNS($AD$1006:AD1006),$AD$1006:$AU$1006,0)))),"Fix")))</f>
        <v xml:space="preserve"> </v>
      </c>
      <c r="C817" s="4" t="str">
        <f ca="1">IF(OR(INDEX($X$2:$X$1001,MATCH(ROWS($W$2:W817),$W$2:$W$1001,0),1)&gt;=100000,INDEX($AD$1005:$AU$1005,1,MATCH(COLUMNS($AD$1006:AE1006),$AD$1006:$AU$1006,0))&gt;=100000), " ",IF(INDEX($AD$2:$AU$1001,MATCH(ROWS($W$2:W817),$W$2:$W$1001,0),MATCH(COLUMNS($AD$1006:AE1006),$AD$1006:$AU$1006,0)), HYPERLINK("#",""), HYPERLINK(CONCATENATE("#metadata!", ADDRESS(INDEX($Y$2:$Y$1001,MATCH(ROWS($W$2:W817),$W$2:$W$1001,0),0), INDEX($AD$1004:$AU$1004,1,MATCH(COLUMNS($AD$1006:AE1006),$AD$1006:$AU$1006,0)))),"Fix")))</f>
        <v xml:space="preserve"> </v>
      </c>
      <c r="D817" s="4" t="str">
        <f ca="1">IF(OR(INDEX($X$2:$X$1001,MATCH(ROWS($W$2:W817),$W$2:$W$1001,0),1)&gt;=100000,INDEX($AD$1005:$AU$1005,1,MATCH(COLUMNS($AD$1006:AF1006),$AD$1006:$AU$1006,0))&gt;=100000), " ",IF(INDEX($AD$2:$AU$1001,MATCH(ROWS($W$2:W817),$W$2:$W$1001,0),MATCH(COLUMNS($AD$1006:AF1006),$AD$1006:$AU$1006,0)), HYPERLINK("#",""), HYPERLINK(CONCATENATE("#metadata!", ADDRESS(INDEX($Y$2:$Y$1001,MATCH(ROWS($W$2:W817),$W$2:$W$1001,0),0), INDEX($AD$1004:$AU$1004,1,MATCH(COLUMNS($AD$1006:AF1006),$AD$1006:$AU$1006,0)))),"Fix")))</f>
        <v xml:space="preserve"> </v>
      </c>
      <c r="E817" s="4" t="str">
        <f ca="1">IF(OR(INDEX($X$2:$X$1001,MATCH(ROWS($W$2:W817),$W$2:$W$1001,0),1)&gt;=100000,INDEX($AD$1005:$AU$1005,1,MATCH(COLUMNS($AD$1006:AG1006),$AD$1006:$AU$1006,0))&gt;=100000), " ",IF(INDEX($AD$2:$AU$1001,MATCH(ROWS($W$2:W817),$W$2:$W$1001,0),MATCH(COLUMNS($AD$1006:AG1006),$AD$1006:$AU$1006,0)), HYPERLINK("#",""), HYPERLINK(CONCATENATE("#metadata!", ADDRESS(INDEX($Y$2:$Y$1001,MATCH(ROWS($W$2:W817),$W$2:$W$1001,0),0), INDEX($AD$1004:$AU$1004,1,MATCH(COLUMNS($AD$1006:AG1006),$AD$1006:$AU$1006,0)))),"Fix")))</f>
        <v xml:space="preserve"> </v>
      </c>
      <c r="F817" s="4" t="str">
        <f ca="1">IF(OR(INDEX($X$2:$X$1001,MATCH(ROWS($W$2:W817),$W$2:$W$1001,0),1)&gt;=100000,INDEX($AD$1005:$AU$1005,1,MATCH(COLUMNS($AD$1006:AH1006),$AD$1006:$AU$1006,0))&gt;=100000), " ",IF(INDEX($AD$2:$AU$1001,MATCH(ROWS($W$2:W817),$W$2:$W$1001,0),MATCH(COLUMNS($AD$1006:AH1006),$AD$1006:$AU$1006,0)), HYPERLINK("#",""), HYPERLINK(CONCATENATE("#metadata!", ADDRESS(INDEX($Y$2:$Y$1001,MATCH(ROWS($W$2:W817),$W$2:$W$1001,0),0), INDEX($AD$1004:$AU$1004,1,MATCH(COLUMNS($AD$1006:AH1006),$AD$1006:$AU$1006,0)))),"Fix")))</f>
        <v xml:space="preserve"> </v>
      </c>
      <c r="G817" s="4" t="str">
        <f ca="1">IF(OR(INDEX($X$2:$X$1001,MATCH(ROWS($W$2:W817),$W$2:$W$1001,0),1)&gt;=100000,INDEX($AD$1005:$AU$1005,1,MATCH(COLUMNS($AD$1006:AI1006),$AD$1006:$AU$1006,0))&gt;=100000), " ",IF(INDEX($AD$2:$AU$1001,MATCH(ROWS($W$2:W817),$W$2:$W$1001,0),MATCH(COLUMNS($AD$1006:AI1006),$AD$1006:$AU$1006,0)), HYPERLINK("#",""), HYPERLINK(CONCATENATE("#metadata!", ADDRESS(INDEX($Y$2:$Y$1001,MATCH(ROWS($W$2:W817),$W$2:$W$1001,0),0), INDEX($AD$1004:$AU$1004,1,MATCH(COLUMNS($AD$1006:AI1006),$AD$1006:$AU$1006,0)))),"Fix")))</f>
        <v xml:space="preserve"> </v>
      </c>
      <c r="H817" s="4" t="str">
        <f ca="1">IF(OR(INDEX($X$2:$X$1001,MATCH(ROWS($W$2:W817),$W$2:$W$1001,0),1)&gt;=100000,INDEX($AD$1005:$AU$1005,1,MATCH(COLUMNS($AD$1006:AJ1006),$AD$1006:$AU$1006,0))&gt;=100000), " ",IF(INDEX($AD$2:$AU$1001,MATCH(ROWS($W$2:W817),$W$2:$W$1001,0),MATCH(COLUMNS($AD$1006:AJ1006),$AD$1006:$AU$1006,0)), HYPERLINK("#",""), HYPERLINK(CONCATENATE("#metadata!", ADDRESS(INDEX($Y$2:$Y$1001,MATCH(ROWS($W$2:W817),$W$2:$W$1001,0),0), INDEX($AD$1004:$AU$1004,1,MATCH(COLUMNS($AD$1006:AJ1006),$AD$1006:$AU$1006,0)))),"Fix")))</f>
        <v xml:space="preserve"> </v>
      </c>
      <c r="I817" s="4" t="str">
        <f ca="1">IF(OR(INDEX($X$2:$X$1001,MATCH(ROWS($W$2:W817),$W$2:$W$1001,0),1)&gt;=100000,INDEX($AD$1005:$AU$1005,1,MATCH(COLUMNS($AD$1006:AK1006),$AD$1006:$AU$1006,0))&gt;=100000), " ",IF(INDEX($AD$2:$AU$1001,MATCH(ROWS($W$2:W817),$W$2:$W$1001,0),MATCH(COLUMNS($AD$1006:AK1006),$AD$1006:$AU$1006,0)), HYPERLINK("#",""), HYPERLINK(CONCATENATE("#metadata!", ADDRESS(INDEX($Y$2:$Y$1001,MATCH(ROWS($W$2:W817),$W$2:$W$1001,0),0), INDEX($AD$1004:$AU$1004,1,MATCH(COLUMNS($AD$1006:AK1006),$AD$1006:$AU$1006,0)))),"Fix")))</f>
        <v xml:space="preserve"> </v>
      </c>
      <c r="J817" s="4" t="str">
        <f ca="1">IF(OR(INDEX($X$2:$X$1001,MATCH(ROWS($W$2:W817),$W$2:$W$1001,0),1)&gt;=100000,INDEX($AD$1005:$AU$1005,1,MATCH(COLUMNS($AD$1006:AL1006),$AD$1006:$AU$1006,0))&gt;=100000), " ",IF(INDEX($AD$2:$AU$1001,MATCH(ROWS($W$2:W817),$W$2:$W$1001,0),MATCH(COLUMNS($AD$1006:AL1006),$AD$1006:$AU$1006,0)), HYPERLINK("#",""), HYPERLINK(CONCATENATE("#metadata!", ADDRESS(INDEX($Y$2:$Y$1001,MATCH(ROWS($W$2:W817),$W$2:$W$1001,0),0), INDEX($AD$1004:$AU$1004,1,MATCH(COLUMNS($AD$1006:AL1006),$AD$1006:$AU$1006,0)))),"Fix")))</f>
        <v xml:space="preserve"> </v>
      </c>
      <c r="K817" s="4" t="str">
        <f ca="1">IF(OR(INDEX($X$2:$X$1001,MATCH(ROWS($W$2:W817),$W$2:$W$1001,0),1)&gt;=100000,INDEX($AD$1005:$AU$1005,1,MATCH(COLUMNS($AD$1006:AM1006),$AD$1006:$AU$1006,0))&gt;=100000), " ",IF(INDEX($AD$2:$AU$1001,MATCH(ROWS($W$2:W817),$W$2:$W$1001,0),MATCH(COLUMNS($AD$1006:AM1006),$AD$1006:$AU$1006,0)), HYPERLINK("#",""), HYPERLINK(CONCATENATE("#metadata!", ADDRESS(INDEX($Y$2:$Y$1001,MATCH(ROWS($W$2:W817),$W$2:$W$1001,0),0), INDEX($AD$1004:$AU$1004,1,MATCH(COLUMNS($AD$1006:AM1006),$AD$1006:$AU$1006,0)))),"Fix")))</f>
        <v xml:space="preserve"> </v>
      </c>
      <c r="L817" s="4" t="str">
        <f ca="1">IF(OR(INDEX($X$2:$X$1001,MATCH(ROWS($W$2:W817),$W$2:$W$1001,0),1)&gt;=100000,INDEX($AD$1005:$AU$1005,1,MATCH(COLUMNS($AD$1006:AN1006),$AD$1006:$AU$1006,0))&gt;=100000), " ",IF(INDEX($AD$2:$AU$1001,MATCH(ROWS($W$2:W817),$W$2:$W$1001,0),MATCH(COLUMNS($AD$1006:AN1006),$AD$1006:$AU$1006,0)), HYPERLINK("#",""), HYPERLINK(CONCATENATE("#metadata!", ADDRESS(INDEX($Y$2:$Y$1001,MATCH(ROWS($W$2:W817),$W$2:$W$1001,0),0), INDEX($AD$1004:$AU$1004,1,MATCH(COLUMNS($AD$1006:AN1006),$AD$1006:$AU$1006,0)))),"Fix")))</f>
        <v xml:space="preserve"> </v>
      </c>
      <c r="M817" s="4" t="str">
        <f ca="1">IF(OR(INDEX($X$2:$X$1001,MATCH(ROWS($W$2:W817),$W$2:$W$1001,0),1)&gt;=100000,INDEX($AD$1005:$AU$1005,1,MATCH(COLUMNS($AD$1006:AO1006),$AD$1006:$AU$1006,0))&gt;=100000), " ",IF(INDEX($AD$2:$AU$1001,MATCH(ROWS($W$2:W817),$W$2:$W$1001,0),MATCH(COLUMNS($AD$1006:AO1006),$AD$1006:$AU$1006,0)), HYPERLINK("#",""), HYPERLINK(CONCATENATE("#metadata!", ADDRESS(INDEX($Y$2:$Y$1001,MATCH(ROWS($W$2:W817),$W$2:$W$1001,0),0), INDEX($AD$1004:$AU$1004,1,MATCH(COLUMNS($AD$1006:AO1006),$AD$1006:$AU$1006,0)))),"Fix")))</f>
        <v xml:space="preserve"> </v>
      </c>
      <c r="N817" s="4" t="str">
        <f ca="1">IF(OR(INDEX($X$2:$X$1001,MATCH(ROWS($W$2:W817),$W$2:$W$1001,0),1)&gt;=100000,INDEX($AD$1005:$AU$1005,1,MATCH(COLUMNS($AD$1006:AP1006),$AD$1006:$AU$1006,0))&gt;=100000), " ",IF(INDEX($AD$2:$AU$1001,MATCH(ROWS($W$2:W817),$W$2:$W$1001,0),MATCH(COLUMNS($AD$1006:AP1006),$AD$1006:$AU$1006,0)), HYPERLINK("#",""), HYPERLINK(CONCATENATE("#metadata!", ADDRESS(INDEX($Y$2:$Y$1001,MATCH(ROWS($W$2:W817),$W$2:$W$1001,0),0), INDEX($AD$1004:$AU$1004,1,MATCH(COLUMNS($AD$1006:AP1006),$AD$1006:$AU$1006,0)))),"Fix")))</f>
        <v xml:space="preserve"> </v>
      </c>
      <c r="O817" s="4" t="str">
        <f ca="1">IF(OR(INDEX($X$2:$X$1001,MATCH(ROWS($W$2:W817),$W$2:$W$1001,0),1)&gt;=100000,INDEX($AD$1005:$AU$1005,1,MATCH(COLUMNS($AD$1006:AQ1006),$AD$1006:$AU$1006,0))&gt;=100000), " ",IF(INDEX($AD$2:$AU$1001,MATCH(ROWS($W$2:W817),$W$2:$W$1001,0),MATCH(COLUMNS($AD$1006:AQ1006),$AD$1006:$AU$1006,0)), HYPERLINK("#",""), HYPERLINK(CONCATENATE("#metadata!", ADDRESS(INDEX($Y$2:$Y$1001,MATCH(ROWS($W$2:W817),$W$2:$W$1001,0),0), INDEX($AD$1004:$AU$1004,1,MATCH(COLUMNS($AD$1006:AQ1006),$AD$1006:$AU$1006,0)))),"Fix")))</f>
        <v xml:space="preserve"> </v>
      </c>
      <c r="P817" s="4" t="str">
        <f ca="1">IF(OR(INDEX($X$2:$X$1001,MATCH(ROWS($W$2:W817),$W$2:$W$1001,0),1)&gt;=100000,INDEX($AD$1005:$AU$1005,1,MATCH(COLUMNS($AD$1006:AR1006),$AD$1006:$AU$1006,0))&gt;=100000), " ",IF(INDEX($AD$2:$AU$1001,MATCH(ROWS($W$2:W817),$W$2:$W$1001,0),MATCH(COLUMNS($AD$1006:AR1006),$AD$1006:$AU$1006,0)), HYPERLINK("#",""), HYPERLINK(CONCATENATE("#metadata!", ADDRESS(INDEX($Y$2:$Y$1001,MATCH(ROWS($W$2:W817),$W$2:$W$1001,0),0), INDEX($AD$1004:$AU$1004,1,MATCH(COLUMNS($AD$1006:AR1006),$AD$1006:$AU$1006,0)))),"Fix")))</f>
        <v xml:space="preserve"> </v>
      </c>
      <c r="Q817" s="4" t="str">
        <f ca="1">IF(OR(INDEX($X$2:$X$1001,MATCH(ROWS($W$2:W817),$W$2:$W$1001,0),1)&gt;=100000,INDEX($AD$1005:$AU$1005,1,MATCH(COLUMNS($AD$1006:AS1006),$AD$1006:$AU$1006,0))&gt;=100000), " ",IF(INDEX($AD$2:$AU$1001,MATCH(ROWS($W$2:W817),$W$2:$W$1001,0),MATCH(COLUMNS($AD$1006:AS1006),$AD$1006:$AU$1006,0)), HYPERLINK("#",""), HYPERLINK(CONCATENATE("#metadata!", ADDRESS(INDEX($Y$2:$Y$1001,MATCH(ROWS($W$2:W817),$W$2:$W$1001,0),0), INDEX($AD$1004:$AU$1004,1,MATCH(COLUMNS($AD$1006:AS1006),$AD$1006:$AU$1006,0)))),"Fix")))</f>
        <v xml:space="preserve"> </v>
      </c>
      <c r="R817" s="4" t="str">
        <f ca="1">IF(OR(INDEX($X$2:$X$1001,MATCH(ROWS($W$2:W817),$W$2:$W$1001,0),1)&gt;=100000,INDEX($AD$1005:$AU$1005,1,MATCH(COLUMNS($AD$1006:AT1006),$AD$1006:$AU$1006,0))&gt;=100000), " ",IF(INDEX($AD$2:$AU$1001,MATCH(ROWS($W$2:W817),$W$2:$W$1001,0),MATCH(COLUMNS($AD$1006:AT1006),$AD$1006:$AU$1006,0)), HYPERLINK("#",""), HYPERLINK(CONCATENATE("#metadata!", ADDRESS(INDEX($Y$2:$Y$1001,MATCH(ROWS($W$2:W817),$W$2:$W$1001,0),0), INDEX($AD$1004:$AU$1004,1,MATCH(COLUMNS($AD$1006:AT1006),$AD$1006:$AU$1006,0)))),"Fix")))</f>
        <v xml:space="preserve"> </v>
      </c>
      <c r="S817" s="4" t="str">
        <f ca="1">IF(OR(INDEX($X$2:$X$1001,MATCH(ROWS($W$2:W817),$W$2:$W$1001,0),1)&gt;=100000,INDEX($AD$1005:$AU$1005,1,MATCH(COLUMNS($AD$1006:AU1006),$AD$1006:$AU$1006,0))&gt;=100000), " ",IF(INDEX($AD$2:$AU$1001,MATCH(ROWS($W$2:W817),$W$2:$W$1001,0),MATCH(COLUMNS($AD$1006:AU1006),$AD$1006:$AU$1006,0)), HYPERLINK("#",""), HYPERLINK(CONCATENATE("#metadata!", ADDRESS(INDEX($Y$2:$Y$1001,MATCH(ROWS($W$2:W817),$W$2:$W$1001,0),0), INDEX($AD$1004:$AU$1004,1,MATCH(COLUMNS($AD$1006:AU1006),$AD$1006:$AU$1006,0)))),"Fix")))</f>
        <v xml:space="preserve"> </v>
      </c>
      <c r="W817">
        <v>816</v>
      </c>
      <c r="X817">
        <v>100817</v>
      </c>
      <c r="Y817">
        <v>817</v>
      </c>
      <c r="Z817" t="b">
        <f t="shared" si="12"/>
        <v>1</v>
      </c>
      <c r="AA817" t="b">
        <f>COUNTBLANK(metadata!B817:S817)=COLUMNS(metadata!B817:S817)</f>
        <v>1</v>
      </c>
      <c r="AB817" t="str">
        <v/>
      </c>
      <c r="AD817" t="b">
        <f ca="1">AND(IF(metadata!B817="",FALSE,TRUE),COUNTIF(metadata!B:B, metadata!B817) = 1,NOT(ISERROR(SUMPRODUCT(SEARCH(MID(metadata!B817,ROW(INDIRECT("1:"&amp;LEN(metadata!B817))), 1),"0123456789abcdefghijklmnopqrstuvwxyzABCDEFGHIJKLMNOPQRSTUVWXYZ.")))))</f>
        <v>0</v>
      </c>
      <c r="AE817" t="b">
        <f>OR(AND(IF(metadata!C817="",FALSE,TRUE),OR(EXACT(metadata!C817,"not applicable"),EXACT(metadata!C817,"missing: not collected"),EXACT(metadata!C817,"missing: not provided"),EXACT(metadata!C817,"missing: restricted access"))),AND(IF(metadata!C817="",FALSE,ISNUMBER(VALUE(metadata!C817))),metadata!C817&gt;0))</f>
        <v>0</v>
      </c>
      <c r="AF817" t="b">
        <f>AND(IF(metadata!D817="",FALSE,TRUE),EXACT(metadata!D817,"missing: not provided"))</f>
        <v>0</v>
      </c>
      <c r="AG817" t="b">
        <f>AND(IF(metadata!E817="",FALSE,TRUE),EXACT(metadata!E817,"Host-associated"))</f>
        <v>0</v>
      </c>
      <c r="AH817" t="b">
        <f>AND(IF(metadata!F817="",FALSE,TRUE),OR(EXACT(metadata!F817,"Animal"),EXACT(metadata!F817,"Fungus"),EXACT(metadata!F817,"Plant")))</f>
        <v>0</v>
      </c>
      <c r="AI817" t="b">
        <f>AND(IF(metadata!G817="",FALSE,TRUE),OR(EXACT(metadata!G817,"Plant secretion"),EXACT(metadata!G817,"Plant rhizosphere"),EXACT(metadata!G817,"Plant surface"),EXACT(metadata!G817,"Plant corpus"),EXACT(metadata!G817,"Fungus surface"),EXACT(metadata!G817,"Fungus corpus"),EXACT(metadata!G817,"Animal surface"),EXACT(metadata!G817,"Animal proximal gut"),EXACT(metadata!G817,"Animal corpus"),EXACT(metadata!G817,"Animal distal gut"),EXACT(metadata!G817,"Animal secretion")))</f>
        <v>0</v>
      </c>
      <c r="AJ817" t="b">
        <f>OR(AND(IF(metadata!H817="",FALSE,TRUE),OR(EXACT(metadata!H817,"missing: not collected"),EXACT(metadata!H817,"missing: not provided"),EXACT(metadata!H817,"missing: restricted access"))),AND(IF(metadata!H817="",FALSE,TRUE),OR(EXACT(metadata!H817,"organism-associated habitat"),EXACT(metadata!H817,"plant-associated habitat"),EXACT(metadata!H817,"animal-associated habitat"),EXACT(metadata!H817,"insecta-associated habitat"),EXACT(metadata!H817,"mammalia-associated habitat"),EXACT(metadata!H817,"human-associated habitat"),EXACT(metadata!H817,"livestock-associated habitat"))))</f>
        <v>0</v>
      </c>
      <c r="AK817" t="b">
        <f>AND(IF(metadata!I817="",FALSE,TRUE),EXACT(metadata!I817,"host-associated"))</f>
        <v>0</v>
      </c>
      <c r="AL817" t="b">
        <f>OR(AND(IF(metadata!J817="",FALSE,TRUE),OR(EXACT(metadata!J817,"not applicable"),EXACT(metadata!J817,"missing: not collected"),EXACT(metadata!J817,"missing: not provided"),EXACT(metadata!J817,"missing: restricted access"))),AND(IF(metadata!J817="",FALSE,ISNUMBER(VALUE(metadata!J817))),metadata!J817&gt;0))</f>
        <v>0</v>
      </c>
      <c r="AM817" t="b">
        <f>AND(IF(metadata!K817="",FALSE,TRUE),EXACT(metadata!K817,"missing: not provided"))</f>
        <v>0</v>
      </c>
      <c r="AN817" t="b">
        <f>IF(metadata!L817="",FALSE,TRUE)</f>
        <v>0</v>
      </c>
      <c r="AO817" t="b">
        <f>IF(metadata!M817="",FALSE,TRUE)</f>
        <v>0</v>
      </c>
      <c r="AP817" t="b">
        <f>OR(AND(IF(metadata!N817="",FALSE,TRUE),OR(EXACT(metadata!N817,"not applicable"),EXACT(metadata!N817,"missing: not collected"),EXACT(metadata!N817,"missing: not provided"))),AND(IF(metadata!N817="",FALSE,IF(ISERROR(INT(metadata!N817)),FALSE,INT(metadata!N817)=metadata!N817)),metadata!N817&gt;0))</f>
        <v>0</v>
      </c>
      <c r="AQ817" t="b">
        <f>AND(IF(metadata!O817="",FALSE,TRUE),EXACT(metadata!O817,"Not applicable"))</f>
        <v>0</v>
      </c>
      <c r="AR817" t="b">
        <f>OR(AND(IF(metadata!P817="",FALSE,TRUE),OR(EXACT(metadata!P817,"not applicable"),EXACT(metadata!P817,"missing: not collected"),EXACT(metadata!P817,"missing: not provided"),EXACT(metadata!P817,"missing: restricted access"))),IF(metadata!P817="",FALSE,IF(ISERROR(INT(metadata!P817)),FALSE,INT(metadata!P817)=metadata!P817)))</f>
        <v>0</v>
      </c>
      <c r="AS817" t="b">
        <f>AND(IF(metadata!Q817="",FALSE,TRUE),EXACT(metadata!Q817,"Not applicable"))</f>
        <v>0</v>
      </c>
      <c r="AT817" t="b">
        <f>OR(AND(IF(metadata!R817="",FALSE,TRUE),OR(EXACT(metadata!R817,"not applicable"),EXACT(metadata!R817,"missing: not collected"),EXACT(metadata!R817,"missing: not provided"),EXACT(metadata!R817,"missing: restricted access"))),AND(IF(metadata!R817="",FALSE,ISNUMBER(VALUE(metadata!R817))),metadata!R817&gt;0))</f>
        <v>0</v>
      </c>
      <c r="AU817" t="b">
        <f>AND(IF(metadata!S817="",FALSE,TRUE),EXACT(metadata!S817,"missing: not provided"))</f>
        <v>0</v>
      </c>
    </row>
    <row r="818" spans="1:47" x14ac:dyDescent="0.2">
      <c r="A818" s="5" t="str">
        <f ca="1">IF(B818=" "," ",HYPERLINK(CONCATENATE("#metadata!",ADDRESS(INDEX($Y$2:$Y$1001,MATCH(ROWS($W$2:W818),$W$2:$W$1001,0),0),1)),INDEX($AB$2:$AB$1001,MATCH(ROWS($W$2:W818),$W$2:$W$1001,0),0)))</f>
        <v xml:space="preserve"> </v>
      </c>
      <c r="B818" s="4" t="str">
        <f ca="1">IF(OR(INDEX($X$2:$X$1001,MATCH(ROWS($W$2:W818),$W$2:$W$1001,0),1)&gt;=100000,INDEX($AD$1005:$AU$1005,1,MATCH(COLUMNS($AD$1006:AD1006),$AD$1006:$AU$1006,0))&gt;=100000), " ",IF(INDEX($AD$2:$AU$1001,MATCH(ROWS($W$2:W818),$W$2:$W$1001,0),MATCH(COLUMNS($AD$1006:AD1006),$AD$1006:$AU$1006,0)), HYPERLINK("#",""), HYPERLINK(CONCATENATE("#metadata!", ADDRESS(INDEX($Y$2:$Y$1001,MATCH(ROWS($W$2:W818),$W$2:$W$1001,0),0), INDEX($AD$1004:$AU$1004,1,MATCH(COLUMNS($AD$1006:AD1006),$AD$1006:$AU$1006,0)))),"Fix")))</f>
        <v xml:space="preserve"> </v>
      </c>
      <c r="C818" s="4" t="str">
        <f ca="1">IF(OR(INDEX($X$2:$X$1001,MATCH(ROWS($W$2:W818),$W$2:$W$1001,0),1)&gt;=100000,INDEX($AD$1005:$AU$1005,1,MATCH(COLUMNS($AD$1006:AE1006),$AD$1006:$AU$1006,0))&gt;=100000), " ",IF(INDEX($AD$2:$AU$1001,MATCH(ROWS($W$2:W818),$W$2:$W$1001,0),MATCH(COLUMNS($AD$1006:AE1006),$AD$1006:$AU$1006,0)), HYPERLINK("#",""), HYPERLINK(CONCATENATE("#metadata!", ADDRESS(INDEX($Y$2:$Y$1001,MATCH(ROWS($W$2:W818),$W$2:$W$1001,0),0), INDEX($AD$1004:$AU$1004,1,MATCH(COLUMNS($AD$1006:AE1006),$AD$1006:$AU$1006,0)))),"Fix")))</f>
        <v xml:space="preserve"> </v>
      </c>
      <c r="D818" s="4" t="str">
        <f ca="1">IF(OR(INDEX($X$2:$X$1001,MATCH(ROWS($W$2:W818),$W$2:$W$1001,0),1)&gt;=100000,INDEX($AD$1005:$AU$1005,1,MATCH(COLUMNS($AD$1006:AF1006),$AD$1006:$AU$1006,0))&gt;=100000), " ",IF(INDEX($AD$2:$AU$1001,MATCH(ROWS($W$2:W818),$W$2:$W$1001,0),MATCH(COLUMNS($AD$1006:AF1006),$AD$1006:$AU$1006,0)), HYPERLINK("#",""), HYPERLINK(CONCATENATE("#metadata!", ADDRESS(INDEX($Y$2:$Y$1001,MATCH(ROWS($W$2:W818),$W$2:$W$1001,0),0), INDEX($AD$1004:$AU$1004,1,MATCH(COLUMNS($AD$1006:AF1006),$AD$1006:$AU$1006,0)))),"Fix")))</f>
        <v xml:space="preserve"> </v>
      </c>
      <c r="E818" s="4" t="str">
        <f ca="1">IF(OR(INDEX($X$2:$X$1001,MATCH(ROWS($W$2:W818),$W$2:$W$1001,0),1)&gt;=100000,INDEX($AD$1005:$AU$1005,1,MATCH(COLUMNS($AD$1006:AG1006),$AD$1006:$AU$1006,0))&gt;=100000), " ",IF(INDEX($AD$2:$AU$1001,MATCH(ROWS($W$2:W818),$W$2:$W$1001,0),MATCH(COLUMNS($AD$1006:AG1006),$AD$1006:$AU$1006,0)), HYPERLINK("#",""), HYPERLINK(CONCATENATE("#metadata!", ADDRESS(INDEX($Y$2:$Y$1001,MATCH(ROWS($W$2:W818),$W$2:$W$1001,0),0), INDEX($AD$1004:$AU$1004,1,MATCH(COLUMNS($AD$1006:AG1006),$AD$1006:$AU$1006,0)))),"Fix")))</f>
        <v xml:space="preserve"> </v>
      </c>
      <c r="F818" s="4" t="str">
        <f ca="1">IF(OR(INDEX($X$2:$X$1001,MATCH(ROWS($W$2:W818),$W$2:$W$1001,0),1)&gt;=100000,INDEX($AD$1005:$AU$1005,1,MATCH(COLUMNS($AD$1006:AH1006),$AD$1006:$AU$1006,0))&gt;=100000), " ",IF(INDEX($AD$2:$AU$1001,MATCH(ROWS($W$2:W818),$W$2:$W$1001,0),MATCH(COLUMNS($AD$1006:AH1006),$AD$1006:$AU$1006,0)), HYPERLINK("#",""), HYPERLINK(CONCATENATE("#metadata!", ADDRESS(INDEX($Y$2:$Y$1001,MATCH(ROWS($W$2:W818),$W$2:$W$1001,0),0), INDEX($AD$1004:$AU$1004,1,MATCH(COLUMNS($AD$1006:AH1006),$AD$1006:$AU$1006,0)))),"Fix")))</f>
        <v xml:space="preserve"> </v>
      </c>
      <c r="G818" s="4" t="str">
        <f ca="1">IF(OR(INDEX($X$2:$X$1001,MATCH(ROWS($W$2:W818),$W$2:$W$1001,0),1)&gt;=100000,INDEX($AD$1005:$AU$1005,1,MATCH(COLUMNS($AD$1006:AI1006),$AD$1006:$AU$1006,0))&gt;=100000), " ",IF(INDEX($AD$2:$AU$1001,MATCH(ROWS($W$2:W818),$W$2:$W$1001,0),MATCH(COLUMNS($AD$1006:AI1006),$AD$1006:$AU$1006,0)), HYPERLINK("#",""), HYPERLINK(CONCATENATE("#metadata!", ADDRESS(INDEX($Y$2:$Y$1001,MATCH(ROWS($W$2:W818),$W$2:$W$1001,0),0), INDEX($AD$1004:$AU$1004,1,MATCH(COLUMNS($AD$1006:AI1006),$AD$1006:$AU$1006,0)))),"Fix")))</f>
        <v xml:space="preserve"> </v>
      </c>
      <c r="H818" s="4" t="str">
        <f ca="1">IF(OR(INDEX($X$2:$X$1001,MATCH(ROWS($W$2:W818),$W$2:$W$1001,0),1)&gt;=100000,INDEX($AD$1005:$AU$1005,1,MATCH(COLUMNS($AD$1006:AJ1006),$AD$1006:$AU$1006,0))&gt;=100000), " ",IF(INDEX($AD$2:$AU$1001,MATCH(ROWS($W$2:W818),$W$2:$W$1001,0),MATCH(COLUMNS($AD$1006:AJ1006),$AD$1006:$AU$1006,0)), HYPERLINK("#",""), HYPERLINK(CONCATENATE("#metadata!", ADDRESS(INDEX($Y$2:$Y$1001,MATCH(ROWS($W$2:W818),$W$2:$W$1001,0),0), INDEX($AD$1004:$AU$1004,1,MATCH(COLUMNS($AD$1006:AJ1006),$AD$1006:$AU$1006,0)))),"Fix")))</f>
        <v xml:space="preserve"> </v>
      </c>
      <c r="I818" s="4" t="str">
        <f ca="1">IF(OR(INDEX($X$2:$X$1001,MATCH(ROWS($W$2:W818),$W$2:$W$1001,0),1)&gt;=100000,INDEX($AD$1005:$AU$1005,1,MATCH(COLUMNS($AD$1006:AK1006),$AD$1006:$AU$1006,0))&gt;=100000), " ",IF(INDEX($AD$2:$AU$1001,MATCH(ROWS($W$2:W818),$W$2:$W$1001,0),MATCH(COLUMNS($AD$1006:AK1006),$AD$1006:$AU$1006,0)), HYPERLINK("#",""), HYPERLINK(CONCATENATE("#metadata!", ADDRESS(INDEX($Y$2:$Y$1001,MATCH(ROWS($W$2:W818),$W$2:$W$1001,0),0), INDEX($AD$1004:$AU$1004,1,MATCH(COLUMNS($AD$1006:AK1006),$AD$1006:$AU$1006,0)))),"Fix")))</f>
        <v xml:space="preserve"> </v>
      </c>
      <c r="J818" s="4" t="str">
        <f ca="1">IF(OR(INDEX($X$2:$X$1001,MATCH(ROWS($W$2:W818),$W$2:$W$1001,0),1)&gt;=100000,INDEX($AD$1005:$AU$1005,1,MATCH(COLUMNS($AD$1006:AL1006),$AD$1006:$AU$1006,0))&gt;=100000), " ",IF(INDEX($AD$2:$AU$1001,MATCH(ROWS($W$2:W818),$W$2:$W$1001,0),MATCH(COLUMNS($AD$1006:AL1006),$AD$1006:$AU$1006,0)), HYPERLINK("#",""), HYPERLINK(CONCATENATE("#metadata!", ADDRESS(INDEX($Y$2:$Y$1001,MATCH(ROWS($W$2:W818),$W$2:$W$1001,0),0), INDEX($AD$1004:$AU$1004,1,MATCH(COLUMNS($AD$1006:AL1006),$AD$1006:$AU$1006,0)))),"Fix")))</f>
        <v xml:space="preserve"> </v>
      </c>
      <c r="K818" s="4" t="str">
        <f ca="1">IF(OR(INDEX($X$2:$X$1001,MATCH(ROWS($W$2:W818),$W$2:$W$1001,0),1)&gt;=100000,INDEX($AD$1005:$AU$1005,1,MATCH(COLUMNS($AD$1006:AM1006),$AD$1006:$AU$1006,0))&gt;=100000), " ",IF(INDEX($AD$2:$AU$1001,MATCH(ROWS($W$2:W818),$W$2:$W$1001,0),MATCH(COLUMNS($AD$1006:AM1006),$AD$1006:$AU$1006,0)), HYPERLINK("#",""), HYPERLINK(CONCATENATE("#metadata!", ADDRESS(INDEX($Y$2:$Y$1001,MATCH(ROWS($W$2:W818),$W$2:$W$1001,0),0), INDEX($AD$1004:$AU$1004,1,MATCH(COLUMNS($AD$1006:AM1006),$AD$1006:$AU$1006,0)))),"Fix")))</f>
        <v xml:space="preserve"> </v>
      </c>
      <c r="L818" s="4" t="str">
        <f ca="1">IF(OR(INDEX($X$2:$X$1001,MATCH(ROWS($W$2:W818),$W$2:$W$1001,0),1)&gt;=100000,INDEX($AD$1005:$AU$1005,1,MATCH(COLUMNS($AD$1006:AN1006),$AD$1006:$AU$1006,0))&gt;=100000), " ",IF(INDEX($AD$2:$AU$1001,MATCH(ROWS($W$2:W818),$W$2:$W$1001,0),MATCH(COLUMNS($AD$1006:AN1006),$AD$1006:$AU$1006,0)), HYPERLINK("#",""), HYPERLINK(CONCATENATE("#metadata!", ADDRESS(INDEX($Y$2:$Y$1001,MATCH(ROWS($W$2:W818),$W$2:$W$1001,0),0), INDEX($AD$1004:$AU$1004,1,MATCH(COLUMNS($AD$1006:AN1006),$AD$1006:$AU$1006,0)))),"Fix")))</f>
        <v xml:space="preserve"> </v>
      </c>
      <c r="M818" s="4" t="str">
        <f ca="1">IF(OR(INDEX($X$2:$X$1001,MATCH(ROWS($W$2:W818),$W$2:$W$1001,0),1)&gt;=100000,INDEX($AD$1005:$AU$1005,1,MATCH(COLUMNS($AD$1006:AO1006),$AD$1006:$AU$1006,0))&gt;=100000), " ",IF(INDEX($AD$2:$AU$1001,MATCH(ROWS($W$2:W818),$W$2:$W$1001,0),MATCH(COLUMNS($AD$1006:AO1006),$AD$1006:$AU$1006,0)), HYPERLINK("#",""), HYPERLINK(CONCATENATE("#metadata!", ADDRESS(INDEX($Y$2:$Y$1001,MATCH(ROWS($W$2:W818),$W$2:$W$1001,0),0), INDEX($AD$1004:$AU$1004,1,MATCH(COLUMNS($AD$1006:AO1006),$AD$1006:$AU$1006,0)))),"Fix")))</f>
        <v xml:space="preserve"> </v>
      </c>
      <c r="N818" s="4" t="str">
        <f ca="1">IF(OR(INDEX($X$2:$X$1001,MATCH(ROWS($W$2:W818),$W$2:$W$1001,0),1)&gt;=100000,INDEX($AD$1005:$AU$1005,1,MATCH(COLUMNS($AD$1006:AP1006),$AD$1006:$AU$1006,0))&gt;=100000), " ",IF(INDEX($AD$2:$AU$1001,MATCH(ROWS($W$2:W818),$W$2:$W$1001,0),MATCH(COLUMNS($AD$1006:AP1006),$AD$1006:$AU$1006,0)), HYPERLINK("#",""), HYPERLINK(CONCATENATE("#metadata!", ADDRESS(INDEX($Y$2:$Y$1001,MATCH(ROWS($W$2:W818),$W$2:$W$1001,0),0), INDEX($AD$1004:$AU$1004,1,MATCH(COLUMNS($AD$1006:AP1006),$AD$1006:$AU$1006,0)))),"Fix")))</f>
        <v xml:space="preserve"> </v>
      </c>
      <c r="O818" s="4" t="str">
        <f ca="1">IF(OR(INDEX($X$2:$X$1001,MATCH(ROWS($W$2:W818),$W$2:$W$1001,0),1)&gt;=100000,INDEX($AD$1005:$AU$1005,1,MATCH(COLUMNS($AD$1006:AQ1006),$AD$1006:$AU$1006,0))&gt;=100000), " ",IF(INDEX($AD$2:$AU$1001,MATCH(ROWS($W$2:W818),$W$2:$W$1001,0),MATCH(COLUMNS($AD$1006:AQ1006),$AD$1006:$AU$1006,0)), HYPERLINK("#",""), HYPERLINK(CONCATENATE("#metadata!", ADDRESS(INDEX($Y$2:$Y$1001,MATCH(ROWS($W$2:W818),$W$2:$W$1001,0),0), INDEX($AD$1004:$AU$1004,1,MATCH(COLUMNS($AD$1006:AQ1006),$AD$1006:$AU$1006,0)))),"Fix")))</f>
        <v xml:space="preserve"> </v>
      </c>
      <c r="P818" s="4" t="str">
        <f ca="1">IF(OR(INDEX($X$2:$X$1001,MATCH(ROWS($W$2:W818),$W$2:$W$1001,0),1)&gt;=100000,INDEX($AD$1005:$AU$1005,1,MATCH(COLUMNS($AD$1006:AR1006),$AD$1006:$AU$1006,0))&gt;=100000), " ",IF(INDEX($AD$2:$AU$1001,MATCH(ROWS($W$2:W818),$W$2:$W$1001,0),MATCH(COLUMNS($AD$1006:AR1006),$AD$1006:$AU$1006,0)), HYPERLINK("#",""), HYPERLINK(CONCATENATE("#metadata!", ADDRESS(INDEX($Y$2:$Y$1001,MATCH(ROWS($W$2:W818),$W$2:$W$1001,0),0), INDEX($AD$1004:$AU$1004,1,MATCH(COLUMNS($AD$1006:AR1006),$AD$1006:$AU$1006,0)))),"Fix")))</f>
        <v xml:space="preserve"> </v>
      </c>
      <c r="Q818" s="4" t="str">
        <f ca="1">IF(OR(INDEX($X$2:$X$1001,MATCH(ROWS($W$2:W818),$W$2:$W$1001,0),1)&gt;=100000,INDEX($AD$1005:$AU$1005,1,MATCH(COLUMNS($AD$1006:AS1006),$AD$1006:$AU$1006,0))&gt;=100000), " ",IF(INDEX($AD$2:$AU$1001,MATCH(ROWS($W$2:W818),$W$2:$W$1001,0),MATCH(COLUMNS($AD$1006:AS1006),$AD$1006:$AU$1006,0)), HYPERLINK("#",""), HYPERLINK(CONCATENATE("#metadata!", ADDRESS(INDEX($Y$2:$Y$1001,MATCH(ROWS($W$2:W818),$W$2:$W$1001,0),0), INDEX($AD$1004:$AU$1004,1,MATCH(COLUMNS($AD$1006:AS1006),$AD$1006:$AU$1006,0)))),"Fix")))</f>
        <v xml:space="preserve"> </v>
      </c>
      <c r="R818" s="4" t="str">
        <f ca="1">IF(OR(INDEX($X$2:$X$1001,MATCH(ROWS($W$2:W818),$W$2:$W$1001,0),1)&gt;=100000,INDEX($AD$1005:$AU$1005,1,MATCH(COLUMNS($AD$1006:AT1006),$AD$1006:$AU$1006,0))&gt;=100000), " ",IF(INDEX($AD$2:$AU$1001,MATCH(ROWS($W$2:W818),$W$2:$W$1001,0),MATCH(COLUMNS($AD$1006:AT1006),$AD$1006:$AU$1006,0)), HYPERLINK("#",""), HYPERLINK(CONCATENATE("#metadata!", ADDRESS(INDEX($Y$2:$Y$1001,MATCH(ROWS($W$2:W818),$W$2:$W$1001,0),0), INDEX($AD$1004:$AU$1004,1,MATCH(COLUMNS($AD$1006:AT1006),$AD$1006:$AU$1006,0)))),"Fix")))</f>
        <v xml:space="preserve"> </v>
      </c>
      <c r="S818" s="4" t="str">
        <f ca="1">IF(OR(INDEX($X$2:$X$1001,MATCH(ROWS($W$2:W818),$W$2:$W$1001,0),1)&gt;=100000,INDEX($AD$1005:$AU$1005,1,MATCH(COLUMNS($AD$1006:AU1006),$AD$1006:$AU$1006,0))&gt;=100000), " ",IF(INDEX($AD$2:$AU$1001,MATCH(ROWS($W$2:W818),$W$2:$W$1001,0),MATCH(COLUMNS($AD$1006:AU1006),$AD$1006:$AU$1006,0)), HYPERLINK("#",""), HYPERLINK(CONCATENATE("#metadata!", ADDRESS(INDEX($Y$2:$Y$1001,MATCH(ROWS($W$2:W818),$W$2:$W$1001,0),0), INDEX($AD$1004:$AU$1004,1,MATCH(COLUMNS($AD$1006:AU1006),$AD$1006:$AU$1006,0)))),"Fix")))</f>
        <v xml:space="preserve"> </v>
      </c>
      <c r="W818">
        <v>817</v>
      </c>
      <c r="X818">
        <v>100818</v>
      </c>
      <c r="Y818">
        <v>818</v>
      </c>
      <c r="Z818" t="b">
        <f t="shared" si="12"/>
        <v>1</v>
      </c>
      <c r="AA818" t="b">
        <f>COUNTBLANK(metadata!B818:S818)=COLUMNS(metadata!B818:S818)</f>
        <v>1</v>
      </c>
      <c r="AB818" t="str">
        <v/>
      </c>
      <c r="AD818" t="b">
        <f ca="1">AND(IF(metadata!B818="",FALSE,TRUE),COUNTIF(metadata!B:B, metadata!B818) = 1,NOT(ISERROR(SUMPRODUCT(SEARCH(MID(metadata!B818,ROW(INDIRECT("1:"&amp;LEN(metadata!B818))), 1),"0123456789abcdefghijklmnopqrstuvwxyzABCDEFGHIJKLMNOPQRSTUVWXYZ.")))))</f>
        <v>0</v>
      </c>
      <c r="AE818" t="b">
        <f>OR(AND(IF(metadata!C818="",FALSE,TRUE),OR(EXACT(metadata!C818,"not applicable"),EXACT(metadata!C818,"missing: not collected"),EXACT(metadata!C818,"missing: not provided"),EXACT(metadata!C818,"missing: restricted access"))),AND(IF(metadata!C818="",FALSE,ISNUMBER(VALUE(metadata!C818))),metadata!C818&gt;0))</f>
        <v>0</v>
      </c>
      <c r="AF818" t="b">
        <f>AND(IF(metadata!D818="",FALSE,TRUE),EXACT(metadata!D818,"missing: not provided"))</f>
        <v>0</v>
      </c>
      <c r="AG818" t="b">
        <f>AND(IF(metadata!E818="",FALSE,TRUE),EXACT(metadata!E818,"Host-associated"))</f>
        <v>0</v>
      </c>
      <c r="AH818" t="b">
        <f>AND(IF(metadata!F818="",FALSE,TRUE),OR(EXACT(metadata!F818,"Animal"),EXACT(metadata!F818,"Fungus"),EXACT(metadata!F818,"Plant")))</f>
        <v>0</v>
      </c>
      <c r="AI818" t="b">
        <f>AND(IF(metadata!G818="",FALSE,TRUE),OR(EXACT(metadata!G818,"Plant secretion"),EXACT(metadata!G818,"Plant rhizosphere"),EXACT(metadata!G818,"Plant surface"),EXACT(metadata!G818,"Plant corpus"),EXACT(metadata!G818,"Fungus surface"),EXACT(metadata!G818,"Fungus corpus"),EXACT(metadata!G818,"Animal surface"),EXACT(metadata!G818,"Animal proximal gut"),EXACT(metadata!G818,"Animal corpus"),EXACT(metadata!G818,"Animal distal gut"),EXACT(metadata!G818,"Animal secretion")))</f>
        <v>0</v>
      </c>
      <c r="AJ818" t="b">
        <f>OR(AND(IF(metadata!H818="",FALSE,TRUE),OR(EXACT(metadata!H818,"missing: not collected"),EXACT(metadata!H818,"missing: not provided"),EXACT(metadata!H818,"missing: restricted access"))),AND(IF(metadata!H818="",FALSE,TRUE),OR(EXACT(metadata!H818,"organism-associated habitat"),EXACT(metadata!H818,"plant-associated habitat"),EXACT(metadata!H818,"animal-associated habitat"),EXACT(metadata!H818,"insecta-associated habitat"),EXACT(metadata!H818,"mammalia-associated habitat"),EXACT(metadata!H818,"human-associated habitat"),EXACT(metadata!H818,"livestock-associated habitat"))))</f>
        <v>0</v>
      </c>
      <c r="AK818" t="b">
        <f>AND(IF(metadata!I818="",FALSE,TRUE),EXACT(metadata!I818,"host-associated"))</f>
        <v>0</v>
      </c>
      <c r="AL818" t="b">
        <f>OR(AND(IF(metadata!J818="",FALSE,TRUE),OR(EXACT(metadata!J818,"not applicable"),EXACT(metadata!J818,"missing: not collected"),EXACT(metadata!J818,"missing: not provided"),EXACT(metadata!J818,"missing: restricted access"))),AND(IF(metadata!J818="",FALSE,ISNUMBER(VALUE(metadata!J818))),metadata!J818&gt;0))</f>
        <v>0</v>
      </c>
      <c r="AM818" t="b">
        <f>AND(IF(metadata!K818="",FALSE,TRUE),EXACT(metadata!K818,"missing: not provided"))</f>
        <v>0</v>
      </c>
      <c r="AN818" t="b">
        <f>IF(metadata!L818="",FALSE,TRUE)</f>
        <v>0</v>
      </c>
      <c r="AO818" t="b">
        <f>IF(metadata!M818="",FALSE,TRUE)</f>
        <v>0</v>
      </c>
      <c r="AP818" t="b">
        <f>OR(AND(IF(metadata!N818="",FALSE,TRUE),OR(EXACT(metadata!N818,"not applicable"),EXACT(metadata!N818,"missing: not collected"),EXACT(metadata!N818,"missing: not provided"))),AND(IF(metadata!N818="",FALSE,IF(ISERROR(INT(metadata!N818)),FALSE,INT(metadata!N818)=metadata!N818)),metadata!N818&gt;0))</f>
        <v>0</v>
      </c>
      <c r="AQ818" t="b">
        <f>AND(IF(metadata!O818="",FALSE,TRUE),EXACT(metadata!O818,"Not applicable"))</f>
        <v>0</v>
      </c>
      <c r="AR818" t="b">
        <f>OR(AND(IF(metadata!P818="",FALSE,TRUE),OR(EXACT(metadata!P818,"not applicable"),EXACT(metadata!P818,"missing: not collected"),EXACT(metadata!P818,"missing: not provided"),EXACT(metadata!P818,"missing: restricted access"))),IF(metadata!P818="",FALSE,IF(ISERROR(INT(metadata!P818)),FALSE,INT(metadata!P818)=metadata!P818)))</f>
        <v>0</v>
      </c>
      <c r="AS818" t="b">
        <f>AND(IF(metadata!Q818="",FALSE,TRUE),EXACT(metadata!Q818,"Not applicable"))</f>
        <v>0</v>
      </c>
      <c r="AT818" t="b">
        <f>OR(AND(IF(metadata!R818="",FALSE,TRUE),OR(EXACT(metadata!R818,"not applicable"),EXACT(metadata!R818,"missing: not collected"),EXACT(metadata!R818,"missing: not provided"),EXACT(metadata!R818,"missing: restricted access"))),AND(IF(metadata!R818="",FALSE,ISNUMBER(VALUE(metadata!R818))),metadata!R818&gt;0))</f>
        <v>0</v>
      </c>
      <c r="AU818" t="b">
        <f>AND(IF(metadata!S818="",FALSE,TRUE),EXACT(metadata!S818,"missing: not provided"))</f>
        <v>0</v>
      </c>
    </row>
    <row r="819" spans="1:47" x14ac:dyDescent="0.2">
      <c r="A819" s="5" t="str">
        <f ca="1">IF(B819=" "," ",HYPERLINK(CONCATENATE("#metadata!",ADDRESS(INDEX($Y$2:$Y$1001,MATCH(ROWS($W$2:W819),$W$2:$W$1001,0),0),1)),INDEX($AB$2:$AB$1001,MATCH(ROWS($W$2:W819),$W$2:$W$1001,0),0)))</f>
        <v xml:space="preserve"> </v>
      </c>
      <c r="B819" s="4" t="str">
        <f ca="1">IF(OR(INDEX($X$2:$X$1001,MATCH(ROWS($W$2:W819),$W$2:$W$1001,0),1)&gt;=100000,INDEX($AD$1005:$AU$1005,1,MATCH(COLUMNS($AD$1006:AD1006),$AD$1006:$AU$1006,0))&gt;=100000), " ",IF(INDEX($AD$2:$AU$1001,MATCH(ROWS($W$2:W819),$W$2:$W$1001,0),MATCH(COLUMNS($AD$1006:AD1006),$AD$1006:$AU$1006,0)), HYPERLINK("#",""), HYPERLINK(CONCATENATE("#metadata!", ADDRESS(INDEX($Y$2:$Y$1001,MATCH(ROWS($W$2:W819),$W$2:$W$1001,0),0), INDEX($AD$1004:$AU$1004,1,MATCH(COLUMNS($AD$1006:AD1006),$AD$1006:$AU$1006,0)))),"Fix")))</f>
        <v xml:space="preserve"> </v>
      </c>
      <c r="C819" s="4" t="str">
        <f ca="1">IF(OR(INDEX($X$2:$X$1001,MATCH(ROWS($W$2:W819),$W$2:$W$1001,0),1)&gt;=100000,INDEX($AD$1005:$AU$1005,1,MATCH(COLUMNS($AD$1006:AE1006),$AD$1006:$AU$1006,0))&gt;=100000), " ",IF(INDEX($AD$2:$AU$1001,MATCH(ROWS($W$2:W819),$W$2:$W$1001,0),MATCH(COLUMNS($AD$1006:AE1006),$AD$1006:$AU$1006,0)), HYPERLINK("#",""), HYPERLINK(CONCATENATE("#metadata!", ADDRESS(INDEX($Y$2:$Y$1001,MATCH(ROWS($W$2:W819),$W$2:$W$1001,0),0), INDEX($AD$1004:$AU$1004,1,MATCH(COLUMNS($AD$1006:AE1006),$AD$1006:$AU$1006,0)))),"Fix")))</f>
        <v xml:space="preserve"> </v>
      </c>
      <c r="D819" s="4" t="str">
        <f ca="1">IF(OR(INDEX($X$2:$X$1001,MATCH(ROWS($W$2:W819),$W$2:$W$1001,0),1)&gt;=100000,INDEX($AD$1005:$AU$1005,1,MATCH(COLUMNS($AD$1006:AF1006),$AD$1006:$AU$1006,0))&gt;=100000), " ",IF(INDEX($AD$2:$AU$1001,MATCH(ROWS($W$2:W819),$W$2:$W$1001,0),MATCH(COLUMNS($AD$1006:AF1006),$AD$1006:$AU$1006,0)), HYPERLINK("#",""), HYPERLINK(CONCATENATE("#metadata!", ADDRESS(INDEX($Y$2:$Y$1001,MATCH(ROWS($W$2:W819),$W$2:$W$1001,0),0), INDEX($AD$1004:$AU$1004,1,MATCH(COLUMNS($AD$1006:AF1006),$AD$1006:$AU$1006,0)))),"Fix")))</f>
        <v xml:space="preserve"> </v>
      </c>
      <c r="E819" s="4" t="str">
        <f ca="1">IF(OR(INDEX($X$2:$X$1001,MATCH(ROWS($W$2:W819),$W$2:$W$1001,0),1)&gt;=100000,INDEX($AD$1005:$AU$1005,1,MATCH(COLUMNS($AD$1006:AG1006),$AD$1006:$AU$1006,0))&gt;=100000), " ",IF(INDEX($AD$2:$AU$1001,MATCH(ROWS($W$2:W819),$W$2:$W$1001,0),MATCH(COLUMNS($AD$1006:AG1006),$AD$1006:$AU$1006,0)), HYPERLINK("#",""), HYPERLINK(CONCATENATE("#metadata!", ADDRESS(INDEX($Y$2:$Y$1001,MATCH(ROWS($W$2:W819),$W$2:$W$1001,0),0), INDEX($AD$1004:$AU$1004,1,MATCH(COLUMNS($AD$1006:AG1006),$AD$1006:$AU$1006,0)))),"Fix")))</f>
        <v xml:space="preserve"> </v>
      </c>
      <c r="F819" s="4" t="str">
        <f ca="1">IF(OR(INDEX($X$2:$X$1001,MATCH(ROWS($W$2:W819),$W$2:$W$1001,0),1)&gt;=100000,INDEX($AD$1005:$AU$1005,1,MATCH(COLUMNS($AD$1006:AH1006),$AD$1006:$AU$1006,0))&gt;=100000), " ",IF(INDEX($AD$2:$AU$1001,MATCH(ROWS($W$2:W819),$W$2:$W$1001,0),MATCH(COLUMNS($AD$1006:AH1006),$AD$1006:$AU$1006,0)), HYPERLINK("#",""), HYPERLINK(CONCATENATE("#metadata!", ADDRESS(INDEX($Y$2:$Y$1001,MATCH(ROWS($W$2:W819),$W$2:$W$1001,0),0), INDEX($AD$1004:$AU$1004,1,MATCH(COLUMNS($AD$1006:AH1006),$AD$1006:$AU$1006,0)))),"Fix")))</f>
        <v xml:space="preserve"> </v>
      </c>
      <c r="G819" s="4" t="str">
        <f ca="1">IF(OR(INDEX($X$2:$X$1001,MATCH(ROWS($W$2:W819),$W$2:$W$1001,0),1)&gt;=100000,INDEX($AD$1005:$AU$1005,1,MATCH(COLUMNS($AD$1006:AI1006),$AD$1006:$AU$1006,0))&gt;=100000), " ",IF(INDEX($AD$2:$AU$1001,MATCH(ROWS($W$2:W819),$W$2:$W$1001,0),MATCH(COLUMNS($AD$1006:AI1006),$AD$1006:$AU$1006,0)), HYPERLINK("#",""), HYPERLINK(CONCATENATE("#metadata!", ADDRESS(INDEX($Y$2:$Y$1001,MATCH(ROWS($W$2:W819),$W$2:$W$1001,0),0), INDEX($AD$1004:$AU$1004,1,MATCH(COLUMNS($AD$1006:AI1006),$AD$1006:$AU$1006,0)))),"Fix")))</f>
        <v xml:space="preserve"> </v>
      </c>
      <c r="H819" s="4" t="str">
        <f ca="1">IF(OR(INDEX($X$2:$X$1001,MATCH(ROWS($W$2:W819),$W$2:$W$1001,0),1)&gt;=100000,INDEX($AD$1005:$AU$1005,1,MATCH(COLUMNS($AD$1006:AJ1006),$AD$1006:$AU$1006,0))&gt;=100000), " ",IF(INDEX($AD$2:$AU$1001,MATCH(ROWS($W$2:W819),$W$2:$W$1001,0),MATCH(COLUMNS($AD$1006:AJ1006),$AD$1006:$AU$1006,0)), HYPERLINK("#",""), HYPERLINK(CONCATENATE("#metadata!", ADDRESS(INDEX($Y$2:$Y$1001,MATCH(ROWS($W$2:W819),$W$2:$W$1001,0),0), INDEX($AD$1004:$AU$1004,1,MATCH(COLUMNS($AD$1006:AJ1006),$AD$1006:$AU$1006,0)))),"Fix")))</f>
        <v xml:space="preserve"> </v>
      </c>
      <c r="I819" s="4" t="str">
        <f ca="1">IF(OR(INDEX($X$2:$X$1001,MATCH(ROWS($W$2:W819),$W$2:$W$1001,0),1)&gt;=100000,INDEX($AD$1005:$AU$1005,1,MATCH(COLUMNS($AD$1006:AK1006),$AD$1006:$AU$1006,0))&gt;=100000), " ",IF(INDEX($AD$2:$AU$1001,MATCH(ROWS($W$2:W819),$W$2:$W$1001,0),MATCH(COLUMNS($AD$1006:AK1006),$AD$1006:$AU$1006,0)), HYPERLINK("#",""), HYPERLINK(CONCATENATE("#metadata!", ADDRESS(INDEX($Y$2:$Y$1001,MATCH(ROWS($W$2:W819),$W$2:$W$1001,0),0), INDEX($AD$1004:$AU$1004,1,MATCH(COLUMNS($AD$1006:AK1006),$AD$1006:$AU$1006,0)))),"Fix")))</f>
        <v xml:space="preserve"> </v>
      </c>
      <c r="J819" s="4" t="str">
        <f ca="1">IF(OR(INDEX($X$2:$X$1001,MATCH(ROWS($W$2:W819),$W$2:$W$1001,0),1)&gt;=100000,INDEX($AD$1005:$AU$1005,1,MATCH(COLUMNS($AD$1006:AL1006),$AD$1006:$AU$1006,0))&gt;=100000), " ",IF(INDEX($AD$2:$AU$1001,MATCH(ROWS($W$2:W819),$W$2:$W$1001,0),MATCH(COLUMNS($AD$1006:AL1006),$AD$1006:$AU$1006,0)), HYPERLINK("#",""), HYPERLINK(CONCATENATE("#metadata!", ADDRESS(INDEX($Y$2:$Y$1001,MATCH(ROWS($W$2:W819),$W$2:$W$1001,0),0), INDEX($AD$1004:$AU$1004,1,MATCH(COLUMNS($AD$1006:AL1006),$AD$1006:$AU$1006,0)))),"Fix")))</f>
        <v xml:space="preserve"> </v>
      </c>
      <c r="K819" s="4" t="str">
        <f ca="1">IF(OR(INDEX($X$2:$X$1001,MATCH(ROWS($W$2:W819),$W$2:$W$1001,0),1)&gt;=100000,INDEX($AD$1005:$AU$1005,1,MATCH(COLUMNS($AD$1006:AM1006),$AD$1006:$AU$1006,0))&gt;=100000), " ",IF(INDEX($AD$2:$AU$1001,MATCH(ROWS($W$2:W819),$W$2:$W$1001,0),MATCH(COLUMNS($AD$1006:AM1006),$AD$1006:$AU$1006,0)), HYPERLINK("#",""), HYPERLINK(CONCATENATE("#metadata!", ADDRESS(INDEX($Y$2:$Y$1001,MATCH(ROWS($W$2:W819),$W$2:$W$1001,0),0), INDEX($AD$1004:$AU$1004,1,MATCH(COLUMNS($AD$1006:AM1006),$AD$1006:$AU$1006,0)))),"Fix")))</f>
        <v xml:space="preserve"> </v>
      </c>
      <c r="L819" s="4" t="str">
        <f ca="1">IF(OR(INDEX($X$2:$X$1001,MATCH(ROWS($W$2:W819),$W$2:$W$1001,0),1)&gt;=100000,INDEX($AD$1005:$AU$1005,1,MATCH(COLUMNS($AD$1006:AN1006),$AD$1006:$AU$1006,0))&gt;=100000), " ",IF(INDEX($AD$2:$AU$1001,MATCH(ROWS($W$2:W819),$W$2:$W$1001,0),MATCH(COLUMNS($AD$1006:AN1006),$AD$1006:$AU$1006,0)), HYPERLINK("#",""), HYPERLINK(CONCATENATE("#metadata!", ADDRESS(INDEX($Y$2:$Y$1001,MATCH(ROWS($W$2:W819),$W$2:$W$1001,0),0), INDEX($AD$1004:$AU$1004,1,MATCH(COLUMNS($AD$1006:AN1006),$AD$1006:$AU$1006,0)))),"Fix")))</f>
        <v xml:space="preserve"> </v>
      </c>
      <c r="M819" s="4" t="str">
        <f ca="1">IF(OR(INDEX($X$2:$X$1001,MATCH(ROWS($W$2:W819),$W$2:$W$1001,0),1)&gt;=100000,INDEX($AD$1005:$AU$1005,1,MATCH(COLUMNS($AD$1006:AO1006),$AD$1006:$AU$1006,0))&gt;=100000), " ",IF(INDEX($AD$2:$AU$1001,MATCH(ROWS($W$2:W819),$W$2:$W$1001,0),MATCH(COLUMNS($AD$1006:AO1006),$AD$1006:$AU$1006,0)), HYPERLINK("#",""), HYPERLINK(CONCATENATE("#metadata!", ADDRESS(INDEX($Y$2:$Y$1001,MATCH(ROWS($W$2:W819),$W$2:$W$1001,0),0), INDEX($AD$1004:$AU$1004,1,MATCH(COLUMNS($AD$1006:AO1006),$AD$1006:$AU$1006,0)))),"Fix")))</f>
        <v xml:space="preserve"> </v>
      </c>
      <c r="N819" s="4" t="str">
        <f ca="1">IF(OR(INDEX($X$2:$X$1001,MATCH(ROWS($W$2:W819),$W$2:$W$1001,0),1)&gt;=100000,INDEX($AD$1005:$AU$1005,1,MATCH(COLUMNS($AD$1006:AP1006),$AD$1006:$AU$1006,0))&gt;=100000), " ",IF(INDEX($AD$2:$AU$1001,MATCH(ROWS($W$2:W819),$W$2:$W$1001,0),MATCH(COLUMNS($AD$1006:AP1006),$AD$1006:$AU$1006,0)), HYPERLINK("#",""), HYPERLINK(CONCATENATE("#metadata!", ADDRESS(INDEX($Y$2:$Y$1001,MATCH(ROWS($W$2:W819),$W$2:$W$1001,0),0), INDEX($AD$1004:$AU$1004,1,MATCH(COLUMNS($AD$1006:AP1006),$AD$1006:$AU$1006,0)))),"Fix")))</f>
        <v xml:space="preserve"> </v>
      </c>
      <c r="O819" s="4" t="str">
        <f ca="1">IF(OR(INDEX($X$2:$X$1001,MATCH(ROWS($W$2:W819),$W$2:$W$1001,0),1)&gt;=100000,INDEX($AD$1005:$AU$1005,1,MATCH(COLUMNS($AD$1006:AQ1006),$AD$1006:$AU$1006,0))&gt;=100000), " ",IF(INDEX($AD$2:$AU$1001,MATCH(ROWS($W$2:W819),$W$2:$W$1001,0),MATCH(COLUMNS($AD$1006:AQ1006),$AD$1006:$AU$1006,0)), HYPERLINK("#",""), HYPERLINK(CONCATENATE("#metadata!", ADDRESS(INDEX($Y$2:$Y$1001,MATCH(ROWS($W$2:W819),$W$2:$W$1001,0),0), INDEX($AD$1004:$AU$1004,1,MATCH(COLUMNS($AD$1006:AQ1006),$AD$1006:$AU$1006,0)))),"Fix")))</f>
        <v xml:space="preserve"> </v>
      </c>
      <c r="P819" s="4" t="str">
        <f ca="1">IF(OR(INDEX($X$2:$X$1001,MATCH(ROWS($W$2:W819),$W$2:$W$1001,0),1)&gt;=100000,INDEX($AD$1005:$AU$1005,1,MATCH(COLUMNS($AD$1006:AR1006),$AD$1006:$AU$1006,0))&gt;=100000), " ",IF(INDEX($AD$2:$AU$1001,MATCH(ROWS($W$2:W819),$W$2:$W$1001,0),MATCH(COLUMNS($AD$1006:AR1006),$AD$1006:$AU$1006,0)), HYPERLINK("#",""), HYPERLINK(CONCATENATE("#metadata!", ADDRESS(INDEX($Y$2:$Y$1001,MATCH(ROWS($W$2:W819),$W$2:$W$1001,0),0), INDEX($AD$1004:$AU$1004,1,MATCH(COLUMNS($AD$1006:AR1006),$AD$1006:$AU$1006,0)))),"Fix")))</f>
        <v xml:space="preserve"> </v>
      </c>
      <c r="Q819" s="4" t="str">
        <f ca="1">IF(OR(INDEX($X$2:$X$1001,MATCH(ROWS($W$2:W819),$W$2:$W$1001,0),1)&gt;=100000,INDEX($AD$1005:$AU$1005,1,MATCH(COLUMNS($AD$1006:AS1006),$AD$1006:$AU$1006,0))&gt;=100000), " ",IF(INDEX($AD$2:$AU$1001,MATCH(ROWS($W$2:W819),$W$2:$W$1001,0),MATCH(COLUMNS($AD$1006:AS1006),$AD$1006:$AU$1006,0)), HYPERLINK("#",""), HYPERLINK(CONCATENATE("#metadata!", ADDRESS(INDEX($Y$2:$Y$1001,MATCH(ROWS($W$2:W819),$W$2:$W$1001,0),0), INDEX($AD$1004:$AU$1004,1,MATCH(COLUMNS($AD$1006:AS1006),$AD$1006:$AU$1006,0)))),"Fix")))</f>
        <v xml:space="preserve"> </v>
      </c>
      <c r="R819" s="4" t="str">
        <f ca="1">IF(OR(INDEX($X$2:$X$1001,MATCH(ROWS($W$2:W819),$W$2:$W$1001,0),1)&gt;=100000,INDEX($AD$1005:$AU$1005,1,MATCH(COLUMNS($AD$1006:AT1006),$AD$1006:$AU$1006,0))&gt;=100000), " ",IF(INDEX($AD$2:$AU$1001,MATCH(ROWS($W$2:W819),$W$2:$W$1001,0),MATCH(COLUMNS($AD$1006:AT1006),$AD$1006:$AU$1006,0)), HYPERLINK("#",""), HYPERLINK(CONCATENATE("#metadata!", ADDRESS(INDEX($Y$2:$Y$1001,MATCH(ROWS($W$2:W819),$W$2:$W$1001,0),0), INDEX($AD$1004:$AU$1004,1,MATCH(COLUMNS($AD$1006:AT1006),$AD$1006:$AU$1006,0)))),"Fix")))</f>
        <v xml:space="preserve"> </v>
      </c>
      <c r="S819" s="4" t="str">
        <f ca="1">IF(OR(INDEX($X$2:$X$1001,MATCH(ROWS($W$2:W819),$W$2:$W$1001,0),1)&gt;=100000,INDEX($AD$1005:$AU$1005,1,MATCH(COLUMNS($AD$1006:AU1006),$AD$1006:$AU$1006,0))&gt;=100000), " ",IF(INDEX($AD$2:$AU$1001,MATCH(ROWS($W$2:W819),$W$2:$W$1001,0),MATCH(COLUMNS($AD$1006:AU1006),$AD$1006:$AU$1006,0)), HYPERLINK("#",""), HYPERLINK(CONCATENATE("#metadata!", ADDRESS(INDEX($Y$2:$Y$1001,MATCH(ROWS($W$2:W819),$W$2:$W$1001,0),0), INDEX($AD$1004:$AU$1004,1,MATCH(COLUMNS($AD$1006:AU1006),$AD$1006:$AU$1006,0)))),"Fix")))</f>
        <v xml:space="preserve"> </v>
      </c>
      <c r="W819">
        <v>818</v>
      </c>
      <c r="X819">
        <v>100819</v>
      </c>
      <c r="Y819">
        <v>819</v>
      </c>
      <c r="Z819" t="b">
        <f t="shared" si="12"/>
        <v>1</v>
      </c>
      <c r="AA819" t="b">
        <f>COUNTBLANK(metadata!B819:S819)=COLUMNS(metadata!B819:S819)</f>
        <v>1</v>
      </c>
      <c r="AB819" t="str">
        <v/>
      </c>
      <c r="AD819" t="b">
        <f ca="1">AND(IF(metadata!B819="",FALSE,TRUE),COUNTIF(metadata!B:B, metadata!B819) = 1,NOT(ISERROR(SUMPRODUCT(SEARCH(MID(metadata!B819,ROW(INDIRECT("1:"&amp;LEN(metadata!B819))), 1),"0123456789abcdefghijklmnopqrstuvwxyzABCDEFGHIJKLMNOPQRSTUVWXYZ.")))))</f>
        <v>0</v>
      </c>
      <c r="AE819" t="b">
        <f>OR(AND(IF(metadata!C819="",FALSE,TRUE),OR(EXACT(metadata!C819,"not applicable"),EXACT(metadata!C819,"missing: not collected"),EXACT(metadata!C819,"missing: not provided"),EXACT(metadata!C819,"missing: restricted access"))),AND(IF(metadata!C819="",FALSE,ISNUMBER(VALUE(metadata!C819))),metadata!C819&gt;0))</f>
        <v>0</v>
      </c>
      <c r="AF819" t="b">
        <f>AND(IF(metadata!D819="",FALSE,TRUE),EXACT(metadata!D819,"missing: not provided"))</f>
        <v>0</v>
      </c>
      <c r="AG819" t="b">
        <f>AND(IF(metadata!E819="",FALSE,TRUE),EXACT(metadata!E819,"Host-associated"))</f>
        <v>0</v>
      </c>
      <c r="AH819" t="b">
        <f>AND(IF(metadata!F819="",FALSE,TRUE),OR(EXACT(metadata!F819,"Animal"),EXACT(metadata!F819,"Fungus"),EXACT(metadata!F819,"Plant")))</f>
        <v>0</v>
      </c>
      <c r="AI819" t="b">
        <f>AND(IF(metadata!G819="",FALSE,TRUE),OR(EXACT(metadata!G819,"Plant secretion"),EXACT(metadata!G819,"Plant rhizosphere"),EXACT(metadata!G819,"Plant surface"),EXACT(metadata!G819,"Plant corpus"),EXACT(metadata!G819,"Fungus surface"),EXACT(metadata!G819,"Fungus corpus"),EXACT(metadata!G819,"Animal surface"),EXACT(metadata!G819,"Animal proximal gut"),EXACT(metadata!G819,"Animal corpus"),EXACT(metadata!G819,"Animal distal gut"),EXACT(metadata!G819,"Animal secretion")))</f>
        <v>0</v>
      </c>
      <c r="AJ819" t="b">
        <f>OR(AND(IF(metadata!H819="",FALSE,TRUE),OR(EXACT(metadata!H819,"missing: not collected"),EXACT(metadata!H819,"missing: not provided"),EXACT(metadata!H819,"missing: restricted access"))),AND(IF(metadata!H819="",FALSE,TRUE),OR(EXACT(metadata!H819,"organism-associated habitat"),EXACT(metadata!H819,"plant-associated habitat"),EXACT(metadata!H819,"animal-associated habitat"),EXACT(metadata!H819,"insecta-associated habitat"),EXACT(metadata!H819,"mammalia-associated habitat"),EXACT(metadata!H819,"human-associated habitat"),EXACT(metadata!H819,"livestock-associated habitat"))))</f>
        <v>0</v>
      </c>
      <c r="AK819" t="b">
        <f>AND(IF(metadata!I819="",FALSE,TRUE),EXACT(metadata!I819,"host-associated"))</f>
        <v>0</v>
      </c>
      <c r="AL819" t="b">
        <f>OR(AND(IF(metadata!J819="",FALSE,TRUE),OR(EXACT(metadata!J819,"not applicable"),EXACT(metadata!J819,"missing: not collected"),EXACT(metadata!J819,"missing: not provided"),EXACT(metadata!J819,"missing: restricted access"))),AND(IF(metadata!J819="",FALSE,ISNUMBER(VALUE(metadata!J819))),metadata!J819&gt;0))</f>
        <v>0</v>
      </c>
      <c r="AM819" t="b">
        <f>AND(IF(metadata!K819="",FALSE,TRUE),EXACT(metadata!K819,"missing: not provided"))</f>
        <v>0</v>
      </c>
      <c r="AN819" t="b">
        <f>IF(metadata!L819="",FALSE,TRUE)</f>
        <v>0</v>
      </c>
      <c r="AO819" t="b">
        <f>IF(metadata!M819="",FALSE,TRUE)</f>
        <v>0</v>
      </c>
      <c r="AP819" t="b">
        <f>OR(AND(IF(metadata!N819="",FALSE,TRUE),OR(EXACT(metadata!N819,"not applicable"),EXACT(metadata!N819,"missing: not collected"),EXACT(metadata!N819,"missing: not provided"))),AND(IF(metadata!N819="",FALSE,IF(ISERROR(INT(metadata!N819)),FALSE,INT(metadata!N819)=metadata!N819)),metadata!N819&gt;0))</f>
        <v>0</v>
      </c>
      <c r="AQ819" t="b">
        <f>AND(IF(metadata!O819="",FALSE,TRUE),EXACT(metadata!O819,"Not applicable"))</f>
        <v>0</v>
      </c>
      <c r="AR819" t="b">
        <f>OR(AND(IF(metadata!P819="",FALSE,TRUE),OR(EXACT(metadata!P819,"not applicable"),EXACT(metadata!P819,"missing: not collected"),EXACT(metadata!P819,"missing: not provided"),EXACT(metadata!P819,"missing: restricted access"))),IF(metadata!P819="",FALSE,IF(ISERROR(INT(metadata!P819)),FALSE,INT(metadata!P819)=metadata!P819)))</f>
        <v>0</v>
      </c>
      <c r="AS819" t="b">
        <f>AND(IF(metadata!Q819="",FALSE,TRUE),EXACT(metadata!Q819,"Not applicable"))</f>
        <v>0</v>
      </c>
      <c r="AT819" t="b">
        <f>OR(AND(IF(metadata!R819="",FALSE,TRUE),OR(EXACT(metadata!R819,"not applicable"),EXACT(metadata!R819,"missing: not collected"),EXACT(metadata!R819,"missing: not provided"),EXACT(metadata!R819,"missing: restricted access"))),AND(IF(metadata!R819="",FALSE,ISNUMBER(VALUE(metadata!R819))),metadata!R819&gt;0))</f>
        <v>0</v>
      </c>
      <c r="AU819" t="b">
        <f>AND(IF(metadata!S819="",FALSE,TRUE),EXACT(metadata!S819,"missing: not provided"))</f>
        <v>0</v>
      </c>
    </row>
    <row r="820" spans="1:47" x14ac:dyDescent="0.2">
      <c r="A820" s="5" t="str">
        <f ca="1">IF(B820=" "," ",HYPERLINK(CONCATENATE("#metadata!",ADDRESS(INDEX($Y$2:$Y$1001,MATCH(ROWS($W$2:W820),$W$2:$W$1001,0),0),1)),INDEX($AB$2:$AB$1001,MATCH(ROWS($W$2:W820),$W$2:$W$1001,0),0)))</f>
        <v xml:space="preserve"> </v>
      </c>
      <c r="B820" s="4" t="str">
        <f ca="1">IF(OR(INDEX($X$2:$X$1001,MATCH(ROWS($W$2:W820),$W$2:$W$1001,0),1)&gt;=100000,INDEX($AD$1005:$AU$1005,1,MATCH(COLUMNS($AD$1006:AD1006),$AD$1006:$AU$1006,0))&gt;=100000), " ",IF(INDEX($AD$2:$AU$1001,MATCH(ROWS($W$2:W820),$W$2:$W$1001,0),MATCH(COLUMNS($AD$1006:AD1006),$AD$1006:$AU$1006,0)), HYPERLINK("#",""), HYPERLINK(CONCATENATE("#metadata!", ADDRESS(INDEX($Y$2:$Y$1001,MATCH(ROWS($W$2:W820),$W$2:$W$1001,0),0), INDEX($AD$1004:$AU$1004,1,MATCH(COLUMNS($AD$1006:AD1006),$AD$1006:$AU$1006,0)))),"Fix")))</f>
        <v xml:space="preserve"> </v>
      </c>
      <c r="C820" s="4" t="str">
        <f ca="1">IF(OR(INDEX($X$2:$X$1001,MATCH(ROWS($W$2:W820),$W$2:$W$1001,0),1)&gt;=100000,INDEX($AD$1005:$AU$1005,1,MATCH(COLUMNS($AD$1006:AE1006),$AD$1006:$AU$1006,0))&gt;=100000), " ",IF(INDEX($AD$2:$AU$1001,MATCH(ROWS($W$2:W820),$W$2:$W$1001,0),MATCH(COLUMNS($AD$1006:AE1006),$AD$1006:$AU$1006,0)), HYPERLINK("#",""), HYPERLINK(CONCATENATE("#metadata!", ADDRESS(INDEX($Y$2:$Y$1001,MATCH(ROWS($W$2:W820),$W$2:$W$1001,0),0), INDEX($AD$1004:$AU$1004,1,MATCH(COLUMNS($AD$1006:AE1006),$AD$1006:$AU$1006,0)))),"Fix")))</f>
        <v xml:space="preserve"> </v>
      </c>
      <c r="D820" s="4" t="str">
        <f ca="1">IF(OR(INDEX($X$2:$X$1001,MATCH(ROWS($W$2:W820),$W$2:$W$1001,0),1)&gt;=100000,INDEX($AD$1005:$AU$1005,1,MATCH(COLUMNS($AD$1006:AF1006),$AD$1006:$AU$1006,0))&gt;=100000), " ",IF(INDEX($AD$2:$AU$1001,MATCH(ROWS($W$2:W820),$W$2:$W$1001,0),MATCH(COLUMNS($AD$1006:AF1006),$AD$1006:$AU$1006,0)), HYPERLINK("#",""), HYPERLINK(CONCATENATE("#metadata!", ADDRESS(INDEX($Y$2:$Y$1001,MATCH(ROWS($W$2:W820),$W$2:$W$1001,0),0), INDEX($AD$1004:$AU$1004,1,MATCH(COLUMNS($AD$1006:AF1006),$AD$1006:$AU$1006,0)))),"Fix")))</f>
        <v xml:space="preserve"> </v>
      </c>
      <c r="E820" s="4" t="str">
        <f ca="1">IF(OR(INDEX($X$2:$X$1001,MATCH(ROWS($W$2:W820),$W$2:$W$1001,0),1)&gt;=100000,INDEX($AD$1005:$AU$1005,1,MATCH(COLUMNS($AD$1006:AG1006),$AD$1006:$AU$1006,0))&gt;=100000), " ",IF(INDEX($AD$2:$AU$1001,MATCH(ROWS($W$2:W820),$W$2:$W$1001,0),MATCH(COLUMNS($AD$1006:AG1006),$AD$1006:$AU$1006,0)), HYPERLINK("#",""), HYPERLINK(CONCATENATE("#metadata!", ADDRESS(INDEX($Y$2:$Y$1001,MATCH(ROWS($W$2:W820),$W$2:$W$1001,0),0), INDEX($AD$1004:$AU$1004,1,MATCH(COLUMNS($AD$1006:AG1006),$AD$1006:$AU$1006,0)))),"Fix")))</f>
        <v xml:space="preserve"> </v>
      </c>
      <c r="F820" s="4" t="str">
        <f ca="1">IF(OR(INDEX($X$2:$X$1001,MATCH(ROWS($W$2:W820),$W$2:$W$1001,0),1)&gt;=100000,INDEX($AD$1005:$AU$1005,1,MATCH(COLUMNS($AD$1006:AH1006),$AD$1006:$AU$1006,0))&gt;=100000), " ",IF(INDEX($AD$2:$AU$1001,MATCH(ROWS($W$2:W820),$W$2:$W$1001,0),MATCH(COLUMNS($AD$1006:AH1006),$AD$1006:$AU$1006,0)), HYPERLINK("#",""), HYPERLINK(CONCATENATE("#metadata!", ADDRESS(INDEX($Y$2:$Y$1001,MATCH(ROWS($W$2:W820),$W$2:$W$1001,0),0), INDEX($AD$1004:$AU$1004,1,MATCH(COLUMNS($AD$1006:AH1006),$AD$1006:$AU$1006,0)))),"Fix")))</f>
        <v xml:space="preserve"> </v>
      </c>
      <c r="G820" s="4" t="str">
        <f ca="1">IF(OR(INDEX($X$2:$X$1001,MATCH(ROWS($W$2:W820),$W$2:$W$1001,0),1)&gt;=100000,INDEX($AD$1005:$AU$1005,1,MATCH(COLUMNS($AD$1006:AI1006),$AD$1006:$AU$1006,0))&gt;=100000), " ",IF(INDEX($AD$2:$AU$1001,MATCH(ROWS($W$2:W820),$W$2:$W$1001,0),MATCH(COLUMNS($AD$1006:AI1006),$AD$1006:$AU$1006,0)), HYPERLINK("#",""), HYPERLINK(CONCATENATE("#metadata!", ADDRESS(INDEX($Y$2:$Y$1001,MATCH(ROWS($W$2:W820),$W$2:$W$1001,0),0), INDEX($AD$1004:$AU$1004,1,MATCH(COLUMNS($AD$1006:AI1006),$AD$1006:$AU$1006,0)))),"Fix")))</f>
        <v xml:space="preserve"> </v>
      </c>
      <c r="H820" s="4" t="str">
        <f ca="1">IF(OR(INDEX($X$2:$X$1001,MATCH(ROWS($W$2:W820),$W$2:$W$1001,0),1)&gt;=100000,INDEX($AD$1005:$AU$1005,1,MATCH(COLUMNS($AD$1006:AJ1006),$AD$1006:$AU$1006,0))&gt;=100000), " ",IF(INDEX($AD$2:$AU$1001,MATCH(ROWS($W$2:W820),$W$2:$W$1001,0),MATCH(COLUMNS($AD$1006:AJ1006),$AD$1006:$AU$1006,0)), HYPERLINK("#",""), HYPERLINK(CONCATENATE("#metadata!", ADDRESS(INDEX($Y$2:$Y$1001,MATCH(ROWS($W$2:W820),$W$2:$W$1001,0),0), INDEX($AD$1004:$AU$1004,1,MATCH(COLUMNS($AD$1006:AJ1006),$AD$1006:$AU$1006,0)))),"Fix")))</f>
        <v xml:space="preserve"> </v>
      </c>
      <c r="I820" s="4" t="str">
        <f ca="1">IF(OR(INDEX($X$2:$X$1001,MATCH(ROWS($W$2:W820),$W$2:$W$1001,0),1)&gt;=100000,INDEX($AD$1005:$AU$1005,1,MATCH(COLUMNS($AD$1006:AK1006),$AD$1006:$AU$1006,0))&gt;=100000), " ",IF(INDEX($AD$2:$AU$1001,MATCH(ROWS($W$2:W820),$W$2:$W$1001,0),MATCH(COLUMNS($AD$1006:AK1006),$AD$1006:$AU$1006,0)), HYPERLINK("#",""), HYPERLINK(CONCATENATE("#metadata!", ADDRESS(INDEX($Y$2:$Y$1001,MATCH(ROWS($W$2:W820),$W$2:$W$1001,0),0), INDEX($AD$1004:$AU$1004,1,MATCH(COLUMNS($AD$1006:AK1006),$AD$1006:$AU$1006,0)))),"Fix")))</f>
        <v xml:space="preserve"> </v>
      </c>
      <c r="J820" s="4" t="str">
        <f ca="1">IF(OR(INDEX($X$2:$X$1001,MATCH(ROWS($W$2:W820),$W$2:$W$1001,0),1)&gt;=100000,INDEX($AD$1005:$AU$1005,1,MATCH(COLUMNS($AD$1006:AL1006),$AD$1006:$AU$1006,0))&gt;=100000), " ",IF(INDEX($AD$2:$AU$1001,MATCH(ROWS($W$2:W820),$W$2:$W$1001,0),MATCH(COLUMNS($AD$1006:AL1006),$AD$1006:$AU$1006,0)), HYPERLINK("#",""), HYPERLINK(CONCATENATE("#metadata!", ADDRESS(INDEX($Y$2:$Y$1001,MATCH(ROWS($W$2:W820),$W$2:$W$1001,0),0), INDEX($AD$1004:$AU$1004,1,MATCH(COLUMNS($AD$1006:AL1006),$AD$1006:$AU$1006,0)))),"Fix")))</f>
        <v xml:space="preserve"> </v>
      </c>
      <c r="K820" s="4" t="str">
        <f ca="1">IF(OR(INDEX($X$2:$X$1001,MATCH(ROWS($W$2:W820),$W$2:$W$1001,0),1)&gt;=100000,INDEX($AD$1005:$AU$1005,1,MATCH(COLUMNS($AD$1006:AM1006),$AD$1006:$AU$1006,0))&gt;=100000), " ",IF(INDEX($AD$2:$AU$1001,MATCH(ROWS($W$2:W820),$W$2:$W$1001,0),MATCH(COLUMNS($AD$1006:AM1006),$AD$1006:$AU$1006,0)), HYPERLINK("#",""), HYPERLINK(CONCATENATE("#metadata!", ADDRESS(INDEX($Y$2:$Y$1001,MATCH(ROWS($W$2:W820),$W$2:$W$1001,0),0), INDEX($AD$1004:$AU$1004,1,MATCH(COLUMNS($AD$1006:AM1006),$AD$1006:$AU$1006,0)))),"Fix")))</f>
        <v xml:space="preserve"> </v>
      </c>
      <c r="L820" s="4" t="str">
        <f ca="1">IF(OR(INDEX($X$2:$X$1001,MATCH(ROWS($W$2:W820),$W$2:$W$1001,0),1)&gt;=100000,INDEX($AD$1005:$AU$1005,1,MATCH(COLUMNS($AD$1006:AN1006),$AD$1006:$AU$1006,0))&gt;=100000), " ",IF(INDEX($AD$2:$AU$1001,MATCH(ROWS($W$2:W820),$W$2:$W$1001,0),MATCH(COLUMNS($AD$1006:AN1006),$AD$1006:$AU$1006,0)), HYPERLINK("#",""), HYPERLINK(CONCATENATE("#metadata!", ADDRESS(INDEX($Y$2:$Y$1001,MATCH(ROWS($W$2:W820),$W$2:$W$1001,0),0), INDEX($AD$1004:$AU$1004,1,MATCH(COLUMNS($AD$1006:AN1006),$AD$1006:$AU$1006,0)))),"Fix")))</f>
        <v xml:space="preserve"> </v>
      </c>
      <c r="M820" s="4" t="str">
        <f ca="1">IF(OR(INDEX($X$2:$X$1001,MATCH(ROWS($W$2:W820),$W$2:$W$1001,0),1)&gt;=100000,INDEX($AD$1005:$AU$1005,1,MATCH(COLUMNS($AD$1006:AO1006),$AD$1006:$AU$1006,0))&gt;=100000), " ",IF(INDEX($AD$2:$AU$1001,MATCH(ROWS($W$2:W820),$W$2:$W$1001,0),MATCH(COLUMNS($AD$1006:AO1006),$AD$1006:$AU$1006,0)), HYPERLINK("#",""), HYPERLINK(CONCATENATE("#metadata!", ADDRESS(INDEX($Y$2:$Y$1001,MATCH(ROWS($W$2:W820),$W$2:$W$1001,0),0), INDEX($AD$1004:$AU$1004,1,MATCH(COLUMNS($AD$1006:AO1006),$AD$1006:$AU$1006,0)))),"Fix")))</f>
        <v xml:space="preserve"> </v>
      </c>
      <c r="N820" s="4" t="str">
        <f ca="1">IF(OR(INDEX($X$2:$X$1001,MATCH(ROWS($W$2:W820),$W$2:$W$1001,0),1)&gt;=100000,INDEX($AD$1005:$AU$1005,1,MATCH(COLUMNS($AD$1006:AP1006),$AD$1006:$AU$1006,0))&gt;=100000), " ",IF(INDEX($AD$2:$AU$1001,MATCH(ROWS($W$2:W820),$W$2:$W$1001,0),MATCH(COLUMNS($AD$1006:AP1006),$AD$1006:$AU$1006,0)), HYPERLINK("#",""), HYPERLINK(CONCATENATE("#metadata!", ADDRESS(INDEX($Y$2:$Y$1001,MATCH(ROWS($W$2:W820),$W$2:$W$1001,0),0), INDEX($AD$1004:$AU$1004,1,MATCH(COLUMNS($AD$1006:AP1006),$AD$1006:$AU$1006,0)))),"Fix")))</f>
        <v xml:space="preserve"> </v>
      </c>
      <c r="O820" s="4" t="str">
        <f ca="1">IF(OR(INDEX($X$2:$X$1001,MATCH(ROWS($W$2:W820),$W$2:$W$1001,0),1)&gt;=100000,INDEX($AD$1005:$AU$1005,1,MATCH(COLUMNS($AD$1006:AQ1006),$AD$1006:$AU$1006,0))&gt;=100000), " ",IF(INDEX($AD$2:$AU$1001,MATCH(ROWS($W$2:W820),$W$2:$W$1001,0),MATCH(COLUMNS($AD$1006:AQ1006),$AD$1006:$AU$1006,0)), HYPERLINK("#",""), HYPERLINK(CONCATENATE("#metadata!", ADDRESS(INDEX($Y$2:$Y$1001,MATCH(ROWS($W$2:W820),$W$2:$W$1001,0),0), INDEX($AD$1004:$AU$1004,1,MATCH(COLUMNS($AD$1006:AQ1006),$AD$1006:$AU$1006,0)))),"Fix")))</f>
        <v xml:space="preserve"> </v>
      </c>
      <c r="P820" s="4" t="str">
        <f ca="1">IF(OR(INDEX($X$2:$X$1001,MATCH(ROWS($W$2:W820),$W$2:$W$1001,0),1)&gt;=100000,INDEX($AD$1005:$AU$1005,1,MATCH(COLUMNS($AD$1006:AR1006),$AD$1006:$AU$1006,0))&gt;=100000), " ",IF(INDEX($AD$2:$AU$1001,MATCH(ROWS($W$2:W820),$W$2:$W$1001,0),MATCH(COLUMNS($AD$1006:AR1006),$AD$1006:$AU$1006,0)), HYPERLINK("#",""), HYPERLINK(CONCATENATE("#metadata!", ADDRESS(INDEX($Y$2:$Y$1001,MATCH(ROWS($W$2:W820),$W$2:$W$1001,0),0), INDEX($AD$1004:$AU$1004,1,MATCH(COLUMNS($AD$1006:AR1006),$AD$1006:$AU$1006,0)))),"Fix")))</f>
        <v xml:space="preserve"> </v>
      </c>
      <c r="Q820" s="4" t="str">
        <f ca="1">IF(OR(INDEX($X$2:$X$1001,MATCH(ROWS($W$2:W820),$W$2:$W$1001,0),1)&gt;=100000,INDEX($AD$1005:$AU$1005,1,MATCH(COLUMNS($AD$1006:AS1006),$AD$1006:$AU$1006,0))&gt;=100000), " ",IF(INDEX($AD$2:$AU$1001,MATCH(ROWS($W$2:W820),$W$2:$W$1001,0),MATCH(COLUMNS($AD$1006:AS1006),$AD$1006:$AU$1006,0)), HYPERLINK("#",""), HYPERLINK(CONCATENATE("#metadata!", ADDRESS(INDEX($Y$2:$Y$1001,MATCH(ROWS($W$2:W820),$W$2:$W$1001,0),0), INDEX($AD$1004:$AU$1004,1,MATCH(COLUMNS($AD$1006:AS1006),$AD$1006:$AU$1006,0)))),"Fix")))</f>
        <v xml:space="preserve"> </v>
      </c>
      <c r="R820" s="4" t="str">
        <f ca="1">IF(OR(INDEX($X$2:$X$1001,MATCH(ROWS($W$2:W820),$W$2:$W$1001,0),1)&gt;=100000,INDEX($AD$1005:$AU$1005,1,MATCH(COLUMNS($AD$1006:AT1006),$AD$1006:$AU$1006,0))&gt;=100000), " ",IF(INDEX($AD$2:$AU$1001,MATCH(ROWS($W$2:W820),$W$2:$W$1001,0),MATCH(COLUMNS($AD$1006:AT1006),$AD$1006:$AU$1006,0)), HYPERLINK("#",""), HYPERLINK(CONCATENATE("#metadata!", ADDRESS(INDEX($Y$2:$Y$1001,MATCH(ROWS($W$2:W820),$W$2:$W$1001,0),0), INDEX($AD$1004:$AU$1004,1,MATCH(COLUMNS($AD$1006:AT1006),$AD$1006:$AU$1006,0)))),"Fix")))</f>
        <v xml:space="preserve"> </v>
      </c>
      <c r="S820" s="4" t="str">
        <f ca="1">IF(OR(INDEX($X$2:$X$1001,MATCH(ROWS($W$2:W820),$W$2:$W$1001,0),1)&gt;=100000,INDEX($AD$1005:$AU$1005,1,MATCH(COLUMNS($AD$1006:AU1006),$AD$1006:$AU$1006,0))&gt;=100000), " ",IF(INDEX($AD$2:$AU$1001,MATCH(ROWS($W$2:W820),$W$2:$W$1001,0),MATCH(COLUMNS($AD$1006:AU1006),$AD$1006:$AU$1006,0)), HYPERLINK("#",""), HYPERLINK(CONCATENATE("#metadata!", ADDRESS(INDEX($Y$2:$Y$1001,MATCH(ROWS($W$2:W820),$W$2:$W$1001,0),0), INDEX($AD$1004:$AU$1004,1,MATCH(COLUMNS($AD$1006:AU1006),$AD$1006:$AU$1006,0)))),"Fix")))</f>
        <v xml:space="preserve"> </v>
      </c>
      <c r="W820">
        <v>819</v>
      </c>
      <c r="X820">
        <v>100820</v>
      </c>
      <c r="Y820">
        <v>820</v>
      </c>
      <c r="Z820" t="b">
        <f t="shared" si="12"/>
        <v>1</v>
      </c>
      <c r="AA820" t="b">
        <f>COUNTBLANK(metadata!B820:S820)=COLUMNS(metadata!B820:S820)</f>
        <v>1</v>
      </c>
      <c r="AB820" t="str">
        <v/>
      </c>
      <c r="AD820" t="b">
        <f ca="1">AND(IF(metadata!B820="",FALSE,TRUE),COUNTIF(metadata!B:B, metadata!B820) = 1,NOT(ISERROR(SUMPRODUCT(SEARCH(MID(metadata!B820,ROW(INDIRECT("1:"&amp;LEN(metadata!B820))), 1),"0123456789abcdefghijklmnopqrstuvwxyzABCDEFGHIJKLMNOPQRSTUVWXYZ.")))))</f>
        <v>0</v>
      </c>
      <c r="AE820" t="b">
        <f>OR(AND(IF(metadata!C820="",FALSE,TRUE),OR(EXACT(metadata!C820,"not applicable"),EXACT(metadata!C820,"missing: not collected"),EXACT(metadata!C820,"missing: not provided"),EXACT(metadata!C820,"missing: restricted access"))),AND(IF(metadata!C820="",FALSE,ISNUMBER(VALUE(metadata!C820))),metadata!C820&gt;0))</f>
        <v>0</v>
      </c>
      <c r="AF820" t="b">
        <f>AND(IF(metadata!D820="",FALSE,TRUE),EXACT(metadata!D820,"missing: not provided"))</f>
        <v>0</v>
      </c>
      <c r="AG820" t="b">
        <f>AND(IF(metadata!E820="",FALSE,TRUE),EXACT(metadata!E820,"Host-associated"))</f>
        <v>0</v>
      </c>
      <c r="AH820" t="b">
        <f>AND(IF(metadata!F820="",FALSE,TRUE),OR(EXACT(metadata!F820,"Animal"),EXACT(metadata!F820,"Fungus"),EXACT(metadata!F820,"Plant")))</f>
        <v>0</v>
      </c>
      <c r="AI820" t="b">
        <f>AND(IF(metadata!G820="",FALSE,TRUE),OR(EXACT(metadata!G820,"Plant secretion"),EXACT(metadata!G820,"Plant rhizosphere"),EXACT(metadata!G820,"Plant surface"),EXACT(metadata!G820,"Plant corpus"),EXACT(metadata!G820,"Fungus surface"),EXACT(metadata!G820,"Fungus corpus"),EXACT(metadata!G820,"Animal surface"),EXACT(metadata!G820,"Animal proximal gut"),EXACT(metadata!G820,"Animal corpus"),EXACT(metadata!G820,"Animal distal gut"),EXACT(metadata!G820,"Animal secretion")))</f>
        <v>0</v>
      </c>
      <c r="AJ820" t="b">
        <f>OR(AND(IF(metadata!H820="",FALSE,TRUE),OR(EXACT(metadata!H820,"missing: not collected"),EXACT(metadata!H820,"missing: not provided"),EXACT(metadata!H820,"missing: restricted access"))),AND(IF(metadata!H820="",FALSE,TRUE),OR(EXACT(metadata!H820,"organism-associated habitat"),EXACT(metadata!H820,"plant-associated habitat"),EXACT(metadata!H820,"animal-associated habitat"),EXACT(metadata!H820,"insecta-associated habitat"),EXACT(metadata!H820,"mammalia-associated habitat"),EXACT(metadata!H820,"human-associated habitat"),EXACT(metadata!H820,"livestock-associated habitat"))))</f>
        <v>0</v>
      </c>
      <c r="AK820" t="b">
        <f>AND(IF(metadata!I820="",FALSE,TRUE),EXACT(metadata!I820,"host-associated"))</f>
        <v>0</v>
      </c>
      <c r="AL820" t="b">
        <f>OR(AND(IF(metadata!J820="",FALSE,TRUE),OR(EXACT(metadata!J820,"not applicable"),EXACT(metadata!J820,"missing: not collected"),EXACT(metadata!J820,"missing: not provided"),EXACT(metadata!J820,"missing: restricted access"))),AND(IF(metadata!J820="",FALSE,ISNUMBER(VALUE(metadata!J820))),metadata!J820&gt;0))</f>
        <v>0</v>
      </c>
      <c r="AM820" t="b">
        <f>AND(IF(metadata!K820="",FALSE,TRUE),EXACT(metadata!K820,"missing: not provided"))</f>
        <v>0</v>
      </c>
      <c r="AN820" t="b">
        <f>IF(metadata!L820="",FALSE,TRUE)</f>
        <v>0</v>
      </c>
      <c r="AO820" t="b">
        <f>IF(metadata!M820="",FALSE,TRUE)</f>
        <v>0</v>
      </c>
      <c r="AP820" t="b">
        <f>OR(AND(IF(metadata!N820="",FALSE,TRUE),OR(EXACT(metadata!N820,"not applicable"),EXACT(metadata!N820,"missing: not collected"),EXACT(metadata!N820,"missing: not provided"))),AND(IF(metadata!N820="",FALSE,IF(ISERROR(INT(metadata!N820)),FALSE,INT(metadata!N820)=metadata!N820)),metadata!N820&gt;0))</f>
        <v>0</v>
      </c>
      <c r="AQ820" t="b">
        <f>AND(IF(metadata!O820="",FALSE,TRUE),EXACT(metadata!O820,"Not applicable"))</f>
        <v>0</v>
      </c>
      <c r="AR820" t="b">
        <f>OR(AND(IF(metadata!P820="",FALSE,TRUE),OR(EXACT(metadata!P820,"not applicable"),EXACT(metadata!P820,"missing: not collected"),EXACT(metadata!P820,"missing: not provided"),EXACT(metadata!P820,"missing: restricted access"))),IF(metadata!P820="",FALSE,IF(ISERROR(INT(metadata!P820)),FALSE,INT(metadata!P820)=metadata!P820)))</f>
        <v>0</v>
      </c>
      <c r="AS820" t="b">
        <f>AND(IF(metadata!Q820="",FALSE,TRUE),EXACT(metadata!Q820,"Not applicable"))</f>
        <v>0</v>
      </c>
      <c r="AT820" t="b">
        <f>OR(AND(IF(metadata!R820="",FALSE,TRUE),OR(EXACT(metadata!R820,"not applicable"),EXACT(metadata!R820,"missing: not collected"),EXACT(metadata!R820,"missing: not provided"),EXACT(metadata!R820,"missing: restricted access"))),AND(IF(metadata!R820="",FALSE,ISNUMBER(VALUE(metadata!R820))),metadata!R820&gt;0))</f>
        <v>0</v>
      </c>
      <c r="AU820" t="b">
        <f>AND(IF(metadata!S820="",FALSE,TRUE),EXACT(metadata!S820,"missing: not provided"))</f>
        <v>0</v>
      </c>
    </row>
    <row r="821" spans="1:47" x14ac:dyDescent="0.2">
      <c r="A821" s="5" t="str">
        <f ca="1">IF(B821=" "," ",HYPERLINK(CONCATENATE("#metadata!",ADDRESS(INDEX($Y$2:$Y$1001,MATCH(ROWS($W$2:W821),$W$2:$W$1001,0),0),1)),INDEX($AB$2:$AB$1001,MATCH(ROWS($W$2:W821),$W$2:$W$1001,0),0)))</f>
        <v xml:space="preserve"> </v>
      </c>
      <c r="B821" s="4" t="str">
        <f ca="1">IF(OR(INDEX($X$2:$X$1001,MATCH(ROWS($W$2:W821),$W$2:$W$1001,0),1)&gt;=100000,INDEX($AD$1005:$AU$1005,1,MATCH(COLUMNS($AD$1006:AD1006),$AD$1006:$AU$1006,0))&gt;=100000), " ",IF(INDEX($AD$2:$AU$1001,MATCH(ROWS($W$2:W821),$W$2:$W$1001,0),MATCH(COLUMNS($AD$1006:AD1006),$AD$1006:$AU$1006,0)), HYPERLINK("#",""), HYPERLINK(CONCATENATE("#metadata!", ADDRESS(INDEX($Y$2:$Y$1001,MATCH(ROWS($W$2:W821),$W$2:$W$1001,0),0), INDEX($AD$1004:$AU$1004,1,MATCH(COLUMNS($AD$1006:AD1006),$AD$1006:$AU$1006,0)))),"Fix")))</f>
        <v xml:space="preserve"> </v>
      </c>
      <c r="C821" s="4" t="str">
        <f ca="1">IF(OR(INDEX($X$2:$X$1001,MATCH(ROWS($W$2:W821),$W$2:$W$1001,0),1)&gt;=100000,INDEX($AD$1005:$AU$1005,1,MATCH(COLUMNS($AD$1006:AE1006),$AD$1006:$AU$1006,0))&gt;=100000), " ",IF(INDEX($AD$2:$AU$1001,MATCH(ROWS($W$2:W821),$W$2:$W$1001,0),MATCH(COLUMNS($AD$1006:AE1006),$AD$1006:$AU$1006,0)), HYPERLINK("#",""), HYPERLINK(CONCATENATE("#metadata!", ADDRESS(INDEX($Y$2:$Y$1001,MATCH(ROWS($W$2:W821),$W$2:$W$1001,0),0), INDEX($AD$1004:$AU$1004,1,MATCH(COLUMNS($AD$1006:AE1006),$AD$1006:$AU$1006,0)))),"Fix")))</f>
        <v xml:space="preserve"> </v>
      </c>
      <c r="D821" s="4" t="str">
        <f ca="1">IF(OR(INDEX($X$2:$X$1001,MATCH(ROWS($W$2:W821),$W$2:$W$1001,0),1)&gt;=100000,INDEX($AD$1005:$AU$1005,1,MATCH(COLUMNS($AD$1006:AF1006),$AD$1006:$AU$1006,0))&gt;=100000), " ",IF(INDEX($AD$2:$AU$1001,MATCH(ROWS($W$2:W821),$W$2:$W$1001,0),MATCH(COLUMNS($AD$1006:AF1006),$AD$1006:$AU$1006,0)), HYPERLINK("#",""), HYPERLINK(CONCATENATE("#metadata!", ADDRESS(INDEX($Y$2:$Y$1001,MATCH(ROWS($W$2:W821),$W$2:$W$1001,0),0), INDEX($AD$1004:$AU$1004,1,MATCH(COLUMNS($AD$1006:AF1006),$AD$1006:$AU$1006,0)))),"Fix")))</f>
        <v xml:space="preserve"> </v>
      </c>
      <c r="E821" s="4" t="str">
        <f ca="1">IF(OR(INDEX($X$2:$X$1001,MATCH(ROWS($W$2:W821),$W$2:$W$1001,0),1)&gt;=100000,INDEX($AD$1005:$AU$1005,1,MATCH(COLUMNS($AD$1006:AG1006),$AD$1006:$AU$1006,0))&gt;=100000), " ",IF(INDEX($AD$2:$AU$1001,MATCH(ROWS($W$2:W821),$W$2:$W$1001,0),MATCH(COLUMNS($AD$1006:AG1006),$AD$1006:$AU$1006,0)), HYPERLINK("#",""), HYPERLINK(CONCATENATE("#metadata!", ADDRESS(INDEX($Y$2:$Y$1001,MATCH(ROWS($W$2:W821),$W$2:$W$1001,0),0), INDEX($AD$1004:$AU$1004,1,MATCH(COLUMNS($AD$1006:AG1006),$AD$1006:$AU$1006,0)))),"Fix")))</f>
        <v xml:space="preserve"> </v>
      </c>
      <c r="F821" s="4" t="str">
        <f ca="1">IF(OR(INDEX($X$2:$X$1001,MATCH(ROWS($W$2:W821),$W$2:$W$1001,0),1)&gt;=100000,INDEX($AD$1005:$AU$1005,1,MATCH(COLUMNS($AD$1006:AH1006),$AD$1006:$AU$1006,0))&gt;=100000), " ",IF(INDEX($AD$2:$AU$1001,MATCH(ROWS($W$2:W821),$W$2:$W$1001,0),MATCH(COLUMNS($AD$1006:AH1006),$AD$1006:$AU$1006,0)), HYPERLINK("#",""), HYPERLINK(CONCATENATE("#metadata!", ADDRESS(INDEX($Y$2:$Y$1001,MATCH(ROWS($W$2:W821),$W$2:$W$1001,0),0), INDEX($AD$1004:$AU$1004,1,MATCH(COLUMNS($AD$1006:AH1006),$AD$1006:$AU$1006,0)))),"Fix")))</f>
        <v xml:space="preserve"> </v>
      </c>
      <c r="G821" s="4" t="str">
        <f ca="1">IF(OR(INDEX($X$2:$X$1001,MATCH(ROWS($W$2:W821),$W$2:$W$1001,0),1)&gt;=100000,INDEX($AD$1005:$AU$1005,1,MATCH(COLUMNS($AD$1006:AI1006),$AD$1006:$AU$1006,0))&gt;=100000), " ",IF(INDEX($AD$2:$AU$1001,MATCH(ROWS($W$2:W821),$W$2:$W$1001,0),MATCH(COLUMNS($AD$1006:AI1006),$AD$1006:$AU$1006,0)), HYPERLINK("#",""), HYPERLINK(CONCATENATE("#metadata!", ADDRESS(INDEX($Y$2:$Y$1001,MATCH(ROWS($W$2:W821),$W$2:$W$1001,0),0), INDEX($AD$1004:$AU$1004,1,MATCH(COLUMNS($AD$1006:AI1006),$AD$1006:$AU$1006,0)))),"Fix")))</f>
        <v xml:space="preserve"> </v>
      </c>
      <c r="H821" s="4" t="str">
        <f ca="1">IF(OR(INDEX($X$2:$X$1001,MATCH(ROWS($W$2:W821),$W$2:$W$1001,0),1)&gt;=100000,INDEX($AD$1005:$AU$1005,1,MATCH(COLUMNS($AD$1006:AJ1006),$AD$1006:$AU$1006,0))&gt;=100000), " ",IF(INDEX($AD$2:$AU$1001,MATCH(ROWS($W$2:W821),$W$2:$W$1001,0),MATCH(COLUMNS($AD$1006:AJ1006),$AD$1006:$AU$1006,0)), HYPERLINK("#",""), HYPERLINK(CONCATENATE("#metadata!", ADDRESS(INDEX($Y$2:$Y$1001,MATCH(ROWS($W$2:W821),$W$2:$W$1001,0),0), INDEX($AD$1004:$AU$1004,1,MATCH(COLUMNS($AD$1006:AJ1006),$AD$1006:$AU$1006,0)))),"Fix")))</f>
        <v xml:space="preserve"> </v>
      </c>
      <c r="I821" s="4" t="str">
        <f ca="1">IF(OR(INDEX($X$2:$X$1001,MATCH(ROWS($W$2:W821),$W$2:$W$1001,0),1)&gt;=100000,INDEX($AD$1005:$AU$1005,1,MATCH(COLUMNS($AD$1006:AK1006),$AD$1006:$AU$1006,0))&gt;=100000), " ",IF(INDEX($AD$2:$AU$1001,MATCH(ROWS($W$2:W821),$W$2:$W$1001,0),MATCH(COLUMNS($AD$1006:AK1006),$AD$1006:$AU$1006,0)), HYPERLINK("#",""), HYPERLINK(CONCATENATE("#metadata!", ADDRESS(INDEX($Y$2:$Y$1001,MATCH(ROWS($W$2:W821),$W$2:$W$1001,0),0), INDEX($AD$1004:$AU$1004,1,MATCH(COLUMNS($AD$1006:AK1006),$AD$1006:$AU$1006,0)))),"Fix")))</f>
        <v xml:space="preserve"> </v>
      </c>
      <c r="J821" s="4" t="str">
        <f ca="1">IF(OR(INDEX($X$2:$X$1001,MATCH(ROWS($W$2:W821),$W$2:$W$1001,0),1)&gt;=100000,INDEX($AD$1005:$AU$1005,1,MATCH(COLUMNS($AD$1006:AL1006),$AD$1006:$AU$1006,0))&gt;=100000), " ",IF(INDEX($AD$2:$AU$1001,MATCH(ROWS($W$2:W821),$W$2:$W$1001,0),MATCH(COLUMNS($AD$1006:AL1006),$AD$1006:$AU$1006,0)), HYPERLINK("#",""), HYPERLINK(CONCATENATE("#metadata!", ADDRESS(INDEX($Y$2:$Y$1001,MATCH(ROWS($W$2:W821),$W$2:$W$1001,0),0), INDEX($AD$1004:$AU$1004,1,MATCH(COLUMNS($AD$1006:AL1006),$AD$1006:$AU$1006,0)))),"Fix")))</f>
        <v xml:space="preserve"> </v>
      </c>
      <c r="K821" s="4" t="str">
        <f ca="1">IF(OR(INDEX($X$2:$X$1001,MATCH(ROWS($W$2:W821),$W$2:$W$1001,0),1)&gt;=100000,INDEX($AD$1005:$AU$1005,1,MATCH(COLUMNS($AD$1006:AM1006),$AD$1006:$AU$1006,0))&gt;=100000), " ",IF(INDEX($AD$2:$AU$1001,MATCH(ROWS($W$2:W821),$W$2:$W$1001,0),MATCH(COLUMNS($AD$1006:AM1006),$AD$1006:$AU$1006,0)), HYPERLINK("#",""), HYPERLINK(CONCATENATE("#metadata!", ADDRESS(INDEX($Y$2:$Y$1001,MATCH(ROWS($W$2:W821),$W$2:$W$1001,0),0), INDEX($AD$1004:$AU$1004,1,MATCH(COLUMNS($AD$1006:AM1006),$AD$1006:$AU$1006,0)))),"Fix")))</f>
        <v xml:space="preserve"> </v>
      </c>
      <c r="L821" s="4" t="str">
        <f ca="1">IF(OR(INDEX($X$2:$X$1001,MATCH(ROWS($W$2:W821),$W$2:$W$1001,0),1)&gt;=100000,INDEX($AD$1005:$AU$1005,1,MATCH(COLUMNS($AD$1006:AN1006),$AD$1006:$AU$1006,0))&gt;=100000), " ",IF(INDEX($AD$2:$AU$1001,MATCH(ROWS($W$2:W821),$W$2:$W$1001,0),MATCH(COLUMNS($AD$1006:AN1006),$AD$1006:$AU$1006,0)), HYPERLINK("#",""), HYPERLINK(CONCATENATE("#metadata!", ADDRESS(INDEX($Y$2:$Y$1001,MATCH(ROWS($W$2:W821),$W$2:$W$1001,0),0), INDEX($AD$1004:$AU$1004,1,MATCH(COLUMNS($AD$1006:AN1006),$AD$1006:$AU$1006,0)))),"Fix")))</f>
        <v xml:space="preserve"> </v>
      </c>
      <c r="M821" s="4" t="str">
        <f ca="1">IF(OR(INDEX($X$2:$X$1001,MATCH(ROWS($W$2:W821),$W$2:$W$1001,0),1)&gt;=100000,INDEX($AD$1005:$AU$1005,1,MATCH(COLUMNS($AD$1006:AO1006),$AD$1006:$AU$1006,0))&gt;=100000), " ",IF(INDEX($AD$2:$AU$1001,MATCH(ROWS($W$2:W821),$W$2:$W$1001,0),MATCH(COLUMNS($AD$1006:AO1006),$AD$1006:$AU$1006,0)), HYPERLINK("#",""), HYPERLINK(CONCATENATE("#metadata!", ADDRESS(INDEX($Y$2:$Y$1001,MATCH(ROWS($W$2:W821),$W$2:$W$1001,0),0), INDEX($AD$1004:$AU$1004,1,MATCH(COLUMNS($AD$1006:AO1006),$AD$1006:$AU$1006,0)))),"Fix")))</f>
        <v xml:space="preserve"> </v>
      </c>
      <c r="N821" s="4" t="str">
        <f ca="1">IF(OR(INDEX($X$2:$X$1001,MATCH(ROWS($W$2:W821),$W$2:$W$1001,0),1)&gt;=100000,INDEX($AD$1005:$AU$1005,1,MATCH(COLUMNS($AD$1006:AP1006),$AD$1006:$AU$1006,0))&gt;=100000), " ",IF(INDEX($AD$2:$AU$1001,MATCH(ROWS($W$2:W821),$W$2:$W$1001,0),MATCH(COLUMNS($AD$1006:AP1006),$AD$1006:$AU$1006,0)), HYPERLINK("#",""), HYPERLINK(CONCATENATE("#metadata!", ADDRESS(INDEX($Y$2:$Y$1001,MATCH(ROWS($W$2:W821),$W$2:$W$1001,0),0), INDEX($AD$1004:$AU$1004,1,MATCH(COLUMNS($AD$1006:AP1006),$AD$1006:$AU$1006,0)))),"Fix")))</f>
        <v xml:space="preserve"> </v>
      </c>
      <c r="O821" s="4" t="str">
        <f ca="1">IF(OR(INDEX($X$2:$X$1001,MATCH(ROWS($W$2:W821),$W$2:$W$1001,0),1)&gt;=100000,INDEX($AD$1005:$AU$1005,1,MATCH(COLUMNS($AD$1006:AQ1006),$AD$1006:$AU$1006,0))&gt;=100000), " ",IF(INDEX($AD$2:$AU$1001,MATCH(ROWS($W$2:W821),$W$2:$W$1001,0),MATCH(COLUMNS($AD$1006:AQ1006),$AD$1006:$AU$1006,0)), HYPERLINK("#",""), HYPERLINK(CONCATENATE("#metadata!", ADDRESS(INDEX($Y$2:$Y$1001,MATCH(ROWS($W$2:W821),$W$2:$W$1001,0),0), INDEX($AD$1004:$AU$1004,1,MATCH(COLUMNS($AD$1006:AQ1006),$AD$1006:$AU$1006,0)))),"Fix")))</f>
        <v xml:space="preserve"> </v>
      </c>
      <c r="P821" s="4" t="str">
        <f ca="1">IF(OR(INDEX($X$2:$X$1001,MATCH(ROWS($W$2:W821),$W$2:$W$1001,0),1)&gt;=100000,INDEX($AD$1005:$AU$1005,1,MATCH(COLUMNS($AD$1006:AR1006),$AD$1006:$AU$1006,0))&gt;=100000), " ",IF(INDEX($AD$2:$AU$1001,MATCH(ROWS($W$2:W821),$W$2:$W$1001,0),MATCH(COLUMNS($AD$1006:AR1006),$AD$1006:$AU$1006,0)), HYPERLINK("#",""), HYPERLINK(CONCATENATE("#metadata!", ADDRESS(INDEX($Y$2:$Y$1001,MATCH(ROWS($W$2:W821),$W$2:$W$1001,0),0), INDEX($AD$1004:$AU$1004,1,MATCH(COLUMNS($AD$1006:AR1006),$AD$1006:$AU$1006,0)))),"Fix")))</f>
        <v xml:space="preserve"> </v>
      </c>
      <c r="Q821" s="4" t="str">
        <f ca="1">IF(OR(INDEX($X$2:$X$1001,MATCH(ROWS($W$2:W821),$W$2:$W$1001,0),1)&gt;=100000,INDEX($AD$1005:$AU$1005,1,MATCH(COLUMNS($AD$1006:AS1006),$AD$1006:$AU$1006,0))&gt;=100000), " ",IF(INDEX($AD$2:$AU$1001,MATCH(ROWS($W$2:W821),$W$2:$W$1001,0),MATCH(COLUMNS($AD$1006:AS1006),$AD$1006:$AU$1006,0)), HYPERLINK("#",""), HYPERLINK(CONCATENATE("#metadata!", ADDRESS(INDEX($Y$2:$Y$1001,MATCH(ROWS($W$2:W821),$W$2:$W$1001,0),0), INDEX($AD$1004:$AU$1004,1,MATCH(COLUMNS($AD$1006:AS1006),$AD$1006:$AU$1006,0)))),"Fix")))</f>
        <v xml:space="preserve"> </v>
      </c>
      <c r="R821" s="4" t="str">
        <f ca="1">IF(OR(INDEX($X$2:$X$1001,MATCH(ROWS($W$2:W821),$W$2:$W$1001,0),1)&gt;=100000,INDEX($AD$1005:$AU$1005,1,MATCH(COLUMNS($AD$1006:AT1006),$AD$1006:$AU$1006,0))&gt;=100000), " ",IF(INDEX($AD$2:$AU$1001,MATCH(ROWS($W$2:W821),$W$2:$W$1001,0),MATCH(COLUMNS($AD$1006:AT1006),$AD$1006:$AU$1006,0)), HYPERLINK("#",""), HYPERLINK(CONCATENATE("#metadata!", ADDRESS(INDEX($Y$2:$Y$1001,MATCH(ROWS($W$2:W821),$W$2:$W$1001,0),0), INDEX($AD$1004:$AU$1004,1,MATCH(COLUMNS($AD$1006:AT1006),$AD$1006:$AU$1006,0)))),"Fix")))</f>
        <v xml:space="preserve"> </v>
      </c>
      <c r="S821" s="4" t="str">
        <f ca="1">IF(OR(INDEX($X$2:$X$1001,MATCH(ROWS($W$2:W821),$W$2:$W$1001,0),1)&gt;=100000,INDEX($AD$1005:$AU$1005,1,MATCH(COLUMNS($AD$1006:AU1006),$AD$1006:$AU$1006,0))&gt;=100000), " ",IF(INDEX($AD$2:$AU$1001,MATCH(ROWS($W$2:W821),$W$2:$W$1001,0),MATCH(COLUMNS($AD$1006:AU1006),$AD$1006:$AU$1006,0)), HYPERLINK("#",""), HYPERLINK(CONCATENATE("#metadata!", ADDRESS(INDEX($Y$2:$Y$1001,MATCH(ROWS($W$2:W821),$W$2:$W$1001,0),0), INDEX($AD$1004:$AU$1004,1,MATCH(COLUMNS($AD$1006:AU1006),$AD$1006:$AU$1006,0)))),"Fix")))</f>
        <v xml:space="preserve"> </v>
      </c>
      <c r="W821">
        <v>820</v>
      </c>
      <c r="X821">
        <v>100821</v>
      </c>
      <c r="Y821">
        <v>821</v>
      </c>
      <c r="Z821" t="b">
        <f t="shared" si="12"/>
        <v>1</v>
      </c>
      <c r="AA821" t="b">
        <f>COUNTBLANK(metadata!B821:S821)=COLUMNS(metadata!B821:S821)</f>
        <v>1</v>
      </c>
      <c r="AB821" t="str">
        <v/>
      </c>
      <c r="AD821" t="b">
        <f ca="1">AND(IF(metadata!B821="",FALSE,TRUE),COUNTIF(metadata!B:B, metadata!B821) = 1,NOT(ISERROR(SUMPRODUCT(SEARCH(MID(metadata!B821,ROW(INDIRECT("1:"&amp;LEN(metadata!B821))), 1),"0123456789abcdefghijklmnopqrstuvwxyzABCDEFGHIJKLMNOPQRSTUVWXYZ.")))))</f>
        <v>0</v>
      </c>
      <c r="AE821" t="b">
        <f>OR(AND(IF(metadata!C821="",FALSE,TRUE),OR(EXACT(metadata!C821,"not applicable"),EXACT(metadata!C821,"missing: not collected"),EXACT(metadata!C821,"missing: not provided"),EXACT(metadata!C821,"missing: restricted access"))),AND(IF(metadata!C821="",FALSE,ISNUMBER(VALUE(metadata!C821))),metadata!C821&gt;0))</f>
        <v>0</v>
      </c>
      <c r="AF821" t="b">
        <f>AND(IF(metadata!D821="",FALSE,TRUE),EXACT(metadata!D821,"missing: not provided"))</f>
        <v>0</v>
      </c>
      <c r="AG821" t="b">
        <f>AND(IF(metadata!E821="",FALSE,TRUE),EXACT(metadata!E821,"Host-associated"))</f>
        <v>0</v>
      </c>
      <c r="AH821" t="b">
        <f>AND(IF(metadata!F821="",FALSE,TRUE),OR(EXACT(metadata!F821,"Animal"),EXACT(metadata!F821,"Fungus"),EXACT(metadata!F821,"Plant")))</f>
        <v>0</v>
      </c>
      <c r="AI821" t="b">
        <f>AND(IF(metadata!G821="",FALSE,TRUE),OR(EXACT(metadata!G821,"Plant secretion"),EXACT(metadata!G821,"Plant rhizosphere"),EXACT(metadata!G821,"Plant surface"),EXACT(metadata!G821,"Plant corpus"),EXACT(metadata!G821,"Fungus surface"),EXACT(metadata!G821,"Fungus corpus"),EXACT(metadata!G821,"Animal surface"),EXACT(metadata!G821,"Animal proximal gut"),EXACT(metadata!G821,"Animal corpus"),EXACT(metadata!G821,"Animal distal gut"),EXACT(metadata!G821,"Animal secretion")))</f>
        <v>0</v>
      </c>
      <c r="AJ821" t="b">
        <f>OR(AND(IF(metadata!H821="",FALSE,TRUE),OR(EXACT(metadata!H821,"missing: not collected"),EXACT(metadata!H821,"missing: not provided"),EXACT(metadata!H821,"missing: restricted access"))),AND(IF(metadata!H821="",FALSE,TRUE),OR(EXACT(metadata!H821,"organism-associated habitat"),EXACT(metadata!H821,"plant-associated habitat"),EXACT(metadata!H821,"animal-associated habitat"),EXACT(metadata!H821,"insecta-associated habitat"),EXACT(metadata!H821,"mammalia-associated habitat"),EXACT(metadata!H821,"human-associated habitat"),EXACT(metadata!H821,"livestock-associated habitat"))))</f>
        <v>0</v>
      </c>
      <c r="AK821" t="b">
        <f>AND(IF(metadata!I821="",FALSE,TRUE),EXACT(metadata!I821,"host-associated"))</f>
        <v>0</v>
      </c>
      <c r="AL821" t="b">
        <f>OR(AND(IF(metadata!J821="",FALSE,TRUE),OR(EXACT(metadata!J821,"not applicable"),EXACT(metadata!J821,"missing: not collected"),EXACT(metadata!J821,"missing: not provided"),EXACT(metadata!J821,"missing: restricted access"))),AND(IF(metadata!J821="",FALSE,ISNUMBER(VALUE(metadata!J821))),metadata!J821&gt;0))</f>
        <v>0</v>
      </c>
      <c r="AM821" t="b">
        <f>AND(IF(metadata!K821="",FALSE,TRUE),EXACT(metadata!K821,"missing: not provided"))</f>
        <v>0</v>
      </c>
      <c r="AN821" t="b">
        <f>IF(metadata!L821="",FALSE,TRUE)</f>
        <v>0</v>
      </c>
      <c r="AO821" t="b">
        <f>IF(metadata!M821="",FALSE,TRUE)</f>
        <v>0</v>
      </c>
      <c r="AP821" t="b">
        <f>OR(AND(IF(metadata!N821="",FALSE,TRUE),OR(EXACT(metadata!N821,"not applicable"),EXACT(metadata!N821,"missing: not collected"),EXACT(metadata!N821,"missing: not provided"))),AND(IF(metadata!N821="",FALSE,IF(ISERROR(INT(metadata!N821)),FALSE,INT(metadata!N821)=metadata!N821)),metadata!N821&gt;0))</f>
        <v>0</v>
      </c>
      <c r="AQ821" t="b">
        <f>AND(IF(metadata!O821="",FALSE,TRUE),EXACT(metadata!O821,"Not applicable"))</f>
        <v>0</v>
      </c>
      <c r="AR821" t="b">
        <f>OR(AND(IF(metadata!P821="",FALSE,TRUE),OR(EXACT(metadata!P821,"not applicable"),EXACT(metadata!P821,"missing: not collected"),EXACT(metadata!P821,"missing: not provided"),EXACT(metadata!P821,"missing: restricted access"))),IF(metadata!P821="",FALSE,IF(ISERROR(INT(metadata!P821)),FALSE,INT(metadata!P821)=metadata!P821)))</f>
        <v>0</v>
      </c>
      <c r="AS821" t="b">
        <f>AND(IF(metadata!Q821="",FALSE,TRUE),EXACT(metadata!Q821,"Not applicable"))</f>
        <v>0</v>
      </c>
      <c r="AT821" t="b">
        <f>OR(AND(IF(metadata!R821="",FALSE,TRUE),OR(EXACT(metadata!R821,"not applicable"),EXACT(metadata!R821,"missing: not collected"),EXACT(metadata!R821,"missing: not provided"),EXACT(metadata!R821,"missing: restricted access"))),AND(IF(metadata!R821="",FALSE,ISNUMBER(VALUE(metadata!R821))),metadata!R821&gt;0))</f>
        <v>0</v>
      </c>
      <c r="AU821" t="b">
        <f>AND(IF(metadata!S821="",FALSE,TRUE),EXACT(metadata!S821,"missing: not provided"))</f>
        <v>0</v>
      </c>
    </row>
    <row r="822" spans="1:47" x14ac:dyDescent="0.2">
      <c r="A822" s="5" t="str">
        <f ca="1">IF(B822=" "," ",HYPERLINK(CONCATENATE("#metadata!",ADDRESS(INDEX($Y$2:$Y$1001,MATCH(ROWS($W$2:W822),$W$2:$W$1001,0),0),1)),INDEX($AB$2:$AB$1001,MATCH(ROWS($W$2:W822),$W$2:$W$1001,0),0)))</f>
        <v xml:space="preserve"> </v>
      </c>
      <c r="B822" s="4" t="str">
        <f ca="1">IF(OR(INDEX($X$2:$X$1001,MATCH(ROWS($W$2:W822),$W$2:$W$1001,0),1)&gt;=100000,INDEX($AD$1005:$AU$1005,1,MATCH(COLUMNS($AD$1006:AD1006),$AD$1006:$AU$1006,0))&gt;=100000), " ",IF(INDEX($AD$2:$AU$1001,MATCH(ROWS($W$2:W822),$W$2:$W$1001,0),MATCH(COLUMNS($AD$1006:AD1006),$AD$1006:$AU$1006,0)), HYPERLINK("#",""), HYPERLINK(CONCATENATE("#metadata!", ADDRESS(INDEX($Y$2:$Y$1001,MATCH(ROWS($W$2:W822),$W$2:$W$1001,0),0), INDEX($AD$1004:$AU$1004,1,MATCH(COLUMNS($AD$1006:AD1006),$AD$1006:$AU$1006,0)))),"Fix")))</f>
        <v xml:space="preserve"> </v>
      </c>
      <c r="C822" s="4" t="str">
        <f ca="1">IF(OR(INDEX($X$2:$X$1001,MATCH(ROWS($W$2:W822),$W$2:$W$1001,0),1)&gt;=100000,INDEX($AD$1005:$AU$1005,1,MATCH(COLUMNS($AD$1006:AE1006),$AD$1006:$AU$1006,0))&gt;=100000), " ",IF(INDEX($AD$2:$AU$1001,MATCH(ROWS($W$2:W822),$W$2:$W$1001,0),MATCH(COLUMNS($AD$1006:AE1006),$AD$1006:$AU$1006,0)), HYPERLINK("#",""), HYPERLINK(CONCATENATE("#metadata!", ADDRESS(INDEX($Y$2:$Y$1001,MATCH(ROWS($W$2:W822),$W$2:$W$1001,0),0), INDEX($AD$1004:$AU$1004,1,MATCH(COLUMNS($AD$1006:AE1006),$AD$1006:$AU$1006,0)))),"Fix")))</f>
        <v xml:space="preserve"> </v>
      </c>
      <c r="D822" s="4" t="str">
        <f ca="1">IF(OR(INDEX($X$2:$X$1001,MATCH(ROWS($W$2:W822),$W$2:$W$1001,0),1)&gt;=100000,INDEX($AD$1005:$AU$1005,1,MATCH(COLUMNS($AD$1006:AF1006),$AD$1006:$AU$1006,0))&gt;=100000), " ",IF(INDEX($AD$2:$AU$1001,MATCH(ROWS($W$2:W822),$W$2:$W$1001,0),MATCH(COLUMNS($AD$1006:AF1006),$AD$1006:$AU$1006,0)), HYPERLINK("#",""), HYPERLINK(CONCATENATE("#metadata!", ADDRESS(INDEX($Y$2:$Y$1001,MATCH(ROWS($W$2:W822),$W$2:$W$1001,0),0), INDEX($AD$1004:$AU$1004,1,MATCH(COLUMNS($AD$1006:AF1006),$AD$1006:$AU$1006,0)))),"Fix")))</f>
        <v xml:space="preserve"> </v>
      </c>
      <c r="E822" s="4" t="str">
        <f ca="1">IF(OR(INDEX($X$2:$X$1001,MATCH(ROWS($W$2:W822),$W$2:$W$1001,0),1)&gt;=100000,INDEX($AD$1005:$AU$1005,1,MATCH(COLUMNS($AD$1006:AG1006),$AD$1006:$AU$1006,0))&gt;=100000), " ",IF(INDEX($AD$2:$AU$1001,MATCH(ROWS($W$2:W822),$W$2:$W$1001,0),MATCH(COLUMNS($AD$1006:AG1006),$AD$1006:$AU$1006,0)), HYPERLINK("#",""), HYPERLINK(CONCATENATE("#metadata!", ADDRESS(INDEX($Y$2:$Y$1001,MATCH(ROWS($W$2:W822),$W$2:$W$1001,0),0), INDEX($AD$1004:$AU$1004,1,MATCH(COLUMNS($AD$1006:AG1006),$AD$1006:$AU$1006,0)))),"Fix")))</f>
        <v xml:space="preserve"> </v>
      </c>
      <c r="F822" s="4" t="str">
        <f ca="1">IF(OR(INDEX($X$2:$X$1001,MATCH(ROWS($W$2:W822),$W$2:$W$1001,0),1)&gt;=100000,INDEX($AD$1005:$AU$1005,1,MATCH(COLUMNS($AD$1006:AH1006),$AD$1006:$AU$1006,0))&gt;=100000), " ",IF(INDEX($AD$2:$AU$1001,MATCH(ROWS($W$2:W822),$W$2:$W$1001,0),MATCH(COLUMNS($AD$1006:AH1006),$AD$1006:$AU$1006,0)), HYPERLINK("#",""), HYPERLINK(CONCATENATE("#metadata!", ADDRESS(INDEX($Y$2:$Y$1001,MATCH(ROWS($W$2:W822),$W$2:$W$1001,0),0), INDEX($AD$1004:$AU$1004,1,MATCH(COLUMNS($AD$1006:AH1006),$AD$1006:$AU$1006,0)))),"Fix")))</f>
        <v xml:space="preserve"> </v>
      </c>
      <c r="G822" s="4" t="str">
        <f ca="1">IF(OR(INDEX($X$2:$X$1001,MATCH(ROWS($W$2:W822),$W$2:$W$1001,0),1)&gt;=100000,INDEX($AD$1005:$AU$1005,1,MATCH(COLUMNS($AD$1006:AI1006),$AD$1006:$AU$1006,0))&gt;=100000), " ",IF(INDEX($AD$2:$AU$1001,MATCH(ROWS($W$2:W822),$W$2:$W$1001,0),MATCH(COLUMNS($AD$1006:AI1006),$AD$1006:$AU$1006,0)), HYPERLINK("#",""), HYPERLINK(CONCATENATE("#metadata!", ADDRESS(INDEX($Y$2:$Y$1001,MATCH(ROWS($W$2:W822),$W$2:$W$1001,0),0), INDEX($AD$1004:$AU$1004,1,MATCH(COLUMNS($AD$1006:AI1006),$AD$1006:$AU$1006,0)))),"Fix")))</f>
        <v xml:space="preserve"> </v>
      </c>
      <c r="H822" s="4" t="str">
        <f ca="1">IF(OR(INDEX($X$2:$X$1001,MATCH(ROWS($W$2:W822),$W$2:$W$1001,0),1)&gt;=100000,INDEX($AD$1005:$AU$1005,1,MATCH(COLUMNS($AD$1006:AJ1006),$AD$1006:$AU$1006,0))&gt;=100000), " ",IF(INDEX($AD$2:$AU$1001,MATCH(ROWS($W$2:W822),$W$2:$W$1001,0),MATCH(COLUMNS($AD$1006:AJ1006),$AD$1006:$AU$1006,0)), HYPERLINK("#",""), HYPERLINK(CONCATENATE("#metadata!", ADDRESS(INDEX($Y$2:$Y$1001,MATCH(ROWS($W$2:W822),$W$2:$W$1001,0),0), INDEX($AD$1004:$AU$1004,1,MATCH(COLUMNS($AD$1006:AJ1006),$AD$1006:$AU$1006,0)))),"Fix")))</f>
        <v xml:space="preserve"> </v>
      </c>
      <c r="I822" s="4" t="str">
        <f ca="1">IF(OR(INDEX($X$2:$X$1001,MATCH(ROWS($W$2:W822),$W$2:$W$1001,0),1)&gt;=100000,INDEX($AD$1005:$AU$1005,1,MATCH(COLUMNS($AD$1006:AK1006),$AD$1006:$AU$1006,0))&gt;=100000), " ",IF(INDEX($AD$2:$AU$1001,MATCH(ROWS($W$2:W822),$W$2:$W$1001,0),MATCH(COLUMNS($AD$1006:AK1006),$AD$1006:$AU$1006,0)), HYPERLINK("#",""), HYPERLINK(CONCATENATE("#metadata!", ADDRESS(INDEX($Y$2:$Y$1001,MATCH(ROWS($W$2:W822),$W$2:$W$1001,0),0), INDEX($AD$1004:$AU$1004,1,MATCH(COLUMNS($AD$1006:AK1006),$AD$1006:$AU$1006,0)))),"Fix")))</f>
        <v xml:space="preserve"> </v>
      </c>
      <c r="J822" s="4" t="str">
        <f ca="1">IF(OR(INDEX($X$2:$X$1001,MATCH(ROWS($W$2:W822),$W$2:$W$1001,0),1)&gt;=100000,INDEX($AD$1005:$AU$1005,1,MATCH(COLUMNS($AD$1006:AL1006),$AD$1006:$AU$1006,0))&gt;=100000), " ",IF(INDEX($AD$2:$AU$1001,MATCH(ROWS($W$2:W822),$W$2:$W$1001,0),MATCH(COLUMNS($AD$1006:AL1006),$AD$1006:$AU$1006,0)), HYPERLINK("#",""), HYPERLINK(CONCATENATE("#metadata!", ADDRESS(INDEX($Y$2:$Y$1001,MATCH(ROWS($W$2:W822),$W$2:$W$1001,0),0), INDEX($AD$1004:$AU$1004,1,MATCH(COLUMNS($AD$1006:AL1006),$AD$1006:$AU$1006,0)))),"Fix")))</f>
        <v xml:space="preserve"> </v>
      </c>
      <c r="K822" s="4" t="str">
        <f ca="1">IF(OR(INDEX($X$2:$X$1001,MATCH(ROWS($W$2:W822),$W$2:$W$1001,0),1)&gt;=100000,INDEX($AD$1005:$AU$1005,1,MATCH(COLUMNS($AD$1006:AM1006),$AD$1006:$AU$1006,0))&gt;=100000), " ",IF(INDEX($AD$2:$AU$1001,MATCH(ROWS($W$2:W822),$W$2:$W$1001,0),MATCH(COLUMNS($AD$1006:AM1006),$AD$1006:$AU$1006,0)), HYPERLINK("#",""), HYPERLINK(CONCATENATE("#metadata!", ADDRESS(INDEX($Y$2:$Y$1001,MATCH(ROWS($W$2:W822),$W$2:$W$1001,0),0), INDEX($AD$1004:$AU$1004,1,MATCH(COLUMNS($AD$1006:AM1006),$AD$1006:$AU$1006,0)))),"Fix")))</f>
        <v xml:space="preserve"> </v>
      </c>
      <c r="L822" s="4" t="str">
        <f ca="1">IF(OR(INDEX($X$2:$X$1001,MATCH(ROWS($W$2:W822),$W$2:$W$1001,0),1)&gt;=100000,INDEX($AD$1005:$AU$1005,1,MATCH(COLUMNS($AD$1006:AN1006),$AD$1006:$AU$1006,0))&gt;=100000), " ",IF(INDEX($AD$2:$AU$1001,MATCH(ROWS($W$2:W822),$W$2:$W$1001,0),MATCH(COLUMNS($AD$1006:AN1006),$AD$1006:$AU$1006,0)), HYPERLINK("#",""), HYPERLINK(CONCATENATE("#metadata!", ADDRESS(INDEX($Y$2:$Y$1001,MATCH(ROWS($W$2:W822),$W$2:$W$1001,0),0), INDEX($AD$1004:$AU$1004,1,MATCH(COLUMNS($AD$1006:AN1006),$AD$1006:$AU$1006,0)))),"Fix")))</f>
        <v xml:space="preserve"> </v>
      </c>
      <c r="M822" s="4" t="str">
        <f ca="1">IF(OR(INDEX($X$2:$X$1001,MATCH(ROWS($W$2:W822),$W$2:$W$1001,0),1)&gt;=100000,INDEX($AD$1005:$AU$1005,1,MATCH(COLUMNS($AD$1006:AO1006),$AD$1006:$AU$1006,0))&gt;=100000), " ",IF(INDEX($AD$2:$AU$1001,MATCH(ROWS($W$2:W822),$W$2:$W$1001,0),MATCH(COLUMNS($AD$1006:AO1006),$AD$1006:$AU$1006,0)), HYPERLINK("#",""), HYPERLINK(CONCATENATE("#metadata!", ADDRESS(INDEX($Y$2:$Y$1001,MATCH(ROWS($W$2:W822),$W$2:$W$1001,0),0), INDEX($AD$1004:$AU$1004,1,MATCH(COLUMNS($AD$1006:AO1006),$AD$1006:$AU$1006,0)))),"Fix")))</f>
        <v xml:space="preserve"> </v>
      </c>
      <c r="N822" s="4" t="str">
        <f ca="1">IF(OR(INDEX($X$2:$X$1001,MATCH(ROWS($W$2:W822),$W$2:$W$1001,0),1)&gt;=100000,INDEX($AD$1005:$AU$1005,1,MATCH(COLUMNS($AD$1006:AP1006),$AD$1006:$AU$1006,0))&gt;=100000), " ",IF(INDEX($AD$2:$AU$1001,MATCH(ROWS($W$2:W822),$W$2:$W$1001,0),MATCH(COLUMNS($AD$1006:AP1006),$AD$1006:$AU$1006,0)), HYPERLINK("#",""), HYPERLINK(CONCATENATE("#metadata!", ADDRESS(INDEX($Y$2:$Y$1001,MATCH(ROWS($W$2:W822),$W$2:$W$1001,0),0), INDEX($AD$1004:$AU$1004,1,MATCH(COLUMNS($AD$1006:AP1006),$AD$1006:$AU$1006,0)))),"Fix")))</f>
        <v xml:space="preserve"> </v>
      </c>
      <c r="O822" s="4" t="str">
        <f ca="1">IF(OR(INDEX($X$2:$X$1001,MATCH(ROWS($W$2:W822),$W$2:$W$1001,0),1)&gt;=100000,INDEX($AD$1005:$AU$1005,1,MATCH(COLUMNS($AD$1006:AQ1006),$AD$1006:$AU$1006,0))&gt;=100000), " ",IF(INDEX($AD$2:$AU$1001,MATCH(ROWS($W$2:W822),$W$2:$W$1001,0),MATCH(COLUMNS($AD$1006:AQ1006),$AD$1006:$AU$1006,0)), HYPERLINK("#",""), HYPERLINK(CONCATENATE("#metadata!", ADDRESS(INDEX($Y$2:$Y$1001,MATCH(ROWS($W$2:W822),$W$2:$W$1001,0),0), INDEX($AD$1004:$AU$1004,1,MATCH(COLUMNS($AD$1006:AQ1006),$AD$1006:$AU$1006,0)))),"Fix")))</f>
        <v xml:space="preserve"> </v>
      </c>
      <c r="P822" s="4" t="str">
        <f ca="1">IF(OR(INDEX($X$2:$X$1001,MATCH(ROWS($W$2:W822),$W$2:$W$1001,0),1)&gt;=100000,INDEX($AD$1005:$AU$1005,1,MATCH(COLUMNS($AD$1006:AR1006),$AD$1006:$AU$1006,0))&gt;=100000), " ",IF(INDEX($AD$2:$AU$1001,MATCH(ROWS($W$2:W822),$W$2:$W$1001,0),MATCH(COLUMNS($AD$1006:AR1006),$AD$1006:$AU$1006,0)), HYPERLINK("#",""), HYPERLINK(CONCATENATE("#metadata!", ADDRESS(INDEX($Y$2:$Y$1001,MATCH(ROWS($W$2:W822),$W$2:$W$1001,0),0), INDEX($AD$1004:$AU$1004,1,MATCH(COLUMNS($AD$1006:AR1006),$AD$1006:$AU$1006,0)))),"Fix")))</f>
        <v xml:space="preserve"> </v>
      </c>
      <c r="Q822" s="4" t="str">
        <f ca="1">IF(OR(INDEX($X$2:$X$1001,MATCH(ROWS($W$2:W822),$W$2:$W$1001,0),1)&gt;=100000,INDEX($AD$1005:$AU$1005,1,MATCH(COLUMNS($AD$1006:AS1006),$AD$1006:$AU$1006,0))&gt;=100000), " ",IF(INDEX($AD$2:$AU$1001,MATCH(ROWS($W$2:W822),$W$2:$W$1001,0),MATCH(COLUMNS($AD$1006:AS1006),$AD$1006:$AU$1006,0)), HYPERLINK("#",""), HYPERLINK(CONCATENATE("#metadata!", ADDRESS(INDEX($Y$2:$Y$1001,MATCH(ROWS($W$2:W822),$W$2:$W$1001,0),0), INDEX($AD$1004:$AU$1004,1,MATCH(COLUMNS($AD$1006:AS1006),$AD$1006:$AU$1006,0)))),"Fix")))</f>
        <v xml:space="preserve"> </v>
      </c>
      <c r="R822" s="4" t="str">
        <f ca="1">IF(OR(INDEX($X$2:$X$1001,MATCH(ROWS($W$2:W822),$W$2:$W$1001,0),1)&gt;=100000,INDEX($AD$1005:$AU$1005,1,MATCH(COLUMNS($AD$1006:AT1006),$AD$1006:$AU$1006,0))&gt;=100000), " ",IF(INDEX($AD$2:$AU$1001,MATCH(ROWS($W$2:W822),$W$2:$W$1001,0),MATCH(COLUMNS($AD$1006:AT1006),$AD$1006:$AU$1006,0)), HYPERLINK("#",""), HYPERLINK(CONCATENATE("#metadata!", ADDRESS(INDEX($Y$2:$Y$1001,MATCH(ROWS($W$2:W822),$W$2:$W$1001,0),0), INDEX($AD$1004:$AU$1004,1,MATCH(COLUMNS($AD$1006:AT1006),$AD$1006:$AU$1006,0)))),"Fix")))</f>
        <v xml:space="preserve"> </v>
      </c>
      <c r="S822" s="4" t="str">
        <f ca="1">IF(OR(INDEX($X$2:$X$1001,MATCH(ROWS($W$2:W822),$W$2:$W$1001,0),1)&gt;=100000,INDEX($AD$1005:$AU$1005,1,MATCH(COLUMNS($AD$1006:AU1006),$AD$1006:$AU$1006,0))&gt;=100000), " ",IF(INDEX($AD$2:$AU$1001,MATCH(ROWS($W$2:W822),$W$2:$W$1001,0),MATCH(COLUMNS($AD$1006:AU1006),$AD$1006:$AU$1006,0)), HYPERLINK("#",""), HYPERLINK(CONCATENATE("#metadata!", ADDRESS(INDEX($Y$2:$Y$1001,MATCH(ROWS($W$2:W822),$W$2:$W$1001,0),0), INDEX($AD$1004:$AU$1004,1,MATCH(COLUMNS($AD$1006:AU1006),$AD$1006:$AU$1006,0)))),"Fix")))</f>
        <v xml:space="preserve"> </v>
      </c>
      <c r="W822">
        <v>821</v>
      </c>
      <c r="X822">
        <v>100822</v>
      </c>
      <c r="Y822">
        <v>822</v>
      </c>
      <c r="Z822" t="b">
        <f t="shared" si="12"/>
        <v>1</v>
      </c>
      <c r="AA822" t="b">
        <f>COUNTBLANK(metadata!B822:S822)=COLUMNS(metadata!B822:S822)</f>
        <v>1</v>
      </c>
      <c r="AB822" t="str">
        <v/>
      </c>
      <c r="AD822" t="b">
        <f ca="1">AND(IF(metadata!B822="",FALSE,TRUE),COUNTIF(metadata!B:B, metadata!B822) = 1,NOT(ISERROR(SUMPRODUCT(SEARCH(MID(metadata!B822,ROW(INDIRECT("1:"&amp;LEN(metadata!B822))), 1),"0123456789abcdefghijklmnopqrstuvwxyzABCDEFGHIJKLMNOPQRSTUVWXYZ.")))))</f>
        <v>0</v>
      </c>
      <c r="AE822" t="b">
        <f>OR(AND(IF(metadata!C822="",FALSE,TRUE),OR(EXACT(metadata!C822,"not applicable"),EXACT(metadata!C822,"missing: not collected"),EXACT(metadata!C822,"missing: not provided"),EXACT(metadata!C822,"missing: restricted access"))),AND(IF(metadata!C822="",FALSE,ISNUMBER(VALUE(metadata!C822))),metadata!C822&gt;0))</f>
        <v>0</v>
      </c>
      <c r="AF822" t="b">
        <f>AND(IF(metadata!D822="",FALSE,TRUE),EXACT(metadata!D822,"missing: not provided"))</f>
        <v>0</v>
      </c>
      <c r="AG822" t="b">
        <f>AND(IF(metadata!E822="",FALSE,TRUE),EXACT(metadata!E822,"Host-associated"))</f>
        <v>0</v>
      </c>
      <c r="AH822" t="b">
        <f>AND(IF(metadata!F822="",FALSE,TRUE),OR(EXACT(metadata!F822,"Animal"),EXACT(metadata!F822,"Fungus"),EXACT(metadata!F822,"Plant")))</f>
        <v>0</v>
      </c>
      <c r="AI822" t="b">
        <f>AND(IF(metadata!G822="",FALSE,TRUE),OR(EXACT(metadata!G822,"Plant secretion"),EXACT(metadata!G822,"Plant rhizosphere"),EXACT(metadata!G822,"Plant surface"),EXACT(metadata!G822,"Plant corpus"),EXACT(metadata!G822,"Fungus surface"),EXACT(metadata!G822,"Fungus corpus"),EXACT(metadata!G822,"Animal surface"),EXACT(metadata!G822,"Animal proximal gut"),EXACT(metadata!G822,"Animal corpus"),EXACT(metadata!G822,"Animal distal gut"),EXACT(metadata!G822,"Animal secretion")))</f>
        <v>0</v>
      </c>
      <c r="AJ822" t="b">
        <f>OR(AND(IF(metadata!H822="",FALSE,TRUE),OR(EXACT(metadata!H822,"missing: not collected"),EXACT(metadata!H822,"missing: not provided"),EXACT(metadata!H822,"missing: restricted access"))),AND(IF(metadata!H822="",FALSE,TRUE),OR(EXACT(metadata!H822,"organism-associated habitat"),EXACT(metadata!H822,"plant-associated habitat"),EXACT(metadata!H822,"animal-associated habitat"),EXACT(metadata!H822,"insecta-associated habitat"),EXACT(metadata!H822,"mammalia-associated habitat"),EXACT(metadata!H822,"human-associated habitat"),EXACT(metadata!H822,"livestock-associated habitat"))))</f>
        <v>0</v>
      </c>
      <c r="AK822" t="b">
        <f>AND(IF(metadata!I822="",FALSE,TRUE),EXACT(metadata!I822,"host-associated"))</f>
        <v>0</v>
      </c>
      <c r="AL822" t="b">
        <f>OR(AND(IF(metadata!J822="",FALSE,TRUE),OR(EXACT(metadata!J822,"not applicable"),EXACT(metadata!J822,"missing: not collected"),EXACT(metadata!J822,"missing: not provided"),EXACT(metadata!J822,"missing: restricted access"))),AND(IF(metadata!J822="",FALSE,ISNUMBER(VALUE(metadata!J822))),metadata!J822&gt;0))</f>
        <v>0</v>
      </c>
      <c r="AM822" t="b">
        <f>AND(IF(metadata!K822="",FALSE,TRUE),EXACT(metadata!K822,"missing: not provided"))</f>
        <v>0</v>
      </c>
      <c r="AN822" t="b">
        <f>IF(metadata!L822="",FALSE,TRUE)</f>
        <v>0</v>
      </c>
      <c r="AO822" t="b">
        <f>IF(metadata!M822="",FALSE,TRUE)</f>
        <v>0</v>
      </c>
      <c r="AP822" t="b">
        <f>OR(AND(IF(metadata!N822="",FALSE,TRUE),OR(EXACT(metadata!N822,"not applicable"),EXACT(metadata!N822,"missing: not collected"),EXACT(metadata!N822,"missing: not provided"))),AND(IF(metadata!N822="",FALSE,IF(ISERROR(INT(metadata!N822)),FALSE,INT(metadata!N822)=metadata!N822)),metadata!N822&gt;0))</f>
        <v>0</v>
      </c>
      <c r="AQ822" t="b">
        <f>AND(IF(metadata!O822="",FALSE,TRUE),EXACT(metadata!O822,"Not applicable"))</f>
        <v>0</v>
      </c>
      <c r="AR822" t="b">
        <f>OR(AND(IF(metadata!P822="",FALSE,TRUE),OR(EXACT(metadata!P822,"not applicable"),EXACT(metadata!P822,"missing: not collected"),EXACT(metadata!P822,"missing: not provided"),EXACT(metadata!P822,"missing: restricted access"))),IF(metadata!P822="",FALSE,IF(ISERROR(INT(metadata!P822)),FALSE,INT(metadata!P822)=metadata!P822)))</f>
        <v>0</v>
      </c>
      <c r="AS822" t="b">
        <f>AND(IF(metadata!Q822="",FALSE,TRUE),EXACT(metadata!Q822,"Not applicable"))</f>
        <v>0</v>
      </c>
      <c r="AT822" t="b">
        <f>OR(AND(IF(metadata!R822="",FALSE,TRUE),OR(EXACT(metadata!R822,"not applicable"),EXACT(metadata!R822,"missing: not collected"),EXACT(metadata!R822,"missing: not provided"),EXACT(metadata!R822,"missing: restricted access"))),AND(IF(metadata!R822="",FALSE,ISNUMBER(VALUE(metadata!R822))),metadata!R822&gt;0))</f>
        <v>0</v>
      </c>
      <c r="AU822" t="b">
        <f>AND(IF(metadata!S822="",FALSE,TRUE),EXACT(metadata!S822,"missing: not provided"))</f>
        <v>0</v>
      </c>
    </row>
    <row r="823" spans="1:47" x14ac:dyDescent="0.2">
      <c r="A823" s="5" t="str">
        <f ca="1">IF(B823=" "," ",HYPERLINK(CONCATENATE("#metadata!",ADDRESS(INDEX($Y$2:$Y$1001,MATCH(ROWS($W$2:W823),$W$2:$W$1001,0),0),1)),INDEX($AB$2:$AB$1001,MATCH(ROWS($W$2:W823),$W$2:$W$1001,0),0)))</f>
        <v xml:space="preserve"> </v>
      </c>
      <c r="B823" s="4" t="str">
        <f ca="1">IF(OR(INDEX($X$2:$X$1001,MATCH(ROWS($W$2:W823),$W$2:$W$1001,0),1)&gt;=100000,INDEX($AD$1005:$AU$1005,1,MATCH(COLUMNS($AD$1006:AD1006),$AD$1006:$AU$1006,0))&gt;=100000), " ",IF(INDEX($AD$2:$AU$1001,MATCH(ROWS($W$2:W823),$W$2:$W$1001,0),MATCH(COLUMNS($AD$1006:AD1006),$AD$1006:$AU$1006,0)), HYPERLINK("#",""), HYPERLINK(CONCATENATE("#metadata!", ADDRESS(INDEX($Y$2:$Y$1001,MATCH(ROWS($W$2:W823),$W$2:$W$1001,0),0), INDEX($AD$1004:$AU$1004,1,MATCH(COLUMNS($AD$1006:AD1006),$AD$1006:$AU$1006,0)))),"Fix")))</f>
        <v xml:space="preserve"> </v>
      </c>
      <c r="C823" s="4" t="str">
        <f ca="1">IF(OR(INDEX($X$2:$X$1001,MATCH(ROWS($W$2:W823),$W$2:$W$1001,0),1)&gt;=100000,INDEX($AD$1005:$AU$1005,1,MATCH(COLUMNS($AD$1006:AE1006),$AD$1006:$AU$1006,0))&gt;=100000), " ",IF(INDEX($AD$2:$AU$1001,MATCH(ROWS($W$2:W823),$W$2:$W$1001,0),MATCH(COLUMNS($AD$1006:AE1006),$AD$1006:$AU$1006,0)), HYPERLINK("#",""), HYPERLINK(CONCATENATE("#metadata!", ADDRESS(INDEX($Y$2:$Y$1001,MATCH(ROWS($W$2:W823),$W$2:$W$1001,0),0), INDEX($AD$1004:$AU$1004,1,MATCH(COLUMNS($AD$1006:AE1006),$AD$1006:$AU$1006,0)))),"Fix")))</f>
        <v xml:space="preserve"> </v>
      </c>
      <c r="D823" s="4" t="str">
        <f ca="1">IF(OR(INDEX($X$2:$X$1001,MATCH(ROWS($W$2:W823),$W$2:$W$1001,0),1)&gt;=100000,INDEX($AD$1005:$AU$1005,1,MATCH(COLUMNS($AD$1006:AF1006),$AD$1006:$AU$1006,0))&gt;=100000), " ",IF(INDEX($AD$2:$AU$1001,MATCH(ROWS($W$2:W823),$W$2:$W$1001,0),MATCH(COLUMNS($AD$1006:AF1006),$AD$1006:$AU$1006,0)), HYPERLINK("#",""), HYPERLINK(CONCATENATE("#metadata!", ADDRESS(INDEX($Y$2:$Y$1001,MATCH(ROWS($W$2:W823),$W$2:$W$1001,0),0), INDEX($AD$1004:$AU$1004,1,MATCH(COLUMNS($AD$1006:AF1006),$AD$1006:$AU$1006,0)))),"Fix")))</f>
        <v xml:space="preserve"> </v>
      </c>
      <c r="E823" s="4" t="str">
        <f ca="1">IF(OR(INDEX($X$2:$X$1001,MATCH(ROWS($W$2:W823),$W$2:$W$1001,0),1)&gt;=100000,INDEX($AD$1005:$AU$1005,1,MATCH(COLUMNS($AD$1006:AG1006),$AD$1006:$AU$1006,0))&gt;=100000), " ",IF(INDEX($AD$2:$AU$1001,MATCH(ROWS($W$2:W823),$W$2:$W$1001,0),MATCH(COLUMNS($AD$1006:AG1006),$AD$1006:$AU$1006,0)), HYPERLINK("#",""), HYPERLINK(CONCATENATE("#metadata!", ADDRESS(INDEX($Y$2:$Y$1001,MATCH(ROWS($W$2:W823),$W$2:$W$1001,0),0), INDEX($AD$1004:$AU$1004,1,MATCH(COLUMNS($AD$1006:AG1006),$AD$1006:$AU$1006,0)))),"Fix")))</f>
        <v xml:space="preserve"> </v>
      </c>
      <c r="F823" s="4" t="str">
        <f ca="1">IF(OR(INDEX($X$2:$X$1001,MATCH(ROWS($W$2:W823),$W$2:$W$1001,0),1)&gt;=100000,INDEX($AD$1005:$AU$1005,1,MATCH(COLUMNS($AD$1006:AH1006),$AD$1006:$AU$1006,0))&gt;=100000), " ",IF(INDEX($AD$2:$AU$1001,MATCH(ROWS($W$2:W823),$W$2:$W$1001,0),MATCH(COLUMNS($AD$1006:AH1006),$AD$1006:$AU$1006,0)), HYPERLINK("#",""), HYPERLINK(CONCATENATE("#metadata!", ADDRESS(INDEX($Y$2:$Y$1001,MATCH(ROWS($W$2:W823),$W$2:$W$1001,0),0), INDEX($AD$1004:$AU$1004,1,MATCH(COLUMNS($AD$1006:AH1006),$AD$1006:$AU$1006,0)))),"Fix")))</f>
        <v xml:space="preserve"> </v>
      </c>
      <c r="G823" s="4" t="str">
        <f ca="1">IF(OR(INDEX($X$2:$X$1001,MATCH(ROWS($W$2:W823),$W$2:$W$1001,0),1)&gt;=100000,INDEX($AD$1005:$AU$1005,1,MATCH(COLUMNS($AD$1006:AI1006),$AD$1006:$AU$1006,0))&gt;=100000), " ",IF(INDEX($AD$2:$AU$1001,MATCH(ROWS($W$2:W823),$W$2:$W$1001,0),MATCH(COLUMNS($AD$1006:AI1006),$AD$1006:$AU$1006,0)), HYPERLINK("#",""), HYPERLINK(CONCATENATE("#metadata!", ADDRESS(INDEX($Y$2:$Y$1001,MATCH(ROWS($W$2:W823),$W$2:$W$1001,0),0), INDEX($AD$1004:$AU$1004,1,MATCH(COLUMNS($AD$1006:AI1006),$AD$1006:$AU$1006,0)))),"Fix")))</f>
        <v xml:space="preserve"> </v>
      </c>
      <c r="H823" s="4" t="str">
        <f ca="1">IF(OR(INDEX($X$2:$X$1001,MATCH(ROWS($W$2:W823),$W$2:$W$1001,0),1)&gt;=100000,INDEX($AD$1005:$AU$1005,1,MATCH(COLUMNS($AD$1006:AJ1006),$AD$1006:$AU$1006,0))&gt;=100000), " ",IF(INDEX($AD$2:$AU$1001,MATCH(ROWS($W$2:W823),$W$2:$W$1001,0),MATCH(COLUMNS($AD$1006:AJ1006),$AD$1006:$AU$1006,0)), HYPERLINK("#",""), HYPERLINK(CONCATENATE("#metadata!", ADDRESS(INDEX($Y$2:$Y$1001,MATCH(ROWS($W$2:W823),$W$2:$W$1001,0),0), INDEX($AD$1004:$AU$1004,1,MATCH(COLUMNS($AD$1006:AJ1006),$AD$1006:$AU$1006,0)))),"Fix")))</f>
        <v xml:space="preserve"> </v>
      </c>
      <c r="I823" s="4" t="str">
        <f ca="1">IF(OR(INDEX($X$2:$X$1001,MATCH(ROWS($W$2:W823),$W$2:$W$1001,0),1)&gt;=100000,INDEX($AD$1005:$AU$1005,1,MATCH(COLUMNS($AD$1006:AK1006),$AD$1006:$AU$1006,0))&gt;=100000), " ",IF(INDEX($AD$2:$AU$1001,MATCH(ROWS($W$2:W823),$W$2:$W$1001,0),MATCH(COLUMNS($AD$1006:AK1006),$AD$1006:$AU$1006,0)), HYPERLINK("#",""), HYPERLINK(CONCATENATE("#metadata!", ADDRESS(INDEX($Y$2:$Y$1001,MATCH(ROWS($W$2:W823),$W$2:$W$1001,0),0), INDEX($AD$1004:$AU$1004,1,MATCH(COLUMNS($AD$1006:AK1006),$AD$1006:$AU$1006,0)))),"Fix")))</f>
        <v xml:space="preserve"> </v>
      </c>
      <c r="J823" s="4" t="str">
        <f ca="1">IF(OR(INDEX($X$2:$X$1001,MATCH(ROWS($W$2:W823),$W$2:$W$1001,0),1)&gt;=100000,INDEX($AD$1005:$AU$1005,1,MATCH(COLUMNS($AD$1006:AL1006),$AD$1006:$AU$1006,0))&gt;=100000), " ",IF(INDEX($AD$2:$AU$1001,MATCH(ROWS($W$2:W823),$W$2:$W$1001,0),MATCH(COLUMNS($AD$1006:AL1006),$AD$1006:$AU$1006,0)), HYPERLINK("#",""), HYPERLINK(CONCATENATE("#metadata!", ADDRESS(INDEX($Y$2:$Y$1001,MATCH(ROWS($W$2:W823),$W$2:$W$1001,0),0), INDEX($AD$1004:$AU$1004,1,MATCH(COLUMNS($AD$1006:AL1006),$AD$1006:$AU$1006,0)))),"Fix")))</f>
        <v xml:space="preserve"> </v>
      </c>
      <c r="K823" s="4" t="str">
        <f ca="1">IF(OR(INDEX($X$2:$X$1001,MATCH(ROWS($W$2:W823),$W$2:$W$1001,0),1)&gt;=100000,INDEX($AD$1005:$AU$1005,1,MATCH(COLUMNS($AD$1006:AM1006),$AD$1006:$AU$1006,0))&gt;=100000), " ",IF(INDEX($AD$2:$AU$1001,MATCH(ROWS($W$2:W823),$W$2:$W$1001,0),MATCH(COLUMNS($AD$1006:AM1006),$AD$1006:$AU$1006,0)), HYPERLINK("#",""), HYPERLINK(CONCATENATE("#metadata!", ADDRESS(INDEX($Y$2:$Y$1001,MATCH(ROWS($W$2:W823),$W$2:$W$1001,0),0), INDEX($AD$1004:$AU$1004,1,MATCH(COLUMNS($AD$1006:AM1006),$AD$1006:$AU$1006,0)))),"Fix")))</f>
        <v xml:space="preserve"> </v>
      </c>
      <c r="L823" s="4" t="str">
        <f ca="1">IF(OR(INDEX($X$2:$X$1001,MATCH(ROWS($W$2:W823),$W$2:$W$1001,0),1)&gt;=100000,INDEX($AD$1005:$AU$1005,1,MATCH(COLUMNS($AD$1006:AN1006),$AD$1006:$AU$1006,0))&gt;=100000), " ",IF(INDEX($AD$2:$AU$1001,MATCH(ROWS($W$2:W823),$W$2:$W$1001,0),MATCH(COLUMNS($AD$1006:AN1006),$AD$1006:$AU$1006,0)), HYPERLINK("#",""), HYPERLINK(CONCATENATE("#metadata!", ADDRESS(INDEX($Y$2:$Y$1001,MATCH(ROWS($W$2:W823),$W$2:$W$1001,0),0), INDEX($AD$1004:$AU$1004,1,MATCH(COLUMNS($AD$1006:AN1006),$AD$1006:$AU$1006,0)))),"Fix")))</f>
        <v xml:space="preserve"> </v>
      </c>
      <c r="M823" s="4" t="str">
        <f ca="1">IF(OR(INDEX($X$2:$X$1001,MATCH(ROWS($W$2:W823),$W$2:$W$1001,0),1)&gt;=100000,INDEX($AD$1005:$AU$1005,1,MATCH(COLUMNS($AD$1006:AO1006),$AD$1006:$AU$1006,0))&gt;=100000), " ",IF(INDEX($AD$2:$AU$1001,MATCH(ROWS($W$2:W823),$W$2:$W$1001,0),MATCH(COLUMNS($AD$1006:AO1006),$AD$1006:$AU$1006,0)), HYPERLINK("#",""), HYPERLINK(CONCATENATE("#metadata!", ADDRESS(INDEX($Y$2:$Y$1001,MATCH(ROWS($W$2:W823),$W$2:$W$1001,0),0), INDEX($AD$1004:$AU$1004,1,MATCH(COLUMNS($AD$1006:AO1006),$AD$1006:$AU$1006,0)))),"Fix")))</f>
        <v xml:space="preserve"> </v>
      </c>
      <c r="N823" s="4" t="str">
        <f ca="1">IF(OR(INDEX($X$2:$X$1001,MATCH(ROWS($W$2:W823),$W$2:$W$1001,0),1)&gt;=100000,INDEX($AD$1005:$AU$1005,1,MATCH(COLUMNS($AD$1006:AP1006),$AD$1006:$AU$1006,0))&gt;=100000), " ",IF(INDEX($AD$2:$AU$1001,MATCH(ROWS($W$2:W823),$W$2:$W$1001,0),MATCH(COLUMNS($AD$1006:AP1006),$AD$1006:$AU$1006,0)), HYPERLINK("#",""), HYPERLINK(CONCATENATE("#metadata!", ADDRESS(INDEX($Y$2:$Y$1001,MATCH(ROWS($W$2:W823),$W$2:$W$1001,0),0), INDEX($AD$1004:$AU$1004,1,MATCH(COLUMNS($AD$1006:AP1006),$AD$1006:$AU$1006,0)))),"Fix")))</f>
        <v xml:space="preserve"> </v>
      </c>
      <c r="O823" s="4" t="str">
        <f ca="1">IF(OR(INDEX($X$2:$X$1001,MATCH(ROWS($W$2:W823),$W$2:$W$1001,0),1)&gt;=100000,INDEX($AD$1005:$AU$1005,1,MATCH(COLUMNS($AD$1006:AQ1006),$AD$1006:$AU$1006,0))&gt;=100000), " ",IF(INDEX($AD$2:$AU$1001,MATCH(ROWS($W$2:W823),$W$2:$W$1001,0),MATCH(COLUMNS($AD$1006:AQ1006),$AD$1006:$AU$1006,0)), HYPERLINK("#",""), HYPERLINK(CONCATENATE("#metadata!", ADDRESS(INDEX($Y$2:$Y$1001,MATCH(ROWS($W$2:W823),$W$2:$W$1001,0),0), INDEX($AD$1004:$AU$1004,1,MATCH(COLUMNS($AD$1006:AQ1006),$AD$1006:$AU$1006,0)))),"Fix")))</f>
        <v xml:space="preserve"> </v>
      </c>
      <c r="P823" s="4" t="str">
        <f ca="1">IF(OR(INDEX($X$2:$X$1001,MATCH(ROWS($W$2:W823),$W$2:$W$1001,0),1)&gt;=100000,INDEX($AD$1005:$AU$1005,1,MATCH(COLUMNS($AD$1006:AR1006),$AD$1006:$AU$1006,0))&gt;=100000), " ",IF(INDEX($AD$2:$AU$1001,MATCH(ROWS($W$2:W823),$W$2:$W$1001,0),MATCH(COLUMNS($AD$1006:AR1006),$AD$1006:$AU$1006,0)), HYPERLINK("#",""), HYPERLINK(CONCATENATE("#metadata!", ADDRESS(INDEX($Y$2:$Y$1001,MATCH(ROWS($W$2:W823),$W$2:$W$1001,0),0), INDEX($AD$1004:$AU$1004,1,MATCH(COLUMNS($AD$1006:AR1006),$AD$1006:$AU$1006,0)))),"Fix")))</f>
        <v xml:space="preserve"> </v>
      </c>
      <c r="Q823" s="4" t="str">
        <f ca="1">IF(OR(INDEX($X$2:$X$1001,MATCH(ROWS($W$2:W823),$W$2:$W$1001,0),1)&gt;=100000,INDEX($AD$1005:$AU$1005,1,MATCH(COLUMNS($AD$1006:AS1006),$AD$1006:$AU$1006,0))&gt;=100000), " ",IF(INDEX($AD$2:$AU$1001,MATCH(ROWS($W$2:W823),$W$2:$W$1001,0),MATCH(COLUMNS($AD$1006:AS1006),$AD$1006:$AU$1006,0)), HYPERLINK("#",""), HYPERLINK(CONCATENATE("#metadata!", ADDRESS(INDEX($Y$2:$Y$1001,MATCH(ROWS($W$2:W823),$W$2:$W$1001,0),0), INDEX($AD$1004:$AU$1004,1,MATCH(COLUMNS($AD$1006:AS1006),$AD$1006:$AU$1006,0)))),"Fix")))</f>
        <v xml:space="preserve"> </v>
      </c>
      <c r="R823" s="4" t="str">
        <f ca="1">IF(OR(INDEX($X$2:$X$1001,MATCH(ROWS($W$2:W823),$W$2:$W$1001,0),1)&gt;=100000,INDEX($AD$1005:$AU$1005,1,MATCH(COLUMNS($AD$1006:AT1006),$AD$1006:$AU$1006,0))&gt;=100000), " ",IF(INDEX($AD$2:$AU$1001,MATCH(ROWS($W$2:W823),$W$2:$W$1001,0),MATCH(COLUMNS($AD$1006:AT1006),$AD$1006:$AU$1006,0)), HYPERLINK("#",""), HYPERLINK(CONCATENATE("#metadata!", ADDRESS(INDEX($Y$2:$Y$1001,MATCH(ROWS($W$2:W823),$W$2:$W$1001,0),0), INDEX($AD$1004:$AU$1004,1,MATCH(COLUMNS($AD$1006:AT1006),$AD$1006:$AU$1006,0)))),"Fix")))</f>
        <v xml:space="preserve"> </v>
      </c>
      <c r="S823" s="4" t="str">
        <f ca="1">IF(OR(INDEX($X$2:$X$1001,MATCH(ROWS($W$2:W823),$W$2:$W$1001,0),1)&gt;=100000,INDEX($AD$1005:$AU$1005,1,MATCH(COLUMNS($AD$1006:AU1006),$AD$1006:$AU$1006,0))&gt;=100000), " ",IF(INDEX($AD$2:$AU$1001,MATCH(ROWS($W$2:W823),$W$2:$W$1001,0),MATCH(COLUMNS($AD$1006:AU1006),$AD$1006:$AU$1006,0)), HYPERLINK("#",""), HYPERLINK(CONCATENATE("#metadata!", ADDRESS(INDEX($Y$2:$Y$1001,MATCH(ROWS($W$2:W823),$W$2:$W$1001,0),0), INDEX($AD$1004:$AU$1004,1,MATCH(COLUMNS($AD$1006:AU1006),$AD$1006:$AU$1006,0)))),"Fix")))</f>
        <v xml:space="preserve"> </v>
      </c>
      <c r="W823">
        <v>822</v>
      </c>
      <c r="X823">
        <v>100823</v>
      </c>
      <c r="Y823">
        <v>823</v>
      </c>
      <c r="Z823" t="b">
        <f t="shared" si="12"/>
        <v>1</v>
      </c>
      <c r="AA823" t="b">
        <f>COUNTBLANK(metadata!B823:S823)=COLUMNS(metadata!B823:S823)</f>
        <v>1</v>
      </c>
      <c r="AB823" t="str">
        <v/>
      </c>
      <c r="AD823" t="b">
        <f ca="1">AND(IF(metadata!B823="",FALSE,TRUE),COUNTIF(metadata!B:B, metadata!B823) = 1,NOT(ISERROR(SUMPRODUCT(SEARCH(MID(metadata!B823,ROW(INDIRECT("1:"&amp;LEN(metadata!B823))), 1),"0123456789abcdefghijklmnopqrstuvwxyzABCDEFGHIJKLMNOPQRSTUVWXYZ.")))))</f>
        <v>0</v>
      </c>
      <c r="AE823" t="b">
        <f>OR(AND(IF(metadata!C823="",FALSE,TRUE),OR(EXACT(metadata!C823,"not applicable"),EXACT(metadata!C823,"missing: not collected"),EXACT(metadata!C823,"missing: not provided"),EXACT(metadata!C823,"missing: restricted access"))),AND(IF(metadata!C823="",FALSE,ISNUMBER(VALUE(metadata!C823))),metadata!C823&gt;0))</f>
        <v>0</v>
      </c>
      <c r="AF823" t="b">
        <f>AND(IF(metadata!D823="",FALSE,TRUE),EXACT(metadata!D823,"missing: not provided"))</f>
        <v>0</v>
      </c>
      <c r="AG823" t="b">
        <f>AND(IF(metadata!E823="",FALSE,TRUE),EXACT(metadata!E823,"Host-associated"))</f>
        <v>0</v>
      </c>
      <c r="AH823" t="b">
        <f>AND(IF(metadata!F823="",FALSE,TRUE),OR(EXACT(metadata!F823,"Animal"),EXACT(metadata!F823,"Fungus"),EXACT(metadata!F823,"Plant")))</f>
        <v>0</v>
      </c>
      <c r="AI823" t="b">
        <f>AND(IF(metadata!G823="",FALSE,TRUE),OR(EXACT(metadata!G823,"Plant secretion"),EXACT(metadata!G823,"Plant rhizosphere"),EXACT(metadata!G823,"Plant surface"),EXACT(metadata!G823,"Plant corpus"),EXACT(metadata!G823,"Fungus surface"),EXACT(metadata!G823,"Fungus corpus"),EXACT(metadata!G823,"Animal surface"),EXACT(metadata!G823,"Animal proximal gut"),EXACT(metadata!G823,"Animal corpus"),EXACT(metadata!G823,"Animal distal gut"),EXACT(metadata!G823,"Animal secretion")))</f>
        <v>0</v>
      </c>
      <c r="AJ823" t="b">
        <f>OR(AND(IF(metadata!H823="",FALSE,TRUE),OR(EXACT(metadata!H823,"missing: not collected"),EXACT(metadata!H823,"missing: not provided"),EXACT(metadata!H823,"missing: restricted access"))),AND(IF(metadata!H823="",FALSE,TRUE),OR(EXACT(metadata!H823,"organism-associated habitat"),EXACT(metadata!H823,"plant-associated habitat"),EXACT(metadata!H823,"animal-associated habitat"),EXACT(metadata!H823,"insecta-associated habitat"),EXACT(metadata!H823,"mammalia-associated habitat"),EXACT(metadata!H823,"human-associated habitat"),EXACT(metadata!H823,"livestock-associated habitat"))))</f>
        <v>0</v>
      </c>
      <c r="AK823" t="b">
        <f>AND(IF(metadata!I823="",FALSE,TRUE),EXACT(metadata!I823,"host-associated"))</f>
        <v>0</v>
      </c>
      <c r="AL823" t="b">
        <f>OR(AND(IF(metadata!J823="",FALSE,TRUE),OR(EXACT(metadata!J823,"not applicable"),EXACT(metadata!J823,"missing: not collected"),EXACT(metadata!J823,"missing: not provided"),EXACT(metadata!J823,"missing: restricted access"))),AND(IF(metadata!J823="",FALSE,ISNUMBER(VALUE(metadata!J823))),metadata!J823&gt;0))</f>
        <v>0</v>
      </c>
      <c r="AM823" t="b">
        <f>AND(IF(metadata!K823="",FALSE,TRUE),EXACT(metadata!K823,"missing: not provided"))</f>
        <v>0</v>
      </c>
      <c r="AN823" t="b">
        <f>IF(metadata!L823="",FALSE,TRUE)</f>
        <v>0</v>
      </c>
      <c r="AO823" t="b">
        <f>IF(metadata!M823="",FALSE,TRUE)</f>
        <v>0</v>
      </c>
      <c r="AP823" t="b">
        <f>OR(AND(IF(metadata!N823="",FALSE,TRUE),OR(EXACT(metadata!N823,"not applicable"),EXACT(metadata!N823,"missing: not collected"),EXACT(metadata!N823,"missing: not provided"))),AND(IF(metadata!N823="",FALSE,IF(ISERROR(INT(metadata!N823)),FALSE,INT(metadata!N823)=metadata!N823)),metadata!N823&gt;0))</f>
        <v>0</v>
      </c>
      <c r="AQ823" t="b">
        <f>AND(IF(metadata!O823="",FALSE,TRUE),EXACT(metadata!O823,"Not applicable"))</f>
        <v>0</v>
      </c>
      <c r="AR823" t="b">
        <f>OR(AND(IF(metadata!P823="",FALSE,TRUE),OR(EXACT(metadata!P823,"not applicable"),EXACT(metadata!P823,"missing: not collected"),EXACT(metadata!P823,"missing: not provided"),EXACT(metadata!P823,"missing: restricted access"))),IF(metadata!P823="",FALSE,IF(ISERROR(INT(metadata!P823)),FALSE,INT(metadata!P823)=metadata!P823)))</f>
        <v>0</v>
      </c>
      <c r="AS823" t="b">
        <f>AND(IF(metadata!Q823="",FALSE,TRUE),EXACT(metadata!Q823,"Not applicable"))</f>
        <v>0</v>
      </c>
      <c r="AT823" t="b">
        <f>OR(AND(IF(metadata!R823="",FALSE,TRUE),OR(EXACT(metadata!R823,"not applicable"),EXACT(metadata!R823,"missing: not collected"),EXACT(metadata!R823,"missing: not provided"),EXACT(metadata!R823,"missing: restricted access"))),AND(IF(metadata!R823="",FALSE,ISNUMBER(VALUE(metadata!R823))),metadata!R823&gt;0))</f>
        <v>0</v>
      </c>
      <c r="AU823" t="b">
        <f>AND(IF(metadata!S823="",FALSE,TRUE),EXACT(metadata!S823,"missing: not provided"))</f>
        <v>0</v>
      </c>
    </row>
    <row r="824" spans="1:47" x14ac:dyDescent="0.2">
      <c r="A824" s="5" t="str">
        <f ca="1">IF(B824=" "," ",HYPERLINK(CONCATENATE("#metadata!",ADDRESS(INDEX($Y$2:$Y$1001,MATCH(ROWS($W$2:W824),$W$2:$W$1001,0),0),1)),INDEX($AB$2:$AB$1001,MATCH(ROWS($W$2:W824),$W$2:$W$1001,0),0)))</f>
        <v xml:space="preserve"> </v>
      </c>
      <c r="B824" s="4" t="str">
        <f ca="1">IF(OR(INDEX($X$2:$X$1001,MATCH(ROWS($W$2:W824),$W$2:$W$1001,0),1)&gt;=100000,INDEX($AD$1005:$AU$1005,1,MATCH(COLUMNS($AD$1006:AD1006),$AD$1006:$AU$1006,0))&gt;=100000), " ",IF(INDEX($AD$2:$AU$1001,MATCH(ROWS($W$2:W824),$W$2:$W$1001,0),MATCH(COLUMNS($AD$1006:AD1006),$AD$1006:$AU$1006,0)), HYPERLINK("#",""), HYPERLINK(CONCATENATE("#metadata!", ADDRESS(INDEX($Y$2:$Y$1001,MATCH(ROWS($W$2:W824),$W$2:$W$1001,0),0), INDEX($AD$1004:$AU$1004,1,MATCH(COLUMNS($AD$1006:AD1006),$AD$1006:$AU$1006,0)))),"Fix")))</f>
        <v xml:space="preserve"> </v>
      </c>
      <c r="C824" s="4" t="str">
        <f ca="1">IF(OR(INDEX($X$2:$X$1001,MATCH(ROWS($W$2:W824),$W$2:$W$1001,0),1)&gt;=100000,INDEX($AD$1005:$AU$1005,1,MATCH(COLUMNS($AD$1006:AE1006),$AD$1006:$AU$1006,0))&gt;=100000), " ",IF(INDEX($AD$2:$AU$1001,MATCH(ROWS($W$2:W824),$W$2:$W$1001,0),MATCH(COLUMNS($AD$1006:AE1006),$AD$1006:$AU$1006,0)), HYPERLINK("#",""), HYPERLINK(CONCATENATE("#metadata!", ADDRESS(INDEX($Y$2:$Y$1001,MATCH(ROWS($W$2:W824),$W$2:$W$1001,0),0), INDEX($AD$1004:$AU$1004,1,MATCH(COLUMNS($AD$1006:AE1006),$AD$1006:$AU$1006,0)))),"Fix")))</f>
        <v xml:space="preserve"> </v>
      </c>
      <c r="D824" s="4" t="str">
        <f ca="1">IF(OR(INDEX($X$2:$X$1001,MATCH(ROWS($W$2:W824),$W$2:$W$1001,0),1)&gt;=100000,INDEX($AD$1005:$AU$1005,1,MATCH(COLUMNS($AD$1006:AF1006),$AD$1006:$AU$1006,0))&gt;=100000), " ",IF(INDEX($AD$2:$AU$1001,MATCH(ROWS($W$2:W824),$W$2:$W$1001,0),MATCH(COLUMNS($AD$1006:AF1006),$AD$1006:$AU$1006,0)), HYPERLINK("#",""), HYPERLINK(CONCATENATE("#metadata!", ADDRESS(INDEX($Y$2:$Y$1001,MATCH(ROWS($W$2:W824),$W$2:$W$1001,0),0), INDEX($AD$1004:$AU$1004,1,MATCH(COLUMNS($AD$1006:AF1006),$AD$1006:$AU$1006,0)))),"Fix")))</f>
        <v xml:space="preserve"> </v>
      </c>
      <c r="E824" s="4" t="str">
        <f ca="1">IF(OR(INDEX($X$2:$X$1001,MATCH(ROWS($W$2:W824),$W$2:$W$1001,0),1)&gt;=100000,INDEX($AD$1005:$AU$1005,1,MATCH(COLUMNS($AD$1006:AG1006),$AD$1006:$AU$1006,0))&gt;=100000), " ",IF(INDEX($AD$2:$AU$1001,MATCH(ROWS($W$2:W824),$W$2:$W$1001,0),MATCH(COLUMNS($AD$1006:AG1006),$AD$1006:$AU$1006,0)), HYPERLINK("#",""), HYPERLINK(CONCATENATE("#metadata!", ADDRESS(INDEX($Y$2:$Y$1001,MATCH(ROWS($W$2:W824),$W$2:$W$1001,0),0), INDEX($AD$1004:$AU$1004,1,MATCH(COLUMNS($AD$1006:AG1006),$AD$1006:$AU$1006,0)))),"Fix")))</f>
        <v xml:space="preserve"> </v>
      </c>
      <c r="F824" s="4" t="str">
        <f ca="1">IF(OR(INDEX($X$2:$X$1001,MATCH(ROWS($W$2:W824),$W$2:$W$1001,0),1)&gt;=100000,INDEX($AD$1005:$AU$1005,1,MATCH(COLUMNS($AD$1006:AH1006),$AD$1006:$AU$1006,0))&gt;=100000), " ",IF(INDEX($AD$2:$AU$1001,MATCH(ROWS($W$2:W824),$W$2:$W$1001,0),MATCH(COLUMNS($AD$1006:AH1006),$AD$1006:$AU$1006,0)), HYPERLINK("#",""), HYPERLINK(CONCATENATE("#metadata!", ADDRESS(INDEX($Y$2:$Y$1001,MATCH(ROWS($W$2:W824),$W$2:$W$1001,0),0), INDEX($AD$1004:$AU$1004,1,MATCH(COLUMNS($AD$1006:AH1006),$AD$1006:$AU$1006,0)))),"Fix")))</f>
        <v xml:space="preserve"> </v>
      </c>
      <c r="G824" s="4" t="str">
        <f ca="1">IF(OR(INDEX($X$2:$X$1001,MATCH(ROWS($W$2:W824),$W$2:$W$1001,0),1)&gt;=100000,INDEX($AD$1005:$AU$1005,1,MATCH(COLUMNS($AD$1006:AI1006),$AD$1006:$AU$1006,0))&gt;=100000), " ",IF(INDEX($AD$2:$AU$1001,MATCH(ROWS($W$2:W824),$W$2:$W$1001,0),MATCH(COLUMNS($AD$1006:AI1006),$AD$1006:$AU$1006,0)), HYPERLINK("#",""), HYPERLINK(CONCATENATE("#metadata!", ADDRESS(INDEX($Y$2:$Y$1001,MATCH(ROWS($W$2:W824),$W$2:$W$1001,0),0), INDEX($AD$1004:$AU$1004,1,MATCH(COLUMNS($AD$1006:AI1006),$AD$1006:$AU$1006,0)))),"Fix")))</f>
        <v xml:space="preserve"> </v>
      </c>
      <c r="H824" s="4" t="str">
        <f ca="1">IF(OR(INDEX($X$2:$X$1001,MATCH(ROWS($W$2:W824),$W$2:$W$1001,0),1)&gt;=100000,INDEX($AD$1005:$AU$1005,1,MATCH(COLUMNS($AD$1006:AJ1006),$AD$1006:$AU$1006,0))&gt;=100000), " ",IF(INDEX($AD$2:$AU$1001,MATCH(ROWS($W$2:W824),$W$2:$W$1001,0),MATCH(COLUMNS($AD$1006:AJ1006),$AD$1006:$AU$1006,0)), HYPERLINK("#",""), HYPERLINK(CONCATENATE("#metadata!", ADDRESS(INDEX($Y$2:$Y$1001,MATCH(ROWS($W$2:W824),$W$2:$W$1001,0),0), INDEX($AD$1004:$AU$1004,1,MATCH(COLUMNS($AD$1006:AJ1006),$AD$1006:$AU$1006,0)))),"Fix")))</f>
        <v xml:space="preserve"> </v>
      </c>
      <c r="I824" s="4" t="str">
        <f ca="1">IF(OR(INDEX($X$2:$X$1001,MATCH(ROWS($W$2:W824),$W$2:$W$1001,0),1)&gt;=100000,INDEX($AD$1005:$AU$1005,1,MATCH(COLUMNS($AD$1006:AK1006),$AD$1006:$AU$1006,0))&gt;=100000), " ",IF(INDEX($AD$2:$AU$1001,MATCH(ROWS($W$2:W824),$W$2:$W$1001,0),MATCH(COLUMNS($AD$1006:AK1006),$AD$1006:$AU$1006,0)), HYPERLINK("#",""), HYPERLINK(CONCATENATE("#metadata!", ADDRESS(INDEX($Y$2:$Y$1001,MATCH(ROWS($W$2:W824),$W$2:$W$1001,0),0), INDEX($AD$1004:$AU$1004,1,MATCH(COLUMNS($AD$1006:AK1006),$AD$1006:$AU$1006,0)))),"Fix")))</f>
        <v xml:space="preserve"> </v>
      </c>
      <c r="J824" s="4" t="str">
        <f ca="1">IF(OR(INDEX($X$2:$X$1001,MATCH(ROWS($W$2:W824),$W$2:$W$1001,0),1)&gt;=100000,INDEX($AD$1005:$AU$1005,1,MATCH(COLUMNS($AD$1006:AL1006),$AD$1006:$AU$1006,0))&gt;=100000), " ",IF(INDEX($AD$2:$AU$1001,MATCH(ROWS($W$2:W824),$W$2:$W$1001,0),MATCH(COLUMNS($AD$1006:AL1006),$AD$1006:$AU$1006,0)), HYPERLINK("#",""), HYPERLINK(CONCATENATE("#metadata!", ADDRESS(INDEX($Y$2:$Y$1001,MATCH(ROWS($W$2:W824),$W$2:$W$1001,0),0), INDEX($AD$1004:$AU$1004,1,MATCH(COLUMNS($AD$1006:AL1006),$AD$1006:$AU$1006,0)))),"Fix")))</f>
        <v xml:space="preserve"> </v>
      </c>
      <c r="K824" s="4" t="str">
        <f ca="1">IF(OR(INDEX($X$2:$X$1001,MATCH(ROWS($W$2:W824),$W$2:$W$1001,0),1)&gt;=100000,INDEX($AD$1005:$AU$1005,1,MATCH(COLUMNS($AD$1006:AM1006),$AD$1006:$AU$1006,0))&gt;=100000), " ",IF(INDEX($AD$2:$AU$1001,MATCH(ROWS($W$2:W824),$W$2:$W$1001,0),MATCH(COLUMNS($AD$1006:AM1006),$AD$1006:$AU$1006,0)), HYPERLINK("#",""), HYPERLINK(CONCATENATE("#metadata!", ADDRESS(INDEX($Y$2:$Y$1001,MATCH(ROWS($W$2:W824),$W$2:$W$1001,0),0), INDEX($AD$1004:$AU$1004,1,MATCH(COLUMNS($AD$1006:AM1006),$AD$1006:$AU$1006,0)))),"Fix")))</f>
        <v xml:space="preserve"> </v>
      </c>
      <c r="L824" s="4" t="str">
        <f ca="1">IF(OR(INDEX($X$2:$X$1001,MATCH(ROWS($W$2:W824),$W$2:$W$1001,0),1)&gt;=100000,INDEX($AD$1005:$AU$1005,1,MATCH(COLUMNS($AD$1006:AN1006),$AD$1006:$AU$1006,0))&gt;=100000), " ",IF(INDEX($AD$2:$AU$1001,MATCH(ROWS($W$2:W824),$W$2:$W$1001,0),MATCH(COLUMNS($AD$1006:AN1006),$AD$1006:$AU$1006,0)), HYPERLINK("#",""), HYPERLINK(CONCATENATE("#metadata!", ADDRESS(INDEX($Y$2:$Y$1001,MATCH(ROWS($W$2:W824),$W$2:$W$1001,0),0), INDEX($AD$1004:$AU$1004,1,MATCH(COLUMNS($AD$1006:AN1006),$AD$1006:$AU$1006,0)))),"Fix")))</f>
        <v xml:space="preserve"> </v>
      </c>
      <c r="M824" s="4" t="str">
        <f ca="1">IF(OR(INDEX($X$2:$X$1001,MATCH(ROWS($W$2:W824),$W$2:$W$1001,0),1)&gt;=100000,INDEX($AD$1005:$AU$1005,1,MATCH(COLUMNS($AD$1006:AO1006),$AD$1006:$AU$1006,0))&gt;=100000), " ",IF(INDEX($AD$2:$AU$1001,MATCH(ROWS($W$2:W824),$W$2:$W$1001,0),MATCH(COLUMNS($AD$1006:AO1006),$AD$1006:$AU$1006,0)), HYPERLINK("#",""), HYPERLINK(CONCATENATE("#metadata!", ADDRESS(INDEX($Y$2:$Y$1001,MATCH(ROWS($W$2:W824),$W$2:$W$1001,0),0), INDEX($AD$1004:$AU$1004,1,MATCH(COLUMNS($AD$1006:AO1006),$AD$1006:$AU$1006,0)))),"Fix")))</f>
        <v xml:space="preserve"> </v>
      </c>
      <c r="N824" s="4" t="str">
        <f ca="1">IF(OR(INDEX($X$2:$X$1001,MATCH(ROWS($W$2:W824),$W$2:$W$1001,0),1)&gt;=100000,INDEX($AD$1005:$AU$1005,1,MATCH(COLUMNS($AD$1006:AP1006),$AD$1006:$AU$1006,0))&gt;=100000), " ",IF(INDEX($AD$2:$AU$1001,MATCH(ROWS($W$2:W824),$W$2:$W$1001,0),MATCH(COLUMNS($AD$1006:AP1006),$AD$1006:$AU$1006,0)), HYPERLINK("#",""), HYPERLINK(CONCATENATE("#metadata!", ADDRESS(INDEX($Y$2:$Y$1001,MATCH(ROWS($W$2:W824),$W$2:$W$1001,0),0), INDEX($AD$1004:$AU$1004,1,MATCH(COLUMNS($AD$1006:AP1006),$AD$1006:$AU$1006,0)))),"Fix")))</f>
        <v xml:space="preserve"> </v>
      </c>
      <c r="O824" s="4" t="str">
        <f ca="1">IF(OR(INDEX($X$2:$X$1001,MATCH(ROWS($W$2:W824),$W$2:$W$1001,0),1)&gt;=100000,INDEX($AD$1005:$AU$1005,1,MATCH(COLUMNS($AD$1006:AQ1006),$AD$1006:$AU$1006,0))&gt;=100000), " ",IF(INDEX($AD$2:$AU$1001,MATCH(ROWS($W$2:W824),$W$2:$W$1001,0),MATCH(COLUMNS($AD$1006:AQ1006),$AD$1006:$AU$1006,0)), HYPERLINK("#",""), HYPERLINK(CONCATENATE("#metadata!", ADDRESS(INDEX($Y$2:$Y$1001,MATCH(ROWS($W$2:W824),$W$2:$W$1001,0),0), INDEX($AD$1004:$AU$1004,1,MATCH(COLUMNS($AD$1006:AQ1006),$AD$1006:$AU$1006,0)))),"Fix")))</f>
        <v xml:space="preserve"> </v>
      </c>
      <c r="P824" s="4" t="str">
        <f ca="1">IF(OR(INDEX($X$2:$X$1001,MATCH(ROWS($W$2:W824),$W$2:$W$1001,0),1)&gt;=100000,INDEX($AD$1005:$AU$1005,1,MATCH(COLUMNS($AD$1006:AR1006),$AD$1006:$AU$1006,0))&gt;=100000), " ",IF(INDEX($AD$2:$AU$1001,MATCH(ROWS($W$2:W824),$W$2:$W$1001,0),MATCH(COLUMNS($AD$1006:AR1006),$AD$1006:$AU$1006,0)), HYPERLINK("#",""), HYPERLINK(CONCATENATE("#metadata!", ADDRESS(INDEX($Y$2:$Y$1001,MATCH(ROWS($W$2:W824),$W$2:$W$1001,0),0), INDEX($AD$1004:$AU$1004,1,MATCH(COLUMNS($AD$1006:AR1006),$AD$1006:$AU$1006,0)))),"Fix")))</f>
        <v xml:space="preserve"> </v>
      </c>
      <c r="Q824" s="4" t="str">
        <f ca="1">IF(OR(INDEX($X$2:$X$1001,MATCH(ROWS($W$2:W824),$W$2:$W$1001,0),1)&gt;=100000,INDEX($AD$1005:$AU$1005,1,MATCH(COLUMNS($AD$1006:AS1006),$AD$1006:$AU$1006,0))&gt;=100000), " ",IF(INDEX($AD$2:$AU$1001,MATCH(ROWS($W$2:W824),$W$2:$W$1001,0),MATCH(COLUMNS($AD$1006:AS1006),$AD$1006:$AU$1006,0)), HYPERLINK("#",""), HYPERLINK(CONCATENATE("#metadata!", ADDRESS(INDEX($Y$2:$Y$1001,MATCH(ROWS($W$2:W824),$W$2:$W$1001,0),0), INDEX($AD$1004:$AU$1004,1,MATCH(COLUMNS($AD$1006:AS1006),$AD$1006:$AU$1006,0)))),"Fix")))</f>
        <v xml:space="preserve"> </v>
      </c>
      <c r="R824" s="4" t="str">
        <f ca="1">IF(OR(INDEX($X$2:$X$1001,MATCH(ROWS($W$2:W824),$W$2:$W$1001,0),1)&gt;=100000,INDEX($AD$1005:$AU$1005,1,MATCH(COLUMNS($AD$1006:AT1006),$AD$1006:$AU$1006,0))&gt;=100000), " ",IF(INDEX($AD$2:$AU$1001,MATCH(ROWS($W$2:W824),$W$2:$W$1001,0),MATCH(COLUMNS($AD$1006:AT1006),$AD$1006:$AU$1006,0)), HYPERLINK("#",""), HYPERLINK(CONCATENATE("#metadata!", ADDRESS(INDEX($Y$2:$Y$1001,MATCH(ROWS($W$2:W824),$W$2:$W$1001,0),0), INDEX($AD$1004:$AU$1004,1,MATCH(COLUMNS($AD$1006:AT1006),$AD$1006:$AU$1006,0)))),"Fix")))</f>
        <v xml:space="preserve"> </v>
      </c>
      <c r="S824" s="4" t="str">
        <f ca="1">IF(OR(INDEX($X$2:$X$1001,MATCH(ROWS($W$2:W824),$W$2:$W$1001,0),1)&gt;=100000,INDEX($AD$1005:$AU$1005,1,MATCH(COLUMNS($AD$1006:AU1006),$AD$1006:$AU$1006,0))&gt;=100000), " ",IF(INDEX($AD$2:$AU$1001,MATCH(ROWS($W$2:W824),$W$2:$W$1001,0),MATCH(COLUMNS($AD$1006:AU1006),$AD$1006:$AU$1006,0)), HYPERLINK("#",""), HYPERLINK(CONCATENATE("#metadata!", ADDRESS(INDEX($Y$2:$Y$1001,MATCH(ROWS($W$2:W824),$W$2:$W$1001,0),0), INDEX($AD$1004:$AU$1004,1,MATCH(COLUMNS($AD$1006:AU1006),$AD$1006:$AU$1006,0)))),"Fix")))</f>
        <v xml:space="preserve"> </v>
      </c>
      <c r="W824">
        <v>823</v>
      </c>
      <c r="X824">
        <v>100824</v>
      </c>
      <c r="Y824">
        <v>824</v>
      </c>
      <c r="Z824" t="b">
        <f t="shared" si="12"/>
        <v>1</v>
      </c>
      <c r="AA824" t="b">
        <f>COUNTBLANK(metadata!B824:S824)=COLUMNS(metadata!B824:S824)</f>
        <v>1</v>
      </c>
      <c r="AB824" t="str">
        <v/>
      </c>
      <c r="AD824" t="b">
        <f ca="1">AND(IF(metadata!B824="",FALSE,TRUE),COUNTIF(metadata!B:B, metadata!B824) = 1,NOT(ISERROR(SUMPRODUCT(SEARCH(MID(metadata!B824,ROW(INDIRECT("1:"&amp;LEN(metadata!B824))), 1),"0123456789abcdefghijklmnopqrstuvwxyzABCDEFGHIJKLMNOPQRSTUVWXYZ.")))))</f>
        <v>0</v>
      </c>
      <c r="AE824" t="b">
        <f>OR(AND(IF(metadata!C824="",FALSE,TRUE),OR(EXACT(metadata!C824,"not applicable"),EXACT(metadata!C824,"missing: not collected"),EXACT(metadata!C824,"missing: not provided"),EXACT(metadata!C824,"missing: restricted access"))),AND(IF(metadata!C824="",FALSE,ISNUMBER(VALUE(metadata!C824))),metadata!C824&gt;0))</f>
        <v>0</v>
      </c>
      <c r="AF824" t="b">
        <f>AND(IF(metadata!D824="",FALSE,TRUE),EXACT(metadata!D824,"missing: not provided"))</f>
        <v>0</v>
      </c>
      <c r="AG824" t="b">
        <f>AND(IF(metadata!E824="",FALSE,TRUE),EXACT(metadata!E824,"Host-associated"))</f>
        <v>0</v>
      </c>
      <c r="AH824" t="b">
        <f>AND(IF(metadata!F824="",FALSE,TRUE),OR(EXACT(metadata!F824,"Animal"),EXACT(metadata!F824,"Fungus"),EXACT(metadata!F824,"Plant")))</f>
        <v>0</v>
      </c>
      <c r="AI824" t="b">
        <f>AND(IF(metadata!G824="",FALSE,TRUE),OR(EXACT(metadata!G824,"Plant secretion"),EXACT(metadata!G824,"Plant rhizosphere"),EXACT(metadata!G824,"Plant surface"),EXACT(metadata!G824,"Plant corpus"),EXACT(metadata!G824,"Fungus surface"),EXACT(metadata!G824,"Fungus corpus"),EXACT(metadata!G824,"Animal surface"),EXACT(metadata!G824,"Animal proximal gut"),EXACT(metadata!G824,"Animal corpus"),EXACT(metadata!G824,"Animal distal gut"),EXACT(metadata!G824,"Animal secretion")))</f>
        <v>0</v>
      </c>
      <c r="AJ824" t="b">
        <f>OR(AND(IF(metadata!H824="",FALSE,TRUE),OR(EXACT(metadata!H824,"missing: not collected"),EXACT(metadata!H824,"missing: not provided"),EXACT(metadata!H824,"missing: restricted access"))),AND(IF(metadata!H824="",FALSE,TRUE),OR(EXACT(metadata!H824,"organism-associated habitat"),EXACT(metadata!H824,"plant-associated habitat"),EXACT(metadata!H824,"animal-associated habitat"),EXACT(metadata!H824,"insecta-associated habitat"),EXACT(metadata!H824,"mammalia-associated habitat"),EXACT(metadata!H824,"human-associated habitat"),EXACT(metadata!H824,"livestock-associated habitat"))))</f>
        <v>0</v>
      </c>
      <c r="AK824" t="b">
        <f>AND(IF(metadata!I824="",FALSE,TRUE),EXACT(metadata!I824,"host-associated"))</f>
        <v>0</v>
      </c>
      <c r="AL824" t="b">
        <f>OR(AND(IF(metadata!J824="",FALSE,TRUE),OR(EXACT(metadata!J824,"not applicable"),EXACT(metadata!J824,"missing: not collected"),EXACT(metadata!J824,"missing: not provided"),EXACT(metadata!J824,"missing: restricted access"))),AND(IF(metadata!J824="",FALSE,ISNUMBER(VALUE(metadata!J824))),metadata!J824&gt;0))</f>
        <v>0</v>
      </c>
      <c r="AM824" t="b">
        <f>AND(IF(metadata!K824="",FALSE,TRUE),EXACT(metadata!K824,"missing: not provided"))</f>
        <v>0</v>
      </c>
      <c r="AN824" t="b">
        <f>IF(metadata!L824="",FALSE,TRUE)</f>
        <v>0</v>
      </c>
      <c r="AO824" t="b">
        <f>IF(metadata!M824="",FALSE,TRUE)</f>
        <v>0</v>
      </c>
      <c r="AP824" t="b">
        <f>OR(AND(IF(metadata!N824="",FALSE,TRUE),OR(EXACT(metadata!N824,"not applicable"),EXACT(metadata!N824,"missing: not collected"),EXACT(metadata!N824,"missing: not provided"))),AND(IF(metadata!N824="",FALSE,IF(ISERROR(INT(metadata!N824)),FALSE,INT(metadata!N824)=metadata!N824)),metadata!N824&gt;0))</f>
        <v>0</v>
      </c>
      <c r="AQ824" t="b">
        <f>AND(IF(metadata!O824="",FALSE,TRUE),EXACT(metadata!O824,"Not applicable"))</f>
        <v>0</v>
      </c>
      <c r="AR824" t="b">
        <f>OR(AND(IF(metadata!P824="",FALSE,TRUE),OR(EXACT(metadata!P824,"not applicable"),EXACT(metadata!P824,"missing: not collected"),EXACT(metadata!P824,"missing: not provided"),EXACT(metadata!P824,"missing: restricted access"))),IF(metadata!P824="",FALSE,IF(ISERROR(INT(metadata!P824)),FALSE,INT(metadata!P824)=metadata!P824)))</f>
        <v>0</v>
      </c>
      <c r="AS824" t="b">
        <f>AND(IF(metadata!Q824="",FALSE,TRUE),EXACT(metadata!Q824,"Not applicable"))</f>
        <v>0</v>
      </c>
      <c r="AT824" t="b">
        <f>OR(AND(IF(metadata!R824="",FALSE,TRUE),OR(EXACT(metadata!R824,"not applicable"),EXACT(metadata!R824,"missing: not collected"),EXACT(metadata!R824,"missing: not provided"),EXACT(metadata!R824,"missing: restricted access"))),AND(IF(metadata!R824="",FALSE,ISNUMBER(VALUE(metadata!R824))),metadata!R824&gt;0))</f>
        <v>0</v>
      </c>
      <c r="AU824" t="b">
        <f>AND(IF(metadata!S824="",FALSE,TRUE),EXACT(metadata!S824,"missing: not provided"))</f>
        <v>0</v>
      </c>
    </row>
    <row r="825" spans="1:47" x14ac:dyDescent="0.2">
      <c r="A825" s="5" t="str">
        <f ca="1">IF(B825=" "," ",HYPERLINK(CONCATENATE("#metadata!",ADDRESS(INDEX($Y$2:$Y$1001,MATCH(ROWS($W$2:W825),$W$2:$W$1001,0),0),1)),INDEX($AB$2:$AB$1001,MATCH(ROWS($W$2:W825),$W$2:$W$1001,0),0)))</f>
        <v xml:space="preserve"> </v>
      </c>
      <c r="B825" s="4" t="str">
        <f ca="1">IF(OR(INDEX($X$2:$X$1001,MATCH(ROWS($W$2:W825),$W$2:$W$1001,0),1)&gt;=100000,INDEX($AD$1005:$AU$1005,1,MATCH(COLUMNS($AD$1006:AD1006),$AD$1006:$AU$1006,0))&gt;=100000), " ",IF(INDEX($AD$2:$AU$1001,MATCH(ROWS($W$2:W825),$W$2:$W$1001,0),MATCH(COLUMNS($AD$1006:AD1006),$AD$1006:$AU$1006,0)), HYPERLINK("#",""), HYPERLINK(CONCATENATE("#metadata!", ADDRESS(INDEX($Y$2:$Y$1001,MATCH(ROWS($W$2:W825),$W$2:$W$1001,0),0), INDEX($AD$1004:$AU$1004,1,MATCH(COLUMNS($AD$1006:AD1006),$AD$1006:$AU$1006,0)))),"Fix")))</f>
        <v xml:space="preserve"> </v>
      </c>
      <c r="C825" s="4" t="str">
        <f ca="1">IF(OR(INDEX($X$2:$X$1001,MATCH(ROWS($W$2:W825),$W$2:$W$1001,0),1)&gt;=100000,INDEX($AD$1005:$AU$1005,1,MATCH(COLUMNS($AD$1006:AE1006),$AD$1006:$AU$1006,0))&gt;=100000), " ",IF(INDEX($AD$2:$AU$1001,MATCH(ROWS($W$2:W825),$W$2:$W$1001,0),MATCH(COLUMNS($AD$1006:AE1006),$AD$1006:$AU$1006,0)), HYPERLINK("#",""), HYPERLINK(CONCATENATE("#metadata!", ADDRESS(INDEX($Y$2:$Y$1001,MATCH(ROWS($W$2:W825),$W$2:$W$1001,0),0), INDEX($AD$1004:$AU$1004,1,MATCH(COLUMNS($AD$1006:AE1006),$AD$1006:$AU$1006,0)))),"Fix")))</f>
        <v xml:space="preserve"> </v>
      </c>
      <c r="D825" s="4" t="str">
        <f ca="1">IF(OR(INDEX($X$2:$X$1001,MATCH(ROWS($W$2:W825),$W$2:$W$1001,0),1)&gt;=100000,INDEX($AD$1005:$AU$1005,1,MATCH(COLUMNS($AD$1006:AF1006),$AD$1006:$AU$1006,0))&gt;=100000), " ",IF(INDEX($AD$2:$AU$1001,MATCH(ROWS($W$2:W825),$W$2:$W$1001,0),MATCH(COLUMNS($AD$1006:AF1006),$AD$1006:$AU$1006,0)), HYPERLINK("#",""), HYPERLINK(CONCATENATE("#metadata!", ADDRESS(INDEX($Y$2:$Y$1001,MATCH(ROWS($W$2:W825),$W$2:$W$1001,0),0), INDEX($AD$1004:$AU$1004,1,MATCH(COLUMNS($AD$1006:AF1006),$AD$1006:$AU$1006,0)))),"Fix")))</f>
        <v xml:space="preserve"> </v>
      </c>
      <c r="E825" s="4" t="str">
        <f ca="1">IF(OR(INDEX($X$2:$X$1001,MATCH(ROWS($W$2:W825),$W$2:$W$1001,0),1)&gt;=100000,INDEX($AD$1005:$AU$1005,1,MATCH(COLUMNS($AD$1006:AG1006),$AD$1006:$AU$1006,0))&gt;=100000), " ",IF(INDEX($AD$2:$AU$1001,MATCH(ROWS($W$2:W825),$W$2:$W$1001,0),MATCH(COLUMNS($AD$1006:AG1006),$AD$1006:$AU$1006,0)), HYPERLINK("#",""), HYPERLINK(CONCATENATE("#metadata!", ADDRESS(INDEX($Y$2:$Y$1001,MATCH(ROWS($W$2:W825),$W$2:$W$1001,0),0), INDEX($AD$1004:$AU$1004,1,MATCH(COLUMNS($AD$1006:AG1006),$AD$1006:$AU$1006,0)))),"Fix")))</f>
        <v xml:space="preserve"> </v>
      </c>
      <c r="F825" s="4" t="str">
        <f ca="1">IF(OR(INDEX($X$2:$X$1001,MATCH(ROWS($W$2:W825),$W$2:$W$1001,0),1)&gt;=100000,INDEX($AD$1005:$AU$1005,1,MATCH(COLUMNS($AD$1006:AH1006),$AD$1006:$AU$1006,0))&gt;=100000), " ",IF(INDEX($AD$2:$AU$1001,MATCH(ROWS($W$2:W825),$W$2:$W$1001,0),MATCH(COLUMNS($AD$1006:AH1006),$AD$1006:$AU$1006,0)), HYPERLINK("#",""), HYPERLINK(CONCATENATE("#metadata!", ADDRESS(INDEX($Y$2:$Y$1001,MATCH(ROWS($W$2:W825),$W$2:$W$1001,0),0), INDEX($AD$1004:$AU$1004,1,MATCH(COLUMNS($AD$1006:AH1006),$AD$1006:$AU$1006,0)))),"Fix")))</f>
        <v xml:space="preserve"> </v>
      </c>
      <c r="G825" s="4" t="str">
        <f ca="1">IF(OR(INDEX($X$2:$X$1001,MATCH(ROWS($W$2:W825),$W$2:$W$1001,0),1)&gt;=100000,INDEX($AD$1005:$AU$1005,1,MATCH(COLUMNS($AD$1006:AI1006),$AD$1006:$AU$1006,0))&gt;=100000), " ",IF(INDEX($AD$2:$AU$1001,MATCH(ROWS($W$2:W825),$W$2:$W$1001,0),MATCH(COLUMNS($AD$1006:AI1006),$AD$1006:$AU$1006,0)), HYPERLINK("#",""), HYPERLINK(CONCATENATE("#metadata!", ADDRESS(INDEX($Y$2:$Y$1001,MATCH(ROWS($W$2:W825),$W$2:$W$1001,0),0), INDEX($AD$1004:$AU$1004,1,MATCH(COLUMNS($AD$1006:AI1006),$AD$1006:$AU$1006,0)))),"Fix")))</f>
        <v xml:space="preserve"> </v>
      </c>
      <c r="H825" s="4" t="str">
        <f ca="1">IF(OR(INDEX($X$2:$X$1001,MATCH(ROWS($W$2:W825),$W$2:$W$1001,0),1)&gt;=100000,INDEX($AD$1005:$AU$1005,1,MATCH(COLUMNS($AD$1006:AJ1006),$AD$1006:$AU$1006,0))&gt;=100000), " ",IF(INDEX($AD$2:$AU$1001,MATCH(ROWS($W$2:W825),$W$2:$W$1001,0),MATCH(COLUMNS($AD$1006:AJ1006),$AD$1006:$AU$1006,0)), HYPERLINK("#",""), HYPERLINK(CONCATENATE("#metadata!", ADDRESS(INDEX($Y$2:$Y$1001,MATCH(ROWS($W$2:W825),$W$2:$W$1001,0),0), INDEX($AD$1004:$AU$1004,1,MATCH(COLUMNS($AD$1006:AJ1006),$AD$1006:$AU$1006,0)))),"Fix")))</f>
        <v xml:space="preserve"> </v>
      </c>
      <c r="I825" s="4" t="str">
        <f ca="1">IF(OR(INDEX($X$2:$X$1001,MATCH(ROWS($W$2:W825),$W$2:$W$1001,0),1)&gt;=100000,INDEX($AD$1005:$AU$1005,1,MATCH(COLUMNS($AD$1006:AK1006),$AD$1006:$AU$1006,0))&gt;=100000), " ",IF(INDEX($AD$2:$AU$1001,MATCH(ROWS($W$2:W825),$W$2:$W$1001,0),MATCH(COLUMNS($AD$1006:AK1006),$AD$1006:$AU$1006,0)), HYPERLINK("#",""), HYPERLINK(CONCATENATE("#metadata!", ADDRESS(INDEX($Y$2:$Y$1001,MATCH(ROWS($W$2:W825),$W$2:$W$1001,0),0), INDEX($AD$1004:$AU$1004,1,MATCH(COLUMNS($AD$1006:AK1006),$AD$1006:$AU$1006,0)))),"Fix")))</f>
        <v xml:space="preserve"> </v>
      </c>
      <c r="J825" s="4" t="str">
        <f ca="1">IF(OR(INDEX($X$2:$X$1001,MATCH(ROWS($W$2:W825),$W$2:$W$1001,0),1)&gt;=100000,INDEX($AD$1005:$AU$1005,1,MATCH(COLUMNS($AD$1006:AL1006),$AD$1006:$AU$1006,0))&gt;=100000), " ",IF(INDEX($AD$2:$AU$1001,MATCH(ROWS($W$2:W825),$W$2:$W$1001,0),MATCH(COLUMNS($AD$1006:AL1006),$AD$1006:$AU$1006,0)), HYPERLINK("#",""), HYPERLINK(CONCATENATE("#metadata!", ADDRESS(INDEX($Y$2:$Y$1001,MATCH(ROWS($W$2:W825),$W$2:$W$1001,0),0), INDEX($AD$1004:$AU$1004,1,MATCH(COLUMNS($AD$1006:AL1006),$AD$1006:$AU$1006,0)))),"Fix")))</f>
        <v xml:space="preserve"> </v>
      </c>
      <c r="K825" s="4" t="str">
        <f ca="1">IF(OR(INDEX($X$2:$X$1001,MATCH(ROWS($W$2:W825),$W$2:$W$1001,0),1)&gt;=100000,INDEX($AD$1005:$AU$1005,1,MATCH(COLUMNS($AD$1006:AM1006),$AD$1006:$AU$1006,0))&gt;=100000), " ",IF(INDEX($AD$2:$AU$1001,MATCH(ROWS($W$2:W825),$W$2:$W$1001,0),MATCH(COLUMNS($AD$1006:AM1006),$AD$1006:$AU$1006,0)), HYPERLINK("#",""), HYPERLINK(CONCATENATE("#metadata!", ADDRESS(INDEX($Y$2:$Y$1001,MATCH(ROWS($W$2:W825),$W$2:$W$1001,0),0), INDEX($AD$1004:$AU$1004,1,MATCH(COLUMNS($AD$1006:AM1006),$AD$1006:$AU$1006,0)))),"Fix")))</f>
        <v xml:space="preserve"> </v>
      </c>
      <c r="L825" s="4" t="str">
        <f ca="1">IF(OR(INDEX($X$2:$X$1001,MATCH(ROWS($W$2:W825),$W$2:$W$1001,0),1)&gt;=100000,INDEX($AD$1005:$AU$1005,1,MATCH(COLUMNS($AD$1006:AN1006),$AD$1006:$AU$1006,0))&gt;=100000), " ",IF(INDEX($AD$2:$AU$1001,MATCH(ROWS($W$2:W825),$W$2:$W$1001,0),MATCH(COLUMNS($AD$1006:AN1006),$AD$1006:$AU$1006,0)), HYPERLINK("#",""), HYPERLINK(CONCATENATE("#metadata!", ADDRESS(INDEX($Y$2:$Y$1001,MATCH(ROWS($W$2:W825),$W$2:$W$1001,0),0), INDEX($AD$1004:$AU$1004,1,MATCH(COLUMNS($AD$1006:AN1006),$AD$1006:$AU$1006,0)))),"Fix")))</f>
        <v xml:space="preserve"> </v>
      </c>
      <c r="M825" s="4" t="str">
        <f ca="1">IF(OR(INDEX($X$2:$X$1001,MATCH(ROWS($W$2:W825),$W$2:$W$1001,0),1)&gt;=100000,INDEX($AD$1005:$AU$1005,1,MATCH(COLUMNS($AD$1006:AO1006),$AD$1006:$AU$1006,0))&gt;=100000), " ",IF(INDEX($AD$2:$AU$1001,MATCH(ROWS($W$2:W825),$W$2:$W$1001,0),MATCH(COLUMNS($AD$1006:AO1006),$AD$1006:$AU$1006,0)), HYPERLINK("#",""), HYPERLINK(CONCATENATE("#metadata!", ADDRESS(INDEX($Y$2:$Y$1001,MATCH(ROWS($W$2:W825),$W$2:$W$1001,0),0), INDEX($AD$1004:$AU$1004,1,MATCH(COLUMNS($AD$1006:AO1006),$AD$1006:$AU$1006,0)))),"Fix")))</f>
        <v xml:space="preserve"> </v>
      </c>
      <c r="N825" s="4" t="str">
        <f ca="1">IF(OR(INDEX($X$2:$X$1001,MATCH(ROWS($W$2:W825),$W$2:$W$1001,0),1)&gt;=100000,INDEX($AD$1005:$AU$1005,1,MATCH(COLUMNS($AD$1006:AP1006),$AD$1006:$AU$1006,0))&gt;=100000), " ",IF(INDEX($AD$2:$AU$1001,MATCH(ROWS($W$2:W825),$W$2:$W$1001,0),MATCH(COLUMNS($AD$1006:AP1006),$AD$1006:$AU$1006,0)), HYPERLINK("#",""), HYPERLINK(CONCATENATE("#metadata!", ADDRESS(INDEX($Y$2:$Y$1001,MATCH(ROWS($W$2:W825),$W$2:$W$1001,0),0), INDEX($AD$1004:$AU$1004,1,MATCH(COLUMNS($AD$1006:AP1006),$AD$1006:$AU$1006,0)))),"Fix")))</f>
        <v xml:space="preserve"> </v>
      </c>
      <c r="O825" s="4" t="str">
        <f ca="1">IF(OR(INDEX($X$2:$X$1001,MATCH(ROWS($W$2:W825),$W$2:$W$1001,0),1)&gt;=100000,INDEX($AD$1005:$AU$1005,1,MATCH(COLUMNS($AD$1006:AQ1006),$AD$1006:$AU$1006,0))&gt;=100000), " ",IF(INDEX($AD$2:$AU$1001,MATCH(ROWS($W$2:W825),$W$2:$W$1001,0),MATCH(COLUMNS($AD$1006:AQ1006),$AD$1006:$AU$1006,0)), HYPERLINK("#",""), HYPERLINK(CONCATENATE("#metadata!", ADDRESS(INDEX($Y$2:$Y$1001,MATCH(ROWS($W$2:W825),$W$2:$W$1001,0),0), INDEX($AD$1004:$AU$1004,1,MATCH(COLUMNS($AD$1006:AQ1006),$AD$1006:$AU$1006,0)))),"Fix")))</f>
        <v xml:space="preserve"> </v>
      </c>
      <c r="P825" s="4" t="str">
        <f ca="1">IF(OR(INDEX($X$2:$X$1001,MATCH(ROWS($W$2:W825),$W$2:$W$1001,0),1)&gt;=100000,INDEX($AD$1005:$AU$1005,1,MATCH(COLUMNS($AD$1006:AR1006),$AD$1006:$AU$1006,0))&gt;=100000), " ",IF(INDEX($AD$2:$AU$1001,MATCH(ROWS($W$2:W825),$W$2:$W$1001,0),MATCH(COLUMNS($AD$1006:AR1006),$AD$1006:$AU$1006,0)), HYPERLINK("#",""), HYPERLINK(CONCATENATE("#metadata!", ADDRESS(INDEX($Y$2:$Y$1001,MATCH(ROWS($W$2:W825),$W$2:$W$1001,0),0), INDEX($AD$1004:$AU$1004,1,MATCH(COLUMNS($AD$1006:AR1006),$AD$1006:$AU$1006,0)))),"Fix")))</f>
        <v xml:space="preserve"> </v>
      </c>
      <c r="Q825" s="4" t="str">
        <f ca="1">IF(OR(INDEX($X$2:$X$1001,MATCH(ROWS($W$2:W825),$W$2:$W$1001,0),1)&gt;=100000,INDEX($AD$1005:$AU$1005,1,MATCH(COLUMNS($AD$1006:AS1006),$AD$1006:$AU$1006,0))&gt;=100000), " ",IF(INDEX($AD$2:$AU$1001,MATCH(ROWS($W$2:W825),$W$2:$W$1001,0),MATCH(COLUMNS($AD$1006:AS1006),$AD$1006:$AU$1006,0)), HYPERLINK("#",""), HYPERLINK(CONCATENATE("#metadata!", ADDRESS(INDEX($Y$2:$Y$1001,MATCH(ROWS($W$2:W825),$W$2:$W$1001,0),0), INDEX($AD$1004:$AU$1004,1,MATCH(COLUMNS($AD$1006:AS1006),$AD$1006:$AU$1006,0)))),"Fix")))</f>
        <v xml:space="preserve"> </v>
      </c>
      <c r="R825" s="4" t="str">
        <f ca="1">IF(OR(INDEX($X$2:$X$1001,MATCH(ROWS($W$2:W825),$W$2:$W$1001,0),1)&gt;=100000,INDEX($AD$1005:$AU$1005,1,MATCH(COLUMNS($AD$1006:AT1006),$AD$1006:$AU$1006,0))&gt;=100000), " ",IF(INDEX($AD$2:$AU$1001,MATCH(ROWS($W$2:W825),$W$2:$W$1001,0),MATCH(COLUMNS($AD$1006:AT1006),$AD$1006:$AU$1006,0)), HYPERLINK("#",""), HYPERLINK(CONCATENATE("#metadata!", ADDRESS(INDEX($Y$2:$Y$1001,MATCH(ROWS($W$2:W825),$W$2:$W$1001,0),0), INDEX($AD$1004:$AU$1004,1,MATCH(COLUMNS($AD$1006:AT1006),$AD$1006:$AU$1006,0)))),"Fix")))</f>
        <v xml:space="preserve"> </v>
      </c>
      <c r="S825" s="4" t="str">
        <f ca="1">IF(OR(INDEX($X$2:$X$1001,MATCH(ROWS($W$2:W825),$W$2:$W$1001,0),1)&gt;=100000,INDEX($AD$1005:$AU$1005,1,MATCH(COLUMNS($AD$1006:AU1006),$AD$1006:$AU$1006,0))&gt;=100000), " ",IF(INDEX($AD$2:$AU$1001,MATCH(ROWS($W$2:W825),$W$2:$W$1001,0),MATCH(COLUMNS($AD$1006:AU1006),$AD$1006:$AU$1006,0)), HYPERLINK("#",""), HYPERLINK(CONCATENATE("#metadata!", ADDRESS(INDEX($Y$2:$Y$1001,MATCH(ROWS($W$2:W825),$W$2:$W$1001,0),0), INDEX($AD$1004:$AU$1004,1,MATCH(COLUMNS($AD$1006:AU1006),$AD$1006:$AU$1006,0)))),"Fix")))</f>
        <v xml:space="preserve"> </v>
      </c>
      <c r="W825">
        <v>824</v>
      </c>
      <c r="X825">
        <v>100825</v>
      </c>
      <c r="Y825">
        <v>825</v>
      </c>
      <c r="Z825" t="b">
        <f t="shared" si="12"/>
        <v>1</v>
      </c>
      <c r="AA825" t="b">
        <f>COUNTBLANK(metadata!B825:S825)=COLUMNS(metadata!B825:S825)</f>
        <v>1</v>
      </c>
      <c r="AB825" t="str">
        <v/>
      </c>
      <c r="AD825" t="b">
        <f ca="1">AND(IF(metadata!B825="",FALSE,TRUE),COUNTIF(metadata!B:B, metadata!B825) = 1,NOT(ISERROR(SUMPRODUCT(SEARCH(MID(metadata!B825,ROW(INDIRECT("1:"&amp;LEN(metadata!B825))), 1),"0123456789abcdefghijklmnopqrstuvwxyzABCDEFGHIJKLMNOPQRSTUVWXYZ.")))))</f>
        <v>0</v>
      </c>
      <c r="AE825" t="b">
        <f>OR(AND(IF(metadata!C825="",FALSE,TRUE),OR(EXACT(metadata!C825,"not applicable"),EXACT(metadata!C825,"missing: not collected"),EXACT(metadata!C825,"missing: not provided"),EXACT(metadata!C825,"missing: restricted access"))),AND(IF(metadata!C825="",FALSE,ISNUMBER(VALUE(metadata!C825))),metadata!C825&gt;0))</f>
        <v>0</v>
      </c>
      <c r="AF825" t="b">
        <f>AND(IF(metadata!D825="",FALSE,TRUE),EXACT(metadata!D825,"missing: not provided"))</f>
        <v>0</v>
      </c>
      <c r="AG825" t="b">
        <f>AND(IF(metadata!E825="",FALSE,TRUE),EXACT(metadata!E825,"Host-associated"))</f>
        <v>0</v>
      </c>
      <c r="AH825" t="b">
        <f>AND(IF(metadata!F825="",FALSE,TRUE),OR(EXACT(metadata!F825,"Animal"),EXACT(metadata!F825,"Fungus"),EXACT(metadata!F825,"Plant")))</f>
        <v>0</v>
      </c>
      <c r="AI825" t="b">
        <f>AND(IF(metadata!G825="",FALSE,TRUE),OR(EXACT(metadata!G825,"Plant secretion"),EXACT(metadata!G825,"Plant rhizosphere"),EXACT(metadata!G825,"Plant surface"),EXACT(metadata!G825,"Plant corpus"),EXACT(metadata!G825,"Fungus surface"),EXACT(metadata!G825,"Fungus corpus"),EXACT(metadata!G825,"Animal surface"),EXACT(metadata!G825,"Animal proximal gut"),EXACT(metadata!G825,"Animal corpus"),EXACT(metadata!G825,"Animal distal gut"),EXACT(metadata!G825,"Animal secretion")))</f>
        <v>0</v>
      </c>
      <c r="AJ825" t="b">
        <f>OR(AND(IF(metadata!H825="",FALSE,TRUE),OR(EXACT(metadata!H825,"missing: not collected"),EXACT(metadata!H825,"missing: not provided"),EXACT(metadata!H825,"missing: restricted access"))),AND(IF(metadata!H825="",FALSE,TRUE),OR(EXACT(metadata!H825,"organism-associated habitat"),EXACT(metadata!H825,"plant-associated habitat"),EXACT(metadata!H825,"animal-associated habitat"),EXACT(metadata!H825,"insecta-associated habitat"),EXACT(metadata!H825,"mammalia-associated habitat"),EXACT(metadata!H825,"human-associated habitat"),EXACT(metadata!H825,"livestock-associated habitat"))))</f>
        <v>0</v>
      </c>
      <c r="AK825" t="b">
        <f>AND(IF(metadata!I825="",FALSE,TRUE),EXACT(metadata!I825,"host-associated"))</f>
        <v>0</v>
      </c>
      <c r="AL825" t="b">
        <f>OR(AND(IF(metadata!J825="",FALSE,TRUE),OR(EXACT(metadata!J825,"not applicable"),EXACT(metadata!J825,"missing: not collected"),EXACT(metadata!J825,"missing: not provided"),EXACT(metadata!J825,"missing: restricted access"))),AND(IF(metadata!J825="",FALSE,ISNUMBER(VALUE(metadata!J825))),metadata!J825&gt;0))</f>
        <v>0</v>
      </c>
      <c r="AM825" t="b">
        <f>AND(IF(metadata!K825="",FALSE,TRUE),EXACT(metadata!K825,"missing: not provided"))</f>
        <v>0</v>
      </c>
      <c r="AN825" t="b">
        <f>IF(metadata!L825="",FALSE,TRUE)</f>
        <v>0</v>
      </c>
      <c r="AO825" t="b">
        <f>IF(metadata!M825="",FALSE,TRUE)</f>
        <v>0</v>
      </c>
      <c r="AP825" t="b">
        <f>OR(AND(IF(metadata!N825="",FALSE,TRUE),OR(EXACT(metadata!N825,"not applicable"),EXACT(metadata!N825,"missing: not collected"),EXACT(metadata!N825,"missing: not provided"))),AND(IF(metadata!N825="",FALSE,IF(ISERROR(INT(metadata!N825)),FALSE,INT(metadata!N825)=metadata!N825)),metadata!N825&gt;0))</f>
        <v>0</v>
      </c>
      <c r="AQ825" t="b">
        <f>AND(IF(metadata!O825="",FALSE,TRUE),EXACT(metadata!O825,"Not applicable"))</f>
        <v>0</v>
      </c>
      <c r="AR825" t="b">
        <f>OR(AND(IF(metadata!P825="",FALSE,TRUE),OR(EXACT(metadata!P825,"not applicable"),EXACT(metadata!P825,"missing: not collected"),EXACT(metadata!P825,"missing: not provided"),EXACT(metadata!P825,"missing: restricted access"))),IF(metadata!P825="",FALSE,IF(ISERROR(INT(metadata!P825)),FALSE,INT(metadata!P825)=metadata!P825)))</f>
        <v>0</v>
      </c>
      <c r="AS825" t="b">
        <f>AND(IF(metadata!Q825="",FALSE,TRUE),EXACT(metadata!Q825,"Not applicable"))</f>
        <v>0</v>
      </c>
      <c r="AT825" t="b">
        <f>OR(AND(IF(metadata!R825="",FALSE,TRUE),OR(EXACT(metadata!R825,"not applicable"),EXACT(metadata!R825,"missing: not collected"),EXACT(metadata!R825,"missing: not provided"),EXACT(metadata!R825,"missing: restricted access"))),AND(IF(metadata!R825="",FALSE,ISNUMBER(VALUE(metadata!R825))),metadata!R825&gt;0))</f>
        <v>0</v>
      </c>
      <c r="AU825" t="b">
        <f>AND(IF(metadata!S825="",FALSE,TRUE),EXACT(metadata!S825,"missing: not provided"))</f>
        <v>0</v>
      </c>
    </row>
    <row r="826" spans="1:47" x14ac:dyDescent="0.2">
      <c r="A826" s="5" t="str">
        <f ca="1">IF(B826=" "," ",HYPERLINK(CONCATENATE("#metadata!",ADDRESS(INDEX($Y$2:$Y$1001,MATCH(ROWS($W$2:W826),$W$2:$W$1001,0),0),1)),INDEX($AB$2:$AB$1001,MATCH(ROWS($W$2:W826),$W$2:$W$1001,0),0)))</f>
        <v xml:space="preserve"> </v>
      </c>
      <c r="B826" s="4" t="str">
        <f ca="1">IF(OR(INDEX($X$2:$X$1001,MATCH(ROWS($W$2:W826),$W$2:$W$1001,0),1)&gt;=100000,INDEX($AD$1005:$AU$1005,1,MATCH(COLUMNS($AD$1006:AD1006),$AD$1006:$AU$1006,0))&gt;=100000), " ",IF(INDEX($AD$2:$AU$1001,MATCH(ROWS($W$2:W826),$W$2:$W$1001,0),MATCH(COLUMNS($AD$1006:AD1006),$AD$1006:$AU$1006,0)), HYPERLINK("#",""), HYPERLINK(CONCATENATE("#metadata!", ADDRESS(INDEX($Y$2:$Y$1001,MATCH(ROWS($W$2:W826),$W$2:$W$1001,0),0), INDEX($AD$1004:$AU$1004,1,MATCH(COLUMNS($AD$1006:AD1006),$AD$1006:$AU$1006,0)))),"Fix")))</f>
        <v xml:space="preserve"> </v>
      </c>
      <c r="C826" s="4" t="str">
        <f ca="1">IF(OR(INDEX($X$2:$X$1001,MATCH(ROWS($W$2:W826),$W$2:$W$1001,0),1)&gt;=100000,INDEX($AD$1005:$AU$1005,1,MATCH(COLUMNS($AD$1006:AE1006),$AD$1006:$AU$1006,0))&gt;=100000), " ",IF(INDEX($AD$2:$AU$1001,MATCH(ROWS($W$2:W826),$W$2:$W$1001,0),MATCH(COLUMNS($AD$1006:AE1006),$AD$1006:$AU$1006,0)), HYPERLINK("#",""), HYPERLINK(CONCATENATE("#metadata!", ADDRESS(INDEX($Y$2:$Y$1001,MATCH(ROWS($W$2:W826),$W$2:$W$1001,0),0), INDEX($AD$1004:$AU$1004,1,MATCH(COLUMNS($AD$1006:AE1006),$AD$1006:$AU$1006,0)))),"Fix")))</f>
        <v xml:space="preserve"> </v>
      </c>
      <c r="D826" s="4" t="str">
        <f ca="1">IF(OR(INDEX($X$2:$X$1001,MATCH(ROWS($W$2:W826),$W$2:$W$1001,0),1)&gt;=100000,INDEX($AD$1005:$AU$1005,1,MATCH(COLUMNS($AD$1006:AF1006),$AD$1006:$AU$1006,0))&gt;=100000), " ",IF(INDEX($AD$2:$AU$1001,MATCH(ROWS($W$2:W826),$W$2:$W$1001,0),MATCH(COLUMNS($AD$1006:AF1006),$AD$1006:$AU$1006,0)), HYPERLINK("#",""), HYPERLINK(CONCATENATE("#metadata!", ADDRESS(INDEX($Y$2:$Y$1001,MATCH(ROWS($W$2:W826),$W$2:$W$1001,0),0), INDEX($AD$1004:$AU$1004,1,MATCH(COLUMNS($AD$1006:AF1006),$AD$1006:$AU$1006,0)))),"Fix")))</f>
        <v xml:space="preserve"> </v>
      </c>
      <c r="E826" s="4" t="str">
        <f ca="1">IF(OR(INDEX($X$2:$X$1001,MATCH(ROWS($W$2:W826),$W$2:$W$1001,0),1)&gt;=100000,INDEX($AD$1005:$AU$1005,1,MATCH(COLUMNS($AD$1006:AG1006),$AD$1006:$AU$1006,0))&gt;=100000), " ",IF(INDEX($AD$2:$AU$1001,MATCH(ROWS($W$2:W826),$W$2:$W$1001,0),MATCH(COLUMNS($AD$1006:AG1006),$AD$1006:$AU$1006,0)), HYPERLINK("#",""), HYPERLINK(CONCATENATE("#metadata!", ADDRESS(INDEX($Y$2:$Y$1001,MATCH(ROWS($W$2:W826),$W$2:$W$1001,0),0), INDEX($AD$1004:$AU$1004,1,MATCH(COLUMNS($AD$1006:AG1006),$AD$1006:$AU$1006,0)))),"Fix")))</f>
        <v xml:space="preserve"> </v>
      </c>
      <c r="F826" s="4" t="str">
        <f ca="1">IF(OR(INDEX($X$2:$X$1001,MATCH(ROWS($W$2:W826),$W$2:$W$1001,0),1)&gt;=100000,INDEX($AD$1005:$AU$1005,1,MATCH(COLUMNS($AD$1006:AH1006),$AD$1006:$AU$1006,0))&gt;=100000), " ",IF(INDEX($AD$2:$AU$1001,MATCH(ROWS($W$2:W826),$W$2:$W$1001,0),MATCH(COLUMNS($AD$1006:AH1006),$AD$1006:$AU$1006,0)), HYPERLINK("#",""), HYPERLINK(CONCATENATE("#metadata!", ADDRESS(INDEX($Y$2:$Y$1001,MATCH(ROWS($W$2:W826),$W$2:$W$1001,0),0), INDEX($AD$1004:$AU$1004,1,MATCH(COLUMNS($AD$1006:AH1006),$AD$1006:$AU$1006,0)))),"Fix")))</f>
        <v xml:space="preserve"> </v>
      </c>
      <c r="G826" s="4" t="str">
        <f ca="1">IF(OR(INDEX($X$2:$X$1001,MATCH(ROWS($W$2:W826),$W$2:$W$1001,0),1)&gt;=100000,INDEX($AD$1005:$AU$1005,1,MATCH(COLUMNS($AD$1006:AI1006),$AD$1006:$AU$1006,0))&gt;=100000), " ",IF(INDEX($AD$2:$AU$1001,MATCH(ROWS($W$2:W826),$W$2:$W$1001,0),MATCH(COLUMNS($AD$1006:AI1006),$AD$1006:$AU$1006,0)), HYPERLINK("#",""), HYPERLINK(CONCATENATE("#metadata!", ADDRESS(INDEX($Y$2:$Y$1001,MATCH(ROWS($W$2:W826),$W$2:$W$1001,0),0), INDEX($AD$1004:$AU$1004,1,MATCH(COLUMNS($AD$1006:AI1006),$AD$1006:$AU$1006,0)))),"Fix")))</f>
        <v xml:space="preserve"> </v>
      </c>
      <c r="H826" s="4" t="str">
        <f ca="1">IF(OR(INDEX($X$2:$X$1001,MATCH(ROWS($W$2:W826),$W$2:$W$1001,0),1)&gt;=100000,INDEX($AD$1005:$AU$1005,1,MATCH(COLUMNS($AD$1006:AJ1006),$AD$1006:$AU$1006,0))&gt;=100000), " ",IF(INDEX($AD$2:$AU$1001,MATCH(ROWS($W$2:W826),$W$2:$W$1001,0),MATCH(COLUMNS($AD$1006:AJ1006),$AD$1006:$AU$1006,0)), HYPERLINK("#",""), HYPERLINK(CONCATENATE("#metadata!", ADDRESS(INDEX($Y$2:$Y$1001,MATCH(ROWS($W$2:W826),$W$2:$W$1001,0),0), INDEX($AD$1004:$AU$1004,1,MATCH(COLUMNS($AD$1006:AJ1006),$AD$1006:$AU$1006,0)))),"Fix")))</f>
        <v xml:space="preserve"> </v>
      </c>
      <c r="I826" s="4" t="str">
        <f ca="1">IF(OR(INDEX($X$2:$X$1001,MATCH(ROWS($W$2:W826),$W$2:$W$1001,0),1)&gt;=100000,INDEX($AD$1005:$AU$1005,1,MATCH(COLUMNS($AD$1006:AK1006),$AD$1006:$AU$1006,0))&gt;=100000), " ",IF(INDEX($AD$2:$AU$1001,MATCH(ROWS($W$2:W826),$W$2:$W$1001,0),MATCH(COLUMNS($AD$1006:AK1006),$AD$1006:$AU$1006,0)), HYPERLINK("#",""), HYPERLINK(CONCATENATE("#metadata!", ADDRESS(INDEX($Y$2:$Y$1001,MATCH(ROWS($W$2:W826),$W$2:$W$1001,0),0), INDEX($AD$1004:$AU$1004,1,MATCH(COLUMNS($AD$1006:AK1006),$AD$1006:$AU$1006,0)))),"Fix")))</f>
        <v xml:space="preserve"> </v>
      </c>
      <c r="J826" s="4" t="str">
        <f ca="1">IF(OR(INDEX($X$2:$X$1001,MATCH(ROWS($W$2:W826),$W$2:$W$1001,0),1)&gt;=100000,INDEX($AD$1005:$AU$1005,1,MATCH(COLUMNS($AD$1006:AL1006),$AD$1006:$AU$1006,0))&gt;=100000), " ",IF(INDEX($AD$2:$AU$1001,MATCH(ROWS($W$2:W826),$W$2:$W$1001,0),MATCH(COLUMNS($AD$1006:AL1006),$AD$1006:$AU$1006,0)), HYPERLINK("#",""), HYPERLINK(CONCATENATE("#metadata!", ADDRESS(INDEX($Y$2:$Y$1001,MATCH(ROWS($W$2:W826),$W$2:$W$1001,0),0), INDEX($AD$1004:$AU$1004,1,MATCH(COLUMNS($AD$1006:AL1006),$AD$1006:$AU$1006,0)))),"Fix")))</f>
        <v xml:space="preserve"> </v>
      </c>
      <c r="K826" s="4" t="str">
        <f ca="1">IF(OR(INDEX($X$2:$X$1001,MATCH(ROWS($W$2:W826),$W$2:$W$1001,0),1)&gt;=100000,INDEX($AD$1005:$AU$1005,1,MATCH(COLUMNS($AD$1006:AM1006),$AD$1006:$AU$1006,0))&gt;=100000), " ",IF(INDEX($AD$2:$AU$1001,MATCH(ROWS($W$2:W826),$W$2:$W$1001,0),MATCH(COLUMNS($AD$1006:AM1006),$AD$1006:$AU$1006,0)), HYPERLINK("#",""), HYPERLINK(CONCATENATE("#metadata!", ADDRESS(INDEX($Y$2:$Y$1001,MATCH(ROWS($W$2:W826),$W$2:$W$1001,0),0), INDEX($AD$1004:$AU$1004,1,MATCH(COLUMNS($AD$1006:AM1006),$AD$1006:$AU$1006,0)))),"Fix")))</f>
        <v xml:space="preserve"> </v>
      </c>
      <c r="L826" s="4" t="str">
        <f ca="1">IF(OR(INDEX($X$2:$X$1001,MATCH(ROWS($W$2:W826),$W$2:$W$1001,0),1)&gt;=100000,INDEX($AD$1005:$AU$1005,1,MATCH(COLUMNS($AD$1006:AN1006),$AD$1006:$AU$1006,0))&gt;=100000), " ",IF(INDEX($AD$2:$AU$1001,MATCH(ROWS($W$2:W826),$W$2:$W$1001,0),MATCH(COLUMNS($AD$1006:AN1006),$AD$1006:$AU$1006,0)), HYPERLINK("#",""), HYPERLINK(CONCATENATE("#metadata!", ADDRESS(INDEX($Y$2:$Y$1001,MATCH(ROWS($W$2:W826),$W$2:$W$1001,0),0), INDEX($AD$1004:$AU$1004,1,MATCH(COLUMNS($AD$1006:AN1006),$AD$1006:$AU$1006,0)))),"Fix")))</f>
        <v xml:space="preserve"> </v>
      </c>
      <c r="M826" s="4" t="str">
        <f ca="1">IF(OR(INDEX($X$2:$X$1001,MATCH(ROWS($W$2:W826),$W$2:$W$1001,0),1)&gt;=100000,INDEX($AD$1005:$AU$1005,1,MATCH(COLUMNS($AD$1006:AO1006),$AD$1006:$AU$1006,0))&gt;=100000), " ",IF(INDEX($AD$2:$AU$1001,MATCH(ROWS($W$2:W826),$W$2:$W$1001,0),MATCH(COLUMNS($AD$1006:AO1006),$AD$1006:$AU$1006,0)), HYPERLINK("#",""), HYPERLINK(CONCATENATE("#metadata!", ADDRESS(INDEX($Y$2:$Y$1001,MATCH(ROWS($W$2:W826),$W$2:$W$1001,0),0), INDEX($AD$1004:$AU$1004,1,MATCH(COLUMNS($AD$1006:AO1006),$AD$1006:$AU$1006,0)))),"Fix")))</f>
        <v xml:space="preserve"> </v>
      </c>
      <c r="N826" s="4" t="str">
        <f ca="1">IF(OR(INDEX($X$2:$X$1001,MATCH(ROWS($W$2:W826),$W$2:$W$1001,0),1)&gt;=100000,INDEX($AD$1005:$AU$1005,1,MATCH(COLUMNS($AD$1006:AP1006),$AD$1006:$AU$1006,0))&gt;=100000), " ",IF(INDEX($AD$2:$AU$1001,MATCH(ROWS($W$2:W826),$W$2:$W$1001,0),MATCH(COLUMNS($AD$1006:AP1006),$AD$1006:$AU$1006,0)), HYPERLINK("#",""), HYPERLINK(CONCATENATE("#metadata!", ADDRESS(INDEX($Y$2:$Y$1001,MATCH(ROWS($W$2:W826),$W$2:$W$1001,0),0), INDEX($AD$1004:$AU$1004,1,MATCH(COLUMNS($AD$1006:AP1006),$AD$1006:$AU$1006,0)))),"Fix")))</f>
        <v xml:space="preserve"> </v>
      </c>
      <c r="O826" s="4" t="str">
        <f ca="1">IF(OR(INDEX($X$2:$X$1001,MATCH(ROWS($W$2:W826),$W$2:$W$1001,0),1)&gt;=100000,INDEX($AD$1005:$AU$1005,1,MATCH(COLUMNS($AD$1006:AQ1006),$AD$1006:$AU$1006,0))&gt;=100000), " ",IF(INDEX($AD$2:$AU$1001,MATCH(ROWS($W$2:W826),$W$2:$W$1001,0),MATCH(COLUMNS($AD$1006:AQ1006),$AD$1006:$AU$1006,0)), HYPERLINK("#",""), HYPERLINK(CONCATENATE("#metadata!", ADDRESS(INDEX($Y$2:$Y$1001,MATCH(ROWS($W$2:W826),$W$2:$W$1001,0),0), INDEX($AD$1004:$AU$1004,1,MATCH(COLUMNS($AD$1006:AQ1006),$AD$1006:$AU$1006,0)))),"Fix")))</f>
        <v xml:space="preserve"> </v>
      </c>
      <c r="P826" s="4" t="str">
        <f ca="1">IF(OR(INDEX($X$2:$X$1001,MATCH(ROWS($W$2:W826),$W$2:$W$1001,0),1)&gt;=100000,INDEX($AD$1005:$AU$1005,1,MATCH(COLUMNS($AD$1006:AR1006),$AD$1006:$AU$1006,0))&gt;=100000), " ",IF(INDEX($AD$2:$AU$1001,MATCH(ROWS($W$2:W826),$W$2:$W$1001,0),MATCH(COLUMNS($AD$1006:AR1006),$AD$1006:$AU$1006,0)), HYPERLINK("#",""), HYPERLINK(CONCATENATE("#metadata!", ADDRESS(INDEX($Y$2:$Y$1001,MATCH(ROWS($W$2:W826),$W$2:$W$1001,0),0), INDEX($AD$1004:$AU$1004,1,MATCH(COLUMNS($AD$1006:AR1006),$AD$1006:$AU$1006,0)))),"Fix")))</f>
        <v xml:space="preserve"> </v>
      </c>
      <c r="Q826" s="4" t="str">
        <f ca="1">IF(OR(INDEX($X$2:$X$1001,MATCH(ROWS($W$2:W826),$W$2:$W$1001,0),1)&gt;=100000,INDEX($AD$1005:$AU$1005,1,MATCH(COLUMNS($AD$1006:AS1006),$AD$1006:$AU$1006,0))&gt;=100000), " ",IF(INDEX($AD$2:$AU$1001,MATCH(ROWS($W$2:W826),$W$2:$W$1001,0),MATCH(COLUMNS($AD$1006:AS1006),$AD$1006:$AU$1006,0)), HYPERLINK("#",""), HYPERLINK(CONCATENATE("#metadata!", ADDRESS(INDEX($Y$2:$Y$1001,MATCH(ROWS($W$2:W826),$W$2:$W$1001,0),0), INDEX($AD$1004:$AU$1004,1,MATCH(COLUMNS($AD$1006:AS1006),$AD$1006:$AU$1006,0)))),"Fix")))</f>
        <v xml:space="preserve"> </v>
      </c>
      <c r="R826" s="4" t="str">
        <f ca="1">IF(OR(INDEX($X$2:$X$1001,MATCH(ROWS($W$2:W826),$W$2:$W$1001,0),1)&gt;=100000,INDEX($AD$1005:$AU$1005,1,MATCH(COLUMNS($AD$1006:AT1006),$AD$1006:$AU$1006,0))&gt;=100000), " ",IF(INDEX($AD$2:$AU$1001,MATCH(ROWS($W$2:W826),$W$2:$W$1001,0),MATCH(COLUMNS($AD$1006:AT1006),$AD$1006:$AU$1006,0)), HYPERLINK("#",""), HYPERLINK(CONCATENATE("#metadata!", ADDRESS(INDEX($Y$2:$Y$1001,MATCH(ROWS($W$2:W826),$W$2:$W$1001,0),0), INDEX($AD$1004:$AU$1004,1,MATCH(COLUMNS($AD$1006:AT1006),$AD$1006:$AU$1006,0)))),"Fix")))</f>
        <v xml:space="preserve"> </v>
      </c>
      <c r="S826" s="4" t="str">
        <f ca="1">IF(OR(INDEX($X$2:$X$1001,MATCH(ROWS($W$2:W826),$W$2:$W$1001,0),1)&gt;=100000,INDEX($AD$1005:$AU$1005,1,MATCH(COLUMNS($AD$1006:AU1006),$AD$1006:$AU$1006,0))&gt;=100000), " ",IF(INDEX($AD$2:$AU$1001,MATCH(ROWS($W$2:W826),$W$2:$W$1001,0),MATCH(COLUMNS($AD$1006:AU1006),$AD$1006:$AU$1006,0)), HYPERLINK("#",""), HYPERLINK(CONCATENATE("#metadata!", ADDRESS(INDEX($Y$2:$Y$1001,MATCH(ROWS($W$2:W826),$W$2:$W$1001,0),0), INDEX($AD$1004:$AU$1004,1,MATCH(COLUMNS($AD$1006:AU1006),$AD$1006:$AU$1006,0)))),"Fix")))</f>
        <v xml:space="preserve"> </v>
      </c>
      <c r="W826">
        <v>825</v>
      </c>
      <c r="X826">
        <v>100826</v>
      </c>
      <c r="Y826">
        <v>826</v>
      </c>
      <c r="Z826" t="b">
        <f t="shared" si="12"/>
        <v>1</v>
      </c>
      <c r="AA826" t="b">
        <f>COUNTBLANK(metadata!B826:S826)=COLUMNS(metadata!B826:S826)</f>
        <v>1</v>
      </c>
      <c r="AB826" t="str">
        <v/>
      </c>
      <c r="AD826" t="b">
        <f ca="1">AND(IF(metadata!B826="",FALSE,TRUE),COUNTIF(metadata!B:B, metadata!B826) = 1,NOT(ISERROR(SUMPRODUCT(SEARCH(MID(metadata!B826,ROW(INDIRECT("1:"&amp;LEN(metadata!B826))), 1),"0123456789abcdefghijklmnopqrstuvwxyzABCDEFGHIJKLMNOPQRSTUVWXYZ.")))))</f>
        <v>0</v>
      </c>
      <c r="AE826" t="b">
        <f>OR(AND(IF(metadata!C826="",FALSE,TRUE),OR(EXACT(metadata!C826,"not applicable"),EXACT(metadata!C826,"missing: not collected"),EXACT(metadata!C826,"missing: not provided"),EXACT(metadata!C826,"missing: restricted access"))),AND(IF(metadata!C826="",FALSE,ISNUMBER(VALUE(metadata!C826))),metadata!C826&gt;0))</f>
        <v>0</v>
      </c>
      <c r="AF826" t="b">
        <f>AND(IF(metadata!D826="",FALSE,TRUE),EXACT(metadata!D826,"missing: not provided"))</f>
        <v>0</v>
      </c>
      <c r="AG826" t="b">
        <f>AND(IF(metadata!E826="",FALSE,TRUE),EXACT(metadata!E826,"Host-associated"))</f>
        <v>0</v>
      </c>
      <c r="AH826" t="b">
        <f>AND(IF(metadata!F826="",FALSE,TRUE),OR(EXACT(metadata!F826,"Animal"),EXACT(metadata!F826,"Fungus"),EXACT(metadata!F826,"Plant")))</f>
        <v>0</v>
      </c>
      <c r="AI826" t="b">
        <f>AND(IF(metadata!G826="",FALSE,TRUE),OR(EXACT(metadata!G826,"Plant secretion"),EXACT(metadata!G826,"Plant rhizosphere"),EXACT(metadata!G826,"Plant surface"),EXACT(metadata!G826,"Plant corpus"),EXACT(metadata!G826,"Fungus surface"),EXACT(metadata!G826,"Fungus corpus"),EXACT(metadata!G826,"Animal surface"),EXACT(metadata!G826,"Animal proximal gut"),EXACT(metadata!G826,"Animal corpus"),EXACT(metadata!G826,"Animal distal gut"),EXACT(metadata!G826,"Animal secretion")))</f>
        <v>0</v>
      </c>
      <c r="AJ826" t="b">
        <f>OR(AND(IF(metadata!H826="",FALSE,TRUE),OR(EXACT(metadata!H826,"missing: not collected"),EXACT(metadata!H826,"missing: not provided"),EXACT(metadata!H826,"missing: restricted access"))),AND(IF(metadata!H826="",FALSE,TRUE),OR(EXACT(metadata!H826,"organism-associated habitat"),EXACT(metadata!H826,"plant-associated habitat"),EXACT(metadata!H826,"animal-associated habitat"),EXACT(metadata!H826,"insecta-associated habitat"),EXACT(metadata!H826,"mammalia-associated habitat"),EXACT(metadata!H826,"human-associated habitat"),EXACT(metadata!H826,"livestock-associated habitat"))))</f>
        <v>0</v>
      </c>
      <c r="AK826" t="b">
        <f>AND(IF(metadata!I826="",FALSE,TRUE),EXACT(metadata!I826,"host-associated"))</f>
        <v>0</v>
      </c>
      <c r="AL826" t="b">
        <f>OR(AND(IF(metadata!J826="",FALSE,TRUE),OR(EXACT(metadata!J826,"not applicable"),EXACT(metadata!J826,"missing: not collected"),EXACT(metadata!J826,"missing: not provided"),EXACT(metadata!J826,"missing: restricted access"))),AND(IF(metadata!J826="",FALSE,ISNUMBER(VALUE(metadata!J826))),metadata!J826&gt;0))</f>
        <v>0</v>
      </c>
      <c r="AM826" t="b">
        <f>AND(IF(metadata!K826="",FALSE,TRUE),EXACT(metadata!K826,"missing: not provided"))</f>
        <v>0</v>
      </c>
      <c r="AN826" t="b">
        <f>IF(metadata!L826="",FALSE,TRUE)</f>
        <v>0</v>
      </c>
      <c r="AO826" t="b">
        <f>IF(metadata!M826="",FALSE,TRUE)</f>
        <v>0</v>
      </c>
      <c r="AP826" t="b">
        <f>OR(AND(IF(metadata!N826="",FALSE,TRUE),OR(EXACT(metadata!N826,"not applicable"),EXACT(metadata!N826,"missing: not collected"),EXACT(metadata!N826,"missing: not provided"))),AND(IF(metadata!N826="",FALSE,IF(ISERROR(INT(metadata!N826)),FALSE,INT(metadata!N826)=metadata!N826)),metadata!N826&gt;0))</f>
        <v>0</v>
      </c>
      <c r="AQ826" t="b">
        <f>AND(IF(metadata!O826="",FALSE,TRUE),EXACT(metadata!O826,"Not applicable"))</f>
        <v>0</v>
      </c>
      <c r="AR826" t="b">
        <f>OR(AND(IF(metadata!P826="",FALSE,TRUE),OR(EXACT(metadata!P826,"not applicable"),EXACT(metadata!P826,"missing: not collected"),EXACT(metadata!P826,"missing: not provided"),EXACT(metadata!P826,"missing: restricted access"))),IF(metadata!P826="",FALSE,IF(ISERROR(INT(metadata!P826)),FALSE,INT(metadata!P826)=metadata!P826)))</f>
        <v>0</v>
      </c>
      <c r="AS826" t="b">
        <f>AND(IF(metadata!Q826="",FALSE,TRUE),EXACT(metadata!Q826,"Not applicable"))</f>
        <v>0</v>
      </c>
      <c r="AT826" t="b">
        <f>OR(AND(IF(metadata!R826="",FALSE,TRUE),OR(EXACT(metadata!R826,"not applicable"),EXACT(metadata!R826,"missing: not collected"),EXACT(metadata!R826,"missing: not provided"),EXACT(metadata!R826,"missing: restricted access"))),AND(IF(metadata!R826="",FALSE,ISNUMBER(VALUE(metadata!R826))),metadata!R826&gt;0))</f>
        <v>0</v>
      </c>
      <c r="AU826" t="b">
        <f>AND(IF(metadata!S826="",FALSE,TRUE),EXACT(metadata!S826,"missing: not provided"))</f>
        <v>0</v>
      </c>
    </row>
    <row r="827" spans="1:47" x14ac:dyDescent="0.2">
      <c r="A827" s="5" t="str">
        <f ca="1">IF(B827=" "," ",HYPERLINK(CONCATENATE("#metadata!",ADDRESS(INDEX($Y$2:$Y$1001,MATCH(ROWS($W$2:W827),$W$2:$W$1001,0),0),1)),INDEX($AB$2:$AB$1001,MATCH(ROWS($W$2:W827),$W$2:$W$1001,0),0)))</f>
        <v xml:space="preserve"> </v>
      </c>
      <c r="B827" s="4" t="str">
        <f ca="1">IF(OR(INDEX($X$2:$X$1001,MATCH(ROWS($W$2:W827),$W$2:$W$1001,0),1)&gt;=100000,INDEX($AD$1005:$AU$1005,1,MATCH(COLUMNS($AD$1006:AD1006),$AD$1006:$AU$1006,0))&gt;=100000), " ",IF(INDEX($AD$2:$AU$1001,MATCH(ROWS($W$2:W827),$W$2:$W$1001,0),MATCH(COLUMNS($AD$1006:AD1006),$AD$1006:$AU$1006,0)), HYPERLINK("#",""), HYPERLINK(CONCATENATE("#metadata!", ADDRESS(INDEX($Y$2:$Y$1001,MATCH(ROWS($W$2:W827),$W$2:$W$1001,0),0), INDEX($AD$1004:$AU$1004,1,MATCH(COLUMNS($AD$1006:AD1006),$AD$1006:$AU$1006,0)))),"Fix")))</f>
        <v xml:space="preserve"> </v>
      </c>
      <c r="C827" s="4" t="str">
        <f ca="1">IF(OR(INDEX($X$2:$X$1001,MATCH(ROWS($W$2:W827),$W$2:$W$1001,0),1)&gt;=100000,INDEX($AD$1005:$AU$1005,1,MATCH(COLUMNS($AD$1006:AE1006),$AD$1006:$AU$1006,0))&gt;=100000), " ",IF(INDEX($AD$2:$AU$1001,MATCH(ROWS($W$2:W827),$W$2:$W$1001,0),MATCH(COLUMNS($AD$1006:AE1006),$AD$1006:$AU$1006,0)), HYPERLINK("#",""), HYPERLINK(CONCATENATE("#metadata!", ADDRESS(INDEX($Y$2:$Y$1001,MATCH(ROWS($W$2:W827),$W$2:$W$1001,0),0), INDEX($AD$1004:$AU$1004,1,MATCH(COLUMNS($AD$1006:AE1006),$AD$1006:$AU$1006,0)))),"Fix")))</f>
        <v xml:space="preserve"> </v>
      </c>
      <c r="D827" s="4" t="str">
        <f ca="1">IF(OR(INDEX($X$2:$X$1001,MATCH(ROWS($W$2:W827),$W$2:$W$1001,0),1)&gt;=100000,INDEX($AD$1005:$AU$1005,1,MATCH(COLUMNS($AD$1006:AF1006),$AD$1006:$AU$1006,0))&gt;=100000), " ",IF(INDEX($AD$2:$AU$1001,MATCH(ROWS($W$2:W827),$W$2:$W$1001,0),MATCH(COLUMNS($AD$1006:AF1006),$AD$1006:$AU$1006,0)), HYPERLINK("#",""), HYPERLINK(CONCATENATE("#metadata!", ADDRESS(INDEX($Y$2:$Y$1001,MATCH(ROWS($W$2:W827),$W$2:$W$1001,0),0), INDEX($AD$1004:$AU$1004,1,MATCH(COLUMNS($AD$1006:AF1006),$AD$1006:$AU$1006,0)))),"Fix")))</f>
        <v xml:space="preserve"> </v>
      </c>
      <c r="E827" s="4" t="str">
        <f ca="1">IF(OR(INDEX($X$2:$X$1001,MATCH(ROWS($W$2:W827),$W$2:$W$1001,0),1)&gt;=100000,INDEX($AD$1005:$AU$1005,1,MATCH(COLUMNS($AD$1006:AG1006),$AD$1006:$AU$1006,0))&gt;=100000), " ",IF(INDEX($AD$2:$AU$1001,MATCH(ROWS($W$2:W827),$W$2:$W$1001,0),MATCH(COLUMNS($AD$1006:AG1006),$AD$1006:$AU$1006,0)), HYPERLINK("#",""), HYPERLINK(CONCATENATE("#metadata!", ADDRESS(INDEX($Y$2:$Y$1001,MATCH(ROWS($W$2:W827),$W$2:$W$1001,0),0), INDEX($AD$1004:$AU$1004,1,MATCH(COLUMNS($AD$1006:AG1006),$AD$1006:$AU$1006,0)))),"Fix")))</f>
        <v xml:space="preserve"> </v>
      </c>
      <c r="F827" s="4" t="str">
        <f ca="1">IF(OR(INDEX($X$2:$X$1001,MATCH(ROWS($W$2:W827),$W$2:$W$1001,0),1)&gt;=100000,INDEX($AD$1005:$AU$1005,1,MATCH(COLUMNS($AD$1006:AH1006),$AD$1006:$AU$1006,0))&gt;=100000), " ",IF(INDEX($AD$2:$AU$1001,MATCH(ROWS($W$2:W827),$W$2:$W$1001,0),MATCH(COLUMNS($AD$1006:AH1006),$AD$1006:$AU$1006,0)), HYPERLINK("#",""), HYPERLINK(CONCATENATE("#metadata!", ADDRESS(INDEX($Y$2:$Y$1001,MATCH(ROWS($W$2:W827),$W$2:$W$1001,0),0), INDEX($AD$1004:$AU$1004,1,MATCH(COLUMNS($AD$1006:AH1006),$AD$1006:$AU$1006,0)))),"Fix")))</f>
        <v xml:space="preserve"> </v>
      </c>
      <c r="G827" s="4" t="str">
        <f ca="1">IF(OR(INDEX($X$2:$X$1001,MATCH(ROWS($W$2:W827),$W$2:$W$1001,0),1)&gt;=100000,INDEX($AD$1005:$AU$1005,1,MATCH(COLUMNS($AD$1006:AI1006),$AD$1006:$AU$1006,0))&gt;=100000), " ",IF(INDEX($AD$2:$AU$1001,MATCH(ROWS($W$2:W827),$W$2:$W$1001,0),MATCH(COLUMNS($AD$1006:AI1006),$AD$1006:$AU$1006,0)), HYPERLINK("#",""), HYPERLINK(CONCATENATE("#metadata!", ADDRESS(INDEX($Y$2:$Y$1001,MATCH(ROWS($W$2:W827),$W$2:$W$1001,0),0), INDEX($AD$1004:$AU$1004,1,MATCH(COLUMNS($AD$1006:AI1006),$AD$1006:$AU$1006,0)))),"Fix")))</f>
        <v xml:space="preserve"> </v>
      </c>
      <c r="H827" s="4" t="str">
        <f ca="1">IF(OR(INDEX($X$2:$X$1001,MATCH(ROWS($W$2:W827),$W$2:$W$1001,0),1)&gt;=100000,INDEX($AD$1005:$AU$1005,1,MATCH(COLUMNS($AD$1006:AJ1006),$AD$1006:$AU$1006,0))&gt;=100000), " ",IF(INDEX($AD$2:$AU$1001,MATCH(ROWS($W$2:W827),$W$2:$W$1001,0),MATCH(COLUMNS($AD$1006:AJ1006),$AD$1006:$AU$1006,0)), HYPERLINK("#",""), HYPERLINK(CONCATENATE("#metadata!", ADDRESS(INDEX($Y$2:$Y$1001,MATCH(ROWS($W$2:W827),$W$2:$W$1001,0),0), INDEX($AD$1004:$AU$1004,1,MATCH(COLUMNS($AD$1006:AJ1006),$AD$1006:$AU$1006,0)))),"Fix")))</f>
        <v xml:space="preserve"> </v>
      </c>
      <c r="I827" s="4" t="str">
        <f ca="1">IF(OR(INDEX($X$2:$X$1001,MATCH(ROWS($W$2:W827),$W$2:$W$1001,0),1)&gt;=100000,INDEX($AD$1005:$AU$1005,1,MATCH(COLUMNS($AD$1006:AK1006),$AD$1006:$AU$1006,0))&gt;=100000), " ",IF(INDEX($AD$2:$AU$1001,MATCH(ROWS($W$2:W827),$W$2:$W$1001,0),MATCH(COLUMNS($AD$1006:AK1006),$AD$1006:$AU$1006,0)), HYPERLINK("#",""), HYPERLINK(CONCATENATE("#metadata!", ADDRESS(INDEX($Y$2:$Y$1001,MATCH(ROWS($W$2:W827),$W$2:$W$1001,0),0), INDEX($AD$1004:$AU$1004,1,MATCH(COLUMNS($AD$1006:AK1006),$AD$1006:$AU$1006,0)))),"Fix")))</f>
        <v xml:space="preserve"> </v>
      </c>
      <c r="J827" s="4" t="str">
        <f ca="1">IF(OR(INDEX($X$2:$X$1001,MATCH(ROWS($W$2:W827),$W$2:$W$1001,0),1)&gt;=100000,INDEX($AD$1005:$AU$1005,1,MATCH(COLUMNS($AD$1006:AL1006),$AD$1006:$AU$1006,0))&gt;=100000), " ",IF(INDEX($AD$2:$AU$1001,MATCH(ROWS($W$2:W827),$W$2:$W$1001,0),MATCH(COLUMNS($AD$1006:AL1006),$AD$1006:$AU$1006,0)), HYPERLINK("#",""), HYPERLINK(CONCATENATE("#metadata!", ADDRESS(INDEX($Y$2:$Y$1001,MATCH(ROWS($W$2:W827),$W$2:$W$1001,0),0), INDEX($AD$1004:$AU$1004,1,MATCH(COLUMNS($AD$1006:AL1006),$AD$1006:$AU$1006,0)))),"Fix")))</f>
        <v xml:space="preserve"> </v>
      </c>
      <c r="K827" s="4" t="str">
        <f ca="1">IF(OR(INDEX($X$2:$X$1001,MATCH(ROWS($W$2:W827),$W$2:$W$1001,0),1)&gt;=100000,INDEX($AD$1005:$AU$1005,1,MATCH(COLUMNS($AD$1006:AM1006),$AD$1006:$AU$1006,0))&gt;=100000), " ",IF(INDEX($AD$2:$AU$1001,MATCH(ROWS($W$2:W827),$W$2:$W$1001,0),MATCH(COLUMNS($AD$1006:AM1006),$AD$1006:$AU$1006,0)), HYPERLINK("#",""), HYPERLINK(CONCATENATE("#metadata!", ADDRESS(INDEX($Y$2:$Y$1001,MATCH(ROWS($W$2:W827),$W$2:$W$1001,0),0), INDEX($AD$1004:$AU$1004,1,MATCH(COLUMNS($AD$1006:AM1006),$AD$1006:$AU$1006,0)))),"Fix")))</f>
        <v xml:space="preserve"> </v>
      </c>
      <c r="L827" s="4" t="str">
        <f ca="1">IF(OR(INDEX($X$2:$X$1001,MATCH(ROWS($W$2:W827),$W$2:$W$1001,0),1)&gt;=100000,INDEX($AD$1005:$AU$1005,1,MATCH(COLUMNS($AD$1006:AN1006),$AD$1006:$AU$1006,0))&gt;=100000), " ",IF(INDEX($AD$2:$AU$1001,MATCH(ROWS($W$2:W827),$W$2:$W$1001,0),MATCH(COLUMNS($AD$1006:AN1006),$AD$1006:$AU$1006,0)), HYPERLINK("#",""), HYPERLINK(CONCATENATE("#metadata!", ADDRESS(INDEX($Y$2:$Y$1001,MATCH(ROWS($W$2:W827),$W$2:$W$1001,0),0), INDEX($AD$1004:$AU$1004,1,MATCH(COLUMNS($AD$1006:AN1006),$AD$1006:$AU$1006,0)))),"Fix")))</f>
        <v xml:space="preserve"> </v>
      </c>
      <c r="M827" s="4" t="str">
        <f ca="1">IF(OR(INDEX($X$2:$X$1001,MATCH(ROWS($W$2:W827),$W$2:$W$1001,0),1)&gt;=100000,INDEX($AD$1005:$AU$1005,1,MATCH(COLUMNS($AD$1006:AO1006),$AD$1006:$AU$1006,0))&gt;=100000), " ",IF(INDEX($AD$2:$AU$1001,MATCH(ROWS($W$2:W827),$W$2:$W$1001,0),MATCH(COLUMNS($AD$1006:AO1006),$AD$1006:$AU$1006,0)), HYPERLINK("#",""), HYPERLINK(CONCATENATE("#metadata!", ADDRESS(INDEX($Y$2:$Y$1001,MATCH(ROWS($W$2:W827),$W$2:$W$1001,0),0), INDEX($AD$1004:$AU$1004,1,MATCH(COLUMNS($AD$1006:AO1006),$AD$1006:$AU$1006,0)))),"Fix")))</f>
        <v xml:space="preserve"> </v>
      </c>
      <c r="N827" s="4" t="str">
        <f ca="1">IF(OR(INDEX($X$2:$X$1001,MATCH(ROWS($W$2:W827),$W$2:$W$1001,0),1)&gt;=100000,INDEX($AD$1005:$AU$1005,1,MATCH(COLUMNS($AD$1006:AP1006),$AD$1006:$AU$1006,0))&gt;=100000), " ",IF(INDEX($AD$2:$AU$1001,MATCH(ROWS($W$2:W827),$W$2:$W$1001,0),MATCH(COLUMNS($AD$1006:AP1006),$AD$1006:$AU$1006,0)), HYPERLINK("#",""), HYPERLINK(CONCATENATE("#metadata!", ADDRESS(INDEX($Y$2:$Y$1001,MATCH(ROWS($W$2:W827),$W$2:$W$1001,0),0), INDEX($AD$1004:$AU$1004,1,MATCH(COLUMNS($AD$1006:AP1006),$AD$1006:$AU$1006,0)))),"Fix")))</f>
        <v xml:space="preserve"> </v>
      </c>
      <c r="O827" s="4" t="str">
        <f ca="1">IF(OR(INDEX($X$2:$X$1001,MATCH(ROWS($W$2:W827),$W$2:$W$1001,0),1)&gt;=100000,INDEX($AD$1005:$AU$1005,1,MATCH(COLUMNS($AD$1006:AQ1006),$AD$1006:$AU$1006,0))&gt;=100000), " ",IF(INDEX($AD$2:$AU$1001,MATCH(ROWS($W$2:W827),$W$2:$W$1001,0),MATCH(COLUMNS($AD$1006:AQ1006),$AD$1006:$AU$1006,0)), HYPERLINK("#",""), HYPERLINK(CONCATENATE("#metadata!", ADDRESS(INDEX($Y$2:$Y$1001,MATCH(ROWS($W$2:W827),$W$2:$W$1001,0),0), INDEX($AD$1004:$AU$1004,1,MATCH(COLUMNS($AD$1006:AQ1006),$AD$1006:$AU$1006,0)))),"Fix")))</f>
        <v xml:space="preserve"> </v>
      </c>
      <c r="P827" s="4" t="str">
        <f ca="1">IF(OR(INDEX($X$2:$X$1001,MATCH(ROWS($W$2:W827),$W$2:$W$1001,0),1)&gt;=100000,INDEX($AD$1005:$AU$1005,1,MATCH(COLUMNS($AD$1006:AR1006),$AD$1006:$AU$1006,0))&gt;=100000), " ",IF(INDEX($AD$2:$AU$1001,MATCH(ROWS($W$2:W827),$W$2:$W$1001,0),MATCH(COLUMNS($AD$1006:AR1006),$AD$1006:$AU$1006,0)), HYPERLINK("#",""), HYPERLINK(CONCATENATE("#metadata!", ADDRESS(INDEX($Y$2:$Y$1001,MATCH(ROWS($W$2:W827),$W$2:$W$1001,0),0), INDEX($AD$1004:$AU$1004,1,MATCH(COLUMNS($AD$1006:AR1006),$AD$1006:$AU$1006,0)))),"Fix")))</f>
        <v xml:space="preserve"> </v>
      </c>
      <c r="Q827" s="4" t="str">
        <f ca="1">IF(OR(INDEX($X$2:$X$1001,MATCH(ROWS($W$2:W827),$W$2:$W$1001,0),1)&gt;=100000,INDEX($AD$1005:$AU$1005,1,MATCH(COLUMNS($AD$1006:AS1006),$AD$1006:$AU$1006,0))&gt;=100000), " ",IF(INDEX($AD$2:$AU$1001,MATCH(ROWS($W$2:W827),$W$2:$W$1001,0),MATCH(COLUMNS($AD$1006:AS1006),$AD$1006:$AU$1006,0)), HYPERLINK("#",""), HYPERLINK(CONCATENATE("#metadata!", ADDRESS(INDEX($Y$2:$Y$1001,MATCH(ROWS($W$2:W827),$W$2:$W$1001,0),0), INDEX($AD$1004:$AU$1004,1,MATCH(COLUMNS($AD$1006:AS1006),$AD$1006:$AU$1006,0)))),"Fix")))</f>
        <v xml:space="preserve"> </v>
      </c>
      <c r="R827" s="4" t="str">
        <f ca="1">IF(OR(INDEX($X$2:$X$1001,MATCH(ROWS($W$2:W827),$W$2:$W$1001,0),1)&gt;=100000,INDEX($AD$1005:$AU$1005,1,MATCH(COLUMNS($AD$1006:AT1006),$AD$1006:$AU$1006,0))&gt;=100000), " ",IF(INDEX($AD$2:$AU$1001,MATCH(ROWS($W$2:W827),$W$2:$W$1001,0),MATCH(COLUMNS($AD$1006:AT1006),$AD$1006:$AU$1006,0)), HYPERLINK("#",""), HYPERLINK(CONCATENATE("#metadata!", ADDRESS(INDEX($Y$2:$Y$1001,MATCH(ROWS($W$2:W827),$W$2:$W$1001,0),0), INDEX($AD$1004:$AU$1004,1,MATCH(COLUMNS($AD$1006:AT1006),$AD$1006:$AU$1006,0)))),"Fix")))</f>
        <v xml:space="preserve"> </v>
      </c>
      <c r="S827" s="4" t="str">
        <f ca="1">IF(OR(INDEX($X$2:$X$1001,MATCH(ROWS($W$2:W827),$W$2:$W$1001,0),1)&gt;=100000,INDEX($AD$1005:$AU$1005,1,MATCH(COLUMNS($AD$1006:AU1006),$AD$1006:$AU$1006,0))&gt;=100000), " ",IF(INDEX($AD$2:$AU$1001,MATCH(ROWS($W$2:W827),$W$2:$W$1001,0),MATCH(COLUMNS($AD$1006:AU1006),$AD$1006:$AU$1006,0)), HYPERLINK("#",""), HYPERLINK(CONCATENATE("#metadata!", ADDRESS(INDEX($Y$2:$Y$1001,MATCH(ROWS($W$2:W827),$W$2:$W$1001,0),0), INDEX($AD$1004:$AU$1004,1,MATCH(COLUMNS($AD$1006:AU1006),$AD$1006:$AU$1006,0)))),"Fix")))</f>
        <v xml:space="preserve"> </v>
      </c>
      <c r="W827">
        <v>826</v>
      </c>
      <c r="X827">
        <v>100827</v>
      </c>
      <c r="Y827">
        <v>827</v>
      </c>
      <c r="Z827" t="b">
        <f t="shared" si="12"/>
        <v>1</v>
      </c>
      <c r="AA827" t="b">
        <f>COUNTBLANK(metadata!B827:S827)=COLUMNS(metadata!B827:S827)</f>
        <v>1</v>
      </c>
      <c r="AB827" t="str">
        <v/>
      </c>
      <c r="AD827" t="b">
        <f ca="1">AND(IF(metadata!B827="",FALSE,TRUE),COUNTIF(metadata!B:B, metadata!B827) = 1,NOT(ISERROR(SUMPRODUCT(SEARCH(MID(metadata!B827,ROW(INDIRECT("1:"&amp;LEN(metadata!B827))), 1),"0123456789abcdefghijklmnopqrstuvwxyzABCDEFGHIJKLMNOPQRSTUVWXYZ.")))))</f>
        <v>0</v>
      </c>
      <c r="AE827" t="b">
        <f>OR(AND(IF(metadata!C827="",FALSE,TRUE),OR(EXACT(metadata!C827,"not applicable"),EXACT(metadata!C827,"missing: not collected"),EXACT(metadata!C827,"missing: not provided"),EXACT(metadata!C827,"missing: restricted access"))),AND(IF(metadata!C827="",FALSE,ISNUMBER(VALUE(metadata!C827))),metadata!C827&gt;0))</f>
        <v>0</v>
      </c>
      <c r="AF827" t="b">
        <f>AND(IF(metadata!D827="",FALSE,TRUE),EXACT(metadata!D827,"missing: not provided"))</f>
        <v>0</v>
      </c>
      <c r="AG827" t="b">
        <f>AND(IF(metadata!E827="",FALSE,TRUE),EXACT(metadata!E827,"Host-associated"))</f>
        <v>0</v>
      </c>
      <c r="AH827" t="b">
        <f>AND(IF(metadata!F827="",FALSE,TRUE),OR(EXACT(metadata!F827,"Animal"),EXACT(metadata!F827,"Fungus"),EXACT(metadata!F827,"Plant")))</f>
        <v>0</v>
      </c>
      <c r="AI827" t="b">
        <f>AND(IF(metadata!G827="",FALSE,TRUE),OR(EXACT(metadata!G827,"Plant secretion"),EXACT(metadata!G827,"Plant rhizosphere"),EXACT(metadata!G827,"Plant surface"),EXACT(metadata!G827,"Plant corpus"),EXACT(metadata!G827,"Fungus surface"),EXACT(metadata!G827,"Fungus corpus"),EXACT(metadata!G827,"Animal surface"),EXACT(metadata!G827,"Animal proximal gut"),EXACT(metadata!G827,"Animal corpus"),EXACT(metadata!G827,"Animal distal gut"),EXACT(metadata!G827,"Animal secretion")))</f>
        <v>0</v>
      </c>
      <c r="AJ827" t="b">
        <f>OR(AND(IF(metadata!H827="",FALSE,TRUE),OR(EXACT(metadata!H827,"missing: not collected"),EXACT(metadata!H827,"missing: not provided"),EXACT(metadata!H827,"missing: restricted access"))),AND(IF(metadata!H827="",FALSE,TRUE),OR(EXACT(metadata!H827,"organism-associated habitat"),EXACT(metadata!H827,"plant-associated habitat"),EXACT(metadata!H827,"animal-associated habitat"),EXACT(metadata!H827,"insecta-associated habitat"),EXACT(metadata!H827,"mammalia-associated habitat"),EXACT(metadata!H827,"human-associated habitat"),EXACT(metadata!H827,"livestock-associated habitat"))))</f>
        <v>0</v>
      </c>
      <c r="AK827" t="b">
        <f>AND(IF(metadata!I827="",FALSE,TRUE),EXACT(metadata!I827,"host-associated"))</f>
        <v>0</v>
      </c>
      <c r="AL827" t="b">
        <f>OR(AND(IF(metadata!J827="",FALSE,TRUE),OR(EXACT(metadata!J827,"not applicable"),EXACT(metadata!J827,"missing: not collected"),EXACT(metadata!J827,"missing: not provided"),EXACT(metadata!J827,"missing: restricted access"))),AND(IF(metadata!J827="",FALSE,ISNUMBER(VALUE(metadata!J827))),metadata!J827&gt;0))</f>
        <v>0</v>
      </c>
      <c r="AM827" t="b">
        <f>AND(IF(metadata!K827="",FALSE,TRUE),EXACT(metadata!K827,"missing: not provided"))</f>
        <v>0</v>
      </c>
      <c r="AN827" t="b">
        <f>IF(metadata!L827="",FALSE,TRUE)</f>
        <v>0</v>
      </c>
      <c r="AO827" t="b">
        <f>IF(metadata!M827="",FALSE,TRUE)</f>
        <v>0</v>
      </c>
      <c r="AP827" t="b">
        <f>OR(AND(IF(metadata!N827="",FALSE,TRUE),OR(EXACT(metadata!N827,"not applicable"),EXACT(metadata!N827,"missing: not collected"),EXACT(metadata!N827,"missing: not provided"))),AND(IF(metadata!N827="",FALSE,IF(ISERROR(INT(metadata!N827)),FALSE,INT(metadata!N827)=metadata!N827)),metadata!N827&gt;0))</f>
        <v>0</v>
      </c>
      <c r="AQ827" t="b">
        <f>AND(IF(metadata!O827="",FALSE,TRUE),EXACT(metadata!O827,"Not applicable"))</f>
        <v>0</v>
      </c>
      <c r="AR827" t="b">
        <f>OR(AND(IF(metadata!P827="",FALSE,TRUE),OR(EXACT(metadata!P827,"not applicable"),EXACT(metadata!P827,"missing: not collected"),EXACT(metadata!P827,"missing: not provided"),EXACT(metadata!P827,"missing: restricted access"))),IF(metadata!P827="",FALSE,IF(ISERROR(INT(metadata!P827)),FALSE,INT(metadata!P827)=metadata!P827)))</f>
        <v>0</v>
      </c>
      <c r="AS827" t="b">
        <f>AND(IF(metadata!Q827="",FALSE,TRUE),EXACT(metadata!Q827,"Not applicable"))</f>
        <v>0</v>
      </c>
      <c r="AT827" t="b">
        <f>OR(AND(IF(metadata!R827="",FALSE,TRUE),OR(EXACT(metadata!R827,"not applicable"),EXACT(metadata!R827,"missing: not collected"),EXACT(metadata!R827,"missing: not provided"),EXACT(metadata!R827,"missing: restricted access"))),AND(IF(metadata!R827="",FALSE,ISNUMBER(VALUE(metadata!R827))),metadata!R827&gt;0))</f>
        <v>0</v>
      </c>
      <c r="AU827" t="b">
        <f>AND(IF(metadata!S827="",FALSE,TRUE),EXACT(metadata!S827,"missing: not provided"))</f>
        <v>0</v>
      </c>
    </row>
    <row r="828" spans="1:47" x14ac:dyDescent="0.2">
      <c r="A828" s="5" t="str">
        <f ca="1">IF(B828=" "," ",HYPERLINK(CONCATENATE("#metadata!",ADDRESS(INDEX($Y$2:$Y$1001,MATCH(ROWS($W$2:W828),$W$2:$W$1001,0),0),1)),INDEX($AB$2:$AB$1001,MATCH(ROWS($W$2:W828),$W$2:$W$1001,0),0)))</f>
        <v xml:space="preserve"> </v>
      </c>
      <c r="B828" s="4" t="str">
        <f ca="1">IF(OR(INDEX($X$2:$X$1001,MATCH(ROWS($W$2:W828),$W$2:$W$1001,0),1)&gt;=100000,INDEX($AD$1005:$AU$1005,1,MATCH(COLUMNS($AD$1006:AD1006),$AD$1006:$AU$1006,0))&gt;=100000), " ",IF(INDEX($AD$2:$AU$1001,MATCH(ROWS($W$2:W828),$W$2:$W$1001,0),MATCH(COLUMNS($AD$1006:AD1006),$AD$1006:$AU$1006,0)), HYPERLINK("#",""), HYPERLINK(CONCATENATE("#metadata!", ADDRESS(INDEX($Y$2:$Y$1001,MATCH(ROWS($W$2:W828),$W$2:$W$1001,0),0), INDEX($AD$1004:$AU$1004,1,MATCH(COLUMNS($AD$1006:AD1006),$AD$1006:$AU$1006,0)))),"Fix")))</f>
        <v xml:space="preserve"> </v>
      </c>
      <c r="C828" s="4" t="str">
        <f ca="1">IF(OR(INDEX($X$2:$X$1001,MATCH(ROWS($W$2:W828),$W$2:$W$1001,0),1)&gt;=100000,INDEX($AD$1005:$AU$1005,1,MATCH(COLUMNS($AD$1006:AE1006),$AD$1006:$AU$1006,0))&gt;=100000), " ",IF(INDEX($AD$2:$AU$1001,MATCH(ROWS($W$2:W828),$W$2:$W$1001,0),MATCH(COLUMNS($AD$1006:AE1006),$AD$1006:$AU$1006,0)), HYPERLINK("#",""), HYPERLINK(CONCATENATE("#metadata!", ADDRESS(INDEX($Y$2:$Y$1001,MATCH(ROWS($W$2:W828),$W$2:$W$1001,0),0), INDEX($AD$1004:$AU$1004,1,MATCH(COLUMNS($AD$1006:AE1006),$AD$1006:$AU$1006,0)))),"Fix")))</f>
        <v xml:space="preserve"> </v>
      </c>
      <c r="D828" s="4" t="str">
        <f ca="1">IF(OR(INDEX($X$2:$X$1001,MATCH(ROWS($W$2:W828),$W$2:$W$1001,0),1)&gt;=100000,INDEX($AD$1005:$AU$1005,1,MATCH(COLUMNS($AD$1006:AF1006),$AD$1006:$AU$1006,0))&gt;=100000), " ",IF(INDEX($AD$2:$AU$1001,MATCH(ROWS($W$2:W828),$W$2:$W$1001,0),MATCH(COLUMNS($AD$1006:AF1006),$AD$1006:$AU$1006,0)), HYPERLINK("#",""), HYPERLINK(CONCATENATE("#metadata!", ADDRESS(INDEX($Y$2:$Y$1001,MATCH(ROWS($W$2:W828),$W$2:$W$1001,0),0), INDEX($AD$1004:$AU$1004,1,MATCH(COLUMNS($AD$1006:AF1006),$AD$1006:$AU$1006,0)))),"Fix")))</f>
        <v xml:space="preserve"> </v>
      </c>
      <c r="E828" s="4" t="str">
        <f ca="1">IF(OR(INDEX($X$2:$X$1001,MATCH(ROWS($W$2:W828),$W$2:$W$1001,0),1)&gt;=100000,INDEX($AD$1005:$AU$1005,1,MATCH(COLUMNS($AD$1006:AG1006),$AD$1006:$AU$1006,0))&gt;=100000), " ",IF(INDEX($AD$2:$AU$1001,MATCH(ROWS($W$2:W828),$W$2:$W$1001,0),MATCH(COLUMNS($AD$1006:AG1006),$AD$1006:$AU$1006,0)), HYPERLINK("#",""), HYPERLINK(CONCATENATE("#metadata!", ADDRESS(INDEX($Y$2:$Y$1001,MATCH(ROWS($W$2:W828),$W$2:$W$1001,0),0), INDEX($AD$1004:$AU$1004,1,MATCH(COLUMNS($AD$1006:AG1006),$AD$1006:$AU$1006,0)))),"Fix")))</f>
        <v xml:space="preserve"> </v>
      </c>
      <c r="F828" s="4" t="str">
        <f ca="1">IF(OR(INDEX($X$2:$X$1001,MATCH(ROWS($W$2:W828),$W$2:$W$1001,0),1)&gt;=100000,INDEX($AD$1005:$AU$1005,1,MATCH(COLUMNS($AD$1006:AH1006),$AD$1006:$AU$1006,0))&gt;=100000), " ",IF(INDEX($AD$2:$AU$1001,MATCH(ROWS($W$2:W828),$W$2:$W$1001,0),MATCH(COLUMNS($AD$1006:AH1006),$AD$1006:$AU$1006,0)), HYPERLINK("#",""), HYPERLINK(CONCATENATE("#metadata!", ADDRESS(INDEX($Y$2:$Y$1001,MATCH(ROWS($W$2:W828),$W$2:$W$1001,0),0), INDEX($AD$1004:$AU$1004,1,MATCH(COLUMNS($AD$1006:AH1006),$AD$1006:$AU$1006,0)))),"Fix")))</f>
        <v xml:space="preserve"> </v>
      </c>
      <c r="G828" s="4" t="str">
        <f ca="1">IF(OR(INDEX($X$2:$X$1001,MATCH(ROWS($W$2:W828),$W$2:$W$1001,0),1)&gt;=100000,INDEX($AD$1005:$AU$1005,1,MATCH(COLUMNS($AD$1006:AI1006),$AD$1006:$AU$1006,0))&gt;=100000), " ",IF(INDEX($AD$2:$AU$1001,MATCH(ROWS($W$2:W828),$W$2:$W$1001,0),MATCH(COLUMNS($AD$1006:AI1006),$AD$1006:$AU$1006,0)), HYPERLINK("#",""), HYPERLINK(CONCATENATE("#metadata!", ADDRESS(INDEX($Y$2:$Y$1001,MATCH(ROWS($W$2:W828),$W$2:$W$1001,0),0), INDEX($AD$1004:$AU$1004,1,MATCH(COLUMNS($AD$1006:AI1006),$AD$1006:$AU$1006,0)))),"Fix")))</f>
        <v xml:space="preserve"> </v>
      </c>
      <c r="H828" s="4" t="str">
        <f ca="1">IF(OR(INDEX($X$2:$X$1001,MATCH(ROWS($W$2:W828),$W$2:$W$1001,0),1)&gt;=100000,INDEX($AD$1005:$AU$1005,1,MATCH(COLUMNS($AD$1006:AJ1006),$AD$1006:$AU$1006,0))&gt;=100000), " ",IF(INDEX($AD$2:$AU$1001,MATCH(ROWS($W$2:W828),$W$2:$W$1001,0),MATCH(COLUMNS($AD$1006:AJ1006),$AD$1006:$AU$1006,0)), HYPERLINK("#",""), HYPERLINK(CONCATENATE("#metadata!", ADDRESS(INDEX($Y$2:$Y$1001,MATCH(ROWS($W$2:W828),$W$2:$W$1001,0),0), INDEX($AD$1004:$AU$1004,1,MATCH(COLUMNS($AD$1006:AJ1006),$AD$1006:$AU$1006,0)))),"Fix")))</f>
        <v xml:space="preserve"> </v>
      </c>
      <c r="I828" s="4" t="str">
        <f ca="1">IF(OR(INDEX($X$2:$X$1001,MATCH(ROWS($W$2:W828),$W$2:$W$1001,0),1)&gt;=100000,INDEX($AD$1005:$AU$1005,1,MATCH(COLUMNS($AD$1006:AK1006),$AD$1006:$AU$1006,0))&gt;=100000), " ",IF(INDEX($AD$2:$AU$1001,MATCH(ROWS($W$2:W828),$W$2:$W$1001,0),MATCH(COLUMNS($AD$1006:AK1006),$AD$1006:$AU$1006,0)), HYPERLINK("#",""), HYPERLINK(CONCATENATE("#metadata!", ADDRESS(INDEX($Y$2:$Y$1001,MATCH(ROWS($W$2:W828),$W$2:$W$1001,0),0), INDEX($AD$1004:$AU$1004,1,MATCH(COLUMNS($AD$1006:AK1006),$AD$1006:$AU$1006,0)))),"Fix")))</f>
        <v xml:space="preserve"> </v>
      </c>
      <c r="J828" s="4" t="str">
        <f ca="1">IF(OR(INDEX($X$2:$X$1001,MATCH(ROWS($W$2:W828),$W$2:$W$1001,0),1)&gt;=100000,INDEX($AD$1005:$AU$1005,1,MATCH(COLUMNS($AD$1006:AL1006),$AD$1006:$AU$1006,0))&gt;=100000), " ",IF(INDEX($AD$2:$AU$1001,MATCH(ROWS($W$2:W828),$W$2:$W$1001,0),MATCH(COLUMNS($AD$1006:AL1006),$AD$1006:$AU$1006,0)), HYPERLINK("#",""), HYPERLINK(CONCATENATE("#metadata!", ADDRESS(INDEX($Y$2:$Y$1001,MATCH(ROWS($W$2:W828),$W$2:$W$1001,0),0), INDEX($AD$1004:$AU$1004,1,MATCH(COLUMNS($AD$1006:AL1006),$AD$1006:$AU$1006,0)))),"Fix")))</f>
        <v xml:space="preserve"> </v>
      </c>
      <c r="K828" s="4" t="str">
        <f ca="1">IF(OR(INDEX($X$2:$X$1001,MATCH(ROWS($W$2:W828),$W$2:$W$1001,0),1)&gt;=100000,INDEX($AD$1005:$AU$1005,1,MATCH(COLUMNS($AD$1006:AM1006),$AD$1006:$AU$1006,0))&gt;=100000), " ",IF(INDEX($AD$2:$AU$1001,MATCH(ROWS($W$2:W828),$W$2:$W$1001,0),MATCH(COLUMNS($AD$1006:AM1006),$AD$1006:$AU$1006,0)), HYPERLINK("#",""), HYPERLINK(CONCATENATE("#metadata!", ADDRESS(INDEX($Y$2:$Y$1001,MATCH(ROWS($W$2:W828),$W$2:$W$1001,0),0), INDEX($AD$1004:$AU$1004,1,MATCH(COLUMNS($AD$1006:AM1006),$AD$1006:$AU$1006,0)))),"Fix")))</f>
        <v xml:space="preserve"> </v>
      </c>
      <c r="L828" s="4" t="str">
        <f ca="1">IF(OR(INDEX($X$2:$X$1001,MATCH(ROWS($W$2:W828),$W$2:$W$1001,0),1)&gt;=100000,INDEX($AD$1005:$AU$1005,1,MATCH(COLUMNS($AD$1006:AN1006),$AD$1006:$AU$1006,0))&gt;=100000), " ",IF(INDEX($AD$2:$AU$1001,MATCH(ROWS($W$2:W828),$W$2:$W$1001,0),MATCH(COLUMNS($AD$1006:AN1006),$AD$1006:$AU$1006,0)), HYPERLINK("#",""), HYPERLINK(CONCATENATE("#metadata!", ADDRESS(INDEX($Y$2:$Y$1001,MATCH(ROWS($W$2:W828),$W$2:$W$1001,0),0), INDEX($AD$1004:$AU$1004,1,MATCH(COLUMNS($AD$1006:AN1006),$AD$1006:$AU$1006,0)))),"Fix")))</f>
        <v xml:space="preserve"> </v>
      </c>
      <c r="M828" s="4" t="str">
        <f ca="1">IF(OR(INDEX($X$2:$X$1001,MATCH(ROWS($W$2:W828),$W$2:$W$1001,0),1)&gt;=100000,INDEX($AD$1005:$AU$1005,1,MATCH(COLUMNS($AD$1006:AO1006),$AD$1006:$AU$1006,0))&gt;=100000), " ",IF(INDEX($AD$2:$AU$1001,MATCH(ROWS($W$2:W828),$W$2:$W$1001,0),MATCH(COLUMNS($AD$1006:AO1006),$AD$1006:$AU$1006,0)), HYPERLINK("#",""), HYPERLINK(CONCATENATE("#metadata!", ADDRESS(INDEX($Y$2:$Y$1001,MATCH(ROWS($W$2:W828),$W$2:$W$1001,0),0), INDEX($AD$1004:$AU$1004,1,MATCH(COLUMNS($AD$1006:AO1006),$AD$1006:$AU$1006,0)))),"Fix")))</f>
        <v xml:space="preserve"> </v>
      </c>
      <c r="N828" s="4" t="str">
        <f ca="1">IF(OR(INDEX($X$2:$X$1001,MATCH(ROWS($W$2:W828),$W$2:$W$1001,0),1)&gt;=100000,INDEX($AD$1005:$AU$1005,1,MATCH(COLUMNS($AD$1006:AP1006),$AD$1006:$AU$1006,0))&gt;=100000), " ",IF(INDEX($AD$2:$AU$1001,MATCH(ROWS($W$2:W828),$W$2:$W$1001,0),MATCH(COLUMNS($AD$1006:AP1006),$AD$1006:$AU$1006,0)), HYPERLINK("#",""), HYPERLINK(CONCATENATE("#metadata!", ADDRESS(INDEX($Y$2:$Y$1001,MATCH(ROWS($W$2:W828),$W$2:$W$1001,0),0), INDEX($AD$1004:$AU$1004,1,MATCH(COLUMNS($AD$1006:AP1006),$AD$1006:$AU$1006,0)))),"Fix")))</f>
        <v xml:space="preserve"> </v>
      </c>
      <c r="O828" s="4" t="str">
        <f ca="1">IF(OR(INDEX($X$2:$X$1001,MATCH(ROWS($W$2:W828),$W$2:$W$1001,0),1)&gt;=100000,INDEX($AD$1005:$AU$1005,1,MATCH(COLUMNS($AD$1006:AQ1006),$AD$1006:$AU$1006,0))&gt;=100000), " ",IF(INDEX($AD$2:$AU$1001,MATCH(ROWS($W$2:W828),$W$2:$W$1001,0),MATCH(COLUMNS($AD$1006:AQ1006),$AD$1006:$AU$1006,0)), HYPERLINK("#",""), HYPERLINK(CONCATENATE("#metadata!", ADDRESS(INDEX($Y$2:$Y$1001,MATCH(ROWS($W$2:W828),$W$2:$W$1001,0),0), INDEX($AD$1004:$AU$1004,1,MATCH(COLUMNS($AD$1006:AQ1006),$AD$1006:$AU$1006,0)))),"Fix")))</f>
        <v xml:space="preserve"> </v>
      </c>
      <c r="P828" s="4" t="str">
        <f ca="1">IF(OR(INDEX($X$2:$X$1001,MATCH(ROWS($W$2:W828),$W$2:$W$1001,0),1)&gt;=100000,INDEX($AD$1005:$AU$1005,1,MATCH(COLUMNS($AD$1006:AR1006),$AD$1006:$AU$1006,0))&gt;=100000), " ",IF(INDEX($AD$2:$AU$1001,MATCH(ROWS($W$2:W828),$W$2:$W$1001,0),MATCH(COLUMNS($AD$1006:AR1006),$AD$1006:$AU$1006,0)), HYPERLINK("#",""), HYPERLINK(CONCATENATE("#metadata!", ADDRESS(INDEX($Y$2:$Y$1001,MATCH(ROWS($W$2:W828),$W$2:$W$1001,0),0), INDEX($AD$1004:$AU$1004,1,MATCH(COLUMNS($AD$1006:AR1006),$AD$1006:$AU$1006,0)))),"Fix")))</f>
        <v xml:space="preserve"> </v>
      </c>
      <c r="Q828" s="4" t="str">
        <f ca="1">IF(OR(INDEX($X$2:$X$1001,MATCH(ROWS($W$2:W828),$W$2:$W$1001,0),1)&gt;=100000,INDEX($AD$1005:$AU$1005,1,MATCH(COLUMNS($AD$1006:AS1006),$AD$1006:$AU$1006,0))&gt;=100000), " ",IF(INDEX($AD$2:$AU$1001,MATCH(ROWS($W$2:W828),$W$2:$W$1001,0),MATCH(COLUMNS($AD$1006:AS1006),$AD$1006:$AU$1006,0)), HYPERLINK("#",""), HYPERLINK(CONCATENATE("#metadata!", ADDRESS(INDEX($Y$2:$Y$1001,MATCH(ROWS($W$2:W828),$W$2:$W$1001,0),0), INDEX($AD$1004:$AU$1004,1,MATCH(COLUMNS($AD$1006:AS1006),$AD$1006:$AU$1006,0)))),"Fix")))</f>
        <v xml:space="preserve"> </v>
      </c>
      <c r="R828" s="4" t="str">
        <f ca="1">IF(OR(INDEX($X$2:$X$1001,MATCH(ROWS($W$2:W828),$W$2:$W$1001,0),1)&gt;=100000,INDEX($AD$1005:$AU$1005,1,MATCH(COLUMNS($AD$1006:AT1006),$AD$1006:$AU$1006,0))&gt;=100000), " ",IF(INDEX($AD$2:$AU$1001,MATCH(ROWS($W$2:W828),$W$2:$W$1001,0),MATCH(COLUMNS($AD$1006:AT1006),$AD$1006:$AU$1006,0)), HYPERLINK("#",""), HYPERLINK(CONCATENATE("#metadata!", ADDRESS(INDEX($Y$2:$Y$1001,MATCH(ROWS($W$2:W828),$W$2:$W$1001,0),0), INDEX($AD$1004:$AU$1004,1,MATCH(COLUMNS($AD$1006:AT1006),$AD$1006:$AU$1006,0)))),"Fix")))</f>
        <v xml:space="preserve"> </v>
      </c>
      <c r="S828" s="4" t="str">
        <f ca="1">IF(OR(INDEX($X$2:$X$1001,MATCH(ROWS($W$2:W828),$W$2:$W$1001,0),1)&gt;=100000,INDEX($AD$1005:$AU$1005,1,MATCH(COLUMNS($AD$1006:AU1006),$AD$1006:$AU$1006,0))&gt;=100000), " ",IF(INDEX($AD$2:$AU$1001,MATCH(ROWS($W$2:W828),$W$2:$W$1001,0),MATCH(COLUMNS($AD$1006:AU1006),$AD$1006:$AU$1006,0)), HYPERLINK("#",""), HYPERLINK(CONCATENATE("#metadata!", ADDRESS(INDEX($Y$2:$Y$1001,MATCH(ROWS($W$2:W828),$W$2:$W$1001,0),0), INDEX($AD$1004:$AU$1004,1,MATCH(COLUMNS($AD$1006:AU1006),$AD$1006:$AU$1006,0)))),"Fix")))</f>
        <v xml:space="preserve"> </v>
      </c>
      <c r="W828">
        <v>827</v>
      </c>
      <c r="X828">
        <v>100828</v>
      </c>
      <c r="Y828">
        <v>828</v>
      </c>
      <c r="Z828" t="b">
        <f t="shared" si="12"/>
        <v>1</v>
      </c>
      <c r="AA828" t="b">
        <f>COUNTBLANK(metadata!B828:S828)=COLUMNS(metadata!B828:S828)</f>
        <v>1</v>
      </c>
      <c r="AB828" t="str">
        <v/>
      </c>
      <c r="AD828" t="b">
        <f ca="1">AND(IF(metadata!B828="",FALSE,TRUE),COUNTIF(metadata!B:B, metadata!B828) = 1,NOT(ISERROR(SUMPRODUCT(SEARCH(MID(metadata!B828,ROW(INDIRECT("1:"&amp;LEN(metadata!B828))), 1),"0123456789abcdefghijklmnopqrstuvwxyzABCDEFGHIJKLMNOPQRSTUVWXYZ.")))))</f>
        <v>0</v>
      </c>
      <c r="AE828" t="b">
        <f>OR(AND(IF(metadata!C828="",FALSE,TRUE),OR(EXACT(metadata!C828,"not applicable"),EXACT(metadata!C828,"missing: not collected"),EXACT(metadata!C828,"missing: not provided"),EXACT(metadata!C828,"missing: restricted access"))),AND(IF(metadata!C828="",FALSE,ISNUMBER(VALUE(metadata!C828))),metadata!C828&gt;0))</f>
        <v>0</v>
      </c>
      <c r="AF828" t="b">
        <f>AND(IF(metadata!D828="",FALSE,TRUE),EXACT(metadata!D828,"missing: not provided"))</f>
        <v>0</v>
      </c>
      <c r="AG828" t="b">
        <f>AND(IF(metadata!E828="",FALSE,TRUE),EXACT(metadata!E828,"Host-associated"))</f>
        <v>0</v>
      </c>
      <c r="AH828" t="b">
        <f>AND(IF(metadata!F828="",FALSE,TRUE),OR(EXACT(metadata!F828,"Animal"),EXACT(metadata!F828,"Fungus"),EXACT(metadata!F828,"Plant")))</f>
        <v>0</v>
      </c>
      <c r="AI828" t="b">
        <f>AND(IF(metadata!G828="",FALSE,TRUE),OR(EXACT(metadata!G828,"Plant secretion"),EXACT(metadata!G828,"Plant rhizosphere"),EXACT(metadata!G828,"Plant surface"),EXACT(metadata!G828,"Plant corpus"),EXACT(metadata!G828,"Fungus surface"),EXACT(metadata!G828,"Fungus corpus"),EXACT(metadata!G828,"Animal surface"),EXACT(metadata!G828,"Animal proximal gut"),EXACT(metadata!G828,"Animal corpus"),EXACT(metadata!G828,"Animal distal gut"),EXACT(metadata!G828,"Animal secretion")))</f>
        <v>0</v>
      </c>
      <c r="AJ828" t="b">
        <f>OR(AND(IF(metadata!H828="",FALSE,TRUE),OR(EXACT(metadata!H828,"missing: not collected"),EXACT(metadata!H828,"missing: not provided"),EXACT(metadata!H828,"missing: restricted access"))),AND(IF(metadata!H828="",FALSE,TRUE),OR(EXACT(metadata!H828,"organism-associated habitat"),EXACT(metadata!H828,"plant-associated habitat"),EXACT(metadata!H828,"animal-associated habitat"),EXACT(metadata!H828,"insecta-associated habitat"),EXACT(metadata!H828,"mammalia-associated habitat"),EXACT(metadata!H828,"human-associated habitat"),EXACT(metadata!H828,"livestock-associated habitat"))))</f>
        <v>0</v>
      </c>
      <c r="AK828" t="b">
        <f>AND(IF(metadata!I828="",FALSE,TRUE),EXACT(metadata!I828,"host-associated"))</f>
        <v>0</v>
      </c>
      <c r="AL828" t="b">
        <f>OR(AND(IF(metadata!J828="",FALSE,TRUE),OR(EXACT(metadata!J828,"not applicable"),EXACT(metadata!J828,"missing: not collected"),EXACT(metadata!J828,"missing: not provided"),EXACT(metadata!J828,"missing: restricted access"))),AND(IF(metadata!J828="",FALSE,ISNUMBER(VALUE(metadata!J828))),metadata!J828&gt;0))</f>
        <v>0</v>
      </c>
      <c r="AM828" t="b">
        <f>AND(IF(metadata!K828="",FALSE,TRUE),EXACT(metadata!K828,"missing: not provided"))</f>
        <v>0</v>
      </c>
      <c r="AN828" t="b">
        <f>IF(metadata!L828="",FALSE,TRUE)</f>
        <v>0</v>
      </c>
      <c r="AO828" t="b">
        <f>IF(metadata!M828="",FALSE,TRUE)</f>
        <v>0</v>
      </c>
      <c r="AP828" t="b">
        <f>OR(AND(IF(metadata!N828="",FALSE,TRUE),OR(EXACT(metadata!N828,"not applicable"),EXACT(metadata!N828,"missing: not collected"),EXACT(metadata!N828,"missing: not provided"))),AND(IF(metadata!N828="",FALSE,IF(ISERROR(INT(metadata!N828)),FALSE,INT(metadata!N828)=metadata!N828)),metadata!N828&gt;0))</f>
        <v>0</v>
      </c>
      <c r="AQ828" t="b">
        <f>AND(IF(metadata!O828="",FALSE,TRUE),EXACT(metadata!O828,"Not applicable"))</f>
        <v>0</v>
      </c>
      <c r="AR828" t="b">
        <f>OR(AND(IF(metadata!P828="",FALSE,TRUE),OR(EXACT(metadata!P828,"not applicable"),EXACT(metadata!P828,"missing: not collected"),EXACT(metadata!P828,"missing: not provided"),EXACT(metadata!P828,"missing: restricted access"))),IF(metadata!P828="",FALSE,IF(ISERROR(INT(metadata!P828)),FALSE,INT(metadata!P828)=metadata!P828)))</f>
        <v>0</v>
      </c>
      <c r="AS828" t="b">
        <f>AND(IF(metadata!Q828="",FALSE,TRUE),EXACT(metadata!Q828,"Not applicable"))</f>
        <v>0</v>
      </c>
      <c r="AT828" t="b">
        <f>OR(AND(IF(metadata!R828="",FALSE,TRUE),OR(EXACT(metadata!R828,"not applicable"),EXACT(metadata!R828,"missing: not collected"),EXACT(metadata!R828,"missing: not provided"),EXACT(metadata!R828,"missing: restricted access"))),AND(IF(metadata!R828="",FALSE,ISNUMBER(VALUE(metadata!R828))),metadata!R828&gt;0))</f>
        <v>0</v>
      </c>
      <c r="AU828" t="b">
        <f>AND(IF(metadata!S828="",FALSE,TRUE),EXACT(metadata!S828,"missing: not provided"))</f>
        <v>0</v>
      </c>
    </row>
    <row r="829" spans="1:47" x14ac:dyDescent="0.2">
      <c r="A829" s="5" t="str">
        <f ca="1">IF(B829=" "," ",HYPERLINK(CONCATENATE("#metadata!",ADDRESS(INDEX($Y$2:$Y$1001,MATCH(ROWS($W$2:W829),$W$2:$W$1001,0),0),1)),INDEX($AB$2:$AB$1001,MATCH(ROWS($W$2:W829),$W$2:$W$1001,0),0)))</f>
        <v xml:space="preserve"> </v>
      </c>
      <c r="B829" s="4" t="str">
        <f ca="1">IF(OR(INDEX($X$2:$X$1001,MATCH(ROWS($W$2:W829),$W$2:$W$1001,0),1)&gt;=100000,INDEX($AD$1005:$AU$1005,1,MATCH(COLUMNS($AD$1006:AD1006),$AD$1006:$AU$1006,0))&gt;=100000), " ",IF(INDEX($AD$2:$AU$1001,MATCH(ROWS($W$2:W829),$W$2:$W$1001,0),MATCH(COLUMNS($AD$1006:AD1006),$AD$1006:$AU$1006,0)), HYPERLINK("#",""), HYPERLINK(CONCATENATE("#metadata!", ADDRESS(INDEX($Y$2:$Y$1001,MATCH(ROWS($W$2:W829),$W$2:$W$1001,0),0), INDEX($AD$1004:$AU$1004,1,MATCH(COLUMNS($AD$1006:AD1006),$AD$1006:$AU$1006,0)))),"Fix")))</f>
        <v xml:space="preserve"> </v>
      </c>
      <c r="C829" s="4" t="str">
        <f ca="1">IF(OR(INDEX($X$2:$X$1001,MATCH(ROWS($W$2:W829),$W$2:$W$1001,0),1)&gt;=100000,INDEX($AD$1005:$AU$1005,1,MATCH(COLUMNS($AD$1006:AE1006),$AD$1006:$AU$1006,0))&gt;=100000), " ",IF(INDEX($AD$2:$AU$1001,MATCH(ROWS($W$2:W829),$W$2:$W$1001,0),MATCH(COLUMNS($AD$1006:AE1006),$AD$1006:$AU$1006,0)), HYPERLINK("#",""), HYPERLINK(CONCATENATE("#metadata!", ADDRESS(INDEX($Y$2:$Y$1001,MATCH(ROWS($W$2:W829),$W$2:$W$1001,0),0), INDEX($AD$1004:$AU$1004,1,MATCH(COLUMNS($AD$1006:AE1006),$AD$1006:$AU$1006,0)))),"Fix")))</f>
        <v xml:space="preserve"> </v>
      </c>
      <c r="D829" s="4" t="str">
        <f ca="1">IF(OR(INDEX($X$2:$X$1001,MATCH(ROWS($W$2:W829),$W$2:$W$1001,0),1)&gt;=100000,INDEX($AD$1005:$AU$1005,1,MATCH(COLUMNS($AD$1006:AF1006),$AD$1006:$AU$1006,0))&gt;=100000), " ",IF(INDEX($AD$2:$AU$1001,MATCH(ROWS($W$2:W829),$W$2:$W$1001,0),MATCH(COLUMNS($AD$1006:AF1006),$AD$1006:$AU$1006,0)), HYPERLINK("#",""), HYPERLINK(CONCATENATE("#metadata!", ADDRESS(INDEX($Y$2:$Y$1001,MATCH(ROWS($W$2:W829),$W$2:$W$1001,0),0), INDEX($AD$1004:$AU$1004,1,MATCH(COLUMNS($AD$1006:AF1006),$AD$1006:$AU$1006,0)))),"Fix")))</f>
        <v xml:space="preserve"> </v>
      </c>
      <c r="E829" s="4" t="str">
        <f ca="1">IF(OR(INDEX($X$2:$X$1001,MATCH(ROWS($W$2:W829),$W$2:$W$1001,0),1)&gt;=100000,INDEX($AD$1005:$AU$1005,1,MATCH(COLUMNS($AD$1006:AG1006),$AD$1006:$AU$1006,0))&gt;=100000), " ",IF(INDEX($AD$2:$AU$1001,MATCH(ROWS($W$2:W829),$W$2:$W$1001,0),MATCH(COLUMNS($AD$1006:AG1006),$AD$1006:$AU$1006,0)), HYPERLINK("#",""), HYPERLINK(CONCATENATE("#metadata!", ADDRESS(INDEX($Y$2:$Y$1001,MATCH(ROWS($W$2:W829),$W$2:$W$1001,0),0), INDEX($AD$1004:$AU$1004,1,MATCH(COLUMNS($AD$1006:AG1006),$AD$1006:$AU$1006,0)))),"Fix")))</f>
        <v xml:space="preserve"> </v>
      </c>
      <c r="F829" s="4" t="str">
        <f ca="1">IF(OR(INDEX($X$2:$X$1001,MATCH(ROWS($W$2:W829),$W$2:$W$1001,0),1)&gt;=100000,INDEX($AD$1005:$AU$1005,1,MATCH(COLUMNS($AD$1006:AH1006),$AD$1006:$AU$1006,0))&gt;=100000), " ",IF(INDEX($AD$2:$AU$1001,MATCH(ROWS($W$2:W829),$W$2:$W$1001,0),MATCH(COLUMNS($AD$1006:AH1006),$AD$1006:$AU$1006,0)), HYPERLINK("#",""), HYPERLINK(CONCATENATE("#metadata!", ADDRESS(INDEX($Y$2:$Y$1001,MATCH(ROWS($W$2:W829),$W$2:$W$1001,0),0), INDEX($AD$1004:$AU$1004,1,MATCH(COLUMNS($AD$1006:AH1006),$AD$1006:$AU$1006,0)))),"Fix")))</f>
        <v xml:space="preserve"> </v>
      </c>
      <c r="G829" s="4" t="str">
        <f ca="1">IF(OR(INDEX($X$2:$X$1001,MATCH(ROWS($W$2:W829),$W$2:$W$1001,0),1)&gt;=100000,INDEX($AD$1005:$AU$1005,1,MATCH(COLUMNS($AD$1006:AI1006),$AD$1006:$AU$1006,0))&gt;=100000), " ",IF(INDEX($AD$2:$AU$1001,MATCH(ROWS($W$2:W829),$W$2:$W$1001,0),MATCH(COLUMNS($AD$1006:AI1006),$AD$1006:$AU$1006,0)), HYPERLINK("#",""), HYPERLINK(CONCATENATE("#metadata!", ADDRESS(INDEX($Y$2:$Y$1001,MATCH(ROWS($W$2:W829),$W$2:$W$1001,0),0), INDEX($AD$1004:$AU$1004,1,MATCH(COLUMNS($AD$1006:AI1006),$AD$1006:$AU$1006,0)))),"Fix")))</f>
        <v xml:space="preserve"> </v>
      </c>
      <c r="H829" s="4" t="str">
        <f ca="1">IF(OR(INDEX($X$2:$X$1001,MATCH(ROWS($W$2:W829),$W$2:$W$1001,0),1)&gt;=100000,INDEX($AD$1005:$AU$1005,1,MATCH(COLUMNS($AD$1006:AJ1006),$AD$1006:$AU$1006,0))&gt;=100000), " ",IF(INDEX($AD$2:$AU$1001,MATCH(ROWS($W$2:W829),$W$2:$W$1001,0),MATCH(COLUMNS($AD$1006:AJ1006),$AD$1006:$AU$1006,0)), HYPERLINK("#",""), HYPERLINK(CONCATENATE("#metadata!", ADDRESS(INDEX($Y$2:$Y$1001,MATCH(ROWS($W$2:W829),$W$2:$W$1001,0),0), INDEX($AD$1004:$AU$1004,1,MATCH(COLUMNS($AD$1006:AJ1006),$AD$1006:$AU$1006,0)))),"Fix")))</f>
        <v xml:space="preserve"> </v>
      </c>
      <c r="I829" s="4" t="str">
        <f ca="1">IF(OR(INDEX($X$2:$X$1001,MATCH(ROWS($W$2:W829),$W$2:$W$1001,0),1)&gt;=100000,INDEX($AD$1005:$AU$1005,1,MATCH(COLUMNS($AD$1006:AK1006),$AD$1006:$AU$1006,0))&gt;=100000), " ",IF(INDEX($AD$2:$AU$1001,MATCH(ROWS($W$2:W829),$W$2:$W$1001,0),MATCH(COLUMNS($AD$1006:AK1006),$AD$1006:$AU$1006,0)), HYPERLINK("#",""), HYPERLINK(CONCATENATE("#metadata!", ADDRESS(INDEX($Y$2:$Y$1001,MATCH(ROWS($W$2:W829),$W$2:$W$1001,0),0), INDEX($AD$1004:$AU$1004,1,MATCH(COLUMNS($AD$1006:AK1006),$AD$1006:$AU$1006,0)))),"Fix")))</f>
        <v xml:space="preserve"> </v>
      </c>
      <c r="J829" s="4" t="str">
        <f ca="1">IF(OR(INDEX($X$2:$X$1001,MATCH(ROWS($W$2:W829),$W$2:$W$1001,0),1)&gt;=100000,INDEX($AD$1005:$AU$1005,1,MATCH(COLUMNS($AD$1006:AL1006),$AD$1006:$AU$1006,0))&gt;=100000), " ",IF(INDEX($AD$2:$AU$1001,MATCH(ROWS($W$2:W829),$W$2:$W$1001,0),MATCH(COLUMNS($AD$1006:AL1006),$AD$1006:$AU$1006,0)), HYPERLINK("#",""), HYPERLINK(CONCATENATE("#metadata!", ADDRESS(INDEX($Y$2:$Y$1001,MATCH(ROWS($W$2:W829),$W$2:$W$1001,0),0), INDEX($AD$1004:$AU$1004,1,MATCH(COLUMNS($AD$1006:AL1006),$AD$1006:$AU$1006,0)))),"Fix")))</f>
        <v xml:space="preserve"> </v>
      </c>
      <c r="K829" s="4" t="str">
        <f ca="1">IF(OR(INDEX($X$2:$X$1001,MATCH(ROWS($W$2:W829),$W$2:$W$1001,0),1)&gt;=100000,INDEX($AD$1005:$AU$1005,1,MATCH(COLUMNS($AD$1006:AM1006),$AD$1006:$AU$1006,0))&gt;=100000), " ",IF(INDEX($AD$2:$AU$1001,MATCH(ROWS($W$2:W829),$W$2:$W$1001,0),MATCH(COLUMNS($AD$1006:AM1006),$AD$1006:$AU$1006,0)), HYPERLINK("#",""), HYPERLINK(CONCATENATE("#metadata!", ADDRESS(INDEX($Y$2:$Y$1001,MATCH(ROWS($W$2:W829),$W$2:$W$1001,0),0), INDEX($AD$1004:$AU$1004,1,MATCH(COLUMNS($AD$1006:AM1006),$AD$1006:$AU$1006,0)))),"Fix")))</f>
        <v xml:space="preserve"> </v>
      </c>
      <c r="L829" s="4" t="str">
        <f ca="1">IF(OR(INDEX($X$2:$X$1001,MATCH(ROWS($W$2:W829),$W$2:$W$1001,0),1)&gt;=100000,INDEX($AD$1005:$AU$1005,1,MATCH(COLUMNS($AD$1006:AN1006),$AD$1006:$AU$1006,0))&gt;=100000), " ",IF(INDEX($AD$2:$AU$1001,MATCH(ROWS($W$2:W829),$W$2:$W$1001,0),MATCH(COLUMNS($AD$1006:AN1006),$AD$1006:$AU$1006,0)), HYPERLINK("#",""), HYPERLINK(CONCATENATE("#metadata!", ADDRESS(INDEX($Y$2:$Y$1001,MATCH(ROWS($W$2:W829),$W$2:$W$1001,0),0), INDEX($AD$1004:$AU$1004,1,MATCH(COLUMNS($AD$1006:AN1006),$AD$1006:$AU$1006,0)))),"Fix")))</f>
        <v xml:space="preserve"> </v>
      </c>
      <c r="M829" s="4" t="str">
        <f ca="1">IF(OR(INDEX($X$2:$X$1001,MATCH(ROWS($W$2:W829),$W$2:$W$1001,0),1)&gt;=100000,INDEX($AD$1005:$AU$1005,1,MATCH(COLUMNS($AD$1006:AO1006),$AD$1006:$AU$1006,0))&gt;=100000), " ",IF(INDEX($AD$2:$AU$1001,MATCH(ROWS($W$2:W829),$W$2:$W$1001,0),MATCH(COLUMNS($AD$1006:AO1006),$AD$1006:$AU$1006,0)), HYPERLINK("#",""), HYPERLINK(CONCATENATE("#metadata!", ADDRESS(INDEX($Y$2:$Y$1001,MATCH(ROWS($W$2:W829),$W$2:$W$1001,0),0), INDEX($AD$1004:$AU$1004,1,MATCH(COLUMNS($AD$1006:AO1006),$AD$1006:$AU$1006,0)))),"Fix")))</f>
        <v xml:space="preserve"> </v>
      </c>
      <c r="N829" s="4" t="str">
        <f ca="1">IF(OR(INDEX($X$2:$X$1001,MATCH(ROWS($W$2:W829),$W$2:$W$1001,0),1)&gt;=100000,INDEX($AD$1005:$AU$1005,1,MATCH(COLUMNS($AD$1006:AP1006),$AD$1006:$AU$1006,0))&gt;=100000), " ",IF(INDEX($AD$2:$AU$1001,MATCH(ROWS($W$2:W829),$W$2:$W$1001,0),MATCH(COLUMNS($AD$1006:AP1006),$AD$1006:$AU$1006,0)), HYPERLINK("#",""), HYPERLINK(CONCATENATE("#metadata!", ADDRESS(INDEX($Y$2:$Y$1001,MATCH(ROWS($W$2:W829),$W$2:$W$1001,0),0), INDEX($AD$1004:$AU$1004,1,MATCH(COLUMNS($AD$1006:AP1006),$AD$1006:$AU$1006,0)))),"Fix")))</f>
        <v xml:space="preserve"> </v>
      </c>
      <c r="O829" s="4" t="str">
        <f ca="1">IF(OR(INDEX($X$2:$X$1001,MATCH(ROWS($W$2:W829),$W$2:$W$1001,0),1)&gt;=100000,INDEX($AD$1005:$AU$1005,1,MATCH(COLUMNS($AD$1006:AQ1006),$AD$1006:$AU$1006,0))&gt;=100000), " ",IF(INDEX($AD$2:$AU$1001,MATCH(ROWS($W$2:W829),$W$2:$W$1001,0),MATCH(COLUMNS($AD$1006:AQ1006),$AD$1006:$AU$1006,0)), HYPERLINK("#",""), HYPERLINK(CONCATENATE("#metadata!", ADDRESS(INDEX($Y$2:$Y$1001,MATCH(ROWS($W$2:W829),$W$2:$W$1001,0),0), INDEX($AD$1004:$AU$1004,1,MATCH(COLUMNS($AD$1006:AQ1006),$AD$1006:$AU$1006,0)))),"Fix")))</f>
        <v xml:space="preserve"> </v>
      </c>
      <c r="P829" s="4" t="str">
        <f ca="1">IF(OR(INDEX($X$2:$X$1001,MATCH(ROWS($W$2:W829),$W$2:$W$1001,0),1)&gt;=100000,INDEX($AD$1005:$AU$1005,1,MATCH(COLUMNS($AD$1006:AR1006),$AD$1006:$AU$1006,0))&gt;=100000), " ",IF(INDEX($AD$2:$AU$1001,MATCH(ROWS($W$2:W829),$W$2:$W$1001,0),MATCH(COLUMNS($AD$1006:AR1006),$AD$1006:$AU$1006,0)), HYPERLINK("#",""), HYPERLINK(CONCATENATE("#metadata!", ADDRESS(INDEX($Y$2:$Y$1001,MATCH(ROWS($W$2:W829),$W$2:$W$1001,0),0), INDEX($AD$1004:$AU$1004,1,MATCH(COLUMNS($AD$1006:AR1006),$AD$1006:$AU$1006,0)))),"Fix")))</f>
        <v xml:space="preserve"> </v>
      </c>
      <c r="Q829" s="4" t="str">
        <f ca="1">IF(OR(INDEX($X$2:$X$1001,MATCH(ROWS($W$2:W829),$W$2:$W$1001,0),1)&gt;=100000,INDEX($AD$1005:$AU$1005,1,MATCH(COLUMNS($AD$1006:AS1006),$AD$1006:$AU$1006,0))&gt;=100000), " ",IF(INDEX($AD$2:$AU$1001,MATCH(ROWS($W$2:W829),$W$2:$W$1001,0),MATCH(COLUMNS($AD$1006:AS1006),$AD$1006:$AU$1006,0)), HYPERLINK("#",""), HYPERLINK(CONCATENATE("#metadata!", ADDRESS(INDEX($Y$2:$Y$1001,MATCH(ROWS($W$2:W829),$W$2:$W$1001,0),0), INDEX($AD$1004:$AU$1004,1,MATCH(COLUMNS($AD$1006:AS1006),$AD$1006:$AU$1006,0)))),"Fix")))</f>
        <v xml:space="preserve"> </v>
      </c>
      <c r="R829" s="4" t="str">
        <f ca="1">IF(OR(INDEX($X$2:$X$1001,MATCH(ROWS($W$2:W829),$W$2:$W$1001,0),1)&gt;=100000,INDEX($AD$1005:$AU$1005,1,MATCH(COLUMNS($AD$1006:AT1006),$AD$1006:$AU$1006,0))&gt;=100000), " ",IF(INDEX($AD$2:$AU$1001,MATCH(ROWS($W$2:W829),$W$2:$W$1001,0),MATCH(COLUMNS($AD$1006:AT1006),$AD$1006:$AU$1006,0)), HYPERLINK("#",""), HYPERLINK(CONCATENATE("#metadata!", ADDRESS(INDEX($Y$2:$Y$1001,MATCH(ROWS($W$2:W829),$W$2:$W$1001,0),0), INDEX($AD$1004:$AU$1004,1,MATCH(COLUMNS($AD$1006:AT1006),$AD$1006:$AU$1006,0)))),"Fix")))</f>
        <v xml:space="preserve"> </v>
      </c>
      <c r="S829" s="4" t="str">
        <f ca="1">IF(OR(INDEX($X$2:$X$1001,MATCH(ROWS($W$2:W829),$W$2:$W$1001,0),1)&gt;=100000,INDEX($AD$1005:$AU$1005,1,MATCH(COLUMNS($AD$1006:AU1006),$AD$1006:$AU$1006,0))&gt;=100000), " ",IF(INDEX($AD$2:$AU$1001,MATCH(ROWS($W$2:W829),$W$2:$W$1001,0),MATCH(COLUMNS($AD$1006:AU1006),$AD$1006:$AU$1006,0)), HYPERLINK("#",""), HYPERLINK(CONCATENATE("#metadata!", ADDRESS(INDEX($Y$2:$Y$1001,MATCH(ROWS($W$2:W829),$W$2:$W$1001,0),0), INDEX($AD$1004:$AU$1004,1,MATCH(COLUMNS($AD$1006:AU1006),$AD$1006:$AU$1006,0)))),"Fix")))</f>
        <v xml:space="preserve"> </v>
      </c>
      <c r="W829">
        <v>828</v>
      </c>
      <c r="X829">
        <v>100829</v>
      </c>
      <c r="Y829">
        <v>829</v>
      </c>
      <c r="Z829" t="b">
        <f t="shared" si="12"/>
        <v>1</v>
      </c>
      <c r="AA829" t="b">
        <f>COUNTBLANK(metadata!B829:S829)=COLUMNS(metadata!B829:S829)</f>
        <v>1</v>
      </c>
      <c r="AB829" t="str">
        <v/>
      </c>
      <c r="AD829" t="b">
        <f ca="1">AND(IF(metadata!B829="",FALSE,TRUE),COUNTIF(metadata!B:B, metadata!B829) = 1,NOT(ISERROR(SUMPRODUCT(SEARCH(MID(metadata!B829,ROW(INDIRECT("1:"&amp;LEN(metadata!B829))), 1),"0123456789abcdefghijklmnopqrstuvwxyzABCDEFGHIJKLMNOPQRSTUVWXYZ.")))))</f>
        <v>0</v>
      </c>
      <c r="AE829" t="b">
        <f>OR(AND(IF(metadata!C829="",FALSE,TRUE),OR(EXACT(metadata!C829,"not applicable"),EXACT(metadata!C829,"missing: not collected"),EXACT(metadata!C829,"missing: not provided"),EXACT(metadata!C829,"missing: restricted access"))),AND(IF(metadata!C829="",FALSE,ISNUMBER(VALUE(metadata!C829))),metadata!C829&gt;0))</f>
        <v>0</v>
      </c>
      <c r="AF829" t="b">
        <f>AND(IF(metadata!D829="",FALSE,TRUE),EXACT(metadata!D829,"missing: not provided"))</f>
        <v>0</v>
      </c>
      <c r="AG829" t="b">
        <f>AND(IF(metadata!E829="",FALSE,TRUE),EXACT(metadata!E829,"Host-associated"))</f>
        <v>0</v>
      </c>
      <c r="AH829" t="b">
        <f>AND(IF(metadata!F829="",FALSE,TRUE),OR(EXACT(metadata!F829,"Animal"),EXACT(metadata!F829,"Fungus"),EXACT(metadata!F829,"Plant")))</f>
        <v>0</v>
      </c>
      <c r="AI829" t="b">
        <f>AND(IF(metadata!G829="",FALSE,TRUE),OR(EXACT(metadata!G829,"Plant secretion"),EXACT(metadata!G829,"Plant rhizosphere"),EXACT(metadata!G829,"Plant surface"),EXACT(metadata!G829,"Plant corpus"),EXACT(metadata!G829,"Fungus surface"),EXACT(metadata!G829,"Fungus corpus"),EXACT(metadata!G829,"Animal surface"),EXACT(metadata!G829,"Animal proximal gut"),EXACT(metadata!G829,"Animal corpus"),EXACT(metadata!G829,"Animal distal gut"),EXACT(metadata!G829,"Animal secretion")))</f>
        <v>0</v>
      </c>
      <c r="AJ829" t="b">
        <f>OR(AND(IF(metadata!H829="",FALSE,TRUE),OR(EXACT(metadata!H829,"missing: not collected"),EXACT(metadata!H829,"missing: not provided"),EXACT(metadata!H829,"missing: restricted access"))),AND(IF(metadata!H829="",FALSE,TRUE),OR(EXACT(metadata!H829,"organism-associated habitat"),EXACT(metadata!H829,"plant-associated habitat"),EXACT(metadata!H829,"animal-associated habitat"),EXACT(metadata!H829,"insecta-associated habitat"),EXACT(metadata!H829,"mammalia-associated habitat"),EXACT(metadata!H829,"human-associated habitat"),EXACT(metadata!H829,"livestock-associated habitat"))))</f>
        <v>0</v>
      </c>
      <c r="AK829" t="b">
        <f>AND(IF(metadata!I829="",FALSE,TRUE),EXACT(metadata!I829,"host-associated"))</f>
        <v>0</v>
      </c>
      <c r="AL829" t="b">
        <f>OR(AND(IF(metadata!J829="",FALSE,TRUE),OR(EXACT(metadata!J829,"not applicable"),EXACT(metadata!J829,"missing: not collected"),EXACT(metadata!J829,"missing: not provided"),EXACT(metadata!J829,"missing: restricted access"))),AND(IF(metadata!J829="",FALSE,ISNUMBER(VALUE(metadata!J829))),metadata!J829&gt;0))</f>
        <v>0</v>
      </c>
      <c r="AM829" t="b">
        <f>AND(IF(metadata!K829="",FALSE,TRUE),EXACT(metadata!K829,"missing: not provided"))</f>
        <v>0</v>
      </c>
      <c r="AN829" t="b">
        <f>IF(metadata!L829="",FALSE,TRUE)</f>
        <v>0</v>
      </c>
      <c r="AO829" t="b">
        <f>IF(metadata!M829="",FALSE,TRUE)</f>
        <v>0</v>
      </c>
      <c r="AP829" t="b">
        <f>OR(AND(IF(metadata!N829="",FALSE,TRUE),OR(EXACT(metadata!N829,"not applicable"),EXACT(metadata!N829,"missing: not collected"),EXACT(metadata!N829,"missing: not provided"))),AND(IF(metadata!N829="",FALSE,IF(ISERROR(INT(metadata!N829)),FALSE,INT(metadata!N829)=metadata!N829)),metadata!N829&gt;0))</f>
        <v>0</v>
      </c>
      <c r="AQ829" t="b">
        <f>AND(IF(metadata!O829="",FALSE,TRUE),EXACT(metadata!O829,"Not applicable"))</f>
        <v>0</v>
      </c>
      <c r="AR829" t="b">
        <f>OR(AND(IF(metadata!P829="",FALSE,TRUE),OR(EXACT(metadata!P829,"not applicable"),EXACT(metadata!P829,"missing: not collected"),EXACT(metadata!P829,"missing: not provided"),EXACT(metadata!P829,"missing: restricted access"))),IF(metadata!P829="",FALSE,IF(ISERROR(INT(metadata!P829)),FALSE,INT(metadata!P829)=metadata!P829)))</f>
        <v>0</v>
      </c>
      <c r="AS829" t="b">
        <f>AND(IF(metadata!Q829="",FALSE,TRUE),EXACT(metadata!Q829,"Not applicable"))</f>
        <v>0</v>
      </c>
      <c r="AT829" t="b">
        <f>OR(AND(IF(metadata!R829="",FALSE,TRUE),OR(EXACT(metadata!R829,"not applicable"),EXACT(metadata!R829,"missing: not collected"),EXACT(metadata!R829,"missing: not provided"),EXACT(metadata!R829,"missing: restricted access"))),AND(IF(metadata!R829="",FALSE,ISNUMBER(VALUE(metadata!R829))),metadata!R829&gt;0))</f>
        <v>0</v>
      </c>
      <c r="AU829" t="b">
        <f>AND(IF(metadata!S829="",FALSE,TRUE),EXACT(metadata!S829,"missing: not provided"))</f>
        <v>0</v>
      </c>
    </row>
    <row r="830" spans="1:47" x14ac:dyDescent="0.2">
      <c r="A830" s="5" t="str">
        <f ca="1">IF(B830=" "," ",HYPERLINK(CONCATENATE("#metadata!",ADDRESS(INDEX($Y$2:$Y$1001,MATCH(ROWS($W$2:W830),$W$2:$W$1001,0),0),1)),INDEX($AB$2:$AB$1001,MATCH(ROWS($W$2:W830),$W$2:$W$1001,0),0)))</f>
        <v xml:space="preserve"> </v>
      </c>
      <c r="B830" s="4" t="str">
        <f ca="1">IF(OR(INDEX($X$2:$X$1001,MATCH(ROWS($W$2:W830),$W$2:$W$1001,0),1)&gt;=100000,INDEX($AD$1005:$AU$1005,1,MATCH(COLUMNS($AD$1006:AD1006),$AD$1006:$AU$1006,0))&gt;=100000), " ",IF(INDEX($AD$2:$AU$1001,MATCH(ROWS($W$2:W830),$W$2:$W$1001,0),MATCH(COLUMNS($AD$1006:AD1006),$AD$1006:$AU$1006,0)), HYPERLINK("#",""), HYPERLINK(CONCATENATE("#metadata!", ADDRESS(INDEX($Y$2:$Y$1001,MATCH(ROWS($W$2:W830),$W$2:$W$1001,0),0), INDEX($AD$1004:$AU$1004,1,MATCH(COLUMNS($AD$1006:AD1006),$AD$1006:$AU$1006,0)))),"Fix")))</f>
        <v xml:space="preserve"> </v>
      </c>
      <c r="C830" s="4" t="str">
        <f ca="1">IF(OR(INDEX($X$2:$X$1001,MATCH(ROWS($W$2:W830),$W$2:$W$1001,0),1)&gt;=100000,INDEX($AD$1005:$AU$1005,1,MATCH(COLUMNS($AD$1006:AE1006),$AD$1006:$AU$1006,0))&gt;=100000), " ",IF(INDEX($AD$2:$AU$1001,MATCH(ROWS($W$2:W830),$W$2:$W$1001,0),MATCH(COLUMNS($AD$1006:AE1006),$AD$1006:$AU$1006,0)), HYPERLINK("#",""), HYPERLINK(CONCATENATE("#metadata!", ADDRESS(INDEX($Y$2:$Y$1001,MATCH(ROWS($W$2:W830),$W$2:$W$1001,0),0), INDEX($AD$1004:$AU$1004,1,MATCH(COLUMNS($AD$1006:AE1006),$AD$1006:$AU$1006,0)))),"Fix")))</f>
        <v xml:space="preserve"> </v>
      </c>
      <c r="D830" s="4" t="str">
        <f ca="1">IF(OR(INDEX($X$2:$X$1001,MATCH(ROWS($W$2:W830),$W$2:$W$1001,0),1)&gt;=100000,INDEX($AD$1005:$AU$1005,1,MATCH(COLUMNS($AD$1006:AF1006),$AD$1006:$AU$1006,0))&gt;=100000), " ",IF(INDEX($AD$2:$AU$1001,MATCH(ROWS($W$2:W830),$W$2:$W$1001,0),MATCH(COLUMNS($AD$1006:AF1006),$AD$1006:$AU$1006,0)), HYPERLINK("#",""), HYPERLINK(CONCATENATE("#metadata!", ADDRESS(INDEX($Y$2:$Y$1001,MATCH(ROWS($W$2:W830),$W$2:$W$1001,0),0), INDEX($AD$1004:$AU$1004,1,MATCH(COLUMNS($AD$1006:AF1006),$AD$1006:$AU$1006,0)))),"Fix")))</f>
        <v xml:space="preserve"> </v>
      </c>
      <c r="E830" s="4" t="str">
        <f ca="1">IF(OR(INDEX($X$2:$X$1001,MATCH(ROWS($W$2:W830),$W$2:$W$1001,0),1)&gt;=100000,INDEX($AD$1005:$AU$1005,1,MATCH(COLUMNS($AD$1006:AG1006),$AD$1006:$AU$1006,0))&gt;=100000), " ",IF(INDEX($AD$2:$AU$1001,MATCH(ROWS($W$2:W830),$W$2:$W$1001,0),MATCH(COLUMNS($AD$1006:AG1006),$AD$1006:$AU$1006,0)), HYPERLINK("#",""), HYPERLINK(CONCATENATE("#metadata!", ADDRESS(INDEX($Y$2:$Y$1001,MATCH(ROWS($W$2:W830),$W$2:$W$1001,0),0), INDEX($AD$1004:$AU$1004,1,MATCH(COLUMNS($AD$1006:AG1006),$AD$1006:$AU$1006,0)))),"Fix")))</f>
        <v xml:space="preserve"> </v>
      </c>
      <c r="F830" s="4" t="str">
        <f ca="1">IF(OR(INDEX($X$2:$X$1001,MATCH(ROWS($W$2:W830),$W$2:$W$1001,0),1)&gt;=100000,INDEX($AD$1005:$AU$1005,1,MATCH(COLUMNS($AD$1006:AH1006),$AD$1006:$AU$1006,0))&gt;=100000), " ",IF(INDEX($AD$2:$AU$1001,MATCH(ROWS($W$2:W830),$W$2:$W$1001,0),MATCH(COLUMNS($AD$1006:AH1006),$AD$1006:$AU$1006,0)), HYPERLINK("#",""), HYPERLINK(CONCATENATE("#metadata!", ADDRESS(INDEX($Y$2:$Y$1001,MATCH(ROWS($W$2:W830),$W$2:$W$1001,0),0), INDEX($AD$1004:$AU$1004,1,MATCH(COLUMNS($AD$1006:AH1006),$AD$1006:$AU$1006,0)))),"Fix")))</f>
        <v xml:space="preserve"> </v>
      </c>
      <c r="G830" s="4" t="str">
        <f ca="1">IF(OR(INDEX($X$2:$X$1001,MATCH(ROWS($W$2:W830),$W$2:$W$1001,0),1)&gt;=100000,INDEX($AD$1005:$AU$1005,1,MATCH(COLUMNS($AD$1006:AI1006),$AD$1006:$AU$1006,0))&gt;=100000), " ",IF(INDEX($AD$2:$AU$1001,MATCH(ROWS($W$2:W830),$W$2:$W$1001,0),MATCH(COLUMNS($AD$1006:AI1006),$AD$1006:$AU$1006,0)), HYPERLINK("#",""), HYPERLINK(CONCATENATE("#metadata!", ADDRESS(INDEX($Y$2:$Y$1001,MATCH(ROWS($W$2:W830),$W$2:$W$1001,0),0), INDEX($AD$1004:$AU$1004,1,MATCH(COLUMNS($AD$1006:AI1006),$AD$1006:$AU$1006,0)))),"Fix")))</f>
        <v xml:space="preserve"> </v>
      </c>
      <c r="H830" s="4" t="str">
        <f ca="1">IF(OR(INDEX($X$2:$X$1001,MATCH(ROWS($W$2:W830),$W$2:$W$1001,0),1)&gt;=100000,INDEX($AD$1005:$AU$1005,1,MATCH(COLUMNS($AD$1006:AJ1006),$AD$1006:$AU$1006,0))&gt;=100000), " ",IF(INDEX($AD$2:$AU$1001,MATCH(ROWS($W$2:W830),$W$2:$W$1001,0),MATCH(COLUMNS($AD$1006:AJ1006),$AD$1006:$AU$1006,0)), HYPERLINK("#",""), HYPERLINK(CONCATENATE("#metadata!", ADDRESS(INDEX($Y$2:$Y$1001,MATCH(ROWS($W$2:W830),$W$2:$W$1001,0),0), INDEX($AD$1004:$AU$1004,1,MATCH(COLUMNS($AD$1006:AJ1006),$AD$1006:$AU$1006,0)))),"Fix")))</f>
        <v xml:space="preserve"> </v>
      </c>
      <c r="I830" s="4" t="str">
        <f ca="1">IF(OR(INDEX($X$2:$X$1001,MATCH(ROWS($W$2:W830),$W$2:$W$1001,0),1)&gt;=100000,INDEX($AD$1005:$AU$1005,1,MATCH(COLUMNS($AD$1006:AK1006),$AD$1006:$AU$1006,0))&gt;=100000), " ",IF(INDEX($AD$2:$AU$1001,MATCH(ROWS($W$2:W830),$W$2:$W$1001,0),MATCH(COLUMNS($AD$1006:AK1006),$AD$1006:$AU$1006,0)), HYPERLINK("#",""), HYPERLINK(CONCATENATE("#metadata!", ADDRESS(INDEX($Y$2:$Y$1001,MATCH(ROWS($W$2:W830),$W$2:$W$1001,0),0), INDEX($AD$1004:$AU$1004,1,MATCH(COLUMNS($AD$1006:AK1006),$AD$1006:$AU$1006,0)))),"Fix")))</f>
        <v xml:space="preserve"> </v>
      </c>
      <c r="J830" s="4" t="str">
        <f ca="1">IF(OR(INDEX($X$2:$X$1001,MATCH(ROWS($W$2:W830),$W$2:$W$1001,0),1)&gt;=100000,INDEX($AD$1005:$AU$1005,1,MATCH(COLUMNS($AD$1006:AL1006),$AD$1006:$AU$1006,0))&gt;=100000), " ",IF(INDEX($AD$2:$AU$1001,MATCH(ROWS($W$2:W830),$W$2:$W$1001,0),MATCH(COLUMNS($AD$1006:AL1006),$AD$1006:$AU$1006,0)), HYPERLINK("#",""), HYPERLINK(CONCATENATE("#metadata!", ADDRESS(INDEX($Y$2:$Y$1001,MATCH(ROWS($W$2:W830),$W$2:$W$1001,0),0), INDEX($AD$1004:$AU$1004,1,MATCH(COLUMNS($AD$1006:AL1006),$AD$1006:$AU$1006,0)))),"Fix")))</f>
        <v xml:space="preserve"> </v>
      </c>
      <c r="K830" s="4" t="str">
        <f ca="1">IF(OR(INDEX($X$2:$X$1001,MATCH(ROWS($W$2:W830),$W$2:$W$1001,0),1)&gt;=100000,INDEX($AD$1005:$AU$1005,1,MATCH(COLUMNS($AD$1006:AM1006),$AD$1006:$AU$1006,0))&gt;=100000), " ",IF(INDEX($AD$2:$AU$1001,MATCH(ROWS($W$2:W830),$W$2:$W$1001,0),MATCH(COLUMNS($AD$1006:AM1006),$AD$1006:$AU$1006,0)), HYPERLINK("#",""), HYPERLINK(CONCATENATE("#metadata!", ADDRESS(INDEX($Y$2:$Y$1001,MATCH(ROWS($W$2:W830),$W$2:$W$1001,0),0), INDEX($AD$1004:$AU$1004,1,MATCH(COLUMNS($AD$1006:AM1006),$AD$1006:$AU$1006,0)))),"Fix")))</f>
        <v xml:space="preserve"> </v>
      </c>
      <c r="L830" s="4" t="str">
        <f ca="1">IF(OR(INDEX($X$2:$X$1001,MATCH(ROWS($W$2:W830),$W$2:$W$1001,0),1)&gt;=100000,INDEX($AD$1005:$AU$1005,1,MATCH(COLUMNS($AD$1006:AN1006),$AD$1006:$AU$1006,0))&gt;=100000), " ",IF(INDEX($AD$2:$AU$1001,MATCH(ROWS($W$2:W830),$W$2:$W$1001,0),MATCH(COLUMNS($AD$1006:AN1006),$AD$1006:$AU$1006,0)), HYPERLINK("#",""), HYPERLINK(CONCATENATE("#metadata!", ADDRESS(INDEX($Y$2:$Y$1001,MATCH(ROWS($W$2:W830),$W$2:$W$1001,0),0), INDEX($AD$1004:$AU$1004,1,MATCH(COLUMNS($AD$1006:AN1006),$AD$1006:$AU$1006,0)))),"Fix")))</f>
        <v xml:space="preserve"> </v>
      </c>
      <c r="M830" s="4" t="str">
        <f ca="1">IF(OR(INDEX($X$2:$X$1001,MATCH(ROWS($W$2:W830),$W$2:$W$1001,0),1)&gt;=100000,INDEX($AD$1005:$AU$1005,1,MATCH(COLUMNS($AD$1006:AO1006),$AD$1006:$AU$1006,0))&gt;=100000), " ",IF(INDEX($AD$2:$AU$1001,MATCH(ROWS($W$2:W830),$W$2:$W$1001,0),MATCH(COLUMNS($AD$1006:AO1006),$AD$1006:$AU$1006,0)), HYPERLINK("#",""), HYPERLINK(CONCATENATE("#metadata!", ADDRESS(INDEX($Y$2:$Y$1001,MATCH(ROWS($W$2:W830),$W$2:$W$1001,0),0), INDEX($AD$1004:$AU$1004,1,MATCH(COLUMNS($AD$1006:AO1006),$AD$1006:$AU$1006,0)))),"Fix")))</f>
        <v xml:space="preserve"> </v>
      </c>
      <c r="N830" s="4" t="str">
        <f ca="1">IF(OR(INDEX($X$2:$X$1001,MATCH(ROWS($W$2:W830),$W$2:$W$1001,0),1)&gt;=100000,INDEX($AD$1005:$AU$1005,1,MATCH(COLUMNS($AD$1006:AP1006),$AD$1006:$AU$1006,0))&gt;=100000), " ",IF(INDEX($AD$2:$AU$1001,MATCH(ROWS($W$2:W830),$W$2:$W$1001,0),MATCH(COLUMNS($AD$1006:AP1006),$AD$1006:$AU$1006,0)), HYPERLINK("#",""), HYPERLINK(CONCATENATE("#metadata!", ADDRESS(INDEX($Y$2:$Y$1001,MATCH(ROWS($W$2:W830),$W$2:$W$1001,0),0), INDEX($AD$1004:$AU$1004,1,MATCH(COLUMNS($AD$1006:AP1006),$AD$1006:$AU$1006,0)))),"Fix")))</f>
        <v xml:space="preserve"> </v>
      </c>
      <c r="O830" s="4" t="str">
        <f ca="1">IF(OR(INDEX($X$2:$X$1001,MATCH(ROWS($W$2:W830),$W$2:$W$1001,0),1)&gt;=100000,INDEX($AD$1005:$AU$1005,1,MATCH(COLUMNS($AD$1006:AQ1006),$AD$1006:$AU$1006,0))&gt;=100000), " ",IF(INDEX($AD$2:$AU$1001,MATCH(ROWS($W$2:W830),$W$2:$W$1001,0),MATCH(COLUMNS($AD$1006:AQ1006),$AD$1006:$AU$1006,0)), HYPERLINK("#",""), HYPERLINK(CONCATENATE("#metadata!", ADDRESS(INDEX($Y$2:$Y$1001,MATCH(ROWS($W$2:W830),$W$2:$W$1001,0),0), INDEX($AD$1004:$AU$1004,1,MATCH(COLUMNS($AD$1006:AQ1006),$AD$1006:$AU$1006,0)))),"Fix")))</f>
        <v xml:space="preserve"> </v>
      </c>
      <c r="P830" s="4" t="str">
        <f ca="1">IF(OR(INDEX($X$2:$X$1001,MATCH(ROWS($W$2:W830),$W$2:$W$1001,0),1)&gt;=100000,INDEX($AD$1005:$AU$1005,1,MATCH(COLUMNS($AD$1006:AR1006),$AD$1006:$AU$1006,0))&gt;=100000), " ",IF(INDEX($AD$2:$AU$1001,MATCH(ROWS($W$2:W830),$W$2:$W$1001,0),MATCH(COLUMNS($AD$1006:AR1006),$AD$1006:$AU$1006,0)), HYPERLINK("#",""), HYPERLINK(CONCATENATE("#metadata!", ADDRESS(INDEX($Y$2:$Y$1001,MATCH(ROWS($W$2:W830),$W$2:$W$1001,0),0), INDEX($AD$1004:$AU$1004,1,MATCH(COLUMNS($AD$1006:AR1006),$AD$1006:$AU$1006,0)))),"Fix")))</f>
        <v xml:space="preserve"> </v>
      </c>
      <c r="Q830" s="4" t="str">
        <f ca="1">IF(OR(INDEX($X$2:$X$1001,MATCH(ROWS($W$2:W830),$W$2:$W$1001,0),1)&gt;=100000,INDEX($AD$1005:$AU$1005,1,MATCH(COLUMNS($AD$1006:AS1006),$AD$1006:$AU$1006,0))&gt;=100000), " ",IF(INDEX($AD$2:$AU$1001,MATCH(ROWS($W$2:W830),$W$2:$W$1001,0),MATCH(COLUMNS($AD$1006:AS1006),$AD$1006:$AU$1006,0)), HYPERLINK("#",""), HYPERLINK(CONCATENATE("#metadata!", ADDRESS(INDEX($Y$2:$Y$1001,MATCH(ROWS($W$2:W830),$W$2:$W$1001,0),0), INDEX($AD$1004:$AU$1004,1,MATCH(COLUMNS($AD$1006:AS1006),$AD$1006:$AU$1006,0)))),"Fix")))</f>
        <v xml:space="preserve"> </v>
      </c>
      <c r="R830" s="4" t="str">
        <f ca="1">IF(OR(INDEX($X$2:$X$1001,MATCH(ROWS($W$2:W830),$W$2:$W$1001,0),1)&gt;=100000,INDEX($AD$1005:$AU$1005,1,MATCH(COLUMNS($AD$1006:AT1006),$AD$1006:$AU$1006,0))&gt;=100000), " ",IF(INDEX($AD$2:$AU$1001,MATCH(ROWS($W$2:W830),$W$2:$W$1001,0),MATCH(COLUMNS($AD$1006:AT1006),$AD$1006:$AU$1006,0)), HYPERLINK("#",""), HYPERLINK(CONCATENATE("#metadata!", ADDRESS(INDEX($Y$2:$Y$1001,MATCH(ROWS($W$2:W830),$W$2:$W$1001,0),0), INDEX($AD$1004:$AU$1004,1,MATCH(COLUMNS($AD$1006:AT1006),$AD$1006:$AU$1006,0)))),"Fix")))</f>
        <v xml:space="preserve"> </v>
      </c>
      <c r="S830" s="4" t="str">
        <f ca="1">IF(OR(INDEX($X$2:$X$1001,MATCH(ROWS($W$2:W830),$W$2:$W$1001,0),1)&gt;=100000,INDEX($AD$1005:$AU$1005,1,MATCH(COLUMNS($AD$1006:AU1006),$AD$1006:$AU$1006,0))&gt;=100000), " ",IF(INDEX($AD$2:$AU$1001,MATCH(ROWS($W$2:W830),$W$2:$W$1001,0),MATCH(COLUMNS($AD$1006:AU1006),$AD$1006:$AU$1006,0)), HYPERLINK("#",""), HYPERLINK(CONCATENATE("#metadata!", ADDRESS(INDEX($Y$2:$Y$1001,MATCH(ROWS($W$2:W830),$W$2:$W$1001,0),0), INDEX($AD$1004:$AU$1004,1,MATCH(COLUMNS($AD$1006:AU1006),$AD$1006:$AU$1006,0)))),"Fix")))</f>
        <v xml:space="preserve"> </v>
      </c>
      <c r="W830">
        <v>829</v>
      </c>
      <c r="X830">
        <v>100830</v>
      </c>
      <c r="Y830">
        <v>830</v>
      </c>
      <c r="Z830" t="b">
        <f t="shared" si="12"/>
        <v>1</v>
      </c>
      <c r="AA830" t="b">
        <f>COUNTBLANK(metadata!B830:S830)=COLUMNS(metadata!B830:S830)</f>
        <v>1</v>
      </c>
      <c r="AB830" t="str">
        <v/>
      </c>
      <c r="AD830" t="b">
        <f ca="1">AND(IF(metadata!B830="",FALSE,TRUE),COUNTIF(metadata!B:B, metadata!B830) = 1,NOT(ISERROR(SUMPRODUCT(SEARCH(MID(metadata!B830,ROW(INDIRECT("1:"&amp;LEN(metadata!B830))), 1),"0123456789abcdefghijklmnopqrstuvwxyzABCDEFGHIJKLMNOPQRSTUVWXYZ.")))))</f>
        <v>0</v>
      </c>
      <c r="AE830" t="b">
        <f>OR(AND(IF(metadata!C830="",FALSE,TRUE),OR(EXACT(metadata!C830,"not applicable"),EXACT(metadata!C830,"missing: not collected"),EXACT(metadata!C830,"missing: not provided"),EXACT(metadata!C830,"missing: restricted access"))),AND(IF(metadata!C830="",FALSE,ISNUMBER(VALUE(metadata!C830))),metadata!C830&gt;0))</f>
        <v>0</v>
      </c>
      <c r="AF830" t="b">
        <f>AND(IF(metadata!D830="",FALSE,TRUE),EXACT(metadata!D830,"missing: not provided"))</f>
        <v>0</v>
      </c>
      <c r="AG830" t="b">
        <f>AND(IF(metadata!E830="",FALSE,TRUE),EXACT(metadata!E830,"Host-associated"))</f>
        <v>0</v>
      </c>
      <c r="AH830" t="b">
        <f>AND(IF(metadata!F830="",FALSE,TRUE),OR(EXACT(metadata!F830,"Animal"),EXACT(metadata!F830,"Fungus"),EXACT(metadata!F830,"Plant")))</f>
        <v>0</v>
      </c>
      <c r="AI830" t="b">
        <f>AND(IF(metadata!G830="",FALSE,TRUE),OR(EXACT(metadata!G830,"Plant secretion"),EXACT(metadata!G830,"Plant rhizosphere"),EXACT(metadata!G830,"Plant surface"),EXACT(metadata!G830,"Plant corpus"),EXACT(metadata!G830,"Fungus surface"),EXACT(metadata!G830,"Fungus corpus"),EXACT(metadata!G830,"Animal surface"),EXACT(metadata!G830,"Animal proximal gut"),EXACT(metadata!G830,"Animal corpus"),EXACT(metadata!G830,"Animal distal gut"),EXACT(metadata!G830,"Animal secretion")))</f>
        <v>0</v>
      </c>
      <c r="AJ830" t="b">
        <f>OR(AND(IF(metadata!H830="",FALSE,TRUE),OR(EXACT(metadata!H830,"missing: not collected"),EXACT(metadata!H830,"missing: not provided"),EXACT(metadata!H830,"missing: restricted access"))),AND(IF(metadata!H830="",FALSE,TRUE),OR(EXACT(metadata!H830,"organism-associated habitat"),EXACT(metadata!H830,"plant-associated habitat"),EXACT(metadata!H830,"animal-associated habitat"),EXACT(metadata!H830,"insecta-associated habitat"),EXACT(metadata!H830,"mammalia-associated habitat"),EXACT(metadata!H830,"human-associated habitat"),EXACT(metadata!H830,"livestock-associated habitat"))))</f>
        <v>0</v>
      </c>
      <c r="AK830" t="b">
        <f>AND(IF(metadata!I830="",FALSE,TRUE),EXACT(metadata!I830,"host-associated"))</f>
        <v>0</v>
      </c>
      <c r="AL830" t="b">
        <f>OR(AND(IF(metadata!J830="",FALSE,TRUE),OR(EXACT(metadata!J830,"not applicable"),EXACT(metadata!J830,"missing: not collected"),EXACT(metadata!J830,"missing: not provided"),EXACT(metadata!J830,"missing: restricted access"))),AND(IF(metadata!J830="",FALSE,ISNUMBER(VALUE(metadata!J830))),metadata!J830&gt;0))</f>
        <v>0</v>
      </c>
      <c r="AM830" t="b">
        <f>AND(IF(metadata!K830="",FALSE,TRUE),EXACT(metadata!K830,"missing: not provided"))</f>
        <v>0</v>
      </c>
      <c r="AN830" t="b">
        <f>IF(metadata!L830="",FALSE,TRUE)</f>
        <v>0</v>
      </c>
      <c r="AO830" t="b">
        <f>IF(metadata!M830="",FALSE,TRUE)</f>
        <v>0</v>
      </c>
      <c r="AP830" t="b">
        <f>OR(AND(IF(metadata!N830="",FALSE,TRUE),OR(EXACT(metadata!N830,"not applicable"),EXACT(metadata!N830,"missing: not collected"),EXACT(metadata!N830,"missing: not provided"))),AND(IF(metadata!N830="",FALSE,IF(ISERROR(INT(metadata!N830)),FALSE,INT(metadata!N830)=metadata!N830)),metadata!N830&gt;0))</f>
        <v>0</v>
      </c>
      <c r="AQ830" t="b">
        <f>AND(IF(metadata!O830="",FALSE,TRUE),EXACT(metadata!O830,"Not applicable"))</f>
        <v>0</v>
      </c>
      <c r="AR830" t="b">
        <f>OR(AND(IF(metadata!P830="",FALSE,TRUE),OR(EXACT(metadata!P830,"not applicable"),EXACT(metadata!P830,"missing: not collected"),EXACT(metadata!P830,"missing: not provided"),EXACT(metadata!P830,"missing: restricted access"))),IF(metadata!P830="",FALSE,IF(ISERROR(INT(metadata!P830)),FALSE,INT(metadata!P830)=metadata!P830)))</f>
        <v>0</v>
      </c>
      <c r="AS830" t="b">
        <f>AND(IF(metadata!Q830="",FALSE,TRUE),EXACT(metadata!Q830,"Not applicable"))</f>
        <v>0</v>
      </c>
      <c r="AT830" t="b">
        <f>OR(AND(IF(metadata!R830="",FALSE,TRUE),OR(EXACT(metadata!R830,"not applicable"),EXACT(metadata!R830,"missing: not collected"),EXACT(metadata!R830,"missing: not provided"),EXACT(metadata!R830,"missing: restricted access"))),AND(IF(metadata!R830="",FALSE,ISNUMBER(VALUE(metadata!R830))),metadata!R830&gt;0))</f>
        <v>0</v>
      </c>
      <c r="AU830" t="b">
        <f>AND(IF(metadata!S830="",FALSE,TRUE),EXACT(metadata!S830,"missing: not provided"))</f>
        <v>0</v>
      </c>
    </row>
    <row r="831" spans="1:47" x14ac:dyDescent="0.2">
      <c r="A831" s="5" t="str">
        <f ca="1">IF(B831=" "," ",HYPERLINK(CONCATENATE("#metadata!",ADDRESS(INDEX($Y$2:$Y$1001,MATCH(ROWS($W$2:W831),$W$2:$W$1001,0),0),1)),INDEX($AB$2:$AB$1001,MATCH(ROWS($W$2:W831),$W$2:$W$1001,0),0)))</f>
        <v xml:space="preserve"> </v>
      </c>
      <c r="B831" s="4" t="str">
        <f ca="1">IF(OR(INDEX($X$2:$X$1001,MATCH(ROWS($W$2:W831),$W$2:$W$1001,0),1)&gt;=100000,INDEX($AD$1005:$AU$1005,1,MATCH(COLUMNS($AD$1006:AD1006),$AD$1006:$AU$1006,0))&gt;=100000), " ",IF(INDEX($AD$2:$AU$1001,MATCH(ROWS($W$2:W831),$W$2:$W$1001,0),MATCH(COLUMNS($AD$1006:AD1006),$AD$1006:$AU$1006,0)), HYPERLINK("#",""), HYPERLINK(CONCATENATE("#metadata!", ADDRESS(INDEX($Y$2:$Y$1001,MATCH(ROWS($W$2:W831),$W$2:$W$1001,0),0), INDEX($AD$1004:$AU$1004,1,MATCH(COLUMNS($AD$1006:AD1006),$AD$1006:$AU$1006,0)))),"Fix")))</f>
        <v xml:space="preserve"> </v>
      </c>
      <c r="C831" s="4" t="str">
        <f ca="1">IF(OR(INDEX($X$2:$X$1001,MATCH(ROWS($W$2:W831),$W$2:$W$1001,0),1)&gt;=100000,INDEX($AD$1005:$AU$1005,1,MATCH(COLUMNS($AD$1006:AE1006),$AD$1006:$AU$1006,0))&gt;=100000), " ",IF(INDEX($AD$2:$AU$1001,MATCH(ROWS($W$2:W831),$W$2:$W$1001,0),MATCH(COLUMNS($AD$1006:AE1006),$AD$1006:$AU$1006,0)), HYPERLINK("#",""), HYPERLINK(CONCATENATE("#metadata!", ADDRESS(INDEX($Y$2:$Y$1001,MATCH(ROWS($W$2:W831),$W$2:$W$1001,0),0), INDEX($AD$1004:$AU$1004,1,MATCH(COLUMNS($AD$1006:AE1006),$AD$1006:$AU$1006,0)))),"Fix")))</f>
        <v xml:space="preserve"> </v>
      </c>
      <c r="D831" s="4" t="str">
        <f ca="1">IF(OR(INDEX($X$2:$X$1001,MATCH(ROWS($W$2:W831),$W$2:$W$1001,0),1)&gt;=100000,INDEX($AD$1005:$AU$1005,1,MATCH(COLUMNS($AD$1006:AF1006),$AD$1006:$AU$1006,0))&gt;=100000), " ",IF(INDEX($AD$2:$AU$1001,MATCH(ROWS($W$2:W831),$W$2:$W$1001,0),MATCH(COLUMNS($AD$1006:AF1006),$AD$1006:$AU$1006,0)), HYPERLINK("#",""), HYPERLINK(CONCATENATE("#metadata!", ADDRESS(INDEX($Y$2:$Y$1001,MATCH(ROWS($W$2:W831),$W$2:$W$1001,0),0), INDEX($AD$1004:$AU$1004,1,MATCH(COLUMNS($AD$1006:AF1006),$AD$1006:$AU$1006,0)))),"Fix")))</f>
        <v xml:space="preserve"> </v>
      </c>
      <c r="E831" s="4" t="str">
        <f ca="1">IF(OR(INDEX($X$2:$X$1001,MATCH(ROWS($W$2:W831),$W$2:$W$1001,0),1)&gt;=100000,INDEX($AD$1005:$AU$1005,1,MATCH(COLUMNS($AD$1006:AG1006),$AD$1006:$AU$1006,0))&gt;=100000), " ",IF(INDEX($AD$2:$AU$1001,MATCH(ROWS($W$2:W831),$W$2:$W$1001,0),MATCH(COLUMNS($AD$1006:AG1006),$AD$1006:$AU$1006,0)), HYPERLINK("#",""), HYPERLINK(CONCATENATE("#metadata!", ADDRESS(INDEX($Y$2:$Y$1001,MATCH(ROWS($W$2:W831),$W$2:$W$1001,0),0), INDEX($AD$1004:$AU$1004,1,MATCH(COLUMNS($AD$1006:AG1006),$AD$1006:$AU$1006,0)))),"Fix")))</f>
        <v xml:space="preserve"> </v>
      </c>
      <c r="F831" s="4" t="str">
        <f ca="1">IF(OR(INDEX($X$2:$X$1001,MATCH(ROWS($W$2:W831),$W$2:$W$1001,0),1)&gt;=100000,INDEX($AD$1005:$AU$1005,1,MATCH(COLUMNS($AD$1006:AH1006),$AD$1006:$AU$1006,0))&gt;=100000), " ",IF(INDEX($AD$2:$AU$1001,MATCH(ROWS($W$2:W831),$W$2:$W$1001,0),MATCH(COLUMNS($AD$1006:AH1006),$AD$1006:$AU$1006,0)), HYPERLINK("#",""), HYPERLINK(CONCATENATE("#metadata!", ADDRESS(INDEX($Y$2:$Y$1001,MATCH(ROWS($W$2:W831),$W$2:$W$1001,0),0), INDEX($AD$1004:$AU$1004,1,MATCH(COLUMNS($AD$1006:AH1006),$AD$1006:$AU$1006,0)))),"Fix")))</f>
        <v xml:space="preserve"> </v>
      </c>
      <c r="G831" s="4" t="str">
        <f ca="1">IF(OR(INDEX($X$2:$X$1001,MATCH(ROWS($W$2:W831),$W$2:$W$1001,0),1)&gt;=100000,INDEX($AD$1005:$AU$1005,1,MATCH(COLUMNS($AD$1006:AI1006),$AD$1006:$AU$1006,0))&gt;=100000), " ",IF(INDEX($AD$2:$AU$1001,MATCH(ROWS($W$2:W831),$W$2:$W$1001,0),MATCH(COLUMNS($AD$1006:AI1006),$AD$1006:$AU$1006,0)), HYPERLINK("#",""), HYPERLINK(CONCATENATE("#metadata!", ADDRESS(INDEX($Y$2:$Y$1001,MATCH(ROWS($W$2:W831),$W$2:$W$1001,0),0), INDEX($AD$1004:$AU$1004,1,MATCH(COLUMNS($AD$1006:AI1006),$AD$1006:$AU$1006,0)))),"Fix")))</f>
        <v xml:space="preserve"> </v>
      </c>
      <c r="H831" s="4" t="str">
        <f ca="1">IF(OR(INDEX($X$2:$X$1001,MATCH(ROWS($W$2:W831),$W$2:$W$1001,0),1)&gt;=100000,INDEX($AD$1005:$AU$1005,1,MATCH(COLUMNS($AD$1006:AJ1006),$AD$1006:$AU$1006,0))&gt;=100000), " ",IF(INDEX($AD$2:$AU$1001,MATCH(ROWS($W$2:W831),$W$2:$W$1001,0),MATCH(COLUMNS($AD$1006:AJ1006),$AD$1006:$AU$1006,0)), HYPERLINK("#",""), HYPERLINK(CONCATENATE("#metadata!", ADDRESS(INDEX($Y$2:$Y$1001,MATCH(ROWS($W$2:W831),$W$2:$W$1001,0),0), INDEX($AD$1004:$AU$1004,1,MATCH(COLUMNS($AD$1006:AJ1006),$AD$1006:$AU$1006,0)))),"Fix")))</f>
        <v xml:space="preserve"> </v>
      </c>
      <c r="I831" s="4" t="str">
        <f ca="1">IF(OR(INDEX($X$2:$X$1001,MATCH(ROWS($W$2:W831),$W$2:$W$1001,0),1)&gt;=100000,INDEX($AD$1005:$AU$1005,1,MATCH(COLUMNS($AD$1006:AK1006),$AD$1006:$AU$1006,0))&gt;=100000), " ",IF(INDEX($AD$2:$AU$1001,MATCH(ROWS($W$2:W831),$W$2:$W$1001,0),MATCH(COLUMNS($AD$1006:AK1006),$AD$1006:$AU$1006,0)), HYPERLINK("#",""), HYPERLINK(CONCATENATE("#metadata!", ADDRESS(INDEX($Y$2:$Y$1001,MATCH(ROWS($W$2:W831),$W$2:$W$1001,0),0), INDEX($AD$1004:$AU$1004,1,MATCH(COLUMNS($AD$1006:AK1006),$AD$1006:$AU$1006,0)))),"Fix")))</f>
        <v xml:space="preserve"> </v>
      </c>
      <c r="J831" s="4" t="str">
        <f ca="1">IF(OR(INDEX($X$2:$X$1001,MATCH(ROWS($W$2:W831),$W$2:$W$1001,0),1)&gt;=100000,INDEX($AD$1005:$AU$1005,1,MATCH(COLUMNS($AD$1006:AL1006),$AD$1006:$AU$1006,0))&gt;=100000), " ",IF(INDEX($AD$2:$AU$1001,MATCH(ROWS($W$2:W831),$W$2:$W$1001,0),MATCH(COLUMNS($AD$1006:AL1006),$AD$1006:$AU$1006,0)), HYPERLINK("#",""), HYPERLINK(CONCATENATE("#metadata!", ADDRESS(INDEX($Y$2:$Y$1001,MATCH(ROWS($W$2:W831),$W$2:$W$1001,0),0), INDEX($AD$1004:$AU$1004,1,MATCH(COLUMNS($AD$1006:AL1006),$AD$1006:$AU$1006,0)))),"Fix")))</f>
        <v xml:space="preserve"> </v>
      </c>
      <c r="K831" s="4" t="str">
        <f ca="1">IF(OR(INDEX($X$2:$X$1001,MATCH(ROWS($W$2:W831),$W$2:$W$1001,0),1)&gt;=100000,INDEX($AD$1005:$AU$1005,1,MATCH(COLUMNS($AD$1006:AM1006),$AD$1006:$AU$1006,0))&gt;=100000), " ",IF(INDEX($AD$2:$AU$1001,MATCH(ROWS($W$2:W831),$W$2:$W$1001,0),MATCH(COLUMNS($AD$1006:AM1006),$AD$1006:$AU$1006,0)), HYPERLINK("#",""), HYPERLINK(CONCATENATE("#metadata!", ADDRESS(INDEX($Y$2:$Y$1001,MATCH(ROWS($W$2:W831),$W$2:$W$1001,0),0), INDEX($AD$1004:$AU$1004,1,MATCH(COLUMNS($AD$1006:AM1006),$AD$1006:$AU$1006,0)))),"Fix")))</f>
        <v xml:space="preserve"> </v>
      </c>
      <c r="L831" s="4" t="str">
        <f ca="1">IF(OR(INDEX($X$2:$X$1001,MATCH(ROWS($W$2:W831),$W$2:$W$1001,0),1)&gt;=100000,INDEX($AD$1005:$AU$1005,1,MATCH(COLUMNS($AD$1006:AN1006),$AD$1006:$AU$1006,0))&gt;=100000), " ",IF(INDEX($AD$2:$AU$1001,MATCH(ROWS($W$2:W831),$W$2:$W$1001,0),MATCH(COLUMNS($AD$1006:AN1006),$AD$1006:$AU$1006,0)), HYPERLINK("#",""), HYPERLINK(CONCATENATE("#metadata!", ADDRESS(INDEX($Y$2:$Y$1001,MATCH(ROWS($W$2:W831),$W$2:$W$1001,0),0), INDEX($AD$1004:$AU$1004,1,MATCH(COLUMNS($AD$1006:AN1006),$AD$1006:$AU$1006,0)))),"Fix")))</f>
        <v xml:space="preserve"> </v>
      </c>
      <c r="M831" s="4" t="str">
        <f ca="1">IF(OR(INDEX($X$2:$X$1001,MATCH(ROWS($W$2:W831),$W$2:$W$1001,0),1)&gt;=100000,INDEX($AD$1005:$AU$1005,1,MATCH(COLUMNS($AD$1006:AO1006),$AD$1006:$AU$1006,0))&gt;=100000), " ",IF(INDEX($AD$2:$AU$1001,MATCH(ROWS($W$2:W831),$W$2:$W$1001,0),MATCH(COLUMNS($AD$1006:AO1006),$AD$1006:$AU$1006,0)), HYPERLINK("#",""), HYPERLINK(CONCATENATE("#metadata!", ADDRESS(INDEX($Y$2:$Y$1001,MATCH(ROWS($W$2:W831),$W$2:$W$1001,0),0), INDEX($AD$1004:$AU$1004,1,MATCH(COLUMNS($AD$1006:AO1006),$AD$1006:$AU$1006,0)))),"Fix")))</f>
        <v xml:space="preserve"> </v>
      </c>
      <c r="N831" s="4" t="str">
        <f ca="1">IF(OR(INDEX($X$2:$X$1001,MATCH(ROWS($W$2:W831),$W$2:$W$1001,0),1)&gt;=100000,INDEX($AD$1005:$AU$1005,1,MATCH(COLUMNS($AD$1006:AP1006),$AD$1006:$AU$1006,0))&gt;=100000), " ",IF(INDEX($AD$2:$AU$1001,MATCH(ROWS($W$2:W831),$W$2:$W$1001,0),MATCH(COLUMNS($AD$1006:AP1006),$AD$1006:$AU$1006,0)), HYPERLINK("#",""), HYPERLINK(CONCATENATE("#metadata!", ADDRESS(INDEX($Y$2:$Y$1001,MATCH(ROWS($W$2:W831),$W$2:$W$1001,0),0), INDEX($AD$1004:$AU$1004,1,MATCH(COLUMNS($AD$1006:AP1006),$AD$1006:$AU$1006,0)))),"Fix")))</f>
        <v xml:space="preserve"> </v>
      </c>
      <c r="O831" s="4" t="str">
        <f ca="1">IF(OR(INDEX($X$2:$X$1001,MATCH(ROWS($W$2:W831),$W$2:$W$1001,0),1)&gt;=100000,INDEX($AD$1005:$AU$1005,1,MATCH(COLUMNS($AD$1006:AQ1006),$AD$1006:$AU$1006,0))&gt;=100000), " ",IF(INDEX($AD$2:$AU$1001,MATCH(ROWS($W$2:W831),$W$2:$W$1001,0),MATCH(COLUMNS($AD$1006:AQ1006),$AD$1006:$AU$1006,0)), HYPERLINK("#",""), HYPERLINK(CONCATENATE("#metadata!", ADDRESS(INDEX($Y$2:$Y$1001,MATCH(ROWS($W$2:W831),$W$2:$W$1001,0),0), INDEX($AD$1004:$AU$1004,1,MATCH(COLUMNS($AD$1006:AQ1006),$AD$1006:$AU$1006,0)))),"Fix")))</f>
        <v xml:space="preserve"> </v>
      </c>
      <c r="P831" s="4" t="str">
        <f ca="1">IF(OR(INDEX($X$2:$X$1001,MATCH(ROWS($W$2:W831),$W$2:$W$1001,0),1)&gt;=100000,INDEX($AD$1005:$AU$1005,1,MATCH(COLUMNS($AD$1006:AR1006),$AD$1006:$AU$1006,0))&gt;=100000), " ",IF(INDEX($AD$2:$AU$1001,MATCH(ROWS($W$2:W831),$W$2:$W$1001,0),MATCH(COLUMNS($AD$1006:AR1006),$AD$1006:$AU$1006,0)), HYPERLINK("#",""), HYPERLINK(CONCATENATE("#metadata!", ADDRESS(INDEX($Y$2:$Y$1001,MATCH(ROWS($W$2:W831),$W$2:$W$1001,0),0), INDEX($AD$1004:$AU$1004,1,MATCH(COLUMNS($AD$1006:AR1006),$AD$1006:$AU$1006,0)))),"Fix")))</f>
        <v xml:space="preserve"> </v>
      </c>
      <c r="Q831" s="4" t="str">
        <f ca="1">IF(OR(INDEX($X$2:$X$1001,MATCH(ROWS($W$2:W831),$W$2:$W$1001,0),1)&gt;=100000,INDEX($AD$1005:$AU$1005,1,MATCH(COLUMNS($AD$1006:AS1006),$AD$1006:$AU$1006,0))&gt;=100000), " ",IF(INDEX($AD$2:$AU$1001,MATCH(ROWS($W$2:W831),$W$2:$W$1001,0),MATCH(COLUMNS($AD$1006:AS1006),$AD$1006:$AU$1006,0)), HYPERLINK("#",""), HYPERLINK(CONCATENATE("#metadata!", ADDRESS(INDEX($Y$2:$Y$1001,MATCH(ROWS($W$2:W831),$W$2:$W$1001,0),0), INDEX($AD$1004:$AU$1004,1,MATCH(COLUMNS($AD$1006:AS1006),$AD$1006:$AU$1006,0)))),"Fix")))</f>
        <v xml:space="preserve"> </v>
      </c>
      <c r="R831" s="4" t="str">
        <f ca="1">IF(OR(INDEX($X$2:$X$1001,MATCH(ROWS($W$2:W831),$W$2:$W$1001,0),1)&gt;=100000,INDEX($AD$1005:$AU$1005,1,MATCH(COLUMNS($AD$1006:AT1006),$AD$1006:$AU$1006,0))&gt;=100000), " ",IF(INDEX($AD$2:$AU$1001,MATCH(ROWS($W$2:W831),$W$2:$W$1001,0),MATCH(COLUMNS($AD$1006:AT1006),$AD$1006:$AU$1006,0)), HYPERLINK("#",""), HYPERLINK(CONCATENATE("#metadata!", ADDRESS(INDEX($Y$2:$Y$1001,MATCH(ROWS($W$2:W831),$W$2:$W$1001,0),0), INDEX($AD$1004:$AU$1004,1,MATCH(COLUMNS($AD$1006:AT1006),$AD$1006:$AU$1006,0)))),"Fix")))</f>
        <v xml:space="preserve"> </v>
      </c>
      <c r="S831" s="4" t="str">
        <f ca="1">IF(OR(INDEX($X$2:$X$1001,MATCH(ROWS($W$2:W831),$W$2:$W$1001,0),1)&gt;=100000,INDEX($AD$1005:$AU$1005,1,MATCH(COLUMNS($AD$1006:AU1006),$AD$1006:$AU$1006,0))&gt;=100000), " ",IF(INDEX($AD$2:$AU$1001,MATCH(ROWS($W$2:W831),$W$2:$W$1001,0),MATCH(COLUMNS($AD$1006:AU1006),$AD$1006:$AU$1006,0)), HYPERLINK("#",""), HYPERLINK(CONCATENATE("#metadata!", ADDRESS(INDEX($Y$2:$Y$1001,MATCH(ROWS($W$2:W831),$W$2:$W$1001,0),0), INDEX($AD$1004:$AU$1004,1,MATCH(COLUMNS($AD$1006:AU1006),$AD$1006:$AU$1006,0)))),"Fix")))</f>
        <v xml:space="preserve"> </v>
      </c>
      <c r="W831">
        <v>830</v>
      </c>
      <c r="X831">
        <v>100831</v>
      </c>
      <c r="Y831">
        <v>831</v>
      </c>
      <c r="Z831" t="b">
        <f t="shared" si="12"/>
        <v>1</v>
      </c>
      <c r="AA831" t="b">
        <f>COUNTBLANK(metadata!B831:S831)=COLUMNS(metadata!B831:S831)</f>
        <v>1</v>
      </c>
      <c r="AB831" t="str">
        <v/>
      </c>
      <c r="AD831" t="b">
        <f ca="1">AND(IF(metadata!B831="",FALSE,TRUE),COUNTIF(metadata!B:B, metadata!B831) = 1,NOT(ISERROR(SUMPRODUCT(SEARCH(MID(metadata!B831,ROW(INDIRECT("1:"&amp;LEN(metadata!B831))), 1),"0123456789abcdefghijklmnopqrstuvwxyzABCDEFGHIJKLMNOPQRSTUVWXYZ.")))))</f>
        <v>0</v>
      </c>
      <c r="AE831" t="b">
        <f>OR(AND(IF(metadata!C831="",FALSE,TRUE),OR(EXACT(metadata!C831,"not applicable"),EXACT(metadata!C831,"missing: not collected"),EXACT(metadata!C831,"missing: not provided"),EXACT(metadata!C831,"missing: restricted access"))),AND(IF(metadata!C831="",FALSE,ISNUMBER(VALUE(metadata!C831))),metadata!C831&gt;0))</f>
        <v>0</v>
      </c>
      <c r="AF831" t="b">
        <f>AND(IF(metadata!D831="",FALSE,TRUE),EXACT(metadata!D831,"missing: not provided"))</f>
        <v>0</v>
      </c>
      <c r="AG831" t="b">
        <f>AND(IF(metadata!E831="",FALSE,TRUE),EXACT(metadata!E831,"Host-associated"))</f>
        <v>0</v>
      </c>
      <c r="AH831" t="b">
        <f>AND(IF(metadata!F831="",FALSE,TRUE),OR(EXACT(metadata!F831,"Animal"),EXACT(metadata!F831,"Fungus"),EXACT(metadata!F831,"Plant")))</f>
        <v>0</v>
      </c>
      <c r="AI831" t="b">
        <f>AND(IF(metadata!G831="",FALSE,TRUE),OR(EXACT(metadata!G831,"Plant secretion"),EXACT(metadata!G831,"Plant rhizosphere"),EXACT(metadata!G831,"Plant surface"),EXACT(metadata!G831,"Plant corpus"),EXACT(metadata!G831,"Fungus surface"),EXACT(metadata!G831,"Fungus corpus"),EXACT(metadata!G831,"Animal surface"),EXACT(metadata!G831,"Animal proximal gut"),EXACT(metadata!G831,"Animal corpus"),EXACT(metadata!G831,"Animal distal gut"),EXACT(metadata!G831,"Animal secretion")))</f>
        <v>0</v>
      </c>
      <c r="AJ831" t="b">
        <f>OR(AND(IF(metadata!H831="",FALSE,TRUE),OR(EXACT(metadata!H831,"missing: not collected"),EXACT(metadata!H831,"missing: not provided"),EXACT(metadata!H831,"missing: restricted access"))),AND(IF(metadata!H831="",FALSE,TRUE),OR(EXACT(metadata!H831,"organism-associated habitat"),EXACT(metadata!H831,"plant-associated habitat"),EXACT(metadata!H831,"animal-associated habitat"),EXACT(metadata!H831,"insecta-associated habitat"),EXACT(metadata!H831,"mammalia-associated habitat"),EXACT(metadata!H831,"human-associated habitat"),EXACT(metadata!H831,"livestock-associated habitat"))))</f>
        <v>0</v>
      </c>
      <c r="AK831" t="b">
        <f>AND(IF(metadata!I831="",FALSE,TRUE),EXACT(metadata!I831,"host-associated"))</f>
        <v>0</v>
      </c>
      <c r="AL831" t="b">
        <f>OR(AND(IF(metadata!J831="",FALSE,TRUE),OR(EXACT(metadata!J831,"not applicable"),EXACT(metadata!J831,"missing: not collected"),EXACT(metadata!J831,"missing: not provided"),EXACT(metadata!J831,"missing: restricted access"))),AND(IF(metadata!J831="",FALSE,ISNUMBER(VALUE(metadata!J831))),metadata!J831&gt;0))</f>
        <v>0</v>
      </c>
      <c r="AM831" t="b">
        <f>AND(IF(metadata!K831="",FALSE,TRUE),EXACT(metadata!K831,"missing: not provided"))</f>
        <v>0</v>
      </c>
      <c r="AN831" t="b">
        <f>IF(metadata!L831="",FALSE,TRUE)</f>
        <v>0</v>
      </c>
      <c r="AO831" t="b">
        <f>IF(metadata!M831="",FALSE,TRUE)</f>
        <v>0</v>
      </c>
      <c r="AP831" t="b">
        <f>OR(AND(IF(metadata!N831="",FALSE,TRUE),OR(EXACT(metadata!N831,"not applicable"),EXACT(metadata!N831,"missing: not collected"),EXACT(metadata!N831,"missing: not provided"))),AND(IF(metadata!N831="",FALSE,IF(ISERROR(INT(metadata!N831)),FALSE,INT(metadata!N831)=metadata!N831)),metadata!N831&gt;0))</f>
        <v>0</v>
      </c>
      <c r="AQ831" t="b">
        <f>AND(IF(metadata!O831="",FALSE,TRUE),EXACT(metadata!O831,"Not applicable"))</f>
        <v>0</v>
      </c>
      <c r="AR831" t="b">
        <f>OR(AND(IF(metadata!P831="",FALSE,TRUE),OR(EXACT(metadata!P831,"not applicable"),EXACT(metadata!P831,"missing: not collected"),EXACT(metadata!P831,"missing: not provided"),EXACT(metadata!P831,"missing: restricted access"))),IF(metadata!P831="",FALSE,IF(ISERROR(INT(metadata!P831)),FALSE,INT(metadata!P831)=metadata!P831)))</f>
        <v>0</v>
      </c>
      <c r="AS831" t="b">
        <f>AND(IF(metadata!Q831="",FALSE,TRUE),EXACT(metadata!Q831,"Not applicable"))</f>
        <v>0</v>
      </c>
      <c r="AT831" t="b">
        <f>OR(AND(IF(metadata!R831="",FALSE,TRUE),OR(EXACT(metadata!R831,"not applicable"),EXACT(metadata!R831,"missing: not collected"),EXACT(metadata!R831,"missing: not provided"),EXACT(metadata!R831,"missing: restricted access"))),AND(IF(metadata!R831="",FALSE,ISNUMBER(VALUE(metadata!R831))),metadata!R831&gt;0))</f>
        <v>0</v>
      </c>
      <c r="AU831" t="b">
        <f>AND(IF(metadata!S831="",FALSE,TRUE),EXACT(metadata!S831,"missing: not provided"))</f>
        <v>0</v>
      </c>
    </row>
    <row r="832" spans="1:47" x14ac:dyDescent="0.2">
      <c r="A832" s="5" t="str">
        <f ca="1">IF(B832=" "," ",HYPERLINK(CONCATENATE("#metadata!",ADDRESS(INDEX($Y$2:$Y$1001,MATCH(ROWS($W$2:W832),$W$2:$W$1001,0),0),1)),INDEX($AB$2:$AB$1001,MATCH(ROWS($W$2:W832),$W$2:$W$1001,0),0)))</f>
        <v xml:space="preserve"> </v>
      </c>
      <c r="B832" s="4" t="str">
        <f ca="1">IF(OR(INDEX($X$2:$X$1001,MATCH(ROWS($W$2:W832),$W$2:$W$1001,0),1)&gt;=100000,INDEX($AD$1005:$AU$1005,1,MATCH(COLUMNS($AD$1006:AD1006),$AD$1006:$AU$1006,0))&gt;=100000), " ",IF(INDEX($AD$2:$AU$1001,MATCH(ROWS($W$2:W832),$W$2:$W$1001,0),MATCH(COLUMNS($AD$1006:AD1006),$AD$1006:$AU$1006,0)), HYPERLINK("#",""), HYPERLINK(CONCATENATE("#metadata!", ADDRESS(INDEX($Y$2:$Y$1001,MATCH(ROWS($W$2:W832),$W$2:$W$1001,0),0), INDEX($AD$1004:$AU$1004,1,MATCH(COLUMNS($AD$1006:AD1006),$AD$1006:$AU$1006,0)))),"Fix")))</f>
        <v xml:space="preserve"> </v>
      </c>
      <c r="C832" s="4" t="str">
        <f ca="1">IF(OR(INDEX($X$2:$X$1001,MATCH(ROWS($W$2:W832),$W$2:$W$1001,0),1)&gt;=100000,INDEX($AD$1005:$AU$1005,1,MATCH(COLUMNS($AD$1006:AE1006),$AD$1006:$AU$1006,0))&gt;=100000), " ",IF(INDEX($AD$2:$AU$1001,MATCH(ROWS($W$2:W832),$W$2:$W$1001,0),MATCH(COLUMNS($AD$1006:AE1006),$AD$1006:$AU$1006,0)), HYPERLINK("#",""), HYPERLINK(CONCATENATE("#metadata!", ADDRESS(INDEX($Y$2:$Y$1001,MATCH(ROWS($W$2:W832),$W$2:$W$1001,0),0), INDEX($AD$1004:$AU$1004,1,MATCH(COLUMNS($AD$1006:AE1006),$AD$1006:$AU$1006,0)))),"Fix")))</f>
        <v xml:space="preserve"> </v>
      </c>
      <c r="D832" s="4" t="str">
        <f ca="1">IF(OR(INDEX($X$2:$X$1001,MATCH(ROWS($W$2:W832),$W$2:$W$1001,0),1)&gt;=100000,INDEX($AD$1005:$AU$1005,1,MATCH(COLUMNS($AD$1006:AF1006),$AD$1006:$AU$1006,0))&gt;=100000), " ",IF(INDEX($AD$2:$AU$1001,MATCH(ROWS($W$2:W832),$W$2:$W$1001,0),MATCH(COLUMNS($AD$1006:AF1006),$AD$1006:$AU$1006,0)), HYPERLINK("#",""), HYPERLINK(CONCATENATE("#metadata!", ADDRESS(INDEX($Y$2:$Y$1001,MATCH(ROWS($W$2:W832),$W$2:$W$1001,0),0), INDEX($AD$1004:$AU$1004,1,MATCH(COLUMNS($AD$1006:AF1006),$AD$1006:$AU$1006,0)))),"Fix")))</f>
        <v xml:space="preserve"> </v>
      </c>
      <c r="E832" s="4" t="str">
        <f ca="1">IF(OR(INDEX($X$2:$X$1001,MATCH(ROWS($W$2:W832),$W$2:$W$1001,0),1)&gt;=100000,INDEX($AD$1005:$AU$1005,1,MATCH(COLUMNS($AD$1006:AG1006),$AD$1006:$AU$1006,0))&gt;=100000), " ",IF(INDEX($AD$2:$AU$1001,MATCH(ROWS($W$2:W832),$W$2:$W$1001,0),MATCH(COLUMNS($AD$1006:AG1006),$AD$1006:$AU$1006,0)), HYPERLINK("#",""), HYPERLINK(CONCATENATE("#metadata!", ADDRESS(INDEX($Y$2:$Y$1001,MATCH(ROWS($W$2:W832),$W$2:$W$1001,0),0), INDEX($AD$1004:$AU$1004,1,MATCH(COLUMNS($AD$1006:AG1006),$AD$1006:$AU$1006,0)))),"Fix")))</f>
        <v xml:space="preserve"> </v>
      </c>
      <c r="F832" s="4" t="str">
        <f ca="1">IF(OR(INDEX($X$2:$X$1001,MATCH(ROWS($W$2:W832),$W$2:$W$1001,0),1)&gt;=100000,INDEX($AD$1005:$AU$1005,1,MATCH(COLUMNS($AD$1006:AH1006),$AD$1006:$AU$1006,0))&gt;=100000), " ",IF(INDEX($AD$2:$AU$1001,MATCH(ROWS($W$2:W832),$W$2:$W$1001,0),MATCH(COLUMNS($AD$1006:AH1006),$AD$1006:$AU$1006,0)), HYPERLINK("#",""), HYPERLINK(CONCATENATE("#metadata!", ADDRESS(INDEX($Y$2:$Y$1001,MATCH(ROWS($W$2:W832),$W$2:$W$1001,0),0), INDEX($AD$1004:$AU$1004,1,MATCH(COLUMNS($AD$1006:AH1006),$AD$1006:$AU$1006,0)))),"Fix")))</f>
        <v xml:space="preserve"> </v>
      </c>
      <c r="G832" s="4" t="str">
        <f ca="1">IF(OR(INDEX($X$2:$X$1001,MATCH(ROWS($W$2:W832),$W$2:$W$1001,0),1)&gt;=100000,INDEX($AD$1005:$AU$1005,1,MATCH(COLUMNS($AD$1006:AI1006),$AD$1006:$AU$1006,0))&gt;=100000), " ",IF(INDEX($AD$2:$AU$1001,MATCH(ROWS($W$2:W832),$W$2:$W$1001,0),MATCH(COLUMNS($AD$1006:AI1006),$AD$1006:$AU$1006,0)), HYPERLINK("#",""), HYPERLINK(CONCATENATE("#metadata!", ADDRESS(INDEX($Y$2:$Y$1001,MATCH(ROWS($W$2:W832),$W$2:$W$1001,0),0), INDEX($AD$1004:$AU$1004,1,MATCH(COLUMNS($AD$1006:AI1006),$AD$1006:$AU$1006,0)))),"Fix")))</f>
        <v xml:space="preserve"> </v>
      </c>
      <c r="H832" s="4" t="str">
        <f ca="1">IF(OR(INDEX($X$2:$X$1001,MATCH(ROWS($W$2:W832),$W$2:$W$1001,0),1)&gt;=100000,INDEX($AD$1005:$AU$1005,1,MATCH(COLUMNS($AD$1006:AJ1006),$AD$1006:$AU$1006,0))&gt;=100000), " ",IF(INDEX($AD$2:$AU$1001,MATCH(ROWS($W$2:W832),$W$2:$W$1001,0),MATCH(COLUMNS($AD$1006:AJ1006),$AD$1006:$AU$1006,0)), HYPERLINK("#",""), HYPERLINK(CONCATENATE("#metadata!", ADDRESS(INDEX($Y$2:$Y$1001,MATCH(ROWS($W$2:W832),$W$2:$W$1001,0),0), INDEX($AD$1004:$AU$1004,1,MATCH(COLUMNS($AD$1006:AJ1006),$AD$1006:$AU$1006,0)))),"Fix")))</f>
        <v xml:space="preserve"> </v>
      </c>
      <c r="I832" s="4" t="str">
        <f ca="1">IF(OR(INDEX($X$2:$X$1001,MATCH(ROWS($W$2:W832),$W$2:$W$1001,0),1)&gt;=100000,INDEX($AD$1005:$AU$1005,1,MATCH(COLUMNS($AD$1006:AK1006),$AD$1006:$AU$1006,0))&gt;=100000), " ",IF(INDEX($AD$2:$AU$1001,MATCH(ROWS($W$2:W832),$W$2:$W$1001,0),MATCH(COLUMNS($AD$1006:AK1006),$AD$1006:$AU$1006,0)), HYPERLINK("#",""), HYPERLINK(CONCATENATE("#metadata!", ADDRESS(INDEX($Y$2:$Y$1001,MATCH(ROWS($W$2:W832),$W$2:$W$1001,0),0), INDEX($AD$1004:$AU$1004,1,MATCH(COLUMNS($AD$1006:AK1006),$AD$1006:$AU$1006,0)))),"Fix")))</f>
        <v xml:space="preserve"> </v>
      </c>
      <c r="J832" s="4" t="str">
        <f ca="1">IF(OR(INDEX($X$2:$X$1001,MATCH(ROWS($W$2:W832),$W$2:$W$1001,0),1)&gt;=100000,INDEX($AD$1005:$AU$1005,1,MATCH(COLUMNS($AD$1006:AL1006),$AD$1006:$AU$1006,0))&gt;=100000), " ",IF(INDEX($AD$2:$AU$1001,MATCH(ROWS($W$2:W832),$W$2:$W$1001,0),MATCH(COLUMNS($AD$1006:AL1006),$AD$1006:$AU$1006,0)), HYPERLINK("#",""), HYPERLINK(CONCATENATE("#metadata!", ADDRESS(INDEX($Y$2:$Y$1001,MATCH(ROWS($W$2:W832),$W$2:$W$1001,0),0), INDEX($AD$1004:$AU$1004,1,MATCH(COLUMNS($AD$1006:AL1006),$AD$1006:$AU$1006,0)))),"Fix")))</f>
        <v xml:space="preserve"> </v>
      </c>
      <c r="K832" s="4" t="str">
        <f ca="1">IF(OR(INDEX($X$2:$X$1001,MATCH(ROWS($W$2:W832),$W$2:$W$1001,0),1)&gt;=100000,INDEX($AD$1005:$AU$1005,1,MATCH(COLUMNS($AD$1006:AM1006),$AD$1006:$AU$1006,0))&gt;=100000), " ",IF(INDEX($AD$2:$AU$1001,MATCH(ROWS($W$2:W832),$W$2:$W$1001,0),MATCH(COLUMNS($AD$1006:AM1006),$AD$1006:$AU$1006,0)), HYPERLINK("#",""), HYPERLINK(CONCATENATE("#metadata!", ADDRESS(INDEX($Y$2:$Y$1001,MATCH(ROWS($W$2:W832),$W$2:$W$1001,0),0), INDEX($AD$1004:$AU$1004,1,MATCH(COLUMNS($AD$1006:AM1006),$AD$1006:$AU$1006,0)))),"Fix")))</f>
        <v xml:space="preserve"> </v>
      </c>
      <c r="L832" s="4" t="str">
        <f ca="1">IF(OR(INDEX($X$2:$X$1001,MATCH(ROWS($W$2:W832),$W$2:$W$1001,0),1)&gt;=100000,INDEX($AD$1005:$AU$1005,1,MATCH(COLUMNS($AD$1006:AN1006),$AD$1006:$AU$1006,0))&gt;=100000), " ",IF(INDEX($AD$2:$AU$1001,MATCH(ROWS($W$2:W832),$W$2:$W$1001,0),MATCH(COLUMNS($AD$1006:AN1006),$AD$1006:$AU$1006,0)), HYPERLINK("#",""), HYPERLINK(CONCATENATE("#metadata!", ADDRESS(INDEX($Y$2:$Y$1001,MATCH(ROWS($W$2:W832),$W$2:$W$1001,0),0), INDEX($AD$1004:$AU$1004,1,MATCH(COLUMNS($AD$1006:AN1006),$AD$1006:$AU$1006,0)))),"Fix")))</f>
        <v xml:space="preserve"> </v>
      </c>
      <c r="M832" s="4" t="str">
        <f ca="1">IF(OR(INDEX($X$2:$X$1001,MATCH(ROWS($W$2:W832),$W$2:$W$1001,0),1)&gt;=100000,INDEX($AD$1005:$AU$1005,1,MATCH(COLUMNS($AD$1006:AO1006),$AD$1006:$AU$1006,0))&gt;=100000), " ",IF(INDEX($AD$2:$AU$1001,MATCH(ROWS($W$2:W832),$W$2:$W$1001,0),MATCH(COLUMNS($AD$1006:AO1006),$AD$1006:$AU$1006,0)), HYPERLINK("#",""), HYPERLINK(CONCATENATE("#metadata!", ADDRESS(INDEX($Y$2:$Y$1001,MATCH(ROWS($W$2:W832),$W$2:$W$1001,0),0), INDEX($AD$1004:$AU$1004,1,MATCH(COLUMNS($AD$1006:AO1006),$AD$1006:$AU$1006,0)))),"Fix")))</f>
        <v xml:space="preserve"> </v>
      </c>
      <c r="N832" s="4" t="str">
        <f ca="1">IF(OR(INDEX($X$2:$X$1001,MATCH(ROWS($W$2:W832),$W$2:$W$1001,0),1)&gt;=100000,INDEX($AD$1005:$AU$1005,1,MATCH(COLUMNS($AD$1006:AP1006),$AD$1006:$AU$1006,0))&gt;=100000), " ",IF(INDEX($AD$2:$AU$1001,MATCH(ROWS($W$2:W832),$W$2:$W$1001,0),MATCH(COLUMNS($AD$1006:AP1006),$AD$1006:$AU$1006,0)), HYPERLINK("#",""), HYPERLINK(CONCATENATE("#metadata!", ADDRESS(INDEX($Y$2:$Y$1001,MATCH(ROWS($W$2:W832),$W$2:$W$1001,0),0), INDEX($AD$1004:$AU$1004,1,MATCH(COLUMNS($AD$1006:AP1006),$AD$1006:$AU$1006,0)))),"Fix")))</f>
        <v xml:space="preserve"> </v>
      </c>
      <c r="O832" s="4" t="str">
        <f ca="1">IF(OR(INDEX($X$2:$X$1001,MATCH(ROWS($W$2:W832),$W$2:$W$1001,0),1)&gt;=100000,INDEX($AD$1005:$AU$1005,1,MATCH(COLUMNS($AD$1006:AQ1006),$AD$1006:$AU$1006,0))&gt;=100000), " ",IF(INDEX($AD$2:$AU$1001,MATCH(ROWS($W$2:W832),$W$2:$W$1001,0),MATCH(COLUMNS($AD$1006:AQ1006),$AD$1006:$AU$1006,0)), HYPERLINK("#",""), HYPERLINK(CONCATENATE("#metadata!", ADDRESS(INDEX($Y$2:$Y$1001,MATCH(ROWS($W$2:W832),$W$2:$W$1001,0),0), INDEX($AD$1004:$AU$1004,1,MATCH(COLUMNS($AD$1006:AQ1006),$AD$1006:$AU$1006,0)))),"Fix")))</f>
        <v xml:space="preserve"> </v>
      </c>
      <c r="P832" s="4" t="str">
        <f ca="1">IF(OR(INDEX($X$2:$X$1001,MATCH(ROWS($W$2:W832),$W$2:$W$1001,0),1)&gt;=100000,INDEX($AD$1005:$AU$1005,1,MATCH(COLUMNS($AD$1006:AR1006),$AD$1006:$AU$1006,0))&gt;=100000), " ",IF(INDEX($AD$2:$AU$1001,MATCH(ROWS($W$2:W832),$W$2:$W$1001,0),MATCH(COLUMNS($AD$1006:AR1006),$AD$1006:$AU$1006,0)), HYPERLINK("#",""), HYPERLINK(CONCATENATE("#metadata!", ADDRESS(INDEX($Y$2:$Y$1001,MATCH(ROWS($W$2:W832),$W$2:$W$1001,0),0), INDEX($AD$1004:$AU$1004,1,MATCH(COLUMNS($AD$1006:AR1006),$AD$1006:$AU$1006,0)))),"Fix")))</f>
        <v xml:space="preserve"> </v>
      </c>
      <c r="Q832" s="4" t="str">
        <f ca="1">IF(OR(INDEX($X$2:$X$1001,MATCH(ROWS($W$2:W832),$W$2:$W$1001,0),1)&gt;=100000,INDEX($AD$1005:$AU$1005,1,MATCH(COLUMNS($AD$1006:AS1006),$AD$1006:$AU$1006,0))&gt;=100000), " ",IF(INDEX($AD$2:$AU$1001,MATCH(ROWS($W$2:W832),$W$2:$W$1001,0),MATCH(COLUMNS($AD$1006:AS1006),$AD$1006:$AU$1006,0)), HYPERLINK("#",""), HYPERLINK(CONCATENATE("#metadata!", ADDRESS(INDEX($Y$2:$Y$1001,MATCH(ROWS($W$2:W832),$W$2:$W$1001,0),0), INDEX($AD$1004:$AU$1004,1,MATCH(COLUMNS($AD$1006:AS1006),$AD$1006:$AU$1006,0)))),"Fix")))</f>
        <v xml:space="preserve"> </v>
      </c>
      <c r="R832" s="4" t="str">
        <f ca="1">IF(OR(INDEX($X$2:$X$1001,MATCH(ROWS($W$2:W832),$W$2:$W$1001,0),1)&gt;=100000,INDEX($AD$1005:$AU$1005,1,MATCH(COLUMNS($AD$1006:AT1006),$AD$1006:$AU$1006,0))&gt;=100000), " ",IF(INDEX($AD$2:$AU$1001,MATCH(ROWS($W$2:W832),$W$2:$W$1001,0),MATCH(COLUMNS($AD$1006:AT1006),$AD$1006:$AU$1006,0)), HYPERLINK("#",""), HYPERLINK(CONCATENATE("#metadata!", ADDRESS(INDEX($Y$2:$Y$1001,MATCH(ROWS($W$2:W832),$W$2:$W$1001,0),0), INDEX($AD$1004:$AU$1004,1,MATCH(COLUMNS($AD$1006:AT1006),$AD$1006:$AU$1006,0)))),"Fix")))</f>
        <v xml:space="preserve"> </v>
      </c>
      <c r="S832" s="4" t="str">
        <f ca="1">IF(OR(INDEX($X$2:$X$1001,MATCH(ROWS($W$2:W832),$W$2:$W$1001,0),1)&gt;=100000,INDEX($AD$1005:$AU$1005,1,MATCH(COLUMNS($AD$1006:AU1006),$AD$1006:$AU$1006,0))&gt;=100000), " ",IF(INDEX($AD$2:$AU$1001,MATCH(ROWS($W$2:W832),$W$2:$W$1001,0),MATCH(COLUMNS($AD$1006:AU1006),$AD$1006:$AU$1006,0)), HYPERLINK("#",""), HYPERLINK(CONCATENATE("#metadata!", ADDRESS(INDEX($Y$2:$Y$1001,MATCH(ROWS($W$2:W832),$W$2:$W$1001,0),0), INDEX($AD$1004:$AU$1004,1,MATCH(COLUMNS($AD$1006:AU1006),$AD$1006:$AU$1006,0)))),"Fix")))</f>
        <v xml:space="preserve"> </v>
      </c>
      <c r="W832">
        <v>831</v>
      </c>
      <c r="X832">
        <v>100832</v>
      </c>
      <c r="Y832">
        <v>832</v>
      </c>
      <c r="Z832" t="b">
        <f t="shared" si="12"/>
        <v>1</v>
      </c>
      <c r="AA832" t="b">
        <f>COUNTBLANK(metadata!B832:S832)=COLUMNS(metadata!B832:S832)</f>
        <v>1</v>
      </c>
      <c r="AB832" t="str">
        <v/>
      </c>
      <c r="AD832" t="b">
        <f ca="1">AND(IF(metadata!B832="",FALSE,TRUE),COUNTIF(metadata!B:B, metadata!B832) = 1,NOT(ISERROR(SUMPRODUCT(SEARCH(MID(metadata!B832,ROW(INDIRECT("1:"&amp;LEN(metadata!B832))), 1),"0123456789abcdefghijklmnopqrstuvwxyzABCDEFGHIJKLMNOPQRSTUVWXYZ.")))))</f>
        <v>0</v>
      </c>
      <c r="AE832" t="b">
        <f>OR(AND(IF(metadata!C832="",FALSE,TRUE),OR(EXACT(metadata!C832,"not applicable"),EXACT(metadata!C832,"missing: not collected"),EXACT(metadata!C832,"missing: not provided"),EXACT(metadata!C832,"missing: restricted access"))),AND(IF(metadata!C832="",FALSE,ISNUMBER(VALUE(metadata!C832))),metadata!C832&gt;0))</f>
        <v>0</v>
      </c>
      <c r="AF832" t="b">
        <f>AND(IF(metadata!D832="",FALSE,TRUE),EXACT(metadata!D832,"missing: not provided"))</f>
        <v>0</v>
      </c>
      <c r="AG832" t="b">
        <f>AND(IF(metadata!E832="",FALSE,TRUE),EXACT(metadata!E832,"Host-associated"))</f>
        <v>0</v>
      </c>
      <c r="AH832" t="b">
        <f>AND(IF(metadata!F832="",FALSE,TRUE),OR(EXACT(metadata!F832,"Animal"),EXACT(metadata!F832,"Fungus"),EXACT(metadata!F832,"Plant")))</f>
        <v>0</v>
      </c>
      <c r="AI832" t="b">
        <f>AND(IF(metadata!G832="",FALSE,TRUE),OR(EXACT(metadata!G832,"Plant secretion"),EXACT(metadata!G832,"Plant rhizosphere"),EXACT(metadata!G832,"Plant surface"),EXACT(metadata!G832,"Plant corpus"),EXACT(metadata!G832,"Fungus surface"),EXACT(metadata!G832,"Fungus corpus"),EXACT(metadata!G832,"Animal surface"),EXACT(metadata!G832,"Animal proximal gut"),EXACT(metadata!G832,"Animal corpus"),EXACT(metadata!G832,"Animal distal gut"),EXACT(metadata!G832,"Animal secretion")))</f>
        <v>0</v>
      </c>
      <c r="AJ832" t="b">
        <f>OR(AND(IF(metadata!H832="",FALSE,TRUE),OR(EXACT(metadata!H832,"missing: not collected"),EXACT(metadata!H832,"missing: not provided"),EXACT(metadata!H832,"missing: restricted access"))),AND(IF(metadata!H832="",FALSE,TRUE),OR(EXACT(metadata!H832,"organism-associated habitat"),EXACT(metadata!H832,"plant-associated habitat"),EXACT(metadata!H832,"animal-associated habitat"),EXACT(metadata!H832,"insecta-associated habitat"),EXACT(metadata!H832,"mammalia-associated habitat"),EXACT(metadata!H832,"human-associated habitat"),EXACT(metadata!H832,"livestock-associated habitat"))))</f>
        <v>0</v>
      </c>
      <c r="AK832" t="b">
        <f>AND(IF(metadata!I832="",FALSE,TRUE),EXACT(metadata!I832,"host-associated"))</f>
        <v>0</v>
      </c>
      <c r="AL832" t="b">
        <f>OR(AND(IF(metadata!J832="",FALSE,TRUE),OR(EXACT(metadata!J832,"not applicable"),EXACT(metadata!J832,"missing: not collected"),EXACT(metadata!J832,"missing: not provided"),EXACT(metadata!J832,"missing: restricted access"))),AND(IF(metadata!J832="",FALSE,ISNUMBER(VALUE(metadata!J832))),metadata!J832&gt;0))</f>
        <v>0</v>
      </c>
      <c r="AM832" t="b">
        <f>AND(IF(metadata!K832="",FALSE,TRUE),EXACT(metadata!K832,"missing: not provided"))</f>
        <v>0</v>
      </c>
      <c r="AN832" t="b">
        <f>IF(metadata!L832="",FALSE,TRUE)</f>
        <v>0</v>
      </c>
      <c r="AO832" t="b">
        <f>IF(metadata!M832="",FALSE,TRUE)</f>
        <v>0</v>
      </c>
      <c r="AP832" t="b">
        <f>OR(AND(IF(metadata!N832="",FALSE,TRUE),OR(EXACT(metadata!N832,"not applicable"),EXACT(metadata!N832,"missing: not collected"),EXACT(metadata!N832,"missing: not provided"))),AND(IF(metadata!N832="",FALSE,IF(ISERROR(INT(metadata!N832)),FALSE,INT(metadata!N832)=metadata!N832)),metadata!N832&gt;0))</f>
        <v>0</v>
      </c>
      <c r="AQ832" t="b">
        <f>AND(IF(metadata!O832="",FALSE,TRUE),EXACT(metadata!O832,"Not applicable"))</f>
        <v>0</v>
      </c>
      <c r="AR832" t="b">
        <f>OR(AND(IF(metadata!P832="",FALSE,TRUE),OR(EXACT(metadata!P832,"not applicable"),EXACT(metadata!P832,"missing: not collected"),EXACT(metadata!P832,"missing: not provided"),EXACT(metadata!P832,"missing: restricted access"))),IF(metadata!P832="",FALSE,IF(ISERROR(INT(metadata!P832)),FALSE,INT(metadata!P832)=metadata!P832)))</f>
        <v>0</v>
      </c>
      <c r="AS832" t="b">
        <f>AND(IF(metadata!Q832="",FALSE,TRUE),EXACT(metadata!Q832,"Not applicable"))</f>
        <v>0</v>
      </c>
      <c r="AT832" t="b">
        <f>OR(AND(IF(metadata!R832="",FALSE,TRUE),OR(EXACT(metadata!R832,"not applicable"),EXACT(metadata!R832,"missing: not collected"),EXACT(metadata!R832,"missing: not provided"),EXACT(metadata!R832,"missing: restricted access"))),AND(IF(metadata!R832="",FALSE,ISNUMBER(VALUE(metadata!R832))),metadata!R832&gt;0))</f>
        <v>0</v>
      </c>
      <c r="AU832" t="b">
        <f>AND(IF(metadata!S832="",FALSE,TRUE),EXACT(metadata!S832,"missing: not provided"))</f>
        <v>0</v>
      </c>
    </row>
    <row r="833" spans="1:47" x14ac:dyDescent="0.2">
      <c r="A833" s="5" t="str">
        <f ca="1">IF(B833=" "," ",HYPERLINK(CONCATENATE("#metadata!",ADDRESS(INDEX($Y$2:$Y$1001,MATCH(ROWS($W$2:W833),$W$2:$W$1001,0),0),1)),INDEX($AB$2:$AB$1001,MATCH(ROWS($W$2:W833),$W$2:$W$1001,0),0)))</f>
        <v xml:space="preserve"> </v>
      </c>
      <c r="B833" s="4" t="str">
        <f ca="1">IF(OR(INDEX($X$2:$X$1001,MATCH(ROWS($W$2:W833),$W$2:$W$1001,0),1)&gt;=100000,INDEX($AD$1005:$AU$1005,1,MATCH(COLUMNS($AD$1006:AD1006),$AD$1006:$AU$1006,0))&gt;=100000), " ",IF(INDEX($AD$2:$AU$1001,MATCH(ROWS($W$2:W833),$W$2:$W$1001,0),MATCH(COLUMNS($AD$1006:AD1006),$AD$1006:$AU$1006,0)), HYPERLINK("#",""), HYPERLINK(CONCATENATE("#metadata!", ADDRESS(INDEX($Y$2:$Y$1001,MATCH(ROWS($W$2:W833),$W$2:$W$1001,0),0), INDEX($AD$1004:$AU$1004,1,MATCH(COLUMNS($AD$1006:AD1006),$AD$1006:$AU$1006,0)))),"Fix")))</f>
        <v xml:space="preserve"> </v>
      </c>
      <c r="C833" s="4" t="str">
        <f ca="1">IF(OR(INDEX($X$2:$X$1001,MATCH(ROWS($W$2:W833),$W$2:$W$1001,0),1)&gt;=100000,INDEX($AD$1005:$AU$1005,1,MATCH(COLUMNS($AD$1006:AE1006),$AD$1006:$AU$1006,0))&gt;=100000), " ",IF(INDEX($AD$2:$AU$1001,MATCH(ROWS($W$2:W833),$W$2:$W$1001,0),MATCH(COLUMNS($AD$1006:AE1006),$AD$1006:$AU$1006,0)), HYPERLINK("#",""), HYPERLINK(CONCATENATE("#metadata!", ADDRESS(INDEX($Y$2:$Y$1001,MATCH(ROWS($W$2:W833),$W$2:$W$1001,0),0), INDEX($AD$1004:$AU$1004,1,MATCH(COLUMNS($AD$1006:AE1006),$AD$1006:$AU$1006,0)))),"Fix")))</f>
        <v xml:space="preserve"> </v>
      </c>
      <c r="D833" s="4" t="str">
        <f ca="1">IF(OR(INDEX($X$2:$X$1001,MATCH(ROWS($W$2:W833),$W$2:$W$1001,0),1)&gt;=100000,INDEX($AD$1005:$AU$1005,1,MATCH(COLUMNS($AD$1006:AF1006),$AD$1006:$AU$1006,0))&gt;=100000), " ",IF(INDEX($AD$2:$AU$1001,MATCH(ROWS($W$2:W833),$W$2:$W$1001,0),MATCH(COLUMNS($AD$1006:AF1006),$AD$1006:$AU$1006,0)), HYPERLINK("#",""), HYPERLINK(CONCATENATE("#metadata!", ADDRESS(INDEX($Y$2:$Y$1001,MATCH(ROWS($W$2:W833),$W$2:$W$1001,0),0), INDEX($AD$1004:$AU$1004,1,MATCH(COLUMNS($AD$1006:AF1006),$AD$1006:$AU$1006,0)))),"Fix")))</f>
        <v xml:space="preserve"> </v>
      </c>
      <c r="E833" s="4" t="str">
        <f ca="1">IF(OR(INDEX($X$2:$X$1001,MATCH(ROWS($W$2:W833),$W$2:$W$1001,0),1)&gt;=100000,INDEX($AD$1005:$AU$1005,1,MATCH(COLUMNS($AD$1006:AG1006),$AD$1006:$AU$1006,0))&gt;=100000), " ",IF(INDEX($AD$2:$AU$1001,MATCH(ROWS($W$2:W833),$W$2:$W$1001,0),MATCH(COLUMNS($AD$1006:AG1006),$AD$1006:$AU$1006,0)), HYPERLINK("#",""), HYPERLINK(CONCATENATE("#metadata!", ADDRESS(INDEX($Y$2:$Y$1001,MATCH(ROWS($W$2:W833),$W$2:$W$1001,0),0), INDEX($AD$1004:$AU$1004,1,MATCH(COLUMNS($AD$1006:AG1006),$AD$1006:$AU$1006,0)))),"Fix")))</f>
        <v xml:space="preserve"> </v>
      </c>
      <c r="F833" s="4" t="str">
        <f ca="1">IF(OR(INDEX($X$2:$X$1001,MATCH(ROWS($W$2:W833),$W$2:$W$1001,0),1)&gt;=100000,INDEX($AD$1005:$AU$1005,1,MATCH(COLUMNS($AD$1006:AH1006),$AD$1006:$AU$1006,0))&gt;=100000), " ",IF(INDEX($AD$2:$AU$1001,MATCH(ROWS($W$2:W833),$W$2:$W$1001,0),MATCH(COLUMNS($AD$1006:AH1006),$AD$1006:$AU$1006,0)), HYPERLINK("#",""), HYPERLINK(CONCATENATE("#metadata!", ADDRESS(INDEX($Y$2:$Y$1001,MATCH(ROWS($W$2:W833),$W$2:$W$1001,0),0), INDEX($AD$1004:$AU$1004,1,MATCH(COLUMNS($AD$1006:AH1006),$AD$1006:$AU$1006,0)))),"Fix")))</f>
        <v xml:space="preserve"> </v>
      </c>
      <c r="G833" s="4" t="str">
        <f ca="1">IF(OR(INDEX($X$2:$X$1001,MATCH(ROWS($W$2:W833),$W$2:$W$1001,0),1)&gt;=100000,INDEX($AD$1005:$AU$1005,1,MATCH(COLUMNS($AD$1006:AI1006),$AD$1006:$AU$1006,0))&gt;=100000), " ",IF(INDEX($AD$2:$AU$1001,MATCH(ROWS($W$2:W833),$W$2:$W$1001,0),MATCH(COLUMNS($AD$1006:AI1006),$AD$1006:$AU$1006,0)), HYPERLINK("#",""), HYPERLINK(CONCATENATE("#metadata!", ADDRESS(INDEX($Y$2:$Y$1001,MATCH(ROWS($W$2:W833),$W$2:$W$1001,0),0), INDEX($AD$1004:$AU$1004,1,MATCH(COLUMNS($AD$1006:AI1006),$AD$1006:$AU$1006,0)))),"Fix")))</f>
        <v xml:space="preserve"> </v>
      </c>
      <c r="H833" s="4" t="str">
        <f ca="1">IF(OR(INDEX($X$2:$X$1001,MATCH(ROWS($W$2:W833),$W$2:$W$1001,0),1)&gt;=100000,INDEX($AD$1005:$AU$1005,1,MATCH(COLUMNS($AD$1006:AJ1006),$AD$1006:$AU$1006,0))&gt;=100000), " ",IF(INDEX($AD$2:$AU$1001,MATCH(ROWS($W$2:W833),$W$2:$W$1001,0),MATCH(COLUMNS($AD$1006:AJ1006),$AD$1006:$AU$1006,0)), HYPERLINK("#",""), HYPERLINK(CONCATENATE("#metadata!", ADDRESS(INDEX($Y$2:$Y$1001,MATCH(ROWS($W$2:W833),$W$2:$W$1001,0),0), INDEX($AD$1004:$AU$1004,1,MATCH(COLUMNS($AD$1006:AJ1006),$AD$1006:$AU$1006,0)))),"Fix")))</f>
        <v xml:space="preserve"> </v>
      </c>
      <c r="I833" s="4" t="str">
        <f ca="1">IF(OR(INDEX($X$2:$X$1001,MATCH(ROWS($W$2:W833),$W$2:$W$1001,0),1)&gt;=100000,INDEX($AD$1005:$AU$1005,1,MATCH(COLUMNS($AD$1006:AK1006),$AD$1006:$AU$1006,0))&gt;=100000), " ",IF(INDEX($AD$2:$AU$1001,MATCH(ROWS($W$2:W833),$W$2:$W$1001,0),MATCH(COLUMNS($AD$1006:AK1006),$AD$1006:$AU$1006,0)), HYPERLINK("#",""), HYPERLINK(CONCATENATE("#metadata!", ADDRESS(INDEX($Y$2:$Y$1001,MATCH(ROWS($W$2:W833),$W$2:$W$1001,0),0), INDEX($AD$1004:$AU$1004,1,MATCH(COLUMNS($AD$1006:AK1006),$AD$1006:$AU$1006,0)))),"Fix")))</f>
        <v xml:space="preserve"> </v>
      </c>
      <c r="J833" s="4" t="str">
        <f ca="1">IF(OR(INDEX($X$2:$X$1001,MATCH(ROWS($W$2:W833),$W$2:$W$1001,0),1)&gt;=100000,INDEX($AD$1005:$AU$1005,1,MATCH(COLUMNS($AD$1006:AL1006),$AD$1006:$AU$1006,0))&gt;=100000), " ",IF(INDEX($AD$2:$AU$1001,MATCH(ROWS($W$2:W833),$W$2:$W$1001,0),MATCH(COLUMNS($AD$1006:AL1006),$AD$1006:$AU$1006,0)), HYPERLINK("#",""), HYPERLINK(CONCATENATE("#metadata!", ADDRESS(INDEX($Y$2:$Y$1001,MATCH(ROWS($W$2:W833),$W$2:$W$1001,0),0), INDEX($AD$1004:$AU$1004,1,MATCH(COLUMNS($AD$1006:AL1006),$AD$1006:$AU$1006,0)))),"Fix")))</f>
        <v xml:space="preserve"> </v>
      </c>
      <c r="K833" s="4" t="str">
        <f ca="1">IF(OR(INDEX($X$2:$X$1001,MATCH(ROWS($W$2:W833),$W$2:$W$1001,0),1)&gt;=100000,INDEX($AD$1005:$AU$1005,1,MATCH(COLUMNS($AD$1006:AM1006),$AD$1006:$AU$1006,0))&gt;=100000), " ",IF(INDEX($AD$2:$AU$1001,MATCH(ROWS($W$2:W833),$W$2:$W$1001,0),MATCH(COLUMNS($AD$1006:AM1006),$AD$1006:$AU$1006,0)), HYPERLINK("#",""), HYPERLINK(CONCATENATE("#metadata!", ADDRESS(INDEX($Y$2:$Y$1001,MATCH(ROWS($W$2:W833),$W$2:$W$1001,0),0), INDEX($AD$1004:$AU$1004,1,MATCH(COLUMNS($AD$1006:AM1006),$AD$1006:$AU$1006,0)))),"Fix")))</f>
        <v xml:space="preserve"> </v>
      </c>
      <c r="L833" s="4" t="str">
        <f ca="1">IF(OR(INDEX($X$2:$X$1001,MATCH(ROWS($W$2:W833),$W$2:$W$1001,0),1)&gt;=100000,INDEX($AD$1005:$AU$1005,1,MATCH(COLUMNS($AD$1006:AN1006),$AD$1006:$AU$1006,0))&gt;=100000), " ",IF(INDEX($AD$2:$AU$1001,MATCH(ROWS($W$2:W833),$W$2:$W$1001,0),MATCH(COLUMNS($AD$1006:AN1006),$AD$1006:$AU$1006,0)), HYPERLINK("#",""), HYPERLINK(CONCATENATE("#metadata!", ADDRESS(INDEX($Y$2:$Y$1001,MATCH(ROWS($W$2:W833),$W$2:$W$1001,0),0), INDEX($AD$1004:$AU$1004,1,MATCH(COLUMNS($AD$1006:AN1006),$AD$1006:$AU$1006,0)))),"Fix")))</f>
        <v xml:space="preserve"> </v>
      </c>
      <c r="M833" s="4" t="str">
        <f ca="1">IF(OR(INDEX($X$2:$X$1001,MATCH(ROWS($W$2:W833),$W$2:$W$1001,0),1)&gt;=100000,INDEX($AD$1005:$AU$1005,1,MATCH(COLUMNS($AD$1006:AO1006),$AD$1006:$AU$1006,0))&gt;=100000), " ",IF(INDEX($AD$2:$AU$1001,MATCH(ROWS($W$2:W833),$W$2:$W$1001,0),MATCH(COLUMNS($AD$1006:AO1006),$AD$1006:$AU$1006,0)), HYPERLINK("#",""), HYPERLINK(CONCATENATE("#metadata!", ADDRESS(INDEX($Y$2:$Y$1001,MATCH(ROWS($W$2:W833),$W$2:$W$1001,0),0), INDEX($AD$1004:$AU$1004,1,MATCH(COLUMNS($AD$1006:AO1006),$AD$1006:$AU$1006,0)))),"Fix")))</f>
        <v xml:space="preserve"> </v>
      </c>
      <c r="N833" s="4" t="str">
        <f ca="1">IF(OR(INDEX($X$2:$X$1001,MATCH(ROWS($W$2:W833),$W$2:$W$1001,0),1)&gt;=100000,INDEX($AD$1005:$AU$1005,1,MATCH(COLUMNS($AD$1006:AP1006),$AD$1006:$AU$1006,0))&gt;=100000), " ",IF(INDEX($AD$2:$AU$1001,MATCH(ROWS($W$2:W833),$W$2:$W$1001,0),MATCH(COLUMNS($AD$1006:AP1006),$AD$1006:$AU$1006,0)), HYPERLINK("#",""), HYPERLINK(CONCATENATE("#metadata!", ADDRESS(INDEX($Y$2:$Y$1001,MATCH(ROWS($W$2:W833),$W$2:$W$1001,0),0), INDEX($AD$1004:$AU$1004,1,MATCH(COLUMNS($AD$1006:AP1006),$AD$1006:$AU$1006,0)))),"Fix")))</f>
        <v xml:space="preserve"> </v>
      </c>
      <c r="O833" s="4" t="str">
        <f ca="1">IF(OR(INDEX($X$2:$X$1001,MATCH(ROWS($W$2:W833),$W$2:$W$1001,0),1)&gt;=100000,INDEX($AD$1005:$AU$1005,1,MATCH(COLUMNS($AD$1006:AQ1006),$AD$1006:$AU$1006,0))&gt;=100000), " ",IF(INDEX($AD$2:$AU$1001,MATCH(ROWS($W$2:W833),$W$2:$W$1001,0),MATCH(COLUMNS($AD$1006:AQ1006),$AD$1006:$AU$1006,0)), HYPERLINK("#",""), HYPERLINK(CONCATENATE("#metadata!", ADDRESS(INDEX($Y$2:$Y$1001,MATCH(ROWS($W$2:W833),$W$2:$W$1001,0),0), INDEX($AD$1004:$AU$1004,1,MATCH(COLUMNS($AD$1006:AQ1006),$AD$1006:$AU$1006,0)))),"Fix")))</f>
        <v xml:space="preserve"> </v>
      </c>
      <c r="P833" s="4" t="str">
        <f ca="1">IF(OR(INDEX($X$2:$X$1001,MATCH(ROWS($W$2:W833),$W$2:$W$1001,0),1)&gt;=100000,INDEX($AD$1005:$AU$1005,1,MATCH(COLUMNS($AD$1006:AR1006),$AD$1006:$AU$1006,0))&gt;=100000), " ",IF(INDEX($AD$2:$AU$1001,MATCH(ROWS($W$2:W833),$W$2:$W$1001,0),MATCH(COLUMNS($AD$1006:AR1006),$AD$1006:$AU$1006,0)), HYPERLINK("#",""), HYPERLINK(CONCATENATE("#metadata!", ADDRESS(INDEX($Y$2:$Y$1001,MATCH(ROWS($W$2:W833),$W$2:$W$1001,0),0), INDEX($AD$1004:$AU$1004,1,MATCH(COLUMNS($AD$1006:AR1006),$AD$1006:$AU$1006,0)))),"Fix")))</f>
        <v xml:space="preserve"> </v>
      </c>
      <c r="Q833" s="4" t="str">
        <f ca="1">IF(OR(INDEX($X$2:$X$1001,MATCH(ROWS($W$2:W833),$W$2:$W$1001,0),1)&gt;=100000,INDEX($AD$1005:$AU$1005,1,MATCH(COLUMNS($AD$1006:AS1006),$AD$1006:$AU$1006,0))&gt;=100000), " ",IF(INDEX($AD$2:$AU$1001,MATCH(ROWS($W$2:W833),$W$2:$W$1001,0),MATCH(COLUMNS($AD$1006:AS1006),$AD$1006:$AU$1006,0)), HYPERLINK("#",""), HYPERLINK(CONCATENATE("#metadata!", ADDRESS(INDEX($Y$2:$Y$1001,MATCH(ROWS($W$2:W833),$W$2:$W$1001,0),0), INDEX($AD$1004:$AU$1004,1,MATCH(COLUMNS($AD$1006:AS1006),$AD$1006:$AU$1006,0)))),"Fix")))</f>
        <v xml:space="preserve"> </v>
      </c>
      <c r="R833" s="4" t="str">
        <f ca="1">IF(OR(INDEX($X$2:$X$1001,MATCH(ROWS($W$2:W833),$W$2:$W$1001,0),1)&gt;=100000,INDEX($AD$1005:$AU$1005,1,MATCH(COLUMNS($AD$1006:AT1006),$AD$1006:$AU$1006,0))&gt;=100000), " ",IF(INDEX($AD$2:$AU$1001,MATCH(ROWS($W$2:W833),$W$2:$W$1001,0),MATCH(COLUMNS($AD$1006:AT1006),$AD$1006:$AU$1006,0)), HYPERLINK("#",""), HYPERLINK(CONCATENATE("#metadata!", ADDRESS(INDEX($Y$2:$Y$1001,MATCH(ROWS($W$2:W833),$W$2:$W$1001,0),0), INDEX($AD$1004:$AU$1004,1,MATCH(COLUMNS($AD$1006:AT1006),$AD$1006:$AU$1006,0)))),"Fix")))</f>
        <v xml:space="preserve"> </v>
      </c>
      <c r="S833" s="4" t="str">
        <f ca="1">IF(OR(INDEX($X$2:$X$1001,MATCH(ROWS($W$2:W833),$W$2:$W$1001,0),1)&gt;=100000,INDEX($AD$1005:$AU$1005,1,MATCH(COLUMNS($AD$1006:AU1006),$AD$1006:$AU$1006,0))&gt;=100000), " ",IF(INDEX($AD$2:$AU$1001,MATCH(ROWS($W$2:W833),$W$2:$W$1001,0),MATCH(COLUMNS($AD$1006:AU1006),$AD$1006:$AU$1006,0)), HYPERLINK("#",""), HYPERLINK(CONCATENATE("#metadata!", ADDRESS(INDEX($Y$2:$Y$1001,MATCH(ROWS($W$2:W833),$W$2:$W$1001,0),0), INDEX($AD$1004:$AU$1004,1,MATCH(COLUMNS($AD$1006:AU1006),$AD$1006:$AU$1006,0)))),"Fix")))</f>
        <v xml:space="preserve"> </v>
      </c>
      <c r="W833">
        <v>832</v>
      </c>
      <c r="X833">
        <v>100833</v>
      </c>
      <c r="Y833">
        <v>833</v>
      </c>
      <c r="Z833" t="b">
        <f t="shared" si="12"/>
        <v>1</v>
      </c>
      <c r="AA833" t="b">
        <f>COUNTBLANK(metadata!B833:S833)=COLUMNS(metadata!B833:S833)</f>
        <v>1</v>
      </c>
      <c r="AB833" t="str">
        <v/>
      </c>
      <c r="AD833" t="b">
        <f ca="1">AND(IF(metadata!B833="",FALSE,TRUE),COUNTIF(metadata!B:B, metadata!B833) = 1,NOT(ISERROR(SUMPRODUCT(SEARCH(MID(metadata!B833,ROW(INDIRECT("1:"&amp;LEN(metadata!B833))), 1),"0123456789abcdefghijklmnopqrstuvwxyzABCDEFGHIJKLMNOPQRSTUVWXYZ.")))))</f>
        <v>0</v>
      </c>
      <c r="AE833" t="b">
        <f>OR(AND(IF(metadata!C833="",FALSE,TRUE),OR(EXACT(metadata!C833,"not applicable"),EXACT(metadata!C833,"missing: not collected"),EXACT(metadata!C833,"missing: not provided"),EXACT(metadata!C833,"missing: restricted access"))),AND(IF(metadata!C833="",FALSE,ISNUMBER(VALUE(metadata!C833))),metadata!C833&gt;0))</f>
        <v>0</v>
      </c>
      <c r="AF833" t="b">
        <f>AND(IF(metadata!D833="",FALSE,TRUE),EXACT(metadata!D833,"missing: not provided"))</f>
        <v>0</v>
      </c>
      <c r="AG833" t="b">
        <f>AND(IF(metadata!E833="",FALSE,TRUE),EXACT(metadata!E833,"Host-associated"))</f>
        <v>0</v>
      </c>
      <c r="AH833" t="b">
        <f>AND(IF(metadata!F833="",FALSE,TRUE),OR(EXACT(metadata!F833,"Animal"),EXACT(metadata!F833,"Fungus"),EXACT(metadata!F833,"Plant")))</f>
        <v>0</v>
      </c>
      <c r="AI833" t="b">
        <f>AND(IF(metadata!G833="",FALSE,TRUE),OR(EXACT(metadata!G833,"Plant secretion"),EXACT(metadata!G833,"Plant rhizosphere"),EXACT(metadata!G833,"Plant surface"),EXACT(metadata!G833,"Plant corpus"),EXACT(metadata!G833,"Fungus surface"),EXACT(metadata!G833,"Fungus corpus"),EXACT(metadata!G833,"Animal surface"),EXACT(metadata!G833,"Animal proximal gut"),EXACT(metadata!G833,"Animal corpus"),EXACT(metadata!G833,"Animal distal gut"),EXACT(metadata!G833,"Animal secretion")))</f>
        <v>0</v>
      </c>
      <c r="AJ833" t="b">
        <f>OR(AND(IF(metadata!H833="",FALSE,TRUE),OR(EXACT(metadata!H833,"missing: not collected"),EXACT(metadata!H833,"missing: not provided"),EXACT(metadata!H833,"missing: restricted access"))),AND(IF(metadata!H833="",FALSE,TRUE),OR(EXACT(metadata!H833,"organism-associated habitat"),EXACT(metadata!H833,"plant-associated habitat"),EXACT(metadata!H833,"animal-associated habitat"),EXACT(metadata!H833,"insecta-associated habitat"),EXACT(metadata!H833,"mammalia-associated habitat"),EXACT(metadata!H833,"human-associated habitat"),EXACT(metadata!H833,"livestock-associated habitat"))))</f>
        <v>0</v>
      </c>
      <c r="AK833" t="b">
        <f>AND(IF(metadata!I833="",FALSE,TRUE),EXACT(metadata!I833,"host-associated"))</f>
        <v>0</v>
      </c>
      <c r="AL833" t="b">
        <f>OR(AND(IF(metadata!J833="",FALSE,TRUE),OR(EXACT(metadata!J833,"not applicable"),EXACT(metadata!J833,"missing: not collected"),EXACT(metadata!J833,"missing: not provided"),EXACT(metadata!J833,"missing: restricted access"))),AND(IF(metadata!J833="",FALSE,ISNUMBER(VALUE(metadata!J833))),metadata!J833&gt;0))</f>
        <v>0</v>
      </c>
      <c r="AM833" t="b">
        <f>AND(IF(metadata!K833="",FALSE,TRUE),EXACT(metadata!K833,"missing: not provided"))</f>
        <v>0</v>
      </c>
      <c r="AN833" t="b">
        <f>IF(metadata!L833="",FALSE,TRUE)</f>
        <v>0</v>
      </c>
      <c r="AO833" t="b">
        <f>IF(metadata!M833="",FALSE,TRUE)</f>
        <v>0</v>
      </c>
      <c r="AP833" t="b">
        <f>OR(AND(IF(metadata!N833="",FALSE,TRUE),OR(EXACT(metadata!N833,"not applicable"),EXACT(metadata!N833,"missing: not collected"),EXACT(metadata!N833,"missing: not provided"))),AND(IF(metadata!N833="",FALSE,IF(ISERROR(INT(metadata!N833)),FALSE,INT(metadata!N833)=metadata!N833)),metadata!N833&gt;0))</f>
        <v>0</v>
      </c>
      <c r="AQ833" t="b">
        <f>AND(IF(metadata!O833="",FALSE,TRUE),EXACT(metadata!O833,"Not applicable"))</f>
        <v>0</v>
      </c>
      <c r="AR833" t="b">
        <f>OR(AND(IF(metadata!P833="",FALSE,TRUE),OR(EXACT(metadata!P833,"not applicable"),EXACT(metadata!P833,"missing: not collected"),EXACT(metadata!P833,"missing: not provided"),EXACT(metadata!P833,"missing: restricted access"))),IF(metadata!P833="",FALSE,IF(ISERROR(INT(metadata!P833)),FALSE,INT(metadata!P833)=metadata!P833)))</f>
        <v>0</v>
      </c>
      <c r="AS833" t="b">
        <f>AND(IF(metadata!Q833="",FALSE,TRUE),EXACT(metadata!Q833,"Not applicable"))</f>
        <v>0</v>
      </c>
      <c r="AT833" t="b">
        <f>OR(AND(IF(metadata!R833="",FALSE,TRUE),OR(EXACT(metadata!R833,"not applicable"),EXACT(metadata!R833,"missing: not collected"),EXACT(metadata!R833,"missing: not provided"),EXACT(metadata!R833,"missing: restricted access"))),AND(IF(metadata!R833="",FALSE,ISNUMBER(VALUE(metadata!R833))),metadata!R833&gt;0))</f>
        <v>0</v>
      </c>
      <c r="AU833" t="b">
        <f>AND(IF(metadata!S833="",FALSE,TRUE),EXACT(metadata!S833,"missing: not provided"))</f>
        <v>0</v>
      </c>
    </row>
    <row r="834" spans="1:47" x14ac:dyDescent="0.2">
      <c r="A834" s="5" t="str">
        <f ca="1">IF(B834=" "," ",HYPERLINK(CONCATENATE("#metadata!",ADDRESS(INDEX($Y$2:$Y$1001,MATCH(ROWS($W$2:W834),$W$2:$W$1001,0),0),1)),INDEX($AB$2:$AB$1001,MATCH(ROWS($W$2:W834),$W$2:$W$1001,0),0)))</f>
        <v xml:space="preserve"> </v>
      </c>
      <c r="B834" s="4" t="str">
        <f ca="1">IF(OR(INDEX($X$2:$X$1001,MATCH(ROWS($W$2:W834),$W$2:$W$1001,0),1)&gt;=100000,INDEX($AD$1005:$AU$1005,1,MATCH(COLUMNS($AD$1006:AD1006),$AD$1006:$AU$1006,0))&gt;=100000), " ",IF(INDEX($AD$2:$AU$1001,MATCH(ROWS($W$2:W834),$W$2:$W$1001,0),MATCH(COLUMNS($AD$1006:AD1006),$AD$1006:$AU$1006,0)), HYPERLINK("#",""), HYPERLINK(CONCATENATE("#metadata!", ADDRESS(INDEX($Y$2:$Y$1001,MATCH(ROWS($W$2:W834),$W$2:$W$1001,0),0), INDEX($AD$1004:$AU$1004,1,MATCH(COLUMNS($AD$1006:AD1006),$AD$1006:$AU$1006,0)))),"Fix")))</f>
        <v xml:space="preserve"> </v>
      </c>
      <c r="C834" s="4" t="str">
        <f ca="1">IF(OR(INDEX($X$2:$X$1001,MATCH(ROWS($W$2:W834),$W$2:$W$1001,0),1)&gt;=100000,INDEX($AD$1005:$AU$1005,1,MATCH(COLUMNS($AD$1006:AE1006),$AD$1006:$AU$1006,0))&gt;=100000), " ",IF(INDEX($AD$2:$AU$1001,MATCH(ROWS($W$2:W834),$W$2:$W$1001,0),MATCH(COLUMNS($AD$1006:AE1006),$AD$1006:$AU$1006,0)), HYPERLINK("#",""), HYPERLINK(CONCATENATE("#metadata!", ADDRESS(INDEX($Y$2:$Y$1001,MATCH(ROWS($W$2:W834),$W$2:$W$1001,0),0), INDEX($AD$1004:$AU$1004,1,MATCH(COLUMNS($AD$1006:AE1006),$AD$1006:$AU$1006,0)))),"Fix")))</f>
        <v xml:space="preserve"> </v>
      </c>
      <c r="D834" s="4" t="str">
        <f ca="1">IF(OR(INDEX($X$2:$X$1001,MATCH(ROWS($W$2:W834),$W$2:$W$1001,0),1)&gt;=100000,INDEX($AD$1005:$AU$1005,1,MATCH(COLUMNS($AD$1006:AF1006),$AD$1006:$AU$1006,0))&gt;=100000), " ",IF(INDEX($AD$2:$AU$1001,MATCH(ROWS($W$2:W834),$W$2:$W$1001,0),MATCH(COLUMNS($AD$1006:AF1006),$AD$1006:$AU$1006,0)), HYPERLINK("#",""), HYPERLINK(CONCATENATE("#metadata!", ADDRESS(INDEX($Y$2:$Y$1001,MATCH(ROWS($W$2:W834),$W$2:$W$1001,0),0), INDEX($AD$1004:$AU$1004,1,MATCH(COLUMNS($AD$1006:AF1006),$AD$1006:$AU$1006,0)))),"Fix")))</f>
        <v xml:space="preserve"> </v>
      </c>
      <c r="E834" s="4" t="str">
        <f ca="1">IF(OR(INDEX($X$2:$X$1001,MATCH(ROWS($W$2:W834),$W$2:$W$1001,0),1)&gt;=100000,INDEX($AD$1005:$AU$1005,1,MATCH(COLUMNS($AD$1006:AG1006),$AD$1006:$AU$1006,0))&gt;=100000), " ",IF(INDEX($AD$2:$AU$1001,MATCH(ROWS($W$2:W834),$W$2:$W$1001,0),MATCH(COLUMNS($AD$1006:AG1006),$AD$1006:$AU$1006,0)), HYPERLINK("#",""), HYPERLINK(CONCATENATE("#metadata!", ADDRESS(INDEX($Y$2:$Y$1001,MATCH(ROWS($W$2:W834),$W$2:$W$1001,0),0), INDEX($AD$1004:$AU$1004,1,MATCH(COLUMNS($AD$1006:AG1006),$AD$1006:$AU$1006,0)))),"Fix")))</f>
        <v xml:space="preserve"> </v>
      </c>
      <c r="F834" s="4" t="str">
        <f ca="1">IF(OR(INDEX($X$2:$X$1001,MATCH(ROWS($W$2:W834),$W$2:$W$1001,0),1)&gt;=100000,INDEX($AD$1005:$AU$1005,1,MATCH(COLUMNS($AD$1006:AH1006),$AD$1006:$AU$1006,0))&gt;=100000), " ",IF(INDEX($AD$2:$AU$1001,MATCH(ROWS($W$2:W834),$W$2:$W$1001,0),MATCH(COLUMNS($AD$1006:AH1006),$AD$1006:$AU$1006,0)), HYPERLINK("#",""), HYPERLINK(CONCATENATE("#metadata!", ADDRESS(INDEX($Y$2:$Y$1001,MATCH(ROWS($W$2:W834),$W$2:$W$1001,0),0), INDEX($AD$1004:$AU$1004,1,MATCH(COLUMNS($AD$1006:AH1006),$AD$1006:$AU$1006,0)))),"Fix")))</f>
        <v xml:space="preserve"> </v>
      </c>
      <c r="G834" s="4" t="str">
        <f ca="1">IF(OR(INDEX($X$2:$X$1001,MATCH(ROWS($W$2:W834),$W$2:$W$1001,0),1)&gt;=100000,INDEX($AD$1005:$AU$1005,1,MATCH(COLUMNS($AD$1006:AI1006),$AD$1006:$AU$1006,0))&gt;=100000), " ",IF(INDEX($AD$2:$AU$1001,MATCH(ROWS($W$2:W834),$W$2:$W$1001,0),MATCH(COLUMNS($AD$1006:AI1006),$AD$1006:$AU$1006,0)), HYPERLINK("#",""), HYPERLINK(CONCATENATE("#metadata!", ADDRESS(INDEX($Y$2:$Y$1001,MATCH(ROWS($W$2:W834),$W$2:$W$1001,0),0), INDEX($AD$1004:$AU$1004,1,MATCH(COLUMNS($AD$1006:AI1006),$AD$1006:$AU$1006,0)))),"Fix")))</f>
        <v xml:space="preserve"> </v>
      </c>
      <c r="H834" s="4" t="str">
        <f ca="1">IF(OR(INDEX($X$2:$X$1001,MATCH(ROWS($W$2:W834),$W$2:$W$1001,0),1)&gt;=100000,INDEX($AD$1005:$AU$1005,1,MATCH(COLUMNS($AD$1006:AJ1006),$AD$1006:$AU$1006,0))&gt;=100000), " ",IF(INDEX($AD$2:$AU$1001,MATCH(ROWS($W$2:W834),$W$2:$W$1001,0),MATCH(COLUMNS($AD$1006:AJ1006),$AD$1006:$AU$1006,0)), HYPERLINK("#",""), HYPERLINK(CONCATENATE("#metadata!", ADDRESS(INDEX($Y$2:$Y$1001,MATCH(ROWS($W$2:W834),$W$2:$W$1001,0),0), INDEX($AD$1004:$AU$1004,1,MATCH(COLUMNS($AD$1006:AJ1006),$AD$1006:$AU$1006,0)))),"Fix")))</f>
        <v xml:space="preserve"> </v>
      </c>
      <c r="I834" s="4" t="str">
        <f ca="1">IF(OR(INDEX($X$2:$X$1001,MATCH(ROWS($W$2:W834),$W$2:$W$1001,0),1)&gt;=100000,INDEX($AD$1005:$AU$1005,1,MATCH(COLUMNS($AD$1006:AK1006),$AD$1006:$AU$1006,0))&gt;=100000), " ",IF(INDEX($AD$2:$AU$1001,MATCH(ROWS($W$2:W834),$W$2:$W$1001,0),MATCH(COLUMNS($AD$1006:AK1006),$AD$1006:$AU$1006,0)), HYPERLINK("#",""), HYPERLINK(CONCATENATE("#metadata!", ADDRESS(INDEX($Y$2:$Y$1001,MATCH(ROWS($W$2:W834),$W$2:$W$1001,0),0), INDEX($AD$1004:$AU$1004,1,MATCH(COLUMNS($AD$1006:AK1006),$AD$1006:$AU$1006,0)))),"Fix")))</f>
        <v xml:space="preserve"> </v>
      </c>
      <c r="J834" s="4" t="str">
        <f ca="1">IF(OR(INDEX($X$2:$X$1001,MATCH(ROWS($W$2:W834),$W$2:$W$1001,0),1)&gt;=100000,INDEX($AD$1005:$AU$1005,1,MATCH(COLUMNS($AD$1006:AL1006),$AD$1006:$AU$1006,0))&gt;=100000), " ",IF(INDEX($AD$2:$AU$1001,MATCH(ROWS($W$2:W834),$W$2:$W$1001,0),MATCH(COLUMNS($AD$1006:AL1006),$AD$1006:$AU$1006,0)), HYPERLINK("#",""), HYPERLINK(CONCATENATE("#metadata!", ADDRESS(INDEX($Y$2:$Y$1001,MATCH(ROWS($W$2:W834),$W$2:$W$1001,0),0), INDEX($AD$1004:$AU$1004,1,MATCH(COLUMNS($AD$1006:AL1006),$AD$1006:$AU$1006,0)))),"Fix")))</f>
        <v xml:space="preserve"> </v>
      </c>
      <c r="K834" s="4" t="str">
        <f ca="1">IF(OR(INDEX($X$2:$X$1001,MATCH(ROWS($W$2:W834),$W$2:$W$1001,0),1)&gt;=100000,INDEX($AD$1005:$AU$1005,1,MATCH(COLUMNS($AD$1006:AM1006),$AD$1006:$AU$1006,0))&gt;=100000), " ",IF(INDEX($AD$2:$AU$1001,MATCH(ROWS($W$2:W834),$W$2:$W$1001,0),MATCH(COLUMNS($AD$1006:AM1006),$AD$1006:$AU$1006,0)), HYPERLINK("#",""), HYPERLINK(CONCATENATE("#metadata!", ADDRESS(INDEX($Y$2:$Y$1001,MATCH(ROWS($W$2:W834),$W$2:$W$1001,0),0), INDEX($AD$1004:$AU$1004,1,MATCH(COLUMNS($AD$1006:AM1006),$AD$1006:$AU$1006,0)))),"Fix")))</f>
        <v xml:space="preserve"> </v>
      </c>
      <c r="L834" s="4" t="str">
        <f ca="1">IF(OR(INDEX($X$2:$X$1001,MATCH(ROWS($W$2:W834),$W$2:$W$1001,0),1)&gt;=100000,INDEX($AD$1005:$AU$1005,1,MATCH(COLUMNS($AD$1006:AN1006),$AD$1006:$AU$1006,0))&gt;=100000), " ",IF(INDEX($AD$2:$AU$1001,MATCH(ROWS($W$2:W834),$W$2:$W$1001,0),MATCH(COLUMNS($AD$1006:AN1006),$AD$1006:$AU$1006,0)), HYPERLINK("#",""), HYPERLINK(CONCATENATE("#metadata!", ADDRESS(INDEX($Y$2:$Y$1001,MATCH(ROWS($W$2:W834),$W$2:$W$1001,0),0), INDEX($AD$1004:$AU$1004,1,MATCH(COLUMNS($AD$1006:AN1006),$AD$1006:$AU$1006,0)))),"Fix")))</f>
        <v xml:space="preserve"> </v>
      </c>
      <c r="M834" s="4" t="str">
        <f ca="1">IF(OR(INDEX($X$2:$X$1001,MATCH(ROWS($W$2:W834),$W$2:$W$1001,0),1)&gt;=100000,INDEX($AD$1005:$AU$1005,1,MATCH(COLUMNS($AD$1006:AO1006),$AD$1006:$AU$1006,0))&gt;=100000), " ",IF(INDEX($AD$2:$AU$1001,MATCH(ROWS($W$2:W834),$W$2:$W$1001,0),MATCH(COLUMNS($AD$1006:AO1006),$AD$1006:$AU$1006,0)), HYPERLINK("#",""), HYPERLINK(CONCATENATE("#metadata!", ADDRESS(INDEX($Y$2:$Y$1001,MATCH(ROWS($W$2:W834),$W$2:$W$1001,0),0), INDEX($AD$1004:$AU$1004,1,MATCH(COLUMNS($AD$1006:AO1006),$AD$1006:$AU$1006,0)))),"Fix")))</f>
        <v xml:space="preserve"> </v>
      </c>
      <c r="N834" s="4" t="str">
        <f ca="1">IF(OR(INDEX($X$2:$X$1001,MATCH(ROWS($W$2:W834),$W$2:$W$1001,0),1)&gt;=100000,INDEX($AD$1005:$AU$1005,1,MATCH(COLUMNS($AD$1006:AP1006),$AD$1006:$AU$1006,0))&gt;=100000), " ",IF(INDEX($AD$2:$AU$1001,MATCH(ROWS($W$2:W834),$W$2:$W$1001,0),MATCH(COLUMNS($AD$1006:AP1006),$AD$1006:$AU$1006,0)), HYPERLINK("#",""), HYPERLINK(CONCATENATE("#metadata!", ADDRESS(INDEX($Y$2:$Y$1001,MATCH(ROWS($W$2:W834),$W$2:$W$1001,0),0), INDEX($AD$1004:$AU$1004,1,MATCH(COLUMNS($AD$1006:AP1006),$AD$1006:$AU$1006,0)))),"Fix")))</f>
        <v xml:space="preserve"> </v>
      </c>
      <c r="O834" s="4" t="str">
        <f ca="1">IF(OR(INDEX($X$2:$X$1001,MATCH(ROWS($W$2:W834),$W$2:$W$1001,0),1)&gt;=100000,INDEX($AD$1005:$AU$1005,1,MATCH(COLUMNS($AD$1006:AQ1006),$AD$1006:$AU$1006,0))&gt;=100000), " ",IF(INDEX($AD$2:$AU$1001,MATCH(ROWS($W$2:W834),$W$2:$W$1001,0),MATCH(COLUMNS($AD$1006:AQ1006),$AD$1006:$AU$1006,0)), HYPERLINK("#",""), HYPERLINK(CONCATENATE("#metadata!", ADDRESS(INDEX($Y$2:$Y$1001,MATCH(ROWS($W$2:W834),$W$2:$W$1001,0),0), INDEX($AD$1004:$AU$1004,1,MATCH(COLUMNS($AD$1006:AQ1006),$AD$1006:$AU$1006,0)))),"Fix")))</f>
        <v xml:space="preserve"> </v>
      </c>
      <c r="P834" s="4" t="str">
        <f ca="1">IF(OR(INDEX($X$2:$X$1001,MATCH(ROWS($W$2:W834),$W$2:$W$1001,0),1)&gt;=100000,INDEX($AD$1005:$AU$1005,1,MATCH(COLUMNS($AD$1006:AR1006),$AD$1006:$AU$1006,0))&gt;=100000), " ",IF(INDEX($AD$2:$AU$1001,MATCH(ROWS($W$2:W834),$W$2:$W$1001,0),MATCH(COLUMNS($AD$1006:AR1006),$AD$1006:$AU$1006,0)), HYPERLINK("#",""), HYPERLINK(CONCATENATE("#metadata!", ADDRESS(INDEX($Y$2:$Y$1001,MATCH(ROWS($W$2:W834),$W$2:$W$1001,0),0), INDEX($AD$1004:$AU$1004,1,MATCH(COLUMNS($AD$1006:AR1006),$AD$1006:$AU$1006,0)))),"Fix")))</f>
        <v xml:space="preserve"> </v>
      </c>
      <c r="Q834" s="4" t="str">
        <f ca="1">IF(OR(INDEX($X$2:$X$1001,MATCH(ROWS($W$2:W834),$W$2:$W$1001,0),1)&gt;=100000,INDEX($AD$1005:$AU$1005,1,MATCH(COLUMNS($AD$1006:AS1006),$AD$1006:$AU$1006,0))&gt;=100000), " ",IF(INDEX($AD$2:$AU$1001,MATCH(ROWS($W$2:W834),$W$2:$W$1001,0),MATCH(COLUMNS($AD$1006:AS1006),$AD$1006:$AU$1006,0)), HYPERLINK("#",""), HYPERLINK(CONCATENATE("#metadata!", ADDRESS(INDEX($Y$2:$Y$1001,MATCH(ROWS($W$2:W834),$W$2:$W$1001,0),0), INDEX($AD$1004:$AU$1004,1,MATCH(COLUMNS($AD$1006:AS1006),$AD$1006:$AU$1006,0)))),"Fix")))</f>
        <v xml:space="preserve"> </v>
      </c>
      <c r="R834" s="4" t="str">
        <f ca="1">IF(OR(INDEX($X$2:$X$1001,MATCH(ROWS($W$2:W834),$W$2:$W$1001,0),1)&gt;=100000,INDEX($AD$1005:$AU$1005,1,MATCH(COLUMNS($AD$1006:AT1006),$AD$1006:$AU$1006,0))&gt;=100000), " ",IF(INDEX($AD$2:$AU$1001,MATCH(ROWS($W$2:W834),$W$2:$W$1001,0),MATCH(COLUMNS($AD$1006:AT1006),$AD$1006:$AU$1006,0)), HYPERLINK("#",""), HYPERLINK(CONCATENATE("#metadata!", ADDRESS(INDEX($Y$2:$Y$1001,MATCH(ROWS($W$2:W834),$W$2:$W$1001,0),0), INDEX($AD$1004:$AU$1004,1,MATCH(COLUMNS($AD$1006:AT1006),$AD$1006:$AU$1006,0)))),"Fix")))</f>
        <v xml:space="preserve"> </v>
      </c>
      <c r="S834" s="4" t="str">
        <f ca="1">IF(OR(INDEX($X$2:$X$1001,MATCH(ROWS($W$2:W834),$W$2:$W$1001,0),1)&gt;=100000,INDEX($AD$1005:$AU$1005,1,MATCH(COLUMNS($AD$1006:AU1006),$AD$1006:$AU$1006,0))&gt;=100000), " ",IF(INDEX($AD$2:$AU$1001,MATCH(ROWS($W$2:W834),$W$2:$W$1001,0),MATCH(COLUMNS($AD$1006:AU1006),$AD$1006:$AU$1006,0)), HYPERLINK("#",""), HYPERLINK(CONCATENATE("#metadata!", ADDRESS(INDEX($Y$2:$Y$1001,MATCH(ROWS($W$2:W834),$W$2:$W$1001,0),0), INDEX($AD$1004:$AU$1004,1,MATCH(COLUMNS($AD$1006:AU1006),$AD$1006:$AU$1006,0)))),"Fix")))</f>
        <v xml:space="preserve"> </v>
      </c>
      <c r="W834">
        <v>833</v>
      </c>
      <c r="X834">
        <v>100834</v>
      </c>
      <c r="Y834">
        <v>834</v>
      </c>
      <c r="Z834" t="b">
        <f t="shared" ref="Z834:Z897" si="13">IF(AA834,TRUE,AND(AD834:AU834))</f>
        <v>1</v>
      </c>
      <c r="AA834" t="b">
        <f>COUNTBLANK(metadata!B834:S834)=COLUMNS(metadata!B834:S834)</f>
        <v>1</v>
      </c>
      <c r="AB834" t="str">
        <v/>
      </c>
      <c r="AD834" t="b">
        <f ca="1">AND(IF(metadata!B834="",FALSE,TRUE),COUNTIF(metadata!B:B, metadata!B834) = 1,NOT(ISERROR(SUMPRODUCT(SEARCH(MID(metadata!B834,ROW(INDIRECT("1:"&amp;LEN(metadata!B834))), 1),"0123456789abcdefghijklmnopqrstuvwxyzABCDEFGHIJKLMNOPQRSTUVWXYZ.")))))</f>
        <v>0</v>
      </c>
      <c r="AE834" t="b">
        <f>OR(AND(IF(metadata!C834="",FALSE,TRUE),OR(EXACT(metadata!C834,"not applicable"),EXACT(metadata!C834,"missing: not collected"),EXACT(metadata!C834,"missing: not provided"),EXACT(metadata!C834,"missing: restricted access"))),AND(IF(metadata!C834="",FALSE,ISNUMBER(VALUE(metadata!C834))),metadata!C834&gt;0))</f>
        <v>0</v>
      </c>
      <c r="AF834" t="b">
        <f>AND(IF(metadata!D834="",FALSE,TRUE),EXACT(metadata!D834,"missing: not provided"))</f>
        <v>0</v>
      </c>
      <c r="AG834" t="b">
        <f>AND(IF(metadata!E834="",FALSE,TRUE),EXACT(metadata!E834,"Host-associated"))</f>
        <v>0</v>
      </c>
      <c r="AH834" t="b">
        <f>AND(IF(metadata!F834="",FALSE,TRUE),OR(EXACT(metadata!F834,"Animal"),EXACT(metadata!F834,"Fungus"),EXACT(metadata!F834,"Plant")))</f>
        <v>0</v>
      </c>
      <c r="AI834" t="b">
        <f>AND(IF(metadata!G834="",FALSE,TRUE),OR(EXACT(metadata!G834,"Plant secretion"),EXACT(metadata!G834,"Plant rhizosphere"),EXACT(metadata!G834,"Plant surface"),EXACT(metadata!G834,"Plant corpus"),EXACT(metadata!G834,"Fungus surface"),EXACT(metadata!G834,"Fungus corpus"),EXACT(metadata!G834,"Animal surface"),EXACT(metadata!G834,"Animal proximal gut"),EXACT(metadata!G834,"Animal corpus"),EXACT(metadata!G834,"Animal distal gut"),EXACT(metadata!G834,"Animal secretion")))</f>
        <v>0</v>
      </c>
      <c r="AJ834" t="b">
        <f>OR(AND(IF(metadata!H834="",FALSE,TRUE),OR(EXACT(metadata!H834,"missing: not collected"),EXACT(metadata!H834,"missing: not provided"),EXACT(metadata!H834,"missing: restricted access"))),AND(IF(metadata!H834="",FALSE,TRUE),OR(EXACT(metadata!H834,"organism-associated habitat"),EXACT(metadata!H834,"plant-associated habitat"),EXACT(metadata!H834,"animal-associated habitat"),EXACT(metadata!H834,"insecta-associated habitat"),EXACT(metadata!H834,"mammalia-associated habitat"),EXACT(metadata!H834,"human-associated habitat"),EXACT(metadata!H834,"livestock-associated habitat"))))</f>
        <v>0</v>
      </c>
      <c r="AK834" t="b">
        <f>AND(IF(metadata!I834="",FALSE,TRUE),EXACT(metadata!I834,"host-associated"))</f>
        <v>0</v>
      </c>
      <c r="AL834" t="b">
        <f>OR(AND(IF(metadata!J834="",FALSE,TRUE),OR(EXACT(metadata!J834,"not applicable"),EXACT(metadata!J834,"missing: not collected"),EXACT(metadata!J834,"missing: not provided"),EXACT(metadata!J834,"missing: restricted access"))),AND(IF(metadata!J834="",FALSE,ISNUMBER(VALUE(metadata!J834))),metadata!J834&gt;0))</f>
        <v>0</v>
      </c>
      <c r="AM834" t="b">
        <f>AND(IF(metadata!K834="",FALSE,TRUE),EXACT(metadata!K834,"missing: not provided"))</f>
        <v>0</v>
      </c>
      <c r="AN834" t="b">
        <f>IF(metadata!L834="",FALSE,TRUE)</f>
        <v>0</v>
      </c>
      <c r="AO834" t="b">
        <f>IF(metadata!M834="",FALSE,TRUE)</f>
        <v>0</v>
      </c>
      <c r="AP834" t="b">
        <f>OR(AND(IF(metadata!N834="",FALSE,TRUE),OR(EXACT(metadata!N834,"not applicable"),EXACT(metadata!N834,"missing: not collected"),EXACT(metadata!N834,"missing: not provided"))),AND(IF(metadata!N834="",FALSE,IF(ISERROR(INT(metadata!N834)),FALSE,INT(metadata!N834)=metadata!N834)),metadata!N834&gt;0))</f>
        <v>0</v>
      </c>
      <c r="AQ834" t="b">
        <f>AND(IF(metadata!O834="",FALSE,TRUE),EXACT(metadata!O834,"Not applicable"))</f>
        <v>0</v>
      </c>
      <c r="AR834" t="b">
        <f>OR(AND(IF(metadata!P834="",FALSE,TRUE),OR(EXACT(metadata!P834,"not applicable"),EXACT(metadata!P834,"missing: not collected"),EXACT(metadata!P834,"missing: not provided"),EXACT(metadata!P834,"missing: restricted access"))),IF(metadata!P834="",FALSE,IF(ISERROR(INT(metadata!P834)),FALSE,INT(metadata!P834)=metadata!P834)))</f>
        <v>0</v>
      </c>
      <c r="AS834" t="b">
        <f>AND(IF(metadata!Q834="",FALSE,TRUE),EXACT(metadata!Q834,"Not applicable"))</f>
        <v>0</v>
      </c>
      <c r="AT834" t="b">
        <f>OR(AND(IF(metadata!R834="",FALSE,TRUE),OR(EXACT(metadata!R834,"not applicable"),EXACT(metadata!R834,"missing: not collected"),EXACT(metadata!R834,"missing: not provided"),EXACT(metadata!R834,"missing: restricted access"))),AND(IF(metadata!R834="",FALSE,ISNUMBER(VALUE(metadata!R834))),metadata!R834&gt;0))</f>
        <v>0</v>
      </c>
      <c r="AU834" t="b">
        <f>AND(IF(metadata!S834="",FALSE,TRUE),EXACT(metadata!S834,"missing: not provided"))</f>
        <v>0</v>
      </c>
    </row>
    <row r="835" spans="1:47" x14ac:dyDescent="0.2">
      <c r="A835" s="5" t="str">
        <f ca="1">IF(B835=" "," ",HYPERLINK(CONCATENATE("#metadata!",ADDRESS(INDEX($Y$2:$Y$1001,MATCH(ROWS($W$2:W835),$W$2:$W$1001,0),0),1)),INDEX($AB$2:$AB$1001,MATCH(ROWS($W$2:W835),$W$2:$W$1001,0),0)))</f>
        <v xml:space="preserve"> </v>
      </c>
      <c r="B835" s="4" t="str">
        <f ca="1">IF(OR(INDEX($X$2:$X$1001,MATCH(ROWS($W$2:W835),$W$2:$W$1001,0),1)&gt;=100000,INDEX($AD$1005:$AU$1005,1,MATCH(COLUMNS($AD$1006:AD1006),$AD$1006:$AU$1006,0))&gt;=100000), " ",IF(INDEX($AD$2:$AU$1001,MATCH(ROWS($W$2:W835),$W$2:$W$1001,0),MATCH(COLUMNS($AD$1006:AD1006),$AD$1006:$AU$1006,0)), HYPERLINK("#",""), HYPERLINK(CONCATENATE("#metadata!", ADDRESS(INDEX($Y$2:$Y$1001,MATCH(ROWS($W$2:W835),$W$2:$W$1001,0),0), INDEX($AD$1004:$AU$1004,1,MATCH(COLUMNS($AD$1006:AD1006),$AD$1006:$AU$1006,0)))),"Fix")))</f>
        <v xml:space="preserve"> </v>
      </c>
      <c r="C835" s="4" t="str">
        <f ca="1">IF(OR(INDEX($X$2:$X$1001,MATCH(ROWS($W$2:W835),$W$2:$W$1001,0),1)&gt;=100000,INDEX($AD$1005:$AU$1005,1,MATCH(COLUMNS($AD$1006:AE1006),$AD$1006:$AU$1006,0))&gt;=100000), " ",IF(INDEX($AD$2:$AU$1001,MATCH(ROWS($W$2:W835),$W$2:$W$1001,0),MATCH(COLUMNS($AD$1006:AE1006),$AD$1006:$AU$1006,0)), HYPERLINK("#",""), HYPERLINK(CONCATENATE("#metadata!", ADDRESS(INDEX($Y$2:$Y$1001,MATCH(ROWS($W$2:W835),$W$2:$W$1001,0),0), INDEX($AD$1004:$AU$1004,1,MATCH(COLUMNS($AD$1006:AE1006),$AD$1006:$AU$1006,0)))),"Fix")))</f>
        <v xml:space="preserve"> </v>
      </c>
      <c r="D835" s="4" t="str">
        <f ca="1">IF(OR(INDEX($X$2:$X$1001,MATCH(ROWS($W$2:W835),$W$2:$W$1001,0),1)&gt;=100000,INDEX($AD$1005:$AU$1005,1,MATCH(COLUMNS($AD$1006:AF1006),$AD$1006:$AU$1006,0))&gt;=100000), " ",IF(INDEX($AD$2:$AU$1001,MATCH(ROWS($W$2:W835),$W$2:$W$1001,0),MATCH(COLUMNS($AD$1006:AF1006),$AD$1006:$AU$1006,0)), HYPERLINK("#",""), HYPERLINK(CONCATENATE("#metadata!", ADDRESS(INDEX($Y$2:$Y$1001,MATCH(ROWS($W$2:W835),$W$2:$W$1001,0),0), INDEX($AD$1004:$AU$1004,1,MATCH(COLUMNS($AD$1006:AF1006),$AD$1006:$AU$1006,0)))),"Fix")))</f>
        <v xml:space="preserve"> </v>
      </c>
      <c r="E835" s="4" t="str">
        <f ca="1">IF(OR(INDEX($X$2:$X$1001,MATCH(ROWS($W$2:W835),$W$2:$W$1001,0),1)&gt;=100000,INDEX($AD$1005:$AU$1005,1,MATCH(COLUMNS($AD$1006:AG1006),$AD$1006:$AU$1006,0))&gt;=100000), " ",IF(INDEX($AD$2:$AU$1001,MATCH(ROWS($W$2:W835),$W$2:$W$1001,0),MATCH(COLUMNS($AD$1006:AG1006),$AD$1006:$AU$1006,0)), HYPERLINK("#",""), HYPERLINK(CONCATENATE("#metadata!", ADDRESS(INDEX($Y$2:$Y$1001,MATCH(ROWS($W$2:W835),$W$2:$W$1001,0),0), INDEX($AD$1004:$AU$1004,1,MATCH(COLUMNS($AD$1006:AG1006),$AD$1006:$AU$1006,0)))),"Fix")))</f>
        <v xml:space="preserve"> </v>
      </c>
      <c r="F835" s="4" t="str">
        <f ca="1">IF(OR(INDEX($X$2:$X$1001,MATCH(ROWS($W$2:W835),$W$2:$W$1001,0),1)&gt;=100000,INDEX($AD$1005:$AU$1005,1,MATCH(COLUMNS($AD$1006:AH1006),$AD$1006:$AU$1006,0))&gt;=100000), " ",IF(INDEX($AD$2:$AU$1001,MATCH(ROWS($W$2:W835),$W$2:$W$1001,0),MATCH(COLUMNS($AD$1006:AH1006),$AD$1006:$AU$1006,0)), HYPERLINK("#",""), HYPERLINK(CONCATENATE("#metadata!", ADDRESS(INDEX($Y$2:$Y$1001,MATCH(ROWS($W$2:W835),$W$2:$W$1001,0),0), INDEX($AD$1004:$AU$1004,1,MATCH(COLUMNS($AD$1006:AH1006),$AD$1006:$AU$1006,0)))),"Fix")))</f>
        <v xml:space="preserve"> </v>
      </c>
      <c r="G835" s="4" t="str">
        <f ca="1">IF(OR(INDEX($X$2:$X$1001,MATCH(ROWS($W$2:W835),$W$2:$W$1001,0),1)&gt;=100000,INDEX($AD$1005:$AU$1005,1,MATCH(COLUMNS($AD$1006:AI1006),$AD$1006:$AU$1006,0))&gt;=100000), " ",IF(INDEX($AD$2:$AU$1001,MATCH(ROWS($W$2:W835),$W$2:$W$1001,0),MATCH(COLUMNS($AD$1006:AI1006),$AD$1006:$AU$1006,0)), HYPERLINK("#",""), HYPERLINK(CONCATENATE("#metadata!", ADDRESS(INDEX($Y$2:$Y$1001,MATCH(ROWS($W$2:W835),$W$2:$W$1001,0),0), INDEX($AD$1004:$AU$1004,1,MATCH(COLUMNS($AD$1006:AI1006),$AD$1006:$AU$1006,0)))),"Fix")))</f>
        <v xml:space="preserve"> </v>
      </c>
      <c r="H835" s="4" t="str">
        <f ca="1">IF(OR(INDEX($X$2:$X$1001,MATCH(ROWS($W$2:W835),$W$2:$W$1001,0),1)&gt;=100000,INDEX($AD$1005:$AU$1005,1,MATCH(COLUMNS($AD$1006:AJ1006),$AD$1006:$AU$1006,0))&gt;=100000), " ",IF(INDEX($AD$2:$AU$1001,MATCH(ROWS($W$2:W835),$W$2:$W$1001,0),MATCH(COLUMNS($AD$1006:AJ1006),$AD$1006:$AU$1006,0)), HYPERLINK("#",""), HYPERLINK(CONCATENATE("#metadata!", ADDRESS(INDEX($Y$2:$Y$1001,MATCH(ROWS($W$2:W835),$W$2:$W$1001,0),0), INDEX($AD$1004:$AU$1004,1,MATCH(COLUMNS($AD$1006:AJ1006),$AD$1006:$AU$1006,0)))),"Fix")))</f>
        <v xml:space="preserve"> </v>
      </c>
      <c r="I835" s="4" t="str">
        <f ca="1">IF(OR(INDEX($X$2:$X$1001,MATCH(ROWS($W$2:W835),$W$2:$W$1001,0),1)&gt;=100000,INDEX($AD$1005:$AU$1005,1,MATCH(COLUMNS($AD$1006:AK1006),$AD$1006:$AU$1006,0))&gt;=100000), " ",IF(INDEX($AD$2:$AU$1001,MATCH(ROWS($W$2:W835),$W$2:$W$1001,0),MATCH(COLUMNS($AD$1006:AK1006),$AD$1006:$AU$1006,0)), HYPERLINK("#",""), HYPERLINK(CONCATENATE("#metadata!", ADDRESS(INDEX($Y$2:$Y$1001,MATCH(ROWS($W$2:W835),$W$2:$W$1001,0),0), INDEX($AD$1004:$AU$1004,1,MATCH(COLUMNS($AD$1006:AK1006),$AD$1006:$AU$1006,0)))),"Fix")))</f>
        <v xml:space="preserve"> </v>
      </c>
      <c r="J835" s="4" t="str">
        <f ca="1">IF(OR(INDEX($X$2:$X$1001,MATCH(ROWS($W$2:W835),$W$2:$W$1001,0),1)&gt;=100000,INDEX($AD$1005:$AU$1005,1,MATCH(COLUMNS($AD$1006:AL1006),$AD$1006:$AU$1006,0))&gt;=100000), " ",IF(INDEX($AD$2:$AU$1001,MATCH(ROWS($W$2:W835),$W$2:$W$1001,0),MATCH(COLUMNS($AD$1006:AL1006),$AD$1006:$AU$1006,0)), HYPERLINK("#",""), HYPERLINK(CONCATENATE("#metadata!", ADDRESS(INDEX($Y$2:$Y$1001,MATCH(ROWS($W$2:W835),$W$2:$W$1001,0),0), INDEX($AD$1004:$AU$1004,1,MATCH(COLUMNS($AD$1006:AL1006),$AD$1006:$AU$1006,0)))),"Fix")))</f>
        <v xml:space="preserve"> </v>
      </c>
      <c r="K835" s="4" t="str">
        <f ca="1">IF(OR(INDEX($X$2:$X$1001,MATCH(ROWS($W$2:W835),$W$2:$W$1001,0),1)&gt;=100000,INDEX($AD$1005:$AU$1005,1,MATCH(COLUMNS($AD$1006:AM1006),$AD$1006:$AU$1006,0))&gt;=100000), " ",IF(INDEX($AD$2:$AU$1001,MATCH(ROWS($W$2:W835),$W$2:$W$1001,0),MATCH(COLUMNS($AD$1006:AM1006),$AD$1006:$AU$1006,0)), HYPERLINK("#",""), HYPERLINK(CONCATENATE("#metadata!", ADDRESS(INDEX($Y$2:$Y$1001,MATCH(ROWS($W$2:W835),$W$2:$W$1001,0),0), INDEX($AD$1004:$AU$1004,1,MATCH(COLUMNS($AD$1006:AM1006),$AD$1006:$AU$1006,0)))),"Fix")))</f>
        <v xml:space="preserve"> </v>
      </c>
      <c r="L835" s="4" t="str">
        <f ca="1">IF(OR(INDEX($X$2:$X$1001,MATCH(ROWS($W$2:W835),$W$2:$W$1001,0),1)&gt;=100000,INDEX($AD$1005:$AU$1005,1,MATCH(COLUMNS($AD$1006:AN1006),$AD$1006:$AU$1006,0))&gt;=100000), " ",IF(INDEX($AD$2:$AU$1001,MATCH(ROWS($W$2:W835),$W$2:$W$1001,0),MATCH(COLUMNS($AD$1006:AN1006),$AD$1006:$AU$1006,0)), HYPERLINK("#",""), HYPERLINK(CONCATENATE("#metadata!", ADDRESS(INDEX($Y$2:$Y$1001,MATCH(ROWS($W$2:W835),$W$2:$W$1001,0),0), INDEX($AD$1004:$AU$1004,1,MATCH(COLUMNS($AD$1006:AN1006),$AD$1006:$AU$1006,0)))),"Fix")))</f>
        <v xml:space="preserve"> </v>
      </c>
      <c r="M835" s="4" t="str">
        <f ca="1">IF(OR(INDEX($X$2:$X$1001,MATCH(ROWS($W$2:W835),$W$2:$W$1001,0),1)&gt;=100000,INDEX($AD$1005:$AU$1005,1,MATCH(COLUMNS($AD$1006:AO1006),$AD$1006:$AU$1006,0))&gt;=100000), " ",IF(INDEX($AD$2:$AU$1001,MATCH(ROWS($W$2:W835),$W$2:$W$1001,0),MATCH(COLUMNS($AD$1006:AO1006),$AD$1006:$AU$1006,0)), HYPERLINK("#",""), HYPERLINK(CONCATENATE("#metadata!", ADDRESS(INDEX($Y$2:$Y$1001,MATCH(ROWS($W$2:W835),$W$2:$W$1001,0),0), INDEX($AD$1004:$AU$1004,1,MATCH(COLUMNS($AD$1006:AO1006),$AD$1006:$AU$1006,0)))),"Fix")))</f>
        <v xml:space="preserve"> </v>
      </c>
      <c r="N835" s="4" t="str">
        <f ca="1">IF(OR(INDEX($X$2:$X$1001,MATCH(ROWS($W$2:W835),$W$2:$W$1001,0),1)&gt;=100000,INDEX($AD$1005:$AU$1005,1,MATCH(COLUMNS($AD$1006:AP1006),$AD$1006:$AU$1006,0))&gt;=100000), " ",IF(INDEX($AD$2:$AU$1001,MATCH(ROWS($W$2:W835),$W$2:$W$1001,0),MATCH(COLUMNS($AD$1006:AP1006),$AD$1006:$AU$1006,0)), HYPERLINK("#",""), HYPERLINK(CONCATENATE("#metadata!", ADDRESS(INDEX($Y$2:$Y$1001,MATCH(ROWS($W$2:W835),$W$2:$W$1001,0),0), INDEX($AD$1004:$AU$1004,1,MATCH(COLUMNS($AD$1006:AP1006),$AD$1006:$AU$1006,0)))),"Fix")))</f>
        <v xml:space="preserve"> </v>
      </c>
      <c r="O835" s="4" t="str">
        <f ca="1">IF(OR(INDEX($X$2:$X$1001,MATCH(ROWS($W$2:W835),$W$2:$W$1001,0),1)&gt;=100000,INDEX($AD$1005:$AU$1005,1,MATCH(COLUMNS($AD$1006:AQ1006),$AD$1006:$AU$1006,0))&gt;=100000), " ",IF(INDEX($AD$2:$AU$1001,MATCH(ROWS($W$2:W835),$W$2:$W$1001,0),MATCH(COLUMNS($AD$1006:AQ1006),$AD$1006:$AU$1006,0)), HYPERLINK("#",""), HYPERLINK(CONCATENATE("#metadata!", ADDRESS(INDEX($Y$2:$Y$1001,MATCH(ROWS($W$2:W835),$W$2:$W$1001,0),0), INDEX($AD$1004:$AU$1004,1,MATCH(COLUMNS($AD$1006:AQ1006),$AD$1006:$AU$1006,0)))),"Fix")))</f>
        <v xml:space="preserve"> </v>
      </c>
      <c r="P835" s="4" t="str">
        <f ca="1">IF(OR(INDEX($X$2:$X$1001,MATCH(ROWS($W$2:W835),$W$2:$W$1001,0),1)&gt;=100000,INDEX($AD$1005:$AU$1005,1,MATCH(COLUMNS($AD$1006:AR1006),$AD$1006:$AU$1006,0))&gt;=100000), " ",IF(INDEX($AD$2:$AU$1001,MATCH(ROWS($W$2:W835),$W$2:$W$1001,0),MATCH(COLUMNS($AD$1006:AR1006),$AD$1006:$AU$1006,0)), HYPERLINK("#",""), HYPERLINK(CONCATENATE("#metadata!", ADDRESS(INDEX($Y$2:$Y$1001,MATCH(ROWS($W$2:W835),$W$2:$W$1001,0),0), INDEX($AD$1004:$AU$1004,1,MATCH(COLUMNS($AD$1006:AR1006),$AD$1006:$AU$1006,0)))),"Fix")))</f>
        <v xml:space="preserve"> </v>
      </c>
      <c r="Q835" s="4" t="str">
        <f ca="1">IF(OR(INDEX($X$2:$X$1001,MATCH(ROWS($W$2:W835),$W$2:$W$1001,0),1)&gt;=100000,INDEX($AD$1005:$AU$1005,1,MATCH(COLUMNS($AD$1006:AS1006),$AD$1006:$AU$1006,0))&gt;=100000), " ",IF(INDEX($AD$2:$AU$1001,MATCH(ROWS($W$2:W835),$W$2:$W$1001,0),MATCH(COLUMNS($AD$1006:AS1006),$AD$1006:$AU$1006,0)), HYPERLINK("#",""), HYPERLINK(CONCATENATE("#metadata!", ADDRESS(INDEX($Y$2:$Y$1001,MATCH(ROWS($W$2:W835),$W$2:$W$1001,0),0), INDEX($AD$1004:$AU$1004,1,MATCH(COLUMNS($AD$1006:AS1006),$AD$1006:$AU$1006,0)))),"Fix")))</f>
        <v xml:space="preserve"> </v>
      </c>
      <c r="R835" s="4" t="str">
        <f ca="1">IF(OR(INDEX($X$2:$X$1001,MATCH(ROWS($W$2:W835),$W$2:$W$1001,0),1)&gt;=100000,INDEX($AD$1005:$AU$1005,1,MATCH(COLUMNS($AD$1006:AT1006),$AD$1006:$AU$1006,0))&gt;=100000), " ",IF(INDEX($AD$2:$AU$1001,MATCH(ROWS($W$2:W835),$W$2:$W$1001,0),MATCH(COLUMNS($AD$1006:AT1006),$AD$1006:$AU$1006,0)), HYPERLINK("#",""), HYPERLINK(CONCATENATE("#metadata!", ADDRESS(INDEX($Y$2:$Y$1001,MATCH(ROWS($W$2:W835),$W$2:$W$1001,0),0), INDEX($AD$1004:$AU$1004,1,MATCH(COLUMNS($AD$1006:AT1006),$AD$1006:$AU$1006,0)))),"Fix")))</f>
        <v xml:space="preserve"> </v>
      </c>
      <c r="S835" s="4" t="str">
        <f ca="1">IF(OR(INDEX($X$2:$X$1001,MATCH(ROWS($W$2:W835),$W$2:$W$1001,0),1)&gt;=100000,INDEX($AD$1005:$AU$1005,1,MATCH(COLUMNS($AD$1006:AU1006),$AD$1006:$AU$1006,0))&gt;=100000), " ",IF(INDEX($AD$2:$AU$1001,MATCH(ROWS($W$2:W835),$W$2:$W$1001,0),MATCH(COLUMNS($AD$1006:AU1006),$AD$1006:$AU$1006,0)), HYPERLINK("#",""), HYPERLINK(CONCATENATE("#metadata!", ADDRESS(INDEX($Y$2:$Y$1001,MATCH(ROWS($W$2:W835),$W$2:$W$1001,0),0), INDEX($AD$1004:$AU$1004,1,MATCH(COLUMNS($AD$1006:AU1006),$AD$1006:$AU$1006,0)))),"Fix")))</f>
        <v xml:space="preserve"> </v>
      </c>
      <c r="W835">
        <v>834</v>
      </c>
      <c r="X835">
        <v>100835</v>
      </c>
      <c r="Y835">
        <v>835</v>
      </c>
      <c r="Z835" t="b">
        <f t="shared" si="13"/>
        <v>1</v>
      </c>
      <c r="AA835" t="b">
        <f>COUNTBLANK(metadata!B835:S835)=COLUMNS(metadata!B835:S835)</f>
        <v>1</v>
      </c>
      <c r="AB835" t="str">
        <v/>
      </c>
      <c r="AD835" t="b">
        <f ca="1">AND(IF(metadata!B835="",FALSE,TRUE),COUNTIF(metadata!B:B, metadata!B835) = 1,NOT(ISERROR(SUMPRODUCT(SEARCH(MID(metadata!B835,ROW(INDIRECT("1:"&amp;LEN(metadata!B835))), 1),"0123456789abcdefghijklmnopqrstuvwxyzABCDEFGHIJKLMNOPQRSTUVWXYZ.")))))</f>
        <v>0</v>
      </c>
      <c r="AE835" t="b">
        <f>OR(AND(IF(metadata!C835="",FALSE,TRUE),OR(EXACT(metadata!C835,"not applicable"),EXACT(metadata!C835,"missing: not collected"),EXACT(metadata!C835,"missing: not provided"),EXACT(metadata!C835,"missing: restricted access"))),AND(IF(metadata!C835="",FALSE,ISNUMBER(VALUE(metadata!C835))),metadata!C835&gt;0))</f>
        <v>0</v>
      </c>
      <c r="AF835" t="b">
        <f>AND(IF(metadata!D835="",FALSE,TRUE),EXACT(metadata!D835,"missing: not provided"))</f>
        <v>0</v>
      </c>
      <c r="AG835" t="b">
        <f>AND(IF(metadata!E835="",FALSE,TRUE),EXACT(metadata!E835,"Host-associated"))</f>
        <v>0</v>
      </c>
      <c r="AH835" t="b">
        <f>AND(IF(metadata!F835="",FALSE,TRUE),OR(EXACT(metadata!F835,"Animal"),EXACT(metadata!F835,"Fungus"),EXACT(metadata!F835,"Plant")))</f>
        <v>0</v>
      </c>
      <c r="AI835" t="b">
        <f>AND(IF(metadata!G835="",FALSE,TRUE),OR(EXACT(metadata!G835,"Plant secretion"),EXACT(metadata!G835,"Plant rhizosphere"),EXACT(metadata!G835,"Plant surface"),EXACT(metadata!G835,"Plant corpus"),EXACT(metadata!G835,"Fungus surface"),EXACT(metadata!G835,"Fungus corpus"),EXACT(metadata!G835,"Animal surface"),EXACT(metadata!G835,"Animal proximal gut"),EXACT(metadata!G835,"Animal corpus"),EXACT(metadata!G835,"Animal distal gut"),EXACT(metadata!G835,"Animal secretion")))</f>
        <v>0</v>
      </c>
      <c r="AJ835" t="b">
        <f>OR(AND(IF(metadata!H835="",FALSE,TRUE),OR(EXACT(metadata!H835,"missing: not collected"),EXACT(metadata!H835,"missing: not provided"),EXACT(metadata!H835,"missing: restricted access"))),AND(IF(metadata!H835="",FALSE,TRUE),OR(EXACT(metadata!H835,"organism-associated habitat"),EXACT(metadata!H835,"plant-associated habitat"),EXACT(metadata!H835,"animal-associated habitat"),EXACT(metadata!H835,"insecta-associated habitat"),EXACT(metadata!H835,"mammalia-associated habitat"),EXACT(metadata!H835,"human-associated habitat"),EXACT(metadata!H835,"livestock-associated habitat"))))</f>
        <v>0</v>
      </c>
      <c r="AK835" t="b">
        <f>AND(IF(metadata!I835="",FALSE,TRUE),EXACT(metadata!I835,"host-associated"))</f>
        <v>0</v>
      </c>
      <c r="AL835" t="b">
        <f>OR(AND(IF(metadata!J835="",FALSE,TRUE),OR(EXACT(metadata!J835,"not applicable"),EXACT(metadata!J835,"missing: not collected"),EXACT(metadata!J835,"missing: not provided"),EXACT(metadata!J835,"missing: restricted access"))),AND(IF(metadata!J835="",FALSE,ISNUMBER(VALUE(metadata!J835))),metadata!J835&gt;0))</f>
        <v>0</v>
      </c>
      <c r="AM835" t="b">
        <f>AND(IF(metadata!K835="",FALSE,TRUE),EXACT(metadata!K835,"missing: not provided"))</f>
        <v>0</v>
      </c>
      <c r="AN835" t="b">
        <f>IF(metadata!L835="",FALSE,TRUE)</f>
        <v>0</v>
      </c>
      <c r="AO835" t="b">
        <f>IF(metadata!M835="",FALSE,TRUE)</f>
        <v>0</v>
      </c>
      <c r="AP835" t="b">
        <f>OR(AND(IF(metadata!N835="",FALSE,TRUE),OR(EXACT(metadata!N835,"not applicable"),EXACT(metadata!N835,"missing: not collected"),EXACT(metadata!N835,"missing: not provided"))),AND(IF(metadata!N835="",FALSE,IF(ISERROR(INT(metadata!N835)),FALSE,INT(metadata!N835)=metadata!N835)),metadata!N835&gt;0))</f>
        <v>0</v>
      </c>
      <c r="AQ835" t="b">
        <f>AND(IF(metadata!O835="",FALSE,TRUE),EXACT(metadata!O835,"Not applicable"))</f>
        <v>0</v>
      </c>
      <c r="AR835" t="b">
        <f>OR(AND(IF(metadata!P835="",FALSE,TRUE),OR(EXACT(metadata!P835,"not applicable"),EXACT(metadata!P835,"missing: not collected"),EXACT(metadata!P835,"missing: not provided"),EXACT(metadata!P835,"missing: restricted access"))),IF(metadata!P835="",FALSE,IF(ISERROR(INT(metadata!P835)),FALSE,INT(metadata!P835)=metadata!P835)))</f>
        <v>0</v>
      </c>
      <c r="AS835" t="b">
        <f>AND(IF(metadata!Q835="",FALSE,TRUE),EXACT(metadata!Q835,"Not applicable"))</f>
        <v>0</v>
      </c>
      <c r="AT835" t="b">
        <f>OR(AND(IF(metadata!R835="",FALSE,TRUE),OR(EXACT(metadata!R835,"not applicable"),EXACT(metadata!R835,"missing: not collected"),EXACT(metadata!R835,"missing: not provided"),EXACT(metadata!R835,"missing: restricted access"))),AND(IF(metadata!R835="",FALSE,ISNUMBER(VALUE(metadata!R835))),metadata!R835&gt;0))</f>
        <v>0</v>
      </c>
      <c r="AU835" t="b">
        <f>AND(IF(metadata!S835="",FALSE,TRUE),EXACT(metadata!S835,"missing: not provided"))</f>
        <v>0</v>
      </c>
    </row>
    <row r="836" spans="1:47" x14ac:dyDescent="0.2">
      <c r="A836" s="5" t="str">
        <f ca="1">IF(B836=" "," ",HYPERLINK(CONCATENATE("#metadata!",ADDRESS(INDEX($Y$2:$Y$1001,MATCH(ROWS($W$2:W836),$W$2:$W$1001,0),0),1)),INDEX($AB$2:$AB$1001,MATCH(ROWS($W$2:W836),$W$2:$W$1001,0),0)))</f>
        <v xml:space="preserve"> </v>
      </c>
      <c r="B836" s="4" t="str">
        <f ca="1">IF(OR(INDEX($X$2:$X$1001,MATCH(ROWS($W$2:W836),$W$2:$W$1001,0),1)&gt;=100000,INDEX($AD$1005:$AU$1005,1,MATCH(COLUMNS($AD$1006:AD1006),$AD$1006:$AU$1006,0))&gt;=100000), " ",IF(INDEX($AD$2:$AU$1001,MATCH(ROWS($W$2:W836),$W$2:$W$1001,0),MATCH(COLUMNS($AD$1006:AD1006),$AD$1006:$AU$1006,0)), HYPERLINK("#",""), HYPERLINK(CONCATENATE("#metadata!", ADDRESS(INDEX($Y$2:$Y$1001,MATCH(ROWS($W$2:W836),$W$2:$W$1001,0),0), INDEX($AD$1004:$AU$1004,1,MATCH(COLUMNS($AD$1006:AD1006),$AD$1006:$AU$1006,0)))),"Fix")))</f>
        <v xml:space="preserve"> </v>
      </c>
      <c r="C836" s="4" t="str">
        <f ca="1">IF(OR(INDEX($X$2:$X$1001,MATCH(ROWS($W$2:W836),$W$2:$W$1001,0),1)&gt;=100000,INDEX($AD$1005:$AU$1005,1,MATCH(COLUMNS($AD$1006:AE1006),$AD$1006:$AU$1006,0))&gt;=100000), " ",IF(INDEX($AD$2:$AU$1001,MATCH(ROWS($W$2:W836),$W$2:$W$1001,0),MATCH(COLUMNS($AD$1006:AE1006),$AD$1006:$AU$1006,0)), HYPERLINK("#",""), HYPERLINK(CONCATENATE("#metadata!", ADDRESS(INDEX($Y$2:$Y$1001,MATCH(ROWS($W$2:W836),$W$2:$W$1001,0),0), INDEX($AD$1004:$AU$1004,1,MATCH(COLUMNS($AD$1006:AE1006),$AD$1006:$AU$1006,0)))),"Fix")))</f>
        <v xml:space="preserve"> </v>
      </c>
      <c r="D836" s="4" t="str">
        <f ca="1">IF(OR(INDEX($X$2:$X$1001,MATCH(ROWS($W$2:W836),$W$2:$W$1001,0),1)&gt;=100000,INDEX($AD$1005:$AU$1005,1,MATCH(COLUMNS($AD$1006:AF1006),$AD$1006:$AU$1006,0))&gt;=100000), " ",IF(INDEX($AD$2:$AU$1001,MATCH(ROWS($W$2:W836),$W$2:$W$1001,0),MATCH(COLUMNS($AD$1006:AF1006),$AD$1006:$AU$1006,0)), HYPERLINK("#",""), HYPERLINK(CONCATENATE("#metadata!", ADDRESS(INDEX($Y$2:$Y$1001,MATCH(ROWS($W$2:W836),$W$2:$W$1001,0),0), INDEX($AD$1004:$AU$1004,1,MATCH(COLUMNS($AD$1006:AF1006),$AD$1006:$AU$1006,0)))),"Fix")))</f>
        <v xml:space="preserve"> </v>
      </c>
      <c r="E836" s="4" t="str">
        <f ca="1">IF(OR(INDEX($X$2:$X$1001,MATCH(ROWS($W$2:W836),$W$2:$W$1001,0),1)&gt;=100000,INDEX($AD$1005:$AU$1005,1,MATCH(COLUMNS($AD$1006:AG1006),$AD$1006:$AU$1006,0))&gt;=100000), " ",IF(INDEX($AD$2:$AU$1001,MATCH(ROWS($W$2:W836),$W$2:$W$1001,0),MATCH(COLUMNS($AD$1006:AG1006),$AD$1006:$AU$1006,0)), HYPERLINK("#",""), HYPERLINK(CONCATENATE("#metadata!", ADDRESS(INDEX($Y$2:$Y$1001,MATCH(ROWS($W$2:W836),$W$2:$W$1001,0),0), INDEX($AD$1004:$AU$1004,1,MATCH(COLUMNS($AD$1006:AG1006),$AD$1006:$AU$1006,0)))),"Fix")))</f>
        <v xml:space="preserve"> </v>
      </c>
      <c r="F836" s="4" t="str">
        <f ca="1">IF(OR(INDEX($X$2:$X$1001,MATCH(ROWS($W$2:W836),$W$2:$W$1001,0),1)&gt;=100000,INDEX($AD$1005:$AU$1005,1,MATCH(COLUMNS($AD$1006:AH1006),$AD$1006:$AU$1006,0))&gt;=100000), " ",IF(INDEX($AD$2:$AU$1001,MATCH(ROWS($W$2:W836),$W$2:$W$1001,0),MATCH(COLUMNS($AD$1006:AH1006),$AD$1006:$AU$1006,0)), HYPERLINK("#",""), HYPERLINK(CONCATENATE("#metadata!", ADDRESS(INDEX($Y$2:$Y$1001,MATCH(ROWS($W$2:W836),$W$2:$W$1001,0),0), INDEX($AD$1004:$AU$1004,1,MATCH(COLUMNS($AD$1006:AH1006),$AD$1006:$AU$1006,0)))),"Fix")))</f>
        <v xml:space="preserve"> </v>
      </c>
      <c r="G836" s="4" t="str">
        <f ca="1">IF(OR(INDEX($X$2:$X$1001,MATCH(ROWS($W$2:W836),$W$2:$W$1001,0),1)&gt;=100000,INDEX($AD$1005:$AU$1005,1,MATCH(COLUMNS($AD$1006:AI1006),$AD$1006:$AU$1006,0))&gt;=100000), " ",IF(INDEX($AD$2:$AU$1001,MATCH(ROWS($W$2:W836),$W$2:$W$1001,0),MATCH(COLUMNS($AD$1006:AI1006),$AD$1006:$AU$1006,0)), HYPERLINK("#",""), HYPERLINK(CONCATENATE("#metadata!", ADDRESS(INDEX($Y$2:$Y$1001,MATCH(ROWS($W$2:W836),$W$2:$W$1001,0),0), INDEX($AD$1004:$AU$1004,1,MATCH(COLUMNS($AD$1006:AI1006),$AD$1006:$AU$1006,0)))),"Fix")))</f>
        <v xml:space="preserve"> </v>
      </c>
      <c r="H836" s="4" t="str">
        <f ca="1">IF(OR(INDEX($X$2:$X$1001,MATCH(ROWS($W$2:W836),$W$2:$W$1001,0),1)&gt;=100000,INDEX($AD$1005:$AU$1005,1,MATCH(COLUMNS($AD$1006:AJ1006),$AD$1006:$AU$1006,0))&gt;=100000), " ",IF(INDEX($AD$2:$AU$1001,MATCH(ROWS($W$2:W836),$W$2:$W$1001,0),MATCH(COLUMNS($AD$1006:AJ1006),$AD$1006:$AU$1006,0)), HYPERLINK("#",""), HYPERLINK(CONCATENATE("#metadata!", ADDRESS(INDEX($Y$2:$Y$1001,MATCH(ROWS($W$2:W836),$W$2:$W$1001,0),0), INDEX($AD$1004:$AU$1004,1,MATCH(COLUMNS($AD$1006:AJ1006),$AD$1006:$AU$1006,0)))),"Fix")))</f>
        <v xml:space="preserve"> </v>
      </c>
      <c r="I836" s="4" t="str">
        <f ca="1">IF(OR(INDEX($X$2:$X$1001,MATCH(ROWS($W$2:W836),$W$2:$W$1001,0),1)&gt;=100000,INDEX($AD$1005:$AU$1005,1,MATCH(COLUMNS($AD$1006:AK1006),$AD$1006:$AU$1006,0))&gt;=100000), " ",IF(INDEX($AD$2:$AU$1001,MATCH(ROWS($W$2:W836),$W$2:$W$1001,0),MATCH(COLUMNS($AD$1006:AK1006),$AD$1006:$AU$1006,0)), HYPERLINK("#",""), HYPERLINK(CONCATENATE("#metadata!", ADDRESS(INDEX($Y$2:$Y$1001,MATCH(ROWS($W$2:W836),$W$2:$W$1001,0),0), INDEX($AD$1004:$AU$1004,1,MATCH(COLUMNS($AD$1006:AK1006),$AD$1006:$AU$1006,0)))),"Fix")))</f>
        <v xml:space="preserve"> </v>
      </c>
      <c r="J836" s="4" t="str">
        <f ca="1">IF(OR(INDEX($X$2:$X$1001,MATCH(ROWS($W$2:W836),$W$2:$W$1001,0),1)&gt;=100000,INDEX($AD$1005:$AU$1005,1,MATCH(COLUMNS($AD$1006:AL1006),$AD$1006:$AU$1006,0))&gt;=100000), " ",IF(INDEX($AD$2:$AU$1001,MATCH(ROWS($W$2:W836),$W$2:$W$1001,0),MATCH(COLUMNS($AD$1006:AL1006),$AD$1006:$AU$1006,0)), HYPERLINK("#",""), HYPERLINK(CONCATENATE("#metadata!", ADDRESS(INDEX($Y$2:$Y$1001,MATCH(ROWS($W$2:W836),$W$2:$W$1001,0),0), INDEX($AD$1004:$AU$1004,1,MATCH(COLUMNS($AD$1006:AL1006),$AD$1006:$AU$1006,0)))),"Fix")))</f>
        <v xml:space="preserve"> </v>
      </c>
      <c r="K836" s="4" t="str">
        <f ca="1">IF(OR(INDEX($X$2:$X$1001,MATCH(ROWS($W$2:W836),$W$2:$W$1001,0),1)&gt;=100000,INDEX($AD$1005:$AU$1005,1,MATCH(COLUMNS($AD$1006:AM1006),$AD$1006:$AU$1006,0))&gt;=100000), " ",IF(INDEX($AD$2:$AU$1001,MATCH(ROWS($W$2:W836),$W$2:$W$1001,0),MATCH(COLUMNS($AD$1006:AM1006),$AD$1006:$AU$1006,0)), HYPERLINK("#",""), HYPERLINK(CONCATENATE("#metadata!", ADDRESS(INDEX($Y$2:$Y$1001,MATCH(ROWS($W$2:W836),$W$2:$W$1001,0),0), INDEX($AD$1004:$AU$1004,1,MATCH(COLUMNS($AD$1006:AM1006),$AD$1006:$AU$1006,0)))),"Fix")))</f>
        <v xml:space="preserve"> </v>
      </c>
      <c r="L836" s="4" t="str">
        <f ca="1">IF(OR(INDEX($X$2:$X$1001,MATCH(ROWS($W$2:W836),$W$2:$W$1001,0),1)&gt;=100000,INDEX($AD$1005:$AU$1005,1,MATCH(COLUMNS($AD$1006:AN1006),$AD$1006:$AU$1006,0))&gt;=100000), " ",IF(INDEX($AD$2:$AU$1001,MATCH(ROWS($W$2:W836),$W$2:$W$1001,0),MATCH(COLUMNS($AD$1006:AN1006),$AD$1006:$AU$1006,0)), HYPERLINK("#",""), HYPERLINK(CONCATENATE("#metadata!", ADDRESS(INDEX($Y$2:$Y$1001,MATCH(ROWS($W$2:W836),$W$2:$W$1001,0),0), INDEX($AD$1004:$AU$1004,1,MATCH(COLUMNS($AD$1006:AN1006),$AD$1006:$AU$1006,0)))),"Fix")))</f>
        <v xml:space="preserve"> </v>
      </c>
      <c r="M836" s="4" t="str">
        <f ca="1">IF(OR(INDEX($X$2:$X$1001,MATCH(ROWS($W$2:W836),$W$2:$W$1001,0),1)&gt;=100000,INDEX($AD$1005:$AU$1005,1,MATCH(COLUMNS($AD$1006:AO1006),$AD$1006:$AU$1006,0))&gt;=100000), " ",IF(INDEX($AD$2:$AU$1001,MATCH(ROWS($W$2:W836),$W$2:$W$1001,0),MATCH(COLUMNS($AD$1006:AO1006),$AD$1006:$AU$1006,0)), HYPERLINK("#",""), HYPERLINK(CONCATENATE("#metadata!", ADDRESS(INDEX($Y$2:$Y$1001,MATCH(ROWS($W$2:W836),$W$2:$W$1001,0),0), INDEX($AD$1004:$AU$1004,1,MATCH(COLUMNS($AD$1006:AO1006),$AD$1006:$AU$1006,0)))),"Fix")))</f>
        <v xml:space="preserve"> </v>
      </c>
      <c r="N836" s="4" t="str">
        <f ca="1">IF(OR(INDEX($X$2:$X$1001,MATCH(ROWS($W$2:W836),$W$2:$W$1001,0),1)&gt;=100000,INDEX($AD$1005:$AU$1005,1,MATCH(COLUMNS($AD$1006:AP1006),$AD$1006:$AU$1006,0))&gt;=100000), " ",IF(INDEX($AD$2:$AU$1001,MATCH(ROWS($W$2:W836),$W$2:$W$1001,0),MATCH(COLUMNS($AD$1006:AP1006),$AD$1006:$AU$1006,0)), HYPERLINK("#",""), HYPERLINK(CONCATENATE("#metadata!", ADDRESS(INDEX($Y$2:$Y$1001,MATCH(ROWS($W$2:W836),$W$2:$W$1001,0),0), INDEX($AD$1004:$AU$1004,1,MATCH(COLUMNS($AD$1006:AP1006),$AD$1006:$AU$1006,0)))),"Fix")))</f>
        <v xml:space="preserve"> </v>
      </c>
      <c r="O836" s="4" t="str">
        <f ca="1">IF(OR(INDEX($X$2:$X$1001,MATCH(ROWS($W$2:W836),$W$2:$W$1001,0),1)&gt;=100000,INDEX($AD$1005:$AU$1005,1,MATCH(COLUMNS($AD$1006:AQ1006),$AD$1006:$AU$1006,0))&gt;=100000), " ",IF(INDEX($AD$2:$AU$1001,MATCH(ROWS($W$2:W836),$W$2:$W$1001,0),MATCH(COLUMNS($AD$1006:AQ1006),$AD$1006:$AU$1006,0)), HYPERLINK("#",""), HYPERLINK(CONCATENATE("#metadata!", ADDRESS(INDEX($Y$2:$Y$1001,MATCH(ROWS($W$2:W836),$W$2:$W$1001,0),0), INDEX($AD$1004:$AU$1004,1,MATCH(COLUMNS($AD$1006:AQ1006),$AD$1006:$AU$1006,0)))),"Fix")))</f>
        <v xml:space="preserve"> </v>
      </c>
      <c r="P836" s="4" t="str">
        <f ca="1">IF(OR(INDEX($X$2:$X$1001,MATCH(ROWS($W$2:W836),$W$2:$W$1001,0),1)&gt;=100000,INDEX($AD$1005:$AU$1005,1,MATCH(COLUMNS($AD$1006:AR1006),$AD$1006:$AU$1006,0))&gt;=100000), " ",IF(INDEX($AD$2:$AU$1001,MATCH(ROWS($W$2:W836),$W$2:$W$1001,0),MATCH(COLUMNS($AD$1006:AR1006),$AD$1006:$AU$1006,0)), HYPERLINK("#",""), HYPERLINK(CONCATENATE("#metadata!", ADDRESS(INDEX($Y$2:$Y$1001,MATCH(ROWS($W$2:W836),$W$2:$W$1001,0),0), INDEX($AD$1004:$AU$1004,1,MATCH(COLUMNS($AD$1006:AR1006),$AD$1006:$AU$1006,0)))),"Fix")))</f>
        <v xml:space="preserve"> </v>
      </c>
      <c r="Q836" s="4" t="str">
        <f ca="1">IF(OR(INDEX($X$2:$X$1001,MATCH(ROWS($W$2:W836),$W$2:$W$1001,0),1)&gt;=100000,INDEX($AD$1005:$AU$1005,1,MATCH(COLUMNS($AD$1006:AS1006),$AD$1006:$AU$1006,0))&gt;=100000), " ",IF(INDEX($AD$2:$AU$1001,MATCH(ROWS($W$2:W836),$W$2:$W$1001,0),MATCH(COLUMNS($AD$1006:AS1006),$AD$1006:$AU$1006,0)), HYPERLINK("#",""), HYPERLINK(CONCATENATE("#metadata!", ADDRESS(INDEX($Y$2:$Y$1001,MATCH(ROWS($W$2:W836),$W$2:$W$1001,0),0), INDEX($AD$1004:$AU$1004,1,MATCH(COLUMNS($AD$1006:AS1006),$AD$1006:$AU$1006,0)))),"Fix")))</f>
        <v xml:space="preserve"> </v>
      </c>
      <c r="R836" s="4" t="str">
        <f ca="1">IF(OR(INDEX($X$2:$X$1001,MATCH(ROWS($W$2:W836),$W$2:$W$1001,0),1)&gt;=100000,INDEX($AD$1005:$AU$1005,1,MATCH(COLUMNS($AD$1006:AT1006),$AD$1006:$AU$1006,0))&gt;=100000), " ",IF(INDEX($AD$2:$AU$1001,MATCH(ROWS($W$2:W836),$W$2:$W$1001,0),MATCH(COLUMNS($AD$1006:AT1006),$AD$1006:$AU$1006,0)), HYPERLINK("#",""), HYPERLINK(CONCATENATE("#metadata!", ADDRESS(INDEX($Y$2:$Y$1001,MATCH(ROWS($W$2:W836),$W$2:$W$1001,0),0), INDEX($AD$1004:$AU$1004,1,MATCH(COLUMNS($AD$1006:AT1006),$AD$1006:$AU$1006,0)))),"Fix")))</f>
        <v xml:space="preserve"> </v>
      </c>
      <c r="S836" s="4" t="str">
        <f ca="1">IF(OR(INDEX($X$2:$X$1001,MATCH(ROWS($W$2:W836),$W$2:$W$1001,0),1)&gt;=100000,INDEX($AD$1005:$AU$1005,1,MATCH(COLUMNS($AD$1006:AU1006),$AD$1006:$AU$1006,0))&gt;=100000), " ",IF(INDEX($AD$2:$AU$1001,MATCH(ROWS($W$2:W836),$W$2:$W$1001,0),MATCH(COLUMNS($AD$1006:AU1006),$AD$1006:$AU$1006,0)), HYPERLINK("#",""), HYPERLINK(CONCATENATE("#metadata!", ADDRESS(INDEX($Y$2:$Y$1001,MATCH(ROWS($W$2:W836),$W$2:$W$1001,0),0), INDEX($AD$1004:$AU$1004,1,MATCH(COLUMNS($AD$1006:AU1006),$AD$1006:$AU$1006,0)))),"Fix")))</f>
        <v xml:space="preserve"> </v>
      </c>
      <c r="W836">
        <v>835</v>
      </c>
      <c r="X836">
        <v>100836</v>
      </c>
      <c r="Y836">
        <v>836</v>
      </c>
      <c r="Z836" t="b">
        <f t="shared" si="13"/>
        <v>1</v>
      </c>
      <c r="AA836" t="b">
        <f>COUNTBLANK(metadata!B836:S836)=COLUMNS(metadata!B836:S836)</f>
        <v>1</v>
      </c>
      <c r="AB836" t="str">
        <v/>
      </c>
      <c r="AD836" t="b">
        <f ca="1">AND(IF(metadata!B836="",FALSE,TRUE),COUNTIF(metadata!B:B, metadata!B836) = 1,NOT(ISERROR(SUMPRODUCT(SEARCH(MID(metadata!B836,ROW(INDIRECT("1:"&amp;LEN(metadata!B836))), 1),"0123456789abcdefghijklmnopqrstuvwxyzABCDEFGHIJKLMNOPQRSTUVWXYZ.")))))</f>
        <v>0</v>
      </c>
      <c r="AE836" t="b">
        <f>OR(AND(IF(metadata!C836="",FALSE,TRUE),OR(EXACT(metadata!C836,"not applicable"),EXACT(metadata!C836,"missing: not collected"),EXACT(metadata!C836,"missing: not provided"),EXACT(metadata!C836,"missing: restricted access"))),AND(IF(metadata!C836="",FALSE,ISNUMBER(VALUE(metadata!C836))),metadata!C836&gt;0))</f>
        <v>0</v>
      </c>
      <c r="AF836" t="b">
        <f>AND(IF(metadata!D836="",FALSE,TRUE),EXACT(metadata!D836,"missing: not provided"))</f>
        <v>0</v>
      </c>
      <c r="AG836" t="b">
        <f>AND(IF(metadata!E836="",FALSE,TRUE),EXACT(metadata!E836,"Host-associated"))</f>
        <v>0</v>
      </c>
      <c r="AH836" t="b">
        <f>AND(IF(metadata!F836="",FALSE,TRUE),OR(EXACT(metadata!F836,"Animal"),EXACT(metadata!F836,"Fungus"),EXACT(metadata!F836,"Plant")))</f>
        <v>0</v>
      </c>
      <c r="AI836" t="b">
        <f>AND(IF(metadata!G836="",FALSE,TRUE),OR(EXACT(metadata!G836,"Plant secretion"),EXACT(metadata!G836,"Plant rhizosphere"),EXACT(metadata!G836,"Plant surface"),EXACT(metadata!G836,"Plant corpus"),EXACT(metadata!G836,"Fungus surface"),EXACT(metadata!G836,"Fungus corpus"),EXACT(metadata!G836,"Animal surface"),EXACT(metadata!G836,"Animal proximal gut"),EXACT(metadata!G836,"Animal corpus"),EXACT(metadata!G836,"Animal distal gut"),EXACT(metadata!G836,"Animal secretion")))</f>
        <v>0</v>
      </c>
      <c r="AJ836" t="b">
        <f>OR(AND(IF(metadata!H836="",FALSE,TRUE),OR(EXACT(metadata!H836,"missing: not collected"),EXACT(metadata!H836,"missing: not provided"),EXACT(metadata!H836,"missing: restricted access"))),AND(IF(metadata!H836="",FALSE,TRUE),OR(EXACT(metadata!H836,"organism-associated habitat"),EXACT(metadata!H836,"plant-associated habitat"),EXACT(metadata!H836,"animal-associated habitat"),EXACT(metadata!H836,"insecta-associated habitat"),EXACT(metadata!H836,"mammalia-associated habitat"),EXACT(metadata!H836,"human-associated habitat"),EXACT(metadata!H836,"livestock-associated habitat"))))</f>
        <v>0</v>
      </c>
      <c r="AK836" t="b">
        <f>AND(IF(metadata!I836="",FALSE,TRUE),EXACT(metadata!I836,"host-associated"))</f>
        <v>0</v>
      </c>
      <c r="AL836" t="b">
        <f>OR(AND(IF(metadata!J836="",FALSE,TRUE),OR(EXACT(metadata!J836,"not applicable"),EXACT(metadata!J836,"missing: not collected"),EXACT(metadata!J836,"missing: not provided"),EXACT(metadata!J836,"missing: restricted access"))),AND(IF(metadata!J836="",FALSE,ISNUMBER(VALUE(metadata!J836))),metadata!J836&gt;0))</f>
        <v>0</v>
      </c>
      <c r="AM836" t="b">
        <f>AND(IF(metadata!K836="",FALSE,TRUE),EXACT(metadata!K836,"missing: not provided"))</f>
        <v>0</v>
      </c>
      <c r="AN836" t="b">
        <f>IF(metadata!L836="",FALSE,TRUE)</f>
        <v>0</v>
      </c>
      <c r="AO836" t="b">
        <f>IF(metadata!M836="",FALSE,TRUE)</f>
        <v>0</v>
      </c>
      <c r="AP836" t="b">
        <f>OR(AND(IF(metadata!N836="",FALSE,TRUE),OR(EXACT(metadata!N836,"not applicable"),EXACT(metadata!N836,"missing: not collected"),EXACT(metadata!N836,"missing: not provided"))),AND(IF(metadata!N836="",FALSE,IF(ISERROR(INT(metadata!N836)),FALSE,INT(metadata!N836)=metadata!N836)),metadata!N836&gt;0))</f>
        <v>0</v>
      </c>
      <c r="AQ836" t="b">
        <f>AND(IF(metadata!O836="",FALSE,TRUE),EXACT(metadata!O836,"Not applicable"))</f>
        <v>0</v>
      </c>
      <c r="AR836" t="b">
        <f>OR(AND(IF(metadata!P836="",FALSE,TRUE),OR(EXACT(metadata!P836,"not applicable"),EXACT(metadata!P836,"missing: not collected"),EXACT(metadata!P836,"missing: not provided"),EXACT(metadata!P836,"missing: restricted access"))),IF(metadata!P836="",FALSE,IF(ISERROR(INT(metadata!P836)),FALSE,INT(metadata!P836)=metadata!P836)))</f>
        <v>0</v>
      </c>
      <c r="AS836" t="b">
        <f>AND(IF(metadata!Q836="",FALSE,TRUE),EXACT(metadata!Q836,"Not applicable"))</f>
        <v>0</v>
      </c>
      <c r="AT836" t="b">
        <f>OR(AND(IF(metadata!R836="",FALSE,TRUE),OR(EXACT(metadata!R836,"not applicable"),EXACT(metadata!R836,"missing: not collected"),EXACT(metadata!R836,"missing: not provided"),EXACT(metadata!R836,"missing: restricted access"))),AND(IF(metadata!R836="",FALSE,ISNUMBER(VALUE(metadata!R836))),metadata!R836&gt;0))</f>
        <v>0</v>
      </c>
      <c r="AU836" t="b">
        <f>AND(IF(metadata!S836="",FALSE,TRUE),EXACT(metadata!S836,"missing: not provided"))</f>
        <v>0</v>
      </c>
    </row>
    <row r="837" spans="1:47" x14ac:dyDescent="0.2">
      <c r="A837" s="5" t="str">
        <f ca="1">IF(B837=" "," ",HYPERLINK(CONCATENATE("#metadata!",ADDRESS(INDEX($Y$2:$Y$1001,MATCH(ROWS($W$2:W837),$W$2:$W$1001,0),0),1)),INDEX($AB$2:$AB$1001,MATCH(ROWS($W$2:W837),$W$2:$W$1001,0),0)))</f>
        <v xml:space="preserve"> </v>
      </c>
      <c r="B837" s="4" t="str">
        <f ca="1">IF(OR(INDEX($X$2:$X$1001,MATCH(ROWS($W$2:W837),$W$2:$W$1001,0),1)&gt;=100000,INDEX($AD$1005:$AU$1005,1,MATCH(COLUMNS($AD$1006:AD1006),$AD$1006:$AU$1006,0))&gt;=100000), " ",IF(INDEX($AD$2:$AU$1001,MATCH(ROWS($W$2:W837),$W$2:$W$1001,0),MATCH(COLUMNS($AD$1006:AD1006),$AD$1006:$AU$1006,0)), HYPERLINK("#",""), HYPERLINK(CONCATENATE("#metadata!", ADDRESS(INDEX($Y$2:$Y$1001,MATCH(ROWS($W$2:W837),$W$2:$W$1001,0),0), INDEX($AD$1004:$AU$1004,1,MATCH(COLUMNS($AD$1006:AD1006),$AD$1006:$AU$1006,0)))),"Fix")))</f>
        <v xml:space="preserve"> </v>
      </c>
      <c r="C837" s="4" t="str">
        <f ca="1">IF(OR(INDEX($X$2:$X$1001,MATCH(ROWS($W$2:W837),$W$2:$W$1001,0),1)&gt;=100000,INDEX($AD$1005:$AU$1005,1,MATCH(COLUMNS($AD$1006:AE1006),$AD$1006:$AU$1006,0))&gt;=100000), " ",IF(INDEX($AD$2:$AU$1001,MATCH(ROWS($W$2:W837),$W$2:$W$1001,0),MATCH(COLUMNS($AD$1006:AE1006),$AD$1006:$AU$1006,0)), HYPERLINK("#",""), HYPERLINK(CONCATENATE("#metadata!", ADDRESS(INDEX($Y$2:$Y$1001,MATCH(ROWS($W$2:W837),$W$2:$W$1001,0),0), INDEX($AD$1004:$AU$1004,1,MATCH(COLUMNS($AD$1006:AE1006),$AD$1006:$AU$1006,0)))),"Fix")))</f>
        <v xml:space="preserve"> </v>
      </c>
      <c r="D837" s="4" t="str">
        <f ca="1">IF(OR(INDEX($X$2:$X$1001,MATCH(ROWS($W$2:W837),$W$2:$W$1001,0),1)&gt;=100000,INDEX($AD$1005:$AU$1005,1,MATCH(COLUMNS($AD$1006:AF1006),$AD$1006:$AU$1006,0))&gt;=100000), " ",IF(INDEX($AD$2:$AU$1001,MATCH(ROWS($W$2:W837),$W$2:$W$1001,0),MATCH(COLUMNS($AD$1006:AF1006),$AD$1006:$AU$1006,0)), HYPERLINK("#",""), HYPERLINK(CONCATENATE("#metadata!", ADDRESS(INDEX($Y$2:$Y$1001,MATCH(ROWS($W$2:W837),$W$2:$W$1001,0),0), INDEX($AD$1004:$AU$1004,1,MATCH(COLUMNS($AD$1006:AF1006),$AD$1006:$AU$1006,0)))),"Fix")))</f>
        <v xml:space="preserve"> </v>
      </c>
      <c r="E837" s="4" t="str">
        <f ca="1">IF(OR(INDEX($X$2:$X$1001,MATCH(ROWS($W$2:W837),$W$2:$W$1001,0),1)&gt;=100000,INDEX($AD$1005:$AU$1005,1,MATCH(COLUMNS($AD$1006:AG1006),$AD$1006:$AU$1006,0))&gt;=100000), " ",IF(INDEX($AD$2:$AU$1001,MATCH(ROWS($W$2:W837),$W$2:$W$1001,0),MATCH(COLUMNS($AD$1006:AG1006),$AD$1006:$AU$1006,0)), HYPERLINK("#",""), HYPERLINK(CONCATENATE("#metadata!", ADDRESS(INDEX($Y$2:$Y$1001,MATCH(ROWS($W$2:W837),$W$2:$W$1001,0),0), INDEX($AD$1004:$AU$1004,1,MATCH(COLUMNS($AD$1006:AG1006),$AD$1006:$AU$1006,0)))),"Fix")))</f>
        <v xml:space="preserve"> </v>
      </c>
      <c r="F837" s="4" t="str">
        <f ca="1">IF(OR(INDEX($X$2:$X$1001,MATCH(ROWS($W$2:W837),$W$2:$W$1001,0),1)&gt;=100000,INDEX($AD$1005:$AU$1005,1,MATCH(COLUMNS($AD$1006:AH1006),$AD$1006:$AU$1006,0))&gt;=100000), " ",IF(INDEX($AD$2:$AU$1001,MATCH(ROWS($W$2:W837),$W$2:$W$1001,0),MATCH(COLUMNS($AD$1006:AH1006),$AD$1006:$AU$1006,0)), HYPERLINK("#",""), HYPERLINK(CONCATENATE("#metadata!", ADDRESS(INDEX($Y$2:$Y$1001,MATCH(ROWS($W$2:W837),$W$2:$W$1001,0),0), INDEX($AD$1004:$AU$1004,1,MATCH(COLUMNS($AD$1006:AH1006),$AD$1006:$AU$1006,0)))),"Fix")))</f>
        <v xml:space="preserve"> </v>
      </c>
      <c r="G837" s="4" t="str">
        <f ca="1">IF(OR(INDEX($X$2:$X$1001,MATCH(ROWS($W$2:W837),$W$2:$W$1001,0),1)&gt;=100000,INDEX($AD$1005:$AU$1005,1,MATCH(COLUMNS($AD$1006:AI1006),$AD$1006:$AU$1006,0))&gt;=100000), " ",IF(INDEX($AD$2:$AU$1001,MATCH(ROWS($W$2:W837),$W$2:$W$1001,0),MATCH(COLUMNS($AD$1006:AI1006),$AD$1006:$AU$1006,0)), HYPERLINK("#",""), HYPERLINK(CONCATENATE("#metadata!", ADDRESS(INDEX($Y$2:$Y$1001,MATCH(ROWS($W$2:W837),$W$2:$W$1001,0),0), INDEX($AD$1004:$AU$1004,1,MATCH(COLUMNS($AD$1006:AI1006),$AD$1006:$AU$1006,0)))),"Fix")))</f>
        <v xml:space="preserve"> </v>
      </c>
      <c r="H837" s="4" t="str">
        <f ca="1">IF(OR(INDEX($X$2:$X$1001,MATCH(ROWS($W$2:W837),$W$2:$W$1001,0),1)&gt;=100000,INDEX($AD$1005:$AU$1005,1,MATCH(COLUMNS($AD$1006:AJ1006),$AD$1006:$AU$1006,0))&gt;=100000), " ",IF(INDEX($AD$2:$AU$1001,MATCH(ROWS($W$2:W837),$W$2:$W$1001,0),MATCH(COLUMNS($AD$1006:AJ1006),$AD$1006:$AU$1006,0)), HYPERLINK("#",""), HYPERLINK(CONCATENATE("#metadata!", ADDRESS(INDEX($Y$2:$Y$1001,MATCH(ROWS($W$2:W837),$W$2:$W$1001,0),0), INDEX($AD$1004:$AU$1004,1,MATCH(COLUMNS($AD$1006:AJ1006),$AD$1006:$AU$1006,0)))),"Fix")))</f>
        <v xml:space="preserve"> </v>
      </c>
      <c r="I837" s="4" t="str">
        <f ca="1">IF(OR(INDEX($X$2:$X$1001,MATCH(ROWS($W$2:W837),$W$2:$W$1001,0),1)&gt;=100000,INDEX($AD$1005:$AU$1005,1,MATCH(COLUMNS($AD$1006:AK1006),$AD$1006:$AU$1006,0))&gt;=100000), " ",IF(INDEX($AD$2:$AU$1001,MATCH(ROWS($W$2:W837),$W$2:$W$1001,0),MATCH(COLUMNS($AD$1006:AK1006),$AD$1006:$AU$1006,0)), HYPERLINK("#",""), HYPERLINK(CONCATENATE("#metadata!", ADDRESS(INDEX($Y$2:$Y$1001,MATCH(ROWS($W$2:W837),$W$2:$W$1001,0),0), INDEX($AD$1004:$AU$1004,1,MATCH(COLUMNS($AD$1006:AK1006),$AD$1006:$AU$1006,0)))),"Fix")))</f>
        <v xml:space="preserve"> </v>
      </c>
      <c r="J837" s="4" t="str">
        <f ca="1">IF(OR(INDEX($X$2:$X$1001,MATCH(ROWS($W$2:W837),$W$2:$W$1001,0),1)&gt;=100000,INDEX($AD$1005:$AU$1005,1,MATCH(COLUMNS($AD$1006:AL1006),$AD$1006:$AU$1006,0))&gt;=100000), " ",IF(INDEX($AD$2:$AU$1001,MATCH(ROWS($W$2:W837),$W$2:$W$1001,0),MATCH(COLUMNS($AD$1006:AL1006),$AD$1006:$AU$1006,0)), HYPERLINK("#",""), HYPERLINK(CONCATENATE("#metadata!", ADDRESS(INDEX($Y$2:$Y$1001,MATCH(ROWS($W$2:W837),$W$2:$W$1001,0),0), INDEX($AD$1004:$AU$1004,1,MATCH(COLUMNS($AD$1006:AL1006),$AD$1006:$AU$1006,0)))),"Fix")))</f>
        <v xml:space="preserve"> </v>
      </c>
      <c r="K837" s="4" t="str">
        <f ca="1">IF(OR(INDEX($X$2:$X$1001,MATCH(ROWS($W$2:W837),$W$2:$W$1001,0),1)&gt;=100000,INDEX($AD$1005:$AU$1005,1,MATCH(COLUMNS($AD$1006:AM1006),$AD$1006:$AU$1006,0))&gt;=100000), " ",IF(INDEX($AD$2:$AU$1001,MATCH(ROWS($W$2:W837),$W$2:$W$1001,0),MATCH(COLUMNS($AD$1006:AM1006),$AD$1006:$AU$1006,0)), HYPERLINK("#",""), HYPERLINK(CONCATENATE("#metadata!", ADDRESS(INDEX($Y$2:$Y$1001,MATCH(ROWS($W$2:W837),$W$2:$W$1001,0),0), INDEX($AD$1004:$AU$1004,1,MATCH(COLUMNS($AD$1006:AM1006),$AD$1006:$AU$1006,0)))),"Fix")))</f>
        <v xml:space="preserve"> </v>
      </c>
      <c r="L837" s="4" t="str">
        <f ca="1">IF(OR(INDEX($X$2:$X$1001,MATCH(ROWS($W$2:W837),$W$2:$W$1001,0),1)&gt;=100000,INDEX($AD$1005:$AU$1005,1,MATCH(COLUMNS($AD$1006:AN1006),$AD$1006:$AU$1006,0))&gt;=100000), " ",IF(INDEX($AD$2:$AU$1001,MATCH(ROWS($W$2:W837),$W$2:$W$1001,0),MATCH(COLUMNS($AD$1006:AN1006),$AD$1006:$AU$1006,0)), HYPERLINK("#",""), HYPERLINK(CONCATENATE("#metadata!", ADDRESS(INDEX($Y$2:$Y$1001,MATCH(ROWS($W$2:W837),$W$2:$W$1001,0),0), INDEX($AD$1004:$AU$1004,1,MATCH(COLUMNS($AD$1006:AN1006),$AD$1006:$AU$1006,0)))),"Fix")))</f>
        <v xml:space="preserve"> </v>
      </c>
      <c r="M837" s="4" t="str">
        <f ca="1">IF(OR(INDEX($X$2:$X$1001,MATCH(ROWS($W$2:W837),$W$2:$W$1001,0),1)&gt;=100000,INDEX($AD$1005:$AU$1005,1,MATCH(COLUMNS($AD$1006:AO1006),$AD$1006:$AU$1006,0))&gt;=100000), " ",IF(INDEX($AD$2:$AU$1001,MATCH(ROWS($W$2:W837),$W$2:$W$1001,0),MATCH(COLUMNS($AD$1006:AO1006),$AD$1006:$AU$1006,0)), HYPERLINK("#",""), HYPERLINK(CONCATENATE("#metadata!", ADDRESS(INDEX($Y$2:$Y$1001,MATCH(ROWS($W$2:W837),$W$2:$W$1001,0),0), INDEX($AD$1004:$AU$1004,1,MATCH(COLUMNS($AD$1006:AO1006),$AD$1006:$AU$1006,0)))),"Fix")))</f>
        <v xml:space="preserve"> </v>
      </c>
      <c r="N837" s="4" t="str">
        <f ca="1">IF(OR(INDEX($X$2:$X$1001,MATCH(ROWS($W$2:W837),$W$2:$W$1001,0),1)&gt;=100000,INDEX($AD$1005:$AU$1005,1,MATCH(COLUMNS($AD$1006:AP1006),$AD$1006:$AU$1006,0))&gt;=100000), " ",IF(INDEX($AD$2:$AU$1001,MATCH(ROWS($W$2:W837),$W$2:$W$1001,0),MATCH(COLUMNS($AD$1006:AP1006),$AD$1006:$AU$1006,0)), HYPERLINK("#",""), HYPERLINK(CONCATENATE("#metadata!", ADDRESS(INDEX($Y$2:$Y$1001,MATCH(ROWS($W$2:W837),$W$2:$W$1001,0),0), INDEX($AD$1004:$AU$1004,1,MATCH(COLUMNS($AD$1006:AP1006),$AD$1006:$AU$1006,0)))),"Fix")))</f>
        <v xml:space="preserve"> </v>
      </c>
      <c r="O837" s="4" t="str">
        <f ca="1">IF(OR(INDEX($X$2:$X$1001,MATCH(ROWS($W$2:W837),$W$2:$W$1001,0),1)&gt;=100000,INDEX($AD$1005:$AU$1005,1,MATCH(COLUMNS($AD$1006:AQ1006),$AD$1006:$AU$1006,0))&gt;=100000), " ",IF(INDEX($AD$2:$AU$1001,MATCH(ROWS($W$2:W837),$W$2:$W$1001,0),MATCH(COLUMNS($AD$1006:AQ1006),$AD$1006:$AU$1006,0)), HYPERLINK("#",""), HYPERLINK(CONCATENATE("#metadata!", ADDRESS(INDEX($Y$2:$Y$1001,MATCH(ROWS($W$2:W837),$W$2:$W$1001,0),0), INDEX($AD$1004:$AU$1004,1,MATCH(COLUMNS($AD$1006:AQ1006),$AD$1006:$AU$1006,0)))),"Fix")))</f>
        <v xml:space="preserve"> </v>
      </c>
      <c r="P837" s="4" t="str">
        <f ca="1">IF(OR(INDEX($X$2:$X$1001,MATCH(ROWS($W$2:W837),$W$2:$W$1001,0),1)&gt;=100000,INDEX($AD$1005:$AU$1005,1,MATCH(COLUMNS($AD$1006:AR1006),$AD$1006:$AU$1006,0))&gt;=100000), " ",IF(INDEX($AD$2:$AU$1001,MATCH(ROWS($W$2:W837),$W$2:$W$1001,0),MATCH(COLUMNS($AD$1006:AR1006),$AD$1006:$AU$1006,0)), HYPERLINK("#",""), HYPERLINK(CONCATENATE("#metadata!", ADDRESS(INDEX($Y$2:$Y$1001,MATCH(ROWS($W$2:W837),$W$2:$W$1001,0),0), INDEX($AD$1004:$AU$1004,1,MATCH(COLUMNS($AD$1006:AR1006),$AD$1006:$AU$1006,0)))),"Fix")))</f>
        <v xml:space="preserve"> </v>
      </c>
      <c r="Q837" s="4" t="str">
        <f ca="1">IF(OR(INDEX($X$2:$X$1001,MATCH(ROWS($W$2:W837),$W$2:$W$1001,0),1)&gt;=100000,INDEX($AD$1005:$AU$1005,1,MATCH(COLUMNS($AD$1006:AS1006),$AD$1006:$AU$1006,0))&gt;=100000), " ",IF(INDEX($AD$2:$AU$1001,MATCH(ROWS($W$2:W837),$W$2:$W$1001,0),MATCH(COLUMNS($AD$1006:AS1006),$AD$1006:$AU$1006,0)), HYPERLINK("#",""), HYPERLINK(CONCATENATE("#metadata!", ADDRESS(INDEX($Y$2:$Y$1001,MATCH(ROWS($W$2:W837),$W$2:$W$1001,0),0), INDEX($AD$1004:$AU$1004,1,MATCH(COLUMNS($AD$1006:AS1006),$AD$1006:$AU$1006,0)))),"Fix")))</f>
        <v xml:space="preserve"> </v>
      </c>
      <c r="R837" s="4" t="str">
        <f ca="1">IF(OR(INDEX($X$2:$X$1001,MATCH(ROWS($W$2:W837),$W$2:$W$1001,0),1)&gt;=100000,INDEX($AD$1005:$AU$1005,1,MATCH(COLUMNS($AD$1006:AT1006),$AD$1006:$AU$1006,0))&gt;=100000), " ",IF(INDEX($AD$2:$AU$1001,MATCH(ROWS($W$2:W837),$W$2:$W$1001,0),MATCH(COLUMNS($AD$1006:AT1006),$AD$1006:$AU$1006,0)), HYPERLINK("#",""), HYPERLINK(CONCATENATE("#metadata!", ADDRESS(INDEX($Y$2:$Y$1001,MATCH(ROWS($W$2:W837),$W$2:$W$1001,0),0), INDEX($AD$1004:$AU$1004,1,MATCH(COLUMNS($AD$1006:AT1006),$AD$1006:$AU$1006,0)))),"Fix")))</f>
        <v xml:space="preserve"> </v>
      </c>
      <c r="S837" s="4" t="str">
        <f ca="1">IF(OR(INDEX($X$2:$X$1001,MATCH(ROWS($W$2:W837),$W$2:$W$1001,0),1)&gt;=100000,INDEX($AD$1005:$AU$1005,1,MATCH(COLUMNS($AD$1006:AU1006),$AD$1006:$AU$1006,0))&gt;=100000), " ",IF(INDEX($AD$2:$AU$1001,MATCH(ROWS($W$2:W837),$W$2:$W$1001,0),MATCH(COLUMNS($AD$1006:AU1006),$AD$1006:$AU$1006,0)), HYPERLINK("#",""), HYPERLINK(CONCATENATE("#metadata!", ADDRESS(INDEX($Y$2:$Y$1001,MATCH(ROWS($W$2:W837),$W$2:$W$1001,0),0), INDEX($AD$1004:$AU$1004,1,MATCH(COLUMNS($AD$1006:AU1006),$AD$1006:$AU$1006,0)))),"Fix")))</f>
        <v xml:space="preserve"> </v>
      </c>
      <c r="W837">
        <v>836</v>
      </c>
      <c r="X837">
        <v>100837</v>
      </c>
      <c r="Y837">
        <v>837</v>
      </c>
      <c r="Z837" t="b">
        <f t="shared" si="13"/>
        <v>1</v>
      </c>
      <c r="AA837" t="b">
        <f>COUNTBLANK(metadata!B837:S837)=COLUMNS(metadata!B837:S837)</f>
        <v>1</v>
      </c>
      <c r="AB837" t="str">
        <v/>
      </c>
      <c r="AD837" t="b">
        <f ca="1">AND(IF(metadata!B837="",FALSE,TRUE),COUNTIF(metadata!B:B, metadata!B837) = 1,NOT(ISERROR(SUMPRODUCT(SEARCH(MID(metadata!B837,ROW(INDIRECT("1:"&amp;LEN(metadata!B837))), 1),"0123456789abcdefghijklmnopqrstuvwxyzABCDEFGHIJKLMNOPQRSTUVWXYZ.")))))</f>
        <v>0</v>
      </c>
      <c r="AE837" t="b">
        <f>OR(AND(IF(metadata!C837="",FALSE,TRUE),OR(EXACT(metadata!C837,"not applicable"),EXACT(metadata!C837,"missing: not collected"),EXACT(metadata!C837,"missing: not provided"),EXACT(metadata!C837,"missing: restricted access"))),AND(IF(metadata!C837="",FALSE,ISNUMBER(VALUE(metadata!C837))),metadata!C837&gt;0))</f>
        <v>0</v>
      </c>
      <c r="AF837" t="b">
        <f>AND(IF(metadata!D837="",FALSE,TRUE),EXACT(metadata!D837,"missing: not provided"))</f>
        <v>0</v>
      </c>
      <c r="AG837" t="b">
        <f>AND(IF(metadata!E837="",FALSE,TRUE),EXACT(metadata!E837,"Host-associated"))</f>
        <v>0</v>
      </c>
      <c r="AH837" t="b">
        <f>AND(IF(metadata!F837="",FALSE,TRUE),OR(EXACT(metadata!F837,"Animal"),EXACT(metadata!F837,"Fungus"),EXACT(metadata!F837,"Plant")))</f>
        <v>0</v>
      </c>
      <c r="AI837" t="b">
        <f>AND(IF(metadata!G837="",FALSE,TRUE),OR(EXACT(metadata!G837,"Plant secretion"),EXACT(metadata!G837,"Plant rhizosphere"),EXACT(metadata!G837,"Plant surface"),EXACT(metadata!G837,"Plant corpus"),EXACT(metadata!G837,"Fungus surface"),EXACT(metadata!G837,"Fungus corpus"),EXACT(metadata!G837,"Animal surface"),EXACT(metadata!G837,"Animal proximal gut"),EXACT(metadata!G837,"Animal corpus"),EXACT(metadata!G837,"Animal distal gut"),EXACT(metadata!G837,"Animal secretion")))</f>
        <v>0</v>
      </c>
      <c r="AJ837" t="b">
        <f>OR(AND(IF(metadata!H837="",FALSE,TRUE),OR(EXACT(metadata!H837,"missing: not collected"),EXACT(metadata!H837,"missing: not provided"),EXACT(metadata!H837,"missing: restricted access"))),AND(IF(metadata!H837="",FALSE,TRUE),OR(EXACT(metadata!H837,"organism-associated habitat"),EXACT(metadata!H837,"plant-associated habitat"),EXACT(metadata!H837,"animal-associated habitat"),EXACT(metadata!H837,"insecta-associated habitat"),EXACT(metadata!H837,"mammalia-associated habitat"),EXACT(metadata!H837,"human-associated habitat"),EXACT(metadata!H837,"livestock-associated habitat"))))</f>
        <v>0</v>
      </c>
      <c r="AK837" t="b">
        <f>AND(IF(metadata!I837="",FALSE,TRUE),EXACT(metadata!I837,"host-associated"))</f>
        <v>0</v>
      </c>
      <c r="AL837" t="b">
        <f>OR(AND(IF(metadata!J837="",FALSE,TRUE),OR(EXACT(metadata!J837,"not applicable"),EXACT(metadata!J837,"missing: not collected"),EXACT(metadata!J837,"missing: not provided"),EXACT(metadata!J837,"missing: restricted access"))),AND(IF(metadata!J837="",FALSE,ISNUMBER(VALUE(metadata!J837))),metadata!J837&gt;0))</f>
        <v>0</v>
      </c>
      <c r="AM837" t="b">
        <f>AND(IF(metadata!K837="",FALSE,TRUE),EXACT(metadata!K837,"missing: not provided"))</f>
        <v>0</v>
      </c>
      <c r="AN837" t="b">
        <f>IF(metadata!L837="",FALSE,TRUE)</f>
        <v>0</v>
      </c>
      <c r="AO837" t="b">
        <f>IF(metadata!M837="",FALSE,TRUE)</f>
        <v>0</v>
      </c>
      <c r="AP837" t="b">
        <f>OR(AND(IF(metadata!N837="",FALSE,TRUE),OR(EXACT(metadata!N837,"not applicable"),EXACT(metadata!N837,"missing: not collected"),EXACT(metadata!N837,"missing: not provided"))),AND(IF(metadata!N837="",FALSE,IF(ISERROR(INT(metadata!N837)),FALSE,INT(metadata!N837)=metadata!N837)),metadata!N837&gt;0))</f>
        <v>0</v>
      </c>
      <c r="AQ837" t="b">
        <f>AND(IF(metadata!O837="",FALSE,TRUE),EXACT(metadata!O837,"Not applicable"))</f>
        <v>0</v>
      </c>
      <c r="AR837" t="b">
        <f>OR(AND(IF(metadata!P837="",FALSE,TRUE),OR(EXACT(metadata!P837,"not applicable"),EXACT(metadata!P837,"missing: not collected"),EXACT(metadata!P837,"missing: not provided"),EXACT(metadata!P837,"missing: restricted access"))),IF(metadata!P837="",FALSE,IF(ISERROR(INT(metadata!P837)),FALSE,INT(metadata!P837)=metadata!P837)))</f>
        <v>0</v>
      </c>
      <c r="AS837" t="b">
        <f>AND(IF(metadata!Q837="",FALSE,TRUE),EXACT(metadata!Q837,"Not applicable"))</f>
        <v>0</v>
      </c>
      <c r="AT837" t="b">
        <f>OR(AND(IF(metadata!R837="",FALSE,TRUE),OR(EXACT(metadata!R837,"not applicable"),EXACT(metadata!R837,"missing: not collected"),EXACT(metadata!R837,"missing: not provided"),EXACT(metadata!R837,"missing: restricted access"))),AND(IF(metadata!R837="",FALSE,ISNUMBER(VALUE(metadata!R837))),metadata!R837&gt;0))</f>
        <v>0</v>
      </c>
      <c r="AU837" t="b">
        <f>AND(IF(metadata!S837="",FALSE,TRUE),EXACT(metadata!S837,"missing: not provided"))</f>
        <v>0</v>
      </c>
    </row>
    <row r="838" spans="1:47" x14ac:dyDescent="0.2">
      <c r="A838" s="5" t="str">
        <f ca="1">IF(B838=" "," ",HYPERLINK(CONCATENATE("#metadata!",ADDRESS(INDEX($Y$2:$Y$1001,MATCH(ROWS($W$2:W838),$W$2:$W$1001,0),0),1)),INDEX($AB$2:$AB$1001,MATCH(ROWS($W$2:W838),$W$2:$W$1001,0),0)))</f>
        <v xml:space="preserve"> </v>
      </c>
      <c r="B838" s="4" t="str">
        <f ca="1">IF(OR(INDEX($X$2:$X$1001,MATCH(ROWS($W$2:W838),$W$2:$W$1001,0),1)&gt;=100000,INDEX($AD$1005:$AU$1005,1,MATCH(COLUMNS($AD$1006:AD1006),$AD$1006:$AU$1006,0))&gt;=100000), " ",IF(INDEX($AD$2:$AU$1001,MATCH(ROWS($W$2:W838),$W$2:$W$1001,0),MATCH(COLUMNS($AD$1006:AD1006),$AD$1006:$AU$1006,0)), HYPERLINK("#",""), HYPERLINK(CONCATENATE("#metadata!", ADDRESS(INDEX($Y$2:$Y$1001,MATCH(ROWS($W$2:W838),$W$2:$W$1001,0),0), INDEX($AD$1004:$AU$1004,1,MATCH(COLUMNS($AD$1006:AD1006),$AD$1006:$AU$1006,0)))),"Fix")))</f>
        <v xml:space="preserve"> </v>
      </c>
      <c r="C838" s="4" t="str">
        <f ca="1">IF(OR(INDEX($X$2:$X$1001,MATCH(ROWS($W$2:W838),$W$2:$W$1001,0),1)&gt;=100000,INDEX($AD$1005:$AU$1005,1,MATCH(COLUMNS($AD$1006:AE1006),$AD$1006:$AU$1006,0))&gt;=100000), " ",IF(INDEX($AD$2:$AU$1001,MATCH(ROWS($W$2:W838),$W$2:$W$1001,0),MATCH(COLUMNS($AD$1006:AE1006),$AD$1006:$AU$1006,0)), HYPERLINK("#",""), HYPERLINK(CONCATENATE("#metadata!", ADDRESS(INDEX($Y$2:$Y$1001,MATCH(ROWS($W$2:W838),$W$2:$W$1001,0),0), INDEX($AD$1004:$AU$1004,1,MATCH(COLUMNS($AD$1006:AE1006),$AD$1006:$AU$1006,0)))),"Fix")))</f>
        <v xml:space="preserve"> </v>
      </c>
      <c r="D838" s="4" t="str">
        <f ca="1">IF(OR(INDEX($X$2:$X$1001,MATCH(ROWS($W$2:W838),$W$2:$W$1001,0),1)&gt;=100000,INDEX($AD$1005:$AU$1005,1,MATCH(COLUMNS($AD$1006:AF1006),$AD$1006:$AU$1006,0))&gt;=100000), " ",IF(INDEX($AD$2:$AU$1001,MATCH(ROWS($W$2:W838),$W$2:$W$1001,0),MATCH(COLUMNS($AD$1006:AF1006),$AD$1006:$AU$1006,0)), HYPERLINK("#",""), HYPERLINK(CONCATENATE("#metadata!", ADDRESS(INDEX($Y$2:$Y$1001,MATCH(ROWS($W$2:W838),$W$2:$W$1001,0),0), INDEX($AD$1004:$AU$1004,1,MATCH(COLUMNS($AD$1006:AF1006),$AD$1006:$AU$1006,0)))),"Fix")))</f>
        <v xml:space="preserve"> </v>
      </c>
      <c r="E838" s="4" t="str">
        <f ca="1">IF(OR(INDEX($X$2:$X$1001,MATCH(ROWS($W$2:W838),$W$2:$W$1001,0),1)&gt;=100000,INDEX($AD$1005:$AU$1005,1,MATCH(COLUMNS($AD$1006:AG1006),$AD$1006:$AU$1006,0))&gt;=100000), " ",IF(INDEX($AD$2:$AU$1001,MATCH(ROWS($W$2:W838),$W$2:$W$1001,0),MATCH(COLUMNS($AD$1006:AG1006),$AD$1006:$AU$1006,0)), HYPERLINK("#",""), HYPERLINK(CONCATENATE("#metadata!", ADDRESS(INDEX($Y$2:$Y$1001,MATCH(ROWS($W$2:W838),$W$2:$W$1001,0),0), INDEX($AD$1004:$AU$1004,1,MATCH(COLUMNS($AD$1006:AG1006),$AD$1006:$AU$1006,0)))),"Fix")))</f>
        <v xml:space="preserve"> </v>
      </c>
      <c r="F838" s="4" t="str">
        <f ca="1">IF(OR(INDEX($X$2:$X$1001,MATCH(ROWS($W$2:W838),$W$2:$W$1001,0),1)&gt;=100000,INDEX($AD$1005:$AU$1005,1,MATCH(COLUMNS($AD$1006:AH1006),$AD$1006:$AU$1006,0))&gt;=100000), " ",IF(INDEX($AD$2:$AU$1001,MATCH(ROWS($W$2:W838),$W$2:$W$1001,0),MATCH(COLUMNS($AD$1006:AH1006),$AD$1006:$AU$1006,0)), HYPERLINK("#",""), HYPERLINK(CONCATENATE("#metadata!", ADDRESS(INDEX($Y$2:$Y$1001,MATCH(ROWS($W$2:W838),$W$2:$W$1001,0),0), INDEX($AD$1004:$AU$1004,1,MATCH(COLUMNS($AD$1006:AH1006),$AD$1006:$AU$1006,0)))),"Fix")))</f>
        <v xml:space="preserve"> </v>
      </c>
      <c r="G838" s="4" t="str">
        <f ca="1">IF(OR(INDEX($X$2:$X$1001,MATCH(ROWS($W$2:W838),$W$2:$W$1001,0),1)&gt;=100000,INDEX($AD$1005:$AU$1005,1,MATCH(COLUMNS($AD$1006:AI1006),$AD$1006:$AU$1006,0))&gt;=100000), " ",IF(INDEX($AD$2:$AU$1001,MATCH(ROWS($W$2:W838),$W$2:$W$1001,0),MATCH(COLUMNS($AD$1006:AI1006),$AD$1006:$AU$1006,0)), HYPERLINK("#",""), HYPERLINK(CONCATENATE("#metadata!", ADDRESS(INDEX($Y$2:$Y$1001,MATCH(ROWS($W$2:W838),$W$2:$W$1001,0),0), INDEX($AD$1004:$AU$1004,1,MATCH(COLUMNS($AD$1006:AI1006),$AD$1006:$AU$1006,0)))),"Fix")))</f>
        <v xml:space="preserve"> </v>
      </c>
      <c r="H838" s="4" t="str">
        <f ca="1">IF(OR(INDEX($X$2:$X$1001,MATCH(ROWS($W$2:W838),$W$2:$W$1001,0),1)&gt;=100000,INDEX($AD$1005:$AU$1005,1,MATCH(COLUMNS($AD$1006:AJ1006),$AD$1006:$AU$1006,0))&gt;=100000), " ",IF(INDEX($AD$2:$AU$1001,MATCH(ROWS($W$2:W838),$W$2:$W$1001,0),MATCH(COLUMNS($AD$1006:AJ1006),$AD$1006:$AU$1006,0)), HYPERLINK("#",""), HYPERLINK(CONCATENATE("#metadata!", ADDRESS(INDEX($Y$2:$Y$1001,MATCH(ROWS($W$2:W838),$W$2:$W$1001,0),0), INDEX($AD$1004:$AU$1004,1,MATCH(COLUMNS($AD$1006:AJ1006),$AD$1006:$AU$1006,0)))),"Fix")))</f>
        <v xml:space="preserve"> </v>
      </c>
      <c r="I838" s="4" t="str">
        <f ca="1">IF(OR(INDEX($X$2:$X$1001,MATCH(ROWS($W$2:W838),$W$2:$W$1001,0),1)&gt;=100000,INDEX($AD$1005:$AU$1005,1,MATCH(COLUMNS($AD$1006:AK1006),$AD$1006:$AU$1006,0))&gt;=100000), " ",IF(INDEX($AD$2:$AU$1001,MATCH(ROWS($W$2:W838),$W$2:$W$1001,0),MATCH(COLUMNS($AD$1006:AK1006),$AD$1006:$AU$1006,0)), HYPERLINK("#",""), HYPERLINK(CONCATENATE("#metadata!", ADDRESS(INDEX($Y$2:$Y$1001,MATCH(ROWS($W$2:W838),$W$2:$W$1001,0),0), INDEX($AD$1004:$AU$1004,1,MATCH(COLUMNS($AD$1006:AK1006),$AD$1006:$AU$1006,0)))),"Fix")))</f>
        <v xml:space="preserve"> </v>
      </c>
      <c r="J838" s="4" t="str">
        <f ca="1">IF(OR(INDEX($X$2:$X$1001,MATCH(ROWS($W$2:W838),$W$2:$W$1001,0),1)&gt;=100000,INDEX($AD$1005:$AU$1005,1,MATCH(COLUMNS($AD$1006:AL1006),$AD$1006:$AU$1006,0))&gt;=100000), " ",IF(INDEX($AD$2:$AU$1001,MATCH(ROWS($W$2:W838),$W$2:$W$1001,0),MATCH(COLUMNS($AD$1006:AL1006),$AD$1006:$AU$1006,0)), HYPERLINK("#",""), HYPERLINK(CONCATENATE("#metadata!", ADDRESS(INDEX($Y$2:$Y$1001,MATCH(ROWS($W$2:W838),$W$2:$W$1001,0),0), INDEX($AD$1004:$AU$1004,1,MATCH(COLUMNS($AD$1006:AL1006),$AD$1006:$AU$1006,0)))),"Fix")))</f>
        <v xml:space="preserve"> </v>
      </c>
      <c r="K838" s="4" t="str">
        <f ca="1">IF(OR(INDEX($X$2:$X$1001,MATCH(ROWS($W$2:W838),$W$2:$W$1001,0),1)&gt;=100000,INDEX($AD$1005:$AU$1005,1,MATCH(COLUMNS($AD$1006:AM1006),$AD$1006:$AU$1006,0))&gt;=100000), " ",IF(INDEX($AD$2:$AU$1001,MATCH(ROWS($W$2:W838),$W$2:$W$1001,0),MATCH(COLUMNS($AD$1006:AM1006),$AD$1006:$AU$1006,0)), HYPERLINK("#",""), HYPERLINK(CONCATENATE("#metadata!", ADDRESS(INDEX($Y$2:$Y$1001,MATCH(ROWS($W$2:W838),$W$2:$W$1001,0),0), INDEX($AD$1004:$AU$1004,1,MATCH(COLUMNS($AD$1006:AM1006),$AD$1006:$AU$1006,0)))),"Fix")))</f>
        <v xml:space="preserve"> </v>
      </c>
      <c r="L838" s="4" t="str">
        <f ca="1">IF(OR(INDEX($X$2:$X$1001,MATCH(ROWS($W$2:W838),$W$2:$W$1001,0),1)&gt;=100000,INDEX($AD$1005:$AU$1005,1,MATCH(COLUMNS($AD$1006:AN1006),$AD$1006:$AU$1006,0))&gt;=100000), " ",IF(INDEX($AD$2:$AU$1001,MATCH(ROWS($W$2:W838),$W$2:$W$1001,0),MATCH(COLUMNS($AD$1006:AN1006),$AD$1006:$AU$1006,0)), HYPERLINK("#",""), HYPERLINK(CONCATENATE("#metadata!", ADDRESS(INDEX($Y$2:$Y$1001,MATCH(ROWS($W$2:W838),$W$2:$W$1001,0),0), INDEX($AD$1004:$AU$1004,1,MATCH(COLUMNS($AD$1006:AN1006),$AD$1006:$AU$1006,0)))),"Fix")))</f>
        <v xml:space="preserve"> </v>
      </c>
      <c r="M838" s="4" t="str">
        <f ca="1">IF(OR(INDEX($X$2:$X$1001,MATCH(ROWS($W$2:W838),$W$2:$W$1001,0),1)&gt;=100000,INDEX($AD$1005:$AU$1005,1,MATCH(COLUMNS($AD$1006:AO1006),$AD$1006:$AU$1006,0))&gt;=100000), " ",IF(INDEX($AD$2:$AU$1001,MATCH(ROWS($W$2:W838),$W$2:$W$1001,0),MATCH(COLUMNS($AD$1006:AO1006),$AD$1006:$AU$1006,0)), HYPERLINK("#",""), HYPERLINK(CONCATENATE("#metadata!", ADDRESS(INDEX($Y$2:$Y$1001,MATCH(ROWS($W$2:W838),$W$2:$W$1001,0),0), INDEX($AD$1004:$AU$1004,1,MATCH(COLUMNS($AD$1006:AO1006),$AD$1006:$AU$1006,0)))),"Fix")))</f>
        <v xml:space="preserve"> </v>
      </c>
      <c r="N838" s="4" t="str">
        <f ca="1">IF(OR(INDEX($X$2:$X$1001,MATCH(ROWS($W$2:W838),$W$2:$W$1001,0),1)&gt;=100000,INDEX($AD$1005:$AU$1005,1,MATCH(COLUMNS($AD$1006:AP1006),$AD$1006:$AU$1006,0))&gt;=100000), " ",IF(INDEX($AD$2:$AU$1001,MATCH(ROWS($W$2:W838),$W$2:$W$1001,0),MATCH(COLUMNS($AD$1006:AP1006),$AD$1006:$AU$1006,0)), HYPERLINK("#",""), HYPERLINK(CONCATENATE("#metadata!", ADDRESS(INDEX($Y$2:$Y$1001,MATCH(ROWS($W$2:W838),$W$2:$W$1001,0),0), INDEX($AD$1004:$AU$1004,1,MATCH(COLUMNS($AD$1006:AP1006),$AD$1006:$AU$1006,0)))),"Fix")))</f>
        <v xml:space="preserve"> </v>
      </c>
      <c r="O838" s="4" t="str">
        <f ca="1">IF(OR(INDEX($X$2:$X$1001,MATCH(ROWS($W$2:W838),$W$2:$W$1001,0),1)&gt;=100000,INDEX($AD$1005:$AU$1005,1,MATCH(COLUMNS($AD$1006:AQ1006),$AD$1006:$AU$1006,0))&gt;=100000), " ",IF(INDEX($AD$2:$AU$1001,MATCH(ROWS($W$2:W838),$W$2:$W$1001,0),MATCH(COLUMNS($AD$1006:AQ1006),$AD$1006:$AU$1006,0)), HYPERLINK("#",""), HYPERLINK(CONCATENATE("#metadata!", ADDRESS(INDEX($Y$2:$Y$1001,MATCH(ROWS($W$2:W838),$W$2:$W$1001,0),0), INDEX($AD$1004:$AU$1004,1,MATCH(COLUMNS($AD$1006:AQ1006),$AD$1006:$AU$1006,0)))),"Fix")))</f>
        <v xml:space="preserve"> </v>
      </c>
      <c r="P838" s="4" t="str">
        <f ca="1">IF(OR(INDEX($X$2:$X$1001,MATCH(ROWS($W$2:W838),$W$2:$W$1001,0),1)&gt;=100000,INDEX($AD$1005:$AU$1005,1,MATCH(COLUMNS($AD$1006:AR1006),$AD$1006:$AU$1006,0))&gt;=100000), " ",IF(INDEX($AD$2:$AU$1001,MATCH(ROWS($W$2:W838),$W$2:$W$1001,0),MATCH(COLUMNS($AD$1006:AR1006),$AD$1006:$AU$1006,0)), HYPERLINK("#",""), HYPERLINK(CONCATENATE("#metadata!", ADDRESS(INDEX($Y$2:$Y$1001,MATCH(ROWS($W$2:W838),$W$2:$W$1001,0),0), INDEX($AD$1004:$AU$1004,1,MATCH(COLUMNS($AD$1006:AR1006),$AD$1006:$AU$1006,0)))),"Fix")))</f>
        <v xml:space="preserve"> </v>
      </c>
      <c r="Q838" s="4" t="str">
        <f ca="1">IF(OR(INDEX($X$2:$X$1001,MATCH(ROWS($W$2:W838),$W$2:$W$1001,0),1)&gt;=100000,INDEX($AD$1005:$AU$1005,1,MATCH(COLUMNS($AD$1006:AS1006),$AD$1006:$AU$1006,0))&gt;=100000), " ",IF(INDEX($AD$2:$AU$1001,MATCH(ROWS($W$2:W838),$W$2:$W$1001,0),MATCH(COLUMNS($AD$1006:AS1006),$AD$1006:$AU$1006,0)), HYPERLINK("#",""), HYPERLINK(CONCATENATE("#metadata!", ADDRESS(INDEX($Y$2:$Y$1001,MATCH(ROWS($W$2:W838),$W$2:$W$1001,0),0), INDEX($AD$1004:$AU$1004,1,MATCH(COLUMNS($AD$1006:AS1006),$AD$1006:$AU$1006,0)))),"Fix")))</f>
        <v xml:space="preserve"> </v>
      </c>
      <c r="R838" s="4" t="str">
        <f ca="1">IF(OR(INDEX($X$2:$X$1001,MATCH(ROWS($W$2:W838),$W$2:$W$1001,0),1)&gt;=100000,INDEX($AD$1005:$AU$1005,1,MATCH(COLUMNS($AD$1006:AT1006),$AD$1006:$AU$1006,0))&gt;=100000), " ",IF(INDEX($AD$2:$AU$1001,MATCH(ROWS($W$2:W838),$W$2:$W$1001,0),MATCH(COLUMNS($AD$1006:AT1006),$AD$1006:$AU$1006,0)), HYPERLINK("#",""), HYPERLINK(CONCATENATE("#metadata!", ADDRESS(INDEX($Y$2:$Y$1001,MATCH(ROWS($W$2:W838),$W$2:$W$1001,0),0), INDEX($AD$1004:$AU$1004,1,MATCH(COLUMNS($AD$1006:AT1006),$AD$1006:$AU$1006,0)))),"Fix")))</f>
        <v xml:space="preserve"> </v>
      </c>
      <c r="S838" s="4" t="str">
        <f ca="1">IF(OR(INDEX($X$2:$X$1001,MATCH(ROWS($W$2:W838),$W$2:$W$1001,0),1)&gt;=100000,INDEX($AD$1005:$AU$1005,1,MATCH(COLUMNS($AD$1006:AU1006),$AD$1006:$AU$1006,0))&gt;=100000), " ",IF(INDEX($AD$2:$AU$1001,MATCH(ROWS($W$2:W838),$W$2:$W$1001,0),MATCH(COLUMNS($AD$1006:AU1006),$AD$1006:$AU$1006,0)), HYPERLINK("#",""), HYPERLINK(CONCATENATE("#metadata!", ADDRESS(INDEX($Y$2:$Y$1001,MATCH(ROWS($W$2:W838),$W$2:$W$1001,0),0), INDEX($AD$1004:$AU$1004,1,MATCH(COLUMNS($AD$1006:AU1006),$AD$1006:$AU$1006,0)))),"Fix")))</f>
        <v xml:space="preserve"> </v>
      </c>
      <c r="W838">
        <v>837</v>
      </c>
      <c r="X838">
        <v>100838</v>
      </c>
      <c r="Y838">
        <v>838</v>
      </c>
      <c r="Z838" t="b">
        <f t="shared" si="13"/>
        <v>1</v>
      </c>
      <c r="AA838" t="b">
        <f>COUNTBLANK(metadata!B838:S838)=COLUMNS(metadata!B838:S838)</f>
        <v>1</v>
      </c>
      <c r="AB838" t="str">
        <v/>
      </c>
      <c r="AD838" t="b">
        <f ca="1">AND(IF(metadata!B838="",FALSE,TRUE),COUNTIF(metadata!B:B, metadata!B838) = 1,NOT(ISERROR(SUMPRODUCT(SEARCH(MID(metadata!B838,ROW(INDIRECT("1:"&amp;LEN(metadata!B838))), 1),"0123456789abcdefghijklmnopqrstuvwxyzABCDEFGHIJKLMNOPQRSTUVWXYZ.")))))</f>
        <v>0</v>
      </c>
      <c r="AE838" t="b">
        <f>OR(AND(IF(metadata!C838="",FALSE,TRUE),OR(EXACT(metadata!C838,"not applicable"),EXACT(metadata!C838,"missing: not collected"),EXACT(metadata!C838,"missing: not provided"),EXACT(metadata!C838,"missing: restricted access"))),AND(IF(metadata!C838="",FALSE,ISNUMBER(VALUE(metadata!C838))),metadata!C838&gt;0))</f>
        <v>0</v>
      </c>
      <c r="AF838" t="b">
        <f>AND(IF(metadata!D838="",FALSE,TRUE),EXACT(metadata!D838,"missing: not provided"))</f>
        <v>0</v>
      </c>
      <c r="AG838" t="b">
        <f>AND(IF(metadata!E838="",FALSE,TRUE),EXACT(metadata!E838,"Host-associated"))</f>
        <v>0</v>
      </c>
      <c r="AH838" t="b">
        <f>AND(IF(metadata!F838="",FALSE,TRUE),OR(EXACT(metadata!F838,"Animal"),EXACT(metadata!F838,"Fungus"),EXACT(metadata!F838,"Plant")))</f>
        <v>0</v>
      </c>
      <c r="AI838" t="b">
        <f>AND(IF(metadata!G838="",FALSE,TRUE),OR(EXACT(metadata!G838,"Plant secretion"),EXACT(metadata!G838,"Plant rhizosphere"),EXACT(metadata!G838,"Plant surface"),EXACT(metadata!G838,"Plant corpus"),EXACT(metadata!G838,"Fungus surface"),EXACT(metadata!G838,"Fungus corpus"),EXACT(metadata!G838,"Animal surface"),EXACT(metadata!G838,"Animal proximal gut"),EXACT(metadata!G838,"Animal corpus"),EXACT(metadata!G838,"Animal distal gut"),EXACT(metadata!G838,"Animal secretion")))</f>
        <v>0</v>
      </c>
      <c r="AJ838" t="b">
        <f>OR(AND(IF(metadata!H838="",FALSE,TRUE),OR(EXACT(metadata!H838,"missing: not collected"),EXACT(metadata!H838,"missing: not provided"),EXACT(metadata!H838,"missing: restricted access"))),AND(IF(metadata!H838="",FALSE,TRUE),OR(EXACT(metadata!H838,"organism-associated habitat"),EXACT(metadata!H838,"plant-associated habitat"),EXACT(metadata!H838,"animal-associated habitat"),EXACT(metadata!H838,"insecta-associated habitat"),EXACT(metadata!H838,"mammalia-associated habitat"),EXACT(metadata!H838,"human-associated habitat"),EXACT(metadata!H838,"livestock-associated habitat"))))</f>
        <v>0</v>
      </c>
      <c r="AK838" t="b">
        <f>AND(IF(metadata!I838="",FALSE,TRUE),EXACT(metadata!I838,"host-associated"))</f>
        <v>0</v>
      </c>
      <c r="AL838" t="b">
        <f>OR(AND(IF(metadata!J838="",FALSE,TRUE),OR(EXACT(metadata!J838,"not applicable"),EXACT(metadata!J838,"missing: not collected"),EXACT(metadata!J838,"missing: not provided"),EXACT(metadata!J838,"missing: restricted access"))),AND(IF(metadata!J838="",FALSE,ISNUMBER(VALUE(metadata!J838))),metadata!J838&gt;0))</f>
        <v>0</v>
      </c>
      <c r="AM838" t="b">
        <f>AND(IF(metadata!K838="",FALSE,TRUE),EXACT(metadata!K838,"missing: not provided"))</f>
        <v>0</v>
      </c>
      <c r="AN838" t="b">
        <f>IF(metadata!L838="",FALSE,TRUE)</f>
        <v>0</v>
      </c>
      <c r="AO838" t="b">
        <f>IF(metadata!M838="",FALSE,TRUE)</f>
        <v>0</v>
      </c>
      <c r="AP838" t="b">
        <f>OR(AND(IF(metadata!N838="",FALSE,TRUE),OR(EXACT(metadata!N838,"not applicable"),EXACT(metadata!N838,"missing: not collected"),EXACT(metadata!N838,"missing: not provided"))),AND(IF(metadata!N838="",FALSE,IF(ISERROR(INT(metadata!N838)),FALSE,INT(metadata!N838)=metadata!N838)),metadata!N838&gt;0))</f>
        <v>0</v>
      </c>
      <c r="AQ838" t="b">
        <f>AND(IF(metadata!O838="",FALSE,TRUE),EXACT(metadata!O838,"Not applicable"))</f>
        <v>0</v>
      </c>
      <c r="AR838" t="b">
        <f>OR(AND(IF(metadata!P838="",FALSE,TRUE),OR(EXACT(metadata!P838,"not applicable"),EXACT(metadata!P838,"missing: not collected"),EXACT(metadata!P838,"missing: not provided"),EXACT(metadata!P838,"missing: restricted access"))),IF(metadata!P838="",FALSE,IF(ISERROR(INT(metadata!P838)),FALSE,INT(metadata!P838)=metadata!P838)))</f>
        <v>0</v>
      </c>
      <c r="AS838" t="b">
        <f>AND(IF(metadata!Q838="",FALSE,TRUE),EXACT(metadata!Q838,"Not applicable"))</f>
        <v>0</v>
      </c>
      <c r="AT838" t="b">
        <f>OR(AND(IF(metadata!R838="",FALSE,TRUE),OR(EXACT(metadata!R838,"not applicable"),EXACT(metadata!R838,"missing: not collected"),EXACT(metadata!R838,"missing: not provided"),EXACT(metadata!R838,"missing: restricted access"))),AND(IF(metadata!R838="",FALSE,ISNUMBER(VALUE(metadata!R838))),metadata!R838&gt;0))</f>
        <v>0</v>
      </c>
      <c r="AU838" t="b">
        <f>AND(IF(metadata!S838="",FALSE,TRUE),EXACT(metadata!S838,"missing: not provided"))</f>
        <v>0</v>
      </c>
    </row>
    <row r="839" spans="1:47" x14ac:dyDescent="0.2">
      <c r="A839" s="5" t="str">
        <f ca="1">IF(B839=" "," ",HYPERLINK(CONCATENATE("#metadata!",ADDRESS(INDEX($Y$2:$Y$1001,MATCH(ROWS($W$2:W839),$W$2:$W$1001,0),0),1)),INDEX($AB$2:$AB$1001,MATCH(ROWS($W$2:W839),$W$2:$W$1001,0),0)))</f>
        <v xml:space="preserve"> </v>
      </c>
      <c r="B839" s="4" t="str">
        <f ca="1">IF(OR(INDEX($X$2:$X$1001,MATCH(ROWS($W$2:W839),$W$2:$W$1001,0),1)&gt;=100000,INDEX($AD$1005:$AU$1005,1,MATCH(COLUMNS($AD$1006:AD1006),$AD$1006:$AU$1006,0))&gt;=100000), " ",IF(INDEX($AD$2:$AU$1001,MATCH(ROWS($W$2:W839),$W$2:$W$1001,0),MATCH(COLUMNS($AD$1006:AD1006),$AD$1006:$AU$1006,0)), HYPERLINK("#",""), HYPERLINK(CONCATENATE("#metadata!", ADDRESS(INDEX($Y$2:$Y$1001,MATCH(ROWS($W$2:W839),$W$2:$W$1001,0),0), INDEX($AD$1004:$AU$1004,1,MATCH(COLUMNS($AD$1006:AD1006),$AD$1006:$AU$1006,0)))),"Fix")))</f>
        <v xml:space="preserve"> </v>
      </c>
      <c r="C839" s="4" t="str">
        <f ca="1">IF(OR(INDEX($X$2:$X$1001,MATCH(ROWS($W$2:W839),$W$2:$W$1001,0),1)&gt;=100000,INDEX($AD$1005:$AU$1005,1,MATCH(COLUMNS($AD$1006:AE1006),$AD$1006:$AU$1006,0))&gt;=100000), " ",IF(INDEX($AD$2:$AU$1001,MATCH(ROWS($W$2:W839),$W$2:$W$1001,0),MATCH(COLUMNS($AD$1006:AE1006),$AD$1006:$AU$1006,0)), HYPERLINK("#",""), HYPERLINK(CONCATENATE("#metadata!", ADDRESS(INDEX($Y$2:$Y$1001,MATCH(ROWS($W$2:W839),$W$2:$W$1001,0),0), INDEX($AD$1004:$AU$1004,1,MATCH(COLUMNS($AD$1006:AE1006),$AD$1006:$AU$1006,0)))),"Fix")))</f>
        <v xml:space="preserve"> </v>
      </c>
      <c r="D839" s="4" t="str">
        <f ca="1">IF(OR(INDEX($X$2:$X$1001,MATCH(ROWS($W$2:W839),$W$2:$W$1001,0),1)&gt;=100000,INDEX($AD$1005:$AU$1005,1,MATCH(COLUMNS($AD$1006:AF1006),$AD$1006:$AU$1006,0))&gt;=100000), " ",IF(INDEX($AD$2:$AU$1001,MATCH(ROWS($W$2:W839),$W$2:$W$1001,0),MATCH(COLUMNS($AD$1006:AF1006),$AD$1006:$AU$1006,0)), HYPERLINK("#",""), HYPERLINK(CONCATENATE("#metadata!", ADDRESS(INDEX($Y$2:$Y$1001,MATCH(ROWS($W$2:W839),$W$2:$W$1001,0),0), INDEX($AD$1004:$AU$1004,1,MATCH(COLUMNS($AD$1006:AF1006),$AD$1006:$AU$1006,0)))),"Fix")))</f>
        <v xml:space="preserve"> </v>
      </c>
      <c r="E839" s="4" t="str">
        <f ca="1">IF(OR(INDEX($X$2:$X$1001,MATCH(ROWS($W$2:W839),$W$2:$W$1001,0),1)&gt;=100000,INDEX($AD$1005:$AU$1005,1,MATCH(COLUMNS($AD$1006:AG1006),$AD$1006:$AU$1006,0))&gt;=100000), " ",IF(INDEX($AD$2:$AU$1001,MATCH(ROWS($W$2:W839),$W$2:$W$1001,0),MATCH(COLUMNS($AD$1006:AG1006),$AD$1006:$AU$1006,0)), HYPERLINK("#",""), HYPERLINK(CONCATENATE("#metadata!", ADDRESS(INDEX($Y$2:$Y$1001,MATCH(ROWS($W$2:W839),$W$2:$W$1001,0),0), INDEX($AD$1004:$AU$1004,1,MATCH(COLUMNS($AD$1006:AG1006),$AD$1006:$AU$1006,0)))),"Fix")))</f>
        <v xml:space="preserve"> </v>
      </c>
      <c r="F839" s="4" t="str">
        <f ca="1">IF(OR(INDEX($X$2:$X$1001,MATCH(ROWS($W$2:W839),$W$2:$W$1001,0),1)&gt;=100000,INDEX($AD$1005:$AU$1005,1,MATCH(COLUMNS($AD$1006:AH1006),$AD$1006:$AU$1006,0))&gt;=100000), " ",IF(INDEX($AD$2:$AU$1001,MATCH(ROWS($W$2:W839),$W$2:$W$1001,0),MATCH(COLUMNS($AD$1006:AH1006),$AD$1006:$AU$1006,0)), HYPERLINK("#",""), HYPERLINK(CONCATENATE("#metadata!", ADDRESS(INDEX($Y$2:$Y$1001,MATCH(ROWS($W$2:W839),$W$2:$W$1001,0),0), INDEX($AD$1004:$AU$1004,1,MATCH(COLUMNS($AD$1006:AH1006),$AD$1006:$AU$1006,0)))),"Fix")))</f>
        <v xml:space="preserve"> </v>
      </c>
      <c r="G839" s="4" t="str">
        <f ca="1">IF(OR(INDEX($X$2:$X$1001,MATCH(ROWS($W$2:W839),$W$2:$W$1001,0),1)&gt;=100000,INDEX($AD$1005:$AU$1005,1,MATCH(COLUMNS($AD$1006:AI1006),$AD$1006:$AU$1006,0))&gt;=100000), " ",IF(INDEX($AD$2:$AU$1001,MATCH(ROWS($W$2:W839),$W$2:$W$1001,0),MATCH(COLUMNS($AD$1006:AI1006),$AD$1006:$AU$1006,0)), HYPERLINK("#",""), HYPERLINK(CONCATENATE("#metadata!", ADDRESS(INDEX($Y$2:$Y$1001,MATCH(ROWS($W$2:W839),$W$2:$W$1001,0),0), INDEX($AD$1004:$AU$1004,1,MATCH(COLUMNS($AD$1006:AI1006),$AD$1006:$AU$1006,0)))),"Fix")))</f>
        <v xml:space="preserve"> </v>
      </c>
      <c r="H839" s="4" t="str">
        <f ca="1">IF(OR(INDEX($X$2:$X$1001,MATCH(ROWS($W$2:W839),$W$2:$W$1001,0),1)&gt;=100000,INDEX($AD$1005:$AU$1005,1,MATCH(COLUMNS($AD$1006:AJ1006),$AD$1006:$AU$1006,0))&gt;=100000), " ",IF(INDEX($AD$2:$AU$1001,MATCH(ROWS($W$2:W839),$W$2:$W$1001,0),MATCH(COLUMNS($AD$1006:AJ1006),$AD$1006:$AU$1006,0)), HYPERLINK("#",""), HYPERLINK(CONCATENATE("#metadata!", ADDRESS(INDEX($Y$2:$Y$1001,MATCH(ROWS($W$2:W839),$W$2:$W$1001,0),0), INDEX($AD$1004:$AU$1004,1,MATCH(COLUMNS($AD$1006:AJ1006),$AD$1006:$AU$1006,0)))),"Fix")))</f>
        <v xml:space="preserve"> </v>
      </c>
      <c r="I839" s="4" t="str">
        <f ca="1">IF(OR(INDEX($X$2:$X$1001,MATCH(ROWS($W$2:W839),$W$2:$W$1001,0),1)&gt;=100000,INDEX($AD$1005:$AU$1005,1,MATCH(COLUMNS($AD$1006:AK1006),$AD$1006:$AU$1006,0))&gt;=100000), " ",IF(INDEX($AD$2:$AU$1001,MATCH(ROWS($W$2:W839),$W$2:$W$1001,0),MATCH(COLUMNS($AD$1006:AK1006),$AD$1006:$AU$1006,0)), HYPERLINK("#",""), HYPERLINK(CONCATENATE("#metadata!", ADDRESS(INDEX($Y$2:$Y$1001,MATCH(ROWS($W$2:W839),$W$2:$W$1001,0),0), INDEX($AD$1004:$AU$1004,1,MATCH(COLUMNS($AD$1006:AK1006),$AD$1006:$AU$1006,0)))),"Fix")))</f>
        <v xml:space="preserve"> </v>
      </c>
      <c r="J839" s="4" t="str">
        <f ca="1">IF(OR(INDEX($X$2:$X$1001,MATCH(ROWS($W$2:W839),$W$2:$W$1001,0),1)&gt;=100000,INDEX($AD$1005:$AU$1005,1,MATCH(COLUMNS($AD$1006:AL1006),$AD$1006:$AU$1006,0))&gt;=100000), " ",IF(INDEX($AD$2:$AU$1001,MATCH(ROWS($W$2:W839),$W$2:$W$1001,0),MATCH(COLUMNS($AD$1006:AL1006),$AD$1006:$AU$1006,0)), HYPERLINK("#",""), HYPERLINK(CONCATENATE("#metadata!", ADDRESS(INDEX($Y$2:$Y$1001,MATCH(ROWS($W$2:W839),$W$2:$W$1001,0),0), INDEX($AD$1004:$AU$1004,1,MATCH(COLUMNS($AD$1006:AL1006),$AD$1006:$AU$1006,0)))),"Fix")))</f>
        <v xml:space="preserve"> </v>
      </c>
      <c r="K839" s="4" t="str">
        <f ca="1">IF(OR(INDEX($X$2:$X$1001,MATCH(ROWS($W$2:W839),$W$2:$W$1001,0),1)&gt;=100000,INDEX($AD$1005:$AU$1005,1,MATCH(COLUMNS($AD$1006:AM1006),$AD$1006:$AU$1006,0))&gt;=100000), " ",IF(INDEX($AD$2:$AU$1001,MATCH(ROWS($W$2:W839),$W$2:$W$1001,0),MATCH(COLUMNS($AD$1006:AM1006),$AD$1006:$AU$1006,0)), HYPERLINK("#",""), HYPERLINK(CONCATENATE("#metadata!", ADDRESS(INDEX($Y$2:$Y$1001,MATCH(ROWS($W$2:W839),$W$2:$W$1001,0),0), INDEX($AD$1004:$AU$1004,1,MATCH(COLUMNS($AD$1006:AM1006),$AD$1006:$AU$1006,0)))),"Fix")))</f>
        <v xml:space="preserve"> </v>
      </c>
      <c r="L839" s="4" t="str">
        <f ca="1">IF(OR(INDEX($X$2:$X$1001,MATCH(ROWS($W$2:W839),$W$2:$W$1001,0),1)&gt;=100000,INDEX($AD$1005:$AU$1005,1,MATCH(COLUMNS($AD$1006:AN1006),$AD$1006:$AU$1006,0))&gt;=100000), " ",IF(INDEX($AD$2:$AU$1001,MATCH(ROWS($W$2:W839),$W$2:$W$1001,0),MATCH(COLUMNS($AD$1006:AN1006),$AD$1006:$AU$1006,0)), HYPERLINK("#",""), HYPERLINK(CONCATENATE("#metadata!", ADDRESS(INDEX($Y$2:$Y$1001,MATCH(ROWS($W$2:W839),$W$2:$W$1001,0),0), INDEX($AD$1004:$AU$1004,1,MATCH(COLUMNS($AD$1006:AN1006),$AD$1006:$AU$1006,0)))),"Fix")))</f>
        <v xml:space="preserve"> </v>
      </c>
      <c r="M839" s="4" t="str">
        <f ca="1">IF(OR(INDEX($X$2:$X$1001,MATCH(ROWS($W$2:W839),$W$2:$W$1001,0),1)&gt;=100000,INDEX($AD$1005:$AU$1005,1,MATCH(COLUMNS($AD$1006:AO1006),$AD$1006:$AU$1006,0))&gt;=100000), " ",IF(INDEX($AD$2:$AU$1001,MATCH(ROWS($W$2:W839),$W$2:$W$1001,0),MATCH(COLUMNS($AD$1006:AO1006),$AD$1006:$AU$1006,0)), HYPERLINK("#",""), HYPERLINK(CONCATENATE("#metadata!", ADDRESS(INDEX($Y$2:$Y$1001,MATCH(ROWS($W$2:W839),$W$2:$W$1001,0),0), INDEX($AD$1004:$AU$1004,1,MATCH(COLUMNS($AD$1006:AO1006),$AD$1006:$AU$1006,0)))),"Fix")))</f>
        <v xml:space="preserve"> </v>
      </c>
      <c r="N839" s="4" t="str">
        <f ca="1">IF(OR(INDEX($X$2:$X$1001,MATCH(ROWS($W$2:W839),$W$2:$W$1001,0),1)&gt;=100000,INDEX($AD$1005:$AU$1005,1,MATCH(COLUMNS($AD$1006:AP1006),$AD$1006:$AU$1006,0))&gt;=100000), " ",IF(INDEX($AD$2:$AU$1001,MATCH(ROWS($W$2:W839),$W$2:$W$1001,0),MATCH(COLUMNS($AD$1006:AP1006),$AD$1006:$AU$1006,0)), HYPERLINK("#",""), HYPERLINK(CONCATENATE("#metadata!", ADDRESS(INDEX($Y$2:$Y$1001,MATCH(ROWS($W$2:W839),$W$2:$W$1001,0),0), INDEX($AD$1004:$AU$1004,1,MATCH(COLUMNS($AD$1006:AP1006),$AD$1006:$AU$1006,0)))),"Fix")))</f>
        <v xml:space="preserve"> </v>
      </c>
      <c r="O839" s="4" t="str">
        <f ca="1">IF(OR(INDEX($X$2:$X$1001,MATCH(ROWS($W$2:W839),$W$2:$W$1001,0),1)&gt;=100000,INDEX($AD$1005:$AU$1005,1,MATCH(COLUMNS($AD$1006:AQ1006),$AD$1006:$AU$1006,0))&gt;=100000), " ",IF(INDEX($AD$2:$AU$1001,MATCH(ROWS($W$2:W839),$W$2:$W$1001,0),MATCH(COLUMNS($AD$1006:AQ1006),$AD$1006:$AU$1006,0)), HYPERLINK("#",""), HYPERLINK(CONCATENATE("#metadata!", ADDRESS(INDEX($Y$2:$Y$1001,MATCH(ROWS($W$2:W839),$W$2:$W$1001,0),0), INDEX($AD$1004:$AU$1004,1,MATCH(COLUMNS($AD$1006:AQ1006),$AD$1006:$AU$1006,0)))),"Fix")))</f>
        <v xml:space="preserve"> </v>
      </c>
      <c r="P839" s="4" t="str">
        <f ca="1">IF(OR(INDEX($X$2:$X$1001,MATCH(ROWS($W$2:W839),$W$2:$W$1001,0),1)&gt;=100000,INDEX($AD$1005:$AU$1005,1,MATCH(COLUMNS($AD$1006:AR1006),$AD$1006:$AU$1006,0))&gt;=100000), " ",IF(INDEX($AD$2:$AU$1001,MATCH(ROWS($W$2:W839),$W$2:$W$1001,0),MATCH(COLUMNS($AD$1006:AR1006),$AD$1006:$AU$1006,0)), HYPERLINK("#",""), HYPERLINK(CONCATENATE("#metadata!", ADDRESS(INDEX($Y$2:$Y$1001,MATCH(ROWS($W$2:W839),$W$2:$W$1001,0),0), INDEX($AD$1004:$AU$1004,1,MATCH(COLUMNS($AD$1006:AR1006),$AD$1006:$AU$1006,0)))),"Fix")))</f>
        <v xml:space="preserve"> </v>
      </c>
      <c r="Q839" s="4" t="str">
        <f ca="1">IF(OR(INDEX($X$2:$X$1001,MATCH(ROWS($W$2:W839),$W$2:$W$1001,0),1)&gt;=100000,INDEX($AD$1005:$AU$1005,1,MATCH(COLUMNS($AD$1006:AS1006),$AD$1006:$AU$1006,0))&gt;=100000), " ",IF(INDEX($AD$2:$AU$1001,MATCH(ROWS($W$2:W839),$W$2:$W$1001,0),MATCH(COLUMNS($AD$1006:AS1006),$AD$1006:$AU$1006,0)), HYPERLINK("#",""), HYPERLINK(CONCATENATE("#metadata!", ADDRESS(INDEX($Y$2:$Y$1001,MATCH(ROWS($W$2:W839),$W$2:$W$1001,0),0), INDEX($AD$1004:$AU$1004,1,MATCH(COLUMNS($AD$1006:AS1006),$AD$1006:$AU$1006,0)))),"Fix")))</f>
        <v xml:space="preserve"> </v>
      </c>
      <c r="R839" s="4" t="str">
        <f ca="1">IF(OR(INDEX($X$2:$X$1001,MATCH(ROWS($W$2:W839),$W$2:$W$1001,0),1)&gt;=100000,INDEX($AD$1005:$AU$1005,1,MATCH(COLUMNS($AD$1006:AT1006),$AD$1006:$AU$1006,0))&gt;=100000), " ",IF(INDEX($AD$2:$AU$1001,MATCH(ROWS($W$2:W839),$W$2:$W$1001,0),MATCH(COLUMNS($AD$1006:AT1006),$AD$1006:$AU$1006,0)), HYPERLINK("#",""), HYPERLINK(CONCATENATE("#metadata!", ADDRESS(INDEX($Y$2:$Y$1001,MATCH(ROWS($W$2:W839),$W$2:$W$1001,0),0), INDEX($AD$1004:$AU$1004,1,MATCH(COLUMNS($AD$1006:AT1006),$AD$1006:$AU$1006,0)))),"Fix")))</f>
        <v xml:space="preserve"> </v>
      </c>
      <c r="S839" s="4" t="str">
        <f ca="1">IF(OR(INDEX($X$2:$X$1001,MATCH(ROWS($W$2:W839),$W$2:$W$1001,0),1)&gt;=100000,INDEX($AD$1005:$AU$1005,1,MATCH(COLUMNS($AD$1006:AU1006),$AD$1006:$AU$1006,0))&gt;=100000), " ",IF(INDEX($AD$2:$AU$1001,MATCH(ROWS($W$2:W839),$W$2:$W$1001,0),MATCH(COLUMNS($AD$1006:AU1006),$AD$1006:$AU$1006,0)), HYPERLINK("#",""), HYPERLINK(CONCATENATE("#metadata!", ADDRESS(INDEX($Y$2:$Y$1001,MATCH(ROWS($W$2:W839),$W$2:$W$1001,0),0), INDEX($AD$1004:$AU$1004,1,MATCH(COLUMNS($AD$1006:AU1006),$AD$1006:$AU$1006,0)))),"Fix")))</f>
        <v xml:space="preserve"> </v>
      </c>
      <c r="W839">
        <v>838</v>
      </c>
      <c r="X839">
        <v>100839</v>
      </c>
      <c r="Y839">
        <v>839</v>
      </c>
      <c r="Z839" t="b">
        <f t="shared" si="13"/>
        <v>1</v>
      </c>
      <c r="AA839" t="b">
        <f>COUNTBLANK(metadata!B839:S839)=COLUMNS(metadata!B839:S839)</f>
        <v>1</v>
      </c>
      <c r="AB839" t="str">
        <v/>
      </c>
      <c r="AD839" t="b">
        <f ca="1">AND(IF(metadata!B839="",FALSE,TRUE),COUNTIF(metadata!B:B, metadata!B839) = 1,NOT(ISERROR(SUMPRODUCT(SEARCH(MID(metadata!B839,ROW(INDIRECT("1:"&amp;LEN(metadata!B839))), 1),"0123456789abcdefghijklmnopqrstuvwxyzABCDEFGHIJKLMNOPQRSTUVWXYZ.")))))</f>
        <v>0</v>
      </c>
      <c r="AE839" t="b">
        <f>OR(AND(IF(metadata!C839="",FALSE,TRUE),OR(EXACT(metadata!C839,"not applicable"),EXACT(metadata!C839,"missing: not collected"),EXACT(metadata!C839,"missing: not provided"),EXACT(metadata!C839,"missing: restricted access"))),AND(IF(metadata!C839="",FALSE,ISNUMBER(VALUE(metadata!C839))),metadata!C839&gt;0))</f>
        <v>0</v>
      </c>
      <c r="AF839" t="b">
        <f>AND(IF(metadata!D839="",FALSE,TRUE),EXACT(metadata!D839,"missing: not provided"))</f>
        <v>0</v>
      </c>
      <c r="AG839" t="b">
        <f>AND(IF(metadata!E839="",FALSE,TRUE),EXACT(metadata!E839,"Host-associated"))</f>
        <v>0</v>
      </c>
      <c r="AH839" t="b">
        <f>AND(IF(metadata!F839="",FALSE,TRUE),OR(EXACT(metadata!F839,"Animal"),EXACT(metadata!F839,"Fungus"),EXACT(metadata!F839,"Plant")))</f>
        <v>0</v>
      </c>
      <c r="AI839" t="b">
        <f>AND(IF(metadata!G839="",FALSE,TRUE),OR(EXACT(metadata!G839,"Plant secretion"),EXACT(metadata!G839,"Plant rhizosphere"),EXACT(metadata!G839,"Plant surface"),EXACT(metadata!G839,"Plant corpus"),EXACT(metadata!G839,"Fungus surface"),EXACT(metadata!G839,"Fungus corpus"),EXACT(metadata!G839,"Animal surface"),EXACT(metadata!G839,"Animal proximal gut"),EXACT(metadata!G839,"Animal corpus"),EXACT(metadata!G839,"Animal distal gut"),EXACT(metadata!G839,"Animal secretion")))</f>
        <v>0</v>
      </c>
      <c r="AJ839" t="b">
        <f>OR(AND(IF(metadata!H839="",FALSE,TRUE),OR(EXACT(metadata!H839,"missing: not collected"),EXACT(metadata!H839,"missing: not provided"),EXACT(metadata!H839,"missing: restricted access"))),AND(IF(metadata!H839="",FALSE,TRUE),OR(EXACT(metadata!H839,"organism-associated habitat"),EXACT(metadata!H839,"plant-associated habitat"),EXACT(metadata!H839,"animal-associated habitat"),EXACT(metadata!H839,"insecta-associated habitat"),EXACT(metadata!H839,"mammalia-associated habitat"),EXACT(metadata!H839,"human-associated habitat"),EXACT(metadata!H839,"livestock-associated habitat"))))</f>
        <v>0</v>
      </c>
      <c r="AK839" t="b">
        <f>AND(IF(metadata!I839="",FALSE,TRUE),EXACT(metadata!I839,"host-associated"))</f>
        <v>0</v>
      </c>
      <c r="AL839" t="b">
        <f>OR(AND(IF(metadata!J839="",FALSE,TRUE),OR(EXACT(metadata!J839,"not applicable"),EXACT(metadata!J839,"missing: not collected"),EXACT(metadata!J839,"missing: not provided"),EXACT(metadata!J839,"missing: restricted access"))),AND(IF(metadata!J839="",FALSE,ISNUMBER(VALUE(metadata!J839))),metadata!J839&gt;0))</f>
        <v>0</v>
      </c>
      <c r="AM839" t="b">
        <f>AND(IF(metadata!K839="",FALSE,TRUE),EXACT(metadata!K839,"missing: not provided"))</f>
        <v>0</v>
      </c>
      <c r="AN839" t="b">
        <f>IF(metadata!L839="",FALSE,TRUE)</f>
        <v>0</v>
      </c>
      <c r="AO839" t="b">
        <f>IF(metadata!M839="",FALSE,TRUE)</f>
        <v>0</v>
      </c>
      <c r="AP839" t="b">
        <f>OR(AND(IF(metadata!N839="",FALSE,TRUE),OR(EXACT(metadata!N839,"not applicable"),EXACT(metadata!N839,"missing: not collected"),EXACT(metadata!N839,"missing: not provided"))),AND(IF(metadata!N839="",FALSE,IF(ISERROR(INT(metadata!N839)),FALSE,INT(metadata!N839)=metadata!N839)),metadata!N839&gt;0))</f>
        <v>0</v>
      </c>
      <c r="AQ839" t="b">
        <f>AND(IF(metadata!O839="",FALSE,TRUE),EXACT(metadata!O839,"Not applicable"))</f>
        <v>0</v>
      </c>
      <c r="AR839" t="b">
        <f>OR(AND(IF(metadata!P839="",FALSE,TRUE),OR(EXACT(metadata!P839,"not applicable"),EXACT(metadata!P839,"missing: not collected"),EXACT(metadata!P839,"missing: not provided"),EXACT(metadata!P839,"missing: restricted access"))),IF(metadata!P839="",FALSE,IF(ISERROR(INT(metadata!P839)),FALSE,INT(metadata!P839)=metadata!P839)))</f>
        <v>0</v>
      </c>
      <c r="AS839" t="b">
        <f>AND(IF(metadata!Q839="",FALSE,TRUE),EXACT(metadata!Q839,"Not applicable"))</f>
        <v>0</v>
      </c>
      <c r="AT839" t="b">
        <f>OR(AND(IF(metadata!R839="",FALSE,TRUE),OR(EXACT(metadata!R839,"not applicable"),EXACT(metadata!R839,"missing: not collected"),EXACT(metadata!R839,"missing: not provided"),EXACT(metadata!R839,"missing: restricted access"))),AND(IF(metadata!R839="",FALSE,ISNUMBER(VALUE(metadata!R839))),metadata!R839&gt;0))</f>
        <v>0</v>
      </c>
      <c r="AU839" t="b">
        <f>AND(IF(metadata!S839="",FALSE,TRUE),EXACT(metadata!S839,"missing: not provided"))</f>
        <v>0</v>
      </c>
    </row>
    <row r="840" spans="1:47" x14ac:dyDescent="0.2">
      <c r="A840" s="5" t="str">
        <f ca="1">IF(B840=" "," ",HYPERLINK(CONCATENATE("#metadata!",ADDRESS(INDEX($Y$2:$Y$1001,MATCH(ROWS($W$2:W840),$W$2:$W$1001,0),0),1)),INDEX($AB$2:$AB$1001,MATCH(ROWS($W$2:W840),$W$2:$W$1001,0),0)))</f>
        <v xml:space="preserve"> </v>
      </c>
      <c r="B840" s="4" t="str">
        <f ca="1">IF(OR(INDEX($X$2:$X$1001,MATCH(ROWS($W$2:W840),$W$2:$W$1001,0),1)&gt;=100000,INDEX($AD$1005:$AU$1005,1,MATCH(COLUMNS($AD$1006:AD1006),$AD$1006:$AU$1006,0))&gt;=100000), " ",IF(INDEX($AD$2:$AU$1001,MATCH(ROWS($W$2:W840),$W$2:$W$1001,0),MATCH(COLUMNS($AD$1006:AD1006),$AD$1006:$AU$1006,0)), HYPERLINK("#",""), HYPERLINK(CONCATENATE("#metadata!", ADDRESS(INDEX($Y$2:$Y$1001,MATCH(ROWS($W$2:W840),$W$2:$W$1001,0),0), INDEX($AD$1004:$AU$1004,1,MATCH(COLUMNS($AD$1006:AD1006),$AD$1006:$AU$1006,0)))),"Fix")))</f>
        <v xml:space="preserve"> </v>
      </c>
      <c r="C840" s="4" t="str">
        <f ca="1">IF(OR(INDEX($X$2:$X$1001,MATCH(ROWS($W$2:W840),$W$2:$W$1001,0),1)&gt;=100000,INDEX($AD$1005:$AU$1005,1,MATCH(COLUMNS($AD$1006:AE1006),$AD$1006:$AU$1006,0))&gt;=100000), " ",IF(INDEX($AD$2:$AU$1001,MATCH(ROWS($W$2:W840),$W$2:$W$1001,0),MATCH(COLUMNS($AD$1006:AE1006),$AD$1006:$AU$1006,0)), HYPERLINK("#",""), HYPERLINK(CONCATENATE("#metadata!", ADDRESS(INDEX($Y$2:$Y$1001,MATCH(ROWS($W$2:W840),$W$2:$W$1001,0),0), INDEX($AD$1004:$AU$1004,1,MATCH(COLUMNS($AD$1006:AE1006),$AD$1006:$AU$1006,0)))),"Fix")))</f>
        <v xml:space="preserve"> </v>
      </c>
      <c r="D840" s="4" t="str">
        <f ca="1">IF(OR(INDEX($X$2:$X$1001,MATCH(ROWS($W$2:W840),$W$2:$W$1001,0),1)&gt;=100000,INDEX($AD$1005:$AU$1005,1,MATCH(COLUMNS($AD$1006:AF1006),$AD$1006:$AU$1006,0))&gt;=100000), " ",IF(INDEX($AD$2:$AU$1001,MATCH(ROWS($W$2:W840),$W$2:$W$1001,0),MATCH(COLUMNS($AD$1006:AF1006),$AD$1006:$AU$1006,0)), HYPERLINK("#",""), HYPERLINK(CONCATENATE("#metadata!", ADDRESS(INDEX($Y$2:$Y$1001,MATCH(ROWS($W$2:W840),$W$2:$W$1001,0),0), INDEX($AD$1004:$AU$1004,1,MATCH(COLUMNS($AD$1006:AF1006),$AD$1006:$AU$1006,0)))),"Fix")))</f>
        <v xml:space="preserve"> </v>
      </c>
      <c r="E840" s="4" t="str">
        <f ca="1">IF(OR(INDEX($X$2:$X$1001,MATCH(ROWS($W$2:W840),$W$2:$W$1001,0),1)&gt;=100000,INDEX($AD$1005:$AU$1005,1,MATCH(COLUMNS($AD$1006:AG1006),$AD$1006:$AU$1006,0))&gt;=100000), " ",IF(INDEX($AD$2:$AU$1001,MATCH(ROWS($W$2:W840),$W$2:$W$1001,0),MATCH(COLUMNS($AD$1006:AG1006),$AD$1006:$AU$1006,0)), HYPERLINK("#",""), HYPERLINK(CONCATENATE("#metadata!", ADDRESS(INDEX($Y$2:$Y$1001,MATCH(ROWS($W$2:W840),$W$2:$W$1001,0),0), INDEX($AD$1004:$AU$1004,1,MATCH(COLUMNS($AD$1006:AG1006),$AD$1006:$AU$1006,0)))),"Fix")))</f>
        <v xml:space="preserve"> </v>
      </c>
      <c r="F840" s="4" t="str">
        <f ca="1">IF(OR(INDEX($X$2:$X$1001,MATCH(ROWS($W$2:W840),$W$2:$W$1001,0),1)&gt;=100000,INDEX($AD$1005:$AU$1005,1,MATCH(COLUMNS($AD$1006:AH1006),$AD$1006:$AU$1006,0))&gt;=100000), " ",IF(INDEX($AD$2:$AU$1001,MATCH(ROWS($W$2:W840),$W$2:$W$1001,0),MATCH(COLUMNS($AD$1006:AH1006),$AD$1006:$AU$1006,0)), HYPERLINK("#",""), HYPERLINK(CONCATENATE("#metadata!", ADDRESS(INDEX($Y$2:$Y$1001,MATCH(ROWS($W$2:W840),$W$2:$W$1001,0),0), INDEX($AD$1004:$AU$1004,1,MATCH(COLUMNS($AD$1006:AH1006),$AD$1006:$AU$1006,0)))),"Fix")))</f>
        <v xml:space="preserve"> </v>
      </c>
      <c r="G840" s="4" t="str">
        <f ca="1">IF(OR(INDEX($X$2:$X$1001,MATCH(ROWS($W$2:W840),$W$2:$W$1001,0),1)&gt;=100000,INDEX($AD$1005:$AU$1005,1,MATCH(COLUMNS($AD$1006:AI1006),$AD$1006:$AU$1006,0))&gt;=100000), " ",IF(INDEX($AD$2:$AU$1001,MATCH(ROWS($W$2:W840),$W$2:$W$1001,0),MATCH(COLUMNS($AD$1006:AI1006),$AD$1006:$AU$1006,0)), HYPERLINK("#",""), HYPERLINK(CONCATENATE("#metadata!", ADDRESS(INDEX($Y$2:$Y$1001,MATCH(ROWS($W$2:W840),$W$2:$W$1001,0),0), INDEX($AD$1004:$AU$1004,1,MATCH(COLUMNS($AD$1006:AI1006),$AD$1006:$AU$1006,0)))),"Fix")))</f>
        <v xml:space="preserve"> </v>
      </c>
      <c r="H840" s="4" t="str">
        <f ca="1">IF(OR(INDEX($X$2:$X$1001,MATCH(ROWS($W$2:W840),$W$2:$W$1001,0),1)&gt;=100000,INDEX($AD$1005:$AU$1005,1,MATCH(COLUMNS($AD$1006:AJ1006),$AD$1006:$AU$1006,0))&gt;=100000), " ",IF(INDEX($AD$2:$AU$1001,MATCH(ROWS($W$2:W840),$W$2:$W$1001,0),MATCH(COLUMNS($AD$1006:AJ1006),$AD$1006:$AU$1006,0)), HYPERLINK("#",""), HYPERLINK(CONCATENATE("#metadata!", ADDRESS(INDEX($Y$2:$Y$1001,MATCH(ROWS($W$2:W840),$W$2:$W$1001,0),0), INDEX($AD$1004:$AU$1004,1,MATCH(COLUMNS($AD$1006:AJ1006),$AD$1006:$AU$1006,0)))),"Fix")))</f>
        <v xml:space="preserve"> </v>
      </c>
      <c r="I840" s="4" t="str">
        <f ca="1">IF(OR(INDEX($X$2:$X$1001,MATCH(ROWS($W$2:W840),$W$2:$W$1001,0),1)&gt;=100000,INDEX($AD$1005:$AU$1005,1,MATCH(COLUMNS($AD$1006:AK1006),$AD$1006:$AU$1006,0))&gt;=100000), " ",IF(INDEX($AD$2:$AU$1001,MATCH(ROWS($W$2:W840),$W$2:$W$1001,0),MATCH(COLUMNS($AD$1006:AK1006),$AD$1006:$AU$1006,0)), HYPERLINK("#",""), HYPERLINK(CONCATENATE("#metadata!", ADDRESS(INDEX($Y$2:$Y$1001,MATCH(ROWS($W$2:W840),$W$2:$W$1001,0),0), INDEX($AD$1004:$AU$1004,1,MATCH(COLUMNS($AD$1006:AK1006),$AD$1006:$AU$1006,0)))),"Fix")))</f>
        <v xml:space="preserve"> </v>
      </c>
      <c r="J840" s="4" t="str">
        <f ca="1">IF(OR(INDEX($X$2:$X$1001,MATCH(ROWS($W$2:W840),$W$2:$W$1001,0),1)&gt;=100000,INDEX($AD$1005:$AU$1005,1,MATCH(COLUMNS($AD$1006:AL1006),$AD$1006:$AU$1006,0))&gt;=100000), " ",IF(INDEX($AD$2:$AU$1001,MATCH(ROWS($W$2:W840),$W$2:$W$1001,0),MATCH(COLUMNS($AD$1006:AL1006),$AD$1006:$AU$1006,0)), HYPERLINK("#",""), HYPERLINK(CONCATENATE("#metadata!", ADDRESS(INDEX($Y$2:$Y$1001,MATCH(ROWS($W$2:W840),$W$2:$W$1001,0),0), INDEX($AD$1004:$AU$1004,1,MATCH(COLUMNS($AD$1006:AL1006),$AD$1006:$AU$1006,0)))),"Fix")))</f>
        <v xml:space="preserve"> </v>
      </c>
      <c r="K840" s="4" t="str">
        <f ca="1">IF(OR(INDEX($X$2:$X$1001,MATCH(ROWS($W$2:W840),$W$2:$W$1001,0),1)&gt;=100000,INDEX($AD$1005:$AU$1005,1,MATCH(COLUMNS($AD$1006:AM1006),$AD$1006:$AU$1006,0))&gt;=100000), " ",IF(INDEX($AD$2:$AU$1001,MATCH(ROWS($W$2:W840),$W$2:$W$1001,0),MATCH(COLUMNS($AD$1006:AM1006),$AD$1006:$AU$1006,0)), HYPERLINK("#",""), HYPERLINK(CONCATENATE("#metadata!", ADDRESS(INDEX($Y$2:$Y$1001,MATCH(ROWS($W$2:W840),$W$2:$W$1001,0),0), INDEX($AD$1004:$AU$1004,1,MATCH(COLUMNS($AD$1006:AM1006),$AD$1006:$AU$1006,0)))),"Fix")))</f>
        <v xml:space="preserve"> </v>
      </c>
      <c r="L840" s="4" t="str">
        <f ca="1">IF(OR(INDEX($X$2:$X$1001,MATCH(ROWS($W$2:W840),$W$2:$W$1001,0),1)&gt;=100000,INDEX($AD$1005:$AU$1005,1,MATCH(COLUMNS($AD$1006:AN1006),$AD$1006:$AU$1006,0))&gt;=100000), " ",IF(INDEX($AD$2:$AU$1001,MATCH(ROWS($W$2:W840),$W$2:$W$1001,0),MATCH(COLUMNS($AD$1006:AN1006),$AD$1006:$AU$1006,0)), HYPERLINK("#",""), HYPERLINK(CONCATENATE("#metadata!", ADDRESS(INDEX($Y$2:$Y$1001,MATCH(ROWS($W$2:W840),$W$2:$W$1001,0),0), INDEX($AD$1004:$AU$1004,1,MATCH(COLUMNS($AD$1006:AN1006),$AD$1006:$AU$1006,0)))),"Fix")))</f>
        <v xml:space="preserve"> </v>
      </c>
      <c r="M840" s="4" t="str">
        <f ca="1">IF(OR(INDEX($X$2:$X$1001,MATCH(ROWS($W$2:W840),$W$2:$W$1001,0),1)&gt;=100000,INDEX($AD$1005:$AU$1005,1,MATCH(COLUMNS($AD$1006:AO1006),$AD$1006:$AU$1006,0))&gt;=100000), " ",IF(INDEX($AD$2:$AU$1001,MATCH(ROWS($W$2:W840),$W$2:$W$1001,0),MATCH(COLUMNS($AD$1006:AO1006),$AD$1006:$AU$1006,0)), HYPERLINK("#",""), HYPERLINK(CONCATENATE("#metadata!", ADDRESS(INDEX($Y$2:$Y$1001,MATCH(ROWS($W$2:W840),$W$2:$W$1001,0),0), INDEX($AD$1004:$AU$1004,1,MATCH(COLUMNS($AD$1006:AO1006),$AD$1006:$AU$1006,0)))),"Fix")))</f>
        <v xml:space="preserve"> </v>
      </c>
      <c r="N840" s="4" t="str">
        <f ca="1">IF(OR(INDEX($X$2:$X$1001,MATCH(ROWS($W$2:W840),$W$2:$W$1001,0),1)&gt;=100000,INDEX($AD$1005:$AU$1005,1,MATCH(COLUMNS($AD$1006:AP1006),$AD$1006:$AU$1006,0))&gt;=100000), " ",IF(INDEX($AD$2:$AU$1001,MATCH(ROWS($W$2:W840),$W$2:$W$1001,0),MATCH(COLUMNS($AD$1006:AP1006),$AD$1006:$AU$1006,0)), HYPERLINK("#",""), HYPERLINK(CONCATENATE("#metadata!", ADDRESS(INDEX($Y$2:$Y$1001,MATCH(ROWS($W$2:W840),$W$2:$W$1001,0),0), INDEX($AD$1004:$AU$1004,1,MATCH(COLUMNS($AD$1006:AP1006),$AD$1006:$AU$1006,0)))),"Fix")))</f>
        <v xml:space="preserve"> </v>
      </c>
      <c r="O840" s="4" t="str">
        <f ca="1">IF(OR(INDEX($X$2:$X$1001,MATCH(ROWS($W$2:W840),$W$2:$W$1001,0),1)&gt;=100000,INDEX($AD$1005:$AU$1005,1,MATCH(COLUMNS($AD$1006:AQ1006),$AD$1006:$AU$1006,0))&gt;=100000), " ",IF(INDEX($AD$2:$AU$1001,MATCH(ROWS($W$2:W840),$W$2:$W$1001,0),MATCH(COLUMNS($AD$1006:AQ1006),$AD$1006:$AU$1006,0)), HYPERLINK("#",""), HYPERLINK(CONCATENATE("#metadata!", ADDRESS(INDEX($Y$2:$Y$1001,MATCH(ROWS($W$2:W840),$W$2:$W$1001,0),0), INDEX($AD$1004:$AU$1004,1,MATCH(COLUMNS($AD$1006:AQ1006),$AD$1006:$AU$1006,0)))),"Fix")))</f>
        <v xml:space="preserve"> </v>
      </c>
      <c r="P840" s="4" t="str">
        <f ca="1">IF(OR(INDEX($X$2:$X$1001,MATCH(ROWS($W$2:W840),$W$2:$W$1001,0),1)&gt;=100000,INDEX($AD$1005:$AU$1005,1,MATCH(COLUMNS($AD$1006:AR1006),$AD$1006:$AU$1006,0))&gt;=100000), " ",IF(INDEX($AD$2:$AU$1001,MATCH(ROWS($W$2:W840),$W$2:$W$1001,0),MATCH(COLUMNS($AD$1006:AR1006),$AD$1006:$AU$1006,0)), HYPERLINK("#",""), HYPERLINK(CONCATENATE("#metadata!", ADDRESS(INDEX($Y$2:$Y$1001,MATCH(ROWS($W$2:W840),$W$2:$W$1001,0),0), INDEX($AD$1004:$AU$1004,1,MATCH(COLUMNS($AD$1006:AR1006),$AD$1006:$AU$1006,0)))),"Fix")))</f>
        <v xml:space="preserve"> </v>
      </c>
      <c r="Q840" s="4" t="str">
        <f ca="1">IF(OR(INDEX($X$2:$X$1001,MATCH(ROWS($W$2:W840),$W$2:$W$1001,0),1)&gt;=100000,INDEX($AD$1005:$AU$1005,1,MATCH(COLUMNS($AD$1006:AS1006),$AD$1006:$AU$1006,0))&gt;=100000), " ",IF(INDEX($AD$2:$AU$1001,MATCH(ROWS($W$2:W840),$W$2:$W$1001,0),MATCH(COLUMNS($AD$1006:AS1006),$AD$1006:$AU$1006,0)), HYPERLINK("#",""), HYPERLINK(CONCATENATE("#metadata!", ADDRESS(INDEX($Y$2:$Y$1001,MATCH(ROWS($W$2:W840),$W$2:$W$1001,0),0), INDEX($AD$1004:$AU$1004,1,MATCH(COLUMNS($AD$1006:AS1006),$AD$1006:$AU$1006,0)))),"Fix")))</f>
        <v xml:space="preserve"> </v>
      </c>
      <c r="R840" s="4" t="str">
        <f ca="1">IF(OR(INDEX($X$2:$X$1001,MATCH(ROWS($W$2:W840),$W$2:$W$1001,0),1)&gt;=100000,INDEX($AD$1005:$AU$1005,1,MATCH(COLUMNS($AD$1006:AT1006),$AD$1006:$AU$1006,0))&gt;=100000), " ",IF(INDEX($AD$2:$AU$1001,MATCH(ROWS($W$2:W840),$W$2:$W$1001,0),MATCH(COLUMNS($AD$1006:AT1006),$AD$1006:$AU$1006,0)), HYPERLINK("#",""), HYPERLINK(CONCATENATE("#metadata!", ADDRESS(INDEX($Y$2:$Y$1001,MATCH(ROWS($W$2:W840),$W$2:$W$1001,0),0), INDEX($AD$1004:$AU$1004,1,MATCH(COLUMNS($AD$1006:AT1006),$AD$1006:$AU$1006,0)))),"Fix")))</f>
        <v xml:space="preserve"> </v>
      </c>
      <c r="S840" s="4" t="str">
        <f ca="1">IF(OR(INDEX($X$2:$X$1001,MATCH(ROWS($W$2:W840),$W$2:$W$1001,0),1)&gt;=100000,INDEX($AD$1005:$AU$1005,1,MATCH(COLUMNS($AD$1006:AU1006),$AD$1006:$AU$1006,0))&gt;=100000), " ",IF(INDEX($AD$2:$AU$1001,MATCH(ROWS($W$2:W840),$W$2:$W$1001,0),MATCH(COLUMNS($AD$1006:AU1006),$AD$1006:$AU$1006,0)), HYPERLINK("#",""), HYPERLINK(CONCATENATE("#metadata!", ADDRESS(INDEX($Y$2:$Y$1001,MATCH(ROWS($W$2:W840),$W$2:$W$1001,0),0), INDEX($AD$1004:$AU$1004,1,MATCH(COLUMNS($AD$1006:AU1006),$AD$1006:$AU$1006,0)))),"Fix")))</f>
        <v xml:space="preserve"> </v>
      </c>
      <c r="W840">
        <v>839</v>
      </c>
      <c r="X840">
        <v>100840</v>
      </c>
      <c r="Y840">
        <v>840</v>
      </c>
      <c r="Z840" t="b">
        <f t="shared" si="13"/>
        <v>1</v>
      </c>
      <c r="AA840" t="b">
        <f>COUNTBLANK(metadata!B840:S840)=COLUMNS(metadata!B840:S840)</f>
        <v>1</v>
      </c>
      <c r="AB840" t="str">
        <v/>
      </c>
      <c r="AD840" t="b">
        <f ca="1">AND(IF(metadata!B840="",FALSE,TRUE),COUNTIF(metadata!B:B, metadata!B840) = 1,NOT(ISERROR(SUMPRODUCT(SEARCH(MID(metadata!B840,ROW(INDIRECT("1:"&amp;LEN(metadata!B840))), 1),"0123456789abcdefghijklmnopqrstuvwxyzABCDEFGHIJKLMNOPQRSTUVWXYZ.")))))</f>
        <v>0</v>
      </c>
      <c r="AE840" t="b">
        <f>OR(AND(IF(metadata!C840="",FALSE,TRUE),OR(EXACT(metadata!C840,"not applicable"),EXACT(metadata!C840,"missing: not collected"),EXACT(metadata!C840,"missing: not provided"),EXACT(metadata!C840,"missing: restricted access"))),AND(IF(metadata!C840="",FALSE,ISNUMBER(VALUE(metadata!C840))),metadata!C840&gt;0))</f>
        <v>0</v>
      </c>
      <c r="AF840" t="b">
        <f>AND(IF(metadata!D840="",FALSE,TRUE),EXACT(metadata!D840,"missing: not provided"))</f>
        <v>0</v>
      </c>
      <c r="AG840" t="b">
        <f>AND(IF(metadata!E840="",FALSE,TRUE),EXACT(metadata!E840,"Host-associated"))</f>
        <v>0</v>
      </c>
      <c r="AH840" t="b">
        <f>AND(IF(metadata!F840="",FALSE,TRUE),OR(EXACT(metadata!F840,"Animal"),EXACT(metadata!F840,"Fungus"),EXACT(metadata!F840,"Plant")))</f>
        <v>0</v>
      </c>
      <c r="AI840" t="b">
        <f>AND(IF(metadata!G840="",FALSE,TRUE),OR(EXACT(metadata!G840,"Plant secretion"),EXACT(metadata!G840,"Plant rhizosphere"),EXACT(metadata!G840,"Plant surface"),EXACT(metadata!G840,"Plant corpus"),EXACT(metadata!G840,"Fungus surface"),EXACT(metadata!G840,"Fungus corpus"),EXACT(metadata!G840,"Animal surface"),EXACT(metadata!G840,"Animal proximal gut"),EXACT(metadata!G840,"Animal corpus"),EXACT(metadata!G840,"Animal distal gut"),EXACT(metadata!G840,"Animal secretion")))</f>
        <v>0</v>
      </c>
      <c r="AJ840" t="b">
        <f>OR(AND(IF(metadata!H840="",FALSE,TRUE),OR(EXACT(metadata!H840,"missing: not collected"),EXACT(metadata!H840,"missing: not provided"),EXACT(metadata!H840,"missing: restricted access"))),AND(IF(metadata!H840="",FALSE,TRUE),OR(EXACT(metadata!H840,"organism-associated habitat"),EXACT(metadata!H840,"plant-associated habitat"),EXACT(metadata!H840,"animal-associated habitat"),EXACT(metadata!H840,"insecta-associated habitat"),EXACT(metadata!H840,"mammalia-associated habitat"),EXACT(metadata!H840,"human-associated habitat"),EXACT(metadata!H840,"livestock-associated habitat"))))</f>
        <v>0</v>
      </c>
      <c r="AK840" t="b">
        <f>AND(IF(metadata!I840="",FALSE,TRUE),EXACT(metadata!I840,"host-associated"))</f>
        <v>0</v>
      </c>
      <c r="AL840" t="b">
        <f>OR(AND(IF(metadata!J840="",FALSE,TRUE),OR(EXACT(metadata!J840,"not applicable"),EXACT(metadata!J840,"missing: not collected"),EXACT(metadata!J840,"missing: not provided"),EXACT(metadata!J840,"missing: restricted access"))),AND(IF(metadata!J840="",FALSE,ISNUMBER(VALUE(metadata!J840))),metadata!J840&gt;0))</f>
        <v>0</v>
      </c>
      <c r="AM840" t="b">
        <f>AND(IF(metadata!K840="",FALSE,TRUE),EXACT(metadata!K840,"missing: not provided"))</f>
        <v>0</v>
      </c>
      <c r="AN840" t="b">
        <f>IF(metadata!L840="",FALSE,TRUE)</f>
        <v>0</v>
      </c>
      <c r="AO840" t="b">
        <f>IF(metadata!M840="",FALSE,TRUE)</f>
        <v>0</v>
      </c>
      <c r="AP840" t="b">
        <f>OR(AND(IF(metadata!N840="",FALSE,TRUE),OR(EXACT(metadata!N840,"not applicable"),EXACT(metadata!N840,"missing: not collected"),EXACT(metadata!N840,"missing: not provided"))),AND(IF(metadata!N840="",FALSE,IF(ISERROR(INT(metadata!N840)),FALSE,INT(metadata!N840)=metadata!N840)),metadata!N840&gt;0))</f>
        <v>0</v>
      </c>
      <c r="AQ840" t="b">
        <f>AND(IF(metadata!O840="",FALSE,TRUE),EXACT(metadata!O840,"Not applicable"))</f>
        <v>0</v>
      </c>
      <c r="AR840" t="b">
        <f>OR(AND(IF(metadata!P840="",FALSE,TRUE),OR(EXACT(metadata!P840,"not applicable"),EXACT(metadata!P840,"missing: not collected"),EXACT(metadata!P840,"missing: not provided"),EXACT(metadata!P840,"missing: restricted access"))),IF(metadata!P840="",FALSE,IF(ISERROR(INT(metadata!P840)),FALSE,INT(metadata!P840)=metadata!P840)))</f>
        <v>0</v>
      </c>
      <c r="AS840" t="b">
        <f>AND(IF(metadata!Q840="",FALSE,TRUE),EXACT(metadata!Q840,"Not applicable"))</f>
        <v>0</v>
      </c>
      <c r="AT840" t="b">
        <f>OR(AND(IF(metadata!R840="",FALSE,TRUE),OR(EXACT(metadata!R840,"not applicable"),EXACT(metadata!R840,"missing: not collected"),EXACT(metadata!R840,"missing: not provided"),EXACT(metadata!R840,"missing: restricted access"))),AND(IF(metadata!R840="",FALSE,ISNUMBER(VALUE(metadata!R840))),metadata!R840&gt;0))</f>
        <v>0</v>
      </c>
      <c r="AU840" t="b">
        <f>AND(IF(metadata!S840="",FALSE,TRUE),EXACT(metadata!S840,"missing: not provided"))</f>
        <v>0</v>
      </c>
    </row>
    <row r="841" spans="1:47" x14ac:dyDescent="0.2">
      <c r="A841" s="5" t="str">
        <f ca="1">IF(B841=" "," ",HYPERLINK(CONCATENATE("#metadata!",ADDRESS(INDEX($Y$2:$Y$1001,MATCH(ROWS($W$2:W841),$W$2:$W$1001,0),0),1)),INDEX($AB$2:$AB$1001,MATCH(ROWS($W$2:W841),$W$2:$W$1001,0),0)))</f>
        <v xml:space="preserve"> </v>
      </c>
      <c r="B841" s="4" t="str">
        <f ca="1">IF(OR(INDEX($X$2:$X$1001,MATCH(ROWS($W$2:W841),$W$2:$W$1001,0),1)&gt;=100000,INDEX($AD$1005:$AU$1005,1,MATCH(COLUMNS($AD$1006:AD1006),$AD$1006:$AU$1006,0))&gt;=100000), " ",IF(INDEX($AD$2:$AU$1001,MATCH(ROWS($W$2:W841),$W$2:$W$1001,0),MATCH(COLUMNS($AD$1006:AD1006),$AD$1006:$AU$1006,0)), HYPERLINK("#",""), HYPERLINK(CONCATENATE("#metadata!", ADDRESS(INDEX($Y$2:$Y$1001,MATCH(ROWS($W$2:W841),$W$2:$W$1001,0),0), INDEX($AD$1004:$AU$1004,1,MATCH(COLUMNS($AD$1006:AD1006),$AD$1006:$AU$1006,0)))),"Fix")))</f>
        <v xml:space="preserve"> </v>
      </c>
      <c r="C841" s="4" t="str">
        <f ca="1">IF(OR(INDEX($X$2:$X$1001,MATCH(ROWS($W$2:W841),$W$2:$W$1001,0),1)&gt;=100000,INDEX($AD$1005:$AU$1005,1,MATCH(COLUMNS($AD$1006:AE1006),$AD$1006:$AU$1006,0))&gt;=100000), " ",IF(INDEX($AD$2:$AU$1001,MATCH(ROWS($W$2:W841),$W$2:$W$1001,0),MATCH(COLUMNS($AD$1006:AE1006),$AD$1006:$AU$1006,0)), HYPERLINK("#",""), HYPERLINK(CONCATENATE("#metadata!", ADDRESS(INDEX($Y$2:$Y$1001,MATCH(ROWS($W$2:W841),$W$2:$W$1001,0),0), INDEX($AD$1004:$AU$1004,1,MATCH(COLUMNS($AD$1006:AE1006),$AD$1006:$AU$1006,0)))),"Fix")))</f>
        <v xml:space="preserve"> </v>
      </c>
      <c r="D841" s="4" t="str">
        <f ca="1">IF(OR(INDEX($X$2:$X$1001,MATCH(ROWS($W$2:W841),$W$2:$W$1001,0),1)&gt;=100000,INDEX($AD$1005:$AU$1005,1,MATCH(COLUMNS($AD$1006:AF1006),$AD$1006:$AU$1006,0))&gt;=100000), " ",IF(INDEX($AD$2:$AU$1001,MATCH(ROWS($W$2:W841),$W$2:$W$1001,0),MATCH(COLUMNS($AD$1006:AF1006),$AD$1006:$AU$1006,0)), HYPERLINK("#",""), HYPERLINK(CONCATENATE("#metadata!", ADDRESS(INDEX($Y$2:$Y$1001,MATCH(ROWS($W$2:W841),$W$2:$W$1001,0),0), INDEX($AD$1004:$AU$1004,1,MATCH(COLUMNS($AD$1006:AF1006),$AD$1006:$AU$1006,0)))),"Fix")))</f>
        <v xml:space="preserve"> </v>
      </c>
      <c r="E841" s="4" t="str">
        <f ca="1">IF(OR(INDEX($X$2:$X$1001,MATCH(ROWS($W$2:W841),$W$2:$W$1001,0),1)&gt;=100000,INDEX($AD$1005:$AU$1005,1,MATCH(COLUMNS($AD$1006:AG1006),$AD$1006:$AU$1006,0))&gt;=100000), " ",IF(INDEX($AD$2:$AU$1001,MATCH(ROWS($W$2:W841),$W$2:$W$1001,0),MATCH(COLUMNS($AD$1006:AG1006),$AD$1006:$AU$1006,0)), HYPERLINK("#",""), HYPERLINK(CONCATENATE("#metadata!", ADDRESS(INDEX($Y$2:$Y$1001,MATCH(ROWS($W$2:W841),$W$2:$W$1001,0),0), INDEX($AD$1004:$AU$1004,1,MATCH(COLUMNS($AD$1006:AG1006),$AD$1006:$AU$1006,0)))),"Fix")))</f>
        <v xml:space="preserve"> </v>
      </c>
      <c r="F841" s="4" t="str">
        <f ca="1">IF(OR(INDEX($X$2:$X$1001,MATCH(ROWS($W$2:W841),$W$2:$W$1001,0),1)&gt;=100000,INDEX($AD$1005:$AU$1005,1,MATCH(COLUMNS($AD$1006:AH1006),$AD$1006:$AU$1006,0))&gt;=100000), " ",IF(INDEX($AD$2:$AU$1001,MATCH(ROWS($W$2:W841),$W$2:$W$1001,0),MATCH(COLUMNS($AD$1006:AH1006),$AD$1006:$AU$1006,0)), HYPERLINK("#",""), HYPERLINK(CONCATENATE("#metadata!", ADDRESS(INDEX($Y$2:$Y$1001,MATCH(ROWS($W$2:W841),$W$2:$W$1001,0),0), INDEX($AD$1004:$AU$1004,1,MATCH(COLUMNS($AD$1006:AH1006),$AD$1006:$AU$1006,0)))),"Fix")))</f>
        <v xml:space="preserve"> </v>
      </c>
      <c r="G841" s="4" t="str">
        <f ca="1">IF(OR(INDEX($X$2:$X$1001,MATCH(ROWS($W$2:W841),$W$2:$W$1001,0),1)&gt;=100000,INDEX($AD$1005:$AU$1005,1,MATCH(COLUMNS($AD$1006:AI1006),$AD$1006:$AU$1006,0))&gt;=100000), " ",IF(INDEX($AD$2:$AU$1001,MATCH(ROWS($W$2:W841),$W$2:$W$1001,0),MATCH(COLUMNS($AD$1006:AI1006),$AD$1006:$AU$1006,0)), HYPERLINK("#",""), HYPERLINK(CONCATENATE("#metadata!", ADDRESS(INDEX($Y$2:$Y$1001,MATCH(ROWS($W$2:W841),$W$2:$W$1001,0),0), INDEX($AD$1004:$AU$1004,1,MATCH(COLUMNS($AD$1006:AI1006),$AD$1006:$AU$1006,0)))),"Fix")))</f>
        <v xml:space="preserve"> </v>
      </c>
      <c r="H841" s="4" t="str">
        <f ca="1">IF(OR(INDEX($X$2:$X$1001,MATCH(ROWS($W$2:W841),$W$2:$W$1001,0),1)&gt;=100000,INDEX($AD$1005:$AU$1005,1,MATCH(COLUMNS($AD$1006:AJ1006),$AD$1006:$AU$1006,0))&gt;=100000), " ",IF(INDEX($AD$2:$AU$1001,MATCH(ROWS($W$2:W841),$W$2:$W$1001,0),MATCH(COLUMNS($AD$1006:AJ1006),$AD$1006:$AU$1006,0)), HYPERLINK("#",""), HYPERLINK(CONCATENATE("#metadata!", ADDRESS(INDEX($Y$2:$Y$1001,MATCH(ROWS($W$2:W841),$W$2:$W$1001,0),0), INDEX($AD$1004:$AU$1004,1,MATCH(COLUMNS($AD$1006:AJ1006),$AD$1006:$AU$1006,0)))),"Fix")))</f>
        <v xml:space="preserve"> </v>
      </c>
      <c r="I841" s="4" t="str">
        <f ca="1">IF(OR(INDEX($X$2:$X$1001,MATCH(ROWS($W$2:W841),$W$2:$W$1001,0),1)&gt;=100000,INDEX($AD$1005:$AU$1005,1,MATCH(COLUMNS($AD$1006:AK1006),$AD$1006:$AU$1006,0))&gt;=100000), " ",IF(INDEX($AD$2:$AU$1001,MATCH(ROWS($W$2:W841),$W$2:$W$1001,0),MATCH(COLUMNS($AD$1006:AK1006),$AD$1006:$AU$1006,0)), HYPERLINK("#",""), HYPERLINK(CONCATENATE("#metadata!", ADDRESS(INDEX($Y$2:$Y$1001,MATCH(ROWS($W$2:W841),$W$2:$W$1001,0),0), INDEX($AD$1004:$AU$1004,1,MATCH(COLUMNS($AD$1006:AK1006),$AD$1006:$AU$1006,0)))),"Fix")))</f>
        <v xml:space="preserve"> </v>
      </c>
      <c r="J841" s="4" t="str">
        <f ca="1">IF(OR(INDEX($X$2:$X$1001,MATCH(ROWS($W$2:W841),$W$2:$W$1001,0),1)&gt;=100000,INDEX($AD$1005:$AU$1005,1,MATCH(COLUMNS($AD$1006:AL1006),$AD$1006:$AU$1006,0))&gt;=100000), " ",IF(INDEX($AD$2:$AU$1001,MATCH(ROWS($W$2:W841),$W$2:$W$1001,0),MATCH(COLUMNS($AD$1006:AL1006),$AD$1006:$AU$1006,0)), HYPERLINK("#",""), HYPERLINK(CONCATENATE("#metadata!", ADDRESS(INDEX($Y$2:$Y$1001,MATCH(ROWS($W$2:W841),$W$2:$W$1001,0),0), INDEX($AD$1004:$AU$1004,1,MATCH(COLUMNS($AD$1006:AL1006),$AD$1006:$AU$1006,0)))),"Fix")))</f>
        <v xml:space="preserve"> </v>
      </c>
      <c r="K841" s="4" t="str">
        <f ca="1">IF(OR(INDEX($X$2:$X$1001,MATCH(ROWS($W$2:W841),$W$2:$W$1001,0),1)&gt;=100000,INDEX($AD$1005:$AU$1005,1,MATCH(COLUMNS($AD$1006:AM1006),$AD$1006:$AU$1006,0))&gt;=100000), " ",IF(INDEX($AD$2:$AU$1001,MATCH(ROWS($W$2:W841),$W$2:$W$1001,0),MATCH(COLUMNS($AD$1006:AM1006),$AD$1006:$AU$1006,0)), HYPERLINK("#",""), HYPERLINK(CONCATENATE("#metadata!", ADDRESS(INDEX($Y$2:$Y$1001,MATCH(ROWS($W$2:W841),$W$2:$W$1001,0),0), INDEX($AD$1004:$AU$1004,1,MATCH(COLUMNS($AD$1006:AM1006),$AD$1006:$AU$1006,0)))),"Fix")))</f>
        <v xml:space="preserve"> </v>
      </c>
      <c r="L841" s="4" t="str">
        <f ca="1">IF(OR(INDEX($X$2:$X$1001,MATCH(ROWS($W$2:W841),$W$2:$W$1001,0),1)&gt;=100000,INDEX($AD$1005:$AU$1005,1,MATCH(COLUMNS($AD$1006:AN1006),$AD$1006:$AU$1006,0))&gt;=100000), " ",IF(INDEX($AD$2:$AU$1001,MATCH(ROWS($W$2:W841),$W$2:$W$1001,0),MATCH(COLUMNS($AD$1006:AN1006),$AD$1006:$AU$1006,0)), HYPERLINK("#",""), HYPERLINK(CONCATENATE("#metadata!", ADDRESS(INDEX($Y$2:$Y$1001,MATCH(ROWS($W$2:W841),$W$2:$W$1001,0),0), INDEX($AD$1004:$AU$1004,1,MATCH(COLUMNS($AD$1006:AN1006),$AD$1006:$AU$1006,0)))),"Fix")))</f>
        <v xml:space="preserve"> </v>
      </c>
      <c r="M841" s="4" t="str">
        <f ca="1">IF(OR(INDEX($X$2:$X$1001,MATCH(ROWS($W$2:W841),$W$2:$W$1001,0),1)&gt;=100000,INDEX($AD$1005:$AU$1005,1,MATCH(COLUMNS($AD$1006:AO1006),$AD$1006:$AU$1006,0))&gt;=100000), " ",IF(INDEX($AD$2:$AU$1001,MATCH(ROWS($W$2:W841),$W$2:$W$1001,0),MATCH(COLUMNS($AD$1006:AO1006),$AD$1006:$AU$1006,0)), HYPERLINK("#",""), HYPERLINK(CONCATENATE("#metadata!", ADDRESS(INDEX($Y$2:$Y$1001,MATCH(ROWS($W$2:W841),$W$2:$W$1001,0),0), INDEX($AD$1004:$AU$1004,1,MATCH(COLUMNS($AD$1006:AO1006),$AD$1006:$AU$1006,0)))),"Fix")))</f>
        <v xml:space="preserve"> </v>
      </c>
      <c r="N841" s="4" t="str">
        <f ca="1">IF(OR(INDEX($X$2:$X$1001,MATCH(ROWS($W$2:W841),$W$2:$W$1001,0),1)&gt;=100000,INDEX($AD$1005:$AU$1005,1,MATCH(COLUMNS($AD$1006:AP1006),$AD$1006:$AU$1006,0))&gt;=100000), " ",IF(INDEX($AD$2:$AU$1001,MATCH(ROWS($W$2:W841),$W$2:$W$1001,0),MATCH(COLUMNS($AD$1006:AP1006),$AD$1006:$AU$1006,0)), HYPERLINK("#",""), HYPERLINK(CONCATENATE("#metadata!", ADDRESS(INDEX($Y$2:$Y$1001,MATCH(ROWS($W$2:W841),$W$2:$W$1001,0),0), INDEX($AD$1004:$AU$1004,1,MATCH(COLUMNS($AD$1006:AP1006),$AD$1006:$AU$1006,0)))),"Fix")))</f>
        <v xml:space="preserve"> </v>
      </c>
      <c r="O841" s="4" t="str">
        <f ca="1">IF(OR(INDEX($X$2:$X$1001,MATCH(ROWS($W$2:W841),$W$2:$W$1001,0),1)&gt;=100000,INDEX($AD$1005:$AU$1005,1,MATCH(COLUMNS($AD$1006:AQ1006),$AD$1006:$AU$1006,0))&gt;=100000), " ",IF(INDEX($AD$2:$AU$1001,MATCH(ROWS($W$2:W841),$W$2:$W$1001,0),MATCH(COLUMNS($AD$1006:AQ1006),$AD$1006:$AU$1006,0)), HYPERLINK("#",""), HYPERLINK(CONCATENATE("#metadata!", ADDRESS(INDEX($Y$2:$Y$1001,MATCH(ROWS($W$2:W841),$W$2:$W$1001,0),0), INDEX($AD$1004:$AU$1004,1,MATCH(COLUMNS($AD$1006:AQ1006),$AD$1006:$AU$1006,0)))),"Fix")))</f>
        <v xml:space="preserve"> </v>
      </c>
      <c r="P841" s="4" t="str">
        <f ca="1">IF(OR(INDEX($X$2:$X$1001,MATCH(ROWS($W$2:W841),$W$2:$W$1001,0),1)&gt;=100000,INDEX($AD$1005:$AU$1005,1,MATCH(COLUMNS($AD$1006:AR1006),$AD$1006:$AU$1006,0))&gt;=100000), " ",IF(INDEX($AD$2:$AU$1001,MATCH(ROWS($W$2:W841),$W$2:$W$1001,0),MATCH(COLUMNS($AD$1006:AR1006),$AD$1006:$AU$1006,0)), HYPERLINK("#",""), HYPERLINK(CONCATENATE("#metadata!", ADDRESS(INDEX($Y$2:$Y$1001,MATCH(ROWS($W$2:W841),$W$2:$W$1001,0),0), INDEX($AD$1004:$AU$1004,1,MATCH(COLUMNS($AD$1006:AR1006),$AD$1006:$AU$1006,0)))),"Fix")))</f>
        <v xml:space="preserve"> </v>
      </c>
      <c r="Q841" s="4" t="str">
        <f ca="1">IF(OR(INDEX($X$2:$X$1001,MATCH(ROWS($W$2:W841),$W$2:$W$1001,0),1)&gt;=100000,INDEX($AD$1005:$AU$1005,1,MATCH(COLUMNS($AD$1006:AS1006),$AD$1006:$AU$1006,0))&gt;=100000), " ",IF(INDEX($AD$2:$AU$1001,MATCH(ROWS($W$2:W841),$W$2:$W$1001,0),MATCH(COLUMNS($AD$1006:AS1006),$AD$1006:$AU$1006,0)), HYPERLINK("#",""), HYPERLINK(CONCATENATE("#metadata!", ADDRESS(INDEX($Y$2:$Y$1001,MATCH(ROWS($W$2:W841),$W$2:$W$1001,0),0), INDEX($AD$1004:$AU$1004,1,MATCH(COLUMNS($AD$1006:AS1006),$AD$1006:$AU$1006,0)))),"Fix")))</f>
        <v xml:space="preserve"> </v>
      </c>
      <c r="R841" s="4" t="str">
        <f ca="1">IF(OR(INDEX($X$2:$X$1001,MATCH(ROWS($W$2:W841),$W$2:$W$1001,0),1)&gt;=100000,INDEX($AD$1005:$AU$1005,1,MATCH(COLUMNS($AD$1006:AT1006),$AD$1006:$AU$1006,0))&gt;=100000), " ",IF(INDEX($AD$2:$AU$1001,MATCH(ROWS($W$2:W841),$W$2:$W$1001,0),MATCH(COLUMNS($AD$1006:AT1006),$AD$1006:$AU$1006,0)), HYPERLINK("#",""), HYPERLINK(CONCATENATE("#metadata!", ADDRESS(INDEX($Y$2:$Y$1001,MATCH(ROWS($W$2:W841),$W$2:$W$1001,0),0), INDEX($AD$1004:$AU$1004,1,MATCH(COLUMNS($AD$1006:AT1006),$AD$1006:$AU$1006,0)))),"Fix")))</f>
        <v xml:space="preserve"> </v>
      </c>
      <c r="S841" s="4" t="str">
        <f ca="1">IF(OR(INDEX($X$2:$X$1001,MATCH(ROWS($W$2:W841),$W$2:$W$1001,0),1)&gt;=100000,INDEX($AD$1005:$AU$1005,1,MATCH(COLUMNS($AD$1006:AU1006),$AD$1006:$AU$1006,0))&gt;=100000), " ",IF(INDEX($AD$2:$AU$1001,MATCH(ROWS($W$2:W841),$W$2:$W$1001,0),MATCH(COLUMNS($AD$1006:AU1006),$AD$1006:$AU$1006,0)), HYPERLINK("#",""), HYPERLINK(CONCATENATE("#metadata!", ADDRESS(INDEX($Y$2:$Y$1001,MATCH(ROWS($W$2:W841),$W$2:$W$1001,0),0), INDEX($AD$1004:$AU$1004,1,MATCH(COLUMNS($AD$1006:AU1006),$AD$1006:$AU$1006,0)))),"Fix")))</f>
        <v xml:space="preserve"> </v>
      </c>
      <c r="W841">
        <v>840</v>
      </c>
      <c r="X841">
        <v>100841</v>
      </c>
      <c r="Y841">
        <v>841</v>
      </c>
      <c r="Z841" t="b">
        <f t="shared" si="13"/>
        <v>1</v>
      </c>
      <c r="AA841" t="b">
        <f>COUNTBLANK(metadata!B841:S841)=COLUMNS(metadata!B841:S841)</f>
        <v>1</v>
      </c>
      <c r="AB841" t="str">
        <v/>
      </c>
      <c r="AD841" t="b">
        <f ca="1">AND(IF(metadata!B841="",FALSE,TRUE),COUNTIF(metadata!B:B, metadata!B841) = 1,NOT(ISERROR(SUMPRODUCT(SEARCH(MID(metadata!B841,ROW(INDIRECT("1:"&amp;LEN(metadata!B841))), 1),"0123456789abcdefghijklmnopqrstuvwxyzABCDEFGHIJKLMNOPQRSTUVWXYZ.")))))</f>
        <v>0</v>
      </c>
      <c r="AE841" t="b">
        <f>OR(AND(IF(metadata!C841="",FALSE,TRUE),OR(EXACT(metadata!C841,"not applicable"),EXACT(metadata!C841,"missing: not collected"),EXACT(metadata!C841,"missing: not provided"),EXACT(metadata!C841,"missing: restricted access"))),AND(IF(metadata!C841="",FALSE,ISNUMBER(VALUE(metadata!C841))),metadata!C841&gt;0))</f>
        <v>0</v>
      </c>
      <c r="AF841" t="b">
        <f>AND(IF(metadata!D841="",FALSE,TRUE),EXACT(metadata!D841,"missing: not provided"))</f>
        <v>0</v>
      </c>
      <c r="AG841" t="b">
        <f>AND(IF(metadata!E841="",FALSE,TRUE),EXACT(metadata!E841,"Host-associated"))</f>
        <v>0</v>
      </c>
      <c r="AH841" t="b">
        <f>AND(IF(metadata!F841="",FALSE,TRUE),OR(EXACT(metadata!F841,"Animal"),EXACT(metadata!F841,"Fungus"),EXACT(metadata!F841,"Plant")))</f>
        <v>0</v>
      </c>
      <c r="AI841" t="b">
        <f>AND(IF(metadata!G841="",FALSE,TRUE),OR(EXACT(metadata!G841,"Plant secretion"),EXACT(metadata!G841,"Plant rhizosphere"),EXACT(metadata!G841,"Plant surface"),EXACT(metadata!G841,"Plant corpus"),EXACT(metadata!G841,"Fungus surface"),EXACT(metadata!G841,"Fungus corpus"),EXACT(metadata!G841,"Animal surface"),EXACT(metadata!G841,"Animal proximal gut"),EXACT(metadata!G841,"Animal corpus"),EXACT(metadata!G841,"Animal distal gut"),EXACT(metadata!G841,"Animal secretion")))</f>
        <v>0</v>
      </c>
      <c r="AJ841" t="b">
        <f>OR(AND(IF(metadata!H841="",FALSE,TRUE),OR(EXACT(metadata!H841,"missing: not collected"),EXACT(metadata!H841,"missing: not provided"),EXACT(metadata!H841,"missing: restricted access"))),AND(IF(metadata!H841="",FALSE,TRUE),OR(EXACT(metadata!H841,"organism-associated habitat"),EXACT(metadata!H841,"plant-associated habitat"),EXACT(metadata!H841,"animal-associated habitat"),EXACT(metadata!H841,"insecta-associated habitat"),EXACT(metadata!H841,"mammalia-associated habitat"),EXACT(metadata!H841,"human-associated habitat"),EXACT(metadata!H841,"livestock-associated habitat"))))</f>
        <v>0</v>
      </c>
      <c r="AK841" t="b">
        <f>AND(IF(metadata!I841="",FALSE,TRUE),EXACT(metadata!I841,"host-associated"))</f>
        <v>0</v>
      </c>
      <c r="AL841" t="b">
        <f>OR(AND(IF(metadata!J841="",FALSE,TRUE),OR(EXACT(metadata!J841,"not applicable"),EXACT(metadata!J841,"missing: not collected"),EXACT(metadata!J841,"missing: not provided"),EXACT(metadata!J841,"missing: restricted access"))),AND(IF(metadata!J841="",FALSE,ISNUMBER(VALUE(metadata!J841))),metadata!J841&gt;0))</f>
        <v>0</v>
      </c>
      <c r="AM841" t="b">
        <f>AND(IF(metadata!K841="",FALSE,TRUE),EXACT(metadata!K841,"missing: not provided"))</f>
        <v>0</v>
      </c>
      <c r="AN841" t="b">
        <f>IF(metadata!L841="",FALSE,TRUE)</f>
        <v>0</v>
      </c>
      <c r="AO841" t="b">
        <f>IF(metadata!M841="",FALSE,TRUE)</f>
        <v>0</v>
      </c>
      <c r="AP841" t="b">
        <f>OR(AND(IF(metadata!N841="",FALSE,TRUE),OR(EXACT(metadata!N841,"not applicable"),EXACT(metadata!N841,"missing: not collected"),EXACT(metadata!N841,"missing: not provided"))),AND(IF(metadata!N841="",FALSE,IF(ISERROR(INT(metadata!N841)),FALSE,INT(metadata!N841)=metadata!N841)),metadata!N841&gt;0))</f>
        <v>0</v>
      </c>
      <c r="AQ841" t="b">
        <f>AND(IF(metadata!O841="",FALSE,TRUE),EXACT(metadata!O841,"Not applicable"))</f>
        <v>0</v>
      </c>
      <c r="AR841" t="b">
        <f>OR(AND(IF(metadata!P841="",FALSE,TRUE),OR(EXACT(metadata!P841,"not applicable"),EXACT(metadata!P841,"missing: not collected"),EXACT(metadata!P841,"missing: not provided"),EXACT(metadata!P841,"missing: restricted access"))),IF(metadata!P841="",FALSE,IF(ISERROR(INT(metadata!P841)),FALSE,INT(metadata!P841)=metadata!P841)))</f>
        <v>0</v>
      </c>
      <c r="AS841" t="b">
        <f>AND(IF(metadata!Q841="",FALSE,TRUE),EXACT(metadata!Q841,"Not applicable"))</f>
        <v>0</v>
      </c>
      <c r="AT841" t="b">
        <f>OR(AND(IF(metadata!R841="",FALSE,TRUE),OR(EXACT(metadata!R841,"not applicable"),EXACT(metadata!R841,"missing: not collected"),EXACT(metadata!R841,"missing: not provided"),EXACT(metadata!R841,"missing: restricted access"))),AND(IF(metadata!R841="",FALSE,ISNUMBER(VALUE(metadata!R841))),metadata!R841&gt;0))</f>
        <v>0</v>
      </c>
      <c r="AU841" t="b">
        <f>AND(IF(metadata!S841="",FALSE,TRUE),EXACT(metadata!S841,"missing: not provided"))</f>
        <v>0</v>
      </c>
    </row>
    <row r="842" spans="1:47" x14ac:dyDescent="0.2">
      <c r="A842" s="5" t="str">
        <f ca="1">IF(B842=" "," ",HYPERLINK(CONCATENATE("#metadata!",ADDRESS(INDEX($Y$2:$Y$1001,MATCH(ROWS($W$2:W842),$W$2:$W$1001,0),0),1)),INDEX($AB$2:$AB$1001,MATCH(ROWS($W$2:W842),$W$2:$W$1001,0),0)))</f>
        <v xml:space="preserve"> </v>
      </c>
      <c r="B842" s="4" t="str">
        <f ca="1">IF(OR(INDEX($X$2:$X$1001,MATCH(ROWS($W$2:W842),$W$2:$W$1001,0),1)&gt;=100000,INDEX($AD$1005:$AU$1005,1,MATCH(COLUMNS($AD$1006:AD1006),$AD$1006:$AU$1006,0))&gt;=100000), " ",IF(INDEX($AD$2:$AU$1001,MATCH(ROWS($W$2:W842),$W$2:$W$1001,0),MATCH(COLUMNS($AD$1006:AD1006),$AD$1006:$AU$1006,0)), HYPERLINK("#",""), HYPERLINK(CONCATENATE("#metadata!", ADDRESS(INDEX($Y$2:$Y$1001,MATCH(ROWS($W$2:W842),$W$2:$W$1001,0),0), INDEX($AD$1004:$AU$1004,1,MATCH(COLUMNS($AD$1006:AD1006),$AD$1006:$AU$1006,0)))),"Fix")))</f>
        <v xml:space="preserve"> </v>
      </c>
      <c r="C842" s="4" t="str">
        <f ca="1">IF(OR(INDEX($X$2:$X$1001,MATCH(ROWS($W$2:W842),$W$2:$W$1001,0),1)&gt;=100000,INDEX($AD$1005:$AU$1005,1,MATCH(COLUMNS($AD$1006:AE1006),$AD$1006:$AU$1006,0))&gt;=100000), " ",IF(INDEX($AD$2:$AU$1001,MATCH(ROWS($W$2:W842),$W$2:$W$1001,0),MATCH(COLUMNS($AD$1006:AE1006),$AD$1006:$AU$1006,0)), HYPERLINK("#",""), HYPERLINK(CONCATENATE("#metadata!", ADDRESS(INDEX($Y$2:$Y$1001,MATCH(ROWS($W$2:W842),$W$2:$W$1001,0),0), INDEX($AD$1004:$AU$1004,1,MATCH(COLUMNS($AD$1006:AE1006),$AD$1006:$AU$1006,0)))),"Fix")))</f>
        <v xml:space="preserve"> </v>
      </c>
      <c r="D842" s="4" t="str">
        <f ca="1">IF(OR(INDEX($X$2:$X$1001,MATCH(ROWS($W$2:W842),$W$2:$W$1001,0),1)&gt;=100000,INDEX($AD$1005:$AU$1005,1,MATCH(COLUMNS($AD$1006:AF1006),$AD$1006:$AU$1006,0))&gt;=100000), " ",IF(INDEX($AD$2:$AU$1001,MATCH(ROWS($W$2:W842),$W$2:$W$1001,0),MATCH(COLUMNS($AD$1006:AF1006),$AD$1006:$AU$1006,0)), HYPERLINK("#",""), HYPERLINK(CONCATENATE("#metadata!", ADDRESS(INDEX($Y$2:$Y$1001,MATCH(ROWS($W$2:W842),$W$2:$W$1001,0),0), INDEX($AD$1004:$AU$1004,1,MATCH(COLUMNS($AD$1006:AF1006),$AD$1006:$AU$1006,0)))),"Fix")))</f>
        <v xml:space="preserve"> </v>
      </c>
      <c r="E842" s="4" t="str">
        <f ca="1">IF(OR(INDEX($X$2:$X$1001,MATCH(ROWS($W$2:W842),$W$2:$W$1001,0),1)&gt;=100000,INDEX($AD$1005:$AU$1005,1,MATCH(COLUMNS($AD$1006:AG1006),$AD$1006:$AU$1006,0))&gt;=100000), " ",IF(INDEX($AD$2:$AU$1001,MATCH(ROWS($W$2:W842),$W$2:$W$1001,0),MATCH(COLUMNS($AD$1006:AG1006),$AD$1006:$AU$1006,0)), HYPERLINK("#",""), HYPERLINK(CONCATENATE("#metadata!", ADDRESS(INDEX($Y$2:$Y$1001,MATCH(ROWS($W$2:W842),$W$2:$W$1001,0),0), INDEX($AD$1004:$AU$1004,1,MATCH(COLUMNS($AD$1006:AG1006),$AD$1006:$AU$1006,0)))),"Fix")))</f>
        <v xml:space="preserve"> </v>
      </c>
      <c r="F842" s="4" t="str">
        <f ca="1">IF(OR(INDEX($X$2:$X$1001,MATCH(ROWS($W$2:W842),$W$2:$W$1001,0),1)&gt;=100000,INDEX($AD$1005:$AU$1005,1,MATCH(COLUMNS($AD$1006:AH1006),$AD$1006:$AU$1006,0))&gt;=100000), " ",IF(INDEX($AD$2:$AU$1001,MATCH(ROWS($W$2:W842),$W$2:$W$1001,0),MATCH(COLUMNS($AD$1006:AH1006),$AD$1006:$AU$1006,0)), HYPERLINK("#",""), HYPERLINK(CONCATENATE("#metadata!", ADDRESS(INDEX($Y$2:$Y$1001,MATCH(ROWS($W$2:W842),$W$2:$W$1001,0),0), INDEX($AD$1004:$AU$1004,1,MATCH(COLUMNS($AD$1006:AH1006),$AD$1006:$AU$1006,0)))),"Fix")))</f>
        <v xml:space="preserve"> </v>
      </c>
      <c r="G842" s="4" t="str">
        <f ca="1">IF(OR(INDEX($X$2:$X$1001,MATCH(ROWS($W$2:W842),$W$2:$W$1001,0),1)&gt;=100000,INDEX($AD$1005:$AU$1005,1,MATCH(COLUMNS($AD$1006:AI1006),$AD$1006:$AU$1006,0))&gt;=100000), " ",IF(INDEX($AD$2:$AU$1001,MATCH(ROWS($W$2:W842),$W$2:$W$1001,0),MATCH(COLUMNS($AD$1006:AI1006),$AD$1006:$AU$1006,0)), HYPERLINK("#",""), HYPERLINK(CONCATENATE("#metadata!", ADDRESS(INDEX($Y$2:$Y$1001,MATCH(ROWS($W$2:W842),$W$2:$W$1001,0),0), INDEX($AD$1004:$AU$1004,1,MATCH(COLUMNS($AD$1006:AI1006),$AD$1006:$AU$1006,0)))),"Fix")))</f>
        <v xml:space="preserve"> </v>
      </c>
      <c r="H842" s="4" t="str">
        <f ca="1">IF(OR(INDEX($X$2:$X$1001,MATCH(ROWS($W$2:W842),$W$2:$W$1001,0),1)&gt;=100000,INDEX($AD$1005:$AU$1005,1,MATCH(COLUMNS($AD$1006:AJ1006),$AD$1006:$AU$1006,0))&gt;=100000), " ",IF(INDEX($AD$2:$AU$1001,MATCH(ROWS($W$2:W842),$W$2:$W$1001,0),MATCH(COLUMNS($AD$1006:AJ1006),$AD$1006:$AU$1006,0)), HYPERLINK("#",""), HYPERLINK(CONCATENATE("#metadata!", ADDRESS(INDEX($Y$2:$Y$1001,MATCH(ROWS($W$2:W842),$W$2:$W$1001,0),0), INDEX($AD$1004:$AU$1004,1,MATCH(COLUMNS($AD$1006:AJ1006),$AD$1006:$AU$1006,0)))),"Fix")))</f>
        <v xml:space="preserve"> </v>
      </c>
      <c r="I842" s="4" t="str">
        <f ca="1">IF(OR(INDEX($X$2:$X$1001,MATCH(ROWS($W$2:W842),$W$2:$W$1001,0),1)&gt;=100000,INDEX($AD$1005:$AU$1005,1,MATCH(COLUMNS($AD$1006:AK1006),$AD$1006:$AU$1006,0))&gt;=100000), " ",IF(INDEX($AD$2:$AU$1001,MATCH(ROWS($W$2:W842),$W$2:$W$1001,0),MATCH(COLUMNS($AD$1006:AK1006),$AD$1006:$AU$1006,0)), HYPERLINK("#",""), HYPERLINK(CONCATENATE("#metadata!", ADDRESS(INDEX($Y$2:$Y$1001,MATCH(ROWS($W$2:W842),$W$2:$W$1001,0),0), INDEX($AD$1004:$AU$1004,1,MATCH(COLUMNS($AD$1006:AK1006),$AD$1006:$AU$1006,0)))),"Fix")))</f>
        <v xml:space="preserve"> </v>
      </c>
      <c r="J842" s="4" t="str">
        <f ca="1">IF(OR(INDEX($X$2:$X$1001,MATCH(ROWS($W$2:W842),$W$2:$W$1001,0),1)&gt;=100000,INDEX($AD$1005:$AU$1005,1,MATCH(COLUMNS($AD$1006:AL1006),$AD$1006:$AU$1006,0))&gt;=100000), " ",IF(INDEX($AD$2:$AU$1001,MATCH(ROWS($W$2:W842),$W$2:$W$1001,0),MATCH(COLUMNS($AD$1006:AL1006),$AD$1006:$AU$1006,0)), HYPERLINK("#",""), HYPERLINK(CONCATENATE("#metadata!", ADDRESS(INDEX($Y$2:$Y$1001,MATCH(ROWS($W$2:W842),$W$2:$W$1001,0),0), INDEX($AD$1004:$AU$1004,1,MATCH(COLUMNS($AD$1006:AL1006),$AD$1006:$AU$1006,0)))),"Fix")))</f>
        <v xml:space="preserve"> </v>
      </c>
      <c r="K842" s="4" t="str">
        <f ca="1">IF(OR(INDEX($X$2:$X$1001,MATCH(ROWS($W$2:W842),$W$2:$W$1001,0),1)&gt;=100000,INDEX($AD$1005:$AU$1005,1,MATCH(COLUMNS($AD$1006:AM1006),$AD$1006:$AU$1006,0))&gt;=100000), " ",IF(INDEX($AD$2:$AU$1001,MATCH(ROWS($W$2:W842),$W$2:$W$1001,0),MATCH(COLUMNS($AD$1006:AM1006),$AD$1006:$AU$1006,0)), HYPERLINK("#",""), HYPERLINK(CONCATENATE("#metadata!", ADDRESS(INDEX($Y$2:$Y$1001,MATCH(ROWS($W$2:W842),$W$2:$W$1001,0),0), INDEX($AD$1004:$AU$1004,1,MATCH(COLUMNS($AD$1006:AM1006),$AD$1006:$AU$1006,0)))),"Fix")))</f>
        <v xml:space="preserve"> </v>
      </c>
      <c r="L842" s="4" t="str">
        <f ca="1">IF(OR(INDEX($X$2:$X$1001,MATCH(ROWS($W$2:W842),$W$2:$W$1001,0),1)&gt;=100000,INDEX($AD$1005:$AU$1005,1,MATCH(COLUMNS($AD$1006:AN1006),$AD$1006:$AU$1006,0))&gt;=100000), " ",IF(INDEX($AD$2:$AU$1001,MATCH(ROWS($W$2:W842),$W$2:$W$1001,0),MATCH(COLUMNS($AD$1006:AN1006),$AD$1006:$AU$1006,0)), HYPERLINK("#",""), HYPERLINK(CONCATENATE("#metadata!", ADDRESS(INDEX($Y$2:$Y$1001,MATCH(ROWS($W$2:W842),$W$2:$W$1001,0),0), INDEX($AD$1004:$AU$1004,1,MATCH(COLUMNS($AD$1006:AN1006),$AD$1006:$AU$1006,0)))),"Fix")))</f>
        <v xml:space="preserve"> </v>
      </c>
      <c r="M842" s="4" t="str">
        <f ca="1">IF(OR(INDEX($X$2:$X$1001,MATCH(ROWS($W$2:W842),$W$2:$W$1001,0),1)&gt;=100000,INDEX($AD$1005:$AU$1005,1,MATCH(COLUMNS($AD$1006:AO1006),$AD$1006:$AU$1006,0))&gt;=100000), " ",IF(INDEX($AD$2:$AU$1001,MATCH(ROWS($W$2:W842),$W$2:$W$1001,0),MATCH(COLUMNS($AD$1006:AO1006),$AD$1006:$AU$1006,0)), HYPERLINK("#",""), HYPERLINK(CONCATENATE("#metadata!", ADDRESS(INDEX($Y$2:$Y$1001,MATCH(ROWS($W$2:W842),$W$2:$W$1001,0),0), INDEX($AD$1004:$AU$1004,1,MATCH(COLUMNS($AD$1006:AO1006),$AD$1006:$AU$1006,0)))),"Fix")))</f>
        <v xml:space="preserve"> </v>
      </c>
      <c r="N842" s="4" t="str">
        <f ca="1">IF(OR(INDEX($X$2:$X$1001,MATCH(ROWS($W$2:W842),$W$2:$W$1001,0),1)&gt;=100000,INDEX($AD$1005:$AU$1005,1,MATCH(COLUMNS($AD$1006:AP1006),$AD$1006:$AU$1006,0))&gt;=100000), " ",IF(INDEX($AD$2:$AU$1001,MATCH(ROWS($W$2:W842),$W$2:$W$1001,0),MATCH(COLUMNS($AD$1006:AP1006),$AD$1006:$AU$1006,0)), HYPERLINK("#",""), HYPERLINK(CONCATENATE("#metadata!", ADDRESS(INDEX($Y$2:$Y$1001,MATCH(ROWS($W$2:W842),$W$2:$W$1001,0),0), INDEX($AD$1004:$AU$1004,1,MATCH(COLUMNS($AD$1006:AP1006),$AD$1006:$AU$1006,0)))),"Fix")))</f>
        <v xml:space="preserve"> </v>
      </c>
      <c r="O842" s="4" t="str">
        <f ca="1">IF(OR(INDEX($X$2:$X$1001,MATCH(ROWS($W$2:W842),$W$2:$W$1001,0),1)&gt;=100000,INDEX($AD$1005:$AU$1005,1,MATCH(COLUMNS($AD$1006:AQ1006),$AD$1006:$AU$1006,0))&gt;=100000), " ",IF(INDEX($AD$2:$AU$1001,MATCH(ROWS($W$2:W842),$W$2:$W$1001,0),MATCH(COLUMNS($AD$1006:AQ1006),$AD$1006:$AU$1006,0)), HYPERLINK("#",""), HYPERLINK(CONCATENATE("#metadata!", ADDRESS(INDEX($Y$2:$Y$1001,MATCH(ROWS($W$2:W842),$W$2:$W$1001,0),0), INDEX($AD$1004:$AU$1004,1,MATCH(COLUMNS($AD$1006:AQ1006),$AD$1006:$AU$1006,0)))),"Fix")))</f>
        <v xml:space="preserve"> </v>
      </c>
      <c r="P842" s="4" t="str">
        <f ca="1">IF(OR(INDEX($X$2:$X$1001,MATCH(ROWS($W$2:W842),$W$2:$W$1001,0),1)&gt;=100000,INDEX($AD$1005:$AU$1005,1,MATCH(COLUMNS($AD$1006:AR1006),$AD$1006:$AU$1006,0))&gt;=100000), " ",IF(INDEX($AD$2:$AU$1001,MATCH(ROWS($W$2:W842),$W$2:$W$1001,0),MATCH(COLUMNS($AD$1006:AR1006),$AD$1006:$AU$1006,0)), HYPERLINK("#",""), HYPERLINK(CONCATENATE("#metadata!", ADDRESS(INDEX($Y$2:$Y$1001,MATCH(ROWS($W$2:W842),$W$2:$W$1001,0),0), INDEX($AD$1004:$AU$1004,1,MATCH(COLUMNS($AD$1006:AR1006),$AD$1006:$AU$1006,0)))),"Fix")))</f>
        <v xml:space="preserve"> </v>
      </c>
      <c r="Q842" s="4" t="str">
        <f ca="1">IF(OR(INDEX($X$2:$X$1001,MATCH(ROWS($W$2:W842),$W$2:$W$1001,0),1)&gt;=100000,INDEX($AD$1005:$AU$1005,1,MATCH(COLUMNS($AD$1006:AS1006),$AD$1006:$AU$1006,0))&gt;=100000), " ",IF(INDEX($AD$2:$AU$1001,MATCH(ROWS($W$2:W842),$W$2:$W$1001,0),MATCH(COLUMNS($AD$1006:AS1006),$AD$1006:$AU$1006,0)), HYPERLINK("#",""), HYPERLINK(CONCATENATE("#metadata!", ADDRESS(INDEX($Y$2:$Y$1001,MATCH(ROWS($W$2:W842),$W$2:$W$1001,0),0), INDEX($AD$1004:$AU$1004,1,MATCH(COLUMNS($AD$1006:AS1006),$AD$1006:$AU$1006,0)))),"Fix")))</f>
        <v xml:space="preserve"> </v>
      </c>
      <c r="R842" s="4" t="str">
        <f ca="1">IF(OR(INDEX($X$2:$X$1001,MATCH(ROWS($W$2:W842),$W$2:$W$1001,0),1)&gt;=100000,INDEX($AD$1005:$AU$1005,1,MATCH(COLUMNS($AD$1006:AT1006),$AD$1006:$AU$1006,0))&gt;=100000), " ",IF(INDEX($AD$2:$AU$1001,MATCH(ROWS($W$2:W842),$W$2:$W$1001,0),MATCH(COLUMNS($AD$1006:AT1006),$AD$1006:$AU$1006,0)), HYPERLINK("#",""), HYPERLINK(CONCATENATE("#metadata!", ADDRESS(INDEX($Y$2:$Y$1001,MATCH(ROWS($W$2:W842),$W$2:$W$1001,0),0), INDEX($AD$1004:$AU$1004,1,MATCH(COLUMNS($AD$1006:AT1006),$AD$1006:$AU$1006,0)))),"Fix")))</f>
        <v xml:space="preserve"> </v>
      </c>
      <c r="S842" s="4" t="str">
        <f ca="1">IF(OR(INDEX($X$2:$X$1001,MATCH(ROWS($W$2:W842),$W$2:$W$1001,0),1)&gt;=100000,INDEX($AD$1005:$AU$1005,1,MATCH(COLUMNS($AD$1006:AU1006),$AD$1006:$AU$1006,0))&gt;=100000), " ",IF(INDEX($AD$2:$AU$1001,MATCH(ROWS($W$2:W842),$W$2:$W$1001,0),MATCH(COLUMNS($AD$1006:AU1006),$AD$1006:$AU$1006,0)), HYPERLINK("#",""), HYPERLINK(CONCATENATE("#metadata!", ADDRESS(INDEX($Y$2:$Y$1001,MATCH(ROWS($W$2:W842),$W$2:$W$1001,0),0), INDEX($AD$1004:$AU$1004,1,MATCH(COLUMNS($AD$1006:AU1006),$AD$1006:$AU$1006,0)))),"Fix")))</f>
        <v xml:space="preserve"> </v>
      </c>
      <c r="W842">
        <v>841</v>
      </c>
      <c r="X842">
        <v>100842</v>
      </c>
      <c r="Y842">
        <v>842</v>
      </c>
      <c r="Z842" t="b">
        <f t="shared" si="13"/>
        <v>1</v>
      </c>
      <c r="AA842" t="b">
        <f>COUNTBLANK(metadata!B842:S842)=COLUMNS(metadata!B842:S842)</f>
        <v>1</v>
      </c>
      <c r="AB842" t="str">
        <v/>
      </c>
      <c r="AD842" t="b">
        <f ca="1">AND(IF(metadata!B842="",FALSE,TRUE),COUNTIF(metadata!B:B, metadata!B842) = 1,NOT(ISERROR(SUMPRODUCT(SEARCH(MID(metadata!B842,ROW(INDIRECT("1:"&amp;LEN(metadata!B842))), 1),"0123456789abcdefghijklmnopqrstuvwxyzABCDEFGHIJKLMNOPQRSTUVWXYZ.")))))</f>
        <v>0</v>
      </c>
      <c r="AE842" t="b">
        <f>OR(AND(IF(metadata!C842="",FALSE,TRUE),OR(EXACT(metadata!C842,"not applicable"),EXACT(metadata!C842,"missing: not collected"),EXACT(metadata!C842,"missing: not provided"),EXACT(metadata!C842,"missing: restricted access"))),AND(IF(metadata!C842="",FALSE,ISNUMBER(VALUE(metadata!C842))),metadata!C842&gt;0))</f>
        <v>0</v>
      </c>
      <c r="AF842" t="b">
        <f>AND(IF(metadata!D842="",FALSE,TRUE),EXACT(metadata!D842,"missing: not provided"))</f>
        <v>0</v>
      </c>
      <c r="AG842" t="b">
        <f>AND(IF(metadata!E842="",FALSE,TRUE),EXACT(metadata!E842,"Host-associated"))</f>
        <v>0</v>
      </c>
      <c r="AH842" t="b">
        <f>AND(IF(metadata!F842="",FALSE,TRUE),OR(EXACT(metadata!F842,"Animal"),EXACT(metadata!F842,"Fungus"),EXACT(metadata!F842,"Plant")))</f>
        <v>0</v>
      </c>
      <c r="AI842" t="b">
        <f>AND(IF(metadata!G842="",FALSE,TRUE),OR(EXACT(metadata!G842,"Plant secretion"),EXACT(metadata!G842,"Plant rhizosphere"),EXACT(metadata!G842,"Plant surface"),EXACT(metadata!G842,"Plant corpus"),EXACT(metadata!G842,"Fungus surface"),EXACT(metadata!G842,"Fungus corpus"),EXACT(metadata!G842,"Animal surface"),EXACT(metadata!G842,"Animal proximal gut"),EXACT(metadata!G842,"Animal corpus"),EXACT(metadata!G842,"Animal distal gut"),EXACT(metadata!G842,"Animal secretion")))</f>
        <v>0</v>
      </c>
      <c r="AJ842" t="b">
        <f>OR(AND(IF(metadata!H842="",FALSE,TRUE),OR(EXACT(metadata!H842,"missing: not collected"),EXACT(metadata!H842,"missing: not provided"),EXACT(metadata!H842,"missing: restricted access"))),AND(IF(metadata!H842="",FALSE,TRUE),OR(EXACT(metadata!H842,"organism-associated habitat"),EXACT(metadata!H842,"plant-associated habitat"),EXACT(metadata!H842,"animal-associated habitat"),EXACT(metadata!H842,"insecta-associated habitat"),EXACT(metadata!H842,"mammalia-associated habitat"),EXACT(metadata!H842,"human-associated habitat"),EXACT(metadata!H842,"livestock-associated habitat"))))</f>
        <v>0</v>
      </c>
      <c r="AK842" t="b">
        <f>AND(IF(metadata!I842="",FALSE,TRUE),EXACT(metadata!I842,"host-associated"))</f>
        <v>0</v>
      </c>
      <c r="AL842" t="b">
        <f>OR(AND(IF(metadata!J842="",FALSE,TRUE),OR(EXACT(metadata!J842,"not applicable"),EXACT(metadata!J842,"missing: not collected"),EXACT(metadata!J842,"missing: not provided"),EXACT(metadata!J842,"missing: restricted access"))),AND(IF(metadata!J842="",FALSE,ISNUMBER(VALUE(metadata!J842))),metadata!J842&gt;0))</f>
        <v>0</v>
      </c>
      <c r="AM842" t="b">
        <f>AND(IF(metadata!K842="",FALSE,TRUE),EXACT(metadata!K842,"missing: not provided"))</f>
        <v>0</v>
      </c>
      <c r="AN842" t="b">
        <f>IF(metadata!L842="",FALSE,TRUE)</f>
        <v>0</v>
      </c>
      <c r="AO842" t="b">
        <f>IF(metadata!M842="",FALSE,TRUE)</f>
        <v>0</v>
      </c>
      <c r="AP842" t="b">
        <f>OR(AND(IF(metadata!N842="",FALSE,TRUE),OR(EXACT(metadata!N842,"not applicable"),EXACT(metadata!N842,"missing: not collected"),EXACT(metadata!N842,"missing: not provided"))),AND(IF(metadata!N842="",FALSE,IF(ISERROR(INT(metadata!N842)),FALSE,INT(metadata!N842)=metadata!N842)),metadata!N842&gt;0))</f>
        <v>0</v>
      </c>
      <c r="AQ842" t="b">
        <f>AND(IF(metadata!O842="",FALSE,TRUE),EXACT(metadata!O842,"Not applicable"))</f>
        <v>0</v>
      </c>
      <c r="AR842" t="b">
        <f>OR(AND(IF(metadata!P842="",FALSE,TRUE),OR(EXACT(metadata!P842,"not applicable"),EXACT(metadata!P842,"missing: not collected"),EXACT(metadata!P842,"missing: not provided"),EXACT(metadata!P842,"missing: restricted access"))),IF(metadata!P842="",FALSE,IF(ISERROR(INT(metadata!P842)),FALSE,INT(metadata!P842)=metadata!P842)))</f>
        <v>0</v>
      </c>
      <c r="AS842" t="b">
        <f>AND(IF(metadata!Q842="",FALSE,TRUE),EXACT(metadata!Q842,"Not applicable"))</f>
        <v>0</v>
      </c>
      <c r="AT842" t="b">
        <f>OR(AND(IF(metadata!R842="",FALSE,TRUE),OR(EXACT(metadata!R842,"not applicable"),EXACT(metadata!R842,"missing: not collected"),EXACT(metadata!R842,"missing: not provided"),EXACT(metadata!R842,"missing: restricted access"))),AND(IF(metadata!R842="",FALSE,ISNUMBER(VALUE(metadata!R842))),metadata!R842&gt;0))</f>
        <v>0</v>
      </c>
      <c r="AU842" t="b">
        <f>AND(IF(metadata!S842="",FALSE,TRUE),EXACT(metadata!S842,"missing: not provided"))</f>
        <v>0</v>
      </c>
    </row>
    <row r="843" spans="1:47" x14ac:dyDescent="0.2">
      <c r="A843" s="5" t="str">
        <f ca="1">IF(B843=" "," ",HYPERLINK(CONCATENATE("#metadata!",ADDRESS(INDEX($Y$2:$Y$1001,MATCH(ROWS($W$2:W843),$W$2:$W$1001,0),0),1)),INDEX($AB$2:$AB$1001,MATCH(ROWS($W$2:W843),$W$2:$W$1001,0),0)))</f>
        <v xml:space="preserve"> </v>
      </c>
      <c r="B843" s="4" t="str">
        <f ca="1">IF(OR(INDEX($X$2:$X$1001,MATCH(ROWS($W$2:W843),$W$2:$W$1001,0),1)&gt;=100000,INDEX($AD$1005:$AU$1005,1,MATCH(COLUMNS($AD$1006:AD1006),$AD$1006:$AU$1006,0))&gt;=100000), " ",IF(INDEX($AD$2:$AU$1001,MATCH(ROWS($W$2:W843),$W$2:$W$1001,0),MATCH(COLUMNS($AD$1006:AD1006),$AD$1006:$AU$1006,0)), HYPERLINK("#",""), HYPERLINK(CONCATENATE("#metadata!", ADDRESS(INDEX($Y$2:$Y$1001,MATCH(ROWS($W$2:W843),$W$2:$W$1001,0),0), INDEX($AD$1004:$AU$1004,1,MATCH(COLUMNS($AD$1006:AD1006),$AD$1006:$AU$1006,0)))),"Fix")))</f>
        <v xml:space="preserve"> </v>
      </c>
      <c r="C843" s="4" t="str">
        <f ca="1">IF(OR(INDEX($X$2:$X$1001,MATCH(ROWS($W$2:W843),$W$2:$W$1001,0),1)&gt;=100000,INDEX($AD$1005:$AU$1005,1,MATCH(COLUMNS($AD$1006:AE1006),$AD$1006:$AU$1006,0))&gt;=100000), " ",IF(INDEX($AD$2:$AU$1001,MATCH(ROWS($W$2:W843),$W$2:$W$1001,0),MATCH(COLUMNS($AD$1006:AE1006),$AD$1006:$AU$1006,0)), HYPERLINK("#",""), HYPERLINK(CONCATENATE("#metadata!", ADDRESS(INDEX($Y$2:$Y$1001,MATCH(ROWS($W$2:W843),$W$2:$W$1001,0),0), INDEX($AD$1004:$AU$1004,1,MATCH(COLUMNS($AD$1006:AE1006),$AD$1006:$AU$1006,0)))),"Fix")))</f>
        <v xml:space="preserve"> </v>
      </c>
      <c r="D843" s="4" t="str">
        <f ca="1">IF(OR(INDEX($X$2:$X$1001,MATCH(ROWS($W$2:W843),$W$2:$W$1001,0),1)&gt;=100000,INDEX($AD$1005:$AU$1005,1,MATCH(COLUMNS($AD$1006:AF1006),$AD$1006:$AU$1006,0))&gt;=100000), " ",IF(INDEX($AD$2:$AU$1001,MATCH(ROWS($W$2:W843),$W$2:$W$1001,0),MATCH(COLUMNS($AD$1006:AF1006),$AD$1006:$AU$1006,0)), HYPERLINK("#",""), HYPERLINK(CONCATENATE("#metadata!", ADDRESS(INDEX($Y$2:$Y$1001,MATCH(ROWS($W$2:W843),$W$2:$W$1001,0),0), INDEX($AD$1004:$AU$1004,1,MATCH(COLUMNS($AD$1006:AF1006),$AD$1006:$AU$1006,0)))),"Fix")))</f>
        <v xml:space="preserve"> </v>
      </c>
      <c r="E843" s="4" t="str">
        <f ca="1">IF(OR(INDEX($X$2:$X$1001,MATCH(ROWS($W$2:W843),$W$2:$W$1001,0),1)&gt;=100000,INDEX($AD$1005:$AU$1005,1,MATCH(COLUMNS($AD$1006:AG1006),$AD$1006:$AU$1006,0))&gt;=100000), " ",IF(INDEX($AD$2:$AU$1001,MATCH(ROWS($W$2:W843),$W$2:$W$1001,0),MATCH(COLUMNS($AD$1006:AG1006),$AD$1006:$AU$1006,0)), HYPERLINK("#",""), HYPERLINK(CONCATENATE("#metadata!", ADDRESS(INDEX($Y$2:$Y$1001,MATCH(ROWS($W$2:W843),$W$2:$W$1001,0),0), INDEX($AD$1004:$AU$1004,1,MATCH(COLUMNS($AD$1006:AG1006),$AD$1006:$AU$1006,0)))),"Fix")))</f>
        <v xml:space="preserve"> </v>
      </c>
      <c r="F843" s="4" t="str">
        <f ca="1">IF(OR(INDEX($X$2:$X$1001,MATCH(ROWS($W$2:W843),$W$2:$W$1001,0),1)&gt;=100000,INDEX($AD$1005:$AU$1005,1,MATCH(COLUMNS($AD$1006:AH1006),$AD$1006:$AU$1006,0))&gt;=100000), " ",IF(INDEX($AD$2:$AU$1001,MATCH(ROWS($W$2:W843),$W$2:$W$1001,0),MATCH(COLUMNS($AD$1006:AH1006),$AD$1006:$AU$1006,0)), HYPERLINK("#",""), HYPERLINK(CONCATENATE("#metadata!", ADDRESS(INDEX($Y$2:$Y$1001,MATCH(ROWS($W$2:W843),$W$2:$W$1001,0),0), INDEX($AD$1004:$AU$1004,1,MATCH(COLUMNS($AD$1006:AH1006),$AD$1006:$AU$1006,0)))),"Fix")))</f>
        <v xml:space="preserve"> </v>
      </c>
      <c r="G843" s="4" t="str">
        <f ca="1">IF(OR(INDEX($X$2:$X$1001,MATCH(ROWS($W$2:W843),$W$2:$W$1001,0),1)&gt;=100000,INDEX($AD$1005:$AU$1005,1,MATCH(COLUMNS($AD$1006:AI1006),$AD$1006:$AU$1006,0))&gt;=100000), " ",IF(INDEX($AD$2:$AU$1001,MATCH(ROWS($W$2:W843),$W$2:$W$1001,0),MATCH(COLUMNS($AD$1006:AI1006),$AD$1006:$AU$1006,0)), HYPERLINK("#",""), HYPERLINK(CONCATENATE("#metadata!", ADDRESS(INDEX($Y$2:$Y$1001,MATCH(ROWS($W$2:W843),$W$2:$W$1001,0),0), INDEX($AD$1004:$AU$1004,1,MATCH(COLUMNS($AD$1006:AI1006),$AD$1006:$AU$1006,0)))),"Fix")))</f>
        <v xml:space="preserve"> </v>
      </c>
      <c r="H843" s="4" t="str">
        <f ca="1">IF(OR(INDEX($X$2:$X$1001,MATCH(ROWS($W$2:W843),$W$2:$W$1001,0),1)&gt;=100000,INDEX($AD$1005:$AU$1005,1,MATCH(COLUMNS($AD$1006:AJ1006),$AD$1006:$AU$1006,0))&gt;=100000), " ",IF(INDEX($AD$2:$AU$1001,MATCH(ROWS($W$2:W843),$W$2:$W$1001,0),MATCH(COLUMNS($AD$1006:AJ1006),$AD$1006:$AU$1006,0)), HYPERLINK("#",""), HYPERLINK(CONCATENATE("#metadata!", ADDRESS(INDEX($Y$2:$Y$1001,MATCH(ROWS($W$2:W843),$W$2:$W$1001,0),0), INDEX($AD$1004:$AU$1004,1,MATCH(COLUMNS($AD$1006:AJ1006),$AD$1006:$AU$1006,0)))),"Fix")))</f>
        <v xml:space="preserve"> </v>
      </c>
      <c r="I843" s="4" t="str">
        <f ca="1">IF(OR(INDEX($X$2:$X$1001,MATCH(ROWS($W$2:W843),$W$2:$W$1001,0),1)&gt;=100000,INDEX($AD$1005:$AU$1005,1,MATCH(COLUMNS($AD$1006:AK1006),$AD$1006:$AU$1006,0))&gt;=100000), " ",IF(INDEX($AD$2:$AU$1001,MATCH(ROWS($W$2:W843),$W$2:$W$1001,0),MATCH(COLUMNS($AD$1006:AK1006),$AD$1006:$AU$1006,0)), HYPERLINK("#",""), HYPERLINK(CONCATENATE("#metadata!", ADDRESS(INDEX($Y$2:$Y$1001,MATCH(ROWS($W$2:W843),$W$2:$W$1001,0),0), INDEX($AD$1004:$AU$1004,1,MATCH(COLUMNS($AD$1006:AK1006),$AD$1006:$AU$1006,0)))),"Fix")))</f>
        <v xml:space="preserve"> </v>
      </c>
      <c r="J843" s="4" t="str">
        <f ca="1">IF(OR(INDEX($X$2:$X$1001,MATCH(ROWS($W$2:W843),$W$2:$W$1001,0),1)&gt;=100000,INDEX($AD$1005:$AU$1005,1,MATCH(COLUMNS($AD$1006:AL1006),$AD$1006:$AU$1006,0))&gt;=100000), " ",IF(INDEX($AD$2:$AU$1001,MATCH(ROWS($W$2:W843),$W$2:$W$1001,0),MATCH(COLUMNS($AD$1006:AL1006),$AD$1006:$AU$1006,0)), HYPERLINK("#",""), HYPERLINK(CONCATENATE("#metadata!", ADDRESS(INDEX($Y$2:$Y$1001,MATCH(ROWS($W$2:W843),$W$2:$W$1001,0),0), INDEX($AD$1004:$AU$1004,1,MATCH(COLUMNS($AD$1006:AL1006),$AD$1006:$AU$1006,0)))),"Fix")))</f>
        <v xml:space="preserve"> </v>
      </c>
      <c r="K843" s="4" t="str">
        <f ca="1">IF(OR(INDEX($X$2:$X$1001,MATCH(ROWS($W$2:W843),$W$2:$W$1001,0),1)&gt;=100000,INDEX($AD$1005:$AU$1005,1,MATCH(COLUMNS($AD$1006:AM1006),$AD$1006:$AU$1006,0))&gt;=100000), " ",IF(INDEX($AD$2:$AU$1001,MATCH(ROWS($W$2:W843),$W$2:$W$1001,0),MATCH(COLUMNS($AD$1006:AM1006),$AD$1006:$AU$1006,0)), HYPERLINK("#",""), HYPERLINK(CONCATENATE("#metadata!", ADDRESS(INDEX($Y$2:$Y$1001,MATCH(ROWS($W$2:W843),$W$2:$W$1001,0),0), INDEX($AD$1004:$AU$1004,1,MATCH(COLUMNS($AD$1006:AM1006),$AD$1006:$AU$1006,0)))),"Fix")))</f>
        <v xml:space="preserve"> </v>
      </c>
      <c r="L843" s="4" t="str">
        <f ca="1">IF(OR(INDEX($X$2:$X$1001,MATCH(ROWS($W$2:W843),$W$2:$W$1001,0),1)&gt;=100000,INDEX($AD$1005:$AU$1005,1,MATCH(COLUMNS($AD$1006:AN1006),$AD$1006:$AU$1006,0))&gt;=100000), " ",IF(INDEX($AD$2:$AU$1001,MATCH(ROWS($W$2:W843),$W$2:$W$1001,0),MATCH(COLUMNS($AD$1006:AN1006),$AD$1006:$AU$1006,0)), HYPERLINK("#",""), HYPERLINK(CONCATENATE("#metadata!", ADDRESS(INDEX($Y$2:$Y$1001,MATCH(ROWS($W$2:W843),$W$2:$W$1001,0),0), INDEX($AD$1004:$AU$1004,1,MATCH(COLUMNS($AD$1006:AN1006),$AD$1006:$AU$1006,0)))),"Fix")))</f>
        <v xml:space="preserve"> </v>
      </c>
      <c r="M843" s="4" t="str">
        <f ca="1">IF(OR(INDEX($X$2:$X$1001,MATCH(ROWS($W$2:W843),$W$2:$W$1001,0),1)&gt;=100000,INDEX($AD$1005:$AU$1005,1,MATCH(COLUMNS($AD$1006:AO1006),$AD$1006:$AU$1006,0))&gt;=100000), " ",IF(INDEX($AD$2:$AU$1001,MATCH(ROWS($W$2:W843),$W$2:$W$1001,0),MATCH(COLUMNS($AD$1006:AO1006),$AD$1006:$AU$1006,0)), HYPERLINK("#",""), HYPERLINK(CONCATENATE("#metadata!", ADDRESS(INDEX($Y$2:$Y$1001,MATCH(ROWS($W$2:W843),$W$2:$W$1001,0),0), INDEX($AD$1004:$AU$1004,1,MATCH(COLUMNS($AD$1006:AO1006),$AD$1006:$AU$1006,0)))),"Fix")))</f>
        <v xml:space="preserve"> </v>
      </c>
      <c r="N843" s="4" t="str">
        <f ca="1">IF(OR(INDEX($X$2:$X$1001,MATCH(ROWS($W$2:W843),$W$2:$W$1001,0),1)&gt;=100000,INDEX($AD$1005:$AU$1005,1,MATCH(COLUMNS($AD$1006:AP1006),$AD$1006:$AU$1006,0))&gt;=100000), " ",IF(INDEX($AD$2:$AU$1001,MATCH(ROWS($W$2:W843),$W$2:$W$1001,0),MATCH(COLUMNS($AD$1006:AP1006),$AD$1006:$AU$1006,0)), HYPERLINK("#",""), HYPERLINK(CONCATENATE("#metadata!", ADDRESS(INDEX($Y$2:$Y$1001,MATCH(ROWS($W$2:W843),$W$2:$W$1001,0),0), INDEX($AD$1004:$AU$1004,1,MATCH(COLUMNS($AD$1006:AP1006),$AD$1006:$AU$1006,0)))),"Fix")))</f>
        <v xml:space="preserve"> </v>
      </c>
      <c r="O843" s="4" t="str">
        <f ca="1">IF(OR(INDEX($X$2:$X$1001,MATCH(ROWS($W$2:W843),$W$2:$W$1001,0),1)&gt;=100000,INDEX($AD$1005:$AU$1005,1,MATCH(COLUMNS($AD$1006:AQ1006),$AD$1006:$AU$1006,0))&gt;=100000), " ",IF(INDEX($AD$2:$AU$1001,MATCH(ROWS($W$2:W843),$W$2:$W$1001,0),MATCH(COLUMNS($AD$1006:AQ1006),$AD$1006:$AU$1006,0)), HYPERLINK("#",""), HYPERLINK(CONCATENATE("#metadata!", ADDRESS(INDEX($Y$2:$Y$1001,MATCH(ROWS($W$2:W843),$W$2:$W$1001,0),0), INDEX($AD$1004:$AU$1004,1,MATCH(COLUMNS($AD$1006:AQ1006),$AD$1006:$AU$1006,0)))),"Fix")))</f>
        <v xml:space="preserve"> </v>
      </c>
      <c r="P843" s="4" t="str">
        <f ca="1">IF(OR(INDEX($X$2:$X$1001,MATCH(ROWS($W$2:W843),$W$2:$W$1001,0),1)&gt;=100000,INDEX($AD$1005:$AU$1005,1,MATCH(COLUMNS($AD$1006:AR1006),$AD$1006:$AU$1006,0))&gt;=100000), " ",IF(INDEX($AD$2:$AU$1001,MATCH(ROWS($W$2:W843),$W$2:$W$1001,0),MATCH(COLUMNS($AD$1006:AR1006),$AD$1006:$AU$1006,0)), HYPERLINK("#",""), HYPERLINK(CONCATENATE("#metadata!", ADDRESS(INDEX($Y$2:$Y$1001,MATCH(ROWS($W$2:W843),$W$2:$W$1001,0),0), INDEX($AD$1004:$AU$1004,1,MATCH(COLUMNS($AD$1006:AR1006),$AD$1006:$AU$1006,0)))),"Fix")))</f>
        <v xml:space="preserve"> </v>
      </c>
      <c r="Q843" s="4" t="str">
        <f ca="1">IF(OR(INDEX($X$2:$X$1001,MATCH(ROWS($W$2:W843),$W$2:$W$1001,0),1)&gt;=100000,INDEX($AD$1005:$AU$1005,1,MATCH(COLUMNS($AD$1006:AS1006),$AD$1006:$AU$1006,0))&gt;=100000), " ",IF(INDEX($AD$2:$AU$1001,MATCH(ROWS($W$2:W843),$W$2:$W$1001,0),MATCH(COLUMNS($AD$1006:AS1006),$AD$1006:$AU$1006,0)), HYPERLINK("#",""), HYPERLINK(CONCATENATE("#metadata!", ADDRESS(INDEX($Y$2:$Y$1001,MATCH(ROWS($W$2:W843),$W$2:$W$1001,0),0), INDEX($AD$1004:$AU$1004,1,MATCH(COLUMNS($AD$1006:AS1006),$AD$1006:$AU$1006,0)))),"Fix")))</f>
        <v xml:space="preserve"> </v>
      </c>
      <c r="R843" s="4" t="str">
        <f ca="1">IF(OR(INDEX($X$2:$X$1001,MATCH(ROWS($W$2:W843),$W$2:$W$1001,0),1)&gt;=100000,INDEX($AD$1005:$AU$1005,1,MATCH(COLUMNS($AD$1006:AT1006),$AD$1006:$AU$1006,0))&gt;=100000), " ",IF(INDEX($AD$2:$AU$1001,MATCH(ROWS($W$2:W843),$W$2:$W$1001,0),MATCH(COLUMNS($AD$1006:AT1006),$AD$1006:$AU$1006,0)), HYPERLINK("#",""), HYPERLINK(CONCATENATE("#metadata!", ADDRESS(INDEX($Y$2:$Y$1001,MATCH(ROWS($W$2:W843),$W$2:$W$1001,0),0), INDEX($AD$1004:$AU$1004,1,MATCH(COLUMNS($AD$1006:AT1006),$AD$1006:$AU$1006,0)))),"Fix")))</f>
        <v xml:space="preserve"> </v>
      </c>
      <c r="S843" s="4" t="str">
        <f ca="1">IF(OR(INDEX($X$2:$X$1001,MATCH(ROWS($W$2:W843),$W$2:$W$1001,0),1)&gt;=100000,INDEX($AD$1005:$AU$1005,1,MATCH(COLUMNS($AD$1006:AU1006),$AD$1006:$AU$1006,0))&gt;=100000), " ",IF(INDEX($AD$2:$AU$1001,MATCH(ROWS($W$2:W843),$W$2:$W$1001,0),MATCH(COLUMNS($AD$1006:AU1006),$AD$1006:$AU$1006,0)), HYPERLINK("#",""), HYPERLINK(CONCATENATE("#metadata!", ADDRESS(INDEX($Y$2:$Y$1001,MATCH(ROWS($W$2:W843),$W$2:$W$1001,0),0), INDEX($AD$1004:$AU$1004,1,MATCH(COLUMNS($AD$1006:AU1006),$AD$1006:$AU$1006,0)))),"Fix")))</f>
        <v xml:space="preserve"> </v>
      </c>
      <c r="W843">
        <v>842</v>
      </c>
      <c r="X843">
        <v>100843</v>
      </c>
      <c r="Y843">
        <v>843</v>
      </c>
      <c r="Z843" t="b">
        <f t="shared" si="13"/>
        <v>1</v>
      </c>
      <c r="AA843" t="b">
        <f>COUNTBLANK(metadata!B843:S843)=COLUMNS(metadata!B843:S843)</f>
        <v>1</v>
      </c>
      <c r="AB843" t="str">
        <v/>
      </c>
      <c r="AD843" t="b">
        <f ca="1">AND(IF(metadata!B843="",FALSE,TRUE),COUNTIF(metadata!B:B, metadata!B843) = 1,NOT(ISERROR(SUMPRODUCT(SEARCH(MID(metadata!B843,ROW(INDIRECT("1:"&amp;LEN(metadata!B843))), 1),"0123456789abcdefghijklmnopqrstuvwxyzABCDEFGHIJKLMNOPQRSTUVWXYZ.")))))</f>
        <v>0</v>
      </c>
      <c r="AE843" t="b">
        <f>OR(AND(IF(metadata!C843="",FALSE,TRUE),OR(EXACT(metadata!C843,"not applicable"),EXACT(metadata!C843,"missing: not collected"),EXACT(metadata!C843,"missing: not provided"),EXACT(metadata!C843,"missing: restricted access"))),AND(IF(metadata!C843="",FALSE,ISNUMBER(VALUE(metadata!C843))),metadata!C843&gt;0))</f>
        <v>0</v>
      </c>
      <c r="AF843" t="b">
        <f>AND(IF(metadata!D843="",FALSE,TRUE),EXACT(metadata!D843,"missing: not provided"))</f>
        <v>0</v>
      </c>
      <c r="AG843" t="b">
        <f>AND(IF(metadata!E843="",FALSE,TRUE),EXACT(metadata!E843,"Host-associated"))</f>
        <v>0</v>
      </c>
      <c r="AH843" t="b">
        <f>AND(IF(metadata!F843="",FALSE,TRUE),OR(EXACT(metadata!F843,"Animal"),EXACT(metadata!F843,"Fungus"),EXACT(metadata!F843,"Plant")))</f>
        <v>0</v>
      </c>
      <c r="AI843" t="b">
        <f>AND(IF(metadata!G843="",FALSE,TRUE),OR(EXACT(metadata!G843,"Plant secretion"),EXACT(metadata!G843,"Plant rhizosphere"),EXACT(metadata!G843,"Plant surface"),EXACT(metadata!G843,"Plant corpus"),EXACT(metadata!G843,"Fungus surface"),EXACT(metadata!G843,"Fungus corpus"),EXACT(metadata!G843,"Animal surface"),EXACT(metadata!G843,"Animal proximal gut"),EXACT(metadata!G843,"Animal corpus"),EXACT(metadata!G843,"Animal distal gut"),EXACT(metadata!G843,"Animal secretion")))</f>
        <v>0</v>
      </c>
      <c r="AJ843" t="b">
        <f>OR(AND(IF(metadata!H843="",FALSE,TRUE),OR(EXACT(metadata!H843,"missing: not collected"),EXACT(metadata!H843,"missing: not provided"),EXACT(metadata!H843,"missing: restricted access"))),AND(IF(metadata!H843="",FALSE,TRUE),OR(EXACT(metadata!H843,"organism-associated habitat"),EXACT(metadata!H843,"plant-associated habitat"),EXACT(metadata!H843,"animal-associated habitat"),EXACT(metadata!H843,"insecta-associated habitat"),EXACT(metadata!H843,"mammalia-associated habitat"),EXACT(metadata!H843,"human-associated habitat"),EXACT(metadata!H843,"livestock-associated habitat"))))</f>
        <v>0</v>
      </c>
      <c r="AK843" t="b">
        <f>AND(IF(metadata!I843="",FALSE,TRUE),EXACT(metadata!I843,"host-associated"))</f>
        <v>0</v>
      </c>
      <c r="AL843" t="b">
        <f>OR(AND(IF(metadata!J843="",FALSE,TRUE),OR(EXACT(metadata!J843,"not applicable"),EXACT(metadata!J843,"missing: not collected"),EXACT(metadata!J843,"missing: not provided"),EXACT(metadata!J843,"missing: restricted access"))),AND(IF(metadata!J843="",FALSE,ISNUMBER(VALUE(metadata!J843))),metadata!J843&gt;0))</f>
        <v>0</v>
      </c>
      <c r="AM843" t="b">
        <f>AND(IF(metadata!K843="",FALSE,TRUE),EXACT(metadata!K843,"missing: not provided"))</f>
        <v>0</v>
      </c>
      <c r="AN843" t="b">
        <f>IF(metadata!L843="",FALSE,TRUE)</f>
        <v>0</v>
      </c>
      <c r="AO843" t="b">
        <f>IF(metadata!M843="",FALSE,TRUE)</f>
        <v>0</v>
      </c>
      <c r="AP843" t="b">
        <f>OR(AND(IF(metadata!N843="",FALSE,TRUE),OR(EXACT(metadata!N843,"not applicable"),EXACT(metadata!N843,"missing: not collected"),EXACT(metadata!N843,"missing: not provided"))),AND(IF(metadata!N843="",FALSE,IF(ISERROR(INT(metadata!N843)),FALSE,INT(metadata!N843)=metadata!N843)),metadata!N843&gt;0))</f>
        <v>0</v>
      </c>
      <c r="AQ843" t="b">
        <f>AND(IF(metadata!O843="",FALSE,TRUE),EXACT(metadata!O843,"Not applicable"))</f>
        <v>0</v>
      </c>
      <c r="AR843" t="b">
        <f>OR(AND(IF(metadata!P843="",FALSE,TRUE),OR(EXACT(metadata!P843,"not applicable"),EXACT(metadata!P843,"missing: not collected"),EXACT(metadata!P843,"missing: not provided"),EXACT(metadata!P843,"missing: restricted access"))),IF(metadata!P843="",FALSE,IF(ISERROR(INT(metadata!P843)),FALSE,INT(metadata!P843)=metadata!P843)))</f>
        <v>0</v>
      </c>
      <c r="AS843" t="b">
        <f>AND(IF(metadata!Q843="",FALSE,TRUE),EXACT(metadata!Q843,"Not applicable"))</f>
        <v>0</v>
      </c>
      <c r="AT843" t="b">
        <f>OR(AND(IF(metadata!R843="",FALSE,TRUE),OR(EXACT(metadata!R843,"not applicable"),EXACT(metadata!R843,"missing: not collected"),EXACT(metadata!R843,"missing: not provided"),EXACT(metadata!R843,"missing: restricted access"))),AND(IF(metadata!R843="",FALSE,ISNUMBER(VALUE(metadata!R843))),metadata!R843&gt;0))</f>
        <v>0</v>
      </c>
      <c r="AU843" t="b">
        <f>AND(IF(metadata!S843="",FALSE,TRUE),EXACT(metadata!S843,"missing: not provided"))</f>
        <v>0</v>
      </c>
    </row>
    <row r="844" spans="1:47" x14ac:dyDescent="0.2">
      <c r="A844" s="5" t="str">
        <f ca="1">IF(B844=" "," ",HYPERLINK(CONCATENATE("#metadata!",ADDRESS(INDEX($Y$2:$Y$1001,MATCH(ROWS($W$2:W844),$W$2:$W$1001,0),0),1)),INDEX($AB$2:$AB$1001,MATCH(ROWS($W$2:W844),$W$2:$W$1001,0),0)))</f>
        <v xml:space="preserve"> </v>
      </c>
      <c r="B844" s="4" t="str">
        <f ca="1">IF(OR(INDEX($X$2:$X$1001,MATCH(ROWS($W$2:W844),$W$2:$W$1001,0),1)&gt;=100000,INDEX($AD$1005:$AU$1005,1,MATCH(COLUMNS($AD$1006:AD1006),$AD$1006:$AU$1006,0))&gt;=100000), " ",IF(INDEX($AD$2:$AU$1001,MATCH(ROWS($W$2:W844),$W$2:$W$1001,0),MATCH(COLUMNS($AD$1006:AD1006),$AD$1006:$AU$1006,0)), HYPERLINK("#",""), HYPERLINK(CONCATENATE("#metadata!", ADDRESS(INDEX($Y$2:$Y$1001,MATCH(ROWS($W$2:W844),$W$2:$W$1001,0),0), INDEX($AD$1004:$AU$1004,1,MATCH(COLUMNS($AD$1006:AD1006),$AD$1006:$AU$1006,0)))),"Fix")))</f>
        <v xml:space="preserve"> </v>
      </c>
      <c r="C844" s="4" t="str">
        <f ca="1">IF(OR(INDEX($X$2:$X$1001,MATCH(ROWS($W$2:W844),$W$2:$W$1001,0),1)&gt;=100000,INDEX($AD$1005:$AU$1005,1,MATCH(COLUMNS($AD$1006:AE1006),$AD$1006:$AU$1006,0))&gt;=100000), " ",IF(INDEX($AD$2:$AU$1001,MATCH(ROWS($W$2:W844),$W$2:$W$1001,0),MATCH(COLUMNS($AD$1006:AE1006),$AD$1006:$AU$1006,0)), HYPERLINK("#",""), HYPERLINK(CONCATENATE("#metadata!", ADDRESS(INDEX($Y$2:$Y$1001,MATCH(ROWS($W$2:W844),$W$2:$W$1001,0),0), INDEX($AD$1004:$AU$1004,1,MATCH(COLUMNS($AD$1006:AE1006),$AD$1006:$AU$1006,0)))),"Fix")))</f>
        <v xml:space="preserve"> </v>
      </c>
      <c r="D844" s="4" t="str">
        <f ca="1">IF(OR(INDEX($X$2:$X$1001,MATCH(ROWS($W$2:W844),$W$2:$W$1001,0),1)&gt;=100000,INDEX($AD$1005:$AU$1005,1,MATCH(COLUMNS($AD$1006:AF1006),$AD$1006:$AU$1006,0))&gt;=100000), " ",IF(INDEX($AD$2:$AU$1001,MATCH(ROWS($W$2:W844),$W$2:$W$1001,0),MATCH(COLUMNS($AD$1006:AF1006),$AD$1006:$AU$1006,0)), HYPERLINK("#",""), HYPERLINK(CONCATENATE("#metadata!", ADDRESS(INDEX($Y$2:$Y$1001,MATCH(ROWS($W$2:W844),$W$2:$W$1001,0),0), INDEX($AD$1004:$AU$1004,1,MATCH(COLUMNS($AD$1006:AF1006),$AD$1006:$AU$1006,0)))),"Fix")))</f>
        <v xml:space="preserve"> </v>
      </c>
      <c r="E844" s="4" t="str">
        <f ca="1">IF(OR(INDEX($X$2:$X$1001,MATCH(ROWS($W$2:W844),$W$2:$W$1001,0),1)&gt;=100000,INDEX($AD$1005:$AU$1005,1,MATCH(COLUMNS($AD$1006:AG1006),$AD$1006:$AU$1006,0))&gt;=100000), " ",IF(INDEX($AD$2:$AU$1001,MATCH(ROWS($W$2:W844),$W$2:$W$1001,0),MATCH(COLUMNS($AD$1006:AG1006),$AD$1006:$AU$1006,0)), HYPERLINK("#",""), HYPERLINK(CONCATENATE("#metadata!", ADDRESS(INDEX($Y$2:$Y$1001,MATCH(ROWS($W$2:W844),$W$2:$W$1001,0),0), INDEX($AD$1004:$AU$1004,1,MATCH(COLUMNS($AD$1006:AG1006),$AD$1006:$AU$1006,0)))),"Fix")))</f>
        <v xml:space="preserve"> </v>
      </c>
      <c r="F844" s="4" t="str">
        <f ca="1">IF(OR(INDEX($X$2:$X$1001,MATCH(ROWS($W$2:W844),$W$2:$W$1001,0),1)&gt;=100000,INDEX($AD$1005:$AU$1005,1,MATCH(COLUMNS($AD$1006:AH1006),$AD$1006:$AU$1006,0))&gt;=100000), " ",IF(INDEX($AD$2:$AU$1001,MATCH(ROWS($W$2:W844),$W$2:$W$1001,0),MATCH(COLUMNS($AD$1006:AH1006),$AD$1006:$AU$1006,0)), HYPERLINK("#",""), HYPERLINK(CONCATENATE("#metadata!", ADDRESS(INDEX($Y$2:$Y$1001,MATCH(ROWS($W$2:W844),$W$2:$W$1001,0),0), INDEX($AD$1004:$AU$1004,1,MATCH(COLUMNS($AD$1006:AH1006),$AD$1006:$AU$1006,0)))),"Fix")))</f>
        <v xml:space="preserve"> </v>
      </c>
      <c r="G844" s="4" t="str">
        <f ca="1">IF(OR(INDEX($X$2:$X$1001,MATCH(ROWS($W$2:W844),$W$2:$W$1001,0),1)&gt;=100000,INDEX($AD$1005:$AU$1005,1,MATCH(COLUMNS($AD$1006:AI1006),$AD$1006:$AU$1006,0))&gt;=100000), " ",IF(INDEX($AD$2:$AU$1001,MATCH(ROWS($W$2:W844),$W$2:$W$1001,0),MATCH(COLUMNS($AD$1006:AI1006),$AD$1006:$AU$1006,0)), HYPERLINK("#",""), HYPERLINK(CONCATENATE("#metadata!", ADDRESS(INDEX($Y$2:$Y$1001,MATCH(ROWS($W$2:W844),$W$2:$W$1001,0),0), INDEX($AD$1004:$AU$1004,1,MATCH(COLUMNS($AD$1006:AI1006),$AD$1006:$AU$1006,0)))),"Fix")))</f>
        <v xml:space="preserve"> </v>
      </c>
      <c r="H844" s="4" t="str">
        <f ca="1">IF(OR(INDEX($X$2:$X$1001,MATCH(ROWS($W$2:W844),$W$2:$W$1001,0),1)&gt;=100000,INDEX($AD$1005:$AU$1005,1,MATCH(COLUMNS($AD$1006:AJ1006),$AD$1006:$AU$1006,0))&gt;=100000), " ",IF(INDEX($AD$2:$AU$1001,MATCH(ROWS($W$2:W844),$W$2:$W$1001,0),MATCH(COLUMNS($AD$1006:AJ1006),$AD$1006:$AU$1006,0)), HYPERLINK("#",""), HYPERLINK(CONCATENATE("#metadata!", ADDRESS(INDEX($Y$2:$Y$1001,MATCH(ROWS($W$2:W844),$W$2:$W$1001,0),0), INDEX($AD$1004:$AU$1004,1,MATCH(COLUMNS($AD$1006:AJ1006),$AD$1006:$AU$1006,0)))),"Fix")))</f>
        <v xml:space="preserve"> </v>
      </c>
      <c r="I844" s="4" t="str">
        <f ca="1">IF(OR(INDEX($X$2:$X$1001,MATCH(ROWS($W$2:W844),$W$2:$W$1001,0),1)&gt;=100000,INDEX($AD$1005:$AU$1005,1,MATCH(COLUMNS($AD$1006:AK1006),$AD$1006:$AU$1006,0))&gt;=100000), " ",IF(INDEX($AD$2:$AU$1001,MATCH(ROWS($W$2:W844),$W$2:$W$1001,0),MATCH(COLUMNS($AD$1006:AK1006),$AD$1006:$AU$1006,0)), HYPERLINK("#",""), HYPERLINK(CONCATENATE("#metadata!", ADDRESS(INDEX($Y$2:$Y$1001,MATCH(ROWS($W$2:W844),$W$2:$W$1001,0),0), INDEX($AD$1004:$AU$1004,1,MATCH(COLUMNS($AD$1006:AK1006),$AD$1006:$AU$1006,0)))),"Fix")))</f>
        <v xml:space="preserve"> </v>
      </c>
      <c r="J844" s="4" t="str">
        <f ca="1">IF(OR(INDEX($X$2:$X$1001,MATCH(ROWS($W$2:W844),$W$2:$W$1001,0),1)&gt;=100000,INDEX($AD$1005:$AU$1005,1,MATCH(COLUMNS($AD$1006:AL1006),$AD$1006:$AU$1006,0))&gt;=100000), " ",IF(INDEX($AD$2:$AU$1001,MATCH(ROWS($W$2:W844),$W$2:$W$1001,0),MATCH(COLUMNS($AD$1006:AL1006),$AD$1006:$AU$1006,0)), HYPERLINK("#",""), HYPERLINK(CONCATENATE("#metadata!", ADDRESS(INDEX($Y$2:$Y$1001,MATCH(ROWS($W$2:W844),$W$2:$W$1001,0),0), INDEX($AD$1004:$AU$1004,1,MATCH(COLUMNS($AD$1006:AL1006),$AD$1006:$AU$1006,0)))),"Fix")))</f>
        <v xml:space="preserve"> </v>
      </c>
      <c r="K844" s="4" t="str">
        <f ca="1">IF(OR(INDEX($X$2:$X$1001,MATCH(ROWS($W$2:W844),$W$2:$W$1001,0),1)&gt;=100000,INDEX($AD$1005:$AU$1005,1,MATCH(COLUMNS($AD$1006:AM1006),$AD$1006:$AU$1006,0))&gt;=100000), " ",IF(INDEX($AD$2:$AU$1001,MATCH(ROWS($W$2:W844),$W$2:$W$1001,0),MATCH(COLUMNS($AD$1006:AM1006),$AD$1006:$AU$1006,0)), HYPERLINK("#",""), HYPERLINK(CONCATENATE("#metadata!", ADDRESS(INDEX($Y$2:$Y$1001,MATCH(ROWS($W$2:W844),$W$2:$W$1001,0),0), INDEX($AD$1004:$AU$1004,1,MATCH(COLUMNS($AD$1006:AM1006),$AD$1006:$AU$1006,0)))),"Fix")))</f>
        <v xml:space="preserve"> </v>
      </c>
      <c r="L844" s="4" t="str">
        <f ca="1">IF(OR(INDEX($X$2:$X$1001,MATCH(ROWS($W$2:W844),$W$2:$W$1001,0),1)&gt;=100000,INDEX($AD$1005:$AU$1005,1,MATCH(COLUMNS($AD$1006:AN1006),$AD$1006:$AU$1006,0))&gt;=100000), " ",IF(INDEX($AD$2:$AU$1001,MATCH(ROWS($W$2:W844),$W$2:$W$1001,0),MATCH(COLUMNS($AD$1006:AN1006),$AD$1006:$AU$1006,0)), HYPERLINK("#",""), HYPERLINK(CONCATENATE("#metadata!", ADDRESS(INDEX($Y$2:$Y$1001,MATCH(ROWS($W$2:W844),$W$2:$W$1001,0),0), INDEX($AD$1004:$AU$1004,1,MATCH(COLUMNS($AD$1006:AN1006),$AD$1006:$AU$1006,0)))),"Fix")))</f>
        <v xml:space="preserve"> </v>
      </c>
      <c r="M844" s="4" t="str">
        <f ca="1">IF(OR(INDEX($X$2:$X$1001,MATCH(ROWS($W$2:W844),$W$2:$W$1001,0),1)&gt;=100000,INDEX($AD$1005:$AU$1005,1,MATCH(COLUMNS($AD$1006:AO1006),$AD$1006:$AU$1006,0))&gt;=100000), " ",IF(INDEX($AD$2:$AU$1001,MATCH(ROWS($W$2:W844),$W$2:$W$1001,0),MATCH(COLUMNS($AD$1006:AO1006),$AD$1006:$AU$1006,0)), HYPERLINK("#",""), HYPERLINK(CONCATENATE("#metadata!", ADDRESS(INDEX($Y$2:$Y$1001,MATCH(ROWS($W$2:W844),$W$2:$W$1001,0),0), INDEX($AD$1004:$AU$1004,1,MATCH(COLUMNS($AD$1006:AO1006),$AD$1006:$AU$1006,0)))),"Fix")))</f>
        <v xml:space="preserve"> </v>
      </c>
      <c r="N844" s="4" t="str">
        <f ca="1">IF(OR(INDEX($X$2:$X$1001,MATCH(ROWS($W$2:W844),$W$2:$W$1001,0),1)&gt;=100000,INDEX($AD$1005:$AU$1005,1,MATCH(COLUMNS($AD$1006:AP1006),$AD$1006:$AU$1006,0))&gt;=100000), " ",IF(INDEX($AD$2:$AU$1001,MATCH(ROWS($W$2:W844),$W$2:$W$1001,0),MATCH(COLUMNS($AD$1006:AP1006),$AD$1006:$AU$1006,0)), HYPERLINK("#",""), HYPERLINK(CONCATENATE("#metadata!", ADDRESS(INDEX($Y$2:$Y$1001,MATCH(ROWS($W$2:W844),$W$2:$W$1001,0),0), INDEX($AD$1004:$AU$1004,1,MATCH(COLUMNS($AD$1006:AP1006),$AD$1006:$AU$1006,0)))),"Fix")))</f>
        <v xml:space="preserve"> </v>
      </c>
      <c r="O844" s="4" t="str">
        <f ca="1">IF(OR(INDEX($X$2:$X$1001,MATCH(ROWS($W$2:W844),$W$2:$W$1001,0),1)&gt;=100000,INDEX($AD$1005:$AU$1005,1,MATCH(COLUMNS($AD$1006:AQ1006),$AD$1006:$AU$1006,0))&gt;=100000), " ",IF(INDEX($AD$2:$AU$1001,MATCH(ROWS($W$2:W844),$W$2:$W$1001,0),MATCH(COLUMNS($AD$1006:AQ1006),$AD$1006:$AU$1006,0)), HYPERLINK("#",""), HYPERLINK(CONCATENATE("#metadata!", ADDRESS(INDEX($Y$2:$Y$1001,MATCH(ROWS($W$2:W844),$W$2:$W$1001,0),0), INDEX($AD$1004:$AU$1004,1,MATCH(COLUMNS($AD$1006:AQ1006),$AD$1006:$AU$1006,0)))),"Fix")))</f>
        <v xml:space="preserve"> </v>
      </c>
      <c r="P844" s="4" t="str">
        <f ca="1">IF(OR(INDEX($X$2:$X$1001,MATCH(ROWS($W$2:W844),$W$2:$W$1001,0),1)&gt;=100000,INDEX($AD$1005:$AU$1005,1,MATCH(COLUMNS($AD$1006:AR1006),$AD$1006:$AU$1006,0))&gt;=100000), " ",IF(INDEX($AD$2:$AU$1001,MATCH(ROWS($W$2:W844),$W$2:$W$1001,0),MATCH(COLUMNS($AD$1006:AR1006),$AD$1006:$AU$1006,0)), HYPERLINK("#",""), HYPERLINK(CONCATENATE("#metadata!", ADDRESS(INDEX($Y$2:$Y$1001,MATCH(ROWS($W$2:W844),$W$2:$W$1001,0),0), INDEX($AD$1004:$AU$1004,1,MATCH(COLUMNS($AD$1006:AR1006),$AD$1006:$AU$1006,0)))),"Fix")))</f>
        <v xml:space="preserve"> </v>
      </c>
      <c r="Q844" s="4" t="str">
        <f ca="1">IF(OR(INDEX($X$2:$X$1001,MATCH(ROWS($W$2:W844),$W$2:$W$1001,0),1)&gt;=100000,INDEX($AD$1005:$AU$1005,1,MATCH(COLUMNS($AD$1006:AS1006),$AD$1006:$AU$1006,0))&gt;=100000), " ",IF(INDEX($AD$2:$AU$1001,MATCH(ROWS($W$2:W844),$W$2:$W$1001,0),MATCH(COLUMNS($AD$1006:AS1006),$AD$1006:$AU$1006,0)), HYPERLINK("#",""), HYPERLINK(CONCATENATE("#metadata!", ADDRESS(INDEX($Y$2:$Y$1001,MATCH(ROWS($W$2:W844),$W$2:$W$1001,0),0), INDEX($AD$1004:$AU$1004,1,MATCH(COLUMNS($AD$1006:AS1006),$AD$1006:$AU$1006,0)))),"Fix")))</f>
        <v xml:space="preserve"> </v>
      </c>
      <c r="R844" s="4" t="str">
        <f ca="1">IF(OR(INDEX($X$2:$X$1001,MATCH(ROWS($W$2:W844),$W$2:$W$1001,0),1)&gt;=100000,INDEX($AD$1005:$AU$1005,1,MATCH(COLUMNS($AD$1006:AT1006),$AD$1006:$AU$1006,0))&gt;=100000), " ",IF(INDEX($AD$2:$AU$1001,MATCH(ROWS($W$2:W844),$W$2:$W$1001,0),MATCH(COLUMNS($AD$1006:AT1006),$AD$1006:$AU$1006,0)), HYPERLINK("#",""), HYPERLINK(CONCATENATE("#metadata!", ADDRESS(INDEX($Y$2:$Y$1001,MATCH(ROWS($W$2:W844),$W$2:$W$1001,0),0), INDEX($AD$1004:$AU$1004,1,MATCH(COLUMNS($AD$1006:AT1006),$AD$1006:$AU$1006,0)))),"Fix")))</f>
        <v xml:space="preserve"> </v>
      </c>
      <c r="S844" s="4" t="str">
        <f ca="1">IF(OR(INDEX($X$2:$X$1001,MATCH(ROWS($W$2:W844),$W$2:$W$1001,0),1)&gt;=100000,INDEX($AD$1005:$AU$1005,1,MATCH(COLUMNS($AD$1006:AU1006),$AD$1006:$AU$1006,0))&gt;=100000), " ",IF(INDEX($AD$2:$AU$1001,MATCH(ROWS($W$2:W844),$W$2:$W$1001,0),MATCH(COLUMNS($AD$1006:AU1006),$AD$1006:$AU$1006,0)), HYPERLINK("#",""), HYPERLINK(CONCATENATE("#metadata!", ADDRESS(INDEX($Y$2:$Y$1001,MATCH(ROWS($W$2:W844),$W$2:$W$1001,0),0), INDEX($AD$1004:$AU$1004,1,MATCH(COLUMNS($AD$1006:AU1006),$AD$1006:$AU$1006,0)))),"Fix")))</f>
        <v xml:space="preserve"> </v>
      </c>
      <c r="W844">
        <v>843</v>
      </c>
      <c r="X844">
        <v>100844</v>
      </c>
      <c r="Y844">
        <v>844</v>
      </c>
      <c r="Z844" t="b">
        <f t="shared" si="13"/>
        <v>1</v>
      </c>
      <c r="AA844" t="b">
        <f>COUNTBLANK(metadata!B844:S844)=COLUMNS(metadata!B844:S844)</f>
        <v>1</v>
      </c>
      <c r="AB844" t="str">
        <v/>
      </c>
      <c r="AD844" t="b">
        <f ca="1">AND(IF(metadata!B844="",FALSE,TRUE),COUNTIF(metadata!B:B, metadata!B844) = 1,NOT(ISERROR(SUMPRODUCT(SEARCH(MID(metadata!B844,ROW(INDIRECT("1:"&amp;LEN(metadata!B844))), 1),"0123456789abcdefghijklmnopqrstuvwxyzABCDEFGHIJKLMNOPQRSTUVWXYZ.")))))</f>
        <v>0</v>
      </c>
      <c r="AE844" t="b">
        <f>OR(AND(IF(metadata!C844="",FALSE,TRUE),OR(EXACT(metadata!C844,"not applicable"),EXACT(metadata!C844,"missing: not collected"),EXACT(metadata!C844,"missing: not provided"),EXACT(metadata!C844,"missing: restricted access"))),AND(IF(metadata!C844="",FALSE,ISNUMBER(VALUE(metadata!C844))),metadata!C844&gt;0))</f>
        <v>0</v>
      </c>
      <c r="AF844" t="b">
        <f>AND(IF(metadata!D844="",FALSE,TRUE),EXACT(metadata!D844,"missing: not provided"))</f>
        <v>0</v>
      </c>
      <c r="AG844" t="b">
        <f>AND(IF(metadata!E844="",FALSE,TRUE),EXACT(metadata!E844,"Host-associated"))</f>
        <v>0</v>
      </c>
      <c r="AH844" t="b">
        <f>AND(IF(metadata!F844="",FALSE,TRUE),OR(EXACT(metadata!F844,"Animal"),EXACT(metadata!F844,"Fungus"),EXACT(metadata!F844,"Plant")))</f>
        <v>0</v>
      </c>
      <c r="AI844" t="b">
        <f>AND(IF(metadata!G844="",FALSE,TRUE),OR(EXACT(metadata!G844,"Plant secretion"),EXACT(metadata!G844,"Plant rhizosphere"),EXACT(metadata!G844,"Plant surface"),EXACT(metadata!G844,"Plant corpus"),EXACT(metadata!G844,"Fungus surface"),EXACT(metadata!G844,"Fungus corpus"),EXACT(metadata!G844,"Animal surface"),EXACT(metadata!G844,"Animal proximal gut"),EXACT(metadata!G844,"Animal corpus"),EXACT(metadata!G844,"Animal distal gut"),EXACT(metadata!G844,"Animal secretion")))</f>
        <v>0</v>
      </c>
      <c r="AJ844" t="b">
        <f>OR(AND(IF(metadata!H844="",FALSE,TRUE),OR(EXACT(metadata!H844,"missing: not collected"),EXACT(metadata!H844,"missing: not provided"),EXACT(metadata!H844,"missing: restricted access"))),AND(IF(metadata!H844="",FALSE,TRUE),OR(EXACT(metadata!H844,"organism-associated habitat"),EXACT(metadata!H844,"plant-associated habitat"),EXACT(metadata!H844,"animal-associated habitat"),EXACT(metadata!H844,"insecta-associated habitat"),EXACT(metadata!H844,"mammalia-associated habitat"),EXACT(metadata!H844,"human-associated habitat"),EXACT(metadata!H844,"livestock-associated habitat"))))</f>
        <v>0</v>
      </c>
      <c r="AK844" t="b">
        <f>AND(IF(metadata!I844="",FALSE,TRUE),EXACT(metadata!I844,"host-associated"))</f>
        <v>0</v>
      </c>
      <c r="AL844" t="b">
        <f>OR(AND(IF(metadata!J844="",FALSE,TRUE),OR(EXACT(metadata!J844,"not applicable"),EXACT(metadata!J844,"missing: not collected"),EXACT(metadata!J844,"missing: not provided"),EXACT(metadata!J844,"missing: restricted access"))),AND(IF(metadata!J844="",FALSE,ISNUMBER(VALUE(metadata!J844))),metadata!J844&gt;0))</f>
        <v>0</v>
      </c>
      <c r="AM844" t="b">
        <f>AND(IF(metadata!K844="",FALSE,TRUE),EXACT(metadata!K844,"missing: not provided"))</f>
        <v>0</v>
      </c>
      <c r="AN844" t="b">
        <f>IF(metadata!L844="",FALSE,TRUE)</f>
        <v>0</v>
      </c>
      <c r="AO844" t="b">
        <f>IF(metadata!M844="",FALSE,TRUE)</f>
        <v>0</v>
      </c>
      <c r="AP844" t="b">
        <f>OR(AND(IF(metadata!N844="",FALSE,TRUE),OR(EXACT(metadata!N844,"not applicable"),EXACT(metadata!N844,"missing: not collected"),EXACT(metadata!N844,"missing: not provided"))),AND(IF(metadata!N844="",FALSE,IF(ISERROR(INT(metadata!N844)),FALSE,INT(metadata!N844)=metadata!N844)),metadata!N844&gt;0))</f>
        <v>0</v>
      </c>
      <c r="AQ844" t="b">
        <f>AND(IF(metadata!O844="",FALSE,TRUE),EXACT(metadata!O844,"Not applicable"))</f>
        <v>0</v>
      </c>
      <c r="AR844" t="b">
        <f>OR(AND(IF(metadata!P844="",FALSE,TRUE),OR(EXACT(metadata!P844,"not applicable"),EXACT(metadata!P844,"missing: not collected"),EXACT(metadata!P844,"missing: not provided"),EXACT(metadata!P844,"missing: restricted access"))),IF(metadata!P844="",FALSE,IF(ISERROR(INT(metadata!P844)),FALSE,INT(metadata!P844)=metadata!P844)))</f>
        <v>0</v>
      </c>
      <c r="AS844" t="b">
        <f>AND(IF(metadata!Q844="",FALSE,TRUE),EXACT(metadata!Q844,"Not applicable"))</f>
        <v>0</v>
      </c>
      <c r="AT844" t="b">
        <f>OR(AND(IF(metadata!R844="",FALSE,TRUE),OR(EXACT(metadata!R844,"not applicable"),EXACT(metadata!R844,"missing: not collected"),EXACT(metadata!R844,"missing: not provided"),EXACT(metadata!R844,"missing: restricted access"))),AND(IF(metadata!R844="",FALSE,ISNUMBER(VALUE(metadata!R844))),metadata!R844&gt;0))</f>
        <v>0</v>
      </c>
      <c r="AU844" t="b">
        <f>AND(IF(metadata!S844="",FALSE,TRUE),EXACT(metadata!S844,"missing: not provided"))</f>
        <v>0</v>
      </c>
    </row>
    <row r="845" spans="1:47" x14ac:dyDescent="0.2">
      <c r="A845" s="5" t="str">
        <f ca="1">IF(B845=" "," ",HYPERLINK(CONCATENATE("#metadata!",ADDRESS(INDEX($Y$2:$Y$1001,MATCH(ROWS($W$2:W845),$W$2:$W$1001,0),0),1)),INDEX($AB$2:$AB$1001,MATCH(ROWS($W$2:W845),$W$2:$W$1001,0),0)))</f>
        <v xml:space="preserve"> </v>
      </c>
      <c r="B845" s="4" t="str">
        <f ca="1">IF(OR(INDEX($X$2:$X$1001,MATCH(ROWS($W$2:W845),$W$2:$W$1001,0),1)&gt;=100000,INDEX($AD$1005:$AU$1005,1,MATCH(COLUMNS($AD$1006:AD1006),$AD$1006:$AU$1006,0))&gt;=100000), " ",IF(INDEX($AD$2:$AU$1001,MATCH(ROWS($W$2:W845),$W$2:$W$1001,0),MATCH(COLUMNS($AD$1006:AD1006),$AD$1006:$AU$1006,0)), HYPERLINK("#",""), HYPERLINK(CONCATENATE("#metadata!", ADDRESS(INDEX($Y$2:$Y$1001,MATCH(ROWS($W$2:W845),$W$2:$W$1001,0),0), INDEX($AD$1004:$AU$1004,1,MATCH(COLUMNS($AD$1006:AD1006),$AD$1006:$AU$1006,0)))),"Fix")))</f>
        <v xml:space="preserve"> </v>
      </c>
      <c r="C845" s="4" t="str">
        <f ca="1">IF(OR(INDEX($X$2:$X$1001,MATCH(ROWS($W$2:W845),$W$2:$W$1001,0),1)&gt;=100000,INDEX($AD$1005:$AU$1005,1,MATCH(COLUMNS($AD$1006:AE1006),$AD$1006:$AU$1006,0))&gt;=100000), " ",IF(INDEX($AD$2:$AU$1001,MATCH(ROWS($W$2:W845),$W$2:$W$1001,0),MATCH(COLUMNS($AD$1006:AE1006),$AD$1006:$AU$1006,0)), HYPERLINK("#",""), HYPERLINK(CONCATENATE("#metadata!", ADDRESS(INDEX($Y$2:$Y$1001,MATCH(ROWS($W$2:W845),$W$2:$W$1001,0),0), INDEX($AD$1004:$AU$1004,1,MATCH(COLUMNS($AD$1006:AE1006),$AD$1006:$AU$1006,0)))),"Fix")))</f>
        <v xml:space="preserve"> </v>
      </c>
      <c r="D845" s="4" t="str">
        <f ca="1">IF(OR(INDEX($X$2:$X$1001,MATCH(ROWS($W$2:W845),$W$2:$W$1001,0),1)&gt;=100000,INDEX($AD$1005:$AU$1005,1,MATCH(COLUMNS($AD$1006:AF1006),$AD$1006:$AU$1006,0))&gt;=100000), " ",IF(INDEX($AD$2:$AU$1001,MATCH(ROWS($W$2:W845),$W$2:$W$1001,0),MATCH(COLUMNS($AD$1006:AF1006),$AD$1006:$AU$1006,0)), HYPERLINK("#",""), HYPERLINK(CONCATENATE("#metadata!", ADDRESS(INDEX($Y$2:$Y$1001,MATCH(ROWS($W$2:W845),$W$2:$W$1001,0),0), INDEX($AD$1004:$AU$1004,1,MATCH(COLUMNS($AD$1006:AF1006),$AD$1006:$AU$1006,0)))),"Fix")))</f>
        <v xml:space="preserve"> </v>
      </c>
      <c r="E845" s="4" t="str">
        <f ca="1">IF(OR(INDEX($X$2:$X$1001,MATCH(ROWS($W$2:W845),$W$2:$W$1001,0),1)&gt;=100000,INDEX($AD$1005:$AU$1005,1,MATCH(COLUMNS($AD$1006:AG1006),$AD$1006:$AU$1006,0))&gt;=100000), " ",IF(INDEX($AD$2:$AU$1001,MATCH(ROWS($W$2:W845),$W$2:$W$1001,0),MATCH(COLUMNS($AD$1006:AG1006),$AD$1006:$AU$1006,0)), HYPERLINK("#",""), HYPERLINK(CONCATENATE("#metadata!", ADDRESS(INDEX($Y$2:$Y$1001,MATCH(ROWS($W$2:W845),$W$2:$W$1001,0),0), INDEX($AD$1004:$AU$1004,1,MATCH(COLUMNS($AD$1006:AG1006),$AD$1006:$AU$1006,0)))),"Fix")))</f>
        <v xml:space="preserve"> </v>
      </c>
      <c r="F845" s="4" t="str">
        <f ca="1">IF(OR(INDEX($X$2:$X$1001,MATCH(ROWS($W$2:W845),$W$2:$W$1001,0),1)&gt;=100000,INDEX($AD$1005:$AU$1005,1,MATCH(COLUMNS($AD$1006:AH1006),$AD$1006:$AU$1006,0))&gt;=100000), " ",IF(INDEX($AD$2:$AU$1001,MATCH(ROWS($W$2:W845),$W$2:$W$1001,0),MATCH(COLUMNS($AD$1006:AH1006),$AD$1006:$AU$1006,0)), HYPERLINK("#",""), HYPERLINK(CONCATENATE("#metadata!", ADDRESS(INDEX($Y$2:$Y$1001,MATCH(ROWS($W$2:W845),$W$2:$W$1001,0),0), INDEX($AD$1004:$AU$1004,1,MATCH(COLUMNS($AD$1006:AH1006),$AD$1006:$AU$1006,0)))),"Fix")))</f>
        <v xml:space="preserve"> </v>
      </c>
      <c r="G845" s="4" t="str">
        <f ca="1">IF(OR(INDEX($X$2:$X$1001,MATCH(ROWS($W$2:W845),$W$2:$W$1001,0),1)&gt;=100000,INDEX($AD$1005:$AU$1005,1,MATCH(COLUMNS($AD$1006:AI1006),$AD$1006:$AU$1006,0))&gt;=100000), " ",IF(INDEX($AD$2:$AU$1001,MATCH(ROWS($W$2:W845),$W$2:$W$1001,0),MATCH(COLUMNS($AD$1006:AI1006),$AD$1006:$AU$1006,0)), HYPERLINK("#",""), HYPERLINK(CONCATENATE("#metadata!", ADDRESS(INDEX($Y$2:$Y$1001,MATCH(ROWS($W$2:W845),$W$2:$W$1001,0),0), INDEX($AD$1004:$AU$1004,1,MATCH(COLUMNS($AD$1006:AI1006),$AD$1006:$AU$1006,0)))),"Fix")))</f>
        <v xml:space="preserve"> </v>
      </c>
      <c r="H845" s="4" t="str">
        <f ca="1">IF(OR(INDEX($X$2:$X$1001,MATCH(ROWS($W$2:W845),$W$2:$W$1001,0),1)&gt;=100000,INDEX($AD$1005:$AU$1005,1,MATCH(COLUMNS($AD$1006:AJ1006),$AD$1006:$AU$1006,0))&gt;=100000), " ",IF(INDEX($AD$2:$AU$1001,MATCH(ROWS($W$2:W845),$W$2:$W$1001,0),MATCH(COLUMNS($AD$1006:AJ1006),$AD$1006:$AU$1006,0)), HYPERLINK("#",""), HYPERLINK(CONCATENATE("#metadata!", ADDRESS(INDEX($Y$2:$Y$1001,MATCH(ROWS($W$2:W845),$W$2:$W$1001,0),0), INDEX($AD$1004:$AU$1004,1,MATCH(COLUMNS($AD$1006:AJ1006),$AD$1006:$AU$1006,0)))),"Fix")))</f>
        <v xml:space="preserve"> </v>
      </c>
      <c r="I845" s="4" t="str">
        <f ca="1">IF(OR(INDEX($X$2:$X$1001,MATCH(ROWS($W$2:W845),$W$2:$W$1001,0),1)&gt;=100000,INDEX($AD$1005:$AU$1005,1,MATCH(COLUMNS($AD$1006:AK1006),$AD$1006:$AU$1006,0))&gt;=100000), " ",IF(INDEX($AD$2:$AU$1001,MATCH(ROWS($W$2:W845),$W$2:$W$1001,0),MATCH(COLUMNS($AD$1006:AK1006),$AD$1006:$AU$1006,0)), HYPERLINK("#",""), HYPERLINK(CONCATENATE("#metadata!", ADDRESS(INDEX($Y$2:$Y$1001,MATCH(ROWS($W$2:W845),$W$2:$W$1001,0),0), INDEX($AD$1004:$AU$1004,1,MATCH(COLUMNS($AD$1006:AK1006),$AD$1006:$AU$1006,0)))),"Fix")))</f>
        <v xml:space="preserve"> </v>
      </c>
      <c r="J845" s="4" t="str">
        <f ca="1">IF(OR(INDEX($X$2:$X$1001,MATCH(ROWS($W$2:W845),$W$2:$W$1001,0),1)&gt;=100000,INDEX($AD$1005:$AU$1005,1,MATCH(COLUMNS($AD$1006:AL1006),$AD$1006:$AU$1006,0))&gt;=100000), " ",IF(INDEX($AD$2:$AU$1001,MATCH(ROWS($W$2:W845),$W$2:$W$1001,0),MATCH(COLUMNS($AD$1006:AL1006),$AD$1006:$AU$1006,0)), HYPERLINK("#",""), HYPERLINK(CONCATENATE("#metadata!", ADDRESS(INDEX($Y$2:$Y$1001,MATCH(ROWS($W$2:W845),$W$2:$W$1001,0),0), INDEX($AD$1004:$AU$1004,1,MATCH(COLUMNS($AD$1006:AL1006),$AD$1006:$AU$1006,0)))),"Fix")))</f>
        <v xml:space="preserve"> </v>
      </c>
      <c r="K845" s="4" t="str">
        <f ca="1">IF(OR(INDEX($X$2:$X$1001,MATCH(ROWS($W$2:W845),$W$2:$W$1001,0),1)&gt;=100000,INDEX($AD$1005:$AU$1005,1,MATCH(COLUMNS($AD$1006:AM1006),$AD$1006:$AU$1006,0))&gt;=100000), " ",IF(INDEX($AD$2:$AU$1001,MATCH(ROWS($W$2:W845),$W$2:$W$1001,0),MATCH(COLUMNS($AD$1006:AM1006),$AD$1006:$AU$1006,0)), HYPERLINK("#",""), HYPERLINK(CONCATENATE("#metadata!", ADDRESS(INDEX($Y$2:$Y$1001,MATCH(ROWS($W$2:W845),$W$2:$W$1001,0),0), INDEX($AD$1004:$AU$1004,1,MATCH(COLUMNS($AD$1006:AM1006),$AD$1006:$AU$1006,0)))),"Fix")))</f>
        <v xml:space="preserve"> </v>
      </c>
      <c r="L845" s="4" t="str">
        <f ca="1">IF(OR(INDEX($X$2:$X$1001,MATCH(ROWS($W$2:W845),$W$2:$W$1001,0),1)&gt;=100000,INDEX($AD$1005:$AU$1005,1,MATCH(COLUMNS($AD$1006:AN1006),$AD$1006:$AU$1006,0))&gt;=100000), " ",IF(INDEX($AD$2:$AU$1001,MATCH(ROWS($W$2:W845),$W$2:$W$1001,0),MATCH(COLUMNS($AD$1006:AN1006),$AD$1006:$AU$1006,0)), HYPERLINK("#",""), HYPERLINK(CONCATENATE("#metadata!", ADDRESS(INDEX($Y$2:$Y$1001,MATCH(ROWS($W$2:W845),$W$2:$W$1001,0),0), INDEX($AD$1004:$AU$1004,1,MATCH(COLUMNS($AD$1006:AN1006),$AD$1006:$AU$1006,0)))),"Fix")))</f>
        <v xml:space="preserve"> </v>
      </c>
      <c r="M845" s="4" t="str">
        <f ca="1">IF(OR(INDEX($X$2:$X$1001,MATCH(ROWS($W$2:W845),$W$2:$W$1001,0),1)&gt;=100000,INDEX($AD$1005:$AU$1005,1,MATCH(COLUMNS($AD$1006:AO1006),$AD$1006:$AU$1006,0))&gt;=100000), " ",IF(INDEX($AD$2:$AU$1001,MATCH(ROWS($W$2:W845),$W$2:$W$1001,0),MATCH(COLUMNS($AD$1006:AO1006),$AD$1006:$AU$1006,0)), HYPERLINK("#",""), HYPERLINK(CONCATENATE("#metadata!", ADDRESS(INDEX($Y$2:$Y$1001,MATCH(ROWS($W$2:W845),$W$2:$W$1001,0),0), INDEX($AD$1004:$AU$1004,1,MATCH(COLUMNS($AD$1006:AO1006),$AD$1006:$AU$1006,0)))),"Fix")))</f>
        <v xml:space="preserve"> </v>
      </c>
      <c r="N845" s="4" t="str">
        <f ca="1">IF(OR(INDEX($X$2:$X$1001,MATCH(ROWS($W$2:W845),$W$2:$W$1001,0),1)&gt;=100000,INDEX($AD$1005:$AU$1005,1,MATCH(COLUMNS($AD$1006:AP1006),$AD$1006:$AU$1006,0))&gt;=100000), " ",IF(INDEX($AD$2:$AU$1001,MATCH(ROWS($W$2:W845),$W$2:$W$1001,0),MATCH(COLUMNS($AD$1006:AP1006),$AD$1006:$AU$1006,0)), HYPERLINK("#",""), HYPERLINK(CONCATENATE("#metadata!", ADDRESS(INDEX($Y$2:$Y$1001,MATCH(ROWS($W$2:W845),$W$2:$W$1001,0),0), INDEX($AD$1004:$AU$1004,1,MATCH(COLUMNS($AD$1006:AP1006),$AD$1006:$AU$1006,0)))),"Fix")))</f>
        <v xml:space="preserve"> </v>
      </c>
      <c r="O845" s="4" t="str">
        <f ca="1">IF(OR(INDEX($X$2:$X$1001,MATCH(ROWS($W$2:W845),$W$2:$W$1001,0),1)&gt;=100000,INDEX($AD$1005:$AU$1005,1,MATCH(COLUMNS($AD$1006:AQ1006),$AD$1006:$AU$1006,0))&gt;=100000), " ",IF(INDEX($AD$2:$AU$1001,MATCH(ROWS($W$2:W845),$W$2:$W$1001,0),MATCH(COLUMNS($AD$1006:AQ1006),$AD$1006:$AU$1006,0)), HYPERLINK("#",""), HYPERLINK(CONCATENATE("#metadata!", ADDRESS(INDEX($Y$2:$Y$1001,MATCH(ROWS($W$2:W845),$W$2:$W$1001,0),0), INDEX($AD$1004:$AU$1004,1,MATCH(COLUMNS($AD$1006:AQ1006),$AD$1006:$AU$1006,0)))),"Fix")))</f>
        <v xml:space="preserve"> </v>
      </c>
      <c r="P845" s="4" t="str">
        <f ca="1">IF(OR(INDEX($X$2:$X$1001,MATCH(ROWS($W$2:W845),$W$2:$W$1001,0),1)&gt;=100000,INDEX($AD$1005:$AU$1005,1,MATCH(COLUMNS($AD$1006:AR1006),$AD$1006:$AU$1006,0))&gt;=100000), " ",IF(INDEX($AD$2:$AU$1001,MATCH(ROWS($W$2:W845),$W$2:$W$1001,0),MATCH(COLUMNS($AD$1006:AR1006),$AD$1006:$AU$1006,0)), HYPERLINK("#",""), HYPERLINK(CONCATENATE("#metadata!", ADDRESS(INDEX($Y$2:$Y$1001,MATCH(ROWS($W$2:W845),$W$2:$W$1001,0),0), INDEX($AD$1004:$AU$1004,1,MATCH(COLUMNS($AD$1006:AR1006),$AD$1006:$AU$1006,0)))),"Fix")))</f>
        <v xml:space="preserve"> </v>
      </c>
      <c r="Q845" s="4" t="str">
        <f ca="1">IF(OR(INDEX($X$2:$X$1001,MATCH(ROWS($W$2:W845),$W$2:$W$1001,0),1)&gt;=100000,INDEX($AD$1005:$AU$1005,1,MATCH(COLUMNS($AD$1006:AS1006),$AD$1006:$AU$1006,0))&gt;=100000), " ",IF(INDEX($AD$2:$AU$1001,MATCH(ROWS($W$2:W845),$W$2:$W$1001,0),MATCH(COLUMNS($AD$1006:AS1006),$AD$1006:$AU$1006,0)), HYPERLINK("#",""), HYPERLINK(CONCATENATE("#metadata!", ADDRESS(INDEX($Y$2:$Y$1001,MATCH(ROWS($W$2:W845),$W$2:$W$1001,0),0), INDEX($AD$1004:$AU$1004,1,MATCH(COLUMNS($AD$1006:AS1006),$AD$1006:$AU$1006,0)))),"Fix")))</f>
        <v xml:space="preserve"> </v>
      </c>
      <c r="R845" s="4" t="str">
        <f ca="1">IF(OR(INDEX($X$2:$X$1001,MATCH(ROWS($W$2:W845),$W$2:$W$1001,0),1)&gt;=100000,INDEX($AD$1005:$AU$1005,1,MATCH(COLUMNS($AD$1006:AT1006),$AD$1006:$AU$1006,0))&gt;=100000), " ",IF(INDEX($AD$2:$AU$1001,MATCH(ROWS($W$2:W845),$W$2:$W$1001,0),MATCH(COLUMNS($AD$1006:AT1006),$AD$1006:$AU$1006,0)), HYPERLINK("#",""), HYPERLINK(CONCATENATE("#metadata!", ADDRESS(INDEX($Y$2:$Y$1001,MATCH(ROWS($W$2:W845),$W$2:$W$1001,0),0), INDEX($AD$1004:$AU$1004,1,MATCH(COLUMNS($AD$1006:AT1006),$AD$1006:$AU$1006,0)))),"Fix")))</f>
        <v xml:space="preserve"> </v>
      </c>
      <c r="S845" s="4" t="str">
        <f ca="1">IF(OR(INDEX($X$2:$X$1001,MATCH(ROWS($W$2:W845),$W$2:$W$1001,0),1)&gt;=100000,INDEX($AD$1005:$AU$1005,1,MATCH(COLUMNS($AD$1006:AU1006),$AD$1006:$AU$1006,0))&gt;=100000), " ",IF(INDEX($AD$2:$AU$1001,MATCH(ROWS($W$2:W845),$W$2:$W$1001,0),MATCH(COLUMNS($AD$1006:AU1006),$AD$1006:$AU$1006,0)), HYPERLINK("#",""), HYPERLINK(CONCATENATE("#metadata!", ADDRESS(INDEX($Y$2:$Y$1001,MATCH(ROWS($W$2:W845),$W$2:$W$1001,0),0), INDEX($AD$1004:$AU$1004,1,MATCH(COLUMNS($AD$1006:AU1006),$AD$1006:$AU$1006,0)))),"Fix")))</f>
        <v xml:space="preserve"> </v>
      </c>
      <c r="W845">
        <v>844</v>
      </c>
      <c r="X845">
        <v>100845</v>
      </c>
      <c r="Y845">
        <v>845</v>
      </c>
      <c r="Z845" t="b">
        <f t="shared" si="13"/>
        <v>1</v>
      </c>
      <c r="AA845" t="b">
        <f>COUNTBLANK(metadata!B845:S845)=COLUMNS(metadata!B845:S845)</f>
        <v>1</v>
      </c>
      <c r="AB845" t="str">
        <v/>
      </c>
      <c r="AD845" t="b">
        <f ca="1">AND(IF(metadata!B845="",FALSE,TRUE),COUNTIF(metadata!B:B, metadata!B845) = 1,NOT(ISERROR(SUMPRODUCT(SEARCH(MID(metadata!B845,ROW(INDIRECT("1:"&amp;LEN(metadata!B845))), 1),"0123456789abcdefghijklmnopqrstuvwxyzABCDEFGHIJKLMNOPQRSTUVWXYZ.")))))</f>
        <v>0</v>
      </c>
      <c r="AE845" t="b">
        <f>OR(AND(IF(metadata!C845="",FALSE,TRUE),OR(EXACT(metadata!C845,"not applicable"),EXACT(metadata!C845,"missing: not collected"),EXACT(metadata!C845,"missing: not provided"),EXACT(metadata!C845,"missing: restricted access"))),AND(IF(metadata!C845="",FALSE,ISNUMBER(VALUE(metadata!C845))),metadata!C845&gt;0))</f>
        <v>0</v>
      </c>
      <c r="AF845" t="b">
        <f>AND(IF(metadata!D845="",FALSE,TRUE),EXACT(metadata!D845,"missing: not provided"))</f>
        <v>0</v>
      </c>
      <c r="AG845" t="b">
        <f>AND(IF(metadata!E845="",FALSE,TRUE),EXACT(metadata!E845,"Host-associated"))</f>
        <v>0</v>
      </c>
      <c r="AH845" t="b">
        <f>AND(IF(metadata!F845="",FALSE,TRUE),OR(EXACT(metadata!F845,"Animal"),EXACT(metadata!F845,"Fungus"),EXACT(metadata!F845,"Plant")))</f>
        <v>0</v>
      </c>
      <c r="AI845" t="b">
        <f>AND(IF(metadata!G845="",FALSE,TRUE),OR(EXACT(metadata!G845,"Plant secretion"),EXACT(metadata!G845,"Plant rhizosphere"),EXACT(metadata!G845,"Plant surface"),EXACT(metadata!G845,"Plant corpus"),EXACT(metadata!G845,"Fungus surface"),EXACT(metadata!G845,"Fungus corpus"),EXACT(metadata!G845,"Animal surface"),EXACT(metadata!G845,"Animal proximal gut"),EXACT(metadata!G845,"Animal corpus"),EXACT(metadata!G845,"Animal distal gut"),EXACT(metadata!G845,"Animal secretion")))</f>
        <v>0</v>
      </c>
      <c r="AJ845" t="b">
        <f>OR(AND(IF(metadata!H845="",FALSE,TRUE),OR(EXACT(metadata!H845,"missing: not collected"),EXACT(metadata!H845,"missing: not provided"),EXACT(metadata!H845,"missing: restricted access"))),AND(IF(metadata!H845="",FALSE,TRUE),OR(EXACT(metadata!H845,"organism-associated habitat"),EXACT(metadata!H845,"plant-associated habitat"),EXACT(metadata!H845,"animal-associated habitat"),EXACT(metadata!H845,"insecta-associated habitat"),EXACT(metadata!H845,"mammalia-associated habitat"),EXACT(metadata!H845,"human-associated habitat"),EXACT(metadata!H845,"livestock-associated habitat"))))</f>
        <v>0</v>
      </c>
      <c r="AK845" t="b">
        <f>AND(IF(metadata!I845="",FALSE,TRUE),EXACT(metadata!I845,"host-associated"))</f>
        <v>0</v>
      </c>
      <c r="AL845" t="b">
        <f>OR(AND(IF(metadata!J845="",FALSE,TRUE),OR(EXACT(metadata!J845,"not applicable"),EXACT(metadata!J845,"missing: not collected"),EXACT(metadata!J845,"missing: not provided"),EXACT(metadata!J845,"missing: restricted access"))),AND(IF(metadata!J845="",FALSE,ISNUMBER(VALUE(metadata!J845))),metadata!J845&gt;0))</f>
        <v>0</v>
      </c>
      <c r="AM845" t="b">
        <f>AND(IF(metadata!K845="",FALSE,TRUE),EXACT(metadata!K845,"missing: not provided"))</f>
        <v>0</v>
      </c>
      <c r="AN845" t="b">
        <f>IF(metadata!L845="",FALSE,TRUE)</f>
        <v>0</v>
      </c>
      <c r="AO845" t="b">
        <f>IF(metadata!M845="",FALSE,TRUE)</f>
        <v>0</v>
      </c>
      <c r="AP845" t="b">
        <f>OR(AND(IF(metadata!N845="",FALSE,TRUE),OR(EXACT(metadata!N845,"not applicable"),EXACT(metadata!N845,"missing: not collected"),EXACT(metadata!N845,"missing: not provided"))),AND(IF(metadata!N845="",FALSE,IF(ISERROR(INT(metadata!N845)),FALSE,INT(metadata!N845)=metadata!N845)),metadata!N845&gt;0))</f>
        <v>0</v>
      </c>
      <c r="AQ845" t="b">
        <f>AND(IF(metadata!O845="",FALSE,TRUE),EXACT(metadata!O845,"Not applicable"))</f>
        <v>0</v>
      </c>
      <c r="AR845" t="b">
        <f>OR(AND(IF(metadata!P845="",FALSE,TRUE),OR(EXACT(metadata!P845,"not applicable"),EXACT(metadata!P845,"missing: not collected"),EXACT(metadata!P845,"missing: not provided"),EXACT(metadata!P845,"missing: restricted access"))),IF(metadata!P845="",FALSE,IF(ISERROR(INT(metadata!P845)),FALSE,INT(metadata!P845)=metadata!P845)))</f>
        <v>0</v>
      </c>
      <c r="AS845" t="b">
        <f>AND(IF(metadata!Q845="",FALSE,TRUE),EXACT(metadata!Q845,"Not applicable"))</f>
        <v>0</v>
      </c>
      <c r="AT845" t="b">
        <f>OR(AND(IF(metadata!R845="",FALSE,TRUE),OR(EXACT(metadata!R845,"not applicable"),EXACT(metadata!R845,"missing: not collected"),EXACT(metadata!R845,"missing: not provided"),EXACT(metadata!R845,"missing: restricted access"))),AND(IF(metadata!R845="",FALSE,ISNUMBER(VALUE(metadata!R845))),metadata!R845&gt;0))</f>
        <v>0</v>
      </c>
      <c r="AU845" t="b">
        <f>AND(IF(metadata!S845="",FALSE,TRUE),EXACT(metadata!S845,"missing: not provided"))</f>
        <v>0</v>
      </c>
    </row>
    <row r="846" spans="1:47" x14ac:dyDescent="0.2">
      <c r="A846" s="5" t="str">
        <f ca="1">IF(B846=" "," ",HYPERLINK(CONCATENATE("#metadata!",ADDRESS(INDEX($Y$2:$Y$1001,MATCH(ROWS($W$2:W846),$W$2:$W$1001,0),0),1)),INDEX($AB$2:$AB$1001,MATCH(ROWS($W$2:W846),$W$2:$W$1001,0),0)))</f>
        <v xml:space="preserve"> </v>
      </c>
      <c r="B846" s="4" t="str">
        <f ca="1">IF(OR(INDEX($X$2:$X$1001,MATCH(ROWS($W$2:W846),$W$2:$W$1001,0),1)&gt;=100000,INDEX($AD$1005:$AU$1005,1,MATCH(COLUMNS($AD$1006:AD1006),$AD$1006:$AU$1006,0))&gt;=100000), " ",IF(INDEX($AD$2:$AU$1001,MATCH(ROWS($W$2:W846),$W$2:$W$1001,0),MATCH(COLUMNS($AD$1006:AD1006),$AD$1006:$AU$1006,0)), HYPERLINK("#",""), HYPERLINK(CONCATENATE("#metadata!", ADDRESS(INDEX($Y$2:$Y$1001,MATCH(ROWS($W$2:W846),$W$2:$W$1001,0),0), INDEX($AD$1004:$AU$1004,1,MATCH(COLUMNS($AD$1006:AD1006),$AD$1006:$AU$1006,0)))),"Fix")))</f>
        <v xml:space="preserve"> </v>
      </c>
      <c r="C846" s="4" t="str">
        <f ca="1">IF(OR(INDEX($X$2:$X$1001,MATCH(ROWS($W$2:W846),$W$2:$W$1001,0),1)&gt;=100000,INDEX($AD$1005:$AU$1005,1,MATCH(COLUMNS($AD$1006:AE1006),$AD$1006:$AU$1006,0))&gt;=100000), " ",IF(INDEX($AD$2:$AU$1001,MATCH(ROWS($W$2:W846),$W$2:$W$1001,0),MATCH(COLUMNS($AD$1006:AE1006),$AD$1006:$AU$1006,0)), HYPERLINK("#",""), HYPERLINK(CONCATENATE("#metadata!", ADDRESS(INDEX($Y$2:$Y$1001,MATCH(ROWS($W$2:W846),$W$2:$W$1001,0),0), INDEX($AD$1004:$AU$1004,1,MATCH(COLUMNS($AD$1006:AE1006),$AD$1006:$AU$1006,0)))),"Fix")))</f>
        <v xml:space="preserve"> </v>
      </c>
      <c r="D846" s="4" t="str">
        <f ca="1">IF(OR(INDEX($X$2:$X$1001,MATCH(ROWS($W$2:W846),$W$2:$W$1001,0),1)&gt;=100000,INDEX($AD$1005:$AU$1005,1,MATCH(COLUMNS($AD$1006:AF1006),$AD$1006:$AU$1006,0))&gt;=100000), " ",IF(INDEX($AD$2:$AU$1001,MATCH(ROWS($W$2:W846),$W$2:$W$1001,0),MATCH(COLUMNS($AD$1006:AF1006),$AD$1006:$AU$1006,0)), HYPERLINK("#",""), HYPERLINK(CONCATENATE("#metadata!", ADDRESS(INDEX($Y$2:$Y$1001,MATCH(ROWS($W$2:W846),$W$2:$W$1001,0),0), INDEX($AD$1004:$AU$1004,1,MATCH(COLUMNS($AD$1006:AF1006),$AD$1006:$AU$1006,0)))),"Fix")))</f>
        <v xml:space="preserve"> </v>
      </c>
      <c r="E846" s="4" t="str">
        <f ca="1">IF(OR(INDEX($X$2:$X$1001,MATCH(ROWS($W$2:W846),$W$2:$W$1001,0),1)&gt;=100000,INDEX($AD$1005:$AU$1005,1,MATCH(COLUMNS($AD$1006:AG1006),$AD$1006:$AU$1006,0))&gt;=100000), " ",IF(INDEX($AD$2:$AU$1001,MATCH(ROWS($W$2:W846),$W$2:$W$1001,0),MATCH(COLUMNS($AD$1006:AG1006),$AD$1006:$AU$1006,0)), HYPERLINK("#",""), HYPERLINK(CONCATENATE("#metadata!", ADDRESS(INDEX($Y$2:$Y$1001,MATCH(ROWS($W$2:W846),$W$2:$W$1001,0),0), INDEX($AD$1004:$AU$1004,1,MATCH(COLUMNS($AD$1006:AG1006),$AD$1006:$AU$1006,0)))),"Fix")))</f>
        <v xml:space="preserve"> </v>
      </c>
      <c r="F846" s="4" t="str">
        <f ca="1">IF(OR(INDEX($X$2:$X$1001,MATCH(ROWS($W$2:W846),$W$2:$W$1001,0),1)&gt;=100000,INDEX($AD$1005:$AU$1005,1,MATCH(COLUMNS($AD$1006:AH1006),$AD$1006:$AU$1006,0))&gt;=100000), " ",IF(INDEX($AD$2:$AU$1001,MATCH(ROWS($W$2:W846),$W$2:$W$1001,0),MATCH(COLUMNS($AD$1006:AH1006),$AD$1006:$AU$1006,0)), HYPERLINK("#",""), HYPERLINK(CONCATENATE("#metadata!", ADDRESS(INDEX($Y$2:$Y$1001,MATCH(ROWS($W$2:W846),$W$2:$W$1001,0),0), INDEX($AD$1004:$AU$1004,1,MATCH(COLUMNS($AD$1006:AH1006),$AD$1006:$AU$1006,0)))),"Fix")))</f>
        <v xml:space="preserve"> </v>
      </c>
      <c r="G846" s="4" t="str">
        <f ca="1">IF(OR(INDEX($X$2:$X$1001,MATCH(ROWS($W$2:W846),$W$2:$W$1001,0),1)&gt;=100000,INDEX($AD$1005:$AU$1005,1,MATCH(COLUMNS($AD$1006:AI1006),$AD$1006:$AU$1006,0))&gt;=100000), " ",IF(INDEX($AD$2:$AU$1001,MATCH(ROWS($W$2:W846),$W$2:$W$1001,0),MATCH(COLUMNS($AD$1006:AI1006),$AD$1006:$AU$1006,0)), HYPERLINK("#",""), HYPERLINK(CONCATENATE("#metadata!", ADDRESS(INDEX($Y$2:$Y$1001,MATCH(ROWS($W$2:W846),$W$2:$W$1001,0),0), INDEX($AD$1004:$AU$1004,1,MATCH(COLUMNS($AD$1006:AI1006),$AD$1006:$AU$1006,0)))),"Fix")))</f>
        <v xml:space="preserve"> </v>
      </c>
      <c r="H846" s="4" t="str">
        <f ca="1">IF(OR(INDEX($X$2:$X$1001,MATCH(ROWS($W$2:W846),$W$2:$W$1001,0),1)&gt;=100000,INDEX($AD$1005:$AU$1005,1,MATCH(COLUMNS($AD$1006:AJ1006),$AD$1006:$AU$1006,0))&gt;=100000), " ",IF(INDEX($AD$2:$AU$1001,MATCH(ROWS($W$2:W846),$W$2:$W$1001,0),MATCH(COLUMNS($AD$1006:AJ1006),$AD$1006:$AU$1006,0)), HYPERLINK("#",""), HYPERLINK(CONCATENATE("#metadata!", ADDRESS(INDEX($Y$2:$Y$1001,MATCH(ROWS($W$2:W846),$W$2:$W$1001,0),0), INDEX($AD$1004:$AU$1004,1,MATCH(COLUMNS($AD$1006:AJ1006),$AD$1006:$AU$1006,0)))),"Fix")))</f>
        <v xml:space="preserve"> </v>
      </c>
      <c r="I846" s="4" t="str">
        <f ca="1">IF(OR(INDEX($X$2:$X$1001,MATCH(ROWS($W$2:W846),$W$2:$W$1001,0),1)&gt;=100000,INDEX($AD$1005:$AU$1005,1,MATCH(COLUMNS($AD$1006:AK1006),$AD$1006:$AU$1006,0))&gt;=100000), " ",IF(INDEX($AD$2:$AU$1001,MATCH(ROWS($W$2:W846),$W$2:$W$1001,0),MATCH(COLUMNS($AD$1006:AK1006),$AD$1006:$AU$1006,0)), HYPERLINK("#",""), HYPERLINK(CONCATENATE("#metadata!", ADDRESS(INDEX($Y$2:$Y$1001,MATCH(ROWS($W$2:W846),$W$2:$W$1001,0),0), INDEX($AD$1004:$AU$1004,1,MATCH(COLUMNS($AD$1006:AK1006),$AD$1006:$AU$1006,0)))),"Fix")))</f>
        <v xml:space="preserve"> </v>
      </c>
      <c r="J846" s="4" t="str">
        <f ca="1">IF(OR(INDEX($X$2:$X$1001,MATCH(ROWS($W$2:W846),$W$2:$W$1001,0),1)&gt;=100000,INDEX($AD$1005:$AU$1005,1,MATCH(COLUMNS($AD$1006:AL1006),$AD$1006:$AU$1006,0))&gt;=100000), " ",IF(INDEX($AD$2:$AU$1001,MATCH(ROWS($W$2:W846),$W$2:$W$1001,0),MATCH(COLUMNS($AD$1006:AL1006),$AD$1006:$AU$1006,0)), HYPERLINK("#",""), HYPERLINK(CONCATENATE("#metadata!", ADDRESS(INDEX($Y$2:$Y$1001,MATCH(ROWS($W$2:W846),$W$2:$W$1001,0),0), INDEX($AD$1004:$AU$1004,1,MATCH(COLUMNS($AD$1006:AL1006),$AD$1006:$AU$1006,0)))),"Fix")))</f>
        <v xml:space="preserve"> </v>
      </c>
      <c r="K846" s="4" t="str">
        <f ca="1">IF(OR(INDEX($X$2:$X$1001,MATCH(ROWS($W$2:W846),$W$2:$W$1001,0),1)&gt;=100000,INDEX($AD$1005:$AU$1005,1,MATCH(COLUMNS($AD$1006:AM1006),$AD$1006:$AU$1006,0))&gt;=100000), " ",IF(INDEX($AD$2:$AU$1001,MATCH(ROWS($W$2:W846),$W$2:$W$1001,0),MATCH(COLUMNS($AD$1006:AM1006),$AD$1006:$AU$1006,0)), HYPERLINK("#",""), HYPERLINK(CONCATENATE("#metadata!", ADDRESS(INDEX($Y$2:$Y$1001,MATCH(ROWS($W$2:W846),$W$2:$W$1001,0),0), INDEX($AD$1004:$AU$1004,1,MATCH(COLUMNS($AD$1006:AM1006),$AD$1006:$AU$1006,0)))),"Fix")))</f>
        <v xml:space="preserve"> </v>
      </c>
      <c r="L846" s="4" t="str">
        <f ca="1">IF(OR(INDEX($X$2:$X$1001,MATCH(ROWS($W$2:W846),$W$2:$W$1001,0),1)&gt;=100000,INDEX($AD$1005:$AU$1005,1,MATCH(COLUMNS($AD$1006:AN1006),$AD$1006:$AU$1006,0))&gt;=100000), " ",IF(INDEX($AD$2:$AU$1001,MATCH(ROWS($W$2:W846),$W$2:$W$1001,0),MATCH(COLUMNS($AD$1006:AN1006),$AD$1006:$AU$1006,0)), HYPERLINK("#",""), HYPERLINK(CONCATENATE("#metadata!", ADDRESS(INDEX($Y$2:$Y$1001,MATCH(ROWS($W$2:W846),$W$2:$W$1001,0),0), INDEX($AD$1004:$AU$1004,1,MATCH(COLUMNS($AD$1006:AN1006),$AD$1006:$AU$1006,0)))),"Fix")))</f>
        <v xml:space="preserve"> </v>
      </c>
      <c r="M846" s="4" t="str">
        <f ca="1">IF(OR(INDEX($X$2:$X$1001,MATCH(ROWS($W$2:W846),$W$2:$W$1001,0),1)&gt;=100000,INDEX($AD$1005:$AU$1005,1,MATCH(COLUMNS($AD$1006:AO1006),$AD$1006:$AU$1006,0))&gt;=100000), " ",IF(INDEX($AD$2:$AU$1001,MATCH(ROWS($W$2:W846),$W$2:$W$1001,0),MATCH(COLUMNS($AD$1006:AO1006),$AD$1006:$AU$1006,0)), HYPERLINK("#",""), HYPERLINK(CONCATENATE("#metadata!", ADDRESS(INDEX($Y$2:$Y$1001,MATCH(ROWS($W$2:W846),$W$2:$W$1001,0),0), INDEX($AD$1004:$AU$1004,1,MATCH(COLUMNS($AD$1006:AO1006),$AD$1006:$AU$1006,0)))),"Fix")))</f>
        <v xml:space="preserve"> </v>
      </c>
      <c r="N846" s="4" t="str">
        <f ca="1">IF(OR(INDEX($X$2:$X$1001,MATCH(ROWS($W$2:W846),$W$2:$W$1001,0),1)&gt;=100000,INDEX($AD$1005:$AU$1005,1,MATCH(COLUMNS($AD$1006:AP1006),$AD$1006:$AU$1006,0))&gt;=100000), " ",IF(INDEX($AD$2:$AU$1001,MATCH(ROWS($W$2:W846),$W$2:$W$1001,0),MATCH(COLUMNS($AD$1006:AP1006),$AD$1006:$AU$1006,0)), HYPERLINK("#",""), HYPERLINK(CONCATENATE("#metadata!", ADDRESS(INDEX($Y$2:$Y$1001,MATCH(ROWS($W$2:W846),$W$2:$W$1001,0),0), INDEX($AD$1004:$AU$1004,1,MATCH(COLUMNS($AD$1006:AP1006),$AD$1006:$AU$1006,0)))),"Fix")))</f>
        <v xml:space="preserve"> </v>
      </c>
      <c r="O846" s="4" t="str">
        <f ca="1">IF(OR(INDEX($X$2:$X$1001,MATCH(ROWS($W$2:W846),$W$2:$W$1001,0),1)&gt;=100000,INDEX($AD$1005:$AU$1005,1,MATCH(COLUMNS($AD$1006:AQ1006),$AD$1006:$AU$1006,0))&gt;=100000), " ",IF(INDEX($AD$2:$AU$1001,MATCH(ROWS($W$2:W846),$W$2:$W$1001,0),MATCH(COLUMNS($AD$1006:AQ1006),$AD$1006:$AU$1006,0)), HYPERLINK("#",""), HYPERLINK(CONCATENATE("#metadata!", ADDRESS(INDEX($Y$2:$Y$1001,MATCH(ROWS($W$2:W846),$W$2:$W$1001,0),0), INDEX($AD$1004:$AU$1004,1,MATCH(COLUMNS($AD$1006:AQ1006),$AD$1006:$AU$1006,0)))),"Fix")))</f>
        <v xml:space="preserve"> </v>
      </c>
      <c r="P846" s="4" t="str">
        <f ca="1">IF(OR(INDEX($X$2:$X$1001,MATCH(ROWS($W$2:W846),$W$2:$W$1001,0),1)&gt;=100000,INDEX($AD$1005:$AU$1005,1,MATCH(COLUMNS($AD$1006:AR1006),$AD$1006:$AU$1006,0))&gt;=100000), " ",IF(INDEX($AD$2:$AU$1001,MATCH(ROWS($W$2:W846),$W$2:$W$1001,0),MATCH(COLUMNS($AD$1006:AR1006),$AD$1006:$AU$1006,0)), HYPERLINK("#",""), HYPERLINK(CONCATENATE("#metadata!", ADDRESS(INDEX($Y$2:$Y$1001,MATCH(ROWS($W$2:W846),$W$2:$W$1001,0),0), INDEX($AD$1004:$AU$1004,1,MATCH(COLUMNS($AD$1006:AR1006),$AD$1006:$AU$1006,0)))),"Fix")))</f>
        <v xml:space="preserve"> </v>
      </c>
      <c r="Q846" s="4" t="str">
        <f ca="1">IF(OR(INDEX($X$2:$X$1001,MATCH(ROWS($W$2:W846),$W$2:$W$1001,0),1)&gt;=100000,INDEX($AD$1005:$AU$1005,1,MATCH(COLUMNS($AD$1006:AS1006),$AD$1006:$AU$1006,0))&gt;=100000), " ",IF(INDEX($AD$2:$AU$1001,MATCH(ROWS($W$2:W846),$W$2:$W$1001,0),MATCH(COLUMNS($AD$1006:AS1006),$AD$1006:$AU$1006,0)), HYPERLINK("#",""), HYPERLINK(CONCATENATE("#metadata!", ADDRESS(INDEX($Y$2:$Y$1001,MATCH(ROWS($W$2:W846),$W$2:$W$1001,0),0), INDEX($AD$1004:$AU$1004,1,MATCH(COLUMNS($AD$1006:AS1006),$AD$1006:$AU$1006,0)))),"Fix")))</f>
        <v xml:space="preserve"> </v>
      </c>
      <c r="R846" s="4" t="str">
        <f ca="1">IF(OR(INDEX($X$2:$X$1001,MATCH(ROWS($W$2:W846),$W$2:$W$1001,0),1)&gt;=100000,INDEX($AD$1005:$AU$1005,1,MATCH(COLUMNS($AD$1006:AT1006),$AD$1006:$AU$1006,0))&gt;=100000), " ",IF(INDEX($AD$2:$AU$1001,MATCH(ROWS($W$2:W846),$W$2:$W$1001,0),MATCH(COLUMNS($AD$1006:AT1006),$AD$1006:$AU$1006,0)), HYPERLINK("#",""), HYPERLINK(CONCATENATE("#metadata!", ADDRESS(INDEX($Y$2:$Y$1001,MATCH(ROWS($W$2:W846),$W$2:$W$1001,0),0), INDEX($AD$1004:$AU$1004,1,MATCH(COLUMNS($AD$1006:AT1006),$AD$1006:$AU$1006,0)))),"Fix")))</f>
        <v xml:space="preserve"> </v>
      </c>
      <c r="S846" s="4" t="str">
        <f ca="1">IF(OR(INDEX($X$2:$X$1001,MATCH(ROWS($W$2:W846),$W$2:$W$1001,0),1)&gt;=100000,INDEX($AD$1005:$AU$1005,1,MATCH(COLUMNS($AD$1006:AU1006),$AD$1006:$AU$1006,0))&gt;=100000), " ",IF(INDEX($AD$2:$AU$1001,MATCH(ROWS($W$2:W846),$W$2:$W$1001,0),MATCH(COLUMNS($AD$1006:AU1006),$AD$1006:$AU$1006,0)), HYPERLINK("#",""), HYPERLINK(CONCATENATE("#metadata!", ADDRESS(INDEX($Y$2:$Y$1001,MATCH(ROWS($W$2:W846),$W$2:$W$1001,0),0), INDEX($AD$1004:$AU$1004,1,MATCH(COLUMNS($AD$1006:AU1006),$AD$1006:$AU$1006,0)))),"Fix")))</f>
        <v xml:space="preserve"> </v>
      </c>
      <c r="W846">
        <v>845</v>
      </c>
      <c r="X846">
        <v>100846</v>
      </c>
      <c r="Y846">
        <v>846</v>
      </c>
      <c r="Z846" t="b">
        <f t="shared" si="13"/>
        <v>1</v>
      </c>
      <c r="AA846" t="b">
        <f>COUNTBLANK(metadata!B846:S846)=COLUMNS(metadata!B846:S846)</f>
        <v>1</v>
      </c>
      <c r="AB846" t="str">
        <v/>
      </c>
      <c r="AD846" t="b">
        <f ca="1">AND(IF(metadata!B846="",FALSE,TRUE),COUNTIF(metadata!B:B, metadata!B846) = 1,NOT(ISERROR(SUMPRODUCT(SEARCH(MID(metadata!B846,ROW(INDIRECT("1:"&amp;LEN(metadata!B846))), 1),"0123456789abcdefghijklmnopqrstuvwxyzABCDEFGHIJKLMNOPQRSTUVWXYZ.")))))</f>
        <v>0</v>
      </c>
      <c r="AE846" t="b">
        <f>OR(AND(IF(metadata!C846="",FALSE,TRUE),OR(EXACT(metadata!C846,"not applicable"),EXACT(metadata!C846,"missing: not collected"),EXACT(metadata!C846,"missing: not provided"),EXACT(metadata!C846,"missing: restricted access"))),AND(IF(metadata!C846="",FALSE,ISNUMBER(VALUE(metadata!C846))),metadata!C846&gt;0))</f>
        <v>0</v>
      </c>
      <c r="AF846" t="b">
        <f>AND(IF(metadata!D846="",FALSE,TRUE),EXACT(metadata!D846,"missing: not provided"))</f>
        <v>0</v>
      </c>
      <c r="AG846" t="b">
        <f>AND(IF(metadata!E846="",FALSE,TRUE),EXACT(metadata!E846,"Host-associated"))</f>
        <v>0</v>
      </c>
      <c r="AH846" t="b">
        <f>AND(IF(metadata!F846="",FALSE,TRUE),OR(EXACT(metadata!F846,"Animal"),EXACT(metadata!F846,"Fungus"),EXACT(metadata!F846,"Plant")))</f>
        <v>0</v>
      </c>
      <c r="AI846" t="b">
        <f>AND(IF(metadata!G846="",FALSE,TRUE),OR(EXACT(metadata!G846,"Plant secretion"),EXACT(metadata!G846,"Plant rhizosphere"),EXACT(metadata!G846,"Plant surface"),EXACT(metadata!G846,"Plant corpus"),EXACT(metadata!G846,"Fungus surface"),EXACT(metadata!G846,"Fungus corpus"),EXACT(metadata!G846,"Animal surface"),EXACT(metadata!G846,"Animal proximal gut"),EXACT(metadata!G846,"Animal corpus"),EXACT(metadata!G846,"Animal distal gut"),EXACT(metadata!G846,"Animal secretion")))</f>
        <v>0</v>
      </c>
      <c r="AJ846" t="b">
        <f>OR(AND(IF(metadata!H846="",FALSE,TRUE),OR(EXACT(metadata!H846,"missing: not collected"),EXACT(metadata!H846,"missing: not provided"),EXACT(metadata!H846,"missing: restricted access"))),AND(IF(metadata!H846="",FALSE,TRUE),OR(EXACT(metadata!H846,"organism-associated habitat"),EXACT(metadata!H846,"plant-associated habitat"),EXACT(metadata!H846,"animal-associated habitat"),EXACT(metadata!H846,"insecta-associated habitat"),EXACT(metadata!H846,"mammalia-associated habitat"),EXACT(metadata!H846,"human-associated habitat"),EXACT(metadata!H846,"livestock-associated habitat"))))</f>
        <v>0</v>
      </c>
      <c r="AK846" t="b">
        <f>AND(IF(metadata!I846="",FALSE,TRUE),EXACT(metadata!I846,"host-associated"))</f>
        <v>0</v>
      </c>
      <c r="AL846" t="b">
        <f>OR(AND(IF(metadata!J846="",FALSE,TRUE),OR(EXACT(metadata!J846,"not applicable"),EXACT(metadata!J846,"missing: not collected"),EXACT(metadata!J846,"missing: not provided"),EXACT(metadata!J846,"missing: restricted access"))),AND(IF(metadata!J846="",FALSE,ISNUMBER(VALUE(metadata!J846))),metadata!J846&gt;0))</f>
        <v>0</v>
      </c>
      <c r="AM846" t="b">
        <f>AND(IF(metadata!K846="",FALSE,TRUE),EXACT(metadata!K846,"missing: not provided"))</f>
        <v>0</v>
      </c>
      <c r="AN846" t="b">
        <f>IF(metadata!L846="",FALSE,TRUE)</f>
        <v>0</v>
      </c>
      <c r="AO846" t="b">
        <f>IF(metadata!M846="",FALSE,TRUE)</f>
        <v>0</v>
      </c>
      <c r="AP846" t="b">
        <f>OR(AND(IF(metadata!N846="",FALSE,TRUE),OR(EXACT(metadata!N846,"not applicable"),EXACT(metadata!N846,"missing: not collected"),EXACT(metadata!N846,"missing: not provided"))),AND(IF(metadata!N846="",FALSE,IF(ISERROR(INT(metadata!N846)),FALSE,INT(metadata!N846)=metadata!N846)),metadata!N846&gt;0))</f>
        <v>0</v>
      </c>
      <c r="AQ846" t="b">
        <f>AND(IF(metadata!O846="",FALSE,TRUE),EXACT(metadata!O846,"Not applicable"))</f>
        <v>0</v>
      </c>
      <c r="AR846" t="b">
        <f>OR(AND(IF(metadata!P846="",FALSE,TRUE),OR(EXACT(metadata!P846,"not applicable"),EXACT(metadata!P846,"missing: not collected"),EXACT(metadata!P846,"missing: not provided"),EXACT(metadata!P846,"missing: restricted access"))),IF(metadata!P846="",FALSE,IF(ISERROR(INT(metadata!P846)),FALSE,INT(metadata!P846)=metadata!P846)))</f>
        <v>0</v>
      </c>
      <c r="AS846" t="b">
        <f>AND(IF(metadata!Q846="",FALSE,TRUE),EXACT(metadata!Q846,"Not applicable"))</f>
        <v>0</v>
      </c>
      <c r="AT846" t="b">
        <f>OR(AND(IF(metadata!R846="",FALSE,TRUE),OR(EXACT(metadata!R846,"not applicable"),EXACT(metadata!R846,"missing: not collected"),EXACT(metadata!R846,"missing: not provided"),EXACT(metadata!R846,"missing: restricted access"))),AND(IF(metadata!R846="",FALSE,ISNUMBER(VALUE(metadata!R846))),metadata!R846&gt;0))</f>
        <v>0</v>
      </c>
      <c r="AU846" t="b">
        <f>AND(IF(metadata!S846="",FALSE,TRUE),EXACT(metadata!S846,"missing: not provided"))</f>
        <v>0</v>
      </c>
    </row>
    <row r="847" spans="1:47" x14ac:dyDescent="0.2">
      <c r="A847" s="5" t="str">
        <f ca="1">IF(B847=" "," ",HYPERLINK(CONCATENATE("#metadata!",ADDRESS(INDEX($Y$2:$Y$1001,MATCH(ROWS($W$2:W847),$W$2:$W$1001,0),0),1)),INDEX($AB$2:$AB$1001,MATCH(ROWS($W$2:W847),$W$2:$W$1001,0),0)))</f>
        <v xml:space="preserve"> </v>
      </c>
      <c r="B847" s="4" t="str">
        <f ca="1">IF(OR(INDEX($X$2:$X$1001,MATCH(ROWS($W$2:W847),$W$2:$W$1001,0),1)&gt;=100000,INDEX($AD$1005:$AU$1005,1,MATCH(COLUMNS($AD$1006:AD1006),$AD$1006:$AU$1006,0))&gt;=100000), " ",IF(INDEX($AD$2:$AU$1001,MATCH(ROWS($W$2:W847),$W$2:$W$1001,0),MATCH(COLUMNS($AD$1006:AD1006),$AD$1006:$AU$1006,0)), HYPERLINK("#",""), HYPERLINK(CONCATENATE("#metadata!", ADDRESS(INDEX($Y$2:$Y$1001,MATCH(ROWS($W$2:W847),$W$2:$W$1001,0),0), INDEX($AD$1004:$AU$1004,1,MATCH(COLUMNS($AD$1006:AD1006),$AD$1006:$AU$1006,0)))),"Fix")))</f>
        <v xml:space="preserve"> </v>
      </c>
      <c r="C847" s="4" t="str">
        <f ca="1">IF(OR(INDEX($X$2:$X$1001,MATCH(ROWS($W$2:W847),$W$2:$W$1001,0),1)&gt;=100000,INDEX($AD$1005:$AU$1005,1,MATCH(COLUMNS($AD$1006:AE1006),$AD$1006:$AU$1006,0))&gt;=100000), " ",IF(INDEX($AD$2:$AU$1001,MATCH(ROWS($W$2:W847),$W$2:$W$1001,0),MATCH(COLUMNS($AD$1006:AE1006),$AD$1006:$AU$1006,0)), HYPERLINK("#",""), HYPERLINK(CONCATENATE("#metadata!", ADDRESS(INDEX($Y$2:$Y$1001,MATCH(ROWS($W$2:W847),$W$2:$W$1001,0),0), INDEX($AD$1004:$AU$1004,1,MATCH(COLUMNS($AD$1006:AE1006),$AD$1006:$AU$1006,0)))),"Fix")))</f>
        <v xml:space="preserve"> </v>
      </c>
      <c r="D847" s="4" t="str">
        <f ca="1">IF(OR(INDEX($X$2:$X$1001,MATCH(ROWS($W$2:W847),$W$2:$W$1001,0),1)&gt;=100000,INDEX($AD$1005:$AU$1005,1,MATCH(COLUMNS($AD$1006:AF1006),$AD$1006:$AU$1006,0))&gt;=100000), " ",IF(INDEX($AD$2:$AU$1001,MATCH(ROWS($W$2:W847),$W$2:$W$1001,0),MATCH(COLUMNS($AD$1006:AF1006),$AD$1006:$AU$1006,0)), HYPERLINK("#",""), HYPERLINK(CONCATENATE("#metadata!", ADDRESS(INDEX($Y$2:$Y$1001,MATCH(ROWS($W$2:W847),$W$2:$W$1001,0),0), INDEX($AD$1004:$AU$1004,1,MATCH(COLUMNS($AD$1006:AF1006),$AD$1006:$AU$1006,0)))),"Fix")))</f>
        <v xml:space="preserve"> </v>
      </c>
      <c r="E847" s="4" t="str">
        <f ca="1">IF(OR(INDEX($X$2:$X$1001,MATCH(ROWS($W$2:W847),$W$2:$W$1001,0),1)&gt;=100000,INDEX($AD$1005:$AU$1005,1,MATCH(COLUMNS($AD$1006:AG1006),$AD$1006:$AU$1006,0))&gt;=100000), " ",IF(INDEX($AD$2:$AU$1001,MATCH(ROWS($W$2:W847),$W$2:$W$1001,0),MATCH(COLUMNS($AD$1006:AG1006),$AD$1006:$AU$1006,0)), HYPERLINK("#",""), HYPERLINK(CONCATENATE("#metadata!", ADDRESS(INDEX($Y$2:$Y$1001,MATCH(ROWS($W$2:W847),$W$2:$W$1001,0),0), INDEX($AD$1004:$AU$1004,1,MATCH(COLUMNS($AD$1006:AG1006),$AD$1006:$AU$1006,0)))),"Fix")))</f>
        <v xml:space="preserve"> </v>
      </c>
      <c r="F847" s="4" t="str">
        <f ca="1">IF(OR(INDEX($X$2:$X$1001,MATCH(ROWS($W$2:W847),$W$2:$W$1001,0),1)&gt;=100000,INDEX($AD$1005:$AU$1005,1,MATCH(COLUMNS($AD$1006:AH1006),$AD$1006:$AU$1006,0))&gt;=100000), " ",IF(INDEX($AD$2:$AU$1001,MATCH(ROWS($W$2:W847),$W$2:$W$1001,0),MATCH(COLUMNS($AD$1006:AH1006),$AD$1006:$AU$1006,0)), HYPERLINK("#",""), HYPERLINK(CONCATENATE("#metadata!", ADDRESS(INDEX($Y$2:$Y$1001,MATCH(ROWS($W$2:W847),$W$2:$W$1001,0),0), INDEX($AD$1004:$AU$1004,1,MATCH(COLUMNS($AD$1006:AH1006),$AD$1006:$AU$1006,0)))),"Fix")))</f>
        <v xml:space="preserve"> </v>
      </c>
      <c r="G847" s="4" t="str">
        <f ca="1">IF(OR(INDEX($X$2:$X$1001,MATCH(ROWS($W$2:W847),$W$2:$W$1001,0),1)&gt;=100000,INDEX($AD$1005:$AU$1005,1,MATCH(COLUMNS($AD$1006:AI1006),$AD$1006:$AU$1006,0))&gt;=100000), " ",IF(INDEX($AD$2:$AU$1001,MATCH(ROWS($W$2:W847),$W$2:$W$1001,0),MATCH(COLUMNS($AD$1006:AI1006),$AD$1006:$AU$1006,0)), HYPERLINK("#",""), HYPERLINK(CONCATENATE("#metadata!", ADDRESS(INDEX($Y$2:$Y$1001,MATCH(ROWS($W$2:W847),$W$2:$W$1001,0),0), INDEX($AD$1004:$AU$1004,1,MATCH(COLUMNS($AD$1006:AI1006),$AD$1006:$AU$1006,0)))),"Fix")))</f>
        <v xml:space="preserve"> </v>
      </c>
      <c r="H847" s="4" t="str">
        <f ca="1">IF(OR(INDEX($X$2:$X$1001,MATCH(ROWS($W$2:W847),$W$2:$W$1001,0),1)&gt;=100000,INDEX($AD$1005:$AU$1005,1,MATCH(COLUMNS($AD$1006:AJ1006),$AD$1006:$AU$1006,0))&gt;=100000), " ",IF(INDEX($AD$2:$AU$1001,MATCH(ROWS($W$2:W847),$W$2:$W$1001,0),MATCH(COLUMNS($AD$1006:AJ1006),$AD$1006:$AU$1006,0)), HYPERLINK("#",""), HYPERLINK(CONCATENATE("#metadata!", ADDRESS(INDEX($Y$2:$Y$1001,MATCH(ROWS($W$2:W847),$W$2:$W$1001,0),0), INDEX($AD$1004:$AU$1004,1,MATCH(COLUMNS($AD$1006:AJ1006),$AD$1006:$AU$1006,0)))),"Fix")))</f>
        <v xml:space="preserve"> </v>
      </c>
      <c r="I847" s="4" t="str">
        <f ca="1">IF(OR(INDEX($X$2:$X$1001,MATCH(ROWS($W$2:W847),$W$2:$W$1001,0),1)&gt;=100000,INDEX($AD$1005:$AU$1005,1,MATCH(COLUMNS($AD$1006:AK1006),$AD$1006:$AU$1006,0))&gt;=100000), " ",IF(INDEX($AD$2:$AU$1001,MATCH(ROWS($W$2:W847),$W$2:$W$1001,0),MATCH(COLUMNS($AD$1006:AK1006),$AD$1006:$AU$1006,0)), HYPERLINK("#",""), HYPERLINK(CONCATENATE("#metadata!", ADDRESS(INDEX($Y$2:$Y$1001,MATCH(ROWS($W$2:W847),$W$2:$W$1001,0),0), INDEX($AD$1004:$AU$1004,1,MATCH(COLUMNS($AD$1006:AK1006),$AD$1006:$AU$1006,0)))),"Fix")))</f>
        <v xml:space="preserve"> </v>
      </c>
      <c r="J847" s="4" t="str">
        <f ca="1">IF(OR(INDEX($X$2:$X$1001,MATCH(ROWS($W$2:W847),$W$2:$W$1001,0),1)&gt;=100000,INDEX($AD$1005:$AU$1005,1,MATCH(COLUMNS($AD$1006:AL1006),$AD$1006:$AU$1006,0))&gt;=100000), " ",IF(INDEX($AD$2:$AU$1001,MATCH(ROWS($W$2:W847),$W$2:$W$1001,0),MATCH(COLUMNS($AD$1006:AL1006),$AD$1006:$AU$1006,0)), HYPERLINK("#",""), HYPERLINK(CONCATENATE("#metadata!", ADDRESS(INDEX($Y$2:$Y$1001,MATCH(ROWS($W$2:W847),$W$2:$W$1001,0),0), INDEX($AD$1004:$AU$1004,1,MATCH(COLUMNS($AD$1006:AL1006),$AD$1006:$AU$1006,0)))),"Fix")))</f>
        <v xml:space="preserve"> </v>
      </c>
      <c r="K847" s="4" t="str">
        <f ca="1">IF(OR(INDEX($X$2:$X$1001,MATCH(ROWS($W$2:W847),$W$2:$W$1001,0),1)&gt;=100000,INDEX($AD$1005:$AU$1005,1,MATCH(COLUMNS($AD$1006:AM1006),$AD$1006:$AU$1006,0))&gt;=100000), " ",IF(INDEX($AD$2:$AU$1001,MATCH(ROWS($W$2:W847),$W$2:$W$1001,0),MATCH(COLUMNS($AD$1006:AM1006),$AD$1006:$AU$1006,0)), HYPERLINK("#",""), HYPERLINK(CONCATENATE("#metadata!", ADDRESS(INDEX($Y$2:$Y$1001,MATCH(ROWS($W$2:W847),$W$2:$W$1001,0),0), INDEX($AD$1004:$AU$1004,1,MATCH(COLUMNS($AD$1006:AM1006),$AD$1006:$AU$1006,0)))),"Fix")))</f>
        <v xml:space="preserve"> </v>
      </c>
      <c r="L847" s="4" t="str">
        <f ca="1">IF(OR(INDEX($X$2:$X$1001,MATCH(ROWS($W$2:W847),$W$2:$W$1001,0),1)&gt;=100000,INDEX($AD$1005:$AU$1005,1,MATCH(COLUMNS($AD$1006:AN1006),$AD$1006:$AU$1006,0))&gt;=100000), " ",IF(INDEX($AD$2:$AU$1001,MATCH(ROWS($W$2:W847),$W$2:$W$1001,0),MATCH(COLUMNS($AD$1006:AN1006),$AD$1006:$AU$1006,0)), HYPERLINK("#",""), HYPERLINK(CONCATENATE("#metadata!", ADDRESS(INDEX($Y$2:$Y$1001,MATCH(ROWS($W$2:W847),$W$2:$W$1001,0),0), INDEX($AD$1004:$AU$1004,1,MATCH(COLUMNS($AD$1006:AN1006),$AD$1006:$AU$1006,0)))),"Fix")))</f>
        <v xml:space="preserve"> </v>
      </c>
      <c r="M847" s="4" t="str">
        <f ca="1">IF(OR(INDEX($X$2:$X$1001,MATCH(ROWS($W$2:W847),$W$2:$W$1001,0),1)&gt;=100000,INDEX($AD$1005:$AU$1005,1,MATCH(COLUMNS($AD$1006:AO1006),$AD$1006:$AU$1006,0))&gt;=100000), " ",IF(INDEX($AD$2:$AU$1001,MATCH(ROWS($W$2:W847),$W$2:$W$1001,0),MATCH(COLUMNS($AD$1006:AO1006),$AD$1006:$AU$1006,0)), HYPERLINK("#",""), HYPERLINK(CONCATENATE("#metadata!", ADDRESS(INDEX($Y$2:$Y$1001,MATCH(ROWS($W$2:W847),$W$2:$W$1001,0),0), INDEX($AD$1004:$AU$1004,1,MATCH(COLUMNS($AD$1006:AO1006),$AD$1006:$AU$1006,0)))),"Fix")))</f>
        <v xml:space="preserve"> </v>
      </c>
      <c r="N847" s="4" t="str">
        <f ca="1">IF(OR(INDEX($X$2:$X$1001,MATCH(ROWS($W$2:W847),$W$2:$W$1001,0),1)&gt;=100000,INDEX($AD$1005:$AU$1005,1,MATCH(COLUMNS($AD$1006:AP1006),$AD$1006:$AU$1006,0))&gt;=100000), " ",IF(INDEX($AD$2:$AU$1001,MATCH(ROWS($W$2:W847),$W$2:$W$1001,0),MATCH(COLUMNS($AD$1006:AP1006),$AD$1006:$AU$1006,0)), HYPERLINK("#",""), HYPERLINK(CONCATENATE("#metadata!", ADDRESS(INDEX($Y$2:$Y$1001,MATCH(ROWS($W$2:W847),$W$2:$W$1001,0),0), INDEX($AD$1004:$AU$1004,1,MATCH(COLUMNS($AD$1006:AP1006),$AD$1006:$AU$1006,0)))),"Fix")))</f>
        <v xml:space="preserve"> </v>
      </c>
      <c r="O847" s="4" t="str">
        <f ca="1">IF(OR(INDEX($X$2:$X$1001,MATCH(ROWS($W$2:W847),$W$2:$W$1001,0),1)&gt;=100000,INDEX($AD$1005:$AU$1005,1,MATCH(COLUMNS($AD$1006:AQ1006),$AD$1006:$AU$1006,0))&gt;=100000), " ",IF(INDEX($AD$2:$AU$1001,MATCH(ROWS($W$2:W847),$W$2:$W$1001,0),MATCH(COLUMNS($AD$1006:AQ1006),$AD$1006:$AU$1006,0)), HYPERLINK("#",""), HYPERLINK(CONCATENATE("#metadata!", ADDRESS(INDEX($Y$2:$Y$1001,MATCH(ROWS($W$2:W847),$W$2:$W$1001,0),0), INDEX($AD$1004:$AU$1004,1,MATCH(COLUMNS($AD$1006:AQ1006),$AD$1006:$AU$1006,0)))),"Fix")))</f>
        <v xml:space="preserve"> </v>
      </c>
      <c r="P847" s="4" t="str">
        <f ca="1">IF(OR(INDEX($X$2:$X$1001,MATCH(ROWS($W$2:W847),$W$2:$W$1001,0),1)&gt;=100000,INDEX($AD$1005:$AU$1005,1,MATCH(COLUMNS($AD$1006:AR1006),$AD$1006:$AU$1006,0))&gt;=100000), " ",IF(INDEX($AD$2:$AU$1001,MATCH(ROWS($W$2:W847),$W$2:$W$1001,0),MATCH(COLUMNS($AD$1006:AR1006),$AD$1006:$AU$1006,0)), HYPERLINK("#",""), HYPERLINK(CONCATENATE("#metadata!", ADDRESS(INDEX($Y$2:$Y$1001,MATCH(ROWS($W$2:W847),$W$2:$W$1001,0),0), INDEX($AD$1004:$AU$1004,1,MATCH(COLUMNS($AD$1006:AR1006),$AD$1006:$AU$1006,0)))),"Fix")))</f>
        <v xml:space="preserve"> </v>
      </c>
      <c r="Q847" s="4" t="str">
        <f ca="1">IF(OR(INDEX($X$2:$X$1001,MATCH(ROWS($W$2:W847),$W$2:$W$1001,0),1)&gt;=100000,INDEX($AD$1005:$AU$1005,1,MATCH(COLUMNS($AD$1006:AS1006),$AD$1006:$AU$1006,0))&gt;=100000), " ",IF(INDEX($AD$2:$AU$1001,MATCH(ROWS($W$2:W847),$W$2:$W$1001,0),MATCH(COLUMNS($AD$1006:AS1006),$AD$1006:$AU$1006,0)), HYPERLINK("#",""), HYPERLINK(CONCATENATE("#metadata!", ADDRESS(INDEX($Y$2:$Y$1001,MATCH(ROWS($W$2:W847),$W$2:$W$1001,0),0), INDEX($AD$1004:$AU$1004,1,MATCH(COLUMNS($AD$1006:AS1006),$AD$1006:$AU$1006,0)))),"Fix")))</f>
        <v xml:space="preserve"> </v>
      </c>
      <c r="R847" s="4" t="str">
        <f ca="1">IF(OR(INDEX($X$2:$X$1001,MATCH(ROWS($W$2:W847),$W$2:$W$1001,0),1)&gt;=100000,INDEX($AD$1005:$AU$1005,1,MATCH(COLUMNS($AD$1006:AT1006),$AD$1006:$AU$1006,0))&gt;=100000), " ",IF(INDEX($AD$2:$AU$1001,MATCH(ROWS($W$2:W847),$W$2:$W$1001,0),MATCH(COLUMNS($AD$1006:AT1006),$AD$1006:$AU$1006,0)), HYPERLINK("#",""), HYPERLINK(CONCATENATE("#metadata!", ADDRESS(INDEX($Y$2:$Y$1001,MATCH(ROWS($W$2:W847),$W$2:$W$1001,0),0), INDEX($AD$1004:$AU$1004,1,MATCH(COLUMNS($AD$1006:AT1006),$AD$1006:$AU$1006,0)))),"Fix")))</f>
        <v xml:space="preserve"> </v>
      </c>
      <c r="S847" s="4" t="str">
        <f ca="1">IF(OR(INDEX($X$2:$X$1001,MATCH(ROWS($W$2:W847),$W$2:$W$1001,0),1)&gt;=100000,INDEX($AD$1005:$AU$1005,1,MATCH(COLUMNS($AD$1006:AU1006),$AD$1006:$AU$1006,0))&gt;=100000), " ",IF(INDEX($AD$2:$AU$1001,MATCH(ROWS($W$2:W847),$W$2:$W$1001,0),MATCH(COLUMNS($AD$1006:AU1006),$AD$1006:$AU$1006,0)), HYPERLINK("#",""), HYPERLINK(CONCATENATE("#metadata!", ADDRESS(INDEX($Y$2:$Y$1001,MATCH(ROWS($W$2:W847),$W$2:$W$1001,0),0), INDEX($AD$1004:$AU$1004,1,MATCH(COLUMNS($AD$1006:AU1006),$AD$1006:$AU$1006,0)))),"Fix")))</f>
        <v xml:space="preserve"> </v>
      </c>
      <c r="W847">
        <v>846</v>
      </c>
      <c r="X847">
        <v>100847</v>
      </c>
      <c r="Y847">
        <v>847</v>
      </c>
      <c r="Z847" t="b">
        <f t="shared" si="13"/>
        <v>1</v>
      </c>
      <c r="AA847" t="b">
        <f>COUNTBLANK(metadata!B847:S847)=COLUMNS(metadata!B847:S847)</f>
        <v>1</v>
      </c>
      <c r="AB847" t="str">
        <v/>
      </c>
      <c r="AD847" t="b">
        <f ca="1">AND(IF(metadata!B847="",FALSE,TRUE),COUNTIF(metadata!B:B, metadata!B847) = 1,NOT(ISERROR(SUMPRODUCT(SEARCH(MID(metadata!B847,ROW(INDIRECT("1:"&amp;LEN(metadata!B847))), 1),"0123456789abcdefghijklmnopqrstuvwxyzABCDEFGHIJKLMNOPQRSTUVWXYZ.")))))</f>
        <v>0</v>
      </c>
      <c r="AE847" t="b">
        <f>OR(AND(IF(metadata!C847="",FALSE,TRUE),OR(EXACT(metadata!C847,"not applicable"),EXACT(metadata!C847,"missing: not collected"),EXACT(metadata!C847,"missing: not provided"),EXACT(metadata!C847,"missing: restricted access"))),AND(IF(metadata!C847="",FALSE,ISNUMBER(VALUE(metadata!C847))),metadata!C847&gt;0))</f>
        <v>0</v>
      </c>
      <c r="AF847" t="b">
        <f>AND(IF(metadata!D847="",FALSE,TRUE),EXACT(metadata!D847,"missing: not provided"))</f>
        <v>0</v>
      </c>
      <c r="AG847" t="b">
        <f>AND(IF(metadata!E847="",FALSE,TRUE),EXACT(metadata!E847,"Host-associated"))</f>
        <v>0</v>
      </c>
      <c r="AH847" t="b">
        <f>AND(IF(metadata!F847="",FALSE,TRUE),OR(EXACT(metadata!F847,"Animal"),EXACT(metadata!F847,"Fungus"),EXACT(metadata!F847,"Plant")))</f>
        <v>0</v>
      </c>
      <c r="AI847" t="b">
        <f>AND(IF(metadata!G847="",FALSE,TRUE),OR(EXACT(metadata!G847,"Plant secretion"),EXACT(metadata!G847,"Plant rhizosphere"),EXACT(metadata!G847,"Plant surface"),EXACT(metadata!G847,"Plant corpus"),EXACT(metadata!G847,"Fungus surface"),EXACT(metadata!G847,"Fungus corpus"),EXACT(metadata!G847,"Animal surface"),EXACT(metadata!G847,"Animal proximal gut"),EXACT(metadata!G847,"Animal corpus"),EXACT(metadata!G847,"Animal distal gut"),EXACT(metadata!G847,"Animal secretion")))</f>
        <v>0</v>
      </c>
      <c r="AJ847" t="b">
        <f>OR(AND(IF(metadata!H847="",FALSE,TRUE),OR(EXACT(metadata!H847,"missing: not collected"),EXACT(metadata!H847,"missing: not provided"),EXACT(metadata!H847,"missing: restricted access"))),AND(IF(metadata!H847="",FALSE,TRUE),OR(EXACT(metadata!H847,"organism-associated habitat"),EXACT(metadata!H847,"plant-associated habitat"),EXACT(metadata!H847,"animal-associated habitat"),EXACT(metadata!H847,"insecta-associated habitat"),EXACT(metadata!H847,"mammalia-associated habitat"),EXACT(metadata!H847,"human-associated habitat"),EXACT(metadata!H847,"livestock-associated habitat"))))</f>
        <v>0</v>
      </c>
      <c r="AK847" t="b">
        <f>AND(IF(metadata!I847="",FALSE,TRUE),EXACT(metadata!I847,"host-associated"))</f>
        <v>0</v>
      </c>
      <c r="AL847" t="b">
        <f>OR(AND(IF(metadata!J847="",FALSE,TRUE),OR(EXACT(metadata!J847,"not applicable"),EXACT(metadata!J847,"missing: not collected"),EXACT(metadata!J847,"missing: not provided"),EXACT(metadata!J847,"missing: restricted access"))),AND(IF(metadata!J847="",FALSE,ISNUMBER(VALUE(metadata!J847))),metadata!J847&gt;0))</f>
        <v>0</v>
      </c>
      <c r="AM847" t="b">
        <f>AND(IF(metadata!K847="",FALSE,TRUE),EXACT(metadata!K847,"missing: not provided"))</f>
        <v>0</v>
      </c>
      <c r="AN847" t="b">
        <f>IF(metadata!L847="",FALSE,TRUE)</f>
        <v>0</v>
      </c>
      <c r="AO847" t="b">
        <f>IF(metadata!M847="",FALSE,TRUE)</f>
        <v>0</v>
      </c>
      <c r="AP847" t="b">
        <f>OR(AND(IF(metadata!N847="",FALSE,TRUE),OR(EXACT(metadata!N847,"not applicable"),EXACT(metadata!N847,"missing: not collected"),EXACT(metadata!N847,"missing: not provided"))),AND(IF(metadata!N847="",FALSE,IF(ISERROR(INT(metadata!N847)),FALSE,INT(metadata!N847)=metadata!N847)),metadata!N847&gt;0))</f>
        <v>0</v>
      </c>
      <c r="AQ847" t="b">
        <f>AND(IF(metadata!O847="",FALSE,TRUE),EXACT(metadata!O847,"Not applicable"))</f>
        <v>0</v>
      </c>
      <c r="AR847" t="b">
        <f>OR(AND(IF(metadata!P847="",FALSE,TRUE),OR(EXACT(metadata!P847,"not applicable"),EXACT(metadata!P847,"missing: not collected"),EXACT(metadata!P847,"missing: not provided"),EXACT(metadata!P847,"missing: restricted access"))),IF(metadata!P847="",FALSE,IF(ISERROR(INT(metadata!P847)),FALSE,INT(metadata!P847)=metadata!P847)))</f>
        <v>0</v>
      </c>
      <c r="AS847" t="b">
        <f>AND(IF(metadata!Q847="",FALSE,TRUE),EXACT(metadata!Q847,"Not applicable"))</f>
        <v>0</v>
      </c>
      <c r="AT847" t="b">
        <f>OR(AND(IF(metadata!R847="",FALSE,TRUE),OR(EXACT(metadata!R847,"not applicable"),EXACT(metadata!R847,"missing: not collected"),EXACT(metadata!R847,"missing: not provided"),EXACT(metadata!R847,"missing: restricted access"))),AND(IF(metadata!R847="",FALSE,ISNUMBER(VALUE(metadata!R847))),metadata!R847&gt;0))</f>
        <v>0</v>
      </c>
      <c r="AU847" t="b">
        <f>AND(IF(metadata!S847="",FALSE,TRUE),EXACT(metadata!S847,"missing: not provided"))</f>
        <v>0</v>
      </c>
    </row>
    <row r="848" spans="1:47" x14ac:dyDescent="0.2">
      <c r="A848" s="5" t="str">
        <f ca="1">IF(B848=" "," ",HYPERLINK(CONCATENATE("#metadata!",ADDRESS(INDEX($Y$2:$Y$1001,MATCH(ROWS($W$2:W848),$W$2:$W$1001,0),0),1)),INDEX($AB$2:$AB$1001,MATCH(ROWS($W$2:W848),$W$2:$W$1001,0),0)))</f>
        <v xml:space="preserve"> </v>
      </c>
      <c r="B848" s="4" t="str">
        <f ca="1">IF(OR(INDEX($X$2:$X$1001,MATCH(ROWS($W$2:W848),$W$2:$W$1001,0),1)&gt;=100000,INDEX($AD$1005:$AU$1005,1,MATCH(COLUMNS($AD$1006:AD1006),$AD$1006:$AU$1006,0))&gt;=100000), " ",IF(INDEX($AD$2:$AU$1001,MATCH(ROWS($W$2:W848),$W$2:$W$1001,0),MATCH(COLUMNS($AD$1006:AD1006),$AD$1006:$AU$1006,0)), HYPERLINK("#",""), HYPERLINK(CONCATENATE("#metadata!", ADDRESS(INDEX($Y$2:$Y$1001,MATCH(ROWS($W$2:W848),$W$2:$W$1001,0),0), INDEX($AD$1004:$AU$1004,1,MATCH(COLUMNS($AD$1006:AD1006),$AD$1006:$AU$1006,0)))),"Fix")))</f>
        <v xml:space="preserve"> </v>
      </c>
      <c r="C848" s="4" t="str">
        <f ca="1">IF(OR(INDEX($X$2:$X$1001,MATCH(ROWS($W$2:W848),$W$2:$W$1001,0),1)&gt;=100000,INDEX($AD$1005:$AU$1005,1,MATCH(COLUMNS($AD$1006:AE1006),$AD$1006:$AU$1006,0))&gt;=100000), " ",IF(INDEX($AD$2:$AU$1001,MATCH(ROWS($W$2:W848),$W$2:$W$1001,0),MATCH(COLUMNS($AD$1006:AE1006),$AD$1006:$AU$1006,0)), HYPERLINK("#",""), HYPERLINK(CONCATENATE("#metadata!", ADDRESS(INDEX($Y$2:$Y$1001,MATCH(ROWS($W$2:W848),$W$2:$W$1001,0),0), INDEX($AD$1004:$AU$1004,1,MATCH(COLUMNS($AD$1006:AE1006),$AD$1006:$AU$1006,0)))),"Fix")))</f>
        <v xml:space="preserve"> </v>
      </c>
      <c r="D848" s="4" t="str">
        <f ca="1">IF(OR(INDEX($X$2:$X$1001,MATCH(ROWS($W$2:W848),$W$2:$W$1001,0),1)&gt;=100000,INDEX($AD$1005:$AU$1005,1,MATCH(COLUMNS($AD$1006:AF1006),$AD$1006:$AU$1006,0))&gt;=100000), " ",IF(INDEX($AD$2:$AU$1001,MATCH(ROWS($W$2:W848),$W$2:$W$1001,0),MATCH(COLUMNS($AD$1006:AF1006),$AD$1006:$AU$1006,0)), HYPERLINK("#",""), HYPERLINK(CONCATENATE("#metadata!", ADDRESS(INDEX($Y$2:$Y$1001,MATCH(ROWS($W$2:W848),$W$2:$W$1001,0),0), INDEX($AD$1004:$AU$1004,1,MATCH(COLUMNS($AD$1006:AF1006),$AD$1006:$AU$1006,0)))),"Fix")))</f>
        <v xml:space="preserve"> </v>
      </c>
      <c r="E848" s="4" t="str">
        <f ca="1">IF(OR(INDEX($X$2:$X$1001,MATCH(ROWS($W$2:W848),$W$2:$W$1001,0),1)&gt;=100000,INDEX($AD$1005:$AU$1005,1,MATCH(COLUMNS($AD$1006:AG1006),$AD$1006:$AU$1006,0))&gt;=100000), " ",IF(INDEX($AD$2:$AU$1001,MATCH(ROWS($W$2:W848),$W$2:$W$1001,0),MATCH(COLUMNS($AD$1006:AG1006),$AD$1006:$AU$1006,0)), HYPERLINK("#",""), HYPERLINK(CONCATENATE("#metadata!", ADDRESS(INDEX($Y$2:$Y$1001,MATCH(ROWS($W$2:W848),$W$2:$W$1001,0),0), INDEX($AD$1004:$AU$1004,1,MATCH(COLUMNS($AD$1006:AG1006),$AD$1006:$AU$1006,0)))),"Fix")))</f>
        <v xml:space="preserve"> </v>
      </c>
      <c r="F848" s="4" t="str">
        <f ca="1">IF(OR(INDEX($X$2:$X$1001,MATCH(ROWS($W$2:W848),$W$2:$W$1001,0),1)&gt;=100000,INDEX($AD$1005:$AU$1005,1,MATCH(COLUMNS($AD$1006:AH1006),$AD$1006:$AU$1006,0))&gt;=100000), " ",IF(INDEX($AD$2:$AU$1001,MATCH(ROWS($W$2:W848),$W$2:$W$1001,0),MATCH(COLUMNS($AD$1006:AH1006),$AD$1006:$AU$1006,0)), HYPERLINK("#",""), HYPERLINK(CONCATENATE("#metadata!", ADDRESS(INDEX($Y$2:$Y$1001,MATCH(ROWS($W$2:W848),$W$2:$W$1001,0),0), INDEX($AD$1004:$AU$1004,1,MATCH(COLUMNS($AD$1006:AH1006),$AD$1006:$AU$1006,0)))),"Fix")))</f>
        <v xml:space="preserve"> </v>
      </c>
      <c r="G848" s="4" t="str">
        <f ca="1">IF(OR(INDEX($X$2:$X$1001,MATCH(ROWS($W$2:W848),$W$2:$W$1001,0),1)&gt;=100000,INDEX($AD$1005:$AU$1005,1,MATCH(COLUMNS($AD$1006:AI1006),$AD$1006:$AU$1006,0))&gt;=100000), " ",IF(INDEX($AD$2:$AU$1001,MATCH(ROWS($W$2:W848),$W$2:$W$1001,0),MATCH(COLUMNS($AD$1006:AI1006),$AD$1006:$AU$1006,0)), HYPERLINK("#",""), HYPERLINK(CONCATENATE("#metadata!", ADDRESS(INDEX($Y$2:$Y$1001,MATCH(ROWS($W$2:W848),$W$2:$W$1001,0),0), INDEX($AD$1004:$AU$1004,1,MATCH(COLUMNS($AD$1006:AI1006),$AD$1006:$AU$1006,0)))),"Fix")))</f>
        <v xml:space="preserve"> </v>
      </c>
      <c r="H848" s="4" t="str">
        <f ca="1">IF(OR(INDEX($X$2:$X$1001,MATCH(ROWS($W$2:W848),$W$2:$W$1001,0),1)&gt;=100000,INDEX($AD$1005:$AU$1005,1,MATCH(COLUMNS($AD$1006:AJ1006),$AD$1006:$AU$1006,0))&gt;=100000), " ",IF(INDEX($AD$2:$AU$1001,MATCH(ROWS($W$2:W848),$W$2:$W$1001,0),MATCH(COLUMNS($AD$1006:AJ1006),$AD$1006:$AU$1006,0)), HYPERLINK("#",""), HYPERLINK(CONCATENATE("#metadata!", ADDRESS(INDEX($Y$2:$Y$1001,MATCH(ROWS($W$2:W848),$W$2:$W$1001,0),0), INDEX($AD$1004:$AU$1004,1,MATCH(COLUMNS($AD$1006:AJ1006),$AD$1006:$AU$1006,0)))),"Fix")))</f>
        <v xml:space="preserve"> </v>
      </c>
      <c r="I848" s="4" t="str">
        <f ca="1">IF(OR(INDEX($X$2:$X$1001,MATCH(ROWS($W$2:W848),$W$2:$W$1001,0),1)&gt;=100000,INDEX($AD$1005:$AU$1005,1,MATCH(COLUMNS($AD$1006:AK1006),$AD$1006:$AU$1006,0))&gt;=100000), " ",IF(INDEX($AD$2:$AU$1001,MATCH(ROWS($W$2:W848),$W$2:$W$1001,0),MATCH(COLUMNS($AD$1006:AK1006),$AD$1006:$AU$1006,0)), HYPERLINK("#",""), HYPERLINK(CONCATENATE("#metadata!", ADDRESS(INDEX($Y$2:$Y$1001,MATCH(ROWS($W$2:W848),$W$2:$W$1001,0),0), INDEX($AD$1004:$AU$1004,1,MATCH(COLUMNS($AD$1006:AK1006),$AD$1006:$AU$1006,0)))),"Fix")))</f>
        <v xml:space="preserve"> </v>
      </c>
      <c r="J848" s="4" t="str">
        <f ca="1">IF(OR(INDEX($X$2:$X$1001,MATCH(ROWS($W$2:W848),$W$2:$W$1001,0),1)&gt;=100000,INDEX($AD$1005:$AU$1005,1,MATCH(COLUMNS($AD$1006:AL1006),$AD$1006:$AU$1006,0))&gt;=100000), " ",IF(INDEX($AD$2:$AU$1001,MATCH(ROWS($W$2:W848),$W$2:$W$1001,0),MATCH(COLUMNS($AD$1006:AL1006),$AD$1006:$AU$1006,0)), HYPERLINK("#",""), HYPERLINK(CONCATENATE("#metadata!", ADDRESS(INDEX($Y$2:$Y$1001,MATCH(ROWS($W$2:W848),$W$2:$W$1001,0),0), INDEX($AD$1004:$AU$1004,1,MATCH(COLUMNS($AD$1006:AL1006),$AD$1006:$AU$1006,0)))),"Fix")))</f>
        <v xml:space="preserve"> </v>
      </c>
      <c r="K848" s="4" t="str">
        <f ca="1">IF(OR(INDEX($X$2:$X$1001,MATCH(ROWS($W$2:W848),$W$2:$W$1001,0),1)&gt;=100000,INDEX($AD$1005:$AU$1005,1,MATCH(COLUMNS($AD$1006:AM1006),$AD$1006:$AU$1006,0))&gt;=100000), " ",IF(INDEX($AD$2:$AU$1001,MATCH(ROWS($W$2:W848),$W$2:$W$1001,0),MATCH(COLUMNS($AD$1006:AM1006),$AD$1006:$AU$1006,0)), HYPERLINK("#",""), HYPERLINK(CONCATENATE("#metadata!", ADDRESS(INDEX($Y$2:$Y$1001,MATCH(ROWS($W$2:W848),$W$2:$W$1001,0),0), INDEX($AD$1004:$AU$1004,1,MATCH(COLUMNS($AD$1006:AM1006),$AD$1006:$AU$1006,0)))),"Fix")))</f>
        <v xml:space="preserve"> </v>
      </c>
      <c r="L848" s="4" t="str">
        <f ca="1">IF(OR(INDEX($X$2:$X$1001,MATCH(ROWS($W$2:W848),$W$2:$W$1001,0),1)&gt;=100000,INDEX($AD$1005:$AU$1005,1,MATCH(COLUMNS($AD$1006:AN1006),$AD$1006:$AU$1006,0))&gt;=100000), " ",IF(INDEX($AD$2:$AU$1001,MATCH(ROWS($W$2:W848),$W$2:$W$1001,0),MATCH(COLUMNS($AD$1006:AN1006),$AD$1006:$AU$1006,0)), HYPERLINK("#",""), HYPERLINK(CONCATENATE("#metadata!", ADDRESS(INDEX($Y$2:$Y$1001,MATCH(ROWS($W$2:W848),$W$2:$W$1001,0),0), INDEX($AD$1004:$AU$1004,1,MATCH(COLUMNS($AD$1006:AN1006),$AD$1006:$AU$1006,0)))),"Fix")))</f>
        <v xml:space="preserve"> </v>
      </c>
      <c r="M848" s="4" t="str">
        <f ca="1">IF(OR(INDEX($X$2:$X$1001,MATCH(ROWS($W$2:W848),$W$2:$W$1001,0),1)&gt;=100000,INDEX($AD$1005:$AU$1005,1,MATCH(COLUMNS($AD$1006:AO1006),$AD$1006:$AU$1006,0))&gt;=100000), " ",IF(INDEX($AD$2:$AU$1001,MATCH(ROWS($W$2:W848),$W$2:$W$1001,0),MATCH(COLUMNS($AD$1006:AO1006),$AD$1006:$AU$1006,0)), HYPERLINK("#",""), HYPERLINK(CONCATENATE("#metadata!", ADDRESS(INDEX($Y$2:$Y$1001,MATCH(ROWS($W$2:W848),$W$2:$W$1001,0),0), INDEX($AD$1004:$AU$1004,1,MATCH(COLUMNS($AD$1006:AO1006),$AD$1006:$AU$1006,0)))),"Fix")))</f>
        <v xml:space="preserve"> </v>
      </c>
      <c r="N848" s="4" t="str">
        <f ca="1">IF(OR(INDEX($X$2:$X$1001,MATCH(ROWS($W$2:W848),$W$2:$W$1001,0),1)&gt;=100000,INDEX($AD$1005:$AU$1005,1,MATCH(COLUMNS($AD$1006:AP1006),$AD$1006:$AU$1006,0))&gt;=100000), " ",IF(INDEX($AD$2:$AU$1001,MATCH(ROWS($W$2:W848),$W$2:$W$1001,0),MATCH(COLUMNS($AD$1006:AP1006),$AD$1006:$AU$1006,0)), HYPERLINK("#",""), HYPERLINK(CONCATENATE("#metadata!", ADDRESS(INDEX($Y$2:$Y$1001,MATCH(ROWS($W$2:W848),$W$2:$W$1001,0),0), INDEX($AD$1004:$AU$1004,1,MATCH(COLUMNS($AD$1006:AP1006),$AD$1006:$AU$1006,0)))),"Fix")))</f>
        <v xml:space="preserve"> </v>
      </c>
      <c r="O848" s="4" t="str">
        <f ca="1">IF(OR(INDEX($X$2:$X$1001,MATCH(ROWS($W$2:W848),$W$2:$W$1001,0),1)&gt;=100000,INDEX($AD$1005:$AU$1005,1,MATCH(COLUMNS($AD$1006:AQ1006),$AD$1006:$AU$1006,0))&gt;=100000), " ",IF(INDEX($AD$2:$AU$1001,MATCH(ROWS($W$2:W848),$W$2:$W$1001,0),MATCH(COLUMNS($AD$1006:AQ1006),$AD$1006:$AU$1006,0)), HYPERLINK("#",""), HYPERLINK(CONCATENATE("#metadata!", ADDRESS(INDEX($Y$2:$Y$1001,MATCH(ROWS($W$2:W848),$W$2:$W$1001,0),0), INDEX($AD$1004:$AU$1004,1,MATCH(COLUMNS($AD$1006:AQ1006),$AD$1006:$AU$1006,0)))),"Fix")))</f>
        <v xml:space="preserve"> </v>
      </c>
      <c r="P848" s="4" t="str">
        <f ca="1">IF(OR(INDEX($X$2:$X$1001,MATCH(ROWS($W$2:W848),$W$2:$W$1001,0),1)&gt;=100000,INDEX($AD$1005:$AU$1005,1,MATCH(COLUMNS($AD$1006:AR1006),$AD$1006:$AU$1006,0))&gt;=100000), " ",IF(INDEX($AD$2:$AU$1001,MATCH(ROWS($W$2:W848),$W$2:$W$1001,0),MATCH(COLUMNS($AD$1006:AR1006),$AD$1006:$AU$1006,0)), HYPERLINK("#",""), HYPERLINK(CONCATENATE("#metadata!", ADDRESS(INDEX($Y$2:$Y$1001,MATCH(ROWS($W$2:W848),$W$2:$W$1001,0),0), INDEX($AD$1004:$AU$1004,1,MATCH(COLUMNS($AD$1006:AR1006),$AD$1006:$AU$1006,0)))),"Fix")))</f>
        <v xml:space="preserve"> </v>
      </c>
      <c r="Q848" s="4" t="str">
        <f ca="1">IF(OR(INDEX($X$2:$X$1001,MATCH(ROWS($W$2:W848),$W$2:$W$1001,0),1)&gt;=100000,INDEX($AD$1005:$AU$1005,1,MATCH(COLUMNS($AD$1006:AS1006),$AD$1006:$AU$1006,0))&gt;=100000), " ",IF(INDEX($AD$2:$AU$1001,MATCH(ROWS($W$2:W848),$W$2:$W$1001,0),MATCH(COLUMNS($AD$1006:AS1006),$AD$1006:$AU$1006,0)), HYPERLINK("#",""), HYPERLINK(CONCATENATE("#metadata!", ADDRESS(INDEX($Y$2:$Y$1001,MATCH(ROWS($W$2:W848),$W$2:$W$1001,0),0), INDEX($AD$1004:$AU$1004,1,MATCH(COLUMNS($AD$1006:AS1006),$AD$1006:$AU$1006,0)))),"Fix")))</f>
        <v xml:space="preserve"> </v>
      </c>
      <c r="R848" s="4" t="str">
        <f ca="1">IF(OR(INDEX($X$2:$X$1001,MATCH(ROWS($W$2:W848),$W$2:$W$1001,0),1)&gt;=100000,INDEX($AD$1005:$AU$1005,1,MATCH(COLUMNS($AD$1006:AT1006),$AD$1006:$AU$1006,0))&gt;=100000), " ",IF(INDEX($AD$2:$AU$1001,MATCH(ROWS($W$2:W848),$W$2:$W$1001,0),MATCH(COLUMNS($AD$1006:AT1006),$AD$1006:$AU$1006,0)), HYPERLINK("#",""), HYPERLINK(CONCATENATE("#metadata!", ADDRESS(INDEX($Y$2:$Y$1001,MATCH(ROWS($W$2:W848),$W$2:$W$1001,0),0), INDEX($AD$1004:$AU$1004,1,MATCH(COLUMNS($AD$1006:AT1006),$AD$1006:$AU$1006,0)))),"Fix")))</f>
        <v xml:space="preserve"> </v>
      </c>
      <c r="S848" s="4" t="str">
        <f ca="1">IF(OR(INDEX($X$2:$X$1001,MATCH(ROWS($W$2:W848),$W$2:$W$1001,0),1)&gt;=100000,INDEX($AD$1005:$AU$1005,1,MATCH(COLUMNS($AD$1006:AU1006),$AD$1006:$AU$1006,0))&gt;=100000), " ",IF(INDEX($AD$2:$AU$1001,MATCH(ROWS($W$2:W848),$W$2:$W$1001,0),MATCH(COLUMNS($AD$1006:AU1006),$AD$1006:$AU$1006,0)), HYPERLINK("#",""), HYPERLINK(CONCATENATE("#metadata!", ADDRESS(INDEX($Y$2:$Y$1001,MATCH(ROWS($W$2:W848),$W$2:$W$1001,0),0), INDEX($AD$1004:$AU$1004,1,MATCH(COLUMNS($AD$1006:AU1006),$AD$1006:$AU$1006,0)))),"Fix")))</f>
        <v xml:space="preserve"> </v>
      </c>
      <c r="W848">
        <v>847</v>
      </c>
      <c r="X848">
        <v>100848</v>
      </c>
      <c r="Y848">
        <v>848</v>
      </c>
      <c r="Z848" t="b">
        <f t="shared" si="13"/>
        <v>1</v>
      </c>
      <c r="AA848" t="b">
        <f>COUNTBLANK(metadata!B848:S848)=COLUMNS(metadata!B848:S848)</f>
        <v>1</v>
      </c>
      <c r="AB848" t="str">
        <v/>
      </c>
      <c r="AD848" t="b">
        <f ca="1">AND(IF(metadata!B848="",FALSE,TRUE),COUNTIF(metadata!B:B, metadata!B848) = 1,NOT(ISERROR(SUMPRODUCT(SEARCH(MID(metadata!B848,ROW(INDIRECT("1:"&amp;LEN(metadata!B848))), 1),"0123456789abcdefghijklmnopqrstuvwxyzABCDEFGHIJKLMNOPQRSTUVWXYZ.")))))</f>
        <v>0</v>
      </c>
      <c r="AE848" t="b">
        <f>OR(AND(IF(metadata!C848="",FALSE,TRUE),OR(EXACT(metadata!C848,"not applicable"),EXACT(metadata!C848,"missing: not collected"),EXACT(metadata!C848,"missing: not provided"),EXACT(metadata!C848,"missing: restricted access"))),AND(IF(metadata!C848="",FALSE,ISNUMBER(VALUE(metadata!C848))),metadata!C848&gt;0))</f>
        <v>0</v>
      </c>
      <c r="AF848" t="b">
        <f>AND(IF(metadata!D848="",FALSE,TRUE),EXACT(metadata!D848,"missing: not provided"))</f>
        <v>0</v>
      </c>
      <c r="AG848" t="b">
        <f>AND(IF(metadata!E848="",FALSE,TRUE),EXACT(metadata!E848,"Host-associated"))</f>
        <v>0</v>
      </c>
      <c r="AH848" t="b">
        <f>AND(IF(metadata!F848="",FALSE,TRUE),OR(EXACT(metadata!F848,"Animal"),EXACT(metadata!F848,"Fungus"),EXACT(metadata!F848,"Plant")))</f>
        <v>0</v>
      </c>
      <c r="AI848" t="b">
        <f>AND(IF(metadata!G848="",FALSE,TRUE),OR(EXACT(metadata!G848,"Plant secretion"),EXACT(metadata!G848,"Plant rhizosphere"),EXACT(metadata!G848,"Plant surface"),EXACT(metadata!G848,"Plant corpus"),EXACT(metadata!G848,"Fungus surface"),EXACT(metadata!G848,"Fungus corpus"),EXACT(metadata!G848,"Animal surface"),EXACT(metadata!G848,"Animal proximal gut"),EXACT(metadata!G848,"Animal corpus"),EXACT(metadata!G848,"Animal distal gut"),EXACT(metadata!G848,"Animal secretion")))</f>
        <v>0</v>
      </c>
      <c r="AJ848" t="b">
        <f>OR(AND(IF(metadata!H848="",FALSE,TRUE),OR(EXACT(metadata!H848,"missing: not collected"),EXACT(metadata!H848,"missing: not provided"),EXACT(metadata!H848,"missing: restricted access"))),AND(IF(metadata!H848="",FALSE,TRUE),OR(EXACT(metadata!H848,"organism-associated habitat"),EXACT(metadata!H848,"plant-associated habitat"),EXACT(metadata!H848,"animal-associated habitat"),EXACT(metadata!H848,"insecta-associated habitat"),EXACT(metadata!H848,"mammalia-associated habitat"),EXACT(metadata!H848,"human-associated habitat"),EXACT(metadata!H848,"livestock-associated habitat"))))</f>
        <v>0</v>
      </c>
      <c r="AK848" t="b">
        <f>AND(IF(metadata!I848="",FALSE,TRUE),EXACT(metadata!I848,"host-associated"))</f>
        <v>0</v>
      </c>
      <c r="AL848" t="b">
        <f>OR(AND(IF(metadata!J848="",FALSE,TRUE),OR(EXACT(metadata!J848,"not applicable"),EXACT(metadata!J848,"missing: not collected"),EXACT(metadata!J848,"missing: not provided"),EXACT(metadata!J848,"missing: restricted access"))),AND(IF(metadata!J848="",FALSE,ISNUMBER(VALUE(metadata!J848))),metadata!J848&gt;0))</f>
        <v>0</v>
      </c>
      <c r="AM848" t="b">
        <f>AND(IF(metadata!K848="",FALSE,TRUE),EXACT(metadata!K848,"missing: not provided"))</f>
        <v>0</v>
      </c>
      <c r="AN848" t="b">
        <f>IF(metadata!L848="",FALSE,TRUE)</f>
        <v>0</v>
      </c>
      <c r="AO848" t="b">
        <f>IF(metadata!M848="",FALSE,TRUE)</f>
        <v>0</v>
      </c>
      <c r="AP848" t="b">
        <f>OR(AND(IF(metadata!N848="",FALSE,TRUE),OR(EXACT(metadata!N848,"not applicable"),EXACT(metadata!N848,"missing: not collected"),EXACT(metadata!N848,"missing: not provided"))),AND(IF(metadata!N848="",FALSE,IF(ISERROR(INT(metadata!N848)),FALSE,INT(metadata!N848)=metadata!N848)),metadata!N848&gt;0))</f>
        <v>0</v>
      </c>
      <c r="AQ848" t="b">
        <f>AND(IF(metadata!O848="",FALSE,TRUE),EXACT(metadata!O848,"Not applicable"))</f>
        <v>0</v>
      </c>
      <c r="AR848" t="b">
        <f>OR(AND(IF(metadata!P848="",FALSE,TRUE),OR(EXACT(metadata!P848,"not applicable"),EXACT(metadata!P848,"missing: not collected"),EXACT(metadata!P848,"missing: not provided"),EXACT(metadata!P848,"missing: restricted access"))),IF(metadata!P848="",FALSE,IF(ISERROR(INT(metadata!P848)),FALSE,INT(metadata!P848)=metadata!P848)))</f>
        <v>0</v>
      </c>
      <c r="AS848" t="b">
        <f>AND(IF(metadata!Q848="",FALSE,TRUE),EXACT(metadata!Q848,"Not applicable"))</f>
        <v>0</v>
      </c>
      <c r="AT848" t="b">
        <f>OR(AND(IF(metadata!R848="",FALSE,TRUE),OR(EXACT(metadata!R848,"not applicable"),EXACT(metadata!R848,"missing: not collected"),EXACT(metadata!R848,"missing: not provided"),EXACT(metadata!R848,"missing: restricted access"))),AND(IF(metadata!R848="",FALSE,ISNUMBER(VALUE(metadata!R848))),metadata!R848&gt;0))</f>
        <v>0</v>
      </c>
      <c r="AU848" t="b">
        <f>AND(IF(metadata!S848="",FALSE,TRUE),EXACT(metadata!S848,"missing: not provided"))</f>
        <v>0</v>
      </c>
    </row>
    <row r="849" spans="1:47" x14ac:dyDescent="0.2">
      <c r="A849" s="5" t="str">
        <f ca="1">IF(B849=" "," ",HYPERLINK(CONCATENATE("#metadata!",ADDRESS(INDEX($Y$2:$Y$1001,MATCH(ROWS($W$2:W849),$W$2:$W$1001,0),0),1)),INDEX($AB$2:$AB$1001,MATCH(ROWS($W$2:W849),$W$2:$W$1001,0),0)))</f>
        <v xml:space="preserve"> </v>
      </c>
      <c r="B849" s="4" t="str">
        <f ca="1">IF(OR(INDEX($X$2:$X$1001,MATCH(ROWS($W$2:W849),$W$2:$W$1001,0),1)&gt;=100000,INDEX($AD$1005:$AU$1005,1,MATCH(COLUMNS($AD$1006:AD1006),$AD$1006:$AU$1006,0))&gt;=100000), " ",IF(INDEX($AD$2:$AU$1001,MATCH(ROWS($W$2:W849),$W$2:$W$1001,0),MATCH(COLUMNS($AD$1006:AD1006),$AD$1006:$AU$1006,0)), HYPERLINK("#",""), HYPERLINK(CONCATENATE("#metadata!", ADDRESS(INDEX($Y$2:$Y$1001,MATCH(ROWS($W$2:W849),$W$2:$W$1001,0),0), INDEX($AD$1004:$AU$1004,1,MATCH(COLUMNS($AD$1006:AD1006),$AD$1006:$AU$1006,0)))),"Fix")))</f>
        <v xml:space="preserve"> </v>
      </c>
      <c r="C849" s="4" t="str">
        <f ca="1">IF(OR(INDEX($X$2:$X$1001,MATCH(ROWS($W$2:W849),$W$2:$W$1001,0),1)&gt;=100000,INDEX($AD$1005:$AU$1005,1,MATCH(COLUMNS($AD$1006:AE1006),$AD$1006:$AU$1006,0))&gt;=100000), " ",IF(INDEX($AD$2:$AU$1001,MATCH(ROWS($W$2:W849),$W$2:$W$1001,0),MATCH(COLUMNS($AD$1006:AE1006),$AD$1006:$AU$1006,0)), HYPERLINK("#",""), HYPERLINK(CONCATENATE("#metadata!", ADDRESS(INDEX($Y$2:$Y$1001,MATCH(ROWS($W$2:W849),$W$2:$W$1001,0),0), INDEX($AD$1004:$AU$1004,1,MATCH(COLUMNS($AD$1006:AE1006),$AD$1006:$AU$1006,0)))),"Fix")))</f>
        <v xml:space="preserve"> </v>
      </c>
      <c r="D849" s="4" t="str">
        <f ca="1">IF(OR(INDEX($X$2:$X$1001,MATCH(ROWS($W$2:W849),$W$2:$W$1001,0),1)&gt;=100000,INDEX($AD$1005:$AU$1005,1,MATCH(COLUMNS($AD$1006:AF1006),$AD$1006:$AU$1006,0))&gt;=100000), " ",IF(INDEX($AD$2:$AU$1001,MATCH(ROWS($W$2:W849),$W$2:$W$1001,0),MATCH(COLUMNS($AD$1006:AF1006),$AD$1006:$AU$1006,0)), HYPERLINK("#",""), HYPERLINK(CONCATENATE("#metadata!", ADDRESS(INDEX($Y$2:$Y$1001,MATCH(ROWS($W$2:W849),$W$2:$W$1001,0),0), INDEX($AD$1004:$AU$1004,1,MATCH(COLUMNS($AD$1006:AF1006),$AD$1006:$AU$1006,0)))),"Fix")))</f>
        <v xml:space="preserve"> </v>
      </c>
      <c r="E849" s="4" t="str">
        <f ca="1">IF(OR(INDEX($X$2:$X$1001,MATCH(ROWS($W$2:W849),$W$2:$W$1001,0),1)&gt;=100000,INDEX($AD$1005:$AU$1005,1,MATCH(COLUMNS($AD$1006:AG1006),$AD$1006:$AU$1006,0))&gt;=100000), " ",IF(INDEX($AD$2:$AU$1001,MATCH(ROWS($W$2:W849),$W$2:$W$1001,0),MATCH(COLUMNS($AD$1006:AG1006),$AD$1006:$AU$1006,0)), HYPERLINK("#",""), HYPERLINK(CONCATENATE("#metadata!", ADDRESS(INDEX($Y$2:$Y$1001,MATCH(ROWS($W$2:W849),$W$2:$W$1001,0),0), INDEX($AD$1004:$AU$1004,1,MATCH(COLUMNS($AD$1006:AG1006),$AD$1006:$AU$1006,0)))),"Fix")))</f>
        <v xml:space="preserve"> </v>
      </c>
      <c r="F849" s="4" t="str">
        <f ca="1">IF(OR(INDEX($X$2:$X$1001,MATCH(ROWS($W$2:W849),$W$2:$W$1001,0),1)&gt;=100000,INDEX($AD$1005:$AU$1005,1,MATCH(COLUMNS($AD$1006:AH1006),$AD$1006:$AU$1006,0))&gt;=100000), " ",IF(INDEX($AD$2:$AU$1001,MATCH(ROWS($W$2:W849),$W$2:$W$1001,0),MATCH(COLUMNS($AD$1006:AH1006),$AD$1006:$AU$1006,0)), HYPERLINK("#",""), HYPERLINK(CONCATENATE("#metadata!", ADDRESS(INDEX($Y$2:$Y$1001,MATCH(ROWS($W$2:W849),$W$2:$W$1001,0),0), INDEX($AD$1004:$AU$1004,1,MATCH(COLUMNS($AD$1006:AH1006),$AD$1006:$AU$1006,0)))),"Fix")))</f>
        <v xml:space="preserve"> </v>
      </c>
      <c r="G849" s="4" t="str">
        <f ca="1">IF(OR(INDEX($X$2:$X$1001,MATCH(ROWS($W$2:W849),$W$2:$W$1001,0),1)&gt;=100000,INDEX($AD$1005:$AU$1005,1,MATCH(COLUMNS($AD$1006:AI1006),$AD$1006:$AU$1006,0))&gt;=100000), " ",IF(INDEX($AD$2:$AU$1001,MATCH(ROWS($W$2:W849),$W$2:$W$1001,0),MATCH(COLUMNS($AD$1006:AI1006),$AD$1006:$AU$1006,0)), HYPERLINK("#",""), HYPERLINK(CONCATENATE("#metadata!", ADDRESS(INDEX($Y$2:$Y$1001,MATCH(ROWS($W$2:W849),$W$2:$W$1001,0),0), INDEX($AD$1004:$AU$1004,1,MATCH(COLUMNS($AD$1006:AI1006),$AD$1006:$AU$1006,0)))),"Fix")))</f>
        <v xml:space="preserve"> </v>
      </c>
      <c r="H849" s="4" t="str">
        <f ca="1">IF(OR(INDEX($X$2:$X$1001,MATCH(ROWS($W$2:W849),$W$2:$W$1001,0),1)&gt;=100000,INDEX($AD$1005:$AU$1005,1,MATCH(COLUMNS($AD$1006:AJ1006),$AD$1006:$AU$1006,0))&gt;=100000), " ",IF(INDEX($AD$2:$AU$1001,MATCH(ROWS($W$2:W849),$W$2:$W$1001,0),MATCH(COLUMNS($AD$1006:AJ1006),$AD$1006:$AU$1006,0)), HYPERLINK("#",""), HYPERLINK(CONCATENATE("#metadata!", ADDRESS(INDEX($Y$2:$Y$1001,MATCH(ROWS($W$2:W849),$W$2:$W$1001,0),0), INDEX($AD$1004:$AU$1004,1,MATCH(COLUMNS($AD$1006:AJ1006),$AD$1006:$AU$1006,0)))),"Fix")))</f>
        <v xml:space="preserve"> </v>
      </c>
      <c r="I849" s="4" t="str">
        <f ca="1">IF(OR(INDEX($X$2:$X$1001,MATCH(ROWS($W$2:W849),$W$2:$W$1001,0),1)&gt;=100000,INDEX($AD$1005:$AU$1005,1,MATCH(COLUMNS($AD$1006:AK1006),$AD$1006:$AU$1006,0))&gt;=100000), " ",IF(INDEX($AD$2:$AU$1001,MATCH(ROWS($W$2:W849),$W$2:$W$1001,0),MATCH(COLUMNS($AD$1006:AK1006),$AD$1006:$AU$1006,0)), HYPERLINK("#",""), HYPERLINK(CONCATENATE("#metadata!", ADDRESS(INDEX($Y$2:$Y$1001,MATCH(ROWS($W$2:W849),$W$2:$W$1001,0),0), INDEX($AD$1004:$AU$1004,1,MATCH(COLUMNS($AD$1006:AK1006),$AD$1006:$AU$1006,0)))),"Fix")))</f>
        <v xml:space="preserve"> </v>
      </c>
      <c r="J849" s="4" t="str">
        <f ca="1">IF(OR(INDEX($X$2:$X$1001,MATCH(ROWS($W$2:W849),$W$2:$W$1001,0),1)&gt;=100000,INDEX($AD$1005:$AU$1005,1,MATCH(COLUMNS($AD$1006:AL1006),$AD$1006:$AU$1006,0))&gt;=100000), " ",IF(INDEX($AD$2:$AU$1001,MATCH(ROWS($W$2:W849),$W$2:$W$1001,0),MATCH(COLUMNS($AD$1006:AL1006),$AD$1006:$AU$1006,0)), HYPERLINK("#",""), HYPERLINK(CONCATENATE("#metadata!", ADDRESS(INDEX($Y$2:$Y$1001,MATCH(ROWS($W$2:W849),$W$2:$W$1001,0),0), INDEX($AD$1004:$AU$1004,1,MATCH(COLUMNS($AD$1006:AL1006),$AD$1006:$AU$1006,0)))),"Fix")))</f>
        <v xml:space="preserve"> </v>
      </c>
      <c r="K849" s="4" t="str">
        <f ca="1">IF(OR(INDEX($X$2:$X$1001,MATCH(ROWS($W$2:W849),$W$2:$W$1001,0),1)&gt;=100000,INDEX($AD$1005:$AU$1005,1,MATCH(COLUMNS($AD$1006:AM1006),$AD$1006:$AU$1006,0))&gt;=100000), " ",IF(INDEX($AD$2:$AU$1001,MATCH(ROWS($W$2:W849),$W$2:$W$1001,0),MATCH(COLUMNS($AD$1006:AM1006),$AD$1006:$AU$1006,0)), HYPERLINK("#",""), HYPERLINK(CONCATENATE("#metadata!", ADDRESS(INDEX($Y$2:$Y$1001,MATCH(ROWS($W$2:W849),$W$2:$W$1001,0),0), INDEX($AD$1004:$AU$1004,1,MATCH(COLUMNS($AD$1006:AM1006),$AD$1006:$AU$1006,0)))),"Fix")))</f>
        <v xml:space="preserve"> </v>
      </c>
      <c r="L849" s="4" t="str">
        <f ca="1">IF(OR(INDEX($X$2:$X$1001,MATCH(ROWS($W$2:W849),$W$2:$W$1001,0),1)&gt;=100000,INDEX($AD$1005:$AU$1005,1,MATCH(COLUMNS($AD$1006:AN1006),$AD$1006:$AU$1006,0))&gt;=100000), " ",IF(INDEX($AD$2:$AU$1001,MATCH(ROWS($W$2:W849),$W$2:$W$1001,0),MATCH(COLUMNS($AD$1006:AN1006),$AD$1006:$AU$1006,0)), HYPERLINK("#",""), HYPERLINK(CONCATENATE("#metadata!", ADDRESS(INDEX($Y$2:$Y$1001,MATCH(ROWS($W$2:W849),$W$2:$W$1001,0),0), INDEX($AD$1004:$AU$1004,1,MATCH(COLUMNS($AD$1006:AN1006),$AD$1006:$AU$1006,0)))),"Fix")))</f>
        <v xml:space="preserve"> </v>
      </c>
      <c r="M849" s="4" t="str">
        <f ca="1">IF(OR(INDEX($X$2:$X$1001,MATCH(ROWS($W$2:W849),$W$2:$W$1001,0),1)&gt;=100000,INDEX($AD$1005:$AU$1005,1,MATCH(COLUMNS($AD$1006:AO1006),$AD$1006:$AU$1006,0))&gt;=100000), " ",IF(INDEX($AD$2:$AU$1001,MATCH(ROWS($W$2:W849),$W$2:$W$1001,0),MATCH(COLUMNS($AD$1006:AO1006),$AD$1006:$AU$1006,0)), HYPERLINK("#",""), HYPERLINK(CONCATENATE("#metadata!", ADDRESS(INDEX($Y$2:$Y$1001,MATCH(ROWS($W$2:W849),$W$2:$W$1001,0),0), INDEX($AD$1004:$AU$1004,1,MATCH(COLUMNS($AD$1006:AO1006),$AD$1006:$AU$1006,0)))),"Fix")))</f>
        <v xml:space="preserve"> </v>
      </c>
      <c r="N849" s="4" t="str">
        <f ca="1">IF(OR(INDEX($X$2:$X$1001,MATCH(ROWS($W$2:W849),$W$2:$W$1001,0),1)&gt;=100000,INDEX($AD$1005:$AU$1005,1,MATCH(COLUMNS($AD$1006:AP1006),$AD$1006:$AU$1006,0))&gt;=100000), " ",IF(INDEX($AD$2:$AU$1001,MATCH(ROWS($W$2:W849),$W$2:$W$1001,0),MATCH(COLUMNS($AD$1006:AP1006),$AD$1006:$AU$1006,0)), HYPERLINK("#",""), HYPERLINK(CONCATENATE("#metadata!", ADDRESS(INDEX($Y$2:$Y$1001,MATCH(ROWS($W$2:W849),$W$2:$W$1001,0),0), INDEX($AD$1004:$AU$1004,1,MATCH(COLUMNS($AD$1006:AP1006),$AD$1006:$AU$1006,0)))),"Fix")))</f>
        <v xml:space="preserve"> </v>
      </c>
      <c r="O849" s="4" t="str">
        <f ca="1">IF(OR(INDEX($X$2:$X$1001,MATCH(ROWS($W$2:W849),$W$2:$W$1001,0),1)&gt;=100000,INDEX($AD$1005:$AU$1005,1,MATCH(COLUMNS($AD$1006:AQ1006),$AD$1006:$AU$1006,0))&gt;=100000), " ",IF(INDEX($AD$2:$AU$1001,MATCH(ROWS($W$2:W849),$W$2:$W$1001,0),MATCH(COLUMNS($AD$1006:AQ1006),$AD$1006:$AU$1006,0)), HYPERLINK("#",""), HYPERLINK(CONCATENATE("#metadata!", ADDRESS(INDEX($Y$2:$Y$1001,MATCH(ROWS($W$2:W849),$W$2:$W$1001,0),0), INDEX($AD$1004:$AU$1004,1,MATCH(COLUMNS($AD$1006:AQ1006),$AD$1006:$AU$1006,0)))),"Fix")))</f>
        <v xml:space="preserve"> </v>
      </c>
      <c r="P849" s="4" t="str">
        <f ca="1">IF(OR(INDEX($X$2:$X$1001,MATCH(ROWS($W$2:W849),$W$2:$W$1001,0),1)&gt;=100000,INDEX($AD$1005:$AU$1005,1,MATCH(COLUMNS($AD$1006:AR1006),$AD$1006:$AU$1006,0))&gt;=100000), " ",IF(INDEX($AD$2:$AU$1001,MATCH(ROWS($W$2:W849),$W$2:$W$1001,0),MATCH(COLUMNS($AD$1006:AR1006),$AD$1006:$AU$1006,0)), HYPERLINK("#",""), HYPERLINK(CONCATENATE("#metadata!", ADDRESS(INDEX($Y$2:$Y$1001,MATCH(ROWS($W$2:W849),$W$2:$W$1001,0),0), INDEX($AD$1004:$AU$1004,1,MATCH(COLUMNS($AD$1006:AR1006),$AD$1006:$AU$1006,0)))),"Fix")))</f>
        <v xml:space="preserve"> </v>
      </c>
      <c r="Q849" s="4" t="str">
        <f ca="1">IF(OR(INDEX($X$2:$X$1001,MATCH(ROWS($W$2:W849),$W$2:$W$1001,0),1)&gt;=100000,INDEX($AD$1005:$AU$1005,1,MATCH(COLUMNS($AD$1006:AS1006),$AD$1006:$AU$1006,0))&gt;=100000), " ",IF(INDEX($AD$2:$AU$1001,MATCH(ROWS($W$2:W849),$W$2:$W$1001,0),MATCH(COLUMNS($AD$1006:AS1006),$AD$1006:$AU$1006,0)), HYPERLINK("#",""), HYPERLINK(CONCATENATE("#metadata!", ADDRESS(INDEX($Y$2:$Y$1001,MATCH(ROWS($W$2:W849),$W$2:$W$1001,0),0), INDEX($AD$1004:$AU$1004,1,MATCH(COLUMNS($AD$1006:AS1006),$AD$1006:$AU$1006,0)))),"Fix")))</f>
        <v xml:space="preserve"> </v>
      </c>
      <c r="R849" s="4" t="str">
        <f ca="1">IF(OR(INDEX($X$2:$X$1001,MATCH(ROWS($W$2:W849),$W$2:$W$1001,0),1)&gt;=100000,INDEX($AD$1005:$AU$1005,1,MATCH(COLUMNS($AD$1006:AT1006),$AD$1006:$AU$1006,0))&gt;=100000), " ",IF(INDEX($AD$2:$AU$1001,MATCH(ROWS($W$2:W849),$W$2:$W$1001,0),MATCH(COLUMNS($AD$1006:AT1006),$AD$1006:$AU$1006,0)), HYPERLINK("#",""), HYPERLINK(CONCATENATE("#metadata!", ADDRESS(INDEX($Y$2:$Y$1001,MATCH(ROWS($W$2:W849),$W$2:$W$1001,0),0), INDEX($AD$1004:$AU$1004,1,MATCH(COLUMNS($AD$1006:AT1006),$AD$1006:$AU$1006,0)))),"Fix")))</f>
        <v xml:space="preserve"> </v>
      </c>
      <c r="S849" s="4" t="str">
        <f ca="1">IF(OR(INDEX($X$2:$X$1001,MATCH(ROWS($W$2:W849),$W$2:$W$1001,0),1)&gt;=100000,INDEX($AD$1005:$AU$1005,1,MATCH(COLUMNS($AD$1006:AU1006),$AD$1006:$AU$1006,0))&gt;=100000), " ",IF(INDEX($AD$2:$AU$1001,MATCH(ROWS($W$2:W849),$W$2:$W$1001,0),MATCH(COLUMNS($AD$1006:AU1006),$AD$1006:$AU$1006,0)), HYPERLINK("#",""), HYPERLINK(CONCATENATE("#metadata!", ADDRESS(INDEX($Y$2:$Y$1001,MATCH(ROWS($W$2:W849),$W$2:$W$1001,0),0), INDEX($AD$1004:$AU$1004,1,MATCH(COLUMNS($AD$1006:AU1006),$AD$1006:$AU$1006,0)))),"Fix")))</f>
        <v xml:space="preserve"> </v>
      </c>
      <c r="W849">
        <v>848</v>
      </c>
      <c r="X849">
        <v>100849</v>
      </c>
      <c r="Y849">
        <v>849</v>
      </c>
      <c r="Z849" t="b">
        <f t="shared" si="13"/>
        <v>1</v>
      </c>
      <c r="AA849" t="b">
        <f>COUNTBLANK(metadata!B849:S849)=COLUMNS(metadata!B849:S849)</f>
        <v>1</v>
      </c>
      <c r="AB849" t="str">
        <v/>
      </c>
      <c r="AD849" t="b">
        <f ca="1">AND(IF(metadata!B849="",FALSE,TRUE),COUNTIF(metadata!B:B, metadata!B849) = 1,NOT(ISERROR(SUMPRODUCT(SEARCH(MID(metadata!B849,ROW(INDIRECT("1:"&amp;LEN(metadata!B849))), 1),"0123456789abcdefghijklmnopqrstuvwxyzABCDEFGHIJKLMNOPQRSTUVWXYZ.")))))</f>
        <v>0</v>
      </c>
      <c r="AE849" t="b">
        <f>OR(AND(IF(metadata!C849="",FALSE,TRUE),OR(EXACT(metadata!C849,"not applicable"),EXACT(metadata!C849,"missing: not collected"),EXACT(metadata!C849,"missing: not provided"),EXACT(metadata!C849,"missing: restricted access"))),AND(IF(metadata!C849="",FALSE,ISNUMBER(VALUE(metadata!C849))),metadata!C849&gt;0))</f>
        <v>0</v>
      </c>
      <c r="AF849" t="b">
        <f>AND(IF(metadata!D849="",FALSE,TRUE),EXACT(metadata!D849,"missing: not provided"))</f>
        <v>0</v>
      </c>
      <c r="AG849" t="b">
        <f>AND(IF(metadata!E849="",FALSE,TRUE),EXACT(metadata!E849,"Host-associated"))</f>
        <v>0</v>
      </c>
      <c r="AH849" t="b">
        <f>AND(IF(metadata!F849="",FALSE,TRUE),OR(EXACT(metadata!F849,"Animal"),EXACT(metadata!F849,"Fungus"),EXACT(metadata!F849,"Plant")))</f>
        <v>0</v>
      </c>
      <c r="AI849" t="b">
        <f>AND(IF(metadata!G849="",FALSE,TRUE),OR(EXACT(metadata!G849,"Plant secretion"),EXACT(metadata!G849,"Plant rhizosphere"),EXACT(metadata!G849,"Plant surface"),EXACT(metadata!G849,"Plant corpus"),EXACT(metadata!G849,"Fungus surface"),EXACT(metadata!G849,"Fungus corpus"),EXACT(metadata!G849,"Animal surface"),EXACT(metadata!G849,"Animal proximal gut"),EXACT(metadata!G849,"Animal corpus"),EXACT(metadata!G849,"Animal distal gut"),EXACT(metadata!G849,"Animal secretion")))</f>
        <v>0</v>
      </c>
      <c r="AJ849" t="b">
        <f>OR(AND(IF(metadata!H849="",FALSE,TRUE),OR(EXACT(metadata!H849,"missing: not collected"),EXACT(metadata!H849,"missing: not provided"),EXACT(metadata!H849,"missing: restricted access"))),AND(IF(metadata!H849="",FALSE,TRUE),OR(EXACT(metadata!H849,"organism-associated habitat"),EXACT(metadata!H849,"plant-associated habitat"),EXACT(metadata!H849,"animal-associated habitat"),EXACT(metadata!H849,"insecta-associated habitat"),EXACT(metadata!H849,"mammalia-associated habitat"),EXACT(metadata!H849,"human-associated habitat"),EXACT(metadata!H849,"livestock-associated habitat"))))</f>
        <v>0</v>
      </c>
      <c r="AK849" t="b">
        <f>AND(IF(metadata!I849="",FALSE,TRUE),EXACT(metadata!I849,"host-associated"))</f>
        <v>0</v>
      </c>
      <c r="AL849" t="b">
        <f>OR(AND(IF(metadata!J849="",FALSE,TRUE),OR(EXACT(metadata!J849,"not applicable"),EXACT(metadata!J849,"missing: not collected"),EXACT(metadata!J849,"missing: not provided"),EXACT(metadata!J849,"missing: restricted access"))),AND(IF(metadata!J849="",FALSE,ISNUMBER(VALUE(metadata!J849))),metadata!J849&gt;0))</f>
        <v>0</v>
      </c>
      <c r="AM849" t="b">
        <f>AND(IF(metadata!K849="",FALSE,TRUE),EXACT(metadata!K849,"missing: not provided"))</f>
        <v>0</v>
      </c>
      <c r="AN849" t="b">
        <f>IF(metadata!L849="",FALSE,TRUE)</f>
        <v>0</v>
      </c>
      <c r="AO849" t="b">
        <f>IF(metadata!M849="",FALSE,TRUE)</f>
        <v>0</v>
      </c>
      <c r="AP849" t="b">
        <f>OR(AND(IF(metadata!N849="",FALSE,TRUE),OR(EXACT(metadata!N849,"not applicable"),EXACT(metadata!N849,"missing: not collected"),EXACT(metadata!N849,"missing: not provided"))),AND(IF(metadata!N849="",FALSE,IF(ISERROR(INT(metadata!N849)),FALSE,INT(metadata!N849)=metadata!N849)),metadata!N849&gt;0))</f>
        <v>0</v>
      </c>
      <c r="AQ849" t="b">
        <f>AND(IF(metadata!O849="",FALSE,TRUE),EXACT(metadata!O849,"Not applicable"))</f>
        <v>0</v>
      </c>
      <c r="AR849" t="b">
        <f>OR(AND(IF(metadata!P849="",FALSE,TRUE),OR(EXACT(metadata!P849,"not applicable"),EXACT(metadata!P849,"missing: not collected"),EXACT(metadata!P849,"missing: not provided"),EXACT(metadata!P849,"missing: restricted access"))),IF(metadata!P849="",FALSE,IF(ISERROR(INT(metadata!P849)),FALSE,INT(metadata!P849)=metadata!P849)))</f>
        <v>0</v>
      </c>
      <c r="AS849" t="b">
        <f>AND(IF(metadata!Q849="",FALSE,TRUE),EXACT(metadata!Q849,"Not applicable"))</f>
        <v>0</v>
      </c>
      <c r="AT849" t="b">
        <f>OR(AND(IF(metadata!R849="",FALSE,TRUE),OR(EXACT(metadata!R849,"not applicable"),EXACT(metadata!R849,"missing: not collected"),EXACT(metadata!R849,"missing: not provided"),EXACT(metadata!R849,"missing: restricted access"))),AND(IF(metadata!R849="",FALSE,ISNUMBER(VALUE(metadata!R849))),metadata!R849&gt;0))</f>
        <v>0</v>
      </c>
      <c r="AU849" t="b">
        <f>AND(IF(metadata!S849="",FALSE,TRUE),EXACT(metadata!S849,"missing: not provided"))</f>
        <v>0</v>
      </c>
    </row>
    <row r="850" spans="1:47" x14ac:dyDescent="0.2">
      <c r="A850" s="5" t="str">
        <f ca="1">IF(B850=" "," ",HYPERLINK(CONCATENATE("#metadata!",ADDRESS(INDEX($Y$2:$Y$1001,MATCH(ROWS($W$2:W850),$W$2:$W$1001,0),0),1)),INDEX($AB$2:$AB$1001,MATCH(ROWS($W$2:W850),$W$2:$W$1001,0),0)))</f>
        <v xml:space="preserve"> </v>
      </c>
      <c r="B850" s="4" t="str">
        <f ca="1">IF(OR(INDEX($X$2:$X$1001,MATCH(ROWS($W$2:W850),$W$2:$W$1001,0),1)&gt;=100000,INDEX($AD$1005:$AU$1005,1,MATCH(COLUMNS($AD$1006:AD1006),$AD$1006:$AU$1006,0))&gt;=100000), " ",IF(INDEX($AD$2:$AU$1001,MATCH(ROWS($W$2:W850),$W$2:$W$1001,0),MATCH(COLUMNS($AD$1006:AD1006),$AD$1006:$AU$1006,0)), HYPERLINK("#",""), HYPERLINK(CONCATENATE("#metadata!", ADDRESS(INDEX($Y$2:$Y$1001,MATCH(ROWS($W$2:W850),$W$2:$W$1001,0),0), INDEX($AD$1004:$AU$1004,1,MATCH(COLUMNS($AD$1006:AD1006),$AD$1006:$AU$1006,0)))),"Fix")))</f>
        <v xml:space="preserve"> </v>
      </c>
      <c r="C850" s="4" t="str">
        <f ca="1">IF(OR(INDEX($X$2:$X$1001,MATCH(ROWS($W$2:W850),$W$2:$W$1001,0),1)&gt;=100000,INDEX($AD$1005:$AU$1005,1,MATCH(COLUMNS($AD$1006:AE1006),$AD$1006:$AU$1006,0))&gt;=100000), " ",IF(INDEX($AD$2:$AU$1001,MATCH(ROWS($W$2:W850),$W$2:$W$1001,0),MATCH(COLUMNS($AD$1006:AE1006),$AD$1006:$AU$1006,0)), HYPERLINK("#",""), HYPERLINK(CONCATENATE("#metadata!", ADDRESS(INDEX($Y$2:$Y$1001,MATCH(ROWS($W$2:W850),$W$2:$W$1001,0),0), INDEX($AD$1004:$AU$1004,1,MATCH(COLUMNS($AD$1006:AE1006),$AD$1006:$AU$1006,0)))),"Fix")))</f>
        <v xml:space="preserve"> </v>
      </c>
      <c r="D850" s="4" t="str">
        <f ca="1">IF(OR(INDEX($X$2:$X$1001,MATCH(ROWS($W$2:W850),$W$2:$W$1001,0),1)&gt;=100000,INDEX($AD$1005:$AU$1005,1,MATCH(COLUMNS($AD$1006:AF1006),$AD$1006:$AU$1006,0))&gt;=100000), " ",IF(INDEX($AD$2:$AU$1001,MATCH(ROWS($W$2:W850),$W$2:$W$1001,0),MATCH(COLUMNS($AD$1006:AF1006),$AD$1006:$AU$1006,0)), HYPERLINK("#",""), HYPERLINK(CONCATENATE("#metadata!", ADDRESS(INDEX($Y$2:$Y$1001,MATCH(ROWS($W$2:W850),$W$2:$W$1001,0),0), INDEX($AD$1004:$AU$1004,1,MATCH(COLUMNS($AD$1006:AF1006),$AD$1006:$AU$1006,0)))),"Fix")))</f>
        <v xml:space="preserve"> </v>
      </c>
      <c r="E850" s="4" t="str">
        <f ca="1">IF(OR(INDEX($X$2:$X$1001,MATCH(ROWS($W$2:W850),$W$2:$W$1001,0),1)&gt;=100000,INDEX($AD$1005:$AU$1005,1,MATCH(COLUMNS($AD$1006:AG1006),$AD$1006:$AU$1006,0))&gt;=100000), " ",IF(INDEX($AD$2:$AU$1001,MATCH(ROWS($W$2:W850),$W$2:$W$1001,0),MATCH(COLUMNS($AD$1006:AG1006),$AD$1006:$AU$1006,0)), HYPERLINK("#",""), HYPERLINK(CONCATENATE("#metadata!", ADDRESS(INDEX($Y$2:$Y$1001,MATCH(ROWS($W$2:W850),$W$2:$W$1001,0),0), INDEX($AD$1004:$AU$1004,1,MATCH(COLUMNS($AD$1006:AG1006),$AD$1006:$AU$1006,0)))),"Fix")))</f>
        <v xml:space="preserve"> </v>
      </c>
      <c r="F850" s="4" t="str">
        <f ca="1">IF(OR(INDEX($X$2:$X$1001,MATCH(ROWS($W$2:W850),$W$2:$W$1001,0),1)&gt;=100000,INDEX($AD$1005:$AU$1005,1,MATCH(COLUMNS($AD$1006:AH1006),$AD$1006:$AU$1006,0))&gt;=100000), " ",IF(INDEX($AD$2:$AU$1001,MATCH(ROWS($W$2:W850),$W$2:$W$1001,0),MATCH(COLUMNS($AD$1006:AH1006),$AD$1006:$AU$1006,0)), HYPERLINK("#",""), HYPERLINK(CONCATENATE("#metadata!", ADDRESS(INDEX($Y$2:$Y$1001,MATCH(ROWS($W$2:W850),$W$2:$W$1001,0),0), INDEX($AD$1004:$AU$1004,1,MATCH(COLUMNS($AD$1006:AH1006),$AD$1006:$AU$1006,0)))),"Fix")))</f>
        <v xml:space="preserve"> </v>
      </c>
      <c r="G850" s="4" t="str">
        <f ca="1">IF(OR(INDEX($X$2:$X$1001,MATCH(ROWS($W$2:W850),$W$2:$W$1001,0),1)&gt;=100000,INDEX($AD$1005:$AU$1005,1,MATCH(COLUMNS($AD$1006:AI1006),$AD$1006:$AU$1006,0))&gt;=100000), " ",IF(INDEX($AD$2:$AU$1001,MATCH(ROWS($W$2:W850),$W$2:$W$1001,0),MATCH(COLUMNS($AD$1006:AI1006),$AD$1006:$AU$1006,0)), HYPERLINK("#",""), HYPERLINK(CONCATENATE("#metadata!", ADDRESS(INDEX($Y$2:$Y$1001,MATCH(ROWS($W$2:W850),$W$2:$W$1001,0),0), INDEX($AD$1004:$AU$1004,1,MATCH(COLUMNS($AD$1006:AI1006),$AD$1006:$AU$1006,0)))),"Fix")))</f>
        <v xml:space="preserve"> </v>
      </c>
      <c r="H850" s="4" t="str">
        <f ca="1">IF(OR(INDEX($X$2:$X$1001,MATCH(ROWS($W$2:W850),$W$2:$W$1001,0),1)&gt;=100000,INDEX($AD$1005:$AU$1005,1,MATCH(COLUMNS($AD$1006:AJ1006),$AD$1006:$AU$1006,0))&gt;=100000), " ",IF(INDEX($AD$2:$AU$1001,MATCH(ROWS($W$2:W850),$W$2:$W$1001,0),MATCH(COLUMNS($AD$1006:AJ1006),$AD$1006:$AU$1006,0)), HYPERLINK("#",""), HYPERLINK(CONCATENATE("#metadata!", ADDRESS(INDEX($Y$2:$Y$1001,MATCH(ROWS($W$2:W850),$W$2:$W$1001,0),0), INDEX($AD$1004:$AU$1004,1,MATCH(COLUMNS($AD$1006:AJ1006),$AD$1006:$AU$1006,0)))),"Fix")))</f>
        <v xml:space="preserve"> </v>
      </c>
      <c r="I850" s="4" t="str">
        <f ca="1">IF(OR(INDEX($X$2:$X$1001,MATCH(ROWS($W$2:W850),$W$2:$W$1001,0),1)&gt;=100000,INDEX($AD$1005:$AU$1005,1,MATCH(COLUMNS($AD$1006:AK1006),$AD$1006:$AU$1006,0))&gt;=100000), " ",IF(INDEX($AD$2:$AU$1001,MATCH(ROWS($W$2:W850),$W$2:$W$1001,0),MATCH(COLUMNS($AD$1006:AK1006),$AD$1006:$AU$1006,0)), HYPERLINK("#",""), HYPERLINK(CONCATENATE("#metadata!", ADDRESS(INDEX($Y$2:$Y$1001,MATCH(ROWS($W$2:W850),$W$2:$W$1001,0),0), INDEX($AD$1004:$AU$1004,1,MATCH(COLUMNS($AD$1006:AK1006),$AD$1006:$AU$1006,0)))),"Fix")))</f>
        <v xml:space="preserve"> </v>
      </c>
      <c r="J850" s="4" t="str">
        <f ca="1">IF(OR(INDEX($X$2:$X$1001,MATCH(ROWS($W$2:W850),$W$2:$W$1001,0),1)&gt;=100000,INDEX($AD$1005:$AU$1005,1,MATCH(COLUMNS($AD$1006:AL1006),$AD$1006:$AU$1006,0))&gt;=100000), " ",IF(INDEX($AD$2:$AU$1001,MATCH(ROWS($W$2:W850),$W$2:$W$1001,0),MATCH(COLUMNS($AD$1006:AL1006),$AD$1006:$AU$1006,0)), HYPERLINK("#",""), HYPERLINK(CONCATENATE("#metadata!", ADDRESS(INDEX($Y$2:$Y$1001,MATCH(ROWS($W$2:W850),$W$2:$W$1001,0),0), INDEX($AD$1004:$AU$1004,1,MATCH(COLUMNS($AD$1006:AL1006),$AD$1006:$AU$1006,0)))),"Fix")))</f>
        <v xml:space="preserve"> </v>
      </c>
      <c r="K850" s="4" t="str">
        <f ca="1">IF(OR(INDEX($X$2:$X$1001,MATCH(ROWS($W$2:W850),$W$2:$W$1001,0),1)&gt;=100000,INDEX($AD$1005:$AU$1005,1,MATCH(COLUMNS($AD$1006:AM1006),$AD$1006:$AU$1006,0))&gt;=100000), " ",IF(INDEX($AD$2:$AU$1001,MATCH(ROWS($W$2:W850),$W$2:$W$1001,0),MATCH(COLUMNS($AD$1006:AM1006),$AD$1006:$AU$1006,0)), HYPERLINK("#",""), HYPERLINK(CONCATENATE("#metadata!", ADDRESS(INDEX($Y$2:$Y$1001,MATCH(ROWS($W$2:W850),$W$2:$W$1001,0),0), INDEX($AD$1004:$AU$1004,1,MATCH(COLUMNS($AD$1006:AM1006),$AD$1006:$AU$1006,0)))),"Fix")))</f>
        <v xml:space="preserve"> </v>
      </c>
      <c r="L850" s="4" t="str">
        <f ca="1">IF(OR(INDEX($X$2:$X$1001,MATCH(ROWS($W$2:W850),$W$2:$W$1001,0),1)&gt;=100000,INDEX($AD$1005:$AU$1005,1,MATCH(COLUMNS($AD$1006:AN1006),$AD$1006:$AU$1006,0))&gt;=100000), " ",IF(INDEX($AD$2:$AU$1001,MATCH(ROWS($W$2:W850),$W$2:$W$1001,0),MATCH(COLUMNS($AD$1006:AN1006),$AD$1006:$AU$1006,0)), HYPERLINK("#",""), HYPERLINK(CONCATENATE("#metadata!", ADDRESS(INDEX($Y$2:$Y$1001,MATCH(ROWS($W$2:W850),$W$2:$W$1001,0),0), INDEX($AD$1004:$AU$1004,1,MATCH(COLUMNS($AD$1006:AN1006),$AD$1006:$AU$1006,0)))),"Fix")))</f>
        <v xml:space="preserve"> </v>
      </c>
      <c r="M850" s="4" t="str">
        <f ca="1">IF(OR(INDEX($X$2:$X$1001,MATCH(ROWS($W$2:W850),$W$2:$W$1001,0),1)&gt;=100000,INDEX($AD$1005:$AU$1005,1,MATCH(COLUMNS($AD$1006:AO1006),$AD$1006:$AU$1006,0))&gt;=100000), " ",IF(INDEX($AD$2:$AU$1001,MATCH(ROWS($W$2:W850),$W$2:$W$1001,0),MATCH(COLUMNS($AD$1006:AO1006),$AD$1006:$AU$1006,0)), HYPERLINK("#",""), HYPERLINK(CONCATENATE("#metadata!", ADDRESS(INDEX($Y$2:$Y$1001,MATCH(ROWS($W$2:W850),$W$2:$W$1001,0),0), INDEX($AD$1004:$AU$1004,1,MATCH(COLUMNS($AD$1006:AO1006),$AD$1006:$AU$1006,0)))),"Fix")))</f>
        <v xml:space="preserve"> </v>
      </c>
      <c r="N850" s="4" t="str">
        <f ca="1">IF(OR(INDEX($X$2:$X$1001,MATCH(ROWS($W$2:W850),$W$2:$W$1001,0),1)&gt;=100000,INDEX($AD$1005:$AU$1005,1,MATCH(COLUMNS($AD$1006:AP1006),$AD$1006:$AU$1006,0))&gt;=100000), " ",IF(INDEX($AD$2:$AU$1001,MATCH(ROWS($W$2:W850),$W$2:$W$1001,0),MATCH(COLUMNS($AD$1006:AP1006),$AD$1006:$AU$1006,0)), HYPERLINK("#",""), HYPERLINK(CONCATENATE("#metadata!", ADDRESS(INDEX($Y$2:$Y$1001,MATCH(ROWS($W$2:W850),$W$2:$W$1001,0),0), INDEX($AD$1004:$AU$1004,1,MATCH(COLUMNS($AD$1006:AP1006),$AD$1006:$AU$1006,0)))),"Fix")))</f>
        <v xml:space="preserve"> </v>
      </c>
      <c r="O850" s="4" t="str">
        <f ca="1">IF(OR(INDEX($X$2:$X$1001,MATCH(ROWS($W$2:W850),$W$2:$W$1001,0),1)&gt;=100000,INDEX($AD$1005:$AU$1005,1,MATCH(COLUMNS($AD$1006:AQ1006),$AD$1006:$AU$1006,0))&gt;=100000), " ",IF(INDEX($AD$2:$AU$1001,MATCH(ROWS($W$2:W850),$W$2:$W$1001,0),MATCH(COLUMNS($AD$1006:AQ1006),$AD$1006:$AU$1006,0)), HYPERLINK("#",""), HYPERLINK(CONCATENATE("#metadata!", ADDRESS(INDEX($Y$2:$Y$1001,MATCH(ROWS($W$2:W850),$W$2:$W$1001,0),0), INDEX($AD$1004:$AU$1004,1,MATCH(COLUMNS($AD$1006:AQ1006),$AD$1006:$AU$1006,0)))),"Fix")))</f>
        <v xml:space="preserve"> </v>
      </c>
      <c r="P850" s="4" t="str">
        <f ca="1">IF(OR(INDEX($X$2:$X$1001,MATCH(ROWS($W$2:W850),$W$2:$W$1001,0),1)&gt;=100000,INDEX($AD$1005:$AU$1005,1,MATCH(COLUMNS($AD$1006:AR1006),$AD$1006:$AU$1006,0))&gt;=100000), " ",IF(INDEX($AD$2:$AU$1001,MATCH(ROWS($W$2:W850),$W$2:$W$1001,0),MATCH(COLUMNS($AD$1006:AR1006),$AD$1006:$AU$1006,0)), HYPERLINK("#",""), HYPERLINK(CONCATENATE("#metadata!", ADDRESS(INDEX($Y$2:$Y$1001,MATCH(ROWS($W$2:W850),$W$2:$W$1001,0),0), INDEX($AD$1004:$AU$1004,1,MATCH(COLUMNS($AD$1006:AR1006),$AD$1006:$AU$1006,0)))),"Fix")))</f>
        <v xml:space="preserve"> </v>
      </c>
      <c r="Q850" s="4" t="str">
        <f ca="1">IF(OR(INDEX($X$2:$X$1001,MATCH(ROWS($W$2:W850),$W$2:$W$1001,0),1)&gt;=100000,INDEX($AD$1005:$AU$1005,1,MATCH(COLUMNS($AD$1006:AS1006),$AD$1006:$AU$1006,0))&gt;=100000), " ",IF(INDEX($AD$2:$AU$1001,MATCH(ROWS($W$2:W850),$W$2:$W$1001,0),MATCH(COLUMNS($AD$1006:AS1006),$AD$1006:$AU$1006,0)), HYPERLINK("#",""), HYPERLINK(CONCATENATE("#metadata!", ADDRESS(INDEX($Y$2:$Y$1001,MATCH(ROWS($W$2:W850),$W$2:$W$1001,0),0), INDEX($AD$1004:$AU$1004,1,MATCH(COLUMNS($AD$1006:AS1006),$AD$1006:$AU$1006,0)))),"Fix")))</f>
        <v xml:space="preserve"> </v>
      </c>
      <c r="R850" s="4" t="str">
        <f ca="1">IF(OR(INDEX($X$2:$X$1001,MATCH(ROWS($W$2:W850),$W$2:$W$1001,0),1)&gt;=100000,INDEX($AD$1005:$AU$1005,1,MATCH(COLUMNS($AD$1006:AT1006),$AD$1006:$AU$1006,0))&gt;=100000), " ",IF(INDEX($AD$2:$AU$1001,MATCH(ROWS($W$2:W850),$W$2:$W$1001,0),MATCH(COLUMNS($AD$1006:AT1006),$AD$1006:$AU$1006,0)), HYPERLINK("#",""), HYPERLINK(CONCATENATE("#metadata!", ADDRESS(INDEX($Y$2:$Y$1001,MATCH(ROWS($W$2:W850),$W$2:$W$1001,0),0), INDEX($AD$1004:$AU$1004,1,MATCH(COLUMNS($AD$1006:AT1006),$AD$1006:$AU$1006,0)))),"Fix")))</f>
        <v xml:space="preserve"> </v>
      </c>
      <c r="S850" s="4" t="str">
        <f ca="1">IF(OR(INDEX($X$2:$X$1001,MATCH(ROWS($W$2:W850),$W$2:$W$1001,0),1)&gt;=100000,INDEX($AD$1005:$AU$1005,1,MATCH(COLUMNS($AD$1006:AU1006),$AD$1006:$AU$1006,0))&gt;=100000), " ",IF(INDEX($AD$2:$AU$1001,MATCH(ROWS($W$2:W850),$W$2:$W$1001,0),MATCH(COLUMNS($AD$1006:AU1006),$AD$1006:$AU$1006,0)), HYPERLINK("#",""), HYPERLINK(CONCATENATE("#metadata!", ADDRESS(INDEX($Y$2:$Y$1001,MATCH(ROWS($W$2:W850),$W$2:$W$1001,0),0), INDEX($AD$1004:$AU$1004,1,MATCH(COLUMNS($AD$1006:AU1006),$AD$1006:$AU$1006,0)))),"Fix")))</f>
        <v xml:space="preserve"> </v>
      </c>
      <c r="W850">
        <v>849</v>
      </c>
      <c r="X850">
        <v>100850</v>
      </c>
      <c r="Y850">
        <v>850</v>
      </c>
      <c r="Z850" t="b">
        <f t="shared" si="13"/>
        <v>1</v>
      </c>
      <c r="AA850" t="b">
        <f>COUNTBLANK(metadata!B850:S850)=COLUMNS(metadata!B850:S850)</f>
        <v>1</v>
      </c>
      <c r="AB850" t="str">
        <v/>
      </c>
      <c r="AD850" t="b">
        <f ca="1">AND(IF(metadata!B850="",FALSE,TRUE),COUNTIF(metadata!B:B, metadata!B850) = 1,NOT(ISERROR(SUMPRODUCT(SEARCH(MID(metadata!B850,ROW(INDIRECT("1:"&amp;LEN(metadata!B850))), 1),"0123456789abcdefghijklmnopqrstuvwxyzABCDEFGHIJKLMNOPQRSTUVWXYZ.")))))</f>
        <v>0</v>
      </c>
      <c r="AE850" t="b">
        <f>OR(AND(IF(metadata!C850="",FALSE,TRUE),OR(EXACT(metadata!C850,"not applicable"),EXACT(metadata!C850,"missing: not collected"),EXACT(metadata!C850,"missing: not provided"),EXACT(metadata!C850,"missing: restricted access"))),AND(IF(metadata!C850="",FALSE,ISNUMBER(VALUE(metadata!C850))),metadata!C850&gt;0))</f>
        <v>0</v>
      </c>
      <c r="AF850" t="b">
        <f>AND(IF(metadata!D850="",FALSE,TRUE),EXACT(metadata!D850,"missing: not provided"))</f>
        <v>0</v>
      </c>
      <c r="AG850" t="b">
        <f>AND(IF(metadata!E850="",FALSE,TRUE),EXACT(metadata!E850,"Host-associated"))</f>
        <v>0</v>
      </c>
      <c r="AH850" t="b">
        <f>AND(IF(metadata!F850="",FALSE,TRUE),OR(EXACT(metadata!F850,"Animal"),EXACT(metadata!F850,"Fungus"),EXACT(metadata!F850,"Plant")))</f>
        <v>0</v>
      </c>
      <c r="AI850" t="b">
        <f>AND(IF(metadata!G850="",FALSE,TRUE),OR(EXACT(metadata!G850,"Plant secretion"),EXACT(metadata!G850,"Plant rhizosphere"),EXACT(metadata!G850,"Plant surface"),EXACT(metadata!G850,"Plant corpus"),EXACT(metadata!G850,"Fungus surface"),EXACT(metadata!G850,"Fungus corpus"),EXACT(metadata!G850,"Animal surface"),EXACT(metadata!G850,"Animal proximal gut"),EXACT(metadata!G850,"Animal corpus"),EXACT(metadata!G850,"Animal distal gut"),EXACT(metadata!G850,"Animal secretion")))</f>
        <v>0</v>
      </c>
      <c r="AJ850" t="b">
        <f>OR(AND(IF(metadata!H850="",FALSE,TRUE),OR(EXACT(metadata!H850,"missing: not collected"),EXACT(metadata!H850,"missing: not provided"),EXACT(metadata!H850,"missing: restricted access"))),AND(IF(metadata!H850="",FALSE,TRUE),OR(EXACT(metadata!H850,"organism-associated habitat"),EXACT(metadata!H850,"plant-associated habitat"),EXACT(metadata!H850,"animal-associated habitat"),EXACT(metadata!H850,"insecta-associated habitat"),EXACT(metadata!H850,"mammalia-associated habitat"),EXACT(metadata!H850,"human-associated habitat"),EXACT(metadata!H850,"livestock-associated habitat"))))</f>
        <v>0</v>
      </c>
      <c r="AK850" t="b">
        <f>AND(IF(metadata!I850="",FALSE,TRUE),EXACT(metadata!I850,"host-associated"))</f>
        <v>0</v>
      </c>
      <c r="AL850" t="b">
        <f>OR(AND(IF(metadata!J850="",FALSE,TRUE),OR(EXACT(metadata!J850,"not applicable"),EXACT(metadata!J850,"missing: not collected"),EXACT(metadata!J850,"missing: not provided"),EXACT(metadata!J850,"missing: restricted access"))),AND(IF(metadata!J850="",FALSE,ISNUMBER(VALUE(metadata!J850))),metadata!J850&gt;0))</f>
        <v>0</v>
      </c>
      <c r="AM850" t="b">
        <f>AND(IF(metadata!K850="",FALSE,TRUE),EXACT(metadata!K850,"missing: not provided"))</f>
        <v>0</v>
      </c>
      <c r="AN850" t="b">
        <f>IF(metadata!L850="",FALSE,TRUE)</f>
        <v>0</v>
      </c>
      <c r="AO850" t="b">
        <f>IF(metadata!M850="",FALSE,TRUE)</f>
        <v>0</v>
      </c>
      <c r="AP850" t="b">
        <f>OR(AND(IF(metadata!N850="",FALSE,TRUE),OR(EXACT(metadata!N850,"not applicable"),EXACT(metadata!N850,"missing: not collected"),EXACT(metadata!N850,"missing: not provided"))),AND(IF(metadata!N850="",FALSE,IF(ISERROR(INT(metadata!N850)),FALSE,INT(metadata!N850)=metadata!N850)),metadata!N850&gt;0))</f>
        <v>0</v>
      </c>
      <c r="AQ850" t="b">
        <f>AND(IF(metadata!O850="",FALSE,TRUE),EXACT(metadata!O850,"Not applicable"))</f>
        <v>0</v>
      </c>
      <c r="AR850" t="b">
        <f>OR(AND(IF(metadata!P850="",FALSE,TRUE),OR(EXACT(metadata!P850,"not applicable"),EXACT(metadata!P850,"missing: not collected"),EXACT(metadata!P850,"missing: not provided"),EXACT(metadata!P850,"missing: restricted access"))),IF(metadata!P850="",FALSE,IF(ISERROR(INT(metadata!P850)),FALSE,INT(metadata!P850)=metadata!P850)))</f>
        <v>0</v>
      </c>
      <c r="AS850" t="b">
        <f>AND(IF(metadata!Q850="",FALSE,TRUE),EXACT(metadata!Q850,"Not applicable"))</f>
        <v>0</v>
      </c>
      <c r="AT850" t="b">
        <f>OR(AND(IF(metadata!R850="",FALSE,TRUE),OR(EXACT(metadata!R850,"not applicable"),EXACT(metadata!R850,"missing: not collected"),EXACT(metadata!R850,"missing: not provided"),EXACT(metadata!R850,"missing: restricted access"))),AND(IF(metadata!R850="",FALSE,ISNUMBER(VALUE(metadata!R850))),metadata!R850&gt;0))</f>
        <v>0</v>
      </c>
      <c r="AU850" t="b">
        <f>AND(IF(metadata!S850="",FALSE,TRUE),EXACT(metadata!S850,"missing: not provided"))</f>
        <v>0</v>
      </c>
    </row>
    <row r="851" spans="1:47" x14ac:dyDescent="0.2">
      <c r="A851" s="5" t="str">
        <f ca="1">IF(B851=" "," ",HYPERLINK(CONCATENATE("#metadata!",ADDRESS(INDEX($Y$2:$Y$1001,MATCH(ROWS($W$2:W851),$W$2:$W$1001,0),0),1)),INDEX($AB$2:$AB$1001,MATCH(ROWS($W$2:W851),$W$2:$W$1001,0),0)))</f>
        <v xml:space="preserve"> </v>
      </c>
      <c r="B851" s="4" t="str">
        <f ca="1">IF(OR(INDEX($X$2:$X$1001,MATCH(ROWS($W$2:W851),$W$2:$W$1001,0),1)&gt;=100000,INDEX($AD$1005:$AU$1005,1,MATCH(COLUMNS($AD$1006:AD1006),$AD$1006:$AU$1006,0))&gt;=100000), " ",IF(INDEX($AD$2:$AU$1001,MATCH(ROWS($W$2:W851),$W$2:$W$1001,0),MATCH(COLUMNS($AD$1006:AD1006),$AD$1006:$AU$1006,0)), HYPERLINK("#",""), HYPERLINK(CONCATENATE("#metadata!", ADDRESS(INDEX($Y$2:$Y$1001,MATCH(ROWS($W$2:W851),$W$2:$W$1001,0),0), INDEX($AD$1004:$AU$1004,1,MATCH(COLUMNS($AD$1006:AD1006),$AD$1006:$AU$1006,0)))),"Fix")))</f>
        <v xml:space="preserve"> </v>
      </c>
      <c r="C851" s="4" t="str">
        <f ca="1">IF(OR(INDEX($X$2:$X$1001,MATCH(ROWS($W$2:W851),$W$2:$W$1001,0),1)&gt;=100000,INDEX($AD$1005:$AU$1005,1,MATCH(COLUMNS($AD$1006:AE1006),$AD$1006:$AU$1006,0))&gt;=100000), " ",IF(INDEX($AD$2:$AU$1001,MATCH(ROWS($W$2:W851),$W$2:$W$1001,0),MATCH(COLUMNS($AD$1006:AE1006),$AD$1006:$AU$1006,0)), HYPERLINK("#",""), HYPERLINK(CONCATENATE("#metadata!", ADDRESS(INDEX($Y$2:$Y$1001,MATCH(ROWS($W$2:W851),$W$2:$W$1001,0),0), INDEX($AD$1004:$AU$1004,1,MATCH(COLUMNS($AD$1006:AE1006),$AD$1006:$AU$1006,0)))),"Fix")))</f>
        <v xml:space="preserve"> </v>
      </c>
      <c r="D851" s="4" t="str">
        <f ca="1">IF(OR(INDEX($X$2:$X$1001,MATCH(ROWS($W$2:W851),$W$2:$W$1001,0),1)&gt;=100000,INDEX($AD$1005:$AU$1005,1,MATCH(COLUMNS($AD$1006:AF1006),$AD$1006:$AU$1006,0))&gt;=100000), " ",IF(INDEX($AD$2:$AU$1001,MATCH(ROWS($W$2:W851),$W$2:$W$1001,0),MATCH(COLUMNS($AD$1006:AF1006),$AD$1006:$AU$1006,0)), HYPERLINK("#",""), HYPERLINK(CONCATENATE("#metadata!", ADDRESS(INDEX($Y$2:$Y$1001,MATCH(ROWS($W$2:W851),$W$2:$W$1001,0),0), INDEX($AD$1004:$AU$1004,1,MATCH(COLUMNS($AD$1006:AF1006),$AD$1006:$AU$1006,0)))),"Fix")))</f>
        <v xml:space="preserve"> </v>
      </c>
      <c r="E851" s="4" t="str">
        <f ca="1">IF(OR(INDEX($X$2:$X$1001,MATCH(ROWS($W$2:W851),$W$2:$W$1001,0),1)&gt;=100000,INDEX($AD$1005:$AU$1005,1,MATCH(COLUMNS($AD$1006:AG1006),$AD$1006:$AU$1006,0))&gt;=100000), " ",IF(INDEX($AD$2:$AU$1001,MATCH(ROWS($W$2:W851),$W$2:$W$1001,0),MATCH(COLUMNS($AD$1006:AG1006),$AD$1006:$AU$1006,0)), HYPERLINK("#",""), HYPERLINK(CONCATENATE("#metadata!", ADDRESS(INDEX($Y$2:$Y$1001,MATCH(ROWS($W$2:W851),$W$2:$W$1001,0),0), INDEX($AD$1004:$AU$1004,1,MATCH(COLUMNS($AD$1006:AG1006),$AD$1006:$AU$1006,0)))),"Fix")))</f>
        <v xml:space="preserve"> </v>
      </c>
      <c r="F851" s="4" t="str">
        <f ca="1">IF(OR(INDEX($X$2:$X$1001,MATCH(ROWS($W$2:W851),$W$2:$W$1001,0),1)&gt;=100000,INDEX($AD$1005:$AU$1005,1,MATCH(COLUMNS($AD$1006:AH1006),$AD$1006:$AU$1006,0))&gt;=100000), " ",IF(INDEX($AD$2:$AU$1001,MATCH(ROWS($W$2:W851),$W$2:$W$1001,0),MATCH(COLUMNS($AD$1006:AH1006),$AD$1006:$AU$1006,0)), HYPERLINK("#",""), HYPERLINK(CONCATENATE("#metadata!", ADDRESS(INDEX($Y$2:$Y$1001,MATCH(ROWS($W$2:W851),$W$2:$W$1001,0),0), INDEX($AD$1004:$AU$1004,1,MATCH(COLUMNS($AD$1006:AH1006),$AD$1006:$AU$1006,0)))),"Fix")))</f>
        <v xml:space="preserve"> </v>
      </c>
      <c r="G851" s="4" t="str">
        <f ca="1">IF(OR(INDEX($X$2:$X$1001,MATCH(ROWS($W$2:W851),$W$2:$W$1001,0),1)&gt;=100000,INDEX($AD$1005:$AU$1005,1,MATCH(COLUMNS($AD$1006:AI1006),$AD$1006:$AU$1006,0))&gt;=100000), " ",IF(INDEX($AD$2:$AU$1001,MATCH(ROWS($W$2:W851),$W$2:$W$1001,0),MATCH(COLUMNS($AD$1006:AI1006),$AD$1006:$AU$1006,0)), HYPERLINK("#",""), HYPERLINK(CONCATENATE("#metadata!", ADDRESS(INDEX($Y$2:$Y$1001,MATCH(ROWS($W$2:W851),$W$2:$W$1001,0),0), INDEX($AD$1004:$AU$1004,1,MATCH(COLUMNS($AD$1006:AI1006),$AD$1006:$AU$1006,0)))),"Fix")))</f>
        <v xml:space="preserve"> </v>
      </c>
      <c r="H851" s="4" t="str">
        <f ca="1">IF(OR(INDEX($X$2:$X$1001,MATCH(ROWS($W$2:W851),$W$2:$W$1001,0),1)&gt;=100000,INDEX($AD$1005:$AU$1005,1,MATCH(COLUMNS($AD$1006:AJ1006),$AD$1006:$AU$1006,0))&gt;=100000), " ",IF(INDEX($AD$2:$AU$1001,MATCH(ROWS($W$2:W851),$W$2:$W$1001,0),MATCH(COLUMNS($AD$1006:AJ1006),$AD$1006:$AU$1006,0)), HYPERLINK("#",""), HYPERLINK(CONCATENATE("#metadata!", ADDRESS(INDEX($Y$2:$Y$1001,MATCH(ROWS($W$2:W851),$W$2:$W$1001,0),0), INDEX($AD$1004:$AU$1004,1,MATCH(COLUMNS($AD$1006:AJ1006),$AD$1006:$AU$1006,0)))),"Fix")))</f>
        <v xml:space="preserve"> </v>
      </c>
      <c r="I851" s="4" t="str">
        <f ca="1">IF(OR(INDEX($X$2:$X$1001,MATCH(ROWS($W$2:W851),$W$2:$W$1001,0),1)&gt;=100000,INDEX($AD$1005:$AU$1005,1,MATCH(COLUMNS($AD$1006:AK1006),$AD$1006:$AU$1006,0))&gt;=100000), " ",IF(INDEX($AD$2:$AU$1001,MATCH(ROWS($W$2:W851),$W$2:$W$1001,0),MATCH(COLUMNS($AD$1006:AK1006),$AD$1006:$AU$1006,0)), HYPERLINK("#",""), HYPERLINK(CONCATENATE("#metadata!", ADDRESS(INDEX($Y$2:$Y$1001,MATCH(ROWS($W$2:W851),$W$2:$W$1001,0),0), INDEX($AD$1004:$AU$1004,1,MATCH(COLUMNS($AD$1006:AK1006),$AD$1006:$AU$1006,0)))),"Fix")))</f>
        <v xml:space="preserve"> </v>
      </c>
      <c r="J851" s="4" t="str">
        <f ca="1">IF(OR(INDEX($X$2:$X$1001,MATCH(ROWS($W$2:W851),$W$2:$W$1001,0),1)&gt;=100000,INDEX($AD$1005:$AU$1005,1,MATCH(COLUMNS($AD$1006:AL1006),$AD$1006:$AU$1006,0))&gt;=100000), " ",IF(INDEX($AD$2:$AU$1001,MATCH(ROWS($W$2:W851),$W$2:$W$1001,0),MATCH(COLUMNS($AD$1006:AL1006),$AD$1006:$AU$1006,0)), HYPERLINK("#",""), HYPERLINK(CONCATENATE("#metadata!", ADDRESS(INDEX($Y$2:$Y$1001,MATCH(ROWS($W$2:W851),$W$2:$W$1001,0),0), INDEX($AD$1004:$AU$1004,1,MATCH(COLUMNS($AD$1006:AL1006),$AD$1006:$AU$1006,0)))),"Fix")))</f>
        <v xml:space="preserve"> </v>
      </c>
      <c r="K851" s="4" t="str">
        <f ca="1">IF(OR(INDEX($X$2:$X$1001,MATCH(ROWS($W$2:W851),$W$2:$W$1001,0),1)&gt;=100000,INDEX($AD$1005:$AU$1005,1,MATCH(COLUMNS($AD$1006:AM1006),$AD$1006:$AU$1006,0))&gt;=100000), " ",IF(INDEX($AD$2:$AU$1001,MATCH(ROWS($W$2:W851),$W$2:$W$1001,0),MATCH(COLUMNS($AD$1006:AM1006),$AD$1006:$AU$1006,0)), HYPERLINK("#",""), HYPERLINK(CONCATENATE("#metadata!", ADDRESS(INDEX($Y$2:$Y$1001,MATCH(ROWS($W$2:W851),$W$2:$W$1001,0),0), INDEX($AD$1004:$AU$1004,1,MATCH(COLUMNS($AD$1006:AM1006),$AD$1006:$AU$1006,0)))),"Fix")))</f>
        <v xml:space="preserve"> </v>
      </c>
      <c r="L851" s="4" t="str">
        <f ca="1">IF(OR(INDEX($X$2:$X$1001,MATCH(ROWS($W$2:W851),$W$2:$W$1001,0),1)&gt;=100000,INDEX($AD$1005:$AU$1005,1,MATCH(COLUMNS($AD$1006:AN1006),$AD$1006:$AU$1006,0))&gt;=100000), " ",IF(INDEX($AD$2:$AU$1001,MATCH(ROWS($W$2:W851),$W$2:$W$1001,0),MATCH(COLUMNS($AD$1006:AN1006),$AD$1006:$AU$1006,0)), HYPERLINK("#",""), HYPERLINK(CONCATENATE("#metadata!", ADDRESS(INDEX($Y$2:$Y$1001,MATCH(ROWS($W$2:W851),$W$2:$W$1001,0),0), INDEX($AD$1004:$AU$1004,1,MATCH(COLUMNS($AD$1006:AN1006),$AD$1006:$AU$1006,0)))),"Fix")))</f>
        <v xml:space="preserve"> </v>
      </c>
      <c r="M851" s="4" t="str">
        <f ca="1">IF(OR(INDEX($X$2:$X$1001,MATCH(ROWS($W$2:W851),$W$2:$W$1001,0),1)&gt;=100000,INDEX($AD$1005:$AU$1005,1,MATCH(COLUMNS($AD$1006:AO1006),$AD$1006:$AU$1006,0))&gt;=100000), " ",IF(INDEX($AD$2:$AU$1001,MATCH(ROWS($W$2:W851),$W$2:$W$1001,0),MATCH(COLUMNS($AD$1006:AO1006),$AD$1006:$AU$1006,0)), HYPERLINK("#",""), HYPERLINK(CONCATENATE("#metadata!", ADDRESS(INDEX($Y$2:$Y$1001,MATCH(ROWS($W$2:W851),$W$2:$W$1001,0),0), INDEX($AD$1004:$AU$1004,1,MATCH(COLUMNS($AD$1006:AO1006),$AD$1006:$AU$1006,0)))),"Fix")))</f>
        <v xml:space="preserve"> </v>
      </c>
      <c r="N851" s="4" t="str">
        <f ca="1">IF(OR(INDEX($X$2:$X$1001,MATCH(ROWS($W$2:W851),$W$2:$W$1001,0),1)&gt;=100000,INDEX($AD$1005:$AU$1005,1,MATCH(COLUMNS($AD$1006:AP1006),$AD$1006:$AU$1006,0))&gt;=100000), " ",IF(INDEX($AD$2:$AU$1001,MATCH(ROWS($W$2:W851),$W$2:$W$1001,0),MATCH(COLUMNS($AD$1006:AP1006),$AD$1006:$AU$1006,0)), HYPERLINK("#",""), HYPERLINK(CONCATENATE("#metadata!", ADDRESS(INDEX($Y$2:$Y$1001,MATCH(ROWS($W$2:W851),$W$2:$W$1001,0),0), INDEX($AD$1004:$AU$1004,1,MATCH(COLUMNS($AD$1006:AP1006),$AD$1006:$AU$1006,0)))),"Fix")))</f>
        <v xml:space="preserve"> </v>
      </c>
      <c r="O851" s="4" t="str">
        <f ca="1">IF(OR(INDEX($X$2:$X$1001,MATCH(ROWS($W$2:W851),$W$2:$W$1001,0),1)&gt;=100000,INDEX($AD$1005:$AU$1005,1,MATCH(COLUMNS($AD$1006:AQ1006),$AD$1006:$AU$1006,0))&gt;=100000), " ",IF(INDEX($AD$2:$AU$1001,MATCH(ROWS($W$2:W851),$W$2:$W$1001,0),MATCH(COLUMNS($AD$1006:AQ1006),$AD$1006:$AU$1006,0)), HYPERLINK("#",""), HYPERLINK(CONCATENATE("#metadata!", ADDRESS(INDEX($Y$2:$Y$1001,MATCH(ROWS($W$2:W851),$W$2:$W$1001,0),0), INDEX($AD$1004:$AU$1004,1,MATCH(COLUMNS($AD$1006:AQ1006),$AD$1006:$AU$1006,0)))),"Fix")))</f>
        <v xml:space="preserve"> </v>
      </c>
      <c r="P851" s="4" t="str">
        <f ca="1">IF(OR(INDEX($X$2:$X$1001,MATCH(ROWS($W$2:W851),$W$2:$W$1001,0),1)&gt;=100000,INDEX($AD$1005:$AU$1005,1,MATCH(COLUMNS($AD$1006:AR1006),$AD$1006:$AU$1006,0))&gt;=100000), " ",IF(INDEX($AD$2:$AU$1001,MATCH(ROWS($W$2:W851),$W$2:$W$1001,0),MATCH(COLUMNS($AD$1006:AR1006),$AD$1006:$AU$1006,0)), HYPERLINK("#",""), HYPERLINK(CONCATENATE("#metadata!", ADDRESS(INDEX($Y$2:$Y$1001,MATCH(ROWS($W$2:W851),$W$2:$W$1001,0),0), INDEX($AD$1004:$AU$1004,1,MATCH(COLUMNS($AD$1006:AR1006),$AD$1006:$AU$1006,0)))),"Fix")))</f>
        <v xml:space="preserve"> </v>
      </c>
      <c r="Q851" s="4" t="str">
        <f ca="1">IF(OR(INDEX($X$2:$X$1001,MATCH(ROWS($W$2:W851),$W$2:$W$1001,0),1)&gt;=100000,INDEX($AD$1005:$AU$1005,1,MATCH(COLUMNS($AD$1006:AS1006),$AD$1006:$AU$1006,0))&gt;=100000), " ",IF(INDEX($AD$2:$AU$1001,MATCH(ROWS($W$2:W851),$W$2:$W$1001,0),MATCH(COLUMNS($AD$1006:AS1006),$AD$1006:$AU$1006,0)), HYPERLINK("#",""), HYPERLINK(CONCATENATE("#metadata!", ADDRESS(INDEX($Y$2:$Y$1001,MATCH(ROWS($W$2:W851),$W$2:$W$1001,0),0), INDEX($AD$1004:$AU$1004,1,MATCH(COLUMNS($AD$1006:AS1006),$AD$1006:$AU$1006,0)))),"Fix")))</f>
        <v xml:space="preserve"> </v>
      </c>
      <c r="R851" s="4" t="str">
        <f ca="1">IF(OR(INDEX($X$2:$X$1001,MATCH(ROWS($W$2:W851),$W$2:$W$1001,0),1)&gt;=100000,INDEX($AD$1005:$AU$1005,1,MATCH(COLUMNS($AD$1006:AT1006),$AD$1006:$AU$1006,0))&gt;=100000), " ",IF(INDEX($AD$2:$AU$1001,MATCH(ROWS($W$2:W851),$W$2:$W$1001,0),MATCH(COLUMNS($AD$1006:AT1006),$AD$1006:$AU$1006,0)), HYPERLINK("#",""), HYPERLINK(CONCATENATE("#metadata!", ADDRESS(INDEX($Y$2:$Y$1001,MATCH(ROWS($W$2:W851),$W$2:$W$1001,0),0), INDEX($AD$1004:$AU$1004,1,MATCH(COLUMNS($AD$1006:AT1006),$AD$1006:$AU$1006,0)))),"Fix")))</f>
        <v xml:space="preserve"> </v>
      </c>
      <c r="S851" s="4" t="str">
        <f ca="1">IF(OR(INDEX($X$2:$X$1001,MATCH(ROWS($W$2:W851),$W$2:$W$1001,0),1)&gt;=100000,INDEX($AD$1005:$AU$1005,1,MATCH(COLUMNS($AD$1006:AU1006),$AD$1006:$AU$1006,0))&gt;=100000), " ",IF(INDEX($AD$2:$AU$1001,MATCH(ROWS($W$2:W851),$W$2:$W$1001,0),MATCH(COLUMNS($AD$1006:AU1006),$AD$1006:$AU$1006,0)), HYPERLINK("#",""), HYPERLINK(CONCATENATE("#metadata!", ADDRESS(INDEX($Y$2:$Y$1001,MATCH(ROWS($W$2:W851),$W$2:$W$1001,0),0), INDEX($AD$1004:$AU$1004,1,MATCH(COLUMNS($AD$1006:AU1006),$AD$1006:$AU$1006,0)))),"Fix")))</f>
        <v xml:space="preserve"> </v>
      </c>
      <c r="W851">
        <v>850</v>
      </c>
      <c r="X851">
        <v>100851</v>
      </c>
      <c r="Y851">
        <v>851</v>
      </c>
      <c r="Z851" t="b">
        <f t="shared" si="13"/>
        <v>1</v>
      </c>
      <c r="AA851" t="b">
        <f>COUNTBLANK(metadata!B851:S851)=COLUMNS(metadata!B851:S851)</f>
        <v>1</v>
      </c>
      <c r="AB851" t="str">
        <v/>
      </c>
      <c r="AD851" t="b">
        <f ca="1">AND(IF(metadata!B851="",FALSE,TRUE),COUNTIF(metadata!B:B, metadata!B851) = 1,NOT(ISERROR(SUMPRODUCT(SEARCH(MID(metadata!B851,ROW(INDIRECT("1:"&amp;LEN(metadata!B851))), 1),"0123456789abcdefghijklmnopqrstuvwxyzABCDEFGHIJKLMNOPQRSTUVWXYZ.")))))</f>
        <v>0</v>
      </c>
      <c r="AE851" t="b">
        <f>OR(AND(IF(metadata!C851="",FALSE,TRUE),OR(EXACT(metadata!C851,"not applicable"),EXACT(metadata!C851,"missing: not collected"),EXACT(metadata!C851,"missing: not provided"),EXACT(metadata!C851,"missing: restricted access"))),AND(IF(metadata!C851="",FALSE,ISNUMBER(VALUE(metadata!C851))),metadata!C851&gt;0))</f>
        <v>0</v>
      </c>
      <c r="AF851" t="b">
        <f>AND(IF(metadata!D851="",FALSE,TRUE),EXACT(metadata!D851,"missing: not provided"))</f>
        <v>0</v>
      </c>
      <c r="AG851" t="b">
        <f>AND(IF(metadata!E851="",FALSE,TRUE),EXACT(metadata!E851,"Host-associated"))</f>
        <v>0</v>
      </c>
      <c r="AH851" t="b">
        <f>AND(IF(metadata!F851="",FALSE,TRUE),OR(EXACT(metadata!F851,"Animal"),EXACT(metadata!F851,"Fungus"),EXACT(metadata!F851,"Plant")))</f>
        <v>0</v>
      </c>
      <c r="AI851" t="b">
        <f>AND(IF(metadata!G851="",FALSE,TRUE),OR(EXACT(metadata!G851,"Plant secretion"),EXACT(metadata!G851,"Plant rhizosphere"),EXACT(metadata!G851,"Plant surface"),EXACT(metadata!G851,"Plant corpus"),EXACT(metadata!G851,"Fungus surface"),EXACT(metadata!G851,"Fungus corpus"),EXACT(metadata!G851,"Animal surface"),EXACT(metadata!G851,"Animal proximal gut"),EXACT(metadata!G851,"Animal corpus"),EXACT(metadata!G851,"Animal distal gut"),EXACT(metadata!G851,"Animal secretion")))</f>
        <v>0</v>
      </c>
      <c r="AJ851" t="b">
        <f>OR(AND(IF(metadata!H851="",FALSE,TRUE),OR(EXACT(metadata!H851,"missing: not collected"),EXACT(metadata!H851,"missing: not provided"),EXACT(metadata!H851,"missing: restricted access"))),AND(IF(metadata!H851="",FALSE,TRUE),OR(EXACT(metadata!H851,"organism-associated habitat"),EXACT(metadata!H851,"plant-associated habitat"),EXACT(metadata!H851,"animal-associated habitat"),EXACT(metadata!H851,"insecta-associated habitat"),EXACT(metadata!H851,"mammalia-associated habitat"),EXACT(metadata!H851,"human-associated habitat"),EXACT(metadata!H851,"livestock-associated habitat"))))</f>
        <v>0</v>
      </c>
      <c r="AK851" t="b">
        <f>AND(IF(metadata!I851="",FALSE,TRUE),EXACT(metadata!I851,"host-associated"))</f>
        <v>0</v>
      </c>
      <c r="AL851" t="b">
        <f>OR(AND(IF(metadata!J851="",FALSE,TRUE),OR(EXACT(metadata!J851,"not applicable"),EXACT(metadata!J851,"missing: not collected"),EXACT(metadata!J851,"missing: not provided"),EXACT(metadata!J851,"missing: restricted access"))),AND(IF(metadata!J851="",FALSE,ISNUMBER(VALUE(metadata!J851))),metadata!J851&gt;0))</f>
        <v>0</v>
      </c>
      <c r="AM851" t="b">
        <f>AND(IF(metadata!K851="",FALSE,TRUE),EXACT(metadata!K851,"missing: not provided"))</f>
        <v>0</v>
      </c>
      <c r="AN851" t="b">
        <f>IF(metadata!L851="",FALSE,TRUE)</f>
        <v>0</v>
      </c>
      <c r="AO851" t="b">
        <f>IF(metadata!M851="",FALSE,TRUE)</f>
        <v>0</v>
      </c>
      <c r="AP851" t="b">
        <f>OR(AND(IF(metadata!N851="",FALSE,TRUE),OR(EXACT(metadata!N851,"not applicable"),EXACT(metadata!N851,"missing: not collected"),EXACT(metadata!N851,"missing: not provided"))),AND(IF(metadata!N851="",FALSE,IF(ISERROR(INT(metadata!N851)),FALSE,INT(metadata!N851)=metadata!N851)),metadata!N851&gt;0))</f>
        <v>0</v>
      </c>
      <c r="AQ851" t="b">
        <f>AND(IF(metadata!O851="",FALSE,TRUE),EXACT(metadata!O851,"Not applicable"))</f>
        <v>0</v>
      </c>
      <c r="AR851" t="b">
        <f>OR(AND(IF(metadata!P851="",FALSE,TRUE),OR(EXACT(metadata!P851,"not applicable"),EXACT(metadata!P851,"missing: not collected"),EXACT(metadata!P851,"missing: not provided"),EXACT(metadata!P851,"missing: restricted access"))),IF(metadata!P851="",FALSE,IF(ISERROR(INT(metadata!P851)),FALSE,INT(metadata!P851)=metadata!P851)))</f>
        <v>0</v>
      </c>
      <c r="AS851" t="b">
        <f>AND(IF(metadata!Q851="",FALSE,TRUE),EXACT(metadata!Q851,"Not applicable"))</f>
        <v>0</v>
      </c>
      <c r="AT851" t="b">
        <f>OR(AND(IF(metadata!R851="",FALSE,TRUE),OR(EXACT(metadata!R851,"not applicable"),EXACT(metadata!R851,"missing: not collected"),EXACT(metadata!R851,"missing: not provided"),EXACT(metadata!R851,"missing: restricted access"))),AND(IF(metadata!R851="",FALSE,ISNUMBER(VALUE(metadata!R851))),metadata!R851&gt;0))</f>
        <v>0</v>
      </c>
      <c r="AU851" t="b">
        <f>AND(IF(metadata!S851="",FALSE,TRUE),EXACT(metadata!S851,"missing: not provided"))</f>
        <v>0</v>
      </c>
    </row>
    <row r="852" spans="1:47" x14ac:dyDescent="0.2">
      <c r="A852" s="5" t="str">
        <f ca="1">IF(B852=" "," ",HYPERLINK(CONCATENATE("#metadata!",ADDRESS(INDEX($Y$2:$Y$1001,MATCH(ROWS($W$2:W852),$W$2:$W$1001,0),0),1)),INDEX($AB$2:$AB$1001,MATCH(ROWS($W$2:W852),$W$2:$W$1001,0),0)))</f>
        <v xml:space="preserve"> </v>
      </c>
      <c r="B852" s="4" t="str">
        <f ca="1">IF(OR(INDEX($X$2:$X$1001,MATCH(ROWS($W$2:W852),$W$2:$W$1001,0),1)&gt;=100000,INDEX($AD$1005:$AU$1005,1,MATCH(COLUMNS($AD$1006:AD1006),$AD$1006:$AU$1006,0))&gt;=100000), " ",IF(INDEX($AD$2:$AU$1001,MATCH(ROWS($W$2:W852),$W$2:$W$1001,0),MATCH(COLUMNS($AD$1006:AD1006),$AD$1006:$AU$1006,0)), HYPERLINK("#",""), HYPERLINK(CONCATENATE("#metadata!", ADDRESS(INDEX($Y$2:$Y$1001,MATCH(ROWS($W$2:W852),$W$2:$W$1001,0),0), INDEX($AD$1004:$AU$1004,1,MATCH(COLUMNS($AD$1006:AD1006),$AD$1006:$AU$1006,0)))),"Fix")))</f>
        <v xml:space="preserve"> </v>
      </c>
      <c r="C852" s="4" t="str">
        <f ca="1">IF(OR(INDEX($X$2:$X$1001,MATCH(ROWS($W$2:W852),$W$2:$W$1001,0),1)&gt;=100000,INDEX($AD$1005:$AU$1005,1,MATCH(COLUMNS($AD$1006:AE1006),$AD$1006:$AU$1006,0))&gt;=100000), " ",IF(INDEX($AD$2:$AU$1001,MATCH(ROWS($W$2:W852),$W$2:$W$1001,0),MATCH(COLUMNS($AD$1006:AE1006),$AD$1006:$AU$1006,0)), HYPERLINK("#",""), HYPERLINK(CONCATENATE("#metadata!", ADDRESS(INDEX($Y$2:$Y$1001,MATCH(ROWS($W$2:W852),$W$2:$W$1001,0),0), INDEX($AD$1004:$AU$1004,1,MATCH(COLUMNS($AD$1006:AE1006),$AD$1006:$AU$1006,0)))),"Fix")))</f>
        <v xml:space="preserve"> </v>
      </c>
      <c r="D852" s="4" t="str">
        <f ca="1">IF(OR(INDEX($X$2:$X$1001,MATCH(ROWS($W$2:W852),$W$2:$W$1001,0),1)&gt;=100000,INDEX($AD$1005:$AU$1005,1,MATCH(COLUMNS($AD$1006:AF1006),$AD$1006:$AU$1006,0))&gt;=100000), " ",IF(INDEX($AD$2:$AU$1001,MATCH(ROWS($W$2:W852),$W$2:$W$1001,0),MATCH(COLUMNS($AD$1006:AF1006),$AD$1006:$AU$1006,0)), HYPERLINK("#",""), HYPERLINK(CONCATENATE("#metadata!", ADDRESS(INDEX($Y$2:$Y$1001,MATCH(ROWS($W$2:W852),$W$2:$W$1001,0),0), INDEX($AD$1004:$AU$1004,1,MATCH(COLUMNS($AD$1006:AF1006),$AD$1006:$AU$1006,0)))),"Fix")))</f>
        <v xml:space="preserve"> </v>
      </c>
      <c r="E852" s="4" t="str">
        <f ca="1">IF(OR(INDEX($X$2:$X$1001,MATCH(ROWS($W$2:W852),$W$2:$W$1001,0),1)&gt;=100000,INDEX($AD$1005:$AU$1005,1,MATCH(COLUMNS($AD$1006:AG1006),$AD$1006:$AU$1006,0))&gt;=100000), " ",IF(INDEX($AD$2:$AU$1001,MATCH(ROWS($W$2:W852),$W$2:$W$1001,0),MATCH(COLUMNS($AD$1006:AG1006),$AD$1006:$AU$1006,0)), HYPERLINK("#",""), HYPERLINK(CONCATENATE("#metadata!", ADDRESS(INDEX($Y$2:$Y$1001,MATCH(ROWS($W$2:W852),$W$2:$W$1001,0),0), INDEX($AD$1004:$AU$1004,1,MATCH(COLUMNS($AD$1006:AG1006),$AD$1006:$AU$1006,0)))),"Fix")))</f>
        <v xml:space="preserve"> </v>
      </c>
      <c r="F852" s="4" t="str">
        <f ca="1">IF(OR(INDEX($X$2:$X$1001,MATCH(ROWS($W$2:W852),$W$2:$W$1001,0),1)&gt;=100000,INDEX($AD$1005:$AU$1005,1,MATCH(COLUMNS($AD$1006:AH1006),$AD$1006:$AU$1006,0))&gt;=100000), " ",IF(INDEX($AD$2:$AU$1001,MATCH(ROWS($W$2:W852),$W$2:$W$1001,0),MATCH(COLUMNS($AD$1006:AH1006),$AD$1006:$AU$1006,0)), HYPERLINK("#",""), HYPERLINK(CONCATENATE("#metadata!", ADDRESS(INDEX($Y$2:$Y$1001,MATCH(ROWS($W$2:W852),$W$2:$W$1001,0),0), INDEX($AD$1004:$AU$1004,1,MATCH(COLUMNS($AD$1006:AH1006),$AD$1006:$AU$1006,0)))),"Fix")))</f>
        <v xml:space="preserve"> </v>
      </c>
      <c r="G852" s="4" t="str">
        <f ca="1">IF(OR(INDEX($X$2:$X$1001,MATCH(ROWS($W$2:W852),$W$2:$W$1001,0),1)&gt;=100000,INDEX($AD$1005:$AU$1005,1,MATCH(COLUMNS($AD$1006:AI1006),$AD$1006:$AU$1006,0))&gt;=100000), " ",IF(INDEX($AD$2:$AU$1001,MATCH(ROWS($W$2:W852),$W$2:$W$1001,0),MATCH(COLUMNS($AD$1006:AI1006),$AD$1006:$AU$1006,0)), HYPERLINK("#",""), HYPERLINK(CONCATENATE("#metadata!", ADDRESS(INDEX($Y$2:$Y$1001,MATCH(ROWS($W$2:W852),$W$2:$W$1001,0),0), INDEX($AD$1004:$AU$1004,1,MATCH(COLUMNS($AD$1006:AI1006),$AD$1006:$AU$1006,0)))),"Fix")))</f>
        <v xml:space="preserve"> </v>
      </c>
      <c r="H852" s="4" t="str">
        <f ca="1">IF(OR(INDEX($X$2:$X$1001,MATCH(ROWS($W$2:W852),$W$2:$W$1001,0),1)&gt;=100000,INDEX($AD$1005:$AU$1005,1,MATCH(COLUMNS($AD$1006:AJ1006),$AD$1006:$AU$1006,0))&gt;=100000), " ",IF(INDEX($AD$2:$AU$1001,MATCH(ROWS($W$2:W852),$W$2:$W$1001,0),MATCH(COLUMNS($AD$1006:AJ1006),$AD$1006:$AU$1006,0)), HYPERLINK("#",""), HYPERLINK(CONCATENATE("#metadata!", ADDRESS(INDEX($Y$2:$Y$1001,MATCH(ROWS($W$2:W852),$W$2:$W$1001,0),0), INDEX($AD$1004:$AU$1004,1,MATCH(COLUMNS($AD$1006:AJ1006),$AD$1006:$AU$1006,0)))),"Fix")))</f>
        <v xml:space="preserve"> </v>
      </c>
      <c r="I852" s="4" t="str">
        <f ca="1">IF(OR(INDEX($X$2:$X$1001,MATCH(ROWS($W$2:W852),$W$2:$W$1001,0),1)&gt;=100000,INDEX($AD$1005:$AU$1005,1,MATCH(COLUMNS($AD$1006:AK1006),$AD$1006:$AU$1006,0))&gt;=100000), " ",IF(INDEX($AD$2:$AU$1001,MATCH(ROWS($W$2:W852),$W$2:$W$1001,0),MATCH(COLUMNS($AD$1006:AK1006),$AD$1006:$AU$1006,0)), HYPERLINK("#",""), HYPERLINK(CONCATENATE("#metadata!", ADDRESS(INDEX($Y$2:$Y$1001,MATCH(ROWS($W$2:W852),$W$2:$W$1001,0),0), INDEX($AD$1004:$AU$1004,1,MATCH(COLUMNS($AD$1006:AK1006),$AD$1006:$AU$1006,0)))),"Fix")))</f>
        <v xml:space="preserve"> </v>
      </c>
      <c r="J852" s="4" t="str">
        <f ca="1">IF(OR(INDEX($X$2:$X$1001,MATCH(ROWS($W$2:W852),$W$2:$W$1001,0),1)&gt;=100000,INDEX($AD$1005:$AU$1005,1,MATCH(COLUMNS($AD$1006:AL1006),$AD$1006:$AU$1006,0))&gt;=100000), " ",IF(INDEX($AD$2:$AU$1001,MATCH(ROWS($W$2:W852),$W$2:$W$1001,0),MATCH(COLUMNS($AD$1006:AL1006),$AD$1006:$AU$1006,0)), HYPERLINK("#",""), HYPERLINK(CONCATENATE("#metadata!", ADDRESS(INDEX($Y$2:$Y$1001,MATCH(ROWS($W$2:W852),$W$2:$W$1001,0),0), INDEX($AD$1004:$AU$1004,1,MATCH(COLUMNS($AD$1006:AL1006),$AD$1006:$AU$1006,0)))),"Fix")))</f>
        <v xml:space="preserve"> </v>
      </c>
      <c r="K852" s="4" t="str">
        <f ca="1">IF(OR(INDEX($X$2:$X$1001,MATCH(ROWS($W$2:W852),$W$2:$W$1001,0),1)&gt;=100000,INDEX($AD$1005:$AU$1005,1,MATCH(COLUMNS($AD$1006:AM1006),$AD$1006:$AU$1006,0))&gt;=100000), " ",IF(INDEX($AD$2:$AU$1001,MATCH(ROWS($W$2:W852),$W$2:$W$1001,0),MATCH(COLUMNS($AD$1006:AM1006),$AD$1006:$AU$1006,0)), HYPERLINK("#",""), HYPERLINK(CONCATENATE("#metadata!", ADDRESS(INDEX($Y$2:$Y$1001,MATCH(ROWS($W$2:W852),$W$2:$W$1001,0),0), INDEX($AD$1004:$AU$1004,1,MATCH(COLUMNS($AD$1006:AM1006),$AD$1006:$AU$1006,0)))),"Fix")))</f>
        <v xml:space="preserve"> </v>
      </c>
      <c r="L852" s="4" t="str">
        <f ca="1">IF(OR(INDEX($X$2:$X$1001,MATCH(ROWS($W$2:W852),$W$2:$W$1001,0),1)&gt;=100000,INDEX($AD$1005:$AU$1005,1,MATCH(COLUMNS($AD$1006:AN1006),$AD$1006:$AU$1006,0))&gt;=100000), " ",IF(INDEX($AD$2:$AU$1001,MATCH(ROWS($W$2:W852),$W$2:$W$1001,0),MATCH(COLUMNS($AD$1006:AN1006),$AD$1006:$AU$1006,0)), HYPERLINK("#",""), HYPERLINK(CONCATENATE("#metadata!", ADDRESS(INDEX($Y$2:$Y$1001,MATCH(ROWS($W$2:W852),$W$2:$W$1001,0),0), INDEX($AD$1004:$AU$1004,1,MATCH(COLUMNS($AD$1006:AN1006),$AD$1006:$AU$1006,0)))),"Fix")))</f>
        <v xml:space="preserve"> </v>
      </c>
      <c r="M852" s="4" t="str">
        <f ca="1">IF(OR(INDEX($X$2:$X$1001,MATCH(ROWS($W$2:W852),$W$2:$W$1001,0),1)&gt;=100000,INDEX($AD$1005:$AU$1005,1,MATCH(COLUMNS($AD$1006:AO1006),$AD$1006:$AU$1006,0))&gt;=100000), " ",IF(INDEX($AD$2:$AU$1001,MATCH(ROWS($W$2:W852),$W$2:$W$1001,0),MATCH(COLUMNS($AD$1006:AO1006),$AD$1006:$AU$1006,0)), HYPERLINK("#",""), HYPERLINK(CONCATENATE("#metadata!", ADDRESS(INDEX($Y$2:$Y$1001,MATCH(ROWS($W$2:W852),$W$2:$W$1001,0),0), INDEX($AD$1004:$AU$1004,1,MATCH(COLUMNS($AD$1006:AO1006),$AD$1006:$AU$1006,0)))),"Fix")))</f>
        <v xml:space="preserve"> </v>
      </c>
      <c r="N852" s="4" t="str">
        <f ca="1">IF(OR(INDEX($X$2:$X$1001,MATCH(ROWS($W$2:W852),$W$2:$W$1001,0),1)&gt;=100000,INDEX($AD$1005:$AU$1005,1,MATCH(COLUMNS($AD$1006:AP1006),$AD$1006:$AU$1006,0))&gt;=100000), " ",IF(INDEX($AD$2:$AU$1001,MATCH(ROWS($W$2:W852),$W$2:$W$1001,0),MATCH(COLUMNS($AD$1006:AP1006),$AD$1006:$AU$1006,0)), HYPERLINK("#",""), HYPERLINK(CONCATENATE("#metadata!", ADDRESS(INDEX($Y$2:$Y$1001,MATCH(ROWS($W$2:W852),$W$2:$W$1001,0),0), INDEX($AD$1004:$AU$1004,1,MATCH(COLUMNS($AD$1006:AP1006),$AD$1006:$AU$1006,0)))),"Fix")))</f>
        <v xml:space="preserve"> </v>
      </c>
      <c r="O852" s="4" t="str">
        <f ca="1">IF(OR(INDEX($X$2:$X$1001,MATCH(ROWS($W$2:W852),$W$2:$W$1001,0),1)&gt;=100000,INDEX($AD$1005:$AU$1005,1,MATCH(COLUMNS($AD$1006:AQ1006),$AD$1006:$AU$1006,0))&gt;=100000), " ",IF(INDEX($AD$2:$AU$1001,MATCH(ROWS($W$2:W852),$W$2:$W$1001,0),MATCH(COLUMNS($AD$1006:AQ1006),$AD$1006:$AU$1006,0)), HYPERLINK("#",""), HYPERLINK(CONCATENATE("#metadata!", ADDRESS(INDEX($Y$2:$Y$1001,MATCH(ROWS($W$2:W852),$W$2:$W$1001,0),0), INDEX($AD$1004:$AU$1004,1,MATCH(COLUMNS($AD$1006:AQ1006),$AD$1006:$AU$1006,0)))),"Fix")))</f>
        <v xml:space="preserve"> </v>
      </c>
      <c r="P852" s="4" t="str">
        <f ca="1">IF(OR(INDEX($X$2:$X$1001,MATCH(ROWS($W$2:W852),$W$2:$W$1001,0),1)&gt;=100000,INDEX($AD$1005:$AU$1005,1,MATCH(COLUMNS($AD$1006:AR1006),$AD$1006:$AU$1006,0))&gt;=100000), " ",IF(INDEX($AD$2:$AU$1001,MATCH(ROWS($W$2:W852),$W$2:$W$1001,0),MATCH(COLUMNS($AD$1006:AR1006),$AD$1006:$AU$1006,0)), HYPERLINK("#",""), HYPERLINK(CONCATENATE("#metadata!", ADDRESS(INDEX($Y$2:$Y$1001,MATCH(ROWS($W$2:W852),$W$2:$W$1001,0),0), INDEX($AD$1004:$AU$1004,1,MATCH(COLUMNS($AD$1006:AR1006),$AD$1006:$AU$1006,0)))),"Fix")))</f>
        <v xml:space="preserve"> </v>
      </c>
      <c r="Q852" s="4" t="str">
        <f ca="1">IF(OR(INDEX($X$2:$X$1001,MATCH(ROWS($W$2:W852),$W$2:$W$1001,0),1)&gt;=100000,INDEX($AD$1005:$AU$1005,1,MATCH(COLUMNS($AD$1006:AS1006),$AD$1006:$AU$1006,0))&gt;=100000), " ",IF(INDEX($AD$2:$AU$1001,MATCH(ROWS($W$2:W852),$W$2:$W$1001,0),MATCH(COLUMNS($AD$1006:AS1006),$AD$1006:$AU$1006,0)), HYPERLINK("#",""), HYPERLINK(CONCATENATE("#metadata!", ADDRESS(INDEX($Y$2:$Y$1001,MATCH(ROWS($W$2:W852),$W$2:$W$1001,0),0), INDEX($AD$1004:$AU$1004,1,MATCH(COLUMNS($AD$1006:AS1006),$AD$1006:$AU$1006,0)))),"Fix")))</f>
        <v xml:space="preserve"> </v>
      </c>
      <c r="R852" s="4" t="str">
        <f ca="1">IF(OR(INDEX($X$2:$X$1001,MATCH(ROWS($W$2:W852),$W$2:$W$1001,0),1)&gt;=100000,INDEX($AD$1005:$AU$1005,1,MATCH(COLUMNS($AD$1006:AT1006),$AD$1006:$AU$1006,0))&gt;=100000), " ",IF(INDEX($AD$2:$AU$1001,MATCH(ROWS($W$2:W852),$W$2:$W$1001,0),MATCH(COLUMNS($AD$1006:AT1006),$AD$1006:$AU$1006,0)), HYPERLINK("#",""), HYPERLINK(CONCATENATE("#metadata!", ADDRESS(INDEX($Y$2:$Y$1001,MATCH(ROWS($W$2:W852),$W$2:$W$1001,0),0), INDEX($AD$1004:$AU$1004,1,MATCH(COLUMNS($AD$1006:AT1006),$AD$1006:$AU$1006,0)))),"Fix")))</f>
        <v xml:space="preserve"> </v>
      </c>
      <c r="S852" s="4" t="str">
        <f ca="1">IF(OR(INDEX($X$2:$X$1001,MATCH(ROWS($W$2:W852),$W$2:$W$1001,0),1)&gt;=100000,INDEX($AD$1005:$AU$1005,1,MATCH(COLUMNS($AD$1006:AU1006),$AD$1006:$AU$1006,0))&gt;=100000), " ",IF(INDEX($AD$2:$AU$1001,MATCH(ROWS($W$2:W852),$W$2:$W$1001,0),MATCH(COLUMNS($AD$1006:AU1006),$AD$1006:$AU$1006,0)), HYPERLINK("#",""), HYPERLINK(CONCATENATE("#metadata!", ADDRESS(INDEX($Y$2:$Y$1001,MATCH(ROWS($W$2:W852),$W$2:$W$1001,0),0), INDEX($AD$1004:$AU$1004,1,MATCH(COLUMNS($AD$1006:AU1006),$AD$1006:$AU$1006,0)))),"Fix")))</f>
        <v xml:space="preserve"> </v>
      </c>
      <c r="W852">
        <v>851</v>
      </c>
      <c r="X852">
        <v>100852</v>
      </c>
      <c r="Y852">
        <v>852</v>
      </c>
      <c r="Z852" t="b">
        <f t="shared" si="13"/>
        <v>1</v>
      </c>
      <c r="AA852" t="b">
        <f>COUNTBLANK(metadata!B852:S852)=COLUMNS(metadata!B852:S852)</f>
        <v>1</v>
      </c>
      <c r="AB852" t="str">
        <v/>
      </c>
      <c r="AD852" t="b">
        <f ca="1">AND(IF(metadata!B852="",FALSE,TRUE),COUNTIF(metadata!B:B, metadata!B852) = 1,NOT(ISERROR(SUMPRODUCT(SEARCH(MID(metadata!B852,ROW(INDIRECT("1:"&amp;LEN(metadata!B852))), 1),"0123456789abcdefghijklmnopqrstuvwxyzABCDEFGHIJKLMNOPQRSTUVWXYZ.")))))</f>
        <v>0</v>
      </c>
      <c r="AE852" t="b">
        <f>OR(AND(IF(metadata!C852="",FALSE,TRUE),OR(EXACT(metadata!C852,"not applicable"),EXACT(metadata!C852,"missing: not collected"),EXACT(metadata!C852,"missing: not provided"),EXACT(metadata!C852,"missing: restricted access"))),AND(IF(metadata!C852="",FALSE,ISNUMBER(VALUE(metadata!C852))),metadata!C852&gt;0))</f>
        <v>0</v>
      </c>
      <c r="AF852" t="b">
        <f>AND(IF(metadata!D852="",FALSE,TRUE),EXACT(metadata!D852,"missing: not provided"))</f>
        <v>0</v>
      </c>
      <c r="AG852" t="b">
        <f>AND(IF(metadata!E852="",FALSE,TRUE),EXACT(metadata!E852,"Host-associated"))</f>
        <v>0</v>
      </c>
      <c r="AH852" t="b">
        <f>AND(IF(metadata!F852="",FALSE,TRUE),OR(EXACT(metadata!F852,"Animal"),EXACT(metadata!F852,"Fungus"),EXACT(metadata!F852,"Plant")))</f>
        <v>0</v>
      </c>
      <c r="AI852" t="b">
        <f>AND(IF(metadata!G852="",FALSE,TRUE),OR(EXACT(metadata!G852,"Plant secretion"),EXACT(metadata!G852,"Plant rhizosphere"),EXACT(metadata!G852,"Plant surface"),EXACT(metadata!G852,"Plant corpus"),EXACT(metadata!G852,"Fungus surface"),EXACT(metadata!G852,"Fungus corpus"),EXACT(metadata!G852,"Animal surface"),EXACT(metadata!G852,"Animal proximal gut"),EXACT(metadata!G852,"Animal corpus"),EXACT(metadata!G852,"Animal distal gut"),EXACT(metadata!G852,"Animal secretion")))</f>
        <v>0</v>
      </c>
      <c r="AJ852" t="b">
        <f>OR(AND(IF(metadata!H852="",FALSE,TRUE),OR(EXACT(metadata!H852,"missing: not collected"),EXACT(metadata!H852,"missing: not provided"),EXACT(metadata!H852,"missing: restricted access"))),AND(IF(metadata!H852="",FALSE,TRUE),OR(EXACT(metadata!H852,"organism-associated habitat"),EXACT(metadata!H852,"plant-associated habitat"),EXACT(metadata!H852,"animal-associated habitat"),EXACT(metadata!H852,"insecta-associated habitat"),EXACT(metadata!H852,"mammalia-associated habitat"),EXACT(metadata!H852,"human-associated habitat"),EXACT(metadata!H852,"livestock-associated habitat"))))</f>
        <v>0</v>
      </c>
      <c r="AK852" t="b">
        <f>AND(IF(metadata!I852="",FALSE,TRUE),EXACT(metadata!I852,"host-associated"))</f>
        <v>0</v>
      </c>
      <c r="AL852" t="b">
        <f>OR(AND(IF(metadata!J852="",FALSE,TRUE),OR(EXACT(metadata!J852,"not applicable"),EXACT(metadata!J852,"missing: not collected"),EXACT(metadata!J852,"missing: not provided"),EXACT(metadata!J852,"missing: restricted access"))),AND(IF(metadata!J852="",FALSE,ISNUMBER(VALUE(metadata!J852))),metadata!J852&gt;0))</f>
        <v>0</v>
      </c>
      <c r="AM852" t="b">
        <f>AND(IF(metadata!K852="",FALSE,TRUE),EXACT(metadata!K852,"missing: not provided"))</f>
        <v>0</v>
      </c>
      <c r="AN852" t="b">
        <f>IF(metadata!L852="",FALSE,TRUE)</f>
        <v>0</v>
      </c>
      <c r="AO852" t="b">
        <f>IF(metadata!M852="",FALSE,TRUE)</f>
        <v>0</v>
      </c>
      <c r="AP852" t="b">
        <f>OR(AND(IF(metadata!N852="",FALSE,TRUE),OR(EXACT(metadata!N852,"not applicable"),EXACT(metadata!N852,"missing: not collected"),EXACT(metadata!N852,"missing: not provided"))),AND(IF(metadata!N852="",FALSE,IF(ISERROR(INT(metadata!N852)),FALSE,INT(metadata!N852)=metadata!N852)),metadata!N852&gt;0))</f>
        <v>0</v>
      </c>
      <c r="AQ852" t="b">
        <f>AND(IF(metadata!O852="",FALSE,TRUE),EXACT(metadata!O852,"Not applicable"))</f>
        <v>0</v>
      </c>
      <c r="AR852" t="b">
        <f>OR(AND(IF(metadata!P852="",FALSE,TRUE),OR(EXACT(metadata!P852,"not applicable"),EXACT(metadata!P852,"missing: not collected"),EXACT(metadata!P852,"missing: not provided"),EXACT(metadata!P852,"missing: restricted access"))),IF(metadata!P852="",FALSE,IF(ISERROR(INT(metadata!P852)),FALSE,INT(metadata!P852)=metadata!P852)))</f>
        <v>0</v>
      </c>
      <c r="AS852" t="b">
        <f>AND(IF(metadata!Q852="",FALSE,TRUE),EXACT(metadata!Q852,"Not applicable"))</f>
        <v>0</v>
      </c>
      <c r="AT852" t="b">
        <f>OR(AND(IF(metadata!R852="",FALSE,TRUE),OR(EXACT(metadata!R852,"not applicable"),EXACT(metadata!R852,"missing: not collected"),EXACT(metadata!R852,"missing: not provided"),EXACT(metadata!R852,"missing: restricted access"))),AND(IF(metadata!R852="",FALSE,ISNUMBER(VALUE(metadata!R852))),metadata!R852&gt;0))</f>
        <v>0</v>
      </c>
      <c r="AU852" t="b">
        <f>AND(IF(metadata!S852="",FALSE,TRUE),EXACT(metadata!S852,"missing: not provided"))</f>
        <v>0</v>
      </c>
    </row>
    <row r="853" spans="1:47" x14ac:dyDescent="0.2">
      <c r="A853" s="5" t="str">
        <f ca="1">IF(B853=" "," ",HYPERLINK(CONCATENATE("#metadata!",ADDRESS(INDEX($Y$2:$Y$1001,MATCH(ROWS($W$2:W853),$W$2:$W$1001,0),0),1)),INDEX($AB$2:$AB$1001,MATCH(ROWS($W$2:W853),$W$2:$W$1001,0),0)))</f>
        <v xml:space="preserve"> </v>
      </c>
      <c r="B853" s="4" t="str">
        <f ca="1">IF(OR(INDEX($X$2:$X$1001,MATCH(ROWS($W$2:W853),$W$2:$W$1001,0),1)&gt;=100000,INDEX($AD$1005:$AU$1005,1,MATCH(COLUMNS($AD$1006:AD1006),$AD$1006:$AU$1006,0))&gt;=100000), " ",IF(INDEX($AD$2:$AU$1001,MATCH(ROWS($W$2:W853),$W$2:$W$1001,0),MATCH(COLUMNS($AD$1006:AD1006),$AD$1006:$AU$1006,0)), HYPERLINK("#",""), HYPERLINK(CONCATENATE("#metadata!", ADDRESS(INDEX($Y$2:$Y$1001,MATCH(ROWS($W$2:W853),$W$2:$W$1001,0),0), INDEX($AD$1004:$AU$1004,1,MATCH(COLUMNS($AD$1006:AD1006),$AD$1006:$AU$1006,0)))),"Fix")))</f>
        <v xml:space="preserve"> </v>
      </c>
      <c r="C853" s="4" t="str">
        <f ca="1">IF(OR(INDEX($X$2:$X$1001,MATCH(ROWS($W$2:W853),$W$2:$W$1001,0),1)&gt;=100000,INDEX($AD$1005:$AU$1005,1,MATCH(COLUMNS($AD$1006:AE1006),$AD$1006:$AU$1006,0))&gt;=100000), " ",IF(INDEX($AD$2:$AU$1001,MATCH(ROWS($W$2:W853),$W$2:$W$1001,0),MATCH(COLUMNS($AD$1006:AE1006),$AD$1006:$AU$1006,0)), HYPERLINK("#",""), HYPERLINK(CONCATENATE("#metadata!", ADDRESS(INDEX($Y$2:$Y$1001,MATCH(ROWS($W$2:W853),$W$2:$W$1001,0),0), INDEX($AD$1004:$AU$1004,1,MATCH(COLUMNS($AD$1006:AE1006),$AD$1006:$AU$1006,0)))),"Fix")))</f>
        <v xml:space="preserve"> </v>
      </c>
      <c r="D853" s="4" t="str">
        <f ca="1">IF(OR(INDEX($X$2:$X$1001,MATCH(ROWS($W$2:W853),$W$2:$W$1001,0),1)&gt;=100000,INDEX($AD$1005:$AU$1005,1,MATCH(COLUMNS($AD$1006:AF1006),$AD$1006:$AU$1006,0))&gt;=100000), " ",IF(INDEX($AD$2:$AU$1001,MATCH(ROWS($W$2:W853),$W$2:$W$1001,0),MATCH(COLUMNS($AD$1006:AF1006),$AD$1006:$AU$1006,0)), HYPERLINK("#",""), HYPERLINK(CONCATENATE("#metadata!", ADDRESS(INDEX($Y$2:$Y$1001,MATCH(ROWS($W$2:W853),$W$2:$W$1001,0),0), INDEX($AD$1004:$AU$1004,1,MATCH(COLUMNS($AD$1006:AF1006),$AD$1006:$AU$1006,0)))),"Fix")))</f>
        <v xml:space="preserve"> </v>
      </c>
      <c r="E853" s="4" t="str">
        <f ca="1">IF(OR(INDEX($X$2:$X$1001,MATCH(ROWS($W$2:W853),$W$2:$W$1001,0),1)&gt;=100000,INDEX($AD$1005:$AU$1005,1,MATCH(COLUMNS($AD$1006:AG1006),$AD$1006:$AU$1006,0))&gt;=100000), " ",IF(INDEX($AD$2:$AU$1001,MATCH(ROWS($W$2:W853),$W$2:$W$1001,0),MATCH(COLUMNS($AD$1006:AG1006),$AD$1006:$AU$1006,0)), HYPERLINK("#",""), HYPERLINK(CONCATENATE("#metadata!", ADDRESS(INDEX($Y$2:$Y$1001,MATCH(ROWS($W$2:W853),$W$2:$W$1001,0),0), INDEX($AD$1004:$AU$1004,1,MATCH(COLUMNS($AD$1006:AG1006),$AD$1006:$AU$1006,0)))),"Fix")))</f>
        <v xml:space="preserve"> </v>
      </c>
      <c r="F853" s="4" t="str">
        <f ca="1">IF(OR(INDEX($X$2:$X$1001,MATCH(ROWS($W$2:W853),$W$2:$W$1001,0),1)&gt;=100000,INDEX($AD$1005:$AU$1005,1,MATCH(COLUMNS($AD$1006:AH1006),$AD$1006:$AU$1006,0))&gt;=100000), " ",IF(INDEX($AD$2:$AU$1001,MATCH(ROWS($W$2:W853),$W$2:$W$1001,0),MATCH(COLUMNS($AD$1006:AH1006),$AD$1006:$AU$1006,0)), HYPERLINK("#",""), HYPERLINK(CONCATENATE("#metadata!", ADDRESS(INDEX($Y$2:$Y$1001,MATCH(ROWS($W$2:W853),$W$2:$W$1001,0),0), INDEX($AD$1004:$AU$1004,1,MATCH(COLUMNS($AD$1006:AH1006),$AD$1006:$AU$1006,0)))),"Fix")))</f>
        <v xml:space="preserve"> </v>
      </c>
      <c r="G853" s="4" t="str">
        <f ca="1">IF(OR(INDEX($X$2:$X$1001,MATCH(ROWS($W$2:W853),$W$2:$W$1001,0),1)&gt;=100000,INDEX($AD$1005:$AU$1005,1,MATCH(COLUMNS($AD$1006:AI1006),$AD$1006:$AU$1006,0))&gt;=100000), " ",IF(INDEX($AD$2:$AU$1001,MATCH(ROWS($W$2:W853),$W$2:$W$1001,0),MATCH(COLUMNS($AD$1006:AI1006),$AD$1006:$AU$1006,0)), HYPERLINK("#",""), HYPERLINK(CONCATENATE("#metadata!", ADDRESS(INDEX($Y$2:$Y$1001,MATCH(ROWS($W$2:W853),$W$2:$W$1001,0),0), INDEX($AD$1004:$AU$1004,1,MATCH(COLUMNS($AD$1006:AI1006),$AD$1006:$AU$1006,0)))),"Fix")))</f>
        <v xml:space="preserve"> </v>
      </c>
      <c r="H853" s="4" t="str">
        <f ca="1">IF(OR(INDEX($X$2:$X$1001,MATCH(ROWS($W$2:W853),$W$2:$W$1001,0),1)&gt;=100000,INDEX($AD$1005:$AU$1005,1,MATCH(COLUMNS($AD$1006:AJ1006),$AD$1006:$AU$1006,0))&gt;=100000), " ",IF(INDEX($AD$2:$AU$1001,MATCH(ROWS($W$2:W853),$W$2:$W$1001,0),MATCH(COLUMNS($AD$1006:AJ1006),$AD$1006:$AU$1006,0)), HYPERLINK("#",""), HYPERLINK(CONCATENATE("#metadata!", ADDRESS(INDEX($Y$2:$Y$1001,MATCH(ROWS($W$2:W853),$W$2:$W$1001,0),0), INDEX($AD$1004:$AU$1004,1,MATCH(COLUMNS($AD$1006:AJ1006),$AD$1006:$AU$1006,0)))),"Fix")))</f>
        <v xml:space="preserve"> </v>
      </c>
      <c r="I853" s="4" t="str">
        <f ca="1">IF(OR(INDEX($X$2:$X$1001,MATCH(ROWS($W$2:W853),$W$2:$W$1001,0),1)&gt;=100000,INDEX($AD$1005:$AU$1005,1,MATCH(COLUMNS($AD$1006:AK1006),$AD$1006:$AU$1006,0))&gt;=100000), " ",IF(INDEX($AD$2:$AU$1001,MATCH(ROWS($W$2:W853),$W$2:$W$1001,0),MATCH(COLUMNS($AD$1006:AK1006),$AD$1006:$AU$1006,0)), HYPERLINK("#",""), HYPERLINK(CONCATENATE("#metadata!", ADDRESS(INDEX($Y$2:$Y$1001,MATCH(ROWS($W$2:W853),$W$2:$W$1001,0),0), INDEX($AD$1004:$AU$1004,1,MATCH(COLUMNS($AD$1006:AK1006),$AD$1006:$AU$1006,0)))),"Fix")))</f>
        <v xml:space="preserve"> </v>
      </c>
      <c r="J853" s="4" t="str">
        <f ca="1">IF(OR(INDEX($X$2:$X$1001,MATCH(ROWS($W$2:W853),$W$2:$W$1001,0),1)&gt;=100000,INDEX($AD$1005:$AU$1005,1,MATCH(COLUMNS($AD$1006:AL1006),$AD$1006:$AU$1006,0))&gt;=100000), " ",IF(INDEX($AD$2:$AU$1001,MATCH(ROWS($W$2:W853),$W$2:$W$1001,0),MATCH(COLUMNS($AD$1006:AL1006),$AD$1006:$AU$1006,0)), HYPERLINK("#",""), HYPERLINK(CONCATENATE("#metadata!", ADDRESS(INDEX($Y$2:$Y$1001,MATCH(ROWS($W$2:W853),$W$2:$W$1001,0),0), INDEX($AD$1004:$AU$1004,1,MATCH(COLUMNS($AD$1006:AL1006),$AD$1006:$AU$1006,0)))),"Fix")))</f>
        <v xml:space="preserve"> </v>
      </c>
      <c r="K853" s="4" t="str">
        <f ca="1">IF(OR(INDEX($X$2:$X$1001,MATCH(ROWS($W$2:W853),$W$2:$W$1001,0),1)&gt;=100000,INDEX($AD$1005:$AU$1005,1,MATCH(COLUMNS($AD$1006:AM1006),$AD$1006:$AU$1006,0))&gt;=100000), " ",IF(INDEX($AD$2:$AU$1001,MATCH(ROWS($W$2:W853),$W$2:$W$1001,0),MATCH(COLUMNS($AD$1006:AM1006),$AD$1006:$AU$1006,0)), HYPERLINK("#",""), HYPERLINK(CONCATENATE("#metadata!", ADDRESS(INDEX($Y$2:$Y$1001,MATCH(ROWS($W$2:W853),$W$2:$W$1001,0),0), INDEX($AD$1004:$AU$1004,1,MATCH(COLUMNS($AD$1006:AM1006),$AD$1006:$AU$1006,0)))),"Fix")))</f>
        <v xml:space="preserve"> </v>
      </c>
      <c r="L853" s="4" t="str">
        <f ca="1">IF(OR(INDEX($X$2:$X$1001,MATCH(ROWS($W$2:W853),$W$2:$W$1001,0),1)&gt;=100000,INDEX($AD$1005:$AU$1005,1,MATCH(COLUMNS($AD$1006:AN1006),$AD$1006:$AU$1006,0))&gt;=100000), " ",IF(INDEX($AD$2:$AU$1001,MATCH(ROWS($W$2:W853),$W$2:$W$1001,0),MATCH(COLUMNS($AD$1006:AN1006),$AD$1006:$AU$1006,0)), HYPERLINK("#",""), HYPERLINK(CONCATENATE("#metadata!", ADDRESS(INDEX($Y$2:$Y$1001,MATCH(ROWS($W$2:W853),$W$2:$W$1001,0),0), INDEX($AD$1004:$AU$1004,1,MATCH(COLUMNS($AD$1006:AN1006),$AD$1006:$AU$1006,0)))),"Fix")))</f>
        <v xml:space="preserve"> </v>
      </c>
      <c r="M853" s="4" t="str">
        <f ca="1">IF(OR(INDEX($X$2:$X$1001,MATCH(ROWS($W$2:W853),$W$2:$W$1001,0),1)&gt;=100000,INDEX($AD$1005:$AU$1005,1,MATCH(COLUMNS($AD$1006:AO1006),$AD$1006:$AU$1006,0))&gt;=100000), " ",IF(INDEX($AD$2:$AU$1001,MATCH(ROWS($W$2:W853),$W$2:$W$1001,0),MATCH(COLUMNS($AD$1006:AO1006),$AD$1006:$AU$1006,0)), HYPERLINK("#",""), HYPERLINK(CONCATENATE("#metadata!", ADDRESS(INDEX($Y$2:$Y$1001,MATCH(ROWS($W$2:W853),$W$2:$W$1001,0),0), INDEX($AD$1004:$AU$1004,1,MATCH(COLUMNS($AD$1006:AO1006),$AD$1006:$AU$1006,0)))),"Fix")))</f>
        <v xml:space="preserve"> </v>
      </c>
      <c r="N853" s="4" t="str">
        <f ca="1">IF(OR(INDEX($X$2:$X$1001,MATCH(ROWS($W$2:W853),$W$2:$W$1001,0),1)&gt;=100000,INDEX($AD$1005:$AU$1005,1,MATCH(COLUMNS($AD$1006:AP1006),$AD$1006:$AU$1006,0))&gt;=100000), " ",IF(INDEX($AD$2:$AU$1001,MATCH(ROWS($W$2:W853),$W$2:$W$1001,0),MATCH(COLUMNS($AD$1006:AP1006),$AD$1006:$AU$1006,0)), HYPERLINK("#",""), HYPERLINK(CONCATENATE("#metadata!", ADDRESS(INDEX($Y$2:$Y$1001,MATCH(ROWS($W$2:W853),$W$2:$W$1001,0),0), INDEX($AD$1004:$AU$1004,1,MATCH(COLUMNS($AD$1006:AP1006),$AD$1006:$AU$1006,0)))),"Fix")))</f>
        <v xml:space="preserve"> </v>
      </c>
      <c r="O853" s="4" t="str">
        <f ca="1">IF(OR(INDEX($X$2:$X$1001,MATCH(ROWS($W$2:W853),$W$2:$W$1001,0),1)&gt;=100000,INDEX($AD$1005:$AU$1005,1,MATCH(COLUMNS($AD$1006:AQ1006),$AD$1006:$AU$1006,0))&gt;=100000), " ",IF(INDEX($AD$2:$AU$1001,MATCH(ROWS($W$2:W853),$W$2:$W$1001,0),MATCH(COLUMNS($AD$1006:AQ1006),$AD$1006:$AU$1006,0)), HYPERLINK("#",""), HYPERLINK(CONCATENATE("#metadata!", ADDRESS(INDEX($Y$2:$Y$1001,MATCH(ROWS($W$2:W853),$W$2:$W$1001,0),0), INDEX($AD$1004:$AU$1004,1,MATCH(COLUMNS($AD$1006:AQ1006),$AD$1006:$AU$1006,0)))),"Fix")))</f>
        <v xml:space="preserve"> </v>
      </c>
      <c r="P853" s="4" t="str">
        <f ca="1">IF(OR(INDEX($X$2:$X$1001,MATCH(ROWS($W$2:W853),$W$2:$W$1001,0),1)&gt;=100000,INDEX($AD$1005:$AU$1005,1,MATCH(COLUMNS($AD$1006:AR1006),$AD$1006:$AU$1006,0))&gt;=100000), " ",IF(INDEX($AD$2:$AU$1001,MATCH(ROWS($W$2:W853),$W$2:$W$1001,0),MATCH(COLUMNS($AD$1006:AR1006),$AD$1006:$AU$1006,0)), HYPERLINK("#",""), HYPERLINK(CONCATENATE("#metadata!", ADDRESS(INDEX($Y$2:$Y$1001,MATCH(ROWS($W$2:W853),$W$2:$W$1001,0),0), INDEX($AD$1004:$AU$1004,1,MATCH(COLUMNS($AD$1006:AR1006),$AD$1006:$AU$1006,0)))),"Fix")))</f>
        <v xml:space="preserve"> </v>
      </c>
      <c r="Q853" s="4" t="str">
        <f ca="1">IF(OR(INDEX($X$2:$X$1001,MATCH(ROWS($W$2:W853),$W$2:$W$1001,0),1)&gt;=100000,INDEX($AD$1005:$AU$1005,1,MATCH(COLUMNS($AD$1006:AS1006),$AD$1006:$AU$1006,0))&gt;=100000), " ",IF(INDEX($AD$2:$AU$1001,MATCH(ROWS($W$2:W853),$W$2:$W$1001,0),MATCH(COLUMNS($AD$1006:AS1006),$AD$1006:$AU$1006,0)), HYPERLINK("#",""), HYPERLINK(CONCATENATE("#metadata!", ADDRESS(INDEX($Y$2:$Y$1001,MATCH(ROWS($W$2:W853),$W$2:$W$1001,0),0), INDEX($AD$1004:$AU$1004,1,MATCH(COLUMNS($AD$1006:AS1006),$AD$1006:$AU$1006,0)))),"Fix")))</f>
        <v xml:space="preserve"> </v>
      </c>
      <c r="R853" s="4" t="str">
        <f ca="1">IF(OR(INDEX($X$2:$X$1001,MATCH(ROWS($W$2:W853),$W$2:$W$1001,0),1)&gt;=100000,INDEX($AD$1005:$AU$1005,1,MATCH(COLUMNS($AD$1006:AT1006),$AD$1006:$AU$1006,0))&gt;=100000), " ",IF(INDEX($AD$2:$AU$1001,MATCH(ROWS($W$2:W853),$W$2:$W$1001,0),MATCH(COLUMNS($AD$1006:AT1006),$AD$1006:$AU$1006,0)), HYPERLINK("#",""), HYPERLINK(CONCATENATE("#metadata!", ADDRESS(INDEX($Y$2:$Y$1001,MATCH(ROWS($W$2:W853),$W$2:$W$1001,0),0), INDEX($AD$1004:$AU$1004,1,MATCH(COLUMNS($AD$1006:AT1006),$AD$1006:$AU$1006,0)))),"Fix")))</f>
        <v xml:space="preserve"> </v>
      </c>
      <c r="S853" s="4" t="str">
        <f ca="1">IF(OR(INDEX($X$2:$X$1001,MATCH(ROWS($W$2:W853),$W$2:$W$1001,0),1)&gt;=100000,INDEX($AD$1005:$AU$1005,1,MATCH(COLUMNS($AD$1006:AU1006),$AD$1006:$AU$1006,0))&gt;=100000), " ",IF(INDEX($AD$2:$AU$1001,MATCH(ROWS($W$2:W853),$W$2:$W$1001,0),MATCH(COLUMNS($AD$1006:AU1006),$AD$1006:$AU$1006,0)), HYPERLINK("#",""), HYPERLINK(CONCATENATE("#metadata!", ADDRESS(INDEX($Y$2:$Y$1001,MATCH(ROWS($W$2:W853),$W$2:$W$1001,0),0), INDEX($AD$1004:$AU$1004,1,MATCH(COLUMNS($AD$1006:AU1006),$AD$1006:$AU$1006,0)))),"Fix")))</f>
        <v xml:space="preserve"> </v>
      </c>
      <c r="W853">
        <v>852</v>
      </c>
      <c r="X853">
        <v>100853</v>
      </c>
      <c r="Y853">
        <v>853</v>
      </c>
      <c r="Z853" t="b">
        <f t="shared" si="13"/>
        <v>1</v>
      </c>
      <c r="AA853" t="b">
        <f>COUNTBLANK(metadata!B853:S853)=COLUMNS(metadata!B853:S853)</f>
        <v>1</v>
      </c>
      <c r="AB853" t="str">
        <v/>
      </c>
      <c r="AD853" t="b">
        <f ca="1">AND(IF(metadata!B853="",FALSE,TRUE),COUNTIF(metadata!B:B, metadata!B853) = 1,NOT(ISERROR(SUMPRODUCT(SEARCH(MID(metadata!B853,ROW(INDIRECT("1:"&amp;LEN(metadata!B853))), 1),"0123456789abcdefghijklmnopqrstuvwxyzABCDEFGHIJKLMNOPQRSTUVWXYZ.")))))</f>
        <v>0</v>
      </c>
      <c r="AE853" t="b">
        <f>OR(AND(IF(metadata!C853="",FALSE,TRUE),OR(EXACT(metadata!C853,"not applicable"),EXACT(metadata!C853,"missing: not collected"),EXACT(metadata!C853,"missing: not provided"),EXACT(metadata!C853,"missing: restricted access"))),AND(IF(metadata!C853="",FALSE,ISNUMBER(VALUE(metadata!C853))),metadata!C853&gt;0))</f>
        <v>0</v>
      </c>
      <c r="AF853" t="b">
        <f>AND(IF(metadata!D853="",FALSE,TRUE),EXACT(metadata!D853,"missing: not provided"))</f>
        <v>0</v>
      </c>
      <c r="AG853" t="b">
        <f>AND(IF(metadata!E853="",FALSE,TRUE),EXACT(metadata!E853,"Host-associated"))</f>
        <v>0</v>
      </c>
      <c r="AH853" t="b">
        <f>AND(IF(metadata!F853="",FALSE,TRUE),OR(EXACT(metadata!F853,"Animal"),EXACT(metadata!F853,"Fungus"),EXACT(metadata!F853,"Plant")))</f>
        <v>0</v>
      </c>
      <c r="AI853" t="b">
        <f>AND(IF(metadata!G853="",FALSE,TRUE),OR(EXACT(metadata!G853,"Plant secretion"),EXACT(metadata!G853,"Plant rhizosphere"),EXACT(metadata!G853,"Plant surface"),EXACT(metadata!G853,"Plant corpus"),EXACT(metadata!G853,"Fungus surface"),EXACT(metadata!G853,"Fungus corpus"),EXACT(metadata!G853,"Animal surface"),EXACT(metadata!G853,"Animal proximal gut"),EXACT(metadata!G853,"Animal corpus"),EXACT(metadata!G853,"Animal distal gut"),EXACT(metadata!G853,"Animal secretion")))</f>
        <v>0</v>
      </c>
      <c r="AJ853" t="b">
        <f>OR(AND(IF(metadata!H853="",FALSE,TRUE),OR(EXACT(metadata!H853,"missing: not collected"),EXACT(metadata!H853,"missing: not provided"),EXACT(metadata!H853,"missing: restricted access"))),AND(IF(metadata!H853="",FALSE,TRUE),OR(EXACT(metadata!H853,"organism-associated habitat"),EXACT(metadata!H853,"plant-associated habitat"),EXACT(metadata!H853,"animal-associated habitat"),EXACT(metadata!H853,"insecta-associated habitat"),EXACT(metadata!H853,"mammalia-associated habitat"),EXACT(metadata!H853,"human-associated habitat"),EXACT(metadata!H853,"livestock-associated habitat"))))</f>
        <v>0</v>
      </c>
      <c r="AK853" t="b">
        <f>AND(IF(metadata!I853="",FALSE,TRUE),EXACT(metadata!I853,"host-associated"))</f>
        <v>0</v>
      </c>
      <c r="AL853" t="b">
        <f>OR(AND(IF(metadata!J853="",FALSE,TRUE),OR(EXACT(metadata!J853,"not applicable"),EXACT(metadata!J853,"missing: not collected"),EXACT(metadata!J853,"missing: not provided"),EXACT(metadata!J853,"missing: restricted access"))),AND(IF(metadata!J853="",FALSE,ISNUMBER(VALUE(metadata!J853))),metadata!J853&gt;0))</f>
        <v>0</v>
      </c>
      <c r="AM853" t="b">
        <f>AND(IF(metadata!K853="",FALSE,TRUE),EXACT(metadata!K853,"missing: not provided"))</f>
        <v>0</v>
      </c>
      <c r="AN853" t="b">
        <f>IF(metadata!L853="",FALSE,TRUE)</f>
        <v>0</v>
      </c>
      <c r="AO853" t="b">
        <f>IF(metadata!M853="",FALSE,TRUE)</f>
        <v>0</v>
      </c>
      <c r="AP853" t="b">
        <f>OR(AND(IF(metadata!N853="",FALSE,TRUE),OR(EXACT(metadata!N853,"not applicable"),EXACT(metadata!N853,"missing: not collected"),EXACT(metadata!N853,"missing: not provided"))),AND(IF(metadata!N853="",FALSE,IF(ISERROR(INT(metadata!N853)),FALSE,INT(metadata!N853)=metadata!N853)),metadata!N853&gt;0))</f>
        <v>0</v>
      </c>
      <c r="AQ853" t="b">
        <f>AND(IF(metadata!O853="",FALSE,TRUE),EXACT(metadata!O853,"Not applicable"))</f>
        <v>0</v>
      </c>
      <c r="AR853" t="b">
        <f>OR(AND(IF(metadata!P853="",FALSE,TRUE),OR(EXACT(metadata!P853,"not applicable"),EXACT(metadata!P853,"missing: not collected"),EXACT(metadata!P853,"missing: not provided"),EXACT(metadata!P853,"missing: restricted access"))),IF(metadata!P853="",FALSE,IF(ISERROR(INT(metadata!P853)),FALSE,INT(metadata!P853)=metadata!P853)))</f>
        <v>0</v>
      </c>
      <c r="AS853" t="b">
        <f>AND(IF(metadata!Q853="",FALSE,TRUE),EXACT(metadata!Q853,"Not applicable"))</f>
        <v>0</v>
      </c>
      <c r="AT853" t="b">
        <f>OR(AND(IF(metadata!R853="",FALSE,TRUE),OR(EXACT(metadata!R853,"not applicable"),EXACT(metadata!R853,"missing: not collected"),EXACT(metadata!R853,"missing: not provided"),EXACT(metadata!R853,"missing: restricted access"))),AND(IF(metadata!R853="",FALSE,ISNUMBER(VALUE(metadata!R853))),metadata!R853&gt;0))</f>
        <v>0</v>
      </c>
      <c r="AU853" t="b">
        <f>AND(IF(metadata!S853="",FALSE,TRUE),EXACT(metadata!S853,"missing: not provided"))</f>
        <v>0</v>
      </c>
    </row>
    <row r="854" spans="1:47" x14ac:dyDescent="0.2">
      <c r="A854" s="5" t="str">
        <f ca="1">IF(B854=" "," ",HYPERLINK(CONCATENATE("#metadata!",ADDRESS(INDEX($Y$2:$Y$1001,MATCH(ROWS($W$2:W854),$W$2:$W$1001,0),0),1)),INDEX($AB$2:$AB$1001,MATCH(ROWS($W$2:W854),$W$2:$W$1001,0),0)))</f>
        <v xml:space="preserve"> </v>
      </c>
      <c r="B854" s="4" t="str">
        <f ca="1">IF(OR(INDEX($X$2:$X$1001,MATCH(ROWS($W$2:W854),$W$2:$W$1001,0),1)&gt;=100000,INDEX($AD$1005:$AU$1005,1,MATCH(COLUMNS($AD$1006:AD1006),$AD$1006:$AU$1006,0))&gt;=100000), " ",IF(INDEX($AD$2:$AU$1001,MATCH(ROWS($W$2:W854),$W$2:$W$1001,0),MATCH(COLUMNS($AD$1006:AD1006),$AD$1006:$AU$1006,0)), HYPERLINK("#",""), HYPERLINK(CONCATENATE("#metadata!", ADDRESS(INDEX($Y$2:$Y$1001,MATCH(ROWS($W$2:W854),$W$2:$W$1001,0),0), INDEX($AD$1004:$AU$1004,1,MATCH(COLUMNS($AD$1006:AD1006),$AD$1006:$AU$1006,0)))),"Fix")))</f>
        <v xml:space="preserve"> </v>
      </c>
      <c r="C854" s="4" t="str">
        <f ca="1">IF(OR(INDEX($X$2:$X$1001,MATCH(ROWS($W$2:W854),$W$2:$W$1001,0),1)&gt;=100000,INDEX($AD$1005:$AU$1005,1,MATCH(COLUMNS($AD$1006:AE1006),$AD$1006:$AU$1006,0))&gt;=100000), " ",IF(INDEX($AD$2:$AU$1001,MATCH(ROWS($W$2:W854),$W$2:$W$1001,0),MATCH(COLUMNS($AD$1006:AE1006),$AD$1006:$AU$1006,0)), HYPERLINK("#",""), HYPERLINK(CONCATENATE("#metadata!", ADDRESS(INDEX($Y$2:$Y$1001,MATCH(ROWS($W$2:W854),$W$2:$W$1001,0),0), INDEX($AD$1004:$AU$1004,1,MATCH(COLUMNS($AD$1006:AE1006),$AD$1006:$AU$1006,0)))),"Fix")))</f>
        <v xml:space="preserve"> </v>
      </c>
      <c r="D854" s="4" t="str">
        <f ca="1">IF(OR(INDEX($X$2:$X$1001,MATCH(ROWS($W$2:W854),$W$2:$W$1001,0),1)&gt;=100000,INDEX($AD$1005:$AU$1005,1,MATCH(COLUMNS($AD$1006:AF1006),$AD$1006:$AU$1006,0))&gt;=100000), " ",IF(INDEX($AD$2:$AU$1001,MATCH(ROWS($W$2:W854),$W$2:$W$1001,0),MATCH(COLUMNS($AD$1006:AF1006),$AD$1006:$AU$1006,0)), HYPERLINK("#",""), HYPERLINK(CONCATENATE("#metadata!", ADDRESS(INDEX($Y$2:$Y$1001,MATCH(ROWS($W$2:W854),$W$2:$W$1001,0),0), INDEX($AD$1004:$AU$1004,1,MATCH(COLUMNS($AD$1006:AF1006),$AD$1006:$AU$1006,0)))),"Fix")))</f>
        <v xml:space="preserve"> </v>
      </c>
      <c r="E854" s="4" t="str">
        <f ca="1">IF(OR(INDEX($X$2:$X$1001,MATCH(ROWS($W$2:W854),$W$2:$W$1001,0),1)&gt;=100000,INDEX($AD$1005:$AU$1005,1,MATCH(COLUMNS($AD$1006:AG1006),$AD$1006:$AU$1006,0))&gt;=100000), " ",IF(INDEX($AD$2:$AU$1001,MATCH(ROWS($W$2:W854),$W$2:$W$1001,0),MATCH(COLUMNS($AD$1006:AG1006),$AD$1006:$AU$1006,0)), HYPERLINK("#",""), HYPERLINK(CONCATENATE("#metadata!", ADDRESS(INDEX($Y$2:$Y$1001,MATCH(ROWS($W$2:W854),$W$2:$W$1001,0),0), INDEX($AD$1004:$AU$1004,1,MATCH(COLUMNS($AD$1006:AG1006),$AD$1006:$AU$1006,0)))),"Fix")))</f>
        <v xml:space="preserve"> </v>
      </c>
      <c r="F854" s="4" t="str">
        <f ca="1">IF(OR(INDEX($X$2:$X$1001,MATCH(ROWS($W$2:W854),$W$2:$W$1001,0),1)&gt;=100000,INDEX($AD$1005:$AU$1005,1,MATCH(COLUMNS($AD$1006:AH1006),$AD$1006:$AU$1006,0))&gt;=100000), " ",IF(INDEX($AD$2:$AU$1001,MATCH(ROWS($W$2:W854),$W$2:$W$1001,0),MATCH(COLUMNS($AD$1006:AH1006),$AD$1006:$AU$1006,0)), HYPERLINK("#",""), HYPERLINK(CONCATENATE("#metadata!", ADDRESS(INDEX($Y$2:$Y$1001,MATCH(ROWS($W$2:W854),$W$2:$W$1001,0),0), INDEX($AD$1004:$AU$1004,1,MATCH(COLUMNS($AD$1006:AH1006),$AD$1006:$AU$1006,0)))),"Fix")))</f>
        <v xml:space="preserve"> </v>
      </c>
      <c r="G854" s="4" t="str">
        <f ca="1">IF(OR(INDEX($X$2:$X$1001,MATCH(ROWS($W$2:W854),$W$2:$W$1001,0),1)&gt;=100000,INDEX($AD$1005:$AU$1005,1,MATCH(COLUMNS($AD$1006:AI1006),$AD$1006:$AU$1006,0))&gt;=100000), " ",IF(INDEX($AD$2:$AU$1001,MATCH(ROWS($W$2:W854),$W$2:$W$1001,0),MATCH(COLUMNS($AD$1006:AI1006),$AD$1006:$AU$1006,0)), HYPERLINK("#",""), HYPERLINK(CONCATENATE("#metadata!", ADDRESS(INDEX($Y$2:$Y$1001,MATCH(ROWS($W$2:W854),$W$2:$W$1001,0),0), INDEX($AD$1004:$AU$1004,1,MATCH(COLUMNS($AD$1006:AI1006),$AD$1006:$AU$1006,0)))),"Fix")))</f>
        <v xml:space="preserve"> </v>
      </c>
      <c r="H854" s="4" t="str">
        <f ca="1">IF(OR(INDEX($X$2:$X$1001,MATCH(ROWS($W$2:W854),$W$2:$W$1001,0),1)&gt;=100000,INDEX($AD$1005:$AU$1005,1,MATCH(COLUMNS($AD$1006:AJ1006),$AD$1006:$AU$1006,0))&gt;=100000), " ",IF(INDEX($AD$2:$AU$1001,MATCH(ROWS($W$2:W854),$W$2:$W$1001,0),MATCH(COLUMNS($AD$1006:AJ1006),$AD$1006:$AU$1006,0)), HYPERLINK("#",""), HYPERLINK(CONCATENATE("#metadata!", ADDRESS(INDEX($Y$2:$Y$1001,MATCH(ROWS($W$2:W854),$W$2:$W$1001,0),0), INDEX($AD$1004:$AU$1004,1,MATCH(COLUMNS($AD$1006:AJ1006),$AD$1006:$AU$1006,0)))),"Fix")))</f>
        <v xml:space="preserve"> </v>
      </c>
      <c r="I854" s="4" t="str">
        <f ca="1">IF(OR(INDEX($X$2:$X$1001,MATCH(ROWS($W$2:W854),$W$2:$W$1001,0),1)&gt;=100000,INDEX($AD$1005:$AU$1005,1,MATCH(COLUMNS($AD$1006:AK1006),$AD$1006:$AU$1006,0))&gt;=100000), " ",IF(INDEX($AD$2:$AU$1001,MATCH(ROWS($W$2:W854),$W$2:$W$1001,0),MATCH(COLUMNS($AD$1006:AK1006),$AD$1006:$AU$1006,0)), HYPERLINK("#",""), HYPERLINK(CONCATENATE("#metadata!", ADDRESS(INDEX($Y$2:$Y$1001,MATCH(ROWS($W$2:W854),$W$2:$W$1001,0),0), INDEX($AD$1004:$AU$1004,1,MATCH(COLUMNS($AD$1006:AK1006),$AD$1006:$AU$1006,0)))),"Fix")))</f>
        <v xml:space="preserve"> </v>
      </c>
      <c r="J854" s="4" t="str">
        <f ca="1">IF(OR(INDEX($X$2:$X$1001,MATCH(ROWS($W$2:W854),$W$2:$W$1001,0),1)&gt;=100000,INDEX($AD$1005:$AU$1005,1,MATCH(COLUMNS($AD$1006:AL1006),$AD$1006:$AU$1006,0))&gt;=100000), " ",IF(INDEX($AD$2:$AU$1001,MATCH(ROWS($W$2:W854),$W$2:$W$1001,0),MATCH(COLUMNS($AD$1006:AL1006),$AD$1006:$AU$1006,0)), HYPERLINK("#",""), HYPERLINK(CONCATENATE("#metadata!", ADDRESS(INDEX($Y$2:$Y$1001,MATCH(ROWS($W$2:W854),$W$2:$W$1001,0),0), INDEX($AD$1004:$AU$1004,1,MATCH(COLUMNS($AD$1006:AL1006),$AD$1006:$AU$1006,0)))),"Fix")))</f>
        <v xml:space="preserve"> </v>
      </c>
      <c r="K854" s="4" t="str">
        <f ca="1">IF(OR(INDEX($X$2:$X$1001,MATCH(ROWS($W$2:W854),$W$2:$W$1001,0),1)&gt;=100000,INDEX($AD$1005:$AU$1005,1,MATCH(COLUMNS($AD$1006:AM1006),$AD$1006:$AU$1006,0))&gt;=100000), " ",IF(INDEX($AD$2:$AU$1001,MATCH(ROWS($W$2:W854),$W$2:$W$1001,0),MATCH(COLUMNS($AD$1006:AM1006),$AD$1006:$AU$1006,0)), HYPERLINK("#",""), HYPERLINK(CONCATENATE("#metadata!", ADDRESS(INDEX($Y$2:$Y$1001,MATCH(ROWS($W$2:W854),$W$2:$W$1001,0),0), INDEX($AD$1004:$AU$1004,1,MATCH(COLUMNS($AD$1006:AM1006),$AD$1006:$AU$1006,0)))),"Fix")))</f>
        <v xml:space="preserve"> </v>
      </c>
      <c r="L854" s="4" t="str">
        <f ca="1">IF(OR(INDEX($X$2:$X$1001,MATCH(ROWS($W$2:W854),$W$2:$W$1001,0),1)&gt;=100000,INDEX($AD$1005:$AU$1005,1,MATCH(COLUMNS($AD$1006:AN1006),$AD$1006:$AU$1006,0))&gt;=100000), " ",IF(INDEX($AD$2:$AU$1001,MATCH(ROWS($W$2:W854),$W$2:$W$1001,0),MATCH(COLUMNS($AD$1006:AN1006),$AD$1006:$AU$1006,0)), HYPERLINK("#",""), HYPERLINK(CONCATENATE("#metadata!", ADDRESS(INDEX($Y$2:$Y$1001,MATCH(ROWS($W$2:W854),$W$2:$W$1001,0),0), INDEX($AD$1004:$AU$1004,1,MATCH(COLUMNS($AD$1006:AN1006),$AD$1006:$AU$1006,0)))),"Fix")))</f>
        <v xml:space="preserve"> </v>
      </c>
      <c r="M854" s="4" t="str">
        <f ca="1">IF(OR(INDEX($X$2:$X$1001,MATCH(ROWS($W$2:W854),$W$2:$W$1001,0),1)&gt;=100000,INDEX($AD$1005:$AU$1005,1,MATCH(COLUMNS($AD$1006:AO1006),$AD$1006:$AU$1006,0))&gt;=100000), " ",IF(INDEX($AD$2:$AU$1001,MATCH(ROWS($W$2:W854),$W$2:$W$1001,0),MATCH(COLUMNS($AD$1006:AO1006),$AD$1006:$AU$1006,0)), HYPERLINK("#",""), HYPERLINK(CONCATENATE("#metadata!", ADDRESS(INDEX($Y$2:$Y$1001,MATCH(ROWS($W$2:W854),$W$2:$W$1001,0),0), INDEX($AD$1004:$AU$1004,1,MATCH(COLUMNS($AD$1006:AO1006),$AD$1006:$AU$1006,0)))),"Fix")))</f>
        <v xml:space="preserve"> </v>
      </c>
      <c r="N854" s="4" t="str">
        <f ca="1">IF(OR(INDEX($X$2:$X$1001,MATCH(ROWS($W$2:W854),$W$2:$W$1001,0),1)&gt;=100000,INDEX($AD$1005:$AU$1005,1,MATCH(COLUMNS($AD$1006:AP1006),$AD$1006:$AU$1006,0))&gt;=100000), " ",IF(INDEX($AD$2:$AU$1001,MATCH(ROWS($W$2:W854),$W$2:$W$1001,0),MATCH(COLUMNS($AD$1006:AP1006),$AD$1006:$AU$1006,0)), HYPERLINK("#",""), HYPERLINK(CONCATENATE("#metadata!", ADDRESS(INDEX($Y$2:$Y$1001,MATCH(ROWS($W$2:W854),$W$2:$W$1001,0),0), INDEX($AD$1004:$AU$1004,1,MATCH(COLUMNS($AD$1006:AP1006),$AD$1006:$AU$1006,0)))),"Fix")))</f>
        <v xml:space="preserve"> </v>
      </c>
      <c r="O854" s="4" t="str">
        <f ca="1">IF(OR(INDEX($X$2:$X$1001,MATCH(ROWS($W$2:W854),$W$2:$W$1001,0),1)&gt;=100000,INDEX($AD$1005:$AU$1005,1,MATCH(COLUMNS($AD$1006:AQ1006),$AD$1006:$AU$1006,0))&gt;=100000), " ",IF(INDEX($AD$2:$AU$1001,MATCH(ROWS($W$2:W854),$W$2:$W$1001,0),MATCH(COLUMNS($AD$1006:AQ1006),$AD$1006:$AU$1006,0)), HYPERLINK("#",""), HYPERLINK(CONCATENATE("#metadata!", ADDRESS(INDEX($Y$2:$Y$1001,MATCH(ROWS($W$2:W854),$W$2:$W$1001,0),0), INDEX($AD$1004:$AU$1004,1,MATCH(COLUMNS($AD$1006:AQ1006),$AD$1006:$AU$1006,0)))),"Fix")))</f>
        <v xml:space="preserve"> </v>
      </c>
      <c r="P854" s="4" t="str">
        <f ca="1">IF(OR(INDEX($X$2:$X$1001,MATCH(ROWS($W$2:W854),$W$2:$W$1001,0),1)&gt;=100000,INDEX($AD$1005:$AU$1005,1,MATCH(COLUMNS($AD$1006:AR1006),$AD$1006:$AU$1006,0))&gt;=100000), " ",IF(INDEX($AD$2:$AU$1001,MATCH(ROWS($W$2:W854),$W$2:$W$1001,0),MATCH(COLUMNS($AD$1006:AR1006),$AD$1006:$AU$1006,0)), HYPERLINK("#",""), HYPERLINK(CONCATENATE("#metadata!", ADDRESS(INDEX($Y$2:$Y$1001,MATCH(ROWS($W$2:W854),$W$2:$W$1001,0),0), INDEX($AD$1004:$AU$1004,1,MATCH(COLUMNS($AD$1006:AR1006),$AD$1006:$AU$1006,0)))),"Fix")))</f>
        <v xml:space="preserve"> </v>
      </c>
      <c r="Q854" s="4" t="str">
        <f ca="1">IF(OR(INDEX($X$2:$X$1001,MATCH(ROWS($W$2:W854),$W$2:$W$1001,0),1)&gt;=100000,INDEX($AD$1005:$AU$1005,1,MATCH(COLUMNS($AD$1006:AS1006),$AD$1006:$AU$1006,0))&gt;=100000), " ",IF(INDEX($AD$2:$AU$1001,MATCH(ROWS($W$2:W854),$W$2:$W$1001,0),MATCH(COLUMNS($AD$1006:AS1006),$AD$1006:$AU$1006,0)), HYPERLINK("#",""), HYPERLINK(CONCATENATE("#metadata!", ADDRESS(INDEX($Y$2:$Y$1001,MATCH(ROWS($W$2:W854),$W$2:$W$1001,0),0), INDEX($AD$1004:$AU$1004,1,MATCH(COLUMNS($AD$1006:AS1006),$AD$1006:$AU$1006,0)))),"Fix")))</f>
        <v xml:space="preserve"> </v>
      </c>
      <c r="R854" s="4" t="str">
        <f ca="1">IF(OR(INDEX($X$2:$X$1001,MATCH(ROWS($W$2:W854),$W$2:$W$1001,0),1)&gt;=100000,INDEX($AD$1005:$AU$1005,1,MATCH(COLUMNS($AD$1006:AT1006),$AD$1006:$AU$1006,0))&gt;=100000), " ",IF(INDEX($AD$2:$AU$1001,MATCH(ROWS($W$2:W854),$W$2:$W$1001,0),MATCH(COLUMNS($AD$1006:AT1006),$AD$1006:$AU$1006,0)), HYPERLINK("#",""), HYPERLINK(CONCATENATE("#metadata!", ADDRESS(INDEX($Y$2:$Y$1001,MATCH(ROWS($W$2:W854),$W$2:$W$1001,0),0), INDEX($AD$1004:$AU$1004,1,MATCH(COLUMNS($AD$1006:AT1006),$AD$1006:$AU$1006,0)))),"Fix")))</f>
        <v xml:space="preserve"> </v>
      </c>
      <c r="S854" s="4" t="str">
        <f ca="1">IF(OR(INDEX($X$2:$X$1001,MATCH(ROWS($W$2:W854),$W$2:$W$1001,0),1)&gt;=100000,INDEX($AD$1005:$AU$1005,1,MATCH(COLUMNS($AD$1006:AU1006),$AD$1006:$AU$1006,0))&gt;=100000), " ",IF(INDEX($AD$2:$AU$1001,MATCH(ROWS($W$2:W854),$W$2:$W$1001,0),MATCH(COLUMNS($AD$1006:AU1006),$AD$1006:$AU$1006,0)), HYPERLINK("#",""), HYPERLINK(CONCATENATE("#metadata!", ADDRESS(INDEX($Y$2:$Y$1001,MATCH(ROWS($W$2:W854),$W$2:$W$1001,0),0), INDEX($AD$1004:$AU$1004,1,MATCH(COLUMNS($AD$1006:AU1006),$AD$1006:$AU$1006,0)))),"Fix")))</f>
        <v xml:space="preserve"> </v>
      </c>
      <c r="W854">
        <v>853</v>
      </c>
      <c r="X854">
        <v>100854</v>
      </c>
      <c r="Y854">
        <v>854</v>
      </c>
      <c r="Z854" t="b">
        <f t="shared" si="13"/>
        <v>1</v>
      </c>
      <c r="AA854" t="b">
        <f>COUNTBLANK(metadata!B854:S854)=COLUMNS(metadata!B854:S854)</f>
        <v>1</v>
      </c>
      <c r="AB854" t="str">
        <v/>
      </c>
      <c r="AD854" t="b">
        <f ca="1">AND(IF(metadata!B854="",FALSE,TRUE),COUNTIF(metadata!B:B, metadata!B854) = 1,NOT(ISERROR(SUMPRODUCT(SEARCH(MID(metadata!B854,ROW(INDIRECT("1:"&amp;LEN(metadata!B854))), 1),"0123456789abcdefghijklmnopqrstuvwxyzABCDEFGHIJKLMNOPQRSTUVWXYZ.")))))</f>
        <v>0</v>
      </c>
      <c r="AE854" t="b">
        <f>OR(AND(IF(metadata!C854="",FALSE,TRUE),OR(EXACT(metadata!C854,"not applicable"),EXACT(metadata!C854,"missing: not collected"),EXACT(metadata!C854,"missing: not provided"),EXACT(metadata!C854,"missing: restricted access"))),AND(IF(metadata!C854="",FALSE,ISNUMBER(VALUE(metadata!C854))),metadata!C854&gt;0))</f>
        <v>0</v>
      </c>
      <c r="AF854" t="b">
        <f>AND(IF(metadata!D854="",FALSE,TRUE),EXACT(metadata!D854,"missing: not provided"))</f>
        <v>0</v>
      </c>
      <c r="AG854" t="b">
        <f>AND(IF(metadata!E854="",FALSE,TRUE),EXACT(metadata!E854,"Host-associated"))</f>
        <v>0</v>
      </c>
      <c r="AH854" t="b">
        <f>AND(IF(metadata!F854="",FALSE,TRUE),OR(EXACT(metadata!F854,"Animal"),EXACT(metadata!F854,"Fungus"),EXACT(metadata!F854,"Plant")))</f>
        <v>0</v>
      </c>
      <c r="AI854" t="b">
        <f>AND(IF(metadata!G854="",FALSE,TRUE),OR(EXACT(metadata!G854,"Plant secretion"),EXACT(metadata!G854,"Plant rhizosphere"),EXACT(metadata!G854,"Plant surface"),EXACT(metadata!G854,"Plant corpus"),EXACT(metadata!G854,"Fungus surface"),EXACT(metadata!G854,"Fungus corpus"),EXACT(metadata!G854,"Animal surface"),EXACT(metadata!G854,"Animal proximal gut"),EXACT(metadata!G854,"Animal corpus"),EXACT(metadata!G854,"Animal distal gut"),EXACT(metadata!G854,"Animal secretion")))</f>
        <v>0</v>
      </c>
      <c r="AJ854" t="b">
        <f>OR(AND(IF(metadata!H854="",FALSE,TRUE),OR(EXACT(metadata!H854,"missing: not collected"),EXACT(metadata!H854,"missing: not provided"),EXACT(metadata!H854,"missing: restricted access"))),AND(IF(metadata!H854="",FALSE,TRUE),OR(EXACT(metadata!H854,"organism-associated habitat"),EXACT(metadata!H854,"plant-associated habitat"),EXACT(metadata!H854,"animal-associated habitat"),EXACT(metadata!H854,"insecta-associated habitat"),EXACT(metadata!H854,"mammalia-associated habitat"),EXACT(metadata!H854,"human-associated habitat"),EXACT(metadata!H854,"livestock-associated habitat"))))</f>
        <v>0</v>
      </c>
      <c r="AK854" t="b">
        <f>AND(IF(metadata!I854="",FALSE,TRUE),EXACT(metadata!I854,"host-associated"))</f>
        <v>0</v>
      </c>
      <c r="AL854" t="b">
        <f>OR(AND(IF(metadata!J854="",FALSE,TRUE),OR(EXACT(metadata!J854,"not applicable"),EXACT(metadata!J854,"missing: not collected"),EXACT(metadata!J854,"missing: not provided"),EXACT(metadata!J854,"missing: restricted access"))),AND(IF(metadata!J854="",FALSE,ISNUMBER(VALUE(metadata!J854))),metadata!J854&gt;0))</f>
        <v>0</v>
      </c>
      <c r="AM854" t="b">
        <f>AND(IF(metadata!K854="",FALSE,TRUE),EXACT(metadata!K854,"missing: not provided"))</f>
        <v>0</v>
      </c>
      <c r="AN854" t="b">
        <f>IF(metadata!L854="",FALSE,TRUE)</f>
        <v>0</v>
      </c>
      <c r="AO854" t="b">
        <f>IF(metadata!M854="",FALSE,TRUE)</f>
        <v>0</v>
      </c>
      <c r="AP854" t="b">
        <f>OR(AND(IF(metadata!N854="",FALSE,TRUE),OR(EXACT(metadata!N854,"not applicable"),EXACT(metadata!N854,"missing: not collected"),EXACT(metadata!N854,"missing: not provided"))),AND(IF(metadata!N854="",FALSE,IF(ISERROR(INT(metadata!N854)),FALSE,INT(metadata!N854)=metadata!N854)),metadata!N854&gt;0))</f>
        <v>0</v>
      </c>
      <c r="AQ854" t="b">
        <f>AND(IF(metadata!O854="",FALSE,TRUE),EXACT(metadata!O854,"Not applicable"))</f>
        <v>0</v>
      </c>
      <c r="AR854" t="b">
        <f>OR(AND(IF(metadata!P854="",FALSE,TRUE),OR(EXACT(metadata!P854,"not applicable"),EXACT(metadata!P854,"missing: not collected"),EXACT(metadata!P854,"missing: not provided"),EXACT(metadata!P854,"missing: restricted access"))),IF(metadata!P854="",FALSE,IF(ISERROR(INT(metadata!P854)),FALSE,INT(metadata!P854)=metadata!P854)))</f>
        <v>0</v>
      </c>
      <c r="AS854" t="b">
        <f>AND(IF(metadata!Q854="",FALSE,TRUE),EXACT(metadata!Q854,"Not applicable"))</f>
        <v>0</v>
      </c>
      <c r="AT854" t="b">
        <f>OR(AND(IF(metadata!R854="",FALSE,TRUE),OR(EXACT(metadata!R854,"not applicable"),EXACT(metadata!R854,"missing: not collected"),EXACT(metadata!R854,"missing: not provided"),EXACT(metadata!R854,"missing: restricted access"))),AND(IF(metadata!R854="",FALSE,ISNUMBER(VALUE(metadata!R854))),metadata!R854&gt;0))</f>
        <v>0</v>
      </c>
      <c r="AU854" t="b">
        <f>AND(IF(metadata!S854="",FALSE,TRUE),EXACT(metadata!S854,"missing: not provided"))</f>
        <v>0</v>
      </c>
    </row>
    <row r="855" spans="1:47" x14ac:dyDescent="0.2">
      <c r="A855" s="5" t="str">
        <f ca="1">IF(B855=" "," ",HYPERLINK(CONCATENATE("#metadata!",ADDRESS(INDEX($Y$2:$Y$1001,MATCH(ROWS($W$2:W855),$W$2:$W$1001,0),0),1)),INDEX($AB$2:$AB$1001,MATCH(ROWS($W$2:W855),$W$2:$W$1001,0),0)))</f>
        <v xml:space="preserve"> </v>
      </c>
      <c r="B855" s="4" t="str">
        <f ca="1">IF(OR(INDEX($X$2:$X$1001,MATCH(ROWS($W$2:W855),$W$2:$W$1001,0),1)&gt;=100000,INDEX($AD$1005:$AU$1005,1,MATCH(COLUMNS($AD$1006:AD1006),$AD$1006:$AU$1006,0))&gt;=100000), " ",IF(INDEX($AD$2:$AU$1001,MATCH(ROWS($W$2:W855),$W$2:$W$1001,0),MATCH(COLUMNS($AD$1006:AD1006),$AD$1006:$AU$1006,0)), HYPERLINK("#",""), HYPERLINK(CONCATENATE("#metadata!", ADDRESS(INDEX($Y$2:$Y$1001,MATCH(ROWS($W$2:W855),$W$2:$W$1001,0),0), INDEX($AD$1004:$AU$1004,1,MATCH(COLUMNS($AD$1006:AD1006),$AD$1006:$AU$1006,0)))),"Fix")))</f>
        <v xml:space="preserve"> </v>
      </c>
      <c r="C855" s="4" t="str">
        <f ca="1">IF(OR(INDEX($X$2:$X$1001,MATCH(ROWS($W$2:W855),$W$2:$W$1001,0),1)&gt;=100000,INDEX($AD$1005:$AU$1005,1,MATCH(COLUMNS($AD$1006:AE1006),$AD$1006:$AU$1006,0))&gt;=100000), " ",IF(INDEX($AD$2:$AU$1001,MATCH(ROWS($W$2:W855),$W$2:$W$1001,0),MATCH(COLUMNS($AD$1006:AE1006),$AD$1006:$AU$1006,0)), HYPERLINK("#",""), HYPERLINK(CONCATENATE("#metadata!", ADDRESS(INDEX($Y$2:$Y$1001,MATCH(ROWS($W$2:W855),$W$2:$W$1001,0),0), INDEX($AD$1004:$AU$1004,1,MATCH(COLUMNS($AD$1006:AE1006),$AD$1006:$AU$1006,0)))),"Fix")))</f>
        <v xml:space="preserve"> </v>
      </c>
      <c r="D855" s="4" t="str">
        <f ca="1">IF(OR(INDEX($X$2:$X$1001,MATCH(ROWS($W$2:W855),$W$2:$W$1001,0),1)&gt;=100000,INDEX($AD$1005:$AU$1005,1,MATCH(COLUMNS($AD$1006:AF1006),$AD$1006:$AU$1006,0))&gt;=100000), " ",IF(INDEX($AD$2:$AU$1001,MATCH(ROWS($W$2:W855),$W$2:$W$1001,0),MATCH(COLUMNS($AD$1006:AF1006),$AD$1006:$AU$1006,0)), HYPERLINK("#",""), HYPERLINK(CONCATENATE("#metadata!", ADDRESS(INDEX($Y$2:$Y$1001,MATCH(ROWS($W$2:W855),$W$2:$W$1001,0),0), INDEX($AD$1004:$AU$1004,1,MATCH(COLUMNS($AD$1006:AF1006),$AD$1006:$AU$1006,0)))),"Fix")))</f>
        <v xml:space="preserve"> </v>
      </c>
      <c r="E855" s="4" t="str">
        <f ca="1">IF(OR(INDEX($X$2:$X$1001,MATCH(ROWS($W$2:W855),$W$2:$W$1001,0),1)&gt;=100000,INDEX($AD$1005:$AU$1005,1,MATCH(COLUMNS($AD$1006:AG1006),$AD$1006:$AU$1006,0))&gt;=100000), " ",IF(INDEX($AD$2:$AU$1001,MATCH(ROWS($W$2:W855),$W$2:$W$1001,0),MATCH(COLUMNS($AD$1006:AG1006),$AD$1006:$AU$1006,0)), HYPERLINK("#",""), HYPERLINK(CONCATENATE("#metadata!", ADDRESS(INDEX($Y$2:$Y$1001,MATCH(ROWS($W$2:W855),$W$2:$W$1001,0),0), INDEX($AD$1004:$AU$1004,1,MATCH(COLUMNS($AD$1006:AG1006),$AD$1006:$AU$1006,0)))),"Fix")))</f>
        <v xml:space="preserve"> </v>
      </c>
      <c r="F855" s="4" t="str">
        <f ca="1">IF(OR(INDEX($X$2:$X$1001,MATCH(ROWS($W$2:W855),$W$2:$W$1001,0),1)&gt;=100000,INDEX($AD$1005:$AU$1005,1,MATCH(COLUMNS($AD$1006:AH1006),$AD$1006:$AU$1006,0))&gt;=100000), " ",IF(INDEX($AD$2:$AU$1001,MATCH(ROWS($W$2:W855),$W$2:$W$1001,0),MATCH(COLUMNS($AD$1006:AH1006),$AD$1006:$AU$1006,0)), HYPERLINK("#",""), HYPERLINK(CONCATENATE("#metadata!", ADDRESS(INDEX($Y$2:$Y$1001,MATCH(ROWS($W$2:W855),$W$2:$W$1001,0),0), INDEX($AD$1004:$AU$1004,1,MATCH(COLUMNS($AD$1006:AH1006),$AD$1006:$AU$1006,0)))),"Fix")))</f>
        <v xml:space="preserve"> </v>
      </c>
      <c r="G855" s="4" t="str">
        <f ca="1">IF(OR(INDEX($X$2:$X$1001,MATCH(ROWS($W$2:W855),$W$2:$W$1001,0),1)&gt;=100000,INDEX($AD$1005:$AU$1005,1,MATCH(COLUMNS($AD$1006:AI1006),$AD$1006:$AU$1006,0))&gt;=100000), " ",IF(INDEX($AD$2:$AU$1001,MATCH(ROWS($W$2:W855),$W$2:$W$1001,0),MATCH(COLUMNS($AD$1006:AI1006),$AD$1006:$AU$1006,0)), HYPERLINK("#",""), HYPERLINK(CONCATENATE("#metadata!", ADDRESS(INDEX($Y$2:$Y$1001,MATCH(ROWS($W$2:W855),$W$2:$W$1001,0),0), INDEX($AD$1004:$AU$1004,1,MATCH(COLUMNS($AD$1006:AI1006),$AD$1006:$AU$1006,0)))),"Fix")))</f>
        <v xml:space="preserve"> </v>
      </c>
      <c r="H855" s="4" t="str">
        <f ca="1">IF(OR(INDEX($X$2:$X$1001,MATCH(ROWS($W$2:W855),$W$2:$W$1001,0),1)&gt;=100000,INDEX($AD$1005:$AU$1005,1,MATCH(COLUMNS($AD$1006:AJ1006),$AD$1006:$AU$1006,0))&gt;=100000), " ",IF(INDEX($AD$2:$AU$1001,MATCH(ROWS($W$2:W855),$W$2:$W$1001,0),MATCH(COLUMNS($AD$1006:AJ1006),$AD$1006:$AU$1006,0)), HYPERLINK("#",""), HYPERLINK(CONCATENATE("#metadata!", ADDRESS(INDEX($Y$2:$Y$1001,MATCH(ROWS($W$2:W855),$W$2:$W$1001,0),0), INDEX($AD$1004:$AU$1004,1,MATCH(COLUMNS($AD$1006:AJ1006),$AD$1006:$AU$1006,0)))),"Fix")))</f>
        <v xml:space="preserve"> </v>
      </c>
      <c r="I855" s="4" t="str">
        <f ca="1">IF(OR(INDEX($X$2:$X$1001,MATCH(ROWS($W$2:W855),$W$2:$W$1001,0),1)&gt;=100000,INDEX($AD$1005:$AU$1005,1,MATCH(COLUMNS($AD$1006:AK1006),$AD$1006:$AU$1006,0))&gt;=100000), " ",IF(INDEX($AD$2:$AU$1001,MATCH(ROWS($W$2:W855),$W$2:$W$1001,0),MATCH(COLUMNS($AD$1006:AK1006),$AD$1006:$AU$1006,0)), HYPERLINK("#",""), HYPERLINK(CONCATENATE("#metadata!", ADDRESS(INDEX($Y$2:$Y$1001,MATCH(ROWS($W$2:W855),$W$2:$W$1001,0),0), INDEX($AD$1004:$AU$1004,1,MATCH(COLUMNS($AD$1006:AK1006),$AD$1006:$AU$1006,0)))),"Fix")))</f>
        <v xml:space="preserve"> </v>
      </c>
      <c r="J855" s="4" t="str">
        <f ca="1">IF(OR(INDEX($X$2:$X$1001,MATCH(ROWS($W$2:W855),$W$2:$W$1001,0),1)&gt;=100000,INDEX($AD$1005:$AU$1005,1,MATCH(COLUMNS($AD$1006:AL1006),$AD$1006:$AU$1006,0))&gt;=100000), " ",IF(INDEX($AD$2:$AU$1001,MATCH(ROWS($W$2:W855),$W$2:$W$1001,0),MATCH(COLUMNS($AD$1006:AL1006),$AD$1006:$AU$1006,0)), HYPERLINK("#",""), HYPERLINK(CONCATENATE("#metadata!", ADDRESS(INDEX($Y$2:$Y$1001,MATCH(ROWS($W$2:W855),$W$2:$W$1001,0),0), INDEX($AD$1004:$AU$1004,1,MATCH(COLUMNS($AD$1006:AL1006),$AD$1006:$AU$1006,0)))),"Fix")))</f>
        <v xml:space="preserve"> </v>
      </c>
      <c r="K855" s="4" t="str">
        <f ca="1">IF(OR(INDEX($X$2:$X$1001,MATCH(ROWS($W$2:W855),$W$2:$W$1001,0),1)&gt;=100000,INDEX($AD$1005:$AU$1005,1,MATCH(COLUMNS($AD$1006:AM1006),$AD$1006:$AU$1006,0))&gt;=100000), " ",IF(INDEX($AD$2:$AU$1001,MATCH(ROWS($W$2:W855),$W$2:$W$1001,0),MATCH(COLUMNS($AD$1006:AM1006),$AD$1006:$AU$1006,0)), HYPERLINK("#",""), HYPERLINK(CONCATENATE("#metadata!", ADDRESS(INDEX($Y$2:$Y$1001,MATCH(ROWS($W$2:W855),$W$2:$W$1001,0),0), INDEX($AD$1004:$AU$1004,1,MATCH(COLUMNS($AD$1006:AM1006),$AD$1006:$AU$1006,0)))),"Fix")))</f>
        <v xml:space="preserve"> </v>
      </c>
      <c r="L855" s="4" t="str">
        <f ca="1">IF(OR(INDEX($X$2:$X$1001,MATCH(ROWS($W$2:W855),$W$2:$W$1001,0),1)&gt;=100000,INDEX($AD$1005:$AU$1005,1,MATCH(COLUMNS($AD$1006:AN1006),$AD$1006:$AU$1006,0))&gt;=100000), " ",IF(INDEX($AD$2:$AU$1001,MATCH(ROWS($W$2:W855),$W$2:$W$1001,0),MATCH(COLUMNS($AD$1006:AN1006),$AD$1006:$AU$1006,0)), HYPERLINK("#",""), HYPERLINK(CONCATENATE("#metadata!", ADDRESS(INDEX($Y$2:$Y$1001,MATCH(ROWS($W$2:W855),$W$2:$W$1001,0),0), INDEX($AD$1004:$AU$1004,1,MATCH(COLUMNS($AD$1006:AN1006),$AD$1006:$AU$1006,0)))),"Fix")))</f>
        <v xml:space="preserve"> </v>
      </c>
      <c r="M855" s="4" t="str">
        <f ca="1">IF(OR(INDEX($X$2:$X$1001,MATCH(ROWS($W$2:W855),$W$2:$W$1001,0),1)&gt;=100000,INDEX($AD$1005:$AU$1005,1,MATCH(COLUMNS($AD$1006:AO1006),$AD$1006:$AU$1006,0))&gt;=100000), " ",IF(INDEX($AD$2:$AU$1001,MATCH(ROWS($W$2:W855),$W$2:$W$1001,0),MATCH(COLUMNS($AD$1006:AO1006),$AD$1006:$AU$1006,0)), HYPERLINK("#",""), HYPERLINK(CONCATENATE("#metadata!", ADDRESS(INDEX($Y$2:$Y$1001,MATCH(ROWS($W$2:W855),$W$2:$W$1001,0),0), INDEX($AD$1004:$AU$1004,1,MATCH(COLUMNS($AD$1006:AO1006),$AD$1006:$AU$1006,0)))),"Fix")))</f>
        <v xml:space="preserve"> </v>
      </c>
      <c r="N855" s="4" t="str">
        <f ca="1">IF(OR(INDEX($X$2:$X$1001,MATCH(ROWS($W$2:W855),$W$2:$W$1001,0),1)&gt;=100000,INDEX($AD$1005:$AU$1005,1,MATCH(COLUMNS($AD$1006:AP1006),$AD$1006:$AU$1006,0))&gt;=100000), " ",IF(INDEX($AD$2:$AU$1001,MATCH(ROWS($W$2:W855),$W$2:$W$1001,0),MATCH(COLUMNS($AD$1006:AP1006),$AD$1006:$AU$1006,0)), HYPERLINK("#",""), HYPERLINK(CONCATENATE("#metadata!", ADDRESS(INDEX($Y$2:$Y$1001,MATCH(ROWS($W$2:W855),$W$2:$W$1001,0),0), INDEX($AD$1004:$AU$1004,1,MATCH(COLUMNS($AD$1006:AP1006),$AD$1006:$AU$1006,0)))),"Fix")))</f>
        <v xml:space="preserve"> </v>
      </c>
      <c r="O855" s="4" t="str">
        <f ca="1">IF(OR(INDEX($X$2:$X$1001,MATCH(ROWS($W$2:W855),$W$2:$W$1001,0),1)&gt;=100000,INDEX($AD$1005:$AU$1005,1,MATCH(COLUMNS($AD$1006:AQ1006),$AD$1006:$AU$1006,0))&gt;=100000), " ",IF(INDEX($AD$2:$AU$1001,MATCH(ROWS($W$2:W855),$W$2:$W$1001,0),MATCH(COLUMNS($AD$1006:AQ1006),$AD$1006:$AU$1006,0)), HYPERLINK("#",""), HYPERLINK(CONCATENATE("#metadata!", ADDRESS(INDEX($Y$2:$Y$1001,MATCH(ROWS($W$2:W855),$W$2:$W$1001,0),0), INDEX($AD$1004:$AU$1004,1,MATCH(COLUMNS($AD$1006:AQ1006),$AD$1006:$AU$1006,0)))),"Fix")))</f>
        <v xml:space="preserve"> </v>
      </c>
      <c r="P855" s="4" t="str">
        <f ca="1">IF(OR(INDEX($X$2:$X$1001,MATCH(ROWS($W$2:W855),$W$2:$W$1001,0),1)&gt;=100000,INDEX($AD$1005:$AU$1005,1,MATCH(COLUMNS($AD$1006:AR1006),$AD$1006:$AU$1006,0))&gt;=100000), " ",IF(INDEX($AD$2:$AU$1001,MATCH(ROWS($W$2:W855),$W$2:$W$1001,0),MATCH(COLUMNS($AD$1006:AR1006),$AD$1006:$AU$1006,0)), HYPERLINK("#",""), HYPERLINK(CONCATENATE("#metadata!", ADDRESS(INDEX($Y$2:$Y$1001,MATCH(ROWS($W$2:W855),$W$2:$W$1001,0),0), INDEX($AD$1004:$AU$1004,1,MATCH(COLUMNS($AD$1006:AR1006),$AD$1006:$AU$1006,0)))),"Fix")))</f>
        <v xml:space="preserve"> </v>
      </c>
      <c r="Q855" s="4" t="str">
        <f ca="1">IF(OR(INDEX($X$2:$X$1001,MATCH(ROWS($W$2:W855),$W$2:$W$1001,0),1)&gt;=100000,INDEX($AD$1005:$AU$1005,1,MATCH(COLUMNS($AD$1006:AS1006),$AD$1006:$AU$1006,0))&gt;=100000), " ",IF(INDEX($AD$2:$AU$1001,MATCH(ROWS($W$2:W855),$W$2:$W$1001,0),MATCH(COLUMNS($AD$1006:AS1006),$AD$1006:$AU$1006,0)), HYPERLINK("#",""), HYPERLINK(CONCATENATE("#metadata!", ADDRESS(INDEX($Y$2:$Y$1001,MATCH(ROWS($W$2:W855),$W$2:$W$1001,0),0), INDEX($AD$1004:$AU$1004,1,MATCH(COLUMNS($AD$1006:AS1006),$AD$1006:$AU$1006,0)))),"Fix")))</f>
        <v xml:space="preserve"> </v>
      </c>
      <c r="R855" s="4" t="str">
        <f ca="1">IF(OR(INDEX($X$2:$X$1001,MATCH(ROWS($W$2:W855),$W$2:$W$1001,0),1)&gt;=100000,INDEX($AD$1005:$AU$1005,1,MATCH(COLUMNS($AD$1006:AT1006),$AD$1006:$AU$1006,0))&gt;=100000), " ",IF(INDEX($AD$2:$AU$1001,MATCH(ROWS($W$2:W855),$W$2:$W$1001,0),MATCH(COLUMNS($AD$1006:AT1006),$AD$1006:$AU$1006,0)), HYPERLINK("#",""), HYPERLINK(CONCATENATE("#metadata!", ADDRESS(INDEX($Y$2:$Y$1001,MATCH(ROWS($W$2:W855),$W$2:$W$1001,0),0), INDEX($AD$1004:$AU$1004,1,MATCH(COLUMNS($AD$1006:AT1006),$AD$1006:$AU$1006,0)))),"Fix")))</f>
        <v xml:space="preserve"> </v>
      </c>
      <c r="S855" s="4" t="str">
        <f ca="1">IF(OR(INDEX($X$2:$X$1001,MATCH(ROWS($W$2:W855),$W$2:$W$1001,0),1)&gt;=100000,INDEX($AD$1005:$AU$1005,1,MATCH(COLUMNS($AD$1006:AU1006),$AD$1006:$AU$1006,0))&gt;=100000), " ",IF(INDEX($AD$2:$AU$1001,MATCH(ROWS($W$2:W855),$W$2:$W$1001,0),MATCH(COLUMNS($AD$1006:AU1006),$AD$1006:$AU$1006,0)), HYPERLINK("#",""), HYPERLINK(CONCATENATE("#metadata!", ADDRESS(INDEX($Y$2:$Y$1001,MATCH(ROWS($W$2:W855),$W$2:$W$1001,0),0), INDEX($AD$1004:$AU$1004,1,MATCH(COLUMNS($AD$1006:AU1006),$AD$1006:$AU$1006,0)))),"Fix")))</f>
        <v xml:space="preserve"> </v>
      </c>
      <c r="W855">
        <v>854</v>
      </c>
      <c r="X855">
        <v>100855</v>
      </c>
      <c r="Y855">
        <v>855</v>
      </c>
      <c r="Z855" t="b">
        <f t="shared" si="13"/>
        <v>1</v>
      </c>
      <c r="AA855" t="b">
        <f>COUNTBLANK(metadata!B855:S855)=COLUMNS(metadata!B855:S855)</f>
        <v>1</v>
      </c>
      <c r="AB855" t="str">
        <v/>
      </c>
      <c r="AD855" t="b">
        <f ca="1">AND(IF(metadata!B855="",FALSE,TRUE),COUNTIF(metadata!B:B, metadata!B855) = 1,NOT(ISERROR(SUMPRODUCT(SEARCH(MID(metadata!B855,ROW(INDIRECT("1:"&amp;LEN(metadata!B855))), 1),"0123456789abcdefghijklmnopqrstuvwxyzABCDEFGHIJKLMNOPQRSTUVWXYZ.")))))</f>
        <v>0</v>
      </c>
      <c r="AE855" t="b">
        <f>OR(AND(IF(metadata!C855="",FALSE,TRUE),OR(EXACT(metadata!C855,"not applicable"),EXACT(metadata!C855,"missing: not collected"),EXACT(metadata!C855,"missing: not provided"),EXACT(metadata!C855,"missing: restricted access"))),AND(IF(metadata!C855="",FALSE,ISNUMBER(VALUE(metadata!C855))),metadata!C855&gt;0))</f>
        <v>0</v>
      </c>
      <c r="AF855" t="b">
        <f>AND(IF(metadata!D855="",FALSE,TRUE),EXACT(metadata!D855,"missing: not provided"))</f>
        <v>0</v>
      </c>
      <c r="AG855" t="b">
        <f>AND(IF(metadata!E855="",FALSE,TRUE),EXACT(metadata!E855,"Host-associated"))</f>
        <v>0</v>
      </c>
      <c r="AH855" t="b">
        <f>AND(IF(metadata!F855="",FALSE,TRUE),OR(EXACT(metadata!F855,"Animal"),EXACT(metadata!F855,"Fungus"),EXACT(metadata!F855,"Plant")))</f>
        <v>0</v>
      </c>
      <c r="AI855" t="b">
        <f>AND(IF(metadata!G855="",FALSE,TRUE),OR(EXACT(metadata!G855,"Plant secretion"),EXACT(metadata!G855,"Plant rhizosphere"),EXACT(metadata!G855,"Plant surface"),EXACT(metadata!G855,"Plant corpus"),EXACT(metadata!G855,"Fungus surface"),EXACT(metadata!G855,"Fungus corpus"),EXACT(metadata!G855,"Animal surface"),EXACT(metadata!G855,"Animal proximal gut"),EXACT(metadata!G855,"Animal corpus"),EXACT(metadata!G855,"Animal distal gut"),EXACT(metadata!G855,"Animal secretion")))</f>
        <v>0</v>
      </c>
      <c r="AJ855" t="b">
        <f>OR(AND(IF(metadata!H855="",FALSE,TRUE),OR(EXACT(metadata!H855,"missing: not collected"),EXACT(metadata!H855,"missing: not provided"),EXACT(metadata!H855,"missing: restricted access"))),AND(IF(metadata!H855="",FALSE,TRUE),OR(EXACT(metadata!H855,"organism-associated habitat"),EXACT(metadata!H855,"plant-associated habitat"),EXACT(metadata!H855,"animal-associated habitat"),EXACT(metadata!H855,"insecta-associated habitat"),EXACT(metadata!H855,"mammalia-associated habitat"),EXACT(metadata!H855,"human-associated habitat"),EXACT(metadata!H855,"livestock-associated habitat"))))</f>
        <v>0</v>
      </c>
      <c r="AK855" t="b">
        <f>AND(IF(metadata!I855="",FALSE,TRUE),EXACT(metadata!I855,"host-associated"))</f>
        <v>0</v>
      </c>
      <c r="AL855" t="b">
        <f>OR(AND(IF(metadata!J855="",FALSE,TRUE),OR(EXACT(metadata!J855,"not applicable"),EXACT(metadata!J855,"missing: not collected"),EXACT(metadata!J855,"missing: not provided"),EXACT(metadata!J855,"missing: restricted access"))),AND(IF(metadata!J855="",FALSE,ISNUMBER(VALUE(metadata!J855))),metadata!J855&gt;0))</f>
        <v>0</v>
      </c>
      <c r="AM855" t="b">
        <f>AND(IF(metadata!K855="",FALSE,TRUE),EXACT(metadata!K855,"missing: not provided"))</f>
        <v>0</v>
      </c>
      <c r="AN855" t="b">
        <f>IF(metadata!L855="",FALSE,TRUE)</f>
        <v>0</v>
      </c>
      <c r="AO855" t="b">
        <f>IF(metadata!M855="",FALSE,TRUE)</f>
        <v>0</v>
      </c>
      <c r="AP855" t="b">
        <f>OR(AND(IF(metadata!N855="",FALSE,TRUE),OR(EXACT(metadata!N855,"not applicable"),EXACT(metadata!N855,"missing: not collected"),EXACT(metadata!N855,"missing: not provided"))),AND(IF(metadata!N855="",FALSE,IF(ISERROR(INT(metadata!N855)),FALSE,INT(metadata!N855)=metadata!N855)),metadata!N855&gt;0))</f>
        <v>0</v>
      </c>
      <c r="AQ855" t="b">
        <f>AND(IF(metadata!O855="",FALSE,TRUE),EXACT(metadata!O855,"Not applicable"))</f>
        <v>0</v>
      </c>
      <c r="AR855" t="b">
        <f>OR(AND(IF(metadata!P855="",FALSE,TRUE),OR(EXACT(metadata!P855,"not applicable"),EXACT(metadata!P855,"missing: not collected"),EXACT(metadata!P855,"missing: not provided"),EXACT(metadata!P855,"missing: restricted access"))),IF(metadata!P855="",FALSE,IF(ISERROR(INT(metadata!P855)),FALSE,INT(metadata!P855)=metadata!P855)))</f>
        <v>0</v>
      </c>
      <c r="AS855" t="b">
        <f>AND(IF(metadata!Q855="",FALSE,TRUE),EXACT(metadata!Q855,"Not applicable"))</f>
        <v>0</v>
      </c>
      <c r="AT855" t="b">
        <f>OR(AND(IF(metadata!R855="",FALSE,TRUE),OR(EXACT(metadata!R855,"not applicable"),EXACT(metadata!R855,"missing: not collected"),EXACT(metadata!R855,"missing: not provided"),EXACT(metadata!R855,"missing: restricted access"))),AND(IF(metadata!R855="",FALSE,ISNUMBER(VALUE(metadata!R855))),metadata!R855&gt;0))</f>
        <v>0</v>
      </c>
      <c r="AU855" t="b">
        <f>AND(IF(metadata!S855="",FALSE,TRUE),EXACT(metadata!S855,"missing: not provided"))</f>
        <v>0</v>
      </c>
    </row>
    <row r="856" spans="1:47" x14ac:dyDescent="0.2">
      <c r="A856" s="5" t="str">
        <f ca="1">IF(B856=" "," ",HYPERLINK(CONCATENATE("#metadata!",ADDRESS(INDEX($Y$2:$Y$1001,MATCH(ROWS($W$2:W856),$W$2:$W$1001,0),0),1)),INDEX($AB$2:$AB$1001,MATCH(ROWS($W$2:W856),$W$2:$W$1001,0),0)))</f>
        <v xml:space="preserve"> </v>
      </c>
      <c r="B856" s="4" t="str">
        <f ca="1">IF(OR(INDEX($X$2:$X$1001,MATCH(ROWS($W$2:W856),$W$2:$W$1001,0),1)&gt;=100000,INDEX($AD$1005:$AU$1005,1,MATCH(COLUMNS($AD$1006:AD1006),$AD$1006:$AU$1006,0))&gt;=100000), " ",IF(INDEX($AD$2:$AU$1001,MATCH(ROWS($W$2:W856),$W$2:$W$1001,0),MATCH(COLUMNS($AD$1006:AD1006),$AD$1006:$AU$1006,0)), HYPERLINK("#",""), HYPERLINK(CONCATENATE("#metadata!", ADDRESS(INDEX($Y$2:$Y$1001,MATCH(ROWS($W$2:W856),$W$2:$W$1001,0),0), INDEX($AD$1004:$AU$1004,1,MATCH(COLUMNS($AD$1006:AD1006),$AD$1006:$AU$1006,0)))),"Fix")))</f>
        <v xml:space="preserve"> </v>
      </c>
      <c r="C856" s="4" t="str">
        <f ca="1">IF(OR(INDEX($X$2:$X$1001,MATCH(ROWS($W$2:W856),$W$2:$W$1001,0),1)&gt;=100000,INDEX($AD$1005:$AU$1005,1,MATCH(COLUMNS($AD$1006:AE1006),$AD$1006:$AU$1006,0))&gt;=100000), " ",IF(INDEX($AD$2:$AU$1001,MATCH(ROWS($W$2:W856),$W$2:$W$1001,0),MATCH(COLUMNS($AD$1006:AE1006),$AD$1006:$AU$1006,0)), HYPERLINK("#",""), HYPERLINK(CONCATENATE("#metadata!", ADDRESS(INDEX($Y$2:$Y$1001,MATCH(ROWS($W$2:W856),$W$2:$W$1001,0),0), INDEX($AD$1004:$AU$1004,1,MATCH(COLUMNS($AD$1006:AE1006),$AD$1006:$AU$1006,0)))),"Fix")))</f>
        <v xml:space="preserve"> </v>
      </c>
      <c r="D856" s="4" t="str">
        <f ca="1">IF(OR(INDEX($X$2:$X$1001,MATCH(ROWS($W$2:W856),$W$2:$W$1001,0),1)&gt;=100000,INDEX($AD$1005:$AU$1005,1,MATCH(COLUMNS($AD$1006:AF1006),$AD$1006:$AU$1006,0))&gt;=100000), " ",IF(INDEX($AD$2:$AU$1001,MATCH(ROWS($W$2:W856),$W$2:$W$1001,0),MATCH(COLUMNS($AD$1006:AF1006),$AD$1006:$AU$1006,0)), HYPERLINK("#",""), HYPERLINK(CONCATENATE("#metadata!", ADDRESS(INDEX($Y$2:$Y$1001,MATCH(ROWS($W$2:W856),$W$2:$W$1001,0),0), INDEX($AD$1004:$AU$1004,1,MATCH(COLUMNS($AD$1006:AF1006),$AD$1006:$AU$1006,0)))),"Fix")))</f>
        <v xml:space="preserve"> </v>
      </c>
      <c r="E856" s="4" t="str">
        <f ca="1">IF(OR(INDEX($X$2:$X$1001,MATCH(ROWS($W$2:W856),$W$2:$W$1001,0),1)&gt;=100000,INDEX($AD$1005:$AU$1005,1,MATCH(COLUMNS($AD$1006:AG1006),$AD$1006:$AU$1006,0))&gt;=100000), " ",IF(INDEX($AD$2:$AU$1001,MATCH(ROWS($W$2:W856),$W$2:$W$1001,0),MATCH(COLUMNS($AD$1006:AG1006),$AD$1006:$AU$1006,0)), HYPERLINK("#",""), HYPERLINK(CONCATENATE("#metadata!", ADDRESS(INDEX($Y$2:$Y$1001,MATCH(ROWS($W$2:W856),$W$2:$W$1001,0),0), INDEX($AD$1004:$AU$1004,1,MATCH(COLUMNS($AD$1006:AG1006),$AD$1006:$AU$1006,0)))),"Fix")))</f>
        <v xml:space="preserve"> </v>
      </c>
      <c r="F856" s="4" t="str">
        <f ca="1">IF(OR(INDEX($X$2:$X$1001,MATCH(ROWS($W$2:W856),$W$2:$W$1001,0),1)&gt;=100000,INDEX($AD$1005:$AU$1005,1,MATCH(COLUMNS($AD$1006:AH1006),$AD$1006:$AU$1006,0))&gt;=100000), " ",IF(INDEX($AD$2:$AU$1001,MATCH(ROWS($W$2:W856),$W$2:$W$1001,0),MATCH(COLUMNS($AD$1006:AH1006),$AD$1006:$AU$1006,0)), HYPERLINK("#",""), HYPERLINK(CONCATENATE("#metadata!", ADDRESS(INDEX($Y$2:$Y$1001,MATCH(ROWS($W$2:W856),$W$2:$W$1001,0),0), INDEX($AD$1004:$AU$1004,1,MATCH(COLUMNS($AD$1006:AH1006),$AD$1006:$AU$1006,0)))),"Fix")))</f>
        <v xml:space="preserve"> </v>
      </c>
      <c r="G856" s="4" t="str">
        <f ca="1">IF(OR(INDEX($X$2:$X$1001,MATCH(ROWS($W$2:W856),$W$2:$W$1001,0),1)&gt;=100000,INDEX($AD$1005:$AU$1005,1,MATCH(COLUMNS($AD$1006:AI1006),$AD$1006:$AU$1006,0))&gt;=100000), " ",IF(INDEX($AD$2:$AU$1001,MATCH(ROWS($W$2:W856),$W$2:$W$1001,0),MATCH(COLUMNS($AD$1006:AI1006),$AD$1006:$AU$1006,0)), HYPERLINK("#",""), HYPERLINK(CONCATENATE("#metadata!", ADDRESS(INDEX($Y$2:$Y$1001,MATCH(ROWS($W$2:W856),$W$2:$W$1001,0),0), INDEX($AD$1004:$AU$1004,1,MATCH(COLUMNS($AD$1006:AI1006),$AD$1006:$AU$1006,0)))),"Fix")))</f>
        <v xml:space="preserve"> </v>
      </c>
      <c r="H856" s="4" t="str">
        <f ca="1">IF(OR(INDEX($X$2:$X$1001,MATCH(ROWS($W$2:W856),$W$2:$W$1001,0),1)&gt;=100000,INDEX($AD$1005:$AU$1005,1,MATCH(COLUMNS($AD$1006:AJ1006),$AD$1006:$AU$1006,0))&gt;=100000), " ",IF(INDEX($AD$2:$AU$1001,MATCH(ROWS($W$2:W856),$W$2:$W$1001,0),MATCH(COLUMNS($AD$1006:AJ1006),$AD$1006:$AU$1006,0)), HYPERLINK("#",""), HYPERLINK(CONCATENATE("#metadata!", ADDRESS(INDEX($Y$2:$Y$1001,MATCH(ROWS($W$2:W856),$W$2:$W$1001,0),0), INDEX($AD$1004:$AU$1004,1,MATCH(COLUMNS($AD$1006:AJ1006),$AD$1006:$AU$1006,0)))),"Fix")))</f>
        <v xml:space="preserve"> </v>
      </c>
      <c r="I856" s="4" t="str">
        <f ca="1">IF(OR(INDEX($X$2:$X$1001,MATCH(ROWS($W$2:W856),$W$2:$W$1001,0),1)&gt;=100000,INDEX($AD$1005:$AU$1005,1,MATCH(COLUMNS($AD$1006:AK1006),$AD$1006:$AU$1006,0))&gt;=100000), " ",IF(INDEX($AD$2:$AU$1001,MATCH(ROWS($W$2:W856),$W$2:$W$1001,0),MATCH(COLUMNS($AD$1006:AK1006),$AD$1006:$AU$1006,0)), HYPERLINK("#",""), HYPERLINK(CONCATENATE("#metadata!", ADDRESS(INDEX($Y$2:$Y$1001,MATCH(ROWS($W$2:W856),$W$2:$W$1001,0),0), INDEX($AD$1004:$AU$1004,1,MATCH(COLUMNS($AD$1006:AK1006),$AD$1006:$AU$1006,0)))),"Fix")))</f>
        <v xml:space="preserve"> </v>
      </c>
      <c r="J856" s="4" t="str">
        <f ca="1">IF(OR(INDEX($X$2:$X$1001,MATCH(ROWS($W$2:W856),$W$2:$W$1001,0),1)&gt;=100000,INDEX($AD$1005:$AU$1005,1,MATCH(COLUMNS($AD$1006:AL1006),$AD$1006:$AU$1006,0))&gt;=100000), " ",IF(INDEX($AD$2:$AU$1001,MATCH(ROWS($W$2:W856),$W$2:$W$1001,0),MATCH(COLUMNS($AD$1006:AL1006),$AD$1006:$AU$1006,0)), HYPERLINK("#",""), HYPERLINK(CONCATENATE("#metadata!", ADDRESS(INDEX($Y$2:$Y$1001,MATCH(ROWS($W$2:W856),$W$2:$W$1001,0),0), INDEX($AD$1004:$AU$1004,1,MATCH(COLUMNS($AD$1006:AL1006),$AD$1006:$AU$1006,0)))),"Fix")))</f>
        <v xml:space="preserve"> </v>
      </c>
      <c r="K856" s="4" t="str">
        <f ca="1">IF(OR(INDEX($X$2:$X$1001,MATCH(ROWS($W$2:W856),$W$2:$W$1001,0),1)&gt;=100000,INDEX($AD$1005:$AU$1005,1,MATCH(COLUMNS($AD$1006:AM1006),$AD$1006:$AU$1006,0))&gt;=100000), " ",IF(INDEX($AD$2:$AU$1001,MATCH(ROWS($W$2:W856),$W$2:$W$1001,0),MATCH(COLUMNS($AD$1006:AM1006),$AD$1006:$AU$1006,0)), HYPERLINK("#",""), HYPERLINK(CONCATENATE("#metadata!", ADDRESS(INDEX($Y$2:$Y$1001,MATCH(ROWS($W$2:W856),$W$2:$W$1001,0),0), INDEX($AD$1004:$AU$1004,1,MATCH(COLUMNS($AD$1006:AM1006),$AD$1006:$AU$1006,0)))),"Fix")))</f>
        <v xml:space="preserve"> </v>
      </c>
      <c r="L856" s="4" t="str">
        <f ca="1">IF(OR(INDEX($X$2:$X$1001,MATCH(ROWS($W$2:W856),$W$2:$W$1001,0),1)&gt;=100000,INDEX($AD$1005:$AU$1005,1,MATCH(COLUMNS($AD$1006:AN1006),$AD$1006:$AU$1006,0))&gt;=100000), " ",IF(INDEX($AD$2:$AU$1001,MATCH(ROWS($W$2:W856),$W$2:$W$1001,0),MATCH(COLUMNS($AD$1006:AN1006),$AD$1006:$AU$1006,0)), HYPERLINK("#",""), HYPERLINK(CONCATENATE("#metadata!", ADDRESS(INDEX($Y$2:$Y$1001,MATCH(ROWS($W$2:W856),$W$2:$W$1001,0),0), INDEX($AD$1004:$AU$1004,1,MATCH(COLUMNS($AD$1006:AN1006),$AD$1006:$AU$1006,0)))),"Fix")))</f>
        <v xml:space="preserve"> </v>
      </c>
      <c r="M856" s="4" t="str">
        <f ca="1">IF(OR(INDEX($X$2:$X$1001,MATCH(ROWS($W$2:W856),$W$2:$W$1001,0),1)&gt;=100000,INDEX($AD$1005:$AU$1005,1,MATCH(COLUMNS($AD$1006:AO1006),$AD$1006:$AU$1006,0))&gt;=100000), " ",IF(INDEX($AD$2:$AU$1001,MATCH(ROWS($W$2:W856),$W$2:$W$1001,0),MATCH(COLUMNS($AD$1006:AO1006),$AD$1006:$AU$1006,0)), HYPERLINK("#",""), HYPERLINK(CONCATENATE("#metadata!", ADDRESS(INDEX($Y$2:$Y$1001,MATCH(ROWS($W$2:W856),$W$2:$W$1001,0),0), INDEX($AD$1004:$AU$1004,1,MATCH(COLUMNS($AD$1006:AO1006),$AD$1006:$AU$1006,0)))),"Fix")))</f>
        <v xml:space="preserve"> </v>
      </c>
      <c r="N856" s="4" t="str">
        <f ca="1">IF(OR(INDEX($X$2:$X$1001,MATCH(ROWS($W$2:W856),$W$2:$W$1001,0),1)&gt;=100000,INDEX($AD$1005:$AU$1005,1,MATCH(COLUMNS($AD$1006:AP1006),$AD$1006:$AU$1006,0))&gt;=100000), " ",IF(INDEX($AD$2:$AU$1001,MATCH(ROWS($W$2:W856),$W$2:$W$1001,0),MATCH(COLUMNS($AD$1006:AP1006),$AD$1006:$AU$1006,0)), HYPERLINK("#",""), HYPERLINK(CONCATENATE("#metadata!", ADDRESS(INDEX($Y$2:$Y$1001,MATCH(ROWS($W$2:W856),$W$2:$W$1001,0),0), INDEX($AD$1004:$AU$1004,1,MATCH(COLUMNS($AD$1006:AP1006),$AD$1006:$AU$1006,0)))),"Fix")))</f>
        <v xml:space="preserve"> </v>
      </c>
      <c r="O856" s="4" t="str">
        <f ca="1">IF(OR(INDEX($X$2:$X$1001,MATCH(ROWS($W$2:W856),$W$2:$W$1001,0),1)&gt;=100000,INDEX($AD$1005:$AU$1005,1,MATCH(COLUMNS($AD$1006:AQ1006),$AD$1006:$AU$1006,0))&gt;=100000), " ",IF(INDEX($AD$2:$AU$1001,MATCH(ROWS($W$2:W856),$W$2:$W$1001,0),MATCH(COLUMNS($AD$1006:AQ1006),$AD$1006:$AU$1006,0)), HYPERLINK("#",""), HYPERLINK(CONCATENATE("#metadata!", ADDRESS(INDEX($Y$2:$Y$1001,MATCH(ROWS($W$2:W856),$W$2:$W$1001,0),0), INDEX($AD$1004:$AU$1004,1,MATCH(COLUMNS($AD$1006:AQ1006),$AD$1006:$AU$1006,0)))),"Fix")))</f>
        <v xml:space="preserve"> </v>
      </c>
      <c r="P856" s="4" t="str">
        <f ca="1">IF(OR(INDEX($X$2:$X$1001,MATCH(ROWS($W$2:W856),$W$2:$W$1001,0),1)&gt;=100000,INDEX($AD$1005:$AU$1005,1,MATCH(COLUMNS($AD$1006:AR1006),$AD$1006:$AU$1006,0))&gt;=100000), " ",IF(INDEX($AD$2:$AU$1001,MATCH(ROWS($W$2:W856),$W$2:$W$1001,0),MATCH(COLUMNS($AD$1006:AR1006),$AD$1006:$AU$1006,0)), HYPERLINK("#",""), HYPERLINK(CONCATENATE("#metadata!", ADDRESS(INDEX($Y$2:$Y$1001,MATCH(ROWS($W$2:W856),$W$2:$W$1001,0),0), INDEX($AD$1004:$AU$1004,1,MATCH(COLUMNS($AD$1006:AR1006),$AD$1006:$AU$1006,0)))),"Fix")))</f>
        <v xml:space="preserve"> </v>
      </c>
      <c r="Q856" s="4" t="str">
        <f ca="1">IF(OR(INDEX($X$2:$X$1001,MATCH(ROWS($W$2:W856),$W$2:$W$1001,0),1)&gt;=100000,INDEX($AD$1005:$AU$1005,1,MATCH(COLUMNS($AD$1006:AS1006),$AD$1006:$AU$1006,0))&gt;=100000), " ",IF(INDEX($AD$2:$AU$1001,MATCH(ROWS($W$2:W856),$W$2:$W$1001,0),MATCH(COLUMNS($AD$1006:AS1006),$AD$1006:$AU$1006,0)), HYPERLINK("#",""), HYPERLINK(CONCATENATE("#metadata!", ADDRESS(INDEX($Y$2:$Y$1001,MATCH(ROWS($W$2:W856),$W$2:$W$1001,0),0), INDEX($AD$1004:$AU$1004,1,MATCH(COLUMNS($AD$1006:AS1006),$AD$1006:$AU$1006,0)))),"Fix")))</f>
        <v xml:space="preserve"> </v>
      </c>
      <c r="R856" s="4" t="str">
        <f ca="1">IF(OR(INDEX($X$2:$X$1001,MATCH(ROWS($W$2:W856),$W$2:$W$1001,0),1)&gt;=100000,INDEX($AD$1005:$AU$1005,1,MATCH(COLUMNS($AD$1006:AT1006),$AD$1006:$AU$1006,0))&gt;=100000), " ",IF(INDEX($AD$2:$AU$1001,MATCH(ROWS($W$2:W856),$W$2:$W$1001,0),MATCH(COLUMNS($AD$1006:AT1006),$AD$1006:$AU$1006,0)), HYPERLINK("#",""), HYPERLINK(CONCATENATE("#metadata!", ADDRESS(INDEX($Y$2:$Y$1001,MATCH(ROWS($W$2:W856),$W$2:$W$1001,0),0), INDEX($AD$1004:$AU$1004,1,MATCH(COLUMNS($AD$1006:AT1006),$AD$1006:$AU$1006,0)))),"Fix")))</f>
        <v xml:space="preserve"> </v>
      </c>
      <c r="S856" s="4" t="str">
        <f ca="1">IF(OR(INDEX($X$2:$X$1001,MATCH(ROWS($W$2:W856),$W$2:$W$1001,0),1)&gt;=100000,INDEX($AD$1005:$AU$1005,1,MATCH(COLUMNS($AD$1006:AU1006),$AD$1006:$AU$1006,0))&gt;=100000), " ",IF(INDEX($AD$2:$AU$1001,MATCH(ROWS($W$2:W856),$W$2:$W$1001,0),MATCH(COLUMNS($AD$1006:AU1006),$AD$1006:$AU$1006,0)), HYPERLINK("#",""), HYPERLINK(CONCATENATE("#metadata!", ADDRESS(INDEX($Y$2:$Y$1001,MATCH(ROWS($W$2:W856),$W$2:$W$1001,0),0), INDEX($AD$1004:$AU$1004,1,MATCH(COLUMNS($AD$1006:AU1006),$AD$1006:$AU$1006,0)))),"Fix")))</f>
        <v xml:space="preserve"> </v>
      </c>
      <c r="W856">
        <v>855</v>
      </c>
      <c r="X856">
        <v>100856</v>
      </c>
      <c r="Y856">
        <v>856</v>
      </c>
      <c r="Z856" t="b">
        <f t="shared" si="13"/>
        <v>1</v>
      </c>
      <c r="AA856" t="b">
        <f>COUNTBLANK(metadata!B856:S856)=COLUMNS(metadata!B856:S856)</f>
        <v>1</v>
      </c>
      <c r="AB856" t="str">
        <v/>
      </c>
      <c r="AD856" t="b">
        <f ca="1">AND(IF(metadata!B856="",FALSE,TRUE),COUNTIF(metadata!B:B, metadata!B856) = 1,NOT(ISERROR(SUMPRODUCT(SEARCH(MID(metadata!B856,ROW(INDIRECT("1:"&amp;LEN(metadata!B856))), 1),"0123456789abcdefghijklmnopqrstuvwxyzABCDEFGHIJKLMNOPQRSTUVWXYZ.")))))</f>
        <v>0</v>
      </c>
      <c r="AE856" t="b">
        <f>OR(AND(IF(metadata!C856="",FALSE,TRUE),OR(EXACT(metadata!C856,"not applicable"),EXACT(metadata!C856,"missing: not collected"),EXACT(metadata!C856,"missing: not provided"),EXACT(metadata!C856,"missing: restricted access"))),AND(IF(metadata!C856="",FALSE,ISNUMBER(VALUE(metadata!C856))),metadata!C856&gt;0))</f>
        <v>0</v>
      </c>
      <c r="AF856" t="b">
        <f>AND(IF(metadata!D856="",FALSE,TRUE),EXACT(metadata!D856,"missing: not provided"))</f>
        <v>0</v>
      </c>
      <c r="AG856" t="b">
        <f>AND(IF(metadata!E856="",FALSE,TRUE),EXACT(metadata!E856,"Host-associated"))</f>
        <v>0</v>
      </c>
      <c r="AH856" t="b">
        <f>AND(IF(metadata!F856="",FALSE,TRUE),OR(EXACT(metadata!F856,"Animal"),EXACT(metadata!F856,"Fungus"),EXACT(metadata!F856,"Plant")))</f>
        <v>0</v>
      </c>
      <c r="AI856" t="b">
        <f>AND(IF(metadata!G856="",FALSE,TRUE),OR(EXACT(metadata!G856,"Plant secretion"),EXACT(metadata!G856,"Plant rhizosphere"),EXACT(metadata!G856,"Plant surface"),EXACT(metadata!G856,"Plant corpus"),EXACT(metadata!G856,"Fungus surface"),EXACT(metadata!G856,"Fungus corpus"),EXACT(metadata!G856,"Animal surface"),EXACT(metadata!G856,"Animal proximal gut"),EXACT(metadata!G856,"Animal corpus"),EXACT(metadata!G856,"Animal distal gut"),EXACT(metadata!G856,"Animal secretion")))</f>
        <v>0</v>
      </c>
      <c r="AJ856" t="b">
        <f>OR(AND(IF(metadata!H856="",FALSE,TRUE),OR(EXACT(metadata!H856,"missing: not collected"),EXACT(metadata!H856,"missing: not provided"),EXACT(metadata!H856,"missing: restricted access"))),AND(IF(metadata!H856="",FALSE,TRUE),OR(EXACT(metadata!H856,"organism-associated habitat"),EXACT(metadata!H856,"plant-associated habitat"),EXACT(metadata!H856,"animal-associated habitat"),EXACT(metadata!H856,"insecta-associated habitat"),EXACT(metadata!H856,"mammalia-associated habitat"),EXACT(metadata!H856,"human-associated habitat"),EXACT(metadata!H856,"livestock-associated habitat"))))</f>
        <v>0</v>
      </c>
      <c r="AK856" t="b">
        <f>AND(IF(metadata!I856="",FALSE,TRUE),EXACT(metadata!I856,"host-associated"))</f>
        <v>0</v>
      </c>
      <c r="AL856" t="b">
        <f>OR(AND(IF(metadata!J856="",FALSE,TRUE),OR(EXACT(metadata!J856,"not applicable"),EXACT(metadata!J856,"missing: not collected"),EXACT(metadata!J856,"missing: not provided"),EXACT(metadata!J856,"missing: restricted access"))),AND(IF(metadata!J856="",FALSE,ISNUMBER(VALUE(metadata!J856))),metadata!J856&gt;0))</f>
        <v>0</v>
      </c>
      <c r="AM856" t="b">
        <f>AND(IF(metadata!K856="",FALSE,TRUE),EXACT(metadata!K856,"missing: not provided"))</f>
        <v>0</v>
      </c>
      <c r="AN856" t="b">
        <f>IF(metadata!L856="",FALSE,TRUE)</f>
        <v>0</v>
      </c>
      <c r="AO856" t="b">
        <f>IF(metadata!M856="",FALSE,TRUE)</f>
        <v>0</v>
      </c>
      <c r="AP856" t="b">
        <f>OR(AND(IF(metadata!N856="",FALSE,TRUE),OR(EXACT(metadata!N856,"not applicable"),EXACT(metadata!N856,"missing: not collected"),EXACT(metadata!N856,"missing: not provided"))),AND(IF(metadata!N856="",FALSE,IF(ISERROR(INT(metadata!N856)),FALSE,INT(metadata!N856)=metadata!N856)),metadata!N856&gt;0))</f>
        <v>0</v>
      </c>
      <c r="AQ856" t="b">
        <f>AND(IF(metadata!O856="",FALSE,TRUE),EXACT(metadata!O856,"Not applicable"))</f>
        <v>0</v>
      </c>
      <c r="AR856" t="b">
        <f>OR(AND(IF(metadata!P856="",FALSE,TRUE),OR(EXACT(metadata!P856,"not applicable"),EXACT(metadata!P856,"missing: not collected"),EXACT(metadata!P856,"missing: not provided"),EXACT(metadata!P856,"missing: restricted access"))),IF(metadata!P856="",FALSE,IF(ISERROR(INT(metadata!P856)),FALSE,INT(metadata!P856)=metadata!P856)))</f>
        <v>0</v>
      </c>
      <c r="AS856" t="b">
        <f>AND(IF(metadata!Q856="",FALSE,TRUE),EXACT(metadata!Q856,"Not applicable"))</f>
        <v>0</v>
      </c>
      <c r="AT856" t="b">
        <f>OR(AND(IF(metadata!R856="",FALSE,TRUE),OR(EXACT(metadata!R856,"not applicable"),EXACT(metadata!R856,"missing: not collected"),EXACT(metadata!R856,"missing: not provided"),EXACT(metadata!R856,"missing: restricted access"))),AND(IF(metadata!R856="",FALSE,ISNUMBER(VALUE(metadata!R856))),metadata!R856&gt;0))</f>
        <v>0</v>
      </c>
      <c r="AU856" t="b">
        <f>AND(IF(metadata!S856="",FALSE,TRUE),EXACT(metadata!S856,"missing: not provided"))</f>
        <v>0</v>
      </c>
    </row>
    <row r="857" spans="1:47" x14ac:dyDescent="0.2">
      <c r="A857" s="5" t="str">
        <f ca="1">IF(B857=" "," ",HYPERLINK(CONCATENATE("#metadata!",ADDRESS(INDEX($Y$2:$Y$1001,MATCH(ROWS($W$2:W857),$W$2:$W$1001,0),0),1)),INDEX($AB$2:$AB$1001,MATCH(ROWS($W$2:W857),$W$2:$W$1001,0),0)))</f>
        <v xml:space="preserve"> </v>
      </c>
      <c r="B857" s="4" t="str">
        <f ca="1">IF(OR(INDEX($X$2:$X$1001,MATCH(ROWS($W$2:W857),$W$2:$W$1001,0),1)&gt;=100000,INDEX($AD$1005:$AU$1005,1,MATCH(COLUMNS($AD$1006:AD1006),$AD$1006:$AU$1006,0))&gt;=100000), " ",IF(INDEX($AD$2:$AU$1001,MATCH(ROWS($W$2:W857),$W$2:$W$1001,0),MATCH(COLUMNS($AD$1006:AD1006),$AD$1006:$AU$1006,0)), HYPERLINK("#",""), HYPERLINK(CONCATENATE("#metadata!", ADDRESS(INDEX($Y$2:$Y$1001,MATCH(ROWS($W$2:W857),$W$2:$W$1001,0),0), INDEX($AD$1004:$AU$1004,1,MATCH(COLUMNS($AD$1006:AD1006),$AD$1006:$AU$1006,0)))),"Fix")))</f>
        <v xml:space="preserve"> </v>
      </c>
      <c r="C857" s="4" t="str">
        <f ca="1">IF(OR(INDEX($X$2:$X$1001,MATCH(ROWS($W$2:W857),$W$2:$W$1001,0),1)&gt;=100000,INDEX($AD$1005:$AU$1005,1,MATCH(COLUMNS($AD$1006:AE1006),$AD$1006:$AU$1006,0))&gt;=100000), " ",IF(INDEX($AD$2:$AU$1001,MATCH(ROWS($W$2:W857),$W$2:$W$1001,0),MATCH(COLUMNS($AD$1006:AE1006),$AD$1006:$AU$1006,0)), HYPERLINK("#",""), HYPERLINK(CONCATENATE("#metadata!", ADDRESS(INDEX($Y$2:$Y$1001,MATCH(ROWS($W$2:W857),$W$2:$W$1001,0),0), INDEX($AD$1004:$AU$1004,1,MATCH(COLUMNS($AD$1006:AE1006),$AD$1006:$AU$1006,0)))),"Fix")))</f>
        <v xml:space="preserve"> </v>
      </c>
      <c r="D857" s="4" t="str">
        <f ca="1">IF(OR(INDEX($X$2:$X$1001,MATCH(ROWS($W$2:W857),$W$2:$W$1001,0),1)&gt;=100000,INDEX($AD$1005:$AU$1005,1,MATCH(COLUMNS($AD$1006:AF1006),$AD$1006:$AU$1006,0))&gt;=100000), " ",IF(INDEX($AD$2:$AU$1001,MATCH(ROWS($W$2:W857),$W$2:$W$1001,0),MATCH(COLUMNS($AD$1006:AF1006),$AD$1006:$AU$1006,0)), HYPERLINK("#",""), HYPERLINK(CONCATENATE("#metadata!", ADDRESS(INDEX($Y$2:$Y$1001,MATCH(ROWS($W$2:W857),$W$2:$W$1001,0),0), INDEX($AD$1004:$AU$1004,1,MATCH(COLUMNS($AD$1006:AF1006),$AD$1006:$AU$1006,0)))),"Fix")))</f>
        <v xml:space="preserve"> </v>
      </c>
      <c r="E857" s="4" t="str">
        <f ca="1">IF(OR(INDEX($X$2:$X$1001,MATCH(ROWS($W$2:W857),$W$2:$W$1001,0),1)&gt;=100000,INDEX($AD$1005:$AU$1005,1,MATCH(COLUMNS($AD$1006:AG1006),$AD$1006:$AU$1006,0))&gt;=100000), " ",IF(INDEX($AD$2:$AU$1001,MATCH(ROWS($W$2:W857),$W$2:$W$1001,0),MATCH(COLUMNS($AD$1006:AG1006),$AD$1006:$AU$1006,0)), HYPERLINK("#",""), HYPERLINK(CONCATENATE("#metadata!", ADDRESS(INDEX($Y$2:$Y$1001,MATCH(ROWS($W$2:W857),$W$2:$W$1001,0),0), INDEX($AD$1004:$AU$1004,1,MATCH(COLUMNS($AD$1006:AG1006),$AD$1006:$AU$1006,0)))),"Fix")))</f>
        <v xml:space="preserve"> </v>
      </c>
      <c r="F857" s="4" t="str">
        <f ca="1">IF(OR(INDEX($X$2:$X$1001,MATCH(ROWS($W$2:W857),$W$2:$W$1001,0),1)&gt;=100000,INDEX($AD$1005:$AU$1005,1,MATCH(COLUMNS($AD$1006:AH1006),$AD$1006:$AU$1006,0))&gt;=100000), " ",IF(INDEX($AD$2:$AU$1001,MATCH(ROWS($W$2:W857),$W$2:$W$1001,0),MATCH(COLUMNS($AD$1006:AH1006),$AD$1006:$AU$1006,0)), HYPERLINK("#",""), HYPERLINK(CONCATENATE("#metadata!", ADDRESS(INDEX($Y$2:$Y$1001,MATCH(ROWS($W$2:W857),$W$2:$W$1001,0),0), INDEX($AD$1004:$AU$1004,1,MATCH(COLUMNS($AD$1006:AH1006),$AD$1006:$AU$1006,0)))),"Fix")))</f>
        <v xml:space="preserve"> </v>
      </c>
      <c r="G857" s="4" t="str">
        <f ca="1">IF(OR(INDEX($X$2:$X$1001,MATCH(ROWS($W$2:W857),$W$2:$W$1001,0),1)&gt;=100000,INDEX($AD$1005:$AU$1005,1,MATCH(COLUMNS($AD$1006:AI1006),$AD$1006:$AU$1006,0))&gt;=100000), " ",IF(INDEX($AD$2:$AU$1001,MATCH(ROWS($W$2:W857),$W$2:$W$1001,0),MATCH(COLUMNS($AD$1006:AI1006),$AD$1006:$AU$1006,0)), HYPERLINK("#",""), HYPERLINK(CONCATENATE("#metadata!", ADDRESS(INDEX($Y$2:$Y$1001,MATCH(ROWS($W$2:W857),$W$2:$W$1001,0),0), INDEX($AD$1004:$AU$1004,1,MATCH(COLUMNS($AD$1006:AI1006),$AD$1006:$AU$1006,0)))),"Fix")))</f>
        <v xml:space="preserve"> </v>
      </c>
      <c r="H857" s="4" t="str">
        <f ca="1">IF(OR(INDEX($X$2:$X$1001,MATCH(ROWS($W$2:W857),$W$2:$W$1001,0),1)&gt;=100000,INDEX($AD$1005:$AU$1005,1,MATCH(COLUMNS($AD$1006:AJ1006),$AD$1006:$AU$1006,0))&gt;=100000), " ",IF(INDEX($AD$2:$AU$1001,MATCH(ROWS($W$2:W857),$W$2:$W$1001,0),MATCH(COLUMNS($AD$1006:AJ1006),$AD$1006:$AU$1006,0)), HYPERLINK("#",""), HYPERLINK(CONCATENATE("#metadata!", ADDRESS(INDEX($Y$2:$Y$1001,MATCH(ROWS($W$2:W857),$W$2:$W$1001,0),0), INDEX($AD$1004:$AU$1004,1,MATCH(COLUMNS($AD$1006:AJ1006),$AD$1006:$AU$1006,0)))),"Fix")))</f>
        <v xml:space="preserve"> </v>
      </c>
      <c r="I857" s="4" t="str">
        <f ca="1">IF(OR(INDEX($X$2:$X$1001,MATCH(ROWS($W$2:W857),$W$2:$W$1001,0),1)&gt;=100000,INDEX($AD$1005:$AU$1005,1,MATCH(COLUMNS($AD$1006:AK1006),$AD$1006:$AU$1006,0))&gt;=100000), " ",IF(INDEX($AD$2:$AU$1001,MATCH(ROWS($W$2:W857),$W$2:$W$1001,0),MATCH(COLUMNS($AD$1006:AK1006),$AD$1006:$AU$1006,0)), HYPERLINK("#",""), HYPERLINK(CONCATENATE("#metadata!", ADDRESS(INDEX($Y$2:$Y$1001,MATCH(ROWS($W$2:W857),$W$2:$W$1001,0),0), INDEX($AD$1004:$AU$1004,1,MATCH(COLUMNS($AD$1006:AK1006),$AD$1006:$AU$1006,0)))),"Fix")))</f>
        <v xml:space="preserve"> </v>
      </c>
      <c r="J857" s="4" t="str">
        <f ca="1">IF(OR(INDEX($X$2:$X$1001,MATCH(ROWS($W$2:W857),$W$2:$W$1001,0),1)&gt;=100000,INDEX($AD$1005:$AU$1005,1,MATCH(COLUMNS($AD$1006:AL1006),$AD$1006:$AU$1006,0))&gt;=100000), " ",IF(INDEX($AD$2:$AU$1001,MATCH(ROWS($W$2:W857),$W$2:$W$1001,0),MATCH(COLUMNS($AD$1006:AL1006),$AD$1006:$AU$1006,0)), HYPERLINK("#",""), HYPERLINK(CONCATENATE("#metadata!", ADDRESS(INDEX($Y$2:$Y$1001,MATCH(ROWS($W$2:W857),$W$2:$W$1001,0),0), INDEX($AD$1004:$AU$1004,1,MATCH(COLUMNS($AD$1006:AL1006),$AD$1006:$AU$1006,0)))),"Fix")))</f>
        <v xml:space="preserve"> </v>
      </c>
      <c r="K857" s="4" t="str">
        <f ca="1">IF(OR(INDEX($X$2:$X$1001,MATCH(ROWS($W$2:W857),$W$2:$W$1001,0),1)&gt;=100000,INDEX($AD$1005:$AU$1005,1,MATCH(COLUMNS($AD$1006:AM1006),$AD$1006:$AU$1006,0))&gt;=100000), " ",IF(INDEX($AD$2:$AU$1001,MATCH(ROWS($W$2:W857),$W$2:$W$1001,0),MATCH(COLUMNS($AD$1006:AM1006),$AD$1006:$AU$1006,0)), HYPERLINK("#",""), HYPERLINK(CONCATENATE("#metadata!", ADDRESS(INDEX($Y$2:$Y$1001,MATCH(ROWS($W$2:W857),$W$2:$W$1001,0),0), INDEX($AD$1004:$AU$1004,1,MATCH(COLUMNS($AD$1006:AM1006),$AD$1006:$AU$1006,0)))),"Fix")))</f>
        <v xml:space="preserve"> </v>
      </c>
      <c r="L857" s="4" t="str">
        <f ca="1">IF(OR(INDEX($X$2:$X$1001,MATCH(ROWS($W$2:W857),$W$2:$W$1001,0),1)&gt;=100000,INDEX($AD$1005:$AU$1005,1,MATCH(COLUMNS($AD$1006:AN1006),$AD$1006:$AU$1006,0))&gt;=100000), " ",IF(INDEX($AD$2:$AU$1001,MATCH(ROWS($W$2:W857),$W$2:$W$1001,0),MATCH(COLUMNS($AD$1006:AN1006),$AD$1006:$AU$1006,0)), HYPERLINK("#",""), HYPERLINK(CONCATENATE("#metadata!", ADDRESS(INDEX($Y$2:$Y$1001,MATCH(ROWS($W$2:W857),$W$2:$W$1001,0),0), INDEX($AD$1004:$AU$1004,1,MATCH(COLUMNS($AD$1006:AN1006),$AD$1006:$AU$1006,0)))),"Fix")))</f>
        <v xml:space="preserve"> </v>
      </c>
      <c r="M857" s="4" t="str">
        <f ca="1">IF(OR(INDEX($X$2:$X$1001,MATCH(ROWS($W$2:W857),$W$2:$W$1001,0),1)&gt;=100000,INDEX($AD$1005:$AU$1005,1,MATCH(COLUMNS($AD$1006:AO1006),$AD$1006:$AU$1006,0))&gt;=100000), " ",IF(INDEX($AD$2:$AU$1001,MATCH(ROWS($W$2:W857),$W$2:$W$1001,0),MATCH(COLUMNS($AD$1006:AO1006),$AD$1006:$AU$1006,0)), HYPERLINK("#",""), HYPERLINK(CONCATENATE("#metadata!", ADDRESS(INDEX($Y$2:$Y$1001,MATCH(ROWS($W$2:W857),$W$2:$W$1001,0),0), INDEX($AD$1004:$AU$1004,1,MATCH(COLUMNS($AD$1006:AO1006),$AD$1006:$AU$1006,0)))),"Fix")))</f>
        <v xml:space="preserve"> </v>
      </c>
      <c r="N857" s="4" t="str">
        <f ca="1">IF(OR(INDEX($X$2:$X$1001,MATCH(ROWS($W$2:W857),$W$2:$W$1001,0),1)&gt;=100000,INDEX($AD$1005:$AU$1005,1,MATCH(COLUMNS($AD$1006:AP1006),$AD$1006:$AU$1006,0))&gt;=100000), " ",IF(INDEX($AD$2:$AU$1001,MATCH(ROWS($W$2:W857),$W$2:$W$1001,0),MATCH(COLUMNS($AD$1006:AP1006),$AD$1006:$AU$1006,0)), HYPERLINK("#",""), HYPERLINK(CONCATENATE("#metadata!", ADDRESS(INDEX($Y$2:$Y$1001,MATCH(ROWS($W$2:W857),$W$2:$W$1001,0),0), INDEX($AD$1004:$AU$1004,1,MATCH(COLUMNS($AD$1006:AP1006),$AD$1006:$AU$1006,0)))),"Fix")))</f>
        <v xml:space="preserve"> </v>
      </c>
      <c r="O857" s="4" t="str">
        <f ca="1">IF(OR(INDEX($X$2:$X$1001,MATCH(ROWS($W$2:W857),$W$2:$W$1001,0),1)&gt;=100000,INDEX($AD$1005:$AU$1005,1,MATCH(COLUMNS($AD$1006:AQ1006),$AD$1006:$AU$1006,0))&gt;=100000), " ",IF(INDEX($AD$2:$AU$1001,MATCH(ROWS($W$2:W857),$W$2:$W$1001,0),MATCH(COLUMNS($AD$1006:AQ1006),$AD$1006:$AU$1006,0)), HYPERLINK("#",""), HYPERLINK(CONCATENATE("#metadata!", ADDRESS(INDEX($Y$2:$Y$1001,MATCH(ROWS($W$2:W857),$W$2:$W$1001,0),0), INDEX($AD$1004:$AU$1004,1,MATCH(COLUMNS($AD$1006:AQ1006),$AD$1006:$AU$1006,0)))),"Fix")))</f>
        <v xml:space="preserve"> </v>
      </c>
      <c r="P857" s="4" t="str">
        <f ca="1">IF(OR(INDEX($X$2:$X$1001,MATCH(ROWS($W$2:W857),$W$2:$W$1001,0),1)&gt;=100000,INDEX($AD$1005:$AU$1005,1,MATCH(COLUMNS($AD$1006:AR1006),$AD$1006:$AU$1006,0))&gt;=100000), " ",IF(INDEX($AD$2:$AU$1001,MATCH(ROWS($W$2:W857),$W$2:$W$1001,0),MATCH(COLUMNS($AD$1006:AR1006),$AD$1006:$AU$1006,0)), HYPERLINK("#",""), HYPERLINK(CONCATENATE("#metadata!", ADDRESS(INDEX($Y$2:$Y$1001,MATCH(ROWS($W$2:W857),$W$2:$W$1001,0),0), INDEX($AD$1004:$AU$1004,1,MATCH(COLUMNS($AD$1006:AR1006),$AD$1006:$AU$1006,0)))),"Fix")))</f>
        <v xml:space="preserve"> </v>
      </c>
      <c r="Q857" s="4" t="str">
        <f ca="1">IF(OR(INDEX($X$2:$X$1001,MATCH(ROWS($W$2:W857),$W$2:$W$1001,0),1)&gt;=100000,INDEX($AD$1005:$AU$1005,1,MATCH(COLUMNS($AD$1006:AS1006),$AD$1006:$AU$1006,0))&gt;=100000), " ",IF(INDEX($AD$2:$AU$1001,MATCH(ROWS($W$2:W857),$W$2:$W$1001,0),MATCH(COLUMNS($AD$1006:AS1006),$AD$1006:$AU$1006,0)), HYPERLINK("#",""), HYPERLINK(CONCATENATE("#metadata!", ADDRESS(INDEX($Y$2:$Y$1001,MATCH(ROWS($W$2:W857),$W$2:$W$1001,0),0), INDEX($AD$1004:$AU$1004,1,MATCH(COLUMNS($AD$1006:AS1006),$AD$1006:$AU$1006,0)))),"Fix")))</f>
        <v xml:space="preserve"> </v>
      </c>
      <c r="R857" s="4" t="str">
        <f ca="1">IF(OR(INDEX($X$2:$X$1001,MATCH(ROWS($W$2:W857),$W$2:$W$1001,0),1)&gt;=100000,INDEX($AD$1005:$AU$1005,1,MATCH(COLUMNS($AD$1006:AT1006),$AD$1006:$AU$1006,0))&gt;=100000), " ",IF(INDEX($AD$2:$AU$1001,MATCH(ROWS($W$2:W857),$W$2:$W$1001,0),MATCH(COLUMNS($AD$1006:AT1006),$AD$1006:$AU$1006,0)), HYPERLINK("#",""), HYPERLINK(CONCATENATE("#metadata!", ADDRESS(INDEX($Y$2:$Y$1001,MATCH(ROWS($W$2:W857),$W$2:$W$1001,0),0), INDEX($AD$1004:$AU$1004,1,MATCH(COLUMNS($AD$1006:AT1006),$AD$1006:$AU$1006,0)))),"Fix")))</f>
        <v xml:space="preserve"> </v>
      </c>
      <c r="S857" s="4" t="str">
        <f ca="1">IF(OR(INDEX($X$2:$X$1001,MATCH(ROWS($W$2:W857),$W$2:$W$1001,0),1)&gt;=100000,INDEX($AD$1005:$AU$1005,1,MATCH(COLUMNS($AD$1006:AU1006),$AD$1006:$AU$1006,0))&gt;=100000), " ",IF(INDEX($AD$2:$AU$1001,MATCH(ROWS($W$2:W857),$W$2:$W$1001,0),MATCH(COLUMNS($AD$1006:AU1006),$AD$1006:$AU$1006,0)), HYPERLINK("#",""), HYPERLINK(CONCATENATE("#metadata!", ADDRESS(INDEX($Y$2:$Y$1001,MATCH(ROWS($W$2:W857),$W$2:$W$1001,0),0), INDEX($AD$1004:$AU$1004,1,MATCH(COLUMNS($AD$1006:AU1006),$AD$1006:$AU$1006,0)))),"Fix")))</f>
        <v xml:space="preserve"> </v>
      </c>
      <c r="W857">
        <v>856</v>
      </c>
      <c r="X857">
        <v>100857</v>
      </c>
      <c r="Y857">
        <v>857</v>
      </c>
      <c r="Z857" t="b">
        <f t="shared" si="13"/>
        <v>1</v>
      </c>
      <c r="AA857" t="b">
        <f>COUNTBLANK(metadata!B857:S857)=COLUMNS(metadata!B857:S857)</f>
        <v>1</v>
      </c>
      <c r="AB857" t="str">
        <v/>
      </c>
      <c r="AD857" t="b">
        <f ca="1">AND(IF(metadata!B857="",FALSE,TRUE),COUNTIF(metadata!B:B, metadata!B857) = 1,NOT(ISERROR(SUMPRODUCT(SEARCH(MID(metadata!B857,ROW(INDIRECT("1:"&amp;LEN(metadata!B857))), 1),"0123456789abcdefghijklmnopqrstuvwxyzABCDEFGHIJKLMNOPQRSTUVWXYZ.")))))</f>
        <v>0</v>
      </c>
      <c r="AE857" t="b">
        <f>OR(AND(IF(metadata!C857="",FALSE,TRUE),OR(EXACT(metadata!C857,"not applicable"),EXACT(metadata!C857,"missing: not collected"),EXACT(metadata!C857,"missing: not provided"),EXACT(metadata!C857,"missing: restricted access"))),AND(IF(metadata!C857="",FALSE,ISNUMBER(VALUE(metadata!C857))),metadata!C857&gt;0))</f>
        <v>0</v>
      </c>
      <c r="AF857" t="b">
        <f>AND(IF(metadata!D857="",FALSE,TRUE),EXACT(metadata!D857,"missing: not provided"))</f>
        <v>0</v>
      </c>
      <c r="AG857" t="b">
        <f>AND(IF(metadata!E857="",FALSE,TRUE),EXACT(metadata!E857,"Host-associated"))</f>
        <v>0</v>
      </c>
      <c r="AH857" t="b">
        <f>AND(IF(metadata!F857="",FALSE,TRUE),OR(EXACT(metadata!F857,"Animal"),EXACT(metadata!F857,"Fungus"),EXACT(metadata!F857,"Plant")))</f>
        <v>0</v>
      </c>
      <c r="AI857" t="b">
        <f>AND(IF(metadata!G857="",FALSE,TRUE),OR(EXACT(metadata!G857,"Plant secretion"),EXACT(metadata!G857,"Plant rhizosphere"),EXACT(metadata!G857,"Plant surface"),EXACT(metadata!G857,"Plant corpus"),EXACT(metadata!G857,"Fungus surface"),EXACT(metadata!G857,"Fungus corpus"),EXACT(metadata!G857,"Animal surface"),EXACT(metadata!G857,"Animal proximal gut"),EXACT(metadata!G857,"Animal corpus"),EXACT(metadata!G857,"Animal distal gut"),EXACT(metadata!G857,"Animal secretion")))</f>
        <v>0</v>
      </c>
      <c r="AJ857" t="b">
        <f>OR(AND(IF(metadata!H857="",FALSE,TRUE),OR(EXACT(metadata!H857,"missing: not collected"),EXACT(metadata!H857,"missing: not provided"),EXACT(metadata!H857,"missing: restricted access"))),AND(IF(metadata!H857="",FALSE,TRUE),OR(EXACT(metadata!H857,"organism-associated habitat"),EXACT(metadata!H857,"plant-associated habitat"),EXACT(metadata!H857,"animal-associated habitat"),EXACT(metadata!H857,"insecta-associated habitat"),EXACT(metadata!H857,"mammalia-associated habitat"),EXACT(metadata!H857,"human-associated habitat"),EXACT(metadata!H857,"livestock-associated habitat"))))</f>
        <v>0</v>
      </c>
      <c r="AK857" t="b">
        <f>AND(IF(metadata!I857="",FALSE,TRUE),EXACT(metadata!I857,"host-associated"))</f>
        <v>0</v>
      </c>
      <c r="AL857" t="b">
        <f>OR(AND(IF(metadata!J857="",FALSE,TRUE),OR(EXACT(metadata!J857,"not applicable"),EXACT(metadata!J857,"missing: not collected"),EXACT(metadata!J857,"missing: not provided"),EXACT(metadata!J857,"missing: restricted access"))),AND(IF(metadata!J857="",FALSE,ISNUMBER(VALUE(metadata!J857))),metadata!J857&gt;0))</f>
        <v>0</v>
      </c>
      <c r="AM857" t="b">
        <f>AND(IF(metadata!K857="",FALSE,TRUE),EXACT(metadata!K857,"missing: not provided"))</f>
        <v>0</v>
      </c>
      <c r="AN857" t="b">
        <f>IF(metadata!L857="",FALSE,TRUE)</f>
        <v>0</v>
      </c>
      <c r="AO857" t="b">
        <f>IF(metadata!M857="",FALSE,TRUE)</f>
        <v>0</v>
      </c>
      <c r="AP857" t="b">
        <f>OR(AND(IF(metadata!N857="",FALSE,TRUE),OR(EXACT(metadata!N857,"not applicable"),EXACT(metadata!N857,"missing: not collected"),EXACT(metadata!N857,"missing: not provided"))),AND(IF(metadata!N857="",FALSE,IF(ISERROR(INT(metadata!N857)),FALSE,INT(metadata!N857)=metadata!N857)),metadata!N857&gt;0))</f>
        <v>0</v>
      </c>
      <c r="AQ857" t="b">
        <f>AND(IF(metadata!O857="",FALSE,TRUE),EXACT(metadata!O857,"Not applicable"))</f>
        <v>0</v>
      </c>
      <c r="AR857" t="b">
        <f>OR(AND(IF(metadata!P857="",FALSE,TRUE),OR(EXACT(metadata!P857,"not applicable"),EXACT(metadata!P857,"missing: not collected"),EXACT(metadata!P857,"missing: not provided"),EXACT(metadata!P857,"missing: restricted access"))),IF(metadata!P857="",FALSE,IF(ISERROR(INT(metadata!P857)),FALSE,INT(metadata!P857)=metadata!P857)))</f>
        <v>0</v>
      </c>
      <c r="AS857" t="b">
        <f>AND(IF(metadata!Q857="",FALSE,TRUE),EXACT(metadata!Q857,"Not applicable"))</f>
        <v>0</v>
      </c>
      <c r="AT857" t="b">
        <f>OR(AND(IF(metadata!R857="",FALSE,TRUE),OR(EXACT(metadata!R857,"not applicable"),EXACT(metadata!R857,"missing: not collected"),EXACT(metadata!R857,"missing: not provided"),EXACT(metadata!R857,"missing: restricted access"))),AND(IF(metadata!R857="",FALSE,ISNUMBER(VALUE(metadata!R857))),metadata!R857&gt;0))</f>
        <v>0</v>
      </c>
      <c r="AU857" t="b">
        <f>AND(IF(metadata!S857="",FALSE,TRUE),EXACT(metadata!S857,"missing: not provided"))</f>
        <v>0</v>
      </c>
    </row>
    <row r="858" spans="1:47" x14ac:dyDescent="0.2">
      <c r="A858" s="5" t="str">
        <f ca="1">IF(B858=" "," ",HYPERLINK(CONCATENATE("#metadata!",ADDRESS(INDEX($Y$2:$Y$1001,MATCH(ROWS($W$2:W858),$W$2:$W$1001,0),0),1)),INDEX($AB$2:$AB$1001,MATCH(ROWS($W$2:W858),$W$2:$W$1001,0),0)))</f>
        <v xml:space="preserve"> </v>
      </c>
      <c r="B858" s="4" t="str">
        <f ca="1">IF(OR(INDEX($X$2:$X$1001,MATCH(ROWS($W$2:W858),$W$2:$W$1001,0),1)&gt;=100000,INDEX($AD$1005:$AU$1005,1,MATCH(COLUMNS($AD$1006:AD1006),$AD$1006:$AU$1006,0))&gt;=100000), " ",IF(INDEX($AD$2:$AU$1001,MATCH(ROWS($W$2:W858),$W$2:$W$1001,0),MATCH(COLUMNS($AD$1006:AD1006),$AD$1006:$AU$1006,0)), HYPERLINK("#",""), HYPERLINK(CONCATENATE("#metadata!", ADDRESS(INDEX($Y$2:$Y$1001,MATCH(ROWS($W$2:W858),$W$2:$W$1001,0),0), INDEX($AD$1004:$AU$1004,1,MATCH(COLUMNS($AD$1006:AD1006),$AD$1006:$AU$1006,0)))),"Fix")))</f>
        <v xml:space="preserve"> </v>
      </c>
      <c r="C858" s="4" t="str">
        <f ca="1">IF(OR(INDEX($X$2:$X$1001,MATCH(ROWS($W$2:W858),$W$2:$W$1001,0),1)&gt;=100000,INDEX($AD$1005:$AU$1005,1,MATCH(COLUMNS($AD$1006:AE1006),$AD$1006:$AU$1006,0))&gt;=100000), " ",IF(INDEX($AD$2:$AU$1001,MATCH(ROWS($W$2:W858),$W$2:$W$1001,0),MATCH(COLUMNS($AD$1006:AE1006),$AD$1006:$AU$1006,0)), HYPERLINK("#",""), HYPERLINK(CONCATENATE("#metadata!", ADDRESS(INDEX($Y$2:$Y$1001,MATCH(ROWS($W$2:W858),$W$2:$W$1001,0),0), INDEX($AD$1004:$AU$1004,1,MATCH(COLUMNS($AD$1006:AE1006),$AD$1006:$AU$1006,0)))),"Fix")))</f>
        <v xml:space="preserve"> </v>
      </c>
      <c r="D858" s="4" t="str">
        <f ca="1">IF(OR(INDEX($X$2:$X$1001,MATCH(ROWS($W$2:W858),$W$2:$W$1001,0),1)&gt;=100000,INDEX($AD$1005:$AU$1005,1,MATCH(COLUMNS($AD$1006:AF1006),$AD$1006:$AU$1006,0))&gt;=100000), " ",IF(INDEX($AD$2:$AU$1001,MATCH(ROWS($W$2:W858),$W$2:$W$1001,0),MATCH(COLUMNS($AD$1006:AF1006),$AD$1006:$AU$1006,0)), HYPERLINK("#",""), HYPERLINK(CONCATENATE("#metadata!", ADDRESS(INDEX($Y$2:$Y$1001,MATCH(ROWS($W$2:W858),$W$2:$W$1001,0),0), INDEX($AD$1004:$AU$1004,1,MATCH(COLUMNS($AD$1006:AF1006),$AD$1006:$AU$1006,0)))),"Fix")))</f>
        <v xml:space="preserve"> </v>
      </c>
      <c r="E858" s="4" t="str">
        <f ca="1">IF(OR(INDEX($X$2:$X$1001,MATCH(ROWS($W$2:W858),$W$2:$W$1001,0),1)&gt;=100000,INDEX($AD$1005:$AU$1005,1,MATCH(COLUMNS($AD$1006:AG1006),$AD$1006:$AU$1006,0))&gt;=100000), " ",IF(INDEX($AD$2:$AU$1001,MATCH(ROWS($W$2:W858),$W$2:$W$1001,0),MATCH(COLUMNS($AD$1006:AG1006),$AD$1006:$AU$1006,0)), HYPERLINK("#",""), HYPERLINK(CONCATENATE("#metadata!", ADDRESS(INDEX($Y$2:$Y$1001,MATCH(ROWS($W$2:W858),$W$2:$W$1001,0),0), INDEX($AD$1004:$AU$1004,1,MATCH(COLUMNS($AD$1006:AG1006),$AD$1006:$AU$1006,0)))),"Fix")))</f>
        <v xml:space="preserve"> </v>
      </c>
      <c r="F858" s="4" t="str">
        <f ca="1">IF(OR(INDEX($X$2:$X$1001,MATCH(ROWS($W$2:W858),$W$2:$W$1001,0),1)&gt;=100000,INDEX($AD$1005:$AU$1005,1,MATCH(COLUMNS($AD$1006:AH1006),$AD$1006:$AU$1006,0))&gt;=100000), " ",IF(INDEX($AD$2:$AU$1001,MATCH(ROWS($W$2:W858),$W$2:$W$1001,0),MATCH(COLUMNS($AD$1006:AH1006),$AD$1006:$AU$1006,0)), HYPERLINK("#",""), HYPERLINK(CONCATENATE("#metadata!", ADDRESS(INDEX($Y$2:$Y$1001,MATCH(ROWS($W$2:W858),$W$2:$W$1001,0),0), INDEX($AD$1004:$AU$1004,1,MATCH(COLUMNS($AD$1006:AH1006),$AD$1006:$AU$1006,0)))),"Fix")))</f>
        <v xml:space="preserve"> </v>
      </c>
      <c r="G858" s="4" t="str">
        <f ca="1">IF(OR(INDEX($X$2:$X$1001,MATCH(ROWS($W$2:W858),$W$2:$W$1001,0),1)&gt;=100000,INDEX($AD$1005:$AU$1005,1,MATCH(COLUMNS($AD$1006:AI1006),$AD$1006:$AU$1006,0))&gt;=100000), " ",IF(INDEX($AD$2:$AU$1001,MATCH(ROWS($W$2:W858),$W$2:$W$1001,0),MATCH(COLUMNS($AD$1006:AI1006),$AD$1006:$AU$1006,0)), HYPERLINK("#",""), HYPERLINK(CONCATENATE("#metadata!", ADDRESS(INDEX($Y$2:$Y$1001,MATCH(ROWS($W$2:W858),$W$2:$W$1001,0),0), INDEX($AD$1004:$AU$1004,1,MATCH(COLUMNS($AD$1006:AI1006),$AD$1006:$AU$1006,0)))),"Fix")))</f>
        <v xml:space="preserve"> </v>
      </c>
      <c r="H858" s="4" t="str">
        <f ca="1">IF(OR(INDEX($X$2:$X$1001,MATCH(ROWS($W$2:W858),$W$2:$W$1001,0),1)&gt;=100000,INDEX($AD$1005:$AU$1005,1,MATCH(COLUMNS($AD$1006:AJ1006),$AD$1006:$AU$1006,0))&gt;=100000), " ",IF(INDEX($AD$2:$AU$1001,MATCH(ROWS($W$2:W858),$W$2:$W$1001,0),MATCH(COLUMNS($AD$1006:AJ1006),$AD$1006:$AU$1006,0)), HYPERLINK("#",""), HYPERLINK(CONCATENATE("#metadata!", ADDRESS(INDEX($Y$2:$Y$1001,MATCH(ROWS($W$2:W858),$W$2:$W$1001,0),0), INDEX($AD$1004:$AU$1004,1,MATCH(COLUMNS($AD$1006:AJ1006),$AD$1006:$AU$1006,0)))),"Fix")))</f>
        <v xml:space="preserve"> </v>
      </c>
      <c r="I858" s="4" t="str">
        <f ca="1">IF(OR(INDEX($X$2:$X$1001,MATCH(ROWS($W$2:W858),$W$2:$W$1001,0),1)&gt;=100000,INDEX($AD$1005:$AU$1005,1,MATCH(COLUMNS($AD$1006:AK1006),$AD$1006:$AU$1006,0))&gt;=100000), " ",IF(INDEX($AD$2:$AU$1001,MATCH(ROWS($W$2:W858),$W$2:$W$1001,0),MATCH(COLUMNS($AD$1006:AK1006),$AD$1006:$AU$1006,0)), HYPERLINK("#",""), HYPERLINK(CONCATENATE("#metadata!", ADDRESS(INDEX($Y$2:$Y$1001,MATCH(ROWS($W$2:W858),$W$2:$W$1001,0),0), INDEX($AD$1004:$AU$1004,1,MATCH(COLUMNS($AD$1006:AK1006),$AD$1006:$AU$1006,0)))),"Fix")))</f>
        <v xml:space="preserve"> </v>
      </c>
      <c r="J858" s="4" t="str">
        <f ca="1">IF(OR(INDEX($X$2:$X$1001,MATCH(ROWS($W$2:W858),$W$2:$W$1001,0),1)&gt;=100000,INDEX($AD$1005:$AU$1005,1,MATCH(COLUMNS($AD$1006:AL1006),$AD$1006:$AU$1006,0))&gt;=100000), " ",IF(INDEX($AD$2:$AU$1001,MATCH(ROWS($W$2:W858),$W$2:$W$1001,0),MATCH(COLUMNS($AD$1006:AL1006),$AD$1006:$AU$1006,0)), HYPERLINK("#",""), HYPERLINK(CONCATENATE("#metadata!", ADDRESS(INDEX($Y$2:$Y$1001,MATCH(ROWS($W$2:W858),$W$2:$W$1001,0),0), INDEX($AD$1004:$AU$1004,1,MATCH(COLUMNS($AD$1006:AL1006),$AD$1006:$AU$1006,0)))),"Fix")))</f>
        <v xml:space="preserve"> </v>
      </c>
      <c r="K858" s="4" t="str">
        <f ca="1">IF(OR(INDEX($X$2:$X$1001,MATCH(ROWS($W$2:W858),$W$2:$W$1001,0),1)&gt;=100000,INDEX($AD$1005:$AU$1005,1,MATCH(COLUMNS($AD$1006:AM1006),$AD$1006:$AU$1006,0))&gt;=100000), " ",IF(INDEX($AD$2:$AU$1001,MATCH(ROWS($W$2:W858),$W$2:$W$1001,0),MATCH(COLUMNS($AD$1006:AM1006),$AD$1006:$AU$1006,0)), HYPERLINK("#",""), HYPERLINK(CONCATENATE("#metadata!", ADDRESS(INDEX($Y$2:$Y$1001,MATCH(ROWS($W$2:W858),$W$2:$W$1001,0),0), INDEX($AD$1004:$AU$1004,1,MATCH(COLUMNS($AD$1006:AM1006),$AD$1006:$AU$1006,0)))),"Fix")))</f>
        <v xml:space="preserve"> </v>
      </c>
      <c r="L858" s="4" t="str">
        <f ca="1">IF(OR(INDEX($X$2:$X$1001,MATCH(ROWS($W$2:W858),$W$2:$W$1001,0),1)&gt;=100000,INDEX($AD$1005:$AU$1005,1,MATCH(COLUMNS($AD$1006:AN1006),$AD$1006:$AU$1006,0))&gt;=100000), " ",IF(INDEX($AD$2:$AU$1001,MATCH(ROWS($W$2:W858),$W$2:$W$1001,0),MATCH(COLUMNS($AD$1006:AN1006),$AD$1006:$AU$1006,0)), HYPERLINK("#",""), HYPERLINK(CONCATENATE("#metadata!", ADDRESS(INDEX($Y$2:$Y$1001,MATCH(ROWS($W$2:W858),$W$2:$W$1001,0),0), INDEX($AD$1004:$AU$1004,1,MATCH(COLUMNS($AD$1006:AN1006),$AD$1006:$AU$1006,0)))),"Fix")))</f>
        <v xml:space="preserve"> </v>
      </c>
      <c r="M858" s="4" t="str">
        <f ca="1">IF(OR(INDEX($X$2:$X$1001,MATCH(ROWS($W$2:W858),$W$2:$W$1001,0),1)&gt;=100000,INDEX($AD$1005:$AU$1005,1,MATCH(COLUMNS($AD$1006:AO1006),$AD$1006:$AU$1006,0))&gt;=100000), " ",IF(INDEX($AD$2:$AU$1001,MATCH(ROWS($W$2:W858),$W$2:$W$1001,0),MATCH(COLUMNS($AD$1006:AO1006),$AD$1006:$AU$1006,0)), HYPERLINK("#",""), HYPERLINK(CONCATENATE("#metadata!", ADDRESS(INDEX($Y$2:$Y$1001,MATCH(ROWS($W$2:W858),$W$2:$W$1001,0),0), INDEX($AD$1004:$AU$1004,1,MATCH(COLUMNS($AD$1006:AO1006),$AD$1006:$AU$1006,0)))),"Fix")))</f>
        <v xml:space="preserve"> </v>
      </c>
      <c r="N858" s="4" t="str">
        <f ca="1">IF(OR(INDEX($X$2:$X$1001,MATCH(ROWS($W$2:W858),$W$2:$W$1001,0),1)&gt;=100000,INDEX($AD$1005:$AU$1005,1,MATCH(COLUMNS($AD$1006:AP1006),$AD$1006:$AU$1006,0))&gt;=100000), " ",IF(INDEX($AD$2:$AU$1001,MATCH(ROWS($W$2:W858),$W$2:$W$1001,0),MATCH(COLUMNS($AD$1006:AP1006),$AD$1006:$AU$1006,0)), HYPERLINK("#",""), HYPERLINK(CONCATENATE("#metadata!", ADDRESS(INDEX($Y$2:$Y$1001,MATCH(ROWS($W$2:W858),$W$2:$W$1001,0),0), INDEX($AD$1004:$AU$1004,1,MATCH(COLUMNS($AD$1006:AP1006),$AD$1006:$AU$1006,0)))),"Fix")))</f>
        <v xml:space="preserve"> </v>
      </c>
      <c r="O858" s="4" t="str">
        <f ca="1">IF(OR(INDEX($X$2:$X$1001,MATCH(ROWS($W$2:W858),$W$2:$W$1001,0),1)&gt;=100000,INDEX($AD$1005:$AU$1005,1,MATCH(COLUMNS($AD$1006:AQ1006),$AD$1006:$AU$1006,0))&gt;=100000), " ",IF(INDEX($AD$2:$AU$1001,MATCH(ROWS($W$2:W858),$W$2:$W$1001,0),MATCH(COLUMNS($AD$1006:AQ1006),$AD$1006:$AU$1006,0)), HYPERLINK("#",""), HYPERLINK(CONCATENATE("#metadata!", ADDRESS(INDEX($Y$2:$Y$1001,MATCH(ROWS($W$2:W858),$W$2:$W$1001,0),0), INDEX($AD$1004:$AU$1004,1,MATCH(COLUMNS($AD$1006:AQ1006),$AD$1006:$AU$1006,0)))),"Fix")))</f>
        <v xml:space="preserve"> </v>
      </c>
      <c r="P858" s="4" t="str">
        <f ca="1">IF(OR(INDEX($X$2:$X$1001,MATCH(ROWS($W$2:W858),$W$2:$W$1001,0),1)&gt;=100000,INDEX($AD$1005:$AU$1005,1,MATCH(COLUMNS($AD$1006:AR1006),$AD$1006:$AU$1006,0))&gt;=100000), " ",IF(INDEX($AD$2:$AU$1001,MATCH(ROWS($W$2:W858),$W$2:$W$1001,0),MATCH(COLUMNS($AD$1006:AR1006),$AD$1006:$AU$1006,0)), HYPERLINK("#",""), HYPERLINK(CONCATENATE("#metadata!", ADDRESS(INDEX($Y$2:$Y$1001,MATCH(ROWS($W$2:W858),$W$2:$W$1001,0),0), INDEX($AD$1004:$AU$1004,1,MATCH(COLUMNS($AD$1006:AR1006),$AD$1006:$AU$1006,0)))),"Fix")))</f>
        <v xml:space="preserve"> </v>
      </c>
      <c r="Q858" s="4" t="str">
        <f ca="1">IF(OR(INDEX($X$2:$X$1001,MATCH(ROWS($W$2:W858),$W$2:$W$1001,0),1)&gt;=100000,INDEX($AD$1005:$AU$1005,1,MATCH(COLUMNS($AD$1006:AS1006),$AD$1006:$AU$1006,0))&gt;=100000), " ",IF(INDEX($AD$2:$AU$1001,MATCH(ROWS($W$2:W858),$W$2:$W$1001,0),MATCH(COLUMNS($AD$1006:AS1006),$AD$1006:$AU$1006,0)), HYPERLINK("#",""), HYPERLINK(CONCATENATE("#metadata!", ADDRESS(INDEX($Y$2:$Y$1001,MATCH(ROWS($W$2:W858),$W$2:$W$1001,0),0), INDEX($AD$1004:$AU$1004,1,MATCH(COLUMNS($AD$1006:AS1006),$AD$1006:$AU$1006,0)))),"Fix")))</f>
        <v xml:space="preserve"> </v>
      </c>
      <c r="R858" s="4" t="str">
        <f ca="1">IF(OR(INDEX($X$2:$X$1001,MATCH(ROWS($W$2:W858),$W$2:$W$1001,0),1)&gt;=100000,INDEX($AD$1005:$AU$1005,1,MATCH(COLUMNS($AD$1006:AT1006),$AD$1006:$AU$1006,0))&gt;=100000), " ",IF(INDEX($AD$2:$AU$1001,MATCH(ROWS($W$2:W858),$W$2:$W$1001,0),MATCH(COLUMNS($AD$1006:AT1006),$AD$1006:$AU$1006,0)), HYPERLINK("#",""), HYPERLINK(CONCATENATE("#metadata!", ADDRESS(INDEX($Y$2:$Y$1001,MATCH(ROWS($W$2:W858),$W$2:$W$1001,0),0), INDEX($AD$1004:$AU$1004,1,MATCH(COLUMNS($AD$1006:AT1006),$AD$1006:$AU$1006,0)))),"Fix")))</f>
        <v xml:space="preserve"> </v>
      </c>
      <c r="S858" s="4" t="str">
        <f ca="1">IF(OR(INDEX($X$2:$X$1001,MATCH(ROWS($W$2:W858),$W$2:$W$1001,0),1)&gt;=100000,INDEX($AD$1005:$AU$1005,1,MATCH(COLUMNS($AD$1006:AU1006),$AD$1006:$AU$1006,0))&gt;=100000), " ",IF(INDEX($AD$2:$AU$1001,MATCH(ROWS($W$2:W858),$W$2:$W$1001,0),MATCH(COLUMNS($AD$1006:AU1006),$AD$1006:$AU$1006,0)), HYPERLINK("#",""), HYPERLINK(CONCATENATE("#metadata!", ADDRESS(INDEX($Y$2:$Y$1001,MATCH(ROWS($W$2:W858),$W$2:$W$1001,0),0), INDEX($AD$1004:$AU$1004,1,MATCH(COLUMNS($AD$1006:AU1006),$AD$1006:$AU$1006,0)))),"Fix")))</f>
        <v xml:space="preserve"> </v>
      </c>
      <c r="W858">
        <v>857</v>
      </c>
      <c r="X858">
        <v>100858</v>
      </c>
      <c r="Y858">
        <v>858</v>
      </c>
      <c r="Z858" t="b">
        <f t="shared" si="13"/>
        <v>1</v>
      </c>
      <c r="AA858" t="b">
        <f>COUNTBLANK(metadata!B858:S858)=COLUMNS(metadata!B858:S858)</f>
        <v>1</v>
      </c>
      <c r="AB858" t="str">
        <v/>
      </c>
      <c r="AD858" t="b">
        <f ca="1">AND(IF(metadata!B858="",FALSE,TRUE),COUNTIF(metadata!B:B, metadata!B858) = 1,NOT(ISERROR(SUMPRODUCT(SEARCH(MID(metadata!B858,ROW(INDIRECT("1:"&amp;LEN(metadata!B858))), 1),"0123456789abcdefghijklmnopqrstuvwxyzABCDEFGHIJKLMNOPQRSTUVWXYZ.")))))</f>
        <v>0</v>
      </c>
      <c r="AE858" t="b">
        <f>OR(AND(IF(metadata!C858="",FALSE,TRUE),OR(EXACT(metadata!C858,"not applicable"),EXACT(metadata!C858,"missing: not collected"),EXACT(metadata!C858,"missing: not provided"),EXACT(metadata!C858,"missing: restricted access"))),AND(IF(metadata!C858="",FALSE,ISNUMBER(VALUE(metadata!C858))),metadata!C858&gt;0))</f>
        <v>0</v>
      </c>
      <c r="AF858" t="b">
        <f>AND(IF(metadata!D858="",FALSE,TRUE),EXACT(metadata!D858,"missing: not provided"))</f>
        <v>0</v>
      </c>
      <c r="AG858" t="b">
        <f>AND(IF(metadata!E858="",FALSE,TRUE),EXACT(metadata!E858,"Host-associated"))</f>
        <v>0</v>
      </c>
      <c r="AH858" t="b">
        <f>AND(IF(metadata!F858="",FALSE,TRUE),OR(EXACT(metadata!F858,"Animal"),EXACT(metadata!F858,"Fungus"),EXACT(metadata!F858,"Plant")))</f>
        <v>0</v>
      </c>
      <c r="AI858" t="b">
        <f>AND(IF(metadata!G858="",FALSE,TRUE),OR(EXACT(metadata!G858,"Plant secretion"),EXACT(metadata!G858,"Plant rhizosphere"),EXACT(metadata!G858,"Plant surface"),EXACT(metadata!G858,"Plant corpus"),EXACT(metadata!G858,"Fungus surface"),EXACT(metadata!G858,"Fungus corpus"),EXACT(metadata!G858,"Animal surface"),EXACT(metadata!G858,"Animal proximal gut"),EXACT(metadata!G858,"Animal corpus"),EXACT(metadata!G858,"Animal distal gut"),EXACT(metadata!G858,"Animal secretion")))</f>
        <v>0</v>
      </c>
      <c r="AJ858" t="b">
        <f>OR(AND(IF(metadata!H858="",FALSE,TRUE),OR(EXACT(metadata!H858,"missing: not collected"),EXACT(metadata!H858,"missing: not provided"),EXACT(metadata!H858,"missing: restricted access"))),AND(IF(metadata!H858="",FALSE,TRUE),OR(EXACT(metadata!H858,"organism-associated habitat"),EXACT(metadata!H858,"plant-associated habitat"),EXACT(metadata!H858,"animal-associated habitat"),EXACT(metadata!H858,"insecta-associated habitat"),EXACT(metadata!H858,"mammalia-associated habitat"),EXACT(metadata!H858,"human-associated habitat"),EXACT(metadata!H858,"livestock-associated habitat"))))</f>
        <v>0</v>
      </c>
      <c r="AK858" t="b">
        <f>AND(IF(metadata!I858="",FALSE,TRUE),EXACT(metadata!I858,"host-associated"))</f>
        <v>0</v>
      </c>
      <c r="AL858" t="b">
        <f>OR(AND(IF(metadata!J858="",FALSE,TRUE),OR(EXACT(metadata!J858,"not applicable"),EXACT(metadata!J858,"missing: not collected"),EXACT(metadata!J858,"missing: not provided"),EXACT(metadata!J858,"missing: restricted access"))),AND(IF(metadata!J858="",FALSE,ISNUMBER(VALUE(metadata!J858))),metadata!J858&gt;0))</f>
        <v>0</v>
      </c>
      <c r="AM858" t="b">
        <f>AND(IF(metadata!K858="",FALSE,TRUE),EXACT(metadata!K858,"missing: not provided"))</f>
        <v>0</v>
      </c>
      <c r="AN858" t="b">
        <f>IF(metadata!L858="",FALSE,TRUE)</f>
        <v>0</v>
      </c>
      <c r="AO858" t="b">
        <f>IF(metadata!M858="",FALSE,TRUE)</f>
        <v>0</v>
      </c>
      <c r="AP858" t="b">
        <f>OR(AND(IF(metadata!N858="",FALSE,TRUE),OR(EXACT(metadata!N858,"not applicable"),EXACT(metadata!N858,"missing: not collected"),EXACT(metadata!N858,"missing: not provided"))),AND(IF(metadata!N858="",FALSE,IF(ISERROR(INT(metadata!N858)),FALSE,INT(metadata!N858)=metadata!N858)),metadata!N858&gt;0))</f>
        <v>0</v>
      </c>
      <c r="AQ858" t="b">
        <f>AND(IF(metadata!O858="",FALSE,TRUE),EXACT(metadata!O858,"Not applicable"))</f>
        <v>0</v>
      </c>
      <c r="AR858" t="b">
        <f>OR(AND(IF(metadata!P858="",FALSE,TRUE),OR(EXACT(metadata!P858,"not applicable"),EXACT(metadata!P858,"missing: not collected"),EXACT(metadata!P858,"missing: not provided"),EXACT(metadata!P858,"missing: restricted access"))),IF(metadata!P858="",FALSE,IF(ISERROR(INT(metadata!P858)),FALSE,INT(metadata!P858)=metadata!P858)))</f>
        <v>0</v>
      </c>
      <c r="AS858" t="b">
        <f>AND(IF(metadata!Q858="",FALSE,TRUE),EXACT(metadata!Q858,"Not applicable"))</f>
        <v>0</v>
      </c>
      <c r="AT858" t="b">
        <f>OR(AND(IF(metadata!R858="",FALSE,TRUE),OR(EXACT(metadata!R858,"not applicable"),EXACT(metadata!R858,"missing: not collected"),EXACT(metadata!R858,"missing: not provided"),EXACT(metadata!R858,"missing: restricted access"))),AND(IF(metadata!R858="",FALSE,ISNUMBER(VALUE(metadata!R858))),metadata!R858&gt;0))</f>
        <v>0</v>
      </c>
      <c r="AU858" t="b">
        <f>AND(IF(metadata!S858="",FALSE,TRUE),EXACT(metadata!S858,"missing: not provided"))</f>
        <v>0</v>
      </c>
    </row>
    <row r="859" spans="1:47" x14ac:dyDescent="0.2">
      <c r="A859" s="5" t="str">
        <f ca="1">IF(B859=" "," ",HYPERLINK(CONCATENATE("#metadata!",ADDRESS(INDEX($Y$2:$Y$1001,MATCH(ROWS($W$2:W859),$W$2:$W$1001,0),0),1)),INDEX($AB$2:$AB$1001,MATCH(ROWS($W$2:W859),$W$2:$W$1001,0),0)))</f>
        <v xml:space="preserve"> </v>
      </c>
      <c r="B859" s="4" t="str">
        <f ca="1">IF(OR(INDEX($X$2:$X$1001,MATCH(ROWS($W$2:W859),$W$2:$W$1001,0),1)&gt;=100000,INDEX($AD$1005:$AU$1005,1,MATCH(COLUMNS($AD$1006:AD1006),$AD$1006:$AU$1006,0))&gt;=100000), " ",IF(INDEX($AD$2:$AU$1001,MATCH(ROWS($W$2:W859),$W$2:$W$1001,0),MATCH(COLUMNS($AD$1006:AD1006),$AD$1006:$AU$1006,0)), HYPERLINK("#",""), HYPERLINK(CONCATENATE("#metadata!", ADDRESS(INDEX($Y$2:$Y$1001,MATCH(ROWS($W$2:W859),$W$2:$W$1001,0),0), INDEX($AD$1004:$AU$1004,1,MATCH(COLUMNS($AD$1006:AD1006),$AD$1006:$AU$1006,0)))),"Fix")))</f>
        <v xml:space="preserve"> </v>
      </c>
      <c r="C859" s="4" t="str">
        <f ca="1">IF(OR(INDEX($X$2:$X$1001,MATCH(ROWS($W$2:W859),$W$2:$W$1001,0),1)&gt;=100000,INDEX($AD$1005:$AU$1005,1,MATCH(COLUMNS($AD$1006:AE1006),$AD$1006:$AU$1006,0))&gt;=100000), " ",IF(INDEX($AD$2:$AU$1001,MATCH(ROWS($W$2:W859),$W$2:$W$1001,0),MATCH(COLUMNS($AD$1006:AE1006),$AD$1006:$AU$1006,0)), HYPERLINK("#",""), HYPERLINK(CONCATENATE("#metadata!", ADDRESS(INDEX($Y$2:$Y$1001,MATCH(ROWS($W$2:W859),$W$2:$W$1001,0),0), INDEX($AD$1004:$AU$1004,1,MATCH(COLUMNS($AD$1006:AE1006),$AD$1006:$AU$1006,0)))),"Fix")))</f>
        <v xml:space="preserve"> </v>
      </c>
      <c r="D859" s="4" t="str">
        <f ca="1">IF(OR(INDEX($X$2:$X$1001,MATCH(ROWS($W$2:W859),$W$2:$W$1001,0),1)&gt;=100000,INDEX($AD$1005:$AU$1005,1,MATCH(COLUMNS($AD$1006:AF1006),$AD$1006:$AU$1006,0))&gt;=100000), " ",IF(INDEX($AD$2:$AU$1001,MATCH(ROWS($W$2:W859),$W$2:$W$1001,0),MATCH(COLUMNS($AD$1006:AF1006),$AD$1006:$AU$1006,0)), HYPERLINK("#",""), HYPERLINK(CONCATENATE("#metadata!", ADDRESS(INDEX($Y$2:$Y$1001,MATCH(ROWS($W$2:W859),$W$2:$W$1001,0),0), INDEX($AD$1004:$AU$1004,1,MATCH(COLUMNS($AD$1006:AF1006),$AD$1006:$AU$1006,0)))),"Fix")))</f>
        <v xml:space="preserve"> </v>
      </c>
      <c r="E859" s="4" t="str">
        <f ca="1">IF(OR(INDEX($X$2:$X$1001,MATCH(ROWS($W$2:W859),$W$2:$W$1001,0),1)&gt;=100000,INDEX($AD$1005:$AU$1005,1,MATCH(COLUMNS($AD$1006:AG1006),$AD$1006:$AU$1006,0))&gt;=100000), " ",IF(INDEX($AD$2:$AU$1001,MATCH(ROWS($W$2:W859),$W$2:$W$1001,0),MATCH(COLUMNS($AD$1006:AG1006),$AD$1006:$AU$1006,0)), HYPERLINK("#",""), HYPERLINK(CONCATENATE("#metadata!", ADDRESS(INDEX($Y$2:$Y$1001,MATCH(ROWS($W$2:W859),$W$2:$W$1001,0),0), INDEX($AD$1004:$AU$1004,1,MATCH(COLUMNS($AD$1006:AG1006),$AD$1006:$AU$1006,0)))),"Fix")))</f>
        <v xml:space="preserve"> </v>
      </c>
      <c r="F859" s="4" t="str">
        <f ca="1">IF(OR(INDEX($X$2:$X$1001,MATCH(ROWS($W$2:W859),$W$2:$W$1001,0),1)&gt;=100000,INDEX($AD$1005:$AU$1005,1,MATCH(COLUMNS($AD$1006:AH1006),$AD$1006:$AU$1006,0))&gt;=100000), " ",IF(INDEX($AD$2:$AU$1001,MATCH(ROWS($W$2:W859),$W$2:$W$1001,0),MATCH(COLUMNS($AD$1006:AH1006),$AD$1006:$AU$1006,0)), HYPERLINK("#",""), HYPERLINK(CONCATENATE("#metadata!", ADDRESS(INDEX($Y$2:$Y$1001,MATCH(ROWS($W$2:W859),$W$2:$W$1001,0),0), INDEX($AD$1004:$AU$1004,1,MATCH(COLUMNS($AD$1006:AH1006),$AD$1006:$AU$1006,0)))),"Fix")))</f>
        <v xml:space="preserve"> </v>
      </c>
      <c r="G859" s="4" t="str">
        <f ca="1">IF(OR(INDEX($X$2:$X$1001,MATCH(ROWS($W$2:W859),$W$2:$W$1001,0),1)&gt;=100000,INDEX($AD$1005:$AU$1005,1,MATCH(COLUMNS($AD$1006:AI1006),$AD$1006:$AU$1006,0))&gt;=100000), " ",IF(INDEX($AD$2:$AU$1001,MATCH(ROWS($W$2:W859),$W$2:$W$1001,0),MATCH(COLUMNS($AD$1006:AI1006),$AD$1006:$AU$1006,0)), HYPERLINK("#",""), HYPERLINK(CONCATENATE("#metadata!", ADDRESS(INDEX($Y$2:$Y$1001,MATCH(ROWS($W$2:W859),$W$2:$W$1001,0),0), INDEX($AD$1004:$AU$1004,1,MATCH(COLUMNS($AD$1006:AI1006),$AD$1006:$AU$1006,0)))),"Fix")))</f>
        <v xml:space="preserve"> </v>
      </c>
      <c r="H859" s="4" t="str">
        <f ca="1">IF(OR(INDEX($X$2:$X$1001,MATCH(ROWS($W$2:W859),$W$2:$W$1001,0),1)&gt;=100000,INDEX($AD$1005:$AU$1005,1,MATCH(COLUMNS($AD$1006:AJ1006),$AD$1006:$AU$1006,0))&gt;=100000), " ",IF(INDEX($AD$2:$AU$1001,MATCH(ROWS($W$2:W859),$W$2:$W$1001,0),MATCH(COLUMNS($AD$1006:AJ1006),$AD$1006:$AU$1006,0)), HYPERLINK("#",""), HYPERLINK(CONCATENATE("#metadata!", ADDRESS(INDEX($Y$2:$Y$1001,MATCH(ROWS($W$2:W859),$W$2:$W$1001,0),0), INDEX($AD$1004:$AU$1004,1,MATCH(COLUMNS($AD$1006:AJ1006),$AD$1006:$AU$1006,0)))),"Fix")))</f>
        <v xml:space="preserve"> </v>
      </c>
      <c r="I859" s="4" t="str">
        <f ca="1">IF(OR(INDEX($X$2:$X$1001,MATCH(ROWS($W$2:W859),$W$2:$W$1001,0),1)&gt;=100000,INDEX($AD$1005:$AU$1005,1,MATCH(COLUMNS($AD$1006:AK1006),$AD$1006:$AU$1006,0))&gt;=100000), " ",IF(INDEX($AD$2:$AU$1001,MATCH(ROWS($W$2:W859),$W$2:$W$1001,0),MATCH(COLUMNS($AD$1006:AK1006),$AD$1006:$AU$1006,0)), HYPERLINK("#",""), HYPERLINK(CONCATENATE("#metadata!", ADDRESS(INDEX($Y$2:$Y$1001,MATCH(ROWS($W$2:W859),$W$2:$W$1001,0),0), INDEX($AD$1004:$AU$1004,1,MATCH(COLUMNS($AD$1006:AK1006),$AD$1006:$AU$1006,0)))),"Fix")))</f>
        <v xml:space="preserve"> </v>
      </c>
      <c r="J859" s="4" t="str">
        <f ca="1">IF(OR(INDEX($X$2:$X$1001,MATCH(ROWS($W$2:W859),$W$2:$W$1001,0),1)&gt;=100000,INDEX($AD$1005:$AU$1005,1,MATCH(COLUMNS($AD$1006:AL1006),$AD$1006:$AU$1006,0))&gt;=100000), " ",IF(INDEX($AD$2:$AU$1001,MATCH(ROWS($W$2:W859),$W$2:$W$1001,0),MATCH(COLUMNS($AD$1006:AL1006),$AD$1006:$AU$1006,0)), HYPERLINK("#",""), HYPERLINK(CONCATENATE("#metadata!", ADDRESS(INDEX($Y$2:$Y$1001,MATCH(ROWS($W$2:W859),$W$2:$W$1001,0),0), INDEX($AD$1004:$AU$1004,1,MATCH(COLUMNS($AD$1006:AL1006),$AD$1006:$AU$1006,0)))),"Fix")))</f>
        <v xml:space="preserve"> </v>
      </c>
      <c r="K859" s="4" t="str">
        <f ca="1">IF(OR(INDEX($X$2:$X$1001,MATCH(ROWS($W$2:W859),$W$2:$W$1001,0),1)&gt;=100000,INDEX($AD$1005:$AU$1005,1,MATCH(COLUMNS($AD$1006:AM1006),$AD$1006:$AU$1006,0))&gt;=100000), " ",IF(INDEX($AD$2:$AU$1001,MATCH(ROWS($W$2:W859),$W$2:$W$1001,0),MATCH(COLUMNS($AD$1006:AM1006),$AD$1006:$AU$1006,0)), HYPERLINK("#",""), HYPERLINK(CONCATENATE("#metadata!", ADDRESS(INDEX($Y$2:$Y$1001,MATCH(ROWS($W$2:W859),$W$2:$W$1001,0),0), INDEX($AD$1004:$AU$1004,1,MATCH(COLUMNS($AD$1006:AM1006),$AD$1006:$AU$1006,0)))),"Fix")))</f>
        <v xml:space="preserve"> </v>
      </c>
      <c r="L859" s="4" t="str">
        <f ca="1">IF(OR(INDEX($X$2:$X$1001,MATCH(ROWS($W$2:W859),$W$2:$W$1001,0),1)&gt;=100000,INDEX($AD$1005:$AU$1005,1,MATCH(COLUMNS($AD$1006:AN1006),$AD$1006:$AU$1006,0))&gt;=100000), " ",IF(INDEX($AD$2:$AU$1001,MATCH(ROWS($W$2:W859),$W$2:$W$1001,0),MATCH(COLUMNS($AD$1006:AN1006),$AD$1006:$AU$1006,0)), HYPERLINK("#",""), HYPERLINK(CONCATENATE("#metadata!", ADDRESS(INDEX($Y$2:$Y$1001,MATCH(ROWS($W$2:W859),$W$2:$W$1001,0),0), INDEX($AD$1004:$AU$1004,1,MATCH(COLUMNS($AD$1006:AN1006),$AD$1006:$AU$1006,0)))),"Fix")))</f>
        <v xml:space="preserve"> </v>
      </c>
      <c r="M859" s="4" t="str">
        <f ca="1">IF(OR(INDEX($X$2:$X$1001,MATCH(ROWS($W$2:W859),$W$2:$W$1001,0),1)&gt;=100000,INDEX($AD$1005:$AU$1005,1,MATCH(COLUMNS($AD$1006:AO1006),$AD$1006:$AU$1006,0))&gt;=100000), " ",IF(INDEX($AD$2:$AU$1001,MATCH(ROWS($W$2:W859),$W$2:$W$1001,0),MATCH(COLUMNS($AD$1006:AO1006),$AD$1006:$AU$1006,0)), HYPERLINK("#",""), HYPERLINK(CONCATENATE("#metadata!", ADDRESS(INDEX($Y$2:$Y$1001,MATCH(ROWS($W$2:W859),$W$2:$W$1001,0),0), INDEX($AD$1004:$AU$1004,1,MATCH(COLUMNS($AD$1006:AO1006),$AD$1006:$AU$1006,0)))),"Fix")))</f>
        <v xml:space="preserve"> </v>
      </c>
      <c r="N859" s="4" t="str">
        <f ca="1">IF(OR(INDEX($X$2:$X$1001,MATCH(ROWS($W$2:W859),$W$2:$W$1001,0),1)&gt;=100000,INDEX($AD$1005:$AU$1005,1,MATCH(COLUMNS($AD$1006:AP1006),$AD$1006:$AU$1006,0))&gt;=100000), " ",IF(INDEX($AD$2:$AU$1001,MATCH(ROWS($W$2:W859),$W$2:$W$1001,0),MATCH(COLUMNS($AD$1006:AP1006),$AD$1006:$AU$1006,0)), HYPERLINK("#",""), HYPERLINK(CONCATENATE("#metadata!", ADDRESS(INDEX($Y$2:$Y$1001,MATCH(ROWS($W$2:W859),$W$2:$W$1001,0),0), INDEX($AD$1004:$AU$1004,1,MATCH(COLUMNS($AD$1006:AP1006),$AD$1006:$AU$1006,0)))),"Fix")))</f>
        <v xml:space="preserve"> </v>
      </c>
      <c r="O859" s="4" t="str">
        <f ca="1">IF(OR(INDEX($X$2:$X$1001,MATCH(ROWS($W$2:W859),$W$2:$W$1001,0),1)&gt;=100000,INDEX($AD$1005:$AU$1005,1,MATCH(COLUMNS($AD$1006:AQ1006),$AD$1006:$AU$1006,0))&gt;=100000), " ",IF(INDEX($AD$2:$AU$1001,MATCH(ROWS($W$2:W859),$W$2:$W$1001,0),MATCH(COLUMNS($AD$1006:AQ1006),$AD$1006:$AU$1006,0)), HYPERLINK("#",""), HYPERLINK(CONCATENATE("#metadata!", ADDRESS(INDEX($Y$2:$Y$1001,MATCH(ROWS($W$2:W859),$W$2:$W$1001,0),0), INDEX($AD$1004:$AU$1004,1,MATCH(COLUMNS($AD$1006:AQ1006),$AD$1006:$AU$1006,0)))),"Fix")))</f>
        <v xml:space="preserve"> </v>
      </c>
      <c r="P859" s="4" t="str">
        <f ca="1">IF(OR(INDEX($X$2:$X$1001,MATCH(ROWS($W$2:W859),$W$2:$W$1001,0),1)&gt;=100000,INDEX($AD$1005:$AU$1005,1,MATCH(COLUMNS($AD$1006:AR1006),$AD$1006:$AU$1006,0))&gt;=100000), " ",IF(INDEX($AD$2:$AU$1001,MATCH(ROWS($W$2:W859),$W$2:$W$1001,0),MATCH(COLUMNS($AD$1006:AR1006),$AD$1006:$AU$1006,0)), HYPERLINK("#",""), HYPERLINK(CONCATENATE("#metadata!", ADDRESS(INDEX($Y$2:$Y$1001,MATCH(ROWS($W$2:W859),$W$2:$W$1001,0),0), INDEX($AD$1004:$AU$1004,1,MATCH(COLUMNS($AD$1006:AR1006),$AD$1006:$AU$1006,0)))),"Fix")))</f>
        <v xml:space="preserve"> </v>
      </c>
      <c r="Q859" s="4" t="str">
        <f ca="1">IF(OR(INDEX($X$2:$X$1001,MATCH(ROWS($W$2:W859),$W$2:$W$1001,0),1)&gt;=100000,INDEX($AD$1005:$AU$1005,1,MATCH(COLUMNS($AD$1006:AS1006),$AD$1006:$AU$1006,0))&gt;=100000), " ",IF(INDEX($AD$2:$AU$1001,MATCH(ROWS($W$2:W859),$W$2:$W$1001,0),MATCH(COLUMNS($AD$1006:AS1006),$AD$1006:$AU$1006,0)), HYPERLINK("#",""), HYPERLINK(CONCATENATE("#metadata!", ADDRESS(INDEX($Y$2:$Y$1001,MATCH(ROWS($W$2:W859),$W$2:$W$1001,0),0), INDEX($AD$1004:$AU$1004,1,MATCH(COLUMNS($AD$1006:AS1006),$AD$1006:$AU$1006,0)))),"Fix")))</f>
        <v xml:space="preserve"> </v>
      </c>
      <c r="R859" s="4" t="str">
        <f ca="1">IF(OR(INDEX($X$2:$X$1001,MATCH(ROWS($W$2:W859),$W$2:$W$1001,0),1)&gt;=100000,INDEX($AD$1005:$AU$1005,1,MATCH(COLUMNS($AD$1006:AT1006),$AD$1006:$AU$1006,0))&gt;=100000), " ",IF(INDEX($AD$2:$AU$1001,MATCH(ROWS($W$2:W859),$W$2:$W$1001,0),MATCH(COLUMNS($AD$1006:AT1006),$AD$1006:$AU$1006,0)), HYPERLINK("#",""), HYPERLINK(CONCATENATE("#metadata!", ADDRESS(INDEX($Y$2:$Y$1001,MATCH(ROWS($W$2:W859),$W$2:$W$1001,0),0), INDEX($AD$1004:$AU$1004,1,MATCH(COLUMNS($AD$1006:AT1006),$AD$1006:$AU$1006,0)))),"Fix")))</f>
        <v xml:space="preserve"> </v>
      </c>
      <c r="S859" s="4" t="str">
        <f ca="1">IF(OR(INDEX($X$2:$X$1001,MATCH(ROWS($W$2:W859),$W$2:$W$1001,0),1)&gt;=100000,INDEX($AD$1005:$AU$1005,1,MATCH(COLUMNS($AD$1006:AU1006),$AD$1006:$AU$1006,0))&gt;=100000), " ",IF(INDEX($AD$2:$AU$1001,MATCH(ROWS($W$2:W859),$W$2:$W$1001,0),MATCH(COLUMNS($AD$1006:AU1006),$AD$1006:$AU$1006,0)), HYPERLINK("#",""), HYPERLINK(CONCATENATE("#metadata!", ADDRESS(INDEX($Y$2:$Y$1001,MATCH(ROWS($W$2:W859),$W$2:$W$1001,0),0), INDEX($AD$1004:$AU$1004,1,MATCH(COLUMNS($AD$1006:AU1006),$AD$1006:$AU$1006,0)))),"Fix")))</f>
        <v xml:space="preserve"> </v>
      </c>
      <c r="W859">
        <v>858</v>
      </c>
      <c r="X859">
        <v>100859</v>
      </c>
      <c r="Y859">
        <v>859</v>
      </c>
      <c r="Z859" t="b">
        <f t="shared" si="13"/>
        <v>1</v>
      </c>
      <c r="AA859" t="b">
        <f>COUNTBLANK(metadata!B859:S859)=COLUMNS(metadata!B859:S859)</f>
        <v>1</v>
      </c>
      <c r="AB859" t="str">
        <v/>
      </c>
      <c r="AD859" t="b">
        <f ca="1">AND(IF(metadata!B859="",FALSE,TRUE),COUNTIF(metadata!B:B, metadata!B859) = 1,NOT(ISERROR(SUMPRODUCT(SEARCH(MID(metadata!B859,ROW(INDIRECT("1:"&amp;LEN(metadata!B859))), 1),"0123456789abcdefghijklmnopqrstuvwxyzABCDEFGHIJKLMNOPQRSTUVWXYZ.")))))</f>
        <v>0</v>
      </c>
      <c r="AE859" t="b">
        <f>OR(AND(IF(metadata!C859="",FALSE,TRUE),OR(EXACT(metadata!C859,"not applicable"),EXACT(metadata!C859,"missing: not collected"),EXACT(metadata!C859,"missing: not provided"),EXACT(metadata!C859,"missing: restricted access"))),AND(IF(metadata!C859="",FALSE,ISNUMBER(VALUE(metadata!C859))),metadata!C859&gt;0))</f>
        <v>0</v>
      </c>
      <c r="AF859" t="b">
        <f>AND(IF(metadata!D859="",FALSE,TRUE),EXACT(metadata!D859,"missing: not provided"))</f>
        <v>0</v>
      </c>
      <c r="AG859" t="b">
        <f>AND(IF(metadata!E859="",FALSE,TRUE),EXACT(metadata!E859,"Host-associated"))</f>
        <v>0</v>
      </c>
      <c r="AH859" t="b">
        <f>AND(IF(metadata!F859="",FALSE,TRUE),OR(EXACT(metadata!F859,"Animal"),EXACT(metadata!F859,"Fungus"),EXACT(metadata!F859,"Plant")))</f>
        <v>0</v>
      </c>
      <c r="AI859" t="b">
        <f>AND(IF(metadata!G859="",FALSE,TRUE),OR(EXACT(metadata!G859,"Plant secretion"),EXACT(metadata!G859,"Plant rhizosphere"),EXACT(metadata!G859,"Plant surface"),EXACT(metadata!G859,"Plant corpus"),EXACT(metadata!G859,"Fungus surface"),EXACT(metadata!G859,"Fungus corpus"),EXACT(metadata!G859,"Animal surface"),EXACT(metadata!G859,"Animal proximal gut"),EXACT(metadata!G859,"Animal corpus"),EXACT(metadata!G859,"Animal distal gut"),EXACT(metadata!G859,"Animal secretion")))</f>
        <v>0</v>
      </c>
      <c r="AJ859" t="b">
        <f>OR(AND(IF(metadata!H859="",FALSE,TRUE),OR(EXACT(metadata!H859,"missing: not collected"),EXACT(metadata!H859,"missing: not provided"),EXACT(metadata!H859,"missing: restricted access"))),AND(IF(metadata!H859="",FALSE,TRUE),OR(EXACT(metadata!H859,"organism-associated habitat"),EXACT(metadata!H859,"plant-associated habitat"),EXACT(metadata!H859,"animal-associated habitat"),EXACT(metadata!H859,"insecta-associated habitat"),EXACT(metadata!H859,"mammalia-associated habitat"),EXACT(metadata!H859,"human-associated habitat"),EXACT(metadata!H859,"livestock-associated habitat"))))</f>
        <v>0</v>
      </c>
      <c r="AK859" t="b">
        <f>AND(IF(metadata!I859="",FALSE,TRUE),EXACT(metadata!I859,"host-associated"))</f>
        <v>0</v>
      </c>
      <c r="AL859" t="b">
        <f>OR(AND(IF(metadata!J859="",FALSE,TRUE),OR(EXACT(metadata!J859,"not applicable"),EXACT(metadata!J859,"missing: not collected"),EXACT(metadata!J859,"missing: not provided"),EXACT(metadata!J859,"missing: restricted access"))),AND(IF(metadata!J859="",FALSE,ISNUMBER(VALUE(metadata!J859))),metadata!J859&gt;0))</f>
        <v>0</v>
      </c>
      <c r="AM859" t="b">
        <f>AND(IF(metadata!K859="",FALSE,TRUE),EXACT(metadata!K859,"missing: not provided"))</f>
        <v>0</v>
      </c>
      <c r="AN859" t="b">
        <f>IF(metadata!L859="",FALSE,TRUE)</f>
        <v>0</v>
      </c>
      <c r="AO859" t="b">
        <f>IF(metadata!M859="",FALSE,TRUE)</f>
        <v>0</v>
      </c>
      <c r="AP859" t="b">
        <f>OR(AND(IF(metadata!N859="",FALSE,TRUE),OR(EXACT(metadata!N859,"not applicable"),EXACT(metadata!N859,"missing: not collected"),EXACT(metadata!N859,"missing: not provided"))),AND(IF(metadata!N859="",FALSE,IF(ISERROR(INT(metadata!N859)),FALSE,INT(metadata!N859)=metadata!N859)),metadata!N859&gt;0))</f>
        <v>0</v>
      </c>
      <c r="AQ859" t="b">
        <f>AND(IF(metadata!O859="",FALSE,TRUE),EXACT(metadata!O859,"Not applicable"))</f>
        <v>0</v>
      </c>
      <c r="AR859" t="b">
        <f>OR(AND(IF(metadata!P859="",FALSE,TRUE),OR(EXACT(metadata!P859,"not applicable"),EXACT(metadata!P859,"missing: not collected"),EXACT(metadata!P859,"missing: not provided"),EXACT(metadata!P859,"missing: restricted access"))),IF(metadata!P859="",FALSE,IF(ISERROR(INT(metadata!P859)),FALSE,INT(metadata!P859)=metadata!P859)))</f>
        <v>0</v>
      </c>
      <c r="AS859" t="b">
        <f>AND(IF(metadata!Q859="",FALSE,TRUE),EXACT(metadata!Q859,"Not applicable"))</f>
        <v>0</v>
      </c>
      <c r="AT859" t="b">
        <f>OR(AND(IF(metadata!R859="",FALSE,TRUE),OR(EXACT(metadata!R859,"not applicable"),EXACT(metadata!R859,"missing: not collected"),EXACT(metadata!R859,"missing: not provided"),EXACT(metadata!R859,"missing: restricted access"))),AND(IF(metadata!R859="",FALSE,ISNUMBER(VALUE(metadata!R859))),metadata!R859&gt;0))</f>
        <v>0</v>
      </c>
      <c r="AU859" t="b">
        <f>AND(IF(metadata!S859="",FALSE,TRUE),EXACT(metadata!S859,"missing: not provided"))</f>
        <v>0</v>
      </c>
    </row>
    <row r="860" spans="1:47" x14ac:dyDescent="0.2">
      <c r="A860" s="5" t="str">
        <f ca="1">IF(B860=" "," ",HYPERLINK(CONCATENATE("#metadata!",ADDRESS(INDEX($Y$2:$Y$1001,MATCH(ROWS($W$2:W860),$W$2:$W$1001,0),0),1)),INDEX($AB$2:$AB$1001,MATCH(ROWS($W$2:W860),$W$2:$W$1001,0),0)))</f>
        <v xml:space="preserve"> </v>
      </c>
      <c r="B860" s="4" t="str">
        <f ca="1">IF(OR(INDEX($X$2:$X$1001,MATCH(ROWS($W$2:W860),$W$2:$W$1001,0),1)&gt;=100000,INDEX($AD$1005:$AU$1005,1,MATCH(COLUMNS($AD$1006:AD1006),$AD$1006:$AU$1006,0))&gt;=100000), " ",IF(INDEX($AD$2:$AU$1001,MATCH(ROWS($W$2:W860),$W$2:$W$1001,0),MATCH(COLUMNS($AD$1006:AD1006),$AD$1006:$AU$1006,0)), HYPERLINK("#",""), HYPERLINK(CONCATENATE("#metadata!", ADDRESS(INDEX($Y$2:$Y$1001,MATCH(ROWS($W$2:W860),$W$2:$W$1001,0),0), INDEX($AD$1004:$AU$1004,1,MATCH(COLUMNS($AD$1006:AD1006),$AD$1006:$AU$1006,0)))),"Fix")))</f>
        <v xml:space="preserve"> </v>
      </c>
      <c r="C860" s="4" t="str">
        <f ca="1">IF(OR(INDEX($X$2:$X$1001,MATCH(ROWS($W$2:W860),$W$2:$W$1001,0),1)&gt;=100000,INDEX($AD$1005:$AU$1005,1,MATCH(COLUMNS($AD$1006:AE1006),$AD$1006:$AU$1006,0))&gt;=100000), " ",IF(INDEX($AD$2:$AU$1001,MATCH(ROWS($W$2:W860),$W$2:$W$1001,0),MATCH(COLUMNS($AD$1006:AE1006),$AD$1006:$AU$1006,0)), HYPERLINK("#",""), HYPERLINK(CONCATENATE("#metadata!", ADDRESS(INDEX($Y$2:$Y$1001,MATCH(ROWS($W$2:W860),$W$2:$W$1001,0),0), INDEX($AD$1004:$AU$1004,1,MATCH(COLUMNS($AD$1006:AE1006),$AD$1006:$AU$1006,0)))),"Fix")))</f>
        <v xml:space="preserve"> </v>
      </c>
      <c r="D860" s="4" t="str">
        <f ca="1">IF(OR(INDEX($X$2:$X$1001,MATCH(ROWS($W$2:W860),$W$2:$W$1001,0),1)&gt;=100000,INDEX($AD$1005:$AU$1005,1,MATCH(COLUMNS($AD$1006:AF1006),$AD$1006:$AU$1006,0))&gt;=100000), " ",IF(INDEX($AD$2:$AU$1001,MATCH(ROWS($W$2:W860),$W$2:$W$1001,0),MATCH(COLUMNS($AD$1006:AF1006),$AD$1006:$AU$1006,0)), HYPERLINK("#",""), HYPERLINK(CONCATENATE("#metadata!", ADDRESS(INDEX($Y$2:$Y$1001,MATCH(ROWS($W$2:W860),$W$2:$W$1001,0),0), INDEX($AD$1004:$AU$1004,1,MATCH(COLUMNS($AD$1006:AF1006),$AD$1006:$AU$1006,0)))),"Fix")))</f>
        <v xml:space="preserve"> </v>
      </c>
      <c r="E860" s="4" t="str">
        <f ca="1">IF(OR(INDEX($X$2:$X$1001,MATCH(ROWS($W$2:W860),$W$2:$W$1001,0),1)&gt;=100000,INDEX($AD$1005:$AU$1005,1,MATCH(COLUMNS($AD$1006:AG1006),$AD$1006:$AU$1006,0))&gt;=100000), " ",IF(INDEX($AD$2:$AU$1001,MATCH(ROWS($W$2:W860),$W$2:$W$1001,0),MATCH(COLUMNS($AD$1006:AG1006),$AD$1006:$AU$1006,0)), HYPERLINK("#",""), HYPERLINK(CONCATENATE("#metadata!", ADDRESS(INDEX($Y$2:$Y$1001,MATCH(ROWS($W$2:W860),$W$2:$W$1001,0),0), INDEX($AD$1004:$AU$1004,1,MATCH(COLUMNS($AD$1006:AG1006),$AD$1006:$AU$1006,0)))),"Fix")))</f>
        <v xml:space="preserve"> </v>
      </c>
      <c r="F860" s="4" t="str">
        <f ca="1">IF(OR(INDEX($X$2:$X$1001,MATCH(ROWS($W$2:W860),$W$2:$W$1001,0),1)&gt;=100000,INDEX($AD$1005:$AU$1005,1,MATCH(COLUMNS($AD$1006:AH1006),$AD$1006:$AU$1006,0))&gt;=100000), " ",IF(INDEX($AD$2:$AU$1001,MATCH(ROWS($W$2:W860),$W$2:$W$1001,0),MATCH(COLUMNS($AD$1006:AH1006),$AD$1006:$AU$1006,0)), HYPERLINK("#",""), HYPERLINK(CONCATENATE("#metadata!", ADDRESS(INDEX($Y$2:$Y$1001,MATCH(ROWS($W$2:W860),$W$2:$W$1001,0),0), INDEX($AD$1004:$AU$1004,1,MATCH(COLUMNS($AD$1006:AH1006),$AD$1006:$AU$1006,0)))),"Fix")))</f>
        <v xml:space="preserve"> </v>
      </c>
      <c r="G860" s="4" t="str">
        <f ca="1">IF(OR(INDEX($X$2:$X$1001,MATCH(ROWS($W$2:W860),$W$2:$W$1001,0),1)&gt;=100000,INDEX($AD$1005:$AU$1005,1,MATCH(COLUMNS($AD$1006:AI1006),$AD$1006:$AU$1006,0))&gt;=100000), " ",IF(INDEX($AD$2:$AU$1001,MATCH(ROWS($W$2:W860),$W$2:$W$1001,0),MATCH(COLUMNS($AD$1006:AI1006),$AD$1006:$AU$1006,0)), HYPERLINK("#",""), HYPERLINK(CONCATENATE("#metadata!", ADDRESS(INDEX($Y$2:$Y$1001,MATCH(ROWS($W$2:W860),$W$2:$W$1001,0),0), INDEX($AD$1004:$AU$1004,1,MATCH(COLUMNS($AD$1006:AI1006),$AD$1006:$AU$1006,0)))),"Fix")))</f>
        <v xml:space="preserve"> </v>
      </c>
      <c r="H860" s="4" t="str">
        <f ca="1">IF(OR(INDEX($X$2:$X$1001,MATCH(ROWS($W$2:W860),$W$2:$W$1001,0),1)&gt;=100000,INDEX($AD$1005:$AU$1005,1,MATCH(COLUMNS($AD$1006:AJ1006),$AD$1006:$AU$1006,0))&gt;=100000), " ",IF(INDEX($AD$2:$AU$1001,MATCH(ROWS($W$2:W860),$W$2:$W$1001,0),MATCH(COLUMNS($AD$1006:AJ1006),$AD$1006:$AU$1006,0)), HYPERLINK("#",""), HYPERLINK(CONCATENATE("#metadata!", ADDRESS(INDEX($Y$2:$Y$1001,MATCH(ROWS($W$2:W860),$W$2:$W$1001,0),0), INDEX($AD$1004:$AU$1004,1,MATCH(COLUMNS($AD$1006:AJ1006),$AD$1006:$AU$1006,0)))),"Fix")))</f>
        <v xml:space="preserve"> </v>
      </c>
      <c r="I860" s="4" t="str">
        <f ca="1">IF(OR(INDEX($X$2:$X$1001,MATCH(ROWS($W$2:W860),$W$2:$W$1001,0),1)&gt;=100000,INDEX($AD$1005:$AU$1005,1,MATCH(COLUMNS($AD$1006:AK1006),$AD$1006:$AU$1006,0))&gt;=100000), " ",IF(INDEX($AD$2:$AU$1001,MATCH(ROWS($W$2:W860),$W$2:$W$1001,0),MATCH(COLUMNS($AD$1006:AK1006),$AD$1006:$AU$1006,0)), HYPERLINK("#",""), HYPERLINK(CONCATENATE("#metadata!", ADDRESS(INDEX($Y$2:$Y$1001,MATCH(ROWS($W$2:W860),$W$2:$W$1001,0),0), INDEX($AD$1004:$AU$1004,1,MATCH(COLUMNS($AD$1006:AK1006),$AD$1006:$AU$1006,0)))),"Fix")))</f>
        <v xml:space="preserve"> </v>
      </c>
      <c r="J860" s="4" t="str">
        <f ca="1">IF(OR(INDEX($X$2:$X$1001,MATCH(ROWS($W$2:W860),$W$2:$W$1001,0),1)&gt;=100000,INDEX($AD$1005:$AU$1005,1,MATCH(COLUMNS($AD$1006:AL1006),$AD$1006:$AU$1006,0))&gt;=100000), " ",IF(INDEX($AD$2:$AU$1001,MATCH(ROWS($W$2:W860),$W$2:$W$1001,0),MATCH(COLUMNS($AD$1006:AL1006),$AD$1006:$AU$1006,0)), HYPERLINK("#",""), HYPERLINK(CONCATENATE("#metadata!", ADDRESS(INDEX($Y$2:$Y$1001,MATCH(ROWS($W$2:W860),$W$2:$W$1001,0),0), INDEX($AD$1004:$AU$1004,1,MATCH(COLUMNS($AD$1006:AL1006),$AD$1006:$AU$1006,0)))),"Fix")))</f>
        <v xml:space="preserve"> </v>
      </c>
      <c r="K860" s="4" t="str">
        <f ca="1">IF(OR(INDEX($X$2:$X$1001,MATCH(ROWS($W$2:W860),$W$2:$W$1001,0),1)&gt;=100000,INDEX($AD$1005:$AU$1005,1,MATCH(COLUMNS($AD$1006:AM1006),$AD$1006:$AU$1006,0))&gt;=100000), " ",IF(INDEX($AD$2:$AU$1001,MATCH(ROWS($W$2:W860),$W$2:$W$1001,0),MATCH(COLUMNS($AD$1006:AM1006),$AD$1006:$AU$1006,0)), HYPERLINK("#",""), HYPERLINK(CONCATENATE("#metadata!", ADDRESS(INDEX($Y$2:$Y$1001,MATCH(ROWS($W$2:W860),$W$2:$W$1001,0),0), INDEX($AD$1004:$AU$1004,1,MATCH(COLUMNS($AD$1006:AM1006),$AD$1006:$AU$1006,0)))),"Fix")))</f>
        <v xml:space="preserve"> </v>
      </c>
      <c r="L860" s="4" t="str">
        <f ca="1">IF(OR(INDEX($X$2:$X$1001,MATCH(ROWS($W$2:W860),$W$2:$W$1001,0),1)&gt;=100000,INDEX($AD$1005:$AU$1005,1,MATCH(COLUMNS($AD$1006:AN1006),$AD$1006:$AU$1006,0))&gt;=100000), " ",IF(INDEX($AD$2:$AU$1001,MATCH(ROWS($W$2:W860),$W$2:$W$1001,0),MATCH(COLUMNS($AD$1006:AN1006),$AD$1006:$AU$1006,0)), HYPERLINK("#",""), HYPERLINK(CONCATENATE("#metadata!", ADDRESS(INDEX($Y$2:$Y$1001,MATCH(ROWS($W$2:W860),$W$2:$W$1001,0),0), INDEX($AD$1004:$AU$1004,1,MATCH(COLUMNS($AD$1006:AN1006),$AD$1006:$AU$1006,0)))),"Fix")))</f>
        <v xml:space="preserve"> </v>
      </c>
      <c r="M860" s="4" t="str">
        <f ca="1">IF(OR(INDEX($X$2:$X$1001,MATCH(ROWS($W$2:W860),$W$2:$W$1001,0),1)&gt;=100000,INDEX($AD$1005:$AU$1005,1,MATCH(COLUMNS($AD$1006:AO1006),$AD$1006:$AU$1006,0))&gt;=100000), " ",IF(INDEX($AD$2:$AU$1001,MATCH(ROWS($W$2:W860),$W$2:$W$1001,0),MATCH(COLUMNS($AD$1006:AO1006),$AD$1006:$AU$1006,0)), HYPERLINK("#",""), HYPERLINK(CONCATENATE("#metadata!", ADDRESS(INDEX($Y$2:$Y$1001,MATCH(ROWS($W$2:W860),$W$2:$W$1001,0),0), INDEX($AD$1004:$AU$1004,1,MATCH(COLUMNS($AD$1006:AO1006),$AD$1006:$AU$1006,0)))),"Fix")))</f>
        <v xml:space="preserve"> </v>
      </c>
      <c r="N860" s="4" t="str">
        <f ca="1">IF(OR(INDEX($X$2:$X$1001,MATCH(ROWS($W$2:W860),$W$2:$W$1001,0),1)&gt;=100000,INDEX($AD$1005:$AU$1005,1,MATCH(COLUMNS($AD$1006:AP1006),$AD$1006:$AU$1006,0))&gt;=100000), " ",IF(INDEX($AD$2:$AU$1001,MATCH(ROWS($W$2:W860),$W$2:$W$1001,0),MATCH(COLUMNS($AD$1006:AP1006),$AD$1006:$AU$1006,0)), HYPERLINK("#",""), HYPERLINK(CONCATENATE("#metadata!", ADDRESS(INDEX($Y$2:$Y$1001,MATCH(ROWS($W$2:W860),$W$2:$W$1001,0),0), INDEX($AD$1004:$AU$1004,1,MATCH(COLUMNS($AD$1006:AP1006),$AD$1006:$AU$1006,0)))),"Fix")))</f>
        <v xml:space="preserve"> </v>
      </c>
      <c r="O860" s="4" t="str">
        <f ca="1">IF(OR(INDEX($X$2:$X$1001,MATCH(ROWS($W$2:W860),$W$2:$W$1001,0),1)&gt;=100000,INDEX($AD$1005:$AU$1005,1,MATCH(COLUMNS($AD$1006:AQ1006),$AD$1006:$AU$1006,0))&gt;=100000), " ",IF(INDEX($AD$2:$AU$1001,MATCH(ROWS($W$2:W860),$W$2:$W$1001,0),MATCH(COLUMNS($AD$1006:AQ1006),$AD$1006:$AU$1006,0)), HYPERLINK("#",""), HYPERLINK(CONCATENATE("#metadata!", ADDRESS(INDEX($Y$2:$Y$1001,MATCH(ROWS($W$2:W860),$W$2:$W$1001,0),0), INDEX($AD$1004:$AU$1004,1,MATCH(COLUMNS($AD$1006:AQ1006),$AD$1006:$AU$1006,0)))),"Fix")))</f>
        <v xml:space="preserve"> </v>
      </c>
      <c r="P860" s="4" t="str">
        <f ca="1">IF(OR(INDEX($X$2:$X$1001,MATCH(ROWS($W$2:W860),$W$2:$W$1001,0),1)&gt;=100000,INDEX($AD$1005:$AU$1005,1,MATCH(COLUMNS($AD$1006:AR1006),$AD$1006:$AU$1006,0))&gt;=100000), " ",IF(INDEX($AD$2:$AU$1001,MATCH(ROWS($W$2:W860),$W$2:$W$1001,0),MATCH(COLUMNS($AD$1006:AR1006),$AD$1006:$AU$1006,0)), HYPERLINK("#",""), HYPERLINK(CONCATENATE("#metadata!", ADDRESS(INDEX($Y$2:$Y$1001,MATCH(ROWS($W$2:W860),$W$2:$W$1001,0),0), INDEX($AD$1004:$AU$1004,1,MATCH(COLUMNS($AD$1006:AR1006),$AD$1006:$AU$1006,0)))),"Fix")))</f>
        <v xml:space="preserve"> </v>
      </c>
      <c r="Q860" s="4" t="str">
        <f ca="1">IF(OR(INDEX($X$2:$X$1001,MATCH(ROWS($W$2:W860),$W$2:$W$1001,0),1)&gt;=100000,INDEX($AD$1005:$AU$1005,1,MATCH(COLUMNS($AD$1006:AS1006),$AD$1006:$AU$1006,0))&gt;=100000), " ",IF(INDEX($AD$2:$AU$1001,MATCH(ROWS($W$2:W860),$W$2:$W$1001,0),MATCH(COLUMNS($AD$1006:AS1006),$AD$1006:$AU$1006,0)), HYPERLINK("#",""), HYPERLINK(CONCATENATE("#metadata!", ADDRESS(INDEX($Y$2:$Y$1001,MATCH(ROWS($W$2:W860),$W$2:$W$1001,0),0), INDEX($AD$1004:$AU$1004,1,MATCH(COLUMNS($AD$1006:AS1006),$AD$1006:$AU$1006,0)))),"Fix")))</f>
        <v xml:space="preserve"> </v>
      </c>
      <c r="R860" s="4" t="str">
        <f ca="1">IF(OR(INDEX($X$2:$X$1001,MATCH(ROWS($W$2:W860),$W$2:$W$1001,0),1)&gt;=100000,INDEX($AD$1005:$AU$1005,1,MATCH(COLUMNS($AD$1006:AT1006),$AD$1006:$AU$1006,0))&gt;=100000), " ",IF(INDEX($AD$2:$AU$1001,MATCH(ROWS($W$2:W860),$W$2:$W$1001,0),MATCH(COLUMNS($AD$1006:AT1006),$AD$1006:$AU$1006,0)), HYPERLINK("#",""), HYPERLINK(CONCATENATE("#metadata!", ADDRESS(INDEX($Y$2:$Y$1001,MATCH(ROWS($W$2:W860),$W$2:$W$1001,0),0), INDEX($AD$1004:$AU$1004,1,MATCH(COLUMNS($AD$1006:AT1006),$AD$1006:$AU$1006,0)))),"Fix")))</f>
        <v xml:space="preserve"> </v>
      </c>
      <c r="S860" s="4" t="str">
        <f ca="1">IF(OR(INDEX($X$2:$X$1001,MATCH(ROWS($W$2:W860),$W$2:$W$1001,0),1)&gt;=100000,INDEX($AD$1005:$AU$1005,1,MATCH(COLUMNS($AD$1006:AU1006),$AD$1006:$AU$1006,0))&gt;=100000), " ",IF(INDEX($AD$2:$AU$1001,MATCH(ROWS($W$2:W860),$W$2:$W$1001,0),MATCH(COLUMNS($AD$1006:AU1006),$AD$1006:$AU$1006,0)), HYPERLINK("#",""), HYPERLINK(CONCATENATE("#metadata!", ADDRESS(INDEX($Y$2:$Y$1001,MATCH(ROWS($W$2:W860),$W$2:$W$1001,0),0), INDEX($AD$1004:$AU$1004,1,MATCH(COLUMNS($AD$1006:AU1006),$AD$1006:$AU$1006,0)))),"Fix")))</f>
        <v xml:space="preserve"> </v>
      </c>
      <c r="W860">
        <v>859</v>
      </c>
      <c r="X860">
        <v>100860</v>
      </c>
      <c r="Y860">
        <v>860</v>
      </c>
      <c r="Z860" t="b">
        <f t="shared" si="13"/>
        <v>1</v>
      </c>
      <c r="AA860" t="b">
        <f>COUNTBLANK(metadata!B860:S860)=COLUMNS(metadata!B860:S860)</f>
        <v>1</v>
      </c>
      <c r="AB860" t="str">
        <v/>
      </c>
      <c r="AD860" t="b">
        <f ca="1">AND(IF(metadata!B860="",FALSE,TRUE),COUNTIF(metadata!B:B, metadata!B860) = 1,NOT(ISERROR(SUMPRODUCT(SEARCH(MID(metadata!B860,ROW(INDIRECT("1:"&amp;LEN(metadata!B860))), 1),"0123456789abcdefghijklmnopqrstuvwxyzABCDEFGHIJKLMNOPQRSTUVWXYZ.")))))</f>
        <v>0</v>
      </c>
      <c r="AE860" t="b">
        <f>OR(AND(IF(metadata!C860="",FALSE,TRUE),OR(EXACT(metadata!C860,"not applicable"),EXACT(metadata!C860,"missing: not collected"),EXACT(metadata!C860,"missing: not provided"),EXACT(metadata!C860,"missing: restricted access"))),AND(IF(metadata!C860="",FALSE,ISNUMBER(VALUE(metadata!C860))),metadata!C860&gt;0))</f>
        <v>0</v>
      </c>
      <c r="AF860" t="b">
        <f>AND(IF(metadata!D860="",FALSE,TRUE),EXACT(metadata!D860,"missing: not provided"))</f>
        <v>0</v>
      </c>
      <c r="AG860" t="b">
        <f>AND(IF(metadata!E860="",FALSE,TRUE),EXACT(metadata!E860,"Host-associated"))</f>
        <v>0</v>
      </c>
      <c r="AH860" t="b">
        <f>AND(IF(metadata!F860="",FALSE,TRUE),OR(EXACT(metadata!F860,"Animal"),EXACT(metadata!F860,"Fungus"),EXACT(metadata!F860,"Plant")))</f>
        <v>0</v>
      </c>
      <c r="AI860" t="b">
        <f>AND(IF(metadata!G860="",FALSE,TRUE),OR(EXACT(metadata!G860,"Plant secretion"),EXACT(metadata!G860,"Plant rhizosphere"),EXACT(metadata!G860,"Plant surface"),EXACT(metadata!G860,"Plant corpus"),EXACT(metadata!G860,"Fungus surface"),EXACT(metadata!G860,"Fungus corpus"),EXACT(metadata!G860,"Animal surface"),EXACT(metadata!G860,"Animal proximal gut"),EXACT(metadata!G860,"Animal corpus"),EXACT(metadata!G860,"Animal distal gut"),EXACT(metadata!G860,"Animal secretion")))</f>
        <v>0</v>
      </c>
      <c r="AJ860" t="b">
        <f>OR(AND(IF(metadata!H860="",FALSE,TRUE),OR(EXACT(metadata!H860,"missing: not collected"),EXACT(metadata!H860,"missing: not provided"),EXACT(metadata!H860,"missing: restricted access"))),AND(IF(metadata!H860="",FALSE,TRUE),OR(EXACT(metadata!H860,"organism-associated habitat"),EXACT(metadata!H860,"plant-associated habitat"),EXACT(metadata!H860,"animal-associated habitat"),EXACT(metadata!H860,"insecta-associated habitat"),EXACT(metadata!H860,"mammalia-associated habitat"),EXACT(metadata!H860,"human-associated habitat"),EXACT(metadata!H860,"livestock-associated habitat"))))</f>
        <v>0</v>
      </c>
      <c r="AK860" t="b">
        <f>AND(IF(metadata!I860="",FALSE,TRUE),EXACT(metadata!I860,"host-associated"))</f>
        <v>0</v>
      </c>
      <c r="AL860" t="b">
        <f>OR(AND(IF(metadata!J860="",FALSE,TRUE),OR(EXACT(metadata!J860,"not applicable"),EXACT(metadata!J860,"missing: not collected"),EXACT(metadata!J860,"missing: not provided"),EXACT(metadata!J860,"missing: restricted access"))),AND(IF(metadata!J860="",FALSE,ISNUMBER(VALUE(metadata!J860))),metadata!J860&gt;0))</f>
        <v>0</v>
      </c>
      <c r="AM860" t="b">
        <f>AND(IF(metadata!K860="",FALSE,TRUE),EXACT(metadata!K860,"missing: not provided"))</f>
        <v>0</v>
      </c>
      <c r="AN860" t="b">
        <f>IF(metadata!L860="",FALSE,TRUE)</f>
        <v>0</v>
      </c>
      <c r="AO860" t="b">
        <f>IF(metadata!M860="",FALSE,TRUE)</f>
        <v>0</v>
      </c>
      <c r="AP860" t="b">
        <f>OR(AND(IF(metadata!N860="",FALSE,TRUE),OR(EXACT(metadata!N860,"not applicable"),EXACT(metadata!N860,"missing: not collected"),EXACT(metadata!N860,"missing: not provided"))),AND(IF(metadata!N860="",FALSE,IF(ISERROR(INT(metadata!N860)),FALSE,INT(metadata!N860)=metadata!N860)),metadata!N860&gt;0))</f>
        <v>0</v>
      </c>
      <c r="AQ860" t="b">
        <f>AND(IF(metadata!O860="",FALSE,TRUE),EXACT(metadata!O860,"Not applicable"))</f>
        <v>0</v>
      </c>
      <c r="AR860" t="b">
        <f>OR(AND(IF(metadata!P860="",FALSE,TRUE),OR(EXACT(metadata!P860,"not applicable"),EXACT(metadata!P860,"missing: not collected"),EXACT(metadata!P860,"missing: not provided"),EXACT(metadata!P860,"missing: restricted access"))),IF(metadata!P860="",FALSE,IF(ISERROR(INT(metadata!P860)),FALSE,INT(metadata!P860)=metadata!P860)))</f>
        <v>0</v>
      </c>
      <c r="AS860" t="b">
        <f>AND(IF(metadata!Q860="",FALSE,TRUE),EXACT(metadata!Q860,"Not applicable"))</f>
        <v>0</v>
      </c>
      <c r="AT860" t="b">
        <f>OR(AND(IF(metadata!R860="",FALSE,TRUE),OR(EXACT(metadata!R860,"not applicable"),EXACT(metadata!R860,"missing: not collected"),EXACT(metadata!R860,"missing: not provided"),EXACT(metadata!R860,"missing: restricted access"))),AND(IF(metadata!R860="",FALSE,ISNUMBER(VALUE(metadata!R860))),metadata!R860&gt;0))</f>
        <v>0</v>
      </c>
      <c r="AU860" t="b">
        <f>AND(IF(metadata!S860="",FALSE,TRUE),EXACT(metadata!S860,"missing: not provided"))</f>
        <v>0</v>
      </c>
    </row>
    <row r="861" spans="1:47" x14ac:dyDescent="0.2">
      <c r="A861" s="5" t="str">
        <f ca="1">IF(B861=" "," ",HYPERLINK(CONCATENATE("#metadata!",ADDRESS(INDEX($Y$2:$Y$1001,MATCH(ROWS($W$2:W861),$W$2:$W$1001,0),0),1)),INDEX($AB$2:$AB$1001,MATCH(ROWS($W$2:W861),$W$2:$W$1001,0),0)))</f>
        <v xml:space="preserve"> </v>
      </c>
      <c r="B861" s="4" t="str">
        <f ca="1">IF(OR(INDEX($X$2:$X$1001,MATCH(ROWS($W$2:W861),$W$2:$W$1001,0),1)&gt;=100000,INDEX($AD$1005:$AU$1005,1,MATCH(COLUMNS($AD$1006:AD1006),$AD$1006:$AU$1006,0))&gt;=100000), " ",IF(INDEX($AD$2:$AU$1001,MATCH(ROWS($W$2:W861),$W$2:$W$1001,0),MATCH(COLUMNS($AD$1006:AD1006),$AD$1006:$AU$1006,0)), HYPERLINK("#",""), HYPERLINK(CONCATENATE("#metadata!", ADDRESS(INDEX($Y$2:$Y$1001,MATCH(ROWS($W$2:W861),$W$2:$W$1001,0),0), INDEX($AD$1004:$AU$1004,1,MATCH(COLUMNS($AD$1006:AD1006),$AD$1006:$AU$1006,0)))),"Fix")))</f>
        <v xml:space="preserve"> </v>
      </c>
      <c r="C861" s="4" t="str">
        <f ca="1">IF(OR(INDEX($X$2:$X$1001,MATCH(ROWS($W$2:W861),$W$2:$W$1001,0),1)&gt;=100000,INDEX($AD$1005:$AU$1005,1,MATCH(COLUMNS($AD$1006:AE1006),$AD$1006:$AU$1006,0))&gt;=100000), " ",IF(INDEX($AD$2:$AU$1001,MATCH(ROWS($W$2:W861),$W$2:$W$1001,0),MATCH(COLUMNS($AD$1006:AE1006),$AD$1006:$AU$1006,0)), HYPERLINK("#",""), HYPERLINK(CONCATENATE("#metadata!", ADDRESS(INDEX($Y$2:$Y$1001,MATCH(ROWS($W$2:W861),$W$2:$W$1001,0),0), INDEX($AD$1004:$AU$1004,1,MATCH(COLUMNS($AD$1006:AE1006),$AD$1006:$AU$1006,0)))),"Fix")))</f>
        <v xml:space="preserve"> </v>
      </c>
      <c r="D861" s="4" t="str">
        <f ca="1">IF(OR(INDEX($X$2:$X$1001,MATCH(ROWS($W$2:W861),$W$2:$W$1001,0),1)&gt;=100000,INDEX($AD$1005:$AU$1005,1,MATCH(COLUMNS($AD$1006:AF1006),$AD$1006:$AU$1006,0))&gt;=100000), " ",IF(INDEX($AD$2:$AU$1001,MATCH(ROWS($W$2:W861),$W$2:$W$1001,0),MATCH(COLUMNS($AD$1006:AF1006),$AD$1006:$AU$1006,0)), HYPERLINK("#",""), HYPERLINK(CONCATENATE("#metadata!", ADDRESS(INDEX($Y$2:$Y$1001,MATCH(ROWS($W$2:W861),$W$2:$W$1001,0),0), INDEX($AD$1004:$AU$1004,1,MATCH(COLUMNS($AD$1006:AF1006),$AD$1006:$AU$1006,0)))),"Fix")))</f>
        <v xml:space="preserve"> </v>
      </c>
      <c r="E861" s="4" t="str">
        <f ca="1">IF(OR(INDEX($X$2:$X$1001,MATCH(ROWS($W$2:W861),$W$2:$W$1001,0),1)&gt;=100000,INDEX($AD$1005:$AU$1005,1,MATCH(COLUMNS($AD$1006:AG1006),$AD$1006:$AU$1006,0))&gt;=100000), " ",IF(INDEX($AD$2:$AU$1001,MATCH(ROWS($W$2:W861),$W$2:$W$1001,0),MATCH(COLUMNS($AD$1006:AG1006),$AD$1006:$AU$1006,0)), HYPERLINK("#",""), HYPERLINK(CONCATENATE("#metadata!", ADDRESS(INDEX($Y$2:$Y$1001,MATCH(ROWS($W$2:W861),$W$2:$W$1001,0),0), INDEX($AD$1004:$AU$1004,1,MATCH(COLUMNS($AD$1006:AG1006),$AD$1006:$AU$1006,0)))),"Fix")))</f>
        <v xml:space="preserve"> </v>
      </c>
      <c r="F861" s="4" t="str">
        <f ca="1">IF(OR(INDEX($X$2:$X$1001,MATCH(ROWS($W$2:W861),$W$2:$W$1001,0),1)&gt;=100000,INDEX($AD$1005:$AU$1005,1,MATCH(COLUMNS($AD$1006:AH1006),$AD$1006:$AU$1006,0))&gt;=100000), " ",IF(INDEX($AD$2:$AU$1001,MATCH(ROWS($W$2:W861),$W$2:$W$1001,0),MATCH(COLUMNS($AD$1006:AH1006),$AD$1006:$AU$1006,0)), HYPERLINK("#",""), HYPERLINK(CONCATENATE("#metadata!", ADDRESS(INDEX($Y$2:$Y$1001,MATCH(ROWS($W$2:W861),$W$2:$W$1001,0),0), INDEX($AD$1004:$AU$1004,1,MATCH(COLUMNS($AD$1006:AH1006),$AD$1006:$AU$1006,0)))),"Fix")))</f>
        <v xml:space="preserve"> </v>
      </c>
      <c r="G861" s="4" t="str">
        <f ca="1">IF(OR(INDEX($X$2:$X$1001,MATCH(ROWS($W$2:W861),$W$2:$W$1001,0),1)&gt;=100000,INDEX($AD$1005:$AU$1005,1,MATCH(COLUMNS($AD$1006:AI1006),$AD$1006:$AU$1006,0))&gt;=100000), " ",IF(INDEX($AD$2:$AU$1001,MATCH(ROWS($W$2:W861),$W$2:$W$1001,0),MATCH(COLUMNS($AD$1006:AI1006),$AD$1006:$AU$1006,0)), HYPERLINK("#",""), HYPERLINK(CONCATENATE("#metadata!", ADDRESS(INDEX($Y$2:$Y$1001,MATCH(ROWS($W$2:W861),$W$2:$W$1001,0),0), INDEX($AD$1004:$AU$1004,1,MATCH(COLUMNS($AD$1006:AI1006),$AD$1006:$AU$1006,0)))),"Fix")))</f>
        <v xml:space="preserve"> </v>
      </c>
      <c r="H861" s="4" t="str">
        <f ca="1">IF(OR(INDEX($X$2:$X$1001,MATCH(ROWS($W$2:W861),$W$2:$W$1001,0),1)&gt;=100000,INDEX($AD$1005:$AU$1005,1,MATCH(COLUMNS($AD$1006:AJ1006),$AD$1006:$AU$1006,0))&gt;=100000), " ",IF(INDEX($AD$2:$AU$1001,MATCH(ROWS($W$2:W861),$W$2:$W$1001,0),MATCH(COLUMNS($AD$1006:AJ1006),$AD$1006:$AU$1006,0)), HYPERLINK("#",""), HYPERLINK(CONCATENATE("#metadata!", ADDRESS(INDEX($Y$2:$Y$1001,MATCH(ROWS($W$2:W861),$W$2:$W$1001,0),0), INDEX($AD$1004:$AU$1004,1,MATCH(COLUMNS($AD$1006:AJ1006),$AD$1006:$AU$1006,0)))),"Fix")))</f>
        <v xml:space="preserve"> </v>
      </c>
      <c r="I861" s="4" t="str">
        <f ca="1">IF(OR(INDEX($X$2:$X$1001,MATCH(ROWS($W$2:W861),$W$2:$W$1001,0),1)&gt;=100000,INDEX($AD$1005:$AU$1005,1,MATCH(COLUMNS($AD$1006:AK1006),$AD$1006:$AU$1006,0))&gt;=100000), " ",IF(INDEX($AD$2:$AU$1001,MATCH(ROWS($W$2:W861),$W$2:$W$1001,0),MATCH(COLUMNS($AD$1006:AK1006),$AD$1006:$AU$1006,0)), HYPERLINK("#",""), HYPERLINK(CONCATENATE("#metadata!", ADDRESS(INDEX($Y$2:$Y$1001,MATCH(ROWS($W$2:W861),$W$2:$W$1001,0),0), INDEX($AD$1004:$AU$1004,1,MATCH(COLUMNS($AD$1006:AK1006),$AD$1006:$AU$1006,0)))),"Fix")))</f>
        <v xml:space="preserve"> </v>
      </c>
      <c r="J861" s="4" t="str">
        <f ca="1">IF(OR(INDEX($X$2:$X$1001,MATCH(ROWS($W$2:W861),$W$2:$W$1001,0),1)&gt;=100000,INDEX($AD$1005:$AU$1005,1,MATCH(COLUMNS($AD$1006:AL1006),$AD$1006:$AU$1006,0))&gt;=100000), " ",IF(INDEX($AD$2:$AU$1001,MATCH(ROWS($W$2:W861),$W$2:$W$1001,0),MATCH(COLUMNS($AD$1006:AL1006),$AD$1006:$AU$1006,0)), HYPERLINK("#",""), HYPERLINK(CONCATENATE("#metadata!", ADDRESS(INDEX($Y$2:$Y$1001,MATCH(ROWS($W$2:W861),$W$2:$W$1001,0),0), INDEX($AD$1004:$AU$1004,1,MATCH(COLUMNS($AD$1006:AL1006),$AD$1006:$AU$1006,0)))),"Fix")))</f>
        <v xml:space="preserve"> </v>
      </c>
      <c r="K861" s="4" t="str">
        <f ca="1">IF(OR(INDEX($X$2:$X$1001,MATCH(ROWS($W$2:W861),$W$2:$W$1001,0),1)&gt;=100000,INDEX($AD$1005:$AU$1005,1,MATCH(COLUMNS($AD$1006:AM1006),$AD$1006:$AU$1006,0))&gt;=100000), " ",IF(INDEX($AD$2:$AU$1001,MATCH(ROWS($W$2:W861),$W$2:$W$1001,0),MATCH(COLUMNS($AD$1006:AM1006),$AD$1006:$AU$1006,0)), HYPERLINK("#",""), HYPERLINK(CONCATENATE("#metadata!", ADDRESS(INDEX($Y$2:$Y$1001,MATCH(ROWS($W$2:W861),$W$2:$W$1001,0),0), INDEX($AD$1004:$AU$1004,1,MATCH(COLUMNS($AD$1006:AM1006),$AD$1006:$AU$1006,0)))),"Fix")))</f>
        <v xml:space="preserve"> </v>
      </c>
      <c r="L861" s="4" t="str">
        <f ca="1">IF(OR(INDEX($X$2:$X$1001,MATCH(ROWS($W$2:W861),$W$2:$W$1001,0),1)&gt;=100000,INDEX($AD$1005:$AU$1005,1,MATCH(COLUMNS($AD$1006:AN1006),$AD$1006:$AU$1006,0))&gt;=100000), " ",IF(INDEX($AD$2:$AU$1001,MATCH(ROWS($W$2:W861),$W$2:$W$1001,0),MATCH(COLUMNS($AD$1006:AN1006),$AD$1006:$AU$1006,0)), HYPERLINK("#",""), HYPERLINK(CONCATENATE("#metadata!", ADDRESS(INDEX($Y$2:$Y$1001,MATCH(ROWS($W$2:W861),$W$2:$W$1001,0),0), INDEX($AD$1004:$AU$1004,1,MATCH(COLUMNS($AD$1006:AN1006),$AD$1006:$AU$1006,0)))),"Fix")))</f>
        <v xml:space="preserve"> </v>
      </c>
      <c r="M861" s="4" t="str">
        <f ca="1">IF(OR(INDEX($X$2:$X$1001,MATCH(ROWS($W$2:W861),$W$2:$W$1001,0),1)&gt;=100000,INDEX($AD$1005:$AU$1005,1,MATCH(COLUMNS($AD$1006:AO1006),$AD$1006:$AU$1006,0))&gt;=100000), " ",IF(INDEX($AD$2:$AU$1001,MATCH(ROWS($W$2:W861),$W$2:$W$1001,0),MATCH(COLUMNS($AD$1006:AO1006),$AD$1006:$AU$1006,0)), HYPERLINK("#",""), HYPERLINK(CONCATENATE("#metadata!", ADDRESS(INDEX($Y$2:$Y$1001,MATCH(ROWS($W$2:W861),$W$2:$W$1001,0),0), INDEX($AD$1004:$AU$1004,1,MATCH(COLUMNS($AD$1006:AO1006),$AD$1006:$AU$1006,0)))),"Fix")))</f>
        <v xml:space="preserve"> </v>
      </c>
      <c r="N861" s="4" t="str">
        <f ca="1">IF(OR(INDEX($X$2:$X$1001,MATCH(ROWS($W$2:W861),$W$2:$W$1001,0),1)&gt;=100000,INDEX($AD$1005:$AU$1005,1,MATCH(COLUMNS($AD$1006:AP1006),$AD$1006:$AU$1006,0))&gt;=100000), " ",IF(INDEX($AD$2:$AU$1001,MATCH(ROWS($W$2:W861),$W$2:$W$1001,0),MATCH(COLUMNS($AD$1006:AP1006),$AD$1006:$AU$1006,0)), HYPERLINK("#",""), HYPERLINK(CONCATENATE("#metadata!", ADDRESS(INDEX($Y$2:$Y$1001,MATCH(ROWS($W$2:W861),$W$2:$W$1001,0),0), INDEX($AD$1004:$AU$1004,1,MATCH(COLUMNS($AD$1006:AP1006),$AD$1006:$AU$1006,0)))),"Fix")))</f>
        <v xml:space="preserve"> </v>
      </c>
      <c r="O861" s="4" t="str">
        <f ca="1">IF(OR(INDEX($X$2:$X$1001,MATCH(ROWS($W$2:W861),$W$2:$W$1001,0),1)&gt;=100000,INDEX($AD$1005:$AU$1005,1,MATCH(COLUMNS($AD$1006:AQ1006),$AD$1006:$AU$1006,0))&gt;=100000), " ",IF(INDEX($AD$2:$AU$1001,MATCH(ROWS($W$2:W861),$W$2:$W$1001,0),MATCH(COLUMNS($AD$1006:AQ1006),$AD$1006:$AU$1006,0)), HYPERLINK("#",""), HYPERLINK(CONCATENATE("#metadata!", ADDRESS(INDEX($Y$2:$Y$1001,MATCH(ROWS($W$2:W861),$W$2:$W$1001,0),0), INDEX($AD$1004:$AU$1004,1,MATCH(COLUMNS($AD$1006:AQ1006),$AD$1006:$AU$1006,0)))),"Fix")))</f>
        <v xml:space="preserve"> </v>
      </c>
      <c r="P861" s="4" t="str">
        <f ca="1">IF(OR(INDEX($X$2:$X$1001,MATCH(ROWS($W$2:W861),$W$2:$W$1001,0),1)&gt;=100000,INDEX($AD$1005:$AU$1005,1,MATCH(COLUMNS($AD$1006:AR1006),$AD$1006:$AU$1006,0))&gt;=100000), " ",IF(INDEX($AD$2:$AU$1001,MATCH(ROWS($W$2:W861),$W$2:$W$1001,0),MATCH(COLUMNS($AD$1006:AR1006),$AD$1006:$AU$1006,0)), HYPERLINK("#",""), HYPERLINK(CONCATENATE("#metadata!", ADDRESS(INDEX($Y$2:$Y$1001,MATCH(ROWS($W$2:W861),$W$2:$W$1001,0),0), INDEX($AD$1004:$AU$1004,1,MATCH(COLUMNS($AD$1006:AR1006),$AD$1006:$AU$1006,0)))),"Fix")))</f>
        <v xml:space="preserve"> </v>
      </c>
      <c r="Q861" s="4" t="str">
        <f ca="1">IF(OR(INDEX($X$2:$X$1001,MATCH(ROWS($W$2:W861),$W$2:$W$1001,0),1)&gt;=100000,INDEX($AD$1005:$AU$1005,1,MATCH(COLUMNS($AD$1006:AS1006),$AD$1006:$AU$1006,0))&gt;=100000), " ",IF(INDEX($AD$2:$AU$1001,MATCH(ROWS($W$2:W861),$W$2:$W$1001,0),MATCH(COLUMNS($AD$1006:AS1006),$AD$1006:$AU$1006,0)), HYPERLINK("#",""), HYPERLINK(CONCATENATE("#metadata!", ADDRESS(INDEX($Y$2:$Y$1001,MATCH(ROWS($W$2:W861),$W$2:$W$1001,0),0), INDEX($AD$1004:$AU$1004,1,MATCH(COLUMNS($AD$1006:AS1006),$AD$1006:$AU$1006,0)))),"Fix")))</f>
        <v xml:space="preserve"> </v>
      </c>
      <c r="R861" s="4" t="str">
        <f ca="1">IF(OR(INDEX($X$2:$X$1001,MATCH(ROWS($W$2:W861),$W$2:$W$1001,0),1)&gt;=100000,INDEX($AD$1005:$AU$1005,1,MATCH(COLUMNS($AD$1006:AT1006),$AD$1006:$AU$1006,0))&gt;=100000), " ",IF(INDEX($AD$2:$AU$1001,MATCH(ROWS($W$2:W861),$W$2:$W$1001,0),MATCH(COLUMNS($AD$1006:AT1006),$AD$1006:$AU$1006,0)), HYPERLINK("#",""), HYPERLINK(CONCATENATE("#metadata!", ADDRESS(INDEX($Y$2:$Y$1001,MATCH(ROWS($W$2:W861),$W$2:$W$1001,0),0), INDEX($AD$1004:$AU$1004,1,MATCH(COLUMNS($AD$1006:AT1006),$AD$1006:$AU$1006,0)))),"Fix")))</f>
        <v xml:space="preserve"> </v>
      </c>
      <c r="S861" s="4" t="str">
        <f ca="1">IF(OR(INDEX($X$2:$X$1001,MATCH(ROWS($W$2:W861),$W$2:$W$1001,0),1)&gt;=100000,INDEX($AD$1005:$AU$1005,1,MATCH(COLUMNS($AD$1006:AU1006),$AD$1006:$AU$1006,0))&gt;=100000), " ",IF(INDEX($AD$2:$AU$1001,MATCH(ROWS($W$2:W861),$W$2:$W$1001,0),MATCH(COLUMNS($AD$1006:AU1006),$AD$1006:$AU$1006,0)), HYPERLINK("#",""), HYPERLINK(CONCATENATE("#metadata!", ADDRESS(INDEX($Y$2:$Y$1001,MATCH(ROWS($W$2:W861),$W$2:$W$1001,0),0), INDEX($AD$1004:$AU$1004,1,MATCH(COLUMNS($AD$1006:AU1006),$AD$1006:$AU$1006,0)))),"Fix")))</f>
        <v xml:space="preserve"> </v>
      </c>
      <c r="W861">
        <v>860</v>
      </c>
      <c r="X861">
        <v>100861</v>
      </c>
      <c r="Y861">
        <v>861</v>
      </c>
      <c r="Z861" t="b">
        <f t="shared" si="13"/>
        <v>1</v>
      </c>
      <c r="AA861" t="b">
        <f>COUNTBLANK(metadata!B861:S861)=COLUMNS(metadata!B861:S861)</f>
        <v>1</v>
      </c>
      <c r="AB861" t="str">
        <v/>
      </c>
      <c r="AD861" t="b">
        <f ca="1">AND(IF(metadata!B861="",FALSE,TRUE),COUNTIF(metadata!B:B, metadata!B861) = 1,NOT(ISERROR(SUMPRODUCT(SEARCH(MID(metadata!B861,ROW(INDIRECT("1:"&amp;LEN(metadata!B861))), 1),"0123456789abcdefghijklmnopqrstuvwxyzABCDEFGHIJKLMNOPQRSTUVWXYZ.")))))</f>
        <v>0</v>
      </c>
      <c r="AE861" t="b">
        <f>OR(AND(IF(metadata!C861="",FALSE,TRUE),OR(EXACT(metadata!C861,"not applicable"),EXACT(metadata!C861,"missing: not collected"),EXACT(metadata!C861,"missing: not provided"),EXACT(metadata!C861,"missing: restricted access"))),AND(IF(metadata!C861="",FALSE,ISNUMBER(VALUE(metadata!C861))),metadata!C861&gt;0))</f>
        <v>0</v>
      </c>
      <c r="AF861" t="b">
        <f>AND(IF(metadata!D861="",FALSE,TRUE),EXACT(metadata!D861,"missing: not provided"))</f>
        <v>0</v>
      </c>
      <c r="AG861" t="b">
        <f>AND(IF(metadata!E861="",FALSE,TRUE),EXACT(metadata!E861,"Host-associated"))</f>
        <v>0</v>
      </c>
      <c r="AH861" t="b">
        <f>AND(IF(metadata!F861="",FALSE,TRUE),OR(EXACT(metadata!F861,"Animal"),EXACT(metadata!F861,"Fungus"),EXACT(metadata!F861,"Plant")))</f>
        <v>0</v>
      </c>
      <c r="AI861" t="b">
        <f>AND(IF(metadata!G861="",FALSE,TRUE),OR(EXACT(metadata!G861,"Plant secretion"),EXACT(metadata!G861,"Plant rhizosphere"),EXACT(metadata!G861,"Plant surface"),EXACT(metadata!G861,"Plant corpus"),EXACT(metadata!G861,"Fungus surface"),EXACT(metadata!G861,"Fungus corpus"),EXACT(metadata!G861,"Animal surface"),EXACT(metadata!G861,"Animal proximal gut"),EXACT(metadata!G861,"Animal corpus"),EXACT(metadata!G861,"Animal distal gut"),EXACT(metadata!G861,"Animal secretion")))</f>
        <v>0</v>
      </c>
      <c r="AJ861" t="b">
        <f>OR(AND(IF(metadata!H861="",FALSE,TRUE),OR(EXACT(metadata!H861,"missing: not collected"),EXACT(metadata!H861,"missing: not provided"),EXACT(metadata!H861,"missing: restricted access"))),AND(IF(metadata!H861="",FALSE,TRUE),OR(EXACT(metadata!H861,"organism-associated habitat"),EXACT(metadata!H861,"plant-associated habitat"),EXACT(metadata!H861,"animal-associated habitat"),EXACT(metadata!H861,"insecta-associated habitat"),EXACT(metadata!H861,"mammalia-associated habitat"),EXACT(metadata!H861,"human-associated habitat"),EXACT(metadata!H861,"livestock-associated habitat"))))</f>
        <v>0</v>
      </c>
      <c r="AK861" t="b">
        <f>AND(IF(metadata!I861="",FALSE,TRUE),EXACT(metadata!I861,"host-associated"))</f>
        <v>0</v>
      </c>
      <c r="AL861" t="b">
        <f>OR(AND(IF(metadata!J861="",FALSE,TRUE),OR(EXACT(metadata!J861,"not applicable"),EXACT(metadata!J861,"missing: not collected"),EXACT(metadata!J861,"missing: not provided"),EXACT(metadata!J861,"missing: restricted access"))),AND(IF(metadata!J861="",FALSE,ISNUMBER(VALUE(metadata!J861))),metadata!J861&gt;0))</f>
        <v>0</v>
      </c>
      <c r="AM861" t="b">
        <f>AND(IF(metadata!K861="",FALSE,TRUE),EXACT(metadata!K861,"missing: not provided"))</f>
        <v>0</v>
      </c>
      <c r="AN861" t="b">
        <f>IF(metadata!L861="",FALSE,TRUE)</f>
        <v>0</v>
      </c>
      <c r="AO861" t="b">
        <f>IF(metadata!M861="",FALSE,TRUE)</f>
        <v>0</v>
      </c>
      <c r="AP861" t="b">
        <f>OR(AND(IF(metadata!N861="",FALSE,TRUE),OR(EXACT(metadata!N861,"not applicable"),EXACT(metadata!N861,"missing: not collected"),EXACT(metadata!N861,"missing: not provided"))),AND(IF(metadata!N861="",FALSE,IF(ISERROR(INT(metadata!N861)),FALSE,INT(metadata!N861)=metadata!N861)),metadata!N861&gt;0))</f>
        <v>0</v>
      </c>
      <c r="AQ861" t="b">
        <f>AND(IF(metadata!O861="",FALSE,TRUE),EXACT(metadata!O861,"Not applicable"))</f>
        <v>0</v>
      </c>
      <c r="AR861" t="b">
        <f>OR(AND(IF(metadata!P861="",FALSE,TRUE),OR(EXACT(metadata!P861,"not applicable"),EXACT(metadata!P861,"missing: not collected"),EXACT(metadata!P861,"missing: not provided"),EXACT(metadata!P861,"missing: restricted access"))),IF(metadata!P861="",FALSE,IF(ISERROR(INT(metadata!P861)),FALSE,INT(metadata!P861)=metadata!P861)))</f>
        <v>0</v>
      </c>
      <c r="AS861" t="b">
        <f>AND(IF(metadata!Q861="",FALSE,TRUE),EXACT(metadata!Q861,"Not applicable"))</f>
        <v>0</v>
      </c>
      <c r="AT861" t="b">
        <f>OR(AND(IF(metadata!R861="",FALSE,TRUE),OR(EXACT(metadata!R861,"not applicable"),EXACT(metadata!R861,"missing: not collected"),EXACT(metadata!R861,"missing: not provided"),EXACT(metadata!R861,"missing: restricted access"))),AND(IF(metadata!R861="",FALSE,ISNUMBER(VALUE(metadata!R861))),metadata!R861&gt;0))</f>
        <v>0</v>
      </c>
      <c r="AU861" t="b">
        <f>AND(IF(metadata!S861="",FALSE,TRUE),EXACT(metadata!S861,"missing: not provided"))</f>
        <v>0</v>
      </c>
    </row>
    <row r="862" spans="1:47" x14ac:dyDescent="0.2">
      <c r="A862" s="5" t="str">
        <f ca="1">IF(B862=" "," ",HYPERLINK(CONCATENATE("#metadata!",ADDRESS(INDEX($Y$2:$Y$1001,MATCH(ROWS($W$2:W862),$W$2:$W$1001,0),0),1)),INDEX($AB$2:$AB$1001,MATCH(ROWS($W$2:W862),$W$2:$W$1001,0),0)))</f>
        <v xml:space="preserve"> </v>
      </c>
      <c r="B862" s="4" t="str">
        <f ca="1">IF(OR(INDEX($X$2:$X$1001,MATCH(ROWS($W$2:W862),$W$2:$W$1001,0),1)&gt;=100000,INDEX($AD$1005:$AU$1005,1,MATCH(COLUMNS($AD$1006:AD1006),$AD$1006:$AU$1006,0))&gt;=100000), " ",IF(INDEX($AD$2:$AU$1001,MATCH(ROWS($W$2:W862),$W$2:$W$1001,0),MATCH(COLUMNS($AD$1006:AD1006),$AD$1006:$AU$1006,0)), HYPERLINK("#",""), HYPERLINK(CONCATENATE("#metadata!", ADDRESS(INDEX($Y$2:$Y$1001,MATCH(ROWS($W$2:W862),$W$2:$W$1001,0),0), INDEX($AD$1004:$AU$1004,1,MATCH(COLUMNS($AD$1006:AD1006),$AD$1006:$AU$1006,0)))),"Fix")))</f>
        <v xml:space="preserve"> </v>
      </c>
      <c r="C862" s="4" t="str">
        <f ca="1">IF(OR(INDEX($X$2:$X$1001,MATCH(ROWS($W$2:W862),$W$2:$W$1001,0),1)&gt;=100000,INDEX($AD$1005:$AU$1005,1,MATCH(COLUMNS($AD$1006:AE1006),$AD$1006:$AU$1006,0))&gt;=100000), " ",IF(INDEX($AD$2:$AU$1001,MATCH(ROWS($W$2:W862),$W$2:$W$1001,0),MATCH(COLUMNS($AD$1006:AE1006),$AD$1006:$AU$1006,0)), HYPERLINK("#",""), HYPERLINK(CONCATENATE("#metadata!", ADDRESS(INDEX($Y$2:$Y$1001,MATCH(ROWS($W$2:W862),$W$2:$W$1001,0),0), INDEX($AD$1004:$AU$1004,1,MATCH(COLUMNS($AD$1006:AE1006),$AD$1006:$AU$1006,0)))),"Fix")))</f>
        <v xml:space="preserve"> </v>
      </c>
      <c r="D862" s="4" t="str">
        <f ca="1">IF(OR(INDEX($X$2:$X$1001,MATCH(ROWS($W$2:W862),$W$2:$W$1001,0),1)&gt;=100000,INDEX($AD$1005:$AU$1005,1,MATCH(COLUMNS($AD$1006:AF1006),$AD$1006:$AU$1006,0))&gt;=100000), " ",IF(INDEX($AD$2:$AU$1001,MATCH(ROWS($W$2:W862),$W$2:$W$1001,0),MATCH(COLUMNS($AD$1006:AF1006),$AD$1006:$AU$1006,0)), HYPERLINK("#",""), HYPERLINK(CONCATENATE("#metadata!", ADDRESS(INDEX($Y$2:$Y$1001,MATCH(ROWS($W$2:W862),$W$2:$W$1001,0),0), INDEX($AD$1004:$AU$1004,1,MATCH(COLUMNS($AD$1006:AF1006),$AD$1006:$AU$1006,0)))),"Fix")))</f>
        <v xml:space="preserve"> </v>
      </c>
      <c r="E862" s="4" t="str">
        <f ca="1">IF(OR(INDEX($X$2:$X$1001,MATCH(ROWS($W$2:W862),$W$2:$W$1001,0),1)&gt;=100000,INDEX($AD$1005:$AU$1005,1,MATCH(COLUMNS($AD$1006:AG1006),$AD$1006:$AU$1006,0))&gt;=100000), " ",IF(INDEX($AD$2:$AU$1001,MATCH(ROWS($W$2:W862),$W$2:$W$1001,0),MATCH(COLUMNS($AD$1006:AG1006),$AD$1006:$AU$1006,0)), HYPERLINK("#",""), HYPERLINK(CONCATENATE("#metadata!", ADDRESS(INDEX($Y$2:$Y$1001,MATCH(ROWS($W$2:W862),$W$2:$W$1001,0),0), INDEX($AD$1004:$AU$1004,1,MATCH(COLUMNS($AD$1006:AG1006),$AD$1006:$AU$1006,0)))),"Fix")))</f>
        <v xml:space="preserve"> </v>
      </c>
      <c r="F862" s="4" t="str">
        <f ca="1">IF(OR(INDEX($X$2:$X$1001,MATCH(ROWS($W$2:W862),$W$2:$W$1001,0),1)&gt;=100000,INDEX($AD$1005:$AU$1005,1,MATCH(COLUMNS($AD$1006:AH1006),$AD$1006:$AU$1006,0))&gt;=100000), " ",IF(INDEX($AD$2:$AU$1001,MATCH(ROWS($W$2:W862),$W$2:$W$1001,0),MATCH(COLUMNS($AD$1006:AH1006),$AD$1006:$AU$1006,0)), HYPERLINK("#",""), HYPERLINK(CONCATENATE("#metadata!", ADDRESS(INDEX($Y$2:$Y$1001,MATCH(ROWS($W$2:W862),$W$2:$W$1001,0),0), INDEX($AD$1004:$AU$1004,1,MATCH(COLUMNS($AD$1006:AH1006),$AD$1006:$AU$1006,0)))),"Fix")))</f>
        <v xml:space="preserve"> </v>
      </c>
      <c r="G862" s="4" t="str">
        <f ca="1">IF(OR(INDEX($X$2:$X$1001,MATCH(ROWS($W$2:W862),$W$2:$W$1001,0),1)&gt;=100000,INDEX($AD$1005:$AU$1005,1,MATCH(COLUMNS($AD$1006:AI1006),$AD$1006:$AU$1006,0))&gt;=100000), " ",IF(INDEX($AD$2:$AU$1001,MATCH(ROWS($W$2:W862),$W$2:$W$1001,0),MATCH(COLUMNS($AD$1006:AI1006),$AD$1006:$AU$1006,0)), HYPERLINK("#",""), HYPERLINK(CONCATENATE("#metadata!", ADDRESS(INDEX($Y$2:$Y$1001,MATCH(ROWS($W$2:W862),$W$2:$W$1001,0),0), INDEX($AD$1004:$AU$1004,1,MATCH(COLUMNS($AD$1006:AI1006),$AD$1006:$AU$1006,0)))),"Fix")))</f>
        <v xml:space="preserve"> </v>
      </c>
      <c r="H862" s="4" t="str">
        <f ca="1">IF(OR(INDEX($X$2:$X$1001,MATCH(ROWS($W$2:W862),$W$2:$W$1001,0),1)&gt;=100000,INDEX($AD$1005:$AU$1005,1,MATCH(COLUMNS($AD$1006:AJ1006),$AD$1006:$AU$1006,0))&gt;=100000), " ",IF(INDEX($AD$2:$AU$1001,MATCH(ROWS($W$2:W862),$W$2:$W$1001,0),MATCH(COLUMNS($AD$1006:AJ1006),$AD$1006:$AU$1006,0)), HYPERLINK("#",""), HYPERLINK(CONCATENATE("#metadata!", ADDRESS(INDEX($Y$2:$Y$1001,MATCH(ROWS($W$2:W862),$W$2:$W$1001,0),0), INDEX($AD$1004:$AU$1004,1,MATCH(COLUMNS($AD$1006:AJ1006),$AD$1006:$AU$1006,0)))),"Fix")))</f>
        <v xml:space="preserve"> </v>
      </c>
      <c r="I862" s="4" t="str">
        <f ca="1">IF(OR(INDEX($X$2:$X$1001,MATCH(ROWS($W$2:W862),$W$2:$W$1001,0),1)&gt;=100000,INDEX($AD$1005:$AU$1005,1,MATCH(COLUMNS($AD$1006:AK1006),$AD$1006:$AU$1006,0))&gt;=100000), " ",IF(INDEX($AD$2:$AU$1001,MATCH(ROWS($W$2:W862),$W$2:$W$1001,0),MATCH(COLUMNS($AD$1006:AK1006),$AD$1006:$AU$1006,0)), HYPERLINK("#",""), HYPERLINK(CONCATENATE("#metadata!", ADDRESS(INDEX($Y$2:$Y$1001,MATCH(ROWS($W$2:W862),$W$2:$W$1001,0),0), INDEX($AD$1004:$AU$1004,1,MATCH(COLUMNS($AD$1006:AK1006),$AD$1006:$AU$1006,0)))),"Fix")))</f>
        <v xml:space="preserve"> </v>
      </c>
      <c r="J862" s="4" t="str">
        <f ca="1">IF(OR(INDEX($X$2:$X$1001,MATCH(ROWS($W$2:W862),$W$2:$W$1001,0),1)&gt;=100000,INDEX($AD$1005:$AU$1005,1,MATCH(COLUMNS($AD$1006:AL1006),$AD$1006:$AU$1006,0))&gt;=100000), " ",IF(INDEX($AD$2:$AU$1001,MATCH(ROWS($W$2:W862),$W$2:$W$1001,0),MATCH(COLUMNS($AD$1006:AL1006),$AD$1006:$AU$1006,0)), HYPERLINK("#",""), HYPERLINK(CONCATENATE("#metadata!", ADDRESS(INDEX($Y$2:$Y$1001,MATCH(ROWS($W$2:W862),$W$2:$W$1001,0),0), INDEX($AD$1004:$AU$1004,1,MATCH(COLUMNS($AD$1006:AL1006),$AD$1006:$AU$1006,0)))),"Fix")))</f>
        <v xml:space="preserve"> </v>
      </c>
      <c r="K862" s="4" t="str">
        <f ca="1">IF(OR(INDEX($X$2:$X$1001,MATCH(ROWS($W$2:W862),$W$2:$W$1001,0),1)&gt;=100000,INDEX($AD$1005:$AU$1005,1,MATCH(COLUMNS($AD$1006:AM1006),$AD$1006:$AU$1006,0))&gt;=100000), " ",IF(INDEX($AD$2:$AU$1001,MATCH(ROWS($W$2:W862),$W$2:$W$1001,0),MATCH(COLUMNS($AD$1006:AM1006),$AD$1006:$AU$1006,0)), HYPERLINK("#",""), HYPERLINK(CONCATENATE("#metadata!", ADDRESS(INDEX($Y$2:$Y$1001,MATCH(ROWS($W$2:W862),$W$2:$W$1001,0),0), INDEX($AD$1004:$AU$1004,1,MATCH(COLUMNS($AD$1006:AM1006),$AD$1006:$AU$1006,0)))),"Fix")))</f>
        <v xml:space="preserve"> </v>
      </c>
      <c r="L862" s="4" t="str">
        <f ca="1">IF(OR(INDEX($X$2:$X$1001,MATCH(ROWS($W$2:W862),$W$2:$W$1001,0),1)&gt;=100000,INDEX($AD$1005:$AU$1005,1,MATCH(COLUMNS($AD$1006:AN1006),$AD$1006:$AU$1006,0))&gt;=100000), " ",IF(INDEX($AD$2:$AU$1001,MATCH(ROWS($W$2:W862),$W$2:$W$1001,0),MATCH(COLUMNS($AD$1006:AN1006),$AD$1006:$AU$1006,0)), HYPERLINK("#",""), HYPERLINK(CONCATENATE("#metadata!", ADDRESS(INDEX($Y$2:$Y$1001,MATCH(ROWS($W$2:W862),$W$2:$W$1001,0),0), INDEX($AD$1004:$AU$1004,1,MATCH(COLUMNS($AD$1006:AN1006),$AD$1006:$AU$1006,0)))),"Fix")))</f>
        <v xml:space="preserve"> </v>
      </c>
      <c r="M862" s="4" t="str">
        <f ca="1">IF(OR(INDEX($X$2:$X$1001,MATCH(ROWS($W$2:W862),$W$2:$W$1001,0),1)&gt;=100000,INDEX($AD$1005:$AU$1005,1,MATCH(COLUMNS($AD$1006:AO1006),$AD$1006:$AU$1006,0))&gt;=100000), " ",IF(INDEX($AD$2:$AU$1001,MATCH(ROWS($W$2:W862),$W$2:$W$1001,0),MATCH(COLUMNS($AD$1006:AO1006),$AD$1006:$AU$1006,0)), HYPERLINK("#",""), HYPERLINK(CONCATENATE("#metadata!", ADDRESS(INDEX($Y$2:$Y$1001,MATCH(ROWS($W$2:W862),$W$2:$W$1001,0),0), INDEX($AD$1004:$AU$1004,1,MATCH(COLUMNS($AD$1006:AO1006),$AD$1006:$AU$1006,0)))),"Fix")))</f>
        <v xml:space="preserve"> </v>
      </c>
      <c r="N862" s="4" t="str">
        <f ca="1">IF(OR(INDEX($X$2:$X$1001,MATCH(ROWS($W$2:W862),$W$2:$W$1001,0),1)&gt;=100000,INDEX($AD$1005:$AU$1005,1,MATCH(COLUMNS($AD$1006:AP1006),$AD$1006:$AU$1006,0))&gt;=100000), " ",IF(INDEX($AD$2:$AU$1001,MATCH(ROWS($W$2:W862),$W$2:$W$1001,0),MATCH(COLUMNS($AD$1006:AP1006),$AD$1006:$AU$1006,0)), HYPERLINK("#",""), HYPERLINK(CONCATENATE("#metadata!", ADDRESS(INDEX($Y$2:$Y$1001,MATCH(ROWS($W$2:W862),$W$2:$W$1001,0),0), INDEX($AD$1004:$AU$1004,1,MATCH(COLUMNS($AD$1006:AP1006),$AD$1006:$AU$1006,0)))),"Fix")))</f>
        <v xml:space="preserve"> </v>
      </c>
      <c r="O862" s="4" t="str">
        <f ca="1">IF(OR(INDEX($X$2:$X$1001,MATCH(ROWS($W$2:W862),$W$2:$W$1001,0),1)&gt;=100000,INDEX($AD$1005:$AU$1005,1,MATCH(COLUMNS($AD$1006:AQ1006),$AD$1006:$AU$1006,0))&gt;=100000), " ",IF(INDEX($AD$2:$AU$1001,MATCH(ROWS($W$2:W862),$W$2:$W$1001,0),MATCH(COLUMNS($AD$1006:AQ1006),$AD$1006:$AU$1006,0)), HYPERLINK("#",""), HYPERLINK(CONCATENATE("#metadata!", ADDRESS(INDEX($Y$2:$Y$1001,MATCH(ROWS($W$2:W862),$W$2:$W$1001,0),0), INDEX($AD$1004:$AU$1004,1,MATCH(COLUMNS($AD$1006:AQ1006),$AD$1006:$AU$1006,0)))),"Fix")))</f>
        <v xml:space="preserve"> </v>
      </c>
      <c r="P862" s="4" t="str">
        <f ca="1">IF(OR(INDEX($X$2:$X$1001,MATCH(ROWS($W$2:W862),$W$2:$W$1001,0),1)&gt;=100000,INDEX($AD$1005:$AU$1005,1,MATCH(COLUMNS($AD$1006:AR1006),$AD$1006:$AU$1006,0))&gt;=100000), " ",IF(INDEX($AD$2:$AU$1001,MATCH(ROWS($W$2:W862),$W$2:$W$1001,0),MATCH(COLUMNS($AD$1006:AR1006),$AD$1006:$AU$1006,0)), HYPERLINK("#",""), HYPERLINK(CONCATENATE("#metadata!", ADDRESS(INDEX($Y$2:$Y$1001,MATCH(ROWS($W$2:W862),$W$2:$W$1001,0),0), INDEX($AD$1004:$AU$1004,1,MATCH(COLUMNS($AD$1006:AR1006),$AD$1006:$AU$1006,0)))),"Fix")))</f>
        <v xml:space="preserve"> </v>
      </c>
      <c r="Q862" s="4" t="str">
        <f ca="1">IF(OR(INDEX($X$2:$X$1001,MATCH(ROWS($W$2:W862),$W$2:$W$1001,0),1)&gt;=100000,INDEX($AD$1005:$AU$1005,1,MATCH(COLUMNS($AD$1006:AS1006),$AD$1006:$AU$1006,0))&gt;=100000), " ",IF(INDEX($AD$2:$AU$1001,MATCH(ROWS($W$2:W862),$W$2:$W$1001,0),MATCH(COLUMNS($AD$1006:AS1006),$AD$1006:$AU$1006,0)), HYPERLINK("#",""), HYPERLINK(CONCATENATE("#metadata!", ADDRESS(INDEX($Y$2:$Y$1001,MATCH(ROWS($W$2:W862),$W$2:$W$1001,0),0), INDEX($AD$1004:$AU$1004,1,MATCH(COLUMNS($AD$1006:AS1006),$AD$1006:$AU$1006,0)))),"Fix")))</f>
        <v xml:space="preserve"> </v>
      </c>
      <c r="R862" s="4" t="str">
        <f ca="1">IF(OR(INDEX($X$2:$X$1001,MATCH(ROWS($W$2:W862),$W$2:$W$1001,0),1)&gt;=100000,INDEX($AD$1005:$AU$1005,1,MATCH(COLUMNS($AD$1006:AT1006),$AD$1006:$AU$1006,0))&gt;=100000), " ",IF(INDEX($AD$2:$AU$1001,MATCH(ROWS($W$2:W862),$W$2:$W$1001,0),MATCH(COLUMNS($AD$1006:AT1006),$AD$1006:$AU$1006,0)), HYPERLINK("#",""), HYPERLINK(CONCATENATE("#metadata!", ADDRESS(INDEX($Y$2:$Y$1001,MATCH(ROWS($W$2:W862),$W$2:$W$1001,0),0), INDEX($AD$1004:$AU$1004,1,MATCH(COLUMNS($AD$1006:AT1006),$AD$1006:$AU$1006,0)))),"Fix")))</f>
        <v xml:space="preserve"> </v>
      </c>
      <c r="S862" s="4" t="str">
        <f ca="1">IF(OR(INDEX($X$2:$X$1001,MATCH(ROWS($W$2:W862),$W$2:$W$1001,0),1)&gt;=100000,INDEX($AD$1005:$AU$1005,1,MATCH(COLUMNS($AD$1006:AU1006),$AD$1006:$AU$1006,0))&gt;=100000), " ",IF(INDEX($AD$2:$AU$1001,MATCH(ROWS($W$2:W862),$W$2:$W$1001,0),MATCH(COLUMNS($AD$1006:AU1006),$AD$1006:$AU$1006,0)), HYPERLINK("#",""), HYPERLINK(CONCATENATE("#metadata!", ADDRESS(INDEX($Y$2:$Y$1001,MATCH(ROWS($W$2:W862),$W$2:$W$1001,0),0), INDEX($AD$1004:$AU$1004,1,MATCH(COLUMNS($AD$1006:AU1006),$AD$1006:$AU$1006,0)))),"Fix")))</f>
        <v xml:space="preserve"> </v>
      </c>
      <c r="W862">
        <v>861</v>
      </c>
      <c r="X862">
        <v>100862</v>
      </c>
      <c r="Y862">
        <v>862</v>
      </c>
      <c r="Z862" t="b">
        <f t="shared" si="13"/>
        <v>1</v>
      </c>
      <c r="AA862" t="b">
        <f>COUNTBLANK(metadata!B862:S862)=COLUMNS(metadata!B862:S862)</f>
        <v>1</v>
      </c>
      <c r="AB862" t="str">
        <v/>
      </c>
      <c r="AD862" t="b">
        <f ca="1">AND(IF(metadata!B862="",FALSE,TRUE),COUNTIF(metadata!B:B, metadata!B862) = 1,NOT(ISERROR(SUMPRODUCT(SEARCH(MID(metadata!B862,ROW(INDIRECT("1:"&amp;LEN(metadata!B862))), 1),"0123456789abcdefghijklmnopqrstuvwxyzABCDEFGHIJKLMNOPQRSTUVWXYZ.")))))</f>
        <v>0</v>
      </c>
      <c r="AE862" t="b">
        <f>OR(AND(IF(metadata!C862="",FALSE,TRUE),OR(EXACT(metadata!C862,"not applicable"),EXACT(metadata!C862,"missing: not collected"),EXACT(metadata!C862,"missing: not provided"),EXACT(metadata!C862,"missing: restricted access"))),AND(IF(metadata!C862="",FALSE,ISNUMBER(VALUE(metadata!C862))),metadata!C862&gt;0))</f>
        <v>0</v>
      </c>
      <c r="AF862" t="b">
        <f>AND(IF(metadata!D862="",FALSE,TRUE),EXACT(metadata!D862,"missing: not provided"))</f>
        <v>0</v>
      </c>
      <c r="AG862" t="b">
        <f>AND(IF(metadata!E862="",FALSE,TRUE),EXACT(metadata!E862,"Host-associated"))</f>
        <v>0</v>
      </c>
      <c r="AH862" t="b">
        <f>AND(IF(metadata!F862="",FALSE,TRUE),OR(EXACT(metadata!F862,"Animal"),EXACT(metadata!F862,"Fungus"),EXACT(metadata!F862,"Plant")))</f>
        <v>0</v>
      </c>
      <c r="AI862" t="b">
        <f>AND(IF(metadata!G862="",FALSE,TRUE),OR(EXACT(metadata!G862,"Plant secretion"),EXACT(metadata!G862,"Plant rhizosphere"),EXACT(metadata!G862,"Plant surface"),EXACT(metadata!G862,"Plant corpus"),EXACT(metadata!G862,"Fungus surface"),EXACT(metadata!G862,"Fungus corpus"),EXACT(metadata!G862,"Animal surface"),EXACT(metadata!G862,"Animal proximal gut"),EXACT(metadata!G862,"Animal corpus"),EXACT(metadata!G862,"Animal distal gut"),EXACT(metadata!G862,"Animal secretion")))</f>
        <v>0</v>
      </c>
      <c r="AJ862" t="b">
        <f>OR(AND(IF(metadata!H862="",FALSE,TRUE),OR(EXACT(metadata!H862,"missing: not collected"),EXACT(metadata!H862,"missing: not provided"),EXACT(metadata!H862,"missing: restricted access"))),AND(IF(metadata!H862="",FALSE,TRUE),OR(EXACT(metadata!H862,"organism-associated habitat"),EXACT(metadata!H862,"plant-associated habitat"),EXACT(metadata!H862,"animal-associated habitat"),EXACT(metadata!H862,"insecta-associated habitat"),EXACT(metadata!H862,"mammalia-associated habitat"),EXACT(metadata!H862,"human-associated habitat"),EXACT(metadata!H862,"livestock-associated habitat"))))</f>
        <v>0</v>
      </c>
      <c r="AK862" t="b">
        <f>AND(IF(metadata!I862="",FALSE,TRUE),EXACT(metadata!I862,"host-associated"))</f>
        <v>0</v>
      </c>
      <c r="AL862" t="b">
        <f>OR(AND(IF(metadata!J862="",FALSE,TRUE),OR(EXACT(metadata!J862,"not applicable"),EXACT(metadata!J862,"missing: not collected"),EXACT(metadata!J862,"missing: not provided"),EXACT(metadata!J862,"missing: restricted access"))),AND(IF(metadata!J862="",FALSE,ISNUMBER(VALUE(metadata!J862))),metadata!J862&gt;0))</f>
        <v>0</v>
      </c>
      <c r="AM862" t="b">
        <f>AND(IF(metadata!K862="",FALSE,TRUE),EXACT(metadata!K862,"missing: not provided"))</f>
        <v>0</v>
      </c>
      <c r="AN862" t="b">
        <f>IF(metadata!L862="",FALSE,TRUE)</f>
        <v>0</v>
      </c>
      <c r="AO862" t="b">
        <f>IF(metadata!M862="",FALSE,TRUE)</f>
        <v>0</v>
      </c>
      <c r="AP862" t="b">
        <f>OR(AND(IF(metadata!N862="",FALSE,TRUE),OR(EXACT(metadata!N862,"not applicable"),EXACT(metadata!N862,"missing: not collected"),EXACT(metadata!N862,"missing: not provided"))),AND(IF(metadata!N862="",FALSE,IF(ISERROR(INT(metadata!N862)),FALSE,INT(metadata!N862)=metadata!N862)),metadata!N862&gt;0))</f>
        <v>0</v>
      </c>
      <c r="AQ862" t="b">
        <f>AND(IF(metadata!O862="",FALSE,TRUE),EXACT(metadata!O862,"Not applicable"))</f>
        <v>0</v>
      </c>
      <c r="AR862" t="b">
        <f>OR(AND(IF(metadata!P862="",FALSE,TRUE),OR(EXACT(metadata!P862,"not applicable"),EXACT(metadata!P862,"missing: not collected"),EXACT(metadata!P862,"missing: not provided"),EXACT(metadata!P862,"missing: restricted access"))),IF(metadata!P862="",FALSE,IF(ISERROR(INT(metadata!P862)),FALSE,INT(metadata!P862)=metadata!P862)))</f>
        <v>0</v>
      </c>
      <c r="AS862" t="b">
        <f>AND(IF(metadata!Q862="",FALSE,TRUE),EXACT(metadata!Q862,"Not applicable"))</f>
        <v>0</v>
      </c>
      <c r="AT862" t="b">
        <f>OR(AND(IF(metadata!R862="",FALSE,TRUE),OR(EXACT(metadata!R862,"not applicable"),EXACT(metadata!R862,"missing: not collected"),EXACT(metadata!R862,"missing: not provided"),EXACT(metadata!R862,"missing: restricted access"))),AND(IF(metadata!R862="",FALSE,ISNUMBER(VALUE(metadata!R862))),metadata!R862&gt;0))</f>
        <v>0</v>
      </c>
      <c r="AU862" t="b">
        <f>AND(IF(metadata!S862="",FALSE,TRUE),EXACT(metadata!S862,"missing: not provided"))</f>
        <v>0</v>
      </c>
    </row>
    <row r="863" spans="1:47" x14ac:dyDescent="0.2">
      <c r="A863" s="5" t="str">
        <f ca="1">IF(B863=" "," ",HYPERLINK(CONCATENATE("#metadata!",ADDRESS(INDEX($Y$2:$Y$1001,MATCH(ROWS($W$2:W863),$W$2:$W$1001,0),0),1)),INDEX($AB$2:$AB$1001,MATCH(ROWS($W$2:W863),$W$2:$W$1001,0),0)))</f>
        <v xml:space="preserve"> </v>
      </c>
      <c r="B863" s="4" t="str">
        <f ca="1">IF(OR(INDEX($X$2:$X$1001,MATCH(ROWS($W$2:W863),$W$2:$W$1001,0),1)&gt;=100000,INDEX($AD$1005:$AU$1005,1,MATCH(COLUMNS($AD$1006:AD1006),$AD$1006:$AU$1006,0))&gt;=100000), " ",IF(INDEX($AD$2:$AU$1001,MATCH(ROWS($W$2:W863),$W$2:$W$1001,0),MATCH(COLUMNS($AD$1006:AD1006),$AD$1006:$AU$1006,0)), HYPERLINK("#",""), HYPERLINK(CONCATENATE("#metadata!", ADDRESS(INDEX($Y$2:$Y$1001,MATCH(ROWS($W$2:W863),$W$2:$W$1001,0),0), INDEX($AD$1004:$AU$1004,1,MATCH(COLUMNS($AD$1006:AD1006),$AD$1006:$AU$1006,0)))),"Fix")))</f>
        <v xml:space="preserve"> </v>
      </c>
      <c r="C863" s="4" t="str">
        <f ca="1">IF(OR(INDEX($X$2:$X$1001,MATCH(ROWS($W$2:W863),$W$2:$W$1001,0),1)&gt;=100000,INDEX($AD$1005:$AU$1005,1,MATCH(COLUMNS($AD$1006:AE1006),$AD$1006:$AU$1006,0))&gt;=100000), " ",IF(INDEX($AD$2:$AU$1001,MATCH(ROWS($W$2:W863),$W$2:$W$1001,0),MATCH(COLUMNS($AD$1006:AE1006),$AD$1006:$AU$1006,0)), HYPERLINK("#",""), HYPERLINK(CONCATENATE("#metadata!", ADDRESS(INDEX($Y$2:$Y$1001,MATCH(ROWS($W$2:W863),$W$2:$W$1001,0),0), INDEX($AD$1004:$AU$1004,1,MATCH(COLUMNS($AD$1006:AE1006),$AD$1006:$AU$1006,0)))),"Fix")))</f>
        <v xml:space="preserve"> </v>
      </c>
      <c r="D863" s="4" t="str">
        <f ca="1">IF(OR(INDEX($X$2:$X$1001,MATCH(ROWS($W$2:W863),$W$2:$W$1001,0),1)&gt;=100000,INDEX($AD$1005:$AU$1005,1,MATCH(COLUMNS($AD$1006:AF1006),$AD$1006:$AU$1006,0))&gt;=100000), " ",IF(INDEX($AD$2:$AU$1001,MATCH(ROWS($W$2:W863),$W$2:$W$1001,0),MATCH(COLUMNS($AD$1006:AF1006),$AD$1006:$AU$1006,0)), HYPERLINK("#",""), HYPERLINK(CONCATENATE("#metadata!", ADDRESS(INDEX($Y$2:$Y$1001,MATCH(ROWS($W$2:W863),$W$2:$W$1001,0),0), INDEX($AD$1004:$AU$1004,1,MATCH(COLUMNS($AD$1006:AF1006),$AD$1006:$AU$1006,0)))),"Fix")))</f>
        <v xml:space="preserve"> </v>
      </c>
      <c r="E863" s="4" t="str">
        <f ca="1">IF(OR(INDEX($X$2:$X$1001,MATCH(ROWS($W$2:W863),$W$2:$W$1001,0),1)&gt;=100000,INDEX($AD$1005:$AU$1005,1,MATCH(COLUMNS($AD$1006:AG1006),$AD$1006:$AU$1006,0))&gt;=100000), " ",IF(INDEX($AD$2:$AU$1001,MATCH(ROWS($W$2:W863),$W$2:$W$1001,0),MATCH(COLUMNS($AD$1006:AG1006),$AD$1006:$AU$1006,0)), HYPERLINK("#",""), HYPERLINK(CONCATENATE("#metadata!", ADDRESS(INDEX($Y$2:$Y$1001,MATCH(ROWS($W$2:W863),$W$2:$W$1001,0),0), INDEX($AD$1004:$AU$1004,1,MATCH(COLUMNS($AD$1006:AG1006),$AD$1006:$AU$1006,0)))),"Fix")))</f>
        <v xml:space="preserve"> </v>
      </c>
      <c r="F863" s="4" t="str">
        <f ca="1">IF(OR(INDEX($X$2:$X$1001,MATCH(ROWS($W$2:W863),$W$2:$W$1001,0),1)&gt;=100000,INDEX($AD$1005:$AU$1005,1,MATCH(COLUMNS($AD$1006:AH1006),$AD$1006:$AU$1006,0))&gt;=100000), " ",IF(INDEX($AD$2:$AU$1001,MATCH(ROWS($W$2:W863),$W$2:$W$1001,0),MATCH(COLUMNS($AD$1006:AH1006),$AD$1006:$AU$1006,0)), HYPERLINK("#",""), HYPERLINK(CONCATENATE("#metadata!", ADDRESS(INDEX($Y$2:$Y$1001,MATCH(ROWS($W$2:W863),$W$2:$W$1001,0),0), INDEX($AD$1004:$AU$1004,1,MATCH(COLUMNS($AD$1006:AH1006),$AD$1006:$AU$1006,0)))),"Fix")))</f>
        <v xml:space="preserve"> </v>
      </c>
      <c r="G863" s="4" t="str">
        <f ca="1">IF(OR(INDEX($X$2:$X$1001,MATCH(ROWS($W$2:W863),$W$2:$W$1001,0),1)&gt;=100000,INDEX($AD$1005:$AU$1005,1,MATCH(COLUMNS($AD$1006:AI1006),$AD$1006:$AU$1006,0))&gt;=100000), " ",IF(INDEX($AD$2:$AU$1001,MATCH(ROWS($W$2:W863),$W$2:$W$1001,0),MATCH(COLUMNS($AD$1006:AI1006),$AD$1006:$AU$1006,0)), HYPERLINK("#",""), HYPERLINK(CONCATENATE("#metadata!", ADDRESS(INDEX($Y$2:$Y$1001,MATCH(ROWS($W$2:W863),$W$2:$W$1001,0),0), INDEX($AD$1004:$AU$1004,1,MATCH(COLUMNS($AD$1006:AI1006),$AD$1006:$AU$1006,0)))),"Fix")))</f>
        <v xml:space="preserve"> </v>
      </c>
      <c r="H863" s="4" t="str">
        <f ca="1">IF(OR(INDEX($X$2:$X$1001,MATCH(ROWS($W$2:W863),$W$2:$W$1001,0),1)&gt;=100000,INDEX($AD$1005:$AU$1005,1,MATCH(COLUMNS($AD$1006:AJ1006),$AD$1006:$AU$1006,0))&gt;=100000), " ",IF(INDEX($AD$2:$AU$1001,MATCH(ROWS($W$2:W863),$W$2:$W$1001,0),MATCH(COLUMNS($AD$1006:AJ1006),$AD$1006:$AU$1006,0)), HYPERLINK("#",""), HYPERLINK(CONCATENATE("#metadata!", ADDRESS(INDEX($Y$2:$Y$1001,MATCH(ROWS($W$2:W863),$W$2:$W$1001,0),0), INDEX($AD$1004:$AU$1004,1,MATCH(COLUMNS($AD$1006:AJ1006),$AD$1006:$AU$1006,0)))),"Fix")))</f>
        <v xml:space="preserve"> </v>
      </c>
      <c r="I863" s="4" t="str">
        <f ca="1">IF(OR(INDEX($X$2:$X$1001,MATCH(ROWS($W$2:W863),$W$2:$W$1001,0),1)&gt;=100000,INDEX($AD$1005:$AU$1005,1,MATCH(COLUMNS($AD$1006:AK1006),$AD$1006:$AU$1006,0))&gt;=100000), " ",IF(INDEX($AD$2:$AU$1001,MATCH(ROWS($W$2:W863),$W$2:$W$1001,0),MATCH(COLUMNS($AD$1006:AK1006),$AD$1006:$AU$1006,0)), HYPERLINK("#",""), HYPERLINK(CONCATENATE("#metadata!", ADDRESS(INDEX($Y$2:$Y$1001,MATCH(ROWS($W$2:W863),$W$2:$W$1001,0),0), INDEX($AD$1004:$AU$1004,1,MATCH(COLUMNS($AD$1006:AK1006),$AD$1006:$AU$1006,0)))),"Fix")))</f>
        <v xml:space="preserve"> </v>
      </c>
      <c r="J863" s="4" t="str">
        <f ca="1">IF(OR(INDEX($X$2:$X$1001,MATCH(ROWS($W$2:W863),$W$2:$W$1001,0),1)&gt;=100000,INDEX($AD$1005:$AU$1005,1,MATCH(COLUMNS($AD$1006:AL1006),$AD$1006:$AU$1006,0))&gt;=100000), " ",IF(INDEX($AD$2:$AU$1001,MATCH(ROWS($W$2:W863),$W$2:$W$1001,0),MATCH(COLUMNS($AD$1006:AL1006),$AD$1006:$AU$1006,0)), HYPERLINK("#",""), HYPERLINK(CONCATENATE("#metadata!", ADDRESS(INDEX($Y$2:$Y$1001,MATCH(ROWS($W$2:W863),$W$2:$W$1001,0),0), INDEX($AD$1004:$AU$1004,1,MATCH(COLUMNS($AD$1006:AL1006),$AD$1006:$AU$1006,0)))),"Fix")))</f>
        <v xml:space="preserve"> </v>
      </c>
      <c r="K863" s="4" t="str">
        <f ca="1">IF(OR(INDEX($X$2:$X$1001,MATCH(ROWS($W$2:W863),$W$2:$W$1001,0),1)&gt;=100000,INDEX($AD$1005:$AU$1005,1,MATCH(COLUMNS($AD$1006:AM1006),$AD$1006:$AU$1006,0))&gt;=100000), " ",IF(INDEX($AD$2:$AU$1001,MATCH(ROWS($W$2:W863),$W$2:$W$1001,0),MATCH(COLUMNS($AD$1006:AM1006),$AD$1006:$AU$1006,0)), HYPERLINK("#",""), HYPERLINK(CONCATENATE("#metadata!", ADDRESS(INDEX($Y$2:$Y$1001,MATCH(ROWS($W$2:W863),$W$2:$W$1001,0),0), INDEX($AD$1004:$AU$1004,1,MATCH(COLUMNS($AD$1006:AM1006),$AD$1006:$AU$1006,0)))),"Fix")))</f>
        <v xml:space="preserve"> </v>
      </c>
      <c r="L863" s="4" t="str">
        <f ca="1">IF(OR(INDEX($X$2:$X$1001,MATCH(ROWS($W$2:W863),$W$2:$W$1001,0),1)&gt;=100000,INDEX($AD$1005:$AU$1005,1,MATCH(COLUMNS($AD$1006:AN1006),$AD$1006:$AU$1006,0))&gt;=100000), " ",IF(INDEX($AD$2:$AU$1001,MATCH(ROWS($W$2:W863),$W$2:$W$1001,0),MATCH(COLUMNS($AD$1006:AN1006),$AD$1006:$AU$1006,0)), HYPERLINK("#",""), HYPERLINK(CONCATENATE("#metadata!", ADDRESS(INDEX($Y$2:$Y$1001,MATCH(ROWS($W$2:W863),$W$2:$W$1001,0),0), INDEX($AD$1004:$AU$1004,1,MATCH(COLUMNS($AD$1006:AN1006),$AD$1006:$AU$1006,0)))),"Fix")))</f>
        <v xml:space="preserve"> </v>
      </c>
      <c r="M863" s="4" t="str">
        <f ca="1">IF(OR(INDEX($X$2:$X$1001,MATCH(ROWS($W$2:W863),$W$2:$W$1001,0),1)&gt;=100000,INDEX($AD$1005:$AU$1005,1,MATCH(COLUMNS($AD$1006:AO1006),$AD$1006:$AU$1006,0))&gt;=100000), " ",IF(INDEX($AD$2:$AU$1001,MATCH(ROWS($W$2:W863),$W$2:$W$1001,0),MATCH(COLUMNS($AD$1006:AO1006),$AD$1006:$AU$1006,0)), HYPERLINK("#",""), HYPERLINK(CONCATENATE("#metadata!", ADDRESS(INDEX($Y$2:$Y$1001,MATCH(ROWS($W$2:W863),$W$2:$W$1001,0),0), INDEX($AD$1004:$AU$1004,1,MATCH(COLUMNS($AD$1006:AO1006),$AD$1006:$AU$1006,0)))),"Fix")))</f>
        <v xml:space="preserve"> </v>
      </c>
      <c r="N863" s="4" t="str">
        <f ca="1">IF(OR(INDEX($X$2:$X$1001,MATCH(ROWS($W$2:W863),$W$2:$W$1001,0),1)&gt;=100000,INDEX($AD$1005:$AU$1005,1,MATCH(COLUMNS($AD$1006:AP1006),$AD$1006:$AU$1006,0))&gt;=100000), " ",IF(INDEX($AD$2:$AU$1001,MATCH(ROWS($W$2:W863),$W$2:$W$1001,0),MATCH(COLUMNS($AD$1006:AP1006),$AD$1006:$AU$1006,0)), HYPERLINK("#",""), HYPERLINK(CONCATENATE("#metadata!", ADDRESS(INDEX($Y$2:$Y$1001,MATCH(ROWS($W$2:W863),$W$2:$W$1001,0),0), INDEX($AD$1004:$AU$1004,1,MATCH(COLUMNS($AD$1006:AP1006),$AD$1006:$AU$1006,0)))),"Fix")))</f>
        <v xml:space="preserve"> </v>
      </c>
      <c r="O863" s="4" t="str">
        <f ca="1">IF(OR(INDEX($X$2:$X$1001,MATCH(ROWS($W$2:W863),$W$2:$W$1001,0),1)&gt;=100000,INDEX($AD$1005:$AU$1005,1,MATCH(COLUMNS($AD$1006:AQ1006),$AD$1006:$AU$1006,0))&gt;=100000), " ",IF(INDEX($AD$2:$AU$1001,MATCH(ROWS($W$2:W863),$W$2:$W$1001,0),MATCH(COLUMNS($AD$1006:AQ1006),$AD$1006:$AU$1006,0)), HYPERLINK("#",""), HYPERLINK(CONCATENATE("#metadata!", ADDRESS(INDEX($Y$2:$Y$1001,MATCH(ROWS($W$2:W863),$W$2:$W$1001,0),0), INDEX($AD$1004:$AU$1004,1,MATCH(COLUMNS($AD$1006:AQ1006),$AD$1006:$AU$1006,0)))),"Fix")))</f>
        <v xml:space="preserve"> </v>
      </c>
      <c r="P863" s="4" t="str">
        <f ca="1">IF(OR(INDEX($X$2:$X$1001,MATCH(ROWS($W$2:W863),$W$2:$W$1001,0),1)&gt;=100000,INDEX($AD$1005:$AU$1005,1,MATCH(COLUMNS($AD$1006:AR1006),$AD$1006:$AU$1006,0))&gt;=100000), " ",IF(INDEX($AD$2:$AU$1001,MATCH(ROWS($W$2:W863),$W$2:$W$1001,0),MATCH(COLUMNS($AD$1006:AR1006),$AD$1006:$AU$1006,0)), HYPERLINK("#",""), HYPERLINK(CONCATENATE("#metadata!", ADDRESS(INDEX($Y$2:$Y$1001,MATCH(ROWS($W$2:W863),$W$2:$W$1001,0),0), INDEX($AD$1004:$AU$1004,1,MATCH(COLUMNS($AD$1006:AR1006),$AD$1006:$AU$1006,0)))),"Fix")))</f>
        <v xml:space="preserve"> </v>
      </c>
      <c r="Q863" s="4" t="str">
        <f ca="1">IF(OR(INDEX($X$2:$X$1001,MATCH(ROWS($W$2:W863),$W$2:$W$1001,0),1)&gt;=100000,INDEX($AD$1005:$AU$1005,1,MATCH(COLUMNS($AD$1006:AS1006),$AD$1006:$AU$1006,0))&gt;=100000), " ",IF(INDEX($AD$2:$AU$1001,MATCH(ROWS($W$2:W863),$W$2:$W$1001,0),MATCH(COLUMNS($AD$1006:AS1006),$AD$1006:$AU$1006,0)), HYPERLINK("#",""), HYPERLINK(CONCATENATE("#metadata!", ADDRESS(INDEX($Y$2:$Y$1001,MATCH(ROWS($W$2:W863),$W$2:$W$1001,0),0), INDEX($AD$1004:$AU$1004,1,MATCH(COLUMNS($AD$1006:AS1006),$AD$1006:$AU$1006,0)))),"Fix")))</f>
        <v xml:space="preserve"> </v>
      </c>
      <c r="R863" s="4" t="str">
        <f ca="1">IF(OR(INDEX($X$2:$X$1001,MATCH(ROWS($W$2:W863),$W$2:$W$1001,0),1)&gt;=100000,INDEX($AD$1005:$AU$1005,1,MATCH(COLUMNS($AD$1006:AT1006),$AD$1006:$AU$1006,0))&gt;=100000), " ",IF(INDEX($AD$2:$AU$1001,MATCH(ROWS($W$2:W863),$W$2:$W$1001,0),MATCH(COLUMNS($AD$1006:AT1006),$AD$1006:$AU$1006,0)), HYPERLINK("#",""), HYPERLINK(CONCATENATE("#metadata!", ADDRESS(INDEX($Y$2:$Y$1001,MATCH(ROWS($W$2:W863),$W$2:$W$1001,0),0), INDEX($AD$1004:$AU$1004,1,MATCH(COLUMNS($AD$1006:AT1006),$AD$1006:$AU$1006,0)))),"Fix")))</f>
        <v xml:space="preserve"> </v>
      </c>
      <c r="S863" s="4" t="str">
        <f ca="1">IF(OR(INDEX($X$2:$X$1001,MATCH(ROWS($W$2:W863),$W$2:$W$1001,0),1)&gt;=100000,INDEX($AD$1005:$AU$1005,1,MATCH(COLUMNS($AD$1006:AU1006),$AD$1006:$AU$1006,0))&gt;=100000), " ",IF(INDEX($AD$2:$AU$1001,MATCH(ROWS($W$2:W863),$W$2:$W$1001,0),MATCH(COLUMNS($AD$1006:AU1006),$AD$1006:$AU$1006,0)), HYPERLINK("#",""), HYPERLINK(CONCATENATE("#metadata!", ADDRESS(INDEX($Y$2:$Y$1001,MATCH(ROWS($W$2:W863),$W$2:$W$1001,0),0), INDEX($AD$1004:$AU$1004,1,MATCH(COLUMNS($AD$1006:AU1006),$AD$1006:$AU$1006,0)))),"Fix")))</f>
        <v xml:space="preserve"> </v>
      </c>
      <c r="W863">
        <v>862</v>
      </c>
      <c r="X863">
        <v>100863</v>
      </c>
      <c r="Y863">
        <v>863</v>
      </c>
      <c r="Z863" t="b">
        <f t="shared" si="13"/>
        <v>1</v>
      </c>
      <c r="AA863" t="b">
        <f>COUNTBLANK(metadata!B863:S863)=COLUMNS(metadata!B863:S863)</f>
        <v>1</v>
      </c>
      <c r="AB863" t="str">
        <v/>
      </c>
      <c r="AD863" t="b">
        <f ca="1">AND(IF(metadata!B863="",FALSE,TRUE),COUNTIF(metadata!B:B, metadata!B863) = 1,NOT(ISERROR(SUMPRODUCT(SEARCH(MID(metadata!B863,ROW(INDIRECT("1:"&amp;LEN(metadata!B863))), 1),"0123456789abcdefghijklmnopqrstuvwxyzABCDEFGHIJKLMNOPQRSTUVWXYZ.")))))</f>
        <v>0</v>
      </c>
      <c r="AE863" t="b">
        <f>OR(AND(IF(metadata!C863="",FALSE,TRUE),OR(EXACT(metadata!C863,"not applicable"),EXACT(metadata!C863,"missing: not collected"),EXACT(metadata!C863,"missing: not provided"),EXACT(metadata!C863,"missing: restricted access"))),AND(IF(metadata!C863="",FALSE,ISNUMBER(VALUE(metadata!C863))),metadata!C863&gt;0))</f>
        <v>0</v>
      </c>
      <c r="AF863" t="b">
        <f>AND(IF(metadata!D863="",FALSE,TRUE),EXACT(metadata!D863,"missing: not provided"))</f>
        <v>0</v>
      </c>
      <c r="AG863" t="b">
        <f>AND(IF(metadata!E863="",FALSE,TRUE),EXACT(metadata!E863,"Host-associated"))</f>
        <v>0</v>
      </c>
      <c r="AH863" t="b">
        <f>AND(IF(metadata!F863="",FALSE,TRUE),OR(EXACT(metadata!F863,"Animal"),EXACT(metadata!F863,"Fungus"),EXACT(metadata!F863,"Plant")))</f>
        <v>0</v>
      </c>
      <c r="AI863" t="b">
        <f>AND(IF(metadata!G863="",FALSE,TRUE),OR(EXACT(metadata!G863,"Plant secretion"),EXACT(metadata!G863,"Plant rhizosphere"),EXACT(metadata!G863,"Plant surface"),EXACT(metadata!G863,"Plant corpus"),EXACT(metadata!G863,"Fungus surface"),EXACT(metadata!G863,"Fungus corpus"),EXACT(metadata!G863,"Animal surface"),EXACT(metadata!G863,"Animal proximal gut"),EXACT(metadata!G863,"Animal corpus"),EXACT(metadata!G863,"Animal distal gut"),EXACT(metadata!G863,"Animal secretion")))</f>
        <v>0</v>
      </c>
      <c r="AJ863" t="b">
        <f>OR(AND(IF(metadata!H863="",FALSE,TRUE),OR(EXACT(metadata!H863,"missing: not collected"),EXACT(metadata!H863,"missing: not provided"),EXACT(metadata!H863,"missing: restricted access"))),AND(IF(metadata!H863="",FALSE,TRUE),OR(EXACT(metadata!H863,"organism-associated habitat"),EXACT(metadata!H863,"plant-associated habitat"),EXACT(metadata!H863,"animal-associated habitat"),EXACT(metadata!H863,"insecta-associated habitat"),EXACT(metadata!H863,"mammalia-associated habitat"),EXACT(metadata!H863,"human-associated habitat"),EXACT(metadata!H863,"livestock-associated habitat"))))</f>
        <v>0</v>
      </c>
      <c r="AK863" t="b">
        <f>AND(IF(metadata!I863="",FALSE,TRUE),EXACT(metadata!I863,"host-associated"))</f>
        <v>0</v>
      </c>
      <c r="AL863" t="b">
        <f>OR(AND(IF(metadata!J863="",FALSE,TRUE),OR(EXACT(metadata!J863,"not applicable"),EXACT(metadata!J863,"missing: not collected"),EXACT(metadata!J863,"missing: not provided"),EXACT(metadata!J863,"missing: restricted access"))),AND(IF(metadata!J863="",FALSE,ISNUMBER(VALUE(metadata!J863))),metadata!J863&gt;0))</f>
        <v>0</v>
      </c>
      <c r="AM863" t="b">
        <f>AND(IF(metadata!K863="",FALSE,TRUE),EXACT(metadata!K863,"missing: not provided"))</f>
        <v>0</v>
      </c>
      <c r="AN863" t="b">
        <f>IF(metadata!L863="",FALSE,TRUE)</f>
        <v>0</v>
      </c>
      <c r="AO863" t="b">
        <f>IF(metadata!M863="",FALSE,TRUE)</f>
        <v>0</v>
      </c>
      <c r="AP863" t="b">
        <f>OR(AND(IF(metadata!N863="",FALSE,TRUE),OR(EXACT(metadata!N863,"not applicable"),EXACT(metadata!N863,"missing: not collected"),EXACT(metadata!N863,"missing: not provided"))),AND(IF(metadata!N863="",FALSE,IF(ISERROR(INT(metadata!N863)),FALSE,INT(metadata!N863)=metadata!N863)),metadata!N863&gt;0))</f>
        <v>0</v>
      </c>
      <c r="AQ863" t="b">
        <f>AND(IF(metadata!O863="",FALSE,TRUE),EXACT(metadata!O863,"Not applicable"))</f>
        <v>0</v>
      </c>
      <c r="AR863" t="b">
        <f>OR(AND(IF(metadata!P863="",FALSE,TRUE),OR(EXACT(metadata!P863,"not applicable"),EXACT(metadata!P863,"missing: not collected"),EXACT(metadata!P863,"missing: not provided"),EXACT(metadata!P863,"missing: restricted access"))),IF(metadata!P863="",FALSE,IF(ISERROR(INT(metadata!P863)),FALSE,INT(metadata!P863)=metadata!P863)))</f>
        <v>0</v>
      </c>
      <c r="AS863" t="b">
        <f>AND(IF(metadata!Q863="",FALSE,TRUE),EXACT(metadata!Q863,"Not applicable"))</f>
        <v>0</v>
      </c>
      <c r="AT863" t="b">
        <f>OR(AND(IF(metadata!R863="",FALSE,TRUE),OR(EXACT(metadata!R863,"not applicable"),EXACT(metadata!R863,"missing: not collected"),EXACT(metadata!R863,"missing: not provided"),EXACT(metadata!R863,"missing: restricted access"))),AND(IF(metadata!R863="",FALSE,ISNUMBER(VALUE(metadata!R863))),metadata!R863&gt;0))</f>
        <v>0</v>
      </c>
      <c r="AU863" t="b">
        <f>AND(IF(metadata!S863="",FALSE,TRUE),EXACT(metadata!S863,"missing: not provided"))</f>
        <v>0</v>
      </c>
    </row>
    <row r="864" spans="1:47" x14ac:dyDescent="0.2">
      <c r="A864" s="5" t="str">
        <f ca="1">IF(B864=" "," ",HYPERLINK(CONCATENATE("#metadata!",ADDRESS(INDEX($Y$2:$Y$1001,MATCH(ROWS($W$2:W864),$W$2:$W$1001,0),0),1)),INDEX($AB$2:$AB$1001,MATCH(ROWS($W$2:W864),$W$2:$W$1001,0),0)))</f>
        <v xml:space="preserve"> </v>
      </c>
      <c r="B864" s="4" t="str">
        <f ca="1">IF(OR(INDEX($X$2:$X$1001,MATCH(ROWS($W$2:W864),$W$2:$W$1001,0),1)&gt;=100000,INDEX($AD$1005:$AU$1005,1,MATCH(COLUMNS($AD$1006:AD1006),$AD$1006:$AU$1006,0))&gt;=100000), " ",IF(INDEX($AD$2:$AU$1001,MATCH(ROWS($W$2:W864),$W$2:$W$1001,0),MATCH(COLUMNS($AD$1006:AD1006),$AD$1006:$AU$1006,0)), HYPERLINK("#",""), HYPERLINK(CONCATENATE("#metadata!", ADDRESS(INDEX($Y$2:$Y$1001,MATCH(ROWS($W$2:W864),$W$2:$W$1001,0),0), INDEX($AD$1004:$AU$1004,1,MATCH(COLUMNS($AD$1006:AD1006),$AD$1006:$AU$1006,0)))),"Fix")))</f>
        <v xml:space="preserve"> </v>
      </c>
      <c r="C864" s="4" t="str">
        <f ca="1">IF(OR(INDEX($X$2:$X$1001,MATCH(ROWS($W$2:W864),$W$2:$W$1001,0),1)&gt;=100000,INDEX($AD$1005:$AU$1005,1,MATCH(COLUMNS($AD$1006:AE1006),$AD$1006:$AU$1006,0))&gt;=100000), " ",IF(INDEX($AD$2:$AU$1001,MATCH(ROWS($W$2:W864),$W$2:$W$1001,0),MATCH(COLUMNS($AD$1006:AE1006),$AD$1006:$AU$1006,0)), HYPERLINK("#",""), HYPERLINK(CONCATENATE("#metadata!", ADDRESS(INDEX($Y$2:$Y$1001,MATCH(ROWS($W$2:W864),$W$2:$W$1001,0),0), INDEX($AD$1004:$AU$1004,1,MATCH(COLUMNS($AD$1006:AE1006),$AD$1006:$AU$1006,0)))),"Fix")))</f>
        <v xml:space="preserve"> </v>
      </c>
      <c r="D864" s="4" t="str">
        <f ca="1">IF(OR(INDEX($X$2:$X$1001,MATCH(ROWS($W$2:W864),$W$2:$W$1001,0),1)&gt;=100000,INDEX($AD$1005:$AU$1005,1,MATCH(COLUMNS($AD$1006:AF1006),$AD$1006:$AU$1006,0))&gt;=100000), " ",IF(INDEX($AD$2:$AU$1001,MATCH(ROWS($W$2:W864),$W$2:$W$1001,0),MATCH(COLUMNS($AD$1006:AF1006),$AD$1006:$AU$1006,0)), HYPERLINK("#",""), HYPERLINK(CONCATENATE("#metadata!", ADDRESS(INDEX($Y$2:$Y$1001,MATCH(ROWS($W$2:W864),$W$2:$W$1001,0),0), INDEX($AD$1004:$AU$1004,1,MATCH(COLUMNS($AD$1006:AF1006),$AD$1006:$AU$1006,0)))),"Fix")))</f>
        <v xml:space="preserve"> </v>
      </c>
      <c r="E864" s="4" t="str">
        <f ca="1">IF(OR(INDEX($X$2:$X$1001,MATCH(ROWS($W$2:W864),$W$2:$W$1001,0),1)&gt;=100000,INDEX($AD$1005:$AU$1005,1,MATCH(COLUMNS($AD$1006:AG1006),$AD$1006:$AU$1006,0))&gt;=100000), " ",IF(INDEX($AD$2:$AU$1001,MATCH(ROWS($W$2:W864),$W$2:$W$1001,0),MATCH(COLUMNS($AD$1006:AG1006),$AD$1006:$AU$1006,0)), HYPERLINK("#",""), HYPERLINK(CONCATENATE("#metadata!", ADDRESS(INDEX($Y$2:$Y$1001,MATCH(ROWS($W$2:W864),$W$2:$W$1001,0),0), INDEX($AD$1004:$AU$1004,1,MATCH(COLUMNS($AD$1006:AG1006),$AD$1006:$AU$1006,0)))),"Fix")))</f>
        <v xml:space="preserve"> </v>
      </c>
      <c r="F864" s="4" t="str">
        <f ca="1">IF(OR(INDEX($X$2:$X$1001,MATCH(ROWS($W$2:W864),$W$2:$W$1001,0),1)&gt;=100000,INDEX($AD$1005:$AU$1005,1,MATCH(COLUMNS($AD$1006:AH1006),$AD$1006:$AU$1006,0))&gt;=100000), " ",IF(INDEX($AD$2:$AU$1001,MATCH(ROWS($W$2:W864),$W$2:$W$1001,0),MATCH(COLUMNS($AD$1006:AH1006),$AD$1006:$AU$1006,0)), HYPERLINK("#",""), HYPERLINK(CONCATENATE("#metadata!", ADDRESS(INDEX($Y$2:$Y$1001,MATCH(ROWS($W$2:W864),$W$2:$W$1001,0),0), INDEX($AD$1004:$AU$1004,1,MATCH(COLUMNS($AD$1006:AH1006),$AD$1006:$AU$1006,0)))),"Fix")))</f>
        <v xml:space="preserve"> </v>
      </c>
      <c r="G864" s="4" t="str">
        <f ca="1">IF(OR(INDEX($X$2:$X$1001,MATCH(ROWS($W$2:W864),$W$2:$W$1001,0),1)&gt;=100000,INDEX($AD$1005:$AU$1005,1,MATCH(COLUMNS($AD$1006:AI1006),$AD$1006:$AU$1006,0))&gt;=100000), " ",IF(INDEX($AD$2:$AU$1001,MATCH(ROWS($W$2:W864),$W$2:$W$1001,0),MATCH(COLUMNS($AD$1006:AI1006),$AD$1006:$AU$1006,0)), HYPERLINK("#",""), HYPERLINK(CONCATENATE("#metadata!", ADDRESS(INDEX($Y$2:$Y$1001,MATCH(ROWS($W$2:W864),$W$2:$W$1001,0),0), INDEX($AD$1004:$AU$1004,1,MATCH(COLUMNS($AD$1006:AI1006),$AD$1006:$AU$1006,0)))),"Fix")))</f>
        <v xml:space="preserve"> </v>
      </c>
      <c r="H864" s="4" t="str">
        <f ca="1">IF(OR(INDEX($X$2:$X$1001,MATCH(ROWS($W$2:W864),$W$2:$W$1001,0),1)&gt;=100000,INDEX($AD$1005:$AU$1005,1,MATCH(COLUMNS($AD$1006:AJ1006),$AD$1006:$AU$1006,0))&gt;=100000), " ",IF(INDEX($AD$2:$AU$1001,MATCH(ROWS($W$2:W864),$W$2:$W$1001,0),MATCH(COLUMNS($AD$1006:AJ1006),$AD$1006:$AU$1006,0)), HYPERLINK("#",""), HYPERLINK(CONCATENATE("#metadata!", ADDRESS(INDEX($Y$2:$Y$1001,MATCH(ROWS($W$2:W864),$W$2:$W$1001,0),0), INDEX($AD$1004:$AU$1004,1,MATCH(COLUMNS($AD$1006:AJ1006),$AD$1006:$AU$1006,0)))),"Fix")))</f>
        <v xml:space="preserve"> </v>
      </c>
      <c r="I864" s="4" t="str">
        <f ca="1">IF(OR(INDEX($X$2:$X$1001,MATCH(ROWS($W$2:W864),$W$2:$W$1001,0),1)&gt;=100000,INDEX($AD$1005:$AU$1005,1,MATCH(COLUMNS($AD$1006:AK1006),$AD$1006:$AU$1006,0))&gt;=100000), " ",IF(INDEX($AD$2:$AU$1001,MATCH(ROWS($W$2:W864),$W$2:$W$1001,0),MATCH(COLUMNS($AD$1006:AK1006),$AD$1006:$AU$1006,0)), HYPERLINK("#",""), HYPERLINK(CONCATENATE("#metadata!", ADDRESS(INDEX($Y$2:$Y$1001,MATCH(ROWS($W$2:W864),$W$2:$W$1001,0),0), INDEX($AD$1004:$AU$1004,1,MATCH(COLUMNS($AD$1006:AK1006),$AD$1006:$AU$1006,0)))),"Fix")))</f>
        <v xml:space="preserve"> </v>
      </c>
      <c r="J864" s="4" t="str">
        <f ca="1">IF(OR(INDEX($X$2:$X$1001,MATCH(ROWS($W$2:W864),$W$2:$W$1001,0),1)&gt;=100000,INDEX($AD$1005:$AU$1005,1,MATCH(COLUMNS($AD$1006:AL1006),$AD$1006:$AU$1006,0))&gt;=100000), " ",IF(INDEX($AD$2:$AU$1001,MATCH(ROWS($W$2:W864),$W$2:$W$1001,0),MATCH(COLUMNS($AD$1006:AL1006),$AD$1006:$AU$1006,0)), HYPERLINK("#",""), HYPERLINK(CONCATENATE("#metadata!", ADDRESS(INDEX($Y$2:$Y$1001,MATCH(ROWS($W$2:W864),$W$2:$W$1001,0),0), INDEX($AD$1004:$AU$1004,1,MATCH(COLUMNS($AD$1006:AL1006),$AD$1006:$AU$1006,0)))),"Fix")))</f>
        <v xml:space="preserve"> </v>
      </c>
      <c r="K864" s="4" t="str">
        <f ca="1">IF(OR(INDEX($X$2:$X$1001,MATCH(ROWS($W$2:W864),$W$2:$W$1001,0),1)&gt;=100000,INDEX($AD$1005:$AU$1005,1,MATCH(COLUMNS($AD$1006:AM1006),$AD$1006:$AU$1006,0))&gt;=100000), " ",IF(INDEX($AD$2:$AU$1001,MATCH(ROWS($W$2:W864),$W$2:$W$1001,0),MATCH(COLUMNS($AD$1006:AM1006),$AD$1006:$AU$1006,0)), HYPERLINK("#",""), HYPERLINK(CONCATENATE("#metadata!", ADDRESS(INDEX($Y$2:$Y$1001,MATCH(ROWS($W$2:W864),$W$2:$W$1001,0),0), INDEX($AD$1004:$AU$1004,1,MATCH(COLUMNS($AD$1006:AM1006),$AD$1006:$AU$1006,0)))),"Fix")))</f>
        <v xml:space="preserve"> </v>
      </c>
      <c r="L864" s="4" t="str">
        <f ca="1">IF(OR(INDEX($X$2:$X$1001,MATCH(ROWS($W$2:W864),$W$2:$W$1001,0),1)&gt;=100000,INDEX($AD$1005:$AU$1005,1,MATCH(COLUMNS($AD$1006:AN1006),$AD$1006:$AU$1006,0))&gt;=100000), " ",IF(INDEX($AD$2:$AU$1001,MATCH(ROWS($W$2:W864),$W$2:$W$1001,0),MATCH(COLUMNS($AD$1006:AN1006),$AD$1006:$AU$1006,0)), HYPERLINK("#",""), HYPERLINK(CONCATENATE("#metadata!", ADDRESS(INDEX($Y$2:$Y$1001,MATCH(ROWS($W$2:W864),$W$2:$W$1001,0),0), INDEX($AD$1004:$AU$1004,1,MATCH(COLUMNS($AD$1006:AN1006),$AD$1006:$AU$1006,0)))),"Fix")))</f>
        <v xml:space="preserve"> </v>
      </c>
      <c r="M864" s="4" t="str">
        <f ca="1">IF(OR(INDEX($X$2:$X$1001,MATCH(ROWS($W$2:W864),$W$2:$W$1001,0),1)&gt;=100000,INDEX($AD$1005:$AU$1005,1,MATCH(COLUMNS($AD$1006:AO1006),$AD$1006:$AU$1006,0))&gt;=100000), " ",IF(INDEX($AD$2:$AU$1001,MATCH(ROWS($W$2:W864),$W$2:$W$1001,0),MATCH(COLUMNS($AD$1006:AO1006),$AD$1006:$AU$1006,0)), HYPERLINK("#",""), HYPERLINK(CONCATENATE("#metadata!", ADDRESS(INDEX($Y$2:$Y$1001,MATCH(ROWS($W$2:W864),$W$2:$W$1001,0),0), INDEX($AD$1004:$AU$1004,1,MATCH(COLUMNS($AD$1006:AO1006),$AD$1006:$AU$1006,0)))),"Fix")))</f>
        <v xml:space="preserve"> </v>
      </c>
      <c r="N864" s="4" t="str">
        <f ca="1">IF(OR(INDEX($X$2:$X$1001,MATCH(ROWS($W$2:W864),$W$2:$W$1001,0),1)&gt;=100000,INDEX($AD$1005:$AU$1005,1,MATCH(COLUMNS($AD$1006:AP1006),$AD$1006:$AU$1006,0))&gt;=100000), " ",IF(INDEX($AD$2:$AU$1001,MATCH(ROWS($W$2:W864),$W$2:$W$1001,0),MATCH(COLUMNS($AD$1006:AP1006),$AD$1006:$AU$1006,0)), HYPERLINK("#",""), HYPERLINK(CONCATENATE("#metadata!", ADDRESS(INDEX($Y$2:$Y$1001,MATCH(ROWS($W$2:W864),$W$2:$W$1001,0),0), INDEX($AD$1004:$AU$1004,1,MATCH(COLUMNS($AD$1006:AP1006),$AD$1006:$AU$1006,0)))),"Fix")))</f>
        <v xml:space="preserve"> </v>
      </c>
      <c r="O864" s="4" t="str">
        <f ca="1">IF(OR(INDEX($X$2:$X$1001,MATCH(ROWS($W$2:W864),$W$2:$W$1001,0),1)&gt;=100000,INDEX($AD$1005:$AU$1005,1,MATCH(COLUMNS($AD$1006:AQ1006),$AD$1006:$AU$1006,0))&gt;=100000), " ",IF(INDEX($AD$2:$AU$1001,MATCH(ROWS($W$2:W864),$W$2:$W$1001,0),MATCH(COLUMNS($AD$1006:AQ1006),$AD$1006:$AU$1006,0)), HYPERLINK("#",""), HYPERLINK(CONCATENATE("#metadata!", ADDRESS(INDEX($Y$2:$Y$1001,MATCH(ROWS($W$2:W864),$W$2:$W$1001,0),0), INDEX($AD$1004:$AU$1004,1,MATCH(COLUMNS($AD$1006:AQ1006),$AD$1006:$AU$1006,0)))),"Fix")))</f>
        <v xml:space="preserve"> </v>
      </c>
      <c r="P864" s="4" t="str">
        <f ca="1">IF(OR(INDEX($X$2:$X$1001,MATCH(ROWS($W$2:W864),$W$2:$W$1001,0),1)&gt;=100000,INDEX($AD$1005:$AU$1005,1,MATCH(COLUMNS($AD$1006:AR1006),$AD$1006:$AU$1006,0))&gt;=100000), " ",IF(INDEX($AD$2:$AU$1001,MATCH(ROWS($W$2:W864),$W$2:$W$1001,0),MATCH(COLUMNS($AD$1006:AR1006),$AD$1006:$AU$1006,0)), HYPERLINK("#",""), HYPERLINK(CONCATENATE("#metadata!", ADDRESS(INDEX($Y$2:$Y$1001,MATCH(ROWS($W$2:W864),$W$2:$W$1001,0),0), INDEX($AD$1004:$AU$1004,1,MATCH(COLUMNS($AD$1006:AR1006),$AD$1006:$AU$1006,0)))),"Fix")))</f>
        <v xml:space="preserve"> </v>
      </c>
      <c r="Q864" s="4" t="str">
        <f ca="1">IF(OR(INDEX($X$2:$X$1001,MATCH(ROWS($W$2:W864),$W$2:$W$1001,0),1)&gt;=100000,INDEX($AD$1005:$AU$1005,1,MATCH(COLUMNS($AD$1006:AS1006),$AD$1006:$AU$1006,0))&gt;=100000), " ",IF(INDEX($AD$2:$AU$1001,MATCH(ROWS($W$2:W864),$W$2:$W$1001,0),MATCH(COLUMNS($AD$1006:AS1006),$AD$1006:$AU$1006,0)), HYPERLINK("#",""), HYPERLINK(CONCATENATE("#metadata!", ADDRESS(INDEX($Y$2:$Y$1001,MATCH(ROWS($W$2:W864),$W$2:$W$1001,0),0), INDEX($AD$1004:$AU$1004,1,MATCH(COLUMNS($AD$1006:AS1006),$AD$1006:$AU$1006,0)))),"Fix")))</f>
        <v xml:space="preserve"> </v>
      </c>
      <c r="R864" s="4" t="str">
        <f ca="1">IF(OR(INDEX($X$2:$X$1001,MATCH(ROWS($W$2:W864),$W$2:$W$1001,0),1)&gt;=100000,INDEX($AD$1005:$AU$1005,1,MATCH(COLUMNS($AD$1006:AT1006),$AD$1006:$AU$1006,0))&gt;=100000), " ",IF(INDEX($AD$2:$AU$1001,MATCH(ROWS($W$2:W864),$W$2:$W$1001,0),MATCH(COLUMNS($AD$1006:AT1006),$AD$1006:$AU$1006,0)), HYPERLINK("#",""), HYPERLINK(CONCATENATE("#metadata!", ADDRESS(INDEX($Y$2:$Y$1001,MATCH(ROWS($W$2:W864),$W$2:$W$1001,0),0), INDEX($AD$1004:$AU$1004,1,MATCH(COLUMNS($AD$1006:AT1006),$AD$1006:$AU$1006,0)))),"Fix")))</f>
        <v xml:space="preserve"> </v>
      </c>
      <c r="S864" s="4" t="str">
        <f ca="1">IF(OR(INDEX($X$2:$X$1001,MATCH(ROWS($W$2:W864),$W$2:$W$1001,0),1)&gt;=100000,INDEX($AD$1005:$AU$1005,1,MATCH(COLUMNS($AD$1006:AU1006),$AD$1006:$AU$1006,0))&gt;=100000), " ",IF(INDEX($AD$2:$AU$1001,MATCH(ROWS($W$2:W864),$W$2:$W$1001,0),MATCH(COLUMNS($AD$1006:AU1006),$AD$1006:$AU$1006,0)), HYPERLINK("#",""), HYPERLINK(CONCATENATE("#metadata!", ADDRESS(INDEX($Y$2:$Y$1001,MATCH(ROWS($W$2:W864),$W$2:$W$1001,0),0), INDEX($AD$1004:$AU$1004,1,MATCH(COLUMNS($AD$1006:AU1006),$AD$1006:$AU$1006,0)))),"Fix")))</f>
        <v xml:space="preserve"> </v>
      </c>
      <c r="W864">
        <v>863</v>
      </c>
      <c r="X864">
        <v>100864</v>
      </c>
      <c r="Y864">
        <v>864</v>
      </c>
      <c r="Z864" t="b">
        <f t="shared" si="13"/>
        <v>1</v>
      </c>
      <c r="AA864" t="b">
        <f>COUNTBLANK(metadata!B864:S864)=COLUMNS(metadata!B864:S864)</f>
        <v>1</v>
      </c>
      <c r="AB864" t="str">
        <v/>
      </c>
      <c r="AD864" t="b">
        <f ca="1">AND(IF(metadata!B864="",FALSE,TRUE),COUNTIF(metadata!B:B, metadata!B864) = 1,NOT(ISERROR(SUMPRODUCT(SEARCH(MID(metadata!B864,ROW(INDIRECT("1:"&amp;LEN(metadata!B864))), 1),"0123456789abcdefghijklmnopqrstuvwxyzABCDEFGHIJKLMNOPQRSTUVWXYZ.")))))</f>
        <v>0</v>
      </c>
      <c r="AE864" t="b">
        <f>OR(AND(IF(metadata!C864="",FALSE,TRUE),OR(EXACT(metadata!C864,"not applicable"),EXACT(metadata!C864,"missing: not collected"),EXACT(metadata!C864,"missing: not provided"),EXACT(metadata!C864,"missing: restricted access"))),AND(IF(metadata!C864="",FALSE,ISNUMBER(VALUE(metadata!C864))),metadata!C864&gt;0))</f>
        <v>0</v>
      </c>
      <c r="AF864" t="b">
        <f>AND(IF(metadata!D864="",FALSE,TRUE),EXACT(metadata!D864,"missing: not provided"))</f>
        <v>0</v>
      </c>
      <c r="AG864" t="b">
        <f>AND(IF(metadata!E864="",FALSE,TRUE),EXACT(metadata!E864,"Host-associated"))</f>
        <v>0</v>
      </c>
      <c r="AH864" t="b">
        <f>AND(IF(metadata!F864="",FALSE,TRUE),OR(EXACT(metadata!F864,"Animal"),EXACT(metadata!F864,"Fungus"),EXACT(metadata!F864,"Plant")))</f>
        <v>0</v>
      </c>
      <c r="AI864" t="b">
        <f>AND(IF(metadata!G864="",FALSE,TRUE),OR(EXACT(metadata!G864,"Plant secretion"),EXACT(metadata!G864,"Plant rhizosphere"),EXACT(metadata!G864,"Plant surface"),EXACT(metadata!G864,"Plant corpus"),EXACT(metadata!G864,"Fungus surface"),EXACT(metadata!G864,"Fungus corpus"),EXACT(metadata!G864,"Animal surface"),EXACT(metadata!G864,"Animal proximal gut"),EXACT(metadata!G864,"Animal corpus"),EXACT(metadata!G864,"Animal distal gut"),EXACT(metadata!G864,"Animal secretion")))</f>
        <v>0</v>
      </c>
      <c r="AJ864" t="b">
        <f>OR(AND(IF(metadata!H864="",FALSE,TRUE),OR(EXACT(metadata!H864,"missing: not collected"),EXACT(metadata!H864,"missing: not provided"),EXACT(metadata!H864,"missing: restricted access"))),AND(IF(metadata!H864="",FALSE,TRUE),OR(EXACT(metadata!H864,"organism-associated habitat"),EXACT(metadata!H864,"plant-associated habitat"),EXACT(metadata!H864,"animal-associated habitat"),EXACT(metadata!H864,"insecta-associated habitat"),EXACT(metadata!H864,"mammalia-associated habitat"),EXACT(metadata!H864,"human-associated habitat"),EXACT(metadata!H864,"livestock-associated habitat"))))</f>
        <v>0</v>
      </c>
      <c r="AK864" t="b">
        <f>AND(IF(metadata!I864="",FALSE,TRUE),EXACT(metadata!I864,"host-associated"))</f>
        <v>0</v>
      </c>
      <c r="AL864" t="b">
        <f>OR(AND(IF(metadata!J864="",FALSE,TRUE),OR(EXACT(metadata!J864,"not applicable"),EXACT(metadata!J864,"missing: not collected"),EXACT(metadata!J864,"missing: not provided"),EXACT(metadata!J864,"missing: restricted access"))),AND(IF(metadata!J864="",FALSE,ISNUMBER(VALUE(metadata!J864))),metadata!J864&gt;0))</f>
        <v>0</v>
      </c>
      <c r="AM864" t="b">
        <f>AND(IF(metadata!K864="",FALSE,TRUE),EXACT(metadata!K864,"missing: not provided"))</f>
        <v>0</v>
      </c>
      <c r="AN864" t="b">
        <f>IF(metadata!L864="",FALSE,TRUE)</f>
        <v>0</v>
      </c>
      <c r="AO864" t="b">
        <f>IF(metadata!M864="",FALSE,TRUE)</f>
        <v>0</v>
      </c>
      <c r="AP864" t="b">
        <f>OR(AND(IF(metadata!N864="",FALSE,TRUE),OR(EXACT(metadata!N864,"not applicable"),EXACT(metadata!N864,"missing: not collected"),EXACT(metadata!N864,"missing: not provided"))),AND(IF(metadata!N864="",FALSE,IF(ISERROR(INT(metadata!N864)),FALSE,INT(metadata!N864)=metadata!N864)),metadata!N864&gt;0))</f>
        <v>0</v>
      </c>
      <c r="AQ864" t="b">
        <f>AND(IF(metadata!O864="",FALSE,TRUE),EXACT(metadata!O864,"Not applicable"))</f>
        <v>0</v>
      </c>
      <c r="AR864" t="b">
        <f>OR(AND(IF(metadata!P864="",FALSE,TRUE),OR(EXACT(metadata!P864,"not applicable"),EXACT(metadata!P864,"missing: not collected"),EXACT(metadata!P864,"missing: not provided"),EXACT(metadata!P864,"missing: restricted access"))),IF(metadata!P864="",FALSE,IF(ISERROR(INT(metadata!P864)),FALSE,INT(metadata!P864)=metadata!P864)))</f>
        <v>0</v>
      </c>
      <c r="AS864" t="b">
        <f>AND(IF(metadata!Q864="",FALSE,TRUE),EXACT(metadata!Q864,"Not applicable"))</f>
        <v>0</v>
      </c>
      <c r="AT864" t="b">
        <f>OR(AND(IF(metadata!R864="",FALSE,TRUE),OR(EXACT(metadata!R864,"not applicable"),EXACT(metadata!R864,"missing: not collected"),EXACT(metadata!R864,"missing: not provided"),EXACT(metadata!R864,"missing: restricted access"))),AND(IF(metadata!R864="",FALSE,ISNUMBER(VALUE(metadata!R864))),metadata!R864&gt;0))</f>
        <v>0</v>
      </c>
      <c r="AU864" t="b">
        <f>AND(IF(metadata!S864="",FALSE,TRUE),EXACT(metadata!S864,"missing: not provided"))</f>
        <v>0</v>
      </c>
    </row>
    <row r="865" spans="1:47" x14ac:dyDescent="0.2">
      <c r="A865" s="5" t="str">
        <f ca="1">IF(B865=" "," ",HYPERLINK(CONCATENATE("#metadata!",ADDRESS(INDEX($Y$2:$Y$1001,MATCH(ROWS($W$2:W865),$W$2:$W$1001,0),0),1)),INDEX($AB$2:$AB$1001,MATCH(ROWS($W$2:W865),$W$2:$W$1001,0),0)))</f>
        <v xml:space="preserve"> </v>
      </c>
      <c r="B865" s="4" t="str">
        <f ca="1">IF(OR(INDEX($X$2:$X$1001,MATCH(ROWS($W$2:W865),$W$2:$W$1001,0),1)&gt;=100000,INDEX($AD$1005:$AU$1005,1,MATCH(COLUMNS($AD$1006:AD1006),$AD$1006:$AU$1006,0))&gt;=100000), " ",IF(INDEX($AD$2:$AU$1001,MATCH(ROWS($W$2:W865),$W$2:$W$1001,0),MATCH(COLUMNS($AD$1006:AD1006),$AD$1006:$AU$1006,0)), HYPERLINK("#",""), HYPERLINK(CONCATENATE("#metadata!", ADDRESS(INDEX($Y$2:$Y$1001,MATCH(ROWS($W$2:W865),$W$2:$W$1001,0),0), INDEX($AD$1004:$AU$1004,1,MATCH(COLUMNS($AD$1006:AD1006),$AD$1006:$AU$1006,0)))),"Fix")))</f>
        <v xml:space="preserve"> </v>
      </c>
      <c r="C865" s="4" t="str">
        <f ca="1">IF(OR(INDEX($X$2:$X$1001,MATCH(ROWS($W$2:W865),$W$2:$W$1001,0),1)&gt;=100000,INDEX($AD$1005:$AU$1005,1,MATCH(COLUMNS($AD$1006:AE1006),$AD$1006:$AU$1006,0))&gt;=100000), " ",IF(INDEX($AD$2:$AU$1001,MATCH(ROWS($W$2:W865),$W$2:$W$1001,0),MATCH(COLUMNS($AD$1006:AE1006),$AD$1006:$AU$1006,0)), HYPERLINK("#",""), HYPERLINK(CONCATENATE("#metadata!", ADDRESS(INDEX($Y$2:$Y$1001,MATCH(ROWS($W$2:W865),$W$2:$W$1001,0),0), INDEX($AD$1004:$AU$1004,1,MATCH(COLUMNS($AD$1006:AE1006),$AD$1006:$AU$1006,0)))),"Fix")))</f>
        <v xml:space="preserve"> </v>
      </c>
      <c r="D865" s="4" t="str">
        <f ca="1">IF(OR(INDEX($X$2:$X$1001,MATCH(ROWS($W$2:W865),$W$2:$W$1001,0),1)&gt;=100000,INDEX($AD$1005:$AU$1005,1,MATCH(COLUMNS($AD$1006:AF1006),$AD$1006:$AU$1006,0))&gt;=100000), " ",IF(INDEX($AD$2:$AU$1001,MATCH(ROWS($W$2:W865),$W$2:$W$1001,0),MATCH(COLUMNS($AD$1006:AF1006),$AD$1006:$AU$1006,0)), HYPERLINK("#",""), HYPERLINK(CONCATENATE("#metadata!", ADDRESS(INDEX($Y$2:$Y$1001,MATCH(ROWS($W$2:W865),$W$2:$W$1001,0),0), INDEX($AD$1004:$AU$1004,1,MATCH(COLUMNS($AD$1006:AF1006),$AD$1006:$AU$1006,0)))),"Fix")))</f>
        <v xml:space="preserve"> </v>
      </c>
      <c r="E865" s="4" t="str">
        <f ca="1">IF(OR(INDEX($X$2:$X$1001,MATCH(ROWS($W$2:W865),$W$2:$W$1001,0),1)&gt;=100000,INDEX($AD$1005:$AU$1005,1,MATCH(COLUMNS($AD$1006:AG1006),$AD$1006:$AU$1006,0))&gt;=100000), " ",IF(INDEX($AD$2:$AU$1001,MATCH(ROWS($W$2:W865),$W$2:$W$1001,0),MATCH(COLUMNS($AD$1006:AG1006),$AD$1006:$AU$1006,0)), HYPERLINK("#",""), HYPERLINK(CONCATENATE("#metadata!", ADDRESS(INDEX($Y$2:$Y$1001,MATCH(ROWS($W$2:W865),$W$2:$W$1001,0),0), INDEX($AD$1004:$AU$1004,1,MATCH(COLUMNS($AD$1006:AG1006),$AD$1006:$AU$1006,0)))),"Fix")))</f>
        <v xml:space="preserve"> </v>
      </c>
      <c r="F865" s="4" t="str">
        <f ca="1">IF(OR(INDEX($X$2:$X$1001,MATCH(ROWS($W$2:W865),$W$2:$W$1001,0),1)&gt;=100000,INDEX($AD$1005:$AU$1005,1,MATCH(COLUMNS($AD$1006:AH1006),$AD$1006:$AU$1006,0))&gt;=100000), " ",IF(INDEX($AD$2:$AU$1001,MATCH(ROWS($W$2:W865),$W$2:$W$1001,0),MATCH(COLUMNS($AD$1006:AH1006),$AD$1006:$AU$1006,0)), HYPERLINK("#",""), HYPERLINK(CONCATENATE("#metadata!", ADDRESS(INDEX($Y$2:$Y$1001,MATCH(ROWS($W$2:W865),$W$2:$W$1001,0),0), INDEX($AD$1004:$AU$1004,1,MATCH(COLUMNS($AD$1006:AH1006),$AD$1006:$AU$1006,0)))),"Fix")))</f>
        <v xml:space="preserve"> </v>
      </c>
      <c r="G865" s="4" t="str">
        <f ca="1">IF(OR(INDEX($X$2:$X$1001,MATCH(ROWS($W$2:W865),$W$2:$W$1001,0),1)&gt;=100000,INDEX($AD$1005:$AU$1005,1,MATCH(COLUMNS($AD$1006:AI1006),$AD$1006:$AU$1006,0))&gt;=100000), " ",IF(INDEX($AD$2:$AU$1001,MATCH(ROWS($W$2:W865),$W$2:$W$1001,0),MATCH(COLUMNS($AD$1006:AI1006),$AD$1006:$AU$1006,0)), HYPERLINK("#",""), HYPERLINK(CONCATENATE("#metadata!", ADDRESS(INDEX($Y$2:$Y$1001,MATCH(ROWS($W$2:W865),$W$2:$W$1001,0),0), INDEX($AD$1004:$AU$1004,1,MATCH(COLUMNS($AD$1006:AI1006),$AD$1006:$AU$1006,0)))),"Fix")))</f>
        <v xml:space="preserve"> </v>
      </c>
      <c r="H865" s="4" t="str">
        <f ca="1">IF(OR(INDEX($X$2:$X$1001,MATCH(ROWS($W$2:W865),$W$2:$W$1001,0),1)&gt;=100000,INDEX($AD$1005:$AU$1005,1,MATCH(COLUMNS($AD$1006:AJ1006),$AD$1006:$AU$1006,0))&gt;=100000), " ",IF(INDEX($AD$2:$AU$1001,MATCH(ROWS($W$2:W865),$W$2:$W$1001,0),MATCH(COLUMNS($AD$1006:AJ1006),$AD$1006:$AU$1006,0)), HYPERLINK("#",""), HYPERLINK(CONCATENATE("#metadata!", ADDRESS(INDEX($Y$2:$Y$1001,MATCH(ROWS($W$2:W865),$W$2:$W$1001,0),0), INDEX($AD$1004:$AU$1004,1,MATCH(COLUMNS($AD$1006:AJ1006),$AD$1006:$AU$1006,0)))),"Fix")))</f>
        <v xml:space="preserve"> </v>
      </c>
      <c r="I865" s="4" t="str">
        <f ca="1">IF(OR(INDEX($X$2:$X$1001,MATCH(ROWS($W$2:W865),$W$2:$W$1001,0),1)&gt;=100000,INDEX($AD$1005:$AU$1005,1,MATCH(COLUMNS($AD$1006:AK1006),$AD$1006:$AU$1006,0))&gt;=100000), " ",IF(INDEX($AD$2:$AU$1001,MATCH(ROWS($W$2:W865),$W$2:$W$1001,0),MATCH(COLUMNS($AD$1006:AK1006),$AD$1006:$AU$1006,0)), HYPERLINK("#",""), HYPERLINK(CONCATENATE("#metadata!", ADDRESS(INDEX($Y$2:$Y$1001,MATCH(ROWS($W$2:W865),$W$2:$W$1001,0),0), INDEX($AD$1004:$AU$1004,1,MATCH(COLUMNS($AD$1006:AK1006),$AD$1006:$AU$1006,0)))),"Fix")))</f>
        <v xml:space="preserve"> </v>
      </c>
      <c r="J865" s="4" t="str">
        <f ca="1">IF(OR(INDEX($X$2:$X$1001,MATCH(ROWS($W$2:W865),$W$2:$W$1001,0),1)&gt;=100000,INDEX($AD$1005:$AU$1005,1,MATCH(COLUMNS($AD$1006:AL1006),$AD$1006:$AU$1006,0))&gt;=100000), " ",IF(INDEX($AD$2:$AU$1001,MATCH(ROWS($W$2:W865),$W$2:$W$1001,0),MATCH(COLUMNS($AD$1006:AL1006),$AD$1006:$AU$1006,0)), HYPERLINK("#",""), HYPERLINK(CONCATENATE("#metadata!", ADDRESS(INDEX($Y$2:$Y$1001,MATCH(ROWS($W$2:W865),$W$2:$W$1001,0),0), INDEX($AD$1004:$AU$1004,1,MATCH(COLUMNS($AD$1006:AL1006),$AD$1006:$AU$1006,0)))),"Fix")))</f>
        <v xml:space="preserve"> </v>
      </c>
      <c r="K865" s="4" t="str">
        <f ca="1">IF(OR(INDEX($X$2:$X$1001,MATCH(ROWS($W$2:W865),$W$2:$W$1001,0),1)&gt;=100000,INDEX($AD$1005:$AU$1005,1,MATCH(COLUMNS($AD$1006:AM1006),$AD$1006:$AU$1006,0))&gt;=100000), " ",IF(INDEX($AD$2:$AU$1001,MATCH(ROWS($W$2:W865),$W$2:$W$1001,0),MATCH(COLUMNS($AD$1006:AM1006),$AD$1006:$AU$1006,0)), HYPERLINK("#",""), HYPERLINK(CONCATENATE("#metadata!", ADDRESS(INDEX($Y$2:$Y$1001,MATCH(ROWS($W$2:W865),$W$2:$W$1001,0),0), INDEX($AD$1004:$AU$1004,1,MATCH(COLUMNS($AD$1006:AM1006),$AD$1006:$AU$1006,0)))),"Fix")))</f>
        <v xml:space="preserve"> </v>
      </c>
      <c r="L865" s="4" t="str">
        <f ca="1">IF(OR(INDEX($X$2:$X$1001,MATCH(ROWS($W$2:W865),$W$2:$W$1001,0),1)&gt;=100000,INDEX($AD$1005:$AU$1005,1,MATCH(COLUMNS($AD$1006:AN1006),$AD$1006:$AU$1006,0))&gt;=100000), " ",IF(INDEX($AD$2:$AU$1001,MATCH(ROWS($W$2:W865),$W$2:$W$1001,0),MATCH(COLUMNS($AD$1006:AN1006),$AD$1006:$AU$1006,0)), HYPERLINK("#",""), HYPERLINK(CONCATENATE("#metadata!", ADDRESS(INDEX($Y$2:$Y$1001,MATCH(ROWS($W$2:W865),$W$2:$W$1001,0),0), INDEX($AD$1004:$AU$1004,1,MATCH(COLUMNS($AD$1006:AN1006),$AD$1006:$AU$1006,0)))),"Fix")))</f>
        <v xml:space="preserve"> </v>
      </c>
      <c r="M865" s="4" t="str">
        <f ca="1">IF(OR(INDEX($X$2:$X$1001,MATCH(ROWS($W$2:W865),$W$2:$W$1001,0),1)&gt;=100000,INDEX($AD$1005:$AU$1005,1,MATCH(COLUMNS($AD$1006:AO1006),$AD$1006:$AU$1006,0))&gt;=100000), " ",IF(INDEX($AD$2:$AU$1001,MATCH(ROWS($W$2:W865),$W$2:$W$1001,0),MATCH(COLUMNS($AD$1006:AO1006),$AD$1006:$AU$1006,0)), HYPERLINK("#",""), HYPERLINK(CONCATENATE("#metadata!", ADDRESS(INDEX($Y$2:$Y$1001,MATCH(ROWS($W$2:W865),$W$2:$W$1001,0),0), INDEX($AD$1004:$AU$1004,1,MATCH(COLUMNS($AD$1006:AO1006),$AD$1006:$AU$1006,0)))),"Fix")))</f>
        <v xml:space="preserve"> </v>
      </c>
      <c r="N865" s="4" t="str">
        <f ca="1">IF(OR(INDEX($X$2:$X$1001,MATCH(ROWS($W$2:W865),$W$2:$W$1001,0),1)&gt;=100000,INDEX($AD$1005:$AU$1005,1,MATCH(COLUMNS($AD$1006:AP1006),$AD$1006:$AU$1006,0))&gt;=100000), " ",IF(INDEX($AD$2:$AU$1001,MATCH(ROWS($W$2:W865),$W$2:$W$1001,0),MATCH(COLUMNS($AD$1006:AP1006),$AD$1006:$AU$1006,0)), HYPERLINK("#",""), HYPERLINK(CONCATENATE("#metadata!", ADDRESS(INDEX($Y$2:$Y$1001,MATCH(ROWS($W$2:W865),$W$2:$W$1001,0),0), INDEX($AD$1004:$AU$1004,1,MATCH(COLUMNS($AD$1006:AP1006),$AD$1006:$AU$1006,0)))),"Fix")))</f>
        <v xml:space="preserve"> </v>
      </c>
      <c r="O865" s="4" t="str">
        <f ca="1">IF(OR(INDEX($X$2:$X$1001,MATCH(ROWS($W$2:W865),$W$2:$W$1001,0),1)&gt;=100000,INDEX($AD$1005:$AU$1005,1,MATCH(COLUMNS($AD$1006:AQ1006),$AD$1006:$AU$1006,0))&gt;=100000), " ",IF(INDEX($AD$2:$AU$1001,MATCH(ROWS($W$2:W865),$W$2:$W$1001,0),MATCH(COLUMNS($AD$1006:AQ1006),$AD$1006:$AU$1006,0)), HYPERLINK("#",""), HYPERLINK(CONCATENATE("#metadata!", ADDRESS(INDEX($Y$2:$Y$1001,MATCH(ROWS($W$2:W865),$W$2:$W$1001,0),0), INDEX($AD$1004:$AU$1004,1,MATCH(COLUMNS($AD$1006:AQ1006),$AD$1006:$AU$1006,0)))),"Fix")))</f>
        <v xml:space="preserve"> </v>
      </c>
      <c r="P865" s="4" t="str">
        <f ca="1">IF(OR(INDEX($X$2:$X$1001,MATCH(ROWS($W$2:W865),$W$2:$W$1001,0),1)&gt;=100000,INDEX($AD$1005:$AU$1005,1,MATCH(COLUMNS($AD$1006:AR1006),$AD$1006:$AU$1006,0))&gt;=100000), " ",IF(INDEX($AD$2:$AU$1001,MATCH(ROWS($W$2:W865),$W$2:$W$1001,0),MATCH(COLUMNS($AD$1006:AR1006),$AD$1006:$AU$1006,0)), HYPERLINK("#",""), HYPERLINK(CONCATENATE("#metadata!", ADDRESS(INDEX($Y$2:$Y$1001,MATCH(ROWS($W$2:W865),$W$2:$W$1001,0),0), INDEX($AD$1004:$AU$1004,1,MATCH(COLUMNS($AD$1006:AR1006),$AD$1006:$AU$1006,0)))),"Fix")))</f>
        <v xml:space="preserve"> </v>
      </c>
      <c r="Q865" s="4" t="str">
        <f ca="1">IF(OR(INDEX($X$2:$X$1001,MATCH(ROWS($W$2:W865),$W$2:$W$1001,0),1)&gt;=100000,INDEX($AD$1005:$AU$1005,1,MATCH(COLUMNS($AD$1006:AS1006),$AD$1006:$AU$1006,0))&gt;=100000), " ",IF(INDEX($AD$2:$AU$1001,MATCH(ROWS($W$2:W865),$W$2:$W$1001,0),MATCH(COLUMNS($AD$1006:AS1006),$AD$1006:$AU$1006,0)), HYPERLINK("#",""), HYPERLINK(CONCATENATE("#metadata!", ADDRESS(INDEX($Y$2:$Y$1001,MATCH(ROWS($W$2:W865),$W$2:$W$1001,0),0), INDEX($AD$1004:$AU$1004,1,MATCH(COLUMNS($AD$1006:AS1006),$AD$1006:$AU$1006,0)))),"Fix")))</f>
        <v xml:space="preserve"> </v>
      </c>
      <c r="R865" s="4" t="str">
        <f ca="1">IF(OR(INDEX($X$2:$X$1001,MATCH(ROWS($W$2:W865),$W$2:$W$1001,0),1)&gt;=100000,INDEX($AD$1005:$AU$1005,1,MATCH(COLUMNS($AD$1006:AT1006),$AD$1006:$AU$1006,0))&gt;=100000), " ",IF(INDEX($AD$2:$AU$1001,MATCH(ROWS($W$2:W865),$W$2:$W$1001,0),MATCH(COLUMNS($AD$1006:AT1006),$AD$1006:$AU$1006,0)), HYPERLINK("#",""), HYPERLINK(CONCATENATE("#metadata!", ADDRESS(INDEX($Y$2:$Y$1001,MATCH(ROWS($W$2:W865),$W$2:$W$1001,0),0), INDEX($AD$1004:$AU$1004,1,MATCH(COLUMNS($AD$1006:AT1006),$AD$1006:$AU$1006,0)))),"Fix")))</f>
        <v xml:space="preserve"> </v>
      </c>
      <c r="S865" s="4" t="str">
        <f ca="1">IF(OR(INDEX($X$2:$X$1001,MATCH(ROWS($W$2:W865),$W$2:$W$1001,0),1)&gt;=100000,INDEX($AD$1005:$AU$1005,1,MATCH(COLUMNS($AD$1006:AU1006),$AD$1006:$AU$1006,0))&gt;=100000), " ",IF(INDEX($AD$2:$AU$1001,MATCH(ROWS($W$2:W865),$W$2:$W$1001,0),MATCH(COLUMNS($AD$1006:AU1006),$AD$1006:$AU$1006,0)), HYPERLINK("#",""), HYPERLINK(CONCATENATE("#metadata!", ADDRESS(INDEX($Y$2:$Y$1001,MATCH(ROWS($W$2:W865),$W$2:$W$1001,0),0), INDEX($AD$1004:$AU$1004,1,MATCH(COLUMNS($AD$1006:AU1006),$AD$1006:$AU$1006,0)))),"Fix")))</f>
        <v xml:space="preserve"> </v>
      </c>
      <c r="W865">
        <v>864</v>
      </c>
      <c r="X865">
        <v>100865</v>
      </c>
      <c r="Y865">
        <v>865</v>
      </c>
      <c r="Z865" t="b">
        <f t="shared" si="13"/>
        <v>1</v>
      </c>
      <c r="AA865" t="b">
        <f>COUNTBLANK(metadata!B865:S865)=COLUMNS(metadata!B865:S865)</f>
        <v>1</v>
      </c>
      <c r="AB865" t="str">
        <v/>
      </c>
      <c r="AD865" t="b">
        <f ca="1">AND(IF(metadata!B865="",FALSE,TRUE),COUNTIF(metadata!B:B, metadata!B865) = 1,NOT(ISERROR(SUMPRODUCT(SEARCH(MID(metadata!B865,ROW(INDIRECT("1:"&amp;LEN(metadata!B865))), 1),"0123456789abcdefghijklmnopqrstuvwxyzABCDEFGHIJKLMNOPQRSTUVWXYZ.")))))</f>
        <v>0</v>
      </c>
      <c r="AE865" t="b">
        <f>OR(AND(IF(metadata!C865="",FALSE,TRUE),OR(EXACT(metadata!C865,"not applicable"),EXACT(metadata!C865,"missing: not collected"),EXACT(metadata!C865,"missing: not provided"),EXACT(metadata!C865,"missing: restricted access"))),AND(IF(metadata!C865="",FALSE,ISNUMBER(VALUE(metadata!C865))),metadata!C865&gt;0))</f>
        <v>0</v>
      </c>
      <c r="AF865" t="b">
        <f>AND(IF(metadata!D865="",FALSE,TRUE),EXACT(metadata!D865,"missing: not provided"))</f>
        <v>0</v>
      </c>
      <c r="AG865" t="b">
        <f>AND(IF(metadata!E865="",FALSE,TRUE),EXACT(metadata!E865,"Host-associated"))</f>
        <v>0</v>
      </c>
      <c r="AH865" t="b">
        <f>AND(IF(metadata!F865="",FALSE,TRUE),OR(EXACT(metadata!F865,"Animal"),EXACT(metadata!F865,"Fungus"),EXACT(metadata!F865,"Plant")))</f>
        <v>0</v>
      </c>
      <c r="AI865" t="b">
        <f>AND(IF(metadata!G865="",FALSE,TRUE),OR(EXACT(metadata!G865,"Plant secretion"),EXACT(metadata!G865,"Plant rhizosphere"),EXACT(metadata!G865,"Plant surface"),EXACT(metadata!G865,"Plant corpus"),EXACT(metadata!G865,"Fungus surface"),EXACT(metadata!G865,"Fungus corpus"),EXACT(metadata!G865,"Animal surface"),EXACT(metadata!G865,"Animal proximal gut"),EXACT(metadata!G865,"Animal corpus"),EXACT(metadata!G865,"Animal distal gut"),EXACT(metadata!G865,"Animal secretion")))</f>
        <v>0</v>
      </c>
      <c r="AJ865" t="b">
        <f>OR(AND(IF(metadata!H865="",FALSE,TRUE),OR(EXACT(metadata!H865,"missing: not collected"),EXACT(metadata!H865,"missing: not provided"),EXACT(metadata!H865,"missing: restricted access"))),AND(IF(metadata!H865="",FALSE,TRUE),OR(EXACT(metadata!H865,"organism-associated habitat"),EXACT(metadata!H865,"plant-associated habitat"),EXACT(metadata!H865,"animal-associated habitat"),EXACT(metadata!H865,"insecta-associated habitat"),EXACT(metadata!H865,"mammalia-associated habitat"),EXACT(metadata!H865,"human-associated habitat"),EXACT(metadata!H865,"livestock-associated habitat"))))</f>
        <v>0</v>
      </c>
      <c r="AK865" t="b">
        <f>AND(IF(metadata!I865="",FALSE,TRUE),EXACT(metadata!I865,"host-associated"))</f>
        <v>0</v>
      </c>
      <c r="AL865" t="b">
        <f>OR(AND(IF(metadata!J865="",FALSE,TRUE),OR(EXACT(metadata!J865,"not applicable"),EXACT(metadata!J865,"missing: not collected"),EXACT(metadata!J865,"missing: not provided"),EXACT(metadata!J865,"missing: restricted access"))),AND(IF(metadata!J865="",FALSE,ISNUMBER(VALUE(metadata!J865))),metadata!J865&gt;0))</f>
        <v>0</v>
      </c>
      <c r="AM865" t="b">
        <f>AND(IF(metadata!K865="",FALSE,TRUE),EXACT(metadata!K865,"missing: not provided"))</f>
        <v>0</v>
      </c>
      <c r="AN865" t="b">
        <f>IF(metadata!L865="",FALSE,TRUE)</f>
        <v>0</v>
      </c>
      <c r="AO865" t="b">
        <f>IF(metadata!M865="",FALSE,TRUE)</f>
        <v>0</v>
      </c>
      <c r="AP865" t="b">
        <f>OR(AND(IF(metadata!N865="",FALSE,TRUE),OR(EXACT(metadata!N865,"not applicable"),EXACT(metadata!N865,"missing: not collected"),EXACT(metadata!N865,"missing: not provided"))),AND(IF(metadata!N865="",FALSE,IF(ISERROR(INT(metadata!N865)),FALSE,INT(metadata!N865)=metadata!N865)),metadata!N865&gt;0))</f>
        <v>0</v>
      </c>
      <c r="AQ865" t="b">
        <f>AND(IF(metadata!O865="",FALSE,TRUE),EXACT(metadata!O865,"Not applicable"))</f>
        <v>0</v>
      </c>
      <c r="AR865" t="b">
        <f>OR(AND(IF(metadata!P865="",FALSE,TRUE),OR(EXACT(metadata!P865,"not applicable"),EXACT(metadata!P865,"missing: not collected"),EXACT(metadata!P865,"missing: not provided"),EXACT(metadata!P865,"missing: restricted access"))),IF(metadata!P865="",FALSE,IF(ISERROR(INT(metadata!P865)),FALSE,INT(metadata!P865)=metadata!P865)))</f>
        <v>0</v>
      </c>
      <c r="AS865" t="b">
        <f>AND(IF(metadata!Q865="",FALSE,TRUE),EXACT(metadata!Q865,"Not applicable"))</f>
        <v>0</v>
      </c>
      <c r="AT865" t="b">
        <f>OR(AND(IF(metadata!R865="",FALSE,TRUE),OR(EXACT(metadata!R865,"not applicable"),EXACT(metadata!R865,"missing: not collected"),EXACT(metadata!R865,"missing: not provided"),EXACT(metadata!R865,"missing: restricted access"))),AND(IF(metadata!R865="",FALSE,ISNUMBER(VALUE(metadata!R865))),metadata!R865&gt;0))</f>
        <v>0</v>
      </c>
      <c r="AU865" t="b">
        <f>AND(IF(metadata!S865="",FALSE,TRUE),EXACT(metadata!S865,"missing: not provided"))</f>
        <v>0</v>
      </c>
    </row>
    <row r="866" spans="1:47" x14ac:dyDescent="0.2">
      <c r="A866" s="5" t="str">
        <f ca="1">IF(B866=" "," ",HYPERLINK(CONCATENATE("#metadata!",ADDRESS(INDEX($Y$2:$Y$1001,MATCH(ROWS($W$2:W866),$W$2:$W$1001,0),0),1)),INDEX($AB$2:$AB$1001,MATCH(ROWS($W$2:W866),$W$2:$W$1001,0),0)))</f>
        <v xml:space="preserve"> </v>
      </c>
      <c r="B866" s="4" t="str">
        <f ca="1">IF(OR(INDEX($X$2:$X$1001,MATCH(ROWS($W$2:W866),$W$2:$W$1001,0),1)&gt;=100000,INDEX($AD$1005:$AU$1005,1,MATCH(COLUMNS($AD$1006:AD1006),$AD$1006:$AU$1006,0))&gt;=100000), " ",IF(INDEX($AD$2:$AU$1001,MATCH(ROWS($W$2:W866),$W$2:$W$1001,0),MATCH(COLUMNS($AD$1006:AD1006),$AD$1006:$AU$1006,0)), HYPERLINK("#",""), HYPERLINK(CONCATENATE("#metadata!", ADDRESS(INDEX($Y$2:$Y$1001,MATCH(ROWS($W$2:W866),$W$2:$W$1001,0),0), INDEX($AD$1004:$AU$1004,1,MATCH(COLUMNS($AD$1006:AD1006),$AD$1006:$AU$1006,0)))),"Fix")))</f>
        <v xml:space="preserve"> </v>
      </c>
      <c r="C866" s="4" t="str">
        <f ca="1">IF(OR(INDEX($X$2:$X$1001,MATCH(ROWS($W$2:W866),$W$2:$W$1001,0),1)&gt;=100000,INDEX($AD$1005:$AU$1005,1,MATCH(COLUMNS($AD$1006:AE1006),$AD$1006:$AU$1006,0))&gt;=100000), " ",IF(INDEX($AD$2:$AU$1001,MATCH(ROWS($W$2:W866),$W$2:$W$1001,0),MATCH(COLUMNS($AD$1006:AE1006),$AD$1006:$AU$1006,0)), HYPERLINK("#",""), HYPERLINK(CONCATENATE("#metadata!", ADDRESS(INDEX($Y$2:$Y$1001,MATCH(ROWS($W$2:W866),$W$2:$W$1001,0),0), INDEX($AD$1004:$AU$1004,1,MATCH(COLUMNS($AD$1006:AE1006),$AD$1006:$AU$1006,0)))),"Fix")))</f>
        <v xml:space="preserve"> </v>
      </c>
      <c r="D866" s="4" t="str">
        <f ca="1">IF(OR(INDEX($X$2:$X$1001,MATCH(ROWS($W$2:W866),$W$2:$W$1001,0),1)&gt;=100000,INDEX($AD$1005:$AU$1005,1,MATCH(COLUMNS($AD$1006:AF1006),$AD$1006:$AU$1006,0))&gt;=100000), " ",IF(INDEX($AD$2:$AU$1001,MATCH(ROWS($W$2:W866),$W$2:$W$1001,0),MATCH(COLUMNS($AD$1006:AF1006),$AD$1006:$AU$1006,0)), HYPERLINK("#",""), HYPERLINK(CONCATENATE("#metadata!", ADDRESS(INDEX($Y$2:$Y$1001,MATCH(ROWS($W$2:W866),$W$2:$W$1001,0),0), INDEX($AD$1004:$AU$1004,1,MATCH(COLUMNS($AD$1006:AF1006),$AD$1006:$AU$1006,0)))),"Fix")))</f>
        <v xml:space="preserve"> </v>
      </c>
      <c r="E866" s="4" t="str">
        <f ca="1">IF(OR(INDEX($X$2:$X$1001,MATCH(ROWS($W$2:W866),$W$2:$W$1001,0),1)&gt;=100000,INDEX($AD$1005:$AU$1005,1,MATCH(COLUMNS($AD$1006:AG1006),$AD$1006:$AU$1006,0))&gt;=100000), " ",IF(INDEX($AD$2:$AU$1001,MATCH(ROWS($W$2:W866),$W$2:$W$1001,0),MATCH(COLUMNS($AD$1006:AG1006),$AD$1006:$AU$1006,0)), HYPERLINK("#",""), HYPERLINK(CONCATENATE("#metadata!", ADDRESS(INDEX($Y$2:$Y$1001,MATCH(ROWS($W$2:W866),$W$2:$W$1001,0),0), INDEX($AD$1004:$AU$1004,1,MATCH(COLUMNS($AD$1006:AG1006),$AD$1006:$AU$1006,0)))),"Fix")))</f>
        <v xml:space="preserve"> </v>
      </c>
      <c r="F866" s="4" t="str">
        <f ca="1">IF(OR(INDEX($X$2:$X$1001,MATCH(ROWS($W$2:W866),$W$2:$W$1001,0),1)&gt;=100000,INDEX($AD$1005:$AU$1005,1,MATCH(COLUMNS($AD$1006:AH1006),$AD$1006:$AU$1006,0))&gt;=100000), " ",IF(INDEX($AD$2:$AU$1001,MATCH(ROWS($W$2:W866),$W$2:$W$1001,0),MATCH(COLUMNS($AD$1006:AH1006),$AD$1006:$AU$1006,0)), HYPERLINK("#",""), HYPERLINK(CONCATENATE("#metadata!", ADDRESS(INDEX($Y$2:$Y$1001,MATCH(ROWS($W$2:W866),$W$2:$W$1001,0),0), INDEX($AD$1004:$AU$1004,1,MATCH(COLUMNS($AD$1006:AH1006),$AD$1006:$AU$1006,0)))),"Fix")))</f>
        <v xml:space="preserve"> </v>
      </c>
      <c r="G866" s="4" t="str">
        <f ca="1">IF(OR(INDEX($X$2:$X$1001,MATCH(ROWS($W$2:W866),$W$2:$W$1001,0),1)&gt;=100000,INDEX($AD$1005:$AU$1005,1,MATCH(COLUMNS($AD$1006:AI1006),$AD$1006:$AU$1006,0))&gt;=100000), " ",IF(INDEX($AD$2:$AU$1001,MATCH(ROWS($W$2:W866),$W$2:$W$1001,0),MATCH(COLUMNS($AD$1006:AI1006),$AD$1006:$AU$1006,0)), HYPERLINK("#",""), HYPERLINK(CONCATENATE("#metadata!", ADDRESS(INDEX($Y$2:$Y$1001,MATCH(ROWS($W$2:W866),$W$2:$W$1001,0),0), INDEX($AD$1004:$AU$1004,1,MATCH(COLUMNS($AD$1006:AI1006),$AD$1006:$AU$1006,0)))),"Fix")))</f>
        <v xml:space="preserve"> </v>
      </c>
      <c r="H866" s="4" t="str">
        <f ca="1">IF(OR(INDEX($X$2:$X$1001,MATCH(ROWS($W$2:W866),$W$2:$W$1001,0),1)&gt;=100000,INDEX($AD$1005:$AU$1005,1,MATCH(COLUMNS($AD$1006:AJ1006),$AD$1006:$AU$1006,0))&gt;=100000), " ",IF(INDEX($AD$2:$AU$1001,MATCH(ROWS($W$2:W866),$W$2:$W$1001,0),MATCH(COLUMNS($AD$1006:AJ1006),$AD$1006:$AU$1006,0)), HYPERLINK("#",""), HYPERLINK(CONCATENATE("#metadata!", ADDRESS(INDEX($Y$2:$Y$1001,MATCH(ROWS($W$2:W866),$W$2:$W$1001,0),0), INDEX($AD$1004:$AU$1004,1,MATCH(COLUMNS($AD$1006:AJ1006),$AD$1006:$AU$1006,0)))),"Fix")))</f>
        <v xml:space="preserve"> </v>
      </c>
      <c r="I866" s="4" t="str">
        <f ca="1">IF(OR(INDEX($X$2:$X$1001,MATCH(ROWS($W$2:W866),$W$2:$W$1001,0),1)&gt;=100000,INDEX($AD$1005:$AU$1005,1,MATCH(COLUMNS($AD$1006:AK1006),$AD$1006:$AU$1006,0))&gt;=100000), " ",IF(INDEX($AD$2:$AU$1001,MATCH(ROWS($W$2:W866),$W$2:$W$1001,0),MATCH(COLUMNS($AD$1006:AK1006),$AD$1006:$AU$1006,0)), HYPERLINK("#",""), HYPERLINK(CONCATENATE("#metadata!", ADDRESS(INDEX($Y$2:$Y$1001,MATCH(ROWS($W$2:W866),$W$2:$W$1001,0),0), INDEX($AD$1004:$AU$1004,1,MATCH(COLUMNS($AD$1006:AK1006),$AD$1006:$AU$1006,0)))),"Fix")))</f>
        <v xml:space="preserve"> </v>
      </c>
      <c r="J866" s="4" t="str">
        <f ca="1">IF(OR(INDEX($X$2:$X$1001,MATCH(ROWS($W$2:W866),$W$2:$W$1001,0),1)&gt;=100000,INDEX($AD$1005:$AU$1005,1,MATCH(COLUMNS($AD$1006:AL1006),$AD$1006:$AU$1006,0))&gt;=100000), " ",IF(INDEX($AD$2:$AU$1001,MATCH(ROWS($W$2:W866),$W$2:$W$1001,0),MATCH(COLUMNS($AD$1006:AL1006),$AD$1006:$AU$1006,0)), HYPERLINK("#",""), HYPERLINK(CONCATENATE("#metadata!", ADDRESS(INDEX($Y$2:$Y$1001,MATCH(ROWS($W$2:W866),$W$2:$W$1001,0),0), INDEX($AD$1004:$AU$1004,1,MATCH(COLUMNS($AD$1006:AL1006),$AD$1006:$AU$1006,0)))),"Fix")))</f>
        <v xml:space="preserve"> </v>
      </c>
      <c r="K866" s="4" t="str">
        <f ca="1">IF(OR(INDEX($X$2:$X$1001,MATCH(ROWS($W$2:W866),$W$2:$W$1001,0),1)&gt;=100000,INDEX($AD$1005:$AU$1005,1,MATCH(COLUMNS($AD$1006:AM1006),$AD$1006:$AU$1006,0))&gt;=100000), " ",IF(INDEX($AD$2:$AU$1001,MATCH(ROWS($W$2:W866),$W$2:$W$1001,0),MATCH(COLUMNS($AD$1006:AM1006),$AD$1006:$AU$1006,0)), HYPERLINK("#",""), HYPERLINK(CONCATENATE("#metadata!", ADDRESS(INDEX($Y$2:$Y$1001,MATCH(ROWS($W$2:W866),$W$2:$W$1001,0),0), INDEX($AD$1004:$AU$1004,1,MATCH(COLUMNS($AD$1006:AM1006),$AD$1006:$AU$1006,0)))),"Fix")))</f>
        <v xml:space="preserve"> </v>
      </c>
      <c r="L866" s="4" t="str">
        <f ca="1">IF(OR(INDEX($X$2:$X$1001,MATCH(ROWS($W$2:W866),$W$2:$W$1001,0),1)&gt;=100000,INDEX($AD$1005:$AU$1005,1,MATCH(COLUMNS($AD$1006:AN1006),$AD$1006:$AU$1006,0))&gt;=100000), " ",IF(INDEX($AD$2:$AU$1001,MATCH(ROWS($W$2:W866),$W$2:$W$1001,0),MATCH(COLUMNS($AD$1006:AN1006),$AD$1006:$AU$1006,0)), HYPERLINK("#",""), HYPERLINK(CONCATENATE("#metadata!", ADDRESS(INDEX($Y$2:$Y$1001,MATCH(ROWS($W$2:W866),$W$2:$W$1001,0),0), INDEX($AD$1004:$AU$1004,1,MATCH(COLUMNS($AD$1006:AN1006),$AD$1006:$AU$1006,0)))),"Fix")))</f>
        <v xml:space="preserve"> </v>
      </c>
      <c r="M866" s="4" t="str">
        <f ca="1">IF(OR(INDEX($X$2:$X$1001,MATCH(ROWS($W$2:W866),$W$2:$W$1001,0),1)&gt;=100000,INDEX($AD$1005:$AU$1005,1,MATCH(COLUMNS($AD$1006:AO1006),$AD$1006:$AU$1006,0))&gt;=100000), " ",IF(INDEX($AD$2:$AU$1001,MATCH(ROWS($W$2:W866),$W$2:$W$1001,0),MATCH(COLUMNS($AD$1006:AO1006),$AD$1006:$AU$1006,0)), HYPERLINK("#",""), HYPERLINK(CONCATENATE("#metadata!", ADDRESS(INDEX($Y$2:$Y$1001,MATCH(ROWS($W$2:W866),$W$2:$W$1001,0),0), INDEX($AD$1004:$AU$1004,1,MATCH(COLUMNS($AD$1006:AO1006),$AD$1006:$AU$1006,0)))),"Fix")))</f>
        <v xml:space="preserve"> </v>
      </c>
      <c r="N866" s="4" t="str">
        <f ca="1">IF(OR(INDEX($X$2:$X$1001,MATCH(ROWS($W$2:W866),$W$2:$W$1001,0),1)&gt;=100000,INDEX($AD$1005:$AU$1005,1,MATCH(COLUMNS($AD$1006:AP1006),$AD$1006:$AU$1006,0))&gt;=100000), " ",IF(INDEX($AD$2:$AU$1001,MATCH(ROWS($W$2:W866),$W$2:$W$1001,0),MATCH(COLUMNS($AD$1006:AP1006),$AD$1006:$AU$1006,0)), HYPERLINK("#",""), HYPERLINK(CONCATENATE("#metadata!", ADDRESS(INDEX($Y$2:$Y$1001,MATCH(ROWS($W$2:W866),$W$2:$W$1001,0),0), INDEX($AD$1004:$AU$1004,1,MATCH(COLUMNS($AD$1006:AP1006),$AD$1006:$AU$1006,0)))),"Fix")))</f>
        <v xml:space="preserve"> </v>
      </c>
      <c r="O866" s="4" t="str">
        <f ca="1">IF(OR(INDEX($X$2:$X$1001,MATCH(ROWS($W$2:W866),$W$2:$W$1001,0),1)&gt;=100000,INDEX($AD$1005:$AU$1005,1,MATCH(COLUMNS($AD$1006:AQ1006),$AD$1006:$AU$1006,0))&gt;=100000), " ",IF(INDEX($AD$2:$AU$1001,MATCH(ROWS($W$2:W866),$W$2:$W$1001,0),MATCH(COLUMNS($AD$1006:AQ1006),$AD$1006:$AU$1006,0)), HYPERLINK("#",""), HYPERLINK(CONCATENATE("#metadata!", ADDRESS(INDEX($Y$2:$Y$1001,MATCH(ROWS($W$2:W866),$W$2:$W$1001,0),0), INDEX($AD$1004:$AU$1004,1,MATCH(COLUMNS($AD$1006:AQ1006),$AD$1006:$AU$1006,0)))),"Fix")))</f>
        <v xml:space="preserve"> </v>
      </c>
      <c r="P866" s="4" t="str">
        <f ca="1">IF(OR(INDEX($X$2:$X$1001,MATCH(ROWS($W$2:W866),$W$2:$W$1001,0),1)&gt;=100000,INDEX($AD$1005:$AU$1005,1,MATCH(COLUMNS($AD$1006:AR1006),$AD$1006:$AU$1006,0))&gt;=100000), " ",IF(INDEX($AD$2:$AU$1001,MATCH(ROWS($W$2:W866),$W$2:$W$1001,0),MATCH(COLUMNS($AD$1006:AR1006),$AD$1006:$AU$1006,0)), HYPERLINK("#",""), HYPERLINK(CONCATENATE("#metadata!", ADDRESS(INDEX($Y$2:$Y$1001,MATCH(ROWS($W$2:W866),$W$2:$W$1001,0),0), INDEX($AD$1004:$AU$1004,1,MATCH(COLUMNS($AD$1006:AR1006),$AD$1006:$AU$1006,0)))),"Fix")))</f>
        <v xml:space="preserve"> </v>
      </c>
      <c r="Q866" s="4" t="str">
        <f ca="1">IF(OR(INDEX($X$2:$X$1001,MATCH(ROWS($W$2:W866),$W$2:$W$1001,0),1)&gt;=100000,INDEX($AD$1005:$AU$1005,1,MATCH(COLUMNS($AD$1006:AS1006),$AD$1006:$AU$1006,0))&gt;=100000), " ",IF(INDEX($AD$2:$AU$1001,MATCH(ROWS($W$2:W866),$W$2:$W$1001,0),MATCH(COLUMNS($AD$1006:AS1006),$AD$1006:$AU$1006,0)), HYPERLINK("#",""), HYPERLINK(CONCATENATE("#metadata!", ADDRESS(INDEX($Y$2:$Y$1001,MATCH(ROWS($W$2:W866),$W$2:$W$1001,0),0), INDEX($AD$1004:$AU$1004,1,MATCH(COLUMNS($AD$1006:AS1006),$AD$1006:$AU$1006,0)))),"Fix")))</f>
        <v xml:space="preserve"> </v>
      </c>
      <c r="R866" s="4" t="str">
        <f ca="1">IF(OR(INDEX($X$2:$X$1001,MATCH(ROWS($W$2:W866),$W$2:$W$1001,0),1)&gt;=100000,INDEX($AD$1005:$AU$1005,1,MATCH(COLUMNS($AD$1006:AT1006),$AD$1006:$AU$1006,0))&gt;=100000), " ",IF(INDEX($AD$2:$AU$1001,MATCH(ROWS($W$2:W866),$W$2:$W$1001,0),MATCH(COLUMNS($AD$1006:AT1006),$AD$1006:$AU$1006,0)), HYPERLINK("#",""), HYPERLINK(CONCATENATE("#metadata!", ADDRESS(INDEX($Y$2:$Y$1001,MATCH(ROWS($W$2:W866),$W$2:$W$1001,0),0), INDEX($AD$1004:$AU$1004,1,MATCH(COLUMNS($AD$1006:AT1006),$AD$1006:$AU$1006,0)))),"Fix")))</f>
        <v xml:space="preserve"> </v>
      </c>
      <c r="S866" s="4" t="str">
        <f ca="1">IF(OR(INDEX($X$2:$X$1001,MATCH(ROWS($W$2:W866),$W$2:$W$1001,0),1)&gt;=100000,INDEX($AD$1005:$AU$1005,1,MATCH(COLUMNS($AD$1006:AU1006),$AD$1006:$AU$1006,0))&gt;=100000), " ",IF(INDEX($AD$2:$AU$1001,MATCH(ROWS($W$2:W866),$W$2:$W$1001,0),MATCH(COLUMNS($AD$1006:AU1006),$AD$1006:$AU$1006,0)), HYPERLINK("#",""), HYPERLINK(CONCATENATE("#metadata!", ADDRESS(INDEX($Y$2:$Y$1001,MATCH(ROWS($W$2:W866),$W$2:$W$1001,0),0), INDEX($AD$1004:$AU$1004,1,MATCH(COLUMNS($AD$1006:AU1006),$AD$1006:$AU$1006,0)))),"Fix")))</f>
        <v xml:space="preserve"> </v>
      </c>
      <c r="W866">
        <v>865</v>
      </c>
      <c r="X866">
        <v>100866</v>
      </c>
      <c r="Y866">
        <v>866</v>
      </c>
      <c r="Z866" t="b">
        <f t="shared" si="13"/>
        <v>1</v>
      </c>
      <c r="AA866" t="b">
        <f>COUNTBLANK(metadata!B866:S866)=COLUMNS(metadata!B866:S866)</f>
        <v>1</v>
      </c>
      <c r="AB866" t="str">
        <v/>
      </c>
      <c r="AD866" t="b">
        <f ca="1">AND(IF(metadata!B866="",FALSE,TRUE),COUNTIF(metadata!B:B, metadata!B866) = 1,NOT(ISERROR(SUMPRODUCT(SEARCH(MID(metadata!B866,ROW(INDIRECT("1:"&amp;LEN(metadata!B866))), 1),"0123456789abcdefghijklmnopqrstuvwxyzABCDEFGHIJKLMNOPQRSTUVWXYZ.")))))</f>
        <v>0</v>
      </c>
      <c r="AE866" t="b">
        <f>OR(AND(IF(metadata!C866="",FALSE,TRUE),OR(EXACT(metadata!C866,"not applicable"),EXACT(metadata!C866,"missing: not collected"),EXACT(metadata!C866,"missing: not provided"),EXACT(metadata!C866,"missing: restricted access"))),AND(IF(metadata!C866="",FALSE,ISNUMBER(VALUE(metadata!C866))),metadata!C866&gt;0))</f>
        <v>0</v>
      </c>
      <c r="AF866" t="b">
        <f>AND(IF(metadata!D866="",FALSE,TRUE),EXACT(metadata!D866,"missing: not provided"))</f>
        <v>0</v>
      </c>
      <c r="AG866" t="b">
        <f>AND(IF(metadata!E866="",FALSE,TRUE),EXACT(metadata!E866,"Host-associated"))</f>
        <v>0</v>
      </c>
      <c r="AH866" t="b">
        <f>AND(IF(metadata!F866="",FALSE,TRUE),OR(EXACT(metadata!F866,"Animal"),EXACT(metadata!F866,"Fungus"),EXACT(metadata!F866,"Plant")))</f>
        <v>0</v>
      </c>
      <c r="AI866" t="b">
        <f>AND(IF(metadata!G866="",FALSE,TRUE),OR(EXACT(metadata!G866,"Plant secretion"),EXACT(metadata!G866,"Plant rhizosphere"),EXACT(metadata!G866,"Plant surface"),EXACT(metadata!G866,"Plant corpus"),EXACT(metadata!G866,"Fungus surface"),EXACT(metadata!G866,"Fungus corpus"),EXACT(metadata!G866,"Animal surface"),EXACT(metadata!G866,"Animal proximal gut"),EXACT(metadata!G866,"Animal corpus"),EXACT(metadata!G866,"Animal distal gut"),EXACT(metadata!G866,"Animal secretion")))</f>
        <v>0</v>
      </c>
      <c r="AJ866" t="b">
        <f>OR(AND(IF(metadata!H866="",FALSE,TRUE),OR(EXACT(metadata!H866,"missing: not collected"),EXACT(metadata!H866,"missing: not provided"),EXACT(metadata!H866,"missing: restricted access"))),AND(IF(metadata!H866="",FALSE,TRUE),OR(EXACT(metadata!H866,"organism-associated habitat"),EXACT(metadata!H866,"plant-associated habitat"),EXACT(metadata!H866,"animal-associated habitat"),EXACT(metadata!H866,"insecta-associated habitat"),EXACT(metadata!H866,"mammalia-associated habitat"),EXACT(metadata!H866,"human-associated habitat"),EXACT(metadata!H866,"livestock-associated habitat"))))</f>
        <v>0</v>
      </c>
      <c r="AK866" t="b">
        <f>AND(IF(metadata!I866="",FALSE,TRUE),EXACT(metadata!I866,"host-associated"))</f>
        <v>0</v>
      </c>
      <c r="AL866" t="b">
        <f>OR(AND(IF(metadata!J866="",FALSE,TRUE),OR(EXACT(metadata!J866,"not applicable"),EXACT(metadata!J866,"missing: not collected"),EXACT(metadata!J866,"missing: not provided"),EXACT(metadata!J866,"missing: restricted access"))),AND(IF(metadata!J866="",FALSE,ISNUMBER(VALUE(metadata!J866))),metadata!J866&gt;0))</f>
        <v>0</v>
      </c>
      <c r="AM866" t="b">
        <f>AND(IF(metadata!K866="",FALSE,TRUE),EXACT(metadata!K866,"missing: not provided"))</f>
        <v>0</v>
      </c>
      <c r="AN866" t="b">
        <f>IF(metadata!L866="",FALSE,TRUE)</f>
        <v>0</v>
      </c>
      <c r="AO866" t="b">
        <f>IF(metadata!M866="",FALSE,TRUE)</f>
        <v>0</v>
      </c>
      <c r="AP866" t="b">
        <f>OR(AND(IF(metadata!N866="",FALSE,TRUE),OR(EXACT(metadata!N866,"not applicable"),EXACT(metadata!N866,"missing: not collected"),EXACT(metadata!N866,"missing: not provided"))),AND(IF(metadata!N866="",FALSE,IF(ISERROR(INT(metadata!N866)),FALSE,INT(metadata!N866)=metadata!N866)),metadata!N866&gt;0))</f>
        <v>0</v>
      </c>
      <c r="AQ866" t="b">
        <f>AND(IF(metadata!O866="",FALSE,TRUE),EXACT(metadata!O866,"Not applicable"))</f>
        <v>0</v>
      </c>
      <c r="AR866" t="b">
        <f>OR(AND(IF(metadata!P866="",FALSE,TRUE),OR(EXACT(metadata!P866,"not applicable"),EXACT(metadata!P866,"missing: not collected"),EXACT(metadata!P866,"missing: not provided"),EXACT(metadata!P866,"missing: restricted access"))),IF(metadata!P866="",FALSE,IF(ISERROR(INT(metadata!P866)),FALSE,INT(metadata!P866)=metadata!P866)))</f>
        <v>0</v>
      </c>
      <c r="AS866" t="b">
        <f>AND(IF(metadata!Q866="",FALSE,TRUE),EXACT(metadata!Q866,"Not applicable"))</f>
        <v>0</v>
      </c>
      <c r="AT866" t="b">
        <f>OR(AND(IF(metadata!R866="",FALSE,TRUE),OR(EXACT(metadata!R866,"not applicable"),EXACT(metadata!R866,"missing: not collected"),EXACT(metadata!R866,"missing: not provided"),EXACT(metadata!R866,"missing: restricted access"))),AND(IF(metadata!R866="",FALSE,ISNUMBER(VALUE(metadata!R866))),metadata!R866&gt;0))</f>
        <v>0</v>
      </c>
      <c r="AU866" t="b">
        <f>AND(IF(metadata!S866="",FALSE,TRUE),EXACT(metadata!S866,"missing: not provided"))</f>
        <v>0</v>
      </c>
    </row>
    <row r="867" spans="1:47" x14ac:dyDescent="0.2">
      <c r="A867" s="5" t="str">
        <f ca="1">IF(B867=" "," ",HYPERLINK(CONCATENATE("#metadata!",ADDRESS(INDEX($Y$2:$Y$1001,MATCH(ROWS($W$2:W867),$W$2:$W$1001,0),0),1)),INDEX($AB$2:$AB$1001,MATCH(ROWS($W$2:W867),$W$2:$W$1001,0),0)))</f>
        <v xml:space="preserve"> </v>
      </c>
      <c r="B867" s="4" t="str">
        <f ca="1">IF(OR(INDEX($X$2:$X$1001,MATCH(ROWS($W$2:W867),$W$2:$W$1001,0),1)&gt;=100000,INDEX($AD$1005:$AU$1005,1,MATCH(COLUMNS($AD$1006:AD1006),$AD$1006:$AU$1006,0))&gt;=100000), " ",IF(INDEX($AD$2:$AU$1001,MATCH(ROWS($W$2:W867),$W$2:$W$1001,0),MATCH(COLUMNS($AD$1006:AD1006),$AD$1006:$AU$1006,0)), HYPERLINK("#",""), HYPERLINK(CONCATENATE("#metadata!", ADDRESS(INDEX($Y$2:$Y$1001,MATCH(ROWS($W$2:W867),$W$2:$W$1001,0),0), INDEX($AD$1004:$AU$1004,1,MATCH(COLUMNS($AD$1006:AD1006),$AD$1006:$AU$1006,0)))),"Fix")))</f>
        <v xml:space="preserve"> </v>
      </c>
      <c r="C867" s="4" t="str">
        <f ca="1">IF(OR(INDEX($X$2:$X$1001,MATCH(ROWS($W$2:W867),$W$2:$W$1001,0),1)&gt;=100000,INDEX($AD$1005:$AU$1005,1,MATCH(COLUMNS($AD$1006:AE1006),$AD$1006:$AU$1006,0))&gt;=100000), " ",IF(INDEX($AD$2:$AU$1001,MATCH(ROWS($W$2:W867),$W$2:$W$1001,0),MATCH(COLUMNS($AD$1006:AE1006),$AD$1006:$AU$1006,0)), HYPERLINK("#",""), HYPERLINK(CONCATENATE("#metadata!", ADDRESS(INDEX($Y$2:$Y$1001,MATCH(ROWS($W$2:W867),$W$2:$W$1001,0),0), INDEX($AD$1004:$AU$1004,1,MATCH(COLUMNS($AD$1006:AE1006),$AD$1006:$AU$1006,0)))),"Fix")))</f>
        <v xml:space="preserve"> </v>
      </c>
      <c r="D867" s="4" t="str">
        <f ca="1">IF(OR(INDEX($X$2:$X$1001,MATCH(ROWS($W$2:W867),$W$2:$W$1001,0),1)&gt;=100000,INDEX($AD$1005:$AU$1005,1,MATCH(COLUMNS($AD$1006:AF1006),$AD$1006:$AU$1006,0))&gt;=100000), " ",IF(INDEX($AD$2:$AU$1001,MATCH(ROWS($W$2:W867),$W$2:$W$1001,0),MATCH(COLUMNS($AD$1006:AF1006),$AD$1006:$AU$1006,0)), HYPERLINK("#",""), HYPERLINK(CONCATENATE("#metadata!", ADDRESS(INDEX($Y$2:$Y$1001,MATCH(ROWS($W$2:W867),$W$2:$W$1001,0),0), INDEX($AD$1004:$AU$1004,1,MATCH(COLUMNS($AD$1006:AF1006),$AD$1006:$AU$1006,0)))),"Fix")))</f>
        <v xml:space="preserve"> </v>
      </c>
      <c r="E867" s="4" t="str">
        <f ca="1">IF(OR(INDEX($X$2:$X$1001,MATCH(ROWS($W$2:W867),$W$2:$W$1001,0),1)&gt;=100000,INDEX($AD$1005:$AU$1005,1,MATCH(COLUMNS($AD$1006:AG1006),$AD$1006:$AU$1006,0))&gt;=100000), " ",IF(INDEX($AD$2:$AU$1001,MATCH(ROWS($W$2:W867),$W$2:$W$1001,0),MATCH(COLUMNS($AD$1006:AG1006),$AD$1006:$AU$1006,0)), HYPERLINK("#",""), HYPERLINK(CONCATENATE("#metadata!", ADDRESS(INDEX($Y$2:$Y$1001,MATCH(ROWS($W$2:W867),$W$2:$W$1001,0),0), INDEX($AD$1004:$AU$1004,1,MATCH(COLUMNS($AD$1006:AG1006),$AD$1006:$AU$1006,0)))),"Fix")))</f>
        <v xml:space="preserve"> </v>
      </c>
      <c r="F867" s="4" t="str">
        <f ca="1">IF(OR(INDEX($X$2:$X$1001,MATCH(ROWS($W$2:W867),$W$2:$W$1001,0),1)&gt;=100000,INDEX($AD$1005:$AU$1005,1,MATCH(COLUMNS($AD$1006:AH1006),$AD$1006:$AU$1006,0))&gt;=100000), " ",IF(INDEX($AD$2:$AU$1001,MATCH(ROWS($W$2:W867),$W$2:$W$1001,0),MATCH(COLUMNS($AD$1006:AH1006),$AD$1006:$AU$1006,0)), HYPERLINK("#",""), HYPERLINK(CONCATENATE("#metadata!", ADDRESS(INDEX($Y$2:$Y$1001,MATCH(ROWS($W$2:W867),$W$2:$W$1001,0),0), INDEX($AD$1004:$AU$1004,1,MATCH(COLUMNS($AD$1006:AH1006),$AD$1006:$AU$1006,0)))),"Fix")))</f>
        <v xml:space="preserve"> </v>
      </c>
      <c r="G867" s="4" t="str">
        <f ca="1">IF(OR(INDEX($X$2:$X$1001,MATCH(ROWS($W$2:W867),$W$2:$W$1001,0),1)&gt;=100000,INDEX($AD$1005:$AU$1005,1,MATCH(COLUMNS($AD$1006:AI1006),$AD$1006:$AU$1006,0))&gt;=100000), " ",IF(INDEX($AD$2:$AU$1001,MATCH(ROWS($W$2:W867),$W$2:$W$1001,0),MATCH(COLUMNS($AD$1006:AI1006),$AD$1006:$AU$1006,0)), HYPERLINK("#",""), HYPERLINK(CONCATENATE("#metadata!", ADDRESS(INDEX($Y$2:$Y$1001,MATCH(ROWS($W$2:W867),$W$2:$W$1001,0),0), INDEX($AD$1004:$AU$1004,1,MATCH(COLUMNS($AD$1006:AI1006),$AD$1006:$AU$1006,0)))),"Fix")))</f>
        <v xml:space="preserve"> </v>
      </c>
      <c r="H867" s="4" t="str">
        <f ca="1">IF(OR(INDEX($X$2:$X$1001,MATCH(ROWS($W$2:W867),$W$2:$W$1001,0),1)&gt;=100000,INDEX($AD$1005:$AU$1005,1,MATCH(COLUMNS($AD$1006:AJ1006),$AD$1006:$AU$1006,0))&gt;=100000), " ",IF(INDEX($AD$2:$AU$1001,MATCH(ROWS($W$2:W867),$W$2:$W$1001,0),MATCH(COLUMNS($AD$1006:AJ1006),$AD$1006:$AU$1006,0)), HYPERLINK("#",""), HYPERLINK(CONCATENATE("#metadata!", ADDRESS(INDEX($Y$2:$Y$1001,MATCH(ROWS($W$2:W867),$W$2:$W$1001,0),0), INDEX($AD$1004:$AU$1004,1,MATCH(COLUMNS($AD$1006:AJ1006),$AD$1006:$AU$1006,0)))),"Fix")))</f>
        <v xml:space="preserve"> </v>
      </c>
      <c r="I867" s="4" t="str">
        <f ca="1">IF(OR(INDEX($X$2:$X$1001,MATCH(ROWS($W$2:W867),$W$2:$W$1001,0),1)&gt;=100000,INDEX($AD$1005:$AU$1005,1,MATCH(COLUMNS($AD$1006:AK1006),$AD$1006:$AU$1006,0))&gt;=100000), " ",IF(INDEX($AD$2:$AU$1001,MATCH(ROWS($W$2:W867),$W$2:$W$1001,0),MATCH(COLUMNS($AD$1006:AK1006),$AD$1006:$AU$1006,0)), HYPERLINK("#",""), HYPERLINK(CONCATENATE("#metadata!", ADDRESS(INDEX($Y$2:$Y$1001,MATCH(ROWS($W$2:W867),$W$2:$W$1001,0),0), INDEX($AD$1004:$AU$1004,1,MATCH(COLUMNS($AD$1006:AK1006),$AD$1006:$AU$1006,0)))),"Fix")))</f>
        <v xml:space="preserve"> </v>
      </c>
      <c r="J867" s="4" t="str">
        <f ca="1">IF(OR(INDEX($X$2:$X$1001,MATCH(ROWS($W$2:W867),$W$2:$W$1001,0),1)&gt;=100000,INDEX($AD$1005:$AU$1005,1,MATCH(COLUMNS($AD$1006:AL1006),$AD$1006:$AU$1006,0))&gt;=100000), " ",IF(INDEX($AD$2:$AU$1001,MATCH(ROWS($W$2:W867),$W$2:$W$1001,0),MATCH(COLUMNS($AD$1006:AL1006),$AD$1006:$AU$1006,0)), HYPERLINK("#",""), HYPERLINK(CONCATENATE("#metadata!", ADDRESS(INDEX($Y$2:$Y$1001,MATCH(ROWS($W$2:W867),$W$2:$W$1001,0),0), INDEX($AD$1004:$AU$1004,1,MATCH(COLUMNS($AD$1006:AL1006),$AD$1006:$AU$1006,0)))),"Fix")))</f>
        <v xml:space="preserve"> </v>
      </c>
      <c r="K867" s="4" t="str">
        <f ca="1">IF(OR(INDEX($X$2:$X$1001,MATCH(ROWS($W$2:W867),$W$2:$W$1001,0),1)&gt;=100000,INDEX($AD$1005:$AU$1005,1,MATCH(COLUMNS($AD$1006:AM1006),$AD$1006:$AU$1006,0))&gt;=100000), " ",IF(INDEX($AD$2:$AU$1001,MATCH(ROWS($W$2:W867),$W$2:$W$1001,0),MATCH(COLUMNS($AD$1006:AM1006),$AD$1006:$AU$1006,0)), HYPERLINK("#",""), HYPERLINK(CONCATENATE("#metadata!", ADDRESS(INDEX($Y$2:$Y$1001,MATCH(ROWS($W$2:W867),$W$2:$W$1001,0),0), INDEX($AD$1004:$AU$1004,1,MATCH(COLUMNS($AD$1006:AM1006),$AD$1006:$AU$1006,0)))),"Fix")))</f>
        <v xml:space="preserve"> </v>
      </c>
      <c r="L867" s="4" t="str">
        <f ca="1">IF(OR(INDEX($X$2:$X$1001,MATCH(ROWS($W$2:W867),$W$2:$W$1001,0),1)&gt;=100000,INDEX($AD$1005:$AU$1005,1,MATCH(COLUMNS($AD$1006:AN1006),$AD$1006:$AU$1006,0))&gt;=100000), " ",IF(INDEX($AD$2:$AU$1001,MATCH(ROWS($W$2:W867),$W$2:$W$1001,0),MATCH(COLUMNS($AD$1006:AN1006),$AD$1006:$AU$1006,0)), HYPERLINK("#",""), HYPERLINK(CONCATENATE("#metadata!", ADDRESS(INDEX($Y$2:$Y$1001,MATCH(ROWS($W$2:W867),$W$2:$W$1001,0),0), INDEX($AD$1004:$AU$1004,1,MATCH(COLUMNS($AD$1006:AN1006),$AD$1006:$AU$1006,0)))),"Fix")))</f>
        <v xml:space="preserve"> </v>
      </c>
      <c r="M867" s="4" t="str">
        <f ca="1">IF(OR(INDEX($X$2:$X$1001,MATCH(ROWS($W$2:W867),$W$2:$W$1001,0),1)&gt;=100000,INDEX($AD$1005:$AU$1005,1,MATCH(COLUMNS($AD$1006:AO1006),$AD$1006:$AU$1006,0))&gt;=100000), " ",IF(INDEX($AD$2:$AU$1001,MATCH(ROWS($W$2:W867),$W$2:$W$1001,0),MATCH(COLUMNS($AD$1006:AO1006),$AD$1006:$AU$1006,0)), HYPERLINK("#",""), HYPERLINK(CONCATENATE("#metadata!", ADDRESS(INDEX($Y$2:$Y$1001,MATCH(ROWS($W$2:W867),$W$2:$W$1001,0),0), INDEX($AD$1004:$AU$1004,1,MATCH(COLUMNS($AD$1006:AO1006),$AD$1006:$AU$1006,0)))),"Fix")))</f>
        <v xml:space="preserve"> </v>
      </c>
      <c r="N867" s="4" t="str">
        <f ca="1">IF(OR(INDEX($X$2:$X$1001,MATCH(ROWS($W$2:W867),$W$2:$W$1001,0),1)&gt;=100000,INDEX($AD$1005:$AU$1005,1,MATCH(COLUMNS($AD$1006:AP1006),$AD$1006:$AU$1006,0))&gt;=100000), " ",IF(INDEX($AD$2:$AU$1001,MATCH(ROWS($W$2:W867),$W$2:$W$1001,0),MATCH(COLUMNS($AD$1006:AP1006),$AD$1006:$AU$1006,0)), HYPERLINK("#",""), HYPERLINK(CONCATENATE("#metadata!", ADDRESS(INDEX($Y$2:$Y$1001,MATCH(ROWS($W$2:W867),$W$2:$W$1001,0),0), INDEX($AD$1004:$AU$1004,1,MATCH(COLUMNS($AD$1006:AP1006),$AD$1006:$AU$1006,0)))),"Fix")))</f>
        <v xml:space="preserve"> </v>
      </c>
      <c r="O867" s="4" t="str">
        <f ca="1">IF(OR(INDEX($X$2:$X$1001,MATCH(ROWS($W$2:W867),$W$2:$W$1001,0),1)&gt;=100000,INDEX($AD$1005:$AU$1005,1,MATCH(COLUMNS($AD$1006:AQ1006),$AD$1006:$AU$1006,0))&gt;=100000), " ",IF(INDEX($AD$2:$AU$1001,MATCH(ROWS($W$2:W867),$W$2:$W$1001,0),MATCH(COLUMNS($AD$1006:AQ1006),$AD$1006:$AU$1006,0)), HYPERLINK("#",""), HYPERLINK(CONCATENATE("#metadata!", ADDRESS(INDEX($Y$2:$Y$1001,MATCH(ROWS($W$2:W867),$W$2:$W$1001,0),0), INDEX($AD$1004:$AU$1004,1,MATCH(COLUMNS($AD$1006:AQ1006),$AD$1006:$AU$1006,0)))),"Fix")))</f>
        <v xml:space="preserve"> </v>
      </c>
      <c r="P867" s="4" t="str">
        <f ca="1">IF(OR(INDEX($X$2:$X$1001,MATCH(ROWS($W$2:W867),$W$2:$W$1001,0),1)&gt;=100000,INDEX($AD$1005:$AU$1005,1,MATCH(COLUMNS($AD$1006:AR1006),$AD$1006:$AU$1006,0))&gt;=100000), " ",IF(INDEX($AD$2:$AU$1001,MATCH(ROWS($W$2:W867),$W$2:$W$1001,0),MATCH(COLUMNS($AD$1006:AR1006),$AD$1006:$AU$1006,0)), HYPERLINK("#",""), HYPERLINK(CONCATENATE("#metadata!", ADDRESS(INDEX($Y$2:$Y$1001,MATCH(ROWS($W$2:W867),$W$2:$W$1001,0),0), INDEX($AD$1004:$AU$1004,1,MATCH(COLUMNS($AD$1006:AR1006),$AD$1006:$AU$1006,0)))),"Fix")))</f>
        <v xml:space="preserve"> </v>
      </c>
      <c r="Q867" s="4" t="str">
        <f ca="1">IF(OR(INDEX($X$2:$X$1001,MATCH(ROWS($W$2:W867),$W$2:$W$1001,0),1)&gt;=100000,INDEX($AD$1005:$AU$1005,1,MATCH(COLUMNS($AD$1006:AS1006),$AD$1006:$AU$1006,0))&gt;=100000), " ",IF(INDEX($AD$2:$AU$1001,MATCH(ROWS($W$2:W867),$W$2:$W$1001,0),MATCH(COLUMNS($AD$1006:AS1006),$AD$1006:$AU$1006,0)), HYPERLINK("#",""), HYPERLINK(CONCATENATE("#metadata!", ADDRESS(INDEX($Y$2:$Y$1001,MATCH(ROWS($W$2:W867),$W$2:$W$1001,0),0), INDEX($AD$1004:$AU$1004,1,MATCH(COLUMNS($AD$1006:AS1006),$AD$1006:$AU$1006,0)))),"Fix")))</f>
        <v xml:space="preserve"> </v>
      </c>
      <c r="R867" s="4" t="str">
        <f ca="1">IF(OR(INDEX($X$2:$X$1001,MATCH(ROWS($W$2:W867),$W$2:$W$1001,0),1)&gt;=100000,INDEX($AD$1005:$AU$1005,1,MATCH(COLUMNS($AD$1006:AT1006),$AD$1006:$AU$1006,0))&gt;=100000), " ",IF(INDEX($AD$2:$AU$1001,MATCH(ROWS($W$2:W867),$W$2:$W$1001,0),MATCH(COLUMNS($AD$1006:AT1006),$AD$1006:$AU$1006,0)), HYPERLINK("#",""), HYPERLINK(CONCATENATE("#metadata!", ADDRESS(INDEX($Y$2:$Y$1001,MATCH(ROWS($W$2:W867),$W$2:$W$1001,0),0), INDEX($AD$1004:$AU$1004,1,MATCH(COLUMNS($AD$1006:AT1006),$AD$1006:$AU$1006,0)))),"Fix")))</f>
        <v xml:space="preserve"> </v>
      </c>
      <c r="S867" s="4" t="str">
        <f ca="1">IF(OR(INDEX($X$2:$X$1001,MATCH(ROWS($W$2:W867),$W$2:$W$1001,0),1)&gt;=100000,INDEX($AD$1005:$AU$1005,1,MATCH(COLUMNS($AD$1006:AU1006),$AD$1006:$AU$1006,0))&gt;=100000), " ",IF(INDEX($AD$2:$AU$1001,MATCH(ROWS($W$2:W867),$W$2:$W$1001,0),MATCH(COLUMNS($AD$1006:AU1006),$AD$1006:$AU$1006,0)), HYPERLINK("#",""), HYPERLINK(CONCATENATE("#metadata!", ADDRESS(INDEX($Y$2:$Y$1001,MATCH(ROWS($W$2:W867),$W$2:$W$1001,0),0), INDEX($AD$1004:$AU$1004,1,MATCH(COLUMNS($AD$1006:AU1006),$AD$1006:$AU$1006,0)))),"Fix")))</f>
        <v xml:space="preserve"> </v>
      </c>
      <c r="W867">
        <v>866</v>
      </c>
      <c r="X867">
        <v>100867</v>
      </c>
      <c r="Y867">
        <v>867</v>
      </c>
      <c r="Z867" t="b">
        <f t="shared" si="13"/>
        <v>1</v>
      </c>
      <c r="AA867" t="b">
        <f>COUNTBLANK(metadata!B867:S867)=COLUMNS(metadata!B867:S867)</f>
        <v>1</v>
      </c>
      <c r="AB867" t="str">
        <v/>
      </c>
      <c r="AD867" t="b">
        <f ca="1">AND(IF(metadata!B867="",FALSE,TRUE),COUNTIF(metadata!B:B, metadata!B867) = 1,NOT(ISERROR(SUMPRODUCT(SEARCH(MID(metadata!B867,ROW(INDIRECT("1:"&amp;LEN(metadata!B867))), 1),"0123456789abcdefghijklmnopqrstuvwxyzABCDEFGHIJKLMNOPQRSTUVWXYZ.")))))</f>
        <v>0</v>
      </c>
      <c r="AE867" t="b">
        <f>OR(AND(IF(metadata!C867="",FALSE,TRUE),OR(EXACT(metadata!C867,"not applicable"),EXACT(metadata!C867,"missing: not collected"),EXACT(metadata!C867,"missing: not provided"),EXACT(metadata!C867,"missing: restricted access"))),AND(IF(metadata!C867="",FALSE,ISNUMBER(VALUE(metadata!C867))),metadata!C867&gt;0))</f>
        <v>0</v>
      </c>
      <c r="AF867" t="b">
        <f>AND(IF(metadata!D867="",FALSE,TRUE),EXACT(metadata!D867,"missing: not provided"))</f>
        <v>0</v>
      </c>
      <c r="AG867" t="b">
        <f>AND(IF(metadata!E867="",FALSE,TRUE),EXACT(metadata!E867,"Host-associated"))</f>
        <v>0</v>
      </c>
      <c r="AH867" t="b">
        <f>AND(IF(metadata!F867="",FALSE,TRUE),OR(EXACT(metadata!F867,"Animal"),EXACT(metadata!F867,"Fungus"),EXACT(metadata!F867,"Plant")))</f>
        <v>0</v>
      </c>
      <c r="AI867" t="b">
        <f>AND(IF(metadata!G867="",FALSE,TRUE),OR(EXACT(metadata!G867,"Plant secretion"),EXACT(metadata!G867,"Plant rhizosphere"),EXACT(metadata!G867,"Plant surface"),EXACT(metadata!G867,"Plant corpus"),EXACT(metadata!G867,"Fungus surface"),EXACT(metadata!G867,"Fungus corpus"),EXACT(metadata!G867,"Animal surface"),EXACT(metadata!G867,"Animal proximal gut"),EXACT(metadata!G867,"Animal corpus"),EXACT(metadata!G867,"Animal distal gut"),EXACT(metadata!G867,"Animal secretion")))</f>
        <v>0</v>
      </c>
      <c r="AJ867" t="b">
        <f>OR(AND(IF(metadata!H867="",FALSE,TRUE),OR(EXACT(metadata!H867,"missing: not collected"),EXACT(metadata!H867,"missing: not provided"),EXACT(metadata!H867,"missing: restricted access"))),AND(IF(metadata!H867="",FALSE,TRUE),OR(EXACT(metadata!H867,"organism-associated habitat"),EXACT(metadata!H867,"plant-associated habitat"),EXACT(metadata!H867,"animal-associated habitat"),EXACT(metadata!H867,"insecta-associated habitat"),EXACT(metadata!H867,"mammalia-associated habitat"),EXACT(metadata!H867,"human-associated habitat"),EXACT(metadata!H867,"livestock-associated habitat"))))</f>
        <v>0</v>
      </c>
      <c r="AK867" t="b">
        <f>AND(IF(metadata!I867="",FALSE,TRUE),EXACT(metadata!I867,"host-associated"))</f>
        <v>0</v>
      </c>
      <c r="AL867" t="b">
        <f>OR(AND(IF(metadata!J867="",FALSE,TRUE),OR(EXACT(metadata!J867,"not applicable"),EXACT(metadata!J867,"missing: not collected"),EXACT(metadata!J867,"missing: not provided"),EXACT(metadata!J867,"missing: restricted access"))),AND(IF(metadata!J867="",FALSE,ISNUMBER(VALUE(metadata!J867))),metadata!J867&gt;0))</f>
        <v>0</v>
      </c>
      <c r="AM867" t="b">
        <f>AND(IF(metadata!K867="",FALSE,TRUE),EXACT(metadata!K867,"missing: not provided"))</f>
        <v>0</v>
      </c>
      <c r="AN867" t="b">
        <f>IF(metadata!L867="",FALSE,TRUE)</f>
        <v>0</v>
      </c>
      <c r="AO867" t="b">
        <f>IF(metadata!M867="",FALSE,TRUE)</f>
        <v>0</v>
      </c>
      <c r="AP867" t="b">
        <f>OR(AND(IF(metadata!N867="",FALSE,TRUE),OR(EXACT(metadata!N867,"not applicable"),EXACT(metadata!N867,"missing: not collected"),EXACT(metadata!N867,"missing: not provided"))),AND(IF(metadata!N867="",FALSE,IF(ISERROR(INT(metadata!N867)),FALSE,INT(metadata!N867)=metadata!N867)),metadata!N867&gt;0))</f>
        <v>0</v>
      </c>
      <c r="AQ867" t="b">
        <f>AND(IF(metadata!O867="",FALSE,TRUE),EXACT(metadata!O867,"Not applicable"))</f>
        <v>0</v>
      </c>
      <c r="AR867" t="b">
        <f>OR(AND(IF(metadata!P867="",FALSE,TRUE),OR(EXACT(metadata!P867,"not applicable"),EXACT(metadata!P867,"missing: not collected"),EXACT(metadata!P867,"missing: not provided"),EXACT(metadata!P867,"missing: restricted access"))),IF(metadata!P867="",FALSE,IF(ISERROR(INT(metadata!P867)),FALSE,INT(metadata!P867)=metadata!P867)))</f>
        <v>0</v>
      </c>
      <c r="AS867" t="b">
        <f>AND(IF(metadata!Q867="",FALSE,TRUE),EXACT(metadata!Q867,"Not applicable"))</f>
        <v>0</v>
      </c>
      <c r="AT867" t="b">
        <f>OR(AND(IF(metadata!R867="",FALSE,TRUE),OR(EXACT(metadata!R867,"not applicable"),EXACT(metadata!R867,"missing: not collected"),EXACT(metadata!R867,"missing: not provided"),EXACT(metadata!R867,"missing: restricted access"))),AND(IF(metadata!R867="",FALSE,ISNUMBER(VALUE(metadata!R867))),metadata!R867&gt;0))</f>
        <v>0</v>
      </c>
      <c r="AU867" t="b">
        <f>AND(IF(metadata!S867="",FALSE,TRUE),EXACT(metadata!S867,"missing: not provided"))</f>
        <v>0</v>
      </c>
    </row>
    <row r="868" spans="1:47" x14ac:dyDescent="0.2">
      <c r="A868" s="5" t="str">
        <f ca="1">IF(B868=" "," ",HYPERLINK(CONCATENATE("#metadata!",ADDRESS(INDEX($Y$2:$Y$1001,MATCH(ROWS($W$2:W868),$W$2:$W$1001,0),0),1)),INDEX($AB$2:$AB$1001,MATCH(ROWS($W$2:W868),$W$2:$W$1001,0),0)))</f>
        <v xml:space="preserve"> </v>
      </c>
      <c r="B868" s="4" t="str">
        <f ca="1">IF(OR(INDEX($X$2:$X$1001,MATCH(ROWS($W$2:W868),$W$2:$W$1001,0),1)&gt;=100000,INDEX($AD$1005:$AU$1005,1,MATCH(COLUMNS($AD$1006:AD1006),$AD$1006:$AU$1006,0))&gt;=100000), " ",IF(INDEX($AD$2:$AU$1001,MATCH(ROWS($W$2:W868),$W$2:$W$1001,0),MATCH(COLUMNS($AD$1006:AD1006),$AD$1006:$AU$1006,0)), HYPERLINK("#",""), HYPERLINK(CONCATENATE("#metadata!", ADDRESS(INDEX($Y$2:$Y$1001,MATCH(ROWS($W$2:W868),$W$2:$W$1001,0),0), INDEX($AD$1004:$AU$1004,1,MATCH(COLUMNS($AD$1006:AD1006),$AD$1006:$AU$1006,0)))),"Fix")))</f>
        <v xml:space="preserve"> </v>
      </c>
      <c r="C868" s="4" t="str">
        <f ca="1">IF(OR(INDEX($X$2:$X$1001,MATCH(ROWS($W$2:W868),$W$2:$W$1001,0),1)&gt;=100000,INDEX($AD$1005:$AU$1005,1,MATCH(COLUMNS($AD$1006:AE1006),$AD$1006:$AU$1006,0))&gt;=100000), " ",IF(INDEX($AD$2:$AU$1001,MATCH(ROWS($W$2:W868),$W$2:$W$1001,0),MATCH(COLUMNS($AD$1006:AE1006),$AD$1006:$AU$1006,0)), HYPERLINK("#",""), HYPERLINK(CONCATENATE("#metadata!", ADDRESS(INDEX($Y$2:$Y$1001,MATCH(ROWS($W$2:W868),$W$2:$W$1001,0),0), INDEX($AD$1004:$AU$1004,1,MATCH(COLUMNS($AD$1006:AE1006),$AD$1006:$AU$1006,0)))),"Fix")))</f>
        <v xml:space="preserve"> </v>
      </c>
      <c r="D868" s="4" t="str">
        <f ca="1">IF(OR(INDEX($X$2:$X$1001,MATCH(ROWS($W$2:W868),$W$2:$W$1001,0),1)&gt;=100000,INDEX($AD$1005:$AU$1005,1,MATCH(COLUMNS($AD$1006:AF1006),$AD$1006:$AU$1006,0))&gt;=100000), " ",IF(INDEX($AD$2:$AU$1001,MATCH(ROWS($W$2:W868),$W$2:$W$1001,0),MATCH(COLUMNS($AD$1006:AF1006),$AD$1006:$AU$1006,0)), HYPERLINK("#",""), HYPERLINK(CONCATENATE("#metadata!", ADDRESS(INDEX($Y$2:$Y$1001,MATCH(ROWS($W$2:W868),$W$2:$W$1001,0),0), INDEX($AD$1004:$AU$1004,1,MATCH(COLUMNS($AD$1006:AF1006),$AD$1006:$AU$1006,0)))),"Fix")))</f>
        <v xml:space="preserve"> </v>
      </c>
      <c r="E868" s="4" t="str">
        <f ca="1">IF(OR(INDEX($X$2:$X$1001,MATCH(ROWS($W$2:W868),$W$2:$W$1001,0),1)&gt;=100000,INDEX($AD$1005:$AU$1005,1,MATCH(COLUMNS($AD$1006:AG1006),$AD$1006:$AU$1006,0))&gt;=100000), " ",IF(INDEX($AD$2:$AU$1001,MATCH(ROWS($W$2:W868),$W$2:$W$1001,0),MATCH(COLUMNS($AD$1006:AG1006),$AD$1006:$AU$1006,0)), HYPERLINK("#",""), HYPERLINK(CONCATENATE("#metadata!", ADDRESS(INDEX($Y$2:$Y$1001,MATCH(ROWS($W$2:W868),$W$2:$W$1001,0),0), INDEX($AD$1004:$AU$1004,1,MATCH(COLUMNS($AD$1006:AG1006),$AD$1006:$AU$1006,0)))),"Fix")))</f>
        <v xml:space="preserve"> </v>
      </c>
      <c r="F868" s="4" t="str">
        <f ca="1">IF(OR(INDEX($X$2:$X$1001,MATCH(ROWS($W$2:W868),$W$2:$W$1001,0),1)&gt;=100000,INDEX($AD$1005:$AU$1005,1,MATCH(COLUMNS($AD$1006:AH1006),$AD$1006:$AU$1006,0))&gt;=100000), " ",IF(INDEX($AD$2:$AU$1001,MATCH(ROWS($W$2:W868),$W$2:$W$1001,0),MATCH(COLUMNS($AD$1006:AH1006),$AD$1006:$AU$1006,0)), HYPERLINK("#",""), HYPERLINK(CONCATENATE("#metadata!", ADDRESS(INDEX($Y$2:$Y$1001,MATCH(ROWS($W$2:W868),$W$2:$W$1001,0),0), INDEX($AD$1004:$AU$1004,1,MATCH(COLUMNS($AD$1006:AH1006),$AD$1006:$AU$1006,0)))),"Fix")))</f>
        <v xml:space="preserve"> </v>
      </c>
      <c r="G868" s="4" t="str">
        <f ca="1">IF(OR(INDEX($X$2:$X$1001,MATCH(ROWS($W$2:W868),$W$2:$W$1001,0),1)&gt;=100000,INDEX($AD$1005:$AU$1005,1,MATCH(COLUMNS($AD$1006:AI1006),$AD$1006:$AU$1006,0))&gt;=100000), " ",IF(INDEX($AD$2:$AU$1001,MATCH(ROWS($W$2:W868),$W$2:$W$1001,0),MATCH(COLUMNS($AD$1006:AI1006),$AD$1006:$AU$1006,0)), HYPERLINK("#",""), HYPERLINK(CONCATENATE("#metadata!", ADDRESS(INDEX($Y$2:$Y$1001,MATCH(ROWS($W$2:W868),$W$2:$W$1001,0),0), INDEX($AD$1004:$AU$1004,1,MATCH(COLUMNS($AD$1006:AI1006),$AD$1006:$AU$1006,0)))),"Fix")))</f>
        <v xml:space="preserve"> </v>
      </c>
      <c r="H868" s="4" t="str">
        <f ca="1">IF(OR(INDEX($X$2:$X$1001,MATCH(ROWS($W$2:W868),$W$2:$W$1001,0),1)&gt;=100000,INDEX($AD$1005:$AU$1005,1,MATCH(COLUMNS($AD$1006:AJ1006),$AD$1006:$AU$1006,0))&gt;=100000), " ",IF(INDEX($AD$2:$AU$1001,MATCH(ROWS($W$2:W868),$W$2:$W$1001,0),MATCH(COLUMNS($AD$1006:AJ1006),$AD$1006:$AU$1006,0)), HYPERLINK("#",""), HYPERLINK(CONCATENATE("#metadata!", ADDRESS(INDEX($Y$2:$Y$1001,MATCH(ROWS($W$2:W868),$W$2:$W$1001,0),0), INDEX($AD$1004:$AU$1004,1,MATCH(COLUMNS($AD$1006:AJ1006),$AD$1006:$AU$1006,0)))),"Fix")))</f>
        <v xml:space="preserve"> </v>
      </c>
      <c r="I868" s="4" t="str">
        <f ca="1">IF(OR(INDEX($X$2:$X$1001,MATCH(ROWS($W$2:W868),$W$2:$W$1001,0),1)&gt;=100000,INDEX($AD$1005:$AU$1005,1,MATCH(COLUMNS($AD$1006:AK1006),$AD$1006:$AU$1006,0))&gt;=100000), " ",IF(INDEX($AD$2:$AU$1001,MATCH(ROWS($W$2:W868),$W$2:$W$1001,0),MATCH(COLUMNS($AD$1006:AK1006),$AD$1006:$AU$1006,0)), HYPERLINK("#",""), HYPERLINK(CONCATENATE("#metadata!", ADDRESS(INDEX($Y$2:$Y$1001,MATCH(ROWS($W$2:W868),$W$2:$W$1001,0),0), INDEX($AD$1004:$AU$1004,1,MATCH(COLUMNS($AD$1006:AK1006),$AD$1006:$AU$1006,0)))),"Fix")))</f>
        <v xml:space="preserve"> </v>
      </c>
      <c r="J868" s="4" t="str">
        <f ca="1">IF(OR(INDEX($X$2:$X$1001,MATCH(ROWS($W$2:W868),$W$2:$W$1001,0),1)&gt;=100000,INDEX($AD$1005:$AU$1005,1,MATCH(COLUMNS($AD$1006:AL1006),$AD$1006:$AU$1006,0))&gt;=100000), " ",IF(INDEX($AD$2:$AU$1001,MATCH(ROWS($W$2:W868),$W$2:$W$1001,0),MATCH(COLUMNS($AD$1006:AL1006),$AD$1006:$AU$1006,0)), HYPERLINK("#",""), HYPERLINK(CONCATENATE("#metadata!", ADDRESS(INDEX($Y$2:$Y$1001,MATCH(ROWS($W$2:W868),$W$2:$W$1001,0),0), INDEX($AD$1004:$AU$1004,1,MATCH(COLUMNS($AD$1006:AL1006),$AD$1006:$AU$1006,0)))),"Fix")))</f>
        <v xml:space="preserve"> </v>
      </c>
      <c r="K868" s="4" t="str">
        <f ca="1">IF(OR(INDEX($X$2:$X$1001,MATCH(ROWS($W$2:W868),$W$2:$W$1001,0),1)&gt;=100000,INDEX($AD$1005:$AU$1005,1,MATCH(COLUMNS($AD$1006:AM1006),$AD$1006:$AU$1006,0))&gt;=100000), " ",IF(INDEX($AD$2:$AU$1001,MATCH(ROWS($W$2:W868),$W$2:$W$1001,0),MATCH(COLUMNS($AD$1006:AM1006),$AD$1006:$AU$1006,0)), HYPERLINK("#",""), HYPERLINK(CONCATENATE("#metadata!", ADDRESS(INDEX($Y$2:$Y$1001,MATCH(ROWS($W$2:W868),$W$2:$W$1001,0),0), INDEX($AD$1004:$AU$1004,1,MATCH(COLUMNS($AD$1006:AM1006),$AD$1006:$AU$1006,0)))),"Fix")))</f>
        <v xml:space="preserve"> </v>
      </c>
      <c r="L868" s="4" t="str">
        <f ca="1">IF(OR(INDEX($X$2:$X$1001,MATCH(ROWS($W$2:W868),$W$2:$W$1001,0),1)&gt;=100000,INDEX($AD$1005:$AU$1005,1,MATCH(COLUMNS($AD$1006:AN1006),$AD$1006:$AU$1006,0))&gt;=100000), " ",IF(INDEX($AD$2:$AU$1001,MATCH(ROWS($W$2:W868),$W$2:$W$1001,0),MATCH(COLUMNS($AD$1006:AN1006),$AD$1006:$AU$1006,0)), HYPERLINK("#",""), HYPERLINK(CONCATENATE("#metadata!", ADDRESS(INDEX($Y$2:$Y$1001,MATCH(ROWS($W$2:W868),$W$2:$W$1001,0),0), INDEX($AD$1004:$AU$1004,1,MATCH(COLUMNS($AD$1006:AN1006),$AD$1006:$AU$1006,0)))),"Fix")))</f>
        <v xml:space="preserve"> </v>
      </c>
      <c r="M868" s="4" t="str">
        <f ca="1">IF(OR(INDEX($X$2:$X$1001,MATCH(ROWS($W$2:W868),$W$2:$W$1001,0),1)&gt;=100000,INDEX($AD$1005:$AU$1005,1,MATCH(COLUMNS($AD$1006:AO1006),$AD$1006:$AU$1006,0))&gt;=100000), " ",IF(INDEX($AD$2:$AU$1001,MATCH(ROWS($W$2:W868),$W$2:$W$1001,0),MATCH(COLUMNS($AD$1006:AO1006),$AD$1006:$AU$1006,0)), HYPERLINK("#",""), HYPERLINK(CONCATENATE("#metadata!", ADDRESS(INDEX($Y$2:$Y$1001,MATCH(ROWS($W$2:W868),$W$2:$W$1001,0),0), INDEX($AD$1004:$AU$1004,1,MATCH(COLUMNS($AD$1006:AO1006),$AD$1006:$AU$1006,0)))),"Fix")))</f>
        <v xml:space="preserve"> </v>
      </c>
      <c r="N868" s="4" t="str">
        <f ca="1">IF(OR(INDEX($X$2:$X$1001,MATCH(ROWS($W$2:W868),$W$2:$W$1001,0),1)&gt;=100000,INDEX($AD$1005:$AU$1005,1,MATCH(COLUMNS($AD$1006:AP1006),$AD$1006:$AU$1006,0))&gt;=100000), " ",IF(INDEX($AD$2:$AU$1001,MATCH(ROWS($W$2:W868),$W$2:$W$1001,0),MATCH(COLUMNS($AD$1006:AP1006),$AD$1006:$AU$1006,0)), HYPERLINK("#",""), HYPERLINK(CONCATENATE("#metadata!", ADDRESS(INDEX($Y$2:$Y$1001,MATCH(ROWS($W$2:W868),$W$2:$W$1001,0),0), INDEX($AD$1004:$AU$1004,1,MATCH(COLUMNS($AD$1006:AP1006),$AD$1006:$AU$1006,0)))),"Fix")))</f>
        <v xml:space="preserve"> </v>
      </c>
      <c r="O868" s="4" t="str">
        <f ca="1">IF(OR(INDEX($X$2:$X$1001,MATCH(ROWS($W$2:W868),$W$2:$W$1001,0),1)&gt;=100000,INDEX($AD$1005:$AU$1005,1,MATCH(COLUMNS($AD$1006:AQ1006),$AD$1006:$AU$1006,0))&gt;=100000), " ",IF(INDEX($AD$2:$AU$1001,MATCH(ROWS($W$2:W868),$W$2:$W$1001,0),MATCH(COLUMNS($AD$1006:AQ1006),$AD$1006:$AU$1006,0)), HYPERLINK("#",""), HYPERLINK(CONCATENATE("#metadata!", ADDRESS(INDEX($Y$2:$Y$1001,MATCH(ROWS($W$2:W868),$W$2:$W$1001,0),0), INDEX($AD$1004:$AU$1004,1,MATCH(COLUMNS($AD$1006:AQ1006),$AD$1006:$AU$1006,0)))),"Fix")))</f>
        <v xml:space="preserve"> </v>
      </c>
      <c r="P868" s="4" t="str">
        <f ca="1">IF(OR(INDEX($X$2:$X$1001,MATCH(ROWS($W$2:W868),$W$2:$W$1001,0),1)&gt;=100000,INDEX($AD$1005:$AU$1005,1,MATCH(COLUMNS($AD$1006:AR1006),$AD$1006:$AU$1006,0))&gt;=100000), " ",IF(INDEX($AD$2:$AU$1001,MATCH(ROWS($W$2:W868),$W$2:$W$1001,0),MATCH(COLUMNS($AD$1006:AR1006),$AD$1006:$AU$1006,0)), HYPERLINK("#",""), HYPERLINK(CONCATENATE("#metadata!", ADDRESS(INDEX($Y$2:$Y$1001,MATCH(ROWS($W$2:W868),$W$2:$W$1001,0),0), INDEX($AD$1004:$AU$1004,1,MATCH(COLUMNS($AD$1006:AR1006),$AD$1006:$AU$1006,0)))),"Fix")))</f>
        <v xml:space="preserve"> </v>
      </c>
      <c r="Q868" s="4" t="str">
        <f ca="1">IF(OR(INDEX($X$2:$X$1001,MATCH(ROWS($W$2:W868),$W$2:$W$1001,0),1)&gt;=100000,INDEX($AD$1005:$AU$1005,1,MATCH(COLUMNS($AD$1006:AS1006),$AD$1006:$AU$1006,0))&gt;=100000), " ",IF(INDEX($AD$2:$AU$1001,MATCH(ROWS($W$2:W868),$W$2:$W$1001,0),MATCH(COLUMNS($AD$1006:AS1006),$AD$1006:$AU$1006,0)), HYPERLINK("#",""), HYPERLINK(CONCATENATE("#metadata!", ADDRESS(INDEX($Y$2:$Y$1001,MATCH(ROWS($W$2:W868),$W$2:$W$1001,0),0), INDEX($AD$1004:$AU$1004,1,MATCH(COLUMNS($AD$1006:AS1006),$AD$1006:$AU$1006,0)))),"Fix")))</f>
        <v xml:space="preserve"> </v>
      </c>
      <c r="R868" s="4" t="str">
        <f ca="1">IF(OR(INDEX($X$2:$X$1001,MATCH(ROWS($W$2:W868),$W$2:$W$1001,0),1)&gt;=100000,INDEX($AD$1005:$AU$1005,1,MATCH(COLUMNS($AD$1006:AT1006),$AD$1006:$AU$1006,0))&gt;=100000), " ",IF(INDEX($AD$2:$AU$1001,MATCH(ROWS($W$2:W868),$W$2:$W$1001,0),MATCH(COLUMNS($AD$1006:AT1006),$AD$1006:$AU$1006,0)), HYPERLINK("#",""), HYPERLINK(CONCATENATE("#metadata!", ADDRESS(INDEX($Y$2:$Y$1001,MATCH(ROWS($W$2:W868),$W$2:$W$1001,0),0), INDEX($AD$1004:$AU$1004,1,MATCH(COLUMNS($AD$1006:AT1006),$AD$1006:$AU$1006,0)))),"Fix")))</f>
        <v xml:space="preserve"> </v>
      </c>
      <c r="S868" s="4" t="str">
        <f ca="1">IF(OR(INDEX($X$2:$X$1001,MATCH(ROWS($W$2:W868),$W$2:$W$1001,0),1)&gt;=100000,INDEX($AD$1005:$AU$1005,1,MATCH(COLUMNS($AD$1006:AU1006),$AD$1006:$AU$1006,0))&gt;=100000), " ",IF(INDEX($AD$2:$AU$1001,MATCH(ROWS($W$2:W868),$W$2:$W$1001,0),MATCH(COLUMNS($AD$1006:AU1006),$AD$1006:$AU$1006,0)), HYPERLINK("#",""), HYPERLINK(CONCATENATE("#metadata!", ADDRESS(INDEX($Y$2:$Y$1001,MATCH(ROWS($W$2:W868),$W$2:$W$1001,0),0), INDEX($AD$1004:$AU$1004,1,MATCH(COLUMNS($AD$1006:AU1006),$AD$1006:$AU$1006,0)))),"Fix")))</f>
        <v xml:space="preserve"> </v>
      </c>
      <c r="W868">
        <v>867</v>
      </c>
      <c r="X868">
        <v>100868</v>
      </c>
      <c r="Y868">
        <v>868</v>
      </c>
      <c r="Z868" t="b">
        <f t="shared" si="13"/>
        <v>1</v>
      </c>
      <c r="AA868" t="b">
        <f>COUNTBLANK(metadata!B868:S868)=COLUMNS(metadata!B868:S868)</f>
        <v>1</v>
      </c>
      <c r="AB868" t="str">
        <v/>
      </c>
      <c r="AD868" t="b">
        <f ca="1">AND(IF(metadata!B868="",FALSE,TRUE),COUNTIF(metadata!B:B, metadata!B868) = 1,NOT(ISERROR(SUMPRODUCT(SEARCH(MID(metadata!B868,ROW(INDIRECT("1:"&amp;LEN(metadata!B868))), 1),"0123456789abcdefghijklmnopqrstuvwxyzABCDEFGHIJKLMNOPQRSTUVWXYZ.")))))</f>
        <v>0</v>
      </c>
      <c r="AE868" t="b">
        <f>OR(AND(IF(metadata!C868="",FALSE,TRUE),OR(EXACT(metadata!C868,"not applicable"),EXACT(metadata!C868,"missing: not collected"),EXACT(metadata!C868,"missing: not provided"),EXACT(metadata!C868,"missing: restricted access"))),AND(IF(metadata!C868="",FALSE,ISNUMBER(VALUE(metadata!C868))),metadata!C868&gt;0))</f>
        <v>0</v>
      </c>
      <c r="AF868" t="b">
        <f>AND(IF(metadata!D868="",FALSE,TRUE),EXACT(metadata!D868,"missing: not provided"))</f>
        <v>0</v>
      </c>
      <c r="AG868" t="b">
        <f>AND(IF(metadata!E868="",FALSE,TRUE),EXACT(metadata!E868,"Host-associated"))</f>
        <v>0</v>
      </c>
      <c r="AH868" t="b">
        <f>AND(IF(metadata!F868="",FALSE,TRUE),OR(EXACT(metadata!F868,"Animal"),EXACT(metadata!F868,"Fungus"),EXACT(metadata!F868,"Plant")))</f>
        <v>0</v>
      </c>
      <c r="AI868" t="b">
        <f>AND(IF(metadata!G868="",FALSE,TRUE),OR(EXACT(metadata!G868,"Plant secretion"),EXACT(metadata!G868,"Plant rhizosphere"),EXACT(metadata!G868,"Plant surface"),EXACT(metadata!G868,"Plant corpus"),EXACT(metadata!G868,"Fungus surface"),EXACT(metadata!G868,"Fungus corpus"),EXACT(metadata!G868,"Animal surface"),EXACT(metadata!G868,"Animal proximal gut"),EXACT(metadata!G868,"Animal corpus"),EXACT(metadata!G868,"Animal distal gut"),EXACT(metadata!G868,"Animal secretion")))</f>
        <v>0</v>
      </c>
      <c r="AJ868" t="b">
        <f>OR(AND(IF(metadata!H868="",FALSE,TRUE),OR(EXACT(metadata!H868,"missing: not collected"),EXACT(metadata!H868,"missing: not provided"),EXACT(metadata!H868,"missing: restricted access"))),AND(IF(metadata!H868="",FALSE,TRUE),OR(EXACT(metadata!H868,"organism-associated habitat"),EXACT(metadata!H868,"plant-associated habitat"),EXACT(metadata!H868,"animal-associated habitat"),EXACT(metadata!H868,"insecta-associated habitat"),EXACT(metadata!H868,"mammalia-associated habitat"),EXACT(metadata!H868,"human-associated habitat"),EXACT(metadata!H868,"livestock-associated habitat"))))</f>
        <v>0</v>
      </c>
      <c r="AK868" t="b">
        <f>AND(IF(metadata!I868="",FALSE,TRUE),EXACT(metadata!I868,"host-associated"))</f>
        <v>0</v>
      </c>
      <c r="AL868" t="b">
        <f>OR(AND(IF(metadata!J868="",FALSE,TRUE),OR(EXACT(metadata!J868,"not applicable"),EXACT(metadata!J868,"missing: not collected"),EXACT(metadata!J868,"missing: not provided"),EXACT(metadata!J868,"missing: restricted access"))),AND(IF(metadata!J868="",FALSE,ISNUMBER(VALUE(metadata!J868))),metadata!J868&gt;0))</f>
        <v>0</v>
      </c>
      <c r="AM868" t="b">
        <f>AND(IF(metadata!K868="",FALSE,TRUE),EXACT(metadata!K868,"missing: not provided"))</f>
        <v>0</v>
      </c>
      <c r="AN868" t="b">
        <f>IF(metadata!L868="",FALSE,TRUE)</f>
        <v>0</v>
      </c>
      <c r="AO868" t="b">
        <f>IF(metadata!M868="",FALSE,TRUE)</f>
        <v>0</v>
      </c>
      <c r="AP868" t="b">
        <f>OR(AND(IF(metadata!N868="",FALSE,TRUE),OR(EXACT(metadata!N868,"not applicable"),EXACT(metadata!N868,"missing: not collected"),EXACT(metadata!N868,"missing: not provided"))),AND(IF(metadata!N868="",FALSE,IF(ISERROR(INT(metadata!N868)),FALSE,INT(metadata!N868)=metadata!N868)),metadata!N868&gt;0))</f>
        <v>0</v>
      </c>
      <c r="AQ868" t="b">
        <f>AND(IF(metadata!O868="",FALSE,TRUE),EXACT(metadata!O868,"Not applicable"))</f>
        <v>0</v>
      </c>
      <c r="AR868" t="b">
        <f>OR(AND(IF(metadata!P868="",FALSE,TRUE),OR(EXACT(metadata!P868,"not applicable"),EXACT(metadata!P868,"missing: not collected"),EXACT(metadata!P868,"missing: not provided"),EXACT(metadata!P868,"missing: restricted access"))),IF(metadata!P868="",FALSE,IF(ISERROR(INT(metadata!P868)),FALSE,INT(metadata!P868)=metadata!P868)))</f>
        <v>0</v>
      </c>
      <c r="AS868" t="b">
        <f>AND(IF(metadata!Q868="",FALSE,TRUE),EXACT(metadata!Q868,"Not applicable"))</f>
        <v>0</v>
      </c>
      <c r="AT868" t="b">
        <f>OR(AND(IF(metadata!R868="",FALSE,TRUE),OR(EXACT(metadata!R868,"not applicable"),EXACT(metadata!R868,"missing: not collected"),EXACT(metadata!R868,"missing: not provided"),EXACT(metadata!R868,"missing: restricted access"))),AND(IF(metadata!R868="",FALSE,ISNUMBER(VALUE(metadata!R868))),metadata!R868&gt;0))</f>
        <v>0</v>
      </c>
      <c r="AU868" t="b">
        <f>AND(IF(metadata!S868="",FALSE,TRUE),EXACT(metadata!S868,"missing: not provided"))</f>
        <v>0</v>
      </c>
    </row>
    <row r="869" spans="1:47" x14ac:dyDescent="0.2">
      <c r="A869" s="5" t="str">
        <f ca="1">IF(B869=" "," ",HYPERLINK(CONCATENATE("#metadata!",ADDRESS(INDEX($Y$2:$Y$1001,MATCH(ROWS($W$2:W869),$W$2:$W$1001,0),0),1)),INDEX($AB$2:$AB$1001,MATCH(ROWS($W$2:W869),$W$2:$W$1001,0),0)))</f>
        <v xml:space="preserve"> </v>
      </c>
      <c r="B869" s="4" t="str">
        <f ca="1">IF(OR(INDEX($X$2:$X$1001,MATCH(ROWS($W$2:W869),$W$2:$W$1001,0),1)&gt;=100000,INDEX($AD$1005:$AU$1005,1,MATCH(COLUMNS($AD$1006:AD1006),$AD$1006:$AU$1006,0))&gt;=100000), " ",IF(INDEX($AD$2:$AU$1001,MATCH(ROWS($W$2:W869),$W$2:$W$1001,0),MATCH(COLUMNS($AD$1006:AD1006),$AD$1006:$AU$1006,0)), HYPERLINK("#",""), HYPERLINK(CONCATENATE("#metadata!", ADDRESS(INDEX($Y$2:$Y$1001,MATCH(ROWS($W$2:W869),$W$2:$W$1001,0),0), INDEX($AD$1004:$AU$1004,1,MATCH(COLUMNS($AD$1006:AD1006),$AD$1006:$AU$1006,0)))),"Fix")))</f>
        <v xml:space="preserve"> </v>
      </c>
      <c r="C869" s="4" t="str">
        <f ca="1">IF(OR(INDEX($X$2:$X$1001,MATCH(ROWS($W$2:W869),$W$2:$W$1001,0),1)&gt;=100000,INDEX($AD$1005:$AU$1005,1,MATCH(COLUMNS($AD$1006:AE1006),$AD$1006:$AU$1006,0))&gt;=100000), " ",IF(INDEX($AD$2:$AU$1001,MATCH(ROWS($W$2:W869),$W$2:$W$1001,0),MATCH(COLUMNS($AD$1006:AE1006),$AD$1006:$AU$1006,0)), HYPERLINK("#",""), HYPERLINK(CONCATENATE("#metadata!", ADDRESS(INDEX($Y$2:$Y$1001,MATCH(ROWS($W$2:W869),$W$2:$W$1001,0),0), INDEX($AD$1004:$AU$1004,1,MATCH(COLUMNS($AD$1006:AE1006),$AD$1006:$AU$1006,0)))),"Fix")))</f>
        <v xml:space="preserve"> </v>
      </c>
      <c r="D869" s="4" t="str">
        <f ca="1">IF(OR(INDEX($X$2:$X$1001,MATCH(ROWS($W$2:W869),$W$2:$W$1001,0),1)&gt;=100000,INDEX($AD$1005:$AU$1005,1,MATCH(COLUMNS($AD$1006:AF1006),$AD$1006:$AU$1006,0))&gt;=100000), " ",IF(INDEX($AD$2:$AU$1001,MATCH(ROWS($W$2:W869),$W$2:$W$1001,0),MATCH(COLUMNS($AD$1006:AF1006),$AD$1006:$AU$1006,0)), HYPERLINK("#",""), HYPERLINK(CONCATENATE("#metadata!", ADDRESS(INDEX($Y$2:$Y$1001,MATCH(ROWS($W$2:W869),$W$2:$W$1001,0),0), INDEX($AD$1004:$AU$1004,1,MATCH(COLUMNS($AD$1006:AF1006),$AD$1006:$AU$1006,0)))),"Fix")))</f>
        <v xml:space="preserve"> </v>
      </c>
      <c r="E869" s="4" t="str">
        <f ca="1">IF(OR(INDEX($X$2:$X$1001,MATCH(ROWS($W$2:W869),$W$2:$W$1001,0),1)&gt;=100000,INDEX($AD$1005:$AU$1005,1,MATCH(COLUMNS($AD$1006:AG1006),$AD$1006:$AU$1006,0))&gt;=100000), " ",IF(INDEX($AD$2:$AU$1001,MATCH(ROWS($W$2:W869),$W$2:$W$1001,0),MATCH(COLUMNS($AD$1006:AG1006),$AD$1006:$AU$1006,0)), HYPERLINK("#",""), HYPERLINK(CONCATENATE("#metadata!", ADDRESS(INDEX($Y$2:$Y$1001,MATCH(ROWS($W$2:W869),$W$2:$W$1001,0),0), INDEX($AD$1004:$AU$1004,1,MATCH(COLUMNS($AD$1006:AG1006),$AD$1006:$AU$1006,0)))),"Fix")))</f>
        <v xml:space="preserve"> </v>
      </c>
      <c r="F869" s="4" t="str">
        <f ca="1">IF(OR(INDEX($X$2:$X$1001,MATCH(ROWS($W$2:W869),$W$2:$W$1001,0),1)&gt;=100000,INDEX($AD$1005:$AU$1005,1,MATCH(COLUMNS($AD$1006:AH1006),$AD$1006:$AU$1006,0))&gt;=100000), " ",IF(INDEX($AD$2:$AU$1001,MATCH(ROWS($W$2:W869),$W$2:$W$1001,0),MATCH(COLUMNS($AD$1006:AH1006),$AD$1006:$AU$1006,0)), HYPERLINK("#",""), HYPERLINK(CONCATENATE("#metadata!", ADDRESS(INDEX($Y$2:$Y$1001,MATCH(ROWS($W$2:W869),$W$2:$W$1001,0),0), INDEX($AD$1004:$AU$1004,1,MATCH(COLUMNS($AD$1006:AH1006),$AD$1006:$AU$1006,0)))),"Fix")))</f>
        <v xml:space="preserve"> </v>
      </c>
      <c r="G869" s="4" t="str">
        <f ca="1">IF(OR(INDEX($X$2:$X$1001,MATCH(ROWS($W$2:W869),$W$2:$W$1001,0),1)&gt;=100000,INDEX($AD$1005:$AU$1005,1,MATCH(COLUMNS($AD$1006:AI1006),$AD$1006:$AU$1006,0))&gt;=100000), " ",IF(INDEX($AD$2:$AU$1001,MATCH(ROWS($W$2:W869),$W$2:$W$1001,0),MATCH(COLUMNS($AD$1006:AI1006),$AD$1006:$AU$1006,0)), HYPERLINK("#",""), HYPERLINK(CONCATENATE("#metadata!", ADDRESS(INDEX($Y$2:$Y$1001,MATCH(ROWS($W$2:W869),$W$2:$W$1001,0),0), INDEX($AD$1004:$AU$1004,1,MATCH(COLUMNS($AD$1006:AI1006),$AD$1006:$AU$1006,0)))),"Fix")))</f>
        <v xml:space="preserve"> </v>
      </c>
      <c r="H869" s="4" t="str">
        <f ca="1">IF(OR(INDEX($X$2:$X$1001,MATCH(ROWS($W$2:W869),$W$2:$W$1001,0),1)&gt;=100000,INDEX($AD$1005:$AU$1005,1,MATCH(COLUMNS($AD$1006:AJ1006),$AD$1006:$AU$1006,0))&gt;=100000), " ",IF(INDEX($AD$2:$AU$1001,MATCH(ROWS($W$2:W869),$W$2:$W$1001,0),MATCH(COLUMNS($AD$1006:AJ1006),$AD$1006:$AU$1006,0)), HYPERLINK("#",""), HYPERLINK(CONCATENATE("#metadata!", ADDRESS(INDEX($Y$2:$Y$1001,MATCH(ROWS($W$2:W869),$W$2:$W$1001,0),0), INDEX($AD$1004:$AU$1004,1,MATCH(COLUMNS($AD$1006:AJ1006),$AD$1006:$AU$1006,0)))),"Fix")))</f>
        <v xml:space="preserve"> </v>
      </c>
      <c r="I869" s="4" t="str">
        <f ca="1">IF(OR(INDEX($X$2:$X$1001,MATCH(ROWS($W$2:W869),$W$2:$W$1001,0),1)&gt;=100000,INDEX($AD$1005:$AU$1005,1,MATCH(COLUMNS($AD$1006:AK1006),$AD$1006:$AU$1006,0))&gt;=100000), " ",IF(INDEX($AD$2:$AU$1001,MATCH(ROWS($W$2:W869),$W$2:$W$1001,0),MATCH(COLUMNS($AD$1006:AK1006),$AD$1006:$AU$1006,0)), HYPERLINK("#",""), HYPERLINK(CONCATENATE("#metadata!", ADDRESS(INDEX($Y$2:$Y$1001,MATCH(ROWS($W$2:W869),$W$2:$W$1001,0),0), INDEX($AD$1004:$AU$1004,1,MATCH(COLUMNS($AD$1006:AK1006),$AD$1006:$AU$1006,0)))),"Fix")))</f>
        <v xml:space="preserve"> </v>
      </c>
      <c r="J869" s="4" t="str">
        <f ca="1">IF(OR(INDEX($X$2:$X$1001,MATCH(ROWS($W$2:W869),$W$2:$W$1001,0),1)&gt;=100000,INDEX($AD$1005:$AU$1005,1,MATCH(COLUMNS($AD$1006:AL1006),$AD$1006:$AU$1006,0))&gt;=100000), " ",IF(INDEX($AD$2:$AU$1001,MATCH(ROWS($W$2:W869),$W$2:$W$1001,0),MATCH(COLUMNS($AD$1006:AL1006),$AD$1006:$AU$1006,0)), HYPERLINK("#",""), HYPERLINK(CONCATENATE("#metadata!", ADDRESS(INDEX($Y$2:$Y$1001,MATCH(ROWS($W$2:W869),$W$2:$W$1001,0),0), INDEX($AD$1004:$AU$1004,1,MATCH(COLUMNS($AD$1006:AL1006),$AD$1006:$AU$1006,0)))),"Fix")))</f>
        <v xml:space="preserve"> </v>
      </c>
      <c r="K869" s="4" t="str">
        <f ca="1">IF(OR(INDEX($X$2:$X$1001,MATCH(ROWS($W$2:W869),$W$2:$W$1001,0),1)&gt;=100000,INDEX($AD$1005:$AU$1005,1,MATCH(COLUMNS($AD$1006:AM1006),$AD$1006:$AU$1006,0))&gt;=100000), " ",IF(INDEX($AD$2:$AU$1001,MATCH(ROWS($W$2:W869),$W$2:$W$1001,0),MATCH(COLUMNS($AD$1006:AM1006),$AD$1006:$AU$1006,0)), HYPERLINK("#",""), HYPERLINK(CONCATENATE("#metadata!", ADDRESS(INDEX($Y$2:$Y$1001,MATCH(ROWS($W$2:W869),$W$2:$W$1001,0),0), INDEX($AD$1004:$AU$1004,1,MATCH(COLUMNS($AD$1006:AM1006),$AD$1006:$AU$1006,0)))),"Fix")))</f>
        <v xml:space="preserve"> </v>
      </c>
      <c r="L869" s="4" t="str">
        <f ca="1">IF(OR(INDEX($X$2:$X$1001,MATCH(ROWS($W$2:W869),$W$2:$W$1001,0),1)&gt;=100000,INDEX($AD$1005:$AU$1005,1,MATCH(COLUMNS($AD$1006:AN1006),$AD$1006:$AU$1006,0))&gt;=100000), " ",IF(INDEX($AD$2:$AU$1001,MATCH(ROWS($W$2:W869),$W$2:$W$1001,0),MATCH(COLUMNS($AD$1006:AN1006),$AD$1006:$AU$1006,0)), HYPERLINK("#",""), HYPERLINK(CONCATENATE("#metadata!", ADDRESS(INDEX($Y$2:$Y$1001,MATCH(ROWS($W$2:W869),$W$2:$W$1001,0),0), INDEX($AD$1004:$AU$1004,1,MATCH(COLUMNS($AD$1006:AN1006),$AD$1006:$AU$1006,0)))),"Fix")))</f>
        <v xml:space="preserve"> </v>
      </c>
      <c r="M869" s="4" t="str">
        <f ca="1">IF(OR(INDEX($X$2:$X$1001,MATCH(ROWS($W$2:W869),$W$2:$W$1001,0),1)&gt;=100000,INDEX($AD$1005:$AU$1005,1,MATCH(COLUMNS($AD$1006:AO1006),$AD$1006:$AU$1006,0))&gt;=100000), " ",IF(INDEX($AD$2:$AU$1001,MATCH(ROWS($W$2:W869),$W$2:$W$1001,0),MATCH(COLUMNS($AD$1006:AO1006),$AD$1006:$AU$1006,0)), HYPERLINK("#",""), HYPERLINK(CONCATENATE("#metadata!", ADDRESS(INDEX($Y$2:$Y$1001,MATCH(ROWS($W$2:W869),$W$2:$W$1001,0),0), INDEX($AD$1004:$AU$1004,1,MATCH(COLUMNS($AD$1006:AO1006),$AD$1006:$AU$1006,0)))),"Fix")))</f>
        <v xml:space="preserve"> </v>
      </c>
      <c r="N869" s="4" t="str">
        <f ca="1">IF(OR(INDEX($X$2:$X$1001,MATCH(ROWS($W$2:W869),$W$2:$W$1001,0),1)&gt;=100000,INDEX($AD$1005:$AU$1005,1,MATCH(COLUMNS($AD$1006:AP1006),$AD$1006:$AU$1006,0))&gt;=100000), " ",IF(INDEX($AD$2:$AU$1001,MATCH(ROWS($W$2:W869),$W$2:$W$1001,0),MATCH(COLUMNS($AD$1006:AP1006),$AD$1006:$AU$1006,0)), HYPERLINK("#",""), HYPERLINK(CONCATENATE("#metadata!", ADDRESS(INDEX($Y$2:$Y$1001,MATCH(ROWS($W$2:W869),$W$2:$W$1001,0),0), INDEX($AD$1004:$AU$1004,1,MATCH(COLUMNS($AD$1006:AP1006),$AD$1006:$AU$1006,0)))),"Fix")))</f>
        <v xml:space="preserve"> </v>
      </c>
      <c r="O869" s="4" t="str">
        <f ca="1">IF(OR(INDEX($X$2:$X$1001,MATCH(ROWS($W$2:W869),$W$2:$W$1001,0),1)&gt;=100000,INDEX($AD$1005:$AU$1005,1,MATCH(COLUMNS($AD$1006:AQ1006),$AD$1006:$AU$1006,0))&gt;=100000), " ",IF(INDEX($AD$2:$AU$1001,MATCH(ROWS($W$2:W869),$W$2:$W$1001,0),MATCH(COLUMNS($AD$1006:AQ1006),$AD$1006:$AU$1006,0)), HYPERLINK("#",""), HYPERLINK(CONCATENATE("#metadata!", ADDRESS(INDEX($Y$2:$Y$1001,MATCH(ROWS($W$2:W869),$W$2:$W$1001,0),0), INDEX($AD$1004:$AU$1004,1,MATCH(COLUMNS($AD$1006:AQ1006),$AD$1006:$AU$1006,0)))),"Fix")))</f>
        <v xml:space="preserve"> </v>
      </c>
      <c r="P869" s="4" t="str">
        <f ca="1">IF(OR(INDEX($X$2:$X$1001,MATCH(ROWS($W$2:W869),$W$2:$W$1001,0),1)&gt;=100000,INDEX($AD$1005:$AU$1005,1,MATCH(COLUMNS($AD$1006:AR1006),$AD$1006:$AU$1006,0))&gt;=100000), " ",IF(INDEX($AD$2:$AU$1001,MATCH(ROWS($W$2:W869),$W$2:$W$1001,0),MATCH(COLUMNS($AD$1006:AR1006),$AD$1006:$AU$1006,0)), HYPERLINK("#",""), HYPERLINK(CONCATENATE("#metadata!", ADDRESS(INDEX($Y$2:$Y$1001,MATCH(ROWS($W$2:W869),$W$2:$W$1001,0),0), INDEX($AD$1004:$AU$1004,1,MATCH(COLUMNS($AD$1006:AR1006),$AD$1006:$AU$1006,0)))),"Fix")))</f>
        <v xml:space="preserve"> </v>
      </c>
      <c r="Q869" s="4" t="str">
        <f ca="1">IF(OR(INDEX($X$2:$X$1001,MATCH(ROWS($W$2:W869),$W$2:$W$1001,0),1)&gt;=100000,INDEX($AD$1005:$AU$1005,1,MATCH(COLUMNS($AD$1006:AS1006),$AD$1006:$AU$1006,0))&gt;=100000), " ",IF(INDEX($AD$2:$AU$1001,MATCH(ROWS($W$2:W869),$W$2:$W$1001,0),MATCH(COLUMNS($AD$1006:AS1006),$AD$1006:$AU$1006,0)), HYPERLINK("#",""), HYPERLINK(CONCATENATE("#metadata!", ADDRESS(INDEX($Y$2:$Y$1001,MATCH(ROWS($W$2:W869),$W$2:$W$1001,0),0), INDEX($AD$1004:$AU$1004,1,MATCH(COLUMNS($AD$1006:AS1006),$AD$1006:$AU$1006,0)))),"Fix")))</f>
        <v xml:space="preserve"> </v>
      </c>
      <c r="R869" s="4" t="str">
        <f ca="1">IF(OR(INDEX($X$2:$X$1001,MATCH(ROWS($W$2:W869),$W$2:$W$1001,0),1)&gt;=100000,INDEX($AD$1005:$AU$1005,1,MATCH(COLUMNS($AD$1006:AT1006),$AD$1006:$AU$1006,0))&gt;=100000), " ",IF(INDEX($AD$2:$AU$1001,MATCH(ROWS($W$2:W869),$W$2:$W$1001,0),MATCH(COLUMNS($AD$1006:AT1006),$AD$1006:$AU$1006,0)), HYPERLINK("#",""), HYPERLINK(CONCATENATE("#metadata!", ADDRESS(INDEX($Y$2:$Y$1001,MATCH(ROWS($W$2:W869),$W$2:$W$1001,0),0), INDEX($AD$1004:$AU$1004,1,MATCH(COLUMNS($AD$1006:AT1006),$AD$1006:$AU$1006,0)))),"Fix")))</f>
        <v xml:space="preserve"> </v>
      </c>
      <c r="S869" s="4" t="str">
        <f ca="1">IF(OR(INDEX($X$2:$X$1001,MATCH(ROWS($W$2:W869),$W$2:$W$1001,0),1)&gt;=100000,INDEX($AD$1005:$AU$1005,1,MATCH(COLUMNS($AD$1006:AU1006),$AD$1006:$AU$1006,0))&gt;=100000), " ",IF(INDEX($AD$2:$AU$1001,MATCH(ROWS($W$2:W869),$W$2:$W$1001,0),MATCH(COLUMNS($AD$1006:AU1006),$AD$1006:$AU$1006,0)), HYPERLINK("#",""), HYPERLINK(CONCATENATE("#metadata!", ADDRESS(INDEX($Y$2:$Y$1001,MATCH(ROWS($W$2:W869),$W$2:$W$1001,0),0), INDEX($AD$1004:$AU$1004,1,MATCH(COLUMNS($AD$1006:AU1006),$AD$1006:$AU$1006,0)))),"Fix")))</f>
        <v xml:space="preserve"> </v>
      </c>
      <c r="W869">
        <v>868</v>
      </c>
      <c r="X869">
        <v>100869</v>
      </c>
      <c r="Y869">
        <v>869</v>
      </c>
      <c r="Z869" t="b">
        <f t="shared" si="13"/>
        <v>1</v>
      </c>
      <c r="AA869" t="b">
        <f>COUNTBLANK(metadata!B869:S869)=COLUMNS(metadata!B869:S869)</f>
        <v>1</v>
      </c>
      <c r="AB869" t="str">
        <v/>
      </c>
      <c r="AD869" t="b">
        <f ca="1">AND(IF(metadata!B869="",FALSE,TRUE),COUNTIF(metadata!B:B, metadata!B869) = 1,NOT(ISERROR(SUMPRODUCT(SEARCH(MID(metadata!B869,ROW(INDIRECT("1:"&amp;LEN(metadata!B869))), 1),"0123456789abcdefghijklmnopqrstuvwxyzABCDEFGHIJKLMNOPQRSTUVWXYZ.")))))</f>
        <v>0</v>
      </c>
      <c r="AE869" t="b">
        <f>OR(AND(IF(metadata!C869="",FALSE,TRUE),OR(EXACT(metadata!C869,"not applicable"),EXACT(metadata!C869,"missing: not collected"),EXACT(metadata!C869,"missing: not provided"),EXACT(metadata!C869,"missing: restricted access"))),AND(IF(metadata!C869="",FALSE,ISNUMBER(VALUE(metadata!C869))),metadata!C869&gt;0))</f>
        <v>0</v>
      </c>
      <c r="AF869" t="b">
        <f>AND(IF(metadata!D869="",FALSE,TRUE),EXACT(metadata!D869,"missing: not provided"))</f>
        <v>0</v>
      </c>
      <c r="AG869" t="b">
        <f>AND(IF(metadata!E869="",FALSE,TRUE),EXACT(metadata!E869,"Host-associated"))</f>
        <v>0</v>
      </c>
      <c r="AH869" t="b">
        <f>AND(IF(metadata!F869="",FALSE,TRUE),OR(EXACT(metadata!F869,"Animal"),EXACT(metadata!F869,"Fungus"),EXACT(metadata!F869,"Plant")))</f>
        <v>0</v>
      </c>
      <c r="AI869" t="b">
        <f>AND(IF(metadata!G869="",FALSE,TRUE),OR(EXACT(metadata!G869,"Plant secretion"),EXACT(metadata!G869,"Plant rhizosphere"),EXACT(metadata!G869,"Plant surface"),EXACT(metadata!G869,"Plant corpus"),EXACT(metadata!G869,"Fungus surface"),EXACT(metadata!G869,"Fungus corpus"),EXACT(metadata!G869,"Animal surface"),EXACT(metadata!G869,"Animal proximal gut"),EXACT(metadata!G869,"Animal corpus"),EXACT(metadata!G869,"Animal distal gut"),EXACT(metadata!G869,"Animal secretion")))</f>
        <v>0</v>
      </c>
      <c r="AJ869" t="b">
        <f>OR(AND(IF(metadata!H869="",FALSE,TRUE),OR(EXACT(metadata!H869,"missing: not collected"),EXACT(metadata!H869,"missing: not provided"),EXACT(metadata!H869,"missing: restricted access"))),AND(IF(metadata!H869="",FALSE,TRUE),OR(EXACT(metadata!H869,"organism-associated habitat"),EXACT(metadata!H869,"plant-associated habitat"),EXACT(metadata!H869,"animal-associated habitat"),EXACT(metadata!H869,"insecta-associated habitat"),EXACT(metadata!H869,"mammalia-associated habitat"),EXACT(metadata!H869,"human-associated habitat"),EXACT(metadata!H869,"livestock-associated habitat"))))</f>
        <v>0</v>
      </c>
      <c r="AK869" t="b">
        <f>AND(IF(metadata!I869="",FALSE,TRUE),EXACT(metadata!I869,"host-associated"))</f>
        <v>0</v>
      </c>
      <c r="AL869" t="b">
        <f>OR(AND(IF(metadata!J869="",FALSE,TRUE),OR(EXACT(metadata!J869,"not applicable"),EXACT(metadata!J869,"missing: not collected"),EXACT(metadata!J869,"missing: not provided"),EXACT(metadata!J869,"missing: restricted access"))),AND(IF(metadata!J869="",FALSE,ISNUMBER(VALUE(metadata!J869))),metadata!J869&gt;0))</f>
        <v>0</v>
      </c>
      <c r="AM869" t="b">
        <f>AND(IF(metadata!K869="",FALSE,TRUE),EXACT(metadata!K869,"missing: not provided"))</f>
        <v>0</v>
      </c>
      <c r="AN869" t="b">
        <f>IF(metadata!L869="",FALSE,TRUE)</f>
        <v>0</v>
      </c>
      <c r="AO869" t="b">
        <f>IF(metadata!M869="",FALSE,TRUE)</f>
        <v>0</v>
      </c>
      <c r="AP869" t="b">
        <f>OR(AND(IF(metadata!N869="",FALSE,TRUE),OR(EXACT(metadata!N869,"not applicable"),EXACT(metadata!N869,"missing: not collected"),EXACT(metadata!N869,"missing: not provided"))),AND(IF(metadata!N869="",FALSE,IF(ISERROR(INT(metadata!N869)),FALSE,INT(metadata!N869)=metadata!N869)),metadata!N869&gt;0))</f>
        <v>0</v>
      </c>
      <c r="AQ869" t="b">
        <f>AND(IF(metadata!O869="",FALSE,TRUE),EXACT(metadata!O869,"Not applicable"))</f>
        <v>0</v>
      </c>
      <c r="AR869" t="b">
        <f>OR(AND(IF(metadata!P869="",FALSE,TRUE),OR(EXACT(metadata!P869,"not applicable"),EXACT(metadata!P869,"missing: not collected"),EXACT(metadata!P869,"missing: not provided"),EXACT(metadata!P869,"missing: restricted access"))),IF(metadata!P869="",FALSE,IF(ISERROR(INT(metadata!P869)),FALSE,INT(metadata!P869)=metadata!P869)))</f>
        <v>0</v>
      </c>
      <c r="AS869" t="b">
        <f>AND(IF(metadata!Q869="",FALSE,TRUE),EXACT(metadata!Q869,"Not applicable"))</f>
        <v>0</v>
      </c>
      <c r="AT869" t="b">
        <f>OR(AND(IF(metadata!R869="",FALSE,TRUE),OR(EXACT(metadata!R869,"not applicable"),EXACT(metadata!R869,"missing: not collected"),EXACT(metadata!R869,"missing: not provided"),EXACT(metadata!R869,"missing: restricted access"))),AND(IF(metadata!R869="",FALSE,ISNUMBER(VALUE(metadata!R869))),metadata!R869&gt;0))</f>
        <v>0</v>
      </c>
      <c r="AU869" t="b">
        <f>AND(IF(metadata!S869="",FALSE,TRUE),EXACT(metadata!S869,"missing: not provided"))</f>
        <v>0</v>
      </c>
    </row>
    <row r="870" spans="1:47" x14ac:dyDescent="0.2">
      <c r="A870" s="5" t="str">
        <f ca="1">IF(B870=" "," ",HYPERLINK(CONCATENATE("#metadata!",ADDRESS(INDEX($Y$2:$Y$1001,MATCH(ROWS($W$2:W870),$W$2:$W$1001,0),0),1)),INDEX($AB$2:$AB$1001,MATCH(ROWS($W$2:W870),$W$2:$W$1001,0),0)))</f>
        <v xml:space="preserve"> </v>
      </c>
      <c r="B870" s="4" t="str">
        <f ca="1">IF(OR(INDEX($X$2:$X$1001,MATCH(ROWS($W$2:W870),$W$2:$W$1001,0),1)&gt;=100000,INDEX($AD$1005:$AU$1005,1,MATCH(COLUMNS($AD$1006:AD1006),$AD$1006:$AU$1006,0))&gt;=100000), " ",IF(INDEX($AD$2:$AU$1001,MATCH(ROWS($W$2:W870),$W$2:$W$1001,0),MATCH(COLUMNS($AD$1006:AD1006),$AD$1006:$AU$1006,0)), HYPERLINK("#",""), HYPERLINK(CONCATENATE("#metadata!", ADDRESS(INDEX($Y$2:$Y$1001,MATCH(ROWS($W$2:W870),$W$2:$W$1001,0),0), INDEX($AD$1004:$AU$1004,1,MATCH(COLUMNS($AD$1006:AD1006),$AD$1006:$AU$1006,0)))),"Fix")))</f>
        <v xml:space="preserve"> </v>
      </c>
      <c r="C870" s="4" t="str">
        <f ca="1">IF(OR(INDEX($X$2:$X$1001,MATCH(ROWS($W$2:W870),$W$2:$W$1001,0),1)&gt;=100000,INDEX($AD$1005:$AU$1005,1,MATCH(COLUMNS($AD$1006:AE1006),$AD$1006:$AU$1006,0))&gt;=100000), " ",IF(INDEX($AD$2:$AU$1001,MATCH(ROWS($W$2:W870),$W$2:$W$1001,0),MATCH(COLUMNS($AD$1006:AE1006),$AD$1006:$AU$1006,0)), HYPERLINK("#",""), HYPERLINK(CONCATENATE("#metadata!", ADDRESS(INDEX($Y$2:$Y$1001,MATCH(ROWS($W$2:W870),$W$2:$W$1001,0),0), INDEX($AD$1004:$AU$1004,1,MATCH(COLUMNS($AD$1006:AE1006),$AD$1006:$AU$1006,0)))),"Fix")))</f>
        <v xml:space="preserve"> </v>
      </c>
      <c r="D870" s="4" t="str">
        <f ca="1">IF(OR(INDEX($X$2:$X$1001,MATCH(ROWS($W$2:W870),$W$2:$W$1001,0),1)&gt;=100000,INDEX($AD$1005:$AU$1005,1,MATCH(COLUMNS($AD$1006:AF1006),$AD$1006:$AU$1006,0))&gt;=100000), " ",IF(INDEX($AD$2:$AU$1001,MATCH(ROWS($W$2:W870),$W$2:$W$1001,0),MATCH(COLUMNS($AD$1006:AF1006),$AD$1006:$AU$1006,0)), HYPERLINK("#",""), HYPERLINK(CONCATENATE("#metadata!", ADDRESS(INDEX($Y$2:$Y$1001,MATCH(ROWS($W$2:W870),$W$2:$W$1001,0),0), INDEX($AD$1004:$AU$1004,1,MATCH(COLUMNS($AD$1006:AF1006),$AD$1006:$AU$1006,0)))),"Fix")))</f>
        <v xml:space="preserve"> </v>
      </c>
      <c r="E870" s="4" t="str">
        <f ca="1">IF(OR(INDEX($X$2:$X$1001,MATCH(ROWS($W$2:W870),$W$2:$W$1001,0),1)&gt;=100000,INDEX($AD$1005:$AU$1005,1,MATCH(COLUMNS($AD$1006:AG1006),$AD$1006:$AU$1006,0))&gt;=100000), " ",IF(INDEX($AD$2:$AU$1001,MATCH(ROWS($W$2:W870),$W$2:$W$1001,0),MATCH(COLUMNS($AD$1006:AG1006),$AD$1006:$AU$1006,0)), HYPERLINK("#",""), HYPERLINK(CONCATENATE("#metadata!", ADDRESS(INDEX($Y$2:$Y$1001,MATCH(ROWS($W$2:W870),$W$2:$W$1001,0),0), INDEX($AD$1004:$AU$1004,1,MATCH(COLUMNS($AD$1006:AG1006),$AD$1006:$AU$1006,0)))),"Fix")))</f>
        <v xml:space="preserve"> </v>
      </c>
      <c r="F870" s="4" t="str">
        <f ca="1">IF(OR(INDEX($X$2:$X$1001,MATCH(ROWS($W$2:W870),$W$2:$W$1001,0),1)&gt;=100000,INDEX($AD$1005:$AU$1005,1,MATCH(COLUMNS($AD$1006:AH1006),$AD$1006:$AU$1006,0))&gt;=100000), " ",IF(INDEX($AD$2:$AU$1001,MATCH(ROWS($W$2:W870),$W$2:$W$1001,0),MATCH(COLUMNS($AD$1006:AH1006),$AD$1006:$AU$1006,0)), HYPERLINK("#",""), HYPERLINK(CONCATENATE("#metadata!", ADDRESS(INDEX($Y$2:$Y$1001,MATCH(ROWS($W$2:W870),$W$2:$W$1001,0),0), INDEX($AD$1004:$AU$1004,1,MATCH(COLUMNS($AD$1006:AH1006),$AD$1006:$AU$1006,0)))),"Fix")))</f>
        <v xml:space="preserve"> </v>
      </c>
      <c r="G870" s="4" t="str">
        <f ca="1">IF(OR(INDEX($X$2:$X$1001,MATCH(ROWS($W$2:W870),$W$2:$W$1001,0),1)&gt;=100000,INDEX($AD$1005:$AU$1005,1,MATCH(COLUMNS($AD$1006:AI1006),$AD$1006:$AU$1006,0))&gt;=100000), " ",IF(INDEX($AD$2:$AU$1001,MATCH(ROWS($W$2:W870),$W$2:$W$1001,0),MATCH(COLUMNS($AD$1006:AI1006),$AD$1006:$AU$1006,0)), HYPERLINK("#",""), HYPERLINK(CONCATENATE("#metadata!", ADDRESS(INDEX($Y$2:$Y$1001,MATCH(ROWS($W$2:W870),$W$2:$W$1001,0),0), INDEX($AD$1004:$AU$1004,1,MATCH(COLUMNS($AD$1006:AI1006),$AD$1006:$AU$1006,0)))),"Fix")))</f>
        <v xml:space="preserve"> </v>
      </c>
      <c r="H870" s="4" t="str">
        <f ca="1">IF(OR(INDEX($X$2:$X$1001,MATCH(ROWS($W$2:W870),$W$2:$W$1001,0),1)&gt;=100000,INDEX($AD$1005:$AU$1005,1,MATCH(COLUMNS($AD$1006:AJ1006),$AD$1006:$AU$1006,0))&gt;=100000), " ",IF(INDEX($AD$2:$AU$1001,MATCH(ROWS($W$2:W870),$W$2:$W$1001,0),MATCH(COLUMNS($AD$1006:AJ1006),$AD$1006:$AU$1006,0)), HYPERLINK("#",""), HYPERLINK(CONCATENATE("#metadata!", ADDRESS(INDEX($Y$2:$Y$1001,MATCH(ROWS($W$2:W870),$W$2:$W$1001,0),0), INDEX($AD$1004:$AU$1004,1,MATCH(COLUMNS($AD$1006:AJ1006),$AD$1006:$AU$1006,0)))),"Fix")))</f>
        <v xml:space="preserve"> </v>
      </c>
      <c r="I870" s="4" t="str">
        <f ca="1">IF(OR(INDEX($X$2:$X$1001,MATCH(ROWS($W$2:W870),$W$2:$W$1001,0),1)&gt;=100000,INDEX($AD$1005:$AU$1005,1,MATCH(COLUMNS($AD$1006:AK1006),$AD$1006:$AU$1006,0))&gt;=100000), " ",IF(INDEX($AD$2:$AU$1001,MATCH(ROWS($W$2:W870),$W$2:$W$1001,0),MATCH(COLUMNS($AD$1006:AK1006),$AD$1006:$AU$1006,0)), HYPERLINK("#",""), HYPERLINK(CONCATENATE("#metadata!", ADDRESS(INDEX($Y$2:$Y$1001,MATCH(ROWS($W$2:W870),$W$2:$W$1001,0),0), INDEX($AD$1004:$AU$1004,1,MATCH(COLUMNS($AD$1006:AK1006),$AD$1006:$AU$1006,0)))),"Fix")))</f>
        <v xml:space="preserve"> </v>
      </c>
      <c r="J870" s="4" t="str">
        <f ca="1">IF(OR(INDEX($X$2:$X$1001,MATCH(ROWS($W$2:W870),$W$2:$W$1001,0),1)&gt;=100000,INDEX($AD$1005:$AU$1005,1,MATCH(COLUMNS($AD$1006:AL1006),$AD$1006:$AU$1006,0))&gt;=100000), " ",IF(INDEX($AD$2:$AU$1001,MATCH(ROWS($W$2:W870),$W$2:$W$1001,0),MATCH(COLUMNS($AD$1006:AL1006),$AD$1006:$AU$1006,0)), HYPERLINK("#",""), HYPERLINK(CONCATENATE("#metadata!", ADDRESS(INDEX($Y$2:$Y$1001,MATCH(ROWS($W$2:W870),$W$2:$W$1001,0),0), INDEX($AD$1004:$AU$1004,1,MATCH(COLUMNS($AD$1006:AL1006),$AD$1006:$AU$1006,0)))),"Fix")))</f>
        <v xml:space="preserve"> </v>
      </c>
      <c r="K870" s="4" t="str">
        <f ca="1">IF(OR(INDEX($X$2:$X$1001,MATCH(ROWS($W$2:W870),$W$2:$W$1001,0),1)&gt;=100000,INDEX($AD$1005:$AU$1005,1,MATCH(COLUMNS($AD$1006:AM1006),$AD$1006:$AU$1006,0))&gt;=100000), " ",IF(INDEX($AD$2:$AU$1001,MATCH(ROWS($W$2:W870),$W$2:$W$1001,0),MATCH(COLUMNS($AD$1006:AM1006),$AD$1006:$AU$1006,0)), HYPERLINK("#",""), HYPERLINK(CONCATENATE("#metadata!", ADDRESS(INDEX($Y$2:$Y$1001,MATCH(ROWS($W$2:W870),$W$2:$W$1001,0),0), INDEX($AD$1004:$AU$1004,1,MATCH(COLUMNS($AD$1006:AM1006),$AD$1006:$AU$1006,0)))),"Fix")))</f>
        <v xml:space="preserve"> </v>
      </c>
      <c r="L870" s="4" t="str">
        <f ca="1">IF(OR(INDEX($X$2:$X$1001,MATCH(ROWS($W$2:W870),$W$2:$W$1001,0),1)&gt;=100000,INDEX($AD$1005:$AU$1005,1,MATCH(COLUMNS($AD$1006:AN1006),$AD$1006:$AU$1006,0))&gt;=100000), " ",IF(INDEX($AD$2:$AU$1001,MATCH(ROWS($W$2:W870),$W$2:$W$1001,0),MATCH(COLUMNS($AD$1006:AN1006),$AD$1006:$AU$1006,0)), HYPERLINK("#",""), HYPERLINK(CONCATENATE("#metadata!", ADDRESS(INDEX($Y$2:$Y$1001,MATCH(ROWS($W$2:W870),$W$2:$W$1001,0),0), INDEX($AD$1004:$AU$1004,1,MATCH(COLUMNS($AD$1006:AN1006),$AD$1006:$AU$1006,0)))),"Fix")))</f>
        <v xml:space="preserve"> </v>
      </c>
      <c r="M870" s="4" t="str">
        <f ca="1">IF(OR(INDEX($X$2:$X$1001,MATCH(ROWS($W$2:W870),$W$2:$W$1001,0),1)&gt;=100000,INDEX($AD$1005:$AU$1005,1,MATCH(COLUMNS($AD$1006:AO1006),$AD$1006:$AU$1006,0))&gt;=100000), " ",IF(INDEX($AD$2:$AU$1001,MATCH(ROWS($W$2:W870),$W$2:$W$1001,0),MATCH(COLUMNS($AD$1006:AO1006),$AD$1006:$AU$1006,0)), HYPERLINK("#",""), HYPERLINK(CONCATENATE("#metadata!", ADDRESS(INDEX($Y$2:$Y$1001,MATCH(ROWS($W$2:W870),$W$2:$W$1001,0),0), INDEX($AD$1004:$AU$1004,1,MATCH(COLUMNS($AD$1006:AO1006),$AD$1006:$AU$1006,0)))),"Fix")))</f>
        <v xml:space="preserve"> </v>
      </c>
      <c r="N870" s="4" t="str">
        <f ca="1">IF(OR(INDEX($X$2:$X$1001,MATCH(ROWS($W$2:W870),$W$2:$W$1001,0),1)&gt;=100000,INDEX($AD$1005:$AU$1005,1,MATCH(COLUMNS($AD$1006:AP1006),$AD$1006:$AU$1006,0))&gt;=100000), " ",IF(INDEX($AD$2:$AU$1001,MATCH(ROWS($W$2:W870),$W$2:$W$1001,0),MATCH(COLUMNS($AD$1006:AP1006),$AD$1006:$AU$1006,0)), HYPERLINK("#",""), HYPERLINK(CONCATENATE("#metadata!", ADDRESS(INDEX($Y$2:$Y$1001,MATCH(ROWS($W$2:W870),$W$2:$W$1001,0),0), INDEX($AD$1004:$AU$1004,1,MATCH(COLUMNS($AD$1006:AP1006),$AD$1006:$AU$1006,0)))),"Fix")))</f>
        <v xml:space="preserve"> </v>
      </c>
      <c r="O870" s="4" t="str">
        <f ca="1">IF(OR(INDEX($X$2:$X$1001,MATCH(ROWS($W$2:W870),$W$2:$W$1001,0),1)&gt;=100000,INDEX($AD$1005:$AU$1005,1,MATCH(COLUMNS($AD$1006:AQ1006),$AD$1006:$AU$1006,0))&gt;=100000), " ",IF(INDEX($AD$2:$AU$1001,MATCH(ROWS($W$2:W870),$W$2:$W$1001,0),MATCH(COLUMNS($AD$1006:AQ1006),$AD$1006:$AU$1006,0)), HYPERLINK("#",""), HYPERLINK(CONCATENATE("#metadata!", ADDRESS(INDEX($Y$2:$Y$1001,MATCH(ROWS($W$2:W870),$W$2:$W$1001,0),0), INDEX($AD$1004:$AU$1004,1,MATCH(COLUMNS($AD$1006:AQ1006),$AD$1006:$AU$1006,0)))),"Fix")))</f>
        <v xml:space="preserve"> </v>
      </c>
      <c r="P870" s="4" t="str">
        <f ca="1">IF(OR(INDEX($X$2:$X$1001,MATCH(ROWS($W$2:W870),$W$2:$W$1001,0),1)&gt;=100000,INDEX($AD$1005:$AU$1005,1,MATCH(COLUMNS($AD$1006:AR1006),$AD$1006:$AU$1006,0))&gt;=100000), " ",IF(INDEX($AD$2:$AU$1001,MATCH(ROWS($W$2:W870),$W$2:$W$1001,0),MATCH(COLUMNS($AD$1006:AR1006),$AD$1006:$AU$1006,0)), HYPERLINK("#",""), HYPERLINK(CONCATENATE("#metadata!", ADDRESS(INDEX($Y$2:$Y$1001,MATCH(ROWS($W$2:W870),$W$2:$W$1001,0),0), INDEX($AD$1004:$AU$1004,1,MATCH(COLUMNS($AD$1006:AR1006),$AD$1006:$AU$1006,0)))),"Fix")))</f>
        <v xml:space="preserve"> </v>
      </c>
      <c r="Q870" s="4" t="str">
        <f ca="1">IF(OR(INDEX($X$2:$X$1001,MATCH(ROWS($W$2:W870),$W$2:$W$1001,0),1)&gt;=100000,INDEX($AD$1005:$AU$1005,1,MATCH(COLUMNS($AD$1006:AS1006),$AD$1006:$AU$1006,0))&gt;=100000), " ",IF(INDEX($AD$2:$AU$1001,MATCH(ROWS($W$2:W870),$W$2:$W$1001,0),MATCH(COLUMNS($AD$1006:AS1006),$AD$1006:$AU$1006,0)), HYPERLINK("#",""), HYPERLINK(CONCATENATE("#metadata!", ADDRESS(INDEX($Y$2:$Y$1001,MATCH(ROWS($W$2:W870),$W$2:$W$1001,0),0), INDEX($AD$1004:$AU$1004,1,MATCH(COLUMNS($AD$1006:AS1006),$AD$1006:$AU$1006,0)))),"Fix")))</f>
        <v xml:space="preserve"> </v>
      </c>
      <c r="R870" s="4" t="str">
        <f ca="1">IF(OR(INDEX($X$2:$X$1001,MATCH(ROWS($W$2:W870),$W$2:$W$1001,0),1)&gt;=100000,INDEX($AD$1005:$AU$1005,1,MATCH(COLUMNS($AD$1006:AT1006),$AD$1006:$AU$1006,0))&gt;=100000), " ",IF(INDEX($AD$2:$AU$1001,MATCH(ROWS($W$2:W870),$W$2:$W$1001,0),MATCH(COLUMNS($AD$1006:AT1006),$AD$1006:$AU$1006,0)), HYPERLINK("#",""), HYPERLINK(CONCATENATE("#metadata!", ADDRESS(INDEX($Y$2:$Y$1001,MATCH(ROWS($W$2:W870),$W$2:$W$1001,0),0), INDEX($AD$1004:$AU$1004,1,MATCH(COLUMNS($AD$1006:AT1006),$AD$1006:$AU$1006,0)))),"Fix")))</f>
        <v xml:space="preserve"> </v>
      </c>
      <c r="S870" s="4" t="str">
        <f ca="1">IF(OR(INDEX($X$2:$X$1001,MATCH(ROWS($W$2:W870),$W$2:$W$1001,0),1)&gt;=100000,INDEX($AD$1005:$AU$1005,1,MATCH(COLUMNS($AD$1006:AU1006),$AD$1006:$AU$1006,0))&gt;=100000), " ",IF(INDEX($AD$2:$AU$1001,MATCH(ROWS($W$2:W870),$W$2:$W$1001,0),MATCH(COLUMNS($AD$1006:AU1006),$AD$1006:$AU$1006,0)), HYPERLINK("#",""), HYPERLINK(CONCATENATE("#metadata!", ADDRESS(INDEX($Y$2:$Y$1001,MATCH(ROWS($W$2:W870),$W$2:$W$1001,0),0), INDEX($AD$1004:$AU$1004,1,MATCH(COLUMNS($AD$1006:AU1006),$AD$1006:$AU$1006,0)))),"Fix")))</f>
        <v xml:space="preserve"> </v>
      </c>
      <c r="W870">
        <v>869</v>
      </c>
      <c r="X870">
        <v>100870</v>
      </c>
      <c r="Y870">
        <v>870</v>
      </c>
      <c r="Z870" t="b">
        <f t="shared" si="13"/>
        <v>1</v>
      </c>
      <c r="AA870" t="b">
        <f>COUNTBLANK(metadata!B870:S870)=COLUMNS(metadata!B870:S870)</f>
        <v>1</v>
      </c>
      <c r="AB870" t="str">
        <v/>
      </c>
      <c r="AD870" t="b">
        <f ca="1">AND(IF(metadata!B870="",FALSE,TRUE),COUNTIF(metadata!B:B, metadata!B870) = 1,NOT(ISERROR(SUMPRODUCT(SEARCH(MID(metadata!B870,ROW(INDIRECT("1:"&amp;LEN(metadata!B870))), 1),"0123456789abcdefghijklmnopqrstuvwxyzABCDEFGHIJKLMNOPQRSTUVWXYZ.")))))</f>
        <v>0</v>
      </c>
      <c r="AE870" t="b">
        <f>OR(AND(IF(metadata!C870="",FALSE,TRUE),OR(EXACT(metadata!C870,"not applicable"),EXACT(metadata!C870,"missing: not collected"),EXACT(metadata!C870,"missing: not provided"),EXACT(metadata!C870,"missing: restricted access"))),AND(IF(metadata!C870="",FALSE,ISNUMBER(VALUE(metadata!C870))),metadata!C870&gt;0))</f>
        <v>0</v>
      </c>
      <c r="AF870" t="b">
        <f>AND(IF(metadata!D870="",FALSE,TRUE),EXACT(metadata!D870,"missing: not provided"))</f>
        <v>0</v>
      </c>
      <c r="AG870" t="b">
        <f>AND(IF(metadata!E870="",FALSE,TRUE),EXACT(metadata!E870,"Host-associated"))</f>
        <v>0</v>
      </c>
      <c r="AH870" t="b">
        <f>AND(IF(metadata!F870="",FALSE,TRUE),OR(EXACT(metadata!F870,"Animal"),EXACT(metadata!F870,"Fungus"),EXACT(metadata!F870,"Plant")))</f>
        <v>0</v>
      </c>
      <c r="AI870" t="b">
        <f>AND(IF(metadata!G870="",FALSE,TRUE),OR(EXACT(metadata!G870,"Plant secretion"),EXACT(metadata!G870,"Plant rhizosphere"),EXACT(metadata!G870,"Plant surface"),EXACT(metadata!G870,"Plant corpus"),EXACT(metadata!G870,"Fungus surface"),EXACT(metadata!G870,"Fungus corpus"),EXACT(metadata!G870,"Animal surface"),EXACT(metadata!G870,"Animal proximal gut"),EXACT(metadata!G870,"Animal corpus"),EXACT(metadata!G870,"Animal distal gut"),EXACT(metadata!G870,"Animal secretion")))</f>
        <v>0</v>
      </c>
      <c r="AJ870" t="b">
        <f>OR(AND(IF(metadata!H870="",FALSE,TRUE),OR(EXACT(metadata!H870,"missing: not collected"),EXACT(metadata!H870,"missing: not provided"),EXACT(metadata!H870,"missing: restricted access"))),AND(IF(metadata!H870="",FALSE,TRUE),OR(EXACT(metadata!H870,"organism-associated habitat"),EXACT(metadata!H870,"plant-associated habitat"),EXACT(metadata!H870,"animal-associated habitat"),EXACT(metadata!H870,"insecta-associated habitat"),EXACT(metadata!H870,"mammalia-associated habitat"),EXACT(metadata!H870,"human-associated habitat"),EXACT(metadata!H870,"livestock-associated habitat"))))</f>
        <v>0</v>
      </c>
      <c r="AK870" t="b">
        <f>AND(IF(metadata!I870="",FALSE,TRUE),EXACT(metadata!I870,"host-associated"))</f>
        <v>0</v>
      </c>
      <c r="AL870" t="b">
        <f>OR(AND(IF(metadata!J870="",FALSE,TRUE),OR(EXACT(metadata!J870,"not applicable"),EXACT(metadata!J870,"missing: not collected"),EXACT(metadata!J870,"missing: not provided"),EXACT(metadata!J870,"missing: restricted access"))),AND(IF(metadata!J870="",FALSE,ISNUMBER(VALUE(metadata!J870))),metadata!J870&gt;0))</f>
        <v>0</v>
      </c>
      <c r="AM870" t="b">
        <f>AND(IF(metadata!K870="",FALSE,TRUE),EXACT(metadata!K870,"missing: not provided"))</f>
        <v>0</v>
      </c>
      <c r="AN870" t="b">
        <f>IF(metadata!L870="",FALSE,TRUE)</f>
        <v>0</v>
      </c>
      <c r="AO870" t="b">
        <f>IF(metadata!M870="",FALSE,TRUE)</f>
        <v>0</v>
      </c>
      <c r="AP870" t="b">
        <f>OR(AND(IF(metadata!N870="",FALSE,TRUE),OR(EXACT(metadata!N870,"not applicable"),EXACT(metadata!N870,"missing: not collected"),EXACT(metadata!N870,"missing: not provided"))),AND(IF(metadata!N870="",FALSE,IF(ISERROR(INT(metadata!N870)),FALSE,INT(metadata!N870)=metadata!N870)),metadata!N870&gt;0))</f>
        <v>0</v>
      </c>
      <c r="AQ870" t="b">
        <f>AND(IF(metadata!O870="",FALSE,TRUE),EXACT(metadata!O870,"Not applicable"))</f>
        <v>0</v>
      </c>
      <c r="AR870" t="b">
        <f>OR(AND(IF(metadata!P870="",FALSE,TRUE),OR(EXACT(metadata!P870,"not applicable"),EXACT(metadata!P870,"missing: not collected"),EXACT(metadata!P870,"missing: not provided"),EXACT(metadata!P870,"missing: restricted access"))),IF(metadata!P870="",FALSE,IF(ISERROR(INT(metadata!P870)),FALSE,INT(metadata!P870)=metadata!P870)))</f>
        <v>0</v>
      </c>
      <c r="AS870" t="b">
        <f>AND(IF(metadata!Q870="",FALSE,TRUE),EXACT(metadata!Q870,"Not applicable"))</f>
        <v>0</v>
      </c>
      <c r="AT870" t="b">
        <f>OR(AND(IF(metadata!R870="",FALSE,TRUE),OR(EXACT(metadata!R870,"not applicable"),EXACT(metadata!R870,"missing: not collected"),EXACT(metadata!R870,"missing: not provided"),EXACT(metadata!R870,"missing: restricted access"))),AND(IF(metadata!R870="",FALSE,ISNUMBER(VALUE(metadata!R870))),metadata!R870&gt;0))</f>
        <v>0</v>
      </c>
      <c r="AU870" t="b">
        <f>AND(IF(metadata!S870="",FALSE,TRUE),EXACT(metadata!S870,"missing: not provided"))</f>
        <v>0</v>
      </c>
    </row>
    <row r="871" spans="1:47" x14ac:dyDescent="0.2">
      <c r="A871" s="5" t="str">
        <f ca="1">IF(B871=" "," ",HYPERLINK(CONCATENATE("#metadata!",ADDRESS(INDEX($Y$2:$Y$1001,MATCH(ROWS($W$2:W871),$W$2:$W$1001,0),0),1)),INDEX($AB$2:$AB$1001,MATCH(ROWS($W$2:W871),$W$2:$W$1001,0),0)))</f>
        <v xml:space="preserve"> </v>
      </c>
      <c r="B871" s="4" t="str">
        <f ca="1">IF(OR(INDEX($X$2:$X$1001,MATCH(ROWS($W$2:W871),$W$2:$W$1001,0),1)&gt;=100000,INDEX($AD$1005:$AU$1005,1,MATCH(COLUMNS($AD$1006:AD1006),$AD$1006:$AU$1006,0))&gt;=100000), " ",IF(INDEX($AD$2:$AU$1001,MATCH(ROWS($W$2:W871),$W$2:$W$1001,0),MATCH(COLUMNS($AD$1006:AD1006),$AD$1006:$AU$1006,0)), HYPERLINK("#",""), HYPERLINK(CONCATENATE("#metadata!", ADDRESS(INDEX($Y$2:$Y$1001,MATCH(ROWS($W$2:W871),$W$2:$W$1001,0),0), INDEX($AD$1004:$AU$1004,1,MATCH(COLUMNS($AD$1006:AD1006),$AD$1006:$AU$1006,0)))),"Fix")))</f>
        <v xml:space="preserve"> </v>
      </c>
      <c r="C871" s="4" t="str">
        <f ca="1">IF(OR(INDEX($X$2:$X$1001,MATCH(ROWS($W$2:W871),$W$2:$W$1001,0),1)&gt;=100000,INDEX($AD$1005:$AU$1005,1,MATCH(COLUMNS($AD$1006:AE1006),$AD$1006:$AU$1006,0))&gt;=100000), " ",IF(INDEX($AD$2:$AU$1001,MATCH(ROWS($W$2:W871),$W$2:$W$1001,0),MATCH(COLUMNS($AD$1006:AE1006),$AD$1006:$AU$1006,0)), HYPERLINK("#",""), HYPERLINK(CONCATENATE("#metadata!", ADDRESS(INDEX($Y$2:$Y$1001,MATCH(ROWS($W$2:W871),$W$2:$W$1001,0),0), INDEX($AD$1004:$AU$1004,1,MATCH(COLUMNS($AD$1006:AE1006),$AD$1006:$AU$1006,0)))),"Fix")))</f>
        <v xml:space="preserve"> </v>
      </c>
      <c r="D871" s="4" t="str">
        <f ca="1">IF(OR(INDEX($X$2:$X$1001,MATCH(ROWS($W$2:W871),$W$2:$W$1001,0),1)&gt;=100000,INDEX($AD$1005:$AU$1005,1,MATCH(COLUMNS($AD$1006:AF1006),$AD$1006:$AU$1006,0))&gt;=100000), " ",IF(INDEX($AD$2:$AU$1001,MATCH(ROWS($W$2:W871),$W$2:$W$1001,0),MATCH(COLUMNS($AD$1006:AF1006),$AD$1006:$AU$1006,0)), HYPERLINK("#",""), HYPERLINK(CONCATENATE("#metadata!", ADDRESS(INDEX($Y$2:$Y$1001,MATCH(ROWS($W$2:W871),$W$2:$W$1001,0),0), INDEX($AD$1004:$AU$1004,1,MATCH(COLUMNS($AD$1006:AF1006),$AD$1006:$AU$1006,0)))),"Fix")))</f>
        <v xml:space="preserve"> </v>
      </c>
      <c r="E871" s="4" t="str">
        <f ca="1">IF(OR(INDEX($X$2:$X$1001,MATCH(ROWS($W$2:W871),$W$2:$W$1001,0),1)&gt;=100000,INDEX($AD$1005:$AU$1005,1,MATCH(COLUMNS($AD$1006:AG1006),$AD$1006:$AU$1006,0))&gt;=100000), " ",IF(INDEX($AD$2:$AU$1001,MATCH(ROWS($W$2:W871),$W$2:$W$1001,0),MATCH(COLUMNS($AD$1006:AG1006),$AD$1006:$AU$1006,0)), HYPERLINK("#",""), HYPERLINK(CONCATENATE("#metadata!", ADDRESS(INDEX($Y$2:$Y$1001,MATCH(ROWS($W$2:W871),$W$2:$W$1001,0),0), INDEX($AD$1004:$AU$1004,1,MATCH(COLUMNS($AD$1006:AG1006),$AD$1006:$AU$1006,0)))),"Fix")))</f>
        <v xml:space="preserve"> </v>
      </c>
      <c r="F871" s="4" t="str">
        <f ca="1">IF(OR(INDEX($X$2:$X$1001,MATCH(ROWS($W$2:W871),$W$2:$W$1001,0),1)&gt;=100000,INDEX($AD$1005:$AU$1005,1,MATCH(COLUMNS($AD$1006:AH1006),$AD$1006:$AU$1006,0))&gt;=100000), " ",IF(INDEX($AD$2:$AU$1001,MATCH(ROWS($W$2:W871),$W$2:$W$1001,0),MATCH(COLUMNS($AD$1006:AH1006),$AD$1006:$AU$1006,0)), HYPERLINK("#",""), HYPERLINK(CONCATENATE("#metadata!", ADDRESS(INDEX($Y$2:$Y$1001,MATCH(ROWS($W$2:W871),$W$2:$W$1001,0),0), INDEX($AD$1004:$AU$1004,1,MATCH(COLUMNS($AD$1006:AH1006),$AD$1006:$AU$1006,0)))),"Fix")))</f>
        <v xml:space="preserve"> </v>
      </c>
      <c r="G871" s="4" t="str">
        <f ca="1">IF(OR(INDEX($X$2:$X$1001,MATCH(ROWS($W$2:W871),$W$2:$W$1001,0),1)&gt;=100000,INDEX($AD$1005:$AU$1005,1,MATCH(COLUMNS($AD$1006:AI1006),$AD$1006:$AU$1006,0))&gt;=100000), " ",IF(INDEX($AD$2:$AU$1001,MATCH(ROWS($W$2:W871),$W$2:$W$1001,0),MATCH(COLUMNS($AD$1006:AI1006),$AD$1006:$AU$1006,0)), HYPERLINK("#",""), HYPERLINK(CONCATENATE("#metadata!", ADDRESS(INDEX($Y$2:$Y$1001,MATCH(ROWS($W$2:W871),$W$2:$W$1001,0),0), INDEX($AD$1004:$AU$1004,1,MATCH(COLUMNS($AD$1006:AI1006),$AD$1006:$AU$1006,0)))),"Fix")))</f>
        <v xml:space="preserve"> </v>
      </c>
      <c r="H871" s="4" t="str">
        <f ca="1">IF(OR(INDEX($X$2:$X$1001,MATCH(ROWS($W$2:W871),$W$2:$W$1001,0),1)&gt;=100000,INDEX($AD$1005:$AU$1005,1,MATCH(COLUMNS($AD$1006:AJ1006),$AD$1006:$AU$1006,0))&gt;=100000), " ",IF(INDEX($AD$2:$AU$1001,MATCH(ROWS($W$2:W871),$W$2:$W$1001,0),MATCH(COLUMNS($AD$1006:AJ1006),$AD$1006:$AU$1006,0)), HYPERLINK("#",""), HYPERLINK(CONCATENATE("#metadata!", ADDRESS(INDEX($Y$2:$Y$1001,MATCH(ROWS($W$2:W871),$W$2:$W$1001,0),0), INDEX($AD$1004:$AU$1004,1,MATCH(COLUMNS($AD$1006:AJ1006),$AD$1006:$AU$1006,0)))),"Fix")))</f>
        <v xml:space="preserve"> </v>
      </c>
      <c r="I871" s="4" t="str">
        <f ca="1">IF(OR(INDEX($X$2:$X$1001,MATCH(ROWS($W$2:W871),$W$2:$W$1001,0),1)&gt;=100000,INDEX($AD$1005:$AU$1005,1,MATCH(COLUMNS($AD$1006:AK1006),$AD$1006:$AU$1006,0))&gt;=100000), " ",IF(INDEX($AD$2:$AU$1001,MATCH(ROWS($W$2:W871),$W$2:$W$1001,0),MATCH(COLUMNS($AD$1006:AK1006),$AD$1006:$AU$1006,0)), HYPERLINK("#",""), HYPERLINK(CONCATENATE("#metadata!", ADDRESS(INDEX($Y$2:$Y$1001,MATCH(ROWS($W$2:W871),$W$2:$W$1001,0),0), INDEX($AD$1004:$AU$1004,1,MATCH(COLUMNS($AD$1006:AK1006),$AD$1006:$AU$1006,0)))),"Fix")))</f>
        <v xml:space="preserve"> </v>
      </c>
      <c r="J871" s="4" t="str">
        <f ca="1">IF(OR(INDEX($X$2:$X$1001,MATCH(ROWS($W$2:W871),$W$2:$W$1001,0),1)&gt;=100000,INDEX($AD$1005:$AU$1005,1,MATCH(COLUMNS($AD$1006:AL1006),$AD$1006:$AU$1006,0))&gt;=100000), " ",IF(INDEX($AD$2:$AU$1001,MATCH(ROWS($W$2:W871),$W$2:$W$1001,0),MATCH(COLUMNS($AD$1006:AL1006),$AD$1006:$AU$1006,0)), HYPERLINK("#",""), HYPERLINK(CONCATENATE("#metadata!", ADDRESS(INDEX($Y$2:$Y$1001,MATCH(ROWS($W$2:W871),$W$2:$W$1001,0),0), INDEX($AD$1004:$AU$1004,1,MATCH(COLUMNS($AD$1006:AL1006),$AD$1006:$AU$1006,0)))),"Fix")))</f>
        <v xml:space="preserve"> </v>
      </c>
      <c r="K871" s="4" t="str">
        <f ca="1">IF(OR(INDEX($X$2:$X$1001,MATCH(ROWS($W$2:W871),$W$2:$W$1001,0),1)&gt;=100000,INDEX($AD$1005:$AU$1005,1,MATCH(COLUMNS($AD$1006:AM1006),$AD$1006:$AU$1006,0))&gt;=100000), " ",IF(INDEX($AD$2:$AU$1001,MATCH(ROWS($W$2:W871),$W$2:$W$1001,0),MATCH(COLUMNS($AD$1006:AM1006),$AD$1006:$AU$1006,0)), HYPERLINK("#",""), HYPERLINK(CONCATENATE("#metadata!", ADDRESS(INDEX($Y$2:$Y$1001,MATCH(ROWS($W$2:W871),$W$2:$W$1001,0),0), INDEX($AD$1004:$AU$1004,1,MATCH(COLUMNS($AD$1006:AM1006),$AD$1006:$AU$1006,0)))),"Fix")))</f>
        <v xml:space="preserve"> </v>
      </c>
      <c r="L871" s="4" t="str">
        <f ca="1">IF(OR(INDEX($X$2:$X$1001,MATCH(ROWS($W$2:W871),$W$2:$W$1001,0),1)&gt;=100000,INDEX($AD$1005:$AU$1005,1,MATCH(COLUMNS($AD$1006:AN1006),$AD$1006:$AU$1006,0))&gt;=100000), " ",IF(INDEX($AD$2:$AU$1001,MATCH(ROWS($W$2:W871),$W$2:$W$1001,0),MATCH(COLUMNS($AD$1006:AN1006),$AD$1006:$AU$1006,0)), HYPERLINK("#",""), HYPERLINK(CONCATENATE("#metadata!", ADDRESS(INDEX($Y$2:$Y$1001,MATCH(ROWS($W$2:W871),$W$2:$W$1001,0),0), INDEX($AD$1004:$AU$1004,1,MATCH(COLUMNS($AD$1006:AN1006),$AD$1006:$AU$1006,0)))),"Fix")))</f>
        <v xml:space="preserve"> </v>
      </c>
      <c r="M871" s="4" t="str">
        <f ca="1">IF(OR(INDEX($X$2:$X$1001,MATCH(ROWS($W$2:W871),$W$2:$W$1001,0),1)&gt;=100000,INDEX($AD$1005:$AU$1005,1,MATCH(COLUMNS($AD$1006:AO1006),$AD$1006:$AU$1006,0))&gt;=100000), " ",IF(INDEX($AD$2:$AU$1001,MATCH(ROWS($W$2:W871),$W$2:$W$1001,0),MATCH(COLUMNS($AD$1006:AO1006),$AD$1006:$AU$1006,0)), HYPERLINK("#",""), HYPERLINK(CONCATENATE("#metadata!", ADDRESS(INDEX($Y$2:$Y$1001,MATCH(ROWS($W$2:W871),$W$2:$W$1001,0),0), INDEX($AD$1004:$AU$1004,1,MATCH(COLUMNS($AD$1006:AO1006),$AD$1006:$AU$1006,0)))),"Fix")))</f>
        <v xml:space="preserve"> </v>
      </c>
      <c r="N871" s="4" t="str">
        <f ca="1">IF(OR(INDEX($X$2:$X$1001,MATCH(ROWS($W$2:W871),$W$2:$W$1001,0),1)&gt;=100000,INDEX($AD$1005:$AU$1005,1,MATCH(COLUMNS($AD$1006:AP1006),$AD$1006:$AU$1006,0))&gt;=100000), " ",IF(INDEX($AD$2:$AU$1001,MATCH(ROWS($W$2:W871),$W$2:$W$1001,0),MATCH(COLUMNS($AD$1006:AP1006),$AD$1006:$AU$1006,0)), HYPERLINK("#",""), HYPERLINK(CONCATENATE("#metadata!", ADDRESS(INDEX($Y$2:$Y$1001,MATCH(ROWS($W$2:W871),$W$2:$W$1001,0),0), INDEX($AD$1004:$AU$1004,1,MATCH(COLUMNS($AD$1006:AP1006),$AD$1006:$AU$1006,0)))),"Fix")))</f>
        <v xml:space="preserve"> </v>
      </c>
      <c r="O871" s="4" t="str">
        <f ca="1">IF(OR(INDEX($X$2:$X$1001,MATCH(ROWS($W$2:W871),$W$2:$W$1001,0),1)&gt;=100000,INDEX($AD$1005:$AU$1005,1,MATCH(COLUMNS($AD$1006:AQ1006),$AD$1006:$AU$1006,0))&gt;=100000), " ",IF(INDEX($AD$2:$AU$1001,MATCH(ROWS($W$2:W871),$W$2:$W$1001,0),MATCH(COLUMNS($AD$1006:AQ1006),$AD$1006:$AU$1006,0)), HYPERLINK("#",""), HYPERLINK(CONCATENATE("#metadata!", ADDRESS(INDEX($Y$2:$Y$1001,MATCH(ROWS($W$2:W871),$W$2:$W$1001,0),0), INDEX($AD$1004:$AU$1004,1,MATCH(COLUMNS($AD$1006:AQ1006),$AD$1006:$AU$1006,0)))),"Fix")))</f>
        <v xml:space="preserve"> </v>
      </c>
      <c r="P871" s="4" t="str">
        <f ca="1">IF(OR(INDEX($X$2:$X$1001,MATCH(ROWS($W$2:W871),$W$2:$W$1001,0),1)&gt;=100000,INDEX($AD$1005:$AU$1005,1,MATCH(COLUMNS($AD$1006:AR1006),$AD$1006:$AU$1006,0))&gt;=100000), " ",IF(INDEX($AD$2:$AU$1001,MATCH(ROWS($W$2:W871),$W$2:$W$1001,0),MATCH(COLUMNS($AD$1006:AR1006),$AD$1006:$AU$1006,0)), HYPERLINK("#",""), HYPERLINK(CONCATENATE("#metadata!", ADDRESS(INDEX($Y$2:$Y$1001,MATCH(ROWS($W$2:W871),$W$2:$W$1001,0),0), INDEX($AD$1004:$AU$1004,1,MATCH(COLUMNS($AD$1006:AR1006),$AD$1006:$AU$1006,0)))),"Fix")))</f>
        <v xml:space="preserve"> </v>
      </c>
      <c r="Q871" s="4" t="str">
        <f ca="1">IF(OR(INDEX($X$2:$X$1001,MATCH(ROWS($W$2:W871),$W$2:$W$1001,0),1)&gt;=100000,INDEX($AD$1005:$AU$1005,1,MATCH(COLUMNS($AD$1006:AS1006),$AD$1006:$AU$1006,0))&gt;=100000), " ",IF(INDEX($AD$2:$AU$1001,MATCH(ROWS($W$2:W871),$W$2:$W$1001,0),MATCH(COLUMNS($AD$1006:AS1006),$AD$1006:$AU$1006,0)), HYPERLINK("#",""), HYPERLINK(CONCATENATE("#metadata!", ADDRESS(INDEX($Y$2:$Y$1001,MATCH(ROWS($W$2:W871),$W$2:$W$1001,0),0), INDEX($AD$1004:$AU$1004,1,MATCH(COLUMNS($AD$1006:AS1006),$AD$1006:$AU$1006,0)))),"Fix")))</f>
        <v xml:space="preserve"> </v>
      </c>
      <c r="R871" s="4" t="str">
        <f ca="1">IF(OR(INDEX($X$2:$X$1001,MATCH(ROWS($W$2:W871),$W$2:$W$1001,0),1)&gt;=100000,INDEX($AD$1005:$AU$1005,1,MATCH(COLUMNS($AD$1006:AT1006),$AD$1006:$AU$1006,0))&gt;=100000), " ",IF(INDEX($AD$2:$AU$1001,MATCH(ROWS($W$2:W871),$W$2:$W$1001,0),MATCH(COLUMNS($AD$1006:AT1006),$AD$1006:$AU$1006,0)), HYPERLINK("#",""), HYPERLINK(CONCATENATE("#metadata!", ADDRESS(INDEX($Y$2:$Y$1001,MATCH(ROWS($W$2:W871),$W$2:$W$1001,0),0), INDEX($AD$1004:$AU$1004,1,MATCH(COLUMNS($AD$1006:AT1006),$AD$1006:$AU$1006,0)))),"Fix")))</f>
        <v xml:space="preserve"> </v>
      </c>
      <c r="S871" s="4" t="str">
        <f ca="1">IF(OR(INDEX($X$2:$X$1001,MATCH(ROWS($W$2:W871),$W$2:$W$1001,0),1)&gt;=100000,INDEX($AD$1005:$AU$1005,1,MATCH(COLUMNS($AD$1006:AU1006),$AD$1006:$AU$1006,0))&gt;=100000), " ",IF(INDEX($AD$2:$AU$1001,MATCH(ROWS($W$2:W871),$W$2:$W$1001,0),MATCH(COLUMNS($AD$1006:AU1006),$AD$1006:$AU$1006,0)), HYPERLINK("#",""), HYPERLINK(CONCATENATE("#metadata!", ADDRESS(INDEX($Y$2:$Y$1001,MATCH(ROWS($W$2:W871),$W$2:$W$1001,0),0), INDEX($AD$1004:$AU$1004,1,MATCH(COLUMNS($AD$1006:AU1006),$AD$1006:$AU$1006,0)))),"Fix")))</f>
        <v xml:space="preserve"> </v>
      </c>
      <c r="W871">
        <v>870</v>
      </c>
      <c r="X871">
        <v>100871</v>
      </c>
      <c r="Y871">
        <v>871</v>
      </c>
      <c r="Z871" t="b">
        <f t="shared" si="13"/>
        <v>1</v>
      </c>
      <c r="AA871" t="b">
        <f>COUNTBLANK(metadata!B871:S871)=COLUMNS(metadata!B871:S871)</f>
        <v>1</v>
      </c>
      <c r="AB871" t="str">
        <v/>
      </c>
      <c r="AD871" t="b">
        <f ca="1">AND(IF(metadata!B871="",FALSE,TRUE),COUNTIF(metadata!B:B, metadata!B871) = 1,NOT(ISERROR(SUMPRODUCT(SEARCH(MID(metadata!B871,ROW(INDIRECT("1:"&amp;LEN(metadata!B871))), 1),"0123456789abcdefghijklmnopqrstuvwxyzABCDEFGHIJKLMNOPQRSTUVWXYZ.")))))</f>
        <v>0</v>
      </c>
      <c r="AE871" t="b">
        <f>OR(AND(IF(metadata!C871="",FALSE,TRUE),OR(EXACT(metadata!C871,"not applicable"),EXACT(metadata!C871,"missing: not collected"),EXACT(metadata!C871,"missing: not provided"),EXACT(metadata!C871,"missing: restricted access"))),AND(IF(metadata!C871="",FALSE,ISNUMBER(VALUE(metadata!C871))),metadata!C871&gt;0))</f>
        <v>0</v>
      </c>
      <c r="AF871" t="b">
        <f>AND(IF(metadata!D871="",FALSE,TRUE),EXACT(metadata!D871,"missing: not provided"))</f>
        <v>0</v>
      </c>
      <c r="AG871" t="b">
        <f>AND(IF(metadata!E871="",FALSE,TRUE),EXACT(metadata!E871,"Host-associated"))</f>
        <v>0</v>
      </c>
      <c r="AH871" t="b">
        <f>AND(IF(metadata!F871="",FALSE,TRUE),OR(EXACT(metadata!F871,"Animal"),EXACT(metadata!F871,"Fungus"),EXACT(metadata!F871,"Plant")))</f>
        <v>0</v>
      </c>
      <c r="AI871" t="b">
        <f>AND(IF(metadata!G871="",FALSE,TRUE),OR(EXACT(metadata!G871,"Plant secretion"),EXACT(metadata!G871,"Plant rhizosphere"),EXACT(metadata!G871,"Plant surface"),EXACT(metadata!G871,"Plant corpus"),EXACT(metadata!G871,"Fungus surface"),EXACT(metadata!G871,"Fungus corpus"),EXACT(metadata!G871,"Animal surface"),EXACT(metadata!G871,"Animal proximal gut"),EXACT(metadata!G871,"Animal corpus"),EXACT(metadata!G871,"Animal distal gut"),EXACT(metadata!G871,"Animal secretion")))</f>
        <v>0</v>
      </c>
      <c r="AJ871" t="b">
        <f>OR(AND(IF(metadata!H871="",FALSE,TRUE),OR(EXACT(metadata!H871,"missing: not collected"),EXACT(metadata!H871,"missing: not provided"),EXACT(metadata!H871,"missing: restricted access"))),AND(IF(metadata!H871="",FALSE,TRUE),OR(EXACT(metadata!H871,"organism-associated habitat"),EXACT(metadata!H871,"plant-associated habitat"),EXACT(metadata!H871,"animal-associated habitat"),EXACT(metadata!H871,"insecta-associated habitat"),EXACT(metadata!H871,"mammalia-associated habitat"),EXACT(metadata!H871,"human-associated habitat"),EXACT(metadata!H871,"livestock-associated habitat"))))</f>
        <v>0</v>
      </c>
      <c r="AK871" t="b">
        <f>AND(IF(metadata!I871="",FALSE,TRUE),EXACT(metadata!I871,"host-associated"))</f>
        <v>0</v>
      </c>
      <c r="AL871" t="b">
        <f>OR(AND(IF(metadata!J871="",FALSE,TRUE),OR(EXACT(metadata!J871,"not applicable"),EXACT(metadata!J871,"missing: not collected"),EXACT(metadata!J871,"missing: not provided"),EXACT(metadata!J871,"missing: restricted access"))),AND(IF(metadata!J871="",FALSE,ISNUMBER(VALUE(metadata!J871))),metadata!J871&gt;0))</f>
        <v>0</v>
      </c>
      <c r="AM871" t="b">
        <f>AND(IF(metadata!K871="",FALSE,TRUE),EXACT(metadata!K871,"missing: not provided"))</f>
        <v>0</v>
      </c>
      <c r="AN871" t="b">
        <f>IF(metadata!L871="",FALSE,TRUE)</f>
        <v>0</v>
      </c>
      <c r="AO871" t="b">
        <f>IF(metadata!M871="",FALSE,TRUE)</f>
        <v>0</v>
      </c>
      <c r="AP871" t="b">
        <f>OR(AND(IF(metadata!N871="",FALSE,TRUE),OR(EXACT(metadata!N871,"not applicable"),EXACT(metadata!N871,"missing: not collected"),EXACT(metadata!N871,"missing: not provided"))),AND(IF(metadata!N871="",FALSE,IF(ISERROR(INT(metadata!N871)),FALSE,INT(metadata!N871)=metadata!N871)),metadata!N871&gt;0))</f>
        <v>0</v>
      </c>
      <c r="AQ871" t="b">
        <f>AND(IF(metadata!O871="",FALSE,TRUE),EXACT(metadata!O871,"Not applicable"))</f>
        <v>0</v>
      </c>
      <c r="AR871" t="b">
        <f>OR(AND(IF(metadata!P871="",FALSE,TRUE),OR(EXACT(metadata!P871,"not applicable"),EXACT(metadata!P871,"missing: not collected"),EXACT(metadata!P871,"missing: not provided"),EXACT(metadata!P871,"missing: restricted access"))),IF(metadata!P871="",FALSE,IF(ISERROR(INT(metadata!P871)),FALSE,INT(metadata!P871)=metadata!P871)))</f>
        <v>0</v>
      </c>
      <c r="AS871" t="b">
        <f>AND(IF(metadata!Q871="",FALSE,TRUE),EXACT(metadata!Q871,"Not applicable"))</f>
        <v>0</v>
      </c>
      <c r="AT871" t="b">
        <f>OR(AND(IF(metadata!R871="",FALSE,TRUE),OR(EXACT(metadata!R871,"not applicable"),EXACT(metadata!R871,"missing: not collected"),EXACT(metadata!R871,"missing: not provided"),EXACT(metadata!R871,"missing: restricted access"))),AND(IF(metadata!R871="",FALSE,ISNUMBER(VALUE(metadata!R871))),metadata!R871&gt;0))</f>
        <v>0</v>
      </c>
      <c r="AU871" t="b">
        <f>AND(IF(metadata!S871="",FALSE,TRUE),EXACT(metadata!S871,"missing: not provided"))</f>
        <v>0</v>
      </c>
    </row>
    <row r="872" spans="1:47" x14ac:dyDescent="0.2">
      <c r="A872" s="5" t="str">
        <f ca="1">IF(B872=" "," ",HYPERLINK(CONCATENATE("#metadata!",ADDRESS(INDEX($Y$2:$Y$1001,MATCH(ROWS($W$2:W872),$W$2:$W$1001,0),0),1)),INDEX($AB$2:$AB$1001,MATCH(ROWS($W$2:W872),$W$2:$W$1001,0),0)))</f>
        <v xml:space="preserve"> </v>
      </c>
      <c r="B872" s="4" t="str">
        <f ca="1">IF(OR(INDEX($X$2:$X$1001,MATCH(ROWS($W$2:W872),$W$2:$W$1001,0),1)&gt;=100000,INDEX($AD$1005:$AU$1005,1,MATCH(COLUMNS($AD$1006:AD1006),$AD$1006:$AU$1006,0))&gt;=100000), " ",IF(INDEX($AD$2:$AU$1001,MATCH(ROWS($W$2:W872),$W$2:$W$1001,0),MATCH(COLUMNS($AD$1006:AD1006),$AD$1006:$AU$1006,0)), HYPERLINK("#",""), HYPERLINK(CONCATENATE("#metadata!", ADDRESS(INDEX($Y$2:$Y$1001,MATCH(ROWS($W$2:W872),$W$2:$W$1001,0),0), INDEX($AD$1004:$AU$1004,1,MATCH(COLUMNS($AD$1006:AD1006),$AD$1006:$AU$1006,0)))),"Fix")))</f>
        <v xml:space="preserve"> </v>
      </c>
      <c r="C872" s="4" t="str">
        <f ca="1">IF(OR(INDEX($X$2:$X$1001,MATCH(ROWS($W$2:W872),$W$2:$W$1001,0),1)&gt;=100000,INDEX($AD$1005:$AU$1005,1,MATCH(COLUMNS($AD$1006:AE1006),$AD$1006:$AU$1006,0))&gt;=100000), " ",IF(INDEX($AD$2:$AU$1001,MATCH(ROWS($W$2:W872),$W$2:$W$1001,0),MATCH(COLUMNS($AD$1006:AE1006),$AD$1006:$AU$1006,0)), HYPERLINK("#",""), HYPERLINK(CONCATENATE("#metadata!", ADDRESS(INDEX($Y$2:$Y$1001,MATCH(ROWS($W$2:W872),$W$2:$W$1001,0),0), INDEX($AD$1004:$AU$1004,1,MATCH(COLUMNS($AD$1006:AE1006),$AD$1006:$AU$1006,0)))),"Fix")))</f>
        <v xml:space="preserve"> </v>
      </c>
      <c r="D872" s="4" t="str">
        <f ca="1">IF(OR(INDEX($X$2:$X$1001,MATCH(ROWS($W$2:W872),$W$2:$W$1001,0),1)&gt;=100000,INDEX($AD$1005:$AU$1005,1,MATCH(COLUMNS($AD$1006:AF1006),$AD$1006:$AU$1006,0))&gt;=100000), " ",IF(INDEX($AD$2:$AU$1001,MATCH(ROWS($W$2:W872),$W$2:$W$1001,0),MATCH(COLUMNS($AD$1006:AF1006),$AD$1006:$AU$1006,0)), HYPERLINK("#",""), HYPERLINK(CONCATENATE("#metadata!", ADDRESS(INDEX($Y$2:$Y$1001,MATCH(ROWS($W$2:W872),$W$2:$W$1001,0),0), INDEX($AD$1004:$AU$1004,1,MATCH(COLUMNS($AD$1006:AF1006),$AD$1006:$AU$1006,0)))),"Fix")))</f>
        <v xml:space="preserve"> </v>
      </c>
      <c r="E872" s="4" t="str">
        <f ca="1">IF(OR(INDEX($X$2:$X$1001,MATCH(ROWS($W$2:W872),$W$2:$W$1001,0),1)&gt;=100000,INDEX($AD$1005:$AU$1005,1,MATCH(COLUMNS($AD$1006:AG1006),$AD$1006:$AU$1006,0))&gt;=100000), " ",IF(INDEX($AD$2:$AU$1001,MATCH(ROWS($W$2:W872),$W$2:$W$1001,0),MATCH(COLUMNS($AD$1006:AG1006),$AD$1006:$AU$1006,0)), HYPERLINK("#",""), HYPERLINK(CONCATENATE("#metadata!", ADDRESS(INDEX($Y$2:$Y$1001,MATCH(ROWS($W$2:W872),$W$2:$W$1001,0),0), INDEX($AD$1004:$AU$1004,1,MATCH(COLUMNS($AD$1006:AG1006),$AD$1006:$AU$1006,0)))),"Fix")))</f>
        <v xml:space="preserve"> </v>
      </c>
      <c r="F872" s="4" t="str">
        <f ca="1">IF(OR(INDEX($X$2:$X$1001,MATCH(ROWS($W$2:W872),$W$2:$W$1001,0),1)&gt;=100000,INDEX($AD$1005:$AU$1005,1,MATCH(COLUMNS($AD$1006:AH1006),$AD$1006:$AU$1006,0))&gt;=100000), " ",IF(INDEX($AD$2:$AU$1001,MATCH(ROWS($W$2:W872),$W$2:$W$1001,0),MATCH(COLUMNS($AD$1006:AH1006),$AD$1006:$AU$1006,0)), HYPERLINK("#",""), HYPERLINK(CONCATENATE("#metadata!", ADDRESS(INDEX($Y$2:$Y$1001,MATCH(ROWS($W$2:W872),$W$2:$W$1001,0),0), INDEX($AD$1004:$AU$1004,1,MATCH(COLUMNS($AD$1006:AH1006),$AD$1006:$AU$1006,0)))),"Fix")))</f>
        <v xml:space="preserve"> </v>
      </c>
      <c r="G872" s="4" t="str">
        <f ca="1">IF(OR(INDEX($X$2:$X$1001,MATCH(ROWS($W$2:W872),$W$2:$W$1001,0),1)&gt;=100000,INDEX($AD$1005:$AU$1005,1,MATCH(COLUMNS($AD$1006:AI1006),$AD$1006:$AU$1006,0))&gt;=100000), " ",IF(INDEX($AD$2:$AU$1001,MATCH(ROWS($W$2:W872),$W$2:$W$1001,0),MATCH(COLUMNS($AD$1006:AI1006),$AD$1006:$AU$1006,0)), HYPERLINK("#",""), HYPERLINK(CONCATENATE("#metadata!", ADDRESS(INDEX($Y$2:$Y$1001,MATCH(ROWS($W$2:W872),$W$2:$W$1001,0),0), INDEX($AD$1004:$AU$1004,1,MATCH(COLUMNS($AD$1006:AI1006),$AD$1006:$AU$1006,0)))),"Fix")))</f>
        <v xml:space="preserve"> </v>
      </c>
      <c r="H872" s="4" t="str">
        <f ca="1">IF(OR(INDEX($X$2:$X$1001,MATCH(ROWS($W$2:W872),$W$2:$W$1001,0),1)&gt;=100000,INDEX($AD$1005:$AU$1005,1,MATCH(COLUMNS($AD$1006:AJ1006),$AD$1006:$AU$1006,0))&gt;=100000), " ",IF(INDEX($AD$2:$AU$1001,MATCH(ROWS($W$2:W872),$W$2:$W$1001,0),MATCH(COLUMNS($AD$1006:AJ1006),$AD$1006:$AU$1006,0)), HYPERLINK("#",""), HYPERLINK(CONCATENATE("#metadata!", ADDRESS(INDEX($Y$2:$Y$1001,MATCH(ROWS($W$2:W872),$W$2:$W$1001,0),0), INDEX($AD$1004:$AU$1004,1,MATCH(COLUMNS($AD$1006:AJ1006),$AD$1006:$AU$1006,0)))),"Fix")))</f>
        <v xml:space="preserve"> </v>
      </c>
      <c r="I872" s="4" t="str">
        <f ca="1">IF(OR(INDEX($X$2:$X$1001,MATCH(ROWS($W$2:W872),$W$2:$W$1001,0),1)&gt;=100000,INDEX($AD$1005:$AU$1005,1,MATCH(COLUMNS($AD$1006:AK1006),$AD$1006:$AU$1006,0))&gt;=100000), " ",IF(INDEX($AD$2:$AU$1001,MATCH(ROWS($W$2:W872),$W$2:$W$1001,0),MATCH(COLUMNS($AD$1006:AK1006),$AD$1006:$AU$1006,0)), HYPERLINK("#",""), HYPERLINK(CONCATENATE("#metadata!", ADDRESS(INDEX($Y$2:$Y$1001,MATCH(ROWS($W$2:W872),$W$2:$W$1001,0),0), INDEX($AD$1004:$AU$1004,1,MATCH(COLUMNS($AD$1006:AK1006),$AD$1006:$AU$1006,0)))),"Fix")))</f>
        <v xml:space="preserve"> </v>
      </c>
      <c r="J872" s="4" t="str">
        <f ca="1">IF(OR(INDEX($X$2:$X$1001,MATCH(ROWS($W$2:W872),$W$2:$W$1001,0),1)&gt;=100000,INDEX($AD$1005:$AU$1005,1,MATCH(COLUMNS($AD$1006:AL1006),$AD$1006:$AU$1006,0))&gt;=100000), " ",IF(INDEX($AD$2:$AU$1001,MATCH(ROWS($W$2:W872),$W$2:$W$1001,0),MATCH(COLUMNS($AD$1006:AL1006),$AD$1006:$AU$1006,0)), HYPERLINK("#",""), HYPERLINK(CONCATENATE("#metadata!", ADDRESS(INDEX($Y$2:$Y$1001,MATCH(ROWS($W$2:W872),$W$2:$W$1001,0),0), INDEX($AD$1004:$AU$1004,1,MATCH(COLUMNS($AD$1006:AL1006),$AD$1006:$AU$1006,0)))),"Fix")))</f>
        <v xml:space="preserve"> </v>
      </c>
      <c r="K872" s="4" t="str">
        <f ca="1">IF(OR(INDEX($X$2:$X$1001,MATCH(ROWS($W$2:W872),$W$2:$W$1001,0),1)&gt;=100000,INDEX($AD$1005:$AU$1005,1,MATCH(COLUMNS($AD$1006:AM1006),$AD$1006:$AU$1006,0))&gt;=100000), " ",IF(INDEX($AD$2:$AU$1001,MATCH(ROWS($W$2:W872),$W$2:$W$1001,0),MATCH(COLUMNS($AD$1006:AM1006),$AD$1006:$AU$1006,0)), HYPERLINK("#",""), HYPERLINK(CONCATENATE("#metadata!", ADDRESS(INDEX($Y$2:$Y$1001,MATCH(ROWS($W$2:W872),$W$2:$W$1001,0),0), INDEX($AD$1004:$AU$1004,1,MATCH(COLUMNS($AD$1006:AM1006),$AD$1006:$AU$1006,0)))),"Fix")))</f>
        <v xml:space="preserve"> </v>
      </c>
      <c r="L872" s="4" t="str">
        <f ca="1">IF(OR(INDEX($X$2:$X$1001,MATCH(ROWS($W$2:W872),$W$2:$W$1001,0),1)&gt;=100000,INDEX($AD$1005:$AU$1005,1,MATCH(COLUMNS($AD$1006:AN1006),$AD$1006:$AU$1006,0))&gt;=100000), " ",IF(INDEX($AD$2:$AU$1001,MATCH(ROWS($W$2:W872),$W$2:$W$1001,0),MATCH(COLUMNS($AD$1006:AN1006),$AD$1006:$AU$1006,0)), HYPERLINK("#",""), HYPERLINK(CONCATENATE("#metadata!", ADDRESS(INDEX($Y$2:$Y$1001,MATCH(ROWS($W$2:W872),$W$2:$W$1001,0),0), INDEX($AD$1004:$AU$1004,1,MATCH(COLUMNS($AD$1006:AN1006),$AD$1006:$AU$1006,0)))),"Fix")))</f>
        <v xml:space="preserve"> </v>
      </c>
      <c r="M872" s="4" t="str">
        <f ca="1">IF(OR(INDEX($X$2:$X$1001,MATCH(ROWS($W$2:W872),$W$2:$W$1001,0),1)&gt;=100000,INDEX($AD$1005:$AU$1005,1,MATCH(COLUMNS($AD$1006:AO1006),$AD$1006:$AU$1006,0))&gt;=100000), " ",IF(INDEX($AD$2:$AU$1001,MATCH(ROWS($W$2:W872),$W$2:$W$1001,0),MATCH(COLUMNS($AD$1006:AO1006),$AD$1006:$AU$1006,0)), HYPERLINK("#",""), HYPERLINK(CONCATENATE("#metadata!", ADDRESS(INDEX($Y$2:$Y$1001,MATCH(ROWS($W$2:W872),$W$2:$W$1001,0),0), INDEX($AD$1004:$AU$1004,1,MATCH(COLUMNS($AD$1006:AO1006),$AD$1006:$AU$1006,0)))),"Fix")))</f>
        <v xml:space="preserve"> </v>
      </c>
      <c r="N872" s="4" t="str">
        <f ca="1">IF(OR(INDEX($X$2:$X$1001,MATCH(ROWS($W$2:W872),$W$2:$W$1001,0),1)&gt;=100000,INDEX($AD$1005:$AU$1005,1,MATCH(COLUMNS($AD$1006:AP1006),$AD$1006:$AU$1006,0))&gt;=100000), " ",IF(INDEX($AD$2:$AU$1001,MATCH(ROWS($W$2:W872),$W$2:$W$1001,0),MATCH(COLUMNS($AD$1006:AP1006),$AD$1006:$AU$1006,0)), HYPERLINK("#",""), HYPERLINK(CONCATENATE("#metadata!", ADDRESS(INDEX($Y$2:$Y$1001,MATCH(ROWS($W$2:W872),$W$2:$W$1001,0),0), INDEX($AD$1004:$AU$1004,1,MATCH(COLUMNS($AD$1006:AP1006),$AD$1006:$AU$1006,0)))),"Fix")))</f>
        <v xml:space="preserve"> </v>
      </c>
      <c r="O872" s="4" t="str">
        <f ca="1">IF(OR(INDEX($X$2:$X$1001,MATCH(ROWS($W$2:W872),$W$2:$W$1001,0),1)&gt;=100000,INDEX($AD$1005:$AU$1005,1,MATCH(COLUMNS($AD$1006:AQ1006),$AD$1006:$AU$1006,0))&gt;=100000), " ",IF(INDEX($AD$2:$AU$1001,MATCH(ROWS($W$2:W872),$W$2:$W$1001,0),MATCH(COLUMNS($AD$1006:AQ1006),$AD$1006:$AU$1006,0)), HYPERLINK("#",""), HYPERLINK(CONCATENATE("#metadata!", ADDRESS(INDEX($Y$2:$Y$1001,MATCH(ROWS($W$2:W872),$W$2:$W$1001,0),0), INDEX($AD$1004:$AU$1004,1,MATCH(COLUMNS($AD$1006:AQ1006),$AD$1006:$AU$1006,0)))),"Fix")))</f>
        <v xml:space="preserve"> </v>
      </c>
      <c r="P872" s="4" t="str">
        <f ca="1">IF(OR(INDEX($X$2:$X$1001,MATCH(ROWS($W$2:W872),$W$2:$W$1001,0),1)&gt;=100000,INDEX($AD$1005:$AU$1005,1,MATCH(COLUMNS($AD$1006:AR1006),$AD$1006:$AU$1006,0))&gt;=100000), " ",IF(INDEX($AD$2:$AU$1001,MATCH(ROWS($W$2:W872),$W$2:$W$1001,0),MATCH(COLUMNS($AD$1006:AR1006),$AD$1006:$AU$1006,0)), HYPERLINK("#",""), HYPERLINK(CONCATENATE("#metadata!", ADDRESS(INDEX($Y$2:$Y$1001,MATCH(ROWS($W$2:W872),$W$2:$W$1001,0),0), INDEX($AD$1004:$AU$1004,1,MATCH(COLUMNS($AD$1006:AR1006),$AD$1006:$AU$1006,0)))),"Fix")))</f>
        <v xml:space="preserve"> </v>
      </c>
      <c r="Q872" s="4" t="str">
        <f ca="1">IF(OR(INDEX($X$2:$X$1001,MATCH(ROWS($W$2:W872),$W$2:$W$1001,0),1)&gt;=100000,INDEX($AD$1005:$AU$1005,1,MATCH(COLUMNS($AD$1006:AS1006),$AD$1006:$AU$1006,0))&gt;=100000), " ",IF(INDEX($AD$2:$AU$1001,MATCH(ROWS($W$2:W872),$W$2:$W$1001,0),MATCH(COLUMNS($AD$1006:AS1006),$AD$1006:$AU$1006,0)), HYPERLINK("#",""), HYPERLINK(CONCATENATE("#metadata!", ADDRESS(INDEX($Y$2:$Y$1001,MATCH(ROWS($W$2:W872),$W$2:$W$1001,0),0), INDEX($AD$1004:$AU$1004,1,MATCH(COLUMNS($AD$1006:AS1006),$AD$1006:$AU$1006,0)))),"Fix")))</f>
        <v xml:space="preserve"> </v>
      </c>
      <c r="R872" s="4" t="str">
        <f ca="1">IF(OR(INDEX($X$2:$X$1001,MATCH(ROWS($W$2:W872),$W$2:$W$1001,0),1)&gt;=100000,INDEX($AD$1005:$AU$1005,1,MATCH(COLUMNS($AD$1006:AT1006),$AD$1006:$AU$1006,0))&gt;=100000), " ",IF(INDEX($AD$2:$AU$1001,MATCH(ROWS($W$2:W872),$W$2:$W$1001,0),MATCH(COLUMNS($AD$1006:AT1006),$AD$1006:$AU$1006,0)), HYPERLINK("#",""), HYPERLINK(CONCATENATE("#metadata!", ADDRESS(INDEX($Y$2:$Y$1001,MATCH(ROWS($W$2:W872),$W$2:$W$1001,0),0), INDEX($AD$1004:$AU$1004,1,MATCH(COLUMNS($AD$1006:AT1006),$AD$1006:$AU$1006,0)))),"Fix")))</f>
        <v xml:space="preserve"> </v>
      </c>
      <c r="S872" s="4" t="str">
        <f ca="1">IF(OR(INDEX($X$2:$X$1001,MATCH(ROWS($W$2:W872),$W$2:$W$1001,0),1)&gt;=100000,INDEX($AD$1005:$AU$1005,1,MATCH(COLUMNS($AD$1006:AU1006),$AD$1006:$AU$1006,0))&gt;=100000), " ",IF(INDEX($AD$2:$AU$1001,MATCH(ROWS($W$2:W872),$W$2:$W$1001,0),MATCH(COLUMNS($AD$1006:AU1006),$AD$1006:$AU$1006,0)), HYPERLINK("#",""), HYPERLINK(CONCATENATE("#metadata!", ADDRESS(INDEX($Y$2:$Y$1001,MATCH(ROWS($W$2:W872),$W$2:$W$1001,0),0), INDEX($AD$1004:$AU$1004,1,MATCH(COLUMNS($AD$1006:AU1006),$AD$1006:$AU$1006,0)))),"Fix")))</f>
        <v xml:space="preserve"> </v>
      </c>
      <c r="W872">
        <v>871</v>
      </c>
      <c r="X872">
        <v>100872</v>
      </c>
      <c r="Y872">
        <v>872</v>
      </c>
      <c r="Z872" t="b">
        <f t="shared" si="13"/>
        <v>1</v>
      </c>
      <c r="AA872" t="b">
        <f>COUNTBLANK(metadata!B872:S872)=COLUMNS(metadata!B872:S872)</f>
        <v>1</v>
      </c>
      <c r="AB872" t="str">
        <v/>
      </c>
      <c r="AD872" t="b">
        <f ca="1">AND(IF(metadata!B872="",FALSE,TRUE),COUNTIF(metadata!B:B, metadata!B872) = 1,NOT(ISERROR(SUMPRODUCT(SEARCH(MID(metadata!B872,ROW(INDIRECT("1:"&amp;LEN(metadata!B872))), 1),"0123456789abcdefghijklmnopqrstuvwxyzABCDEFGHIJKLMNOPQRSTUVWXYZ.")))))</f>
        <v>0</v>
      </c>
      <c r="AE872" t="b">
        <f>OR(AND(IF(metadata!C872="",FALSE,TRUE),OR(EXACT(metadata!C872,"not applicable"),EXACT(metadata!C872,"missing: not collected"),EXACT(metadata!C872,"missing: not provided"),EXACT(metadata!C872,"missing: restricted access"))),AND(IF(metadata!C872="",FALSE,ISNUMBER(VALUE(metadata!C872))),metadata!C872&gt;0))</f>
        <v>0</v>
      </c>
      <c r="AF872" t="b">
        <f>AND(IF(metadata!D872="",FALSE,TRUE),EXACT(metadata!D872,"missing: not provided"))</f>
        <v>0</v>
      </c>
      <c r="AG872" t="b">
        <f>AND(IF(metadata!E872="",FALSE,TRUE),EXACT(metadata!E872,"Host-associated"))</f>
        <v>0</v>
      </c>
      <c r="AH872" t="b">
        <f>AND(IF(metadata!F872="",FALSE,TRUE),OR(EXACT(metadata!F872,"Animal"),EXACT(metadata!F872,"Fungus"),EXACT(metadata!F872,"Plant")))</f>
        <v>0</v>
      </c>
      <c r="AI872" t="b">
        <f>AND(IF(metadata!G872="",FALSE,TRUE),OR(EXACT(metadata!G872,"Plant secretion"),EXACT(metadata!G872,"Plant rhizosphere"),EXACT(metadata!G872,"Plant surface"),EXACT(metadata!G872,"Plant corpus"),EXACT(metadata!G872,"Fungus surface"),EXACT(metadata!G872,"Fungus corpus"),EXACT(metadata!G872,"Animal surface"),EXACT(metadata!G872,"Animal proximal gut"),EXACT(metadata!G872,"Animal corpus"),EXACT(metadata!G872,"Animal distal gut"),EXACT(metadata!G872,"Animal secretion")))</f>
        <v>0</v>
      </c>
      <c r="AJ872" t="b">
        <f>OR(AND(IF(metadata!H872="",FALSE,TRUE),OR(EXACT(metadata!H872,"missing: not collected"),EXACT(metadata!H872,"missing: not provided"),EXACT(metadata!H872,"missing: restricted access"))),AND(IF(metadata!H872="",FALSE,TRUE),OR(EXACT(metadata!H872,"organism-associated habitat"),EXACT(metadata!H872,"plant-associated habitat"),EXACT(metadata!H872,"animal-associated habitat"),EXACT(metadata!H872,"insecta-associated habitat"),EXACT(metadata!H872,"mammalia-associated habitat"),EXACT(metadata!H872,"human-associated habitat"),EXACT(metadata!H872,"livestock-associated habitat"))))</f>
        <v>0</v>
      </c>
      <c r="AK872" t="b">
        <f>AND(IF(metadata!I872="",FALSE,TRUE),EXACT(metadata!I872,"host-associated"))</f>
        <v>0</v>
      </c>
      <c r="AL872" t="b">
        <f>OR(AND(IF(metadata!J872="",FALSE,TRUE),OR(EXACT(metadata!J872,"not applicable"),EXACT(metadata!J872,"missing: not collected"),EXACT(metadata!J872,"missing: not provided"),EXACT(metadata!J872,"missing: restricted access"))),AND(IF(metadata!J872="",FALSE,ISNUMBER(VALUE(metadata!J872))),metadata!J872&gt;0))</f>
        <v>0</v>
      </c>
      <c r="AM872" t="b">
        <f>AND(IF(metadata!K872="",FALSE,TRUE),EXACT(metadata!K872,"missing: not provided"))</f>
        <v>0</v>
      </c>
      <c r="AN872" t="b">
        <f>IF(metadata!L872="",FALSE,TRUE)</f>
        <v>0</v>
      </c>
      <c r="AO872" t="b">
        <f>IF(metadata!M872="",FALSE,TRUE)</f>
        <v>0</v>
      </c>
      <c r="AP872" t="b">
        <f>OR(AND(IF(metadata!N872="",FALSE,TRUE),OR(EXACT(metadata!N872,"not applicable"),EXACT(metadata!N872,"missing: not collected"),EXACT(metadata!N872,"missing: not provided"))),AND(IF(metadata!N872="",FALSE,IF(ISERROR(INT(metadata!N872)),FALSE,INT(metadata!N872)=metadata!N872)),metadata!N872&gt;0))</f>
        <v>0</v>
      </c>
      <c r="AQ872" t="b">
        <f>AND(IF(metadata!O872="",FALSE,TRUE),EXACT(metadata!O872,"Not applicable"))</f>
        <v>0</v>
      </c>
      <c r="AR872" t="b">
        <f>OR(AND(IF(metadata!P872="",FALSE,TRUE),OR(EXACT(metadata!P872,"not applicable"),EXACT(metadata!P872,"missing: not collected"),EXACT(metadata!P872,"missing: not provided"),EXACT(metadata!P872,"missing: restricted access"))),IF(metadata!P872="",FALSE,IF(ISERROR(INT(metadata!P872)),FALSE,INT(metadata!P872)=metadata!P872)))</f>
        <v>0</v>
      </c>
      <c r="AS872" t="b">
        <f>AND(IF(metadata!Q872="",FALSE,TRUE),EXACT(metadata!Q872,"Not applicable"))</f>
        <v>0</v>
      </c>
      <c r="AT872" t="b">
        <f>OR(AND(IF(metadata!R872="",FALSE,TRUE),OR(EXACT(metadata!R872,"not applicable"),EXACT(metadata!R872,"missing: not collected"),EXACT(metadata!R872,"missing: not provided"),EXACT(metadata!R872,"missing: restricted access"))),AND(IF(metadata!R872="",FALSE,ISNUMBER(VALUE(metadata!R872))),metadata!R872&gt;0))</f>
        <v>0</v>
      </c>
      <c r="AU872" t="b">
        <f>AND(IF(metadata!S872="",FALSE,TRUE),EXACT(metadata!S872,"missing: not provided"))</f>
        <v>0</v>
      </c>
    </row>
    <row r="873" spans="1:47" x14ac:dyDescent="0.2">
      <c r="A873" s="5" t="str">
        <f ca="1">IF(B873=" "," ",HYPERLINK(CONCATENATE("#metadata!",ADDRESS(INDEX($Y$2:$Y$1001,MATCH(ROWS($W$2:W873),$W$2:$W$1001,0),0),1)),INDEX($AB$2:$AB$1001,MATCH(ROWS($W$2:W873),$W$2:$W$1001,0),0)))</f>
        <v xml:space="preserve"> </v>
      </c>
      <c r="B873" s="4" t="str">
        <f ca="1">IF(OR(INDEX($X$2:$X$1001,MATCH(ROWS($W$2:W873),$W$2:$W$1001,0),1)&gt;=100000,INDEX($AD$1005:$AU$1005,1,MATCH(COLUMNS($AD$1006:AD1006),$AD$1006:$AU$1006,0))&gt;=100000), " ",IF(INDEX($AD$2:$AU$1001,MATCH(ROWS($W$2:W873),$W$2:$W$1001,0),MATCH(COLUMNS($AD$1006:AD1006),$AD$1006:$AU$1006,0)), HYPERLINK("#",""), HYPERLINK(CONCATENATE("#metadata!", ADDRESS(INDEX($Y$2:$Y$1001,MATCH(ROWS($W$2:W873),$W$2:$W$1001,0),0), INDEX($AD$1004:$AU$1004,1,MATCH(COLUMNS($AD$1006:AD1006),$AD$1006:$AU$1006,0)))),"Fix")))</f>
        <v xml:space="preserve"> </v>
      </c>
      <c r="C873" s="4" t="str">
        <f ca="1">IF(OR(INDEX($X$2:$X$1001,MATCH(ROWS($W$2:W873),$W$2:$W$1001,0),1)&gt;=100000,INDEX($AD$1005:$AU$1005,1,MATCH(COLUMNS($AD$1006:AE1006),$AD$1006:$AU$1006,0))&gt;=100000), " ",IF(INDEX($AD$2:$AU$1001,MATCH(ROWS($W$2:W873),$W$2:$W$1001,0),MATCH(COLUMNS($AD$1006:AE1006),$AD$1006:$AU$1006,0)), HYPERLINK("#",""), HYPERLINK(CONCATENATE("#metadata!", ADDRESS(INDEX($Y$2:$Y$1001,MATCH(ROWS($W$2:W873),$W$2:$W$1001,0),0), INDEX($AD$1004:$AU$1004,1,MATCH(COLUMNS($AD$1006:AE1006),$AD$1006:$AU$1006,0)))),"Fix")))</f>
        <v xml:space="preserve"> </v>
      </c>
      <c r="D873" s="4" t="str">
        <f ca="1">IF(OR(INDEX($X$2:$X$1001,MATCH(ROWS($W$2:W873),$W$2:$W$1001,0),1)&gt;=100000,INDEX($AD$1005:$AU$1005,1,MATCH(COLUMNS($AD$1006:AF1006),$AD$1006:$AU$1006,0))&gt;=100000), " ",IF(INDEX($AD$2:$AU$1001,MATCH(ROWS($W$2:W873),$W$2:$W$1001,0),MATCH(COLUMNS($AD$1006:AF1006),$AD$1006:$AU$1006,0)), HYPERLINK("#",""), HYPERLINK(CONCATENATE("#metadata!", ADDRESS(INDEX($Y$2:$Y$1001,MATCH(ROWS($W$2:W873),$W$2:$W$1001,0),0), INDEX($AD$1004:$AU$1004,1,MATCH(COLUMNS($AD$1006:AF1006),$AD$1006:$AU$1006,0)))),"Fix")))</f>
        <v xml:space="preserve"> </v>
      </c>
      <c r="E873" s="4" t="str">
        <f ca="1">IF(OR(INDEX($X$2:$X$1001,MATCH(ROWS($W$2:W873),$W$2:$W$1001,0),1)&gt;=100000,INDEX($AD$1005:$AU$1005,1,MATCH(COLUMNS($AD$1006:AG1006),$AD$1006:$AU$1006,0))&gt;=100000), " ",IF(INDEX($AD$2:$AU$1001,MATCH(ROWS($W$2:W873),$W$2:$W$1001,0),MATCH(COLUMNS($AD$1006:AG1006),$AD$1006:$AU$1006,0)), HYPERLINK("#",""), HYPERLINK(CONCATENATE("#metadata!", ADDRESS(INDEX($Y$2:$Y$1001,MATCH(ROWS($W$2:W873),$W$2:$W$1001,0),0), INDEX($AD$1004:$AU$1004,1,MATCH(COLUMNS($AD$1006:AG1006),$AD$1006:$AU$1006,0)))),"Fix")))</f>
        <v xml:space="preserve"> </v>
      </c>
      <c r="F873" s="4" t="str">
        <f ca="1">IF(OR(INDEX($X$2:$X$1001,MATCH(ROWS($W$2:W873),$W$2:$W$1001,0),1)&gt;=100000,INDEX($AD$1005:$AU$1005,1,MATCH(COLUMNS($AD$1006:AH1006),$AD$1006:$AU$1006,0))&gt;=100000), " ",IF(INDEX($AD$2:$AU$1001,MATCH(ROWS($W$2:W873),$W$2:$W$1001,0),MATCH(COLUMNS($AD$1006:AH1006),$AD$1006:$AU$1006,0)), HYPERLINK("#",""), HYPERLINK(CONCATENATE("#metadata!", ADDRESS(INDEX($Y$2:$Y$1001,MATCH(ROWS($W$2:W873),$W$2:$W$1001,0),0), INDEX($AD$1004:$AU$1004,1,MATCH(COLUMNS($AD$1006:AH1006),$AD$1006:$AU$1006,0)))),"Fix")))</f>
        <v xml:space="preserve"> </v>
      </c>
      <c r="G873" s="4" t="str">
        <f ca="1">IF(OR(INDEX($X$2:$X$1001,MATCH(ROWS($W$2:W873),$W$2:$W$1001,0),1)&gt;=100000,INDEX($AD$1005:$AU$1005,1,MATCH(COLUMNS($AD$1006:AI1006),$AD$1006:$AU$1006,0))&gt;=100000), " ",IF(INDEX($AD$2:$AU$1001,MATCH(ROWS($W$2:W873),$W$2:$W$1001,0),MATCH(COLUMNS($AD$1006:AI1006),$AD$1006:$AU$1006,0)), HYPERLINK("#",""), HYPERLINK(CONCATENATE("#metadata!", ADDRESS(INDEX($Y$2:$Y$1001,MATCH(ROWS($W$2:W873),$W$2:$W$1001,0),0), INDEX($AD$1004:$AU$1004,1,MATCH(COLUMNS($AD$1006:AI1006),$AD$1006:$AU$1006,0)))),"Fix")))</f>
        <v xml:space="preserve"> </v>
      </c>
      <c r="H873" s="4" t="str">
        <f ca="1">IF(OR(INDEX($X$2:$X$1001,MATCH(ROWS($W$2:W873),$W$2:$W$1001,0),1)&gt;=100000,INDEX($AD$1005:$AU$1005,1,MATCH(COLUMNS($AD$1006:AJ1006),$AD$1006:$AU$1006,0))&gt;=100000), " ",IF(INDEX($AD$2:$AU$1001,MATCH(ROWS($W$2:W873),$W$2:$W$1001,0),MATCH(COLUMNS($AD$1006:AJ1006),$AD$1006:$AU$1006,0)), HYPERLINK("#",""), HYPERLINK(CONCATENATE("#metadata!", ADDRESS(INDEX($Y$2:$Y$1001,MATCH(ROWS($W$2:W873),$W$2:$W$1001,0),0), INDEX($AD$1004:$AU$1004,1,MATCH(COLUMNS($AD$1006:AJ1006),$AD$1006:$AU$1006,0)))),"Fix")))</f>
        <v xml:space="preserve"> </v>
      </c>
      <c r="I873" s="4" t="str">
        <f ca="1">IF(OR(INDEX($X$2:$X$1001,MATCH(ROWS($W$2:W873),$W$2:$W$1001,0),1)&gt;=100000,INDEX($AD$1005:$AU$1005,1,MATCH(COLUMNS($AD$1006:AK1006),$AD$1006:$AU$1006,0))&gt;=100000), " ",IF(INDEX($AD$2:$AU$1001,MATCH(ROWS($W$2:W873),$W$2:$W$1001,0),MATCH(COLUMNS($AD$1006:AK1006),$AD$1006:$AU$1006,0)), HYPERLINK("#",""), HYPERLINK(CONCATENATE("#metadata!", ADDRESS(INDEX($Y$2:$Y$1001,MATCH(ROWS($W$2:W873),$W$2:$W$1001,0),0), INDEX($AD$1004:$AU$1004,1,MATCH(COLUMNS($AD$1006:AK1006),$AD$1006:$AU$1006,0)))),"Fix")))</f>
        <v xml:space="preserve"> </v>
      </c>
      <c r="J873" s="4" t="str">
        <f ca="1">IF(OR(INDEX($X$2:$X$1001,MATCH(ROWS($W$2:W873),$W$2:$W$1001,0),1)&gt;=100000,INDEX($AD$1005:$AU$1005,1,MATCH(COLUMNS($AD$1006:AL1006),$AD$1006:$AU$1006,0))&gt;=100000), " ",IF(INDEX($AD$2:$AU$1001,MATCH(ROWS($W$2:W873),$W$2:$W$1001,0),MATCH(COLUMNS($AD$1006:AL1006),$AD$1006:$AU$1006,0)), HYPERLINK("#",""), HYPERLINK(CONCATENATE("#metadata!", ADDRESS(INDEX($Y$2:$Y$1001,MATCH(ROWS($W$2:W873),$W$2:$W$1001,0),0), INDEX($AD$1004:$AU$1004,1,MATCH(COLUMNS($AD$1006:AL1006),$AD$1006:$AU$1006,0)))),"Fix")))</f>
        <v xml:space="preserve"> </v>
      </c>
      <c r="K873" s="4" t="str">
        <f ca="1">IF(OR(INDEX($X$2:$X$1001,MATCH(ROWS($W$2:W873),$W$2:$W$1001,0),1)&gt;=100000,INDEX($AD$1005:$AU$1005,1,MATCH(COLUMNS($AD$1006:AM1006),$AD$1006:$AU$1006,0))&gt;=100000), " ",IF(INDEX($AD$2:$AU$1001,MATCH(ROWS($W$2:W873),$W$2:$W$1001,0),MATCH(COLUMNS($AD$1006:AM1006),$AD$1006:$AU$1006,0)), HYPERLINK("#",""), HYPERLINK(CONCATENATE("#metadata!", ADDRESS(INDEX($Y$2:$Y$1001,MATCH(ROWS($W$2:W873),$W$2:$W$1001,0),0), INDEX($AD$1004:$AU$1004,1,MATCH(COLUMNS($AD$1006:AM1006),$AD$1006:$AU$1006,0)))),"Fix")))</f>
        <v xml:space="preserve"> </v>
      </c>
      <c r="L873" s="4" t="str">
        <f ca="1">IF(OR(INDEX($X$2:$X$1001,MATCH(ROWS($W$2:W873),$W$2:$W$1001,0),1)&gt;=100000,INDEX($AD$1005:$AU$1005,1,MATCH(COLUMNS($AD$1006:AN1006),$AD$1006:$AU$1006,0))&gt;=100000), " ",IF(INDEX($AD$2:$AU$1001,MATCH(ROWS($W$2:W873),$W$2:$W$1001,0),MATCH(COLUMNS($AD$1006:AN1006),$AD$1006:$AU$1006,0)), HYPERLINK("#",""), HYPERLINK(CONCATENATE("#metadata!", ADDRESS(INDEX($Y$2:$Y$1001,MATCH(ROWS($W$2:W873),$W$2:$W$1001,0),0), INDEX($AD$1004:$AU$1004,1,MATCH(COLUMNS($AD$1006:AN1006),$AD$1006:$AU$1006,0)))),"Fix")))</f>
        <v xml:space="preserve"> </v>
      </c>
      <c r="M873" s="4" t="str">
        <f ca="1">IF(OR(INDEX($X$2:$X$1001,MATCH(ROWS($W$2:W873),$W$2:$W$1001,0),1)&gt;=100000,INDEX($AD$1005:$AU$1005,1,MATCH(COLUMNS($AD$1006:AO1006),$AD$1006:$AU$1006,0))&gt;=100000), " ",IF(INDEX($AD$2:$AU$1001,MATCH(ROWS($W$2:W873),$W$2:$W$1001,0),MATCH(COLUMNS($AD$1006:AO1006),$AD$1006:$AU$1006,0)), HYPERLINK("#",""), HYPERLINK(CONCATENATE("#metadata!", ADDRESS(INDEX($Y$2:$Y$1001,MATCH(ROWS($W$2:W873),$W$2:$W$1001,0),0), INDEX($AD$1004:$AU$1004,1,MATCH(COLUMNS($AD$1006:AO1006),$AD$1006:$AU$1006,0)))),"Fix")))</f>
        <v xml:space="preserve"> </v>
      </c>
      <c r="N873" s="4" t="str">
        <f ca="1">IF(OR(INDEX($X$2:$X$1001,MATCH(ROWS($W$2:W873),$W$2:$W$1001,0),1)&gt;=100000,INDEX($AD$1005:$AU$1005,1,MATCH(COLUMNS($AD$1006:AP1006),$AD$1006:$AU$1006,0))&gt;=100000), " ",IF(INDEX($AD$2:$AU$1001,MATCH(ROWS($W$2:W873),$W$2:$W$1001,0),MATCH(COLUMNS($AD$1006:AP1006),$AD$1006:$AU$1006,0)), HYPERLINK("#",""), HYPERLINK(CONCATENATE("#metadata!", ADDRESS(INDEX($Y$2:$Y$1001,MATCH(ROWS($W$2:W873),$W$2:$W$1001,0),0), INDEX($AD$1004:$AU$1004,1,MATCH(COLUMNS($AD$1006:AP1006),$AD$1006:$AU$1006,0)))),"Fix")))</f>
        <v xml:space="preserve"> </v>
      </c>
      <c r="O873" s="4" t="str">
        <f ca="1">IF(OR(INDEX($X$2:$X$1001,MATCH(ROWS($W$2:W873),$W$2:$W$1001,0),1)&gt;=100000,INDEX($AD$1005:$AU$1005,1,MATCH(COLUMNS($AD$1006:AQ1006),$AD$1006:$AU$1006,0))&gt;=100000), " ",IF(INDEX($AD$2:$AU$1001,MATCH(ROWS($W$2:W873),$W$2:$W$1001,0),MATCH(COLUMNS($AD$1006:AQ1006),$AD$1006:$AU$1006,0)), HYPERLINK("#",""), HYPERLINK(CONCATENATE("#metadata!", ADDRESS(INDEX($Y$2:$Y$1001,MATCH(ROWS($W$2:W873),$W$2:$W$1001,0),0), INDEX($AD$1004:$AU$1004,1,MATCH(COLUMNS($AD$1006:AQ1006),$AD$1006:$AU$1006,0)))),"Fix")))</f>
        <v xml:space="preserve"> </v>
      </c>
      <c r="P873" s="4" t="str">
        <f ca="1">IF(OR(INDEX($X$2:$X$1001,MATCH(ROWS($W$2:W873),$W$2:$W$1001,0),1)&gt;=100000,INDEX($AD$1005:$AU$1005,1,MATCH(COLUMNS($AD$1006:AR1006),$AD$1006:$AU$1006,0))&gt;=100000), " ",IF(INDEX($AD$2:$AU$1001,MATCH(ROWS($W$2:W873),$W$2:$W$1001,0),MATCH(COLUMNS($AD$1006:AR1006),$AD$1006:$AU$1006,0)), HYPERLINK("#",""), HYPERLINK(CONCATENATE("#metadata!", ADDRESS(INDEX($Y$2:$Y$1001,MATCH(ROWS($W$2:W873),$W$2:$W$1001,0),0), INDEX($AD$1004:$AU$1004,1,MATCH(COLUMNS($AD$1006:AR1006),$AD$1006:$AU$1006,0)))),"Fix")))</f>
        <v xml:space="preserve"> </v>
      </c>
      <c r="Q873" s="4" t="str">
        <f ca="1">IF(OR(INDEX($X$2:$X$1001,MATCH(ROWS($W$2:W873),$W$2:$W$1001,0),1)&gt;=100000,INDEX($AD$1005:$AU$1005,1,MATCH(COLUMNS($AD$1006:AS1006),$AD$1006:$AU$1006,0))&gt;=100000), " ",IF(INDEX($AD$2:$AU$1001,MATCH(ROWS($W$2:W873),$W$2:$W$1001,0),MATCH(COLUMNS($AD$1006:AS1006),$AD$1006:$AU$1006,0)), HYPERLINK("#",""), HYPERLINK(CONCATENATE("#metadata!", ADDRESS(INDEX($Y$2:$Y$1001,MATCH(ROWS($W$2:W873),$W$2:$W$1001,0),0), INDEX($AD$1004:$AU$1004,1,MATCH(COLUMNS($AD$1006:AS1006),$AD$1006:$AU$1006,0)))),"Fix")))</f>
        <v xml:space="preserve"> </v>
      </c>
      <c r="R873" s="4" t="str">
        <f ca="1">IF(OR(INDEX($X$2:$X$1001,MATCH(ROWS($W$2:W873),$W$2:$W$1001,0),1)&gt;=100000,INDEX($AD$1005:$AU$1005,1,MATCH(COLUMNS($AD$1006:AT1006),$AD$1006:$AU$1006,0))&gt;=100000), " ",IF(INDEX($AD$2:$AU$1001,MATCH(ROWS($W$2:W873),$W$2:$W$1001,0),MATCH(COLUMNS($AD$1006:AT1006),$AD$1006:$AU$1006,0)), HYPERLINK("#",""), HYPERLINK(CONCATENATE("#metadata!", ADDRESS(INDEX($Y$2:$Y$1001,MATCH(ROWS($W$2:W873),$W$2:$W$1001,0),0), INDEX($AD$1004:$AU$1004,1,MATCH(COLUMNS($AD$1006:AT1006),$AD$1006:$AU$1006,0)))),"Fix")))</f>
        <v xml:space="preserve"> </v>
      </c>
      <c r="S873" s="4" t="str">
        <f ca="1">IF(OR(INDEX($X$2:$X$1001,MATCH(ROWS($W$2:W873),$W$2:$W$1001,0),1)&gt;=100000,INDEX($AD$1005:$AU$1005,1,MATCH(COLUMNS($AD$1006:AU1006),$AD$1006:$AU$1006,0))&gt;=100000), " ",IF(INDEX($AD$2:$AU$1001,MATCH(ROWS($W$2:W873),$W$2:$W$1001,0),MATCH(COLUMNS($AD$1006:AU1006),$AD$1006:$AU$1006,0)), HYPERLINK("#",""), HYPERLINK(CONCATENATE("#metadata!", ADDRESS(INDEX($Y$2:$Y$1001,MATCH(ROWS($W$2:W873),$W$2:$W$1001,0),0), INDEX($AD$1004:$AU$1004,1,MATCH(COLUMNS($AD$1006:AU1006),$AD$1006:$AU$1006,0)))),"Fix")))</f>
        <v xml:space="preserve"> </v>
      </c>
      <c r="W873">
        <v>872</v>
      </c>
      <c r="X873">
        <v>100873</v>
      </c>
      <c r="Y873">
        <v>873</v>
      </c>
      <c r="Z873" t="b">
        <f t="shared" si="13"/>
        <v>1</v>
      </c>
      <c r="AA873" t="b">
        <f>COUNTBLANK(metadata!B873:S873)=COLUMNS(metadata!B873:S873)</f>
        <v>1</v>
      </c>
      <c r="AB873" t="str">
        <v/>
      </c>
      <c r="AD873" t="b">
        <f ca="1">AND(IF(metadata!B873="",FALSE,TRUE),COUNTIF(metadata!B:B, metadata!B873) = 1,NOT(ISERROR(SUMPRODUCT(SEARCH(MID(metadata!B873,ROW(INDIRECT("1:"&amp;LEN(metadata!B873))), 1),"0123456789abcdefghijklmnopqrstuvwxyzABCDEFGHIJKLMNOPQRSTUVWXYZ.")))))</f>
        <v>0</v>
      </c>
      <c r="AE873" t="b">
        <f>OR(AND(IF(metadata!C873="",FALSE,TRUE),OR(EXACT(metadata!C873,"not applicable"),EXACT(metadata!C873,"missing: not collected"),EXACT(metadata!C873,"missing: not provided"),EXACT(metadata!C873,"missing: restricted access"))),AND(IF(metadata!C873="",FALSE,ISNUMBER(VALUE(metadata!C873))),metadata!C873&gt;0))</f>
        <v>0</v>
      </c>
      <c r="AF873" t="b">
        <f>AND(IF(metadata!D873="",FALSE,TRUE),EXACT(metadata!D873,"missing: not provided"))</f>
        <v>0</v>
      </c>
      <c r="AG873" t="b">
        <f>AND(IF(metadata!E873="",FALSE,TRUE),EXACT(metadata!E873,"Host-associated"))</f>
        <v>0</v>
      </c>
      <c r="AH873" t="b">
        <f>AND(IF(metadata!F873="",FALSE,TRUE),OR(EXACT(metadata!F873,"Animal"),EXACT(metadata!F873,"Fungus"),EXACT(metadata!F873,"Plant")))</f>
        <v>0</v>
      </c>
      <c r="AI873" t="b">
        <f>AND(IF(metadata!G873="",FALSE,TRUE),OR(EXACT(metadata!G873,"Plant secretion"),EXACT(metadata!G873,"Plant rhizosphere"),EXACT(metadata!G873,"Plant surface"),EXACT(metadata!G873,"Plant corpus"),EXACT(metadata!G873,"Fungus surface"),EXACT(metadata!G873,"Fungus corpus"),EXACT(metadata!G873,"Animal surface"),EXACT(metadata!G873,"Animal proximal gut"),EXACT(metadata!G873,"Animal corpus"),EXACT(metadata!G873,"Animal distal gut"),EXACT(metadata!G873,"Animal secretion")))</f>
        <v>0</v>
      </c>
      <c r="AJ873" t="b">
        <f>OR(AND(IF(metadata!H873="",FALSE,TRUE),OR(EXACT(metadata!H873,"missing: not collected"),EXACT(metadata!H873,"missing: not provided"),EXACT(metadata!H873,"missing: restricted access"))),AND(IF(metadata!H873="",FALSE,TRUE),OR(EXACT(metadata!H873,"organism-associated habitat"),EXACT(metadata!H873,"plant-associated habitat"),EXACT(metadata!H873,"animal-associated habitat"),EXACT(metadata!H873,"insecta-associated habitat"),EXACT(metadata!H873,"mammalia-associated habitat"),EXACT(metadata!H873,"human-associated habitat"),EXACT(metadata!H873,"livestock-associated habitat"))))</f>
        <v>0</v>
      </c>
      <c r="AK873" t="b">
        <f>AND(IF(metadata!I873="",FALSE,TRUE),EXACT(metadata!I873,"host-associated"))</f>
        <v>0</v>
      </c>
      <c r="AL873" t="b">
        <f>OR(AND(IF(metadata!J873="",FALSE,TRUE),OR(EXACT(metadata!J873,"not applicable"),EXACT(metadata!J873,"missing: not collected"),EXACT(metadata!J873,"missing: not provided"),EXACT(metadata!J873,"missing: restricted access"))),AND(IF(metadata!J873="",FALSE,ISNUMBER(VALUE(metadata!J873))),metadata!J873&gt;0))</f>
        <v>0</v>
      </c>
      <c r="AM873" t="b">
        <f>AND(IF(metadata!K873="",FALSE,TRUE),EXACT(metadata!K873,"missing: not provided"))</f>
        <v>0</v>
      </c>
      <c r="AN873" t="b">
        <f>IF(metadata!L873="",FALSE,TRUE)</f>
        <v>0</v>
      </c>
      <c r="AO873" t="b">
        <f>IF(metadata!M873="",FALSE,TRUE)</f>
        <v>0</v>
      </c>
      <c r="AP873" t="b">
        <f>OR(AND(IF(metadata!N873="",FALSE,TRUE),OR(EXACT(metadata!N873,"not applicable"),EXACT(metadata!N873,"missing: not collected"),EXACT(metadata!N873,"missing: not provided"))),AND(IF(metadata!N873="",FALSE,IF(ISERROR(INT(metadata!N873)),FALSE,INT(metadata!N873)=metadata!N873)),metadata!N873&gt;0))</f>
        <v>0</v>
      </c>
      <c r="AQ873" t="b">
        <f>AND(IF(metadata!O873="",FALSE,TRUE),EXACT(metadata!O873,"Not applicable"))</f>
        <v>0</v>
      </c>
      <c r="AR873" t="b">
        <f>OR(AND(IF(metadata!P873="",FALSE,TRUE),OR(EXACT(metadata!P873,"not applicable"),EXACT(metadata!P873,"missing: not collected"),EXACT(metadata!P873,"missing: not provided"),EXACT(metadata!P873,"missing: restricted access"))),IF(metadata!P873="",FALSE,IF(ISERROR(INT(metadata!P873)),FALSE,INT(metadata!P873)=metadata!P873)))</f>
        <v>0</v>
      </c>
      <c r="AS873" t="b">
        <f>AND(IF(metadata!Q873="",FALSE,TRUE),EXACT(metadata!Q873,"Not applicable"))</f>
        <v>0</v>
      </c>
      <c r="AT873" t="b">
        <f>OR(AND(IF(metadata!R873="",FALSE,TRUE),OR(EXACT(metadata!R873,"not applicable"),EXACT(metadata!R873,"missing: not collected"),EXACT(metadata!R873,"missing: not provided"),EXACT(metadata!R873,"missing: restricted access"))),AND(IF(metadata!R873="",FALSE,ISNUMBER(VALUE(metadata!R873))),metadata!R873&gt;0))</f>
        <v>0</v>
      </c>
      <c r="AU873" t="b">
        <f>AND(IF(metadata!S873="",FALSE,TRUE),EXACT(metadata!S873,"missing: not provided"))</f>
        <v>0</v>
      </c>
    </row>
    <row r="874" spans="1:47" x14ac:dyDescent="0.2">
      <c r="A874" s="5" t="str">
        <f ca="1">IF(B874=" "," ",HYPERLINK(CONCATENATE("#metadata!",ADDRESS(INDEX($Y$2:$Y$1001,MATCH(ROWS($W$2:W874),$W$2:$W$1001,0),0),1)),INDEX($AB$2:$AB$1001,MATCH(ROWS($W$2:W874),$W$2:$W$1001,0),0)))</f>
        <v xml:space="preserve"> </v>
      </c>
      <c r="B874" s="4" t="str">
        <f ca="1">IF(OR(INDEX($X$2:$X$1001,MATCH(ROWS($W$2:W874),$W$2:$W$1001,0),1)&gt;=100000,INDEX($AD$1005:$AU$1005,1,MATCH(COLUMNS($AD$1006:AD1006),$AD$1006:$AU$1006,0))&gt;=100000), " ",IF(INDEX($AD$2:$AU$1001,MATCH(ROWS($W$2:W874),$W$2:$W$1001,0),MATCH(COLUMNS($AD$1006:AD1006),$AD$1006:$AU$1006,0)), HYPERLINK("#",""), HYPERLINK(CONCATENATE("#metadata!", ADDRESS(INDEX($Y$2:$Y$1001,MATCH(ROWS($W$2:W874),$W$2:$W$1001,0),0), INDEX($AD$1004:$AU$1004,1,MATCH(COLUMNS($AD$1006:AD1006),$AD$1006:$AU$1006,0)))),"Fix")))</f>
        <v xml:space="preserve"> </v>
      </c>
      <c r="C874" s="4" t="str">
        <f ca="1">IF(OR(INDEX($X$2:$X$1001,MATCH(ROWS($W$2:W874),$W$2:$W$1001,0),1)&gt;=100000,INDEX($AD$1005:$AU$1005,1,MATCH(COLUMNS($AD$1006:AE1006),$AD$1006:$AU$1006,0))&gt;=100000), " ",IF(INDEX($AD$2:$AU$1001,MATCH(ROWS($W$2:W874),$W$2:$W$1001,0),MATCH(COLUMNS($AD$1006:AE1006),$AD$1006:$AU$1006,0)), HYPERLINK("#",""), HYPERLINK(CONCATENATE("#metadata!", ADDRESS(INDEX($Y$2:$Y$1001,MATCH(ROWS($W$2:W874),$W$2:$W$1001,0),0), INDEX($AD$1004:$AU$1004,1,MATCH(COLUMNS($AD$1006:AE1006),$AD$1006:$AU$1006,0)))),"Fix")))</f>
        <v xml:space="preserve"> </v>
      </c>
      <c r="D874" s="4" t="str">
        <f ca="1">IF(OR(INDEX($X$2:$X$1001,MATCH(ROWS($W$2:W874),$W$2:$W$1001,0),1)&gt;=100000,INDEX($AD$1005:$AU$1005,1,MATCH(COLUMNS($AD$1006:AF1006),$AD$1006:$AU$1006,0))&gt;=100000), " ",IF(INDEX($AD$2:$AU$1001,MATCH(ROWS($W$2:W874),$W$2:$W$1001,0),MATCH(COLUMNS($AD$1006:AF1006),$AD$1006:$AU$1006,0)), HYPERLINK("#",""), HYPERLINK(CONCATENATE("#metadata!", ADDRESS(INDEX($Y$2:$Y$1001,MATCH(ROWS($W$2:W874),$W$2:$W$1001,0),0), INDEX($AD$1004:$AU$1004,1,MATCH(COLUMNS($AD$1006:AF1006),$AD$1006:$AU$1006,0)))),"Fix")))</f>
        <v xml:space="preserve"> </v>
      </c>
      <c r="E874" s="4" t="str">
        <f ca="1">IF(OR(INDEX($X$2:$X$1001,MATCH(ROWS($W$2:W874),$W$2:$W$1001,0),1)&gt;=100000,INDEX($AD$1005:$AU$1005,1,MATCH(COLUMNS($AD$1006:AG1006),$AD$1006:$AU$1006,0))&gt;=100000), " ",IF(INDEX($AD$2:$AU$1001,MATCH(ROWS($W$2:W874),$W$2:$W$1001,0),MATCH(COLUMNS($AD$1006:AG1006),$AD$1006:$AU$1006,0)), HYPERLINK("#",""), HYPERLINK(CONCATENATE("#metadata!", ADDRESS(INDEX($Y$2:$Y$1001,MATCH(ROWS($W$2:W874),$W$2:$W$1001,0),0), INDEX($AD$1004:$AU$1004,1,MATCH(COLUMNS($AD$1006:AG1006),$AD$1006:$AU$1006,0)))),"Fix")))</f>
        <v xml:space="preserve"> </v>
      </c>
      <c r="F874" s="4" t="str">
        <f ca="1">IF(OR(INDEX($X$2:$X$1001,MATCH(ROWS($W$2:W874),$W$2:$W$1001,0),1)&gt;=100000,INDEX($AD$1005:$AU$1005,1,MATCH(COLUMNS($AD$1006:AH1006),$AD$1006:$AU$1006,0))&gt;=100000), " ",IF(INDEX($AD$2:$AU$1001,MATCH(ROWS($W$2:W874),$W$2:$W$1001,0),MATCH(COLUMNS($AD$1006:AH1006),$AD$1006:$AU$1006,0)), HYPERLINK("#",""), HYPERLINK(CONCATENATE("#metadata!", ADDRESS(INDEX($Y$2:$Y$1001,MATCH(ROWS($W$2:W874),$W$2:$W$1001,0),0), INDEX($AD$1004:$AU$1004,1,MATCH(COLUMNS($AD$1006:AH1006),$AD$1006:$AU$1006,0)))),"Fix")))</f>
        <v xml:space="preserve"> </v>
      </c>
      <c r="G874" s="4" t="str">
        <f ca="1">IF(OR(INDEX($X$2:$X$1001,MATCH(ROWS($W$2:W874),$W$2:$W$1001,0),1)&gt;=100000,INDEX($AD$1005:$AU$1005,1,MATCH(COLUMNS($AD$1006:AI1006),$AD$1006:$AU$1006,0))&gt;=100000), " ",IF(INDEX($AD$2:$AU$1001,MATCH(ROWS($W$2:W874),$W$2:$W$1001,0),MATCH(COLUMNS($AD$1006:AI1006),$AD$1006:$AU$1006,0)), HYPERLINK("#",""), HYPERLINK(CONCATENATE("#metadata!", ADDRESS(INDEX($Y$2:$Y$1001,MATCH(ROWS($W$2:W874),$W$2:$W$1001,0),0), INDEX($AD$1004:$AU$1004,1,MATCH(COLUMNS($AD$1006:AI1006),$AD$1006:$AU$1006,0)))),"Fix")))</f>
        <v xml:space="preserve"> </v>
      </c>
      <c r="H874" s="4" t="str">
        <f ca="1">IF(OR(INDEX($X$2:$X$1001,MATCH(ROWS($W$2:W874),$W$2:$W$1001,0),1)&gt;=100000,INDEX($AD$1005:$AU$1005,1,MATCH(COLUMNS($AD$1006:AJ1006),$AD$1006:$AU$1006,0))&gt;=100000), " ",IF(INDEX($AD$2:$AU$1001,MATCH(ROWS($W$2:W874),$W$2:$W$1001,0),MATCH(COLUMNS($AD$1006:AJ1006),$AD$1006:$AU$1006,0)), HYPERLINK("#",""), HYPERLINK(CONCATENATE("#metadata!", ADDRESS(INDEX($Y$2:$Y$1001,MATCH(ROWS($W$2:W874),$W$2:$W$1001,0),0), INDEX($AD$1004:$AU$1004,1,MATCH(COLUMNS($AD$1006:AJ1006),$AD$1006:$AU$1006,0)))),"Fix")))</f>
        <v xml:space="preserve"> </v>
      </c>
      <c r="I874" s="4" t="str">
        <f ca="1">IF(OR(INDEX($X$2:$X$1001,MATCH(ROWS($W$2:W874),$W$2:$W$1001,0),1)&gt;=100000,INDEX($AD$1005:$AU$1005,1,MATCH(COLUMNS($AD$1006:AK1006),$AD$1006:$AU$1006,0))&gt;=100000), " ",IF(INDEX($AD$2:$AU$1001,MATCH(ROWS($W$2:W874),$W$2:$W$1001,0),MATCH(COLUMNS($AD$1006:AK1006),$AD$1006:$AU$1006,0)), HYPERLINK("#",""), HYPERLINK(CONCATENATE("#metadata!", ADDRESS(INDEX($Y$2:$Y$1001,MATCH(ROWS($W$2:W874),$W$2:$W$1001,0),0), INDEX($AD$1004:$AU$1004,1,MATCH(COLUMNS($AD$1006:AK1006),$AD$1006:$AU$1006,0)))),"Fix")))</f>
        <v xml:space="preserve"> </v>
      </c>
      <c r="J874" s="4" t="str">
        <f ca="1">IF(OR(INDEX($X$2:$X$1001,MATCH(ROWS($W$2:W874),$W$2:$W$1001,0),1)&gt;=100000,INDEX($AD$1005:$AU$1005,1,MATCH(COLUMNS($AD$1006:AL1006),$AD$1006:$AU$1006,0))&gt;=100000), " ",IF(INDEX($AD$2:$AU$1001,MATCH(ROWS($W$2:W874),$W$2:$W$1001,0),MATCH(COLUMNS($AD$1006:AL1006),$AD$1006:$AU$1006,0)), HYPERLINK("#",""), HYPERLINK(CONCATENATE("#metadata!", ADDRESS(INDEX($Y$2:$Y$1001,MATCH(ROWS($W$2:W874),$W$2:$W$1001,0),0), INDEX($AD$1004:$AU$1004,1,MATCH(COLUMNS($AD$1006:AL1006),$AD$1006:$AU$1006,0)))),"Fix")))</f>
        <v xml:space="preserve"> </v>
      </c>
      <c r="K874" s="4" t="str">
        <f ca="1">IF(OR(INDEX($X$2:$X$1001,MATCH(ROWS($W$2:W874),$W$2:$W$1001,0),1)&gt;=100000,INDEX($AD$1005:$AU$1005,1,MATCH(COLUMNS($AD$1006:AM1006),$AD$1006:$AU$1006,0))&gt;=100000), " ",IF(INDEX($AD$2:$AU$1001,MATCH(ROWS($W$2:W874),$W$2:$W$1001,0),MATCH(COLUMNS($AD$1006:AM1006),$AD$1006:$AU$1006,0)), HYPERLINK("#",""), HYPERLINK(CONCATENATE("#metadata!", ADDRESS(INDEX($Y$2:$Y$1001,MATCH(ROWS($W$2:W874),$W$2:$W$1001,0),0), INDEX($AD$1004:$AU$1004,1,MATCH(COLUMNS($AD$1006:AM1006),$AD$1006:$AU$1006,0)))),"Fix")))</f>
        <v xml:space="preserve"> </v>
      </c>
      <c r="L874" s="4" t="str">
        <f ca="1">IF(OR(INDEX($X$2:$X$1001,MATCH(ROWS($W$2:W874),$W$2:$W$1001,0),1)&gt;=100000,INDEX($AD$1005:$AU$1005,1,MATCH(COLUMNS($AD$1006:AN1006),$AD$1006:$AU$1006,0))&gt;=100000), " ",IF(INDEX($AD$2:$AU$1001,MATCH(ROWS($W$2:W874),$W$2:$W$1001,0),MATCH(COLUMNS($AD$1006:AN1006),$AD$1006:$AU$1006,0)), HYPERLINK("#",""), HYPERLINK(CONCATENATE("#metadata!", ADDRESS(INDEX($Y$2:$Y$1001,MATCH(ROWS($W$2:W874),$W$2:$W$1001,0),0), INDEX($AD$1004:$AU$1004,1,MATCH(COLUMNS($AD$1006:AN1006),$AD$1006:$AU$1006,0)))),"Fix")))</f>
        <v xml:space="preserve"> </v>
      </c>
      <c r="M874" s="4" t="str">
        <f ca="1">IF(OR(INDEX($X$2:$X$1001,MATCH(ROWS($W$2:W874),$W$2:$W$1001,0),1)&gt;=100000,INDEX($AD$1005:$AU$1005,1,MATCH(COLUMNS($AD$1006:AO1006),$AD$1006:$AU$1006,0))&gt;=100000), " ",IF(INDEX($AD$2:$AU$1001,MATCH(ROWS($W$2:W874),$W$2:$W$1001,0),MATCH(COLUMNS($AD$1006:AO1006),$AD$1006:$AU$1006,0)), HYPERLINK("#",""), HYPERLINK(CONCATENATE("#metadata!", ADDRESS(INDEX($Y$2:$Y$1001,MATCH(ROWS($W$2:W874),$W$2:$W$1001,0),0), INDEX($AD$1004:$AU$1004,1,MATCH(COLUMNS($AD$1006:AO1006),$AD$1006:$AU$1006,0)))),"Fix")))</f>
        <v xml:space="preserve"> </v>
      </c>
      <c r="N874" s="4" t="str">
        <f ca="1">IF(OR(INDEX($X$2:$X$1001,MATCH(ROWS($W$2:W874),$W$2:$W$1001,0),1)&gt;=100000,INDEX($AD$1005:$AU$1005,1,MATCH(COLUMNS($AD$1006:AP1006),$AD$1006:$AU$1006,0))&gt;=100000), " ",IF(INDEX($AD$2:$AU$1001,MATCH(ROWS($W$2:W874),$W$2:$W$1001,0),MATCH(COLUMNS($AD$1006:AP1006),$AD$1006:$AU$1006,0)), HYPERLINK("#",""), HYPERLINK(CONCATENATE("#metadata!", ADDRESS(INDEX($Y$2:$Y$1001,MATCH(ROWS($W$2:W874),$W$2:$W$1001,0),0), INDEX($AD$1004:$AU$1004,1,MATCH(COLUMNS($AD$1006:AP1006),$AD$1006:$AU$1006,0)))),"Fix")))</f>
        <v xml:space="preserve"> </v>
      </c>
      <c r="O874" s="4" t="str">
        <f ca="1">IF(OR(INDEX($X$2:$X$1001,MATCH(ROWS($W$2:W874),$W$2:$W$1001,0),1)&gt;=100000,INDEX($AD$1005:$AU$1005,1,MATCH(COLUMNS($AD$1006:AQ1006),$AD$1006:$AU$1006,0))&gt;=100000), " ",IF(INDEX($AD$2:$AU$1001,MATCH(ROWS($W$2:W874),$W$2:$W$1001,0),MATCH(COLUMNS($AD$1006:AQ1006),$AD$1006:$AU$1006,0)), HYPERLINK("#",""), HYPERLINK(CONCATENATE("#metadata!", ADDRESS(INDEX($Y$2:$Y$1001,MATCH(ROWS($W$2:W874),$W$2:$W$1001,0),0), INDEX($AD$1004:$AU$1004,1,MATCH(COLUMNS($AD$1006:AQ1006),$AD$1006:$AU$1006,0)))),"Fix")))</f>
        <v xml:space="preserve"> </v>
      </c>
      <c r="P874" s="4" t="str">
        <f ca="1">IF(OR(INDEX($X$2:$X$1001,MATCH(ROWS($W$2:W874),$W$2:$W$1001,0),1)&gt;=100000,INDEX($AD$1005:$AU$1005,1,MATCH(COLUMNS($AD$1006:AR1006),$AD$1006:$AU$1006,0))&gt;=100000), " ",IF(INDEX($AD$2:$AU$1001,MATCH(ROWS($W$2:W874),$W$2:$W$1001,0),MATCH(COLUMNS($AD$1006:AR1006),$AD$1006:$AU$1006,0)), HYPERLINK("#",""), HYPERLINK(CONCATENATE("#metadata!", ADDRESS(INDEX($Y$2:$Y$1001,MATCH(ROWS($W$2:W874),$W$2:$W$1001,0),0), INDEX($AD$1004:$AU$1004,1,MATCH(COLUMNS($AD$1006:AR1006),$AD$1006:$AU$1006,0)))),"Fix")))</f>
        <v xml:space="preserve"> </v>
      </c>
      <c r="Q874" s="4" t="str">
        <f ca="1">IF(OR(INDEX($X$2:$X$1001,MATCH(ROWS($W$2:W874),$W$2:$W$1001,0),1)&gt;=100000,INDEX($AD$1005:$AU$1005,1,MATCH(COLUMNS($AD$1006:AS1006),$AD$1006:$AU$1006,0))&gt;=100000), " ",IF(INDEX($AD$2:$AU$1001,MATCH(ROWS($W$2:W874),$W$2:$W$1001,0),MATCH(COLUMNS($AD$1006:AS1006),$AD$1006:$AU$1006,0)), HYPERLINK("#",""), HYPERLINK(CONCATENATE("#metadata!", ADDRESS(INDEX($Y$2:$Y$1001,MATCH(ROWS($W$2:W874),$W$2:$W$1001,0),0), INDEX($AD$1004:$AU$1004,1,MATCH(COLUMNS($AD$1006:AS1006),$AD$1006:$AU$1006,0)))),"Fix")))</f>
        <v xml:space="preserve"> </v>
      </c>
      <c r="R874" s="4" t="str">
        <f ca="1">IF(OR(INDEX($X$2:$X$1001,MATCH(ROWS($W$2:W874),$W$2:$W$1001,0),1)&gt;=100000,INDEX($AD$1005:$AU$1005,1,MATCH(COLUMNS($AD$1006:AT1006),$AD$1006:$AU$1006,0))&gt;=100000), " ",IF(INDEX($AD$2:$AU$1001,MATCH(ROWS($W$2:W874),$W$2:$W$1001,0),MATCH(COLUMNS($AD$1006:AT1006),$AD$1006:$AU$1006,0)), HYPERLINK("#",""), HYPERLINK(CONCATENATE("#metadata!", ADDRESS(INDEX($Y$2:$Y$1001,MATCH(ROWS($W$2:W874),$W$2:$W$1001,0),0), INDEX($AD$1004:$AU$1004,1,MATCH(COLUMNS($AD$1006:AT1006),$AD$1006:$AU$1006,0)))),"Fix")))</f>
        <v xml:space="preserve"> </v>
      </c>
      <c r="S874" s="4" t="str">
        <f ca="1">IF(OR(INDEX($X$2:$X$1001,MATCH(ROWS($W$2:W874),$W$2:$W$1001,0),1)&gt;=100000,INDEX($AD$1005:$AU$1005,1,MATCH(COLUMNS($AD$1006:AU1006),$AD$1006:$AU$1006,0))&gt;=100000), " ",IF(INDEX($AD$2:$AU$1001,MATCH(ROWS($W$2:W874),$W$2:$W$1001,0),MATCH(COLUMNS($AD$1006:AU1006),$AD$1006:$AU$1006,0)), HYPERLINK("#",""), HYPERLINK(CONCATENATE("#metadata!", ADDRESS(INDEX($Y$2:$Y$1001,MATCH(ROWS($W$2:W874),$W$2:$W$1001,0),0), INDEX($AD$1004:$AU$1004,1,MATCH(COLUMNS($AD$1006:AU1006),$AD$1006:$AU$1006,0)))),"Fix")))</f>
        <v xml:space="preserve"> </v>
      </c>
      <c r="W874">
        <v>873</v>
      </c>
      <c r="X874">
        <v>100874</v>
      </c>
      <c r="Y874">
        <v>874</v>
      </c>
      <c r="Z874" t="b">
        <f t="shared" si="13"/>
        <v>1</v>
      </c>
      <c r="AA874" t="b">
        <f>COUNTBLANK(metadata!B874:S874)=COLUMNS(metadata!B874:S874)</f>
        <v>1</v>
      </c>
      <c r="AB874" t="str">
        <v/>
      </c>
      <c r="AD874" t="b">
        <f ca="1">AND(IF(metadata!B874="",FALSE,TRUE),COUNTIF(metadata!B:B, metadata!B874) = 1,NOT(ISERROR(SUMPRODUCT(SEARCH(MID(metadata!B874,ROW(INDIRECT("1:"&amp;LEN(metadata!B874))), 1),"0123456789abcdefghijklmnopqrstuvwxyzABCDEFGHIJKLMNOPQRSTUVWXYZ.")))))</f>
        <v>0</v>
      </c>
      <c r="AE874" t="b">
        <f>OR(AND(IF(metadata!C874="",FALSE,TRUE),OR(EXACT(metadata!C874,"not applicable"),EXACT(metadata!C874,"missing: not collected"),EXACT(metadata!C874,"missing: not provided"),EXACT(metadata!C874,"missing: restricted access"))),AND(IF(metadata!C874="",FALSE,ISNUMBER(VALUE(metadata!C874))),metadata!C874&gt;0))</f>
        <v>0</v>
      </c>
      <c r="AF874" t="b">
        <f>AND(IF(metadata!D874="",FALSE,TRUE),EXACT(metadata!D874,"missing: not provided"))</f>
        <v>0</v>
      </c>
      <c r="AG874" t="b">
        <f>AND(IF(metadata!E874="",FALSE,TRUE),EXACT(metadata!E874,"Host-associated"))</f>
        <v>0</v>
      </c>
      <c r="AH874" t="b">
        <f>AND(IF(metadata!F874="",FALSE,TRUE),OR(EXACT(metadata!F874,"Animal"),EXACT(metadata!F874,"Fungus"),EXACT(metadata!F874,"Plant")))</f>
        <v>0</v>
      </c>
      <c r="AI874" t="b">
        <f>AND(IF(metadata!G874="",FALSE,TRUE),OR(EXACT(metadata!G874,"Plant secretion"),EXACT(metadata!G874,"Plant rhizosphere"),EXACT(metadata!G874,"Plant surface"),EXACT(metadata!G874,"Plant corpus"),EXACT(metadata!G874,"Fungus surface"),EXACT(metadata!G874,"Fungus corpus"),EXACT(metadata!G874,"Animal surface"),EXACT(metadata!G874,"Animal proximal gut"),EXACT(metadata!G874,"Animal corpus"),EXACT(metadata!G874,"Animal distal gut"),EXACT(metadata!G874,"Animal secretion")))</f>
        <v>0</v>
      </c>
      <c r="AJ874" t="b">
        <f>OR(AND(IF(metadata!H874="",FALSE,TRUE),OR(EXACT(metadata!H874,"missing: not collected"),EXACT(metadata!H874,"missing: not provided"),EXACT(metadata!H874,"missing: restricted access"))),AND(IF(metadata!H874="",FALSE,TRUE),OR(EXACT(metadata!H874,"organism-associated habitat"),EXACT(metadata!H874,"plant-associated habitat"),EXACT(metadata!H874,"animal-associated habitat"),EXACT(metadata!H874,"insecta-associated habitat"),EXACT(metadata!H874,"mammalia-associated habitat"),EXACT(metadata!H874,"human-associated habitat"),EXACT(metadata!H874,"livestock-associated habitat"))))</f>
        <v>0</v>
      </c>
      <c r="AK874" t="b">
        <f>AND(IF(metadata!I874="",FALSE,TRUE),EXACT(metadata!I874,"host-associated"))</f>
        <v>0</v>
      </c>
      <c r="AL874" t="b">
        <f>OR(AND(IF(metadata!J874="",FALSE,TRUE),OR(EXACT(metadata!J874,"not applicable"),EXACT(metadata!J874,"missing: not collected"),EXACT(metadata!J874,"missing: not provided"),EXACT(metadata!J874,"missing: restricted access"))),AND(IF(metadata!J874="",FALSE,ISNUMBER(VALUE(metadata!J874))),metadata!J874&gt;0))</f>
        <v>0</v>
      </c>
      <c r="AM874" t="b">
        <f>AND(IF(metadata!K874="",FALSE,TRUE),EXACT(metadata!K874,"missing: not provided"))</f>
        <v>0</v>
      </c>
      <c r="AN874" t="b">
        <f>IF(metadata!L874="",FALSE,TRUE)</f>
        <v>0</v>
      </c>
      <c r="AO874" t="b">
        <f>IF(metadata!M874="",FALSE,TRUE)</f>
        <v>0</v>
      </c>
      <c r="AP874" t="b">
        <f>OR(AND(IF(metadata!N874="",FALSE,TRUE),OR(EXACT(metadata!N874,"not applicable"),EXACT(metadata!N874,"missing: not collected"),EXACT(metadata!N874,"missing: not provided"))),AND(IF(metadata!N874="",FALSE,IF(ISERROR(INT(metadata!N874)),FALSE,INT(metadata!N874)=metadata!N874)),metadata!N874&gt;0))</f>
        <v>0</v>
      </c>
      <c r="AQ874" t="b">
        <f>AND(IF(metadata!O874="",FALSE,TRUE),EXACT(metadata!O874,"Not applicable"))</f>
        <v>0</v>
      </c>
      <c r="AR874" t="b">
        <f>OR(AND(IF(metadata!P874="",FALSE,TRUE),OR(EXACT(metadata!P874,"not applicable"),EXACT(metadata!P874,"missing: not collected"),EXACT(metadata!P874,"missing: not provided"),EXACT(metadata!P874,"missing: restricted access"))),IF(metadata!P874="",FALSE,IF(ISERROR(INT(metadata!P874)),FALSE,INT(metadata!P874)=metadata!P874)))</f>
        <v>0</v>
      </c>
      <c r="AS874" t="b">
        <f>AND(IF(metadata!Q874="",FALSE,TRUE),EXACT(metadata!Q874,"Not applicable"))</f>
        <v>0</v>
      </c>
      <c r="AT874" t="b">
        <f>OR(AND(IF(metadata!R874="",FALSE,TRUE),OR(EXACT(metadata!R874,"not applicable"),EXACT(metadata!R874,"missing: not collected"),EXACT(metadata!R874,"missing: not provided"),EXACT(metadata!R874,"missing: restricted access"))),AND(IF(metadata!R874="",FALSE,ISNUMBER(VALUE(metadata!R874))),metadata!R874&gt;0))</f>
        <v>0</v>
      </c>
      <c r="AU874" t="b">
        <f>AND(IF(metadata!S874="",FALSE,TRUE),EXACT(metadata!S874,"missing: not provided"))</f>
        <v>0</v>
      </c>
    </row>
    <row r="875" spans="1:47" x14ac:dyDescent="0.2">
      <c r="A875" s="5" t="str">
        <f ca="1">IF(B875=" "," ",HYPERLINK(CONCATENATE("#metadata!",ADDRESS(INDEX($Y$2:$Y$1001,MATCH(ROWS($W$2:W875),$W$2:$W$1001,0),0),1)),INDEX($AB$2:$AB$1001,MATCH(ROWS($W$2:W875),$W$2:$W$1001,0),0)))</f>
        <v xml:space="preserve"> </v>
      </c>
      <c r="B875" s="4" t="str">
        <f ca="1">IF(OR(INDEX($X$2:$X$1001,MATCH(ROWS($W$2:W875),$W$2:$W$1001,0),1)&gt;=100000,INDEX($AD$1005:$AU$1005,1,MATCH(COLUMNS($AD$1006:AD1006),$AD$1006:$AU$1006,0))&gt;=100000), " ",IF(INDEX($AD$2:$AU$1001,MATCH(ROWS($W$2:W875),$W$2:$W$1001,0),MATCH(COLUMNS($AD$1006:AD1006),$AD$1006:$AU$1006,0)), HYPERLINK("#",""), HYPERLINK(CONCATENATE("#metadata!", ADDRESS(INDEX($Y$2:$Y$1001,MATCH(ROWS($W$2:W875),$W$2:$W$1001,0),0), INDEX($AD$1004:$AU$1004,1,MATCH(COLUMNS($AD$1006:AD1006),$AD$1006:$AU$1006,0)))),"Fix")))</f>
        <v xml:space="preserve"> </v>
      </c>
      <c r="C875" s="4" t="str">
        <f ca="1">IF(OR(INDEX($X$2:$X$1001,MATCH(ROWS($W$2:W875),$W$2:$W$1001,0),1)&gt;=100000,INDEX($AD$1005:$AU$1005,1,MATCH(COLUMNS($AD$1006:AE1006),$AD$1006:$AU$1006,0))&gt;=100000), " ",IF(INDEX($AD$2:$AU$1001,MATCH(ROWS($W$2:W875),$W$2:$W$1001,0),MATCH(COLUMNS($AD$1006:AE1006),$AD$1006:$AU$1006,0)), HYPERLINK("#",""), HYPERLINK(CONCATENATE("#metadata!", ADDRESS(INDEX($Y$2:$Y$1001,MATCH(ROWS($W$2:W875),$W$2:$W$1001,0),0), INDEX($AD$1004:$AU$1004,1,MATCH(COLUMNS($AD$1006:AE1006),$AD$1006:$AU$1006,0)))),"Fix")))</f>
        <v xml:space="preserve"> </v>
      </c>
      <c r="D875" s="4" t="str">
        <f ca="1">IF(OR(INDEX($X$2:$X$1001,MATCH(ROWS($W$2:W875),$W$2:$W$1001,0),1)&gt;=100000,INDEX($AD$1005:$AU$1005,1,MATCH(COLUMNS($AD$1006:AF1006),$AD$1006:$AU$1006,0))&gt;=100000), " ",IF(INDEX($AD$2:$AU$1001,MATCH(ROWS($W$2:W875),$W$2:$W$1001,0),MATCH(COLUMNS($AD$1006:AF1006),$AD$1006:$AU$1006,0)), HYPERLINK("#",""), HYPERLINK(CONCATENATE("#metadata!", ADDRESS(INDEX($Y$2:$Y$1001,MATCH(ROWS($W$2:W875),$W$2:$W$1001,0),0), INDEX($AD$1004:$AU$1004,1,MATCH(COLUMNS($AD$1006:AF1006),$AD$1006:$AU$1006,0)))),"Fix")))</f>
        <v xml:space="preserve"> </v>
      </c>
      <c r="E875" s="4" t="str">
        <f ca="1">IF(OR(INDEX($X$2:$X$1001,MATCH(ROWS($W$2:W875),$W$2:$W$1001,0),1)&gt;=100000,INDEX($AD$1005:$AU$1005,1,MATCH(COLUMNS($AD$1006:AG1006),$AD$1006:$AU$1006,0))&gt;=100000), " ",IF(INDEX($AD$2:$AU$1001,MATCH(ROWS($W$2:W875),$W$2:$W$1001,0),MATCH(COLUMNS($AD$1006:AG1006),$AD$1006:$AU$1006,0)), HYPERLINK("#",""), HYPERLINK(CONCATENATE("#metadata!", ADDRESS(INDEX($Y$2:$Y$1001,MATCH(ROWS($W$2:W875),$W$2:$W$1001,0),0), INDEX($AD$1004:$AU$1004,1,MATCH(COLUMNS($AD$1006:AG1006),$AD$1006:$AU$1006,0)))),"Fix")))</f>
        <v xml:space="preserve"> </v>
      </c>
      <c r="F875" s="4" t="str">
        <f ca="1">IF(OR(INDEX($X$2:$X$1001,MATCH(ROWS($W$2:W875),$W$2:$W$1001,0),1)&gt;=100000,INDEX($AD$1005:$AU$1005,1,MATCH(COLUMNS($AD$1006:AH1006),$AD$1006:$AU$1006,0))&gt;=100000), " ",IF(INDEX($AD$2:$AU$1001,MATCH(ROWS($W$2:W875),$W$2:$W$1001,0),MATCH(COLUMNS($AD$1006:AH1006),$AD$1006:$AU$1006,0)), HYPERLINK("#",""), HYPERLINK(CONCATENATE("#metadata!", ADDRESS(INDEX($Y$2:$Y$1001,MATCH(ROWS($W$2:W875),$W$2:$W$1001,0),0), INDEX($AD$1004:$AU$1004,1,MATCH(COLUMNS($AD$1006:AH1006),$AD$1006:$AU$1006,0)))),"Fix")))</f>
        <v xml:space="preserve"> </v>
      </c>
      <c r="G875" s="4" t="str">
        <f ca="1">IF(OR(INDEX($X$2:$X$1001,MATCH(ROWS($W$2:W875),$W$2:$W$1001,0),1)&gt;=100000,INDEX($AD$1005:$AU$1005,1,MATCH(COLUMNS($AD$1006:AI1006),$AD$1006:$AU$1006,0))&gt;=100000), " ",IF(INDEX($AD$2:$AU$1001,MATCH(ROWS($W$2:W875),$W$2:$W$1001,0),MATCH(COLUMNS($AD$1006:AI1006),$AD$1006:$AU$1006,0)), HYPERLINK("#",""), HYPERLINK(CONCATENATE("#metadata!", ADDRESS(INDEX($Y$2:$Y$1001,MATCH(ROWS($W$2:W875),$W$2:$W$1001,0),0), INDEX($AD$1004:$AU$1004,1,MATCH(COLUMNS($AD$1006:AI1006),$AD$1006:$AU$1006,0)))),"Fix")))</f>
        <v xml:space="preserve"> </v>
      </c>
      <c r="H875" s="4" t="str">
        <f ca="1">IF(OR(INDEX($X$2:$X$1001,MATCH(ROWS($W$2:W875),$W$2:$W$1001,0),1)&gt;=100000,INDEX($AD$1005:$AU$1005,1,MATCH(COLUMNS($AD$1006:AJ1006),$AD$1006:$AU$1006,0))&gt;=100000), " ",IF(INDEX($AD$2:$AU$1001,MATCH(ROWS($W$2:W875),$W$2:$W$1001,0),MATCH(COLUMNS($AD$1006:AJ1006),$AD$1006:$AU$1006,0)), HYPERLINK("#",""), HYPERLINK(CONCATENATE("#metadata!", ADDRESS(INDEX($Y$2:$Y$1001,MATCH(ROWS($W$2:W875),$W$2:$W$1001,0),0), INDEX($AD$1004:$AU$1004,1,MATCH(COLUMNS($AD$1006:AJ1006),$AD$1006:$AU$1006,0)))),"Fix")))</f>
        <v xml:space="preserve"> </v>
      </c>
      <c r="I875" s="4" t="str">
        <f ca="1">IF(OR(INDEX($X$2:$X$1001,MATCH(ROWS($W$2:W875),$W$2:$W$1001,0),1)&gt;=100000,INDEX($AD$1005:$AU$1005,1,MATCH(COLUMNS($AD$1006:AK1006),$AD$1006:$AU$1006,0))&gt;=100000), " ",IF(INDEX($AD$2:$AU$1001,MATCH(ROWS($W$2:W875),$W$2:$W$1001,0),MATCH(COLUMNS($AD$1006:AK1006),$AD$1006:$AU$1006,0)), HYPERLINK("#",""), HYPERLINK(CONCATENATE("#metadata!", ADDRESS(INDEX($Y$2:$Y$1001,MATCH(ROWS($W$2:W875),$W$2:$W$1001,0),0), INDEX($AD$1004:$AU$1004,1,MATCH(COLUMNS($AD$1006:AK1006),$AD$1006:$AU$1006,0)))),"Fix")))</f>
        <v xml:space="preserve"> </v>
      </c>
      <c r="J875" s="4" t="str">
        <f ca="1">IF(OR(INDEX($X$2:$X$1001,MATCH(ROWS($W$2:W875),$W$2:$W$1001,0),1)&gt;=100000,INDEX($AD$1005:$AU$1005,1,MATCH(COLUMNS($AD$1006:AL1006),$AD$1006:$AU$1006,0))&gt;=100000), " ",IF(INDEX($AD$2:$AU$1001,MATCH(ROWS($W$2:W875),$W$2:$W$1001,0),MATCH(COLUMNS($AD$1006:AL1006),$AD$1006:$AU$1006,0)), HYPERLINK("#",""), HYPERLINK(CONCATENATE("#metadata!", ADDRESS(INDEX($Y$2:$Y$1001,MATCH(ROWS($W$2:W875),$W$2:$W$1001,0),0), INDEX($AD$1004:$AU$1004,1,MATCH(COLUMNS($AD$1006:AL1006),$AD$1006:$AU$1006,0)))),"Fix")))</f>
        <v xml:space="preserve"> </v>
      </c>
      <c r="K875" s="4" t="str">
        <f ca="1">IF(OR(INDEX($X$2:$X$1001,MATCH(ROWS($W$2:W875),$W$2:$W$1001,0),1)&gt;=100000,INDEX($AD$1005:$AU$1005,1,MATCH(COLUMNS($AD$1006:AM1006),$AD$1006:$AU$1006,0))&gt;=100000), " ",IF(INDEX($AD$2:$AU$1001,MATCH(ROWS($W$2:W875),$W$2:$W$1001,0),MATCH(COLUMNS($AD$1006:AM1006),$AD$1006:$AU$1006,0)), HYPERLINK("#",""), HYPERLINK(CONCATENATE("#metadata!", ADDRESS(INDEX($Y$2:$Y$1001,MATCH(ROWS($W$2:W875),$W$2:$W$1001,0),0), INDEX($AD$1004:$AU$1004,1,MATCH(COLUMNS($AD$1006:AM1006),$AD$1006:$AU$1006,0)))),"Fix")))</f>
        <v xml:space="preserve"> </v>
      </c>
      <c r="L875" s="4" t="str">
        <f ca="1">IF(OR(INDEX($X$2:$X$1001,MATCH(ROWS($W$2:W875),$W$2:$W$1001,0),1)&gt;=100000,INDEX($AD$1005:$AU$1005,1,MATCH(COLUMNS($AD$1006:AN1006),$AD$1006:$AU$1006,0))&gt;=100000), " ",IF(INDEX($AD$2:$AU$1001,MATCH(ROWS($W$2:W875),$W$2:$W$1001,0),MATCH(COLUMNS($AD$1006:AN1006),$AD$1006:$AU$1006,0)), HYPERLINK("#",""), HYPERLINK(CONCATENATE("#metadata!", ADDRESS(INDEX($Y$2:$Y$1001,MATCH(ROWS($W$2:W875),$W$2:$W$1001,0),0), INDEX($AD$1004:$AU$1004,1,MATCH(COLUMNS($AD$1006:AN1006),$AD$1006:$AU$1006,0)))),"Fix")))</f>
        <v xml:space="preserve"> </v>
      </c>
      <c r="M875" s="4" t="str">
        <f ca="1">IF(OR(INDEX($X$2:$X$1001,MATCH(ROWS($W$2:W875),$W$2:$W$1001,0),1)&gt;=100000,INDEX($AD$1005:$AU$1005,1,MATCH(COLUMNS($AD$1006:AO1006),$AD$1006:$AU$1006,0))&gt;=100000), " ",IF(INDEX($AD$2:$AU$1001,MATCH(ROWS($W$2:W875),$W$2:$W$1001,0),MATCH(COLUMNS($AD$1006:AO1006),$AD$1006:$AU$1006,0)), HYPERLINK("#",""), HYPERLINK(CONCATENATE("#metadata!", ADDRESS(INDEX($Y$2:$Y$1001,MATCH(ROWS($W$2:W875),$W$2:$W$1001,0),0), INDEX($AD$1004:$AU$1004,1,MATCH(COLUMNS($AD$1006:AO1006),$AD$1006:$AU$1006,0)))),"Fix")))</f>
        <v xml:space="preserve"> </v>
      </c>
      <c r="N875" s="4" t="str">
        <f ca="1">IF(OR(INDEX($X$2:$X$1001,MATCH(ROWS($W$2:W875),$W$2:$W$1001,0),1)&gt;=100000,INDEX($AD$1005:$AU$1005,1,MATCH(COLUMNS($AD$1006:AP1006),$AD$1006:$AU$1006,0))&gt;=100000), " ",IF(INDEX($AD$2:$AU$1001,MATCH(ROWS($W$2:W875),$W$2:$W$1001,0),MATCH(COLUMNS($AD$1006:AP1006),$AD$1006:$AU$1006,0)), HYPERLINK("#",""), HYPERLINK(CONCATENATE("#metadata!", ADDRESS(INDEX($Y$2:$Y$1001,MATCH(ROWS($W$2:W875),$W$2:$W$1001,0),0), INDEX($AD$1004:$AU$1004,1,MATCH(COLUMNS($AD$1006:AP1006),$AD$1006:$AU$1006,0)))),"Fix")))</f>
        <v xml:space="preserve"> </v>
      </c>
      <c r="O875" s="4" t="str">
        <f ca="1">IF(OR(INDEX($X$2:$X$1001,MATCH(ROWS($W$2:W875),$W$2:$W$1001,0),1)&gt;=100000,INDEX($AD$1005:$AU$1005,1,MATCH(COLUMNS($AD$1006:AQ1006),$AD$1006:$AU$1006,0))&gt;=100000), " ",IF(INDEX($AD$2:$AU$1001,MATCH(ROWS($W$2:W875),$W$2:$W$1001,0),MATCH(COLUMNS($AD$1006:AQ1006),$AD$1006:$AU$1006,0)), HYPERLINK("#",""), HYPERLINK(CONCATENATE("#metadata!", ADDRESS(INDEX($Y$2:$Y$1001,MATCH(ROWS($W$2:W875),$W$2:$W$1001,0),0), INDEX($AD$1004:$AU$1004,1,MATCH(COLUMNS($AD$1006:AQ1006),$AD$1006:$AU$1006,0)))),"Fix")))</f>
        <v xml:space="preserve"> </v>
      </c>
      <c r="P875" s="4" t="str">
        <f ca="1">IF(OR(INDEX($X$2:$X$1001,MATCH(ROWS($W$2:W875),$W$2:$W$1001,0),1)&gt;=100000,INDEX($AD$1005:$AU$1005,1,MATCH(COLUMNS($AD$1006:AR1006),$AD$1006:$AU$1006,0))&gt;=100000), " ",IF(INDEX($AD$2:$AU$1001,MATCH(ROWS($W$2:W875),$W$2:$W$1001,0),MATCH(COLUMNS($AD$1006:AR1006),$AD$1006:$AU$1006,0)), HYPERLINK("#",""), HYPERLINK(CONCATENATE("#metadata!", ADDRESS(INDEX($Y$2:$Y$1001,MATCH(ROWS($W$2:W875),$W$2:$W$1001,0),0), INDEX($AD$1004:$AU$1004,1,MATCH(COLUMNS($AD$1006:AR1006),$AD$1006:$AU$1006,0)))),"Fix")))</f>
        <v xml:space="preserve"> </v>
      </c>
      <c r="Q875" s="4" t="str">
        <f ca="1">IF(OR(INDEX($X$2:$X$1001,MATCH(ROWS($W$2:W875),$W$2:$W$1001,0),1)&gt;=100000,INDEX($AD$1005:$AU$1005,1,MATCH(COLUMNS($AD$1006:AS1006),$AD$1006:$AU$1006,0))&gt;=100000), " ",IF(INDEX($AD$2:$AU$1001,MATCH(ROWS($W$2:W875),$W$2:$W$1001,0),MATCH(COLUMNS($AD$1006:AS1006),$AD$1006:$AU$1006,0)), HYPERLINK("#",""), HYPERLINK(CONCATENATE("#metadata!", ADDRESS(INDEX($Y$2:$Y$1001,MATCH(ROWS($W$2:W875),$W$2:$W$1001,0),0), INDEX($AD$1004:$AU$1004,1,MATCH(COLUMNS($AD$1006:AS1006),$AD$1006:$AU$1006,0)))),"Fix")))</f>
        <v xml:space="preserve"> </v>
      </c>
      <c r="R875" s="4" t="str">
        <f ca="1">IF(OR(INDEX($X$2:$X$1001,MATCH(ROWS($W$2:W875),$W$2:$W$1001,0),1)&gt;=100000,INDEX($AD$1005:$AU$1005,1,MATCH(COLUMNS($AD$1006:AT1006),$AD$1006:$AU$1006,0))&gt;=100000), " ",IF(INDEX($AD$2:$AU$1001,MATCH(ROWS($W$2:W875),$W$2:$W$1001,0),MATCH(COLUMNS($AD$1006:AT1006),$AD$1006:$AU$1006,0)), HYPERLINK("#",""), HYPERLINK(CONCATENATE("#metadata!", ADDRESS(INDEX($Y$2:$Y$1001,MATCH(ROWS($W$2:W875),$W$2:$W$1001,0),0), INDEX($AD$1004:$AU$1004,1,MATCH(COLUMNS($AD$1006:AT1006),$AD$1006:$AU$1006,0)))),"Fix")))</f>
        <v xml:space="preserve"> </v>
      </c>
      <c r="S875" s="4" t="str">
        <f ca="1">IF(OR(INDEX($X$2:$X$1001,MATCH(ROWS($W$2:W875),$W$2:$W$1001,0),1)&gt;=100000,INDEX($AD$1005:$AU$1005,1,MATCH(COLUMNS($AD$1006:AU1006),$AD$1006:$AU$1006,0))&gt;=100000), " ",IF(INDEX($AD$2:$AU$1001,MATCH(ROWS($W$2:W875),$W$2:$W$1001,0),MATCH(COLUMNS($AD$1006:AU1006),$AD$1006:$AU$1006,0)), HYPERLINK("#",""), HYPERLINK(CONCATENATE("#metadata!", ADDRESS(INDEX($Y$2:$Y$1001,MATCH(ROWS($W$2:W875),$W$2:$W$1001,0),0), INDEX($AD$1004:$AU$1004,1,MATCH(COLUMNS($AD$1006:AU1006),$AD$1006:$AU$1006,0)))),"Fix")))</f>
        <v xml:space="preserve"> </v>
      </c>
      <c r="W875">
        <v>874</v>
      </c>
      <c r="X875">
        <v>100875</v>
      </c>
      <c r="Y875">
        <v>875</v>
      </c>
      <c r="Z875" t="b">
        <f t="shared" si="13"/>
        <v>1</v>
      </c>
      <c r="AA875" t="b">
        <f>COUNTBLANK(metadata!B875:S875)=COLUMNS(metadata!B875:S875)</f>
        <v>1</v>
      </c>
      <c r="AB875" t="str">
        <v/>
      </c>
      <c r="AD875" t="b">
        <f ca="1">AND(IF(metadata!B875="",FALSE,TRUE),COUNTIF(metadata!B:B, metadata!B875) = 1,NOT(ISERROR(SUMPRODUCT(SEARCH(MID(metadata!B875,ROW(INDIRECT("1:"&amp;LEN(metadata!B875))), 1),"0123456789abcdefghijklmnopqrstuvwxyzABCDEFGHIJKLMNOPQRSTUVWXYZ.")))))</f>
        <v>0</v>
      </c>
      <c r="AE875" t="b">
        <f>OR(AND(IF(metadata!C875="",FALSE,TRUE),OR(EXACT(metadata!C875,"not applicable"),EXACT(metadata!C875,"missing: not collected"),EXACT(metadata!C875,"missing: not provided"),EXACT(metadata!C875,"missing: restricted access"))),AND(IF(metadata!C875="",FALSE,ISNUMBER(VALUE(metadata!C875))),metadata!C875&gt;0))</f>
        <v>0</v>
      </c>
      <c r="AF875" t="b">
        <f>AND(IF(metadata!D875="",FALSE,TRUE),EXACT(metadata!D875,"missing: not provided"))</f>
        <v>0</v>
      </c>
      <c r="AG875" t="b">
        <f>AND(IF(metadata!E875="",FALSE,TRUE),EXACT(metadata!E875,"Host-associated"))</f>
        <v>0</v>
      </c>
      <c r="AH875" t="b">
        <f>AND(IF(metadata!F875="",FALSE,TRUE),OR(EXACT(metadata!F875,"Animal"),EXACT(metadata!F875,"Fungus"),EXACT(metadata!F875,"Plant")))</f>
        <v>0</v>
      </c>
      <c r="AI875" t="b">
        <f>AND(IF(metadata!G875="",FALSE,TRUE),OR(EXACT(metadata!G875,"Plant secretion"),EXACT(metadata!G875,"Plant rhizosphere"),EXACT(metadata!G875,"Plant surface"),EXACT(metadata!G875,"Plant corpus"),EXACT(metadata!G875,"Fungus surface"),EXACT(metadata!G875,"Fungus corpus"),EXACT(metadata!G875,"Animal surface"),EXACT(metadata!G875,"Animal proximal gut"),EXACT(metadata!G875,"Animal corpus"),EXACT(metadata!G875,"Animal distal gut"),EXACT(metadata!G875,"Animal secretion")))</f>
        <v>0</v>
      </c>
      <c r="AJ875" t="b">
        <f>OR(AND(IF(metadata!H875="",FALSE,TRUE),OR(EXACT(metadata!H875,"missing: not collected"),EXACT(metadata!H875,"missing: not provided"),EXACT(metadata!H875,"missing: restricted access"))),AND(IF(metadata!H875="",FALSE,TRUE),OR(EXACT(metadata!H875,"organism-associated habitat"),EXACT(metadata!H875,"plant-associated habitat"),EXACT(metadata!H875,"animal-associated habitat"),EXACT(metadata!H875,"insecta-associated habitat"),EXACT(metadata!H875,"mammalia-associated habitat"),EXACT(metadata!H875,"human-associated habitat"),EXACT(metadata!H875,"livestock-associated habitat"))))</f>
        <v>0</v>
      </c>
      <c r="AK875" t="b">
        <f>AND(IF(metadata!I875="",FALSE,TRUE),EXACT(metadata!I875,"host-associated"))</f>
        <v>0</v>
      </c>
      <c r="AL875" t="b">
        <f>OR(AND(IF(metadata!J875="",FALSE,TRUE),OR(EXACT(metadata!J875,"not applicable"),EXACT(metadata!J875,"missing: not collected"),EXACT(metadata!J875,"missing: not provided"),EXACT(metadata!J875,"missing: restricted access"))),AND(IF(metadata!J875="",FALSE,ISNUMBER(VALUE(metadata!J875))),metadata!J875&gt;0))</f>
        <v>0</v>
      </c>
      <c r="AM875" t="b">
        <f>AND(IF(metadata!K875="",FALSE,TRUE),EXACT(metadata!K875,"missing: not provided"))</f>
        <v>0</v>
      </c>
      <c r="AN875" t="b">
        <f>IF(metadata!L875="",FALSE,TRUE)</f>
        <v>0</v>
      </c>
      <c r="AO875" t="b">
        <f>IF(metadata!M875="",FALSE,TRUE)</f>
        <v>0</v>
      </c>
      <c r="AP875" t="b">
        <f>OR(AND(IF(metadata!N875="",FALSE,TRUE),OR(EXACT(metadata!N875,"not applicable"),EXACT(metadata!N875,"missing: not collected"),EXACT(metadata!N875,"missing: not provided"))),AND(IF(metadata!N875="",FALSE,IF(ISERROR(INT(metadata!N875)),FALSE,INT(metadata!N875)=metadata!N875)),metadata!N875&gt;0))</f>
        <v>0</v>
      </c>
      <c r="AQ875" t="b">
        <f>AND(IF(metadata!O875="",FALSE,TRUE),EXACT(metadata!O875,"Not applicable"))</f>
        <v>0</v>
      </c>
      <c r="AR875" t="b">
        <f>OR(AND(IF(metadata!P875="",FALSE,TRUE),OR(EXACT(metadata!P875,"not applicable"),EXACT(metadata!P875,"missing: not collected"),EXACT(metadata!P875,"missing: not provided"),EXACT(metadata!P875,"missing: restricted access"))),IF(metadata!P875="",FALSE,IF(ISERROR(INT(metadata!P875)),FALSE,INT(metadata!P875)=metadata!P875)))</f>
        <v>0</v>
      </c>
      <c r="AS875" t="b">
        <f>AND(IF(metadata!Q875="",FALSE,TRUE),EXACT(metadata!Q875,"Not applicable"))</f>
        <v>0</v>
      </c>
      <c r="AT875" t="b">
        <f>OR(AND(IF(metadata!R875="",FALSE,TRUE),OR(EXACT(metadata!R875,"not applicable"),EXACT(metadata!R875,"missing: not collected"),EXACT(metadata!R875,"missing: not provided"),EXACT(metadata!R875,"missing: restricted access"))),AND(IF(metadata!R875="",FALSE,ISNUMBER(VALUE(metadata!R875))),metadata!R875&gt;0))</f>
        <v>0</v>
      </c>
      <c r="AU875" t="b">
        <f>AND(IF(metadata!S875="",FALSE,TRUE),EXACT(metadata!S875,"missing: not provided"))</f>
        <v>0</v>
      </c>
    </row>
    <row r="876" spans="1:47" x14ac:dyDescent="0.2">
      <c r="A876" s="5" t="str">
        <f ca="1">IF(B876=" "," ",HYPERLINK(CONCATENATE("#metadata!",ADDRESS(INDEX($Y$2:$Y$1001,MATCH(ROWS($W$2:W876),$W$2:$W$1001,0),0),1)),INDEX($AB$2:$AB$1001,MATCH(ROWS($W$2:W876),$W$2:$W$1001,0),0)))</f>
        <v xml:space="preserve"> </v>
      </c>
      <c r="B876" s="4" t="str">
        <f ca="1">IF(OR(INDEX($X$2:$X$1001,MATCH(ROWS($W$2:W876),$W$2:$W$1001,0),1)&gt;=100000,INDEX($AD$1005:$AU$1005,1,MATCH(COLUMNS($AD$1006:AD1006),$AD$1006:$AU$1006,0))&gt;=100000), " ",IF(INDEX($AD$2:$AU$1001,MATCH(ROWS($W$2:W876),$W$2:$W$1001,0),MATCH(COLUMNS($AD$1006:AD1006),$AD$1006:$AU$1006,0)), HYPERLINK("#",""), HYPERLINK(CONCATENATE("#metadata!", ADDRESS(INDEX($Y$2:$Y$1001,MATCH(ROWS($W$2:W876),$W$2:$W$1001,0),0), INDEX($AD$1004:$AU$1004,1,MATCH(COLUMNS($AD$1006:AD1006),$AD$1006:$AU$1006,0)))),"Fix")))</f>
        <v xml:space="preserve"> </v>
      </c>
      <c r="C876" s="4" t="str">
        <f ca="1">IF(OR(INDEX($X$2:$X$1001,MATCH(ROWS($W$2:W876),$W$2:$W$1001,0),1)&gt;=100000,INDEX($AD$1005:$AU$1005,1,MATCH(COLUMNS($AD$1006:AE1006),$AD$1006:$AU$1006,0))&gt;=100000), " ",IF(INDEX($AD$2:$AU$1001,MATCH(ROWS($W$2:W876),$W$2:$W$1001,0),MATCH(COLUMNS($AD$1006:AE1006),$AD$1006:$AU$1006,0)), HYPERLINK("#",""), HYPERLINK(CONCATENATE("#metadata!", ADDRESS(INDEX($Y$2:$Y$1001,MATCH(ROWS($W$2:W876),$W$2:$W$1001,0),0), INDEX($AD$1004:$AU$1004,1,MATCH(COLUMNS($AD$1006:AE1006),$AD$1006:$AU$1006,0)))),"Fix")))</f>
        <v xml:space="preserve"> </v>
      </c>
      <c r="D876" s="4" t="str">
        <f ca="1">IF(OR(INDEX($X$2:$X$1001,MATCH(ROWS($W$2:W876),$W$2:$W$1001,0),1)&gt;=100000,INDEX($AD$1005:$AU$1005,1,MATCH(COLUMNS($AD$1006:AF1006),$AD$1006:$AU$1006,0))&gt;=100000), " ",IF(INDEX($AD$2:$AU$1001,MATCH(ROWS($W$2:W876),$W$2:$W$1001,0),MATCH(COLUMNS($AD$1006:AF1006),$AD$1006:$AU$1006,0)), HYPERLINK("#",""), HYPERLINK(CONCATENATE("#metadata!", ADDRESS(INDEX($Y$2:$Y$1001,MATCH(ROWS($W$2:W876),$W$2:$W$1001,0),0), INDEX($AD$1004:$AU$1004,1,MATCH(COLUMNS($AD$1006:AF1006),$AD$1006:$AU$1006,0)))),"Fix")))</f>
        <v xml:space="preserve"> </v>
      </c>
      <c r="E876" s="4" t="str">
        <f ca="1">IF(OR(INDEX($X$2:$X$1001,MATCH(ROWS($W$2:W876),$W$2:$W$1001,0),1)&gt;=100000,INDEX($AD$1005:$AU$1005,1,MATCH(COLUMNS($AD$1006:AG1006),$AD$1006:$AU$1006,0))&gt;=100000), " ",IF(INDEX($AD$2:$AU$1001,MATCH(ROWS($W$2:W876),$W$2:$W$1001,0),MATCH(COLUMNS($AD$1006:AG1006),$AD$1006:$AU$1006,0)), HYPERLINK("#",""), HYPERLINK(CONCATENATE("#metadata!", ADDRESS(INDEX($Y$2:$Y$1001,MATCH(ROWS($W$2:W876),$W$2:$W$1001,0),0), INDEX($AD$1004:$AU$1004,1,MATCH(COLUMNS($AD$1006:AG1006),$AD$1006:$AU$1006,0)))),"Fix")))</f>
        <v xml:space="preserve"> </v>
      </c>
      <c r="F876" s="4" t="str">
        <f ca="1">IF(OR(INDEX($X$2:$X$1001,MATCH(ROWS($W$2:W876),$W$2:$W$1001,0),1)&gt;=100000,INDEX($AD$1005:$AU$1005,1,MATCH(COLUMNS($AD$1006:AH1006),$AD$1006:$AU$1006,0))&gt;=100000), " ",IF(INDEX($AD$2:$AU$1001,MATCH(ROWS($W$2:W876),$W$2:$W$1001,0),MATCH(COLUMNS($AD$1006:AH1006),$AD$1006:$AU$1006,0)), HYPERLINK("#",""), HYPERLINK(CONCATENATE("#metadata!", ADDRESS(INDEX($Y$2:$Y$1001,MATCH(ROWS($W$2:W876),$W$2:$W$1001,0),0), INDEX($AD$1004:$AU$1004,1,MATCH(COLUMNS($AD$1006:AH1006),$AD$1006:$AU$1006,0)))),"Fix")))</f>
        <v xml:space="preserve"> </v>
      </c>
      <c r="G876" s="4" t="str">
        <f ca="1">IF(OR(INDEX($X$2:$X$1001,MATCH(ROWS($W$2:W876),$W$2:$W$1001,0),1)&gt;=100000,INDEX($AD$1005:$AU$1005,1,MATCH(COLUMNS($AD$1006:AI1006),$AD$1006:$AU$1006,0))&gt;=100000), " ",IF(INDEX($AD$2:$AU$1001,MATCH(ROWS($W$2:W876),$W$2:$W$1001,0),MATCH(COLUMNS($AD$1006:AI1006),$AD$1006:$AU$1006,0)), HYPERLINK("#",""), HYPERLINK(CONCATENATE("#metadata!", ADDRESS(INDEX($Y$2:$Y$1001,MATCH(ROWS($W$2:W876),$W$2:$W$1001,0),0), INDEX($AD$1004:$AU$1004,1,MATCH(COLUMNS($AD$1006:AI1006),$AD$1006:$AU$1006,0)))),"Fix")))</f>
        <v xml:space="preserve"> </v>
      </c>
      <c r="H876" s="4" t="str">
        <f ca="1">IF(OR(INDEX($X$2:$X$1001,MATCH(ROWS($W$2:W876),$W$2:$W$1001,0),1)&gt;=100000,INDEX($AD$1005:$AU$1005,1,MATCH(COLUMNS($AD$1006:AJ1006),$AD$1006:$AU$1006,0))&gt;=100000), " ",IF(INDEX($AD$2:$AU$1001,MATCH(ROWS($W$2:W876),$W$2:$W$1001,0),MATCH(COLUMNS($AD$1006:AJ1006),$AD$1006:$AU$1006,0)), HYPERLINK("#",""), HYPERLINK(CONCATENATE("#metadata!", ADDRESS(INDEX($Y$2:$Y$1001,MATCH(ROWS($W$2:W876),$W$2:$W$1001,0),0), INDEX($AD$1004:$AU$1004,1,MATCH(COLUMNS($AD$1006:AJ1006),$AD$1006:$AU$1006,0)))),"Fix")))</f>
        <v xml:space="preserve"> </v>
      </c>
      <c r="I876" s="4" t="str">
        <f ca="1">IF(OR(INDEX($X$2:$X$1001,MATCH(ROWS($W$2:W876),$W$2:$W$1001,0),1)&gt;=100000,INDEX($AD$1005:$AU$1005,1,MATCH(COLUMNS($AD$1006:AK1006),$AD$1006:$AU$1006,0))&gt;=100000), " ",IF(INDEX($AD$2:$AU$1001,MATCH(ROWS($W$2:W876),$W$2:$W$1001,0),MATCH(COLUMNS($AD$1006:AK1006),$AD$1006:$AU$1006,0)), HYPERLINK("#",""), HYPERLINK(CONCATENATE("#metadata!", ADDRESS(INDEX($Y$2:$Y$1001,MATCH(ROWS($W$2:W876),$W$2:$W$1001,0),0), INDEX($AD$1004:$AU$1004,1,MATCH(COLUMNS($AD$1006:AK1006),$AD$1006:$AU$1006,0)))),"Fix")))</f>
        <v xml:space="preserve"> </v>
      </c>
      <c r="J876" s="4" t="str">
        <f ca="1">IF(OR(INDEX($X$2:$X$1001,MATCH(ROWS($W$2:W876),$W$2:$W$1001,0),1)&gt;=100000,INDEX($AD$1005:$AU$1005,1,MATCH(COLUMNS($AD$1006:AL1006),$AD$1006:$AU$1006,0))&gt;=100000), " ",IF(INDEX($AD$2:$AU$1001,MATCH(ROWS($W$2:W876),$W$2:$W$1001,0),MATCH(COLUMNS($AD$1006:AL1006),$AD$1006:$AU$1006,0)), HYPERLINK("#",""), HYPERLINK(CONCATENATE("#metadata!", ADDRESS(INDEX($Y$2:$Y$1001,MATCH(ROWS($W$2:W876),$W$2:$W$1001,0),0), INDEX($AD$1004:$AU$1004,1,MATCH(COLUMNS($AD$1006:AL1006),$AD$1006:$AU$1006,0)))),"Fix")))</f>
        <v xml:space="preserve"> </v>
      </c>
      <c r="K876" s="4" t="str">
        <f ca="1">IF(OR(INDEX($X$2:$X$1001,MATCH(ROWS($W$2:W876),$W$2:$W$1001,0),1)&gt;=100000,INDEX($AD$1005:$AU$1005,1,MATCH(COLUMNS($AD$1006:AM1006),$AD$1006:$AU$1006,0))&gt;=100000), " ",IF(INDEX($AD$2:$AU$1001,MATCH(ROWS($W$2:W876),$W$2:$W$1001,0),MATCH(COLUMNS($AD$1006:AM1006),$AD$1006:$AU$1006,0)), HYPERLINK("#",""), HYPERLINK(CONCATENATE("#metadata!", ADDRESS(INDEX($Y$2:$Y$1001,MATCH(ROWS($W$2:W876),$W$2:$W$1001,0),0), INDEX($AD$1004:$AU$1004,1,MATCH(COLUMNS($AD$1006:AM1006),$AD$1006:$AU$1006,0)))),"Fix")))</f>
        <v xml:space="preserve"> </v>
      </c>
      <c r="L876" s="4" t="str">
        <f ca="1">IF(OR(INDEX($X$2:$X$1001,MATCH(ROWS($W$2:W876),$W$2:$W$1001,0),1)&gt;=100000,INDEX($AD$1005:$AU$1005,1,MATCH(COLUMNS($AD$1006:AN1006),$AD$1006:$AU$1006,0))&gt;=100000), " ",IF(INDEX($AD$2:$AU$1001,MATCH(ROWS($W$2:W876),$W$2:$W$1001,0),MATCH(COLUMNS($AD$1006:AN1006),$AD$1006:$AU$1006,0)), HYPERLINK("#",""), HYPERLINK(CONCATENATE("#metadata!", ADDRESS(INDEX($Y$2:$Y$1001,MATCH(ROWS($W$2:W876),$W$2:$W$1001,0),0), INDEX($AD$1004:$AU$1004,1,MATCH(COLUMNS($AD$1006:AN1006),$AD$1006:$AU$1006,0)))),"Fix")))</f>
        <v xml:space="preserve"> </v>
      </c>
      <c r="M876" s="4" t="str">
        <f ca="1">IF(OR(INDEX($X$2:$X$1001,MATCH(ROWS($W$2:W876),$W$2:$W$1001,0),1)&gt;=100000,INDEX($AD$1005:$AU$1005,1,MATCH(COLUMNS($AD$1006:AO1006),$AD$1006:$AU$1006,0))&gt;=100000), " ",IF(INDEX($AD$2:$AU$1001,MATCH(ROWS($W$2:W876),$W$2:$W$1001,0),MATCH(COLUMNS($AD$1006:AO1006),$AD$1006:$AU$1006,0)), HYPERLINK("#",""), HYPERLINK(CONCATENATE("#metadata!", ADDRESS(INDEX($Y$2:$Y$1001,MATCH(ROWS($W$2:W876),$W$2:$W$1001,0),0), INDEX($AD$1004:$AU$1004,1,MATCH(COLUMNS($AD$1006:AO1006),$AD$1006:$AU$1006,0)))),"Fix")))</f>
        <v xml:space="preserve"> </v>
      </c>
      <c r="N876" s="4" t="str">
        <f ca="1">IF(OR(INDEX($X$2:$X$1001,MATCH(ROWS($W$2:W876),$W$2:$W$1001,0),1)&gt;=100000,INDEX($AD$1005:$AU$1005,1,MATCH(COLUMNS($AD$1006:AP1006),$AD$1006:$AU$1006,0))&gt;=100000), " ",IF(INDEX($AD$2:$AU$1001,MATCH(ROWS($W$2:W876),$W$2:$W$1001,0),MATCH(COLUMNS($AD$1006:AP1006),$AD$1006:$AU$1006,0)), HYPERLINK("#",""), HYPERLINK(CONCATENATE("#metadata!", ADDRESS(INDEX($Y$2:$Y$1001,MATCH(ROWS($W$2:W876),$W$2:$W$1001,0),0), INDEX($AD$1004:$AU$1004,1,MATCH(COLUMNS($AD$1006:AP1006),$AD$1006:$AU$1006,0)))),"Fix")))</f>
        <v xml:space="preserve"> </v>
      </c>
      <c r="O876" s="4" t="str">
        <f ca="1">IF(OR(INDEX($X$2:$X$1001,MATCH(ROWS($W$2:W876),$W$2:$W$1001,0),1)&gt;=100000,INDEX($AD$1005:$AU$1005,1,MATCH(COLUMNS($AD$1006:AQ1006),$AD$1006:$AU$1006,0))&gt;=100000), " ",IF(INDEX($AD$2:$AU$1001,MATCH(ROWS($W$2:W876),$W$2:$W$1001,0),MATCH(COLUMNS($AD$1006:AQ1006),$AD$1006:$AU$1006,0)), HYPERLINK("#",""), HYPERLINK(CONCATENATE("#metadata!", ADDRESS(INDEX($Y$2:$Y$1001,MATCH(ROWS($W$2:W876),$W$2:$W$1001,0),0), INDEX($AD$1004:$AU$1004,1,MATCH(COLUMNS($AD$1006:AQ1006),$AD$1006:$AU$1006,0)))),"Fix")))</f>
        <v xml:space="preserve"> </v>
      </c>
      <c r="P876" s="4" t="str">
        <f ca="1">IF(OR(INDEX($X$2:$X$1001,MATCH(ROWS($W$2:W876),$W$2:$W$1001,0),1)&gt;=100000,INDEX($AD$1005:$AU$1005,1,MATCH(COLUMNS($AD$1006:AR1006),$AD$1006:$AU$1006,0))&gt;=100000), " ",IF(INDEX($AD$2:$AU$1001,MATCH(ROWS($W$2:W876),$W$2:$W$1001,0),MATCH(COLUMNS($AD$1006:AR1006),$AD$1006:$AU$1006,0)), HYPERLINK("#",""), HYPERLINK(CONCATENATE("#metadata!", ADDRESS(INDEX($Y$2:$Y$1001,MATCH(ROWS($W$2:W876),$W$2:$W$1001,0),0), INDEX($AD$1004:$AU$1004,1,MATCH(COLUMNS($AD$1006:AR1006),$AD$1006:$AU$1006,0)))),"Fix")))</f>
        <v xml:space="preserve"> </v>
      </c>
      <c r="Q876" s="4" t="str">
        <f ca="1">IF(OR(INDEX($X$2:$X$1001,MATCH(ROWS($W$2:W876),$W$2:$W$1001,0),1)&gt;=100000,INDEX($AD$1005:$AU$1005,1,MATCH(COLUMNS($AD$1006:AS1006),$AD$1006:$AU$1006,0))&gt;=100000), " ",IF(INDEX($AD$2:$AU$1001,MATCH(ROWS($W$2:W876),$W$2:$W$1001,0),MATCH(COLUMNS($AD$1006:AS1006),$AD$1006:$AU$1006,0)), HYPERLINK("#",""), HYPERLINK(CONCATENATE("#metadata!", ADDRESS(INDEX($Y$2:$Y$1001,MATCH(ROWS($W$2:W876),$W$2:$W$1001,0),0), INDEX($AD$1004:$AU$1004,1,MATCH(COLUMNS($AD$1006:AS1006),$AD$1006:$AU$1006,0)))),"Fix")))</f>
        <v xml:space="preserve"> </v>
      </c>
      <c r="R876" s="4" t="str">
        <f ca="1">IF(OR(INDEX($X$2:$X$1001,MATCH(ROWS($W$2:W876),$W$2:$W$1001,0),1)&gt;=100000,INDEX($AD$1005:$AU$1005,1,MATCH(COLUMNS($AD$1006:AT1006),$AD$1006:$AU$1006,0))&gt;=100000), " ",IF(INDEX($AD$2:$AU$1001,MATCH(ROWS($W$2:W876),$W$2:$W$1001,0),MATCH(COLUMNS($AD$1006:AT1006),$AD$1006:$AU$1006,0)), HYPERLINK("#",""), HYPERLINK(CONCATENATE("#metadata!", ADDRESS(INDEX($Y$2:$Y$1001,MATCH(ROWS($W$2:W876),$W$2:$W$1001,0),0), INDEX($AD$1004:$AU$1004,1,MATCH(COLUMNS($AD$1006:AT1006),$AD$1006:$AU$1006,0)))),"Fix")))</f>
        <v xml:space="preserve"> </v>
      </c>
      <c r="S876" s="4" t="str">
        <f ca="1">IF(OR(INDEX($X$2:$X$1001,MATCH(ROWS($W$2:W876),$W$2:$W$1001,0),1)&gt;=100000,INDEX($AD$1005:$AU$1005,1,MATCH(COLUMNS($AD$1006:AU1006),$AD$1006:$AU$1006,0))&gt;=100000), " ",IF(INDEX($AD$2:$AU$1001,MATCH(ROWS($W$2:W876),$W$2:$W$1001,0),MATCH(COLUMNS($AD$1006:AU1006),$AD$1006:$AU$1006,0)), HYPERLINK("#",""), HYPERLINK(CONCATENATE("#metadata!", ADDRESS(INDEX($Y$2:$Y$1001,MATCH(ROWS($W$2:W876),$W$2:$W$1001,0),0), INDEX($AD$1004:$AU$1004,1,MATCH(COLUMNS($AD$1006:AU1006),$AD$1006:$AU$1006,0)))),"Fix")))</f>
        <v xml:space="preserve"> </v>
      </c>
      <c r="W876">
        <v>875</v>
      </c>
      <c r="X876">
        <v>100876</v>
      </c>
      <c r="Y876">
        <v>876</v>
      </c>
      <c r="Z876" t="b">
        <f t="shared" si="13"/>
        <v>1</v>
      </c>
      <c r="AA876" t="b">
        <f>COUNTBLANK(metadata!B876:S876)=COLUMNS(metadata!B876:S876)</f>
        <v>1</v>
      </c>
      <c r="AB876" t="str">
        <v/>
      </c>
      <c r="AD876" t="b">
        <f ca="1">AND(IF(metadata!B876="",FALSE,TRUE),COUNTIF(metadata!B:B, metadata!B876) = 1,NOT(ISERROR(SUMPRODUCT(SEARCH(MID(metadata!B876,ROW(INDIRECT("1:"&amp;LEN(metadata!B876))), 1),"0123456789abcdefghijklmnopqrstuvwxyzABCDEFGHIJKLMNOPQRSTUVWXYZ.")))))</f>
        <v>0</v>
      </c>
      <c r="AE876" t="b">
        <f>OR(AND(IF(metadata!C876="",FALSE,TRUE),OR(EXACT(metadata!C876,"not applicable"),EXACT(metadata!C876,"missing: not collected"),EXACT(metadata!C876,"missing: not provided"),EXACT(metadata!C876,"missing: restricted access"))),AND(IF(metadata!C876="",FALSE,ISNUMBER(VALUE(metadata!C876))),metadata!C876&gt;0))</f>
        <v>0</v>
      </c>
      <c r="AF876" t="b">
        <f>AND(IF(metadata!D876="",FALSE,TRUE),EXACT(metadata!D876,"missing: not provided"))</f>
        <v>0</v>
      </c>
      <c r="AG876" t="b">
        <f>AND(IF(metadata!E876="",FALSE,TRUE),EXACT(metadata!E876,"Host-associated"))</f>
        <v>0</v>
      </c>
      <c r="AH876" t="b">
        <f>AND(IF(metadata!F876="",FALSE,TRUE),OR(EXACT(metadata!F876,"Animal"),EXACT(metadata!F876,"Fungus"),EXACT(metadata!F876,"Plant")))</f>
        <v>0</v>
      </c>
      <c r="AI876" t="b">
        <f>AND(IF(metadata!G876="",FALSE,TRUE),OR(EXACT(metadata!G876,"Plant secretion"),EXACT(metadata!G876,"Plant rhizosphere"),EXACT(metadata!G876,"Plant surface"),EXACT(metadata!G876,"Plant corpus"),EXACT(metadata!G876,"Fungus surface"),EXACT(metadata!G876,"Fungus corpus"),EXACT(metadata!G876,"Animal surface"),EXACT(metadata!G876,"Animal proximal gut"),EXACT(metadata!G876,"Animal corpus"),EXACT(metadata!G876,"Animal distal gut"),EXACT(metadata!G876,"Animal secretion")))</f>
        <v>0</v>
      </c>
      <c r="AJ876" t="b">
        <f>OR(AND(IF(metadata!H876="",FALSE,TRUE),OR(EXACT(metadata!H876,"missing: not collected"),EXACT(metadata!H876,"missing: not provided"),EXACT(metadata!H876,"missing: restricted access"))),AND(IF(metadata!H876="",FALSE,TRUE),OR(EXACT(metadata!H876,"organism-associated habitat"),EXACT(metadata!H876,"plant-associated habitat"),EXACT(metadata!H876,"animal-associated habitat"),EXACT(metadata!H876,"insecta-associated habitat"),EXACT(metadata!H876,"mammalia-associated habitat"),EXACT(metadata!H876,"human-associated habitat"),EXACT(metadata!H876,"livestock-associated habitat"))))</f>
        <v>0</v>
      </c>
      <c r="AK876" t="b">
        <f>AND(IF(metadata!I876="",FALSE,TRUE),EXACT(metadata!I876,"host-associated"))</f>
        <v>0</v>
      </c>
      <c r="AL876" t="b">
        <f>OR(AND(IF(metadata!J876="",FALSE,TRUE),OR(EXACT(metadata!J876,"not applicable"),EXACT(metadata!J876,"missing: not collected"),EXACT(metadata!J876,"missing: not provided"),EXACT(metadata!J876,"missing: restricted access"))),AND(IF(metadata!J876="",FALSE,ISNUMBER(VALUE(metadata!J876))),metadata!J876&gt;0))</f>
        <v>0</v>
      </c>
      <c r="AM876" t="b">
        <f>AND(IF(metadata!K876="",FALSE,TRUE),EXACT(metadata!K876,"missing: not provided"))</f>
        <v>0</v>
      </c>
      <c r="AN876" t="b">
        <f>IF(metadata!L876="",FALSE,TRUE)</f>
        <v>0</v>
      </c>
      <c r="AO876" t="b">
        <f>IF(metadata!M876="",FALSE,TRUE)</f>
        <v>0</v>
      </c>
      <c r="AP876" t="b">
        <f>OR(AND(IF(metadata!N876="",FALSE,TRUE),OR(EXACT(metadata!N876,"not applicable"),EXACT(metadata!N876,"missing: not collected"),EXACT(metadata!N876,"missing: not provided"))),AND(IF(metadata!N876="",FALSE,IF(ISERROR(INT(metadata!N876)),FALSE,INT(metadata!N876)=metadata!N876)),metadata!N876&gt;0))</f>
        <v>0</v>
      </c>
      <c r="AQ876" t="b">
        <f>AND(IF(metadata!O876="",FALSE,TRUE),EXACT(metadata!O876,"Not applicable"))</f>
        <v>0</v>
      </c>
      <c r="AR876" t="b">
        <f>OR(AND(IF(metadata!P876="",FALSE,TRUE),OR(EXACT(metadata!P876,"not applicable"),EXACT(metadata!P876,"missing: not collected"),EXACT(metadata!P876,"missing: not provided"),EXACT(metadata!P876,"missing: restricted access"))),IF(metadata!P876="",FALSE,IF(ISERROR(INT(metadata!P876)),FALSE,INT(metadata!P876)=metadata!P876)))</f>
        <v>0</v>
      </c>
      <c r="AS876" t="b">
        <f>AND(IF(metadata!Q876="",FALSE,TRUE),EXACT(metadata!Q876,"Not applicable"))</f>
        <v>0</v>
      </c>
      <c r="AT876" t="b">
        <f>OR(AND(IF(metadata!R876="",FALSE,TRUE),OR(EXACT(metadata!R876,"not applicable"),EXACT(metadata!R876,"missing: not collected"),EXACT(metadata!R876,"missing: not provided"),EXACT(metadata!R876,"missing: restricted access"))),AND(IF(metadata!R876="",FALSE,ISNUMBER(VALUE(metadata!R876))),metadata!R876&gt;0))</f>
        <v>0</v>
      </c>
      <c r="AU876" t="b">
        <f>AND(IF(metadata!S876="",FALSE,TRUE),EXACT(metadata!S876,"missing: not provided"))</f>
        <v>0</v>
      </c>
    </row>
    <row r="877" spans="1:47" x14ac:dyDescent="0.2">
      <c r="A877" s="5" t="str">
        <f ca="1">IF(B877=" "," ",HYPERLINK(CONCATENATE("#metadata!",ADDRESS(INDEX($Y$2:$Y$1001,MATCH(ROWS($W$2:W877),$W$2:$W$1001,0),0),1)),INDEX($AB$2:$AB$1001,MATCH(ROWS($W$2:W877),$W$2:$W$1001,0),0)))</f>
        <v xml:space="preserve"> </v>
      </c>
      <c r="B877" s="4" t="str">
        <f ca="1">IF(OR(INDEX($X$2:$X$1001,MATCH(ROWS($W$2:W877),$W$2:$W$1001,0),1)&gt;=100000,INDEX($AD$1005:$AU$1005,1,MATCH(COLUMNS($AD$1006:AD1006),$AD$1006:$AU$1006,0))&gt;=100000), " ",IF(INDEX($AD$2:$AU$1001,MATCH(ROWS($W$2:W877),$W$2:$W$1001,0),MATCH(COLUMNS($AD$1006:AD1006),$AD$1006:$AU$1006,0)), HYPERLINK("#",""), HYPERLINK(CONCATENATE("#metadata!", ADDRESS(INDEX($Y$2:$Y$1001,MATCH(ROWS($W$2:W877),$W$2:$W$1001,0),0), INDEX($AD$1004:$AU$1004,1,MATCH(COLUMNS($AD$1006:AD1006),$AD$1006:$AU$1006,0)))),"Fix")))</f>
        <v xml:space="preserve"> </v>
      </c>
      <c r="C877" s="4" t="str">
        <f ca="1">IF(OR(INDEX($X$2:$X$1001,MATCH(ROWS($W$2:W877),$W$2:$W$1001,0),1)&gt;=100000,INDEX($AD$1005:$AU$1005,1,MATCH(COLUMNS($AD$1006:AE1006),$AD$1006:$AU$1006,0))&gt;=100000), " ",IF(INDEX($AD$2:$AU$1001,MATCH(ROWS($W$2:W877),$W$2:$W$1001,0),MATCH(COLUMNS($AD$1006:AE1006),$AD$1006:$AU$1006,0)), HYPERLINK("#",""), HYPERLINK(CONCATENATE("#metadata!", ADDRESS(INDEX($Y$2:$Y$1001,MATCH(ROWS($W$2:W877),$W$2:$W$1001,0),0), INDEX($AD$1004:$AU$1004,1,MATCH(COLUMNS($AD$1006:AE1006),$AD$1006:$AU$1006,0)))),"Fix")))</f>
        <v xml:space="preserve"> </v>
      </c>
      <c r="D877" s="4" t="str">
        <f ca="1">IF(OR(INDEX($X$2:$X$1001,MATCH(ROWS($W$2:W877),$W$2:$W$1001,0),1)&gt;=100000,INDEX($AD$1005:$AU$1005,1,MATCH(COLUMNS($AD$1006:AF1006),$AD$1006:$AU$1006,0))&gt;=100000), " ",IF(INDEX($AD$2:$AU$1001,MATCH(ROWS($W$2:W877),$W$2:$W$1001,0),MATCH(COLUMNS($AD$1006:AF1006),$AD$1006:$AU$1006,0)), HYPERLINK("#",""), HYPERLINK(CONCATENATE("#metadata!", ADDRESS(INDEX($Y$2:$Y$1001,MATCH(ROWS($W$2:W877),$W$2:$W$1001,0),0), INDEX($AD$1004:$AU$1004,1,MATCH(COLUMNS($AD$1006:AF1006),$AD$1006:$AU$1006,0)))),"Fix")))</f>
        <v xml:space="preserve"> </v>
      </c>
      <c r="E877" s="4" t="str">
        <f ca="1">IF(OR(INDEX($X$2:$X$1001,MATCH(ROWS($W$2:W877),$W$2:$W$1001,0),1)&gt;=100000,INDEX($AD$1005:$AU$1005,1,MATCH(COLUMNS($AD$1006:AG1006),$AD$1006:$AU$1006,0))&gt;=100000), " ",IF(INDEX($AD$2:$AU$1001,MATCH(ROWS($W$2:W877),$W$2:$W$1001,0),MATCH(COLUMNS($AD$1006:AG1006),$AD$1006:$AU$1006,0)), HYPERLINK("#",""), HYPERLINK(CONCATENATE("#metadata!", ADDRESS(INDEX($Y$2:$Y$1001,MATCH(ROWS($W$2:W877),$W$2:$W$1001,0),0), INDEX($AD$1004:$AU$1004,1,MATCH(COLUMNS($AD$1006:AG1006),$AD$1006:$AU$1006,0)))),"Fix")))</f>
        <v xml:space="preserve"> </v>
      </c>
      <c r="F877" s="4" t="str">
        <f ca="1">IF(OR(INDEX($X$2:$X$1001,MATCH(ROWS($W$2:W877),$W$2:$W$1001,0),1)&gt;=100000,INDEX($AD$1005:$AU$1005,1,MATCH(COLUMNS($AD$1006:AH1006),$AD$1006:$AU$1006,0))&gt;=100000), " ",IF(INDEX($AD$2:$AU$1001,MATCH(ROWS($W$2:W877),$W$2:$W$1001,0),MATCH(COLUMNS($AD$1006:AH1006),$AD$1006:$AU$1006,0)), HYPERLINK("#",""), HYPERLINK(CONCATENATE("#metadata!", ADDRESS(INDEX($Y$2:$Y$1001,MATCH(ROWS($W$2:W877),$W$2:$W$1001,0),0), INDEX($AD$1004:$AU$1004,1,MATCH(COLUMNS($AD$1006:AH1006),$AD$1006:$AU$1006,0)))),"Fix")))</f>
        <v xml:space="preserve"> </v>
      </c>
      <c r="G877" s="4" t="str">
        <f ca="1">IF(OR(INDEX($X$2:$X$1001,MATCH(ROWS($W$2:W877),$W$2:$W$1001,0),1)&gt;=100000,INDEX($AD$1005:$AU$1005,1,MATCH(COLUMNS($AD$1006:AI1006),$AD$1006:$AU$1006,0))&gt;=100000), " ",IF(INDEX($AD$2:$AU$1001,MATCH(ROWS($W$2:W877),$W$2:$W$1001,0),MATCH(COLUMNS($AD$1006:AI1006),$AD$1006:$AU$1006,0)), HYPERLINK("#",""), HYPERLINK(CONCATENATE("#metadata!", ADDRESS(INDEX($Y$2:$Y$1001,MATCH(ROWS($W$2:W877),$W$2:$W$1001,0),0), INDEX($AD$1004:$AU$1004,1,MATCH(COLUMNS($AD$1006:AI1006),$AD$1006:$AU$1006,0)))),"Fix")))</f>
        <v xml:space="preserve"> </v>
      </c>
      <c r="H877" s="4" t="str">
        <f ca="1">IF(OR(INDEX($X$2:$X$1001,MATCH(ROWS($W$2:W877),$W$2:$W$1001,0),1)&gt;=100000,INDEX($AD$1005:$AU$1005,1,MATCH(COLUMNS($AD$1006:AJ1006),$AD$1006:$AU$1006,0))&gt;=100000), " ",IF(INDEX($AD$2:$AU$1001,MATCH(ROWS($W$2:W877),$W$2:$W$1001,0),MATCH(COLUMNS($AD$1006:AJ1006),$AD$1006:$AU$1006,0)), HYPERLINK("#",""), HYPERLINK(CONCATENATE("#metadata!", ADDRESS(INDEX($Y$2:$Y$1001,MATCH(ROWS($W$2:W877),$W$2:$W$1001,0),0), INDEX($AD$1004:$AU$1004,1,MATCH(COLUMNS($AD$1006:AJ1006),$AD$1006:$AU$1006,0)))),"Fix")))</f>
        <v xml:space="preserve"> </v>
      </c>
      <c r="I877" s="4" t="str">
        <f ca="1">IF(OR(INDEX($X$2:$X$1001,MATCH(ROWS($W$2:W877),$W$2:$W$1001,0),1)&gt;=100000,INDEX($AD$1005:$AU$1005,1,MATCH(COLUMNS($AD$1006:AK1006),$AD$1006:$AU$1006,0))&gt;=100000), " ",IF(INDEX($AD$2:$AU$1001,MATCH(ROWS($W$2:W877),$W$2:$W$1001,0),MATCH(COLUMNS($AD$1006:AK1006),$AD$1006:$AU$1006,0)), HYPERLINK("#",""), HYPERLINK(CONCATENATE("#metadata!", ADDRESS(INDEX($Y$2:$Y$1001,MATCH(ROWS($W$2:W877),$W$2:$W$1001,0),0), INDEX($AD$1004:$AU$1004,1,MATCH(COLUMNS($AD$1006:AK1006),$AD$1006:$AU$1006,0)))),"Fix")))</f>
        <v xml:space="preserve"> </v>
      </c>
      <c r="J877" s="4" t="str">
        <f ca="1">IF(OR(INDEX($X$2:$X$1001,MATCH(ROWS($W$2:W877),$W$2:$W$1001,0),1)&gt;=100000,INDEX($AD$1005:$AU$1005,1,MATCH(COLUMNS($AD$1006:AL1006),$AD$1006:$AU$1006,0))&gt;=100000), " ",IF(INDEX($AD$2:$AU$1001,MATCH(ROWS($W$2:W877),$W$2:$W$1001,0),MATCH(COLUMNS($AD$1006:AL1006),$AD$1006:$AU$1006,0)), HYPERLINK("#",""), HYPERLINK(CONCATENATE("#metadata!", ADDRESS(INDEX($Y$2:$Y$1001,MATCH(ROWS($W$2:W877),$W$2:$W$1001,0),0), INDEX($AD$1004:$AU$1004,1,MATCH(COLUMNS($AD$1006:AL1006),$AD$1006:$AU$1006,0)))),"Fix")))</f>
        <v xml:space="preserve"> </v>
      </c>
      <c r="K877" s="4" t="str">
        <f ca="1">IF(OR(INDEX($X$2:$X$1001,MATCH(ROWS($W$2:W877),$W$2:$W$1001,0),1)&gt;=100000,INDEX($AD$1005:$AU$1005,1,MATCH(COLUMNS($AD$1006:AM1006),$AD$1006:$AU$1006,0))&gt;=100000), " ",IF(INDEX($AD$2:$AU$1001,MATCH(ROWS($W$2:W877),$W$2:$W$1001,0),MATCH(COLUMNS($AD$1006:AM1006),$AD$1006:$AU$1006,0)), HYPERLINK("#",""), HYPERLINK(CONCATENATE("#metadata!", ADDRESS(INDEX($Y$2:$Y$1001,MATCH(ROWS($W$2:W877),$W$2:$W$1001,0),0), INDEX($AD$1004:$AU$1004,1,MATCH(COLUMNS($AD$1006:AM1006),$AD$1006:$AU$1006,0)))),"Fix")))</f>
        <v xml:space="preserve"> </v>
      </c>
      <c r="L877" s="4" t="str">
        <f ca="1">IF(OR(INDEX($X$2:$X$1001,MATCH(ROWS($W$2:W877),$W$2:$W$1001,0),1)&gt;=100000,INDEX($AD$1005:$AU$1005,1,MATCH(COLUMNS($AD$1006:AN1006),$AD$1006:$AU$1006,0))&gt;=100000), " ",IF(INDEX($AD$2:$AU$1001,MATCH(ROWS($W$2:W877),$W$2:$W$1001,0),MATCH(COLUMNS($AD$1006:AN1006),$AD$1006:$AU$1006,0)), HYPERLINK("#",""), HYPERLINK(CONCATENATE("#metadata!", ADDRESS(INDEX($Y$2:$Y$1001,MATCH(ROWS($W$2:W877),$W$2:$W$1001,0),0), INDEX($AD$1004:$AU$1004,1,MATCH(COLUMNS($AD$1006:AN1006),$AD$1006:$AU$1006,0)))),"Fix")))</f>
        <v xml:space="preserve"> </v>
      </c>
      <c r="M877" s="4" t="str">
        <f ca="1">IF(OR(INDEX($X$2:$X$1001,MATCH(ROWS($W$2:W877),$W$2:$W$1001,0),1)&gt;=100000,INDEX($AD$1005:$AU$1005,1,MATCH(COLUMNS($AD$1006:AO1006),$AD$1006:$AU$1006,0))&gt;=100000), " ",IF(INDEX($AD$2:$AU$1001,MATCH(ROWS($W$2:W877),$W$2:$W$1001,0),MATCH(COLUMNS($AD$1006:AO1006),$AD$1006:$AU$1006,0)), HYPERLINK("#",""), HYPERLINK(CONCATENATE("#metadata!", ADDRESS(INDEX($Y$2:$Y$1001,MATCH(ROWS($W$2:W877),$W$2:$W$1001,0),0), INDEX($AD$1004:$AU$1004,1,MATCH(COLUMNS($AD$1006:AO1006),$AD$1006:$AU$1006,0)))),"Fix")))</f>
        <v xml:space="preserve"> </v>
      </c>
      <c r="N877" s="4" t="str">
        <f ca="1">IF(OR(INDEX($X$2:$X$1001,MATCH(ROWS($W$2:W877),$W$2:$W$1001,0),1)&gt;=100000,INDEX($AD$1005:$AU$1005,1,MATCH(COLUMNS($AD$1006:AP1006),$AD$1006:$AU$1006,0))&gt;=100000), " ",IF(INDEX($AD$2:$AU$1001,MATCH(ROWS($W$2:W877),$W$2:$W$1001,0),MATCH(COLUMNS($AD$1006:AP1006),$AD$1006:$AU$1006,0)), HYPERLINK("#",""), HYPERLINK(CONCATENATE("#metadata!", ADDRESS(INDEX($Y$2:$Y$1001,MATCH(ROWS($W$2:W877),$W$2:$W$1001,0),0), INDEX($AD$1004:$AU$1004,1,MATCH(COLUMNS($AD$1006:AP1006),$AD$1006:$AU$1006,0)))),"Fix")))</f>
        <v xml:space="preserve"> </v>
      </c>
      <c r="O877" s="4" t="str">
        <f ca="1">IF(OR(INDEX($X$2:$X$1001,MATCH(ROWS($W$2:W877),$W$2:$W$1001,0),1)&gt;=100000,INDEX($AD$1005:$AU$1005,1,MATCH(COLUMNS($AD$1006:AQ1006),$AD$1006:$AU$1006,0))&gt;=100000), " ",IF(INDEX($AD$2:$AU$1001,MATCH(ROWS($W$2:W877),$W$2:$W$1001,0),MATCH(COLUMNS($AD$1006:AQ1006),$AD$1006:$AU$1006,0)), HYPERLINK("#",""), HYPERLINK(CONCATENATE("#metadata!", ADDRESS(INDEX($Y$2:$Y$1001,MATCH(ROWS($W$2:W877),$W$2:$W$1001,0),0), INDEX($AD$1004:$AU$1004,1,MATCH(COLUMNS($AD$1006:AQ1006),$AD$1006:$AU$1006,0)))),"Fix")))</f>
        <v xml:space="preserve"> </v>
      </c>
      <c r="P877" s="4" t="str">
        <f ca="1">IF(OR(INDEX($X$2:$X$1001,MATCH(ROWS($W$2:W877),$W$2:$W$1001,0),1)&gt;=100000,INDEX($AD$1005:$AU$1005,1,MATCH(COLUMNS($AD$1006:AR1006),$AD$1006:$AU$1006,0))&gt;=100000), " ",IF(INDEX($AD$2:$AU$1001,MATCH(ROWS($W$2:W877),$W$2:$W$1001,0),MATCH(COLUMNS($AD$1006:AR1006),$AD$1006:$AU$1006,0)), HYPERLINK("#",""), HYPERLINK(CONCATENATE("#metadata!", ADDRESS(INDEX($Y$2:$Y$1001,MATCH(ROWS($W$2:W877),$W$2:$W$1001,0),0), INDEX($AD$1004:$AU$1004,1,MATCH(COLUMNS($AD$1006:AR1006),$AD$1006:$AU$1006,0)))),"Fix")))</f>
        <v xml:space="preserve"> </v>
      </c>
      <c r="Q877" s="4" t="str">
        <f ca="1">IF(OR(INDEX($X$2:$X$1001,MATCH(ROWS($W$2:W877),$W$2:$W$1001,0),1)&gt;=100000,INDEX($AD$1005:$AU$1005,1,MATCH(COLUMNS($AD$1006:AS1006),$AD$1006:$AU$1006,0))&gt;=100000), " ",IF(INDEX($AD$2:$AU$1001,MATCH(ROWS($W$2:W877),$W$2:$W$1001,0),MATCH(COLUMNS($AD$1006:AS1006),$AD$1006:$AU$1006,0)), HYPERLINK("#",""), HYPERLINK(CONCATENATE("#metadata!", ADDRESS(INDEX($Y$2:$Y$1001,MATCH(ROWS($W$2:W877),$W$2:$W$1001,0),0), INDEX($AD$1004:$AU$1004,1,MATCH(COLUMNS($AD$1006:AS1006),$AD$1006:$AU$1006,0)))),"Fix")))</f>
        <v xml:space="preserve"> </v>
      </c>
      <c r="R877" s="4" t="str">
        <f ca="1">IF(OR(INDEX($X$2:$X$1001,MATCH(ROWS($W$2:W877),$W$2:$W$1001,0),1)&gt;=100000,INDEX($AD$1005:$AU$1005,1,MATCH(COLUMNS($AD$1006:AT1006),$AD$1006:$AU$1006,0))&gt;=100000), " ",IF(INDEX($AD$2:$AU$1001,MATCH(ROWS($W$2:W877),$W$2:$W$1001,0),MATCH(COLUMNS($AD$1006:AT1006),$AD$1006:$AU$1006,0)), HYPERLINK("#",""), HYPERLINK(CONCATENATE("#metadata!", ADDRESS(INDEX($Y$2:$Y$1001,MATCH(ROWS($W$2:W877),$W$2:$W$1001,0),0), INDEX($AD$1004:$AU$1004,1,MATCH(COLUMNS($AD$1006:AT1006),$AD$1006:$AU$1006,0)))),"Fix")))</f>
        <v xml:space="preserve"> </v>
      </c>
      <c r="S877" s="4" t="str">
        <f ca="1">IF(OR(INDEX($X$2:$X$1001,MATCH(ROWS($W$2:W877),$W$2:$W$1001,0),1)&gt;=100000,INDEX($AD$1005:$AU$1005,1,MATCH(COLUMNS($AD$1006:AU1006),$AD$1006:$AU$1006,0))&gt;=100000), " ",IF(INDEX($AD$2:$AU$1001,MATCH(ROWS($W$2:W877),$W$2:$W$1001,0),MATCH(COLUMNS($AD$1006:AU1006),$AD$1006:$AU$1006,0)), HYPERLINK("#",""), HYPERLINK(CONCATENATE("#metadata!", ADDRESS(INDEX($Y$2:$Y$1001,MATCH(ROWS($W$2:W877),$W$2:$W$1001,0),0), INDEX($AD$1004:$AU$1004,1,MATCH(COLUMNS($AD$1006:AU1006),$AD$1006:$AU$1006,0)))),"Fix")))</f>
        <v xml:space="preserve"> </v>
      </c>
      <c r="W877">
        <v>876</v>
      </c>
      <c r="X877">
        <v>100877</v>
      </c>
      <c r="Y877">
        <v>877</v>
      </c>
      <c r="Z877" t="b">
        <f t="shared" si="13"/>
        <v>1</v>
      </c>
      <c r="AA877" t="b">
        <f>COUNTBLANK(metadata!B877:S877)=COLUMNS(metadata!B877:S877)</f>
        <v>1</v>
      </c>
      <c r="AB877" t="str">
        <v/>
      </c>
      <c r="AD877" t="b">
        <f ca="1">AND(IF(metadata!B877="",FALSE,TRUE),COUNTIF(metadata!B:B, metadata!B877) = 1,NOT(ISERROR(SUMPRODUCT(SEARCH(MID(metadata!B877,ROW(INDIRECT("1:"&amp;LEN(metadata!B877))), 1),"0123456789abcdefghijklmnopqrstuvwxyzABCDEFGHIJKLMNOPQRSTUVWXYZ.")))))</f>
        <v>0</v>
      </c>
      <c r="AE877" t="b">
        <f>OR(AND(IF(metadata!C877="",FALSE,TRUE),OR(EXACT(metadata!C877,"not applicable"),EXACT(metadata!C877,"missing: not collected"),EXACT(metadata!C877,"missing: not provided"),EXACT(metadata!C877,"missing: restricted access"))),AND(IF(metadata!C877="",FALSE,ISNUMBER(VALUE(metadata!C877))),metadata!C877&gt;0))</f>
        <v>0</v>
      </c>
      <c r="AF877" t="b">
        <f>AND(IF(metadata!D877="",FALSE,TRUE),EXACT(metadata!D877,"missing: not provided"))</f>
        <v>0</v>
      </c>
      <c r="AG877" t="b">
        <f>AND(IF(metadata!E877="",FALSE,TRUE),EXACT(metadata!E877,"Host-associated"))</f>
        <v>0</v>
      </c>
      <c r="AH877" t="b">
        <f>AND(IF(metadata!F877="",FALSE,TRUE),OR(EXACT(metadata!F877,"Animal"),EXACT(metadata!F877,"Fungus"),EXACT(metadata!F877,"Plant")))</f>
        <v>0</v>
      </c>
      <c r="AI877" t="b">
        <f>AND(IF(metadata!G877="",FALSE,TRUE),OR(EXACT(metadata!G877,"Plant secretion"),EXACT(metadata!G877,"Plant rhizosphere"),EXACT(metadata!G877,"Plant surface"),EXACT(metadata!G877,"Plant corpus"),EXACT(metadata!G877,"Fungus surface"),EXACT(metadata!G877,"Fungus corpus"),EXACT(metadata!G877,"Animal surface"),EXACT(metadata!G877,"Animal proximal gut"),EXACT(metadata!G877,"Animal corpus"),EXACT(metadata!G877,"Animal distal gut"),EXACT(metadata!G877,"Animal secretion")))</f>
        <v>0</v>
      </c>
      <c r="AJ877" t="b">
        <f>OR(AND(IF(metadata!H877="",FALSE,TRUE),OR(EXACT(metadata!H877,"missing: not collected"),EXACT(metadata!H877,"missing: not provided"),EXACT(metadata!H877,"missing: restricted access"))),AND(IF(metadata!H877="",FALSE,TRUE),OR(EXACT(metadata!H877,"organism-associated habitat"),EXACT(metadata!H877,"plant-associated habitat"),EXACT(metadata!H877,"animal-associated habitat"),EXACT(metadata!H877,"insecta-associated habitat"),EXACT(metadata!H877,"mammalia-associated habitat"),EXACT(metadata!H877,"human-associated habitat"),EXACT(metadata!H877,"livestock-associated habitat"))))</f>
        <v>0</v>
      </c>
      <c r="AK877" t="b">
        <f>AND(IF(metadata!I877="",FALSE,TRUE),EXACT(metadata!I877,"host-associated"))</f>
        <v>0</v>
      </c>
      <c r="AL877" t="b">
        <f>OR(AND(IF(metadata!J877="",FALSE,TRUE),OR(EXACT(metadata!J877,"not applicable"),EXACT(metadata!J877,"missing: not collected"),EXACT(metadata!J877,"missing: not provided"),EXACT(metadata!J877,"missing: restricted access"))),AND(IF(metadata!J877="",FALSE,ISNUMBER(VALUE(metadata!J877))),metadata!J877&gt;0))</f>
        <v>0</v>
      </c>
      <c r="AM877" t="b">
        <f>AND(IF(metadata!K877="",FALSE,TRUE),EXACT(metadata!K877,"missing: not provided"))</f>
        <v>0</v>
      </c>
      <c r="AN877" t="b">
        <f>IF(metadata!L877="",FALSE,TRUE)</f>
        <v>0</v>
      </c>
      <c r="AO877" t="b">
        <f>IF(metadata!M877="",FALSE,TRUE)</f>
        <v>0</v>
      </c>
      <c r="AP877" t="b">
        <f>OR(AND(IF(metadata!N877="",FALSE,TRUE),OR(EXACT(metadata!N877,"not applicable"),EXACT(metadata!N877,"missing: not collected"),EXACT(metadata!N877,"missing: not provided"))),AND(IF(metadata!N877="",FALSE,IF(ISERROR(INT(metadata!N877)),FALSE,INT(metadata!N877)=metadata!N877)),metadata!N877&gt;0))</f>
        <v>0</v>
      </c>
      <c r="AQ877" t="b">
        <f>AND(IF(metadata!O877="",FALSE,TRUE),EXACT(metadata!O877,"Not applicable"))</f>
        <v>0</v>
      </c>
      <c r="AR877" t="b">
        <f>OR(AND(IF(metadata!P877="",FALSE,TRUE),OR(EXACT(metadata!P877,"not applicable"),EXACT(metadata!P877,"missing: not collected"),EXACT(metadata!P877,"missing: not provided"),EXACT(metadata!P877,"missing: restricted access"))),IF(metadata!P877="",FALSE,IF(ISERROR(INT(metadata!P877)),FALSE,INT(metadata!P877)=metadata!P877)))</f>
        <v>0</v>
      </c>
      <c r="AS877" t="b">
        <f>AND(IF(metadata!Q877="",FALSE,TRUE),EXACT(metadata!Q877,"Not applicable"))</f>
        <v>0</v>
      </c>
      <c r="AT877" t="b">
        <f>OR(AND(IF(metadata!R877="",FALSE,TRUE),OR(EXACT(metadata!R877,"not applicable"),EXACT(metadata!R877,"missing: not collected"),EXACT(metadata!R877,"missing: not provided"),EXACT(metadata!R877,"missing: restricted access"))),AND(IF(metadata!R877="",FALSE,ISNUMBER(VALUE(metadata!R877))),metadata!R877&gt;0))</f>
        <v>0</v>
      </c>
      <c r="AU877" t="b">
        <f>AND(IF(metadata!S877="",FALSE,TRUE),EXACT(metadata!S877,"missing: not provided"))</f>
        <v>0</v>
      </c>
    </row>
    <row r="878" spans="1:47" x14ac:dyDescent="0.2">
      <c r="A878" s="5" t="str">
        <f ca="1">IF(B878=" "," ",HYPERLINK(CONCATENATE("#metadata!",ADDRESS(INDEX($Y$2:$Y$1001,MATCH(ROWS($W$2:W878),$W$2:$W$1001,0),0),1)),INDEX($AB$2:$AB$1001,MATCH(ROWS($W$2:W878),$W$2:$W$1001,0),0)))</f>
        <v xml:space="preserve"> </v>
      </c>
      <c r="B878" s="4" t="str">
        <f ca="1">IF(OR(INDEX($X$2:$X$1001,MATCH(ROWS($W$2:W878),$W$2:$W$1001,0),1)&gt;=100000,INDEX($AD$1005:$AU$1005,1,MATCH(COLUMNS($AD$1006:AD1006),$AD$1006:$AU$1006,0))&gt;=100000), " ",IF(INDEX($AD$2:$AU$1001,MATCH(ROWS($W$2:W878),$W$2:$W$1001,0),MATCH(COLUMNS($AD$1006:AD1006),$AD$1006:$AU$1006,0)), HYPERLINK("#",""), HYPERLINK(CONCATENATE("#metadata!", ADDRESS(INDEX($Y$2:$Y$1001,MATCH(ROWS($W$2:W878),$W$2:$W$1001,0),0), INDEX($AD$1004:$AU$1004,1,MATCH(COLUMNS($AD$1006:AD1006),$AD$1006:$AU$1006,0)))),"Fix")))</f>
        <v xml:space="preserve"> </v>
      </c>
      <c r="C878" s="4" t="str">
        <f ca="1">IF(OR(INDEX($X$2:$X$1001,MATCH(ROWS($W$2:W878),$W$2:$W$1001,0),1)&gt;=100000,INDEX($AD$1005:$AU$1005,1,MATCH(COLUMNS($AD$1006:AE1006),$AD$1006:$AU$1006,0))&gt;=100000), " ",IF(INDEX($AD$2:$AU$1001,MATCH(ROWS($W$2:W878),$W$2:$W$1001,0),MATCH(COLUMNS($AD$1006:AE1006),$AD$1006:$AU$1006,0)), HYPERLINK("#",""), HYPERLINK(CONCATENATE("#metadata!", ADDRESS(INDEX($Y$2:$Y$1001,MATCH(ROWS($W$2:W878),$W$2:$W$1001,0),0), INDEX($AD$1004:$AU$1004,1,MATCH(COLUMNS($AD$1006:AE1006),$AD$1006:$AU$1006,0)))),"Fix")))</f>
        <v xml:space="preserve"> </v>
      </c>
      <c r="D878" s="4" t="str">
        <f ca="1">IF(OR(INDEX($X$2:$X$1001,MATCH(ROWS($W$2:W878),$W$2:$W$1001,0),1)&gt;=100000,INDEX($AD$1005:$AU$1005,1,MATCH(COLUMNS($AD$1006:AF1006),$AD$1006:$AU$1006,0))&gt;=100000), " ",IF(INDEX($AD$2:$AU$1001,MATCH(ROWS($W$2:W878),$W$2:$W$1001,0),MATCH(COLUMNS($AD$1006:AF1006),$AD$1006:$AU$1006,0)), HYPERLINK("#",""), HYPERLINK(CONCATENATE("#metadata!", ADDRESS(INDEX($Y$2:$Y$1001,MATCH(ROWS($W$2:W878),$W$2:$W$1001,0),0), INDEX($AD$1004:$AU$1004,1,MATCH(COLUMNS($AD$1006:AF1006),$AD$1006:$AU$1006,0)))),"Fix")))</f>
        <v xml:space="preserve"> </v>
      </c>
      <c r="E878" s="4" t="str">
        <f ca="1">IF(OR(INDEX($X$2:$X$1001,MATCH(ROWS($W$2:W878),$W$2:$W$1001,0),1)&gt;=100000,INDEX($AD$1005:$AU$1005,1,MATCH(COLUMNS($AD$1006:AG1006),$AD$1006:$AU$1006,0))&gt;=100000), " ",IF(INDEX($AD$2:$AU$1001,MATCH(ROWS($W$2:W878),$W$2:$W$1001,0),MATCH(COLUMNS($AD$1006:AG1006),$AD$1006:$AU$1006,0)), HYPERLINK("#",""), HYPERLINK(CONCATENATE("#metadata!", ADDRESS(INDEX($Y$2:$Y$1001,MATCH(ROWS($W$2:W878),$W$2:$W$1001,0),0), INDEX($AD$1004:$AU$1004,1,MATCH(COLUMNS($AD$1006:AG1006),$AD$1006:$AU$1006,0)))),"Fix")))</f>
        <v xml:space="preserve"> </v>
      </c>
      <c r="F878" s="4" t="str">
        <f ca="1">IF(OR(INDEX($X$2:$X$1001,MATCH(ROWS($W$2:W878),$W$2:$W$1001,0),1)&gt;=100000,INDEX($AD$1005:$AU$1005,1,MATCH(COLUMNS($AD$1006:AH1006),$AD$1006:$AU$1006,0))&gt;=100000), " ",IF(INDEX($AD$2:$AU$1001,MATCH(ROWS($W$2:W878),$W$2:$W$1001,0),MATCH(COLUMNS($AD$1006:AH1006),$AD$1006:$AU$1006,0)), HYPERLINK("#",""), HYPERLINK(CONCATENATE("#metadata!", ADDRESS(INDEX($Y$2:$Y$1001,MATCH(ROWS($W$2:W878),$W$2:$W$1001,0),0), INDEX($AD$1004:$AU$1004,1,MATCH(COLUMNS($AD$1006:AH1006),$AD$1006:$AU$1006,0)))),"Fix")))</f>
        <v xml:space="preserve"> </v>
      </c>
      <c r="G878" s="4" t="str">
        <f ca="1">IF(OR(INDEX($X$2:$X$1001,MATCH(ROWS($W$2:W878),$W$2:$W$1001,0),1)&gt;=100000,INDEX($AD$1005:$AU$1005,1,MATCH(COLUMNS($AD$1006:AI1006),$AD$1006:$AU$1006,0))&gt;=100000), " ",IF(INDEX($AD$2:$AU$1001,MATCH(ROWS($W$2:W878),$W$2:$W$1001,0),MATCH(COLUMNS($AD$1006:AI1006),$AD$1006:$AU$1006,0)), HYPERLINK("#",""), HYPERLINK(CONCATENATE("#metadata!", ADDRESS(INDEX($Y$2:$Y$1001,MATCH(ROWS($W$2:W878),$W$2:$W$1001,0),0), INDEX($AD$1004:$AU$1004,1,MATCH(COLUMNS($AD$1006:AI1006),$AD$1006:$AU$1006,0)))),"Fix")))</f>
        <v xml:space="preserve"> </v>
      </c>
      <c r="H878" s="4" t="str">
        <f ca="1">IF(OR(INDEX($X$2:$X$1001,MATCH(ROWS($W$2:W878),$W$2:$W$1001,0),1)&gt;=100000,INDEX($AD$1005:$AU$1005,1,MATCH(COLUMNS($AD$1006:AJ1006),$AD$1006:$AU$1006,0))&gt;=100000), " ",IF(INDEX($AD$2:$AU$1001,MATCH(ROWS($W$2:W878),$W$2:$W$1001,0),MATCH(COLUMNS($AD$1006:AJ1006),$AD$1006:$AU$1006,0)), HYPERLINK("#",""), HYPERLINK(CONCATENATE("#metadata!", ADDRESS(INDEX($Y$2:$Y$1001,MATCH(ROWS($W$2:W878),$W$2:$W$1001,0),0), INDEX($AD$1004:$AU$1004,1,MATCH(COLUMNS($AD$1006:AJ1006),$AD$1006:$AU$1006,0)))),"Fix")))</f>
        <v xml:space="preserve"> </v>
      </c>
      <c r="I878" s="4" t="str">
        <f ca="1">IF(OR(INDEX($X$2:$X$1001,MATCH(ROWS($W$2:W878),$W$2:$W$1001,0),1)&gt;=100000,INDEX($AD$1005:$AU$1005,1,MATCH(COLUMNS($AD$1006:AK1006),$AD$1006:$AU$1006,0))&gt;=100000), " ",IF(INDEX($AD$2:$AU$1001,MATCH(ROWS($W$2:W878),$W$2:$W$1001,0),MATCH(COLUMNS($AD$1006:AK1006),$AD$1006:$AU$1006,0)), HYPERLINK("#",""), HYPERLINK(CONCATENATE("#metadata!", ADDRESS(INDEX($Y$2:$Y$1001,MATCH(ROWS($W$2:W878),$W$2:$W$1001,0),0), INDEX($AD$1004:$AU$1004,1,MATCH(COLUMNS($AD$1006:AK1006),$AD$1006:$AU$1006,0)))),"Fix")))</f>
        <v xml:space="preserve"> </v>
      </c>
      <c r="J878" s="4" t="str">
        <f ca="1">IF(OR(INDEX($X$2:$X$1001,MATCH(ROWS($W$2:W878),$W$2:$W$1001,0),1)&gt;=100000,INDEX($AD$1005:$AU$1005,1,MATCH(COLUMNS($AD$1006:AL1006),$AD$1006:$AU$1006,0))&gt;=100000), " ",IF(INDEX($AD$2:$AU$1001,MATCH(ROWS($W$2:W878),$W$2:$W$1001,0),MATCH(COLUMNS($AD$1006:AL1006),$AD$1006:$AU$1006,0)), HYPERLINK("#",""), HYPERLINK(CONCATENATE("#metadata!", ADDRESS(INDEX($Y$2:$Y$1001,MATCH(ROWS($W$2:W878),$W$2:$W$1001,0),0), INDEX($AD$1004:$AU$1004,1,MATCH(COLUMNS($AD$1006:AL1006),$AD$1006:$AU$1006,0)))),"Fix")))</f>
        <v xml:space="preserve"> </v>
      </c>
      <c r="K878" s="4" t="str">
        <f ca="1">IF(OR(INDEX($X$2:$X$1001,MATCH(ROWS($W$2:W878),$W$2:$W$1001,0),1)&gt;=100000,INDEX($AD$1005:$AU$1005,1,MATCH(COLUMNS($AD$1006:AM1006),$AD$1006:$AU$1006,0))&gt;=100000), " ",IF(INDEX($AD$2:$AU$1001,MATCH(ROWS($W$2:W878),$W$2:$W$1001,0),MATCH(COLUMNS($AD$1006:AM1006),$AD$1006:$AU$1006,0)), HYPERLINK("#",""), HYPERLINK(CONCATENATE("#metadata!", ADDRESS(INDEX($Y$2:$Y$1001,MATCH(ROWS($W$2:W878),$W$2:$W$1001,0),0), INDEX($AD$1004:$AU$1004,1,MATCH(COLUMNS($AD$1006:AM1006),$AD$1006:$AU$1006,0)))),"Fix")))</f>
        <v xml:space="preserve"> </v>
      </c>
      <c r="L878" s="4" t="str">
        <f ca="1">IF(OR(INDEX($X$2:$X$1001,MATCH(ROWS($W$2:W878),$W$2:$W$1001,0),1)&gt;=100000,INDEX($AD$1005:$AU$1005,1,MATCH(COLUMNS($AD$1006:AN1006),$AD$1006:$AU$1006,0))&gt;=100000), " ",IF(INDEX($AD$2:$AU$1001,MATCH(ROWS($W$2:W878),$W$2:$W$1001,0),MATCH(COLUMNS($AD$1006:AN1006),$AD$1006:$AU$1006,0)), HYPERLINK("#",""), HYPERLINK(CONCATENATE("#metadata!", ADDRESS(INDEX($Y$2:$Y$1001,MATCH(ROWS($W$2:W878),$W$2:$W$1001,0),0), INDEX($AD$1004:$AU$1004,1,MATCH(COLUMNS($AD$1006:AN1006),$AD$1006:$AU$1006,0)))),"Fix")))</f>
        <v xml:space="preserve"> </v>
      </c>
      <c r="M878" s="4" t="str">
        <f ca="1">IF(OR(INDEX($X$2:$X$1001,MATCH(ROWS($W$2:W878),$W$2:$W$1001,0),1)&gt;=100000,INDEX($AD$1005:$AU$1005,1,MATCH(COLUMNS($AD$1006:AO1006),$AD$1006:$AU$1006,0))&gt;=100000), " ",IF(INDEX($AD$2:$AU$1001,MATCH(ROWS($W$2:W878),$W$2:$W$1001,0),MATCH(COLUMNS($AD$1006:AO1006),$AD$1006:$AU$1006,0)), HYPERLINK("#",""), HYPERLINK(CONCATENATE("#metadata!", ADDRESS(INDEX($Y$2:$Y$1001,MATCH(ROWS($W$2:W878),$W$2:$W$1001,0),0), INDEX($AD$1004:$AU$1004,1,MATCH(COLUMNS($AD$1006:AO1006),$AD$1006:$AU$1006,0)))),"Fix")))</f>
        <v xml:space="preserve"> </v>
      </c>
      <c r="N878" s="4" t="str">
        <f ca="1">IF(OR(INDEX($X$2:$X$1001,MATCH(ROWS($W$2:W878),$W$2:$W$1001,0),1)&gt;=100000,INDEX($AD$1005:$AU$1005,1,MATCH(COLUMNS($AD$1006:AP1006),$AD$1006:$AU$1006,0))&gt;=100000), " ",IF(INDEX($AD$2:$AU$1001,MATCH(ROWS($W$2:W878),$W$2:$W$1001,0),MATCH(COLUMNS($AD$1006:AP1006),$AD$1006:$AU$1006,0)), HYPERLINK("#",""), HYPERLINK(CONCATENATE("#metadata!", ADDRESS(INDEX($Y$2:$Y$1001,MATCH(ROWS($W$2:W878),$W$2:$W$1001,0),0), INDEX($AD$1004:$AU$1004,1,MATCH(COLUMNS($AD$1006:AP1006),$AD$1006:$AU$1006,0)))),"Fix")))</f>
        <v xml:space="preserve"> </v>
      </c>
      <c r="O878" s="4" t="str">
        <f ca="1">IF(OR(INDEX($X$2:$X$1001,MATCH(ROWS($W$2:W878),$W$2:$W$1001,0),1)&gt;=100000,INDEX($AD$1005:$AU$1005,1,MATCH(COLUMNS($AD$1006:AQ1006),$AD$1006:$AU$1006,0))&gt;=100000), " ",IF(INDEX($AD$2:$AU$1001,MATCH(ROWS($W$2:W878),$W$2:$W$1001,0),MATCH(COLUMNS($AD$1006:AQ1006),$AD$1006:$AU$1006,0)), HYPERLINK("#",""), HYPERLINK(CONCATENATE("#metadata!", ADDRESS(INDEX($Y$2:$Y$1001,MATCH(ROWS($W$2:W878),$W$2:$W$1001,0),0), INDEX($AD$1004:$AU$1004,1,MATCH(COLUMNS($AD$1006:AQ1006),$AD$1006:$AU$1006,0)))),"Fix")))</f>
        <v xml:space="preserve"> </v>
      </c>
      <c r="P878" s="4" t="str">
        <f ca="1">IF(OR(INDEX($X$2:$X$1001,MATCH(ROWS($W$2:W878),$W$2:$W$1001,0),1)&gt;=100000,INDEX($AD$1005:$AU$1005,1,MATCH(COLUMNS($AD$1006:AR1006),$AD$1006:$AU$1006,0))&gt;=100000), " ",IF(INDEX($AD$2:$AU$1001,MATCH(ROWS($W$2:W878),$W$2:$W$1001,0),MATCH(COLUMNS($AD$1006:AR1006),$AD$1006:$AU$1006,0)), HYPERLINK("#",""), HYPERLINK(CONCATENATE("#metadata!", ADDRESS(INDEX($Y$2:$Y$1001,MATCH(ROWS($W$2:W878),$W$2:$W$1001,0),0), INDEX($AD$1004:$AU$1004,1,MATCH(COLUMNS($AD$1006:AR1006),$AD$1006:$AU$1006,0)))),"Fix")))</f>
        <v xml:space="preserve"> </v>
      </c>
      <c r="Q878" s="4" t="str">
        <f ca="1">IF(OR(INDEX($X$2:$X$1001,MATCH(ROWS($W$2:W878),$W$2:$W$1001,0),1)&gt;=100000,INDEX($AD$1005:$AU$1005,1,MATCH(COLUMNS($AD$1006:AS1006),$AD$1006:$AU$1006,0))&gt;=100000), " ",IF(INDEX($AD$2:$AU$1001,MATCH(ROWS($W$2:W878),$W$2:$W$1001,0),MATCH(COLUMNS($AD$1006:AS1006),$AD$1006:$AU$1006,0)), HYPERLINK("#",""), HYPERLINK(CONCATENATE("#metadata!", ADDRESS(INDEX($Y$2:$Y$1001,MATCH(ROWS($W$2:W878),$W$2:$W$1001,0),0), INDEX($AD$1004:$AU$1004,1,MATCH(COLUMNS($AD$1006:AS1006),$AD$1006:$AU$1006,0)))),"Fix")))</f>
        <v xml:space="preserve"> </v>
      </c>
      <c r="R878" s="4" t="str">
        <f ca="1">IF(OR(INDEX($X$2:$X$1001,MATCH(ROWS($W$2:W878),$W$2:$W$1001,0),1)&gt;=100000,INDEX($AD$1005:$AU$1005,1,MATCH(COLUMNS($AD$1006:AT1006),$AD$1006:$AU$1006,0))&gt;=100000), " ",IF(INDEX($AD$2:$AU$1001,MATCH(ROWS($W$2:W878),$W$2:$W$1001,0),MATCH(COLUMNS($AD$1006:AT1006),$AD$1006:$AU$1006,0)), HYPERLINK("#",""), HYPERLINK(CONCATENATE("#metadata!", ADDRESS(INDEX($Y$2:$Y$1001,MATCH(ROWS($W$2:W878),$W$2:$W$1001,0),0), INDEX($AD$1004:$AU$1004,1,MATCH(COLUMNS($AD$1006:AT1006),$AD$1006:$AU$1006,0)))),"Fix")))</f>
        <v xml:space="preserve"> </v>
      </c>
      <c r="S878" s="4" t="str">
        <f ca="1">IF(OR(INDEX($X$2:$X$1001,MATCH(ROWS($W$2:W878),$W$2:$W$1001,0),1)&gt;=100000,INDEX($AD$1005:$AU$1005,1,MATCH(COLUMNS($AD$1006:AU1006),$AD$1006:$AU$1006,0))&gt;=100000), " ",IF(INDEX($AD$2:$AU$1001,MATCH(ROWS($W$2:W878),$W$2:$W$1001,0),MATCH(COLUMNS($AD$1006:AU1006),$AD$1006:$AU$1006,0)), HYPERLINK("#",""), HYPERLINK(CONCATENATE("#metadata!", ADDRESS(INDEX($Y$2:$Y$1001,MATCH(ROWS($W$2:W878),$W$2:$W$1001,0),0), INDEX($AD$1004:$AU$1004,1,MATCH(COLUMNS($AD$1006:AU1006),$AD$1006:$AU$1006,0)))),"Fix")))</f>
        <v xml:space="preserve"> </v>
      </c>
      <c r="W878">
        <v>877</v>
      </c>
      <c r="X878">
        <v>100878</v>
      </c>
      <c r="Y878">
        <v>878</v>
      </c>
      <c r="Z878" t="b">
        <f t="shared" si="13"/>
        <v>1</v>
      </c>
      <c r="AA878" t="b">
        <f>COUNTBLANK(metadata!B878:S878)=COLUMNS(metadata!B878:S878)</f>
        <v>1</v>
      </c>
      <c r="AB878" t="str">
        <v/>
      </c>
      <c r="AD878" t="b">
        <f ca="1">AND(IF(metadata!B878="",FALSE,TRUE),COUNTIF(metadata!B:B, metadata!B878) = 1,NOT(ISERROR(SUMPRODUCT(SEARCH(MID(metadata!B878,ROW(INDIRECT("1:"&amp;LEN(metadata!B878))), 1),"0123456789abcdefghijklmnopqrstuvwxyzABCDEFGHIJKLMNOPQRSTUVWXYZ.")))))</f>
        <v>0</v>
      </c>
      <c r="AE878" t="b">
        <f>OR(AND(IF(metadata!C878="",FALSE,TRUE),OR(EXACT(metadata!C878,"not applicable"),EXACT(metadata!C878,"missing: not collected"),EXACT(metadata!C878,"missing: not provided"),EXACT(metadata!C878,"missing: restricted access"))),AND(IF(metadata!C878="",FALSE,ISNUMBER(VALUE(metadata!C878))),metadata!C878&gt;0))</f>
        <v>0</v>
      </c>
      <c r="AF878" t="b">
        <f>AND(IF(metadata!D878="",FALSE,TRUE),EXACT(metadata!D878,"missing: not provided"))</f>
        <v>0</v>
      </c>
      <c r="AG878" t="b">
        <f>AND(IF(metadata!E878="",FALSE,TRUE),EXACT(metadata!E878,"Host-associated"))</f>
        <v>0</v>
      </c>
      <c r="AH878" t="b">
        <f>AND(IF(metadata!F878="",FALSE,TRUE),OR(EXACT(metadata!F878,"Animal"),EXACT(metadata!F878,"Fungus"),EXACT(metadata!F878,"Plant")))</f>
        <v>0</v>
      </c>
      <c r="AI878" t="b">
        <f>AND(IF(metadata!G878="",FALSE,TRUE),OR(EXACT(metadata!G878,"Plant secretion"),EXACT(metadata!G878,"Plant rhizosphere"),EXACT(metadata!G878,"Plant surface"),EXACT(metadata!G878,"Plant corpus"),EXACT(metadata!G878,"Fungus surface"),EXACT(metadata!G878,"Fungus corpus"),EXACT(metadata!G878,"Animal surface"),EXACT(metadata!G878,"Animal proximal gut"),EXACT(metadata!G878,"Animal corpus"),EXACT(metadata!G878,"Animal distal gut"),EXACT(metadata!G878,"Animal secretion")))</f>
        <v>0</v>
      </c>
      <c r="AJ878" t="b">
        <f>OR(AND(IF(metadata!H878="",FALSE,TRUE),OR(EXACT(metadata!H878,"missing: not collected"),EXACT(metadata!H878,"missing: not provided"),EXACT(metadata!H878,"missing: restricted access"))),AND(IF(metadata!H878="",FALSE,TRUE),OR(EXACT(metadata!H878,"organism-associated habitat"),EXACT(metadata!H878,"plant-associated habitat"),EXACT(metadata!H878,"animal-associated habitat"),EXACT(metadata!H878,"insecta-associated habitat"),EXACT(metadata!H878,"mammalia-associated habitat"),EXACT(metadata!H878,"human-associated habitat"),EXACT(metadata!H878,"livestock-associated habitat"))))</f>
        <v>0</v>
      </c>
      <c r="AK878" t="b">
        <f>AND(IF(metadata!I878="",FALSE,TRUE),EXACT(metadata!I878,"host-associated"))</f>
        <v>0</v>
      </c>
      <c r="AL878" t="b">
        <f>OR(AND(IF(metadata!J878="",FALSE,TRUE),OR(EXACT(metadata!J878,"not applicable"),EXACT(metadata!J878,"missing: not collected"),EXACT(metadata!J878,"missing: not provided"),EXACT(metadata!J878,"missing: restricted access"))),AND(IF(metadata!J878="",FALSE,ISNUMBER(VALUE(metadata!J878))),metadata!J878&gt;0))</f>
        <v>0</v>
      </c>
      <c r="AM878" t="b">
        <f>AND(IF(metadata!K878="",FALSE,TRUE),EXACT(metadata!K878,"missing: not provided"))</f>
        <v>0</v>
      </c>
      <c r="AN878" t="b">
        <f>IF(metadata!L878="",FALSE,TRUE)</f>
        <v>0</v>
      </c>
      <c r="AO878" t="b">
        <f>IF(metadata!M878="",FALSE,TRUE)</f>
        <v>0</v>
      </c>
      <c r="AP878" t="b">
        <f>OR(AND(IF(metadata!N878="",FALSE,TRUE),OR(EXACT(metadata!N878,"not applicable"),EXACT(metadata!N878,"missing: not collected"),EXACT(metadata!N878,"missing: not provided"))),AND(IF(metadata!N878="",FALSE,IF(ISERROR(INT(metadata!N878)),FALSE,INT(metadata!N878)=metadata!N878)),metadata!N878&gt;0))</f>
        <v>0</v>
      </c>
      <c r="AQ878" t="b">
        <f>AND(IF(metadata!O878="",FALSE,TRUE),EXACT(metadata!O878,"Not applicable"))</f>
        <v>0</v>
      </c>
      <c r="AR878" t="b">
        <f>OR(AND(IF(metadata!P878="",FALSE,TRUE),OR(EXACT(metadata!P878,"not applicable"),EXACT(metadata!P878,"missing: not collected"),EXACT(metadata!P878,"missing: not provided"),EXACT(metadata!P878,"missing: restricted access"))),IF(metadata!P878="",FALSE,IF(ISERROR(INT(metadata!P878)),FALSE,INT(metadata!P878)=metadata!P878)))</f>
        <v>0</v>
      </c>
      <c r="AS878" t="b">
        <f>AND(IF(metadata!Q878="",FALSE,TRUE),EXACT(metadata!Q878,"Not applicable"))</f>
        <v>0</v>
      </c>
      <c r="AT878" t="b">
        <f>OR(AND(IF(metadata!R878="",FALSE,TRUE),OR(EXACT(metadata!R878,"not applicable"),EXACT(metadata!R878,"missing: not collected"),EXACT(metadata!R878,"missing: not provided"),EXACT(metadata!R878,"missing: restricted access"))),AND(IF(metadata!R878="",FALSE,ISNUMBER(VALUE(metadata!R878))),metadata!R878&gt;0))</f>
        <v>0</v>
      </c>
      <c r="AU878" t="b">
        <f>AND(IF(metadata!S878="",FALSE,TRUE),EXACT(metadata!S878,"missing: not provided"))</f>
        <v>0</v>
      </c>
    </row>
    <row r="879" spans="1:47" x14ac:dyDescent="0.2">
      <c r="A879" s="5" t="str">
        <f ca="1">IF(B879=" "," ",HYPERLINK(CONCATENATE("#metadata!",ADDRESS(INDEX($Y$2:$Y$1001,MATCH(ROWS($W$2:W879),$W$2:$W$1001,0),0),1)),INDEX($AB$2:$AB$1001,MATCH(ROWS($W$2:W879),$W$2:$W$1001,0),0)))</f>
        <v xml:space="preserve"> </v>
      </c>
      <c r="B879" s="4" t="str">
        <f ca="1">IF(OR(INDEX($X$2:$X$1001,MATCH(ROWS($W$2:W879),$W$2:$W$1001,0),1)&gt;=100000,INDEX($AD$1005:$AU$1005,1,MATCH(COLUMNS($AD$1006:AD1006),$AD$1006:$AU$1006,0))&gt;=100000), " ",IF(INDEX($AD$2:$AU$1001,MATCH(ROWS($W$2:W879),$W$2:$W$1001,0),MATCH(COLUMNS($AD$1006:AD1006),$AD$1006:$AU$1006,0)), HYPERLINK("#",""), HYPERLINK(CONCATENATE("#metadata!", ADDRESS(INDEX($Y$2:$Y$1001,MATCH(ROWS($W$2:W879),$W$2:$W$1001,0),0), INDEX($AD$1004:$AU$1004,1,MATCH(COLUMNS($AD$1006:AD1006),$AD$1006:$AU$1006,0)))),"Fix")))</f>
        <v xml:space="preserve"> </v>
      </c>
      <c r="C879" s="4" t="str">
        <f ca="1">IF(OR(INDEX($X$2:$X$1001,MATCH(ROWS($W$2:W879),$W$2:$W$1001,0),1)&gt;=100000,INDEX($AD$1005:$AU$1005,1,MATCH(COLUMNS($AD$1006:AE1006),$AD$1006:$AU$1006,0))&gt;=100000), " ",IF(INDEX($AD$2:$AU$1001,MATCH(ROWS($W$2:W879),$W$2:$W$1001,0),MATCH(COLUMNS($AD$1006:AE1006),$AD$1006:$AU$1006,0)), HYPERLINK("#",""), HYPERLINK(CONCATENATE("#metadata!", ADDRESS(INDEX($Y$2:$Y$1001,MATCH(ROWS($W$2:W879),$W$2:$W$1001,0),0), INDEX($AD$1004:$AU$1004,1,MATCH(COLUMNS($AD$1006:AE1006),$AD$1006:$AU$1006,0)))),"Fix")))</f>
        <v xml:space="preserve"> </v>
      </c>
      <c r="D879" s="4" t="str">
        <f ca="1">IF(OR(INDEX($X$2:$X$1001,MATCH(ROWS($W$2:W879),$W$2:$W$1001,0),1)&gt;=100000,INDEX($AD$1005:$AU$1005,1,MATCH(COLUMNS($AD$1006:AF1006),$AD$1006:$AU$1006,0))&gt;=100000), " ",IF(INDEX($AD$2:$AU$1001,MATCH(ROWS($W$2:W879),$W$2:$W$1001,0),MATCH(COLUMNS($AD$1006:AF1006),$AD$1006:$AU$1006,0)), HYPERLINK("#",""), HYPERLINK(CONCATENATE("#metadata!", ADDRESS(INDEX($Y$2:$Y$1001,MATCH(ROWS($W$2:W879),$W$2:$W$1001,0),0), INDEX($AD$1004:$AU$1004,1,MATCH(COLUMNS($AD$1006:AF1006),$AD$1006:$AU$1006,0)))),"Fix")))</f>
        <v xml:space="preserve"> </v>
      </c>
      <c r="E879" s="4" t="str">
        <f ca="1">IF(OR(INDEX($X$2:$X$1001,MATCH(ROWS($W$2:W879),$W$2:$W$1001,0),1)&gt;=100000,INDEX($AD$1005:$AU$1005,1,MATCH(COLUMNS($AD$1006:AG1006),$AD$1006:$AU$1006,0))&gt;=100000), " ",IF(INDEX($AD$2:$AU$1001,MATCH(ROWS($W$2:W879),$W$2:$W$1001,0),MATCH(COLUMNS($AD$1006:AG1006),$AD$1006:$AU$1006,0)), HYPERLINK("#",""), HYPERLINK(CONCATENATE("#metadata!", ADDRESS(INDEX($Y$2:$Y$1001,MATCH(ROWS($W$2:W879),$W$2:$W$1001,0),0), INDEX($AD$1004:$AU$1004,1,MATCH(COLUMNS($AD$1006:AG1006),$AD$1006:$AU$1006,0)))),"Fix")))</f>
        <v xml:space="preserve"> </v>
      </c>
      <c r="F879" s="4" t="str">
        <f ca="1">IF(OR(INDEX($X$2:$X$1001,MATCH(ROWS($W$2:W879),$W$2:$W$1001,0),1)&gt;=100000,INDEX($AD$1005:$AU$1005,1,MATCH(COLUMNS($AD$1006:AH1006),$AD$1006:$AU$1006,0))&gt;=100000), " ",IF(INDEX($AD$2:$AU$1001,MATCH(ROWS($W$2:W879),$W$2:$W$1001,0),MATCH(COLUMNS($AD$1006:AH1006),$AD$1006:$AU$1006,0)), HYPERLINK("#",""), HYPERLINK(CONCATENATE("#metadata!", ADDRESS(INDEX($Y$2:$Y$1001,MATCH(ROWS($W$2:W879),$W$2:$W$1001,0),0), INDEX($AD$1004:$AU$1004,1,MATCH(COLUMNS($AD$1006:AH1006),$AD$1006:$AU$1006,0)))),"Fix")))</f>
        <v xml:space="preserve"> </v>
      </c>
      <c r="G879" s="4" t="str">
        <f ca="1">IF(OR(INDEX($X$2:$X$1001,MATCH(ROWS($W$2:W879),$W$2:$W$1001,0),1)&gt;=100000,INDEX($AD$1005:$AU$1005,1,MATCH(COLUMNS($AD$1006:AI1006),$AD$1006:$AU$1006,0))&gt;=100000), " ",IF(INDEX($AD$2:$AU$1001,MATCH(ROWS($W$2:W879),$W$2:$W$1001,0),MATCH(COLUMNS($AD$1006:AI1006),$AD$1006:$AU$1006,0)), HYPERLINK("#",""), HYPERLINK(CONCATENATE("#metadata!", ADDRESS(INDEX($Y$2:$Y$1001,MATCH(ROWS($W$2:W879),$W$2:$W$1001,0),0), INDEX($AD$1004:$AU$1004,1,MATCH(COLUMNS($AD$1006:AI1006),$AD$1006:$AU$1006,0)))),"Fix")))</f>
        <v xml:space="preserve"> </v>
      </c>
      <c r="H879" s="4" t="str">
        <f ca="1">IF(OR(INDEX($X$2:$X$1001,MATCH(ROWS($W$2:W879),$W$2:$W$1001,0),1)&gt;=100000,INDEX($AD$1005:$AU$1005,1,MATCH(COLUMNS($AD$1006:AJ1006),$AD$1006:$AU$1006,0))&gt;=100000), " ",IF(INDEX($AD$2:$AU$1001,MATCH(ROWS($W$2:W879),$W$2:$W$1001,0),MATCH(COLUMNS($AD$1006:AJ1006),$AD$1006:$AU$1006,0)), HYPERLINK("#",""), HYPERLINK(CONCATENATE("#metadata!", ADDRESS(INDEX($Y$2:$Y$1001,MATCH(ROWS($W$2:W879),$W$2:$W$1001,0),0), INDEX($AD$1004:$AU$1004,1,MATCH(COLUMNS($AD$1006:AJ1006),$AD$1006:$AU$1006,0)))),"Fix")))</f>
        <v xml:space="preserve"> </v>
      </c>
      <c r="I879" s="4" t="str">
        <f ca="1">IF(OR(INDEX($X$2:$X$1001,MATCH(ROWS($W$2:W879),$W$2:$W$1001,0),1)&gt;=100000,INDEX($AD$1005:$AU$1005,1,MATCH(COLUMNS($AD$1006:AK1006),$AD$1006:$AU$1006,0))&gt;=100000), " ",IF(INDEX($AD$2:$AU$1001,MATCH(ROWS($W$2:W879),$W$2:$W$1001,0),MATCH(COLUMNS($AD$1006:AK1006),$AD$1006:$AU$1006,0)), HYPERLINK("#",""), HYPERLINK(CONCATENATE("#metadata!", ADDRESS(INDEX($Y$2:$Y$1001,MATCH(ROWS($W$2:W879),$W$2:$W$1001,0),0), INDEX($AD$1004:$AU$1004,1,MATCH(COLUMNS($AD$1006:AK1006),$AD$1006:$AU$1006,0)))),"Fix")))</f>
        <v xml:space="preserve"> </v>
      </c>
      <c r="J879" s="4" t="str">
        <f ca="1">IF(OR(INDEX($X$2:$X$1001,MATCH(ROWS($W$2:W879),$W$2:$W$1001,0),1)&gt;=100000,INDEX($AD$1005:$AU$1005,1,MATCH(COLUMNS($AD$1006:AL1006),$AD$1006:$AU$1006,0))&gt;=100000), " ",IF(INDEX($AD$2:$AU$1001,MATCH(ROWS($W$2:W879),$W$2:$W$1001,0),MATCH(COLUMNS($AD$1006:AL1006),$AD$1006:$AU$1006,0)), HYPERLINK("#",""), HYPERLINK(CONCATENATE("#metadata!", ADDRESS(INDEX($Y$2:$Y$1001,MATCH(ROWS($W$2:W879),$W$2:$W$1001,0),0), INDEX($AD$1004:$AU$1004,1,MATCH(COLUMNS($AD$1006:AL1006),$AD$1006:$AU$1006,0)))),"Fix")))</f>
        <v xml:space="preserve"> </v>
      </c>
      <c r="K879" s="4" t="str">
        <f ca="1">IF(OR(INDEX($X$2:$X$1001,MATCH(ROWS($W$2:W879),$W$2:$W$1001,0),1)&gt;=100000,INDEX($AD$1005:$AU$1005,1,MATCH(COLUMNS($AD$1006:AM1006),$AD$1006:$AU$1006,0))&gt;=100000), " ",IF(INDEX($AD$2:$AU$1001,MATCH(ROWS($W$2:W879),$W$2:$W$1001,0),MATCH(COLUMNS($AD$1006:AM1006),$AD$1006:$AU$1006,0)), HYPERLINK("#",""), HYPERLINK(CONCATENATE("#metadata!", ADDRESS(INDEX($Y$2:$Y$1001,MATCH(ROWS($W$2:W879),$W$2:$W$1001,0),0), INDEX($AD$1004:$AU$1004,1,MATCH(COLUMNS($AD$1006:AM1006),$AD$1006:$AU$1006,0)))),"Fix")))</f>
        <v xml:space="preserve"> </v>
      </c>
      <c r="L879" s="4" t="str">
        <f ca="1">IF(OR(INDEX($X$2:$X$1001,MATCH(ROWS($W$2:W879),$W$2:$W$1001,0),1)&gt;=100000,INDEX($AD$1005:$AU$1005,1,MATCH(COLUMNS($AD$1006:AN1006),$AD$1006:$AU$1006,0))&gt;=100000), " ",IF(INDEX($AD$2:$AU$1001,MATCH(ROWS($W$2:W879),$W$2:$W$1001,0),MATCH(COLUMNS($AD$1006:AN1006),$AD$1006:$AU$1006,0)), HYPERLINK("#",""), HYPERLINK(CONCATENATE("#metadata!", ADDRESS(INDEX($Y$2:$Y$1001,MATCH(ROWS($W$2:W879),$W$2:$W$1001,0),0), INDEX($AD$1004:$AU$1004,1,MATCH(COLUMNS($AD$1006:AN1006),$AD$1006:$AU$1006,0)))),"Fix")))</f>
        <v xml:space="preserve"> </v>
      </c>
      <c r="M879" s="4" t="str">
        <f ca="1">IF(OR(INDEX($X$2:$X$1001,MATCH(ROWS($W$2:W879),$W$2:$W$1001,0),1)&gt;=100000,INDEX($AD$1005:$AU$1005,1,MATCH(COLUMNS($AD$1006:AO1006),$AD$1006:$AU$1006,0))&gt;=100000), " ",IF(INDEX($AD$2:$AU$1001,MATCH(ROWS($W$2:W879),$W$2:$W$1001,0),MATCH(COLUMNS($AD$1006:AO1006),$AD$1006:$AU$1006,0)), HYPERLINK("#",""), HYPERLINK(CONCATENATE("#metadata!", ADDRESS(INDEX($Y$2:$Y$1001,MATCH(ROWS($W$2:W879),$W$2:$W$1001,0),0), INDEX($AD$1004:$AU$1004,1,MATCH(COLUMNS($AD$1006:AO1006),$AD$1006:$AU$1006,0)))),"Fix")))</f>
        <v xml:space="preserve"> </v>
      </c>
      <c r="N879" s="4" t="str">
        <f ca="1">IF(OR(INDEX($X$2:$X$1001,MATCH(ROWS($W$2:W879),$W$2:$W$1001,0),1)&gt;=100000,INDEX($AD$1005:$AU$1005,1,MATCH(COLUMNS($AD$1006:AP1006),$AD$1006:$AU$1006,0))&gt;=100000), " ",IF(INDEX($AD$2:$AU$1001,MATCH(ROWS($W$2:W879),$W$2:$W$1001,0),MATCH(COLUMNS($AD$1006:AP1006),$AD$1006:$AU$1006,0)), HYPERLINK("#",""), HYPERLINK(CONCATENATE("#metadata!", ADDRESS(INDEX($Y$2:$Y$1001,MATCH(ROWS($W$2:W879),$W$2:$W$1001,0),0), INDEX($AD$1004:$AU$1004,1,MATCH(COLUMNS($AD$1006:AP1006),$AD$1006:$AU$1006,0)))),"Fix")))</f>
        <v xml:space="preserve"> </v>
      </c>
      <c r="O879" s="4" t="str">
        <f ca="1">IF(OR(INDEX($X$2:$X$1001,MATCH(ROWS($W$2:W879),$W$2:$W$1001,0),1)&gt;=100000,INDEX($AD$1005:$AU$1005,1,MATCH(COLUMNS($AD$1006:AQ1006),$AD$1006:$AU$1006,0))&gt;=100000), " ",IF(INDEX($AD$2:$AU$1001,MATCH(ROWS($W$2:W879),$W$2:$W$1001,0),MATCH(COLUMNS($AD$1006:AQ1006),$AD$1006:$AU$1006,0)), HYPERLINK("#",""), HYPERLINK(CONCATENATE("#metadata!", ADDRESS(INDEX($Y$2:$Y$1001,MATCH(ROWS($W$2:W879),$W$2:$W$1001,0),0), INDEX($AD$1004:$AU$1004,1,MATCH(COLUMNS($AD$1006:AQ1006),$AD$1006:$AU$1006,0)))),"Fix")))</f>
        <v xml:space="preserve"> </v>
      </c>
      <c r="P879" s="4" t="str">
        <f ca="1">IF(OR(INDEX($X$2:$X$1001,MATCH(ROWS($W$2:W879),$W$2:$W$1001,0),1)&gt;=100000,INDEX($AD$1005:$AU$1005,1,MATCH(COLUMNS($AD$1006:AR1006),$AD$1006:$AU$1006,0))&gt;=100000), " ",IF(INDEX($AD$2:$AU$1001,MATCH(ROWS($W$2:W879),$W$2:$W$1001,0),MATCH(COLUMNS($AD$1006:AR1006),$AD$1006:$AU$1006,0)), HYPERLINK("#",""), HYPERLINK(CONCATENATE("#metadata!", ADDRESS(INDEX($Y$2:$Y$1001,MATCH(ROWS($W$2:W879),$W$2:$W$1001,0),0), INDEX($AD$1004:$AU$1004,1,MATCH(COLUMNS($AD$1006:AR1006),$AD$1006:$AU$1006,0)))),"Fix")))</f>
        <v xml:space="preserve"> </v>
      </c>
      <c r="Q879" s="4" t="str">
        <f ca="1">IF(OR(INDEX($X$2:$X$1001,MATCH(ROWS($W$2:W879),$W$2:$W$1001,0),1)&gt;=100000,INDEX($AD$1005:$AU$1005,1,MATCH(COLUMNS($AD$1006:AS1006),$AD$1006:$AU$1006,0))&gt;=100000), " ",IF(INDEX($AD$2:$AU$1001,MATCH(ROWS($W$2:W879),$W$2:$W$1001,0),MATCH(COLUMNS($AD$1006:AS1006),$AD$1006:$AU$1006,0)), HYPERLINK("#",""), HYPERLINK(CONCATENATE("#metadata!", ADDRESS(INDEX($Y$2:$Y$1001,MATCH(ROWS($W$2:W879),$W$2:$W$1001,0),0), INDEX($AD$1004:$AU$1004,1,MATCH(COLUMNS($AD$1006:AS1006),$AD$1006:$AU$1006,0)))),"Fix")))</f>
        <v xml:space="preserve"> </v>
      </c>
      <c r="R879" s="4" t="str">
        <f ca="1">IF(OR(INDEX($X$2:$X$1001,MATCH(ROWS($W$2:W879),$W$2:$W$1001,0),1)&gt;=100000,INDEX($AD$1005:$AU$1005,1,MATCH(COLUMNS($AD$1006:AT1006),$AD$1006:$AU$1006,0))&gt;=100000), " ",IF(INDEX($AD$2:$AU$1001,MATCH(ROWS($W$2:W879),$W$2:$W$1001,0),MATCH(COLUMNS($AD$1006:AT1006),$AD$1006:$AU$1006,0)), HYPERLINK("#",""), HYPERLINK(CONCATENATE("#metadata!", ADDRESS(INDEX($Y$2:$Y$1001,MATCH(ROWS($W$2:W879),$W$2:$W$1001,0),0), INDEX($AD$1004:$AU$1004,1,MATCH(COLUMNS($AD$1006:AT1006),$AD$1006:$AU$1006,0)))),"Fix")))</f>
        <v xml:space="preserve"> </v>
      </c>
      <c r="S879" s="4" t="str">
        <f ca="1">IF(OR(INDEX($X$2:$X$1001,MATCH(ROWS($W$2:W879),$W$2:$W$1001,0),1)&gt;=100000,INDEX($AD$1005:$AU$1005,1,MATCH(COLUMNS($AD$1006:AU1006),$AD$1006:$AU$1006,0))&gt;=100000), " ",IF(INDEX($AD$2:$AU$1001,MATCH(ROWS($W$2:W879),$W$2:$W$1001,0),MATCH(COLUMNS($AD$1006:AU1006),$AD$1006:$AU$1006,0)), HYPERLINK("#",""), HYPERLINK(CONCATENATE("#metadata!", ADDRESS(INDEX($Y$2:$Y$1001,MATCH(ROWS($W$2:W879),$W$2:$W$1001,0),0), INDEX($AD$1004:$AU$1004,1,MATCH(COLUMNS($AD$1006:AU1006),$AD$1006:$AU$1006,0)))),"Fix")))</f>
        <v xml:space="preserve"> </v>
      </c>
      <c r="W879">
        <v>878</v>
      </c>
      <c r="X879">
        <v>100879</v>
      </c>
      <c r="Y879">
        <v>879</v>
      </c>
      <c r="Z879" t="b">
        <f t="shared" si="13"/>
        <v>1</v>
      </c>
      <c r="AA879" t="b">
        <f>COUNTBLANK(metadata!B879:S879)=COLUMNS(metadata!B879:S879)</f>
        <v>1</v>
      </c>
      <c r="AB879" t="str">
        <v/>
      </c>
      <c r="AD879" t="b">
        <f ca="1">AND(IF(metadata!B879="",FALSE,TRUE),COUNTIF(metadata!B:B, metadata!B879) = 1,NOT(ISERROR(SUMPRODUCT(SEARCH(MID(metadata!B879,ROW(INDIRECT("1:"&amp;LEN(metadata!B879))), 1),"0123456789abcdefghijklmnopqrstuvwxyzABCDEFGHIJKLMNOPQRSTUVWXYZ.")))))</f>
        <v>0</v>
      </c>
      <c r="AE879" t="b">
        <f>OR(AND(IF(metadata!C879="",FALSE,TRUE),OR(EXACT(metadata!C879,"not applicable"),EXACT(metadata!C879,"missing: not collected"),EXACT(metadata!C879,"missing: not provided"),EXACT(metadata!C879,"missing: restricted access"))),AND(IF(metadata!C879="",FALSE,ISNUMBER(VALUE(metadata!C879))),metadata!C879&gt;0))</f>
        <v>0</v>
      </c>
      <c r="AF879" t="b">
        <f>AND(IF(metadata!D879="",FALSE,TRUE),EXACT(metadata!D879,"missing: not provided"))</f>
        <v>0</v>
      </c>
      <c r="AG879" t="b">
        <f>AND(IF(metadata!E879="",FALSE,TRUE),EXACT(metadata!E879,"Host-associated"))</f>
        <v>0</v>
      </c>
      <c r="AH879" t="b">
        <f>AND(IF(metadata!F879="",FALSE,TRUE),OR(EXACT(metadata!F879,"Animal"),EXACT(metadata!F879,"Fungus"),EXACT(metadata!F879,"Plant")))</f>
        <v>0</v>
      </c>
      <c r="AI879" t="b">
        <f>AND(IF(metadata!G879="",FALSE,TRUE),OR(EXACT(metadata!G879,"Plant secretion"),EXACT(metadata!G879,"Plant rhizosphere"),EXACT(metadata!G879,"Plant surface"),EXACT(metadata!G879,"Plant corpus"),EXACT(metadata!G879,"Fungus surface"),EXACT(metadata!G879,"Fungus corpus"),EXACT(metadata!G879,"Animal surface"),EXACT(metadata!G879,"Animal proximal gut"),EXACT(metadata!G879,"Animal corpus"),EXACT(metadata!G879,"Animal distal gut"),EXACT(metadata!G879,"Animal secretion")))</f>
        <v>0</v>
      </c>
      <c r="AJ879" t="b">
        <f>OR(AND(IF(metadata!H879="",FALSE,TRUE),OR(EXACT(metadata!H879,"missing: not collected"),EXACT(metadata!H879,"missing: not provided"),EXACT(metadata!H879,"missing: restricted access"))),AND(IF(metadata!H879="",FALSE,TRUE),OR(EXACT(metadata!H879,"organism-associated habitat"),EXACT(metadata!H879,"plant-associated habitat"),EXACT(metadata!H879,"animal-associated habitat"),EXACT(metadata!H879,"insecta-associated habitat"),EXACT(metadata!H879,"mammalia-associated habitat"),EXACT(metadata!H879,"human-associated habitat"),EXACT(metadata!H879,"livestock-associated habitat"))))</f>
        <v>0</v>
      </c>
      <c r="AK879" t="b">
        <f>AND(IF(metadata!I879="",FALSE,TRUE),EXACT(metadata!I879,"host-associated"))</f>
        <v>0</v>
      </c>
      <c r="AL879" t="b">
        <f>OR(AND(IF(metadata!J879="",FALSE,TRUE),OR(EXACT(metadata!J879,"not applicable"),EXACT(metadata!J879,"missing: not collected"),EXACT(metadata!J879,"missing: not provided"),EXACT(metadata!J879,"missing: restricted access"))),AND(IF(metadata!J879="",FALSE,ISNUMBER(VALUE(metadata!J879))),metadata!J879&gt;0))</f>
        <v>0</v>
      </c>
      <c r="AM879" t="b">
        <f>AND(IF(metadata!K879="",FALSE,TRUE),EXACT(metadata!K879,"missing: not provided"))</f>
        <v>0</v>
      </c>
      <c r="AN879" t="b">
        <f>IF(metadata!L879="",FALSE,TRUE)</f>
        <v>0</v>
      </c>
      <c r="AO879" t="b">
        <f>IF(metadata!M879="",FALSE,TRUE)</f>
        <v>0</v>
      </c>
      <c r="AP879" t="b">
        <f>OR(AND(IF(metadata!N879="",FALSE,TRUE),OR(EXACT(metadata!N879,"not applicable"),EXACT(metadata!N879,"missing: not collected"),EXACT(metadata!N879,"missing: not provided"))),AND(IF(metadata!N879="",FALSE,IF(ISERROR(INT(metadata!N879)),FALSE,INT(metadata!N879)=metadata!N879)),metadata!N879&gt;0))</f>
        <v>0</v>
      </c>
      <c r="AQ879" t="b">
        <f>AND(IF(metadata!O879="",FALSE,TRUE),EXACT(metadata!O879,"Not applicable"))</f>
        <v>0</v>
      </c>
      <c r="AR879" t="b">
        <f>OR(AND(IF(metadata!P879="",FALSE,TRUE),OR(EXACT(metadata!P879,"not applicable"),EXACT(metadata!P879,"missing: not collected"),EXACT(metadata!P879,"missing: not provided"),EXACT(metadata!P879,"missing: restricted access"))),IF(metadata!P879="",FALSE,IF(ISERROR(INT(metadata!P879)),FALSE,INT(metadata!P879)=metadata!P879)))</f>
        <v>0</v>
      </c>
      <c r="AS879" t="b">
        <f>AND(IF(metadata!Q879="",FALSE,TRUE),EXACT(metadata!Q879,"Not applicable"))</f>
        <v>0</v>
      </c>
      <c r="AT879" t="b">
        <f>OR(AND(IF(metadata!R879="",FALSE,TRUE),OR(EXACT(metadata!R879,"not applicable"),EXACT(metadata!R879,"missing: not collected"),EXACT(metadata!R879,"missing: not provided"),EXACT(metadata!R879,"missing: restricted access"))),AND(IF(metadata!R879="",FALSE,ISNUMBER(VALUE(metadata!R879))),metadata!R879&gt;0))</f>
        <v>0</v>
      </c>
      <c r="AU879" t="b">
        <f>AND(IF(metadata!S879="",FALSE,TRUE),EXACT(metadata!S879,"missing: not provided"))</f>
        <v>0</v>
      </c>
    </row>
    <row r="880" spans="1:47" x14ac:dyDescent="0.2">
      <c r="A880" s="5" t="str">
        <f ca="1">IF(B880=" "," ",HYPERLINK(CONCATENATE("#metadata!",ADDRESS(INDEX($Y$2:$Y$1001,MATCH(ROWS($W$2:W880),$W$2:$W$1001,0),0),1)),INDEX($AB$2:$AB$1001,MATCH(ROWS($W$2:W880),$W$2:$W$1001,0),0)))</f>
        <v xml:space="preserve"> </v>
      </c>
      <c r="B880" s="4" t="str">
        <f ca="1">IF(OR(INDEX($X$2:$X$1001,MATCH(ROWS($W$2:W880),$W$2:$W$1001,0),1)&gt;=100000,INDEX($AD$1005:$AU$1005,1,MATCH(COLUMNS($AD$1006:AD1006),$AD$1006:$AU$1006,0))&gt;=100000), " ",IF(INDEX($AD$2:$AU$1001,MATCH(ROWS($W$2:W880),$W$2:$W$1001,0),MATCH(COLUMNS($AD$1006:AD1006),$AD$1006:$AU$1006,0)), HYPERLINK("#",""), HYPERLINK(CONCATENATE("#metadata!", ADDRESS(INDEX($Y$2:$Y$1001,MATCH(ROWS($W$2:W880),$W$2:$W$1001,0),0), INDEX($AD$1004:$AU$1004,1,MATCH(COLUMNS($AD$1006:AD1006),$AD$1006:$AU$1006,0)))),"Fix")))</f>
        <v xml:space="preserve"> </v>
      </c>
      <c r="C880" s="4" t="str">
        <f ca="1">IF(OR(INDEX($X$2:$X$1001,MATCH(ROWS($W$2:W880),$W$2:$W$1001,0),1)&gt;=100000,INDEX($AD$1005:$AU$1005,1,MATCH(COLUMNS($AD$1006:AE1006),$AD$1006:$AU$1006,0))&gt;=100000), " ",IF(INDEX($AD$2:$AU$1001,MATCH(ROWS($W$2:W880),$W$2:$W$1001,0),MATCH(COLUMNS($AD$1006:AE1006),$AD$1006:$AU$1006,0)), HYPERLINK("#",""), HYPERLINK(CONCATENATE("#metadata!", ADDRESS(INDEX($Y$2:$Y$1001,MATCH(ROWS($W$2:W880),$W$2:$W$1001,0),0), INDEX($AD$1004:$AU$1004,1,MATCH(COLUMNS($AD$1006:AE1006),$AD$1006:$AU$1006,0)))),"Fix")))</f>
        <v xml:space="preserve"> </v>
      </c>
      <c r="D880" s="4" t="str">
        <f ca="1">IF(OR(INDEX($X$2:$X$1001,MATCH(ROWS($W$2:W880),$W$2:$W$1001,0),1)&gt;=100000,INDEX($AD$1005:$AU$1005,1,MATCH(COLUMNS($AD$1006:AF1006),$AD$1006:$AU$1006,0))&gt;=100000), " ",IF(INDEX($AD$2:$AU$1001,MATCH(ROWS($W$2:W880),$W$2:$W$1001,0),MATCH(COLUMNS($AD$1006:AF1006),$AD$1006:$AU$1006,0)), HYPERLINK("#",""), HYPERLINK(CONCATENATE("#metadata!", ADDRESS(INDEX($Y$2:$Y$1001,MATCH(ROWS($W$2:W880),$W$2:$W$1001,0),0), INDEX($AD$1004:$AU$1004,1,MATCH(COLUMNS($AD$1006:AF1006),$AD$1006:$AU$1006,0)))),"Fix")))</f>
        <v xml:space="preserve"> </v>
      </c>
      <c r="E880" s="4" t="str">
        <f ca="1">IF(OR(INDEX($X$2:$X$1001,MATCH(ROWS($W$2:W880),$W$2:$W$1001,0),1)&gt;=100000,INDEX($AD$1005:$AU$1005,1,MATCH(COLUMNS($AD$1006:AG1006),$AD$1006:$AU$1006,0))&gt;=100000), " ",IF(INDEX($AD$2:$AU$1001,MATCH(ROWS($W$2:W880),$W$2:$W$1001,0),MATCH(COLUMNS($AD$1006:AG1006),$AD$1006:$AU$1006,0)), HYPERLINK("#",""), HYPERLINK(CONCATENATE("#metadata!", ADDRESS(INDEX($Y$2:$Y$1001,MATCH(ROWS($W$2:W880),$W$2:$W$1001,0),0), INDEX($AD$1004:$AU$1004,1,MATCH(COLUMNS($AD$1006:AG1006),$AD$1006:$AU$1006,0)))),"Fix")))</f>
        <v xml:space="preserve"> </v>
      </c>
      <c r="F880" s="4" t="str">
        <f ca="1">IF(OR(INDEX($X$2:$X$1001,MATCH(ROWS($W$2:W880),$W$2:$W$1001,0),1)&gt;=100000,INDEX($AD$1005:$AU$1005,1,MATCH(COLUMNS($AD$1006:AH1006),$AD$1006:$AU$1006,0))&gt;=100000), " ",IF(INDEX($AD$2:$AU$1001,MATCH(ROWS($W$2:W880),$W$2:$W$1001,0),MATCH(COLUMNS($AD$1006:AH1006),$AD$1006:$AU$1006,0)), HYPERLINK("#",""), HYPERLINK(CONCATENATE("#metadata!", ADDRESS(INDEX($Y$2:$Y$1001,MATCH(ROWS($W$2:W880),$W$2:$W$1001,0),0), INDEX($AD$1004:$AU$1004,1,MATCH(COLUMNS($AD$1006:AH1006),$AD$1006:$AU$1006,0)))),"Fix")))</f>
        <v xml:space="preserve"> </v>
      </c>
      <c r="G880" s="4" t="str">
        <f ca="1">IF(OR(INDEX($X$2:$X$1001,MATCH(ROWS($W$2:W880),$W$2:$W$1001,0),1)&gt;=100000,INDEX($AD$1005:$AU$1005,1,MATCH(COLUMNS($AD$1006:AI1006),$AD$1006:$AU$1006,0))&gt;=100000), " ",IF(INDEX($AD$2:$AU$1001,MATCH(ROWS($W$2:W880),$W$2:$W$1001,0),MATCH(COLUMNS($AD$1006:AI1006),$AD$1006:$AU$1006,0)), HYPERLINK("#",""), HYPERLINK(CONCATENATE("#metadata!", ADDRESS(INDEX($Y$2:$Y$1001,MATCH(ROWS($W$2:W880),$W$2:$W$1001,0),0), INDEX($AD$1004:$AU$1004,1,MATCH(COLUMNS($AD$1006:AI1006),$AD$1006:$AU$1006,0)))),"Fix")))</f>
        <v xml:space="preserve"> </v>
      </c>
      <c r="H880" s="4" t="str">
        <f ca="1">IF(OR(INDEX($X$2:$X$1001,MATCH(ROWS($W$2:W880),$W$2:$W$1001,0),1)&gt;=100000,INDEX($AD$1005:$AU$1005,1,MATCH(COLUMNS($AD$1006:AJ1006),$AD$1006:$AU$1006,0))&gt;=100000), " ",IF(INDEX($AD$2:$AU$1001,MATCH(ROWS($W$2:W880),$W$2:$W$1001,0),MATCH(COLUMNS($AD$1006:AJ1006),$AD$1006:$AU$1006,0)), HYPERLINK("#",""), HYPERLINK(CONCATENATE("#metadata!", ADDRESS(INDEX($Y$2:$Y$1001,MATCH(ROWS($W$2:W880),$W$2:$W$1001,0),0), INDEX($AD$1004:$AU$1004,1,MATCH(COLUMNS($AD$1006:AJ1006),$AD$1006:$AU$1006,0)))),"Fix")))</f>
        <v xml:space="preserve"> </v>
      </c>
      <c r="I880" s="4" t="str">
        <f ca="1">IF(OR(INDEX($X$2:$X$1001,MATCH(ROWS($W$2:W880),$W$2:$W$1001,0),1)&gt;=100000,INDEX($AD$1005:$AU$1005,1,MATCH(COLUMNS($AD$1006:AK1006),$AD$1006:$AU$1006,0))&gt;=100000), " ",IF(INDEX($AD$2:$AU$1001,MATCH(ROWS($W$2:W880),$W$2:$W$1001,0),MATCH(COLUMNS($AD$1006:AK1006),$AD$1006:$AU$1006,0)), HYPERLINK("#",""), HYPERLINK(CONCATENATE("#metadata!", ADDRESS(INDEX($Y$2:$Y$1001,MATCH(ROWS($W$2:W880),$W$2:$W$1001,0),0), INDEX($AD$1004:$AU$1004,1,MATCH(COLUMNS($AD$1006:AK1006),$AD$1006:$AU$1006,0)))),"Fix")))</f>
        <v xml:space="preserve"> </v>
      </c>
      <c r="J880" s="4" t="str">
        <f ca="1">IF(OR(INDEX($X$2:$X$1001,MATCH(ROWS($W$2:W880),$W$2:$W$1001,0),1)&gt;=100000,INDEX($AD$1005:$AU$1005,1,MATCH(COLUMNS($AD$1006:AL1006),$AD$1006:$AU$1006,0))&gt;=100000), " ",IF(INDEX($AD$2:$AU$1001,MATCH(ROWS($W$2:W880),$W$2:$W$1001,0),MATCH(COLUMNS($AD$1006:AL1006),$AD$1006:$AU$1006,0)), HYPERLINK("#",""), HYPERLINK(CONCATENATE("#metadata!", ADDRESS(INDEX($Y$2:$Y$1001,MATCH(ROWS($W$2:W880),$W$2:$W$1001,0),0), INDEX($AD$1004:$AU$1004,1,MATCH(COLUMNS($AD$1006:AL1006),$AD$1006:$AU$1006,0)))),"Fix")))</f>
        <v xml:space="preserve"> </v>
      </c>
      <c r="K880" s="4" t="str">
        <f ca="1">IF(OR(INDEX($X$2:$X$1001,MATCH(ROWS($W$2:W880),$W$2:$W$1001,0),1)&gt;=100000,INDEX($AD$1005:$AU$1005,1,MATCH(COLUMNS($AD$1006:AM1006),$AD$1006:$AU$1006,0))&gt;=100000), " ",IF(INDEX($AD$2:$AU$1001,MATCH(ROWS($W$2:W880),$W$2:$W$1001,0),MATCH(COLUMNS($AD$1006:AM1006),$AD$1006:$AU$1006,0)), HYPERLINK("#",""), HYPERLINK(CONCATENATE("#metadata!", ADDRESS(INDEX($Y$2:$Y$1001,MATCH(ROWS($W$2:W880),$W$2:$W$1001,0),0), INDEX($AD$1004:$AU$1004,1,MATCH(COLUMNS($AD$1006:AM1006),$AD$1006:$AU$1006,0)))),"Fix")))</f>
        <v xml:space="preserve"> </v>
      </c>
      <c r="L880" s="4" t="str">
        <f ca="1">IF(OR(INDEX($X$2:$X$1001,MATCH(ROWS($W$2:W880),$W$2:$W$1001,0),1)&gt;=100000,INDEX($AD$1005:$AU$1005,1,MATCH(COLUMNS($AD$1006:AN1006),$AD$1006:$AU$1006,0))&gt;=100000), " ",IF(INDEX($AD$2:$AU$1001,MATCH(ROWS($W$2:W880),$W$2:$W$1001,0),MATCH(COLUMNS($AD$1006:AN1006),$AD$1006:$AU$1006,0)), HYPERLINK("#",""), HYPERLINK(CONCATENATE("#metadata!", ADDRESS(INDEX($Y$2:$Y$1001,MATCH(ROWS($W$2:W880),$W$2:$W$1001,0),0), INDEX($AD$1004:$AU$1004,1,MATCH(COLUMNS($AD$1006:AN1006),$AD$1006:$AU$1006,0)))),"Fix")))</f>
        <v xml:space="preserve"> </v>
      </c>
      <c r="M880" s="4" t="str">
        <f ca="1">IF(OR(INDEX($X$2:$X$1001,MATCH(ROWS($W$2:W880),$W$2:$W$1001,0),1)&gt;=100000,INDEX($AD$1005:$AU$1005,1,MATCH(COLUMNS($AD$1006:AO1006),$AD$1006:$AU$1006,0))&gt;=100000), " ",IF(INDEX($AD$2:$AU$1001,MATCH(ROWS($W$2:W880),$W$2:$W$1001,0),MATCH(COLUMNS($AD$1006:AO1006),$AD$1006:$AU$1006,0)), HYPERLINK("#",""), HYPERLINK(CONCATENATE("#metadata!", ADDRESS(INDEX($Y$2:$Y$1001,MATCH(ROWS($W$2:W880),$W$2:$W$1001,0),0), INDEX($AD$1004:$AU$1004,1,MATCH(COLUMNS($AD$1006:AO1006),$AD$1006:$AU$1006,0)))),"Fix")))</f>
        <v xml:space="preserve"> </v>
      </c>
      <c r="N880" s="4" t="str">
        <f ca="1">IF(OR(INDEX($X$2:$X$1001,MATCH(ROWS($W$2:W880),$W$2:$W$1001,0),1)&gt;=100000,INDEX($AD$1005:$AU$1005,1,MATCH(COLUMNS($AD$1006:AP1006),$AD$1006:$AU$1006,0))&gt;=100000), " ",IF(INDEX($AD$2:$AU$1001,MATCH(ROWS($W$2:W880),$W$2:$W$1001,0),MATCH(COLUMNS($AD$1006:AP1006),$AD$1006:$AU$1006,0)), HYPERLINK("#",""), HYPERLINK(CONCATENATE("#metadata!", ADDRESS(INDEX($Y$2:$Y$1001,MATCH(ROWS($W$2:W880),$W$2:$W$1001,0),0), INDEX($AD$1004:$AU$1004,1,MATCH(COLUMNS($AD$1006:AP1006),$AD$1006:$AU$1006,0)))),"Fix")))</f>
        <v xml:space="preserve"> </v>
      </c>
      <c r="O880" s="4" t="str">
        <f ca="1">IF(OR(INDEX($X$2:$X$1001,MATCH(ROWS($W$2:W880),$W$2:$W$1001,0),1)&gt;=100000,INDEX($AD$1005:$AU$1005,1,MATCH(COLUMNS($AD$1006:AQ1006),$AD$1006:$AU$1006,0))&gt;=100000), " ",IF(INDEX($AD$2:$AU$1001,MATCH(ROWS($W$2:W880),$W$2:$W$1001,0),MATCH(COLUMNS($AD$1006:AQ1006),$AD$1006:$AU$1006,0)), HYPERLINK("#",""), HYPERLINK(CONCATENATE("#metadata!", ADDRESS(INDEX($Y$2:$Y$1001,MATCH(ROWS($W$2:W880),$W$2:$W$1001,0),0), INDEX($AD$1004:$AU$1004,1,MATCH(COLUMNS($AD$1006:AQ1006),$AD$1006:$AU$1006,0)))),"Fix")))</f>
        <v xml:space="preserve"> </v>
      </c>
      <c r="P880" s="4" t="str">
        <f ca="1">IF(OR(INDEX($X$2:$X$1001,MATCH(ROWS($W$2:W880),$W$2:$W$1001,0),1)&gt;=100000,INDEX($AD$1005:$AU$1005,1,MATCH(COLUMNS($AD$1006:AR1006),$AD$1006:$AU$1006,0))&gt;=100000), " ",IF(INDEX($AD$2:$AU$1001,MATCH(ROWS($W$2:W880),$W$2:$W$1001,0),MATCH(COLUMNS($AD$1006:AR1006),$AD$1006:$AU$1006,0)), HYPERLINK("#",""), HYPERLINK(CONCATENATE("#metadata!", ADDRESS(INDEX($Y$2:$Y$1001,MATCH(ROWS($W$2:W880),$W$2:$W$1001,0),0), INDEX($AD$1004:$AU$1004,1,MATCH(COLUMNS($AD$1006:AR1006),$AD$1006:$AU$1006,0)))),"Fix")))</f>
        <v xml:space="preserve"> </v>
      </c>
      <c r="Q880" s="4" t="str">
        <f ca="1">IF(OR(INDEX($X$2:$X$1001,MATCH(ROWS($W$2:W880),$W$2:$W$1001,0),1)&gt;=100000,INDEX($AD$1005:$AU$1005,1,MATCH(COLUMNS($AD$1006:AS1006),$AD$1006:$AU$1006,0))&gt;=100000), " ",IF(INDEX($AD$2:$AU$1001,MATCH(ROWS($W$2:W880),$W$2:$W$1001,0),MATCH(COLUMNS($AD$1006:AS1006),$AD$1006:$AU$1006,0)), HYPERLINK("#",""), HYPERLINK(CONCATENATE("#metadata!", ADDRESS(INDEX($Y$2:$Y$1001,MATCH(ROWS($W$2:W880),$W$2:$W$1001,0),0), INDEX($AD$1004:$AU$1004,1,MATCH(COLUMNS($AD$1006:AS1006),$AD$1006:$AU$1006,0)))),"Fix")))</f>
        <v xml:space="preserve"> </v>
      </c>
      <c r="R880" s="4" t="str">
        <f ca="1">IF(OR(INDEX($X$2:$X$1001,MATCH(ROWS($W$2:W880),$W$2:$W$1001,0),1)&gt;=100000,INDEX($AD$1005:$AU$1005,1,MATCH(COLUMNS($AD$1006:AT1006),$AD$1006:$AU$1006,0))&gt;=100000), " ",IF(INDEX($AD$2:$AU$1001,MATCH(ROWS($W$2:W880),$W$2:$W$1001,0),MATCH(COLUMNS($AD$1006:AT1006),$AD$1006:$AU$1006,0)), HYPERLINK("#",""), HYPERLINK(CONCATENATE("#metadata!", ADDRESS(INDEX($Y$2:$Y$1001,MATCH(ROWS($W$2:W880),$W$2:$W$1001,0),0), INDEX($AD$1004:$AU$1004,1,MATCH(COLUMNS($AD$1006:AT1006),$AD$1006:$AU$1006,0)))),"Fix")))</f>
        <v xml:space="preserve"> </v>
      </c>
      <c r="S880" s="4" t="str">
        <f ca="1">IF(OR(INDEX($X$2:$X$1001,MATCH(ROWS($W$2:W880),$W$2:$W$1001,0),1)&gt;=100000,INDEX($AD$1005:$AU$1005,1,MATCH(COLUMNS($AD$1006:AU1006),$AD$1006:$AU$1006,0))&gt;=100000), " ",IF(INDEX($AD$2:$AU$1001,MATCH(ROWS($W$2:W880),$W$2:$W$1001,0),MATCH(COLUMNS($AD$1006:AU1006),$AD$1006:$AU$1006,0)), HYPERLINK("#",""), HYPERLINK(CONCATENATE("#metadata!", ADDRESS(INDEX($Y$2:$Y$1001,MATCH(ROWS($W$2:W880),$W$2:$W$1001,0),0), INDEX($AD$1004:$AU$1004,1,MATCH(COLUMNS($AD$1006:AU1006),$AD$1006:$AU$1006,0)))),"Fix")))</f>
        <v xml:space="preserve"> </v>
      </c>
      <c r="W880">
        <v>879</v>
      </c>
      <c r="X880">
        <v>100880</v>
      </c>
      <c r="Y880">
        <v>880</v>
      </c>
      <c r="Z880" t="b">
        <f t="shared" si="13"/>
        <v>1</v>
      </c>
      <c r="AA880" t="b">
        <f>COUNTBLANK(metadata!B880:S880)=COLUMNS(metadata!B880:S880)</f>
        <v>1</v>
      </c>
      <c r="AB880" t="str">
        <v/>
      </c>
      <c r="AD880" t="b">
        <f ca="1">AND(IF(metadata!B880="",FALSE,TRUE),COUNTIF(metadata!B:B, metadata!B880) = 1,NOT(ISERROR(SUMPRODUCT(SEARCH(MID(metadata!B880,ROW(INDIRECT("1:"&amp;LEN(metadata!B880))), 1),"0123456789abcdefghijklmnopqrstuvwxyzABCDEFGHIJKLMNOPQRSTUVWXYZ.")))))</f>
        <v>0</v>
      </c>
      <c r="AE880" t="b">
        <f>OR(AND(IF(metadata!C880="",FALSE,TRUE),OR(EXACT(metadata!C880,"not applicable"),EXACT(metadata!C880,"missing: not collected"),EXACT(metadata!C880,"missing: not provided"),EXACT(metadata!C880,"missing: restricted access"))),AND(IF(metadata!C880="",FALSE,ISNUMBER(VALUE(metadata!C880))),metadata!C880&gt;0))</f>
        <v>0</v>
      </c>
      <c r="AF880" t="b">
        <f>AND(IF(metadata!D880="",FALSE,TRUE),EXACT(metadata!D880,"missing: not provided"))</f>
        <v>0</v>
      </c>
      <c r="AG880" t="b">
        <f>AND(IF(metadata!E880="",FALSE,TRUE),EXACT(metadata!E880,"Host-associated"))</f>
        <v>0</v>
      </c>
      <c r="AH880" t="b">
        <f>AND(IF(metadata!F880="",FALSE,TRUE),OR(EXACT(metadata!F880,"Animal"),EXACT(metadata!F880,"Fungus"),EXACT(metadata!F880,"Plant")))</f>
        <v>0</v>
      </c>
      <c r="AI880" t="b">
        <f>AND(IF(metadata!G880="",FALSE,TRUE),OR(EXACT(metadata!G880,"Plant secretion"),EXACT(metadata!G880,"Plant rhizosphere"),EXACT(metadata!G880,"Plant surface"),EXACT(metadata!G880,"Plant corpus"),EXACT(metadata!G880,"Fungus surface"),EXACT(metadata!G880,"Fungus corpus"),EXACT(metadata!G880,"Animal surface"),EXACT(metadata!G880,"Animal proximal gut"),EXACT(metadata!G880,"Animal corpus"),EXACT(metadata!G880,"Animal distal gut"),EXACT(metadata!G880,"Animal secretion")))</f>
        <v>0</v>
      </c>
      <c r="AJ880" t="b">
        <f>OR(AND(IF(metadata!H880="",FALSE,TRUE),OR(EXACT(metadata!H880,"missing: not collected"),EXACT(metadata!H880,"missing: not provided"),EXACT(metadata!H880,"missing: restricted access"))),AND(IF(metadata!H880="",FALSE,TRUE),OR(EXACT(metadata!H880,"organism-associated habitat"),EXACT(metadata!H880,"plant-associated habitat"),EXACT(metadata!H880,"animal-associated habitat"),EXACT(metadata!H880,"insecta-associated habitat"),EXACT(metadata!H880,"mammalia-associated habitat"),EXACT(metadata!H880,"human-associated habitat"),EXACT(metadata!H880,"livestock-associated habitat"))))</f>
        <v>0</v>
      </c>
      <c r="AK880" t="b">
        <f>AND(IF(metadata!I880="",FALSE,TRUE),EXACT(metadata!I880,"host-associated"))</f>
        <v>0</v>
      </c>
      <c r="AL880" t="b">
        <f>OR(AND(IF(metadata!J880="",FALSE,TRUE),OR(EXACT(metadata!J880,"not applicable"),EXACT(metadata!J880,"missing: not collected"),EXACT(metadata!J880,"missing: not provided"),EXACT(metadata!J880,"missing: restricted access"))),AND(IF(metadata!J880="",FALSE,ISNUMBER(VALUE(metadata!J880))),metadata!J880&gt;0))</f>
        <v>0</v>
      </c>
      <c r="AM880" t="b">
        <f>AND(IF(metadata!K880="",FALSE,TRUE),EXACT(metadata!K880,"missing: not provided"))</f>
        <v>0</v>
      </c>
      <c r="AN880" t="b">
        <f>IF(metadata!L880="",FALSE,TRUE)</f>
        <v>0</v>
      </c>
      <c r="AO880" t="b">
        <f>IF(metadata!M880="",FALSE,TRUE)</f>
        <v>0</v>
      </c>
      <c r="AP880" t="b">
        <f>OR(AND(IF(metadata!N880="",FALSE,TRUE),OR(EXACT(metadata!N880,"not applicable"),EXACT(metadata!N880,"missing: not collected"),EXACT(metadata!N880,"missing: not provided"))),AND(IF(metadata!N880="",FALSE,IF(ISERROR(INT(metadata!N880)),FALSE,INT(metadata!N880)=metadata!N880)),metadata!N880&gt;0))</f>
        <v>0</v>
      </c>
      <c r="AQ880" t="b">
        <f>AND(IF(metadata!O880="",FALSE,TRUE),EXACT(metadata!O880,"Not applicable"))</f>
        <v>0</v>
      </c>
      <c r="AR880" t="b">
        <f>OR(AND(IF(metadata!P880="",FALSE,TRUE),OR(EXACT(metadata!P880,"not applicable"),EXACT(metadata!P880,"missing: not collected"),EXACT(metadata!P880,"missing: not provided"),EXACT(metadata!P880,"missing: restricted access"))),IF(metadata!P880="",FALSE,IF(ISERROR(INT(metadata!P880)),FALSE,INT(metadata!P880)=metadata!P880)))</f>
        <v>0</v>
      </c>
      <c r="AS880" t="b">
        <f>AND(IF(metadata!Q880="",FALSE,TRUE),EXACT(metadata!Q880,"Not applicable"))</f>
        <v>0</v>
      </c>
      <c r="AT880" t="b">
        <f>OR(AND(IF(metadata!R880="",FALSE,TRUE),OR(EXACT(metadata!R880,"not applicable"),EXACT(metadata!R880,"missing: not collected"),EXACT(metadata!R880,"missing: not provided"),EXACT(metadata!R880,"missing: restricted access"))),AND(IF(metadata!R880="",FALSE,ISNUMBER(VALUE(metadata!R880))),metadata!R880&gt;0))</f>
        <v>0</v>
      </c>
      <c r="AU880" t="b">
        <f>AND(IF(metadata!S880="",FALSE,TRUE),EXACT(metadata!S880,"missing: not provided"))</f>
        <v>0</v>
      </c>
    </row>
    <row r="881" spans="1:47" x14ac:dyDescent="0.2">
      <c r="A881" s="5" t="str">
        <f ca="1">IF(B881=" "," ",HYPERLINK(CONCATENATE("#metadata!",ADDRESS(INDEX($Y$2:$Y$1001,MATCH(ROWS($W$2:W881),$W$2:$W$1001,0),0),1)),INDEX($AB$2:$AB$1001,MATCH(ROWS($W$2:W881),$W$2:$W$1001,0),0)))</f>
        <v xml:space="preserve"> </v>
      </c>
      <c r="B881" s="4" t="str">
        <f ca="1">IF(OR(INDEX($X$2:$X$1001,MATCH(ROWS($W$2:W881),$W$2:$W$1001,0),1)&gt;=100000,INDEX($AD$1005:$AU$1005,1,MATCH(COLUMNS($AD$1006:AD1006),$AD$1006:$AU$1006,0))&gt;=100000), " ",IF(INDEX($AD$2:$AU$1001,MATCH(ROWS($W$2:W881),$W$2:$W$1001,0),MATCH(COLUMNS($AD$1006:AD1006),$AD$1006:$AU$1006,0)), HYPERLINK("#",""), HYPERLINK(CONCATENATE("#metadata!", ADDRESS(INDEX($Y$2:$Y$1001,MATCH(ROWS($W$2:W881),$W$2:$W$1001,0),0), INDEX($AD$1004:$AU$1004,1,MATCH(COLUMNS($AD$1006:AD1006),$AD$1006:$AU$1006,0)))),"Fix")))</f>
        <v xml:space="preserve"> </v>
      </c>
      <c r="C881" s="4" t="str">
        <f ca="1">IF(OR(INDEX($X$2:$X$1001,MATCH(ROWS($W$2:W881),$W$2:$W$1001,0),1)&gt;=100000,INDEX($AD$1005:$AU$1005,1,MATCH(COLUMNS($AD$1006:AE1006),$AD$1006:$AU$1006,0))&gt;=100000), " ",IF(INDEX($AD$2:$AU$1001,MATCH(ROWS($W$2:W881),$W$2:$W$1001,0),MATCH(COLUMNS($AD$1006:AE1006),$AD$1006:$AU$1006,0)), HYPERLINK("#",""), HYPERLINK(CONCATENATE("#metadata!", ADDRESS(INDEX($Y$2:$Y$1001,MATCH(ROWS($W$2:W881),$W$2:$W$1001,0),0), INDEX($AD$1004:$AU$1004,1,MATCH(COLUMNS($AD$1006:AE1006),$AD$1006:$AU$1006,0)))),"Fix")))</f>
        <v xml:space="preserve"> </v>
      </c>
      <c r="D881" s="4" t="str">
        <f ca="1">IF(OR(INDEX($X$2:$X$1001,MATCH(ROWS($W$2:W881),$W$2:$W$1001,0),1)&gt;=100000,INDEX($AD$1005:$AU$1005,1,MATCH(COLUMNS($AD$1006:AF1006),$AD$1006:$AU$1006,0))&gt;=100000), " ",IF(INDEX($AD$2:$AU$1001,MATCH(ROWS($W$2:W881),$W$2:$W$1001,0),MATCH(COLUMNS($AD$1006:AF1006),$AD$1006:$AU$1006,0)), HYPERLINK("#",""), HYPERLINK(CONCATENATE("#metadata!", ADDRESS(INDEX($Y$2:$Y$1001,MATCH(ROWS($W$2:W881),$W$2:$W$1001,0),0), INDEX($AD$1004:$AU$1004,1,MATCH(COLUMNS($AD$1006:AF1006),$AD$1006:$AU$1006,0)))),"Fix")))</f>
        <v xml:space="preserve"> </v>
      </c>
      <c r="E881" s="4" t="str">
        <f ca="1">IF(OR(INDEX($X$2:$X$1001,MATCH(ROWS($W$2:W881),$W$2:$W$1001,0),1)&gt;=100000,INDEX($AD$1005:$AU$1005,1,MATCH(COLUMNS($AD$1006:AG1006),$AD$1006:$AU$1006,0))&gt;=100000), " ",IF(INDEX($AD$2:$AU$1001,MATCH(ROWS($W$2:W881),$W$2:$W$1001,0),MATCH(COLUMNS($AD$1006:AG1006),$AD$1006:$AU$1006,0)), HYPERLINK("#",""), HYPERLINK(CONCATENATE("#metadata!", ADDRESS(INDEX($Y$2:$Y$1001,MATCH(ROWS($W$2:W881),$W$2:$W$1001,0),0), INDEX($AD$1004:$AU$1004,1,MATCH(COLUMNS($AD$1006:AG1006),$AD$1006:$AU$1006,0)))),"Fix")))</f>
        <v xml:space="preserve"> </v>
      </c>
      <c r="F881" s="4" t="str">
        <f ca="1">IF(OR(INDEX($X$2:$X$1001,MATCH(ROWS($W$2:W881),$W$2:$W$1001,0),1)&gt;=100000,INDEX($AD$1005:$AU$1005,1,MATCH(COLUMNS($AD$1006:AH1006),$AD$1006:$AU$1006,0))&gt;=100000), " ",IF(INDEX($AD$2:$AU$1001,MATCH(ROWS($W$2:W881),$W$2:$W$1001,0),MATCH(COLUMNS($AD$1006:AH1006),$AD$1006:$AU$1006,0)), HYPERLINK("#",""), HYPERLINK(CONCATENATE("#metadata!", ADDRESS(INDEX($Y$2:$Y$1001,MATCH(ROWS($W$2:W881),$W$2:$W$1001,0),0), INDEX($AD$1004:$AU$1004,1,MATCH(COLUMNS($AD$1006:AH1006),$AD$1006:$AU$1006,0)))),"Fix")))</f>
        <v xml:space="preserve"> </v>
      </c>
      <c r="G881" s="4" t="str">
        <f ca="1">IF(OR(INDEX($X$2:$X$1001,MATCH(ROWS($W$2:W881),$W$2:$W$1001,0),1)&gt;=100000,INDEX($AD$1005:$AU$1005,1,MATCH(COLUMNS($AD$1006:AI1006),$AD$1006:$AU$1006,0))&gt;=100000), " ",IF(INDEX($AD$2:$AU$1001,MATCH(ROWS($W$2:W881),$W$2:$W$1001,0),MATCH(COLUMNS($AD$1006:AI1006),$AD$1006:$AU$1006,0)), HYPERLINK("#",""), HYPERLINK(CONCATENATE("#metadata!", ADDRESS(INDEX($Y$2:$Y$1001,MATCH(ROWS($W$2:W881),$W$2:$W$1001,0),0), INDEX($AD$1004:$AU$1004,1,MATCH(COLUMNS($AD$1006:AI1006),$AD$1006:$AU$1006,0)))),"Fix")))</f>
        <v xml:space="preserve"> </v>
      </c>
      <c r="H881" s="4" t="str">
        <f ca="1">IF(OR(INDEX($X$2:$X$1001,MATCH(ROWS($W$2:W881),$W$2:$W$1001,0),1)&gt;=100000,INDEX($AD$1005:$AU$1005,1,MATCH(COLUMNS($AD$1006:AJ1006),$AD$1006:$AU$1006,0))&gt;=100000), " ",IF(INDEX($AD$2:$AU$1001,MATCH(ROWS($W$2:W881),$W$2:$W$1001,0),MATCH(COLUMNS($AD$1006:AJ1006),$AD$1006:$AU$1006,0)), HYPERLINK("#",""), HYPERLINK(CONCATENATE("#metadata!", ADDRESS(INDEX($Y$2:$Y$1001,MATCH(ROWS($W$2:W881),$W$2:$W$1001,0),0), INDEX($AD$1004:$AU$1004,1,MATCH(COLUMNS($AD$1006:AJ1006),$AD$1006:$AU$1006,0)))),"Fix")))</f>
        <v xml:space="preserve"> </v>
      </c>
      <c r="I881" s="4" t="str">
        <f ca="1">IF(OR(INDEX($X$2:$X$1001,MATCH(ROWS($W$2:W881),$W$2:$W$1001,0),1)&gt;=100000,INDEX($AD$1005:$AU$1005,1,MATCH(COLUMNS($AD$1006:AK1006),$AD$1006:$AU$1006,0))&gt;=100000), " ",IF(INDEX($AD$2:$AU$1001,MATCH(ROWS($W$2:W881),$W$2:$W$1001,0),MATCH(COLUMNS($AD$1006:AK1006),$AD$1006:$AU$1006,0)), HYPERLINK("#",""), HYPERLINK(CONCATENATE("#metadata!", ADDRESS(INDEX($Y$2:$Y$1001,MATCH(ROWS($W$2:W881),$W$2:$W$1001,0),0), INDEX($AD$1004:$AU$1004,1,MATCH(COLUMNS($AD$1006:AK1006),$AD$1006:$AU$1006,0)))),"Fix")))</f>
        <v xml:space="preserve"> </v>
      </c>
      <c r="J881" s="4" t="str">
        <f ca="1">IF(OR(INDEX($X$2:$X$1001,MATCH(ROWS($W$2:W881),$W$2:$W$1001,0),1)&gt;=100000,INDEX($AD$1005:$AU$1005,1,MATCH(COLUMNS($AD$1006:AL1006),$AD$1006:$AU$1006,0))&gt;=100000), " ",IF(INDEX($AD$2:$AU$1001,MATCH(ROWS($W$2:W881),$W$2:$W$1001,0),MATCH(COLUMNS($AD$1006:AL1006),$AD$1006:$AU$1006,0)), HYPERLINK("#",""), HYPERLINK(CONCATENATE("#metadata!", ADDRESS(INDEX($Y$2:$Y$1001,MATCH(ROWS($W$2:W881),$W$2:$W$1001,0),0), INDEX($AD$1004:$AU$1004,1,MATCH(COLUMNS($AD$1006:AL1006),$AD$1006:$AU$1006,0)))),"Fix")))</f>
        <v xml:space="preserve"> </v>
      </c>
      <c r="K881" s="4" t="str">
        <f ca="1">IF(OR(INDEX($X$2:$X$1001,MATCH(ROWS($W$2:W881),$W$2:$W$1001,0),1)&gt;=100000,INDEX($AD$1005:$AU$1005,1,MATCH(COLUMNS($AD$1006:AM1006),$AD$1006:$AU$1006,0))&gt;=100000), " ",IF(INDEX($AD$2:$AU$1001,MATCH(ROWS($W$2:W881),$W$2:$W$1001,0),MATCH(COLUMNS($AD$1006:AM1006),$AD$1006:$AU$1006,0)), HYPERLINK("#",""), HYPERLINK(CONCATENATE("#metadata!", ADDRESS(INDEX($Y$2:$Y$1001,MATCH(ROWS($W$2:W881),$W$2:$W$1001,0),0), INDEX($AD$1004:$AU$1004,1,MATCH(COLUMNS($AD$1006:AM1006),$AD$1006:$AU$1006,0)))),"Fix")))</f>
        <v xml:space="preserve"> </v>
      </c>
      <c r="L881" s="4" t="str">
        <f ca="1">IF(OR(INDEX($X$2:$X$1001,MATCH(ROWS($W$2:W881),$W$2:$W$1001,0),1)&gt;=100000,INDEX($AD$1005:$AU$1005,1,MATCH(COLUMNS($AD$1006:AN1006),$AD$1006:$AU$1006,0))&gt;=100000), " ",IF(INDEX($AD$2:$AU$1001,MATCH(ROWS($W$2:W881),$W$2:$W$1001,0),MATCH(COLUMNS($AD$1006:AN1006),$AD$1006:$AU$1006,0)), HYPERLINK("#",""), HYPERLINK(CONCATENATE("#metadata!", ADDRESS(INDEX($Y$2:$Y$1001,MATCH(ROWS($W$2:W881),$W$2:$W$1001,0),0), INDEX($AD$1004:$AU$1004,1,MATCH(COLUMNS($AD$1006:AN1006),$AD$1006:$AU$1006,0)))),"Fix")))</f>
        <v xml:space="preserve"> </v>
      </c>
      <c r="M881" s="4" t="str">
        <f ca="1">IF(OR(INDEX($X$2:$X$1001,MATCH(ROWS($W$2:W881),$W$2:$W$1001,0),1)&gt;=100000,INDEX($AD$1005:$AU$1005,1,MATCH(COLUMNS($AD$1006:AO1006),$AD$1006:$AU$1006,0))&gt;=100000), " ",IF(INDEX($AD$2:$AU$1001,MATCH(ROWS($W$2:W881),$W$2:$W$1001,0),MATCH(COLUMNS($AD$1006:AO1006),$AD$1006:$AU$1006,0)), HYPERLINK("#",""), HYPERLINK(CONCATENATE("#metadata!", ADDRESS(INDEX($Y$2:$Y$1001,MATCH(ROWS($W$2:W881),$W$2:$W$1001,0),0), INDEX($AD$1004:$AU$1004,1,MATCH(COLUMNS($AD$1006:AO1006),$AD$1006:$AU$1006,0)))),"Fix")))</f>
        <v xml:space="preserve"> </v>
      </c>
      <c r="N881" s="4" t="str">
        <f ca="1">IF(OR(INDEX($X$2:$X$1001,MATCH(ROWS($W$2:W881),$W$2:$W$1001,0),1)&gt;=100000,INDEX($AD$1005:$AU$1005,1,MATCH(COLUMNS($AD$1006:AP1006),$AD$1006:$AU$1006,0))&gt;=100000), " ",IF(INDEX($AD$2:$AU$1001,MATCH(ROWS($W$2:W881),$W$2:$W$1001,0),MATCH(COLUMNS($AD$1006:AP1006),$AD$1006:$AU$1006,0)), HYPERLINK("#",""), HYPERLINK(CONCATENATE("#metadata!", ADDRESS(INDEX($Y$2:$Y$1001,MATCH(ROWS($W$2:W881),$W$2:$W$1001,0),0), INDEX($AD$1004:$AU$1004,1,MATCH(COLUMNS($AD$1006:AP1006),$AD$1006:$AU$1006,0)))),"Fix")))</f>
        <v xml:space="preserve"> </v>
      </c>
      <c r="O881" s="4" t="str">
        <f ca="1">IF(OR(INDEX($X$2:$X$1001,MATCH(ROWS($W$2:W881),$W$2:$W$1001,0),1)&gt;=100000,INDEX($AD$1005:$AU$1005,1,MATCH(COLUMNS($AD$1006:AQ1006),$AD$1006:$AU$1006,0))&gt;=100000), " ",IF(INDEX($AD$2:$AU$1001,MATCH(ROWS($W$2:W881),$W$2:$W$1001,0),MATCH(COLUMNS($AD$1006:AQ1006),$AD$1006:$AU$1006,0)), HYPERLINK("#",""), HYPERLINK(CONCATENATE("#metadata!", ADDRESS(INDEX($Y$2:$Y$1001,MATCH(ROWS($W$2:W881),$W$2:$W$1001,0),0), INDEX($AD$1004:$AU$1004,1,MATCH(COLUMNS($AD$1006:AQ1006),$AD$1006:$AU$1006,0)))),"Fix")))</f>
        <v xml:space="preserve"> </v>
      </c>
      <c r="P881" s="4" t="str">
        <f ca="1">IF(OR(INDEX($X$2:$X$1001,MATCH(ROWS($W$2:W881),$W$2:$W$1001,0),1)&gt;=100000,INDEX($AD$1005:$AU$1005,1,MATCH(COLUMNS($AD$1006:AR1006),$AD$1006:$AU$1006,0))&gt;=100000), " ",IF(INDEX($AD$2:$AU$1001,MATCH(ROWS($W$2:W881),$W$2:$W$1001,0),MATCH(COLUMNS($AD$1006:AR1006),$AD$1006:$AU$1006,0)), HYPERLINK("#",""), HYPERLINK(CONCATENATE("#metadata!", ADDRESS(INDEX($Y$2:$Y$1001,MATCH(ROWS($W$2:W881),$W$2:$W$1001,0),0), INDEX($AD$1004:$AU$1004,1,MATCH(COLUMNS($AD$1006:AR1006),$AD$1006:$AU$1006,0)))),"Fix")))</f>
        <v xml:space="preserve"> </v>
      </c>
      <c r="Q881" s="4" t="str">
        <f ca="1">IF(OR(INDEX($X$2:$X$1001,MATCH(ROWS($W$2:W881),$W$2:$W$1001,0),1)&gt;=100000,INDEX($AD$1005:$AU$1005,1,MATCH(COLUMNS($AD$1006:AS1006),$AD$1006:$AU$1006,0))&gt;=100000), " ",IF(INDEX($AD$2:$AU$1001,MATCH(ROWS($W$2:W881),$W$2:$W$1001,0),MATCH(COLUMNS($AD$1006:AS1006),$AD$1006:$AU$1006,0)), HYPERLINK("#",""), HYPERLINK(CONCATENATE("#metadata!", ADDRESS(INDEX($Y$2:$Y$1001,MATCH(ROWS($W$2:W881),$W$2:$W$1001,0),0), INDEX($AD$1004:$AU$1004,1,MATCH(COLUMNS($AD$1006:AS1006),$AD$1006:$AU$1006,0)))),"Fix")))</f>
        <v xml:space="preserve"> </v>
      </c>
      <c r="R881" s="4" t="str">
        <f ca="1">IF(OR(INDEX($X$2:$X$1001,MATCH(ROWS($W$2:W881),$W$2:$W$1001,0),1)&gt;=100000,INDEX($AD$1005:$AU$1005,1,MATCH(COLUMNS($AD$1006:AT1006),$AD$1006:$AU$1006,0))&gt;=100000), " ",IF(INDEX($AD$2:$AU$1001,MATCH(ROWS($W$2:W881),$W$2:$W$1001,0),MATCH(COLUMNS($AD$1006:AT1006),$AD$1006:$AU$1006,0)), HYPERLINK("#",""), HYPERLINK(CONCATENATE("#metadata!", ADDRESS(INDEX($Y$2:$Y$1001,MATCH(ROWS($W$2:W881),$W$2:$W$1001,0),0), INDEX($AD$1004:$AU$1004,1,MATCH(COLUMNS($AD$1006:AT1006),$AD$1006:$AU$1006,0)))),"Fix")))</f>
        <v xml:space="preserve"> </v>
      </c>
      <c r="S881" s="4" t="str">
        <f ca="1">IF(OR(INDEX($X$2:$X$1001,MATCH(ROWS($W$2:W881),$W$2:$W$1001,0),1)&gt;=100000,INDEX($AD$1005:$AU$1005,1,MATCH(COLUMNS($AD$1006:AU1006),$AD$1006:$AU$1006,0))&gt;=100000), " ",IF(INDEX($AD$2:$AU$1001,MATCH(ROWS($W$2:W881),$W$2:$W$1001,0),MATCH(COLUMNS($AD$1006:AU1006),$AD$1006:$AU$1006,0)), HYPERLINK("#",""), HYPERLINK(CONCATENATE("#metadata!", ADDRESS(INDEX($Y$2:$Y$1001,MATCH(ROWS($W$2:W881),$W$2:$W$1001,0),0), INDEX($AD$1004:$AU$1004,1,MATCH(COLUMNS($AD$1006:AU1006),$AD$1006:$AU$1006,0)))),"Fix")))</f>
        <v xml:space="preserve"> </v>
      </c>
      <c r="W881">
        <v>880</v>
      </c>
      <c r="X881">
        <v>100881</v>
      </c>
      <c r="Y881">
        <v>881</v>
      </c>
      <c r="Z881" t="b">
        <f t="shared" si="13"/>
        <v>1</v>
      </c>
      <c r="AA881" t="b">
        <f>COUNTBLANK(metadata!B881:S881)=COLUMNS(metadata!B881:S881)</f>
        <v>1</v>
      </c>
      <c r="AB881" t="str">
        <v/>
      </c>
      <c r="AD881" t="b">
        <f ca="1">AND(IF(metadata!B881="",FALSE,TRUE),COUNTIF(metadata!B:B, metadata!B881) = 1,NOT(ISERROR(SUMPRODUCT(SEARCH(MID(metadata!B881,ROW(INDIRECT("1:"&amp;LEN(metadata!B881))), 1),"0123456789abcdefghijklmnopqrstuvwxyzABCDEFGHIJKLMNOPQRSTUVWXYZ.")))))</f>
        <v>0</v>
      </c>
      <c r="AE881" t="b">
        <f>OR(AND(IF(metadata!C881="",FALSE,TRUE),OR(EXACT(metadata!C881,"not applicable"),EXACT(metadata!C881,"missing: not collected"),EXACT(metadata!C881,"missing: not provided"),EXACT(metadata!C881,"missing: restricted access"))),AND(IF(metadata!C881="",FALSE,ISNUMBER(VALUE(metadata!C881))),metadata!C881&gt;0))</f>
        <v>0</v>
      </c>
      <c r="AF881" t="b">
        <f>AND(IF(metadata!D881="",FALSE,TRUE),EXACT(metadata!D881,"missing: not provided"))</f>
        <v>0</v>
      </c>
      <c r="AG881" t="b">
        <f>AND(IF(metadata!E881="",FALSE,TRUE),EXACT(metadata!E881,"Host-associated"))</f>
        <v>0</v>
      </c>
      <c r="AH881" t="b">
        <f>AND(IF(metadata!F881="",FALSE,TRUE),OR(EXACT(metadata!F881,"Animal"),EXACT(metadata!F881,"Fungus"),EXACT(metadata!F881,"Plant")))</f>
        <v>0</v>
      </c>
      <c r="AI881" t="b">
        <f>AND(IF(metadata!G881="",FALSE,TRUE),OR(EXACT(metadata!G881,"Plant secretion"),EXACT(metadata!G881,"Plant rhizosphere"),EXACT(metadata!G881,"Plant surface"),EXACT(metadata!G881,"Plant corpus"),EXACT(metadata!G881,"Fungus surface"),EXACT(metadata!G881,"Fungus corpus"),EXACT(metadata!G881,"Animal surface"),EXACT(metadata!G881,"Animal proximal gut"),EXACT(metadata!G881,"Animal corpus"),EXACT(metadata!G881,"Animal distal gut"),EXACT(metadata!G881,"Animal secretion")))</f>
        <v>0</v>
      </c>
      <c r="AJ881" t="b">
        <f>OR(AND(IF(metadata!H881="",FALSE,TRUE),OR(EXACT(metadata!H881,"missing: not collected"),EXACT(metadata!H881,"missing: not provided"),EXACT(metadata!H881,"missing: restricted access"))),AND(IF(metadata!H881="",FALSE,TRUE),OR(EXACT(metadata!H881,"organism-associated habitat"),EXACT(metadata!H881,"plant-associated habitat"),EXACT(metadata!H881,"animal-associated habitat"),EXACT(metadata!H881,"insecta-associated habitat"),EXACT(metadata!H881,"mammalia-associated habitat"),EXACT(metadata!H881,"human-associated habitat"),EXACT(metadata!H881,"livestock-associated habitat"))))</f>
        <v>0</v>
      </c>
      <c r="AK881" t="b">
        <f>AND(IF(metadata!I881="",FALSE,TRUE),EXACT(metadata!I881,"host-associated"))</f>
        <v>0</v>
      </c>
      <c r="AL881" t="b">
        <f>OR(AND(IF(metadata!J881="",FALSE,TRUE),OR(EXACT(metadata!J881,"not applicable"),EXACT(metadata!J881,"missing: not collected"),EXACT(metadata!J881,"missing: not provided"),EXACT(metadata!J881,"missing: restricted access"))),AND(IF(metadata!J881="",FALSE,ISNUMBER(VALUE(metadata!J881))),metadata!J881&gt;0))</f>
        <v>0</v>
      </c>
      <c r="AM881" t="b">
        <f>AND(IF(metadata!K881="",FALSE,TRUE),EXACT(metadata!K881,"missing: not provided"))</f>
        <v>0</v>
      </c>
      <c r="AN881" t="b">
        <f>IF(metadata!L881="",FALSE,TRUE)</f>
        <v>0</v>
      </c>
      <c r="AO881" t="b">
        <f>IF(metadata!M881="",FALSE,TRUE)</f>
        <v>0</v>
      </c>
      <c r="AP881" t="b">
        <f>OR(AND(IF(metadata!N881="",FALSE,TRUE),OR(EXACT(metadata!N881,"not applicable"),EXACT(metadata!N881,"missing: not collected"),EXACT(metadata!N881,"missing: not provided"))),AND(IF(metadata!N881="",FALSE,IF(ISERROR(INT(metadata!N881)),FALSE,INT(metadata!N881)=metadata!N881)),metadata!N881&gt;0))</f>
        <v>0</v>
      </c>
      <c r="AQ881" t="b">
        <f>AND(IF(metadata!O881="",FALSE,TRUE),EXACT(metadata!O881,"Not applicable"))</f>
        <v>0</v>
      </c>
      <c r="AR881" t="b">
        <f>OR(AND(IF(metadata!P881="",FALSE,TRUE),OR(EXACT(metadata!P881,"not applicable"),EXACT(metadata!P881,"missing: not collected"),EXACT(metadata!P881,"missing: not provided"),EXACT(metadata!P881,"missing: restricted access"))),IF(metadata!P881="",FALSE,IF(ISERROR(INT(metadata!P881)),FALSE,INT(metadata!P881)=metadata!P881)))</f>
        <v>0</v>
      </c>
      <c r="AS881" t="b">
        <f>AND(IF(metadata!Q881="",FALSE,TRUE),EXACT(metadata!Q881,"Not applicable"))</f>
        <v>0</v>
      </c>
      <c r="AT881" t="b">
        <f>OR(AND(IF(metadata!R881="",FALSE,TRUE),OR(EXACT(metadata!R881,"not applicable"),EXACT(metadata!R881,"missing: not collected"),EXACT(metadata!R881,"missing: not provided"),EXACT(metadata!R881,"missing: restricted access"))),AND(IF(metadata!R881="",FALSE,ISNUMBER(VALUE(metadata!R881))),metadata!R881&gt;0))</f>
        <v>0</v>
      </c>
      <c r="AU881" t="b">
        <f>AND(IF(metadata!S881="",FALSE,TRUE),EXACT(metadata!S881,"missing: not provided"))</f>
        <v>0</v>
      </c>
    </row>
    <row r="882" spans="1:47" x14ac:dyDescent="0.2">
      <c r="A882" s="5" t="str">
        <f ca="1">IF(B882=" "," ",HYPERLINK(CONCATENATE("#metadata!",ADDRESS(INDEX($Y$2:$Y$1001,MATCH(ROWS($W$2:W882),$W$2:$W$1001,0),0),1)),INDEX($AB$2:$AB$1001,MATCH(ROWS($W$2:W882),$W$2:$W$1001,0),0)))</f>
        <v xml:space="preserve"> </v>
      </c>
      <c r="B882" s="4" t="str">
        <f ca="1">IF(OR(INDEX($X$2:$X$1001,MATCH(ROWS($W$2:W882),$W$2:$W$1001,0),1)&gt;=100000,INDEX($AD$1005:$AU$1005,1,MATCH(COLUMNS($AD$1006:AD1006),$AD$1006:$AU$1006,0))&gt;=100000), " ",IF(INDEX($AD$2:$AU$1001,MATCH(ROWS($W$2:W882),$W$2:$W$1001,0),MATCH(COLUMNS($AD$1006:AD1006),$AD$1006:$AU$1006,0)), HYPERLINK("#",""), HYPERLINK(CONCATENATE("#metadata!", ADDRESS(INDEX($Y$2:$Y$1001,MATCH(ROWS($W$2:W882),$W$2:$W$1001,0),0), INDEX($AD$1004:$AU$1004,1,MATCH(COLUMNS($AD$1006:AD1006),$AD$1006:$AU$1006,0)))),"Fix")))</f>
        <v xml:space="preserve"> </v>
      </c>
      <c r="C882" s="4" t="str">
        <f ca="1">IF(OR(INDEX($X$2:$X$1001,MATCH(ROWS($W$2:W882),$W$2:$W$1001,0),1)&gt;=100000,INDEX($AD$1005:$AU$1005,1,MATCH(COLUMNS($AD$1006:AE1006),$AD$1006:$AU$1006,0))&gt;=100000), " ",IF(INDEX($AD$2:$AU$1001,MATCH(ROWS($W$2:W882),$W$2:$W$1001,0),MATCH(COLUMNS($AD$1006:AE1006),$AD$1006:$AU$1006,0)), HYPERLINK("#",""), HYPERLINK(CONCATENATE("#metadata!", ADDRESS(INDEX($Y$2:$Y$1001,MATCH(ROWS($W$2:W882),$W$2:$W$1001,0),0), INDEX($AD$1004:$AU$1004,1,MATCH(COLUMNS($AD$1006:AE1006),$AD$1006:$AU$1006,0)))),"Fix")))</f>
        <v xml:space="preserve"> </v>
      </c>
      <c r="D882" s="4" t="str">
        <f ca="1">IF(OR(INDEX($X$2:$X$1001,MATCH(ROWS($W$2:W882),$W$2:$W$1001,0),1)&gt;=100000,INDEX($AD$1005:$AU$1005,1,MATCH(COLUMNS($AD$1006:AF1006),$AD$1006:$AU$1006,0))&gt;=100000), " ",IF(INDEX($AD$2:$AU$1001,MATCH(ROWS($W$2:W882),$W$2:$W$1001,0),MATCH(COLUMNS($AD$1006:AF1006),$AD$1006:$AU$1006,0)), HYPERLINK("#",""), HYPERLINK(CONCATENATE("#metadata!", ADDRESS(INDEX($Y$2:$Y$1001,MATCH(ROWS($W$2:W882),$W$2:$W$1001,0),0), INDEX($AD$1004:$AU$1004,1,MATCH(COLUMNS($AD$1006:AF1006),$AD$1006:$AU$1006,0)))),"Fix")))</f>
        <v xml:space="preserve"> </v>
      </c>
      <c r="E882" s="4" t="str">
        <f ca="1">IF(OR(INDEX($X$2:$X$1001,MATCH(ROWS($W$2:W882),$W$2:$W$1001,0),1)&gt;=100000,INDEX($AD$1005:$AU$1005,1,MATCH(COLUMNS($AD$1006:AG1006),$AD$1006:$AU$1006,0))&gt;=100000), " ",IF(INDEX($AD$2:$AU$1001,MATCH(ROWS($W$2:W882),$W$2:$W$1001,0),MATCH(COLUMNS($AD$1006:AG1006),$AD$1006:$AU$1006,0)), HYPERLINK("#",""), HYPERLINK(CONCATENATE("#metadata!", ADDRESS(INDEX($Y$2:$Y$1001,MATCH(ROWS($W$2:W882),$W$2:$W$1001,0),0), INDEX($AD$1004:$AU$1004,1,MATCH(COLUMNS($AD$1006:AG1006),$AD$1006:$AU$1006,0)))),"Fix")))</f>
        <v xml:space="preserve"> </v>
      </c>
      <c r="F882" s="4" t="str">
        <f ca="1">IF(OR(INDEX($X$2:$X$1001,MATCH(ROWS($W$2:W882),$W$2:$W$1001,0),1)&gt;=100000,INDEX($AD$1005:$AU$1005,1,MATCH(COLUMNS($AD$1006:AH1006),$AD$1006:$AU$1006,0))&gt;=100000), " ",IF(INDEX($AD$2:$AU$1001,MATCH(ROWS($W$2:W882),$W$2:$W$1001,0),MATCH(COLUMNS($AD$1006:AH1006),$AD$1006:$AU$1006,0)), HYPERLINK("#",""), HYPERLINK(CONCATENATE("#metadata!", ADDRESS(INDEX($Y$2:$Y$1001,MATCH(ROWS($W$2:W882),$W$2:$W$1001,0),0), INDEX($AD$1004:$AU$1004,1,MATCH(COLUMNS($AD$1006:AH1006),$AD$1006:$AU$1006,0)))),"Fix")))</f>
        <v xml:space="preserve"> </v>
      </c>
      <c r="G882" s="4" t="str">
        <f ca="1">IF(OR(INDEX($X$2:$X$1001,MATCH(ROWS($W$2:W882),$W$2:$W$1001,0),1)&gt;=100000,INDEX($AD$1005:$AU$1005,1,MATCH(COLUMNS($AD$1006:AI1006),$AD$1006:$AU$1006,0))&gt;=100000), " ",IF(INDEX($AD$2:$AU$1001,MATCH(ROWS($W$2:W882),$W$2:$W$1001,0),MATCH(COLUMNS($AD$1006:AI1006),$AD$1006:$AU$1006,0)), HYPERLINK("#",""), HYPERLINK(CONCATENATE("#metadata!", ADDRESS(INDEX($Y$2:$Y$1001,MATCH(ROWS($W$2:W882),$W$2:$W$1001,0),0), INDEX($AD$1004:$AU$1004,1,MATCH(COLUMNS($AD$1006:AI1006),$AD$1006:$AU$1006,0)))),"Fix")))</f>
        <v xml:space="preserve"> </v>
      </c>
      <c r="H882" s="4" t="str">
        <f ca="1">IF(OR(INDEX($X$2:$X$1001,MATCH(ROWS($W$2:W882),$W$2:$W$1001,0),1)&gt;=100000,INDEX($AD$1005:$AU$1005,1,MATCH(COLUMNS($AD$1006:AJ1006),$AD$1006:$AU$1006,0))&gt;=100000), " ",IF(INDEX($AD$2:$AU$1001,MATCH(ROWS($W$2:W882),$W$2:$W$1001,0),MATCH(COLUMNS($AD$1006:AJ1006),$AD$1006:$AU$1006,0)), HYPERLINK("#",""), HYPERLINK(CONCATENATE("#metadata!", ADDRESS(INDEX($Y$2:$Y$1001,MATCH(ROWS($W$2:W882),$W$2:$W$1001,0),0), INDEX($AD$1004:$AU$1004,1,MATCH(COLUMNS($AD$1006:AJ1006),$AD$1006:$AU$1006,0)))),"Fix")))</f>
        <v xml:space="preserve"> </v>
      </c>
      <c r="I882" s="4" t="str">
        <f ca="1">IF(OR(INDEX($X$2:$X$1001,MATCH(ROWS($W$2:W882),$W$2:$W$1001,0),1)&gt;=100000,INDEX($AD$1005:$AU$1005,1,MATCH(COLUMNS($AD$1006:AK1006),$AD$1006:$AU$1006,0))&gt;=100000), " ",IF(INDEX($AD$2:$AU$1001,MATCH(ROWS($W$2:W882),$W$2:$W$1001,0),MATCH(COLUMNS($AD$1006:AK1006),$AD$1006:$AU$1006,0)), HYPERLINK("#",""), HYPERLINK(CONCATENATE("#metadata!", ADDRESS(INDEX($Y$2:$Y$1001,MATCH(ROWS($W$2:W882),$W$2:$W$1001,0),0), INDEX($AD$1004:$AU$1004,1,MATCH(COLUMNS($AD$1006:AK1006),$AD$1006:$AU$1006,0)))),"Fix")))</f>
        <v xml:space="preserve"> </v>
      </c>
      <c r="J882" s="4" t="str">
        <f ca="1">IF(OR(INDEX($X$2:$X$1001,MATCH(ROWS($W$2:W882),$W$2:$W$1001,0),1)&gt;=100000,INDEX($AD$1005:$AU$1005,1,MATCH(COLUMNS($AD$1006:AL1006),$AD$1006:$AU$1006,0))&gt;=100000), " ",IF(INDEX($AD$2:$AU$1001,MATCH(ROWS($W$2:W882),$W$2:$W$1001,0),MATCH(COLUMNS($AD$1006:AL1006),$AD$1006:$AU$1006,0)), HYPERLINK("#",""), HYPERLINK(CONCATENATE("#metadata!", ADDRESS(INDEX($Y$2:$Y$1001,MATCH(ROWS($W$2:W882),$W$2:$W$1001,0),0), INDEX($AD$1004:$AU$1004,1,MATCH(COLUMNS($AD$1006:AL1006),$AD$1006:$AU$1006,0)))),"Fix")))</f>
        <v xml:space="preserve"> </v>
      </c>
      <c r="K882" s="4" t="str">
        <f ca="1">IF(OR(INDEX($X$2:$X$1001,MATCH(ROWS($W$2:W882),$W$2:$W$1001,0),1)&gt;=100000,INDEX($AD$1005:$AU$1005,1,MATCH(COLUMNS($AD$1006:AM1006),$AD$1006:$AU$1006,0))&gt;=100000), " ",IF(INDEX($AD$2:$AU$1001,MATCH(ROWS($W$2:W882),$W$2:$W$1001,0),MATCH(COLUMNS($AD$1006:AM1006),$AD$1006:$AU$1006,0)), HYPERLINK("#",""), HYPERLINK(CONCATENATE("#metadata!", ADDRESS(INDEX($Y$2:$Y$1001,MATCH(ROWS($W$2:W882),$W$2:$W$1001,0),0), INDEX($AD$1004:$AU$1004,1,MATCH(COLUMNS($AD$1006:AM1006),$AD$1006:$AU$1006,0)))),"Fix")))</f>
        <v xml:space="preserve"> </v>
      </c>
      <c r="L882" s="4" t="str">
        <f ca="1">IF(OR(INDEX($X$2:$X$1001,MATCH(ROWS($W$2:W882),$W$2:$W$1001,0),1)&gt;=100000,INDEX($AD$1005:$AU$1005,1,MATCH(COLUMNS($AD$1006:AN1006),$AD$1006:$AU$1006,0))&gt;=100000), " ",IF(INDEX($AD$2:$AU$1001,MATCH(ROWS($W$2:W882),$W$2:$W$1001,0),MATCH(COLUMNS($AD$1006:AN1006),$AD$1006:$AU$1006,0)), HYPERLINK("#",""), HYPERLINK(CONCATENATE("#metadata!", ADDRESS(INDEX($Y$2:$Y$1001,MATCH(ROWS($W$2:W882),$W$2:$W$1001,0),0), INDEX($AD$1004:$AU$1004,1,MATCH(COLUMNS($AD$1006:AN1006),$AD$1006:$AU$1006,0)))),"Fix")))</f>
        <v xml:space="preserve"> </v>
      </c>
      <c r="M882" s="4" t="str">
        <f ca="1">IF(OR(INDEX($X$2:$X$1001,MATCH(ROWS($W$2:W882),$W$2:$W$1001,0),1)&gt;=100000,INDEX($AD$1005:$AU$1005,1,MATCH(COLUMNS($AD$1006:AO1006),$AD$1006:$AU$1006,0))&gt;=100000), " ",IF(INDEX($AD$2:$AU$1001,MATCH(ROWS($W$2:W882),$W$2:$W$1001,0),MATCH(COLUMNS($AD$1006:AO1006),$AD$1006:$AU$1006,0)), HYPERLINK("#",""), HYPERLINK(CONCATENATE("#metadata!", ADDRESS(INDEX($Y$2:$Y$1001,MATCH(ROWS($W$2:W882),$W$2:$W$1001,0),0), INDEX($AD$1004:$AU$1004,1,MATCH(COLUMNS($AD$1006:AO1006),$AD$1006:$AU$1006,0)))),"Fix")))</f>
        <v xml:space="preserve"> </v>
      </c>
      <c r="N882" s="4" t="str">
        <f ca="1">IF(OR(INDEX($X$2:$X$1001,MATCH(ROWS($W$2:W882),$W$2:$W$1001,0),1)&gt;=100000,INDEX($AD$1005:$AU$1005,1,MATCH(COLUMNS($AD$1006:AP1006),$AD$1006:$AU$1006,0))&gt;=100000), " ",IF(INDEX($AD$2:$AU$1001,MATCH(ROWS($W$2:W882),$W$2:$W$1001,0),MATCH(COLUMNS($AD$1006:AP1006),$AD$1006:$AU$1006,0)), HYPERLINK("#",""), HYPERLINK(CONCATENATE("#metadata!", ADDRESS(INDEX($Y$2:$Y$1001,MATCH(ROWS($W$2:W882),$W$2:$W$1001,0),0), INDEX($AD$1004:$AU$1004,1,MATCH(COLUMNS($AD$1006:AP1006),$AD$1006:$AU$1006,0)))),"Fix")))</f>
        <v xml:space="preserve"> </v>
      </c>
      <c r="O882" s="4" t="str">
        <f ca="1">IF(OR(INDEX($X$2:$X$1001,MATCH(ROWS($W$2:W882),$W$2:$W$1001,0),1)&gt;=100000,INDEX($AD$1005:$AU$1005,1,MATCH(COLUMNS($AD$1006:AQ1006),$AD$1006:$AU$1006,0))&gt;=100000), " ",IF(INDEX($AD$2:$AU$1001,MATCH(ROWS($W$2:W882),$W$2:$W$1001,0),MATCH(COLUMNS($AD$1006:AQ1006),$AD$1006:$AU$1006,0)), HYPERLINK("#",""), HYPERLINK(CONCATENATE("#metadata!", ADDRESS(INDEX($Y$2:$Y$1001,MATCH(ROWS($W$2:W882),$W$2:$W$1001,0),0), INDEX($AD$1004:$AU$1004,1,MATCH(COLUMNS($AD$1006:AQ1006),$AD$1006:$AU$1006,0)))),"Fix")))</f>
        <v xml:space="preserve"> </v>
      </c>
      <c r="P882" s="4" t="str">
        <f ca="1">IF(OR(INDEX($X$2:$X$1001,MATCH(ROWS($W$2:W882),$W$2:$W$1001,0),1)&gt;=100000,INDEX($AD$1005:$AU$1005,1,MATCH(COLUMNS($AD$1006:AR1006),$AD$1006:$AU$1006,0))&gt;=100000), " ",IF(INDEX($AD$2:$AU$1001,MATCH(ROWS($W$2:W882),$W$2:$W$1001,0),MATCH(COLUMNS($AD$1006:AR1006),$AD$1006:$AU$1006,0)), HYPERLINK("#",""), HYPERLINK(CONCATENATE("#metadata!", ADDRESS(INDEX($Y$2:$Y$1001,MATCH(ROWS($W$2:W882),$W$2:$W$1001,0),0), INDEX($AD$1004:$AU$1004,1,MATCH(COLUMNS($AD$1006:AR1006),$AD$1006:$AU$1006,0)))),"Fix")))</f>
        <v xml:space="preserve"> </v>
      </c>
      <c r="Q882" s="4" t="str">
        <f ca="1">IF(OR(INDEX($X$2:$X$1001,MATCH(ROWS($W$2:W882),$W$2:$W$1001,0),1)&gt;=100000,INDEX($AD$1005:$AU$1005,1,MATCH(COLUMNS($AD$1006:AS1006),$AD$1006:$AU$1006,0))&gt;=100000), " ",IF(INDEX($AD$2:$AU$1001,MATCH(ROWS($W$2:W882),$W$2:$W$1001,0),MATCH(COLUMNS($AD$1006:AS1006),$AD$1006:$AU$1006,0)), HYPERLINK("#",""), HYPERLINK(CONCATENATE("#metadata!", ADDRESS(INDEX($Y$2:$Y$1001,MATCH(ROWS($W$2:W882),$W$2:$W$1001,0),0), INDEX($AD$1004:$AU$1004,1,MATCH(COLUMNS($AD$1006:AS1006),$AD$1006:$AU$1006,0)))),"Fix")))</f>
        <v xml:space="preserve"> </v>
      </c>
      <c r="R882" s="4" t="str">
        <f ca="1">IF(OR(INDEX($X$2:$X$1001,MATCH(ROWS($W$2:W882),$W$2:$W$1001,0),1)&gt;=100000,INDEX($AD$1005:$AU$1005,1,MATCH(COLUMNS($AD$1006:AT1006),$AD$1006:$AU$1006,0))&gt;=100000), " ",IF(INDEX($AD$2:$AU$1001,MATCH(ROWS($W$2:W882),$W$2:$W$1001,0),MATCH(COLUMNS($AD$1006:AT1006),$AD$1006:$AU$1006,0)), HYPERLINK("#",""), HYPERLINK(CONCATENATE("#metadata!", ADDRESS(INDEX($Y$2:$Y$1001,MATCH(ROWS($W$2:W882),$W$2:$W$1001,0),0), INDEX($AD$1004:$AU$1004,1,MATCH(COLUMNS($AD$1006:AT1006),$AD$1006:$AU$1006,0)))),"Fix")))</f>
        <v xml:space="preserve"> </v>
      </c>
      <c r="S882" s="4" t="str">
        <f ca="1">IF(OR(INDEX($X$2:$X$1001,MATCH(ROWS($W$2:W882),$W$2:$W$1001,0),1)&gt;=100000,INDEX($AD$1005:$AU$1005,1,MATCH(COLUMNS($AD$1006:AU1006),$AD$1006:$AU$1006,0))&gt;=100000), " ",IF(INDEX($AD$2:$AU$1001,MATCH(ROWS($W$2:W882),$W$2:$W$1001,0),MATCH(COLUMNS($AD$1006:AU1006),$AD$1006:$AU$1006,0)), HYPERLINK("#",""), HYPERLINK(CONCATENATE("#metadata!", ADDRESS(INDEX($Y$2:$Y$1001,MATCH(ROWS($W$2:W882),$W$2:$W$1001,0),0), INDEX($AD$1004:$AU$1004,1,MATCH(COLUMNS($AD$1006:AU1006),$AD$1006:$AU$1006,0)))),"Fix")))</f>
        <v xml:space="preserve"> </v>
      </c>
      <c r="W882">
        <v>881</v>
      </c>
      <c r="X882">
        <v>100882</v>
      </c>
      <c r="Y882">
        <v>882</v>
      </c>
      <c r="Z882" t="b">
        <f t="shared" si="13"/>
        <v>1</v>
      </c>
      <c r="AA882" t="b">
        <f>COUNTBLANK(metadata!B882:S882)=COLUMNS(metadata!B882:S882)</f>
        <v>1</v>
      </c>
      <c r="AB882" t="str">
        <v/>
      </c>
      <c r="AD882" t="b">
        <f ca="1">AND(IF(metadata!B882="",FALSE,TRUE),COUNTIF(metadata!B:B, metadata!B882) = 1,NOT(ISERROR(SUMPRODUCT(SEARCH(MID(metadata!B882,ROW(INDIRECT("1:"&amp;LEN(metadata!B882))), 1),"0123456789abcdefghijklmnopqrstuvwxyzABCDEFGHIJKLMNOPQRSTUVWXYZ.")))))</f>
        <v>0</v>
      </c>
      <c r="AE882" t="b">
        <f>OR(AND(IF(metadata!C882="",FALSE,TRUE),OR(EXACT(metadata!C882,"not applicable"),EXACT(metadata!C882,"missing: not collected"),EXACT(metadata!C882,"missing: not provided"),EXACT(metadata!C882,"missing: restricted access"))),AND(IF(metadata!C882="",FALSE,ISNUMBER(VALUE(metadata!C882))),metadata!C882&gt;0))</f>
        <v>0</v>
      </c>
      <c r="AF882" t="b">
        <f>AND(IF(metadata!D882="",FALSE,TRUE),EXACT(metadata!D882,"missing: not provided"))</f>
        <v>0</v>
      </c>
      <c r="AG882" t="b">
        <f>AND(IF(metadata!E882="",FALSE,TRUE),EXACT(metadata!E882,"Host-associated"))</f>
        <v>0</v>
      </c>
      <c r="AH882" t="b">
        <f>AND(IF(metadata!F882="",FALSE,TRUE),OR(EXACT(metadata!F882,"Animal"),EXACT(metadata!F882,"Fungus"),EXACT(metadata!F882,"Plant")))</f>
        <v>0</v>
      </c>
      <c r="AI882" t="b">
        <f>AND(IF(metadata!G882="",FALSE,TRUE),OR(EXACT(metadata!G882,"Plant secretion"),EXACT(metadata!G882,"Plant rhizosphere"),EXACT(metadata!G882,"Plant surface"),EXACT(metadata!G882,"Plant corpus"),EXACT(metadata!G882,"Fungus surface"),EXACT(metadata!G882,"Fungus corpus"),EXACT(metadata!G882,"Animal surface"),EXACT(metadata!G882,"Animal proximal gut"),EXACT(metadata!G882,"Animal corpus"),EXACT(metadata!G882,"Animal distal gut"),EXACT(metadata!G882,"Animal secretion")))</f>
        <v>0</v>
      </c>
      <c r="AJ882" t="b">
        <f>OR(AND(IF(metadata!H882="",FALSE,TRUE),OR(EXACT(metadata!H882,"missing: not collected"),EXACT(metadata!H882,"missing: not provided"),EXACT(metadata!H882,"missing: restricted access"))),AND(IF(metadata!H882="",FALSE,TRUE),OR(EXACT(metadata!H882,"organism-associated habitat"),EXACT(metadata!H882,"plant-associated habitat"),EXACT(metadata!H882,"animal-associated habitat"),EXACT(metadata!H882,"insecta-associated habitat"),EXACT(metadata!H882,"mammalia-associated habitat"),EXACT(metadata!H882,"human-associated habitat"),EXACT(metadata!H882,"livestock-associated habitat"))))</f>
        <v>0</v>
      </c>
      <c r="AK882" t="b">
        <f>AND(IF(metadata!I882="",FALSE,TRUE),EXACT(metadata!I882,"host-associated"))</f>
        <v>0</v>
      </c>
      <c r="AL882" t="b">
        <f>OR(AND(IF(metadata!J882="",FALSE,TRUE),OR(EXACT(metadata!J882,"not applicable"),EXACT(metadata!J882,"missing: not collected"),EXACT(metadata!J882,"missing: not provided"),EXACT(metadata!J882,"missing: restricted access"))),AND(IF(metadata!J882="",FALSE,ISNUMBER(VALUE(metadata!J882))),metadata!J882&gt;0))</f>
        <v>0</v>
      </c>
      <c r="AM882" t="b">
        <f>AND(IF(metadata!K882="",FALSE,TRUE),EXACT(metadata!K882,"missing: not provided"))</f>
        <v>0</v>
      </c>
      <c r="AN882" t="b">
        <f>IF(metadata!L882="",FALSE,TRUE)</f>
        <v>0</v>
      </c>
      <c r="AO882" t="b">
        <f>IF(metadata!M882="",FALSE,TRUE)</f>
        <v>0</v>
      </c>
      <c r="AP882" t="b">
        <f>OR(AND(IF(metadata!N882="",FALSE,TRUE),OR(EXACT(metadata!N882,"not applicable"),EXACT(metadata!N882,"missing: not collected"),EXACT(metadata!N882,"missing: not provided"))),AND(IF(metadata!N882="",FALSE,IF(ISERROR(INT(metadata!N882)),FALSE,INT(metadata!N882)=metadata!N882)),metadata!N882&gt;0))</f>
        <v>0</v>
      </c>
      <c r="AQ882" t="b">
        <f>AND(IF(metadata!O882="",FALSE,TRUE),EXACT(metadata!O882,"Not applicable"))</f>
        <v>0</v>
      </c>
      <c r="AR882" t="b">
        <f>OR(AND(IF(metadata!P882="",FALSE,TRUE),OR(EXACT(metadata!P882,"not applicable"),EXACT(metadata!P882,"missing: not collected"),EXACT(metadata!P882,"missing: not provided"),EXACT(metadata!P882,"missing: restricted access"))),IF(metadata!P882="",FALSE,IF(ISERROR(INT(metadata!P882)),FALSE,INT(metadata!P882)=metadata!P882)))</f>
        <v>0</v>
      </c>
      <c r="AS882" t="b">
        <f>AND(IF(metadata!Q882="",FALSE,TRUE),EXACT(metadata!Q882,"Not applicable"))</f>
        <v>0</v>
      </c>
      <c r="AT882" t="b">
        <f>OR(AND(IF(metadata!R882="",FALSE,TRUE),OR(EXACT(metadata!R882,"not applicable"),EXACT(metadata!R882,"missing: not collected"),EXACT(metadata!R882,"missing: not provided"),EXACT(metadata!R882,"missing: restricted access"))),AND(IF(metadata!R882="",FALSE,ISNUMBER(VALUE(metadata!R882))),metadata!R882&gt;0))</f>
        <v>0</v>
      </c>
      <c r="AU882" t="b">
        <f>AND(IF(metadata!S882="",FALSE,TRUE),EXACT(metadata!S882,"missing: not provided"))</f>
        <v>0</v>
      </c>
    </row>
    <row r="883" spans="1:47" x14ac:dyDescent="0.2">
      <c r="A883" s="5" t="str">
        <f ca="1">IF(B883=" "," ",HYPERLINK(CONCATENATE("#metadata!",ADDRESS(INDEX($Y$2:$Y$1001,MATCH(ROWS($W$2:W883),$W$2:$W$1001,0),0),1)),INDEX($AB$2:$AB$1001,MATCH(ROWS($W$2:W883),$W$2:$W$1001,0),0)))</f>
        <v xml:space="preserve"> </v>
      </c>
      <c r="B883" s="4" t="str">
        <f ca="1">IF(OR(INDEX($X$2:$X$1001,MATCH(ROWS($W$2:W883),$W$2:$W$1001,0),1)&gt;=100000,INDEX($AD$1005:$AU$1005,1,MATCH(COLUMNS($AD$1006:AD1006),$AD$1006:$AU$1006,0))&gt;=100000), " ",IF(INDEX($AD$2:$AU$1001,MATCH(ROWS($W$2:W883),$W$2:$W$1001,0),MATCH(COLUMNS($AD$1006:AD1006),$AD$1006:$AU$1006,0)), HYPERLINK("#",""), HYPERLINK(CONCATENATE("#metadata!", ADDRESS(INDEX($Y$2:$Y$1001,MATCH(ROWS($W$2:W883),$W$2:$W$1001,0),0), INDEX($AD$1004:$AU$1004,1,MATCH(COLUMNS($AD$1006:AD1006),$AD$1006:$AU$1006,0)))),"Fix")))</f>
        <v xml:space="preserve"> </v>
      </c>
      <c r="C883" s="4" t="str">
        <f ca="1">IF(OR(INDEX($X$2:$X$1001,MATCH(ROWS($W$2:W883),$W$2:$W$1001,0),1)&gt;=100000,INDEX($AD$1005:$AU$1005,1,MATCH(COLUMNS($AD$1006:AE1006),$AD$1006:$AU$1006,0))&gt;=100000), " ",IF(INDEX($AD$2:$AU$1001,MATCH(ROWS($W$2:W883),$W$2:$W$1001,0),MATCH(COLUMNS($AD$1006:AE1006),$AD$1006:$AU$1006,0)), HYPERLINK("#",""), HYPERLINK(CONCATENATE("#metadata!", ADDRESS(INDEX($Y$2:$Y$1001,MATCH(ROWS($W$2:W883),$W$2:$W$1001,0),0), INDEX($AD$1004:$AU$1004,1,MATCH(COLUMNS($AD$1006:AE1006),$AD$1006:$AU$1006,0)))),"Fix")))</f>
        <v xml:space="preserve"> </v>
      </c>
      <c r="D883" s="4" t="str">
        <f ca="1">IF(OR(INDEX($X$2:$X$1001,MATCH(ROWS($W$2:W883),$W$2:$W$1001,0),1)&gt;=100000,INDEX($AD$1005:$AU$1005,1,MATCH(COLUMNS($AD$1006:AF1006),$AD$1006:$AU$1006,0))&gt;=100000), " ",IF(INDEX($AD$2:$AU$1001,MATCH(ROWS($W$2:W883),$W$2:$W$1001,0),MATCH(COLUMNS($AD$1006:AF1006),$AD$1006:$AU$1006,0)), HYPERLINK("#",""), HYPERLINK(CONCATENATE("#metadata!", ADDRESS(INDEX($Y$2:$Y$1001,MATCH(ROWS($W$2:W883),$W$2:$W$1001,0),0), INDEX($AD$1004:$AU$1004,1,MATCH(COLUMNS($AD$1006:AF1006),$AD$1006:$AU$1006,0)))),"Fix")))</f>
        <v xml:space="preserve"> </v>
      </c>
      <c r="E883" s="4" t="str">
        <f ca="1">IF(OR(INDEX($X$2:$X$1001,MATCH(ROWS($W$2:W883),$W$2:$W$1001,0),1)&gt;=100000,INDEX($AD$1005:$AU$1005,1,MATCH(COLUMNS($AD$1006:AG1006),$AD$1006:$AU$1006,0))&gt;=100000), " ",IF(INDEX($AD$2:$AU$1001,MATCH(ROWS($W$2:W883),$W$2:$W$1001,0),MATCH(COLUMNS($AD$1006:AG1006),$AD$1006:$AU$1006,0)), HYPERLINK("#",""), HYPERLINK(CONCATENATE("#metadata!", ADDRESS(INDEX($Y$2:$Y$1001,MATCH(ROWS($W$2:W883),$W$2:$W$1001,0),0), INDEX($AD$1004:$AU$1004,1,MATCH(COLUMNS($AD$1006:AG1006),$AD$1006:$AU$1006,0)))),"Fix")))</f>
        <v xml:space="preserve"> </v>
      </c>
      <c r="F883" s="4" t="str">
        <f ca="1">IF(OR(INDEX($X$2:$X$1001,MATCH(ROWS($W$2:W883),$W$2:$W$1001,0),1)&gt;=100000,INDEX($AD$1005:$AU$1005,1,MATCH(COLUMNS($AD$1006:AH1006),$AD$1006:$AU$1006,0))&gt;=100000), " ",IF(INDEX($AD$2:$AU$1001,MATCH(ROWS($W$2:W883),$W$2:$W$1001,0),MATCH(COLUMNS($AD$1006:AH1006),$AD$1006:$AU$1006,0)), HYPERLINK("#",""), HYPERLINK(CONCATENATE("#metadata!", ADDRESS(INDEX($Y$2:$Y$1001,MATCH(ROWS($W$2:W883),$W$2:$W$1001,0),0), INDEX($AD$1004:$AU$1004,1,MATCH(COLUMNS($AD$1006:AH1006),$AD$1006:$AU$1006,0)))),"Fix")))</f>
        <v xml:space="preserve"> </v>
      </c>
      <c r="G883" s="4" t="str">
        <f ca="1">IF(OR(INDEX($X$2:$X$1001,MATCH(ROWS($W$2:W883),$W$2:$W$1001,0),1)&gt;=100000,INDEX($AD$1005:$AU$1005,1,MATCH(COLUMNS($AD$1006:AI1006),$AD$1006:$AU$1006,0))&gt;=100000), " ",IF(INDEX($AD$2:$AU$1001,MATCH(ROWS($W$2:W883),$W$2:$W$1001,0),MATCH(COLUMNS($AD$1006:AI1006),$AD$1006:$AU$1006,0)), HYPERLINK("#",""), HYPERLINK(CONCATENATE("#metadata!", ADDRESS(INDEX($Y$2:$Y$1001,MATCH(ROWS($W$2:W883),$W$2:$W$1001,0),0), INDEX($AD$1004:$AU$1004,1,MATCH(COLUMNS($AD$1006:AI1006),$AD$1006:$AU$1006,0)))),"Fix")))</f>
        <v xml:space="preserve"> </v>
      </c>
      <c r="H883" s="4" t="str">
        <f ca="1">IF(OR(INDEX($X$2:$X$1001,MATCH(ROWS($W$2:W883),$W$2:$W$1001,0),1)&gt;=100000,INDEX($AD$1005:$AU$1005,1,MATCH(COLUMNS($AD$1006:AJ1006),$AD$1006:$AU$1006,0))&gt;=100000), " ",IF(INDEX($AD$2:$AU$1001,MATCH(ROWS($W$2:W883),$W$2:$W$1001,0),MATCH(COLUMNS($AD$1006:AJ1006),$AD$1006:$AU$1006,0)), HYPERLINK("#",""), HYPERLINK(CONCATENATE("#metadata!", ADDRESS(INDEX($Y$2:$Y$1001,MATCH(ROWS($W$2:W883),$W$2:$W$1001,0),0), INDEX($AD$1004:$AU$1004,1,MATCH(COLUMNS($AD$1006:AJ1006),$AD$1006:$AU$1006,0)))),"Fix")))</f>
        <v xml:space="preserve"> </v>
      </c>
      <c r="I883" s="4" t="str">
        <f ca="1">IF(OR(INDEX($X$2:$X$1001,MATCH(ROWS($W$2:W883),$W$2:$W$1001,0),1)&gt;=100000,INDEX($AD$1005:$AU$1005,1,MATCH(COLUMNS($AD$1006:AK1006),$AD$1006:$AU$1006,0))&gt;=100000), " ",IF(INDEX($AD$2:$AU$1001,MATCH(ROWS($W$2:W883),$W$2:$W$1001,0),MATCH(COLUMNS($AD$1006:AK1006),$AD$1006:$AU$1006,0)), HYPERLINK("#",""), HYPERLINK(CONCATENATE("#metadata!", ADDRESS(INDEX($Y$2:$Y$1001,MATCH(ROWS($W$2:W883),$W$2:$W$1001,0),0), INDEX($AD$1004:$AU$1004,1,MATCH(COLUMNS($AD$1006:AK1006),$AD$1006:$AU$1006,0)))),"Fix")))</f>
        <v xml:space="preserve"> </v>
      </c>
      <c r="J883" s="4" t="str">
        <f ca="1">IF(OR(INDEX($X$2:$X$1001,MATCH(ROWS($W$2:W883),$W$2:$W$1001,0),1)&gt;=100000,INDEX($AD$1005:$AU$1005,1,MATCH(COLUMNS($AD$1006:AL1006),$AD$1006:$AU$1006,0))&gt;=100000), " ",IF(INDEX($AD$2:$AU$1001,MATCH(ROWS($W$2:W883),$W$2:$W$1001,0),MATCH(COLUMNS($AD$1006:AL1006),$AD$1006:$AU$1006,0)), HYPERLINK("#",""), HYPERLINK(CONCATENATE("#metadata!", ADDRESS(INDEX($Y$2:$Y$1001,MATCH(ROWS($W$2:W883),$W$2:$W$1001,0),0), INDEX($AD$1004:$AU$1004,1,MATCH(COLUMNS($AD$1006:AL1006),$AD$1006:$AU$1006,0)))),"Fix")))</f>
        <v xml:space="preserve"> </v>
      </c>
      <c r="K883" s="4" t="str">
        <f ca="1">IF(OR(INDEX($X$2:$X$1001,MATCH(ROWS($W$2:W883),$W$2:$W$1001,0),1)&gt;=100000,INDEX($AD$1005:$AU$1005,1,MATCH(COLUMNS($AD$1006:AM1006),$AD$1006:$AU$1006,0))&gt;=100000), " ",IF(INDEX($AD$2:$AU$1001,MATCH(ROWS($W$2:W883),$W$2:$W$1001,0),MATCH(COLUMNS($AD$1006:AM1006),$AD$1006:$AU$1006,0)), HYPERLINK("#",""), HYPERLINK(CONCATENATE("#metadata!", ADDRESS(INDEX($Y$2:$Y$1001,MATCH(ROWS($W$2:W883),$W$2:$W$1001,0),0), INDEX($AD$1004:$AU$1004,1,MATCH(COLUMNS($AD$1006:AM1006),$AD$1006:$AU$1006,0)))),"Fix")))</f>
        <v xml:space="preserve"> </v>
      </c>
      <c r="L883" s="4" t="str">
        <f ca="1">IF(OR(INDEX($X$2:$X$1001,MATCH(ROWS($W$2:W883),$W$2:$W$1001,0),1)&gt;=100000,INDEX($AD$1005:$AU$1005,1,MATCH(COLUMNS($AD$1006:AN1006),$AD$1006:$AU$1006,0))&gt;=100000), " ",IF(INDEX($AD$2:$AU$1001,MATCH(ROWS($W$2:W883),$W$2:$W$1001,0),MATCH(COLUMNS($AD$1006:AN1006),$AD$1006:$AU$1006,0)), HYPERLINK("#",""), HYPERLINK(CONCATENATE("#metadata!", ADDRESS(INDEX($Y$2:$Y$1001,MATCH(ROWS($W$2:W883),$W$2:$W$1001,0),0), INDEX($AD$1004:$AU$1004,1,MATCH(COLUMNS($AD$1006:AN1006),$AD$1006:$AU$1006,0)))),"Fix")))</f>
        <v xml:space="preserve"> </v>
      </c>
      <c r="M883" s="4" t="str">
        <f ca="1">IF(OR(INDEX($X$2:$X$1001,MATCH(ROWS($W$2:W883),$W$2:$W$1001,0),1)&gt;=100000,INDEX($AD$1005:$AU$1005,1,MATCH(COLUMNS($AD$1006:AO1006),$AD$1006:$AU$1006,0))&gt;=100000), " ",IF(INDEX($AD$2:$AU$1001,MATCH(ROWS($W$2:W883),$W$2:$W$1001,0),MATCH(COLUMNS($AD$1006:AO1006),$AD$1006:$AU$1006,0)), HYPERLINK("#",""), HYPERLINK(CONCATENATE("#metadata!", ADDRESS(INDEX($Y$2:$Y$1001,MATCH(ROWS($W$2:W883),$W$2:$W$1001,0),0), INDEX($AD$1004:$AU$1004,1,MATCH(COLUMNS($AD$1006:AO1006),$AD$1006:$AU$1006,0)))),"Fix")))</f>
        <v xml:space="preserve"> </v>
      </c>
      <c r="N883" s="4" t="str">
        <f ca="1">IF(OR(INDEX($X$2:$X$1001,MATCH(ROWS($W$2:W883),$W$2:$W$1001,0),1)&gt;=100000,INDEX($AD$1005:$AU$1005,1,MATCH(COLUMNS($AD$1006:AP1006),$AD$1006:$AU$1006,0))&gt;=100000), " ",IF(INDEX($AD$2:$AU$1001,MATCH(ROWS($W$2:W883),$W$2:$W$1001,0),MATCH(COLUMNS($AD$1006:AP1006),$AD$1006:$AU$1006,0)), HYPERLINK("#",""), HYPERLINK(CONCATENATE("#metadata!", ADDRESS(INDEX($Y$2:$Y$1001,MATCH(ROWS($W$2:W883),$W$2:$W$1001,0),0), INDEX($AD$1004:$AU$1004,1,MATCH(COLUMNS($AD$1006:AP1006),$AD$1006:$AU$1006,0)))),"Fix")))</f>
        <v xml:space="preserve"> </v>
      </c>
      <c r="O883" s="4" t="str">
        <f ca="1">IF(OR(INDEX($X$2:$X$1001,MATCH(ROWS($W$2:W883),$W$2:$W$1001,0),1)&gt;=100000,INDEX($AD$1005:$AU$1005,1,MATCH(COLUMNS($AD$1006:AQ1006),$AD$1006:$AU$1006,0))&gt;=100000), " ",IF(INDEX($AD$2:$AU$1001,MATCH(ROWS($W$2:W883),$W$2:$W$1001,0),MATCH(COLUMNS($AD$1006:AQ1006),$AD$1006:$AU$1006,0)), HYPERLINK("#",""), HYPERLINK(CONCATENATE("#metadata!", ADDRESS(INDEX($Y$2:$Y$1001,MATCH(ROWS($W$2:W883),$W$2:$W$1001,0),0), INDEX($AD$1004:$AU$1004,1,MATCH(COLUMNS($AD$1006:AQ1006),$AD$1006:$AU$1006,0)))),"Fix")))</f>
        <v xml:space="preserve"> </v>
      </c>
      <c r="P883" s="4" t="str">
        <f ca="1">IF(OR(INDEX($X$2:$X$1001,MATCH(ROWS($W$2:W883),$W$2:$W$1001,0),1)&gt;=100000,INDEX($AD$1005:$AU$1005,1,MATCH(COLUMNS($AD$1006:AR1006),$AD$1006:$AU$1006,0))&gt;=100000), " ",IF(INDEX($AD$2:$AU$1001,MATCH(ROWS($W$2:W883),$W$2:$W$1001,0),MATCH(COLUMNS($AD$1006:AR1006),$AD$1006:$AU$1006,0)), HYPERLINK("#",""), HYPERLINK(CONCATENATE("#metadata!", ADDRESS(INDEX($Y$2:$Y$1001,MATCH(ROWS($W$2:W883),$W$2:$W$1001,0),0), INDEX($AD$1004:$AU$1004,1,MATCH(COLUMNS($AD$1006:AR1006),$AD$1006:$AU$1006,0)))),"Fix")))</f>
        <v xml:space="preserve"> </v>
      </c>
      <c r="Q883" s="4" t="str">
        <f ca="1">IF(OR(INDEX($X$2:$X$1001,MATCH(ROWS($W$2:W883),$W$2:$W$1001,0),1)&gt;=100000,INDEX($AD$1005:$AU$1005,1,MATCH(COLUMNS($AD$1006:AS1006),$AD$1006:$AU$1006,0))&gt;=100000), " ",IF(INDEX($AD$2:$AU$1001,MATCH(ROWS($W$2:W883),$W$2:$W$1001,0),MATCH(COLUMNS($AD$1006:AS1006),$AD$1006:$AU$1006,0)), HYPERLINK("#",""), HYPERLINK(CONCATENATE("#metadata!", ADDRESS(INDEX($Y$2:$Y$1001,MATCH(ROWS($W$2:W883),$W$2:$W$1001,0),0), INDEX($AD$1004:$AU$1004,1,MATCH(COLUMNS($AD$1006:AS1006),$AD$1006:$AU$1006,0)))),"Fix")))</f>
        <v xml:space="preserve"> </v>
      </c>
      <c r="R883" s="4" t="str">
        <f ca="1">IF(OR(INDEX($X$2:$X$1001,MATCH(ROWS($W$2:W883),$W$2:$W$1001,0),1)&gt;=100000,INDEX($AD$1005:$AU$1005,1,MATCH(COLUMNS($AD$1006:AT1006),$AD$1006:$AU$1006,0))&gt;=100000), " ",IF(INDEX($AD$2:$AU$1001,MATCH(ROWS($W$2:W883),$W$2:$W$1001,0),MATCH(COLUMNS($AD$1006:AT1006),$AD$1006:$AU$1006,0)), HYPERLINK("#",""), HYPERLINK(CONCATENATE("#metadata!", ADDRESS(INDEX($Y$2:$Y$1001,MATCH(ROWS($W$2:W883),$W$2:$W$1001,0),0), INDEX($AD$1004:$AU$1004,1,MATCH(COLUMNS($AD$1006:AT1006),$AD$1006:$AU$1006,0)))),"Fix")))</f>
        <v xml:space="preserve"> </v>
      </c>
      <c r="S883" s="4" t="str">
        <f ca="1">IF(OR(INDEX($X$2:$X$1001,MATCH(ROWS($W$2:W883),$W$2:$W$1001,0),1)&gt;=100000,INDEX($AD$1005:$AU$1005,1,MATCH(COLUMNS($AD$1006:AU1006),$AD$1006:$AU$1006,0))&gt;=100000), " ",IF(INDEX($AD$2:$AU$1001,MATCH(ROWS($W$2:W883),$W$2:$W$1001,0),MATCH(COLUMNS($AD$1006:AU1006),$AD$1006:$AU$1006,0)), HYPERLINK("#",""), HYPERLINK(CONCATENATE("#metadata!", ADDRESS(INDEX($Y$2:$Y$1001,MATCH(ROWS($W$2:W883),$W$2:$W$1001,0),0), INDEX($AD$1004:$AU$1004,1,MATCH(COLUMNS($AD$1006:AU1006),$AD$1006:$AU$1006,0)))),"Fix")))</f>
        <v xml:space="preserve"> </v>
      </c>
      <c r="W883">
        <v>882</v>
      </c>
      <c r="X883">
        <v>100883</v>
      </c>
      <c r="Y883">
        <v>883</v>
      </c>
      <c r="Z883" t="b">
        <f t="shared" si="13"/>
        <v>1</v>
      </c>
      <c r="AA883" t="b">
        <f>COUNTBLANK(metadata!B883:S883)=COLUMNS(metadata!B883:S883)</f>
        <v>1</v>
      </c>
      <c r="AB883" t="str">
        <v/>
      </c>
      <c r="AD883" t="b">
        <f ca="1">AND(IF(metadata!B883="",FALSE,TRUE),COUNTIF(metadata!B:B, metadata!B883) = 1,NOT(ISERROR(SUMPRODUCT(SEARCH(MID(metadata!B883,ROW(INDIRECT("1:"&amp;LEN(metadata!B883))), 1),"0123456789abcdefghijklmnopqrstuvwxyzABCDEFGHIJKLMNOPQRSTUVWXYZ.")))))</f>
        <v>0</v>
      </c>
      <c r="AE883" t="b">
        <f>OR(AND(IF(metadata!C883="",FALSE,TRUE),OR(EXACT(metadata!C883,"not applicable"),EXACT(metadata!C883,"missing: not collected"),EXACT(metadata!C883,"missing: not provided"),EXACT(metadata!C883,"missing: restricted access"))),AND(IF(metadata!C883="",FALSE,ISNUMBER(VALUE(metadata!C883))),metadata!C883&gt;0))</f>
        <v>0</v>
      </c>
      <c r="AF883" t="b">
        <f>AND(IF(metadata!D883="",FALSE,TRUE),EXACT(metadata!D883,"missing: not provided"))</f>
        <v>0</v>
      </c>
      <c r="AG883" t="b">
        <f>AND(IF(metadata!E883="",FALSE,TRUE),EXACT(metadata!E883,"Host-associated"))</f>
        <v>0</v>
      </c>
      <c r="AH883" t="b">
        <f>AND(IF(metadata!F883="",FALSE,TRUE),OR(EXACT(metadata!F883,"Animal"),EXACT(metadata!F883,"Fungus"),EXACT(metadata!F883,"Plant")))</f>
        <v>0</v>
      </c>
      <c r="AI883" t="b">
        <f>AND(IF(metadata!G883="",FALSE,TRUE),OR(EXACT(metadata!G883,"Plant secretion"),EXACT(metadata!G883,"Plant rhizosphere"),EXACT(metadata!G883,"Plant surface"),EXACT(metadata!G883,"Plant corpus"),EXACT(metadata!G883,"Fungus surface"),EXACT(metadata!G883,"Fungus corpus"),EXACT(metadata!G883,"Animal surface"),EXACT(metadata!G883,"Animal proximal gut"),EXACT(metadata!G883,"Animal corpus"),EXACT(metadata!G883,"Animal distal gut"),EXACT(metadata!G883,"Animal secretion")))</f>
        <v>0</v>
      </c>
      <c r="AJ883" t="b">
        <f>OR(AND(IF(metadata!H883="",FALSE,TRUE),OR(EXACT(metadata!H883,"missing: not collected"),EXACT(metadata!H883,"missing: not provided"),EXACT(metadata!H883,"missing: restricted access"))),AND(IF(metadata!H883="",FALSE,TRUE),OR(EXACT(metadata!H883,"organism-associated habitat"),EXACT(metadata!H883,"plant-associated habitat"),EXACT(metadata!H883,"animal-associated habitat"),EXACT(metadata!H883,"insecta-associated habitat"),EXACT(metadata!H883,"mammalia-associated habitat"),EXACT(metadata!H883,"human-associated habitat"),EXACT(metadata!H883,"livestock-associated habitat"))))</f>
        <v>0</v>
      </c>
      <c r="AK883" t="b">
        <f>AND(IF(metadata!I883="",FALSE,TRUE),EXACT(metadata!I883,"host-associated"))</f>
        <v>0</v>
      </c>
      <c r="AL883" t="b">
        <f>OR(AND(IF(metadata!J883="",FALSE,TRUE),OR(EXACT(metadata!J883,"not applicable"),EXACT(metadata!J883,"missing: not collected"),EXACT(metadata!J883,"missing: not provided"),EXACT(metadata!J883,"missing: restricted access"))),AND(IF(metadata!J883="",FALSE,ISNUMBER(VALUE(metadata!J883))),metadata!J883&gt;0))</f>
        <v>0</v>
      </c>
      <c r="AM883" t="b">
        <f>AND(IF(metadata!K883="",FALSE,TRUE),EXACT(metadata!K883,"missing: not provided"))</f>
        <v>0</v>
      </c>
      <c r="AN883" t="b">
        <f>IF(metadata!L883="",FALSE,TRUE)</f>
        <v>0</v>
      </c>
      <c r="AO883" t="b">
        <f>IF(metadata!M883="",FALSE,TRUE)</f>
        <v>0</v>
      </c>
      <c r="AP883" t="b">
        <f>OR(AND(IF(metadata!N883="",FALSE,TRUE),OR(EXACT(metadata!N883,"not applicable"),EXACT(metadata!N883,"missing: not collected"),EXACT(metadata!N883,"missing: not provided"))),AND(IF(metadata!N883="",FALSE,IF(ISERROR(INT(metadata!N883)),FALSE,INT(metadata!N883)=metadata!N883)),metadata!N883&gt;0))</f>
        <v>0</v>
      </c>
      <c r="AQ883" t="b">
        <f>AND(IF(metadata!O883="",FALSE,TRUE),EXACT(metadata!O883,"Not applicable"))</f>
        <v>0</v>
      </c>
      <c r="AR883" t="b">
        <f>OR(AND(IF(metadata!P883="",FALSE,TRUE),OR(EXACT(metadata!P883,"not applicable"),EXACT(metadata!P883,"missing: not collected"),EXACT(metadata!P883,"missing: not provided"),EXACT(metadata!P883,"missing: restricted access"))),IF(metadata!P883="",FALSE,IF(ISERROR(INT(metadata!P883)),FALSE,INT(metadata!P883)=metadata!P883)))</f>
        <v>0</v>
      </c>
      <c r="AS883" t="b">
        <f>AND(IF(metadata!Q883="",FALSE,TRUE),EXACT(metadata!Q883,"Not applicable"))</f>
        <v>0</v>
      </c>
      <c r="AT883" t="b">
        <f>OR(AND(IF(metadata!R883="",FALSE,TRUE),OR(EXACT(metadata!R883,"not applicable"),EXACT(metadata!R883,"missing: not collected"),EXACT(metadata!R883,"missing: not provided"),EXACT(metadata!R883,"missing: restricted access"))),AND(IF(metadata!R883="",FALSE,ISNUMBER(VALUE(metadata!R883))),metadata!R883&gt;0))</f>
        <v>0</v>
      </c>
      <c r="AU883" t="b">
        <f>AND(IF(metadata!S883="",FALSE,TRUE),EXACT(metadata!S883,"missing: not provided"))</f>
        <v>0</v>
      </c>
    </row>
    <row r="884" spans="1:47" x14ac:dyDescent="0.2">
      <c r="A884" s="5" t="str">
        <f ca="1">IF(B884=" "," ",HYPERLINK(CONCATENATE("#metadata!",ADDRESS(INDEX($Y$2:$Y$1001,MATCH(ROWS($W$2:W884),$W$2:$W$1001,0),0),1)),INDEX($AB$2:$AB$1001,MATCH(ROWS($W$2:W884),$W$2:$W$1001,0),0)))</f>
        <v xml:space="preserve"> </v>
      </c>
      <c r="B884" s="4" t="str">
        <f ca="1">IF(OR(INDEX($X$2:$X$1001,MATCH(ROWS($W$2:W884),$W$2:$W$1001,0),1)&gt;=100000,INDEX($AD$1005:$AU$1005,1,MATCH(COLUMNS($AD$1006:AD1006),$AD$1006:$AU$1006,0))&gt;=100000), " ",IF(INDEX($AD$2:$AU$1001,MATCH(ROWS($W$2:W884),$W$2:$W$1001,0),MATCH(COLUMNS($AD$1006:AD1006),$AD$1006:$AU$1006,0)), HYPERLINK("#",""), HYPERLINK(CONCATENATE("#metadata!", ADDRESS(INDEX($Y$2:$Y$1001,MATCH(ROWS($W$2:W884),$W$2:$W$1001,0),0), INDEX($AD$1004:$AU$1004,1,MATCH(COLUMNS($AD$1006:AD1006),$AD$1006:$AU$1006,0)))),"Fix")))</f>
        <v xml:space="preserve"> </v>
      </c>
      <c r="C884" s="4" t="str">
        <f ca="1">IF(OR(INDEX($X$2:$X$1001,MATCH(ROWS($W$2:W884),$W$2:$W$1001,0),1)&gt;=100000,INDEX($AD$1005:$AU$1005,1,MATCH(COLUMNS($AD$1006:AE1006),$AD$1006:$AU$1006,0))&gt;=100000), " ",IF(INDEX($AD$2:$AU$1001,MATCH(ROWS($W$2:W884),$W$2:$W$1001,0),MATCH(COLUMNS($AD$1006:AE1006),$AD$1006:$AU$1006,0)), HYPERLINK("#",""), HYPERLINK(CONCATENATE("#metadata!", ADDRESS(INDEX($Y$2:$Y$1001,MATCH(ROWS($W$2:W884),$W$2:$W$1001,0),0), INDEX($AD$1004:$AU$1004,1,MATCH(COLUMNS($AD$1006:AE1006),$AD$1006:$AU$1006,0)))),"Fix")))</f>
        <v xml:space="preserve"> </v>
      </c>
      <c r="D884" s="4" t="str">
        <f ca="1">IF(OR(INDEX($X$2:$X$1001,MATCH(ROWS($W$2:W884),$W$2:$W$1001,0),1)&gt;=100000,INDEX($AD$1005:$AU$1005,1,MATCH(COLUMNS($AD$1006:AF1006),$AD$1006:$AU$1006,0))&gt;=100000), " ",IF(INDEX($AD$2:$AU$1001,MATCH(ROWS($W$2:W884),$W$2:$W$1001,0),MATCH(COLUMNS($AD$1006:AF1006),$AD$1006:$AU$1006,0)), HYPERLINK("#",""), HYPERLINK(CONCATENATE("#metadata!", ADDRESS(INDEX($Y$2:$Y$1001,MATCH(ROWS($W$2:W884),$W$2:$W$1001,0),0), INDEX($AD$1004:$AU$1004,1,MATCH(COLUMNS($AD$1006:AF1006),$AD$1006:$AU$1006,0)))),"Fix")))</f>
        <v xml:space="preserve"> </v>
      </c>
      <c r="E884" s="4" t="str">
        <f ca="1">IF(OR(INDEX($X$2:$X$1001,MATCH(ROWS($W$2:W884),$W$2:$W$1001,0),1)&gt;=100000,INDEX($AD$1005:$AU$1005,1,MATCH(COLUMNS($AD$1006:AG1006),$AD$1006:$AU$1006,0))&gt;=100000), " ",IF(INDEX($AD$2:$AU$1001,MATCH(ROWS($W$2:W884),$W$2:$W$1001,0),MATCH(COLUMNS($AD$1006:AG1006),$AD$1006:$AU$1006,0)), HYPERLINK("#",""), HYPERLINK(CONCATENATE("#metadata!", ADDRESS(INDEX($Y$2:$Y$1001,MATCH(ROWS($W$2:W884),$W$2:$W$1001,0),0), INDEX($AD$1004:$AU$1004,1,MATCH(COLUMNS($AD$1006:AG1006),$AD$1006:$AU$1006,0)))),"Fix")))</f>
        <v xml:space="preserve"> </v>
      </c>
      <c r="F884" s="4" t="str">
        <f ca="1">IF(OR(INDEX($X$2:$X$1001,MATCH(ROWS($W$2:W884),$W$2:$W$1001,0),1)&gt;=100000,INDEX($AD$1005:$AU$1005,1,MATCH(COLUMNS($AD$1006:AH1006),$AD$1006:$AU$1006,0))&gt;=100000), " ",IF(INDEX($AD$2:$AU$1001,MATCH(ROWS($W$2:W884),$W$2:$W$1001,0),MATCH(COLUMNS($AD$1006:AH1006),$AD$1006:$AU$1006,0)), HYPERLINK("#",""), HYPERLINK(CONCATENATE("#metadata!", ADDRESS(INDEX($Y$2:$Y$1001,MATCH(ROWS($W$2:W884),$W$2:$W$1001,0),0), INDEX($AD$1004:$AU$1004,1,MATCH(COLUMNS($AD$1006:AH1006),$AD$1006:$AU$1006,0)))),"Fix")))</f>
        <v xml:space="preserve"> </v>
      </c>
      <c r="G884" s="4" t="str">
        <f ca="1">IF(OR(INDEX($X$2:$X$1001,MATCH(ROWS($W$2:W884),$W$2:$W$1001,0),1)&gt;=100000,INDEX($AD$1005:$AU$1005,1,MATCH(COLUMNS($AD$1006:AI1006),$AD$1006:$AU$1006,0))&gt;=100000), " ",IF(INDEX($AD$2:$AU$1001,MATCH(ROWS($W$2:W884),$W$2:$W$1001,0),MATCH(COLUMNS($AD$1006:AI1006),$AD$1006:$AU$1006,0)), HYPERLINK("#",""), HYPERLINK(CONCATENATE("#metadata!", ADDRESS(INDEX($Y$2:$Y$1001,MATCH(ROWS($W$2:W884),$W$2:$W$1001,0),0), INDEX($AD$1004:$AU$1004,1,MATCH(COLUMNS($AD$1006:AI1006),$AD$1006:$AU$1006,0)))),"Fix")))</f>
        <v xml:space="preserve"> </v>
      </c>
      <c r="H884" s="4" t="str">
        <f ca="1">IF(OR(INDEX($X$2:$X$1001,MATCH(ROWS($W$2:W884),$W$2:$W$1001,0),1)&gt;=100000,INDEX($AD$1005:$AU$1005,1,MATCH(COLUMNS($AD$1006:AJ1006),$AD$1006:$AU$1006,0))&gt;=100000), " ",IF(INDEX($AD$2:$AU$1001,MATCH(ROWS($W$2:W884),$W$2:$W$1001,0),MATCH(COLUMNS($AD$1006:AJ1006),$AD$1006:$AU$1006,0)), HYPERLINK("#",""), HYPERLINK(CONCATENATE("#metadata!", ADDRESS(INDEX($Y$2:$Y$1001,MATCH(ROWS($W$2:W884),$W$2:$W$1001,0),0), INDEX($AD$1004:$AU$1004,1,MATCH(COLUMNS($AD$1006:AJ1006),$AD$1006:$AU$1006,0)))),"Fix")))</f>
        <v xml:space="preserve"> </v>
      </c>
      <c r="I884" s="4" t="str">
        <f ca="1">IF(OR(INDEX($X$2:$X$1001,MATCH(ROWS($W$2:W884),$W$2:$W$1001,0),1)&gt;=100000,INDEX($AD$1005:$AU$1005,1,MATCH(COLUMNS($AD$1006:AK1006),$AD$1006:$AU$1006,0))&gt;=100000), " ",IF(INDEX($AD$2:$AU$1001,MATCH(ROWS($W$2:W884),$W$2:$W$1001,0),MATCH(COLUMNS($AD$1006:AK1006),$AD$1006:$AU$1006,0)), HYPERLINK("#",""), HYPERLINK(CONCATENATE("#metadata!", ADDRESS(INDEX($Y$2:$Y$1001,MATCH(ROWS($W$2:W884),$W$2:$W$1001,0),0), INDEX($AD$1004:$AU$1004,1,MATCH(COLUMNS($AD$1006:AK1006),$AD$1006:$AU$1006,0)))),"Fix")))</f>
        <v xml:space="preserve"> </v>
      </c>
      <c r="J884" s="4" t="str">
        <f ca="1">IF(OR(INDEX($X$2:$X$1001,MATCH(ROWS($W$2:W884),$W$2:$W$1001,0),1)&gt;=100000,INDEX($AD$1005:$AU$1005,1,MATCH(COLUMNS($AD$1006:AL1006),$AD$1006:$AU$1006,0))&gt;=100000), " ",IF(INDEX($AD$2:$AU$1001,MATCH(ROWS($W$2:W884),$W$2:$W$1001,0),MATCH(COLUMNS($AD$1006:AL1006),$AD$1006:$AU$1006,0)), HYPERLINK("#",""), HYPERLINK(CONCATENATE("#metadata!", ADDRESS(INDEX($Y$2:$Y$1001,MATCH(ROWS($W$2:W884),$W$2:$W$1001,0),0), INDEX($AD$1004:$AU$1004,1,MATCH(COLUMNS($AD$1006:AL1006),$AD$1006:$AU$1006,0)))),"Fix")))</f>
        <v xml:space="preserve"> </v>
      </c>
      <c r="K884" s="4" t="str">
        <f ca="1">IF(OR(INDEX($X$2:$X$1001,MATCH(ROWS($W$2:W884),$W$2:$W$1001,0),1)&gt;=100000,INDEX($AD$1005:$AU$1005,1,MATCH(COLUMNS($AD$1006:AM1006),$AD$1006:$AU$1006,0))&gt;=100000), " ",IF(INDEX($AD$2:$AU$1001,MATCH(ROWS($W$2:W884),$W$2:$W$1001,0),MATCH(COLUMNS($AD$1006:AM1006),$AD$1006:$AU$1006,0)), HYPERLINK("#",""), HYPERLINK(CONCATENATE("#metadata!", ADDRESS(INDEX($Y$2:$Y$1001,MATCH(ROWS($W$2:W884),$W$2:$W$1001,0),0), INDEX($AD$1004:$AU$1004,1,MATCH(COLUMNS($AD$1006:AM1006),$AD$1006:$AU$1006,0)))),"Fix")))</f>
        <v xml:space="preserve"> </v>
      </c>
      <c r="L884" s="4" t="str">
        <f ca="1">IF(OR(INDEX($X$2:$X$1001,MATCH(ROWS($W$2:W884),$W$2:$W$1001,0),1)&gt;=100000,INDEX($AD$1005:$AU$1005,1,MATCH(COLUMNS($AD$1006:AN1006),$AD$1006:$AU$1006,0))&gt;=100000), " ",IF(INDEX($AD$2:$AU$1001,MATCH(ROWS($W$2:W884),$W$2:$W$1001,0),MATCH(COLUMNS($AD$1006:AN1006),$AD$1006:$AU$1006,0)), HYPERLINK("#",""), HYPERLINK(CONCATENATE("#metadata!", ADDRESS(INDEX($Y$2:$Y$1001,MATCH(ROWS($W$2:W884),$W$2:$W$1001,0),0), INDEX($AD$1004:$AU$1004,1,MATCH(COLUMNS($AD$1006:AN1006),$AD$1006:$AU$1006,0)))),"Fix")))</f>
        <v xml:space="preserve"> </v>
      </c>
      <c r="M884" s="4" t="str">
        <f ca="1">IF(OR(INDEX($X$2:$X$1001,MATCH(ROWS($W$2:W884),$W$2:$W$1001,0),1)&gt;=100000,INDEX($AD$1005:$AU$1005,1,MATCH(COLUMNS($AD$1006:AO1006),$AD$1006:$AU$1006,0))&gt;=100000), " ",IF(INDEX($AD$2:$AU$1001,MATCH(ROWS($W$2:W884),$W$2:$W$1001,0),MATCH(COLUMNS($AD$1006:AO1006),$AD$1006:$AU$1006,0)), HYPERLINK("#",""), HYPERLINK(CONCATENATE("#metadata!", ADDRESS(INDEX($Y$2:$Y$1001,MATCH(ROWS($W$2:W884),$W$2:$W$1001,0),0), INDEX($AD$1004:$AU$1004,1,MATCH(COLUMNS($AD$1006:AO1006),$AD$1006:$AU$1006,0)))),"Fix")))</f>
        <v xml:space="preserve"> </v>
      </c>
      <c r="N884" s="4" t="str">
        <f ca="1">IF(OR(INDEX($X$2:$X$1001,MATCH(ROWS($W$2:W884),$W$2:$W$1001,0),1)&gt;=100000,INDEX($AD$1005:$AU$1005,1,MATCH(COLUMNS($AD$1006:AP1006),$AD$1006:$AU$1006,0))&gt;=100000), " ",IF(INDEX($AD$2:$AU$1001,MATCH(ROWS($W$2:W884),$W$2:$W$1001,0),MATCH(COLUMNS($AD$1006:AP1006),$AD$1006:$AU$1006,0)), HYPERLINK("#",""), HYPERLINK(CONCATENATE("#metadata!", ADDRESS(INDEX($Y$2:$Y$1001,MATCH(ROWS($W$2:W884),$W$2:$W$1001,0),0), INDEX($AD$1004:$AU$1004,1,MATCH(COLUMNS($AD$1006:AP1006),$AD$1006:$AU$1006,0)))),"Fix")))</f>
        <v xml:space="preserve"> </v>
      </c>
      <c r="O884" s="4" t="str">
        <f ca="1">IF(OR(INDEX($X$2:$X$1001,MATCH(ROWS($W$2:W884),$W$2:$W$1001,0),1)&gt;=100000,INDEX($AD$1005:$AU$1005,1,MATCH(COLUMNS($AD$1006:AQ1006),$AD$1006:$AU$1006,0))&gt;=100000), " ",IF(INDEX($AD$2:$AU$1001,MATCH(ROWS($W$2:W884),$W$2:$W$1001,0),MATCH(COLUMNS($AD$1006:AQ1006),$AD$1006:$AU$1006,0)), HYPERLINK("#",""), HYPERLINK(CONCATENATE("#metadata!", ADDRESS(INDEX($Y$2:$Y$1001,MATCH(ROWS($W$2:W884),$W$2:$W$1001,0),0), INDEX($AD$1004:$AU$1004,1,MATCH(COLUMNS($AD$1006:AQ1006),$AD$1006:$AU$1006,0)))),"Fix")))</f>
        <v xml:space="preserve"> </v>
      </c>
      <c r="P884" s="4" t="str">
        <f ca="1">IF(OR(INDEX($X$2:$X$1001,MATCH(ROWS($W$2:W884),$W$2:$W$1001,0),1)&gt;=100000,INDEX($AD$1005:$AU$1005,1,MATCH(COLUMNS($AD$1006:AR1006),$AD$1006:$AU$1006,0))&gt;=100000), " ",IF(INDEX($AD$2:$AU$1001,MATCH(ROWS($W$2:W884),$W$2:$W$1001,0),MATCH(COLUMNS($AD$1006:AR1006),$AD$1006:$AU$1006,0)), HYPERLINK("#",""), HYPERLINK(CONCATENATE("#metadata!", ADDRESS(INDEX($Y$2:$Y$1001,MATCH(ROWS($W$2:W884),$W$2:$W$1001,0),0), INDEX($AD$1004:$AU$1004,1,MATCH(COLUMNS($AD$1006:AR1006),$AD$1006:$AU$1006,0)))),"Fix")))</f>
        <v xml:space="preserve"> </v>
      </c>
      <c r="Q884" s="4" t="str">
        <f ca="1">IF(OR(INDEX($X$2:$X$1001,MATCH(ROWS($W$2:W884),$W$2:$W$1001,0),1)&gt;=100000,INDEX($AD$1005:$AU$1005,1,MATCH(COLUMNS($AD$1006:AS1006),$AD$1006:$AU$1006,0))&gt;=100000), " ",IF(INDEX($AD$2:$AU$1001,MATCH(ROWS($W$2:W884),$W$2:$W$1001,0),MATCH(COLUMNS($AD$1006:AS1006),$AD$1006:$AU$1006,0)), HYPERLINK("#",""), HYPERLINK(CONCATENATE("#metadata!", ADDRESS(INDEX($Y$2:$Y$1001,MATCH(ROWS($W$2:W884),$W$2:$W$1001,0),0), INDEX($AD$1004:$AU$1004,1,MATCH(COLUMNS($AD$1006:AS1006),$AD$1006:$AU$1006,0)))),"Fix")))</f>
        <v xml:space="preserve"> </v>
      </c>
      <c r="R884" s="4" t="str">
        <f ca="1">IF(OR(INDEX($X$2:$X$1001,MATCH(ROWS($W$2:W884),$W$2:$W$1001,0),1)&gt;=100000,INDEX($AD$1005:$AU$1005,1,MATCH(COLUMNS($AD$1006:AT1006),$AD$1006:$AU$1006,0))&gt;=100000), " ",IF(INDEX($AD$2:$AU$1001,MATCH(ROWS($W$2:W884),$W$2:$W$1001,0),MATCH(COLUMNS($AD$1006:AT1006),$AD$1006:$AU$1006,0)), HYPERLINK("#",""), HYPERLINK(CONCATENATE("#metadata!", ADDRESS(INDEX($Y$2:$Y$1001,MATCH(ROWS($W$2:W884),$W$2:$W$1001,0),0), INDEX($AD$1004:$AU$1004,1,MATCH(COLUMNS($AD$1006:AT1006),$AD$1006:$AU$1006,0)))),"Fix")))</f>
        <v xml:space="preserve"> </v>
      </c>
      <c r="S884" s="4" t="str">
        <f ca="1">IF(OR(INDEX($X$2:$X$1001,MATCH(ROWS($W$2:W884),$W$2:$W$1001,0),1)&gt;=100000,INDEX($AD$1005:$AU$1005,1,MATCH(COLUMNS($AD$1006:AU1006),$AD$1006:$AU$1006,0))&gt;=100000), " ",IF(INDEX($AD$2:$AU$1001,MATCH(ROWS($W$2:W884),$W$2:$W$1001,0),MATCH(COLUMNS($AD$1006:AU1006),$AD$1006:$AU$1006,0)), HYPERLINK("#",""), HYPERLINK(CONCATENATE("#metadata!", ADDRESS(INDEX($Y$2:$Y$1001,MATCH(ROWS($W$2:W884),$W$2:$W$1001,0),0), INDEX($AD$1004:$AU$1004,1,MATCH(COLUMNS($AD$1006:AU1006),$AD$1006:$AU$1006,0)))),"Fix")))</f>
        <v xml:space="preserve"> </v>
      </c>
      <c r="W884">
        <v>883</v>
      </c>
      <c r="X884">
        <v>100884</v>
      </c>
      <c r="Y884">
        <v>884</v>
      </c>
      <c r="Z884" t="b">
        <f t="shared" si="13"/>
        <v>1</v>
      </c>
      <c r="AA884" t="b">
        <f>COUNTBLANK(metadata!B884:S884)=COLUMNS(metadata!B884:S884)</f>
        <v>1</v>
      </c>
      <c r="AB884" t="str">
        <v/>
      </c>
      <c r="AD884" t="b">
        <f ca="1">AND(IF(metadata!B884="",FALSE,TRUE),COUNTIF(metadata!B:B, metadata!B884) = 1,NOT(ISERROR(SUMPRODUCT(SEARCH(MID(metadata!B884,ROW(INDIRECT("1:"&amp;LEN(metadata!B884))), 1),"0123456789abcdefghijklmnopqrstuvwxyzABCDEFGHIJKLMNOPQRSTUVWXYZ.")))))</f>
        <v>0</v>
      </c>
      <c r="AE884" t="b">
        <f>OR(AND(IF(metadata!C884="",FALSE,TRUE),OR(EXACT(metadata!C884,"not applicable"),EXACT(metadata!C884,"missing: not collected"),EXACT(metadata!C884,"missing: not provided"),EXACT(metadata!C884,"missing: restricted access"))),AND(IF(metadata!C884="",FALSE,ISNUMBER(VALUE(metadata!C884))),metadata!C884&gt;0))</f>
        <v>0</v>
      </c>
      <c r="AF884" t="b">
        <f>AND(IF(metadata!D884="",FALSE,TRUE),EXACT(metadata!D884,"missing: not provided"))</f>
        <v>0</v>
      </c>
      <c r="AG884" t="b">
        <f>AND(IF(metadata!E884="",FALSE,TRUE),EXACT(metadata!E884,"Host-associated"))</f>
        <v>0</v>
      </c>
      <c r="AH884" t="b">
        <f>AND(IF(metadata!F884="",FALSE,TRUE),OR(EXACT(metadata!F884,"Animal"),EXACT(metadata!F884,"Fungus"),EXACT(metadata!F884,"Plant")))</f>
        <v>0</v>
      </c>
      <c r="AI884" t="b">
        <f>AND(IF(metadata!G884="",FALSE,TRUE),OR(EXACT(metadata!G884,"Plant secretion"),EXACT(metadata!G884,"Plant rhizosphere"),EXACT(metadata!G884,"Plant surface"),EXACT(metadata!G884,"Plant corpus"),EXACT(metadata!G884,"Fungus surface"),EXACT(metadata!G884,"Fungus corpus"),EXACT(metadata!G884,"Animal surface"),EXACT(metadata!G884,"Animal proximal gut"),EXACT(metadata!G884,"Animal corpus"),EXACT(metadata!G884,"Animal distal gut"),EXACT(metadata!G884,"Animal secretion")))</f>
        <v>0</v>
      </c>
      <c r="AJ884" t="b">
        <f>OR(AND(IF(metadata!H884="",FALSE,TRUE),OR(EXACT(metadata!H884,"missing: not collected"),EXACT(metadata!H884,"missing: not provided"),EXACT(metadata!H884,"missing: restricted access"))),AND(IF(metadata!H884="",FALSE,TRUE),OR(EXACT(metadata!H884,"organism-associated habitat"),EXACT(metadata!H884,"plant-associated habitat"),EXACT(metadata!H884,"animal-associated habitat"),EXACT(metadata!H884,"insecta-associated habitat"),EXACT(metadata!H884,"mammalia-associated habitat"),EXACT(metadata!H884,"human-associated habitat"),EXACT(metadata!H884,"livestock-associated habitat"))))</f>
        <v>0</v>
      </c>
      <c r="AK884" t="b">
        <f>AND(IF(metadata!I884="",FALSE,TRUE),EXACT(metadata!I884,"host-associated"))</f>
        <v>0</v>
      </c>
      <c r="AL884" t="b">
        <f>OR(AND(IF(metadata!J884="",FALSE,TRUE),OR(EXACT(metadata!J884,"not applicable"),EXACT(metadata!J884,"missing: not collected"),EXACT(metadata!J884,"missing: not provided"),EXACT(metadata!J884,"missing: restricted access"))),AND(IF(metadata!J884="",FALSE,ISNUMBER(VALUE(metadata!J884))),metadata!J884&gt;0))</f>
        <v>0</v>
      </c>
      <c r="AM884" t="b">
        <f>AND(IF(metadata!K884="",FALSE,TRUE),EXACT(metadata!K884,"missing: not provided"))</f>
        <v>0</v>
      </c>
      <c r="AN884" t="b">
        <f>IF(metadata!L884="",FALSE,TRUE)</f>
        <v>0</v>
      </c>
      <c r="AO884" t="b">
        <f>IF(metadata!M884="",FALSE,TRUE)</f>
        <v>0</v>
      </c>
      <c r="AP884" t="b">
        <f>OR(AND(IF(metadata!N884="",FALSE,TRUE),OR(EXACT(metadata!N884,"not applicable"),EXACT(metadata!N884,"missing: not collected"),EXACT(metadata!N884,"missing: not provided"))),AND(IF(metadata!N884="",FALSE,IF(ISERROR(INT(metadata!N884)),FALSE,INT(metadata!N884)=metadata!N884)),metadata!N884&gt;0))</f>
        <v>0</v>
      </c>
      <c r="AQ884" t="b">
        <f>AND(IF(metadata!O884="",FALSE,TRUE),EXACT(metadata!O884,"Not applicable"))</f>
        <v>0</v>
      </c>
      <c r="AR884" t="b">
        <f>OR(AND(IF(metadata!P884="",FALSE,TRUE),OR(EXACT(metadata!P884,"not applicable"),EXACT(metadata!P884,"missing: not collected"),EXACT(metadata!P884,"missing: not provided"),EXACT(metadata!P884,"missing: restricted access"))),IF(metadata!P884="",FALSE,IF(ISERROR(INT(metadata!P884)),FALSE,INT(metadata!P884)=metadata!P884)))</f>
        <v>0</v>
      </c>
      <c r="AS884" t="b">
        <f>AND(IF(metadata!Q884="",FALSE,TRUE),EXACT(metadata!Q884,"Not applicable"))</f>
        <v>0</v>
      </c>
      <c r="AT884" t="b">
        <f>OR(AND(IF(metadata!R884="",FALSE,TRUE),OR(EXACT(metadata!R884,"not applicable"),EXACT(metadata!R884,"missing: not collected"),EXACT(metadata!R884,"missing: not provided"),EXACT(metadata!R884,"missing: restricted access"))),AND(IF(metadata!R884="",FALSE,ISNUMBER(VALUE(metadata!R884))),metadata!R884&gt;0))</f>
        <v>0</v>
      </c>
      <c r="AU884" t="b">
        <f>AND(IF(metadata!S884="",FALSE,TRUE),EXACT(metadata!S884,"missing: not provided"))</f>
        <v>0</v>
      </c>
    </row>
    <row r="885" spans="1:47" x14ac:dyDescent="0.2">
      <c r="A885" s="5" t="str">
        <f ca="1">IF(B885=" "," ",HYPERLINK(CONCATENATE("#metadata!",ADDRESS(INDEX($Y$2:$Y$1001,MATCH(ROWS($W$2:W885),$W$2:$W$1001,0),0),1)),INDEX($AB$2:$AB$1001,MATCH(ROWS($W$2:W885),$W$2:$W$1001,0),0)))</f>
        <v xml:space="preserve"> </v>
      </c>
      <c r="B885" s="4" t="str">
        <f ca="1">IF(OR(INDEX($X$2:$X$1001,MATCH(ROWS($W$2:W885),$W$2:$W$1001,0),1)&gt;=100000,INDEX($AD$1005:$AU$1005,1,MATCH(COLUMNS($AD$1006:AD1006),$AD$1006:$AU$1006,0))&gt;=100000), " ",IF(INDEX($AD$2:$AU$1001,MATCH(ROWS($W$2:W885),$W$2:$W$1001,0),MATCH(COLUMNS($AD$1006:AD1006),$AD$1006:$AU$1006,0)), HYPERLINK("#",""), HYPERLINK(CONCATENATE("#metadata!", ADDRESS(INDEX($Y$2:$Y$1001,MATCH(ROWS($W$2:W885),$W$2:$W$1001,0),0), INDEX($AD$1004:$AU$1004,1,MATCH(COLUMNS($AD$1006:AD1006),$AD$1006:$AU$1006,0)))),"Fix")))</f>
        <v xml:space="preserve"> </v>
      </c>
      <c r="C885" s="4" t="str">
        <f ca="1">IF(OR(INDEX($X$2:$X$1001,MATCH(ROWS($W$2:W885),$W$2:$W$1001,0),1)&gt;=100000,INDEX($AD$1005:$AU$1005,1,MATCH(COLUMNS($AD$1006:AE1006),$AD$1006:$AU$1006,0))&gt;=100000), " ",IF(INDEX($AD$2:$AU$1001,MATCH(ROWS($W$2:W885),$W$2:$W$1001,0),MATCH(COLUMNS($AD$1006:AE1006),$AD$1006:$AU$1006,0)), HYPERLINK("#",""), HYPERLINK(CONCATENATE("#metadata!", ADDRESS(INDEX($Y$2:$Y$1001,MATCH(ROWS($W$2:W885),$W$2:$W$1001,0),0), INDEX($AD$1004:$AU$1004,1,MATCH(COLUMNS($AD$1006:AE1006),$AD$1006:$AU$1006,0)))),"Fix")))</f>
        <v xml:space="preserve"> </v>
      </c>
      <c r="D885" s="4" t="str">
        <f ca="1">IF(OR(INDEX($X$2:$X$1001,MATCH(ROWS($W$2:W885),$W$2:$W$1001,0),1)&gt;=100000,INDEX($AD$1005:$AU$1005,1,MATCH(COLUMNS($AD$1006:AF1006),$AD$1006:$AU$1006,0))&gt;=100000), " ",IF(INDEX($AD$2:$AU$1001,MATCH(ROWS($W$2:W885),$W$2:$W$1001,0),MATCH(COLUMNS($AD$1006:AF1006),$AD$1006:$AU$1006,0)), HYPERLINK("#",""), HYPERLINK(CONCATENATE("#metadata!", ADDRESS(INDEX($Y$2:$Y$1001,MATCH(ROWS($W$2:W885),$W$2:$W$1001,0),0), INDEX($AD$1004:$AU$1004,1,MATCH(COLUMNS($AD$1006:AF1006),$AD$1006:$AU$1006,0)))),"Fix")))</f>
        <v xml:space="preserve"> </v>
      </c>
      <c r="E885" s="4" t="str">
        <f ca="1">IF(OR(INDEX($X$2:$X$1001,MATCH(ROWS($W$2:W885),$W$2:$W$1001,0),1)&gt;=100000,INDEX($AD$1005:$AU$1005,1,MATCH(COLUMNS($AD$1006:AG1006),$AD$1006:$AU$1006,0))&gt;=100000), " ",IF(INDEX($AD$2:$AU$1001,MATCH(ROWS($W$2:W885),$W$2:$W$1001,0),MATCH(COLUMNS($AD$1006:AG1006),$AD$1006:$AU$1006,0)), HYPERLINK("#",""), HYPERLINK(CONCATENATE("#metadata!", ADDRESS(INDEX($Y$2:$Y$1001,MATCH(ROWS($W$2:W885),$W$2:$W$1001,0),0), INDEX($AD$1004:$AU$1004,1,MATCH(COLUMNS($AD$1006:AG1006),$AD$1006:$AU$1006,0)))),"Fix")))</f>
        <v xml:space="preserve"> </v>
      </c>
      <c r="F885" s="4" t="str">
        <f ca="1">IF(OR(INDEX($X$2:$X$1001,MATCH(ROWS($W$2:W885),$W$2:$W$1001,0),1)&gt;=100000,INDEX($AD$1005:$AU$1005,1,MATCH(COLUMNS($AD$1006:AH1006),$AD$1006:$AU$1006,0))&gt;=100000), " ",IF(INDEX($AD$2:$AU$1001,MATCH(ROWS($W$2:W885),$W$2:$W$1001,0),MATCH(COLUMNS($AD$1006:AH1006),$AD$1006:$AU$1006,0)), HYPERLINK("#",""), HYPERLINK(CONCATENATE("#metadata!", ADDRESS(INDEX($Y$2:$Y$1001,MATCH(ROWS($W$2:W885),$W$2:$W$1001,0),0), INDEX($AD$1004:$AU$1004,1,MATCH(COLUMNS($AD$1006:AH1006),$AD$1006:$AU$1006,0)))),"Fix")))</f>
        <v xml:space="preserve"> </v>
      </c>
      <c r="G885" s="4" t="str">
        <f ca="1">IF(OR(INDEX($X$2:$X$1001,MATCH(ROWS($W$2:W885),$W$2:$W$1001,0),1)&gt;=100000,INDEX($AD$1005:$AU$1005,1,MATCH(COLUMNS($AD$1006:AI1006),$AD$1006:$AU$1006,0))&gt;=100000), " ",IF(INDEX($AD$2:$AU$1001,MATCH(ROWS($W$2:W885),$W$2:$W$1001,0),MATCH(COLUMNS($AD$1006:AI1006),$AD$1006:$AU$1006,0)), HYPERLINK("#",""), HYPERLINK(CONCATENATE("#metadata!", ADDRESS(INDEX($Y$2:$Y$1001,MATCH(ROWS($W$2:W885),$W$2:$W$1001,0),0), INDEX($AD$1004:$AU$1004,1,MATCH(COLUMNS($AD$1006:AI1006),$AD$1006:$AU$1006,0)))),"Fix")))</f>
        <v xml:space="preserve"> </v>
      </c>
      <c r="H885" s="4" t="str">
        <f ca="1">IF(OR(INDEX($X$2:$X$1001,MATCH(ROWS($W$2:W885),$W$2:$W$1001,0),1)&gt;=100000,INDEX($AD$1005:$AU$1005,1,MATCH(COLUMNS($AD$1006:AJ1006),$AD$1006:$AU$1006,0))&gt;=100000), " ",IF(INDEX($AD$2:$AU$1001,MATCH(ROWS($W$2:W885),$W$2:$W$1001,0),MATCH(COLUMNS($AD$1006:AJ1006),$AD$1006:$AU$1006,0)), HYPERLINK("#",""), HYPERLINK(CONCATENATE("#metadata!", ADDRESS(INDEX($Y$2:$Y$1001,MATCH(ROWS($W$2:W885),$W$2:$W$1001,0),0), INDEX($AD$1004:$AU$1004,1,MATCH(COLUMNS($AD$1006:AJ1006),$AD$1006:$AU$1006,0)))),"Fix")))</f>
        <v xml:space="preserve"> </v>
      </c>
      <c r="I885" s="4" t="str">
        <f ca="1">IF(OR(INDEX($X$2:$X$1001,MATCH(ROWS($W$2:W885),$W$2:$W$1001,0),1)&gt;=100000,INDEX($AD$1005:$AU$1005,1,MATCH(COLUMNS($AD$1006:AK1006),$AD$1006:$AU$1006,0))&gt;=100000), " ",IF(INDEX($AD$2:$AU$1001,MATCH(ROWS($W$2:W885),$W$2:$W$1001,0),MATCH(COLUMNS($AD$1006:AK1006),$AD$1006:$AU$1006,0)), HYPERLINK("#",""), HYPERLINK(CONCATENATE("#metadata!", ADDRESS(INDEX($Y$2:$Y$1001,MATCH(ROWS($W$2:W885),$W$2:$W$1001,0),0), INDEX($AD$1004:$AU$1004,1,MATCH(COLUMNS($AD$1006:AK1006),$AD$1006:$AU$1006,0)))),"Fix")))</f>
        <v xml:space="preserve"> </v>
      </c>
      <c r="J885" s="4" t="str">
        <f ca="1">IF(OR(INDEX($X$2:$X$1001,MATCH(ROWS($W$2:W885),$W$2:$W$1001,0),1)&gt;=100000,INDEX($AD$1005:$AU$1005,1,MATCH(COLUMNS($AD$1006:AL1006),$AD$1006:$AU$1006,0))&gt;=100000), " ",IF(INDEX($AD$2:$AU$1001,MATCH(ROWS($W$2:W885),$W$2:$W$1001,0),MATCH(COLUMNS($AD$1006:AL1006),$AD$1006:$AU$1006,0)), HYPERLINK("#",""), HYPERLINK(CONCATENATE("#metadata!", ADDRESS(INDEX($Y$2:$Y$1001,MATCH(ROWS($W$2:W885),$W$2:$W$1001,0),0), INDEX($AD$1004:$AU$1004,1,MATCH(COLUMNS($AD$1006:AL1006),$AD$1006:$AU$1006,0)))),"Fix")))</f>
        <v xml:space="preserve"> </v>
      </c>
      <c r="K885" s="4" t="str">
        <f ca="1">IF(OR(INDEX($X$2:$X$1001,MATCH(ROWS($W$2:W885),$W$2:$W$1001,0),1)&gt;=100000,INDEX($AD$1005:$AU$1005,1,MATCH(COLUMNS($AD$1006:AM1006),$AD$1006:$AU$1006,0))&gt;=100000), " ",IF(INDEX($AD$2:$AU$1001,MATCH(ROWS($W$2:W885),$W$2:$W$1001,0),MATCH(COLUMNS($AD$1006:AM1006),$AD$1006:$AU$1006,0)), HYPERLINK("#",""), HYPERLINK(CONCATENATE("#metadata!", ADDRESS(INDEX($Y$2:$Y$1001,MATCH(ROWS($W$2:W885),$W$2:$W$1001,0),0), INDEX($AD$1004:$AU$1004,1,MATCH(COLUMNS($AD$1006:AM1006),$AD$1006:$AU$1006,0)))),"Fix")))</f>
        <v xml:space="preserve"> </v>
      </c>
      <c r="L885" s="4" t="str">
        <f ca="1">IF(OR(INDEX($X$2:$X$1001,MATCH(ROWS($W$2:W885),$W$2:$W$1001,0),1)&gt;=100000,INDEX($AD$1005:$AU$1005,1,MATCH(COLUMNS($AD$1006:AN1006),$AD$1006:$AU$1006,0))&gt;=100000), " ",IF(INDEX($AD$2:$AU$1001,MATCH(ROWS($W$2:W885),$W$2:$W$1001,0),MATCH(COLUMNS($AD$1006:AN1006),$AD$1006:$AU$1006,0)), HYPERLINK("#",""), HYPERLINK(CONCATENATE("#metadata!", ADDRESS(INDEX($Y$2:$Y$1001,MATCH(ROWS($W$2:W885),$W$2:$W$1001,0),0), INDEX($AD$1004:$AU$1004,1,MATCH(COLUMNS($AD$1006:AN1006),$AD$1006:$AU$1006,0)))),"Fix")))</f>
        <v xml:space="preserve"> </v>
      </c>
      <c r="M885" s="4" t="str">
        <f ca="1">IF(OR(INDEX($X$2:$X$1001,MATCH(ROWS($W$2:W885),$W$2:$W$1001,0),1)&gt;=100000,INDEX($AD$1005:$AU$1005,1,MATCH(COLUMNS($AD$1006:AO1006),$AD$1006:$AU$1006,0))&gt;=100000), " ",IF(INDEX($AD$2:$AU$1001,MATCH(ROWS($W$2:W885),$W$2:$W$1001,0),MATCH(COLUMNS($AD$1006:AO1006),$AD$1006:$AU$1006,0)), HYPERLINK("#",""), HYPERLINK(CONCATENATE("#metadata!", ADDRESS(INDEX($Y$2:$Y$1001,MATCH(ROWS($W$2:W885),$W$2:$W$1001,0),0), INDEX($AD$1004:$AU$1004,1,MATCH(COLUMNS($AD$1006:AO1006),$AD$1006:$AU$1006,0)))),"Fix")))</f>
        <v xml:space="preserve"> </v>
      </c>
      <c r="N885" s="4" t="str">
        <f ca="1">IF(OR(INDEX($X$2:$X$1001,MATCH(ROWS($W$2:W885),$W$2:$W$1001,0),1)&gt;=100000,INDEX($AD$1005:$AU$1005,1,MATCH(COLUMNS($AD$1006:AP1006),$AD$1006:$AU$1006,0))&gt;=100000), " ",IF(INDEX($AD$2:$AU$1001,MATCH(ROWS($W$2:W885),$W$2:$W$1001,0),MATCH(COLUMNS($AD$1006:AP1006),$AD$1006:$AU$1006,0)), HYPERLINK("#",""), HYPERLINK(CONCATENATE("#metadata!", ADDRESS(INDEX($Y$2:$Y$1001,MATCH(ROWS($W$2:W885),$W$2:$W$1001,0),0), INDEX($AD$1004:$AU$1004,1,MATCH(COLUMNS($AD$1006:AP1006),$AD$1006:$AU$1006,0)))),"Fix")))</f>
        <v xml:space="preserve"> </v>
      </c>
      <c r="O885" s="4" t="str">
        <f ca="1">IF(OR(INDEX($X$2:$X$1001,MATCH(ROWS($W$2:W885),$W$2:$W$1001,0),1)&gt;=100000,INDEX($AD$1005:$AU$1005,1,MATCH(COLUMNS($AD$1006:AQ1006),$AD$1006:$AU$1006,0))&gt;=100000), " ",IF(INDEX($AD$2:$AU$1001,MATCH(ROWS($W$2:W885),$W$2:$W$1001,0),MATCH(COLUMNS($AD$1006:AQ1006),$AD$1006:$AU$1006,0)), HYPERLINK("#",""), HYPERLINK(CONCATENATE("#metadata!", ADDRESS(INDEX($Y$2:$Y$1001,MATCH(ROWS($W$2:W885),$W$2:$W$1001,0),0), INDEX($AD$1004:$AU$1004,1,MATCH(COLUMNS($AD$1006:AQ1006),$AD$1006:$AU$1006,0)))),"Fix")))</f>
        <v xml:space="preserve"> </v>
      </c>
      <c r="P885" s="4" t="str">
        <f ca="1">IF(OR(INDEX($X$2:$X$1001,MATCH(ROWS($W$2:W885),$W$2:$W$1001,0),1)&gt;=100000,INDEX($AD$1005:$AU$1005,1,MATCH(COLUMNS($AD$1006:AR1006),$AD$1006:$AU$1006,0))&gt;=100000), " ",IF(INDEX($AD$2:$AU$1001,MATCH(ROWS($W$2:W885),$W$2:$W$1001,0),MATCH(COLUMNS($AD$1006:AR1006),$AD$1006:$AU$1006,0)), HYPERLINK("#",""), HYPERLINK(CONCATENATE("#metadata!", ADDRESS(INDEX($Y$2:$Y$1001,MATCH(ROWS($W$2:W885),$W$2:$W$1001,0),0), INDEX($AD$1004:$AU$1004,1,MATCH(COLUMNS($AD$1006:AR1006),$AD$1006:$AU$1006,0)))),"Fix")))</f>
        <v xml:space="preserve"> </v>
      </c>
      <c r="Q885" s="4" t="str">
        <f ca="1">IF(OR(INDEX($X$2:$X$1001,MATCH(ROWS($W$2:W885),$W$2:$W$1001,0),1)&gt;=100000,INDEX($AD$1005:$AU$1005,1,MATCH(COLUMNS($AD$1006:AS1006),$AD$1006:$AU$1006,0))&gt;=100000), " ",IF(INDEX($AD$2:$AU$1001,MATCH(ROWS($W$2:W885),$W$2:$W$1001,0),MATCH(COLUMNS($AD$1006:AS1006),$AD$1006:$AU$1006,0)), HYPERLINK("#",""), HYPERLINK(CONCATENATE("#metadata!", ADDRESS(INDEX($Y$2:$Y$1001,MATCH(ROWS($W$2:W885),$W$2:$W$1001,0),0), INDEX($AD$1004:$AU$1004,1,MATCH(COLUMNS($AD$1006:AS1006),$AD$1006:$AU$1006,0)))),"Fix")))</f>
        <v xml:space="preserve"> </v>
      </c>
      <c r="R885" s="4" t="str">
        <f ca="1">IF(OR(INDEX($X$2:$X$1001,MATCH(ROWS($W$2:W885),$W$2:$W$1001,0),1)&gt;=100000,INDEX($AD$1005:$AU$1005,1,MATCH(COLUMNS($AD$1006:AT1006),$AD$1006:$AU$1006,0))&gt;=100000), " ",IF(INDEX($AD$2:$AU$1001,MATCH(ROWS($W$2:W885),$W$2:$W$1001,0),MATCH(COLUMNS($AD$1006:AT1006),$AD$1006:$AU$1006,0)), HYPERLINK("#",""), HYPERLINK(CONCATENATE("#metadata!", ADDRESS(INDEX($Y$2:$Y$1001,MATCH(ROWS($W$2:W885),$W$2:$W$1001,0),0), INDEX($AD$1004:$AU$1004,1,MATCH(COLUMNS($AD$1006:AT1006),$AD$1006:$AU$1006,0)))),"Fix")))</f>
        <v xml:space="preserve"> </v>
      </c>
      <c r="S885" s="4" t="str">
        <f ca="1">IF(OR(INDEX($X$2:$X$1001,MATCH(ROWS($W$2:W885),$W$2:$W$1001,0),1)&gt;=100000,INDEX($AD$1005:$AU$1005,1,MATCH(COLUMNS($AD$1006:AU1006),$AD$1006:$AU$1006,0))&gt;=100000), " ",IF(INDEX($AD$2:$AU$1001,MATCH(ROWS($W$2:W885),$W$2:$W$1001,0),MATCH(COLUMNS($AD$1006:AU1006),$AD$1006:$AU$1006,0)), HYPERLINK("#",""), HYPERLINK(CONCATENATE("#metadata!", ADDRESS(INDEX($Y$2:$Y$1001,MATCH(ROWS($W$2:W885),$W$2:$W$1001,0),0), INDEX($AD$1004:$AU$1004,1,MATCH(COLUMNS($AD$1006:AU1006),$AD$1006:$AU$1006,0)))),"Fix")))</f>
        <v xml:space="preserve"> </v>
      </c>
      <c r="W885">
        <v>884</v>
      </c>
      <c r="X885">
        <v>100885</v>
      </c>
      <c r="Y885">
        <v>885</v>
      </c>
      <c r="Z885" t="b">
        <f t="shared" si="13"/>
        <v>1</v>
      </c>
      <c r="AA885" t="b">
        <f>COUNTBLANK(metadata!B885:S885)=COLUMNS(metadata!B885:S885)</f>
        <v>1</v>
      </c>
      <c r="AB885" t="str">
        <v/>
      </c>
      <c r="AD885" t="b">
        <f ca="1">AND(IF(metadata!B885="",FALSE,TRUE),COUNTIF(metadata!B:B, metadata!B885) = 1,NOT(ISERROR(SUMPRODUCT(SEARCH(MID(metadata!B885,ROW(INDIRECT("1:"&amp;LEN(metadata!B885))), 1),"0123456789abcdefghijklmnopqrstuvwxyzABCDEFGHIJKLMNOPQRSTUVWXYZ.")))))</f>
        <v>0</v>
      </c>
      <c r="AE885" t="b">
        <f>OR(AND(IF(metadata!C885="",FALSE,TRUE),OR(EXACT(metadata!C885,"not applicable"),EXACT(metadata!C885,"missing: not collected"),EXACT(metadata!C885,"missing: not provided"),EXACT(metadata!C885,"missing: restricted access"))),AND(IF(metadata!C885="",FALSE,ISNUMBER(VALUE(metadata!C885))),metadata!C885&gt;0))</f>
        <v>0</v>
      </c>
      <c r="AF885" t="b">
        <f>AND(IF(metadata!D885="",FALSE,TRUE),EXACT(metadata!D885,"missing: not provided"))</f>
        <v>0</v>
      </c>
      <c r="AG885" t="b">
        <f>AND(IF(metadata!E885="",FALSE,TRUE),EXACT(metadata!E885,"Host-associated"))</f>
        <v>0</v>
      </c>
      <c r="AH885" t="b">
        <f>AND(IF(metadata!F885="",FALSE,TRUE),OR(EXACT(metadata!F885,"Animal"),EXACT(metadata!F885,"Fungus"),EXACT(metadata!F885,"Plant")))</f>
        <v>0</v>
      </c>
      <c r="AI885" t="b">
        <f>AND(IF(metadata!G885="",FALSE,TRUE),OR(EXACT(metadata!G885,"Plant secretion"),EXACT(metadata!G885,"Plant rhizosphere"),EXACT(metadata!G885,"Plant surface"),EXACT(metadata!G885,"Plant corpus"),EXACT(metadata!G885,"Fungus surface"),EXACT(metadata!G885,"Fungus corpus"),EXACT(metadata!G885,"Animal surface"),EXACT(metadata!G885,"Animal proximal gut"),EXACT(metadata!G885,"Animal corpus"),EXACT(metadata!G885,"Animal distal gut"),EXACT(metadata!G885,"Animal secretion")))</f>
        <v>0</v>
      </c>
      <c r="AJ885" t="b">
        <f>OR(AND(IF(metadata!H885="",FALSE,TRUE),OR(EXACT(metadata!H885,"missing: not collected"),EXACT(metadata!H885,"missing: not provided"),EXACT(metadata!H885,"missing: restricted access"))),AND(IF(metadata!H885="",FALSE,TRUE),OR(EXACT(metadata!H885,"organism-associated habitat"),EXACT(metadata!H885,"plant-associated habitat"),EXACT(metadata!H885,"animal-associated habitat"),EXACT(metadata!H885,"insecta-associated habitat"),EXACT(metadata!H885,"mammalia-associated habitat"),EXACT(metadata!H885,"human-associated habitat"),EXACT(metadata!H885,"livestock-associated habitat"))))</f>
        <v>0</v>
      </c>
      <c r="AK885" t="b">
        <f>AND(IF(metadata!I885="",FALSE,TRUE),EXACT(metadata!I885,"host-associated"))</f>
        <v>0</v>
      </c>
      <c r="AL885" t="b">
        <f>OR(AND(IF(metadata!J885="",FALSE,TRUE),OR(EXACT(metadata!J885,"not applicable"),EXACT(metadata!J885,"missing: not collected"),EXACT(metadata!J885,"missing: not provided"),EXACT(metadata!J885,"missing: restricted access"))),AND(IF(metadata!J885="",FALSE,ISNUMBER(VALUE(metadata!J885))),metadata!J885&gt;0))</f>
        <v>0</v>
      </c>
      <c r="AM885" t="b">
        <f>AND(IF(metadata!K885="",FALSE,TRUE),EXACT(metadata!K885,"missing: not provided"))</f>
        <v>0</v>
      </c>
      <c r="AN885" t="b">
        <f>IF(metadata!L885="",FALSE,TRUE)</f>
        <v>0</v>
      </c>
      <c r="AO885" t="b">
        <f>IF(metadata!M885="",FALSE,TRUE)</f>
        <v>0</v>
      </c>
      <c r="AP885" t="b">
        <f>OR(AND(IF(metadata!N885="",FALSE,TRUE),OR(EXACT(metadata!N885,"not applicable"),EXACT(metadata!N885,"missing: not collected"),EXACT(metadata!N885,"missing: not provided"))),AND(IF(metadata!N885="",FALSE,IF(ISERROR(INT(metadata!N885)),FALSE,INT(metadata!N885)=metadata!N885)),metadata!N885&gt;0))</f>
        <v>0</v>
      </c>
      <c r="AQ885" t="b">
        <f>AND(IF(metadata!O885="",FALSE,TRUE),EXACT(metadata!O885,"Not applicable"))</f>
        <v>0</v>
      </c>
      <c r="AR885" t="b">
        <f>OR(AND(IF(metadata!P885="",FALSE,TRUE),OR(EXACT(metadata!P885,"not applicable"),EXACT(metadata!P885,"missing: not collected"),EXACT(metadata!P885,"missing: not provided"),EXACT(metadata!P885,"missing: restricted access"))),IF(metadata!P885="",FALSE,IF(ISERROR(INT(metadata!P885)),FALSE,INT(metadata!P885)=metadata!P885)))</f>
        <v>0</v>
      </c>
      <c r="AS885" t="b">
        <f>AND(IF(metadata!Q885="",FALSE,TRUE),EXACT(metadata!Q885,"Not applicable"))</f>
        <v>0</v>
      </c>
      <c r="AT885" t="b">
        <f>OR(AND(IF(metadata!R885="",FALSE,TRUE),OR(EXACT(metadata!R885,"not applicable"),EXACT(metadata!R885,"missing: not collected"),EXACT(metadata!R885,"missing: not provided"),EXACT(metadata!R885,"missing: restricted access"))),AND(IF(metadata!R885="",FALSE,ISNUMBER(VALUE(metadata!R885))),metadata!R885&gt;0))</f>
        <v>0</v>
      </c>
      <c r="AU885" t="b">
        <f>AND(IF(metadata!S885="",FALSE,TRUE),EXACT(metadata!S885,"missing: not provided"))</f>
        <v>0</v>
      </c>
    </row>
    <row r="886" spans="1:47" x14ac:dyDescent="0.2">
      <c r="A886" s="5" t="str">
        <f ca="1">IF(B886=" "," ",HYPERLINK(CONCATENATE("#metadata!",ADDRESS(INDEX($Y$2:$Y$1001,MATCH(ROWS($W$2:W886),$W$2:$W$1001,0),0),1)),INDEX($AB$2:$AB$1001,MATCH(ROWS($W$2:W886),$W$2:$W$1001,0),0)))</f>
        <v xml:space="preserve"> </v>
      </c>
      <c r="B886" s="4" t="str">
        <f ca="1">IF(OR(INDEX($X$2:$X$1001,MATCH(ROWS($W$2:W886),$W$2:$W$1001,0),1)&gt;=100000,INDEX($AD$1005:$AU$1005,1,MATCH(COLUMNS($AD$1006:AD1006),$AD$1006:$AU$1006,0))&gt;=100000), " ",IF(INDEX($AD$2:$AU$1001,MATCH(ROWS($W$2:W886),$W$2:$W$1001,0),MATCH(COLUMNS($AD$1006:AD1006),$AD$1006:$AU$1006,0)), HYPERLINK("#",""), HYPERLINK(CONCATENATE("#metadata!", ADDRESS(INDEX($Y$2:$Y$1001,MATCH(ROWS($W$2:W886),$W$2:$W$1001,0),0), INDEX($AD$1004:$AU$1004,1,MATCH(COLUMNS($AD$1006:AD1006),$AD$1006:$AU$1006,0)))),"Fix")))</f>
        <v xml:space="preserve"> </v>
      </c>
      <c r="C886" s="4" t="str">
        <f ca="1">IF(OR(INDEX($X$2:$X$1001,MATCH(ROWS($W$2:W886),$W$2:$W$1001,0),1)&gt;=100000,INDEX($AD$1005:$AU$1005,1,MATCH(COLUMNS($AD$1006:AE1006),$AD$1006:$AU$1006,0))&gt;=100000), " ",IF(INDEX($AD$2:$AU$1001,MATCH(ROWS($W$2:W886),$W$2:$W$1001,0),MATCH(COLUMNS($AD$1006:AE1006),$AD$1006:$AU$1006,0)), HYPERLINK("#",""), HYPERLINK(CONCATENATE("#metadata!", ADDRESS(INDEX($Y$2:$Y$1001,MATCH(ROWS($W$2:W886),$W$2:$W$1001,0),0), INDEX($AD$1004:$AU$1004,1,MATCH(COLUMNS($AD$1006:AE1006),$AD$1006:$AU$1006,0)))),"Fix")))</f>
        <v xml:space="preserve"> </v>
      </c>
      <c r="D886" s="4" t="str">
        <f ca="1">IF(OR(INDEX($X$2:$X$1001,MATCH(ROWS($W$2:W886),$W$2:$W$1001,0),1)&gt;=100000,INDEX($AD$1005:$AU$1005,1,MATCH(COLUMNS($AD$1006:AF1006),$AD$1006:$AU$1006,0))&gt;=100000), " ",IF(INDEX($AD$2:$AU$1001,MATCH(ROWS($W$2:W886),$W$2:$W$1001,0),MATCH(COLUMNS($AD$1006:AF1006),$AD$1006:$AU$1006,0)), HYPERLINK("#",""), HYPERLINK(CONCATENATE("#metadata!", ADDRESS(INDEX($Y$2:$Y$1001,MATCH(ROWS($W$2:W886),$W$2:$W$1001,0),0), INDEX($AD$1004:$AU$1004,1,MATCH(COLUMNS($AD$1006:AF1006),$AD$1006:$AU$1006,0)))),"Fix")))</f>
        <v xml:space="preserve"> </v>
      </c>
      <c r="E886" s="4" t="str">
        <f ca="1">IF(OR(INDEX($X$2:$X$1001,MATCH(ROWS($W$2:W886),$W$2:$W$1001,0),1)&gt;=100000,INDEX($AD$1005:$AU$1005,1,MATCH(COLUMNS($AD$1006:AG1006),$AD$1006:$AU$1006,0))&gt;=100000), " ",IF(INDEX($AD$2:$AU$1001,MATCH(ROWS($W$2:W886),$W$2:$W$1001,0),MATCH(COLUMNS($AD$1006:AG1006),$AD$1006:$AU$1006,0)), HYPERLINK("#",""), HYPERLINK(CONCATENATE("#metadata!", ADDRESS(INDEX($Y$2:$Y$1001,MATCH(ROWS($W$2:W886),$W$2:$W$1001,0),0), INDEX($AD$1004:$AU$1004,1,MATCH(COLUMNS($AD$1006:AG1006),$AD$1006:$AU$1006,0)))),"Fix")))</f>
        <v xml:space="preserve"> </v>
      </c>
      <c r="F886" s="4" t="str">
        <f ca="1">IF(OR(INDEX($X$2:$X$1001,MATCH(ROWS($W$2:W886),$W$2:$W$1001,0),1)&gt;=100000,INDEX($AD$1005:$AU$1005,1,MATCH(COLUMNS($AD$1006:AH1006),$AD$1006:$AU$1006,0))&gt;=100000), " ",IF(INDEX($AD$2:$AU$1001,MATCH(ROWS($W$2:W886),$W$2:$W$1001,0),MATCH(COLUMNS($AD$1006:AH1006),$AD$1006:$AU$1006,0)), HYPERLINK("#",""), HYPERLINK(CONCATENATE("#metadata!", ADDRESS(INDEX($Y$2:$Y$1001,MATCH(ROWS($W$2:W886),$W$2:$W$1001,0),0), INDEX($AD$1004:$AU$1004,1,MATCH(COLUMNS($AD$1006:AH1006),$AD$1006:$AU$1006,0)))),"Fix")))</f>
        <v xml:space="preserve"> </v>
      </c>
      <c r="G886" s="4" t="str">
        <f ca="1">IF(OR(INDEX($X$2:$X$1001,MATCH(ROWS($W$2:W886),$W$2:$W$1001,0),1)&gt;=100000,INDEX($AD$1005:$AU$1005,1,MATCH(COLUMNS($AD$1006:AI1006),$AD$1006:$AU$1006,0))&gt;=100000), " ",IF(INDEX($AD$2:$AU$1001,MATCH(ROWS($W$2:W886),$W$2:$W$1001,0),MATCH(COLUMNS($AD$1006:AI1006),$AD$1006:$AU$1006,0)), HYPERLINK("#",""), HYPERLINK(CONCATENATE("#metadata!", ADDRESS(INDEX($Y$2:$Y$1001,MATCH(ROWS($W$2:W886),$W$2:$W$1001,0),0), INDEX($AD$1004:$AU$1004,1,MATCH(COLUMNS($AD$1006:AI1006),$AD$1006:$AU$1006,0)))),"Fix")))</f>
        <v xml:space="preserve"> </v>
      </c>
      <c r="H886" s="4" t="str">
        <f ca="1">IF(OR(INDEX($X$2:$X$1001,MATCH(ROWS($W$2:W886),$W$2:$W$1001,0),1)&gt;=100000,INDEX($AD$1005:$AU$1005,1,MATCH(COLUMNS($AD$1006:AJ1006),$AD$1006:$AU$1006,0))&gt;=100000), " ",IF(INDEX($AD$2:$AU$1001,MATCH(ROWS($W$2:W886),$W$2:$W$1001,0),MATCH(COLUMNS($AD$1006:AJ1006),$AD$1006:$AU$1006,0)), HYPERLINK("#",""), HYPERLINK(CONCATENATE("#metadata!", ADDRESS(INDEX($Y$2:$Y$1001,MATCH(ROWS($W$2:W886),$W$2:$W$1001,0),0), INDEX($AD$1004:$AU$1004,1,MATCH(COLUMNS($AD$1006:AJ1006),$AD$1006:$AU$1006,0)))),"Fix")))</f>
        <v xml:space="preserve"> </v>
      </c>
      <c r="I886" s="4" t="str">
        <f ca="1">IF(OR(INDEX($X$2:$X$1001,MATCH(ROWS($W$2:W886),$W$2:$W$1001,0),1)&gt;=100000,INDEX($AD$1005:$AU$1005,1,MATCH(COLUMNS($AD$1006:AK1006),$AD$1006:$AU$1006,0))&gt;=100000), " ",IF(INDEX($AD$2:$AU$1001,MATCH(ROWS($W$2:W886),$W$2:$W$1001,0),MATCH(COLUMNS($AD$1006:AK1006),$AD$1006:$AU$1006,0)), HYPERLINK("#",""), HYPERLINK(CONCATENATE("#metadata!", ADDRESS(INDEX($Y$2:$Y$1001,MATCH(ROWS($W$2:W886),$W$2:$W$1001,0),0), INDEX($AD$1004:$AU$1004,1,MATCH(COLUMNS($AD$1006:AK1006),$AD$1006:$AU$1006,0)))),"Fix")))</f>
        <v xml:space="preserve"> </v>
      </c>
      <c r="J886" s="4" t="str">
        <f ca="1">IF(OR(INDEX($X$2:$X$1001,MATCH(ROWS($W$2:W886),$W$2:$W$1001,0),1)&gt;=100000,INDEX($AD$1005:$AU$1005,1,MATCH(COLUMNS($AD$1006:AL1006),$AD$1006:$AU$1006,0))&gt;=100000), " ",IF(INDEX($AD$2:$AU$1001,MATCH(ROWS($W$2:W886),$W$2:$W$1001,0),MATCH(COLUMNS($AD$1006:AL1006),$AD$1006:$AU$1006,0)), HYPERLINK("#",""), HYPERLINK(CONCATENATE("#metadata!", ADDRESS(INDEX($Y$2:$Y$1001,MATCH(ROWS($W$2:W886),$W$2:$W$1001,0),0), INDEX($AD$1004:$AU$1004,1,MATCH(COLUMNS($AD$1006:AL1006),$AD$1006:$AU$1006,0)))),"Fix")))</f>
        <v xml:space="preserve"> </v>
      </c>
      <c r="K886" s="4" t="str">
        <f ca="1">IF(OR(INDEX($X$2:$X$1001,MATCH(ROWS($W$2:W886),$W$2:$W$1001,0),1)&gt;=100000,INDEX($AD$1005:$AU$1005,1,MATCH(COLUMNS($AD$1006:AM1006),$AD$1006:$AU$1006,0))&gt;=100000), " ",IF(INDEX($AD$2:$AU$1001,MATCH(ROWS($W$2:W886),$W$2:$W$1001,0),MATCH(COLUMNS($AD$1006:AM1006),$AD$1006:$AU$1006,0)), HYPERLINK("#",""), HYPERLINK(CONCATENATE("#metadata!", ADDRESS(INDEX($Y$2:$Y$1001,MATCH(ROWS($W$2:W886),$W$2:$W$1001,0),0), INDEX($AD$1004:$AU$1004,1,MATCH(COLUMNS($AD$1006:AM1006),$AD$1006:$AU$1006,0)))),"Fix")))</f>
        <v xml:space="preserve"> </v>
      </c>
      <c r="L886" s="4" t="str">
        <f ca="1">IF(OR(INDEX($X$2:$X$1001,MATCH(ROWS($W$2:W886),$W$2:$W$1001,0),1)&gt;=100000,INDEX($AD$1005:$AU$1005,1,MATCH(COLUMNS($AD$1006:AN1006),$AD$1006:$AU$1006,0))&gt;=100000), " ",IF(INDEX($AD$2:$AU$1001,MATCH(ROWS($W$2:W886),$W$2:$W$1001,0),MATCH(COLUMNS($AD$1006:AN1006),$AD$1006:$AU$1006,0)), HYPERLINK("#",""), HYPERLINK(CONCATENATE("#metadata!", ADDRESS(INDEX($Y$2:$Y$1001,MATCH(ROWS($W$2:W886),$W$2:$W$1001,0),0), INDEX($AD$1004:$AU$1004,1,MATCH(COLUMNS($AD$1006:AN1006),$AD$1006:$AU$1006,0)))),"Fix")))</f>
        <v xml:space="preserve"> </v>
      </c>
      <c r="M886" s="4" t="str">
        <f ca="1">IF(OR(INDEX($X$2:$X$1001,MATCH(ROWS($W$2:W886),$W$2:$W$1001,0),1)&gt;=100000,INDEX($AD$1005:$AU$1005,1,MATCH(COLUMNS($AD$1006:AO1006),$AD$1006:$AU$1006,0))&gt;=100000), " ",IF(INDEX($AD$2:$AU$1001,MATCH(ROWS($W$2:W886),$W$2:$W$1001,0),MATCH(COLUMNS($AD$1006:AO1006),$AD$1006:$AU$1006,0)), HYPERLINK("#",""), HYPERLINK(CONCATENATE("#metadata!", ADDRESS(INDEX($Y$2:$Y$1001,MATCH(ROWS($W$2:W886),$W$2:$W$1001,0),0), INDEX($AD$1004:$AU$1004,1,MATCH(COLUMNS($AD$1006:AO1006),$AD$1006:$AU$1006,0)))),"Fix")))</f>
        <v xml:space="preserve"> </v>
      </c>
      <c r="N886" s="4" t="str">
        <f ca="1">IF(OR(INDEX($X$2:$X$1001,MATCH(ROWS($W$2:W886),$W$2:$W$1001,0),1)&gt;=100000,INDEX($AD$1005:$AU$1005,1,MATCH(COLUMNS($AD$1006:AP1006),$AD$1006:$AU$1006,0))&gt;=100000), " ",IF(INDEX($AD$2:$AU$1001,MATCH(ROWS($W$2:W886),$W$2:$W$1001,0),MATCH(COLUMNS($AD$1006:AP1006),$AD$1006:$AU$1006,0)), HYPERLINK("#",""), HYPERLINK(CONCATENATE("#metadata!", ADDRESS(INDEX($Y$2:$Y$1001,MATCH(ROWS($W$2:W886),$W$2:$W$1001,0),0), INDEX($AD$1004:$AU$1004,1,MATCH(COLUMNS($AD$1006:AP1006),$AD$1006:$AU$1006,0)))),"Fix")))</f>
        <v xml:space="preserve"> </v>
      </c>
      <c r="O886" s="4" t="str">
        <f ca="1">IF(OR(INDEX($X$2:$X$1001,MATCH(ROWS($W$2:W886),$W$2:$W$1001,0),1)&gt;=100000,INDEX($AD$1005:$AU$1005,1,MATCH(COLUMNS($AD$1006:AQ1006),$AD$1006:$AU$1006,0))&gt;=100000), " ",IF(INDEX($AD$2:$AU$1001,MATCH(ROWS($W$2:W886),$W$2:$W$1001,0),MATCH(COLUMNS($AD$1006:AQ1006),$AD$1006:$AU$1006,0)), HYPERLINK("#",""), HYPERLINK(CONCATENATE("#metadata!", ADDRESS(INDEX($Y$2:$Y$1001,MATCH(ROWS($W$2:W886),$W$2:$W$1001,0),0), INDEX($AD$1004:$AU$1004,1,MATCH(COLUMNS($AD$1006:AQ1006),$AD$1006:$AU$1006,0)))),"Fix")))</f>
        <v xml:space="preserve"> </v>
      </c>
      <c r="P886" s="4" t="str">
        <f ca="1">IF(OR(INDEX($X$2:$X$1001,MATCH(ROWS($W$2:W886),$W$2:$W$1001,0),1)&gt;=100000,INDEX($AD$1005:$AU$1005,1,MATCH(COLUMNS($AD$1006:AR1006),$AD$1006:$AU$1006,0))&gt;=100000), " ",IF(INDEX($AD$2:$AU$1001,MATCH(ROWS($W$2:W886),$W$2:$W$1001,0),MATCH(COLUMNS($AD$1006:AR1006),$AD$1006:$AU$1006,0)), HYPERLINK("#",""), HYPERLINK(CONCATENATE("#metadata!", ADDRESS(INDEX($Y$2:$Y$1001,MATCH(ROWS($W$2:W886),$W$2:$W$1001,0),0), INDEX($AD$1004:$AU$1004,1,MATCH(COLUMNS($AD$1006:AR1006),$AD$1006:$AU$1006,0)))),"Fix")))</f>
        <v xml:space="preserve"> </v>
      </c>
      <c r="Q886" s="4" t="str">
        <f ca="1">IF(OR(INDEX($X$2:$X$1001,MATCH(ROWS($W$2:W886),$W$2:$W$1001,0),1)&gt;=100000,INDEX($AD$1005:$AU$1005,1,MATCH(COLUMNS($AD$1006:AS1006),$AD$1006:$AU$1006,0))&gt;=100000), " ",IF(INDEX($AD$2:$AU$1001,MATCH(ROWS($W$2:W886),$W$2:$W$1001,0),MATCH(COLUMNS($AD$1006:AS1006),$AD$1006:$AU$1006,0)), HYPERLINK("#",""), HYPERLINK(CONCATENATE("#metadata!", ADDRESS(INDEX($Y$2:$Y$1001,MATCH(ROWS($W$2:W886),$W$2:$W$1001,0),0), INDEX($AD$1004:$AU$1004,1,MATCH(COLUMNS($AD$1006:AS1006),$AD$1006:$AU$1006,0)))),"Fix")))</f>
        <v xml:space="preserve"> </v>
      </c>
      <c r="R886" s="4" t="str">
        <f ca="1">IF(OR(INDEX($X$2:$X$1001,MATCH(ROWS($W$2:W886),$W$2:$W$1001,0),1)&gt;=100000,INDEX($AD$1005:$AU$1005,1,MATCH(COLUMNS($AD$1006:AT1006),$AD$1006:$AU$1006,0))&gt;=100000), " ",IF(INDEX($AD$2:$AU$1001,MATCH(ROWS($W$2:W886),$W$2:$W$1001,0),MATCH(COLUMNS($AD$1006:AT1006),$AD$1006:$AU$1006,0)), HYPERLINK("#",""), HYPERLINK(CONCATENATE("#metadata!", ADDRESS(INDEX($Y$2:$Y$1001,MATCH(ROWS($W$2:W886),$W$2:$W$1001,0),0), INDEX($AD$1004:$AU$1004,1,MATCH(COLUMNS($AD$1006:AT1006),$AD$1006:$AU$1006,0)))),"Fix")))</f>
        <v xml:space="preserve"> </v>
      </c>
      <c r="S886" s="4" t="str">
        <f ca="1">IF(OR(INDEX($X$2:$X$1001,MATCH(ROWS($W$2:W886),$W$2:$W$1001,0),1)&gt;=100000,INDEX($AD$1005:$AU$1005,1,MATCH(COLUMNS($AD$1006:AU1006),$AD$1006:$AU$1006,0))&gt;=100000), " ",IF(INDEX($AD$2:$AU$1001,MATCH(ROWS($W$2:W886),$W$2:$W$1001,0),MATCH(COLUMNS($AD$1006:AU1006),$AD$1006:$AU$1006,0)), HYPERLINK("#",""), HYPERLINK(CONCATENATE("#metadata!", ADDRESS(INDEX($Y$2:$Y$1001,MATCH(ROWS($W$2:W886),$W$2:$W$1001,0),0), INDEX($AD$1004:$AU$1004,1,MATCH(COLUMNS($AD$1006:AU1006),$AD$1006:$AU$1006,0)))),"Fix")))</f>
        <v xml:space="preserve"> </v>
      </c>
      <c r="W886">
        <v>885</v>
      </c>
      <c r="X886">
        <v>100886</v>
      </c>
      <c r="Y886">
        <v>886</v>
      </c>
      <c r="Z886" t="b">
        <f t="shared" si="13"/>
        <v>1</v>
      </c>
      <c r="AA886" t="b">
        <f>COUNTBLANK(metadata!B886:S886)=COLUMNS(metadata!B886:S886)</f>
        <v>1</v>
      </c>
      <c r="AB886" t="str">
        <v/>
      </c>
      <c r="AD886" t="b">
        <f ca="1">AND(IF(metadata!B886="",FALSE,TRUE),COUNTIF(metadata!B:B, metadata!B886) = 1,NOT(ISERROR(SUMPRODUCT(SEARCH(MID(metadata!B886,ROW(INDIRECT("1:"&amp;LEN(metadata!B886))), 1),"0123456789abcdefghijklmnopqrstuvwxyzABCDEFGHIJKLMNOPQRSTUVWXYZ.")))))</f>
        <v>0</v>
      </c>
      <c r="AE886" t="b">
        <f>OR(AND(IF(metadata!C886="",FALSE,TRUE),OR(EXACT(metadata!C886,"not applicable"),EXACT(metadata!C886,"missing: not collected"),EXACT(metadata!C886,"missing: not provided"),EXACT(metadata!C886,"missing: restricted access"))),AND(IF(metadata!C886="",FALSE,ISNUMBER(VALUE(metadata!C886))),metadata!C886&gt;0))</f>
        <v>0</v>
      </c>
      <c r="AF886" t="b">
        <f>AND(IF(metadata!D886="",FALSE,TRUE),EXACT(metadata!D886,"missing: not provided"))</f>
        <v>0</v>
      </c>
      <c r="AG886" t="b">
        <f>AND(IF(metadata!E886="",FALSE,TRUE),EXACT(metadata!E886,"Host-associated"))</f>
        <v>0</v>
      </c>
      <c r="AH886" t="b">
        <f>AND(IF(metadata!F886="",FALSE,TRUE),OR(EXACT(metadata!F886,"Animal"),EXACT(metadata!F886,"Fungus"),EXACT(metadata!F886,"Plant")))</f>
        <v>0</v>
      </c>
      <c r="AI886" t="b">
        <f>AND(IF(metadata!G886="",FALSE,TRUE),OR(EXACT(metadata!G886,"Plant secretion"),EXACT(metadata!G886,"Plant rhizosphere"),EXACT(metadata!G886,"Plant surface"),EXACT(metadata!G886,"Plant corpus"),EXACT(metadata!G886,"Fungus surface"),EXACT(metadata!G886,"Fungus corpus"),EXACT(metadata!G886,"Animal surface"),EXACT(metadata!G886,"Animal proximal gut"),EXACT(metadata!G886,"Animal corpus"),EXACT(metadata!G886,"Animal distal gut"),EXACT(metadata!G886,"Animal secretion")))</f>
        <v>0</v>
      </c>
      <c r="AJ886" t="b">
        <f>OR(AND(IF(metadata!H886="",FALSE,TRUE),OR(EXACT(metadata!H886,"missing: not collected"),EXACT(metadata!H886,"missing: not provided"),EXACT(metadata!H886,"missing: restricted access"))),AND(IF(metadata!H886="",FALSE,TRUE),OR(EXACT(metadata!H886,"organism-associated habitat"),EXACT(metadata!H886,"plant-associated habitat"),EXACT(metadata!H886,"animal-associated habitat"),EXACT(metadata!H886,"insecta-associated habitat"),EXACT(metadata!H886,"mammalia-associated habitat"),EXACT(metadata!H886,"human-associated habitat"),EXACT(metadata!H886,"livestock-associated habitat"))))</f>
        <v>0</v>
      </c>
      <c r="AK886" t="b">
        <f>AND(IF(metadata!I886="",FALSE,TRUE),EXACT(metadata!I886,"host-associated"))</f>
        <v>0</v>
      </c>
      <c r="AL886" t="b">
        <f>OR(AND(IF(metadata!J886="",FALSE,TRUE),OR(EXACT(metadata!J886,"not applicable"),EXACT(metadata!J886,"missing: not collected"),EXACT(metadata!J886,"missing: not provided"),EXACT(metadata!J886,"missing: restricted access"))),AND(IF(metadata!J886="",FALSE,ISNUMBER(VALUE(metadata!J886))),metadata!J886&gt;0))</f>
        <v>0</v>
      </c>
      <c r="AM886" t="b">
        <f>AND(IF(metadata!K886="",FALSE,TRUE),EXACT(metadata!K886,"missing: not provided"))</f>
        <v>0</v>
      </c>
      <c r="AN886" t="b">
        <f>IF(metadata!L886="",FALSE,TRUE)</f>
        <v>0</v>
      </c>
      <c r="AO886" t="b">
        <f>IF(metadata!M886="",FALSE,TRUE)</f>
        <v>0</v>
      </c>
      <c r="AP886" t="b">
        <f>OR(AND(IF(metadata!N886="",FALSE,TRUE),OR(EXACT(metadata!N886,"not applicable"),EXACT(metadata!N886,"missing: not collected"),EXACT(metadata!N886,"missing: not provided"))),AND(IF(metadata!N886="",FALSE,IF(ISERROR(INT(metadata!N886)),FALSE,INT(metadata!N886)=metadata!N886)),metadata!N886&gt;0))</f>
        <v>0</v>
      </c>
      <c r="AQ886" t="b">
        <f>AND(IF(metadata!O886="",FALSE,TRUE),EXACT(metadata!O886,"Not applicable"))</f>
        <v>0</v>
      </c>
      <c r="AR886" t="b">
        <f>OR(AND(IF(metadata!P886="",FALSE,TRUE),OR(EXACT(metadata!P886,"not applicable"),EXACT(metadata!P886,"missing: not collected"),EXACT(metadata!P886,"missing: not provided"),EXACT(metadata!P886,"missing: restricted access"))),IF(metadata!P886="",FALSE,IF(ISERROR(INT(metadata!P886)),FALSE,INT(metadata!P886)=metadata!P886)))</f>
        <v>0</v>
      </c>
      <c r="AS886" t="b">
        <f>AND(IF(metadata!Q886="",FALSE,TRUE),EXACT(metadata!Q886,"Not applicable"))</f>
        <v>0</v>
      </c>
      <c r="AT886" t="b">
        <f>OR(AND(IF(metadata!R886="",FALSE,TRUE),OR(EXACT(metadata!R886,"not applicable"),EXACT(metadata!R886,"missing: not collected"),EXACT(metadata!R886,"missing: not provided"),EXACT(metadata!R886,"missing: restricted access"))),AND(IF(metadata!R886="",FALSE,ISNUMBER(VALUE(metadata!R886))),metadata!R886&gt;0))</f>
        <v>0</v>
      </c>
      <c r="AU886" t="b">
        <f>AND(IF(metadata!S886="",FALSE,TRUE),EXACT(metadata!S886,"missing: not provided"))</f>
        <v>0</v>
      </c>
    </row>
    <row r="887" spans="1:47" x14ac:dyDescent="0.2">
      <c r="A887" s="5" t="str">
        <f ca="1">IF(B887=" "," ",HYPERLINK(CONCATENATE("#metadata!",ADDRESS(INDEX($Y$2:$Y$1001,MATCH(ROWS($W$2:W887),$W$2:$W$1001,0),0),1)),INDEX($AB$2:$AB$1001,MATCH(ROWS($W$2:W887),$W$2:$W$1001,0),0)))</f>
        <v xml:space="preserve"> </v>
      </c>
      <c r="B887" s="4" t="str">
        <f ca="1">IF(OR(INDEX($X$2:$X$1001,MATCH(ROWS($W$2:W887),$W$2:$W$1001,0),1)&gt;=100000,INDEX($AD$1005:$AU$1005,1,MATCH(COLUMNS($AD$1006:AD1006),$AD$1006:$AU$1006,0))&gt;=100000), " ",IF(INDEX($AD$2:$AU$1001,MATCH(ROWS($W$2:W887),$W$2:$W$1001,0),MATCH(COLUMNS($AD$1006:AD1006),$AD$1006:$AU$1006,0)), HYPERLINK("#",""), HYPERLINK(CONCATENATE("#metadata!", ADDRESS(INDEX($Y$2:$Y$1001,MATCH(ROWS($W$2:W887),$W$2:$W$1001,0),0), INDEX($AD$1004:$AU$1004,1,MATCH(COLUMNS($AD$1006:AD1006),$AD$1006:$AU$1006,0)))),"Fix")))</f>
        <v xml:space="preserve"> </v>
      </c>
      <c r="C887" s="4" t="str">
        <f ca="1">IF(OR(INDEX($X$2:$X$1001,MATCH(ROWS($W$2:W887),$W$2:$W$1001,0),1)&gt;=100000,INDEX($AD$1005:$AU$1005,1,MATCH(COLUMNS($AD$1006:AE1006),$AD$1006:$AU$1006,0))&gt;=100000), " ",IF(INDEX($AD$2:$AU$1001,MATCH(ROWS($W$2:W887),$W$2:$W$1001,0),MATCH(COLUMNS($AD$1006:AE1006),$AD$1006:$AU$1006,0)), HYPERLINK("#",""), HYPERLINK(CONCATENATE("#metadata!", ADDRESS(INDEX($Y$2:$Y$1001,MATCH(ROWS($W$2:W887),$W$2:$W$1001,0),0), INDEX($AD$1004:$AU$1004,1,MATCH(COLUMNS($AD$1006:AE1006),$AD$1006:$AU$1006,0)))),"Fix")))</f>
        <v xml:space="preserve"> </v>
      </c>
      <c r="D887" s="4" t="str">
        <f ca="1">IF(OR(INDEX($X$2:$X$1001,MATCH(ROWS($W$2:W887),$W$2:$W$1001,0),1)&gt;=100000,INDEX($AD$1005:$AU$1005,1,MATCH(COLUMNS($AD$1006:AF1006),$AD$1006:$AU$1006,0))&gt;=100000), " ",IF(INDEX($AD$2:$AU$1001,MATCH(ROWS($W$2:W887),$W$2:$W$1001,0),MATCH(COLUMNS($AD$1006:AF1006),$AD$1006:$AU$1006,0)), HYPERLINK("#",""), HYPERLINK(CONCATENATE("#metadata!", ADDRESS(INDEX($Y$2:$Y$1001,MATCH(ROWS($W$2:W887),$W$2:$W$1001,0),0), INDEX($AD$1004:$AU$1004,1,MATCH(COLUMNS($AD$1006:AF1006),$AD$1006:$AU$1006,0)))),"Fix")))</f>
        <v xml:space="preserve"> </v>
      </c>
      <c r="E887" s="4" t="str">
        <f ca="1">IF(OR(INDEX($X$2:$X$1001,MATCH(ROWS($W$2:W887),$W$2:$W$1001,0),1)&gt;=100000,INDEX($AD$1005:$AU$1005,1,MATCH(COLUMNS($AD$1006:AG1006),$AD$1006:$AU$1006,0))&gt;=100000), " ",IF(INDEX($AD$2:$AU$1001,MATCH(ROWS($W$2:W887),$W$2:$W$1001,0),MATCH(COLUMNS($AD$1006:AG1006),$AD$1006:$AU$1006,0)), HYPERLINK("#",""), HYPERLINK(CONCATENATE("#metadata!", ADDRESS(INDEX($Y$2:$Y$1001,MATCH(ROWS($W$2:W887),$W$2:$W$1001,0),0), INDEX($AD$1004:$AU$1004,1,MATCH(COLUMNS($AD$1006:AG1006),$AD$1006:$AU$1006,0)))),"Fix")))</f>
        <v xml:space="preserve"> </v>
      </c>
      <c r="F887" s="4" t="str">
        <f ca="1">IF(OR(INDEX($X$2:$X$1001,MATCH(ROWS($W$2:W887),$W$2:$W$1001,0),1)&gt;=100000,INDEX($AD$1005:$AU$1005,1,MATCH(COLUMNS($AD$1006:AH1006),$AD$1006:$AU$1006,0))&gt;=100000), " ",IF(INDEX($AD$2:$AU$1001,MATCH(ROWS($W$2:W887),$W$2:$W$1001,0),MATCH(COLUMNS($AD$1006:AH1006),$AD$1006:$AU$1006,0)), HYPERLINK("#",""), HYPERLINK(CONCATENATE("#metadata!", ADDRESS(INDEX($Y$2:$Y$1001,MATCH(ROWS($W$2:W887),$W$2:$W$1001,0),0), INDEX($AD$1004:$AU$1004,1,MATCH(COLUMNS($AD$1006:AH1006),$AD$1006:$AU$1006,0)))),"Fix")))</f>
        <v xml:space="preserve"> </v>
      </c>
      <c r="G887" s="4" t="str">
        <f ca="1">IF(OR(INDEX($X$2:$X$1001,MATCH(ROWS($W$2:W887),$W$2:$W$1001,0),1)&gt;=100000,INDEX($AD$1005:$AU$1005,1,MATCH(COLUMNS($AD$1006:AI1006),$AD$1006:$AU$1006,0))&gt;=100000), " ",IF(INDEX($AD$2:$AU$1001,MATCH(ROWS($W$2:W887),$W$2:$W$1001,0),MATCH(COLUMNS($AD$1006:AI1006),$AD$1006:$AU$1006,0)), HYPERLINK("#",""), HYPERLINK(CONCATENATE("#metadata!", ADDRESS(INDEX($Y$2:$Y$1001,MATCH(ROWS($W$2:W887),$W$2:$W$1001,0),0), INDEX($AD$1004:$AU$1004,1,MATCH(COLUMNS($AD$1006:AI1006),$AD$1006:$AU$1006,0)))),"Fix")))</f>
        <v xml:space="preserve"> </v>
      </c>
      <c r="H887" s="4" t="str">
        <f ca="1">IF(OR(INDEX($X$2:$X$1001,MATCH(ROWS($W$2:W887),$W$2:$W$1001,0),1)&gt;=100000,INDEX($AD$1005:$AU$1005,1,MATCH(COLUMNS($AD$1006:AJ1006),$AD$1006:$AU$1006,0))&gt;=100000), " ",IF(INDEX($AD$2:$AU$1001,MATCH(ROWS($W$2:W887),$W$2:$W$1001,0),MATCH(COLUMNS($AD$1006:AJ1006),$AD$1006:$AU$1006,0)), HYPERLINK("#",""), HYPERLINK(CONCATENATE("#metadata!", ADDRESS(INDEX($Y$2:$Y$1001,MATCH(ROWS($W$2:W887),$W$2:$W$1001,0),0), INDEX($AD$1004:$AU$1004,1,MATCH(COLUMNS($AD$1006:AJ1006),$AD$1006:$AU$1006,0)))),"Fix")))</f>
        <v xml:space="preserve"> </v>
      </c>
      <c r="I887" s="4" t="str">
        <f ca="1">IF(OR(INDEX($X$2:$X$1001,MATCH(ROWS($W$2:W887),$W$2:$W$1001,0),1)&gt;=100000,INDEX($AD$1005:$AU$1005,1,MATCH(COLUMNS($AD$1006:AK1006),$AD$1006:$AU$1006,0))&gt;=100000), " ",IF(INDEX($AD$2:$AU$1001,MATCH(ROWS($W$2:W887),$W$2:$W$1001,0),MATCH(COLUMNS($AD$1006:AK1006),$AD$1006:$AU$1006,0)), HYPERLINK("#",""), HYPERLINK(CONCATENATE("#metadata!", ADDRESS(INDEX($Y$2:$Y$1001,MATCH(ROWS($W$2:W887),$W$2:$W$1001,0),0), INDEX($AD$1004:$AU$1004,1,MATCH(COLUMNS($AD$1006:AK1006),$AD$1006:$AU$1006,0)))),"Fix")))</f>
        <v xml:space="preserve"> </v>
      </c>
      <c r="J887" s="4" t="str">
        <f ca="1">IF(OR(INDEX($X$2:$X$1001,MATCH(ROWS($W$2:W887),$W$2:$W$1001,0),1)&gt;=100000,INDEX($AD$1005:$AU$1005,1,MATCH(COLUMNS($AD$1006:AL1006),$AD$1006:$AU$1006,0))&gt;=100000), " ",IF(INDEX($AD$2:$AU$1001,MATCH(ROWS($W$2:W887),$W$2:$W$1001,0),MATCH(COLUMNS($AD$1006:AL1006),$AD$1006:$AU$1006,0)), HYPERLINK("#",""), HYPERLINK(CONCATENATE("#metadata!", ADDRESS(INDEX($Y$2:$Y$1001,MATCH(ROWS($W$2:W887),$W$2:$W$1001,0),0), INDEX($AD$1004:$AU$1004,1,MATCH(COLUMNS($AD$1006:AL1006),$AD$1006:$AU$1006,0)))),"Fix")))</f>
        <v xml:space="preserve"> </v>
      </c>
      <c r="K887" s="4" t="str">
        <f ca="1">IF(OR(INDEX($X$2:$X$1001,MATCH(ROWS($W$2:W887),$W$2:$W$1001,0),1)&gt;=100000,INDEX($AD$1005:$AU$1005,1,MATCH(COLUMNS($AD$1006:AM1006),$AD$1006:$AU$1006,0))&gt;=100000), " ",IF(INDEX($AD$2:$AU$1001,MATCH(ROWS($W$2:W887),$W$2:$W$1001,0),MATCH(COLUMNS($AD$1006:AM1006),$AD$1006:$AU$1006,0)), HYPERLINK("#",""), HYPERLINK(CONCATENATE("#metadata!", ADDRESS(INDEX($Y$2:$Y$1001,MATCH(ROWS($W$2:W887),$W$2:$W$1001,0),0), INDEX($AD$1004:$AU$1004,1,MATCH(COLUMNS($AD$1006:AM1006),$AD$1006:$AU$1006,0)))),"Fix")))</f>
        <v xml:space="preserve"> </v>
      </c>
      <c r="L887" s="4" t="str">
        <f ca="1">IF(OR(INDEX($X$2:$X$1001,MATCH(ROWS($W$2:W887),$W$2:$W$1001,0),1)&gt;=100000,INDEX($AD$1005:$AU$1005,1,MATCH(COLUMNS($AD$1006:AN1006),$AD$1006:$AU$1006,0))&gt;=100000), " ",IF(INDEX($AD$2:$AU$1001,MATCH(ROWS($W$2:W887),$W$2:$W$1001,0),MATCH(COLUMNS($AD$1006:AN1006),$AD$1006:$AU$1006,0)), HYPERLINK("#",""), HYPERLINK(CONCATENATE("#metadata!", ADDRESS(INDEX($Y$2:$Y$1001,MATCH(ROWS($W$2:W887),$W$2:$W$1001,0),0), INDEX($AD$1004:$AU$1004,1,MATCH(COLUMNS($AD$1006:AN1006),$AD$1006:$AU$1006,0)))),"Fix")))</f>
        <v xml:space="preserve"> </v>
      </c>
      <c r="M887" s="4" t="str">
        <f ca="1">IF(OR(INDEX($X$2:$X$1001,MATCH(ROWS($W$2:W887),$W$2:$W$1001,0),1)&gt;=100000,INDEX($AD$1005:$AU$1005,1,MATCH(COLUMNS($AD$1006:AO1006),$AD$1006:$AU$1006,0))&gt;=100000), " ",IF(INDEX($AD$2:$AU$1001,MATCH(ROWS($W$2:W887),$W$2:$W$1001,0),MATCH(COLUMNS($AD$1006:AO1006),$AD$1006:$AU$1006,0)), HYPERLINK("#",""), HYPERLINK(CONCATENATE("#metadata!", ADDRESS(INDEX($Y$2:$Y$1001,MATCH(ROWS($W$2:W887),$W$2:$W$1001,0),0), INDEX($AD$1004:$AU$1004,1,MATCH(COLUMNS($AD$1006:AO1006),$AD$1006:$AU$1006,0)))),"Fix")))</f>
        <v xml:space="preserve"> </v>
      </c>
      <c r="N887" s="4" t="str">
        <f ca="1">IF(OR(INDEX($X$2:$X$1001,MATCH(ROWS($W$2:W887),$W$2:$W$1001,0),1)&gt;=100000,INDEX($AD$1005:$AU$1005,1,MATCH(COLUMNS($AD$1006:AP1006),$AD$1006:$AU$1006,0))&gt;=100000), " ",IF(INDEX($AD$2:$AU$1001,MATCH(ROWS($W$2:W887),$W$2:$W$1001,0),MATCH(COLUMNS($AD$1006:AP1006),$AD$1006:$AU$1006,0)), HYPERLINK("#",""), HYPERLINK(CONCATENATE("#metadata!", ADDRESS(INDEX($Y$2:$Y$1001,MATCH(ROWS($W$2:W887),$W$2:$W$1001,0),0), INDEX($AD$1004:$AU$1004,1,MATCH(COLUMNS($AD$1006:AP1006),$AD$1006:$AU$1006,0)))),"Fix")))</f>
        <v xml:space="preserve"> </v>
      </c>
      <c r="O887" s="4" t="str">
        <f ca="1">IF(OR(INDEX($X$2:$X$1001,MATCH(ROWS($W$2:W887),$W$2:$W$1001,0),1)&gt;=100000,INDEX($AD$1005:$AU$1005,1,MATCH(COLUMNS($AD$1006:AQ1006),$AD$1006:$AU$1006,0))&gt;=100000), " ",IF(INDEX($AD$2:$AU$1001,MATCH(ROWS($W$2:W887),$W$2:$W$1001,0),MATCH(COLUMNS($AD$1006:AQ1006),$AD$1006:$AU$1006,0)), HYPERLINK("#",""), HYPERLINK(CONCATENATE("#metadata!", ADDRESS(INDEX($Y$2:$Y$1001,MATCH(ROWS($W$2:W887),$W$2:$W$1001,0),0), INDEX($AD$1004:$AU$1004,1,MATCH(COLUMNS($AD$1006:AQ1006),$AD$1006:$AU$1006,0)))),"Fix")))</f>
        <v xml:space="preserve"> </v>
      </c>
      <c r="P887" s="4" t="str">
        <f ca="1">IF(OR(INDEX($X$2:$X$1001,MATCH(ROWS($W$2:W887),$W$2:$W$1001,0),1)&gt;=100000,INDEX($AD$1005:$AU$1005,1,MATCH(COLUMNS($AD$1006:AR1006),$AD$1006:$AU$1006,0))&gt;=100000), " ",IF(INDEX($AD$2:$AU$1001,MATCH(ROWS($W$2:W887),$W$2:$W$1001,0),MATCH(COLUMNS($AD$1006:AR1006),$AD$1006:$AU$1006,0)), HYPERLINK("#",""), HYPERLINK(CONCATENATE("#metadata!", ADDRESS(INDEX($Y$2:$Y$1001,MATCH(ROWS($W$2:W887),$W$2:$W$1001,0),0), INDEX($AD$1004:$AU$1004,1,MATCH(COLUMNS($AD$1006:AR1006),$AD$1006:$AU$1006,0)))),"Fix")))</f>
        <v xml:space="preserve"> </v>
      </c>
      <c r="Q887" s="4" t="str">
        <f ca="1">IF(OR(INDEX($X$2:$X$1001,MATCH(ROWS($W$2:W887),$W$2:$W$1001,0),1)&gt;=100000,INDEX($AD$1005:$AU$1005,1,MATCH(COLUMNS($AD$1006:AS1006),$AD$1006:$AU$1006,0))&gt;=100000), " ",IF(INDEX($AD$2:$AU$1001,MATCH(ROWS($W$2:W887),$W$2:$W$1001,0),MATCH(COLUMNS($AD$1006:AS1006),$AD$1006:$AU$1006,0)), HYPERLINK("#",""), HYPERLINK(CONCATENATE("#metadata!", ADDRESS(INDEX($Y$2:$Y$1001,MATCH(ROWS($W$2:W887),$W$2:$W$1001,0),0), INDEX($AD$1004:$AU$1004,1,MATCH(COLUMNS($AD$1006:AS1006),$AD$1006:$AU$1006,0)))),"Fix")))</f>
        <v xml:space="preserve"> </v>
      </c>
      <c r="R887" s="4" t="str">
        <f ca="1">IF(OR(INDEX($X$2:$X$1001,MATCH(ROWS($W$2:W887),$W$2:$W$1001,0),1)&gt;=100000,INDEX($AD$1005:$AU$1005,1,MATCH(COLUMNS($AD$1006:AT1006),$AD$1006:$AU$1006,0))&gt;=100000), " ",IF(INDEX($AD$2:$AU$1001,MATCH(ROWS($W$2:W887),$W$2:$W$1001,0),MATCH(COLUMNS($AD$1006:AT1006),$AD$1006:$AU$1006,0)), HYPERLINK("#",""), HYPERLINK(CONCATENATE("#metadata!", ADDRESS(INDEX($Y$2:$Y$1001,MATCH(ROWS($W$2:W887),$W$2:$W$1001,0),0), INDEX($AD$1004:$AU$1004,1,MATCH(COLUMNS($AD$1006:AT1006),$AD$1006:$AU$1006,0)))),"Fix")))</f>
        <v xml:space="preserve"> </v>
      </c>
      <c r="S887" s="4" t="str">
        <f ca="1">IF(OR(INDEX($X$2:$X$1001,MATCH(ROWS($W$2:W887),$W$2:$W$1001,0),1)&gt;=100000,INDEX($AD$1005:$AU$1005,1,MATCH(COLUMNS($AD$1006:AU1006),$AD$1006:$AU$1006,0))&gt;=100000), " ",IF(INDEX($AD$2:$AU$1001,MATCH(ROWS($W$2:W887),$W$2:$W$1001,0),MATCH(COLUMNS($AD$1006:AU1006),$AD$1006:$AU$1006,0)), HYPERLINK("#",""), HYPERLINK(CONCATENATE("#metadata!", ADDRESS(INDEX($Y$2:$Y$1001,MATCH(ROWS($W$2:W887),$W$2:$W$1001,0),0), INDEX($AD$1004:$AU$1004,1,MATCH(COLUMNS($AD$1006:AU1006),$AD$1006:$AU$1006,0)))),"Fix")))</f>
        <v xml:space="preserve"> </v>
      </c>
      <c r="W887">
        <v>886</v>
      </c>
      <c r="X887">
        <v>100887</v>
      </c>
      <c r="Y887">
        <v>887</v>
      </c>
      <c r="Z887" t="b">
        <f t="shared" si="13"/>
        <v>1</v>
      </c>
      <c r="AA887" t="b">
        <f>COUNTBLANK(metadata!B887:S887)=COLUMNS(metadata!B887:S887)</f>
        <v>1</v>
      </c>
      <c r="AB887" t="str">
        <v/>
      </c>
      <c r="AD887" t="b">
        <f ca="1">AND(IF(metadata!B887="",FALSE,TRUE),COUNTIF(metadata!B:B, metadata!B887) = 1,NOT(ISERROR(SUMPRODUCT(SEARCH(MID(metadata!B887,ROW(INDIRECT("1:"&amp;LEN(metadata!B887))), 1),"0123456789abcdefghijklmnopqrstuvwxyzABCDEFGHIJKLMNOPQRSTUVWXYZ.")))))</f>
        <v>0</v>
      </c>
      <c r="AE887" t="b">
        <f>OR(AND(IF(metadata!C887="",FALSE,TRUE),OR(EXACT(metadata!C887,"not applicable"),EXACT(metadata!C887,"missing: not collected"),EXACT(metadata!C887,"missing: not provided"),EXACT(metadata!C887,"missing: restricted access"))),AND(IF(metadata!C887="",FALSE,ISNUMBER(VALUE(metadata!C887))),metadata!C887&gt;0))</f>
        <v>0</v>
      </c>
      <c r="AF887" t="b">
        <f>AND(IF(metadata!D887="",FALSE,TRUE),EXACT(metadata!D887,"missing: not provided"))</f>
        <v>0</v>
      </c>
      <c r="AG887" t="b">
        <f>AND(IF(metadata!E887="",FALSE,TRUE),EXACT(metadata!E887,"Host-associated"))</f>
        <v>0</v>
      </c>
      <c r="AH887" t="b">
        <f>AND(IF(metadata!F887="",FALSE,TRUE),OR(EXACT(metadata!F887,"Animal"),EXACT(metadata!F887,"Fungus"),EXACT(metadata!F887,"Plant")))</f>
        <v>0</v>
      </c>
      <c r="AI887" t="b">
        <f>AND(IF(metadata!G887="",FALSE,TRUE),OR(EXACT(metadata!G887,"Plant secretion"),EXACT(metadata!G887,"Plant rhizosphere"),EXACT(metadata!G887,"Plant surface"),EXACT(metadata!G887,"Plant corpus"),EXACT(metadata!G887,"Fungus surface"),EXACT(metadata!G887,"Fungus corpus"),EXACT(metadata!G887,"Animal surface"),EXACT(metadata!G887,"Animal proximal gut"),EXACT(metadata!G887,"Animal corpus"),EXACT(metadata!G887,"Animal distal gut"),EXACT(metadata!G887,"Animal secretion")))</f>
        <v>0</v>
      </c>
      <c r="AJ887" t="b">
        <f>OR(AND(IF(metadata!H887="",FALSE,TRUE),OR(EXACT(metadata!H887,"missing: not collected"),EXACT(metadata!H887,"missing: not provided"),EXACT(metadata!H887,"missing: restricted access"))),AND(IF(metadata!H887="",FALSE,TRUE),OR(EXACT(metadata!H887,"organism-associated habitat"),EXACT(metadata!H887,"plant-associated habitat"),EXACT(metadata!H887,"animal-associated habitat"),EXACT(metadata!H887,"insecta-associated habitat"),EXACT(metadata!H887,"mammalia-associated habitat"),EXACT(metadata!H887,"human-associated habitat"),EXACT(metadata!H887,"livestock-associated habitat"))))</f>
        <v>0</v>
      </c>
      <c r="AK887" t="b">
        <f>AND(IF(metadata!I887="",FALSE,TRUE),EXACT(metadata!I887,"host-associated"))</f>
        <v>0</v>
      </c>
      <c r="AL887" t="b">
        <f>OR(AND(IF(metadata!J887="",FALSE,TRUE),OR(EXACT(metadata!J887,"not applicable"),EXACT(metadata!J887,"missing: not collected"),EXACT(metadata!J887,"missing: not provided"),EXACT(metadata!J887,"missing: restricted access"))),AND(IF(metadata!J887="",FALSE,ISNUMBER(VALUE(metadata!J887))),metadata!J887&gt;0))</f>
        <v>0</v>
      </c>
      <c r="AM887" t="b">
        <f>AND(IF(metadata!K887="",FALSE,TRUE),EXACT(metadata!K887,"missing: not provided"))</f>
        <v>0</v>
      </c>
      <c r="AN887" t="b">
        <f>IF(metadata!L887="",FALSE,TRUE)</f>
        <v>0</v>
      </c>
      <c r="AO887" t="b">
        <f>IF(metadata!M887="",FALSE,TRUE)</f>
        <v>0</v>
      </c>
      <c r="AP887" t="b">
        <f>OR(AND(IF(metadata!N887="",FALSE,TRUE),OR(EXACT(metadata!N887,"not applicable"),EXACT(metadata!N887,"missing: not collected"),EXACT(metadata!N887,"missing: not provided"))),AND(IF(metadata!N887="",FALSE,IF(ISERROR(INT(metadata!N887)),FALSE,INT(metadata!N887)=metadata!N887)),metadata!N887&gt;0))</f>
        <v>0</v>
      </c>
      <c r="AQ887" t="b">
        <f>AND(IF(metadata!O887="",FALSE,TRUE),EXACT(metadata!O887,"Not applicable"))</f>
        <v>0</v>
      </c>
      <c r="AR887" t="b">
        <f>OR(AND(IF(metadata!P887="",FALSE,TRUE),OR(EXACT(metadata!P887,"not applicable"),EXACT(metadata!P887,"missing: not collected"),EXACT(metadata!P887,"missing: not provided"),EXACT(metadata!P887,"missing: restricted access"))),IF(metadata!P887="",FALSE,IF(ISERROR(INT(metadata!P887)),FALSE,INT(metadata!P887)=metadata!P887)))</f>
        <v>0</v>
      </c>
      <c r="AS887" t="b">
        <f>AND(IF(metadata!Q887="",FALSE,TRUE),EXACT(metadata!Q887,"Not applicable"))</f>
        <v>0</v>
      </c>
      <c r="AT887" t="b">
        <f>OR(AND(IF(metadata!R887="",FALSE,TRUE),OR(EXACT(metadata!R887,"not applicable"),EXACT(metadata!R887,"missing: not collected"),EXACT(metadata!R887,"missing: not provided"),EXACT(metadata!R887,"missing: restricted access"))),AND(IF(metadata!R887="",FALSE,ISNUMBER(VALUE(metadata!R887))),metadata!R887&gt;0))</f>
        <v>0</v>
      </c>
      <c r="AU887" t="b">
        <f>AND(IF(metadata!S887="",FALSE,TRUE),EXACT(metadata!S887,"missing: not provided"))</f>
        <v>0</v>
      </c>
    </row>
    <row r="888" spans="1:47" x14ac:dyDescent="0.2">
      <c r="A888" s="5" t="str">
        <f ca="1">IF(B888=" "," ",HYPERLINK(CONCATENATE("#metadata!",ADDRESS(INDEX($Y$2:$Y$1001,MATCH(ROWS($W$2:W888),$W$2:$W$1001,0),0),1)),INDEX($AB$2:$AB$1001,MATCH(ROWS($W$2:W888),$W$2:$W$1001,0),0)))</f>
        <v xml:space="preserve"> </v>
      </c>
      <c r="B888" s="4" t="str">
        <f ca="1">IF(OR(INDEX($X$2:$X$1001,MATCH(ROWS($W$2:W888),$W$2:$W$1001,0),1)&gt;=100000,INDEX($AD$1005:$AU$1005,1,MATCH(COLUMNS($AD$1006:AD1006),$AD$1006:$AU$1006,0))&gt;=100000), " ",IF(INDEX($AD$2:$AU$1001,MATCH(ROWS($W$2:W888),$W$2:$W$1001,0),MATCH(COLUMNS($AD$1006:AD1006),$AD$1006:$AU$1006,0)), HYPERLINK("#",""), HYPERLINK(CONCATENATE("#metadata!", ADDRESS(INDEX($Y$2:$Y$1001,MATCH(ROWS($W$2:W888),$W$2:$W$1001,0),0), INDEX($AD$1004:$AU$1004,1,MATCH(COLUMNS($AD$1006:AD1006),$AD$1006:$AU$1006,0)))),"Fix")))</f>
        <v xml:space="preserve"> </v>
      </c>
      <c r="C888" s="4" t="str">
        <f ca="1">IF(OR(INDEX($X$2:$X$1001,MATCH(ROWS($W$2:W888),$W$2:$W$1001,0),1)&gt;=100000,INDEX($AD$1005:$AU$1005,1,MATCH(COLUMNS($AD$1006:AE1006),$AD$1006:$AU$1006,0))&gt;=100000), " ",IF(INDEX($AD$2:$AU$1001,MATCH(ROWS($W$2:W888),$W$2:$W$1001,0),MATCH(COLUMNS($AD$1006:AE1006),$AD$1006:$AU$1006,0)), HYPERLINK("#",""), HYPERLINK(CONCATENATE("#metadata!", ADDRESS(INDEX($Y$2:$Y$1001,MATCH(ROWS($W$2:W888),$W$2:$W$1001,0),0), INDEX($AD$1004:$AU$1004,1,MATCH(COLUMNS($AD$1006:AE1006),$AD$1006:$AU$1006,0)))),"Fix")))</f>
        <v xml:space="preserve"> </v>
      </c>
      <c r="D888" s="4" t="str">
        <f ca="1">IF(OR(INDEX($X$2:$X$1001,MATCH(ROWS($W$2:W888),$W$2:$W$1001,0),1)&gt;=100000,INDEX($AD$1005:$AU$1005,1,MATCH(COLUMNS($AD$1006:AF1006),$AD$1006:$AU$1006,0))&gt;=100000), " ",IF(INDEX($AD$2:$AU$1001,MATCH(ROWS($W$2:W888),$W$2:$W$1001,0),MATCH(COLUMNS($AD$1006:AF1006),$AD$1006:$AU$1006,0)), HYPERLINK("#",""), HYPERLINK(CONCATENATE("#metadata!", ADDRESS(INDEX($Y$2:$Y$1001,MATCH(ROWS($W$2:W888),$W$2:$W$1001,0),0), INDEX($AD$1004:$AU$1004,1,MATCH(COLUMNS($AD$1006:AF1006),$AD$1006:$AU$1006,0)))),"Fix")))</f>
        <v xml:space="preserve"> </v>
      </c>
      <c r="E888" s="4" t="str">
        <f ca="1">IF(OR(INDEX($X$2:$X$1001,MATCH(ROWS($W$2:W888),$W$2:$W$1001,0),1)&gt;=100000,INDEX($AD$1005:$AU$1005,1,MATCH(COLUMNS($AD$1006:AG1006),$AD$1006:$AU$1006,0))&gt;=100000), " ",IF(INDEX($AD$2:$AU$1001,MATCH(ROWS($W$2:W888),$W$2:$W$1001,0),MATCH(COLUMNS($AD$1006:AG1006),$AD$1006:$AU$1006,0)), HYPERLINK("#",""), HYPERLINK(CONCATENATE("#metadata!", ADDRESS(INDEX($Y$2:$Y$1001,MATCH(ROWS($W$2:W888),$W$2:$W$1001,0),0), INDEX($AD$1004:$AU$1004,1,MATCH(COLUMNS($AD$1006:AG1006),$AD$1006:$AU$1006,0)))),"Fix")))</f>
        <v xml:space="preserve"> </v>
      </c>
      <c r="F888" s="4" t="str">
        <f ca="1">IF(OR(INDEX($X$2:$X$1001,MATCH(ROWS($W$2:W888),$W$2:$W$1001,0),1)&gt;=100000,INDEX($AD$1005:$AU$1005,1,MATCH(COLUMNS($AD$1006:AH1006),$AD$1006:$AU$1006,0))&gt;=100000), " ",IF(INDEX($AD$2:$AU$1001,MATCH(ROWS($W$2:W888),$W$2:$W$1001,0),MATCH(COLUMNS($AD$1006:AH1006),$AD$1006:$AU$1006,0)), HYPERLINK("#",""), HYPERLINK(CONCATENATE("#metadata!", ADDRESS(INDEX($Y$2:$Y$1001,MATCH(ROWS($W$2:W888),$W$2:$W$1001,0),0), INDEX($AD$1004:$AU$1004,1,MATCH(COLUMNS($AD$1006:AH1006),$AD$1006:$AU$1006,0)))),"Fix")))</f>
        <v xml:space="preserve"> </v>
      </c>
      <c r="G888" s="4" t="str">
        <f ca="1">IF(OR(INDEX($X$2:$X$1001,MATCH(ROWS($W$2:W888),$W$2:$W$1001,0),1)&gt;=100000,INDEX($AD$1005:$AU$1005,1,MATCH(COLUMNS($AD$1006:AI1006),$AD$1006:$AU$1006,0))&gt;=100000), " ",IF(INDEX($AD$2:$AU$1001,MATCH(ROWS($W$2:W888),$W$2:$W$1001,0),MATCH(COLUMNS($AD$1006:AI1006),$AD$1006:$AU$1006,0)), HYPERLINK("#",""), HYPERLINK(CONCATENATE("#metadata!", ADDRESS(INDEX($Y$2:$Y$1001,MATCH(ROWS($W$2:W888),$W$2:$W$1001,0),0), INDEX($AD$1004:$AU$1004,1,MATCH(COLUMNS($AD$1006:AI1006),$AD$1006:$AU$1006,0)))),"Fix")))</f>
        <v xml:space="preserve"> </v>
      </c>
      <c r="H888" s="4" t="str">
        <f ca="1">IF(OR(INDEX($X$2:$X$1001,MATCH(ROWS($W$2:W888),$W$2:$W$1001,0),1)&gt;=100000,INDEX($AD$1005:$AU$1005,1,MATCH(COLUMNS($AD$1006:AJ1006),$AD$1006:$AU$1006,0))&gt;=100000), " ",IF(INDEX($AD$2:$AU$1001,MATCH(ROWS($W$2:W888),$W$2:$W$1001,0),MATCH(COLUMNS($AD$1006:AJ1006),$AD$1006:$AU$1006,0)), HYPERLINK("#",""), HYPERLINK(CONCATENATE("#metadata!", ADDRESS(INDEX($Y$2:$Y$1001,MATCH(ROWS($W$2:W888),$W$2:$W$1001,0),0), INDEX($AD$1004:$AU$1004,1,MATCH(COLUMNS($AD$1006:AJ1006),$AD$1006:$AU$1006,0)))),"Fix")))</f>
        <v xml:space="preserve"> </v>
      </c>
      <c r="I888" s="4" t="str">
        <f ca="1">IF(OR(INDEX($X$2:$X$1001,MATCH(ROWS($W$2:W888),$W$2:$W$1001,0),1)&gt;=100000,INDEX($AD$1005:$AU$1005,1,MATCH(COLUMNS($AD$1006:AK1006),$AD$1006:$AU$1006,0))&gt;=100000), " ",IF(INDEX($AD$2:$AU$1001,MATCH(ROWS($W$2:W888),$W$2:$W$1001,0),MATCH(COLUMNS($AD$1006:AK1006),$AD$1006:$AU$1006,0)), HYPERLINK("#",""), HYPERLINK(CONCATENATE("#metadata!", ADDRESS(INDEX($Y$2:$Y$1001,MATCH(ROWS($W$2:W888),$W$2:$W$1001,0),0), INDEX($AD$1004:$AU$1004,1,MATCH(COLUMNS($AD$1006:AK1006),$AD$1006:$AU$1006,0)))),"Fix")))</f>
        <v xml:space="preserve"> </v>
      </c>
      <c r="J888" s="4" t="str">
        <f ca="1">IF(OR(INDEX($X$2:$X$1001,MATCH(ROWS($W$2:W888),$W$2:$W$1001,0),1)&gt;=100000,INDEX($AD$1005:$AU$1005,1,MATCH(COLUMNS($AD$1006:AL1006),$AD$1006:$AU$1006,0))&gt;=100000), " ",IF(INDEX($AD$2:$AU$1001,MATCH(ROWS($W$2:W888),$W$2:$W$1001,0),MATCH(COLUMNS($AD$1006:AL1006),$AD$1006:$AU$1006,0)), HYPERLINK("#",""), HYPERLINK(CONCATENATE("#metadata!", ADDRESS(INDEX($Y$2:$Y$1001,MATCH(ROWS($W$2:W888),$W$2:$W$1001,0),0), INDEX($AD$1004:$AU$1004,1,MATCH(COLUMNS($AD$1006:AL1006),$AD$1006:$AU$1006,0)))),"Fix")))</f>
        <v xml:space="preserve"> </v>
      </c>
      <c r="K888" s="4" t="str">
        <f ca="1">IF(OR(INDEX($X$2:$X$1001,MATCH(ROWS($W$2:W888),$W$2:$W$1001,0),1)&gt;=100000,INDEX($AD$1005:$AU$1005,1,MATCH(COLUMNS($AD$1006:AM1006),$AD$1006:$AU$1006,0))&gt;=100000), " ",IF(INDEX($AD$2:$AU$1001,MATCH(ROWS($W$2:W888),$W$2:$W$1001,0),MATCH(COLUMNS($AD$1006:AM1006),$AD$1006:$AU$1006,0)), HYPERLINK("#",""), HYPERLINK(CONCATENATE("#metadata!", ADDRESS(INDEX($Y$2:$Y$1001,MATCH(ROWS($W$2:W888),$W$2:$W$1001,0),0), INDEX($AD$1004:$AU$1004,1,MATCH(COLUMNS($AD$1006:AM1006),$AD$1006:$AU$1006,0)))),"Fix")))</f>
        <v xml:space="preserve"> </v>
      </c>
      <c r="L888" s="4" t="str">
        <f ca="1">IF(OR(INDEX($X$2:$X$1001,MATCH(ROWS($W$2:W888),$W$2:$W$1001,0),1)&gt;=100000,INDEX($AD$1005:$AU$1005,1,MATCH(COLUMNS($AD$1006:AN1006),$AD$1006:$AU$1006,0))&gt;=100000), " ",IF(INDEX($AD$2:$AU$1001,MATCH(ROWS($W$2:W888),$W$2:$W$1001,0),MATCH(COLUMNS($AD$1006:AN1006),$AD$1006:$AU$1006,0)), HYPERLINK("#",""), HYPERLINK(CONCATENATE("#metadata!", ADDRESS(INDEX($Y$2:$Y$1001,MATCH(ROWS($W$2:W888),$W$2:$W$1001,0),0), INDEX($AD$1004:$AU$1004,1,MATCH(COLUMNS($AD$1006:AN1006),$AD$1006:$AU$1006,0)))),"Fix")))</f>
        <v xml:space="preserve"> </v>
      </c>
      <c r="M888" s="4" t="str">
        <f ca="1">IF(OR(INDEX($X$2:$X$1001,MATCH(ROWS($W$2:W888),$W$2:$W$1001,0),1)&gt;=100000,INDEX($AD$1005:$AU$1005,1,MATCH(COLUMNS($AD$1006:AO1006),$AD$1006:$AU$1006,0))&gt;=100000), " ",IF(INDEX($AD$2:$AU$1001,MATCH(ROWS($W$2:W888),$W$2:$W$1001,0),MATCH(COLUMNS($AD$1006:AO1006),$AD$1006:$AU$1006,0)), HYPERLINK("#",""), HYPERLINK(CONCATENATE("#metadata!", ADDRESS(INDEX($Y$2:$Y$1001,MATCH(ROWS($W$2:W888),$W$2:$W$1001,0),0), INDEX($AD$1004:$AU$1004,1,MATCH(COLUMNS($AD$1006:AO1006),$AD$1006:$AU$1006,0)))),"Fix")))</f>
        <v xml:space="preserve"> </v>
      </c>
      <c r="N888" s="4" t="str">
        <f ca="1">IF(OR(INDEX($X$2:$X$1001,MATCH(ROWS($W$2:W888),$W$2:$W$1001,0),1)&gt;=100000,INDEX($AD$1005:$AU$1005,1,MATCH(COLUMNS($AD$1006:AP1006),$AD$1006:$AU$1006,0))&gt;=100000), " ",IF(INDEX($AD$2:$AU$1001,MATCH(ROWS($W$2:W888),$W$2:$W$1001,0),MATCH(COLUMNS($AD$1006:AP1006),$AD$1006:$AU$1006,0)), HYPERLINK("#",""), HYPERLINK(CONCATENATE("#metadata!", ADDRESS(INDEX($Y$2:$Y$1001,MATCH(ROWS($W$2:W888),$W$2:$W$1001,0),0), INDEX($AD$1004:$AU$1004,1,MATCH(COLUMNS($AD$1006:AP1006),$AD$1006:$AU$1006,0)))),"Fix")))</f>
        <v xml:space="preserve"> </v>
      </c>
      <c r="O888" s="4" t="str">
        <f ca="1">IF(OR(INDEX($X$2:$X$1001,MATCH(ROWS($W$2:W888),$W$2:$W$1001,0),1)&gt;=100000,INDEX($AD$1005:$AU$1005,1,MATCH(COLUMNS($AD$1006:AQ1006),$AD$1006:$AU$1006,0))&gt;=100000), " ",IF(INDEX($AD$2:$AU$1001,MATCH(ROWS($W$2:W888),$W$2:$W$1001,0),MATCH(COLUMNS($AD$1006:AQ1006),$AD$1006:$AU$1006,0)), HYPERLINK("#",""), HYPERLINK(CONCATENATE("#metadata!", ADDRESS(INDEX($Y$2:$Y$1001,MATCH(ROWS($W$2:W888),$W$2:$W$1001,0),0), INDEX($AD$1004:$AU$1004,1,MATCH(COLUMNS($AD$1006:AQ1006),$AD$1006:$AU$1006,0)))),"Fix")))</f>
        <v xml:space="preserve"> </v>
      </c>
      <c r="P888" s="4" t="str">
        <f ca="1">IF(OR(INDEX($X$2:$X$1001,MATCH(ROWS($W$2:W888),$W$2:$W$1001,0),1)&gt;=100000,INDEX($AD$1005:$AU$1005,1,MATCH(COLUMNS($AD$1006:AR1006),$AD$1006:$AU$1006,0))&gt;=100000), " ",IF(INDEX($AD$2:$AU$1001,MATCH(ROWS($W$2:W888),$W$2:$W$1001,0),MATCH(COLUMNS($AD$1006:AR1006),$AD$1006:$AU$1006,0)), HYPERLINK("#",""), HYPERLINK(CONCATENATE("#metadata!", ADDRESS(INDEX($Y$2:$Y$1001,MATCH(ROWS($W$2:W888),$W$2:$W$1001,0),0), INDEX($AD$1004:$AU$1004,1,MATCH(COLUMNS($AD$1006:AR1006),$AD$1006:$AU$1006,0)))),"Fix")))</f>
        <v xml:space="preserve"> </v>
      </c>
      <c r="Q888" s="4" t="str">
        <f ca="1">IF(OR(INDEX($X$2:$X$1001,MATCH(ROWS($W$2:W888),$W$2:$W$1001,0),1)&gt;=100000,INDEX($AD$1005:$AU$1005,1,MATCH(COLUMNS($AD$1006:AS1006),$AD$1006:$AU$1006,0))&gt;=100000), " ",IF(INDEX($AD$2:$AU$1001,MATCH(ROWS($W$2:W888),$W$2:$W$1001,0),MATCH(COLUMNS($AD$1006:AS1006),$AD$1006:$AU$1006,0)), HYPERLINK("#",""), HYPERLINK(CONCATENATE("#metadata!", ADDRESS(INDEX($Y$2:$Y$1001,MATCH(ROWS($W$2:W888),$W$2:$W$1001,0),0), INDEX($AD$1004:$AU$1004,1,MATCH(COLUMNS($AD$1006:AS1006),$AD$1006:$AU$1006,0)))),"Fix")))</f>
        <v xml:space="preserve"> </v>
      </c>
      <c r="R888" s="4" t="str">
        <f ca="1">IF(OR(INDEX($X$2:$X$1001,MATCH(ROWS($W$2:W888),$W$2:$W$1001,0),1)&gt;=100000,INDEX($AD$1005:$AU$1005,1,MATCH(COLUMNS($AD$1006:AT1006),$AD$1006:$AU$1006,0))&gt;=100000), " ",IF(INDEX($AD$2:$AU$1001,MATCH(ROWS($W$2:W888),$W$2:$W$1001,0),MATCH(COLUMNS($AD$1006:AT1006),$AD$1006:$AU$1006,0)), HYPERLINK("#",""), HYPERLINK(CONCATENATE("#metadata!", ADDRESS(INDEX($Y$2:$Y$1001,MATCH(ROWS($W$2:W888),$W$2:$W$1001,0),0), INDEX($AD$1004:$AU$1004,1,MATCH(COLUMNS($AD$1006:AT1006),$AD$1006:$AU$1006,0)))),"Fix")))</f>
        <v xml:space="preserve"> </v>
      </c>
      <c r="S888" s="4" t="str">
        <f ca="1">IF(OR(INDEX($X$2:$X$1001,MATCH(ROWS($W$2:W888),$W$2:$W$1001,0),1)&gt;=100000,INDEX($AD$1005:$AU$1005,1,MATCH(COLUMNS($AD$1006:AU1006),$AD$1006:$AU$1006,0))&gt;=100000), " ",IF(INDEX($AD$2:$AU$1001,MATCH(ROWS($W$2:W888),$W$2:$W$1001,0),MATCH(COLUMNS($AD$1006:AU1006),$AD$1006:$AU$1006,0)), HYPERLINK("#",""), HYPERLINK(CONCATENATE("#metadata!", ADDRESS(INDEX($Y$2:$Y$1001,MATCH(ROWS($W$2:W888),$W$2:$W$1001,0),0), INDEX($AD$1004:$AU$1004,1,MATCH(COLUMNS($AD$1006:AU1006),$AD$1006:$AU$1006,0)))),"Fix")))</f>
        <v xml:space="preserve"> </v>
      </c>
      <c r="W888">
        <v>887</v>
      </c>
      <c r="X888">
        <v>100888</v>
      </c>
      <c r="Y888">
        <v>888</v>
      </c>
      <c r="Z888" t="b">
        <f t="shared" si="13"/>
        <v>1</v>
      </c>
      <c r="AA888" t="b">
        <f>COUNTBLANK(metadata!B888:S888)=COLUMNS(metadata!B888:S888)</f>
        <v>1</v>
      </c>
      <c r="AB888" t="str">
        <v/>
      </c>
      <c r="AD888" t="b">
        <f ca="1">AND(IF(metadata!B888="",FALSE,TRUE),COUNTIF(metadata!B:B, metadata!B888) = 1,NOT(ISERROR(SUMPRODUCT(SEARCH(MID(metadata!B888,ROW(INDIRECT("1:"&amp;LEN(metadata!B888))), 1),"0123456789abcdefghijklmnopqrstuvwxyzABCDEFGHIJKLMNOPQRSTUVWXYZ.")))))</f>
        <v>0</v>
      </c>
      <c r="AE888" t="b">
        <f>OR(AND(IF(metadata!C888="",FALSE,TRUE),OR(EXACT(metadata!C888,"not applicable"),EXACT(metadata!C888,"missing: not collected"),EXACT(metadata!C888,"missing: not provided"),EXACT(metadata!C888,"missing: restricted access"))),AND(IF(metadata!C888="",FALSE,ISNUMBER(VALUE(metadata!C888))),metadata!C888&gt;0))</f>
        <v>0</v>
      </c>
      <c r="AF888" t="b">
        <f>AND(IF(metadata!D888="",FALSE,TRUE),EXACT(metadata!D888,"missing: not provided"))</f>
        <v>0</v>
      </c>
      <c r="AG888" t="b">
        <f>AND(IF(metadata!E888="",FALSE,TRUE),EXACT(metadata!E888,"Host-associated"))</f>
        <v>0</v>
      </c>
      <c r="AH888" t="b">
        <f>AND(IF(metadata!F888="",FALSE,TRUE),OR(EXACT(metadata!F888,"Animal"),EXACT(metadata!F888,"Fungus"),EXACT(metadata!F888,"Plant")))</f>
        <v>0</v>
      </c>
      <c r="AI888" t="b">
        <f>AND(IF(metadata!G888="",FALSE,TRUE),OR(EXACT(metadata!G888,"Plant secretion"),EXACT(metadata!G888,"Plant rhizosphere"),EXACT(metadata!G888,"Plant surface"),EXACT(metadata!G888,"Plant corpus"),EXACT(metadata!G888,"Fungus surface"),EXACT(metadata!G888,"Fungus corpus"),EXACT(metadata!G888,"Animal surface"),EXACT(metadata!G888,"Animal proximal gut"),EXACT(metadata!G888,"Animal corpus"),EXACT(metadata!G888,"Animal distal gut"),EXACT(metadata!G888,"Animal secretion")))</f>
        <v>0</v>
      </c>
      <c r="AJ888" t="b">
        <f>OR(AND(IF(metadata!H888="",FALSE,TRUE),OR(EXACT(metadata!H888,"missing: not collected"),EXACT(metadata!H888,"missing: not provided"),EXACT(metadata!H888,"missing: restricted access"))),AND(IF(metadata!H888="",FALSE,TRUE),OR(EXACT(metadata!H888,"organism-associated habitat"),EXACT(metadata!H888,"plant-associated habitat"),EXACT(metadata!H888,"animal-associated habitat"),EXACT(metadata!H888,"insecta-associated habitat"),EXACT(metadata!H888,"mammalia-associated habitat"),EXACT(metadata!H888,"human-associated habitat"),EXACT(metadata!H888,"livestock-associated habitat"))))</f>
        <v>0</v>
      </c>
      <c r="AK888" t="b">
        <f>AND(IF(metadata!I888="",FALSE,TRUE),EXACT(metadata!I888,"host-associated"))</f>
        <v>0</v>
      </c>
      <c r="AL888" t="b">
        <f>OR(AND(IF(metadata!J888="",FALSE,TRUE),OR(EXACT(metadata!J888,"not applicable"),EXACT(metadata!J888,"missing: not collected"),EXACT(metadata!J888,"missing: not provided"),EXACT(metadata!J888,"missing: restricted access"))),AND(IF(metadata!J888="",FALSE,ISNUMBER(VALUE(metadata!J888))),metadata!J888&gt;0))</f>
        <v>0</v>
      </c>
      <c r="AM888" t="b">
        <f>AND(IF(metadata!K888="",FALSE,TRUE),EXACT(metadata!K888,"missing: not provided"))</f>
        <v>0</v>
      </c>
      <c r="AN888" t="b">
        <f>IF(metadata!L888="",FALSE,TRUE)</f>
        <v>0</v>
      </c>
      <c r="AO888" t="b">
        <f>IF(metadata!M888="",FALSE,TRUE)</f>
        <v>0</v>
      </c>
      <c r="AP888" t="b">
        <f>OR(AND(IF(metadata!N888="",FALSE,TRUE),OR(EXACT(metadata!N888,"not applicable"),EXACT(metadata!N888,"missing: not collected"),EXACT(metadata!N888,"missing: not provided"))),AND(IF(metadata!N888="",FALSE,IF(ISERROR(INT(metadata!N888)),FALSE,INT(metadata!N888)=metadata!N888)),metadata!N888&gt;0))</f>
        <v>0</v>
      </c>
      <c r="AQ888" t="b">
        <f>AND(IF(metadata!O888="",FALSE,TRUE),EXACT(metadata!O888,"Not applicable"))</f>
        <v>0</v>
      </c>
      <c r="AR888" t="b">
        <f>OR(AND(IF(metadata!P888="",FALSE,TRUE),OR(EXACT(metadata!P888,"not applicable"),EXACT(metadata!P888,"missing: not collected"),EXACT(metadata!P888,"missing: not provided"),EXACT(metadata!P888,"missing: restricted access"))),IF(metadata!P888="",FALSE,IF(ISERROR(INT(metadata!P888)),FALSE,INT(metadata!P888)=metadata!P888)))</f>
        <v>0</v>
      </c>
      <c r="AS888" t="b">
        <f>AND(IF(metadata!Q888="",FALSE,TRUE),EXACT(metadata!Q888,"Not applicable"))</f>
        <v>0</v>
      </c>
      <c r="AT888" t="b">
        <f>OR(AND(IF(metadata!R888="",FALSE,TRUE),OR(EXACT(metadata!R888,"not applicable"),EXACT(metadata!R888,"missing: not collected"),EXACT(metadata!R888,"missing: not provided"),EXACT(metadata!R888,"missing: restricted access"))),AND(IF(metadata!R888="",FALSE,ISNUMBER(VALUE(metadata!R888))),metadata!R888&gt;0))</f>
        <v>0</v>
      </c>
      <c r="AU888" t="b">
        <f>AND(IF(metadata!S888="",FALSE,TRUE),EXACT(metadata!S888,"missing: not provided"))</f>
        <v>0</v>
      </c>
    </row>
    <row r="889" spans="1:47" x14ac:dyDescent="0.2">
      <c r="A889" s="5" t="str">
        <f ca="1">IF(B889=" "," ",HYPERLINK(CONCATENATE("#metadata!",ADDRESS(INDEX($Y$2:$Y$1001,MATCH(ROWS($W$2:W889),$W$2:$W$1001,0),0),1)),INDEX($AB$2:$AB$1001,MATCH(ROWS($W$2:W889),$W$2:$W$1001,0),0)))</f>
        <v xml:space="preserve"> </v>
      </c>
      <c r="B889" s="4" t="str">
        <f ca="1">IF(OR(INDEX($X$2:$X$1001,MATCH(ROWS($W$2:W889),$W$2:$W$1001,0),1)&gt;=100000,INDEX($AD$1005:$AU$1005,1,MATCH(COLUMNS($AD$1006:AD1006),$AD$1006:$AU$1006,0))&gt;=100000), " ",IF(INDEX($AD$2:$AU$1001,MATCH(ROWS($W$2:W889),$W$2:$W$1001,0),MATCH(COLUMNS($AD$1006:AD1006),$AD$1006:$AU$1006,0)), HYPERLINK("#",""), HYPERLINK(CONCATENATE("#metadata!", ADDRESS(INDEX($Y$2:$Y$1001,MATCH(ROWS($W$2:W889),$W$2:$W$1001,0),0), INDEX($AD$1004:$AU$1004,1,MATCH(COLUMNS($AD$1006:AD1006),$AD$1006:$AU$1006,0)))),"Fix")))</f>
        <v xml:space="preserve"> </v>
      </c>
      <c r="C889" s="4" t="str">
        <f ca="1">IF(OR(INDEX($X$2:$X$1001,MATCH(ROWS($W$2:W889),$W$2:$W$1001,0),1)&gt;=100000,INDEX($AD$1005:$AU$1005,1,MATCH(COLUMNS($AD$1006:AE1006),$AD$1006:$AU$1006,0))&gt;=100000), " ",IF(INDEX($AD$2:$AU$1001,MATCH(ROWS($W$2:W889),$W$2:$W$1001,0),MATCH(COLUMNS($AD$1006:AE1006),$AD$1006:$AU$1006,0)), HYPERLINK("#",""), HYPERLINK(CONCATENATE("#metadata!", ADDRESS(INDEX($Y$2:$Y$1001,MATCH(ROWS($W$2:W889),$W$2:$W$1001,0),0), INDEX($AD$1004:$AU$1004,1,MATCH(COLUMNS($AD$1006:AE1006),$AD$1006:$AU$1006,0)))),"Fix")))</f>
        <v xml:space="preserve"> </v>
      </c>
      <c r="D889" s="4" t="str">
        <f ca="1">IF(OR(INDEX($X$2:$X$1001,MATCH(ROWS($W$2:W889),$W$2:$W$1001,0),1)&gt;=100000,INDEX($AD$1005:$AU$1005,1,MATCH(COLUMNS($AD$1006:AF1006),$AD$1006:$AU$1006,0))&gt;=100000), " ",IF(INDEX($AD$2:$AU$1001,MATCH(ROWS($W$2:W889),$W$2:$W$1001,0),MATCH(COLUMNS($AD$1006:AF1006),$AD$1006:$AU$1006,0)), HYPERLINK("#",""), HYPERLINK(CONCATENATE("#metadata!", ADDRESS(INDEX($Y$2:$Y$1001,MATCH(ROWS($W$2:W889),$W$2:$W$1001,0),0), INDEX($AD$1004:$AU$1004,1,MATCH(COLUMNS($AD$1006:AF1006),$AD$1006:$AU$1006,0)))),"Fix")))</f>
        <v xml:space="preserve"> </v>
      </c>
      <c r="E889" s="4" t="str">
        <f ca="1">IF(OR(INDEX($X$2:$X$1001,MATCH(ROWS($W$2:W889),$W$2:$W$1001,0),1)&gt;=100000,INDEX($AD$1005:$AU$1005,1,MATCH(COLUMNS($AD$1006:AG1006),$AD$1006:$AU$1006,0))&gt;=100000), " ",IF(INDEX($AD$2:$AU$1001,MATCH(ROWS($W$2:W889),$W$2:$W$1001,0),MATCH(COLUMNS($AD$1006:AG1006),$AD$1006:$AU$1006,0)), HYPERLINK("#",""), HYPERLINK(CONCATENATE("#metadata!", ADDRESS(INDEX($Y$2:$Y$1001,MATCH(ROWS($W$2:W889),$W$2:$W$1001,0),0), INDEX($AD$1004:$AU$1004,1,MATCH(COLUMNS($AD$1006:AG1006),$AD$1006:$AU$1006,0)))),"Fix")))</f>
        <v xml:space="preserve"> </v>
      </c>
      <c r="F889" s="4" t="str">
        <f ca="1">IF(OR(INDEX($X$2:$X$1001,MATCH(ROWS($W$2:W889),$W$2:$W$1001,0),1)&gt;=100000,INDEX($AD$1005:$AU$1005,1,MATCH(COLUMNS($AD$1006:AH1006),$AD$1006:$AU$1006,0))&gt;=100000), " ",IF(INDEX($AD$2:$AU$1001,MATCH(ROWS($W$2:W889),$W$2:$W$1001,0),MATCH(COLUMNS($AD$1006:AH1006),$AD$1006:$AU$1006,0)), HYPERLINK("#",""), HYPERLINK(CONCATENATE("#metadata!", ADDRESS(INDEX($Y$2:$Y$1001,MATCH(ROWS($W$2:W889),$W$2:$W$1001,0),0), INDEX($AD$1004:$AU$1004,1,MATCH(COLUMNS($AD$1006:AH1006),$AD$1006:$AU$1006,0)))),"Fix")))</f>
        <v xml:space="preserve"> </v>
      </c>
      <c r="G889" s="4" t="str">
        <f ca="1">IF(OR(INDEX($X$2:$X$1001,MATCH(ROWS($W$2:W889),$W$2:$W$1001,0),1)&gt;=100000,INDEX($AD$1005:$AU$1005,1,MATCH(COLUMNS($AD$1006:AI1006),$AD$1006:$AU$1006,0))&gt;=100000), " ",IF(INDEX($AD$2:$AU$1001,MATCH(ROWS($W$2:W889),$W$2:$W$1001,0),MATCH(COLUMNS($AD$1006:AI1006),$AD$1006:$AU$1006,0)), HYPERLINK("#",""), HYPERLINK(CONCATENATE("#metadata!", ADDRESS(INDEX($Y$2:$Y$1001,MATCH(ROWS($W$2:W889),$W$2:$W$1001,0),0), INDEX($AD$1004:$AU$1004,1,MATCH(COLUMNS($AD$1006:AI1006),$AD$1006:$AU$1006,0)))),"Fix")))</f>
        <v xml:space="preserve"> </v>
      </c>
      <c r="H889" s="4" t="str">
        <f ca="1">IF(OR(INDEX($X$2:$X$1001,MATCH(ROWS($W$2:W889),$W$2:$W$1001,0),1)&gt;=100000,INDEX($AD$1005:$AU$1005,1,MATCH(COLUMNS($AD$1006:AJ1006),$AD$1006:$AU$1006,0))&gt;=100000), " ",IF(INDEX($AD$2:$AU$1001,MATCH(ROWS($W$2:W889),$W$2:$W$1001,0),MATCH(COLUMNS($AD$1006:AJ1006),$AD$1006:$AU$1006,0)), HYPERLINK("#",""), HYPERLINK(CONCATENATE("#metadata!", ADDRESS(INDEX($Y$2:$Y$1001,MATCH(ROWS($W$2:W889),$W$2:$W$1001,0),0), INDEX($AD$1004:$AU$1004,1,MATCH(COLUMNS($AD$1006:AJ1006),$AD$1006:$AU$1006,0)))),"Fix")))</f>
        <v xml:space="preserve"> </v>
      </c>
      <c r="I889" s="4" t="str">
        <f ca="1">IF(OR(INDEX($X$2:$X$1001,MATCH(ROWS($W$2:W889),$W$2:$W$1001,0),1)&gt;=100000,INDEX($AD$1005:$AU$1005,1,MATCH(COLUMNS($AD$1006:AK1006),$AD$1006:$AU$1006,0))&gt;=100000), " ",IF(INDEX($AD$2:$AU$1001,MATCH(ROWS($W$2:W889),$W$2:$W$1001,0),MATCH(COLUMNS($AD$1006:AK1006),$AD$1006:$AU$1006,0)), HYPERLINK("#",""), HYPERLINK(CONCATENATE("#metadata!", ADDRESS(INDEX($Y$2:$Y$1001,MATCH(ROWS($W$2:W889),$W$2:$W$1001,0),0), INDEX($AD$1004:$AU$1004,1,MATCH(COLUMNS($AD$1006:AK1006),$AD$1006:$AU$1006,0)))),"Fix")))</f>
        <v xml:space="preserve"> </v>
      </c>
      <c r="J889" s="4" t="str">
        <f ca="1">IF(OR(INDEX($X$2:$X$1001,MATCH(ROWS($W$2:W889),$W$2:$W$1001,0),1)&gt;=100000,INDEX($AD$1005:$AU$1005,1,MATCH(COLUMNS($AD$1006:AL1006),$AD$1006:$AU$1006,0))&gt;=100000), " ",IF(INDEX($AD$2:$AU$1001,MATCH(ROWS($W$2:W889),$W$2:$W$1001,0),MATCH(COLUMNS($AD$1006:AL1006),$AD$1006:$AU$1006,0)), HYPERLINK("#",""), HYPERLINK(CONCATENATE("#metadata!", ADDRESS(INDEX($Y$2:$Y$1001,MATCH(ROWS($W$2:W889),$W$2:$W$1001,0),0), INDEX($AD$1004:$AU$1004,1,MATCH(COLUMNS($AD$1006:AL1006),$AD$1006:$AU$1006,0)))),"Fix")))</f>
        <v xml:space="preserve"> </v>
      </c>
      <c r="K889" s="4" t="str">
        <f ca="1">IF(OR(INDEX($X$2:$X$1001,MATCH(ROWS($W$2:W889),$W$2:$W$1001,0),1)&gt;=100000,INDEX($AD$1005:$AU$1005,1,MATCH(COLUMNS($AD$1006:AM1006),$AD$1006:$AU$1006,0))&gt;=100000), " ",IF(INDEX($AD$2:$AU$1001,MATCH(ROWS($W$2:W889),$W$2:$W$1001,0),MATCH(COLUMNS($AD$1006:AM1006),$AD$1006:$AU$1006,0)), HYPERLINK("#",""), HYPERLINK(CONCATENATE("#metadata!", ADDRESS(INDEX($Y$2:$Y$1001,MATCH(ROWS($W$2:W889),$W$2:$W$1001,0),0), INDEX($AD$1004:$AU$1004,1,MATCH(COLUMNS($AD$1006:AM1006),$AD$1006:$AU$1006,0)))),"Fix")))</f>
        <v xml:space="preserve"> </v>
      </c>
      <c r="L889" s="4" t="str">
        <f ca="1">IF(OR(INDEX($X$2:$X$1001,MATCH(ROWS($W$2:W889),$W$2:$W$1001,0),1)&gt;=100000,INDEX($AD$1005:$AU$1005,1,MATCH(COLUMNS($AD$1006:AN1006),$AD$1006:$AU$1006,0))&gt;=100000), " ",IF(INDEX($AD$2:$AU$1001,MATCH(ROWS($W$2:W889),$W$2:$W$1001,0),MATCH(COLUMNS($AD$1006:AN1006),$AD$1006:$AU$1006,0)), HYPERLINK("#",""), HYPERLINK(CONCATENATE("#metadata!", ADDRESS(INDEX($Y$2:$Y$1001,MATCH(ROWS($W$2:W889),$W$2:$W$1001,0),0), INDEX($AD$1004:$AU$1004,1,MATCH(COLUMNS($AD$1006:AN1006),$AD$1006:$AU$1006,0)))),"Fix")))</f>
        <v xml:space="preserve"> </v>
      </c>
      <c r="M889" s="4" t="str">
        <f ca="1">IF(OR(INDEX($X$2:$X$1001,MATCH(ROWS($W$2:W889),$W$2:$W$1001,0),1)&gt;=100000,INDEX($AD$1005:$AU$1005,1,MATCH(COLUMNS($AD$1006:AO1006),$AD$1006:$AU$1006,0))&gt;=100000), " ",IF(INDEX($AD$2:$AU$1001,MATCH(ROWS($W$2:W889),$W$2:$W$1001,0),MATCH(COLUMNS($AD$1006:AO1006),$AD$1006:$AU$1006,0)), HYPERLINK("#",""), HYPERLINK(CONCATENATE("#metadata!", ADDRESS(INDEX($Y$2:$Y$1001,MATCH(ROWS($W$2:W889),$W$2:$W$1001,0),0), INDEX($AD$1004:$AU$1004,1,MATCH(COLUMNS($AD$1006:AO1006),$AD$1006:$AU$1006,0)))),"Fix")))</f>
        <v xml:space="preserve"> </v>
      </c>
      <c r="N889" s="4" t="str">
        <f ca="1">IF(OR(INDEX($X$2:$X$1001,MATCH(ROWS($W$2:W889),$W$2:$W$1001,0),1)&gt;=100000,INDEX($AD$1005:$AU$1005,1,MATCH(COLUMNS($AD$1006:AP1006),$AD$1006:$AU$1006,0))&gt;=100000), " ",IF(INDEX($AD$2:$AU$1001,MATCH(ROWS($W$2:W889),$W$2:$W$1001,0),MATCH(COLUMNS($AD$1006:AP1006),$AD$1006:$AU$1006,0)), HYPERLINK("#",""), HYPERLINK(CONCATENATE("#metadata!", ADDRESS(INDEX($Y$2:$Y$1001,MATCH(ROWS($W$2:W889),$W$2:$W$1001,0),0), INDEX($AD$1004:$AU$1004,1,MATCH(COLUMNS($AD$1006:AP1006),$AD$1006:$AU$1006,0)))),"Fix")))</f>
        <v xml:space="preserve"> </v>
      </c>
      <c r="O889" s="4" t="str">
        <f ca="1">IF(OR(INDEX($X$2:$X$1001,MATCH(ROWS($W$2:W889),$W$2:$W$1001,0),1)&gt;=100000,INDEX($AD$1005:$AU$1005,1,MATCH(COLUMNS($AD$1006:AQ1006),$AD$1006:$AU$1006,0))&gt;=100000), " ",IF(INDEX($AD$2:$AU$1001,MATCH(ROWS($W$2:W889),$W$2:$W$1001,0),MATCH(COLUMNS($AD$1006:AQ1006),$AD$1006:$AU$1006,0)), HYPERLINK("#",""), HYPERLINK(CONCATENATE("#metadata!", ADDRESS(INDEX($Y$2:$Y$1001,MATCH(ROWS($W$2:W889),$W$2:$W$1001,0),0), INDEX($AD$1004:$AU$1004,1,MATCH(COLUMNS($AD$1006:AQ1006),$AD$1006:$AU$1006,0)))),"Fix")))</f>
        <v xml:space="preserve"> </v>
      </c>
      <c r="P889" s="4" t="str">
        <f ca="1">IF(OR(INDEX($X$2:$X$1001,MATCH(ROWS($W$2:W889),$W$2:$W$1001,0),1)&gt;=100000,INDEX($AD$1005:$AU$1005,1,MATCH(COLUMNS($AD$1006:AR1006),$AD$1006:$AU$1006,0))&gt;=100000), " ",IF(INDEX($AD$2:$AU$1001,MATCH(ROWS($W$2:W889),$W$2:$W$1001,0),MATCH(COLUMNS($AD$1006:AR1006),$AD$1006:$AU$1006,0)), HYPERLINK("#",""), HYPERLINK(CONCATENATE("#metadata!", ADDRESS(INDEX($Y$2:$Y$1001,MATCH(ROWS($W$2:W889),$W$2:$W$1001,0),0), INDEX($AD$1004:$AU$1004,1,MATCH(COLUMNS($AD$1006:AR1006),$AD$1006:$AU$1006,0)))),"Fix")))</f>
        <v xml:space="preserve"> </v>
      </c>
      <c r="Q889" s="4" t="str">
        <f ca="1">IF(OR(INDEX($X$2:$X$1001,MATCH(ROWS($W$2:W889),$W$2:$W$1001,0),1)&gt;=100000,INDEX($AD$1005:$AU$1005,1,MATCH(COLUMNS($AD$1006:AS1006),$AD$1006:$AU$1006,0))&gt;=100000), " ",IF(INDEX($AD$2:$AU$1001,MATCH(ROWS($W$2:W889),$W$2:$W$1001,0),MATCH(COLUMNS($AD$1006:AS1006),$AD$1006:$AU$1006,0)), HYPERLINK("#",""), HYPERLINK(CONCATENATE("#metadata!", ADDRESS(INDEX($Y$2:$Y$1001,MATCH(ROWS($W$2:W889),$W$2:$W$1001,0),0), INDEX($AD$1004:$AU$1004,1,MATCH(COLUMNS($AD$1006:AS1006),$AD$1006:$AU$1006,0)))),"Fix")))</f>
        <v xml:space="preserve"> </v>
      </c>
      <c r="R889" s="4" t="str">
        <f ca="1">IF(OR(INDEX($X$2:$X$1001,MATCH(ROWS($W$2:W889),$W$2:$W$1001,0),1)&gt;=100000,INDEX($AD$1005:$AU$1005,1,MATCH(COLUMNS($AD$1006:AT1006),$AD$1006:$AU$1006,0))&gt;=100000), " ",IF(INDEX($AD$2:$AU$1001,MATCH(ROWS($W$2:W889),$W$2:$W$1001,0),MATCH(COLUMNS($AD$1006:AT1006),$AD$1006:$AU$1006,0)), HYPERLINK("#",""), HYPERLINK(CONCATENATE("#metadata!", ADDRESS(INDEX($Y$2:$Y$1001,MATCH(ROWS($W$2:W889),$W$2:$W$1001,0),0), INDEX($AD$1004:$AU$1004,1,MATCH(COLUMNS($AD$1006:AT1006),$AD$1006:$AU$1006,0)))),"Fix")))</f>
        <v xml:space="preserve"> </v>
      </c>
      <c r="S889" s="4" t="str">
        <f ca="1">IF(OR(INDEX($X$2:$X$1001,MATCH(ROWS($W$2:W889),$W$2:$W$1001,0),1)&gt;=100000,INDEX($AD$1005:$AU$1005,1,MATCH(COLUMNS($AD$1006:AU1006),$AD$1006:$AU$1006,0))&gt;=100000), " ",IF(INDEX($AD$2:$AU$1001,MATCH(ROWS($W$2:W889),$W$2:$W$1001,0),MATCH(COLUMNS($AD$1006:AU1006),$AD$1006:$AU$1006,0)), HYPERLINK("#",""), HYPERLINK(CONCATENATE("#metadata!", ADDRESS(INDEX($Y$2:$Y$1001,MATCH(ROWS($W$2:W889),$W$2:$W$1001,0),0), INDEX($AD$1004:$AU$1004,1,MATCH(COLUMNS($AD$1006:AU1006),$AD$1006:$AU$1006,0)))),"Fix")))</f>
        <v xml:space="preserve"> </v>
      </c>
      <c r="W889">
        <v>888</v>
      </c>
      <c r="X889">
        <v>100889</v>
      </c>
      <c r="Y889">
        <v>889</v>
      </c>
      <c r="Z889" t="b">
        <f t="shared" si="13"/>
        <v>1</v>
      </c>
      <c r="AA889" t="b">
        <f>COUNTBLANK(metadata!B889:S889)=COLUMNS(metadata!B889:S889)</f>
        <v>1</v>
      </c>
      <c r="AB889" t="str">
        <v/>
      </c>
      <c r="AD889" t="b">
        <f ca="1">AND(IF(metadata!B889="",FALSE,TRUE),COUNTIF(metadata!B:B, metadata!B889) = 1,NOT(ISERROR(SUMPRODUCT(SEARCH(MID(metadata!B889,ROW(INDIRECT("1:"&amp;LEN(metadata!B889))), 1),"0123456789abcdefghijklmnopqrstuvwxyzABCDEFGHIJKLMNOPQRSTUVWXYZ.")))))</f>
        <v>0</v>
      </c>
      <c r="AE889" t="b">
        <f>OR(AND(IF(metadata!C889="",FALSE,TRUE),OR(EXACT(metadata!C889,"not applicable"),EXACT(metadata!C889,"missing: not collected"),EXACT(metadata!C889,"missing: not provided"),EXACT(metadata!C889,"missing: restricted access"))),AND(IF(metadata!C889="",FALSE,ISNUMBER(VALUE(metadata!C889))),metadata!C889&gt;0))</f>
        <v>0</v>
      </c>
      <c r="AF889" t="b">
        <f>AND(IF(metadata!D889="",FALSE,TRUE),EXACT(metadata!D889,"missing: not provided"))</f>
        <v>0</v>
      </c>
      <c r="AG889" t="b">
        <f>AND(IF(metadata!E889="",FALSE,TRUE),EXACT(metadata!E889,"Host-associated"))</f>
        <v>0</v>
      </c>
      <c r="AH889" t="b">
        <f>AND(IF(metadata!F889="",FALSE,TRUE),OR(EXACT(metadata!F889,"Animal"),EXACT(metadata!F889,"Fungus"),EXACT(metadata!F889,"Plant")))</f>
        <v>0</v>
      </c>
      <c r="AI889" t="b">
        <f>AND(IF(metadata!G889="",FALSE,TRUE),OR(EXACT(metadata!G889,"Plant secretion"),EXACT(metadata!G889,"Plant rhizosphere"),EXACT(metadata!G889,"Plant surface"),EXACT(metadata!G889,"Plant corpus"),EXACT(metadata!G889,"Fungus surface"),EXACT(metadata!G889,"Fungus corpus"),EXACT(metadata!G889,"Animal surface"),EXACT(metadata!G889,"Animal proximal gut"),EXACT(metadata!G889,"Animal corpus"),EXACT(metadata!G889,"Animal distal gut"),EXACT(metadata!G889,"Animal secretion")))</f>
        <v>0</v>
      </c>
      <c r="AJ889" t="b">
        <f>OR(AND(IF(metadata!H889="",FALSE,TRUE),OR(EXACT(metadata!H889,"missing: not collected"),EXACT(metadata!H889,"missing: not provided"),EXACT(metadata!H889,"missing: restricted access"))),AND(IF(metadata!H889="",FALSE,TRUE),OR(EXACT(metadata!H889,"organism-associated habitat"),EXACT(metadata!H889,"plant-associated habitat"),EXACT(metadata!H889,"animal-associated habitat"),EXACT(metadata!H889,"insecta-associated habitat"),EXACT(metadata!H889,"mammalia-associated habitat"),EXACT(metadata!H889,"human-associated habitat"),EXACT(metadata!H889,"livestock-associated habitat"))))</f>
        <v>0</v>
      </c>
      <c r="AK889" t="b">
        <f>AND(IF(metadata!I889="",FALSE,TRUE),EXACT(metadata!I889,"host-associated"))</f>
        <v>0</v>
      </c>
      <c r="AL889" t="b">
        <f>OR(AND(IF(metadata!J889="",FALSE,TRUE),OR(EXACT(metadata!J889,"not applicable"),EXACT(metadata!J889,"missing: not collected"),EXACT(metadata!J889,"missing: not provided"),EXACT(metadata!J889,"missing: restricted access"))),AND(IF(metadata!J889="",FALSE,ISNUMBER(VALUE(metadata!J889))),metadata!J889&gt;0))</f>
        <v>0</v>
      </c>
      <c r="AM889" t="b">
        <f>AND(IF(metadata!K889="",FALSE,TRUE),EXACT(metadata!K889,"missing: not provided"))</f>
        <v>0</v>
      </c>
      <c r="AN889" t="b">
        <f>IF(metadata!L889="",FALSE,TRUE)</f>
        <v>0</v>
      </c>
      <c r="AO889" t="b">
        <f>IF(metadata!M889="",FALSE,TRUE)</f>
        <v>0</v>
      </c>
      <c r="AP889" t="b">
        <f>OR(AND(IF(metadata!N889="",FALSE,TRUE),OR(EXACT(metadata!N889,"not applicable"),EXACT(metadata!N889,"missing: not collected"),EXACT(metadata!N889,"missing: not provided"))),AND(IF(metadata!N889="",FALSE,IF(ISERROR(INT(metadata!N889)),FALSE,INT(metadata!N889)=metadata!N889)),metadata!N889&gt;0))</f>
        <v>0</v>
      </c>
      <c r="AQ889" t="b">
        <f>AND(IF(metadata!O889="",FALSE,TRUE),EXACT(metadata!O889,"Not applicable"))</f>
        <v>0</v>
      </c>
      <c r="AR889" t="b">
        <f>OR(AND(IF(metadata!P889="",FALSE,TRUE),OR(EXACT(metadata!P889,"not applicable"),EXACT(metadata!P889,"missing: not collected"),EXACT(metadata!P889,"missing: not provided"),EXACT(metadata!P889,"missing: restricted access"))),IF(metadata!P889="",FALSE,IF(ISERROR(INT(metadata!P889)),FALSE,INT(metadata!P889)=metadata!P889)))</f>
        <v>0</v>
      </c>
      <c r="AS889" t="b">
        <f>AND(IF(metadata!Q889="",FALSE,TRUE),EXACT(metadata!Q889,"Not applicable"))</f>
        <v>0</v>
      </c>
      <c r="AT889" t="b">
        <f>OR(AND(IF(metadata!R889="",FALSE,TRUE),OR(EXACT(metadata!R889,"not applicable"),EXACT(metadata!R889,"missing: not collected"),EXACT(metadata!R889,"missing: not provided"),EXACT(metadata!R889,"missing: restricted access"))),AND(IF(metadata!R889="",FALSE,ISNUMBER(VALUE(metadata!R889))),metadata!R889&gt;0))</f>
        <v>0</v>
      </c>
      <c r="AU889" t="b">
        <f>AND(IF(metadata!S889="",FALSE,TRUE),EXACT(metadata!S889,"missing: not provided"))</f>
        <v>0</v>
      </c>
    </row>
    <row r="890" spans="1:47" x14ac:dyDescent="0.2">
      <c r="A890" s="5" t="str">
        <f ca="1">IF(B890=" "," ",HYPERLINK(CONCATENATE("#metadata!",ADDRESS(INDEX($Y$2:$Y$1001,MATCH(ROWS($W$2:W890),$W$2:$W$1001,0),0),1)),INDEX($AB$2:$AB$1001,MATCH(ROWS($W$2:W890),$W$2:$W$1001,0),0)))</f>
        <v xml:space="preserve"> </v>
      </c>
      <c r="B890" s="4" t="str">
        <f ca="1">IF(OR(INDEX($X$2:$X$1001,MATCH(ROWS($W$2:W890),$W$2:$W$1001,0),1)&gt;=100000,INDEX($AD$1005:$AU$1005,1,MATCH(COLUMNS($AD$1006:AD1006),$AD$1006:$AU$1006,0))&gt;=100000), " ",IF(INDEX($AD$2:$AU$1001,MATCH(ROWS($W$2:W890),$W$2:$W$1001,0),MATCH(COLUMNS($AD$1006:AD1006),$AD$1006:$AU$1006,0)), HYPERLINK("#",""), HYPERLINK(CONCATENATE("#metadata!", ADDRESS(INDEX($Y$2:$Y$1001,MATCH(ROWS($W$2:W890),$W$2:$W$1001,0),0), INDEX($AD$1004:$AU$1004,1,MATCH(COLUMNS($AD$1006:AD1006),$AD$1006:$AU$1006,0)))),"Fix")))</f>
        <v xml:space="preserve"> </v>
      </c>
      <c r="C890" s="4" t="str">
        <f ca="1">IF(OR(INDEX($X$2:$X$1001,MATCH(ROWS($W$2:W890),$W$2:$W$1001,0),1)&gt;=100000,INDEX($AD$1005:$AU$1005,1,MATCH(COLUMNS($AD$1006:AE1006),$AD$1006:$AU$1006,0))&gt;=100000), " ",IF(INDEX($AD$2:$AU$1001,MATCH(ROWS($W$2:W890),$W$2:$W$1001,0),MATCH(COLUMNS($AD$1006:AE1006),$AD$1006:$AU$1006,0)), HYPERLINK("#",""), HYPERLINK(CONCATENATE("#metadata!", ADDRESS(INDEX($Y$2:$Y$1001,MATCH(ROWS($W$2:W890),$W$2:$W$1001,0),0), INDEX($AD$1004:$AU$1004,1,MATCH(COLUMNS($AD$1006:AE1006),$AD$1006:$AU$1006,0)))),"Fix")))</f>
        <v xml:space="preserve"> </v>
      </c>
      <c r="D890" s="4" t="str">
        <f ca="1">IF(OR(INDEX($X$2:$X$1001,MATCH(ROWS($W$2:W890),$W$2:$W$1001,0),1)&gt;=100000,INDEX($AD$1005:$AU$1005,1,MATCH(COLUMNS($AD$1006:AF1006),$AD$1006:$AU$1006,0))&gt;=100000), " ",IF(INDEX($AD$2:$AU$1001,MATCH(ROWS($W$2:W890),$W$2:$W$1001,0),MATCH(COLUMNS($AD$1006:AF1006),$AD$1006:$AU$1006,0)), HYPERLINK("#",""), HYPERLINK(CONCATENATE("#metadata!", ADDRESS(INDEX($Y$2:$Y$1001,MATCH(ROWS($W$2:W890),$W$2:$W$1001,0),0), INDEX($AD$1004:$AU$1004,1,MATCH(COLUMNS($AD$1006:AF1006),$AD$1006:$AU$1006,0)))),"Fix")))</f>
        <v xml:space="preserve"> </v>
      </c>
      <c r="E890" s="4" t="str">
        <f ca="1">IF(OR(INDEX($X$2:$X$1001,MATCH(ROWS($W$2:W890),$W$2:$W$1001,0),1)&gt;=100000,INDEX($AD$1005:$AU$1005,1,MATCH(COLUMNS($AD$1006:AG1006),$AD$1006:$AU$1006,0))&gt;=100000), " ",IF(INDEX($AD$2:$AU$1001,MATCH(ROWS($W$2:W890),$W$2:$W$1001,0),MATCH(COLUMNS($AD$1006:AG1006),$AD$1006:$AU$1006,0)), HYPERLINK("#",""), HYPERLINK(CONCATENATE("#metadata!", ADDRESS(INDEX($Y$2:$Y$1001,MATCH(ROWS($W$2:W890),$W$2:$W$1001,0),0), INDEX($AD$1004:$AU$1004,1,MATCH(COLUMNS($AD$1006:AG1006),$AD$1006:$AU$1006,0)))),"Fix")))</f>
        <v xml:space="preserve"> </v>
      </c>
      <c r="F890" s="4" t="str">
        <f ca="1">IF(OR(INDEX($X$2:$X$1001,MATCH(ROWS($W$2:W890),$W$2:$W$1001,0),1)&gt;=100000,INDEX($AD$1005:$AU$1005,1,MATCH(COLUMNS($AD$1006:AH1006),$AD$1006:$AU$1006,0))&gt;=100000), " ",IF(INDEX($AD$2:$AU$1001,MATCH(ROWS($W$2:W890),$W$2:$W$1001,0),MATCH(COLUMNS($AD$1006:AH1006),$AD$1006:$AU$1006,0)), HYPERLINK("#",""), HYPERLINK(CONCATENATE("#metadata!", ADDRESS(INDEX($Y$2:$Y$1001,MATCH(ROWS($W$2:W890),$W$2:$W$1001,0),0), INDEX($AD$1004:$AU$1004,1,MATCH(COLUMNS($AD$1006:AH1006),$AD$1006:$AU$1006,0)))),"Fix")))</f>
        <v xml:space="preserve"> </v>
      </c>
      <c r="G890" s="4" t="str">
        <f ca="1">IF(OR(INDEX($X$2:$X$1001,MATCH(ROWS($W$2:W890),$W$2:$W$1001,0),1)&gt;=100000,INDEX($AD$1005:$AU$1005,1,MATCH(COLUMNS($AD$1006:AI1006),$AD$1006:$AU$1006,0))&gt;=100000), " ",IF(INDEX($AD$2:$AU$1001,MATCH(ROWS($W$2:W890),$W$2:$W$1001,0),MATCH(COLUMNS($AD$1006:AI1006),$AD$1006:$AU$1006,0)), HYPERLINK("#",""), HYPERLINK(CONCATENATE("#metadata!", ADDRESS(INDEX($Y$2:$Y$1001,MATCH(ROWS($W$2:W890),$W$2:$W$1001,0),0), INDEX($AD$1004:$AU$1004,1,MATCH(COLUMNS($AD$1006:AI1006),$AD$1006:$AU$1006,0)))),"Fix")))</f>
        <v xml:space="preserve"> </v>
      </c>
      <c r="H890" s="4" t="str">
        <f ca="1">IF(OR(INDEX($X$2:$X$1001,MATCH(ROWS($W$2:W890),$W$2:$W$1001,0),1)&gt;=100000,INDEX($AD$1005:$AU$1005,1,MATCH(COLUMNS($AD$1006:AJ1006),$AD$1006:$AU$1006,0))&gt;=100000), " ",IF(INDEX($AD$2:$AU$1001,MATCH(ROWS($W$2:W890),$W$2:$W$1001,0),MATCH(COLUMNS($AD$1006:AJ1006),$AD$1006:$AU$1006,0)), HYPERLINK("#",""), HYPERLINK(CONCATENATE("#metadata!", ADDRESS(INDEX($Y$2:$Y$1001,MATCH(ROWS($W$2:W890),$W$2:$W$1001,0),0), INDEX($AD$1004:$AU$1004,1,MATCH(COLUMNS($AD$1006:AJ1006),$AD$1006:$AU$1006,0)))),"Fix")))</f>
        <v xml:space="preserve"> </v>
      </c>
      <c r="I890" s="4" t="str">
        <f ca="1">IF(OR(INDEX($X$2:$X$1001,MATCH(ROWS($W$2:W890),$W$2:$W$1001,0),1)&gt;=100000,INDEX($AD$1005:$AU$1005,1,MATCH(COLUMNS($AD$1006:AK1006),$AD$1006:$AU$1006,0))&gt;=100000), " ",IF(INDEX($AD$2:$AU$1001,MATCH(ROWS($W$2:W890),$W$2:$W$1001,0),MATCH(COLUMNS($AD$1006:AK1006),$AD$1006:$AU$1006,0)), HYPERLINK("#",""), HYPERLINK(CONCATENATE("#metadata!", ADDRESS(INDEX($Y$2:$Y$1001,MATCH(ROWS($W$2:W890),$W$2:$W$1001,0),0), INDEX($AD$1004:$AU$1004,1,MATCH(COLUMNS($AD$1006:AK1006),$AD$1006:$AU$1006,0)))),"Fix")))</f>
        <v xml:space="preserve"> </v>
      </c>
      <c r="J890" s="4" t="str">
        <f ca="1">IF(OR(INDEX($X$2:$X$1001,MATCH(ROWS($W$2:W890),$W$2:$W$1001,0),1)&gt;=100000,INDEX($AD$1005:$AU$1005,1,MATCH(COLUMNS($AD$1006:AL1006),$AD$1006:$AU$1006,0))&gt;=100000), " ",IF(INDEX($AD$2:$AU$1001,MATCH(ROWS($W$2:W890),$W$2:$W$1001,0),MATCH(COLUMNS($AD$1006:AL1006),$AD$1006:$AU$1006,0)), HYPERLINK("#",""), HYPERLINK(CONCATENATE("#metadata!", ADDRESS(INDEX($Y$2:$Y$1001,MATCH(ROWS($W$2:W890),$W$2:$W$1001,0),0), INDEX($AD$1004:$AU$1004,1,MATCH(COLUMNS($AD$1006:AL1006),$AD$1006:$AU$1006,0)))),"Fix")))</f>
        <v xml:space="preserve"> </v>
      </c>
      <c r="K890" s="4" t="str">
        <f ca="1">IF(OR(INDEX($X$2:$X$1001,MATCH(ROWS($W$2:W890),$W$2:$W$1001,0),1)&gt;=100000,INDEX($AD$1005:$AU$1005,1,MATCH(COLUMNS($AD$1006:AM1006),$AD$1006:$AU$1006,0))&gt;=100000), " ",IF(INDEX($AD$2:$AU$1001,MATCH(ROWS($W$2:W890),$W$2:$W$1001,0),MATCH(COLUMNS($AD$1006:AM1006),$AD$1006:$AU$1006,0)), HYPERLINK("#",""), HYPERLINK(CONCATENATE("#metadata!", ADDRESS(INDEX($Y$2:$Y$1001,MATCH(ROWS($W$2:W890),$W$2:$W$1001,0),0), INDEX($AD$1004:$AU$1004,1,MATCH(COLUMNS($AD$1006:AM1006),$AD$1006:$AU$1006,0)))),"Fix")))</f>
        <v xml:space="preserve"> </v>
      </c>
      <c r="L890" s="4" t="str">
        <f ca="1">IF(OR(INDEX($X$2:$X$1001,MATCH(ROWS($W$2:W890),$W$2:$W$1001,0),1)&gt;=100000,INDEX($AD$1005:$AU$1005,1,MATCH(COLUMNS($AD$1006:AN1006),$AD$1006:$AU$1006,0))&gt;=100000), " ",IF(INDEX($AD$2:$AU$1001,MATCH(ROWS($W$2:W890),$W$2:$W$1001,0),MATCH(COLUMNS($AD$1006:AN1006),$AD$1006:$AU$1006,0)), HYPERLINK("#",""), HYPERLINK(CONCATENATE("#metadata!", ADDRESS(INDEX($Y$2:$Y$1001,MATCH(ROWS($W$2:W890),$W$2:$W$1001,0),0), INDEX($AD$1004:$AU$1004,1,MATCH(COLUMNS($AD$1006:AN1006),$AD$1006:$AU$1006,0)))),"Fix")))</f>
        <v xml:space="preserve"> </v>
      </c>
      <c r="M890" s="4" t="str">
        <f ca="1">IF(OR(INDEX($X$2:$X$1001,MATCH(ROWS($W$2:W890),$W$2:$W$1001,0),1)&gt;=100000,INDEX($AD$1005:$AU$1005,1,MATCH(COLUMNS($AD$1006:AO1006),$AD$1006:$AU$1006,0))&gt;=100000), " ",IF(INDEX($AD$2:$AU$1001,MATCH(ROWS($W$2:W890),$W$2:$W$1001,0),MATCH(COLUMNS($AD$1006:AO1006),$AD$1006:$AU$1006,0)), HYPERLINK("#",""), HYPERLINK(CONCATENATE("#metadata!", ADDRESS(INDEX($Y$2:$Y$1001,MATCH(ROWS($W$2:W890),$W$2:$W$1001,0),0), INDEX($AD$1004:$AU$1004,1,MATCH(COLUMNS($AD$1006:AO1006),$AD$1006:$AU$1006,0)))),"Fix")))</f>
        <v xml:space="preserve"> </v>
      </c>
      <c r="N890" s="4" t="str">
        <f ca="1">IF(OR(INDEX($X$2:$X$1001,MATCH(ROWS($W$2:W890),$W$2:$W$1001,0),1)&gt;=100000,INDEX($AD$1005:$AU$1005,1,MATCH(COLUMNS($AD$1006:AP1006),$AD$1006:$AU$1006,0))&gt;=100000), " ",IF(INDEX($AD$2:$AU$1001,MATCH(ROWS($W$2:W890),$W$2:$W$1001,0),MATCH(COLUMNS($AD$1006:AP1006),$AD$1006:$AU$1006,0)), HYPERLINK("#",""), HYPERLINK(CONCATENATE("#metadata!", ADDRESS(INDEX($Y$2:$Y$1001,MATCH(ROWS($W$2:W890),$W$2:$W$1001,0),0), INDEX($AD$1004:$AU$1004,1,MATCH(COLUMNS($AD$1006:AP1006),$AD$1006:$AU$1006,0)))),"Fix")))</f>
        <v xml:space="preserve"> </v>
      </c>
      <c r="O890" s="4" t="str">
        <f ca="1">IF(OR(INDEX($X$2:$X$1001,MATCH(ROWS($W$2:W890),$W$2:$W$1001,0),1)&gt;=100000,INDEX($AD$1005:$AU$1005,1,MATCH(COLUMNS($AD$1006:AQ1006),$AD$1006:$AU$1006,0))&gt;=100000), " ",IF(INDEX($AD$2:$AU$1001,MATCH(ROWS($W$2:W890),$W$2:$W$1001,0),MATCH(COLUMNS($AD$1006:AQ1006),$AD$1006:$AU$1006,0)), HYPERLINK("#",""), HYPERLINK(CONCATENATE("#metadata!", ADDRESS(INDEX($Y$2:$Y$1001,MATCH(ROWS($W$2:W890),$W$2:$W$1001,0),0), INDEX($AD$1004:$AU$1004,1,MATCH(COLUMNS($AD$1006:AQ1006),$AD$1006:$AU$1006,0)))),"Fix")))</f>
        <v xml:space="preserve"> </v>
      </c>
      <c r="P890" s="4" t="str">
        <f ca="1">IF(OR(INDEX($X$2:$X$1001,MATCH(ROWS($W$2:W890),$W$2:$W$1001,0),1)&gt;=100000,INDEX($AD$1005:$AU$1005,1,MATCH(COLUMNS($AD$1006:AR1006),$AD$1006:$AU$1006,0))&gt;=100000), " ",IF(INDEX($AD$2:$AU$1001,MATCH(ROWS($W$2:W890),$W$2:$W$1001,0),MATCH(COLUMNS($AD$1006:AR1006),$AD$1006:$AU$1006,0)), HYPERLINK("#",""), HYPERLINK(CONCATENATE("#metadata!", ADDRESS(INDEX($Y$2:$Y$1001,MATCH(ROWS($W$2:W890),$W$2:$W$1001,0),0), INDEX($AD$1004:$AU$1004,1,MATCH(COLUMNS($AD$1006:AR1006),$AD$1006:$AU$1006,0)))),"Fix")))</f>
        <v xml:space="preserve"> </v>
      </c>
      <c r="Q890" s="4" t="str">
        <f ca="1">IF(OR(INDEX($X$2:$X$1001,MATCH(ROWS($W$2:W890),$W$2:$W$1001,0),1)&gt;=100000,INDEX($AD$1005:$AU$1005,1,MATCH(COLUMNS($AD$1006:AS1006),$AD$1006:$AU$1006,0))&gt;=100000), " ",IF(INDEX($AD$2:$AU$1001,MATCH(ROWS($W$2:W890),$W$2:$W$1001,0),MATCH(COLUMNS($AD$1006:AS1006),$AD$1006:$AU$1006,0)), HYPERLINK("#",""), HYPERLINK(CONCATENATE("#metadata!", ADDRESS(INDEX($Y$2:$Y$1001,MATCH(ROWS($W$2:W890),$W$2:$W$1001,0),0), INDEX($AD$1004:$AU$1004,1,MATCH(COLUMNS($AD$1006:AS1006),$AD$1006:$AU$1006,0)))),"Fix")))</f>
        <v xml:space="preserve"> </v>
      </c>
      <c r="R890" s="4" t="str">
        <f ca="1">IF(OR(INDEX($X$2:$X$1001,MATCH(ROWS($W$2:W890),$W$2:$W$1001,0),1)&gt;=100000,INDEX($AD$1005:$AU$1005,1,MATCH(COLUMNS($AD$1006:AT1006),$AD$1006:$AU$1006,0))&gt;=100000), " ",IF(INDEX($AD$2:$AU$1001,MATCH(ROWS($W$2:W890),$W$2:$W$1001,0),MATCH(COLUMNS($AD$1006:AT1006),$AD$1006:$AU$1006,0)), HYPERLINK("#",""), HYPERLINK(CONCATENATE("#metadata!", ADDRESS(INDEX($Y$2:$Y$1001,MATCH(ROWS($W$2:W890),$W$2:$W$1001,0),0), INDEX($AD$1004:$AU$1004,1,MATCH(COLUMNS($AD$1006:AT1006),$AD$1006:$AU$1006,0)))),"Fix")))</f>
        <v xml:space="preserve"> </v>
      </c>
      <c r="S890" s="4" t="str">
        <f ca="1">IF(OR(INDEX($X$2:$X$1001,MATCH(ROWS($W$2:W890),$W$2:$W$1001,0),1)&gt;=100000,INDEX($AD$1005:$AU$1005,1,MATCH(COLUMNS($AD$1006:AU1006),$AD$1006:$AU$1006,0))&gt;=100000), " ",IF(INDEX($AD$2:$AU$1001,MATCH(ROWS($W$2:W890),$W$2:$W$1001,0),MATCH(COLUMNS($AD$1006:AU1006),$AD$1006:$AU$1006,0)), HYPERLINK("#",""), HYPERLINK(CONCATENATE("#metadata!", ADDRESS(INDEX($Y$2:$Y$1001,MATCH(ROWS($W$2:W890),$W$2:$W$1001,0),0), INDEX($AD$1004:$AU$1004,1,MATCH(COLUMNS($AD$1006:AU1006),$AD$1006:$AU$1006,0)))),"Fix")))</f>
        <v xml:space="preserve"> </v>
      </c>
      <c r="W890">
        <v>889</v>
      </c>
      <c r="X890">
        <v>100890</v>
      </c>
      <c r="Y890">
        <v>890</v>
      </c>
      <c r="Z890" t="b">
        <f t="shared" si="13"/>
        <v>1</v>
      </c>
      <c r="AA890" t="b">
        <f>COUNTBLANK(metadata!B890:S890)=COLUMNS(metadata!B890:S890)</f>
        <v>1</v>
      </c>
      <c r="AB890" t="str">
        <v/>
      </c>
      <c r="AD890" t="b">
        <f ca="1">AND(IF(metadata!B890="",FALSE,TRUE),COUNTIF(metadata!B:B, metadata!B890) = 1,NOT(ISERROR(SUMPRODUCT(SEARCH(MID(metadata!B890,ROW(INDIRECT("1:"&amp;LEN(metadata!B890))), 1),"0123456789abcdefghijklmnopqrstuvwxyzABCDEFGHIJKLMNOPQRSTUVWXYZ.")))))</f>
        <v>0</v>
      </c>
      <c r="AE890" t="b">
        <f>OR(AND(IF(metadata!C890="",FALSE,TRUE),OR(EXACT(metadata!C890,"not applicable"),EXACT(metadata!C890,"missing: not collected"),EXACT(metadata!C890,"missing: not provided"),EXACT(metadata!C890,"missing: restricted access"))),AND(IF(metadata!C890="",FALSE,ISNUMBER(VALUE(metadata!C890))),metadata!C890&gt;0))</f>
        <v>0</v>
      </c>
      <c r="AF890" t="b">
        <f>AND(IF(metadata!D890="",FALSE,TRUE),EXACT(metadata!D890,"missing: not provided"))</f>
        <v>0</v>
      </c>
      <c r="AG890" t="b">
        <f>AND(IF(metadata!E890="",FALSE,TRUE),EXACT(metadata!E890,"Host-associated"))</f>
        <v>0</v>
      </c>
      <c r="AH890" t="b">
        <f>AND(IF(metadata!F890="",FALSE,TRUE),OR(EXACT(metadata!F890,"Animal"),EXACT(metadata!F890,"Fungus"),EXACT(metadata!F890,"Plant")))</f>
        <v>0</v>
      </c>
      <c r="AI890" t="b">
        <f>AND(IF(metadata!G890="",FALSE,TRUE),OR(EXACT(metadata!G890,"Plant secretion"),EXACT(metadata!G890,"Plant rhizosphere"),EXACT(metadata!G890,"Plant surface"),EXACT(metadata!G890,"Plant corpus"),EXACT(metadata!G890,"Fungus surface"),EXACT(metadata!G890,"Fungus corpus"),EXACT(metadata!G890,"Animal surface"),EXACT(metadata!G890,"Animal proximal gut"),EXACT(metadata!G890,"Animal corpus"),EXACT(metadata!G890,"Animal distal gut"),EXACT(metadata!G890,"Animal secretion")))</f>
        <v>0</v>
      </c>
      <c r="AJ890" t="b">
        <f>OR(AND(IF(metadata!H890="",FALSE,TRUE),OR(EXACT(metadata!H890,"missing: not collected"),EXACT(metadata!H890,"missing: not provided"),EXACT(metadata!H890,"missing: restricted access"))),AND(IF(metadata!H890="",FALSE,TRUE),OR(EXACT(metadata!H890,"organism-associated habitat"),EXACT(metadata!H890,"plant-associated habitat"),EXACT(metadata!H890,"animal-associated habitat"),EXACT(metadata!H890,"insecta-associated habitat"),EXACT(metadata!H890,"mammalia-associated habitat"),EXACT(metadata!H890,"human-associated habitat"),EXACT(metadata!H890,"livestock-associated habitat"))))</f>
        <v>0</v>
      </c>
      <c r="AK890" t="b">
        <f>AND(IF(metadata!I890="",FALSE,TRUE),EXACT(metadata!I890,"host-associated"))</f>
        <v>0</v>
      </c>
      <c r="AL890" t="b">
        <f>OR(AND(IF(metadata!J890="",FALSE,TRUE),OR(EXACT(metadata!J890,"not applicable"),EXACT(metadata!J890,"missing: not collected"),EXACT(metadata!J890,"missing: not provided"),EXACT(metadata!J890,"missing: restricted access"))),AND(IF(metadata!J890="",FALSE,ISNUMBER(VALUE(metadata!J890))),metadata!J890&gt;0))</f>
        <v>0</v>
      </c>
      <c r="AM890" t="b">
        <f>AND(IF(metadata!K890="",FALSE,TRUE),EXACT(metadata!K890,"missing: not provided"))</f>
        <v>0</v>
      </c>
      <c r="AN890" t="b">
        <f>IF(metadata!L890="",FALSE,TRUE)</f>
        <v>0</v>
      </c>
      <c r="AO890" t="b">
        <f>IF(metadata!M890="",FALSE,TRUE)</f>
        <v>0</v>
      </c>
      <c r="AP890" t="b">
        <f>OR(AND(IF(metadata!N890="",FALSE,TRUE),OR(EXACT(metadata!N890,"not applicable"),EXACT(metadata!N890,"missing: not collected"),EXACT(metadata!N890,"missing: not provided"))),AND(IF(metadata!N890="",FALSE,IF(ISERROR(INT(metadata!N890)),FALSE,INT(metadata!N890)=metadata!N890)),metadata!N890&gt;0))</f>
        <v>0</v>
      </c>
      <c r="AQ890" t="b">
        <f>AND(IF(metadata!O890="",FALSE,TRUE),EXACT(metadata!O890,"Not applicable"))</f>
        <v>0</v>
      </c>
      <c r="AR890" t="b">
        <f>OR(AND(IF(metadata!P890="",FALSE,TRUE),OR(EXACT(metadata!P890,"not applicable"),EXACT(metadata!P890,"missing: not collected"),EXACT(metadata!P890,"missing: not provided"),EXACT(metadata!P890,"missing: restricted access"))),IF(metadata!P890="",FALSE,IF(ISERROR(INT(metadata!P890)),FALSE,INT(metadata!P890)=metadata!P890)))</f>
        <v>0</v>
      </c>
      <c r="AS890" t="b">
        <f>AND(IF(metadata!Q890="",FALSE,TRUE),EXACT(metadata!Q890,"Not applicable"))</f>
        <v>0</v>
      </c>
      <c r="AT890" t="b">
        <f>OR(AND(IF(metadata!R890="",FALSE,TRUE),OR(EXACT(metadata!R890,"not applicable"),EXACT(metadata!R890,"missing: not collected"),EXACT(metadata!R890,"missing: not provided"),EXACT(metadata!R890,"missing: restricted access"))),AND(IF(metadata!R890="",FALSE,ISNUMBER(VALUE(metadata!R890))),metadata!R890&gt;0))</f>
        <v>0</v>
      </c>
      <c r="AU890" t="b">
        <f>AND(IF(metadata!S890="",FALSE,TRUE),EXACT(metadata!S890,"missing: not provided"))</f>
        <v>0</v>
      </c>
    </row>
    <row r="891" spans="1:47" x14ac:dyDescent="0.2">
      <c r="A891" s="5" t="str">
        <f ca="1">IF(B891=" "," ",HYPERLINK(CONCATENATE("#metadata!",ADDRESS(INDEX($Y$2:$Y$1001,MATCH(ROWS($W$2:W891),$W$2:$W$1001,0),0),1)),INDEX($AB$2:$AB$1001,MATCH(ROWS($W$2:W891),$W$2:$W$1001,0),0)))</f>
        <v xml:space="preserve"> </v>
      </c>
      <c r="B891" s="4" t="str">
        <f ca="1">IF(OR(INDEX($X$2:$X$1001,MATCH(ROWS($W$2:W891),$W$2:$W$1001,0),1)&gt;=100000,INDEX($AD$1005:$AU$1005,1,MATCH(COLUMNS($AD$1006:AD1006),$AD$1006:$AU$1006,0))&gt;=100000), " ",IF(INDEX($AD$2:$AU$1001,MATCH(ROWS($W$2:W891),$W$2:$W$1001,0),MATCH(COLUMNS($AD$1006:AD1006),$AD$1006:$AU$1006,0)), HYPERLINK("#",""), HYPERLINK(CONCATENATE("#metadata!", ADDRESS(INDEX($Y$2:$Y$1001,MATCH(ROWS($W$2:W891),$W$2:$W$1001,0),0), INDEX($AD$1004:$AU$1004,1,MATCH(COLUMNS($AD$1006:AD1006),$AD$1006:$AU$1006,0)))),"Fix")))</f>
        <v xml:space="preserve"> </v>
      </c>
      <c r="C891" s="4" t="str">
        <f ca="1">IF(OR(INDEX($X$2:$X$1001,MATCH(ROWS($W$2:W891),$W$2:$W$1001,0),1)&gt;=100000,INDEX($AD$1005:$AU$1005,1,MATCH(COLUMNS($AD$1006:AE1006),$AD$1006:$AU$1006,0))&gt;=100000), " ",IF(INDEX($AD$2:$AU$1001,MATCH(ROWS($W$2:W891),$W$2:$W$1001,0),MATCH(COLUMNS($AD$1006:AE1006),$AD$1006:$AU$1006,0)), HYPERLINK("#",""), HYPERLINK(CONCATENATE("#metadata!", ADDRESS(INDEX($Y$2:$Y$1001,MATCH(ROWS($W$2:W891),$W$2:$W$1001,0),0), INDEX($AD$1004:$AU$1004,1,MATCH(COLUMNS($AD$1006:AE1006),$AD$1006:$AU$1006,0)))),"Fix")))</f>
        <v xml:space="preserve"> </v>
      </c>
      <c r="D891" s="4" t="str">
        <f ca="1">IF(OR(INDEX($X$2:$X$1001,MATCH(ROWS($W$2:W891),$W$2:$W$1001,0),1)&gt;=100000,INDEX($AD$1005:$AU$1005,1,MATCH(COLUMNS($AD$1006:AF1006),$AD$1006:$AU$1006,0))&gt;=100000), " ",IF(INDEX($AD$2:$AU$1001,MATCH(ROWS($W$2:W891),$W$2:$W$1001,0),MATCH(COLUMNS($AD$1006:AF1006),$AD$1006:$AU$1006,0)), HYPERLINK("#",""), HYPERLINK(CONCATENATE("#metadata!", ADDRESS(INDEX($Y$2:$Y$1001,MATCH(ROWS($W$2:W891),$W$2:$W$1001,0),0), INDEX($AD$1004:$AU$1004,1,MATCH(COLUMNS($AD$1006:AF1006),$AD$1006:$AU$1006,0)))),"Fix")))</f>
        <v xml:space="preserve"> </v>
      </c>
      <c r="E891" s="4" t="str">
        <f ca="1">IF(OR(INDEX($X$2:$X$1001,MATCH(ROWS($W$2:W891),$W$2:$W$1001,0),1)&gt;=100000,INDEX($AD$1005:$AU$1005,1,MATCH(COLUMNS($AD$1006:AG1006),$AD$1006:$AU$1006,0))&gt;=100000), " ",IF(INDEX($AD$2:$AU$1001,MATCH(ROWS($W$2:W891),$W$2:$W$1001,0),MATCH(COLUMNS($AD$1006:AG1006),$AD$1006:$AU$1006,0)), HYPERLINK("#",""), HYPERLINK(CONCATENATE("#metadata!", ADDRESS(INDEX($Y$2:$Y$1001,MATCH(ROWS($W$2:W891),$W$2:$W$1001,0),0), INDEX($AD$1004:$AU$1004,1,MATCH(COLUMNS($AD$1006:AG1006),$AD$1006:$AU$1006,0)))),"Fix")))</f>
        <v xml:space="preserve"> </v>
      </c>
      <c r="F891" s="4" t="str">
        <f ca="1">IF(OR(INDEX($X$2:$X$1001,MATCH(ROWS($W$2:W891),$W$2:$W$1001,0),1)&gt;=100000,INDEX($AD$1005:$AU$1005,1,MATCH(COLUMNS($AD$1006:AH1006),$AD$1006:$AU$1006,0))&gt;=100000), " ",IF(INDEX($AD$2:$AU$1001,MATCH(ROWS($W$2:W891),$W$2:$W$1001,0),MATCH(COLUMNS($AD$1006:AH1006),$AD$1006:$AU$1006,0)), HYPERLINK("#",""), HYPERLINK(CONCATENATE("#metadata!", ADDRESS(INDEX($Y$2:$Y$1001,MATCH(ROWS($W$2:W891),$W$2:$W$1001,0),0), INDEX($AD$1004:$AU$1004,1,MATCH(COLUMNS($AD$1006:AH1006),$AD$1006:$AU$1006,0)))),"Fix")))</f>
        <v xml:space="preserve"> </v>
      </c>
      <c r="G891" s="4" t="str">
        <f ca="1">IF(OR(INDEX($X$2:$X$1001,MATCH(ROWS($W$2:W891),$W$2:$W$1001,0),1)&gt;=100000,INDEX($AD$1005:$AU$1005,1,MATCH(COLUMNS($AD$1006:AI1006),$AD$1006:$AU$1006,0))&gt;=100000), " ",IF(INDEX($AD$2:$AU$1001,MATCH(ROWS($W$2:W891),$W$2:$W$1001,0),MATCH(COLUMNS($AD$1006:AI1006),$AD$1006:$AU$1006,0)), HYPERLINK("#",""), HYPERLINK(CONCATENATE("#metadata!", ADDRESS(INDEX($Y$2:$Y$1001,MATCH(ROWS($W$2:W891),$W$2:$W$1001,0),0), INDEX($AD$1004:$AU$1004,1,MATCH(COLUMNS($AD$1006:AI1006),$AD$1006:$AU$1006,0)))),"Fix")))</f>
        <v xml:space="preserve"> </v>
      </c>
      <c r="H891" s="4" t="str">
        <f ca="1">IF(OR(INDEX($X$2:$X$1001,MATCH(ROWS($W$2:W891),$W$2:$W$1001,0),1)&gt;=100000,INDEX($AD$1005:$AU$1005,1,MATCH(COLUMNS($AD$1006:AJ1006),$AD$1006:$AU$1006,0))&gt;=100000), " ",IF(INDEX($AD$2:$AU$1001,MATCH(ROWS($W$2:W891),$W$2:$W$1001,0),MATCH(COLUMNS($AD$1006:AJ1006),$AD$1006:$AU$1006,0)), HYPERLINK("#",""), HYPERLINK(CONCATENATE("#metadata!", ADDRESS(INDEX($Y$2:$Y$1001,MATCH(ROWS($W$2:W891),$W$2:$W$1001,0),0), INDEX($AD$1004:$AU$1004,1,MATCH(COLUMNS($AD$1006:AJ1006),$AD$1006:$AU$1006,0)))),"Fix")))</f>
        <v xml:space="preserve"> </v>
      </c>
      <c r="I891" s="4" t="str">
        <f ca="1">IF(OR(INDEX($X$2:$X$1001,MATCH(ROWS($W$2:W891),$W$2:$W$1001,0),1)&gt;=100000,INDEX($AD$1005:$AU$1005,1,MATCH(COLUMNS($AD$1006:AK1006),$AD$1006:$AU$1006,0))&gt;=100000), " ",IF(INDEX($AD$2:$AU$1001,MATCH(ROWS($W$2:W891),$W$2:$W$1001,0),MATCH(COLUMNS($AD$1006:AK1006),$AD$1006:$AU$1006,0)), HYPERLINK("#",""), HYPERLINK(CONCATENATE("#metadata!", ADDRESS(INDEX($Y$2:$Y$1001,MATCH(ROWS($W$2:W891),$W$2:$W$1001,0),0), INDEX($AD$1004:$AU$1004,1,MATCH(COLUMNS($AD$1006:AK1006),$AD$1006:$AU$1006,0)))),"Fix")))</f>
        <v xml:space="preserve"> </v>
      </c>
      <c r="J891" s="4" t="str">
        <f ca="1">IF(OR(INDEX($X$2:$X$1001,MATCH(ROWS($W$2:W891),$W$2:$W$1001,0),1)&gt;=100000,INDEX($AD$1005:$AU$1005,1,MATCH(COLUMNS($AD$1006:AL1006),$AD$1006:$AU$1006,0))&gt;=100000), " ",IF(INDEX($AD$2:$AU$1001,MATCH(ROWS($W$2:W891),$W$2:$W$1001,0),MATCH(COLUMNS($AD$1006:AL1006),$AD$1006:$AU$1006,0)), HYPERLINK("#",""), HYPERLINK(CONCATENATE("#metadata!", ADDRESS(INDEX($Y$2:$Y$1001,MATCH(ROWS($W$2:W891),$W$2:$W$1001,0),0), INDEX($AD$1004:$AU$1004,1,MATCH(COLUMNS($AD$1006:AL1006),$AD$1006:$AU$1006,0)))),"Fix")))</f>
        <v xml:space="preserve"> </v>
      </c>
      <c r="K891" s="4" t="str">
        <f ca="1">IF(OR(INDEX($X$2:$X$1001,MATCH(ROWS($W$2:W891),$W$2:$W$1001,0),1)&gt;=100000,INDEX($AD$1005:$AU$1005,1,MATCH(COLUMNS($AD$1006:AM1006),$AD$1006:$AU$1006,0))&gt;=100000), " ",IF(INDEX($AD$2:$AU$1001,MATCH(ROWS($W$2:W891),$W$2:$W$1001,0),MATCH(COLUMNS($AD$1006:AM1006),$AD$1006:$AU$1006,0)), HYPERLINK("#",""), HYPERLINK(CONCATENATE("#metadata!", ADDRESS(INDEX($Y$2:$Y$1001,MATCH(ROWS($W$2:W891),$W$2:$W$1001,0),0), INDEX($AD$1004:$AU$1004,1,MATCH(COLUMNS($AD$1006:AM1006),$AD$1006:$AU$1006,0)))),"Fix")))</f>
        <v xml:space="preserve"> </v>
      </c>
      <c r="L891" s="4" t="str">
        <f ca="1">IF(OR(INDEX($X$2:$X$1001,MATCH(ROWS($W$2:W891),$W$2:$W$1001,0),1)&gt;=100000,INDEX($AD$1005:$AU$1005,1,MATCH(COLUMNS($AD$1006:AN1006),$AD$1006:$AU$1006,0))&gt;=100000), " ",IF(INDEX($AD$2:$AU$1001,MATCH(ROWS($W$2:W891),$W$2:$W$1001,0),MATCH(COLUMNS($AD$1006:AN1006),$AD$1006:$AU$1006,0)), HYPERLINK("#",""), HYPERLINK(CONCATENATE("#metadata!", ADDRESS(INDEX($Y$2:$Y$1001,MATCH(ROWS($W$2:W891),$W$2:$W$1001,0),0), INDEX($AD$1004:$AU$1004,1,MATCH(COLUMNS($AD$1006:AN1006),$AD$1006:$AU$1006,0)))),"Fix")))</f>
        <v xml:space="preserve"> </v>
      </c>
      <c r="M891" s="4" t="str">
        <f ca="1">IF(OR(INDEX($X$2:$X$1001,MATCH(ROWS($W$2:W891),$W$2:$W$1001,0),1)&gt;=100000,INDEX($AD$1005:$AU$1005,1,MATCH(COLUMNS($AD$1006:AO1006),$AD$1006:$AU$1006,0))&gt;=100000), " ",IF(INDEX($AD$2:$AU$1001,MATCH(ROWS($W$2:W891),$W$2:$W$1001,0),MATCH(COLUMNS($AD$1006:AO1006),$AD$1006:$AU$1006,0)), HYPERLINK("#",""), HYPERLINK(CONCATENATE("#metadata!", ADDRESS(INDEX($Y$2:$Y$1001,MATCH(ROWS($W$2:W891),$W$2:$W$1001,0),0), INDEX($AD$1004:$AU$1004,1,MATCH(COLUMNS($AD$1006:AO1006),$AD$1006:$AU$1006,0)))),"Fix")))</f>
        <v xml:space="preserve"> </v>
      </c>
      <c r="N891" s="4" t="str">
        <f ca="1">IF(OR(INDEX($X$2:$X$1001,MATCH(ROWS($W$2:W891),$W$2:$W$1001,0),1)&gt;=100000,INDEX($AD$1005:$AU$1005,1,MATCH(COLUMNS($AD$1006:AP1006),$AD$1006:$AU$1006,0))&gt;=100000), " ",IF(INDEX($AD$2:$AU$1001,MATCH(ROWS($W$2:W891),$W$2:$W$1001,0),MATCH(COLUMNS($AD$1006:AP1006),$AD$1006:$AU$1006,0)), HYPERLINK("#",""), HYPERLINK(CONCATENATE("#metadata!", ADDRESS(INDEX($Y$2:$Y$1001,MATCH(ROWS($W$2:W891),$W$2:$W$1001,0),0), INDEX($AD$1004:$AU$1004,1,MATCH(COLUMNS($AD$1006:AP1006),$AD$1006:$AU$1006,0)))),"Fix")))</f>
        <v xml:space="preserve"> </v>
      </c>
      <c r="O891" s="4" t="str">
        <f ca="1">IF(OR(INDEX($X$2:$X$1001,MATCH(ROWS($W$2:W891),$W$2:$W$1001,0),1)&gt;=100000,INDEX($AD$1005:$AU$1005,1,MATCH(COLUMNS($AD$1006:AQ1006),$AD$1006:$AU$1006,0))&gt;=100000), " ",IF(INDEX($AD$2:$AU$1001,MATCH(ROWS($W$2:W891),$W$2:$W$1001,0),MATCH(COLUMNS($AD$1006:AQ1006),$AD$1006:$AU$1006,0)), HYPERLINK("#",""), HYPERLINK(CONCATENATE("#metadata!", ADDRESS(INDEX($Y$2:$Y$1001,MATCH(ROWS($W$2:W891),$W$2:$W$1001,0),0), INDEX($AD$1004:$AU$1004,1,MATCH(COLUMNS($AD$1006:AQ1006),$AD$1006:$AU$1006,0)))),"Fix")))</f>
        <v xml:space="preserve"> </v>
      </c>
      <c r="P891" s="4" t="str">
        <f ca="1">IF(OR(INDEX($X$2:$X$1001,MATCH(ROWS($W$2:W891),$W$2:$W$1001,0),1)&gt;=100000,INDEX($AD$1005:$AU$1005,1,MATCH(COLUMNS($AD$1006:AR1006),$AD$1006:$AU$1006,0))&gt;=100000), " ",IF(INDEX($AD$2:$AU$1001,MATCH(ROWS($W$2:W891),$W$2:$W$1001,0),MATCH(COLUMNS($AD$1006:AR1006),$AD$1006:$AU$1006,0)), HYPERLINK("#",""), HYPERLINK(CONCATENATE("#metadata!", ADDRESS(INDEX($Y$2:$Y$1001,MATCH(ROWS($W$2:W891),$W$2:$W$1001,0),0), INDEX($AD$1004:$AU$1004,1,MATCH(COLUMNS($AD$1006:AR1006),$AD$1006:$AU$1006,0)))),"Fix")))</f>
        <v xml:space="preserve"> </v>
      </c>
      <c r="Q891" s="4" t="str">
        <f ca="1">IF(OR(INDEX($X$2:$X$1001,MATCH(ROWS($W$2:W891),$W$2:$W$1001,0),1)&gt;=100000,INDEX($AD$1005:$AU$1005,1,MATCH(COLUMNS($AD$1006:AS1006),$AD$1006:$AU$1006,0))&gt;=100000), " ",IF(INDEX($AD$2:$AU$1001,MATCH(ROWS($W$2:W891),$W$2:$W$1001,0),MATCH(COLUMNS($AD$1006:AS1006),$AD$1006:$AU$1006,0)), HYPERLINK("#",""), HYPERLINK(CONCATENATE("#metadata!", ADDRESS(INDEX($Y$2:$Y$1001,MATCH(ROWS($W$2:W891),$W$2:$W$1001,0),0), INDEX($AD$1004:$AU$1004,1,MATCH(COLUMNS($AD$1006:AS1006),$AD$1006:$AU$1006,0)))),"Fix")))</f>
        <v xml:space="preserve"> </v>
      </c>
      <c r="R891" s="4" t="str">
        <f ca="1">IF(OR(INDEX($X$2:$X$1001,MATCH(ROWS($W$2:W891),$W$2:$W$1001,0),1)&gt;=100000,INDEX($AD$1005:$AU$1005,1,MATCH(COLUMNS($AD$1006:AT1006),$AD$1006:$AU$1006,0))&gt;=100000), " ",IF(INDEX($AD$2:$AU$1001,MATCH(ROWS($W$2:W891),$W$2:$W$1001,0),MATCH(COLUMNS($AD$1006:AT1006),$AD$1006:$AU$1006,0)), HYPERLINK("#",""), HYPERLINK(CONCATENATE("#metadata!", ADDRESS(INDEX($Y$2:$Y$1001,MATCH(ROWS($W$2:W891),$W$2:$W$1001,0),0), INDEX($AD$1004:$AU$1004,1,MATCH(COLUMNS($AD$1006:AT1006),$AD$1006:$AU$1006,0)))),"Fix")))</f>
        <v xml:space="preserve"> </v>
      </c>
      <c r="S891" s="4" t="str">
        <f ca="1">IF(OR(INDEX($X$2:$X$1001,MATCH(ROWS($W$2:W891),$W$2:$W$1001,0),1)&gt;=100000,INDEX($AD$1005:$AU$1005,1,MATCH(COLUMNS($AD$1006:AU1006),$AD$1006:$AU$1006,0))&gt;=100000), " ",IF(INDEX($AD$2:$AU$1001,MATCH(ROWS($W$2:W891),$W$2:$W$1001,0),MATCH(COLUMNS($AD$1006:AU1006),$AD$1006:$AU$1006,0)), HYPERLINK("#",""), HYPERLINK(CONCATENATE("#metadata!", ADDRESS(INDEX($Y$2:$Y$1001,MATCH(ROWS($W$2:W891),$W$2:$W$1001,0),0), INDEX($AD$1004:$AU$1004,1,MATCH(COLUMNS($AD$1006:AU1006),$AD$1006:$AU$1006,0)))),"Fix")))</f>
        <v xml:space="preserve"> </v>
      </c>
      <c r="W891">
        <v>890</v>
      </c>
      <c r="X891">
        <v>100891</v>
      </c>
      <c r="Y891">
        <v>891</v>
      </c>
      <c r="Z891" t="b">
        <f t="shared" si="13"/>
        <v>1</v>
      </c>
      <c r="AA891" t="b">
        <f>COUNTBLANK(metadata!B891:S891)=COLUMNS(metadata!B891:S891)</f>
        <v>1</v>
      </c>
      <c r="AB891" t="str">
        <v/>
      </c>
      <c r="AD891" t="b">
        <f ca="1">AND(IF(metadata!B891="",FALSE,TRUE),COUNTIF(metadata!B:B, metadata!B891) = 1,NOT(ISERROR(SUMPRODUCT(SEARCH(MID(metadata!B891,ROW(INDIRECT("1:"&amp;LEN(metadata!B891))), 1),"0123456789abcdefghijklmnopqrstuvwxyzABCDEFGHIJKLMNOPQRSTUVWXYZ.")))))</f>
        <v>0</v>
      </c>
      <c r="AE891" t="b">
        <f>OR(AND(IF(metadata!C891="",FALSE,TRUE),OR(EXACT(metadata!C891,"not applicable"),EXACT(metadata!C891,"missing: not collected"),EXACT(metadata!C891,"missing: not provided"),EXACT(metadata!C891,"missing: restricted access"))),AND(IF(metadata!C891="",FALSE,ISNUMBER(VALUE(metadata!C891))),metadata!C891&gt;0))</f>
        <v>0</v>
      </c>
      <c r="AF891" t="b">
        <f>AND(IF(metadata!D891="",FALSE,TRUE),EXACT(metadata!D891,"missing: not provided"))</f>
        <v>0</v>
      </c>
      <c r="AG891" t="b">
        <f>AND(IF(metadata!E891="",FALSE,TRUE),EXACT(metadata!E891,"Host-associated"))</f>
        <v>0</v>
      </c>
      <c r="AH891" t="b">
        <f>AND(IF(metadata!F891="",FALSE,TRUE),OR(EXACT(metadata!F891,"Animal"),EXACT(metadata!F891,"Fungus"),EXACT(metadata!F891,"Plant")))</f>
        <v>0</v>
      </c>
      <c r="AI891" t="b">
        <f>AND(IF(metadata!G891="",FALSE,TRUE),OR(EXACT(metadata!G891,"Plant secretion"),EXACT(metadata!G891,"Plant rhizosphere"),EXACT(metadata!G891,"Plant surface"),EXACT(metadata!G891,"Plant corpus"),EXACT(metadata!G891,"Fungus surface"),EXACT(metadata!G891,"Fungus corpus"),EXACT(metadata!G891,"Animal surface"),EXACT(metadata!G891,"Animal proximal gut"),EXACT(metadata!G891,"Animal corpus"),EXACT(metadata!G891,"Animal distal gut"),EXACT(metadata!G891,"Animal secretion")))</f>
        <v>0</v>
      </c>
      <c r="AJ891" t="b">
        <f>OR(AND(IF(metadata!H891="",FALSE,TRUE),OR(EXACT(metadata!H891,"missing: not collected"),EXACT(metadata!H891,"missing: not provided"),EXACT(metadata!H891,"missing: restricted access"))),AND(IF(metadata!H891="",FALSE,TRUE),OR(EXACT(metadata!H891,"organism-associated habitat"),EXACT(metadata!H891,"plant-associated habitat"),EXACT(metadata!H891,"animal-associated habitat"),EXACT(metadata!H891,"insecta-associated habitat"),EXACT(metadata!H891,"mammalia-associated habitat"),EXACT(metadata!H891,"human-associated habitat"),EXACT(metadata!H891,"livestock-associated habitat"))))</f>
        <v>0</v>
      </c>
      <c r="AK891" t="b">
        <f>AND(IF(metadata!I891="",FALSE,TRUE),EXACT(metadata!I891,"host-associated"))</f>
        <v>0</v>
      </c>
      <c r="AL891" t="b">
        <f>OR(AND(IF(metadata!J891="",FALSE,TRUE),OR(EXACT(metadata!J891,"not applicable"),EXACT(metadata!J891,"missing: not collected"),EXACT(metadata!J891,"missing: not provided"),EXACT(metadata!J891,"missing: restricted access"))),AND(IF(metadata!J891="",FALSE,ISNUMBER(VALUE(metadata!J891))),metadata!J891&gt;0))</f>
        <v>0</v>
      </c>
      <c r="AM891" t="b">
        <f>AND(IF(metadata!K891="",FALSE,TRUE),EXACT(metadata!K891,"missing: not provided"))</f>
        <v>0</v>
      </c>
      <c r="AN891" t="b">
        <f>IF(metadata!L891="",FALSE,TRUE)</f>
        <v>0</v>
      </c>
      <c r="AO891" t="b">
        <f>IF(metadata!M891="",FALSE,TRUE)</f>
        <v>0</v>
      </c>
      <c r="AP891" t="b">
        <f>OR(AND(IF(metadata!N891="",FALSE,TRUE),OR(EXACT(metadata!N891,"not applicable"),EXACT(metadata!N891,"missing: not collected"),EXACT(metadata!N891,"missing: not provided"))),AND(IF(metadata!N891="",FALSE,IF(ISERROR(INT(metadata!N891)),FALSE,INT(metadata!N891)=metadata!N891)),metadata!N891&gt;0))</f>
        <v>0</v>
      </c>
      <c r="AQ891" t="b">
        <f>AND(IF(metadata!O891="",FALSE,TRUE),EXACT(metadata!O891,"Not applicable"))</f>
        <v>0</v>
      </c>
      <c r="AR891" t="b">
        <f>OR(AND(IF(metadata!P891="",FALSE,TRUE),OR(EXACT(metadata!P891,"not applicable"),EXACT(metadata!P891,"missing: not collected"),EXACT(metadata!P891,"missing: not provided"),EXACT(metadata!P891,"missing: restricted access"))),IF(metadata!P891="",FALSE,IF(ISERROR(INT(metadata!P891)),FALSE,INT(metadata!P891)=metadata!P891)))</f>
        <v>0</v>
      </c>
      <c r="AS891" t="b">
        <f>AND(IF(metadata!Q891="",FALSE,TRUE),EXACT(metadata!Q891,"Not applicable"))</f>
        <v>0</v>
      </c>
      <c r="AT891" t="b">
        <f>OR(AND(IF(metadata!R891="",FALSE,TRUE),OR(EXACT(metadata!R891,"not applicable"),EXACT(metadata!R891,"missing: not collected"),EXACT(metadata!R891,"missing: not provided"),EXACT(metadata!R891,"missing: restricted access"))),AND(IF(metadata!R891="",FALSE,ISNUMBER(VALUE(metadata!R891))),metadata!R891&gt;0))</f>
        <v>0</v>
      </c>
      <c r="AU891" t="b">
        <f>AND(IF(metadata!S891="",FALSE,TRUE),EXACT(metadata!S891,"missing: not provided"))</f>
        <v>0</v>
      </c>
    </row>
    <row r="892" spans="1:47" x14ac:dyDescent="0.2">
      <c r="A892" s="5" t="str">
        <f ca="1">IF(B892=" "," ",HYPERLINK(CONCATENATE("#metadata!",ADDRESS(INDEX($Y$2:$Y$1001,MATCH(ROWS($W$2:W892),$W$2:$W$1001,0),0),1)),INDEX($AB$2:$AB$1001,MATCH(ROWS($W$2:W892),$W$2:$W$1001,0),0)))</f>
        <v xml:space="preserve"> </v>
      </c>
      <c r="B892" s="4" t="str">
        <f ca="1">IF(OR(INDEX($X$2:$X$1001,MATCH(ROWS($W$2:W892),$W$2:$W$1001,0),1)&gt;=100000,INDEX($AD$1005:$AU$1005,1,MATCH(COLUMNS($AD$1006:AD1006),$AD$1006:$AU$1006,0))&gt;=100000), " ",IF(INDEX($AD$2:$AU$1001,MATCH(ROWS($W$2:W892),$W$2:$W$1001,0),MATCH(COLUMNS($AD$1006:AD1006),$AD$1006:$AU$1006,0)), HYPERLINK("#",""), HYPERLINK(CONCATENATE("#metadata!", ADDRESS(INDEX($Y$2:$Y$1001,MATCH(ROWS($W$2:W892),$W$2:$W$1001,0),0), INDEX($AD$1004:$AU$1004,1,MATCH(COLUMNS($AD$1006:AD1006),$AD$1006:$AU$1006,0)))),"Fix")))</f>
        <v xml:space="preserve"> </v>
      </c>
      <c r="C892" s="4" t="str">
        <f ca="1">IF(OR(INDEX($X$2:$X$1001,MATCH(ROWS($W$2:W892),$W$2:$W$1001,0),1)&gt;=100000,INDEX($AD$1005:$AU$1005,1,MATCH(COLUMNS($AD$1006:AE1006),$AD$1006:$AU$1006,0))&gt;=100000), " ",IF(INDEX($AD$2:$AU$1001,MATCH(ROWS($W$2:W892),$W$2:$W$1001,0),MATCH(COLUMNS($AD$1006:AE1006),$AD$1006:$AU$1006,0)), HYPERLINK("#",""), HYPERLINK(CONCATENATE("#metadata!", ADDRESS(INDEX($Y$2:$Y$1001,MATCH(ROWS($W$2:W892),$W$2:$W$1001,0),0), INDEX($AD$1004:$AU$1004,1,MATCH(COLUMNS($AD$1006:AE1006),$AD$1006:$AU$1006,0)))),"Fix")))</f>
        <v xml:space="preserve"> </v>
      </c>
      <c r="D892" s="4" t="str">
        <f ca="1">IF(OR(INDEX($X$2:$X$1001,MATCH(ROWS($W$2:W892),$W$2:$W$1001,0),1)&gt;=100000,INDEX($AD$1005:$AU$1005,1,MATCH(COLUMNS($AD$1006:AF1006),$AD$1006:$AU$1006,0))&gt;=100000), " ",IF(INDEX($AD$2:$AU$1001,MATCH(ROWS($W$2:W892),$W$2:$W$1001,0),MATCH(COLUMNS($AD$1006:AF1006),$AD$1006:$AU$1006,0)), HYPERLINK("#",""), HYPERLINK(CONCATENATE("#metadata!", ADDRESS(INDEX($Y$2:$Y$1001,MATCH(ROWS($W$2:W892),$W$2:$W$1001,0),0), INDEX($AD$1004:$AU$1004,1,MATCH(COLUMNS($AD$1006:AF1006),$AD$1006:$AU$1006,0)))),"Fix")))</f>
        <v xml:space="preserve"> </v>
      </c>
      <c r="E892" s="4" t="str">
        <f ca="1">IF(OR(INDEX($X$2:$X$1001,MATCH(ROWS($W$2:W892),$W$2:$W$1001,0),1)&gt;=100000,INDEX($AD$1005:$AU$1005,1,MATCH(COLUMNS($AD$1006:AG1006),$AD$1006:$AU$1006,0))&gt;=100000), " ",IF(INDEX($AD$2:$AU$1001,MATCH(ROWS($W$2:W892),$W$2:$W$1001,0),MATCH(COLUMNS($AD$1006:AG1006),$AD$1006:$AU$1006,0)), HYPERLINK("#",""), HYPERLINK(CONCATENATE("#metadata!", ADDRESS(INDEX($Y$2:$Y$1001,MATCH(ROWS($W$2:W892),$W$2:$W$1001,0),0), INDEX($AD$1004:$AU$1004,1,MATCH(COLUMNS($AD$1006:AG1006),$AD$1006:$AU$1006,0)))),"Fix")))</f>
        <v xml:space="preserve"> </v>
      </c>
      <c r="F892" s="4" t="str">
        <f ca="1">IF(OR(INDEX($X$2:$X$1001,MATCH(ROWS($W$2:W892),$W$2:$W$1001,0),1)&gt;=100000,INDEX($AD$1005:$AU$1005,1,MATCH(COLUMNS($AD$1006:AH1006),$AD$1006:$AU$1006,0))&gt;=100000), " ",IF(INDEX($AD$2:$AU$1001,MATCH(ROWS($W$2:W892),$W$2:$W$1001,0),MATCH(COLUMNS($AD$1006:AH1006),$AD$1006:$AU$1006,0)), HYPERLINK("#",""), HYPERLINK(CONCATENATE("#metadata!", ADDRESS(INDEX($Y$2:$Y$1001,MATCH(ROWS($W$2:W892),$W$2:$W$1001,0),0), INDEX($AD$1004:$AU$1004,1,MATCH(COLUMNS($AD$1006:AH1006),$AD$1006:$AU$1006,0)))),"Fix")))</f>
        <v xml:space="preserve"> </v>
      </c>
      <c r="G892" s="4" t="str">
        <f ca="1">IF(OR(INDEX($X$2:$X$1001,MATCH(ROWS($W$2:W892),$W$2:$W$1001,0),1)&gt;=100000,INDEX($AD$1005:$AU$1005,1,MATCH(COLUMNS($AD$1006:AI1006),$AD$1006:$AU$1006,0))&gt;=100000), " ",IF(INDEX($AD$2:$AU$1001,MATCH(ROWS($W$2:W892),$W$2:$W$1001,0),MATCH(COLUMNS($AD$1006:AI1006),$AD$1006:$AU$1006,0)), HYPERLINK("#",""), HYPERLINK(CONCATENATE("#metadata!", ADDRESS(INDEX($Y$2:$Y$1001,MATCH(ROWS($W$2:W892),$W$2:$W$1001,0),0), INDEX($AD$1004:$AU$1004,1,MATCH(COLUMNS($AD$1006:AI1006),$AD$1006:$AU$1006,0)))),"Fix")))</f>
        <v xml:space="preserve"> </v>
      </c>
      <c r="H892" s="4" t="str">
        <f ca="1">IF(OR(INDEX($X$2:$X$1001,MATCH(ROWS($W$2:W892),$W$2:$W$1001,0),1)&gt;=100000,INDEX($AD$1005:$AU$1005,1,MATCH(COLUMNS($AD$1006:AJ1006),$AD$1006:$AU$1006,0))&gt;=100000), " ",IF(INDEX($AD$2:$AU$1001,MATCH(ROWS($W$2:W892),$W$2:$W$1001,0),MATCH(COLUMNS($AD$1006:AJ1006),$AD$1006:$AU$1006,0)), HYPERLINK("#",""), HYPERLINK(CONCATENATE("#metadata!", ADDRESS(INDEX($Y$2:$Y$1001,MATCH(ROWS($W$2:W892),$W$2:$W$1001,0),0), INDEX($AD$1004:$AU$1004,1,MATCH(COLUMNS($AD$1006:AJ1006),$AD$1006:$AU$1006,0)))),"Fix")))</f>
        <v xml:space="preserve"> </v>
      </c>
      <c r="I892" s="4" t="str">
        <f ca="1">IF(OR(INDEX($X$2:$X$1001,MATCH(ROWS($W$2:W892),$W$2:$W$1001,0),1)&gt;=100000,INDEX($AD$1005:$AU$1005,1,MATCH(COLUMNS($AD$1006:AK1006),$AD$1006:$AU$1006,0))&gt;=100000), " ",IF(INDEX($AD$2:$AU$1001,MATCH(ROWS($W$2:W892),$W$2:$W$1001,0),MATCH(COLUMNS($AD$1006:AK1006),$AD$1006:$AU$1006,0)), HYPERLINK("#",""), HYPERLINK(CONCATENATE("#metadata!", ADDRESS(INDEX($Y$2:$Y$1001,MATCH(ROWS($W$2:W892),$W$2:$W$1001,0),0), INDEX($AD$1004:$AU$1004,1,MATCH(COLUMNS($AD$1006:AK1006),$AD$1006:$AU$1006,0)))),"Fix")))</f>
        <v xml:space="preserve"> </v>
      </c>
      <c r="J892" s="4" t="str">
        <f ca="1">IF(OR(INDEX($X$2:$X$1001,MATCH(ROWS($W$2:W892),$W$2:$W$1001,0),1)&gt;=100000,INDEX($AD$1005:$AU$1005,1,MATCH(COLUMNS($AD$1006:AL1006),$AD$1006:$AU$1006,0))&gt;=100000), " ",IF(INDEX($AD$2:$AU$1001,MATCH(ROWS($W$2:W892),$W$2:$W$1001,0),MATCH(COLUMNS($AD$1006:AL1006),$AD$1006:$AU$1006,0)), HYPERLINK("#",""), HYPERLINK(CONCATENATE("#metadata!", ADDRESS(INDEX($Y$2:$Y$1001,MATCH(ROWS($W$2:W892),$W$2:$W$1001,0),0), INDEX($AD$1004:$AU$1004,1,MATCH(COLUMNS($AD$1006:AL1006),$AD$1006:$AU$1006,0)))),"Fix")))</f>
        <v xml:space="preserve"> </v>
      </c>
      <c r="K892" s="4" t="str">
        <f ca="1">IF(OR(INDEX($X$2:$X$1001,MATCH(ROWS($W$2:W892),$W$2:$W$1001,0),1)&gt;=100000,INDEX($AD$1005:$AU$1005,1,MATCH(COLUMNS($AD$1006:AM1006),$AD$1006:$AU$1006,0))&gt;=100000), " ",IF(INDEX($AD$2:$AU$1001,MATCH(ROWS($W$2:W892),$W$2:$W$1001,0),MATCH(COLUMNS($AD$1006:AM1006),$AD$1006:$AU$1006,0)), HYPERLINK("#",""), HYPERLINK(CONCATENATE("#metadata!", ADDRESS(INDEX($Y$2:$Y$1001,MATCH(ROWS($W$2:W892),$W$2:$W$1001,0),0), INDEX($AD$1004:$AU$1004,1,MATCH(COLUMNS($AD$1006:AM1006),$AD$1006:$AU$1006,0)))),"Fix")))</f>
        <v xml:space="preserve"> </v>
      </c>
      <c r="L892" s="4" t="str">
        <f ca="1">IF(OR(INDEX($X$2:$X$1001,MATCH(ROWS($W$2:W892),$W$2:$W$1001,0),1)&gt;=100000,INDEX($AD$1005:$AU$1005,1,MATCH(COLUMNS($AD$1006:AN1006),$AD$1006:$AU$1006,0))&gt;=100000), " ",IF(INDEX($AD$2:$AU$1001,MATCH(ROWS($W$2:W892),$W$2:$W$1001,0),MATCH(COLUMNS($AD$1006:AN1006),$AD$1006:$AU$1006,0)), HYPERLINK("#",""), HYPERLINK(CONCATENATE("#metadata!", ADDRESS(INDEX($Y$2:$Y$1001,MATCH(ROWS($W$2:W892),$W$2:$W$1001,0),0), INDEX($AD$1004:$AU$1004,1,MATCH(COLUMNS($AD$1006:AN1006),$AD$1006:$AU$1006,0)))),"Fix")))</f>
        <v xml:space="preserve"> </v>
      </c>
      <c r="M892" s="4" t="str">
        <f ca="1">IF(OR(INDEX($X$2:$X$1001,MATCH(ROWS($W$2:W892),$W$2:$W$1001,0),1)&gt;=100000,INDEX($AD$1005:$AU$1005,1,MATCH(COLUMNS($AD$1006:AO1006),$AD$1006:$AU$1006,0))&gt;=100000), " ",IF(INDEX($AD$2:$AU$1001,MATCH(ROWS($W$2:W892),$W$2:$W$1001,0),MATCH(COLUMNS($AD$1006:AO1006),$AD$1006:$AU$1006,0)), HYPERLINK("#",""), HYPERLINK(CONCATENATE("#metadata!", ADDRESS(INDEX($Y$2:$Y$1001,MATCH(ROWS($W$2:W892),$W$2:$W$1001,0),0), INDEX($AD$1004:$AU$1004,1,MATCH(COLUMNS($AD$1006:AO1006),$AD$1006:$AU$1006,0)))),"Fix")))</f>
        <v xml:space="preserve"> </v>
      </c>
      <c r="N892" s="4" t="str">
        <f ca="1">IF(OR(INDEX($X$2:$X$1001,MATCH(ROWS($W$2:W892),$W$2:$W$1001,0),1)&gt;=100000,INDEX($AD$1005:$AU$1005,1,MATCH(COLUMNS($AD$1006:AP1006),$AD$1006:$AU$1006,0))&gt;=100000), " ",IF(INDEX($AD$2:$AU$1001,MATCH(ROWS($W$2:W892),$W$2:$W$1001,0),MATCH(COLUMNS($AD$1006:AP1006),$AD$1006:$AU$1006,0)), HYPERLINK("#",""), HYPERLINK(CONCATENATE("#metadata!", ADDRESS(INDEX($Y$2:$Y$1001,MATCH(ROWS($W$2:W892),$W$2:$W$1001,0),0), INDEX($AD$1004:$AU$1004,1,MATCH(COLUMNS($AD$1006:AP1006),$AD$1006:$AU$1006,0)))),"Fix")))</f>
        <v xml:space="preserve"> </v>
      </c>
      <c r="O892" s="4" t="str">
        <f ca="1">IF(OR(INDEX($X$2:$X$1001,MATCH(ROWS($W$2:W892),$W$2:$W$1001,0),1)&gt;=100000,INDEX($AD$1005:$AU$1005,1,MATCH(COLUMNS($AD$1006:AQ1006),$AD$1006:$AU$1006,0))&gt;=100000), " ",IF(INDEX($AD$2:$AU$1001,MATCH(ROWS($W$2:W892),$W$2:$W$1001,0),MATCH(COLUMNS($AD$1006:AQ1006),$AD$1006:$AU$1006,0)), HYPERLINK("#",""), HYPERLINK(CONCATENATE("#metadata!", ADDRESS(INDEX($Y$2:$Y$1001,MATCH(ROWS($W$2:W892),$W$2:$W$1001,0),0), INDEX($AD$1004:$AU$1004,1,MATCH(COLUMNS($AD$1006:AQ1006),$AD$1006:$AU$1006,0)))),"Fix")))</f>
        <v xml:space="preserve"> </v>
      </c>
      <c r="P892" s="4" t="str">
        <f ca="1">IF(OR(INDEX($X$2:$X$1001,MATCH(ROWS($W$2:W892),$W$2:$W$1001,0),1)&gt;=100000,INDEX($AD$1005:$AU$1005,1,MATCH(COLUMNS($AD$1006:AR1006),$AD$1006:$AU$1006,0))&gt;=100000), " ",IF(INDEX($AD$2:$AU$1001,MATCH(ROWS($W$2:W892),$W$2:$W$1001,0),MATCH(COLUMNS($AD$1006:AR1006),$AD$1006:$AU$1006,0)), HYPERLINK("#",""), HYPERLINK(CONCATENATE("#metadata!", ADDRESS(INDEX($Y$2:$Y$1001,MATCH(ROWS($W$2:W892),$W$2:$W$1001,0),0), INDEX($AD$1004:$AU$1004,1,MATCH(COLUMNS($AD$1006:AR1006),$AD$1006:$AU$1006,0)))),"Fix")))</f>
        <v xml:space="preserve"> </v>
      </c>
      <c r="Q892" s="4" t="str">
        <f ca="1">IF(OR(INDEX($X$2:$X$1001,MATCH(ROWS($W$2:W892),$W$2:$W$1001,0),1)&gt;=100000,INDEX($AD$1005:$AU$1005,1,MATCH(COLUMNS($AD$1006:AS1006),$AD$1006:$AU$1006,0))&gt;=100000), " ",IF(INDEX($AD$2:$AU$1001,MATCH(ROWS($W$2:W892),$W$2:$W$1001,0),MATCH(COLUMNS($AD$1006:AS1006),$AD$1006:$AU$1006,0)), HYPERLINK("#",""), HYPERLINK(CONCATENATE("#metadata!", ADDRESS(INDEX($Y$2:$Y$1001,MATCH(ROWS($W$2:W892),$W$2:$W$1001,0),0), INDEX($AD$1004:$AU$1004,1,MATCH(COLUMNS($AD$1006:AS1006),$AD$1006:$AU$1006,0)))),"Fix")))</f>
        <v xml:space="preserve"> </v>
      </c>
      <c r="R892" s="4" t="str">
        <f ca="1">IF(OR(INDEX($X$2:$X$1001,MATCH(ROWS($W$2:W892),$W$2:$W$1001,0),1)&gt;=100000,INDEX($AD$1005:$AU$1005,1,MATCH(COLUMNS($AD$1006:AT1006),$AD$1006:$AU$1006,0))&gt;=100000), " ",IF(INDEX($AD$2:$AU$1001,MATCH(ROWS($W$2:W892),$W$2:$W$1001,0),MATCH(COLUMNS($AD$1006:AT1006),$AD$1006:$AU$1006,0)), HYPERLINK("#",""), HYPERLINK(CONCATENATE("#metadata!", ADDRESS(INDEX($Y$2:$Y$1001,MATCH(ROWS($W$2:W892),$W$2:$W$1001,0),0), INDEX($AD$1004:$AU$1004,1,MATCH(COLUMNS($AD$1006:AT1006),$AD$1006:$AU$1006,0)))),"Fix")))</f>
        <v xml:space="preserve"> </v>
      </c>
      <c r="S892" s="4" t="str">
        <f ca="1">IF(OR(INDEX($X$2:$X$1001,MATCH(ROWS($W$2:W892),$W$2:$W$1001,0),1)&gt;=100000,INDEX($AD$1005:$AU$1005,1,MATCH(COLUMNS($AD$1006:AU1006),$AD$1006:$AU$1006,0))&gt;=100000), " ",IF(INDEX($AD$2:$AU$1001,MATCH(ROWS($W$2:W892),$W$2:$W$1001,0),MATCH(COLUMNS($AD$1006:AU1006),$AD$1006:$AU$1006,0)), HYPERLINK("#",""), HYPERLINK(CONCATENATE("#metadata!", ADDRESS(INDEX($Y$2:$Y$1001,MATCH(ROWS($W$2:W892),$W$2:$W$1001,0),0), INDEX($AD$1004:$AU$1004,1,MATCH(COLUMNS($AD$1006:AU1006),$AD$1006:$AU$1006,0)))),"Fix")))</f>
        <v xml:space="preserve"> </v>
      </c>
      <c r="W892">
        <v>891</v>
      </c>
      <c r="X892">
        <v>100892</v>
      </c>
      <c r="Y892">
        <v>892</v>
      </c>
      <c r="Z892" t="b">
        <f t="shared" si="13"/>
        <v>1</v>
      </c>
      <c r="AA892" t="b">
        <f>COUNTBLANK(metadata!B892:S892)=COLUMNS(metadata!B892:S892)</f>
        <v>1</v>
      </c>
      <c r="AB892" t="str">
        <v/>
      </c>
      <c r="AD892" t="b">
        <f ca="1">AND(IF(metadata!B892="",FALSE,TRUE),COUNTIF(metadata!B:B, metadata!B892) = 1,NOT(ISERROR(SUMPRODUCT(SEARCH(MID(metadata!B892,ROW(INDIRECT("1:"&amp;LEN(metadata!B892))), 1),"0123456789abcdefghijklmnopqrstuvwxyzABCDEFGHIJKLMNOPQRSTUVWXYZ.")))))</f>
        <v>0</v>
      </c>
      <c r="AE892" t="b">
        <f>OR(AND(IF(metadata!C892="",FALSE,TRUE),OR(EXACT(metadata!C892,"not applicable"),EXACT(metadata!C892,"missing: not collected"),EXACT(metadata!C892,"missing: not provided"),EXACT(metadata!C892,"missing: restricted access"))),AND(IF(metadata!C892="",FALSE,ISNUMBER(VALUE(metadata!C892))),metadata!C892&gt;0))</f>
        <v>0</v>
      </c>
      <c r="AF892" t="b">
        <f>AND(IF(metadata!D892="",FALSE,TRUE),EXACT(metadata!D892,"missing: not provided"))</f>
        <v>0</v>
      </c>
      <c r="AG892" t="b">
        <f>AND(IF(metadata!E892="",FALSE,TRUE),EXACT(metadata!E892,"Host-associated"))</f>
        <v>0</v>
      </c>
      <c r="AH892" t="b">
        <f>AND(IF(metadata!F892="",FALSE,TRUE),OR(EXACT(metadata!F892,"Animal"),EXACT(metadata!F892,"Fungus"),EXACT(metadata!F892,"Plant")))</f>
        <v>0</v>
      </c>
      <c r="AI892" t="b">
        <f>AND(IF(metadata!G892="",FALSE,TRUE),OR(EXACT(metadata!G892,"Plant secretion"),EXACT(metadata!G892,"Plant rhizosphere"),EXACT(metadata!G892,"Plant surface"),EXACT(metadata!G892,"Plant corpus"),EXACT(metadata!G892,"Fungus surface"),EXACT(metadata!G892,"Fungus corpus"),EXACT(metadata!G892,"Animal surface"),EXACT(metadata!G892,"Animal proximal gut"),EXACT(metadata!G892,"Animal corpus"),EXACT(metadata!G892,"Animal distal gut"),EXACT(metadata!G892,"Animal secretion")))</f>
        <v>0</v>
      </c>
      <c r="AJ892" t="b">
        <f>OR(AND(IF(metadata!H892="",FALSE,TRUE),OR(EXACT(metadata!H892,"missing: not collected"),EXACT(metadata!H892,"missing: not provided"),EXACT(metadata!H892,"missing: restricted access"))),AND(IF(metadata!H892="",FALSE,TRUE),OR(EXACT(metadata!H892,"organism-associated habitat"),EXACT(metadata!H892,"plant-associated habitat"),EXACT(metadata!H892,"animal-associated habitat"),EXACT(metadata!H892,"insecta-associated habitat"),EXACT(metadata!H892,"mammalia-associated habitat"),EXACT(metadata!H892,"human-associated habitat"),EXACT(metadata!H892,"livestock-associated habitat"))))</f>
        <v>0</v>
      </c>
      <c r="AK892" t="b">
        <f>AND(IF(metadata!I892="",FALSE,TRUE),EXACT(metadata!I892,"host-associated"))</f>
        <v>0</v>
      </c>
      <c r="AL892" t="b">
        <f>OR(AND(IF(metadata!J892="",FALSE,TRUE),OR(EXACT(metadata!J892,"not applicable"),EXACT(metadata!J892,"missing: not collected"),EXACT(metadata!J892,"missing: not provided"),EXACT(metadata!J892,"missing: restricted access"))),AND(IF(metadata!J892="",FALSE,ISNUMBER(VALUE(metadata!J892))),metadata!J892&gt;0))</f>
        <v>0</v>
      </c>
      <c r="AM892" t="b">
        <f>AND(IF(metadata!K892="",FALSE,TRUE),EXACT(metadata!K892,"missing: not provided"))</f>
        <v>0</v>
      </c>
      <c r="AN892" t="b">
        <f>IF(metadata!L892="",FALSE,TRUE)</f>
        <v>0</v>
      </c>
      <c r="AO892" t="b">
        <f>IF(metadata!M892="",FALSE,TRUE)</f>
        <v>0</v>
      </c>
      <c r="AP892" t="b">
        <f>OR(AND(IF(metadata!N892="",FALSE,TRUE),OR(EXACT(metadata!N892,"not applicable"),EXACT(metadata!N892,"missing: not collected"),EXACT(metadata!N892,"missing: not provided"))),AND(IF(metadata!N892="",FALSE,IF(ISERROR(INT(metadata!N892)),FALSE,INT(metadata!N892)=metadata!N892)),metadata!N892&gt;0))</f>
        <v>0</v>
      </c>
      <c r="AQ892" t="b">
        <f>AND(IF(metadata!O892="",FALSE,TRUE),EXACT(metadata!O892,"Not applicable"))</f>
        <v>0</v>
      </c>
      <c r="AR892" t="b">
        <f>OR(AND(IF(metadata!P892="",FALSE,TRUE),OR(EXACT(metadata!P892,"not applicable"),EXACT(metadata!P892,"missing: not collected"),EXACT(metadata!P892,"missing: not provided"),EXACT(metadata!P892,"missing: restricted access"))),IF(metadata!P892="",FALSE,IF(ISERROR(INT(metadata!P892)),FALSE,INT(metadata!P892)=metadata!P892)))</f>
        <v>0</v>
      </c>
      <c r="AS892" t="b">
        <f>AND(IF(metadata!Q892="",FALSE,TRUE),EXACT(metadata!Q892,"Not applicable"))</f>
        <v>0</v>
      </c>
      <c r="AT892" t="b">
        <f>OR(AND(IF(metadata!R892="",FALSE,TRUE),OR(EXACT(metadata!R892,"not applicable"),EXACT(metadata!R892,"missing: not collected"),EXACT(metadata!R892,"missing: not provided"),EXACT(metadata!R892,"missing: restricted access"))),AND(IF(metadata!R892="",FALSE,ISNUMBER(VALUE(metadata!R892))),metadata!R892&gt;0))</f>
        <v>0</v>
      </c>
      <c r="AU892" t="b">
        <f>AND(IF(metadata!S892="",FALSE,TRUE),EXACT(metadata!S892,"missing: not provided"))</f>
        <v>0</v>
      </c>
    </row>
    <row r="893" spans="1:47" x14ac:dyDescent="0.2">
      <c r="A893" s="5" t="str">
        <f ca="1">IF(B893=" "," ",HYPERLINK(CONCATENATE("#metadata!",ADDRESS(INDEX($Y$2:$Y$1001,MATCH(ROWS($W$2:W893),$W$2:$W$1001,0),0),1)),INDEX($AB$2:$AB$1001,MATCH(ROWS($W$2:W893),$W$2:$W$1001,0),0)))</f>
        <v xml:space="preserve"> </v>
      </c>
      <c r="B893" s="4" t="str">
        <f ca="1">IF(OR(INDEX($X$2:$X$1001,MATCH(ROWS($W$2:W893),$W$2:$W$1001,0),1)&gt;=100000,INDEX($AD$1005:$AU$1005,1,MATCH(COLUMNS($AD$1006:AD1006),$AD$1006:$AU$1006,0))&gt;=100000), " ",IF(INDEX($AD$2:$AU$1001,MATCH(ROWS($W$2:W893),$W$2:$W$1001,0),MATCH(COLUMNS($AD$1006:AD1006),$AD$1006:$AU$1006,0)), HYPERLINK("#",""), HYPERLINK(CONCATENATE("#metadata!", ADDRESS(INDEX($Y$2:$Y$1001,MATCH(ROWS($W$2:W893),$W$2:$W$1001,0),0), INDEX($AD$1004:$AU$1004,1,MATCH(COLUMNS($AD$1006:AD1006),$AD$1006:$AU$1006,0)))),"Fix")))</f>
        <v xml:space="preserve"> </v>
      </c>
      <c r="C893" s="4" t="str">
        <f ca="1">IF(OR(INDEX($X$2:$X$1001,MATCH(ROWS($W$2:W893),$W$2:$W$1001,0),1)&gt;=100000,INDEX($AD$1005:$AU$1005,1,MATCH(COLUMNS($AD$1006:AE1006),$AD$1006:$AU$1006,0))&gt;=100000), " ",IF(INDEX($AD$2:$AU$1001,MATCH(ROWS($W$2:W893),$W$2:$W$1001,0),MATCH(COLUMNS($AD$1006:AE1006),$AD$1006:$AU$1006,0)), HYPERLINK("#",""), HYPERLINK(CONCATENATE("#metadata!", ADDRESS(INDEX($Y$2:$Y$1001,MATCH(ROWS($W$2:W893),$W$2:$W$1001,0),0), INDEX($AD$1004:$AU$1004,1,MATCH(COLUMNS($AD$1006:AE1006),$AD$1006:$AU$1006,0)))),"Fix")))</f>
        <v xml:space="preserve"> </v>
      </c>
      <c r="D893" s="4" t="str">
        <f ca="1">IF(OR(INDEX($X$2:$X$1001,MATCH(ROWS($W$2:W893),$W$2:$W$1001,0),1)&gt;=100000,INDEX($AD$1005:$AU$1005,1,MATCH(COLUMNS($AD$1006:AF1006),$AD$1006:$AU$1006,0))&gt;=100000), " ",IF(INDEX($AD$2:$AU$1001,MATCH(ROWS($W$2:W893),$W$2:$W$1001,0),MATCH(COLUMNS($AD$1006:AF1006),$AD$1006:$AU$1006,0)), HYPERLINK("#",""), HYPERLINK(CONCATENATE("#metadata!", ADDRESS(INDEX($Y$2:$Y$1001,MATCH(ROWS($W$2:W893),$W$2:$W$1001,0),0), INDEX($AD$1004:$AU$1004,1,MATCH(COLUMNS($AD$1006:AF1006),$AD$1006:$AU$1006,0)))),"Fix")))</f>
        <v xml:space="preserve"> </v>
      </c>
      <c r="E893" s="4" t="str">
        <f ca="1">IF(OR(INDEX($X$2:$X$1001,MATCH(ROWS($W$2:W893),$W$2:$W$1001,0),1)&gt;=100000,INDEX($AD$1005:$AU$1005,1,MATCH(COLUMNS($AD$1006:AG1006),$AD$1006:$AU$1006,0))&gt;=100000), " ",IF(INDEX($AD$2:$AU$1001,MATCH(ROWS($W$2:W893),$W$2:$W$1001,0),MATCH(COLUMNS($AD$1006:AG1006),$AD$1006:$AU$1006,0)), HYPERLINK("#",""), HYPERLINK(CONCATENATE("#metadata!", ADDRESS(INDEX($Y$2:$Y$1001,MATCH(ROWS($W$2:W893),$W$2:$W$1001,0),0), INDEX($AD$1004:$AU$1004,1,MATCH(COLUMNS($AD$1006:AG1006),$AD$1006:$AU$1006,0)))),"Fix")))</f>
        <v xml:space="preserve"> </v>
      </c>
      <c r="F893" s="4" t="str">
        <f ca="1">IF(OR(INDEX($X$2:$X$1001,MATCH(ROWS($W$2:W893),$W$2:$W$1001,0),1)&gt;=100000,INDEX($AD$1005:$AU$1005,1,MATCH(COLUMNS($AD$1006:AH1006),$AD$1006:$AU$1006,0))&gt;=100000), " ",IF(INDEX($AD$2:$AU$1001,MATCH(ROWS($W$2:W893),$W$2:$W$1001,0),MATCH(COLUMNS($AD$1006:AH1006),$AD$1006:$AU$1006,0)), HYPERLINK("#",""), HYPERLINK(CONCATENATE("#metadata!", ADDRESS(INDEX($Y$2:$Y$1001,MATCH(ROWS($W$2:W893),$W$2:$W$1001,0),0), INDEX($AD$1004:$AU$1004,1,MATCH(COLUMNS($AD$1006:AH1006),$AD$1006:$AU$1006,0)))),"Fix")))</f>
        <v xml:space="preserve"> </v>
      </c>
      <c r="G893" s="4" t="str">
        <f ca="1">IF(OR(INDEX($X$2:$X$1001,MATCH(ROWS($W$2:W893),$W$2:$W$1001,0),1)&gt;=100000,INDEX($AD$1005:$AU$1005,1,MATCH(COLUMNS($AD$1006:AI1006),$AD$1006:$AU$1006,0))&gt;=100000), " ",IF(INDEX($AD$2:$AU$1001,MATCH(ROWS($W$2:W893),$W$2:$W$1001,0),MATCH(COLUMNS($AD$1006:AI1006),$AD$1006:$AU$1006,0)), HYPERLINK("#",""), HYPERLINK(CONCATENATE("#metadata!", ADDRESS(INDEX($Y$2:$Y$1001,MATCH(ROWS($W$2:W893),$W$2:$W$1001,0),0), INDEX($AD$1004:$AU$1004,1,MATCH(COLUMNS($AD$1006:AI1006),$AD$1006:$AU$1006,0)))),"Fix")))</f>
        <v xml:space="preserve"> </v>
      </c>
      <c r="H893" s="4" t="str">
        <f ca="1">IF(OR(INDEX($X$2:$X$1001,MATCH(ROWS($W$2:W893),$W$2:$W$1001,0),1)&gt;=100000,INDEX($AD$1005:$AU$1005,1,MATCH(COLUMNS($AD$1006:AJ1006),$AD$1006:$AU$1006,0))&gt;=100000), " ",IF(INDEX($AD$2:$AU$1001,MATCH(ROWS($W$2:W893),$W$2:$W$1001,0),MATCH(COLUMNS($AD$1006:AJ1006),$AD$1006:$AU$1006,0)), HYPERLINK("#",""), HYPERLINK(CONCATENATE("#metadata!", ADDRESS(INDEX($Y$2:$Y$1001,MATCH(ROWS($W$2:W893),$W$2:$W$1001,0),0), INDEX($AD$1004:$AU$1004,1,MATCH(COLUMNS($AD$1006:AJ1006),$AD$1006:$AU$1006,0)))),"Fix")))</f>
        <v xml:space="preserve"> </v>
      </c>
      <c r="I893" s="4" t="str">
        <f ca="1">IF(OR(INDEX($X$2:$X$1001,MATCH(ROWS($W$2:W893),$W$2:$W$1001,0),1)&gt;=100000,INDEX($AD$1005:$AU$1005,1,MATCH(COLUMNS($AD$1006:AK1006),$AD$1006:$AU$1006,0))&gt;=100000), " ",IF(INDEX($AD$2:$AU$1001,MATCH(ROWS($W$2:W893),$W$2:$W$1001,0),MATCH(COLUMNS($AD$1006:AK1006),$AD$1006:$AU$1006,0)), HYPERLINK("#",""), HYPERLINK(CONCATENATE("#metadata!", ADDRESS(INDEX($Y$2:$Y$1001,MATCH(ROWS($W$2:W893),$W$2:$W$1001,0),0), INDEX($AD$1004:$AU$1004,1,MATCH(COLUMNS($AD$1006:AK1006),$AD$1006:$AU$1006,0)))),"Fix")))</f>
        <v xml:space="preserve"> </v>
      </c>
      <c r="J893" s="4" t="str">
        <f ca="1">IF(OR(INDEX($X$2:$X$1001,MATCH(ROWS($W$2:W893),$W$2:$W$1001,0),1)&gt;=100000,INDEX($AD$1005:$AU$1005,1,MATCH(COLUMNS($AD$1006:AL1006),$AD$1006:$AU$1006,0))&gt;=100000), " ",IF(INDEX($AD$2:$AU$1001,MATCH(ROWS($W$2:W893),$W$2:$W$1001,0),MATCH(COLUMNS($AD$1006:AL1006),$AD$1006:$AU$1006,0)), HYPERLINK("#",""), HYPERLINK(CONCATENATE("#metadata!", ADDRESS(INDEX($Y$2:$Y$1001,MATCH(ROWS($W$2:W893),$W$2:$W$1001,0),0), INDEX($AD$1004:$AU$1004,1,MATCH(COLUMNS($AD$1006:AL1006),$AD$1006:$AU$1006,0)))),"Fix")))</f>
        <v xml:space="preserve"> </v>
      </c>
      <c r="K893" s="4" t="str">
        <f ca="1">IF(OR(INDEX($X$2:$X$1001,MATCH(ROWS($W$2:W893),$W$2:$W$1001,0),1)&gt;=100000,INDEX($AD$1005:$AU$1005,1,MATCH(COLUMNS($AD$1006:AM1006),$AD$1006:$AU$1006,0))&gt;=100000), " ",IF(INDEX($AD$2:$AU$1001,MATCH(ROWS($W$2:W893),$W$2:$W$1001,0),MATCH(COLUMNS($AD$1006:AM1006),$AD$1006:$AU$1006,0)), HYPERLINK("#",""), HYPERLINK(CONCATENATE("#metadata!", ADDRESS(INDEX($Y$2:$Y$1001,MATCH(ROWS($W$2:W893),$W$2:$W$1001,0),0), INDEX($AD$1004:$AU$1004,1,MATCH(COLUMNS($AD$1006:AM1006),$AD$1006:$AU$1006,0)))),"Fix")))</f>
        <v xml:space="preserve"> </v>
      </c>
      <c r="L893" s="4" t="str">
        <f ca="1">IF(OR(INDEX($X$2:$X$1001,MATCH(ROWS($W$2:W893),$W$2:$W$1001,0),1)&gt;=100000,INDEX($AD$1005:$AU$1005,1,MATCH(COLUMNS($AD$1006:AN1006),$AD$1006:$AU$1006,0))&gt;=100000), " ",IF(INDEX($AD$2:$AU$1001,MATCH(ROWS($W$2:W893),$W$2:$W$1001,0),MATCH(COLUMNS($AD$1006:AN1006),$AD$1006:$AU$1006,0)), HYPERLINK("#",""), HYPERLINK(CONCATENATE("#metadata!", ADDRESS(INDEX($Y$2:$Y$1001,MATCH(ROWS($W$2:W893),$W$2:$W$1001,0),0), INDEX($AD$1004:$AU$1004,1,MATCH(COLUMNS($AD$1006:AN1006),$AD$1006:$AU$1006,0)))),"Fix")))</f>
        <v xml:space="preserve"> </v>
      </c>
      <c r="M893" s="4" t="str">
        <f ca="1">IF(OR(INDEX($X$2:$X$1001,MATCH(ROWS($W$2:W893),$W$2:$W$1001,0),1)&gt;=100000,INDEX($AD$1005:$AU$1005,1,MATCH(COLUMNS($AD$1006:AO1006),$AD$1006:$AU$1006,0))&gt;=100000), " ",IF(INDEX($AD$2:$AU$1001,MATCH(ROWS($W$2:W893),$W$2:$W$1001,0),MATCH(COLUMNS($AD$1006:AO1006),$AD$1006:$AU$1006,0)), HYPERLINK("#",""), HYPERLINK(CONCATENATE("#metadata!", ADDRESS(INDEX($Y$2:$Y$1001,MATCH(ROWS($W$2:W893),$W$2:$W$1001,0),0), INDEX($AD$1004:$AU$1004,1,MATCH(COLUMNS($AD$1006:AO1006),$AD$1006:$AU$1006,0)))),"Fix")))</f>
        <v xml:space="preserve"> </v>
      </c>
      <c r="N893" s="4" t="str">
        <f ca="1">IF(OR(INDEX($X$2:$X$1001,MATCH(ROWS($W$2:W893),$W$2:$W$1001,0),1)&gt;=100000,INDEX($AD$1005:$AU$1005,1,MATCH(COLUMNS($AD$1006:AP1006),$AD$1006:$AU$1006,0))&gt;=100000), " ",IF(INDEX($AD$2:$AU$1001,MATCH(ROWS($W$2:W893),$W$2:$W$1001,0),MATCH(COLUMNS($AD$1006:AP1006),$AD$1006:$AU$1006,0)), HYPERLINK("#",""), HYPERLINK(CONCATENATE("#metadata!", ADDRESS(INDEX($Y$2:$Y$1001,MATCH(ROWS($W$2:W893),$W$2:$W$1001,0),0), INDEX($AD$1004:$AU$1004,1,MATCH(COLUMNS($AD$1006:AP1006),$AD$1006:$AU$1006,0)))),"Fix")))</f>
        <v xml:space="preserve"> </v>
      </c>
      <c r="O893" s="4" t="str">
        <f ca="1">IF(OR(INDEX($X$2:$X$1001,MATCH(ROWS($W$2:W893),$W$2:$W$1001,0),1)&gt;=100000,INDEX($AD$1005:$AU$1005,1,MATCH(COLUMNS($AD$1006:AQ1006),$AD$1006:$AU$1006,0))&gt;=100000), " ",IF(INDEX($AD$2:$AU$1001,MATCH(ROWS($W$2:W893),$W$2:$W$1001,0),MATCH(COLUMNS($AD$1006:AQ1006),$AD$1006:$AU$1006,0)), HYPERLINK("#",""), HYPERLINK(CONCATENATE("#metadata!", ADDRESS(INDEX($Y$2:$Y$1001,MATCH(ROWS($W$2:W893),$W$2:$W$1001,0),0), INDEX($AD$1004:$AU$1004,1,MATCH(COLUMNS($AD$1006:AQ1006),$AD$1006:$AU$1006,0)))),"Fix")))</f>
        <v xml:space="preserve"> </v>
      </c>
      <c r="P893" s="4" t="str">
        <f ca="1">IF(OR(INDEX($X$2:$X$1001,MATCH(ROWS($W$2:W893),$W$2:$W$1001,0),1)&gt;=100000,INDEX($AD$1005:$AU$1005,1,MATCH(COLUMNS($AD$1006:AR1006),$AD$1006:$AU$1006,0))&gt;=100000), " ",IF(INDEX($AD$2:$AU$1001,MATCH(ROWS($W$2:W893),$W$2:$W$1001,0),MATCH(COLUMNS($AD$1006:AR1006),$AD$1006:$AU$1006,0)), HYPERLINK("#",""), HYPERLINK(CONCATENATE("#metadata!", ADDRESS(INDEX($Y$2:$Y$1001,MATCH(ROWS($W$2:W893),$W$2:$W$1001,0),0), INDEX($AD$1004:$AU$1004,1,MATCH(COLUMNS($AD$1006:AR1006),$AD$1006:$AU$1006,0)))),"Fix")))</f>
        <v xml:space="preserve"> </v>
      </c>
      <c r="Q893" s="4" t="str">
        <f ca="1">IF(OR(INDEX($X$2:$X$1001,MATCH(ROWS($W$2:W893),$W$2:$W$1001,0),1)&gt;=100000,INDEX($AD$1005:$AU$1005,1,MATCH(COLUMNS($AD$1006:AS1006),$AD$1006:$AU$1006,0))&gt;=100000), " ",IF(INDEX($AD$2:$AU$1001,MATCH(ROWS($W$2:W893),$W$2:$W$1001,0),MATCH(COLUMNS($AD$1006:AS1006),$AD$1006:$AU$1006,0)), HYPERLINK("#",""), HYPERLINK(CONCATENATE("#metadata!", ADDRESS(INDEX($Y$2:$Y$1001,MATCH(ROWS($W$2:W893),$W$2:$W$1001,0),0), INDEX($AD$1004:$AU$1004,1,MATCH(COLUMNS($AD$1006:AS1006),$AD$1006:$AU$1006,0)))),"Fix")))</f>
        <v xml:space="preserve"> </v>
      </c>
      <c r="R893" s="4" t="str">
        <f ca="1">IF(OR(INDEX($X$2:$X$1001,MATCH(ROWS($W$2:W893),$W$2:$W$1001,0),1)&gt;=100000,INDEX($AD$1005:$AU$1005,1,MATCH(COLUMNS($AD$1006:AT1006),$AD$1006:$AU$1006,0))&gt;=100000), " ",IF(INDEX($AD$2:$AU$1001,MATCH(ROWS($W$2:W893),$W$2:$W$1001,0),MATCH(COLUMNS($AD$1006:AT1006),$AD$1006:$AU$1006,0)), HYPERLINK("#",""), HYPERLINK(CONCATENATE("#metadata!", ADDRESS(INDEX($Y$2:$Y$1001,MATCH(ROWS($W$2:W893),$W$2:$W$1001,0),0), INDEX($AD$1004:$AU$1004,1,MATCH(COLUMNS($AD$1006:AT1006),$AD$1006:$AU$1006,0)))),"Fix")))</f>
        <v xml:space="preserve"> </v>
      </c>
      <c r="S893" s="4" t="str">
        <f ca="1">IF(OR(INDEX($X$2:$X$1001,MATCH(ROWS($W$2:W893),$W$2:$W$1001,0),1)&gt;=100000,INDEX($AD$1005:$AU$1005,1,MATCH(COLUMNS($AD$1006:AU1006),$AD$1006:$AU$1006,0))&gt;=100000), " ",IF(INDEX($AD$2:$AU$1001,MATCH(ROWS($W$2:W893),$W$2:$W$1001,0),MATCH(COLUMNS($AD$1006:AU1006),$AD$1006:$AU$1006,0)), HYPERLINK("#",""), HYPERLINK(CONCATENATE("#metadata!", ADDRESS(INDEX($Y$2:$Y$1001,MATCH(ROWS($W$2:W893),$W$2:$W$1001,0),0), INDEX($AD$1004:$AU$1004,1,MATCH(COLUMNS($AD$1006:AU1006),$AD$1006:$AU$1006,0)))),"Fix")))</f>
        <v xml:space="preserve"> </v>
      </c>
      <c r="W893">
        <v>892</v>
      </c>
      <c r="X893">
        <v>100893</v>
      </c>
      <c r="Y893">
        <v>893</v>
      </c>
      <c r="Z893" t="b">
        <f t="shared" si="13"/>
        <v>1</v>
      </c>
      <c r="AA893" t="b">
        <f>COUNTBLANK(metadata!B893:S893)=COLUMNS(metadata!B893:S893)</f>
        <v>1</v>
      </c>
      <c r="AB893" t="str">
        <v/>
      </c>
      <c r="AD893" t="b">
        <f ca="1">AND(IF(metadata!B893="",FALSE,TRUE),COUNTIF(metadata!B:B, metadata!B893) = 1,NOT(ISERROR(SUMPRODUCT(SEARCH(MID(metadata!B893,ROW(INDIRECT("1:"&amp;LEN(metadata!B893))), 1),"0123456789abcdefghijklmnopqrstuvwxyzABCDEFGHIJKLMNOPQRSTUVWXYZ.")))))</f>
        <v>0</v>
      </c>
      <c r="AE893" t="b">
        <f>OR(AND(IF(metadata!C893="",FALSE,TRUE),OR(EXACT(metadata!C893,"not applicable"),EXACT(metadata!C893,"missing: not collected"),EXACT(metadata!C893,"missing: not provided"),EXACT(metadata!C893,"missing: restricted access"))),AND(IF(metadata!C893="",FALSE,ISNUMBER(VALUE(metadata!C893))),metadata!C893&gt;0))</f>
        <v>0</v>
      </c>
      <c r="AF893" t="b">
        <f>AND(IF(metadata!D893="",FALSE,TRUE),EXACT(metadata!D893,"missing: not provided"))</f>
        <v>0</v>
      </c>
      <c r="AG893" t="b">
        <f>AND(IF(metadata!E893="",FALSE,TRUE),EXACT(metadata!E893,"Host-associated"))</f>
        <v>0</v>
      </c>
      <c r="AH893" t="b">
        <f>AND(IF(metadata!F893="",FALSE,TRUE),OR(EXACT(metadata!F893,"Animal"),EXACT(metadata!F893,"Fungus"),EXACT(metadata!F893,"Plant")))</f>
        <v>0</v>
      </c>
      <c r="AI893" t="b">
        <f>AND(IF(metadata!G893="",FALSE,TRUE),OR(EXACT(metadata!G893,"Plant secretion"),EXACT(metadata!G893,"Plant rhizosphere"),EXACT(metadata!G893,"Plant surface"),EXACT(metadata!G893,"Plant corpus"),EXACT(metadata!G893,"Fungus surface"),EXACT(metadata!G893,"Fungus corpus"),EXACT(metadata!G893,"Animal surface"),EXACT(metadata!G893,"Animal proximal gut"),EXACT(metadata!G893,"Animal corpus"),EXACT(metadata!G893,"Animal distal gut"),EXACT(metadata!G893,"Animal secretion")))</f>
        <v>0</v>
      </c>
      <c r="AJ893" t="b">
        <f>OR(AND(IF(metadata!H893="",FALSE,TRUE),OR(EXACT(metadata!H893,"missing: not collected"),EXACT(metadata!H893,"missing: not provided"),EXACT(metadata!H893,"missing: restricted access"))),AND(IF(metadata!H893="",FALSE,TRUE),OR(EXACT(metadata!H893,"organism-associated habitat"),EXACT(metadata!H893,"plant-associated habitat"),EXACT(metadata!H893,"animal-associated habitat"),EXACT(metadata!H893,"insecta-associated habitat"),EXACT(metadata!H893,"mammalia-associated habitat"),EXACT(metadata!H893,"human-associated habitat"),EXACT(metadata!H893,"livestock-associated habitat"))))</f>
        <v>0</v>
      </c>
      <c r="AK893" t="b">
        <f>AND(IF(metadata!I893="",FALSE,TRUE),EXACT(metadata!I893,"host-associated"))</f>
        <v>0</v>
      </c>
      <c r="AL893" t="b">
        <f>OR(AND(IF(metadata!J893="",FALSE,TRUE),OR(EXACT(metadata!J893,"not applicable"),EXACT(metadata!J893,"missing: not collected"),EXACT(metadata!J893,"missing: not provided"),EXACT(metadata!J893,"missing: restricted access"))),AND(IF(metadata!J893="",FALSE,ISNUMBER(VALUE(metadata!J893))),metadata!J893&gt;0))</f>
        <v>0</v>
      </c>
      <c r="AM893" t="b">
        <f>AND(IF(metadata!K893="",FALSE,TRUE),EXACT(metadata!K893,"missing: not provided"))</f>
        <v>0</v>
      </c>
      <c r="AN893" t="b">
        <f>IF(metadata!L893="",FALSE,TRUE)</f>
        <v>0</v>
      </c>
      <c r="AO893" t="b">
        <f>IF(metadata!M893="",FALSE,TRUE)</f>
        <v>0</v>
      </c>
      <c r="AP893" t="b">
        <f>OR(AND(IF(metadata!N893="",FALSE,TRUE),OR(EXACT(metadata!N893,"not applicable"),EXACT(metadata!N893,"missing: not collected"),EXACT(metadata!N893,"missing: not provided"))),AND(IF(metadata!N893="",FALSE,IF(ISERROR(INT(metadata!N893)),FALSE,INT(metadata!N893)=metadata!N893)),metadata!N893&gt;0))</f>
        <v>0</v>
      </c>
      <c r="AQ893" t="b">
        <f>AND(IF(metadata!O893="",FALSE,TRUE),EXACT(metadata!O893,"Not applicable"))</f>
        <v>0</v>
      </c>
      <c r="AR893" t="b">
        <f>OR(AND(IF(metadata!P893="",FALSE,TRUE),OR(EXACT(metadata!P893,"not applicable"),EXACT(metadata!P893,"missing: not collected"),EXACT(metadata!P893,"missing: not provided"),EXACT(metadata!P893,"missing: restricted access"))),IF(metadata!P893="",FALSE,IF(ISERROR(INT(metadata!P893)),FALSE,INT(metadata!P893)=metadata!P893)))</f>
        <v>0</v>
      </c>
      <c r="AS893" t="b">
        <f>AND(IF(metadata!Q893="",FALSE,TRUE),EXACT(metadata!Q893,"Not applicable"))</f>
        <v>0</v>
      </c>
      <c r="AT893" t="b">
        <f>OR(AND(IF(metadata!R893="",FALSE,TRUE),OR(EXACT(metadata!R893,"not applicable"),EXACT(metadata!R893,"missing: not collected"),EXACT(metadata!R893,"missing: not provided"),EXACT(metadata!R893,"missing: restricted access"))),AND(IF(metadata!R893="",FALSE,ISNUMBER(VALUE(metadata!R893))),metadata!R893&gt;0))</f>
        <v>0</v>
      </c>
      <c r="AU893" t="b">
        <f>AND(IF(metadata!S893="",FALSE,TRUE),EXACT(metadata!S893,"missing: not provided"))</f>
        <v>0</v>
      </c>
    </row>
    <row r="894" spans="1:47" x14ac:dyDescent="0.2">
      <c r="A894" s="5" t="str">
        <f ca="1">IF(B894=" "," ",HYPERLINK(CONCATENATE("#metadata!",ADDRESS(INDEX($Y$2:$Y$1001,MATCH(ROWS($W$2:W894),$W$2:$W$1001,0),0),1)),INDEX($AB$2:$AB$1001,MATCH(ROWS($W$2:W894),$W$2:$W$1001,0),0)))</f>
        <v xml:space="preserve"> </v>
      </c>
      <c r="B894" s="4" t="str">
        <f ca="1">IF(OR(INDEX($X$2:$X$1001,MATCH(ROWS($W$2:W894),$W$2:$W$1001,0),1)&gt;=100000,INDEX($AD$1005:$AU$1005,1,MATCH(COLUMNS($AD$1006:AD1006),$AD$1006:$AU$1006,0))&gt;=100000), " ",IF(INDEX($AD$2:$AU$1001,MATCH(ROWS($W$2:W894),$W$2:$W$1001,0),MATCH(COLUMNS($AD$1006:AD1006),$AD$1006:$AU$1006,0)), HYPERLINK("#",""), HYPERLINK(CONCATENATE("#metadata!", ADDRESS(INDEX($Y$2:$Y$1001,MATCH(ROWS($W$2:W894),$W$2:$W$1001,0),0), INDEX($AD$1004:$AU$1004,1,MATCH(COLUMNS($AD$1006:AD1006),$AD$1006:$AU$1006,0)))),"Fix")))</f>
        <v xml:space="preserve"> </v>
      </c>
      <c r="C894" s="4" t="str">
        <f ca="1">IF(OR(INDEX($X$2:$X$1001,MATCH(ROWS($W$2:W894),$W$2:$W$1001,0),1)&gt;=100000,INDEX($AD$1005:$AU$1005,1,MATCH(COLUMNS($AD$1006:AE1006),$AD$1006:$AU$1006,0))&gt;=100000), " ",IF(INDEX($AD$2:$AU$1001,MATCH(ROWS($W$2:W894),$W$2:$W$1001,0),MATCH(COLUMNS($AD$1006:AE1006),$AD$1006:$AU$1006,0)), HYPERLINK("#",""), HYPERLINK(CONCATENATE("#metadata!", ADDRESS(INDEX($Y$2:$Y$1001,MATCH(ROWS($W$2:W894),$W$2:$W$1001,0),0), INDEX($AD$1004:$AU$1004,1,MATCH(COLUMNS($AD$1006:AE1006),$AD$1006:$AU$1006,0)))),"Fix")))</f>
        <v xml:space="preserve"> </v>
      </c>
      <c r="D894" s="4" t="str">
        <f ca="1">IF(OR(INDEX($X$2:$X$1001,MATCH(ROWS($W$2:W894),$W$2:$W$1001,0),1)&gt;=100000,INDEX($AD$1005:$AU$1005,1,MATCH(COLUMNS($AD$1006:AF1006),$AD$1006:$AU$1006,0))&gt;=100000), " ",IF(INDEX($AD$2:$AU$1001,MATCH(ROWS($W$2:W894),$W$2:$W$1001,0),MATCH(COLUMNS($AD$1006:AF1006),$AD$1006:$AU$1006,0)), HYPERLINK("#",""), HYPERLINK(CONCATENATE("#metadata!", ADDRESS(INDEX($Y$2:$Y$1001,MATCH(ROWS($W$2:W894),$W$2:$W$1001,0),0), INDEX($AD$1004:$AU$1004,1,MATCH(COLUMNS($AD$1006:AF1006),$AD$1006:$AU$1006,0)))),"Fix")))</f>
        <v xml:space="preserve"> </v>
      </c>
      <c r="E894" s="4" t="str">
        <f ca="1">IF(OR(INDEX($X$2:$X$1001,MATCH(ROWS($W$2:W894),$W$2:$W$1001,0),1)&gt;=100000,INDEX($AD$1005:$AU$1005,1,MATCH(COLUMNS($AD$1006:AG1006),$AD$1006:$AU$1006,0))&gt;=100000), " ",IF(INDEX($AD$2:$AU$1001,MATCH(ROWS($W$2:W894),$W$2:$W$1001,0),MATCH(COLUMNS($AD$1006:AG1006),$AD$1006:$AU$1006,0)), HYPERLINK("#",""), HYPERLINK(CONCATENATE("#metadata!", ADDRESS(INDEX($Y$2:$Y$1001,MATCH(ROWS($W$2:W894),$W$2:$W$1001,0),0), INDEX($AD$1004:$AU$1004,1,MATCH(COLUMNS($AD$1006:AG1006),$AD$1006:$AU$1006,0)))),"Fix")))</f>
        <v xml:space="preserve"> </v>
      </c>
      <c r="F894" s="4" t="str">
        <f ca="1">IF(OR(INDEX($X$2:$X$1001,MATCH(ROWS($W$2:W894),$W$2:$W$1001,0),1)&gt;=100000,INDEX($AD$1005:$AU$1005,1,MATCH(COLUMNS($AD$1006:AH1006),$AD$1006:$AU$1006,0))&gt;=100000), " ",IF(INDEX($AD$2:$AU$1001,MATCH(ROWS($W$2:W894),$W$2:$W$1001,0),MATCH(COLUMNS($AD$1006:AH1006),$AD$1006:$AU$1006,0)), HYPERLINK("#",""), HYPERLINK(CONCATENATE("#metadata!", ADDRESS(INDEX($Y$2:$Y$1001,MATCH(ROWS($W$2:W894),$W$2:$W$1001,0),0), INDEX($AD$1004:$AU$1004,1,MATCH(COLUMNS($AD$1006:AH1006),$AD$1006:$AU$1006,0)))),"Fix")))</f>
        <v xml:space="preserve"> </v>
      </c>
      <c r="G894" s="4" t="str">
        <f ca="1">IF(OR(INDEX($X$2:$X$1001,MATCH(ROWS($W$2:W894),$W$2:$W$1001,0),1)&gt;=100000,INDEX($AD$1005:$AU$1005,1,MATCH(COLUMNS($AD$1006:AI1006),$AD$1006:$AU$1006,0))&gt;=100000), " ",IF(INDEX($AD$2:$AU$1001,MATCH(ROWS($W$2:W894),$W$2:$W$1001,0),MATCH(COLUMNS($AD$1006:AI1006),$AD$1006:$AU$1006,0)), HYPERLINK("#",""), HYPERLINK(CONCATENATE("#metadata!", ADDRESS(INDEX($Y$2:$Y$1001,MATCH(ROWS($W$2:W894),$W$2:$W$1001,0),0), INDEX($AD$1004:$AU$1004,1,MATCH(COLUMNS($AD$1006:AI1006),$AD$1006:$AU$1006,0)))),"Fix")))</f>
        <v xml:space="preserve"> </v>
      </c>
      <c r="H894" s="4" t="str">
        <f ca="1">IF(OR(INDEX($X$2:$X$1001,MATCH(ROWS($W$2:W894),$W$2:$W$1001,0),1)&gt;=100000,INDEX($AD$1005:$AU$1005,1,MATCH(COLUMNS($AD$1006:AJ1006),$AD$1006:$AU$1006,0))&gt;=100000), " ",IF(INDEX($AD$2:$AU$1001,MATCH(ROWS($W$2:W894),$W$2:$W$1001,0),MATCH(COLUMNS($AD$1006:AJ1006),$AD$1006:$AU$1006,0)), HYPERLINK("#",""), HYPERLINK(CONCATENATE("#metadata!", ADDRESS(INDEX($Y$2:$Y$1001,MATCH(ROWS($W$2:W894),$W$2:$W$1001,0),0), INDEX($AD$1004:$AU$1004,1,MATCH(COLUMNS($AD$1006:AJ1006),$AD$1006:$AU$1006,0)))),"Fix")))</f>
        <v xml:space="preserve"> </v>
      </c>
      <c r="I894" s="4" t="str">
        <f ca="1">IF(OR(INDEX($X$2:$X$1001,MATCH(ROWS($W$2:W894),$W$2:$W$1001,0),1)&gt;=100000,INDEX($AD$1005:$AU$1005,1,MATCH(COLUMNS($AD$1006:AK1006),$AD$1006:$AU$1006,0))&gt;=100000), " ",IF(INDEX($AD$2:$AU$1001,MATCH(ROWS($W$2:W894),$W$2:$W$1001,0),MATCH(COLUMNS($AD$1006:AK1006),$AD$1006:$AU$1006,0)), HYPERLINK("#",""), HYPERLINK(CONCATENATE("#metadata!", ADDRESS(INDEX($Y$2:$Y$1001,MATCH(ROWS($W$2:W894),$W$2:$W$1001,0),0), INDEX($AD$1004:$AU$1004,1,MATCH(COLUMNS($AD$1006:AK1006),$AD$1006:$AU$1006,0)))),"Fix")))</f>
        <v xml:space="preserve"> </v>
      </c>
      <c r="J894" s="4" t="str">
        <f ca="1">IF(OR(INDEX($X$2:$X$1001,MATCH(ROWS($W$2:W894),$W$2:$W$1001,0),1)&gt;=100000,INDEX($AD$1005:$AU$1005,1,MATCH(COLUMNS($AD$1006:AL1006),$AD$1006:$AU$1006,0))&gt;=100000), " ",IF(INDEX($AD$2:$AU$1001,MATCH(ROWS($W$2:W894),$W$2:$W$1001,0),MATCH(COLUMNS($AD$1006:AL1006),$AD$1006:$AU$1006,0)), HYPERLINK("#",""), HYPERLINK(CONCATENATE("#metadata!", ADDRESS(INDEX($Y$2:$Y$1001,MATCH(ROWS($W$2:W894),$W$2:$W$1001,0),0), INDEX($AD$1004:$AU$1004,1,MATCH(COLUMNS($AD$1006:AL1006),$AD$1006:$AU$1006,0)))),"Fix")))</f>
        <v xml:space="preserve"> </v>
      </c>
      <c r="K894" s="4" t="str">
        <f ca="1">IF(OR(INDEX($X$2:$X$1001,MATCH(ROWS($W$2:W894),$W$2:$W$1001,0),1)&gt;=100000,INDEX($AD$1005:$AU$1005,1,MATCH(COLUMNS($AD$1006:AM1006),$AD$1006:$AU$1006,0))&gt;=100000), " ",IF(INDEX($AD$2:$AU$1001,MATCH(ROWS($W$2:W894),$W$2:$W$1001,0),MATCH(COLUMNS($AD$1006:AM1006),$AD$1006:$AU$1006,0)), HYPERLINK("#",""), HYPERLINK(CONCATENATE("#metadata!", ADDRESS(INDEX($Y$2:$Y$1001,MATCH(ROWS($W$2:W894),$W$2:$W$1001,0),0), INDEX($AD$1004:$AU$1004,1,MATCH(COLUMNS($AD$1006:AM1006),$AD$1006:$AU$1006,0)))),"Fix")))</f>
        <v xml:space="preserve"> </v>
      </c>
      <c r="L894" s="4" t="str">
        <f ca="1">IF(OR(INDEX($X$2:$X$1001,MATCH(ROWS($W$2:W894),$W$2:$W$1001,0),1)&gt;=100000,INDEX($AD$1005:$AU$1005,1,MATCH(COLUMNS($AD$1006:AN1006),$AD$1006:$AU$1006,0))&gt;=100000), " ",IF(INDEX($AD$2:$AU$1001,MATCH(ROWS($W$2:W894),$W$2:$W$1001,0),MATCH(COLUMNS($AD$1006:AN1006),$AD$1006:$AU$1006,0)), HYPERLINK("#",""), HYPERLINK(CONCATENATE("#metadata!", ADDRESS(INDEX($Y$2:$Y$1001,MATCH(ROWS($W$2:W894),$W$2:$W$1001,0),0), INDEX($AD$1004:$AU$1004,1,MATCH(COLUMNS($AD$1006:AN1006),$AD$1006:$AU$1006,0)))),"Fix")))</f>
        <v xml:space="preserve"> </v>
      </c>
      <c r="M894" s="4" t="str">
        <f ca="1">IF(OR(INDEX($X$2:$X$1001,MATCH(ROWS($W$2:W894),$W$2:$W$1001,0),1)&gt;=100000,INDEX($AD$1005:$AU$1005,1,MATCH(COLUMNS($AD$1006:AO1006),$AD$1006:$AU$1006,0))&gt;=100000), " ",IF(INDEX($AD$2:$AU$1001,MATCH(ROWS($W$2:W894),$W$2:$W$1001,0),MATCH(COLUMNS($AD$1006:AO1006),$AD$1006:$AU$1006,0)), HYPERLINK("#",""), HYPERLINK(CONCATENATE("#metadata!", ADDRESS(INDEX($Y$2:$Y$1001,MATCH(ROWS($W$2:W894),$W$2:$W$1001,0),0), INDEX($AD$1004:$AU$1004,1,MATCH(COLUMNS($AD$1006:AO1006),$AD$1006:$AU$1006,0)))),"Fix")))</f>
        <v xml:space="preserve"> </v>
      </c>
      <c r="N894" s="4" t="str">
        <f ca="1">IF(OR(INDEX($X$2:$X$1001,MATCH(ROWS($W$2:W894),$W$2:$W$1001,0),1)&gt;=100000,INDEX($AD$1005:$AU$1005,1,MATCH(COLUMNS($AD$1006:AP1006),$AD$1006:$AU$1006,0))&gt;=100000), " ",IF(INDEX($AD$2:$AU$1001,MATCH(ROWS($W$2:W894),$W$2:$W$1001,0),MATCH(COLUMNS($AD$1006:AP1006),$AD$1006:$AU$1006,0)), HYPERLINK("#",""), HYPERLINK(CONCATENATE("#metadata!", ADDRESS(INDEX($Y$2:$Y$1001,MATCH(ROWS($W$2:W894),$W$2:$W$1001,0),0), INDEX($AD$1004:$AU$1004,1,MATCH(COLUMNS($AD$1006:AP1006),$AD$1006:$AU$1006,0)))),"Fix")))</f>
        <v xml:space="preserve"> </v>
      </c>
      <c r="O894" s="4" t="str">
        <f ca="1">IF(OR(INDEX($X$2:$X$1001,MATCH(ROWS($W$2:W894),$W$2:$W$1001,0),1)&gt;=100000,INDEX($AD$1005:$AU$1005,1,MATCH(COLUMNS($AD$1006:AQ1006),$AD$1006:$AU$1006,0))&gt;=100000), " ",IF(INDEX($AD$2:$AU$1001,MATCH(ROWS($W$2:W894),$W$2:$W$1001,0),MATCH(COLUMNS($AD$1006:AQ1006),$AD$1006:$AU$1006,0)), HYPERLINK("#",""), HYPERLINK(CONCATENATE("#metadata!", ADDRESS(INDEX($Y$2:$Y$1001,MATCH(ROWS($W$2:W894),$W$2:$W$1001,0),0), INDEX($AD$1004:$AU$1004,1,MATCH(COLUMNS($AD$1006:AQ1006),$AD$1006:$AU$1006,0)))),"Fix")))</f>
        <v xml:space="preserve"> </v>
      </c>
      <c r="P894" s="4" t="str">
        <f ca="1">IF(OR(INDEX($X$2:$X$1001,MATCH(ROWS($W$2:W894),$W$2:$W$1001,0),1)&gt;=100000,INDEX($AD$1005:$AU$1005,1,MATCH(COLUMNS($AD$1006:AR1006),$AD$1006:$AU$1006,0))&gt;=100000), " ",IF(INDEX($AD$2:$AU$1001,MATCH(ROWS($W$2:W894),$W$2:$W$1001,0),MATCH(COLUMNS($AD$1006:AR1006),$AD$1006:$AU$1006,0)), HYPERLINK("#",""), HYPERLINK(CONCATENATE("#metadata!", ADDRESS(INDEX($Y$2:$Y$1001,MATCH(ROWS($W$2:W894),$W$2:$W$1001,0),0), INDEX($AD$1004:$AU$1004,1,MATCH(COLUMNS($AD$1006:AR1006),$AD$1006:$AU$1006,0)))),"Fix")))</f>
        <v xml:space="preserve"> </v>
      </c>
      <c r="Q894" s="4" t="str">
        <f ca="1">IF(OR(INDEX($X$2:$X$1001,MATCH(ROWS($W$2:W894),$W$2:$W$1001,0),1)&gt;=100000,INDEX($AD$1005:$AU$1005,1,MATCH(COLUMNS($AD$1006:AS1006),$AD$1006:$AU$1006,0))&gt;=100000), " ",IF(INDEX($AD$2:$AU$1001,MATCH(ROWS($W$2:W894),$W$2:$W$1001,0),MATCH(COLUMNS($AD$1006:AS1006),$AD$1006:$AU$1006,0)), HYPERLINK("#",""), HYPERLINK(CONCATENATE("#metadata!", ADDRESS(INDEX($Y$2:$Y$1001,MATCH(ROWS($W$2:W894),$W$2:$W$1001,0),0), INDEX($AD$1004:$AU$1004,1,MATCH(COLUMNS($AD$1006:AS1006),$AD$1006:$AU$1006,0)))),"Fix")))</f>
        <v xml:space="preserve"> </v>
      </c>
      <c r="R894" s="4" t="str">
        <f ca="1">IF(OR(INDEX($X$2:$X$1001,MATCH(ROWS($W$2:W894),$W$2:$W$1001,0),1)&gt;=100000,INDEX($AD$1005:$AU$1005,1,MATCH(COLUMNS($AD$1006:AT1006),$AD$1006:$AU$1006,0))&gt;=100000), " ",IF(INDEX($AD$2:$AU$1001,MATCH(ROWS($W$2:W894),$W$2:$W$1001,0),MATCH(COLUMNS($AD$1006:AT1006),$AD$1006:$AU$1006,0)), HYPERLINK("#",""), HYPERLINK(CONCATENATE("#metadata!", ADDRESS(INDEX($Y$2:$Y$1001,MATCH(ROWS($W$2:W894),$W$2:$W$1001,0),0), INDEX($AD$1004:$AU$1004,1,MATCH(COLUMNS($AD$1006:AT1006),$AD$1006:$AU$1006,0)))),"Fix")))</f>
        <v xml:space="preserve"> </v>
      </c>
      <c r="S894" s="4" t="str">
        <f ca="1">IF(OR(INDEX($X$2:$X$1001,MATCH(ROWS($W$2:W894),$W$2:$W$1001,0),1)&gt;=100000,INDEX($AD$1005:$AU$1005,1,MATCH(COLUMNS($AD$1006:AU1006),$AD$1006:$AU$1006,0))&gt;=100000), " ",IF(INDEX($AD$2:$AU$1001,MATCH(ROWS($W$2:W894),$W$2:$W$1001,0),MATCH(COLUMNS($AD$1006:AU1006),$AD$1006:$AU$1006,0)), HYPERLINK("#",""), HYPERLINK(CONCATENATE("#metadata!", ADDRESS(INDEX($Y$2:$Y$1001,MATCH(ROWS($W$2:W894),$W$2:$W$1001,0),0), INDEX($AD$1004:$AU$1004,1,MATCH(COLUMNS($AD$1006:AU1006),$AD$1006:$AU$1006,0)))),"Fix")))</f>
        <v xml:space="preserve"> </v>
      </c>
      <c r="W894">
        <v>893</v>
      </c>
      <c r="X894">
        <v>100894</v>
      </c>
      <c r="Y894">
        <v>894</v>
      </c>
      <c r="Z894" t="b">
        <f t="shared" si="13"/>
        <v>1</v>
      </c>
      <c r="AA894" t="b">
        <f>COUNTBLANK(metadata!B894:S894)=COLUMNS(metadata!B894:S894)</f>
        <v>1</v>
      </c>
      <c r="AB894" t="str">
        <v/>
      </c>
      <c r="AD894" t="b">
        <f ca="1">AND(IF(metadata!B894="",FALSE,TRUE),COUNTIF(metadata!B:B, metadata!B894) = 1,NOT(ISERROR(SUMPRODUCT(SEARCH(MID(metadata!B894,ROW(INDIRECT("1:"&amp;LEN(metadata!B894))), 1),"0123456789abcdefghijklmnopqrstuvwxyzABCDEFGHIJKLMNOPQRSTUVWXYZ.")))))</f>
        <v>0</v>
      </c>
      <c r="AE894" t="b">
        <f>OR(AND(IF(metadata!C894="",FALSE,TRUE),OR(EXACT(metadata!C894,"not applicable"),EXACT(metadata!C894,"missing: not collected"),EXACT(metadata!C894,"missing: not provided"),EXACT(metadata!C894,"missing: restricted access"))),AND(IF(metadata!C894="",FALSE,ISNUMBER(VALUE(metadata!C894))),metadata!C894&gt;0))</f>
        <v>0</v>
      </c>
      <c r="AF894" t="b">
        <f>AND(IF(metadata!D894="",FALSE,TRUE),EXACT(metadata!D894,"missing: not provided"))</f>
        <v>0</v>
      </c>
      <c r="AG894" t="b">
        <f>AND(IF(metadata!E894="",FALSE,TRUE),EXACT(metadata!E894,"Host-associated"))</f>
        <v>0</v>
      </c>
      <c r="AH894" t="b">
        <f>AND(IF(metadata!F894="",FALSE,TRUE),OR(EXACT(metadata!F894,"Animal"),EXACT(metadata!F894,"Fungus"),EXACT(metadata!F894,"Plant")))</f>
        <v>0</v>
      </c>
      <c r="AI894" t="b">
        <f>AND(IF(metadata!G894="",FALSE,TRUE),OR(EXACT(metadata!G894,"Plant secretion"),EXACT(metadata!G894,"Plant rhizosphere"),EXACT(metadata!G894,"Plant surface"),EXACT(metadata!G894,"Plant corpus"),EXACT(metadata!G894,"Fungus surface"),EXACT(metadata!G894,"Fungus corpus"),EXACT(metadata!G894,"Animal surface"),EXACT(metadata!G894,"Animal proximal gut"),EXACT(metadata!G894,"Animal corpus"),EXACT(metadata!G894,"Animal distal gut"),EXACT(metadata!G894,"Animal secretion")))</f>
        <v>0</v>
      </c>
      <c r="AJ894" t="b">
        <f>OR(AND(IF(metadata!H894="",FALSE,TRUE),OR(EXACT(metadata!H894,"missing: not collected"),EXACT(metadata!H894,"missing: not provided"),EXACT(metadata!H894,"missing: restricted access"))),AND(IF(metadata!H894="",FALSE,TRUE),OR(EXACT(metadata!H894,"organism-associated habitat"),EXACT(metadata!H894,"plant-associated habitat"),EXACT(metadata!H894,"animal-associated habitat"),EXACT(metadata!H894,"insecta-associated habitat"),EXACT(metadata!H894,"mammalia-associated habitat"),EXACT(metadata!H894,"human-associated habitat"),EXACT(metadata!H894,"livestock-associated habitat"))))</f>
        <v>0</v>
      </c>
      <c r="AK894" t="b">
        <f>AND(IF(metadata!I894="",FALSE,TRUE),EXACT(metadata!I894,"host-associated"))</f>
        <v>0</v>
      </c>
      <c r="AL894" t="b">
        <f>OR(AND(IF(metadata!J894="",FALSE,TRUE),OR(EXACT(metadata!J894,"not applicable"),EXACT(metadata!J894,"missing: not collected"),EXACT(metadata!J894,"missing: not provided"),EXACT(metadata!J894,"missing: restricted access"))),AND(IF(metadata!J894="",FALSE,ISNUMBER(VALUE(metadata!J894))),metadata!J894&gt;0))</f>
        <v>0</v>
      </c>
      <c r="AM894" t="b">
        <f>AND(IF(metadata!K894="",FALSE,TRUE),EXACT(metadata!K894,"missing: not provided"))</f>
        <v>0</v>
      </c>
      <c r="AN894" t="b">
        <f>IF(metadata!L894="",FALSE,TRUE)</f>
        <v>0</v>
      </c>
      <c r="AO894" t="b">
        <f>IF(metadata!M894="",FALSE,TRUE)</f>
        <v>0</v>
      </c>
      <c r="AP894" t="b">
        <f>OR(AND(IF(metadata!N894="",FALSE,TRUE),OR(EXACT(metadata!N894,"not applicable"),EXACT(metadata!N894,"missing: not collected"),EXACT(metadata!N894,"missing: not provided"))),AND(IF(metadata!N894="",FALSE,IF(ISERROR(INT(metadata!N894)),FALSE,INT(metadata!N894)=metadata!N894)),metadata!N894&gt;0))</f>
        <v>0</v>
      </c>
      <c r="AQ894" t="b">
        <f>AND(IF(metadata!O894="",FALSE,TRUE),EXACT(metadata!O894,"Not applicable"))</f>
        <v>0</v>
      </c>
      <c r="AR894" t="b">
        <f>OR(AND(IF(metadata!P894="",FALSE,TRUE),OR(EXACT(metadata!P894,"not applicable"),EXACT(metadata!P894,"missing: not collected"),EXACT(metadata!P894,"missing: not provided"),EXACT(metadata!P894,"missing: restricted access"))),IF(metadata!P894="",FALSE,IF(ISERROR(INT(metadata!P894)),FALSE,INT(metadata!P894)=metadata!P894)))</f>
        <v>0</v>
      </c>
      <c r="AS894" t="b">
        <f>AND(IF(metadata!Q894="",FALSE,TRUE),EXACT(metadata!Q894,"Not applicable"))</f>
        <v>0</v>
      </c>
      <c r="AT894" t="b">
        <f>OR(AND(IF(metadata!R894="",FALSE,TRUE),OR(EXACT(metadata!R894,"not applicable"),EXACT(metadata!R894,"missing: not collected"),EXACT(metadata!R894,"missing: not provided"),EXACT(metadata!R894,"missing: restricted access"))),AND(IF(metadata!R894="",FALSE,ISNUMBER(VALUE(metadata!R894))),metadata!R894&gt;0))</f>
        <v>0</v>
      </c>
      <c r="AU894" t="b">
        <f>AND(IF(metadata!S894="",FALSE,TRUE),EXACT(metadata!S894,"missing: not provided"))</f>
        <v>0</v>
      </c>
    </row>
    <row r="895" spans="1:47" x14ac:dyDescent="0.2">
      <c r="A895" s="5" t="str">
        <f ca="1">IF(B895=" "," ",HYPERLINK(CONCATENATE("#metadata!",ADDRESS(INDEX($Y$2:$Y$1001,MATCH(ROWS($W$2:W895),$W$2:$W$1001,0),0),1)),INDEX($AB$2:$AB$1001,MATCH(ROWS($W$2:W895),$W$2:$W$1001,0),0)))</f>
        <v xml:space="preserve"> </v>
      </c>
      <c r="B895" s="4" t="str">
        <f ca="1">IF(OR(INDEX($X$2:$X$1001,MATCH(ROWS($W$2:W895),$W$2:$W$1001,0),1)&gt;=100000,INDEX($AD$1005:$AU$1005,1,MATCH(COLUMNS($AD$1006:AD1006),$AD$1006:$AU$1006,0))&gt;=100000), " ",IF(INDEX($AD$2:$AU$1001,MATCH(ROWS($W$2:W895),$W$2:$W$1001,0),MATCH(COLUMNS($AD$1006:AD1006),$AD$1006:$AU$1006,0)), HYPERLINK("#",""), HYPERLINK(CONCATENATE("#metadata!", ADDRESS(INDEX($Y$2:$Y$1001,MATCH(ROWS($W$2:W895),$W$2:$W$1001,0),0), INDEX($AD$1004:$AU$1004,1,MATCH(COLUMNS($AD$1006:AD1006),$AD$1006:$AU$1006,0)))),"Fix")))</f>
        <v xml:space="preserve"> </v>
      </c>
      <c r="C895" s="4" t="str">
        <f ca="1">IF(OR(INDEX($X$2:$X$1001,MATCH(ROWS($W$2:W895),$W$2:$W$1001,0),1)&gt;=100000,INDEX($AD$1005:$AU$1005,1,MATCH(COLUMNS($AD$1006:AE1006),$AD$1006:$AU$1006,0))&gt;=100000), " ",IF(INDEX($AD$2:$AU$1001,MATCH(ROWS($W$2:W895),$W$2:$W$1001,0),MATCH(COLUMNS($AD$1006:AE1006),$AD$1006:$AU$1006,0)), HYPERLINK("#",""), HYPERLINK(CONCATENATE("#metadata!", ADDRESS(INDEX($Y$2:$Y$1001,MATCH(ROWS($W$2:W895),$W$2:$W$1001,0),0), INDEX($AD$1004:$AU$1004,1,MATCH(COLUMNS($AD$1006:AE1006),$AD$1006:$AU$1006,0)))),"Fix")))</f>
        <v xml:space="preserve"> </v>
      </c>
      <c r="D895" s="4" t="str">
        <f ca="1">IF(OR(INDEX($X$2:$X$1001,MATCH(ROWS($W$2:W895),$W$2:$W$1001,0),1)&gt;=100000,INDEX($AD$1005:$AU$1005,1,MATCH(COLUMNS($AD$1006:AF1006),$AD$1006:$AU$1006,0))&gt;=100000), " ",IF(INDEX($AD$2:$AU$1001,MATCH(ROWS($W$2:W895),$W$2:$W$1001,0),MATCH(COLUMNS($AD$1006:AF1006),$AD$1006:$AU$1006,0)), HYPERLINK("#",""), HYPERLINK(CONCATENATE("#metadata!", ADDRESS(INDEX($Y$2:$Y$1001,MATCH(ROWS($W$2:W895),$W$2:$W$1001,0),0), INDEX($AD$1004:$AU$1004,1,MATCH(COLUMNS($AD$1006:AF1006),$AD$1006:$AU$1006,0)))),"Fix")))</f>
        <v xml:space="preserve"> </v>
      </c>
      <c r="E895" s="4" t="str">
        <f ca="1">IF(OR(INDEX($X$2:$X$1001,MATCH(ROWS($W$2:W895),$W$2:$W$1001,0),1)&gt;=100000,INDEX($AD$1005:$AU$1005,1,MATCH(COLUMNS($AD$1006:AG1006),$AD$1006:$AU$1006,0))&gt;=100000), " ",IF(INDEX($AD$2:$AU$1001,MATCH(ROWS($W$2:W895),$W$2:$W$1001,0),MATCH(COLUMNS($AD$1006:AG1006),$AD$1006:$AU$1006,0)), HYPERLINK("#",""), HYPERLINK(CONCATENATE("#metadata!", ADDRESS(INDEX($Y$2:$Y$1001,MATCH(ROWS($W$2:W895),$W$2:$W$1001,0),0), INDEX($AD$1004:$AU$1004,1,MATCH(COLUMNS($AD$1006:AG1006),$AD$1006:$AU$1006,0)))),"Fix")))</f>
        <v xml:space="preserve"> </v>
      </c>
      <c r="F895" s="4" t="str">
        <f ca="1">IF(OR(INDEX($X$2:$X$1001,MATCH(ROWS($W$2:W895),$W$2:$W$1001,0),1)&gt;=100000,INDEX($AD$1005:$AU$1005,1,MATCH(COLUMNS($AD$1006:AH1006),$AD$1006:$AU$1006,0))&gt;=100000), " ",IF(INDEX($AD$2:$AU$1001,MATCH(ROWS($W$2:W895),$W$2:$W$1001,0),MATCH(COLUMNS($AD$1006:AH1006),$AD$1006:$AU$1006,0)), HYPERLINK("#",""), HYPERLINK(CONCATENATE("#metadata!", ADDRESS(INDEX($Y$2:$Y$1001,MATCH(ROWS($W$2:W895),$W$2:$W$1001,0),0), INDEX($AD$1004:$AU$1004,1,MATCH(COLUMNS($AD$1006:AH1006),$AD$1006:$AU$1006,0)))),"Fix")))</f>
        <v xml:space="preserve"> </v>
      </c>
      <c r="G895" s="4" t="str">
        <f ca="1">IF(OR(INDEX($X$2:$X$1001,MATCH(ROWS($W$2:W895),$W$2:$W$1001,0),1)&gt;=100000,INDEX($AD$1005:$AU$1005,1,MATCH(COLUMNS($AD$1006:AI1006),$AD$1006:$AU$1006,0))&gt;=100000), " ",IF(INDEX($AD$2:$AU$1001,MATCH(ROWS($W$2:W895),$W$2:$W$1001,0),MATCH(COLUMNS($AD$1006:AI1006),$AD$1006:$AU$1006,0)), HYPERLINK("#",""), HYPERLINK(CONCATENATE("#metadata!", ADDRESS(INDEX($Y$2:$Y$1001,MATCH(ROWS($W$2:W895),$W$2:$W$1001,0),0), INDEX($AD$1004:$AU$1004,1,MATCH(COLUMNS($AD$1006:AI1006),$AD$1006:$AU$1006,0)))),"Fix")))</f>
        <v xml:space="preserve"> </v>
      </c>
      <c r="H895" s="4" t="str">
        <f ca="1">IF(OR(INDEX($X$2:$X$1001,MATCH(ROWS($W$2:W895),$W$2:$W$1001,0),1)&gt;=100000,INDEX($AD$1005:$AU$1005,1,MATCH(COLUMNS($AD$1006:AJ1006),$AD$1006:$AU$1006,0))&gt;=100000), " ",IF(INDEX($AD$2:$AU$1001,MATCH(ROWS($W$2:W895),$W$2:$W$1001,0),MATCH(COLUMNS($AD$1006:AJ1006),$AD$1006:$AU$1006,0)), HYPERLINK("#",""), HYPERLINK(CONCATENATE("#metadata!", ADDRESS(INDEX($Y$2:$Y$1001,MATCH(ROWS($W$2:W895),$W$2:$W$1001,0),0), INDEX($AD$1004:$AU$1004,1,MATCH(COLUMNS($AD$1006:AJ1006),$AD$1006:$AU$1006,0)))),"Fix")))</f>
        <v xml:space="preserve"> </v>
      </c>
      <c r="I895" s="4" t="str">
        <f ca="1">IF(OR(INDEX($X$2:$X$1001,MATCH(ROWS($W$2:W895),$W$2:$W$1001,0),1)&gt;=100000,INDEX($AD$1005:$AU$1005,1,MATCH(COLUMNS($AD$1006:AK1006),$AD$1006:$AU$1006,0))&gt;=100000), " ",IF(INDEX($AD$2:$AU$1001,MATCH(ROWS($W$2:W895),$W$2:$W$1001,0),MATCH(COLUMNS($AD$1006:AK1006),$AD$1006:$AU$1006,0)), HYPERLINK("#",""), HYPERLINK(CONCATENATE("#metadata!", ADDRESS(INDEX($Y$2:$Y$1001,MATCH(ROWS($W$2:W895),$W$2:$W$1001,0),0), INDEX($AD$1004:$AU$1004,1,MATCH(COLUMNS($AD$1006:AK1006),$AD$1006:$AU$1006,0)))),"Fix")))</f>
        <v xml:space="preserve"> </v>
      </c>
      <c r="J895" s="4" t="str">
        <f ca="1">IF(OR(INDEX($X$2:$X$1001,MATCH(ROWS($W$2:W895),$W$2:$W$1001,0),1)&gt;=100000,INDEX($AD$1005:$AU$1005,1,MATCH(COLUMNS($AD$1006:AL1006),$AD$1006:$AU$1006,0))&gt;=100000), " ",IF(INDEX($AD$2:$AU$1001,MATCH(ROWS($W$2:W895),$W$2:$W$1001,0),MATCH(COLUMNS($AD$1006:AL1006),$AD$1006:$AU$1006,0)), HYPERLINK("#",""), HYPERLINK(CONCATENATE("#metadata!", ADDRESS(INDEX($Y$2:$Y$1001,MATCH(ROWS($W$2:W895),$W$2:$W$1001,0),0), INDEX($AD$1004:$AU$1004,1,MATCH(COLUMNS($AD$1006:AL1006),$AD$1006:$AU$1006,0)))),"Fix")))</f>
        <v xml:space="preserve"> </v>
      </c>
      <c r="K895" s="4" t="str">
        <f ca="1">IF(OR(INDEX($X$2:$X$1001,MATCH(ROWS($W$2:W895),$W$2:$W$1001,0),1)&gt;=100000,INDEX($AD$1005:$AU$1005,1,MATCH(COLUMNS($AD$1006:AM1006),$AD$1006:$AU$1006,0))&gt;=100000), " ",IF(INDEX($AD$2:$AU$1001,MATCH(ROWS($W$2:W895),$W$2:$W$1001,0),MATCH(COLUMNS($AD$1006:AM1006),$AD$1006:$AU$1006,0)), HYPERLINK("#",""), HYPERLINK(CONCATENATE("#metadata!", ADDRESS(INDEX($Y$2:$Y$1001,MATCH(ROWS($W$2:W895),$W$2:$W$1001,0),0), INDEX($AD$1004:$AU$1004,1,MATCH(COLUMNS($AD$1006:AM1006),$AD$1006:$AU$1006,0)))),"Fix")))</f>
        <v xml:space="preserve"> </v>
      </c>
      <c r="L895" s="4" t="str">
        <f ca="1">IF(OR(INDEX($X$2:$X$1001,MATCH(ROWS($W$2:W895),$W$2:$W$1001,0),1)&gt;=100000,INDEX($AD$1005:$AU$1005,1,MATCH(COLUMNS($AD$1006:AN1006),$AD$1006:$AU$1006,0))&gt;=100000), " ",IF(INDEX($AD$2:$AU$1001,MATCH(ROWS($W$2:W895),$W$2:$W$1001,0),MATCH(COLUMNS($AD$1006:AN1006),$AD$1006:$AU$1006,0)), HYPERLINK("#",""), HYPERLINK(CONCATENATE("#metadata!", ADDRESS(INDEX($Y$2:$Y$1001,MATCH(ROWS($W$2:W895),$W$2:$W$1001,0),0), INDEX($AD$1004:$AU$1004,1,MATCH(COLUMNS($AD$1006:AN1006),$AD$1006:$AU$1006,0)))),"Fix")))</f>
        <v xml:space="preserve"> </v>
      </c>
      <c r="M895" s="4" t="str">
        <f ca="1">IF(OR(INDEX($X$2:$X$1001,MATCH(ROWS($W$2:W895),$W$2:$W$1001,0),1)&gt;=100000,INDEX($AD$1005:$AU$1005,1,MATCH(COLUMNS($AD$1006:AO1006),$AD$1006:$AU$1006,0))&gt;=100000), " ",IF(INDEX($AD$2:$AU$1001,MATCH(ROWS($W$2:W895),$W$2:$W$1001,0),MATCH(COLUMNS($AD$1006:AO1006),$AD$1006:$AU$1006,0)), HYPERLINK("#",""), HYPERLINK(CONCATENATE("#metadata!", ADDRESS(INDEX($Y$2:$Y$1001,MATCH(ROWS($W$2:W895),$W$2:$W$1001,0),0), INDEX($AD$1004:$AU$1004,1,MATCH(COLUMNS($AD$1006:AO1006),$AD$1006:$AU$1006,0)))),"Fix")))</f>
        <v xml:space="preserve"> </v>
      </c>
      <c r="N895" s="4" t="str">
        <f ca="1">IF(OR(INDEX($X$2:$X$1001,MATCH(ROWS($W$2:W895),$W$2:$W$1001,0),1)&gt;=100000,INDEX($AD$1005:$AU$1005,1,MATCH(COLUMNS($AD$1006:AP1006),$AD$1006:$AU$1006,0))&gt;=100000), " ",IF(INDEX($AD$2:$AU$1001,MATCH(ROWS($W$2:W895),$W$2:$W$1001,0),MATCH(COLUMNS($AD$1006:AP1006),$AD$1006:$AU$1006,0)), HYPERLINK("#",""), HYPERLINK(CONCATENATE("#metadata!", ADDRESS(INDEX($Y$2:$Y$1001,MATCH(ROWS($W$2:W895),$W$2:$W$1001,0),0), INDEX($AD$1004:$AU$1004,1,MATCH(COLUMNS($AD$1006:AP1006),$AD$1006:$AU$1006,0)))),"Fix")))</f>
        <v xml:space="preserve"> </v>
      </c>
      <c r="O895" s="4" t="str">
        <f ca="1">IF(OR(INDEX($X$2:$X$1001,MATCH(ROWS($W$2:W895),$W$2:$W$1001,0),1)&gt;=100000,INDEX($AD$1005:$AU$1005,1,MATCH(COLUMNS($AD$1006:AQ1006),$AD$1006:$AU$1006,0))&gt;=100000), " ",IF(INDEX($AD$2:$AU$1001,MATCH(ROWS($W$2:W895),$W$2:$W$1001,0),MATCH(COLUMNS($AD$1006:AQ1006),$AD$1006:$AU$1006,0)), HYPERLINK("#",""), HYPERLINK(CONCATENATE("#metadata!", ADDRESS(INDEX($Y$2:$Y$1001,MATCH(ROWS($W$2:W895),$W$2:$W$1001,0),0), INDEX($AD$1004:$AU$1004,1,MATCH(COLUMNS($AD$1006:AQ1006),$AD$1006:$AU$1006,0)))),"Fix")))</f>
        <v xml:space="preserve"> </v>
      </c>
      <c r="P895" s="4" t="str">
        <f ca="1">IF(OR(INDEX($X$2:$X$1001,MATCH(ROWS($W$2:W895),$W$2:$W$1001,0),1)&gt;=100000,INDEX($AD$1005:$AU$1005,1,MATCH(COLUMNS($AD$1006:AR1006),$AD$1006:$AU$1006,0))&gt;=100000), " ",IF(INDEX($AD$2:$AU$1001,MATCH(ROWS($W$2:W895),$W$2:$W$1001,0),MATCH(COLUMNS($AD$1006:AR1006),$AD$1006:$AU$1006,0)), HYPERLINK("#",""), HYPERLINK(CONCATENATE("#metadata!", ADDRESS(INDEX($Y$2:$Y$1001,MATCH(ROWS($W$2:W895),$W$2:$W$1001,0),0), INDEX($AD$1004:$AU$1004,1,MATCH(COLUMNS($AD$1006:AR1006),$AD$1006:$AU$1006,0)))),"Fix")))</f>
        <v xml:space="preserve"> </v>
      </c>
      <c r="Q895" s="4" t="str">
        <f ca="1">IF(OR(INDEX($X$2:$X$1001,MATCH(ROWS($W$2:W895),$W$2:$W$1001,0),1)&gt;=100000,INDEX($AD$1005:$AU$1005,1,MATCH(COLUMNS($AD$1006:AS1006),$AD$1006:$AU$1006,0))&gt;=100000), " ",IF(INDEX($AD$2:$AU$1001,MATCH(ROWS($W$2:W895),$W$2:$W$1001,0),MATCH(COLUMNS($AD$1006:AS1006),$AD$1006:$AU$1006,0)), HYPERLINK("#",""), HYPERLINK(CONCATENATE("#metadata!", ADDRESS(INDEX($Y$2:$Y$1001,MATCH(ROWS($W$2:W895),$W$2:$W$1001,0),0), INDEX($AD$1004:$AU$1004,1,MATCH(COLUMNS($AD$1006:AS1006),$AD$1006:$AU$1006,0)))),"Fix")))</f>
        <v xml:space="preserve"> </v>
      </c>
      <c r="R895" s="4" t="str">
        <f ca="1">IF(OR(INDEX($X$2:$X$1001,MATCH(ROWS($W$2:W895),$W$2:$W$1001,0),1)&gt;=100000,INDEX($AD$1005:$AU$1005,1,MATCH(COLUMNS($AD$1006:AT1006),$AD$1006:$AU$1006,0))&gt;=100000), " ",IF(INDEX($AD$2:$AU$1001,MATCH(ROWS($W$2:W895),$W$2:$W$1001,0),MATCH(COLUMNS($AD$1006:AT1006),$AD$1006:$AU$1006,0)), HYPERLINK("#",""), HYPERLINK(CONCATENATE("#metadata!", ADDRESS(INDEX($Y$2:$Y$1001,MATCH(ROWS($W$2:W895),$W$2:$W$1001,0),0), INDEX($AD$1004:$AU$1004,1,MATCH(COLUMNS($AD$1006:AT1006),$AD$1006:$AU$1006,0)))),"Fix")))</f>
        <v xml:space="preserve"> </v>
      </c>
      <c r="S895" s="4" t="str">
        <f ca="1">IF(OR(INDEX($X$2:$X$1001,MATCH(ROWS($W$2:W895),$W$2:$W$1001,0),1)&gt;=100000,INDEX($AD$1005:$AU$1005,1,MATCH(COLUMNS($AD$1006:AU1006),$AD$1006:$AU$1006,0))&gt;=100000), " ",IF(INDEX($AD$2:$AU$1001,MATCH(ROWS($W$2:W895),$W$2:$W$1001,0),MATCH(COLUMNS($AD$1006:AU1006),$AD$1006:$AU$1006,0)), HYPERLINK("#",""), HYPERLINK(CONCATENATE("#metadata!", ADDRESS(INDEX($Y$2:$Y$1001,MATCH(ROWS($W$2:W895),$W$2:$W$1001,0),0), INDEX($AD$1004:$AU$1004,1,MATCH(COLUMNS($AD$1006:AU1006),$AD$1006:$AU$1006,0)))),"Fix")))</f>
        <v xml:space="preserve"> </v>
      </c>
      <c r="W895">
        <v>894</v>
      </c>
      <c r="X895">
        <v>100895</v>
      </c>
      <c r="Y895">
        <v>895</v>
      </c>
      <c r="Z895" t="b">
        <f t="shared" si="13"/>
        <v>1</v>
      </c>
      <c r="AA895" t="b">
        <f>COUNTBLANK(metadata!B895:S895)=COLUMNS(metadata!B895:S895)</f>
        <v>1</v>
      </c>
      <c r="AB895" t="str">
        <v/>
      </c>
      <c r="AD895" t="b">
        <f ca="1">AND(IF(metadata!B895="",FALSE,TRUE),COUNTIF(metadata!B:B, metadata!B895) = 1,NOT(ISERROR(SUMPRODUCT(SEARCH(MID(metadata!B895,ROW(INDIRECT("1:"&amp;LEN(metadata!B895))), 1),"0123456789abcdefghijklmnopqrstuvwxyzABCDEFGHIJKLMNOPQRSTUVWXYZ.")))))</f>
        <v>0</v>
      </c>
      <c r="AE895" t="b">
        <f>OR(AND(IF(metadata!C895="",FALSE,TRUE),OR(EXACT(metadata!C895,"not applicable"),EXACT(metadata!C895,"missing: not collected"),EXACT(metadata!C895,"missing: not provided"),EXACT(metadata!C895,"missing: restricted access"))),AND(IF(metadata!C895="",FALSE,ISNUMBER(VALUE(metadata!C895))),metadata!C895&gt;0))</f>
        <v>0</v>
      </c>
      <c r="AF895" t="b">
        <f>AND(IF(metadata!D895="",FALSE,TRUE),EXACT(metadata!D895,"missing: not provided"))</f>
        <v>0</v>
      </c>
      <c r="AG895" t="b">
        <f>AND(IF(metadata!E895="",FALSE,TRUE),EXACT(metadata!E895,"Host-associated"))</f>
        <v>0</v>
      </c>
      <c r="AH895" t="b">
        <f>AND(IF(metadata!F895="",FALSE,TRUE),OR(EXACT(metadata!F895,"Animal"),EXACT(metadata!F895,"Fungus"),EXACT(metadata!F895,"Plant")))</f>
        <v>0</v>
      </c>
      <c r="AI895" t="b">
        <f>AND(IF(metadata!G895="",FALSE,TRUE),OR(EXACT(metadata!G895,"Plant secretion"),EXACT(metadata!G895,"Plant rhizosphere"),EXACT(metadata!G895,"Plant surface"),EXACT(metadata!G895,"Plant corpus"),EXACT(metadata!G895,"Fungus surface"),EXACT(metadata!G895,"Fungus corpus"),EXACT(metadata!G895,"Animal surface"),EXACT(metadata!G895,"Animal proximal gut"),EXACT(metadata!G895,"Animal corpus"),EXACT(metadata!G895,"Animal distal gut"),EXACT(metadata!G895,"Animal secretion")))</f>
        <v>0</v>
      </c>
      <c r="AJ895" t="b">
        <f>OR(AND(IF(metadata!H895="",FALSE,TRUE),OR(EXACT(metadata!H895,"missing: not collected"),EXACT(metadata!H895,"missing: not provided"),EXACT(metadata!H895,"missing: restricted access"))),AND(IF(metadata!H895="",FALSE,TRUE),OR(EXACT(metadata!H895,"organism-associated habitat"),EXACT(metadata!H895,"plant-associated habitat"),EXACT(metadata!H895,"animal-associated habitat"),EXACT(metadata!H895,"insecta-associated habitat"),EXACT(metadata!H895,"mammalia-associated habitat"),EXACT(metadata!H895,"human-associated habitat"),EXACT(metadata!H895,"livestock-associated habitat"))))</f>
        <v>0</v>
      </c>
      <c r="AK895" t="b">
        <f>AND(IF(metadata!I895="",FALSE,TRUE),EXACT(metadata!I895,"host-associated"))</f>
        <v>0</v>
      </c>
      <c r="AL895" t="b">
        <f>OR(AND(IF(metadata!J895="",FALSE,TRUE),OR(EXACT(metadata!J895,"not applicable"),EXACT(metadata!J895,"missing: not collected"),EXACT(metadata!J895,"missing: not provided"),EXACT(metadata!J895,"missing: restricted access"))),AND(IF(metadata!J895="",FALSE,ISNUMBER(VALUE(metadata!J895))),metadata!J895&gt;0))</f>
        <v>0</v>
      </c>
      <c r="AM895" t="b">
        <f>AND(IF(metadata!K895="",FALSE,TRUE),EXACT(metadata!K895,"missing: not provided"))</f>
        <v>0</v>
      </c>
      <c r="AN895" t="b">
        <f>IF(metadata!L895="",FALSE,TRUE)</f>
        <v>0</v>
      </c>
      <c r="AO895" t="b">
        <f>IF(metadata!M895="",FALSE,TRUE)</f>
        <v>0</v>
      </c>
      <c r="AP895" t="b">
        <f>OR(AND(IF(metadata!N895="",FALSE,TRUE),OR(EXACT(metadata!N895,"not applicable"),EXACT(metadata!N895,"missing: not collected"),EXACT(metadata!N895,"missing: not provided"))),AND(IF(metadata!N895="",FALSE,IF(ISERROR(INT(metadata!N895)),FALSE,INT(metadata!N895)=metadata!N895)),metadata!N895&gt;0))</f>
        <v>0</v>
      </c>
      <c r="AQ895" t="b">
        <f>AND(IF(metadata!O895="",FALSE,TRUE),EXACT(metadata!O895,"Not applicable"))</f>
        <v>0</v>
      </c>
      <c r="AR895" t="b">
        <f>OR(AND(IF(metadata!P895="",FALSE,TRUE),OR(EXACT(metadata!P895,"not applicable"),EXACT(metadata!P895,"missing: not collected"),EXACT(metadata!P895,"missing: not provided"),EXACT(metadata!P895,"missing: restricted access"))),IF(metadata!P895="",FALSE,IF(ISERROR(INT(metadata!P895)),FALSE,INT(metadata!P895)=metadata!P895)))</f>
        <v>0</v>
      </c>
      <c r="AS895" t="b">
        <f>AND(IF(metadata!Q895="",FALSE,TRUE),EXACT(metadata!Q895,"Not applicable"))</f>
        <v>0</v>
      </c>
      <c r="AT895" t="b">
        <f>OR(AND(IF(metadata!R895="",FALSE,TRUE),OR(EXACT(metadata!R895,"not applicable"),EXACT(metadata!R895,"missing: not collected"),EXACT(metadata!R895,"missing: not provided"),EXACT(metadata!R895,"missing: restricted access"))),AND(IF(metadata!R895="",FALSE,ISNUMBER(VALUE(metadata!R895))),metadata!R895&gt;0))</f>
        <v>0</v>
      </c>
      <c r="AU895" t="b">
        <f>AND(IF(metadata!S895="",FALSE,TRUE),EXACT(metadata!S895,"missing: not provided"))</f>
        <v>0</v>
      </c>
    </row>
    <row r="896" spans="1:47" x14ac:dyDescent="0.2">
      <c r="A896" s="5" t="str">
        <f ca="1">IF(B896=" "," ",HYPERLINK(CONCATENATE("#metadata!",ADDRESS(INDEX($Y$2:$Y$1001,MATCH(ROWS($W$2:W896),$W$2:$W$1001,0),0),1)),INDEX($AB$2:$AB$1001,MATCH(ROWS($W$2:W896),$W$2:$W$1001,0),0)))</f>
        <v xml:space="preserve"> </v>
      </c>
      <c r="B896" s="4" t="str">
        <f ca="1">IF(OR(INDEX($X$2:$X$1001,MATCH(ROWS($W$2:W896),$W$2:$W$1001,0),1)&gt;=100000,INDEX($AD$1005:$AU$1005,1,MATCH(COLUMNS($AD$1006:AD1006),$AD$1006:$AU$1006,0))&gt;=100000), " ",IF(INDEX($AD$2:$AU$1001,MATCH(ROWS($W$2:W896),$W$2:$W$1001,0),MATCH(COLUMNS($AD$1006:AD1006),$AD$1006:$AU$1006,0)), HYPERLINK("#",""), HYPERLINK(CONCATENATE("#metadata!", ADDRESS(INDEX($Y$2:$Y$1001,MATCH(ROWS($W$2:W896),$W$2:$W$1001,0),0), INDEX($AD$1004:$AU$1004,1,MATCH(COLUMNS($AD$1006:AD1006),$AD$1006:$AU$1006,0)))),"Fix")))</f>
        <v xml:space="preserve"> </v>
      </c>
      <c r="C896" s="4" t="str">
        <f ca="1">IF(OR(INDEX($X$2:$X$1001,MATCH(ROWS($W$2:W896),$W$2:$W$1001,0),1)&gt;=100000,INDEX($AD$1005:$AU$1005,1,MATCH(COLUMNS($AD$1006:AE1006),$AD$1006:$AU$1006,0))&gt;=100000), " ",IF(INDEX($AD$2:$AU$1001,MATCH(ROWS($W$2:W896),$W$2:$W$1001,0),MATCH(COLUMNS($AD$1006:AE1006),$AD$1006:$AU$1006,0)), HYPERLINK("#",""), HYPERLINK(CONCATENATE("#metadata!", ADDRESS(INDEX($Y$2:$Y$1001,MATCH(ROWS($W$2:W896),$W$2:$W$1001,0),0), INDEX($AD$1004:$AU$1004,1,MATCH(COLUMNS($AD$1006:AE1006),$AD$1006:$AU$1006,0)))),"Fix")))</f>
        <v xml:space="preserve"> </v>
      </c>
      <c r="D896" s="4" t="str">
        <f ca="1">IF(OR(INDEX($X$2:$X$1001,MATCH(ROWS($W$2:W896),$W$2:$W$1001,0),1)&gt;=100000,INDEX($AD$1005:$AU$1005,1,MATCH(COLUMNS($AD$1006:AF1006),$AD$1006:$AU$1006,0))&gt;=100000), " ",IF(INDEX($AD$2:$AU$1001,MATCH(ROWS($W$2:W896),$W$2:$W$1001,0),MATCH(COLUMNS($AD$1006:AF1006),$AD$1006:$AU$1006,0)), HYPERLINK("#",""), HYPERLINK(CONCATENATE("#metadata!", ADDRESS(INDEX($Y$2:$Y$1001,MATCH(ROWS($W$2:W896),$W$2:$W$1001,0),0), INDEX($AD$1004:$AU$1004,1,MATCH(COLUMNS($AD$1006:AF1006),$AD$1006:$AU$1006,0)))),"Fix")))</f>
        <v xml:space="preserve"> </v>
      </c>
      <c r="E896" s="4" t="str">
        <f ca="1">IF(OR(INDEX($X$2:$X$1001,MATCH(ROWS($W$2:W896),$W$2:$W$1001,0),1)&gt;=100000,INDEX($AD$1005:$AU$1005,1,MATCH(COLUMNS($AD$1006:AG1006),$AD$1006:$AU$1006,0))&gt;=100000), " ",IF(INDEX($AD$2:$AU$1001,MATCH(ROWS($W$2:W896),$W$2:$W$1001,0),MATCH(COLUMNS($AD$1006:AG1006),$AD$1006:$AU$1006,0)), HYPERLINK("#",""), HYPERLINK(CONCATENATE("#metadata!", ADDRESS(INDEX($Y$2:$Y$1001,MATCH(ROWS($W$2:W896),$W$2:$W$1001,0),0), INDEX($AD$1004:$AU$1004,1,MATCH(COLUMNS($AD$1006:AG1006),$AD$1006:$AU$1006,0)))),"Fix")))</f>
        <v xml:space="preserve"> </v>
      </c>
      <c r="F896" s="4" t="str">
        <f ca="1">IF(OR(INDEX($X$2:$X$1001,MATCH(ROWS($W$2:W896),$W$2:$W$1001,0),1)&gt;=100000,INDEX($AD$1005:$AU$1005,1,MATCH(COLUMNS($AD$1006:AH1006),$AD$1006:$AU$1006,0))&gt;=100000), " ",IF(INDEX($AD$2:$AU$1001,MATCH(ROWS($W$2:W896),$W$2:$W$1001,0),MATCH(COLUMNS($AD$1006:AH1006),$AD$1006:$AU$1006,0)), HYPERLINK("#",""), HYPERLINK(CONCATENATE("#metadata!", ADDRESS(INDEX($Y$2:$Y$1001,MATCH(ROWS($W$2:W896),$W$2:$W$1001,0),0), INDEX($AD$1004:$AU$1004,1,MATCH(COLUMNS($AD$1006:AH1006),$AD$1006:$AU$1006,0)))),"Fix")))</f>
        <v xml:space="preserve"> </v>
      </c>
      <c r="G896" s="4" t="str">
        <f ca="1">IF(OR(INDEX($X$2:$X$1001,MATCH(ROWS($W$2:W896),$W$2:$W$1001,0),1)&gt;=100000,INDEX($AD$1005:$AU$1005,1,MATCH(COLUMNS($AD$1006:AI1006),$AD$1006:$AU$1006,0))&gt;=100000), " ",IF(INDEX($AD$2:$AU$1001,MATCH(ROWS($W$2:W896),$W$2:$W$1001,0),MATCH(COLUMNS($AD$1006:AI1006),$AD$1006:$AU$1006,0)), HYPERLINK("#",""), HYPERLINK(CONCATENATE("#metadata!", ADDRESS(INDEX($Y$2:$Y$1001,MATCH(ROWS($W$2:W896),$W$2:$W$1001,0),0), INDEX($AD$1004:$AU$1004,1,MATCH(COLUMNS($AD$1006:AI1006),$AD$1006:$AU$1006,0)))),"Fix")))</f>
        <v xml:space="preserve"> </v>
      </c>
      <c r="H896" s="4" t="str">
        <f ca="1">IF(OR(INDEX($X$2:$X$1001,MATCH(ROWS($W$2:W896),$W$2:$W$1001,0),1)&gt;=100000,INDEX($AD$1005:$AU$1005,1,MATCH(COLUMNS($AD$1006:AJ1006),$AD$1006:$AU$1006,0))&gt;=100000), " ",IF(INDEX($AD$2:$AU$1001,MATCH(ROWS($W$2:W896),$W$2:$W$1001,0),MATCH(COLUMNS($AD$1006:AJ1006),$AD$1006:$AU$1006,0)), HYPERLINK("#",""), HYPERLINK(CONCATENATE("#metadata!", ADDRESS(INDEX($Y$2:$Y$1001,MATCH(ROWS($W$2:W896),$W$2:$W$1001,0),0), INDEX($AD$1004:$AU$1004,1,MATCH(COLUMNS($AD$1006:AJ1006),$AD$1006:$AU$1006,0)))),"Fix")))</f>
        <v xml:space="preserve"> </v>
      </c>
      <c r="I896" s="4" t="str">
        <f ca="1">IF(OR(INDEX($X$2:$X$1001,MATCH(ROWS($W$2:W896),$W$2:$W$1001,0),1)&gt;=100000,INDEX($AD$1005:$AU$1005,1,MATCH(COLUMNS($AD$1006:AK1006),$AD$1006:$AU$1006,0))&gt;=100000), " ",IF(INDEX($AD$2:$AU$1001,MATCH(ROWS($W$2:W896),$W$2:$W$1001,0),MATCH(COLUMNS($AD$1006:AK1006),$AD$1006:$AU$1006,0)), HYPERLINK("#",""), HYPERLINK(CONCATENATE("#metadata!", ADDRESS(INDEX($Y$2:$Y$1001,MATCH(ROWS($W$2:W896),$W$2:$W$1001,0),0), INDEX($AD$1004:$AU$1004,1,MATCH(COLUMNS($AD$1006:AK1006),$AD$1006:$AU$1006,0)))),"Fix")))</f>
        <v xml:space="preserve"> </v>
      </c>
      <c r="J896" s="4" t="str">
        <f ca="1">IF(OR(INDEX($X$2:$X$1001,MATCH(ROWS($W$2:W896),$W$2:$W$1001,0),1)&gt;=100000,INDEX($AD$1005:$AU$1005,1,MATCH(COLUMNS($AD$1006:AL1006),$AD$1006:$AU$1006,0))&gt;=100000), " ",IF(INDEX($AD$2:$AU$1001,MATCH(ROWS($W$2:W896),$W$2:$W$1001,0),MATCH(COLUMNS($AD$1006:AL1006),$AD$1006:$AU$1006,0)), HYPERLINK("#",""), HYPERLINK(CONCATENATE("#metadata!", ADDRESS(INDEX($Y$2:$Y$1001,MATCH(ROWS($W$2:W896),$W$2:$W$1001,0),0), INDEX($AD$1004:$AU$1004,1,MATCH(COLUMNS($AD$1006:AL1006),$AD$1006:$AU$1006,0)))),"Fix")))</f>
        <v xml:space="preserve"> </v>
      </c>
      <c r="K896" s="4" t="str">
        <f ca="1">IF(OR(INDEX($X$2:$X$1001,MATCH(ROWS($W$2:W896),$W$2:$W$1001,0),1)&gt;=100000,INDEX($AD$1005:$AU$1005,1,MATCH(COLUMNS($AD$1006:AM1006),$AD$1006:$AU$1006,0))&gt;=100000), " ",IF(INDEX($AD$2:$AU$1001,MATCH(ROWS($W$2:W896),$W$2:$W$1001,0),MATCH(COLUMNS($AD$1006:AM1006),$AD$1006:$AU$1006,0)), HYPERLINK("#",""), HYPERLINK(CONCATENATE("#metadata!", ADDRESS(INDEX($Y$2:$Y$1001,MATCH(ROWS($W$2:W896),$W$2:$W$1001,0),0), INDEX($AD$1004:$AU$1004,1,MATCH(COLUMNS($AD$1006:AM1006),$AD$1006:$AU$1006,0)))),"Fix")))</f>
        <v xml:space="preserve"> </v>
      </c>
      <c r="L896" s="4" t="str">
        <f ca="1">IF(OR(INDEX($X$2:$X$1001,MATCH(ROWS($W$2:W896),$W$2:$W$1001,0),1)&gt;=100000,INDEX($AD$1005:$AU$1005,1,MATCH(COLUMNS($AD$1006:AN1006),$AD$1006:$AU$1006,0))&gt;=100000), " ",IF(INDEX($AD$2:$AU$1001,MATCH(ROWS($W$2:W896),$W$2:$W$1001,0),MATCH(COLUMNS($AD$1006:AN1006),$AD$1006:$AU$1006,0)), HYPERLINK("#",""), HYPERLINK(CONCATENATE("#metadata!", ADDRESS(INDEX($Y$2:$Y$1001,MATCH(ROWS($W$2:W896),$W$2:$W$1001,0),0), INDEX($AD$1004:$AU$1004,1,MATCH(COLUMNS($AD$1006:AN1006),$AD$1006:$AU$1006,0)))),"Fix")))</f>
        <v xml:space="preserve"> </v>
      </c>
      <c r="M896" s="4" t="str">
        <f ca="1">IF(OR(INDEX($X$2:$X$1001,MATCH(ROWS($W$2:W896),$W$2:$W$1001,0),1)&gt;=100000,INDEX($AD$1005:$AU$1005,1,MATCH(COLUMNS($AD$1006:AO1006),$AD$1006:$AU$1006,0))&gt;=100000), " ",IF(INDEX($AD$2:$AU$1001,MATCH(ROWS($W$2:W896),$W$2:$W$1001,0),MATCH(COLUMNS($AD$1006:AO1006),$AD$1006:$AU$1006,0)), HYPERLINK("#",""), HYPERLINK(CONCATENATE("#metadata!", ADDRESS(INDEX($Y$2:$Y$1001,MATCH(ROWS($W$2:W896),$W$2:$W$1001,0),0), INDEX($AD$1004:$AU$1004,1,MATCH(COLUMNS($AD$1006:AO1006),$AD$1006:$AU$1006,0)))),"Fix")))</f>
        <v xml:space="preserve"> </v>
      </c>
      <c r="N896" s="4" t="str">
        <f ca="1">IF(OR(INDEX($X$2:$X$1001,MATCH(ROWS($W$2:W896),$W$2:$W$1001,0),1)&gt;=100000,INDEX($AD$1005:$AU$1005,1,MATCH(COLUMNS($AD$1006:AP1006),$AD$1006:$AU$1006,0))&gt;=100000), " ",IF(INDEX($AD$2:$AU$1001,MATCH(ROWS($W$2:W896),$W$2:$W$1001,0),MATCH(COLUMNS($AD$1006:AP1006),$AD$1006:$AU$1006,0)), HYPERLINK("#",""), HYPERLINK(CONCATENATE("#metadata!", ADDRESS(INDEX($Y$2:$Y$1001,MATCH(ROWS($W$2:W896),$W$2:$W$1001,0),0), INDEX($AD$1004:$AU$1004,1,MATCH(COLUMNS($AD$1006:AP1006),$AD$1006:$AU$1006,0)))),"Fix")))</f>
        <v xml:space="preserve"> </v>
      </c>
      <c r="O896" s="4" t="str">
        <f ca="1">IF(OR(INDEX($X$2:$X$1001,MATCH(ROWS($W$2:W896),$W$2:$W$1001,0),1)&gt;=100000,INDEX($AD$1005:$AU$1005,1,MATCH(COLUMNS($AD$1006:AQ1006),$AD$1006:$AU$1006,0))&gt;=100000), " ",IF(INDEX($AD$2:$AU$1001,MATCH(ROWS($W$2:W896),$W$2:$W$1001,0),MATCH(COLUMNS($AD$1006:AQ1006),$AD$1006:$AU$1006,0)), HYPERLINK("#",""), HYPERLINK(CONCATENATE("#metadata!", ADDRESS(INDEX($Y$2:$Y$1001,MATCH(ROWS($W$2:W896),$W$2:$W$1001,0),0), INDEX($AD$1004:$AU$1004,1,MATCH(COLUMNS($AD$1006:AQ1006),$AD$1006:$AU$1006,0)))),"Fix")))</f>
        <v xml:space="preserve"> </v>
      </c>
      <c r="P896" s="4" t="str">
        <f ca="1">IF(OR(INDEX($X$2:$X$1001,MATCH(ROWS($W$2:W896),$W$2:$W$1001,0),1)&gt;=100000,INDEX($AD$1005:$AU$1005,1,MATCH(COLUMNS($AD$1006:AR1006),$AD$1006:$AU$1006,0))&gt;=100000), " ",IF(INDEX($AD$2:$AU$1001,MATCH(ROWS($W$2:W896),$W$2:$W$1001,0),MATCH(COLUMNS($AD$1006:AR1006),$AD$1006:$AU$1006,0)), HYPERLINK("#",""), HYPERLINK(CONCATENATE("#metadata!", ADDRESS(INDEX($Y$2:$Y$1001,MATCH(ROWS($W$2:W896),$W$2:$W$1001,0),0), INDEX($AD$1004:$AU$1004,1,MATCH(COLUMNS($AD$1006:AR1006),$AD$1006:$AU$1006,0)))),"Fix")))</f>
        <v xml:space="preserve"> </v>
      </c>
      <c r="Q896" s="4" t="str">
        <f ca="1">IF(OR(INDEX($X$2:$X$1001,MATCH(ROWS($W$2:W896),$W$2:$W$1001,0),1)&gt;=100000,INDEX($AD$1005:$AU$1005,1,MATCH(COLUMNS($AD$1006:AS1006),$AD$1006:$AU$1006,0))&gt;=100000), " ",IF(INDEX($AD$2:$AU$1001,MATCH(ROWS($W$2:W896),$W$2:$W$1001,0),MATCH(COLUMNS($AD$1006:AS1006),$AD$1006:$AU$1006,0)), HYPERLINK("#",""), HYPERLINK(CONCATENATE("#metadata!", ADDRESS(INDEX($Y$2:$Y$1001,MATCH(ROWS($W$2:W896),$W$2:$W$1001,0),0), INDEX($AD$1004:$AU$1004,1,MATCH(COLUMNS($AD$1006:AS1006),$AD$1006:$AU$1006,0)))),"Fix")))</f>
        <v xml:space="preserve"> </v>
      </c>
      <c r="R896" s="4" t="str">
        <f ca="1">IF(OR(INDEX($X$2:$X$1001,MATCH(ROWS($W$2:W896),$W$2:$W$1001,0),1)&gt;=100000,INDEX($AD$1005:$AU$1005,1,MATCH(COLUMNS($AD$1006:AT1006),$AD$1006:$AU$1006,0))&gt;=100000), " ",IF(INDEX($AD$2:$AU$1001,MATCH(ROWS($W$2:W896),$W$2:$W$1001,0),MATCH(COLUMNS($AD$1006:AT1006),$AD$1006:$AU$1006,0)), HYPERLINK("#",""), HYPERLINK(CONCATENATE("#metadata!", ADDRESS(INDEX($Y$2:$Y$1001,MATCH(ROWS($W$2:W896),$W$2:$W$1001,0),0), INDEX($AD$1004:$AU$1004,1,MATCH(COLUMNS($AD$1006:AT1006),$AD$1006:$AU$1006,0)))),"Fix")))</f>
        <v xml:space="preserve"> </v>
      </c>
      <c r="S896" s="4" t="str">
        <f ca="1">IF(OR(INDEX($X$2:$X$1001,MATCH(ROWS($W$2:W896),$W$2:$W$1001,0),1)&gt;=100000,INDEX($AD$1005:$AU$1005,1,MATCH(COLUMNS($AD$1006:AU1006),$AD$1006:$AU$1006,0))&gt;=100000), " ",IF(INDEX($AD$2:$AU$1001,MATCH(ROWS($W$2:W896),$W$2:$W$1001,0),MATCH(COLUMNS($AD$1006:AU1006),$AD$1006:$AU$1006,0)), HYPERLINK("#",""), HYPERLINK(CONCATENATE("#metadata!", ADDRESS(INDEX($Y$2:$Y$1001,MATCH(ROWS($W$2:W896),$W$2:$W$1001,0),0), INDEX($AD$1004:$AU$1004,1,MATCH(COLUMNS($AD$1006:AU1006),$AD$1006:$AU$1006,0)))),"Fix")))</f>
        <v xml:space="preserve"> </v>
      </c>
      <c r="W896">
        <v>895</v>
      </c>
      <c r="X896">
        <v>100896</v>
      </c>
      <c r="Y896">
        <v>896</v>
      </c>
      <c r="Z896" t="b">
        <f t="shared" si="13"/>
        <v>1</v>
      </c>
      <c r="AA896" t="b">
        <f>COUNTBLANK(metadata!B896:S896)=COLUMNS(metadata!B896:S896)</f>
        <v>1</v>
      </c>
      <c r="AB896" t="str">
        <v/>
      </c>
      <c r="AD896" t="b">
        <f ca="1">AND(IF(metadata!B896="",FALSE,TRUE),COUNTIF(metadata!B:B, metadata!B896) = 1,NOT(ISERROR(SUMPRODUCT(SEARCH(MID(metadata!B896,ROW(INDIRECT("1:"&amp;LEN(metadata!B896))), 1),"0123456789abcdefghijklmnopqrstuvwxyzABCDEFGHIJKLMNOPQRSTUVWXYZ.")))))</f>
        <v>0</v>
      </c>
      <c r="AE896" t="b">
        <f>OR(AND(IF(metadata!C896="",FALSE,TRUE),OR(EXACT(metadata!C896,"not applicable"),EXACT(metadata!C896,"missing: not collected"),EXACT(metadata!C896,"missing: not provided"),EXACT(metadata!C896,"missing: restricted access"))),AND(IF(metadata!C896="",FALSE,ISNUMBER(VALUE(metadata!C896))),metadata!C896&gt;0))</f>
        <v>0</v>
      </c>
      <c r="AF896" t="b">
        <f>AND(IF(metadata!D896="",FALSE,TRUE),EXACT(metadata!D896,"missing: not provided"))</f>
        <v>0</v>
      </c>
      <c r="AG896" t="b">
        <f>AND(IF(metadata!E896="",FALSE,TRUE),EXACT(metadata!E896,"Host-associated"))</f>
        <v>0</v>
      </c>
      <c r="AH896" t="b">
        <f>AND(IF(metadata!F896="",FALSE,TRUE),OR(EXACT(metadata!F896,"Animal"),EXACT(metadata!F896,"Fungus"),EXACT(metadata!F896,"Plant")))</f>
        <v>0</v>
      </c>
      <c r="AI896" t="b">
        <f>AND(IF(metadata!G896="",FALSE,TRUE),OR(EXACT(metadata!G896,"Plant secretion"),EXACT(metadata!G896,"Plant rhizosphere"),EXACT(metadata!G896,"Plant surface"),EXACT(metadata!G896,"Plant corpus"),EXACT(metadata!G896,"Fungus surface"),EXACT(metadata!G896,"Fungus corpus"),EXACT(metadata!G896,"Animal surface"),EXACT(metadata!G896,"Animal proximal gut"),EXACT(metadata!G896,"Animal corpus"),EXACT(metadata!G896,"Animal distal gut"),EXACT(metadata!G896,"Animal secretion")))</f>
        <v>0</v>
      </c>
      <c r="AJ896" t="b">
        <f>OR(AND(IF(metadata!H896="",FALSE,TRUE),OR(EXACT(metadata!H896,"missing: not collected"),EXACT(metadata!H896,"missing: not provided"),EXACT(metadata!H896,"missing: restricted access"))),AND(IF(metadata!H896="",FALSE,TRUE),OR(EXACT(metadata!H896,"organism-associated habitat"),EXACT(metadata!H896,"plant-associated habitat"),EXACT(metadata!H896,"animal-associated habitat"),EXACT(metadata!H896,"insecta-associated habitat"),EXACT(metadata!H896,"mammalia-associated habitat"),EXACT(metadata!H896,"human-associated habitat"),EXACT(metadata!H896,"livestock-associated habitat"))))</f>
        <v>0</v>
      </c>
      <c r="AK896" t="b">
        <f>AND(IF(metadata!I896="",FALSE,TRUE),EXACT(metadata!I896,"host-associated"))</f>
        <v>0</v>
      </c>
      <c r="AL896" t="b">
        <f>OR(AND(IF(metadata!J896="",FALSE,TRUE),OR(EXACT(metadata!J896,"not applicable"),EXACT(metadata!J896,"missing: not collected"),EXACT(metadata!J896,"missing: not provided"),EXACT(metadata!J896,"missing: restricted access"))),AND(IF(metadata!J896="",FALSE,ISNUMBER(VALUE(metadata!J896))),metadata!J896&gt;0))</f>
        <v>0</v>
      </c>
      <c r="AM896" t="b">
        <f>AND(IF(metadata!K896="",FALSE,TRUE),EXACT(metadata!K896,"missing: not provided"))</f>
        <v>0</v>
      </c>
      <c r="AN896" t="b">
        <f>IF(metadata!L896="",FALSE,TRUE)</f>
        <v>0</v>
      </c>
      <c r="AO896" t="b">
        <f>IF(metadata!M896="",FALSE,TRUE)</f>
        <v>0</v>
      </c>
      <c r="AP896" t="b">
        <f>OR(AND(IF(metadata!N896="",FALSE,TRUE),OR(EXACT(metadata!N896,"not applicable"),EXACT(metadata!N896,"missing: not collected"),EXACT(metadata!N896,"missing: not provided"))),AND(IF(metadata!N896="",FALSE,IF(ISERROR(INT(metadata!N896)),FALSE,INT(metadata!N896)=metadata!N896)),metadata!N896&gt;0))</f>
        <v>0</v>
      </c>
      <c r="AQ896" t="b">
        <f>AND(IF(metadata!O896="",FALSE,TRUE),EXACT(metadata!O896,"Not applicable"))</f>
        <v>0</v>
      </c>
      <c r="AR896" t="b">
        <f>OR(AND(IF(metadata!P896="",FALSE,TRUE),OR(EXACT(metadata!P896,"not applicable"),EXACT(metadata!P896,"missing: not collected"),EXACT(metadata!P896,"missing: not provided"),EXACT(metadata!P896,"missing: restricted access"))),IF(metadata!P896="",FALSE,IF(ISERROR(INT(metadata!P896)),FALSE,INT(metadata!P896)=metadata!P896)))</f>
        <v>0</v>
      </c>
      <c r="AS896" t="b">
        <f>AND(IF(metadata!Q896="",FALSE,TRUE),EXACT(metadata!Q896,"Not applicable"))</f>
        <v>0</v>
      </c>
      <c r="AT896" t="b">
        <f>OR(AND(IF(metadata!R896="",FALSE,TRUE),OR(EXACT(metadata!R896,"not applicable"),EXACT(metadata!R896,"missing: not collected"),EXACT(metadata!R896,"missing: not provided"),EXACT(metadata!R896,"missing: restricted access"))),AND(IF(metadata!R896="",FALSE,ISNUMBER(VALUE(metadata!R896))),metadata!R896&gt;0))</f>
        <v>0</v>
      </c>
      <c r="AU896" t="b">
        <f>AND(IF(metadata!S896="",FALSE,TRUE),EXACT(metadata!S896,"missing: not provided"))</f>
        <v>0</v>
      </c>
    </row>
    <row r="897" spans="1:47" x14ac:dyDescent="0.2">
      <c r="A897" s="5" t="str">
        <f ca="1">IF(B897=" "," ",HYPERLINK(CONCATENATE("#metadata!",ADDRESS(INDEX($Y$2:$Y$1001,MATCH(ROWS($W$2:W897),$W$2:$W$1001,0),0),1)),INDEX($AB$2:$AB$1001,MATCH(ROWS($W$2:W897),$W$2:$W$1001,0),0)))</f>
        <v xml:space="preserve"> </v>
      </c>
      <c r="B897" s="4" t="str">
        <f ca="1">IF(OR(INDEX($X$2:$X$1001,MATCH(ROWS($W$2:W897),$W$2:$W$1001,0),1)&gt;=100000,INDEX($AD$1005:$AU$1005,1,MATCH(COLUMNS($AD$1006:AD1006),$AD$1006:$AU$1006,0))&gt;=100000), " ",IF(INDEX($AD$2:$AU$1001,MATCH(ROWS($W$2:W897),$W$2:$W$1001,0),MATCH(COLUMNS($AD$1006:AD1006),$AD$1006:$AU$1006,0)), HYPERLINK("#",""), HYPERLINK(CONCATENATE("#metadata!", ADDRESS(INDEX($Y$2:$Y$1001,MATCH(ROWS($W$2:W897),$W$2:$W$1001,0),0), INDEX($AD$1004:$AU$1004,1,MATCH(COLUMNS($AD$1006:AD1006),$AD$1006:$AU$1006,0)))),"Fix")))</f>
        <v xml:space="preserve"> </v>
      </c>
      <c r="C897" s="4" t="str">
        <f ca="1">IF(OR(INDEX($X$2:$X$1001,MATCH(ROWS($W$2:W897),$W$2:$W$1001,0),1)&gt;=100000,INDEX($AD$1005:$AU$1005,1,MATCH(COLUMNS($AD$1006:AE1006),$AD$1006:$AU$1006,0))&gt;=100000), " ",IF(INDEX($AD$2:$AU$1001,MATCH(ROWS($W$2:W897),$W$2:$W$1001,0),MATCH(COLUMNS($AD$1006:AE1006),$AD$1006:$AU$1006,0)), HYPERLINK("#",""), HYPERLINK(CONCATENATE("#metadata!", ADDRESS(INDEX($Y$2:$Y$1001,MATCH(ROWS($W$2:W897),$W$2:$W$1001,0),0), INDEX($AD$1004:$AU$1004,1,MATCH(COLUMNS($AD$1006:AE1006),$AD$1006:$AU$1006,0)))),"Fix")))</f>
        <v xml:space="preserve"> </v>
      </c>
      <c r="D897" s="4" t="str">
        <f ca="1">IF(OR(INDEX($X$2:$X$1001,MATCH(ROWS($W$2:W897),$W$2:$W$1001,0),1)&gt;=100000,INDEX($AD$1005:$AU$1005,1,MATCH(COLUMNS($AD$1006:AF1006),$AD$1006:$AU$1006,0))&gt;=100000), " ",IF(INDEX($AD$2:$AU$1001,MATCH(ROWS($W$2:W897),$W$2:$W$1001,0),MATCH(COLUMNS($AD$1006:AF1006),$AD$1006:$AU$1006,0)), HYPERLINK("#",""), HYPERLINK(CONCATENATE("#metadata!", ADDRESS(INDEX($Y$2:$Y$1001,MATCH(ROWS($W$2:W897),$W$2:$W$1001,0),0), INDEX($AD$1004:$AU$1004,1,MATCH(COLUMNS($AD$1006:AF1006),$AD$1006:$AU$1006,0)))),"Fix")))</f>
        <v xml:space="preserve"> </v>
      </c>
      <c r="E897" s="4" t="str">
        <f ca="1">IF(OR(INDEX($X$2:$X$1001,MATCH(ROWS($W$2:W897),$W$2:$W$1001,0),1)&gt;=100000,INDEX($AD$1005:$AU$1005,1,MATCH(COLUMNS($AD$1006:AG1006),$AD$1006:$AU$1006,0))&gt;=100000), " ",IF(INDEX($AD$2:$AU$1001,MATCH(ROWS($W$2:W897),$W$2:$W$1001,0),MATCH(COLUMNS($AD$1006:AG1006),$AD$1006:$AU$1006,0)), HYPERLINK("#",""), HYPERLINK(CONCATENATE("#metadata!", ADDRESS(INDEX($Y$2:$Y$1001,MATCH(ROWS($W$2:W897),$W$2:$W$1001,0),0), INDEX($AD$1004:$AU$1004,1,MATCH(COLUMNS($AD$1006:AG1006),$AD$1006:$AU$1006,0)))),"Fix")))</f>
        <v xml:space="preserve"> </v>
      </c>
      <c r="F897" s="4" t="str">
        <f ca="1">IF(OR(INDEX($X$2:$X$1001,MATCH(ROWS($W$2:W897),$W$2:$W$1001,0),1)&gt;=100000,INDEX($AD$1005:$AU$1005,1,MATCH(COLUMNS($AD$1006:AH1006),$AD$1006:$AU$1006,0))&gt;=100000), " ",IF(INDEX($AD$2:$AU$1001,MATCH(ROWS($W$2:W897),$W$2:$W$1001,0),MATCH(COLUMNS($AD$1006:AH1006),$AD$1006:$AU$1006,0)), HYPERLINK("#",""), HYPERLINK(CONCATENATE("#metadata!", ADDRESS(INDEX($Y$2:$Y$1001,MATCH(ROWS($W$2:W897),$W$2:$W$1001,0),0), INDEX($AD$1004:$AU$1004,1,MATCH(COLUMNS($AD$1006:AH1006),$AD$1006:$AU$1006,0)))),"Fix")))</f>
        <v xml:space="preserve"> </v>
      </c>
      <c r="G897" s="4" t="str">
        <f ca="1">IF(OR(INDEX($X$2:$X$1001,MATCH(ROWS($W$2:W897),$W$2:$W$1001,0),1)&gt;=100000,INDEX($AD$1005:$AU$1005,1,MATCH(COLUMNS($AD$1006:AI1006),$AD$1006:$AU$1006,0))&gt;=100000), " ",IF(INDEX($AD$2:$AU$1001,MATCH(ROWS($W$2:W897),$W$2:$W$1001,0),MATCH(COLUMNS($AD$1006:AI1006),$AD$1006:$AU$1006,0)), HYPERLINK("#",""), HYPERLINK(CONCATENATE("#metadata!", ADDRESS(INDEX($Y$2:$Y$1001,MATCH(ROWS($W$2:W897),$W$2:$W$1001,0),0), INDEX($AD$1004:$AU$1004,1,MATCH(COLUMNS($AD$1006:AI1006),$AD$1006:$AU$1006,0)))),"Fix")))</f>
        <v xml:space="preserve"> </v>
      </c>
      <c r="H897" s="4" t="str">
        <f ca="1">IF(OR(INDEX($X$2:$X$1001,MATCH(ROWS($W$2:W897),$W$2:$W$1001,0),1)&gt;=100000,INDEX($AD$1005:$AU$1005,1,MATCH(COLUMNS($AD$1006:AJ1006),$AD$1006:$AU$1006,0))&gt;=100000), " ",IF(INDEX($AD$2:$AU$1001,MATCH(ROWS($W$2:W897),$W$2:$W$1001,0),MATCH(COLUMNS($AD$1006:AJ1006),$AD$1006:$AU$1006,0)), HYPERLINK("#",""), HYPERLINK(CONCATENATE("#metadata!", ADDRESS(INDEX($Y$2:$Y$1001,MATCH(ROWS($W$2:W897),$W$2:$W$1001,0),0), INDEX($AD$1004:$AU$1004,1,MATCH(COLUMNS($AD$1006:AJ1006),$AD$1006:$AU$1006,0)))),"Fix")))</f>
        <v xml:space="preserve"> </v>
      </c>
      <c r="I897" s="4" t="str">
        <f ca="1">IF(OR(INDEX($X$2:$X$1001,MATCH(ROWS($W$2:W897),$W$2:$W$1001,0),1)&gt;=100000,INDEX($AD$1005:$AU$1005,1,MATCH(COLUMNS($AD$1006:AK1006),$AD$1006:$AU$1006,0))&gt;=100000), " ",IF(INDEX($AD$2:$AU$1001,MATCH(ROWS($W$2:W897),$W$2:$W$1001,0),MATCH(COLUMNS($AD$1006:AK1006),$AD$1006:$AU$1006,0)), HYPERLINK("#",""), HYPERLINK(CONCATENATE("#metadata!", ADDRESS(INDEX($Y$2:$Y$1001,MATCH(ROWS($W$2:W897),$W$2:$W$1001,0),0), INDEX($AD$1004:$AU$1004,1,MATCH(COLUMNS($AD$1006:AK1006),$AD$1006:$AU$1006,0)))),"Fix")))</f>
        <v xml:space="preserve"> </v>
      </c>
      <c r="J897" s="4" t="str">
        <f ca="1">IF(OR(INDEX($X$2:$X$1001,MATCH(ROWS($W$2:W897),$W$2:$W$1001,0),1)&gt;=100000,INDEX($AD$1005:$AU$1005,1,MATCH(COLUMNS($AD$1006:AL1006),$AD$1006:$AU$1006,0))&gt;=100000), " ",IF(INDEX($AD$2:$AU$1001,MATCH(ROWS($W$2:W897),$W$2:$W$1001,0),MATCH(COLUMNS($AD$1006:AL1006),$AD$1006:$AU$1006,0)), HYPERLINK("#",""), HYPERLINK(CONCATENATE("#metadata!", ADDRESS(INDEX($Y$2:$Y$1001,MATCH(ROWS($W$2:W897),$W$2:$W$1001,0),0), INDEX($AD$1004:$AU$1004,1,MATCH(COLUMNS($AD$1006:AL1006),$AD$1006:$AU$1006,0)))),"Fix")))</f>
        <v xml:space="preserve"> </v>
      </c>
      <c r="K897" s="4" t="str">
        <f ca="1">IF(OR(INDEX($X$2:$X$1001,MATCH(ROWS($W$2:W897),$W$2:$W$1001,0),1)&gt;=100000,INDEX($AD$1005:$AU$1005,1,MATCH(COLUMNS($AD$1006:AM1006),$AD$1006:$AU$1006,0))&gt;=100000), " ",IF(INDEX($AD$2:$AU$1001,MATCH(ROWS($W$2:W897),$W$2:$W$1001,0),MATCH(COLUMNS($AD$1006:AM1006),$AD$1006:$AU$1006,0)), HYPERLINK("#",""), HYPERLINK(CONCATENATE("#metadata!", ADDRESS(INDEX($Y$2:$Y$1001,MATCH(ROWS($W$2:W897),$W$2:$W$1001,0),0), INDEX($AD$1004:$AU$1004,1,MATCH(COLUMNS($AD$1006:AM1006),$AD$1006:$AU$1006,0)))),"Fix")))</f>
        <v xml:space="preserve"> </v>
      </c>
      <c r="L897" s="4" t="str">
        <f ca="1">IF(OR(INDEX($X$2:$X$1001,MATCH(ROWS($W$2:W897),$W$2:$W$1001,0),1)&gt;=100000,INDEX($AD$1005:$AU$1005,1,MATCH(COLUMNS($AD$1006:AN1006),$AD$1006:$AU$1006,0))&gt;=100000), " ",IF(INDEX($AD$2:$AU$1001,MATCH(ROWS($W$2:W897),$W$2:$W$1001,0),MATCH(COLUMNS($AD$1006:AN1006),$AD$1006:$AU$1006,0)), HYPERLINK("#",""), HYPERLINK(CONCATENATE("#metadata!", ADDRESS(INDEX($Y$2:$Y$1001,MATCH(ROWS($W$2:W897),$W$2:$W$1001,0),0), INDEX($AD$1004:$AU$1004,1,MATCH(COLUMNS($AD$1006:AN1006),$AD$1006:$AU$1006,0)))),"Fix")))</f>
        <v xml:space="preserve"> </v>
      </c>
      <c r="M897" s="4" t="str">
        <f ca="1">IF(OR(INDEX($X$2:$X$1001,MATCH(ROWS($W$2:W897),$W$2:$W$1001,0),1)&gt;=100000,INDEX($AD$1005:$AU$1005,1,MATCH(COLUMNS($AD$1006:AO1006),$AD$1006:$AU$1006,0))&gt;=100000), " ",IF(INDEX($AD$2:$AU$1001,MATCH(ROWS($W$2:W897),$W$2:$W$1001,0),MATCH(COLUMNS($AD$1006:AO1006),$AD$1006:$AU$1006,0)), HYPERLINK("#",""), HYPERLINK(CONCATENATE("#metadata!", ADDRESS(INDEX($Y$2:$Y$1001,MATCH(ROWS($W$2:W897),$W$2:$W$1001,0),0), INDEX($AD$1004:$AU$1004,1,MATCH(COLUMNS($AD$1006:AO1006),$AD$1006:$AU$1006,0)))),"Fix")))</f>
        <v xml:space="preserve"> </v>
      </c>
      <c r="N897" s="4" t="str">
        <f ca="1">IF(OR(INDEX($X$2:$X$1001,MATCH(ROWS($W$2:W897),$W$2:$W$1001,0),1)&gt;=100000,INDEX($AD$1005:$AU$1005,1,MATCH(COLUMNS($AD$1006:AP1006),$AD$1006:$AU$1006,0))&gt;=100000), " ",IF(INDEX($AD$2:$AU$1001,MATCH(ROWS($W$2:W897),$W$2:$W$1001,0),MATCH(COLUMNS($AD$1006:AP1006),$AD$1006:$AU$1006,0)), HYPERLINK("#",""), HYPERLINK(CONCATENATE("#metadata!", ADDRESS(INDEX($Y$2:$Y$1001,MATCH(ROWS($W$2:W897),$W$2:$W$1001,0),0), INDEX($AD$1004:$AU$1004,1,MATCH(COLUMNS($AD$1006:AP1006),$AD$1006:$AU$1006,0)))),"Fix")))</f>
        <v xml:space="preserve"> </v>
      </c>
      <c r="O897" s="4" t="str">
        <f ca="1">IF(OR(INDEX($X$2:$X$1001,MATCH(ROWS($W$2:W897),$W$2:$W$1001,0),1)&gt;=100000,INDEX($AD$1005:$AU$1005,1,MATCH(COLUMNS($AD$1006:AQ1006),$AD$1006:$AU$1006,0))&gt;=100000), " ",IF(INDEX($AD$2:$AU$1001,MATCH(ROWS($W$2:W897),$W$2:$W$1001,0),MATCH(COLUMNS($AD$1006:AQ1006),$AD$1006:$AU$1006,0)), HYPERLINK("#",""), HYPERLINK(CONCATENATE("#metadata!", ADDRESS(INDEX($Y$2:$Y$1001,MATCH(ROWS($W$2:W897),$W$2:$W$1001,0),0), INDEX($AD$1004:$AU$1004,1,MATCH(COLUMNS($AD$1006:AQ1006),$AD$1006:$AU$1006,0)))),"Fix")))</f>
        <v xml:space="preserve"> </v>
      </c>
      <c r="P897" s="4" t="str">
        <f ca="1">IF(OR(INDEX($X$2:$X$1001,MATCH(ROWS($W$2:W897),$W$2:$W$1001,0),1)&gt;=100000,INDEX($AD$1005:$AU$1005,1,MATCH(COLUMNS($AD$1006:AR1006),$AD$1006:$AU$1006,0))&gt;=100000), " ",IF(INDEX($AD$2:$AU$1001,MATCH(ROWS($W$2:W897),$W$2:$W$1001,0),MATCH(COLUMNS($AD$1006:AR1006),$AD$1006:$AU$1006,0)), HYPERLINK("#",""), HYPERLINK(CONCATENATE("#metadata!", ADDRESS(INDEX($Y$2:$Y$1001,MATCH(ROWS($W$2:W897),$W$2:$W$1001,0),0), INDEX($AD$1004:$AU$1004,1,MATCH(COLUMNS($AD$1006:AR1006),$AD$1006:$AU$1006,0)))),"Fix")))</f>
        <v xml:space="preserve"> </v>
      </c>
      <c r="Q897" s="4" t="str">
        <f ca="1">IF(OR(INDEX($X$2:$X$1001,MATCH(ROWS($W$2:W897),$W$2:$W$1001,0),1)&gt;=100000,INDEX($AD$1005:$AU$1005,1,MATCH(COLUMNS($AD$1006:AS1006),$AD$1006:$AU$1006,0))&gt;=100000), " ",IF(INDEX($AD$2:$AU$1001,MATCH(ROWS($W$2:W897),$W$2:$W$1001,0),MATCH(COLUMNS($AD$1006:AS1006),$AD$1006:$AU$1006,0)), HYPERLINK("#",""), HYPERLINK(CONCATENATE("#metadata!", ADDRESS(INDEX($Y$2:$Y$1001,MATCH(ROWS($W$2:W897),$W$2:$W$1001,0),0), INDEX($AD$1004:$AU$1004,1,MATCH(COLUMNS($AD$1006:AS1006),$AD$1006:$AU$1006,0)))),"Fix")))</f>
        <v xml:space="preserve"> </v>
      </c>
      <c r="R897" s="4" t="str">
        <f ca="1">IF(OR(INDEX($X$2:$X$1001,MATCH(ROWS($W$2:W897),$W$2:$W$1001,0),1)&gt;=100000,INDEX($AD$1005:$AU$1005,1,MATCH(COLUMNS($AD$1006:AT1006),$AD$1006:$AU$1006,0))&gt;=100000), " ",IF(INDEX($AD$2:$AU$1001,MATCH(ROWS($W$2:W897),$W$2:$W$1001,0),MATCH(COLUMNS($AD$1006:AT1006),$AD$1006:$AU$1006,0)), HYPERLINK("#",""), HYPERLINK(CONCATENATE("#metadata!", ADDRESS(INDEX($Y$2:$Y$1001,MATCH(ROWS($W$2:W897),$W$2:$W$1001,0),0), INDEX($AD$1004:$AU$1004,1,MATCH(COLUMNS($AD$1006:AT1006),$AD$1006:$AU$1006,0)))),"Fix")))</f>
        <v xml:space="preserve"> </v>
      </c>
      <c r="S897" s="4" t="str">
        <f ca="1">IF(OR(INDEX($X$2:$X$1001,MATCH(ROWS($W$2:W897),$W$2:$W$1001,0),1)&gt;=100000,INDEX($AD$1005:$AU$1005,1,MATCH(COLUMNS($AD$1006:AU1006),$AD$1006:$AU$1006,0))&gt;=100000), " ",IF(INDEX($AD$2:$AU$1001,MATCH(ROWS($W$2:W897),$W$2:$W$1001,0),MATCH(COLUMNS($AD$1006:AU1006),$AD$1006:$AU$1006,0)), HYPERLINK("#",""), HYPERLINK(CONCATENATE("#metadata!", ADDRESS(INDEX($Y$2:$Y$1001,MATCH(ROWS($W$2:W897),$W$2:$W$1001,0),0), INDEX($AD$1004:$AU$1004,1,MATCH(COLUMNS($AD$1006:AU1006),$AD$1006:$AU$1006,0)))),"Fix")))</f>
        <v xml:space="preserve"> </v>
      </c>
      <c r="W897">
        <v>896</v>
      </c>
      <c r="X897">
        <v>100897</v>
      </c>
      <c r="Y897">
        <v>897</v>
      </c>
      <c r="Z897" t="b">
        <f t="shared" si="13"/>
        <v>1</v>
      </c>
      <c r="AA897" t="b">
        <f>COUNTBLANK(metadata!B897:S897)=COLUMNS(metadata!B897:S897)</f>
        <v>1</v>
      </c>
      <c r="AB897" t="str">
        <v/>
      </c>
      <c r="AD897" t="b">
        <f ca="1">AND(IF(metadata!B897="",FALSE,TRUE),COUNTIF(metadata!B:B, metadata!B897) = 1,NOT(ISERROR(SUMPRODUCT(SEARCH(MID(metadata!B897,ROW(INDIRECT("1:"&amp;LEN(metadata!B897))), 1),"0123456789abcdefghijklmnopqrstuvwxyzABCDEFGHIJKLMNOPQRSTUVWXYZ.")))))</f>
        <v>0</v>
      </c>
      <c r="AE897" t="b">
        <f>OR(AND(IF(metadata!C897="",FALSE,TRUE),OR(EXACT(metadata!C897,"not applicable"),EXACT(metadata!C897,"missing: not collected"),EXACT(metadata!C897,"missing: not provided"),EXACT(metadata!C897,"missing: restricted access"))),AND(IF(metadata!C897="",FALSE,ISNUMBER(VALUE(metadata!C897))),metadata!C897&gt;0))</f>
        <v>0</v>
      </c>
      <c r="AF897" t="b">
        <f>AND(IF(metadata!D897="",FALSE,TRUE),EXACT(metadata!D897,"missing: not provided"))</f>
        <v>0</v>
      </c>
      <c r="AG897" t="b">
        <f>AND(IF(metadata!E897="",FALSE,TRUE),EXACT(metadata!E897,"Host-associated"))</f>
        <v>0</v>
      </c>
      <c r="AH897" t="b">
        <f>AND(IF(metadata!F897="",FALSE,TRUE),OR(EXACT(metadata!F897,"Animal"),EXACT(metadata!F897,"Fungus"),EXACT(metadata!F897,"Plant")))</f>
        <v>0</v>
      </c>
      <c r="AI897" t="b">
        <f>AND(IF(metadata!G897="",FALSE,TRUE),OR(EXACT(metadata!G897,"Plant secretion"),EXACT(metadata!G897,"Plant rhizosphere"),EXACT(metadata!G897,"Plant surface"),EXACT(metadata!G897,"Plant corpus"),EXACT(metadata!G897,"Fungus surface"),EXACT(metadata!G897,"Fungus corpus"),EXACT(metadata!G897,"Animal surface"),EXACT(metadata!G897,"Animal proximal gut"),EXACT(metadata!G897,"Animal corpus"),EXACT(metadata!G897,"Animal distal gut"),EXACT(metadata!G897,"Animal secretion")))</f>
        <v>0</v>
      </c>
      <c r="AJ897" t="b">
        <f>OR(AND(IF(metadata!H897="",FALSE,TRUE),OR(EXACT(metadata!H897,"missing: not collected"),EXACT(metadata!H897,"missing: not provided"),EXACT(metadata!H897,"missing: restricted access"))),AND(IF(metadata!H897="",FALSE,TRUE),OR(EXACT(metadata!H897,"organism-associated habitat"),EXACT(metadata!H897,"plant-associated habitat"),EXACT(metadata!H897,"animal-associated habitat"),EXACT(metadata!H897,"insecta-associated habitat"),EXACT(metadata!H897,"mammalia-associated habitat"),EXACT(metadata!H897,"human-associated habitat"),EXACT(metadata!H897,"livestock-associated habitat"))))</f>
        <v>0</v>
      </c>
      <c r="AK897" t="b">
        <f>AND(IF(metadata!I897="",FALSE,TRUE),EXACT(metadata!I897,"host-associated"))</f>
        <v>0</v>
      </c>
      <c r="AL897" t="b">
        <f>OR(AND(IF(metadata!J897="",FALSE,TRUE),OR(EXACT(metadata!J897,"not applicable"),EXACT(metadata!J897,"missing: not collected"),EXACT(metadata!J897,"missing: not provided"),EXACT(metadata!J897,"missing: restricted access"))),AND(IF(metadata!J897="",FALSE,ISNUMBER(VALUE(metadata!J897))),metadata!J897&gt;0))</f>
        <v>0</v>
      </c>
      <c r="AM897" t="b">
        <f>AND(IF(metadata!K897="",FALSE,TRUE),EXACT(metadata!K897,"missing: not provided"))</f>
        <v>0</v>
      </c>
      <c r="AN897" t="b">
        <f>IF(metadata!L897="",FALSE,TRUE)</f>
        <v>0</v>
      </c>
      <c r="AO897" t="b">
        <f>IF(metadata!M897="",FALSE,TRUE)</f>
        <v>0</v>
      </c>
      <c r="AP897" t="b">
        <f>OR(AND(IF(metadata!N897="",FALSE,TRUE),OR(EXACT(metadata!N897,"not applicable"),EXACT(metadata!N897,"missing: not collected"),EXACT(metadata!N897,"missing: not provided"))),AND(IF(metadata!N897="",FALSE,IF(ISERROR(INT(metadata!N897)),FALSE,INT(metadata!N897)=metadata!N897)),metadata!N897&gt;0))</f>
        <v>0</v>
      </c>
      <c r="AQ897" t="b">
        <f>AND(IF(metadata!O897="",FALSE,TRUE),EXACT(metadata!O897,"Not applicable"))</f>
        <v>0</v>
      </c>
      <c r="AR897" t="b">
        <f>OR(AND(IF(metadata!P897="",FALSE,TRUE),OR(EXACT(metadata!P897,"not applicable"),EXACT(metadata!P897,"missing: not collected"),EXACT(metadata!P897,"missing: not provided"),EXACT(metadata!P897,"missing: restricted access"))),IF(metadata!P897="",FALSE,IF(ISERROR(INT(metadata!P897)),FALSE,INT(metadata!P897)=metadata!P897)))</f>
        <v>0</v>
      </c>
      <c r="AS897" t="b">
        <f>AND(IF(metadata!Q897="",FALSE,TRUE),EXACT(metadata!Q897,"Not applicable"))</f>
        <v>0</v>
      </c>
      <c r="AT897" t="b">
        <f>OR(AND(IF(metadata!R897="",FALSE,TRUE),OR(EXACT(metadata!R897,"not applicable"),EXACT(metadata!R897,"missing: not collected"),EXACT(metadata!R897,"missing: not provided"),EXACT(metadata!R897,"missing: restricted access"))),AND(IF(metadata!R897="",FALSE,ISNUMBER(VALUE(metadata!R897))),metadata!R897&gt;0))</f>
        <v>0</v>
      </c>
      <c r="AU897" t="b">
        <f>AND(IF(metadata!S897="",FALSE,TRUE),EXACT(metadata!S897,"missing: not provided"))</f>
        <v>0</v>
      </c>
    </row>
    <row r="898" spans="1:47" x14ac:dyDescent="0.2">
      <c r="A898" s="5" t="str">
        <f ca="1">IF(B898=" "," ",HYPERLINK(CONCATENATE("#metadata!",ADDRESS(INDEX($Y$2:$Y$1001,MATCH(ROWS($W$2:W898),$W$2:$W$1001,0),0),1)),INDEX($AB$2:$AB$1001,MATCH(ROWS($W$2:W898),$W$2:$W$1001,0),0)))</f>
        <v xml:space="preserve"> </v>
      </c>
      <c r="B898" s="4" t="str">
        <f ca="1">IF(OR(INDEX($X$2:$X$1001,MATCH(ROWS($W$2:W898),$W$2:$W$1001,0),1)&gt;=100000,INDEX($AD$1005:$AU$1005,1,MATCH(COLUMNS($AD$1006:AD1006),$AD$1006:$AU$1006,0))&gt;=100000), " ",IF(INDEX($AD$2:$AU$1001,MATCH(ROWS($W$2:W898),$W$2:$W$1001,0),MATCH(COLUMNS($AD$1006:AD1006),$AD$1006:$AU$1006,0)), HYPERLINK("#",""), HYPERLINK(CONCATENATE("#metadata!", ADDRESS(INDEX($Y$2:$Y$1001,MATCH(ROWS($W$2:W898),$W$2:$W$1001,0),0), INDEX($AD$1004:$AU$1004,1,MATCH(COLUMNS($AD$1006:AD1006),$AD$1006:$AU$1006,0)))),"Fix")))</f>
        <v xml:space="preserve"> </v>
      </c>
      <c r="C898" s="4" t="str">
        <f ca="1">IF(OR(INDEX($X$2:$X$1001,MATCH(ROWS($W$2:W898),$W$2:$W$1001,0),1)&gt;=100000,INDEX($AD$1005:$AU$1005,1,MATCH(COLUMNS($AD$1006:AE1006),$AD$1006:$AU$1006,0))&gt;=100000), " ",IF(INDEX($AD$2:$AU$1001,MATCH(ROWS($W$2:W898),$W$2:$W$1001,0),MATCH(COLUMNS($AD$1006:AE1006),$AD$1006:$AU$1006,0)), HYPERLINK("#",""), HYPERLINK(CONCATENATE("#metadata!", ADDRESS(INDEX($Y$2:$Y$1001,MATCH(ROWS($W$2:W898),$W$2:$W$1001,0),0), INDEX($AD$1004:$AU$1004,1,MATCH(COLUMNS($AD$1006:AE1006),$AD$1006:$AU$1006,0)))),"Fix")))</f>
        <v xml:space="preserve"> </v>
      </c>
      <c r="D898" s="4" t="str">
        <f ca="1">IF(OR(INDEX($X$2:$X$1001,MATCH(ROWS($W$2:W898),$W$2:$W$1001,0),1)&gt;=100000,INDEX($AD$1005:$AU$1005,1,MATCH(COLUMNS($AD$1006:AF1006),$AD$1006:$AU$1006,0))&gt;=100000), " ",IF(INDEX($AD$2:$AU$1001,MATCH(ROWS($W$2:W898),$W$2:$W$1001,0),MATCH(COLUMNS($AD$1006:AF1006),$AD$1006:$AU$1006,0)), HYPERLINK("#",""), HYPERLINK(CONCATENATE("#metadata!", ADDRESS(INDEX($Y$2:$Y$1001,MATCH(ROWS($W$2:W898),$W$2:$W$1001,0),0), INDEX($AD$1004:$AU$1004,1,MATCH(COLUMNS($AD$1006:AF1006),$AD$1006:$AU$1006,0)))),"Fix")))</f>
        <v xml:space="preserve"> </v>
      </c>
      <c r="E898" s="4" t="str">
        <f ca="1">IF(OR(INDEX($X$2:$X$1001,MATCH(ROWS($W$2:W898),$W$2:$W$1001,0),1)&gt;=100000,INDEX($AD$1005:$AU$1005,1,MATCH(COLUMNS($AD$1006:AG1006),$AD$1006:$AU$1006,0))&gt;=100000), " ",IF(INDEX($AD$2:$AU$1001,MATCH(ROWS($W$2:W898),$W$2:$W$1001,0),MATCH(COLUMNS($AD$1006:AG1006),$AD$1006:$AU$1006,0)), HYPERLINK("#",""), HYPERLINK(CONCATENATE("#metadata!", ADDRESS(INDEX($Y$2:$Y$1001,MATCH(ROWS($W$2:W898),$W$2:$W$1001,0),0), INDEX($AD$1004:$AU$1004,1,MATCH(COLUMNS($AD$1006:AG1006),$AD$1006:$AU$1006,0)))),"Fix")))</f>
        <v xml:space="preserve"> </v>
      </c>
      <c r="F898" s="4" t="str">
        <f ca="1">IF(OR(INDEX($X$2:$X$1001,MATCH(ROWS($W$2:W898),$W$2:$W$1001,0),1)&gt;=100000,INDEX($AD$1005:$AU$1005,1,MATCH(COLUMNS($AD$1006:AH1006),$AD$1006:$AU$1006,0))&gt;=100000), " ",IF(INDEX($AD$2:$AU$1001,MATCH(ROWS($W$2:W898),$W$2:$W$1001,0),MATCH(COLUMNS($AD$1006:AH1006),$AD$1006:$AU$1006,0)), HYPERLINK("#",""), HYPERLINK(CONCATENATE("#metadata!", ADDRESS(INDEX($Y$2:$Y$1001,MATCH(ROWS($W$2:W898),$W$2:$W$1001,0),0), INDEX($AD$1004:$AU$1004,1,MATCH(COLUMNS($AD$1006:AH1006),$AD$1006:$AU$1006,0)))),"Fix")))</f>
        <v xml:space="preserve"> </v>
      </c>
      <c r="G898" s="4" t="str">
        <f ca="1">IF(OR(INDEX($X$2:$X$1001,MATCH(ROWS($W$2:W898),$W$2:$W$1001,0),1)&gt;=100000,INDEX($AD$1005:$AU$1005,1,MATCH(COLUMNS($AD$1006:AI1006),$AD$1006:$AU$1006,0))&gt;=100000), " ",IF(INDEX($AD$2:$AU$1001,MATCH(ROWS($W$2:W898),$W$2:$W$1001,0),MATCH(COLUMNS($AD$1006:AI1006),$AD$1006:$AU$1006,0)), HYPERLINK("#",""), HYPERLINK(CONCATENATE("#metadata!", ADDRESS(INDEX($Y$2:$Y$1001,MATCH(ROWS($W$2:W898),$W$2:$W$1001,0),0), INDEX($AD$1004:$AU$1004,1,MATCH(COLUMNS($AD$1006:AI1006),$AD$1006:$AU$1006,0)))),"Fix")))</f>
        <v xml:space="preserve"> </v>
      </c>
      <c r="H898" s="4" t="str">
        <f ca="1">IF(OR(INDEX($X$2:$X$1001,MATCH(ROWS($W$2:W898),$W$2:$W$1001,0),1)&gt;=100000,INDEX($AD$1005:$AU$1005,1,MATCH(COLUMNS($AD$1006:AJ1006),$AD$1006:$AU$1006,0))&gt;=100000), " ",IF(INDEX($AD$2:$AU$1001,MATCH(ROWS($W$2:W898),$W$2:$W$1001,0),MATCH(COLUMNS($AD$1006:AJ1006),$AD$1006:$AU$1006,0)), HYPERLINK("#",""), HYPERLINK(CONCATENATE("#metadata!", ADDRESS(INDEX($Y$2:$Y$1001,MATCH(ROWS($W$2:W898),$W$2:$W$1001,0),0), INDEX($AD$1004:$AU$1004,1,MATCH(COLUMNS($AD$1006:AJ1006),$AD$1006:$AU$1006,0)))),"Fix")))</f>
        <v xml:space="preserve"> </v>
      </c>
      <c r="I898" s="4" t="str">
        <f ca="1">IF(OR(INDEX($X$2:$X$1001,MATCH(ROWS($W$2:W898),$W$2:$W$1001,0),1)&gt;=100000,INDEX($AD$1005:$AU$1005,1,MATCH(COLUMNS($AD$1006:AK1006),$AD$1006:$AU$1006,0))&gt;=100000), " ",IF(INDEX($AD$2:$AU$1001,MATCH(ROWS($W$2:W898),$W$2:$W$1001,0),MATCH(COLUMNS($AD$1006:AK1006),$AD$1006:$AU$1006,0)), HYPERLINK("#",""), HYPERLINK(CONCATENATE("#metadata!", ADDRESS(INDEX($Y$2:$Y$1001,MATCH(ROWS($W$2:W898),$W$2:$W$1001,0),0), INDEX($AD$1004:$AU$1004,1,MATCH(COLUMNS($AD$1006:AK1006),$AD$1006:$AU$1006,0)))),"Fix")))</f>
        <v xml:space="preserve"> </v>
      </c>
      <c r="J898" s="4" t="str">
        <f ca="1">IF(OR(INDEX($X$2:$X$1001,MATCH(ROWS($W$2:W898),$W$2:$W$1001,0),1)&gt;=100000,INDEX($AD$1005:$AU$1005,1,MATCH(COLUMNS($AD$1006:AL1006),$AD$1006:$AU$1006,0))&gt;=100000), " ",IF(INDEX($AD$2:$AU$1001,MATCH(ROWS($W$2:W898),$W$2:$W$1001,0),MATCH(COLUMNS($AD$1006:AL1006),$AD$1006:$AU$1006,0)), HYPERLINK("#",""), HYPERLINK(CONCATENATE("#metadata!", ADDRESS(INDEX($Y$2:$Y$1001,MATCH(ROWS($W$2:W898),$W$2:$W$1001,0),0), INDEX($AD$1004:$AU$1004,1,MATCH(COLUMNS($AD$1006:AL1006),$AD$1006:$AU$1006,0)))),"Fix")))</f>
        <v xml:space="preserve"> </v>
      </c>
      <c r="K898" s="4" t="str">
        <f ca="1">IF(OR(INDEX($X$2:$X$1001,MATCH(ROWS($W$2:W898),$W$2:$W$1001,0),1)&gt;=100000,INDEX($AD$1005:$AU$1005,1,MATCH(COLUMNS($AD$1006:AM1006),$AD$1006:$AU$1006,0))&gt;=100000), " ",IF(INDEX($AD$2:$AU$1001,MATCH(ROWS($W$2:W898),$W$2:$W$1001,0),MATCH(COLUMNS($AD$1006:AM1006),$AD$1006:$AU$1006,0)), HYPERLINK("#",""), HYPERLINK(CONCATENATE("#metadata!", ADDRESS(INDEX($Y$2:$Y$1001,MATCH(ROWS($W$2:W898),$W$2:$W$1001,0),0), INDEX($AD$1004:$AU$1004,1,MATCH(COLUMNS($AD$1006:AM1006),$AD$1006:$AU$1006,0)))),"Fix")))</f>
        <v xml:space="preserve"> </v>
      </c>
      <c r="L898" s="4" t="str">
        <f ca="1">IF(OR(INDEX($X$2:$X$1001,MATCH(ROWS($W$2:W898),$W$2:$W$1001,0),1)&gt;=100000,INDEX($AD$1005:$AU$1005,1,MATCH(COLUMNS($AD$1006:AN1006),$AD$1006:$AU$1006,0))&gt;=100000), " ",IF(INDEX($AD$2:$AU$1001,MATCH(ROWS($W$2:W898),$W$2:$W$1001,0),MATCH(COLUMNS($AD$1006:AN1006),$AD$1006:$AU$1006,0)), HYPERLINK("#",""), HYPERLINK(CONCATENATE("#metadata!", ADDRESS(INDEX($Y$2:$Y$1001,MATCH(ROWS($W$2:W898),$W$2:$W$1001,0),0), INDEX($AD$1004:$AU$1004,1,MATCH(COLUMNS($AD$1006:AN1006),$AD$1006:$AU$1006,0)))),"Fix")))</f>
        <v xml:space="preserve"> </v>
      </c>
      <c r="M898" s="4" t="str">
        <f ca="1">IF(OR(INDEX($X$2:$X$1001,MATCH(ROWS($W$2:W898),$W$2:$W$1001,0),1)&gt;=100000,INDEX($AD$1005:$AU$1005,1,MATCH(COLUMNS($AD$1006:AO1006),$AD$1006:$AU$1006,0))&gt;=100000), " ",IF(INDEX($AD$2:$AU$1001,MATCH(ROWS($W$2:W898),$W$2:$W$1001,0),MATCH(COLUMNS($AD$1006:AO1006),$AD$1006:$AU$1006,0)), HYPERLINK("#",""), HYPERLINK(CONCATENATE("#metadata!", ADDRESS(INDEX($Y$2:$Y$1001,MATCH(ROWS($W$2:W898),$W$2:$W$1001,0),0), INDEX($AD$1004:$AU$1004,1,MATCH(COLUMNS($AD$1006:AO1006),$AD$1006:$AU$1006,0)))),"Fix")))</f>
        <v xml:space="preserve"> </v>
      </c>
      <c r="N898" s="4" t="str">
        <f ca="1">IF(OR(INDEX($X$2:$X$1001,MATCH(ROWS($W$2:W898),$W$2:$W$1001,0),1)&gt;=100000,INDEX($AD$1005:$AU$1005,1,MATCH(COLUMNS($AD$1006:AP1006),$AD$1006:$AU$1006,0))&gt;=100000), " ",IF(INDEX($AD$2:$AU$1001,MATCH(ROWS($W$2:W898),$W$2:$W$1001,0),MATCH(COLUMNS($AD$1006:AP1006),$AD$1006:$AU$1006,0)), HYPERLINK("#",""), HYPERLINK(CONCATENATE("#metadata!", ADDRESS(INDEX($Y$2:$Y$1001,MATCH(ROWS($W$2:W898),$W$2:$W$1001,0),0), INDEX($AD$1004:$AU$1004,1,MATCH(COLUMNS($AD$1006:AP1006),$AD$1006:$AU$1006,0)))),"Fix")))</f>
        <v xml:space="preserve"> </v>
      </c>
      <c r="O898" s="4" t="str">
        <f ca="1">IF(OR(INDEX($X$2:$X$1001,MATCH(ROWS($W$2:W898),$W$2:$W$1001,0),1)&gt;=100000,INDEX($AD$1005:$AU$1005,1,MATCH(COLUMNS($AD$1006:AQ1006),$AD$1006:$AU$1006,0))&gt;=100000), " ",IF(INDEX($AD$2:$AU$1001,MATCH(ROWS($W$2:W898),$W$2:$W$1001,0),MATCH(COLUMNS($AD$1006:AQ1006),$AD$1006:$AU$1006,0)), HYPERLINK("#",""), HYPERLINK(CONCATENATE("#metadata!", ADDRESS(INDEX($Y$2:$Y$1001,MATCH(ROWS($W$2:W898),$W$2:$W$1001,0),0), INDEX($AD$1004:$AU$1004,1,MATCH(COLUMNS($AD$1006:AQ1006),$AD$1006:$AU$1006,0)))),"Fix")))</f>
        <v xml:space="preserve"> </v>
      </c>
      <c r="P898" s="4" t="str">
        <f ca="1">IF(OR(INDEX($X$2:$X$1001,MATCH(ROWS($W$2:W898),$W$2:$W$1001,0),1)&gt;=100000,INDEX($AD$1005:$AU$1005,1,MATCH(COLUMNS($AD$1006:AR1006),$AD$1006:$AU$1006,0))&gt;=100000), " ",IF(INDEX($AD$2:$AU$1001,MATCH(ROWS($W$2:W898),$W$2:$W$1001,0),MATCH(COLUMNS($AD$1006:AR1006),$AD$1006:$AU$1006,0)), HYPERLINK("#",""), HYPERLINK(CONCATENATE("#metadata!", ADDRESS(INDEX($Y$2:$Y$1001,MATCH(ROWS($W$2:W898),$W$2:$W$1001,0),0), INDEX($AD$1004:$AU$1004,1,MATCH(COLUMNS($AD$1006:AR1006),$AD$1006:$AU$1006,0)))),"Fix")))</f>
        <v xml:space="preserve"> </v>
      </c>
      <c r="Q898" s="4" t="str">
        <f ca="1">IF(OR(INDEX($X$2:$X$1001,MATCH(ROWS($W$2:W898),$W$2:$W$1001,0),1)&gt;=100000,INDEX($AD$1005:$AU$1005,1,MATCH(COLUMNS($AD$1006:AS1006),$AD$1006:$AU$1006,0))&gt;=100000), " ",IF(INDEX($AD$2:$AU$1001,MATCH(ROWS($W$2:W898),$W$2:$W$1001,0),MATCH(COLUMNS($AD$1006:AS1006),$AD$1006:$AU$1006,0)), HYPERLINK("#",""), HYPERLINK(CONCATENATE("#metadata!", ADDRESS(INDEX($Y$2:$Y$1001,MATCH(ROWS($W$2:W898),$W$2:$W$1001,0),0), INDEX($AD$1004:$AU$1004,1,MATCH(COLUMNS($AD$1006:AS1006),$AD$1006:$AU$1006,0)))),"Fix")))</f>
        <v xml:space="preserve"> </v>
      </c>
      <c r="R898" s="4" t="str">
        <f ca="1">IF(OR(INDEX($X$2:$X$1001,MATCH(ROWS($W$2:W898),$W$2:$W$1001,0),1)&gt;=100000,INDEX($AD$1005:$AU$1005,1,MATCH(COLUMNS($AD$1006:AT1006),$AD$1006:$AU$1006,0))&gt;=100000), " ",IF(INDEX($AD$2:$AU$1001,MATCH(ROWS($W$2:W898),$W$2:$W$1001,0),MATCH(COLUMNS($AD$1006:AT1006),$AD$1006:$AU$1006,0)), HYPERLINK("#",""), HYPERLINK(CONCATENATE("#metadata!", ADDRESS(INDEX($Y$2:$Y$1001,MATCH(ROWS($W$2:W898),$W$2:$W$1001,0),0), INDEX($AD$1004:$AU$1004,1,MATCH(COLUMNS($AD$1006:AT1006),$AD$1006:$AU$1006,0)))),"Fix")))</f>
        <v xml:space="preserve"> </v>
      </c>
      <c r="S898" s="4" t="str">
        <f ca="1">IF(OR(INDEX($X$2:$X$1001,MATCH(ROWS($W$2:W898),$W$2:$W$1001,0),1)&gt;=100000,INDEX($AD$1005:$AU$1005,1,MATCH(COLUMNS($AD$1006:AU1006),$AD$1006:$AU$1006,0))&gt;=100000), " ",IF(INDEX($AD$2:$AU$1001,MATCH(ROWS($W$2:W898),$W$2:$W$1001,0),MATCH(COLUMNS($AD$1006:AU1006),$AD$1006:$AU$1006,0)), HYPERLINK("#",""), HYPERLINK(CONCATENATE("#metadata!", ADDRESS(INDEX($Y$2:$Y$1001,MATCH(ROWS($W$2:W898),$W$2:$W$1001,0),0), INDEX($AD$1004:$AU$1004,1,MATCH(COLUMNS($AD$1006:AU1006),$AD$1006:$AU$1006,0)))),"Fix")))</f>
        <v xml:space="preserve"> </v>
      </c>
      <c r="W898">
        <v>897</v>
      </c>
      <c r="X898">
        <v>100898</v>
      </c>
      <c r="Y898">
        <v>898</v>
      </c>
      <c r="Z898" t="b">
        <f t="shared" ref="Z898:Z961" si="14">IF(AA898,TRUE,AND(AD898:AU898))</f>
        <v>1</v>
      </c>
      <c r="AA898" t="b">
        <f>COUNTBLANK(metadata!B898:S898)=COLUMNS(metadata!B898:S898)</f>
        <v>1</v>
      </c>
      <c r="AB898" t="str">
        <v/>
      </c>
      <c r="AD898" t="b">
        <f ca="1">AND(IF(metadata!B898="",FALSE,TRUE),COUNTIF(metadata!B:B, metadata!B898) = 1,NOT(ISERROR(SUMPRODUCT(SEARCH(MID(metadata!B898,ROW(INDIRECT("1:"&amp;LEN(metadata!B898))), 1),"0123456789abcdefghijklmnopqrstuvwxyzABCDEFGHIJKLMNOPQRSTUVWXYZ.")))))</f>
        <v>0</v>
      </c>
      <c r="AE898" t="b">
        <f>OR(AND(IF(metadata!C898="",FALSE,TRUE),OR(EXACT(metadata!C898,"not applicable"),EXACT(metadata!C898,"missing: not collected"),EXACT(metadata!C898,"missing: not provided"),EXACT(metadata!C898,"missing: restricted access"))),AND(IF(metadata!C898="",FALSE,ISNUMBER(VALUE(metadata!C898))),metadata!C898&gt;0))</f>
        <v>0</v>
      </c>
      <c r="AF898" t="b">
        <f>AND(IF(metadata!D898="",FALSE,TRUE),EXACT(metadata!D898,"missing: not provided"))</f>
        <v>0</v>
      </c>
      <c r="AG898" t="b">
        <f>AND(IF(metadata!E898="",FALSE,TRUE),EXACT(metadata!E898,"Host-associated"))</f>
        <v>0</v>
      </c>
      <c r="AH898" t="b">
        <f>AND(IF(metadata!F898="",FALSE,TRUE),OR(EXACT(metadata!F898,"Animal"),EXACT(metadata!F898,"Fungus"),EXACT(metadata!F898,"Plant")))</f>
        <v>0</v>
      </c>
      <c r="AI898" t="b">
        <f>AND(IF(metadata!G898="",FALSE,TRUE),OR(EXACT(metadata!G898,"Plant secretion"),EXACT(metadata!G898,"Plant rhizosphere"),EXACT(metadata!G898,"Plant surface"),EXACT(metadata!G898,"Plant corpus"),EXACT(metadata!G898,"Fungus surface"),EXACT(metadata!G898,"Fungus corpus"),EXACT(metadata!G898,"Animal surface"),EXACT(metadata!G898,"Animal proximal gut"),EXACT(metadata!G898,"Animal corpus"),EXACT(metadata!G898,"Animal distal gut"),EXACT(metadata!G898,"Animal secretion")))</f>
        <v>0</v>
      </c>
      <c r="AJ898" t="b">
        <f>OR(AND(IF(metadata!H898="",FALSE,TRUE),OR(EXACT(metadata!H898,"missing: not collected"),EXACT(metadata!H898,"missing: not provided"),EXACT(metadata!H898,"missing: restricted access"))),AND(IF(metadata!H898="",FALSE,TRUE),OR(EXACT(metadata!H898,"organism-associated habitat"),EXACT(metadata!H898,"plant-associated habitat"),EXACT(metadata!H898,"animal-associated habitat"),EXACT(metadata!H898,"insecta-associated habitat"),EXACT(metadata!H898,"mammalia-associated habitat"),EXACT(metadata!H898,"human-associated habitat"),EXACT(metadata!H898,"livestock-associated habitat"))))</f>
        <v>0</v>
      </c>
      <c r="AK898" t="b">
        <f>AND(IF(metadata!I898="",FALSE,TRUE),EXACT(metadata!I898,"host-associated"))</f>
        <v>0</v>
      </c>
      <c r="AL898" t="b">
        <f>OR(AND(IF(metadata!J898="",FALSE,TRUE),OR(EXACT(metadata!J898,"not applicable"),EXACT(metadata!J898,"missing: not collected"),EXACT(metadata!J898,"missing: not provided"),EXACT(metadata!J898,"missing: restricted access"))),AND(IF(metadata!J898="",FALSE,ISNUMBER(VALUE(metadata!J898))),metadata!J898&gt;0))</f>
        <v>0</v>
      </c>
      <c r="AM898" t="b">
        <f>AND(IF(metadata!K898="",FALSE,TRUE),EXACT(metadata!K898,"missing: not provided"))</f>
        <v>0</v>
      </c>
      <c r="AN898" t="b">
        <f>IF(metadata!L898="",FALSE,TRUE)</f>
        <v>0</v>
      </c>
      <c r="AO898" t="b">
        <f>IF(metadata!M898="",FALSE,TRUE)</f>
        <v>0</v>
      </c>
      <c r="AP898" t="b">
        <f>OR(AND(IF(metadata!N898="",FALSE,TRUE),OR(EXACT(metadata!N898,"not applicable"),EXACT(metadata!N898,"missing: not collected"),EXACT(metadata!N898,"missing: not provided"))),AND(IF(metadata!N898="",FALSE,IF(ISERROR(INT(metadata!N898)),FALSE,INT(metadata!N898)=metadata!N898)),metadata!N898&gt;0))</f>
        <v>0</v>
      </c>
      <c r="AQ898" t="b">
        <f>AND(IF(metadata!O898="",FALSE,TRUE),EXACT(metadata!O898,"Not applicable"))</f>
        <v>0</v>
      </c>
      <c r="AR898" t="b">
        <f>OR(AND(IF(metadata!P898="",FALSE,TRUE),OR(EXACT(metadata!P898,"not applicable"),EXACT(metadata!P898,"missing: not collected"),EXACT(metadata!P898,"missing: not provided"),EXACT(metadata!P898,"missing: restricted access"))),IF(metadata!P898="",FALSE,IF(ISERROR(INT(metadata!P898)),FALSE,INT(metadata!P898)=metadata!P898)))</f>
        <v>0</v>
      </c>
      <c r="AS898" t="b">
        <f>AND(IF(metadata!Q898="",FALSE,TRUE),EXACT(metadata!Q898,"Not applicable"))</f>
        <v>0</v>
      </c>
      <c r="AT898" t="b">
        <f>OR(AND(IF(metadata!R898="",FALSE,TRUE),OR(EXACT(metadata!R898,"not applicable"),EXACT(metadata!R898,"missing: not collected"),EXACT(metadata!R898,"missing: not provided"),EXACT(metadata!R898,"missing: restricted access"))),AND(IF(metadata!R898="",FALSE,ISNUMBER(VALUE(metadata!R898))),metadata!R898&gt;0))</f>
        <v>0</v>
      </c>
      <c r="AU898" t="b">
        <f>AND(IF(metadata!S898="",FALSE,TRUE),EXACT(metadata!S898,"missing: not provided"))</f>
        <v>0</v>
      </c>
    </row>
    <row r="899" spans="1:47" x14ac:dyDescent="0.2">
      <c r="A899" s="5" t="str">
        <f ca="1">IF(B899=" "," ",HYPERLINK(CONCATENATE("#metadata!",ADDRESS(INDEX($Y$2:$Y$1001,MATCH(ROWS($W$2:W899),$W$2:$W$1001,0),0),1)),INDEX($AB$2:$AB$1001,MATCH(ROWS($W$2:W899),$W$2:$W$1001,0),0)))</f>
        <v xml:space="preserve"> </v>
      </c>
      <c r="B899" s="4" t="str">
        <f ca="1">IF(OR(INDEX($X$2:$X$1001,MATCH(ROWS($W$2:W899),$W$2:$W$1001,0),1)&gt;=100000,INDEX($AD$1005:$AU$1005,1,MATCH(COLUMNS($AD$1006:AD1006),$AD$1006:$AU$1006,0))&gt;=100000), " ",IF(INDEX($AD$2:$AU$1001,MATCH(ROWS($W$2:W899),$W$2:$W$1001,0),MATCH(COLUMNS($AD$1006:AD1006),$AD$1006:$AU$1006,0)), HYPERLINK("#",""), HYPERLINK(CONCATENATE("#metadata!", ADDRESS(INDEX($Y$2:$Y$1001,MATCH(ROWS($W$2:W899),$W$2:$W$1001,0),0), INDEX($AD$1004:$AU$1004,1,MATCH(COLUMNS($AD$1006:AD1006),$AD$1006:$AU$1006,0)))),"Fix")))</f>
        <v xml:space="preserve"> </v>
      </c>
      <c r="C899" s="4" t="str">
        <f ca="1">IF(OR(INDEX($X$2:$X$1001,MATCH(ROWS($W$2:W899),$W$2:$W$1001,0),1)&gt;=100000,INDEX($AD$1005:$AU$1005,1,MATCH(COLUMNS($AD$1006:AE1006),$AD$1006:$AU$1006,0))&gt;=100000), " ",IF(INDEX($AD$2:$AU$1001,MATCH(ROWS($W$2:W899),$W$2:$W$1001,0),MATCH(COLUMNS($AD$1006:AE1006),$AD$1006:$AU$1006,0)), HYPERLINK("#",""), HYPERLINK(CONCATENATE("#metadata!", ADDRESS(INDEX($Y$2:$Y$1001,MATCH(ROWS($W$2:W899),$W$2:$W$1001,0),0), INDEX($AD$1004:$AU$1004,1,MATCH(COLUMNS($AD$1006:AE1006),$AD$1006:$AU$1006,0)))),"Fix")))</f>
        <v xml:space="preserve"> </v>
      </c>
      <c r="D899" s="4" t="str">
        <f ca="1">IF(OR(INDEX($X$2:$X$1001,MATCH(ROWS($W$2:W899),$W$2:$W$1001,0),1)&gt;=100000,INDEX($AD$1005:$AU$1005,1,MATCH(COLUMNS($AD$1006:AF1006),$AD$1006:$AU$1006,0))&gt;=100000), " ",IF(INDEX($AD$2:$AU$1001,MATCH(ROWS($W$2:W899),$W$2:$W$1001,0),MATCH(COLUMNS($AD$1006:AF1006),$AD$1006:$AU$1006,0)), HYPERLINK("#",""), HYPERLINK(CONCATENATE("#metadata!", ADDRESS(INDEX($Y$2:$Y$1001,MATCH(ROWS($W$2:W899),$W$2:$W$1001,0),0), INDEX($AD$1004:$AU$1004,1,MATCH(COLUMNS($AD$1006:AF1006),$AD$1006:$AU$1006,0)))),"Fix")))</f>
        <v xml:space="preserve"> </v>
      </c>
      <c r="E899" s="4" t="str">
        <f ca="1">IF(OR(INDEX($X$2:$X$1001,MATCH(ROWS($W$2:W899),$W$2:$W$1001,0),1)&gt;=100000,INDEX($AD$1005:$AU$1005,1,MATCH(COLUMNS($AD$1006:AG1006),$AD$1006:$AU$1006,0))&gt;=100000), " ",IF(INDEX($AD$2:$AU$1001,MATCH(ROWS($W$2:W899),$W$2:$W$1001,0),MATCH(COLUMNS($AD$1006:AG1006),$AD$1006:$AU$1006,0)), HYPERLINK("#",""), HYPERLINK(CONCATENATE("#metadata!", ADDRESS(INDEX($Y$2:$Y$1001,MATCH(ROWS($W$2:W899),$W$2:$W$1001,0),0), INDEX($AD$1004:$AU$1004,1,MATCH(COLUMNS($AD$1006:AG1006),$AD$1006:$AU$1006,0)))),"Fix")))</f>
        <v xml:space="preserve"> </v>
      </c>
      <c r="F899" s="4" t="str">
        <f ca="1">IF(OR(INDEX($X$2:$X$1001,MATCH(ROWS($W$2:W899),$W$2:$W$1001,0),1)&gt;=100000,INDEX($AD$1005:$AU$1005,1,MATCH(COLUMNS($AD$1006:AH1006),$AD$1006:$AU$1006,0))&gt;=100000), " ",IF(INDEX($AD$2:$AU$1001,MATCH(ROWS($W$2:W899),$W$2:$W$1001,0),MATCH(COLUMNS($AD$1006:AH1006),$AD$1006:$AU$1006,0)), HYPERLINK("#",""), HYPERLINK(CONCATENATE("#metadata!", ADDRESS(INDEX($Y$2:$Y$1001,MATCH(ROWS($W$2:W899),$W$2:$W$1001,0),0), INDEX($AD$1004:$AU$1004,1,MATCH(COLUMNS($AD$1006:AH1006),$AD$1006:$AU$1006,0)))),"Fix")))</f>
        <v xml:space="preserve"> </v>
      </c>
      <c r="G899" s="4" t="str">
        <f ca="1">IF(OR(INDEX($X$2:$X$1001,MATCH(ROWS($W$2:W899),$W$2:$W$1001,0),1)&gt;=100000,INDEX($AD$1005:$AU$1005,1,MATCH(COLUMNS($AD$1006:AI1006),$AD$1006:$AU$1006,0))&gt;=100000), " ",IF(INDEX($AD$2:$AU$1001,MATCH(ROWS($W$2:W899),$W$2:$W$1001,0),MATCH(COLUMNS($AD$1006:AI1006),$AD$1006:$AU$1006,0)), HYPERLINK("#",""), HYPERLINK(CONCATENATE("#metadata!", ADDRESS(INDEX($Y$2:$Y$1001,MATCH(ROWS($W$2:W899),$W$2:$W$1001,0),0), INDEX($AD$1004:$AU$1004,1,MATCH(COLUMNS($AD$1006:AI1006),$AD$1006:$AU$1006,0)))),"Fix")))</f>
        <v xml:space="preserve"> </v>
      </c>
      <c r="H899" s="4" t="str">
        <f ca="1">IF(OR(INDEX($X$2:$X$1001,MATCH(ROWS($W$2:W899),$W$2:$W$1001,0),1)&gt;=100000,INDEX($AD$1005:$AU$1005,1,MATCH(COLUMNS($AD$1006:AJ1006),$AD$1006:$AU$1006,0))&gt;=100000), " ",IF(INDEX($AD$2:$AU$1001,MATCH(ROWS($W$2:W899),$W$2:$W$1001,0),MATCH(COLUMNS($AD$1006:AJ1006),$AD$1006:$AU$1006,0)), HYPERLINK("#",""), HYPERLINK(CONCATENATE("#metadata!", ADDRESS(INDEX($Y$2:$Y$1001,MATCH(ROWS($W$2:W899),$W$2:$W$1001,0),0), INDEX($AD$1004:$AU$1004,1,MATCH(COLUMNS($AD$1006:AJ1006),$AD$1006:$AU$1006,0)))),"Fix")))</f>
        <v xml:space="preserve"> </v>
      </c>
      <c r="I899" s="4" t="str">
        <f ca="1">IF(OR(INDEX($X$2:$X$1001,MATCH(ROWS($W$2:W899),$W$2:$W$1001,0),1)&gt;=100000,INDEX($AD$1005:$AU$1005,1,MATCH(COLUMNS($AD$1006:AK1006),$AD$1006:$AU$1006,0))&gt;=100000), " ",IF(INDEX($AD$2:$AU$1001,MATCH(ROWS($W$2:W899),$W$2:$W$1001,0),MATCH(COLUMNS($AD$1006:AK1006),$AD$1006:$AU$1006,0)), HYPERLINK("#",""), HYPERLINK(CONCATENATE("#metadata!", ADDRESS(INDEX($Y$2:$Y$1001,MATCH(ROWS($W$2:W899),$W$2:$W$1001,0),0), INDEX($AD$1004:$AU$1004,1,MATCH(COLUMNS($AD$1006:AK1006),$AD$1006:$AU$1006,0)))),"Fix")))</f>
        <v xml:space="preserve"> </v>
      </c>
      <c r="J899" s="4" t="str">
        <f ca="1">IF(OR(INDEX($X$2:$X$1001,MATCH(ROWS($W$2:W899),$W$2:$W$1001,0),1)&gt;=100000,INDEX($AD$1005:$AU$1005,1,MATCH(COLUMNS($AD$1006:AL1006),$AD$1006:$AU$1006,0))&gt;=100000), " ",IF(INDEX($AD$2:$AU$1001,MATCH(ROWS($W$2:W899),$W$2:$W$1001,0),MATCH(COLUMNS($AD$1006:AL1006),$AD$1006:$AU$1006,0)), HYPERLINK("#",""), HYPERLINK(CONCATENATE("#metadata!", ADDRESS(INDEX($Y$2:$Y$1001,MATCH(ROWS($W$2:W899),$W$2:$W$1001,0),0), INDEX($AD$1004:$AU$1004,1,MATCH(COLUMNS($AD$1006:AL1006),$AD$1006:$AU$1006,0)))),"Fix")))</f>
        <v xml:space="preserve"> </v>
      </c>
      <c r="K899" s="4" t="str">
        <f ca="1">IF(OR(INDEX($X$2:$X$1001,MATCH(ROWS($W$2:W899),$W$2:$W$1001,0),1)&gt;=100000,INDEX($AD$1005:$AU$1005,1,MATCH(COLUMNS($AD$1006:AM1006),$AD$1006:$AU$1006,0))&gt;=100000), " ",IF(INDEX($AD$2:$AU$1001,MATCH(ROWS($W$2:W899),$W$2:$W$1001,0),MATCH(COLUMNS($AD$1006:AM1006),$AD$1006:$AU$1006,0)), HYPERLINK("#",""), HYPERLINK(CONCATENATE("#metadata!", ADDRESS(INDEX($Y$2:$Y$1001,MATCH(ROWS($W$2:W899),$W$2:$W$1001,0),0), INDEX($AD$1004:$AU$1004,1,MATCH(COLUMNS($AD$1006:AM1006),$AD$1006:$AU$1006,0)))),"Fix")))</f>
        <v xml:space="preserve"> </v>
      </c>
      <c r="L899" s="4" t="str">
        <f ca="1">IF(OR(INDEX($X$2:$X$1001,MATCH(ROWS($W$2:W899),$W$2:$W$1001,0),1)&gt;=100000,INDEX($AD$1005:$AU$1005,1,MATCH(COLUMNS($AD$1006:AN1006),$AD$1006:$AU$1006,0))&gt;=100000), " ",IF(INDEX($AD$2:$AU$1001,MATCH(ROWS($W$2:W899),$W$2:$W$1001,0),MATCH(COLUMNS($AD$1006:AN1006),$AD$1006:$AU$1006,0)), HYPERLINK("#",""), HYPERLINK(CONCATENATE("#metadata!", ADDRESS(INDEX($Y$2:$Y$1001,MATCH(ROWS($W$2:W899),$W$2:$W$1001,0),0), INDEX($AD$1004:$AU$1004,1,MATCH(COLUMNS($AD$1006:AN1006),$AD$1006:$AU$1006,0)))),"Fix")))</f>
        <v xml:space="preserve"> </v>
      </c>
      <c r="M899" s="4" t="str">
        <f ca="1">IF(OR(INDEX($X$2:$X$1001,MATCH(ROWS($W$2:W899),$W$2:$W$1001,0),1)&gt;=100000,INDEX($AD$1005:$AU$1005,1,MATCH(COLUMNS($AD$1006:AO1006),$AD$1006:$AU$1006,0))&gt;=100000), " ",IF(INDEX($AD$2:$AU$1001,MATCH(ROWS($W$2:W899),$W$2:$W$1001,0),MATCH(COLUMNS($AD$1006:AO1006),$AD$1006:$AU$1006,0)), HYPERLINK("#",""), HYPERLINK(CONCATENATE("#metadata!", ADDRESS(INDEX($Y$2:$Y$1001,MATCH(ROWS($W$2:W899),$W$2:$W$1001,0),0), INDEX($AD$1004:$AU$1004,1,MATCH(COLUMNS($AD$1006:AO1006),$AD$1006:$AU$1006,0)))),"Fix")))</f>
        <v xml:space="preserve"> </v>
      </c>
      <c r="N899" s="4" t="str">
        <f ca="1">IF(OR(INDEX($X$2:$X$1001,MATCH(ROWS($W$2:W899),$W$2:$W$1001,0),1)&gt;=100000,INDEX($AD$1005:$AU$1005,1,MATCH(COLUMNS($AD$1006:AP1006),$AD$1006:$AU$1006,0))&gt;=100000), " ",IF(INDEX($AD$2:$AU$1001,MATCH(ROWS($W$2:W899),$W$2:$W$1001,0),MATCH(COLUMNS($AD$1006:AP1006),$AD$1006:$AU$1006,0)), HYPERLINK("#",""), HYPERLINK(CONCATENATE("#metadata!", ADDRESS(INDEX($Y$2:$Y$1001,MATCH(ROWS($W$2:W899),$W$2:$W$1001,0),0), INDEX($AD$1004:$AU$1004,1,MATCH(COLUMNS($AD$1006:AP1006),$AD$1006:$AU$1006,0)))),"Fix")))</f>
        <v xml:space="preserve"> </v>
      </c>
      <c r="O899" s="4" t="str">
        <f ca="1">IF(OR(INDEX($X$2:$X$1001,MATCH(ROWS($W$2:W899),$W$2:$W$1001,0),1)&gt;=100000,INDEX($AD$1005:$AU$1005,1,MATCH(COLUMNS($AD$1006:AQ1006),$AD$1006:$AU$1006,0))&gt;=100000), " ",IF(INDEX($AD$2:$AU$1001,MATCH(ROWS($W$2:W899),$W$2:$W$1001,0),MATCH(COLUMNS($AD$1006:AQ1006),$AD$1006:$AU$1006,0)), HYPERLINK("#",""), HYPERLINK(CONCATENATE("#metadata!", ADDRESS(INDEX($Y$2:$Y$1001,MATCH(ROWS($W$2:W899),$W$2:$W$1001,0),0), INDEX($AD$1004:$AU$1004,1,MATCH(COLUMNS($AD$1006:AQ1006),$AD$1006:$AU$1006,0)))),"Fix")))</f>
        <v xml:space="preserve"> </v>
      </c>
      <c r="P899" s="4" t="str">
        <f ca="1">IF(OR(INDEX($X$2:$X$1001,MATCH(ROWS($W$2:W899),$W$2:$W$1001,0),1)&gt;=100000,INDEX($AD$1005:$AU$1005,1,MATCH(COLUMNS($AD$1006:AR1006),$AD$1006:$AU$1006,0))&gt;=100000), " ",IF(INDEX($AD$2:$AU$1001,MATCH(ROWS($W$2:W899),$W$2:$W$1001,0),MATCH(COLUMNS($AD$1006:AR1006),$AD$1006:$AU$1006,0)), HYPERLINK("#",""), HYPERLINK(CONCATENATE("#metadata!", ADDRESS(INDEX($Y$2:$Y$1001,MATCH(ROWS($W$2:W899),$W$2:$W$1001,0),0), INDEX($AD$1004:$AU$1004,1,MATCH(COLUMNS($AD$1006:AR1006),$AD$1006:$AU$1006,0)))),"Fix")))</f>
        <v xml:space="preserve"> </v>
      </c>
      <c r="Q899" s="4" t="str">
        <f ca="1">IF(OR(INDEX($X$2:$X$1001,MATCH(ROWS($W$2:W899),$W$2:$W$1001,0),1)&gt;=100000,INDEX($AD$1005:$AU$1005,1,MATCH(COLUMNS($AD$1006:AS1006),$AD$1006:$AU$1006,0))&gt;=100000), " ",IF(INDEX($AD$2:$AU$1001,MATCH(ROWS($W$2:W899),$W$2:$W$1001,0),MATCH(COLUMNS($AD$1006:AS1006),$AD$1006:$AU$1006,0)), HYPERLINK("#",""), HYPERLINK(CONCATENATE("#metadata!", ADDRESS(INDEX($Y$2:$Y$1001,MATCH(ROWS($W$2:W899),$W$2:$W$1001,0),0), INDEX($AD$1004:$AU$1004,1,MATCH(COLUMNS($AD$1006:AS1006),$AD$1006:$AU$1006,0)))),"Fix")))</f>
        <v xml:space="preserve"> </v>
      </c>
      <c r="R899" s="4" t="str">
        <f ca="1">IF(OR(INDEX($X$2:$X$1001,MATCH(ROWS($W$2:W899),$W$2:$W$1001,0),1)&gt;=100000,INDEX($AD$1005:$AU$1005,1,MATCH(COLUMNS($AD$1006:AT1006),$AD$1006:$AU$1006,0))&gt;=100000), " ",IF(INDEX($AD$2:$AU$1001,MATCH(ROWS($W$2:W899),$W$2:$W$1001,0),MATCH(COLUMNS($AD$1006:AT1006),$AD$1006:$AU$1006,0)), HYPERLINK("#",""), HYPERLINK(CONCATENATE("#metadata!", ADDRESS(INDEX($Y$2:$Y$1001,MATCH(ROWS($W$2:W899),$W$2:$W$1001,0),0), INDEX($AD$1004:$AU$1004,1,MATCH(COLUMNS($AD$1006:AT1006),$AD$1006:$AU$1006,0)))),"Fix")))</f>
        <v xml:space="preserve"> </v>
      </c>
      <c r="S899" s="4" t="str">
        <f ca="1">IF(OR(INDEX($X$2:$X$1001,MATCH(ROWS($W$2:W899),$W$2:$W$1001,0),1)&gt;=100000,INDEX($AD$1005:$AU$1005,1,MATCH(COLUMNS($AD$1006:AU1006),$AD$1006:$AU$1006,0))&gt;=100000), " ",IF(INDEX($AD$2:$AU$1001,MATCH(ROWS($W$2:W899),$W$2:$W$1001,0),MATCH(COLUMNS($AD$1006:AU1006),$AD$1006:$AU$1006,0)), HYPERLINK("#",""), HYPERLINK(CONCATENATE("#metadata!", ADDRESS(INDEX($Y$2:$Y$1001,MATCH(ROWS($W$2:W899),$W$2:$W$1001,0),0), INDEX($AD$1004:$AU$1004,1,MATCH(COLUMNS($AD$1006:AU1006),$AD$1006:$AU$1006,0)))),"Fix")))</f>
        <v xml:space="preserve"> </v>
      </c>
      <c r="W899">
        <v>898</v>
      </c>
      <c r="X899">
        <v>100899</v>
      </c>
      <c r="Y899">
        <v>899</v>
      </c>
      <c r="Z899" t="b">
        <f t="shared" si="14"/>
        <v>1</v>
      </c>
      <c r="AA899" t="b">
        <f>COUNTBLANK(metadata!B899:S899)=COLUMNS(metadata!B899:S899)</f>
        <v>1</v>
      </c>
      <c r="AB899" t="str">
        <v/>
      </c>
      <c r="AD899" t="b">
        <f ca="1">AND(IF(metadata!B899="",FALSE,TRUE),COUNTIF(metadata!B:B, metadata!B899) = 1,NOT(ISERROR(SUMPRODUCT(SEARCH(MID(metadata!B899,ROW(INDIRECT("1:"&amp;LEN(metadata!B899))), 1),"0123456789abcdefghijklmnopqrstuvwxyzABCDEFGHIJKLMNOPQRSTUVWXYZ.")))))</f>
        <v>0</v>
      </c>
      <c r="AE899" t="b">
        <f>OR(AND(IF(metadata!C899="",FALSE,TRUE),OR(EXACT(metadata!C899,"not applicable"),EXACT(metadata!C899,"missing: not collected"),EXACT(metadata!C899,"missing: not provided"),EXACT(metadata!C899,"missing: restricted access"))),AND(IF(metadata!C899="",FALSE,ISNUMBER(VALUE(metadata!C899))),metadata!C899&gt;0))</f>
        <v>0</v>
      </c>
      <c r="AF899" t="b">
        <f>AND(IF(metadata!D899="",FALSE,TRUE),EXACT(metadata!D899,"missing: not provided"))</f>
        <v>0</v>
      </c>
      <c r="AG899" t="b">
        <f>AND(IF(metadata!E899="",FALSE,TRUE),EXACT(metadata!E899,"Host-associated"))</f>
        <v>0</v>
      </c>
      <c r="AH899" t="b">
        <f>AND(IF(metadata!F899="",FALSE,TRUE),OR(EXACT(metadata!F899,"Animal"),EXACT(metadata!F899,"Fungus"),EXACT(metadata!F899,"Plant")))</f>
        <v>0</v>
      </c>
      <c r="AI899" t="b">
        <f>AND(IF(metadata!G899="",FALSE,TRUE),OR(EXACT(metadata!G899,"Plant secretion"),EXACT(metadata!G899,"Plant rhizosphere"),EXACT(metadata!G899,"Plant surface"),EXACT(metadata!G899,"Plant corpus"),EXACT(metadata!G899,"Fungus surface"),EXACT(metadata!G899,"Fungus corpus"),EXACT(metadata!G899,"Animal surface"),EXACT(metadata!G899,"Animal proximal gut"),EXACT(metadata!G899,"Animal corpus"),EXACT(metadata!G899,"Animal distal gut"),EXACT(metadata!G899,"Animal secretion")))</f>
        <v>0</v>
      </c>
      <c r="AJ899" t="b">
        <f>OR(AND(IF(metadata!H899="",FALSE,TRUE),OR(EXACT(metadata!H899,"missing: not collected"),EXACT(metadata!H899,"missing: not provided"),EXACT(metadata!H899,"missing: restricted access"))),AND(IF(metadata!H899="",FALSE,TRUE),OR(EXACT(metadata!H899,"organism-associated habitat"),EXACT(metadata!H899,"plant-associated habitat"),EXACT(metadata!H899,"animal-associated habitat"),EXACT(metadata!H899,"insecta-associated habitat"),EXACT(metadata!H899,"mammalia-associated habitat"),EXACT(metadata!H899,"human-associated habitat"),EXACT(metadata!H899,"livestock-associated habitat"))))</f>
        <v>0</v>
      </c>
      <c r="AK899" t="b">
        <f>AND(IF(metadata!I899="",FALSE,TRUE),EXACT(metadata!I899,"host-associated"))</f>
        <v>0</v>
      </c>
      <c r="AL899" t="b">
        <f>OR(AND(IF(metadata!J899="",FALSE,TRUE),OR(EXACT(metadata!J899,"not applicable"),EXACT(metadata!J899,"missing: not collected"),EXACT(metadata!J899,"missing: not provided"),EXACT(metadata!J899,"missing: restricted access"))),AND(IF(metadata!J899="",FALSE,ISNUMBER(VALUE(metadata!J899))),metadata!J899&gt;0))</f>
        <v>0</v>
      </c>
      <c r="AM899" t="b">
        <f>AND(IF(metadata!K899="",FALSE,TRUE),EXACT(metadata!K899,"missing: not provided"))</f>
        <v>0</v>
      </c>
      <c r="AN899" t="b">
        <f>IF(metadata!L899="",FALSE,TRUE)</f>
        <v>0</v>
      </c>
      <c r="AO899" t="b">
        <f>IF(metadata!M899="",FALSE,TRUE)</f>
        <v>0</v>
      </c>
      <c r="AP899" t="b">
        <f>OR(AND(IF(metadata!N899="",FALSE,TRUE),OR(EXACT(metadata!N899,"not applicable"),EXACT(metadata!N899,"missing: not collected"),EXACT(metadata!N899,"missing: not provided"))),AND(IF(metadata!N899="",FALSE,IF(ISERROR(INT(metadata!N899)),FALSE,INT(metadata!N899)=metadata!N899)),metadata!N899&gt;0))</f>
        <v>0</v>
      </c>
      <c r="AQ899" t="b">
        <f>AND(IF(metadata!O899="",FALSE,TRUE),EXACT(metadata!O899,"Not applicable"))</f>
        <v>0</v>
      </c>
      <c r="AR899" t="b">
        <f>OR(AND(IF(metadata!P899="",FALSE,TRUE),OR(EXACT(metadata!P899,"not applicable"),EXACT(metadata!P899,"missing: not collected"),EXACT(metadata!P899,"missing: not provided"),EXACT(metadata!P899,"missing: restricted access"))),IF(metadata!P899="",FALSE,IF(ISERROR(INT(metadata!P899)),FALSE,INT(metadata!P899)=metadata!P899)))</f>
        <v>0</v>
      </c>
      <c r="AS899" t="b">
        <f>AND(IF(metadata!Q899="",FALSE,TRUE),EXACT(metadata!Q899,"Not applicable"))</f>
        <v>0</v>
      </c>
      <c r="AT899" t="b">
        <f>OR(AND(IF(metadata!R899="",FALSE,TRUE),OR(EXACT(metadata!R899,"not applicable"),EXACT(metadata!R899,"missing: not collected"),EXACT(metadata!R899,"missing: not provided"),EXACT(metadata!R899,"missing: restricted access"))),AND(IF(metadata!R899="",FALSE,ISNUMBER(VALUE(metadata!R899))),metadata!R899&gt;0))</f>
        <v>0</v>
      </c>
      <c r="AU899" t="b">
        <f>AND(IF(metadata!S899="",FALSE,TRUE),EXACT(metadata!S899,"missing: not provided"))</f>
        <v>0</v>
      </c>
    </row>
    <row r="900" spans="1:47" x14ac:dyDescent="0.2">
      <c r="A900" s="5" t="str">
        <f ca="1">IF(B900=" "," ",HYPERLINK(CONCATENATE("#metadata!",ADDRESS(INDEX($Y$2:$Y$1001,MATCH(ROWS($W$2:W900),$W$2:$W$1001,0),0),1)),INDEX($AB$2:$AB$1001,MATCH(ROWS($W$2:W900),$W$2:$W$1001,0),0)))</f>
        <v xml:space="preserve"> </v>
      </c>
      <c r="B900" s="4" t="str">
        <f ca="1">IF(OR(INDEX($X$2:$X$1001,MATCH(ROWS($W$2:W900),$W$2:$W$1001,0),1)&gt;=100000,INDEX($AD$1005:$AU$1005,1,MATCH(COLUMNS($AD$1006:AD1006),$AD$1006:$AU$1006,0))&gt;=100000), " ",IF(INDEX($AD$2:$AU$1001,MATCH(ROWS($W$2:W900),$W$2:$W$1001,0),MATCH(COLUMNS($AD$1006:AD1006),$AD$1006:$AU$1006,0)), HYPERLINK("#",""), HYPERLINK(CONCATENATE("#metadata!", ADDRESS(INDEX($Y$2:$Y$1001,MATCH(ROWS($W$2:W900),$W$2:$W$1001,0),0), INDEX($AD$1004:$AU$1004,1,MATCH(COLUMNS($AD$1006:AD1006),$AD$1006:$AU$1006,0)))),"Fix")))</f>
        <v xml:space="preserve"> </v>
      </c>
      <c r="C900" s="4" t="str">
        <f ca="1">IF(OR(INDEX($X$2:$X$1001,MATCH(ROWS($W$2:W900),$W$2:$W$1001,0),1)&gt;=100000,INDEX($AD$1005:$AU$1005,1,MATCH(COLUMNS($AD$1006:AE1006),$AD$1006:$AU$1006,0))&gt;=100000), " ",IF(INDEX($AD$2:$AU$1001,MATCH(ROWS($W$2:W900),$W$2:$W$1001,0),MATCH(COLUMNS($AD$1006:AE1006),$AD$1006:$AU$1006,0)), HYPERLINK("#",""), HYPERLINK(CONCATENATE("#metadata!", ADDRESS(INDEX($Y$2:$Y$1001,MATCH(ROWS($W$2:W900),$W$2:$W$1001,0),0), INDEX($AD$1004:$AU$1004,1,MATCH(COLUMNS($AD$1006:AE1006),$AD$1006:$AU$1006,0)))),"Fix")))</f>
        <v xml:space="preserve"> </v>
      </c>
      <c r="D900" s="4" t="str">
        <f ca="1">IF(OR(INDEX($X$2:$X$1001,MATCH(ROWS($W$2:W900),$W$2:$W$1001,0),1)&gt;=100000,INDEX($AD$1005:$AU$1005,1,MATCH(COLUMNS($AD$1006:AF1006),$AD$1006:$AU$1006,0))&gt;=100000), " ",IF(INDEX($AD$2:$AU$1001,MATCH(ROWS($W$2:W900),$W$2:$W$1001,0),MATCH(COLUMNS($AD$1006:AF1006),$AD$1006:$AU$1006,0)), HYPERLINK("#",""), HYPERLINK(CONCATENATE("#metadata!", ADDRESS(INDEX($Y$2:$Y$1001,MATCH(ROWS($W$2:W900),$W$2:$W$1001,0),0), INDEX($AD$1004:$AU$1004,1,MATCH(COLUMNS($AD$1006:AF1006),$AD$1006:$AU$1006,0)))),"Fix")))</f>
        <v xml:space="preserve"> </v>
      </c>
      <c r="E900" s="4" t="str">
        <f ca="1">IF(OR(INDEX($X$2:$X$1001,MATCH(ROWS($W$2:W900),$W$2:$W$1001,0),1)&gt;=100000,INDEX($AD$1005:$AU$1005,1,MATCH(COLUMNS($AD$1006:AG1006),$AD$1006:$AU$1006,0))&gt;=100000), " ",IF(INDEX($AD$2:$AU$1001,MATCH(ROWS($W$2:W900),$W$2:$W$1001,0),MATCH(COLUMNS($AD$1006:AG1006),$AD$1006:$AU$1006,0)), HYPERLINK("#",""), HYPERLINK(CONCATENATE("#metadata!", ADDRESS(INDEX($Y$2:$Y$1001,MATCH(ROWS($W$2:W900),$W$2:$W$1001,0),0), INDEX($AD$1004:$AU$1004,1,MATCH(COLUMNS($AD$1006:AG1006),$AD$1006:$AU$1006,0)))),"Fix")))</f>
        <v xml:space="preserve"> </v>
      </c>
      <c r="F900" s="4" t="str">
        <f ca="1">IF(OR(INDEX($X$2:$X$1001,MATCH(ROWS($W$2:W900),$W$2:$W$1001,0),1)&gt;=100000,INDEX($AD$1005:$AU$1005,1,MATCH(COLUMNS($AD$1006:AH1006),$AD$1006:$AU$1006,0))&gt;=100000), " ",IF(INDEX($AD$2:$AU$1001,MATCH(ROWS($W$2:W900),$W$2:$W$1001,0),MATCH(COLUMNS($AD$1006:AH1006),$AD$1006:$AU$1006,0)), HYPERLINK("#",""), HYPERLINK(CONCATENATE("#metadata!", ADDRESS(INDEX($Y$2:$Y$1001,MATCH(ROWS($W$2:W900),$W$2:$W$1001,0),0), INDEX($AD$1004:$AU$1004,1,MATCH(COLUMNS($AD$1006:AH1006),$AD$1006:$AU$1006,0)))),"Fix")))</f>
        <v xml:space="preserve"> </v>
      </c>
      <c r="G900" s="4" t="str">
        <f ca="1">IF(OR(INDEX($X$2:$X$1001,MATCH(ROWS($W$2:W900),$W$2:$W$1001,0),1)&gt;=100000,INDEX($AD$1005:$AU$1005,1,MATCH(COLUMNS($AD$1006:AI1006),$AD$1006:$AU$1006,0))&gt;=100000), " ",IF(INDEX($AD$2:$AU$1001,MATCH(ROWS($W$2:W900),$W$2:$W$1001,0),MATCH(COLUMNS($AD$1006:AI1006),$AD$1006:$AU$1006,0)), HYPERLINK("#",""), HYPERLINK(CONCATENATE("#metadata!", ADDRESS(INDEX($Y$2:$Y$1001,MATCH(ROWS($W$2:W900),$W$2:$W$1001,0),0), INDEX($AD$1004:$AU$1004,1,MATCH(COLUMNS($AD$1006:AI1006),$AD$1006:$AU$1006,0)))),"Fix")))</f>
        <v xml:space="preserve"> </v>
      </c>
      <c r="H900" s="4" t="str">
        <f ca="1">IF(OR(INDEX($X$2:$X$1001,MATCH(ROWS($W$2:W900),$W$2:$W$1001,0),1)&gt;=100000,INDEX($AD$1005:$AU$1005,1,MATCH(COLUMNS($AD$1006:AJ1006),$AD$1006:$AU$1006,0))&gt;=100000), " ",IF(INDEX($AD$2:$AU$1001,MATCH(ROWS($W$2:W900),$W$2:$W$1001,0),MATCH(COLUMNS($AD$1006:AJ1006),$AD$1006:$AU$1006,0)), HYPERLINK("#",""), HYPERLINK(CONCATENATE("#metadata!", ADDRESS(INDEX($Y$2:$Y$1001,MATCH(ROWS($W$2:W900),$W$2:$W$1001,0),0), INDEX($AD$1004:$AU$1004,1,MATCH(COLUMNS($AD$1006:AJ1006),$AD$1006:$AU$1006,0)))),"Fix")))</f>
        <v xml:space="preserve"> </v>
      </c>
      <c r="I900" s="4" t="str">
        <f ca="1">IF(OR(INDEX($X$2:$X$1001,MATCH(ROWS($W$2:W900),$W$2:$W$1001,0),1)&gt;=100000,INDEX($AD$1005:$AU$1005,1,MATCH(COLUMNS($AD$1006:AK1006),$AD$1006:$AU$1006,0))&gt;=100000), " ",IF(INDEX($AD$2:$AU$1001,MATCH(ROWS($W$2:W900),$W$2:$W$1001,0),MATCH(COLUMNS($AD$1006:AK1006),$AD$1006:$AU$1006,0)), HYPERLINK("#",""), HYPERLINK(CONCATENATE("#metadata!", ADDRESS(INDEX($Y$2:$Y$1001,MATCH(ROWS($W$2:W900),$W$2:$W$1001,0),0), INDEX($AD$1004:$AU$1004,1,MATCH(COLUMNS($AD$1006:AK1006),$AD$1006:$AU$1006,0)))),"Fix")))</f>
        <v xml:space="preserve"> </v>
      </c>
      <c r="J900" s="4" t="str">
        <f ca="1">IF(OR(INDEX($X$2:$X$1001,MATCH(ROWS($W$2:W900),$W$2:$W$1001,0),1)&gt;=100000,INDEX($AD$1005:$AU$1005,1,MATCH(COLUMNS($AD$1006:AL1006),$AD$1006:$AU$1006,0))&gt;=100000), " ",IF(INDEX($AD$2:$AU$1001,MATCH(ROWS($W$2:W900),$W$2:$W$1001,0),MATCH(COLUMNS($AD$1006:AL1006),$AD$1006:$AU$1006,0)), HYPERLINK("#",""), HYPERLINK(CONCATENATE("#metadata!", ADDRESS(INDEX($Y$2:$Y$1001,MATCH(ROWS($W$2:W900),$W$2:$W$1001,0),0), INDEX($AD$1004:$AU$1004,1,MATCH(COLUMNS($AD$1006:AL1006),$AD$1006:$AU$1006,0)))),"Fix")))</f>
        <v xml:space="preserve"> </v>
      </c>
      <c r="K900" s="4" t="str">
        <f ca="1">IF(OR(INDEX($X$2:$X$1001,MATCH(ROWS($W$2:W900),$W$2:$W$1001,0),1)&gt;=100000,INDEX($AD$1005:$AU$1005,1,MATCH(COLUMNS($AD$1006:AM1006),$AD$1006:$AU$1006,0))&gt;=100000), " ",IF(INDEX($AD$2:$AU$1001,MATCH(ROWS($W$2:W900),$W$2:$W$1001,0),MATCH(COLUMNS($AD$1006:AM1006),$AD$1006:$AU$1006,0)), HYPERLINK("#",""), HYPERLINK(CONCATENATE("#metadata!", ADDRESS(INDEX($Y$2:$Y$1001,MATCH(ROWS($W$2:W900),$W$2:$W$1001,0),0), INDEX($AD$1004:$AU$1004,1,MATCH(COLUMNS($AD$1006:AM1006),$AD$1006:$AU$1006,0)))),"Fix")))</f>
        <v xml:space="preserve"> </v>
      </c>
      <c r="L900" s="4" t="str">
        <f ca="1">IF(OR(INDEX($X$2:$X$1001,MATCH(ROWS($W$2:W900),$W$2:$W$1001,0),1)&gt;=100000,INDEX($AD$1005:$AU$1005,1,MATCH(COLUMNS($AD$1006:AN1006),$AD$1006:$AU$1006,0))&gt;=100000), " ",IF(INDEX($AD$2:$AU$1001,MATCH(ROWS($W$2:W900),$W$2:$W$1001,0),MATCH(COLUMNS($AD$1006:AN1006),$AD$1006:$AU$1006,0)), HYPERLINK("#",""), HYPERLINK(CONCATENATE("#metadata!", ADDRESS(INDEX($Y$2:$Y$1001,MATCH(ROWS($W$2:W900),$W$2:$W$1001,0),0), INDEX($AD$1004:$AU$1004,1,MATCH(COLUMNS($AD$1006:AN1006),$AD$1006:$AU$1006,0)))),"Fix")))</f>
        <v xml:space="preserve"> </v>
      </c>
      <c r="M900" s="4" t="str">
        <f ca="1">IF(OR(INDEX($X$2:$X$1001,MATCH(ROWS($W$2:W900),$W$2:$W$1001,0),1)&gt;=100000,INDEX($AD$1005:$AU$1005,1,MATCH(COLUMNS($AD$1006:AO1006),$AD$1006:$AU$1006,0))&gt;=100000), " ",IF(INDEX($AD$2:$AU$1001,MATCH(ROWS($W$2:W900),$W$2:$W$1001,0),MATCH(COLUMNS($AD$1006:AO1006),$AD$1006:$AU$1006,0)), HYPERLINK("#",""), HYPERLINK(CONCATENATE("#metadata!", ADDRESS(INDEX($Y$2:$Y$1001,MATCH(ROWS($W$2:W900),$W$2:$W$1001,0),0), INDEX($AD$1004:$AU$1004,1,MATCH(COLUMNS($AD$1006:AO1006),$AD$1006:$AU$1006,0)))),"Fix")))</f>
        <v xml:space="preserve"> </v>
      </c>
      <c r="N900" s="4" t="str">
        <f ca="1">IF(OR(INDEX($X$2:$X$1001,MATCH(ROWS($W$2:W900),$W$2:$W$1001,0),1)&gt;=100000,INDEX($AD$1005:$AU$1005,1,MATCH(COLUMNS($AD$1006:AP1006),$AD$1006:$AU$1006,0))&gt;=100000), " ",IF(INDEX($AD$2:$AU$1001,MATCH(ROWS($W$2:W900),$W$2:$W$1001,0),MATCH(COLUMNS($AD$1006:AP1006),$AD$1006:$AU$1006,0)), HYPERLINK("#",""), HYPERLINK(CONCATENATE("#metadata!", ADDRESS(INDEX($Y$2:$Y$1001,MATCH(ROWS($W$2:W900),$W$2:$W$1001,0),0), INDEX($AD$1004:$AU$1004,1,MATCH(COLUMNS($AD$1006:AP1006),$AD$1006:$AU$1006,0)))),"Fix")))</f>
        <v xml:space="preserve"> </v>
      </c>
      <c r="O900" s="4" t="str">
        <f ca="1">IF(OR(INDEX($X$2:$X$1001,MATCH(ROWS($W$2:W900),$W$2:$W$1001,0),1)&gt;=100000,INDEX($AD$1005:$AU$1005,1,MATCH(COLUMNS($AD$1006:AQ1006),$AD$1006:$AU$1006,0))&gt;=100000), " ",IF(INDEX($AD$2:$AU$1001,MATCH(ROWS($W$2:W900),$W$2:$W$1001,0),MATCH(COLUMNS($AD$1006:AQ1006),$AD$1006:$AU$1006,0)), HYPERLINK("#",""), HYPERLINK(CONCATENATE("#metadata!", ADDRESS(INDEX($Y$2:$Y$1001,MATCH(ROWS($W$2:W900),$W$2:$W$1001,0),0), INDEX($AD$1004:$AU$1004,1,MATCH(COLUMNS($AD$1006:AQ1006),$AD$1006:$AU$1006,0)))),"Fix")))</f>
        <v xml:space="preserve"> </v>
      </c>
      <c r="P900" s="4" t="str">
        <f ca="1">IF(OR(INDEX($X$2:$X$1001,MATCH(ROWS($W$2:W900),$W$2:$W$1001,0),1)&gt;=100000,INDEX($AD$1005:$AU$1005,1,MATCH(COLUMNS($AD$1006:AR1006),$AD$1006:$AU$1006,0))&gt;=100000), " ",IF(INDEX($AD$2:$AU$1001,MATCH(ROWS($W$2:W900),$W$2:$W$1001,0),MATCH(COLUMNS($AD$1006:AR1006),$AD$1006:$AU$1006,0)), HYPERLINK("#",""), HYPERLINK(CONCATENATE("#metadata!", ADDRESS(INDEX($Y$2:$Y$1001,MATCH(ROWS($W$2:W900),$W$2:$W$1001,0),0), INDEX($AD$1004:$AU$1004,1,MATCH(COLUMNS($AD$1006:AR1006),$AD$1006:$AU$1006,0)))),"Fix")))</f>
        <v xml:space="preserve"> </v>
      </c>
      <c r="Q900" s="4" t="str">
        <f ca="1">IF(OR(INDEX($X$2:$X$1001,MATCH(ROWS($W$2:W900),$W$2:$W$1001,0),1)&gt;=100000,INDEX($AD$1005:$AU$1005,1,MATCH(COLUMNS($AD$1006:AS1006),$AD$1006:$AU$1006,0))&gt;=100000), " ",IF(INDEX($AD$2:$AU$1001,MATCH(ROWS($W$2:W900),$W$2:$W$1001,0),MATCH(COLUMNS($AD$1006:AS1006),$AD$1006:$AU$1006,0)), HYPERLINK("#",""), HYPERLINK(CONCATENATE("#metadata!", ADDRESS(INDEX($Y$2:$Y$1001,MATCH(ROWS($W$2:W900),$W$2:$W$1001,0),0), INDEX($AD$1004:$AU$1004,1,MATCH(COLUMNS($AD$1006:AS1006),$AD$1006:$AU$1006,0)))),"Fix")))</f>
        <v xml:space="preserve"> </v>
      </c>
      <c r="R900" s="4" t="str">
        <f ca="1">IF(OR(INDEX($X$2:$X$1001,MATCH(ROWS($W$2:W900),$W$2:$W$1001,0),1)&gt;=100000,INDEX($AD$1005:$AU$1005,1,MATCH(COLUMNS($AD$1006:AT1006),$AD$1006:$AU$1006,0))&gt;=100000), " ",IF(INDEX($AD$2:$AU$1001,MATCH(ROWS($W$2:W900),$W$2:$W$1001,0),MATCH(COLUMNS($AD$1006:AT1006),$AD$1006:$AU$1006,0)), HYPERLINK("#",""), HYPERLINK(CONCATENATE("#metadata!", ADDRESS(INDEX($Y$2:$Y$1001,MATCH(ROWS($W$2:W900),$W$2:$W$1001,0),0), INDEX($AD$1004:$AU$1004,1,MATCH(COLUMNS($AD$1006:AT1006),$AD$1006:$AU$1006,0)))),"Fix")))</f>
        <v xml:space="preserve"> </v>
      </c>
      <c r="S900" s="4" t="str">
        <f ca="1">IF(OR(INDEX($X$2:$X$1001,MATCH(ROWS($W$2:W900),$W$2:$W$1001,0),1)&gt;=100000,INDEX($AD$1005:$AU$1005,1,MATCH(COLUMNS($AD$1006:AU1006),$AD$1006:$AU$1006,0))&gt;=100000), " ",IF(INDEX($AD$2:$AU$1001,MATCH(ROWS($W$2:W900),$W$2:$W$1001,0),MATCH(COLUMNS($AD$1006:AU1006),$AD$1006:$AU$1006,0)), HYPERLINK("#",""), HYPERLINK(CONCATENATE("#metadata!", ADDRESS(INDEX($Y$2:$Y$1001,MATCH(ROWS($W$2:W900),$W$2:$W$1001,0),0), INDEX($AD$1004:$AU$1004,1,MATCH(COLUMNS($AD$1006:AU1006),$AD$1006:$AU$1006,0)))),"Fix")))</f>
        <v xml:space="preserve"> </v>
      </c>
      <c r="W900">
        <v>899</v>
      </c>
      <c r="X900">
        <v>100900</v>
      </c>
      <c r="Y900">
        <v>900</v>
      </c>
      <c r="Z900" t="b">
        <f t="shared" si="14"/>
        <v>1</v>
      </c>
      <c r="AA900" t="b">
        <f>COUNTBLANK(metadata!B900:S900)=COLUMNS(metadata!B900:S900)</f>
        <v>1</v>
      </c>
      <c r="AB900" t="str">
        <v/>
      </c>
      <c r="AD900" t="b">
        <f ca="1">AND(IF(metadata!B900="",FALSE,TRUE),COUNTIF(metadata!B:B, metadata!B900) = 1,NOT(ISERROR(SUMPRODUCT(SEARCH(MID(metadata!B900,ROW(INDIRECT("1:"&amp;LEN(metadata!B900))), 1),"0123456789abcdefghijklmnopqrstuvwxyzABCDEFGHIJKLMNOPQRSTUVWXYZ.")))))</f>
        <v>0</v>
      </c>
      <c r="AE900" t="b">
        <f>OR(AND(IF(metadata!C900="",FALSE,TRUE),OR(EXACT(metadata!C900,"not applicable"),EXACT(metadata!C900,"missing: not collected"),EXACT(metadata!C900,"missing: not provided"),EXACT(metadata!C900,"missing: restricted access"))),AND(IF(metadata!C900="",FALSE,ISNUMBER(VALUE(metadata!C900))),metadata!C900&gt;0))</f>
        <v>0</v>
      </c>
      <c r="AF900" t="b">
        <f>AND(IF(metadata!D900="",FALSE,TRUE),EXACT(metadata!D900,"missing: not provided"))</f>
        <v>0</v>
      </c>
      <c r="AG900" t="b">
        <f>AND(IF(metadata!E900="",FALSE,TRUE),EXACT(metadata!E900,"Host-associated"))</f>
        <v>0</v>
      </c>
      <c r="AH900" t="b">
        <f>AND(IF(metadata!F900="",FALSE,TRUE),OR(EXACT(metadata!F900,"Animal"),EXACT(metadata!F900,"Fungus"),EXACT(metadata!F900,"Plant")))</f>
        <v>0</v>
      </c>
      <c r="AI900" t="b">
        <f>AND(IF(metadata!G900="",FALSE,TRUE),OR(EXACT(metadata!G900,"Plant secretion"),EXACT(metadata!G900,"Plant rhizosphere"),EXACT(metadata!G900,"Plant surface"),EXACT(metadata!G900,"Plant corpus"),EXACT(metadata!G900,"Fungus surface"),EXACT(metadata!G900,"Fungus corpus"),EXACT(metadata!G900,"Animal surface"),EXACT(metadata!G900,"Animal proximal gut"),EXACT(metadata!G900,"Animal corpus"),EXACT(metadata!G900,"Animal distal gut"),EXACT(metadata!G900,"Animal secretion")))</f>
        <v>0</v>
      </c>
      <c r="AJ900" t="b">
        <f>OR(AND(IF(metadata!H900="",FALSE,TRUE),OR(EXACT(metadata!H900,"missing: not collected"),EXACT(metadata!H900,"missing: not provided"),EXACT(metadata!H900,"missing: restricted access"))),AND(IF(metadata!H900="",FALSE,TRUE),OR(EXACT(metadata!H900,"organism-associated habitat"),EXACT(metadata!H900,"plant-associated habitat"),EXACT(metadata!H900,"animal-associated habitat"),EXACT(metadata!H900,"insecta-associated habitat"),EXACT(metadata!H900,"mammalia-associated habitat"),EXACT(metadata!H900,"human-associated habitat"),EXACT(metadata!H900,"livestock-associated habitat"))))</f>
        <v>0</v>
      </c>
      <c r="AK900" t="b">
        <f>AND(IF(metadata!I900="",FALSE,TRUE),EXACT(metadata!I900,"host-associated"))</f>
        <v>0</v>
      </c>
      <c r="AL900" t="b">
        <f>OR(AND(IF(metadata!J900="",FALSE,TRUE),OR(EXACT(metadata!J900,"not applicable"),EXACT(metadata!J900,"missing: not collected"),EXACT(metadata!J900,"missing: not provided"),EXACT(metadata!J900,"missing: restricted access"))),AND(IF(metadata!J900="",FALSE,ISNUMBER(VALUE(metadata!J900))),metadata!J900&gt;0))</f>
        <v>0</v>
      </c>
      <c r="AM900" t="b">
        <f>AND(IF(metadata!K900="",FALSE,TRUE),EXACT(metadata!K900,"missing: not provided"))</f>
        <v>0</v>
      </c>
      <c r="AN900" t="b">
        <f>IF(metadata!L900="",FALSE,TRUE)</f>
        <v>0</v>
      </c>
      <c r="AO900" t="b">
        <f>IF(metadata!M900="",FALSE,TRUE)</f>
        <v>0</v>
      </c>
      <c r="AP900" t="b">
        <f>OR(AND(IF(metadata!N900="",FALSE,TRUE),OR(EXACT(metadata!N900,"not applicable"),EXACT(metadata!N900,"missing: not collected"),EXACT(metadata!N900,"missing: not provided"))),AND(IF(metadata!N900="",FALSE,IF(ISERROR(INT(metadata!N900)),FALSE,INT(metadata!N900)=metadata!N900)),metadata!N900&gt;0))</f>
        <v>0</v>
      </c>
      <c r="AQ900" t="b">
        <f>AND(IF(metadata!O900="",FALSE,TRUE),EXACT(metadata!O900,"Not applicable"))</f>
        <v>0</v>
      </c>
      <c r="AR900" t="b">
        <f>OR(AND(IF(metadata!P900="",FALSE,TRUE),OR(EXACT(metadata!P900,"not applicable"),EXACT(metadata!P900,"missing: not collected"),EXACT(metadata!P900,"missing: not provided"),EXACT(metadata!P900,"missing: restricted access"))),IF(metadata!P900="",FALSE,IF(ISERROR(INT(metadata!P900)),FALSE,INT(metadata!P900)=metadata!P900)))</f>
        <v>0</v>
      </c>
      <c r="AS900" t="b">
        <f>AND(IF(metadata!Q900="",FALSE,TRUE),EXACT(metadata!Q900,"Not applicable"))</f>
        <v>0</v>
      </c>
      <c r="AT900" t="b">
        <f>OR(AND(IF(metadata!R900="",FALSE,TRUE),OR(EXACT(metadata!R900,"not applicable"),EXACT(metadata!R900,"missing: not collected"),EXACT(metadata!R900,"missing: not provided"),EXACT(metadata!R900,"missing: restricted access"))),AND(IF(metadata!R900="",FALSE,ISNUMBER(VALUE(metadata!R900))),metadata!R900&gt;0))</f>
        <v>0</v>
      </c>
      <c r="AU900" t="b">
        <f>AND(IF(metadata!S900="",FALSE,TRUE),EXACT(metadata!S900,"missing: not provided"))</f>
        <v>0</v>
      </c>
    </row>
    <row r="901" spans="1:47" x14ac:dyDescent="0.2">
      <c r="A901" s="5" t="str">
        <f ca="1">IF(B901=" "," ",HYPERLINK(CONCATENATE("#metadata!",ADDRESS(INDEX($Y$2:$Y$1001,MATCH(ROWS($W$2:W901),$W$2:$W$1001,0),0),1)),INDEX($AB$2:$AB$1001,MATCH(ROWS($W$2:W901),$W$2:$W$1001,0),0)))</f>
        <v xml:space="preserve"> </v>
      </c>
      <c r="B901" s="4" t="str">
        <f ca="1">IF(OR(INDEX($X$2:$X$1001,MATCH(ROWS($W$2:W901),$W$2:$W$1001,0),1)&gt;=100000,INDEX($AD$1005:$AU$1005,1,MATCH(COLUMNS($AD$1006:AD1006),$AD$1006:$AU$1006,0))&gt;=100000), " ",IF(INDEX($AD$2:$AU$1001,MATCH(ROWS($W$2:W901),$W$2:$W$1001,0),MATCH(COLUMNS($AD$1006:AD1006),$AD$1006:$AU$1006,0)), HYPERLINK("#",""), HYPERLINK(CONCATENATE("#metadata!", ADDRESS(INDEX($Y$2:$Y$1001,MATCH(ROWS($W$2:W901),$W$2:$W$1001,0),0), INDEX($AD$1004:$AU$1004,1,MATCH(COLUMNS($AD$1006:AD1006),$AD$1006:$AU$1006,0)))),"Fix")))</f>
        <v xml:space="preserve"> </v>
      </c>
      <c r="C901" s="4" t="str">
        <f ca="1">IF(OR(INDEX($X$2:$X$1001,MATCH(ROWS($W$2:W901),$W$2:$W$1001,0),1)&gt;=100000,INDEX($AD$1005:$AU$1005,1,MATCH(COLUMNS($AD$1006:AE1006),$AD$1006:$AU$1006,0))&gt;=100000), " ",IF(INDEX($AD$2:$AU$1001,MATCH(ROWS($W$2:W901),$W$2:$W$1001,0),MATCH(COLUMNS($AD$1006:AE1006),$AD$1006:$AU$1006,0)), HYPERLINK("#",""), HYPERLINK(CONCATENATE("#metadata!", ADDRESS(INDEX($Y$2:$Y$1001,MATCH(ROWS($W$2:W901),$W$2:$W$1001,0),0), INDEX($AD$1004:$AU$1004,1,MATCH(COLUMNS($AD$1006:AE1006),$AD$1006:$AU$1006,0)))),"Fix")))</f>
        <v xml:space="preserve"> </v>
      </c>
      <c r="D901" s="4" t="str">
        <f ca="1">IF(OR(INDEX($X$2:$X$1001,MATCH(ROWS($W$2:W901),$W$2:$W$1001,0),1)&gt;=100000,INDEX($AD$1005:$AU$1005,1,MATCH(COLUMNS($AD$1006:AF1006),$AD$1006:$AU$1006,0))&gt;=100000), " ",IF(INDEX($AD$2:$AU$1001,MATCH(ROWS($W$2:W901),$W$2:$W$1001,0),MATCH(COLUMNS($AD$1006:AF1006),$AD$1006:$AU$1006,0)), HYPERLINK("#",""), HYPERLINK(CONCATENATE("#metadata!", ADDRESS(INDEX($Y$2:$Y$1001,MATCH(ROWS($W$2:W901),$W$2:$W$1001,0),0), INDEX($AD$1004:$AU$1004,1,MATCH(COLUMNS($AD$1006:AF1006),$AD$1006:$AU$1006,0)))),"Fix")))</f>
        <v xml:space="preserve"> </v>
      </c>
      <c r="E901" s="4" t="str">
        <f ca="1">IF(OR(INDEX($X$2:$X$1001,MATCH(ROWS($W$2:W901),$W$2:$W$1001,0),1)&gt;=100000,INDEX($AD$1005:$AU$1005,1,MATCH(COLUMNS($AD$1006:AG1006),$AD$1006:$AU$1006,0))&gt;=100000), " ",IF(INDEX($AD$2:$AU$1001,MATCH(ROWS($W$2:W901),$W$2:$W$1001,0),MATCH(COLUMNS($AD$1006:AG1006),$AD$1006:$AU$1006,0)), HYPERLINK("#",""), HYPERLINK(CONCATENATE("#metadata!", ADDRESS(INDEX($Y$2:$Y$1001,MATCH(ROWS($W$2:W901),$W$2:$W$1001,0),0), INDEX($AD$1004:$AU$1004,1,MATCH(COLUMNS($AD$1006:AG1006),$AD$1006:$AU$1006,0)))),"Fix")))</f>
        <v xml:space="preserve"> </v>
      </c>
      <c r="F901" s="4" t="str">
        <f ca="1">IF(OR(INDEX($X$2:$X$1001,MATCH(ROWS($W$2:W901),$W$2:$W$1001,0),1)&gt;=100000,INDEX($AD$1005:$AU$1005,1,MATCH(COLUMNS($AD$1006:AH1006),$AD$1006:$AU$1006,0))&gt;=100000), " ",IF(INDEX($AD$2:$AU$1001,MATCH(ROWS($W$2:W901),$W$2:$W$1001,0),MATCH(COLUMNS($AD$1006:AH1006),$AD$1006:$AU$1006,0)), HYPERLINK("#",""), HYPERLINK(CONCATENATE("#metadata!", ADDRESS(INDEX($Y$2:$Y$1001,MATCH(ROWS($W$2:W901),$W$2:$W$1001,0),0), INDEX($AD$1004:$AU$1004,1,MATCH(COLUMNS($AD$1006:AH1006),$AD$1006:$AU$1006,0)))),"Fix")))</f>
        <v xml:space="preserve"> </v>
      </c>
      <c r="G901" s="4" t="str">
        <f ca="1">IF(OR(INDEX($X$2:$X$1001,MATCH(ROWS($W$2:W901),$W$2:$W$1001,0),1)&gt;=100000,INDEX($AD$1005:$AU$1005,1,MATCH(COLUMNS($AD$1006:AI1006),$AD$1006:$AU$1006,0))&gt;=100000), " ",IF(INDEX($AD$2:$AU$1001,MATCH(ROWS($W$2:W901),$W$2:$W$1001,0),MATCH(COLUMNS($AD$1006:AI1006),$AD$1006:$AU$1006,0)), HYPERLINK("#",""), HYPERLINK(CONCATENATE("#metadata!", ADDRESS(INDEX($Y$2:$Y$1001,MATCH(ROWS($W$2:W901),$W$2:$W$1001,0),0), INDEX($AD$1004:$AU$1004,1,MATCH(COLUMNS($AD$1006:AI1006),$AD$1006:$AU$1006,0)))),"Fix")))</f>
        <v xml:space="preserve"> </v>
      </c>
      <c r="H901" s="4" t="str">
        <f ca="1">IF(OR(INDEX($X$2:$X$1001,MATCH(ROWS($W$2:W901),$W$2:$W$1001,0),1)&gt;=100000,INDEX($AD$1005:$AU$1005,1,MATCH(COLUMNS($AD$1006:AJ1006),$AD$1006:$AU$1006,0))&gt;=100000), " ",IF(INDEX($AD$2:$AU$1001,MATCH(ROWS($W$2:W901),$W$2:$W$1001,0),MATCH(COLUMNS($AD$1006:AJ1006),$AD$1006:$AU$1006,0)), HYPERLINK("#",""), HYPERLINK(CONCATENATE("#metadata!", ADDRESS(INDEX($Y$2:$Y$1001,MATCH(ROWS($W$2:W901),$W$2:$W$1001,0),0), INDEX($AD$1004:$AU$1004,1,MATCH(COLUMNS($AD$1006:AJ1006),$AD$1006:$AU$1006,0)))),"Fix")))</f>
        <v xml:space="preserve"> </v>
      </c>
      <c r="I901" s="4" t="str">
        <f ca="1">IF(OR(INDEX($X$2:$X$1001,MATCH(ROWS($W$2:W901),$W$2:$W$1001,0),1)&gt;=100000,INDEX($AD$1005:$AU$1005,1,MATCH(COLUMNS($AD$1006:AK1006),$AD$1006:$AU$1006,0))&gt;=100000), " ",IF(INDEX($AD$2:$AU$1001,MATCH(ROWS($W$2:W901),$W$2:$W$1001,0),MATCH(COLUMNS($AD$1006:AK1006),$AD$1006:$AU$1006,0)), HYPERLINK("#",""), HYPERLINK(CONCATENATE("#metadata!", ADDRESS(INDEX($Y$2:$Y$1001,MATCH(ROWS($W$2:W901),$W$2:$W$1001,0),0), INDEX($AD$1004:$AU$1004,1,MATCH(COLUMNS($AD$1006:AK1006),$AD$1006:$AU$1006,0)))),"Fix")))</f>
        <v xml:space="preserve"> </v>
      </c>
      <c r="J901" s="4" t="str">
        <f ca="1">IF(OR(INDEX($X$2:$X$1001,MATCH(ROWS($W$2:W901),$W$2:$W$1001,0),1)&gt;=100000,INDEX($AD$1005:$AU$1005,1,MATCH(COLUMNS($AD$1006:AL1006),$AD$1006:$AU$1006,0))&gt;=100000), " ",IF(INDEX($AD$2:$AU$1001,MATCH(ROWS($W$2:W901),$W$2:$W$1001,0),MATCH(COLUMNS($AD$1006:AL1006),$AD$1006:$AU$1006,0)), HYPERLINK("#",""), HYPERLINK(CONCATENATE("#metadata!", ADDRESS(INDEX($Y$2:$Y$1001,MATCH(ROWS($W$2:W901),$W$2:$W$1001,0),0), INDEX($AD$1004:$AU$1004,1,MATCH(COLUMNS($AD$1006:AL1006),$AD$1006:$AU$1006,0)))),"Fix")))</f>
        <v xml:space="preserve"> </v>
      </c>
      <c r="K901" s="4" t="str">
        <f ca="1">IF(OR(INDEX($X$2:$X$1001,MATCH(ROWS($W$2:W901),$W$2:$W$1001,0),1)&gt;=100000,INDEX($AD$1005:$AU$1005,1,MATCH(COLUMNS($AD$1006:AM1006),$AD$1006:$AU$1006,0))&gt;=100000), " ",IF(INDEX($AD$2:$AU$1001,MATCH(ROWS($W$2:W901),$W$2:$W$1001,0),MATCH(COLUMNS($AD$1006:AM1006),$AD$1006:$AU$1006,0)), HYPERLINK("#",""), HYPERLINK(CONCATENATE("#metadata!", ADDRESS(INDEX($Y$2:$Y$1001,MATCH(ROWS($W$2:W901),$W$2:$W$1001,0),0), INDEX($AD$1004:$AU$1004,1,MATCH(COLUMNS($AD$1006:AM1006),$AD$1006:$AU$1006,0)))),"Fix")))</f>
        <v xml:space="preserve"> </v>
      </c>
      <c r="L901" s="4" t="str">
        <f ca="1">IF(OR(INDEX($X$2:$X$1001,MATCH(ROWS($W$2:W901),$W$2:$W$1001,0),1)&gt;=100000,INDEX($AD$1005:$AU$1005,1,MATCH(COLUMNS($AD$1006:AN1006),$AD$1006:$AU$1006,0))&gt;=100000), " ",IF(INDEX($AD$2:$AU$1001,MATCH(ROWS($W$2:W901),$W$2:$W$1001,0),MATCH(COLUMNS($AD$1006:AN1006),$AD$1006:$AU$1006,0)), HYPERLINK("#",""), HYPERLINK(CONCATENATE("#metadata!", ADDRESS(INDEX($Y$2:$Y$1001,MATCH(ROWS($W$2:W901),$W$2:$W$1001,0),0), INDEX($AD$1004:$AU$1004,1,MATCH(COLUMNS($AD$1006:AN1006),$AD$1006:$AU$1006,0)))),"Fix")))</f>
        <v xml:space="preserve"> </v>
      </c>
      <c r="M901" s="4" t="str">
        <f ca="1">IF(OR(INDEX($X$2:$X$1001,MATCH(ROWS($W$2:W901),$W$2:$W$1001,0),1)&gt;=100000,INDEX($AD$1005:$AU$1005,1,MATCH(COLUMNS($AD$1006:AO1006),$AD$1006:$AU$1006,0))&gt;=100000), " ",IF(INDEX($AD$2:$AU$1001,MATCH(ROWS($W$2:W901),$W$2:$W$1001,0),MATCH(COLUMNS($AD$1006:AO1006),$AD$1006:$AU$1006,0)), HYPERLINK("#",""), HYPERLINK(CONCATENATE("#metadata!", ADDRESS(INDEX($Y$2:$Y$1001,MATCH(ROWS($W$2:W901),$W$2:$W$1001,0),0), INDEX($AD$1004:$AU$1004,1,MATCH(COLUMNS($AD$1006:AO1006),$AD$1006:$AU$1006,0)))),"Fix")))</f>
        <v xml:space="preserve"> </v>
      </c>
      <c r="N901" s="4" t="str">
        <f ca="1">IF(OR(INDEX($X$2:$X$1001,MATCH(ROWS($W$2:W901),$W$2:$W$1001,0),1)&gt;=100000,INDEX($AD$1005:$AU$1005,1,MATCH(COLUMNS($AD$1006:AP1006),$AD$1006:$AU$1006,0))&gt;=100000), " ",IF(INDEX($AD$2:$AU$1001,MATCH(ROWS($W$2:W901),$W$2:$W$1001,0),MATCH(COLUMNS($AD$1006:AP1006),$AD$1006:$AU$1006,0)), HYPERLINK("#",""), HYPERLINK(CONCATENATE("#metadata!", ADDRESS(INDEX($Y$2:$Y$1001,MATCH(ROWS($W$2:W901),$W$2:$W$1001,0),0), INDEX($AD$1004:$AU$1004,1,MATCH(COLUMNS($AD$1006:AP1006),$AD$1006:$AU$1006,0)))),"Fix")))</f>
        <v xml:space="preserve"> </v>
      </c>
      <c r="O901" s="4" t="str">
        <f ca="1">IF(OR(INDEX($X$2:$X$1001,MATCH(ROWS($W$2:W901),$W$2:$W$1001,0),1)&gt;=100000,INDEX($AD$1005:$AU$1005,1,MATCH(COLUMNS($AD$1006:AQ1006),$AD$1006:$AU$1006,0))&gt;=100000), " ",IF(INDEX($AD$2:$AU$1001,MATCH(ROWS($W$2:W901),$W$2:$W$1001,0),MATCH(COLUMNS($AD$1006:AQ1006),$AD$1006:$AU$1006,0)), HYPERLINK("#",""), HYPERLINK(CONCATENATE("#metadata!", ADDRESS(INDEX($Y$2:$Y$1001,MATCH(ROWS($W$2:W901),$W$2:$W$1001,0),0), INDEX($AD$1004:$AU$1004,1,MATCH(COLUMNS($AD$1006:AQ1006),$AD$1006:$AU$1006,0)))),"Fix")))</f>
        <v xml:space="preserve"> </v>
      </c>
      <c r="P901" s="4" t="str">
        <f ca="1">IF(OR(INDEX($X$2:$X$1001,MATCH(ROWS($W$2:W901),$W$2:$W$1001,0),1)&gt;=100000,INDEX($AD$1005:$AU$1005,1,MATCH(COLUMNS($AD$1006:AR1006),$AD$1006:$AU$1006,0))&gt;=100000), " ",IF(INDEX($AD$2:$AU$1001,MATCH(ROWS($W$2:W901),$W$2:$W$1001,0),MATCH(COLUMNS($AD$1006:AR1006),$AD$1006:$AU$1006,0)), HYPERLINK("#",""), HYPERLINK(CONCATENATE("#metadata!", ADDRESS(INDEX($Y$2:$Y$1001,MATCH(ROWS($W$2:W901),$W$2:$W$1001,0),0), INDEX($AD$1004:$AU$1004,1,MATCH(COLUMNS($AD$1006:AR1006),$AD$1006:$AU$1006,0)))),"Fix")))</f>
        <v xml:space="preserve"> </v>
      </c>
      <c r="Q901" s="4" t="str">
        <f ca="1">IF(OR(INDEX($X$2:$X$1001,MATCH(ROWS($W$2:W901),$W$2:$W$1001,0),1)&gt;=100000,INDEX($AD$1005:$AU$1005,1,MATCH(COLUMNS($AD$1006:AS1006),$AD$1006:$AU$1006,0))&gt;=100000), " ",IF(INDEX($AD$2:$AU$1001,MATCH(ROWS($W$2:W901),$W$2:$W$1001,0),MATCH(COLUMNS($AD$1006:AS1006),$AD$1006:$AU$1006,0)), HYPERLINK("#",""), HYPERLINK(CONCATENATE("#metadata!", ADDRESS(INDEX($Y$2:$Y$1001,MATCH(ROWS($W$2:W901),$W$2:$W$1001,0),0), INDEX($AD$1004:$AU$1004,1,MATCH(COLUMNS($AD$1006:AS1006),$AD$1006:$AU$1006,0)))),"Fix")))</f>
        <v xml:space="preserve"> </v>
      </c>
      <c r="R901" s="4" t="str">
        <f ca="1">IF(OR(INDEX($X$2:$X$1001,MATCH(ROWS($W$2:W901),$W$2:$W$1001,0),1)&gt;=100000,INDEX($AD$1005:$AU$1005,1,MATCH(COLUMNS($AD$1006:AT1006),$AD$1006:$AU$1006,0))&gt;=100000), " ",IF(INDEX($AD$2:$AU$1001,MATCH(ROWS($W$2:W901),$W$2:$W$1001,0),MATCH(COLUMNS($AD$1006:AT1006),$AD$1006:$AU$1006,0)), HYPERLINK("#",""), HYPERLINK(CONCATENATE("#metadata!", ADDRESS(INDEX($Y$2:$Y$1001,MATCH(ROWS($W$2:W901),$W$2:$W$1001,0),0), INDEX($AD$1004:$AU$1004,1,MATCH(COLUMNS($AD$1006:AT1006),$AD$1006:$AU$1006,0)))),"Fix")))</f>
        <v xml:space="preserve"> </v>
      </c>
      <c r="S901" s="4" t="str">
        <f ca="1">IF(OR(INDEX($X$2:$X$1001,MATCH(ROWS($W$2:W901),$W$2:$W$1001,0),1)&gt;=100000,INDEX($AD$1005:$AU$1005,1,MATCH(COLUMNS($AD$1006:AU1006),$AD$1006:$AU$1006,0))&gt;=100000), " ",IF(INDEX($AD$2:$AU$1001,MATCH(ROWS($W$2:W901),$W$2:$W$1001,0),MATCH(COLUMNS($AD$1006:AU1006),$AD$1006:$AU$1006,0)), HYPERLINK("#",""), HYPERLINK(CONCATENATE("#metadata!", ADDRESS(INDEX($Y$2:$Y$1001,MATCH(ROWS($W$2:W901),$W$2:$W$1001,0),0), INDEX($AD$1004:$AU$1004,1,MATCH(COLUMNS($AD$1006:AU1006),$AD$1006:$AU$1006,0)))),"Fix")))</f>
        <v xml:space="preserve"> </v>
      </c>
      <c r="W901">
        <v>900</v>
      </c>
      <c r="X901">
        <v>100901</v>
      </c>
      <c r="Y901">
        <v>901</v>
      </c>
      <c r="Z901" t="b">
        <f t="shared" si="14"/>
        <v>1</v>
      </c>
      <c r="AA901" t="b">
        <f>COUNTBLANK(metadata!B901:S901)=COLUMNS(metadata!B901:S901)</f>
        <v>1</v>
      </c>
      <c r="AB901" t="str">
        <v/>
      </c>
      <c r="AD901" t="b">
        <f ca="1">AND(IF(metadata!B901="",FALSE,TRUE),COUNTIF(metadata!B:B, metadata!B901) = 1,NOT(ISERROR(SUMPRODUCT(SEARCH(MID(metadata!B901,ROW(INDIRECT("1:"&amp;LEN(metadata!B901))), 1),"0123456789abcdefghijklmnopqrstuvwxyzABCDEFGHIJKLMNOPQRSTUVWXYZ.")))))</f>
        <v>0</v>
      </c>
      <c r="AE901" t="b">
        <f>OR(AND(IF(metadata!C901="",FALSE,TRUE),OR(EXACT(metadata!C901,"not applicable"),EXACT(metadata!C901,"missing: not collected"),EXACT(metadata!C901,"missing: not provided"),EXACT(metadata!C901,"missing: restricted access"))),AND(IF(metadata!C901="",FALSE,ISNUMBER(VALUE(metadata!C901))),metadata!C901&gt;0))</f>
        <v>0</v>
      </c>
      <c r="AF901" t="b">
        <f>AND(IF(metadata!D901="",FALSE,TRUE),EXACT(metadata!D901,"missing: not provided"))</f>
        <v>0</v>
      </c>
      <c r="AG901" t="b">
        <f>AND(IF(metadata!E901="",FALSE,TRUE),EXACT(metadata!E901,"Host-associated"))</f>
        <v>0</v>
      </c>
      <c r="AH901" t="b">
        <f>AND(IF(metadata!F901="",FALSE,TRUE),OR(EXACT(metadata!F901,"Animal"),EXACT(metadata!F901,"Fungus"),EXACT(metadata!F901,"Plant")))</f>
        <v>0</v>
      </c>
      <c r="AI901" t="b">
        <f>AND(IF(metadata!G901="",FALSE,TRUE),OR(EXACT(metadata!G901,"Plant secretion"),EXACT(metadata!G901,"Plant rhizosphere"),EXACT(metadata!G901,"Plant surface"),EXACT(metadata!G901,"Plant corpus"),EXACT(metadata!G901,"Fungus surface"),EXACT(metadata!G901,"Fungus corpus"),EXACT(metadata!G901,"Animal surface"),EXACT(metadata!G901,"Animal proximal gut"),EXACT(metadata!G901,"Animal corpus"),EXACT(metadata!G901,"Animal distal gut"),EXACT(metadata!G901,"Animal secretion")))</f>
        <v>0</v>
      </c>
      <c r="AJ901" t="b">
        <f>OR(AND(IF(metadata!H901="",FALSE,TRUE),OR(EXACT(metadata!H901,"missing: not collected"),EXACT(metadata!H901,"missing: not provided"),EXACT(metadata!H901,"missing: restricted access"))),AND(IF(metadata!H901="",FALSE,TRUE),OR(EXACT(metadata!H901,"organism-associated habitat"),EXACT(metadata!H901,"plant-associated habitat"),EXACT(metadata!H901,"animal-associated habitat"),EXACT(metadata!H901,"insecta-associated habitat"),EXACT(metadata!H901,"mammalia-associated habitat"),EXACT(metadata!H901,"human-associated habitat"),EXACT(metadata!H901,"livestock-associated habitat"))))</f>
        <v>0</v>
      </c>
      <c r="AK901" t="b">
        <f>AND(IF(metadata!I901="",FALSE,TRUE),EXACT(metadata!I901,"host-associated"))</f>
        <v>0</v>
      </c>
      <c r="AL901" t="b">
        <f>OR(AND(IF(metadata!J901="",FALSE,TRUE),OR(EXACT(metadata!J901,"not applicable"),EXACT(metadata!J901,"missing: not collected"),EXACT(metadata!J901,"missing: not provided"),EXACT(metadata!J901,"missing: restricted access"))),AND(IF(metadata!J901="",FALSE,ISNUMBER(VALUE(metadata!J901))),metadata!J901&gt;0))</f>
        <v>0</v>
      </c>
      <c r="AM901" t="b">
        <f>AND(IF(metadata!K901="",FALSE,TRUE),EXACT(metadata!K901,"missing: not provided"))</f>
        <v>0</v>
      </c>
      <c r="AN901" t="b">
        <f>IF(metadata!L901="",FALSE,TRUE)</f>
        <v>0</v>
      </c>
      <c r="AO901" t="b">
        <f>IF(metadata!M901="",FALSE,TRUE)</f>
        <v>0</v>
      </c>
      <c r="AP901" t="b">
        <f>OR(AND(IF(metadata!N901="",FALSE,TRUE),OR(EXACT(metadata!N901,"not applicable"),EXACT(metadata!N901,"missing: not collected"),EXACT(metadata!N901,"missing: not provided"))),AND(IF(metadata!N901="",FALSE,IF(ISERROR(INT(metadata!N901)),FALSE,INT(metadata!N901)=metadata!N901)),metadata!N901&gt;0))</f>
        <v>0</v>
      </c>
      <c r="AQ901" t="b">
        <f>AND(IF(metadata!O901="",FALSE,TRUE),EXACT(metadata!O901,"Not applicable"))</f>
        <v>0</v>
      </c>
      <c r="AR901" t="b">
        <f>OR(AND(IF(metadata!P901="",FALSE,TRUE),OR(EXACT(metadata!P901,"not applicable"),EXACT(metadata!P901,"missing: not collected"),EXACT(metadata!P901,"missing: not provided"),EXACT(metadata!P901,"missing: restricted access"))),IF(metadata!P901="",FALSE,IF(ISERROR(INT(metadata!P901)),FALSE,INT(metadata!P901)=metadata!P901)))</f>
        <v>0</v>
      </c>
      <c r="AS901" t="b">
        <f>AND(IF(metadata!Q901="",FALSE,TRUE),EXACT(metadata!Q901,"Not applicable"))</f>
        <v>0</v>
      </c>
      <c r="AT901" t="b">
        <f>OR(AND(IF(metadata!R901="",FALSE,TRUE),OR(EXACT(metadata!R901,"not applicable"),EXACT(metadata!R901,"missing: not collected"),EXACT(metadata!R901,"missing: not provided"),EXACT(metadata!R901,"missing: restricted access"))),AND(IF(metadata!R901="",FALSE,ISNUMBER(VALUE(metadata!R901))),metadata!R901&gt;0))</f>
        <v>0</v>
      </c>
      <c r="AU901" t="b">
        <f>AND(IF(metadata!S901="",FALSE,TRUE),EXACT(metadata!S901,"missing: not provided"))</f>
        <v>0</v>
      </c>
    </row>
    <row r="902" spans="1:47" x14ac:dyDescent="0.2">
      <c r="A902" s="5" t="str">
        <f ca="1">IF(B902=" "," ",HYPERLINK(CONCATENATE("#metadata!",ADDRESS(INDEX($Y$2:$Y$1001,MATCH(ROWS($W$2:W902),$W$2:$W$1001,0),0),1)),INDEX($AB$2:$AB$1001,MATCH(ROWS($W$2:W902),$W$2:$W$1001,0),0)))</f>
        <v xml:space="preserve"> </v>
      </c>
      <c r="B902" s="4" t="str">
        <f ca="1">IF(OR(INDEX($X$2:$X$1001,MATCH(ROWS($W$2:W902),$W$2:$W$1001,0),1)&gt;=100000,INDEX($AD$1005:$AU$1005,1,MATCH(COLUMNS($AD$1006:AD1006),$AD$1006:$AU$1006,0))&gt;=100000), " ",IF(INDEX($AD$2:$AU$1001,MATCH(ROWS($W$2:W902),$W$2:$W$1001,0),MATCH(COLUMNS($AD$1006:AD1006),$AD$1006:$AU$1006,0)), HYPERLINK("#",""), HYPERLINK(CONCATENATE("#metadata!", ADDRESS(INDEX($Y$2:$Y$1001,MATCH(ROWS($W$2:W902),$W$2:$W$1001,0),0), INDEX($AD$1004:$AU$1004,1,MATCH(COLUMNS($AD$1006:AD1006),$AD$1006:$AU$1006,0)))),"Fix")))</f>
        <v xml:space="preserve"> </v>
      </c>
      <c r="C902" s="4" t="str">
        <f ca="1">IF(OR(INDEX($X$2:$X$1001,MATCH(ROWS($W$2:W902),$W$2:$W$1001,0),1)&gt;=100000,INDEX($AD$1005:$AU$1005,1,MATCH(COLUMNS($AD$1006:AE1006),$AD$1006:$AU$1006,0))&gt;=100000), " ",IF(INDEX($AD$2:$AU$1001,MATCH(ROWS($W$2:W902),$W$2:$W$1001,0),MATCH(COLUMNS($AD$1006:AE1006),$AD$1006:$AU$1006,0)), HYPERLINK("#",""), HYPERLINK(CONCATENATE("#metadata!", ADDRESS(INDEX($Y$2:$Y$1001,MATCH(ROWS($W$2:W902),$W$2:$W$1001,0),0), INDEX($AD$1004:$AU$1004,1,MATCH(COLUMNS($AD$1006:AE1006),$AD$1006:$AU$1006,0)))),"Fix")))</f>
        <v xml:space="preserve"> </v>
      </c>
      <c r="D902" s="4" t="str">
        <f ca="1">IF(OR(INDEX($X$2:$X$1001,MATCH(ROWS($W$2:W902),$W$2:$W$1001,0),1)&gt;=100000,INDEX($AD$1005:$AU$1005,1,MATCH(COLUMNS($AD$1006:AF1006),$AD$1006:$AU$1006,0))&gt;=100000), " ",IF(INDEX($AD$2:$AU$1001,MATCH(ROWS($W$2:W902),$W$2:$W$1001,0),MATCH(COLUMNS($AD$1006:AF1006),$AD$1006:$AU$1006,0)), HYPERLINK("#",""), HYPERLINK(CONCATENATE("#metadata!", ADDRESS(INDEX($Y$2:$Y$1001,MATCH(ROWS($W$2:W902),$W$2:$W$1001,0),0), INDEX($AD$1004:$AU$1004,1,MATCH(COLUMNS($AD$1006:AF1006),$AD$1006:$AU$1006,0)))),"Fix")))</f>
        <v xml:space="preserve"> </v>
      </c>
      <c r="E902" s="4" t="str">
        <f ca="1">IF(OR(INDEX($X$2:$X$1001,MATCH(ROWS($W$2:W902),$W$2:$W$1001,0),1)&gt;=100000,INDEX($AD$1005:$AU$1005,1,MATCH(COLUMNS($AD$1006:AG1006),$AD$1006:$AU$1006,0))&gt;=100000), " ",IF(INDEX($AD$2:$AU$1001,MATCH(ROWS($W$2:W902),$W$2:$W$1001,0),MATCH(COLUMNS($AD$1006:AG1006),$AD$1006:$AU$1006,0)), HYPERLINK("#",""), HYPERLINK(CONCATENATE("#metadata!", ADDRESS(INDEX($Y$2:$Y$1001,MATCH(ROWS($W$2:W902),$W$2:$W$1001,0),0), INDEX($AD$1004:$AU$1004,1,MATCH(COLUMNS($AD$1006:AG1006),$AD$1006:$AU$1006,0)))),"Fix")))</f>
        <v xml:space="preserve"> </v>
      </c>
      <c r="F902" s="4" t="str">
        <f ca="1">IF(OR(INDEX($X$2:$X$1001,MATCH(ROWS($W$2:W902),$W$2:$W$1001,0),1)&gt;=100000,INDEX($AD$1005:$AU$1005,1,MATCH(COLUMNS($AD$1006:AH1006),$AD$1006:$AU$1006,0))&gt;=100000), " ",IF(INDEX($AD$2:$AU$1001,MATCH(ROWS($W$2:W902),$W$2:$W$1001,0),MATCH(COLUMNS($AD$1006:AH1006),$AD$1006:$AU$1006,0)), HYPERLINK("#",""), HYPERLINK(CONCATENATE("#metadata!", ADDRESS(INDEX($Y$2:$Y$1001,MATCH(ROWS($W$2:W902),$W$2:$W$1001,0),0), INDEX($AD$1004:$AU$1004,1,MATCH(COLUMNS($AD$1006:AH1006),$AD$1006:$AU$1006,0)))),"Fix")))</f>
        <v xml:space="preserve"> </v>
      </c>
      <c r="G902" s="4" t="str">
        <f ca="1">IF(OR(INDEX($X$2:$X$1001,MATCH(ROWS($W$2:W902),$W$2:$W$1001,0),1)&gt;=100000,INDEX($AD$1005:$AU$1005,1,MATCH(COLUMNS($AD$1006:AI1006),$AD$1006:$AU$1006,0))&gt;=100000), " ",IF(INDEX($AD$2:$AU$1001,MATCH(ROWS($W$2:W902),$W$2:$W$1001,0),MATCH(COLUMNS($AD$1006:AI1006),$AD$1006:$AU$1006,0)), HYPERLINK("#",""), HYPERLINK(CONCATENATE("#metadata!", ADDRESS(INDEX($Y$2:$Y$1001,MATCH(ROWS($W$2:W902),$W$2:$W$1001,0),0), INDEX($AD$1004:$AU$1004,1,MATCH(COLUMNS($AD$1006:AI1006),$AD$1006:$AU$1006,0)))),"Fix")))</f>
        <v xml:space="preserve"> </v>
      </c>
      <c r="H902" s="4" t="str">
        <f ca="1">IF(OR(INDEX($X$2:$X$1001,MATCH(ROWS($W$2:W902),$W$2:$W$1001,0),1)&gt;=100000,INDEX($AD$1005:$AU$1005,1,MATCH(COLUMNS($AD$1006:AJ1006),$AD$1006:$AU$1006,0))&gt;=100000), " ",IF(INDEX($AD$2:$AU$1001,MATCH(ROWS($W$2:W902),$W$2:$W$1001,0),MATCH(COLUMNS($AD$1006:AJ1006),$AD$1006:$AU$1006,0)), HYPERLINK("#",""), HYPERLINK(CONCATENATE("#metadata!", ADDRESS(INDEX($Y$2:$Y$1001,MATCH(ROWS($W$2:W902),$W$2:$W$1001,0),0), INDEX($AD$1004:$AU$1004,1,MATCH(COLUMNS($AD$1006:AJ1006),$AD$1006:$AU$1006,0)))),"Fix")))</f>
        <v xml:space="preserve"> </v>
      </c>
      <c r="I902" s="4" t="str">
        <f ca="1">IF(OR(INDEX($X$2:$X$1001,MATCH(ROWS($W$2:W902),$W$2:$W$1001,0),1)&gt;=100000,INDEX($AD$1005:$AU$1005,1,MATCH(COLUMNS($AD$1006:AK1006),$AD$1006:$AU$1006,0))&gt;=100000), " ",IF(INDEX($AD$2:$AU$1001,MATCH(ROWS($W$2:W902),$W$2:$W$1001,0),MATCH(COLUMNS($AD$1006:AK1006),$AD$1006:$AU$1006,0)), HYPERLINK("#",""), HYPERLINK(CONCATENATE("#metadata!", ADDRESS(INDEX($Y$2:$Y$1001,MATCH(ROWS($W$2:W902),$W$2:$W$1001,0),0), INDEX($AD$1004:$AU$1004,1,MATCH(COLUMNS($AD$1006:AK1006),$AD$1006:$AU$1006,0)))),"Fix")))</f>
        <v xml:space="preserve"> </v>
      </c>
      <c r="J902" s="4" t="str">
        <f ca="1">IF(OR(INDEX($X$2:$X$1001,MATCH(ROWS($W$2:W902),$W$2:$W$1001,0),1)&gt;=100000,INDEX($AD$1005:$AU$1005,1,MATCH(COLUMNS($AD$1006:AL1006),$AD$1006:$AU$1006,0))&gt;=100000), " ",IF(INDEX($AD$2:$AU$1001,MATCH(ROWS($W$2:W902),$W$2:$W$1001,0),MATCH(COLUMNS($AD$1006:AL1006),$AD$1006:$AU$1006,0)), HYPERLINK("#",""), HYPERLINK(CONCATENATE("#metadata!", ADDRESS(INDEX($Y$2:$Y$1001,MATCH(ROWS($W$2:W902),$W$2:$W$1001,0),0), INDEX($AD$1004:$AU$1004,1,MATCH(COLUMNS($AD$1006:AL1006),$AD$1006:$AU$1006,0)))),"Fix")))</f>
        <v xml:space="preserve"> </v>
      </c>
      <c r="K902" s="4" t="str">
        <f ca="1">IF(OR(INDEX($X$2:$X$1001,MATCH(ROWS($W$2:W902),$W$2:$W$1001,0),1)&gt;=100000,INDEX($AD$1005:$AU$1005,1,MATCH(COLUMNS($AD$1006:AM1006),$AD$1006:$AU$1006,0))&gt;=100000), " ",IF(INDEX($AD$2:$AU$1001,MATCH(ROWS($W$2:W902),$W$2:$W$1001,0),MATCH(COLUMNS($AD$1006:AM1006),$AD$1006:$AU$1006,0)), HYPERLINK("#",""), HYPERLINK(CONCATENATE("#metadata!", ADDRESS(INDEX($Y$2:$Y$1001,MATCH(ROWS($W$2:W902),$W$2:$W$1001,0),0), INDEX($AD$1004:$AU$1004,1,MATCH(COLUMNS($AD$1006:AM1006),$AD$1006:$AU$1006,0)))),"Fix")))</f>
        <v xml:space="preserve"> </v>
      </c>
      <c r="L902" s="4" t="str">
        <f ca="1">IF(OR(INDEX($X$2:$X$1001,MATCH(ROWS($W$2:W902),$W$2:$W$1001,0),1)&gt;=100000,INDEX($AD$1005:$AU$1005,1,MATCH(COLUMNS($AD$1006:AN1006),$AD$1006:$AU$1006,0))&gt;=100000), " ",IF(INDEX($AD$2:$AU$1001,MATCH(ROWS($W$2:W902),$W$2:$W$1001,0),MATCH(COLUMNS($AD$1006:AN1006),$AD$1006:$AU$1006,0)), HYPERLINK("#",""), HYPERLINK(CONCATENATE("#metadata!", ADDRESS(INDEX($Y$2:$Y$1001,MATCH(ROWS($W$2:W902),$W$2:$W$1001,0),0), INDEX($AD$1004:$AU$1004,1,MATCH(COLUMNS($AD$1006:AN1006),$AD$1006:$AU$1006,0)))),"Fix")))</f>
        <v xml:space="preserve"> </v>
      </c>
      <c r="M902" s="4" t="str">
        <f ca="1">IF(OR(INDEX($X$2:$X$1001,MATCH(ROWS($W$2:W902),$W$2:$W$1001,0),1)&gt;=100000,INDEX($AD$1005:$AU$1005,1,MATCH(COLUMNS($AD$1006:AO1006),$AD$1006:$AU$1006,0))&gt;=100000), " ",IF(INDEX($AD$2:$AU$1001,MATCH(ROWS($W$2:W902),$W$2:$W$1001,0),MATCH(COLUMNS($AD$1006:AO1006),$AD$1006:$AU$1006,0)), HYPERLINK("#",""), HYPERLINK(CONCATENATE("#metadata!", ADDRESS(INDEX($Y$2:$Y$1001,MATCH(ROWS($W$2:W902),$W$2:$W$1001,0),0), INDEX($AD$1004:$AU$1004,1,MATCH(COLUMNS($AD$1006:AO1006),$AD$1006:$AU$1006,0)))),"Fix")))</f>
        <v xml:space="preserve"> </v>
      </c>
      <c r="N902" s="4" t="str">
        <f ca="1">IF(OR(INDEX($X$2:$X$1001,MATCH(ROWS($W$2:W902),$W$2:$W$1001,0),1)&gt;=100000,INDEX($AD$1005:$AU$1005,1,MATCH(COLUMNS($AD$1006:AP1006),$AD$1006:$AU$1006,0))&gt;=100000), " ",IF(INDEX($AD$2:$AU$1001,MATCH(ROWS($W$2:W902),$W$2:$W$1001,0),MATCH(COLUMNS($AD$1006:AP1006),$AD$1006:$AU$1006,0)), HYPERLINK("#",""), HYPERLINK(CONCATENATE("#metadata!", ADDRESS(INDEX($Y$2:$Y$1001,MATCH(ROWS($W$2:W902),$W$2:$W$1001,0),0), INDEX($AD$1004:$AU$1004,1,MATCH(COLUMNS($AD$1006:AP1006),$AD$1006:$AU$1006,0)))),"Fix")))</f>
        <v xml:space="preserve"> </v>
      </c>
      <c r="O902" s="4" t="str">
        <f ca="1">IF(OR(INDEX($X$2:$X$1001,MATCH(ROWS($W$2:W902),$W$2:$W$1001,0),1)&gt;=100000,INDEX($AD$1005:$AU$1005,1,MATCH(COLUMNS($AD$1006:AQ1006),$AD$1006:$AU$1006,0))&gt;=100000), " ",IF(INDEX($AD$2:$AU$1001,MATCH(ROWS($W$2:W902),$W$2:$W$1001,0),MATCH(COLUMNS($AD$1006:AQ1006),$AD$1006:$AU$1006,0)), HYPERLINK("#",""), HYPERLINK(CONCATENATE("#metadata!", ADDRESS(INDEX($Y$2:$Y$1001,MATCH(ROWS($W$2:W902),$W$2:$W$1001,0),0), INDEX($AD$1004:$AU$1004,1,MATCH(COLUMNS($AD$1006:AQ1006),$AD$1006:$AU$1006,0)))),"Fix")))</f>
        <v xml:space="preserve"> </v>
      </c>
      <c r="P902" s="4" t="str">
        <f ca="1">IF(OR(INDEX($X$2:$X$1001,MATCH(ROWS($W$2:W902),$W$2:$W$1001,0),1)&gt;=100000,INDEX($AD$1005:$AU$1005,1,MATCH(COLUMNS($AD$1006:AR1006),$AD$1006:$AU$1006,0))&gt;=100000), " ",IF(INDEX($AD$2:$AU$1001,MATCH(ROWS($W$2:W902),$W$2:$W$1001,0),MATCH(COLUMNS($AD$1006:AR1006),$AD$1006:$AU$1006,0)), HYPERLINK("#",""), HYPERLINK(CONCATENATE("#metadata!", ADDRESS(INDEX($Y$2:$Y$1001,MATCH(ROWS($W$2:W902),$W$2:$W$1001,0),0), INDEX($AD$1004:$AU$1004,1,MATCH(COLUMNS($AD$1006:AR1006),$AD$1006:$AU$1006,0)))),"Fix")))</f>
        <v xml:space="preserve"> </v>
      </c>
      <c r="Q902" s="4" t="str">
        <f ca="1">IF(OR(INDEX($X$2:$X$1001,MATCH(ROWS($W$2:W902),$W$2:$W$1001,0),1)&gt;=100000,INDEX($AD$1005:$AU$1005,1,MATCH(COLUMNS($AD$1006:AS1006),$AD$1006:$AU$1006,0))&gt;=100000), " ",IF(INDEX($AD$2:$AU$1001,MATCH(ROWS($W$2:W902),$W$2:$W$1001,0),MATCH(COLUMNS($AD$1006:AS1006),$AD$1006:$AU$1006,0)), HYPERLINK("#",""), HYPERLINK(CONCATENATE("#metadata!", ADDRESS(INDEX($Y$2:$Y$1001,MATCH(ROWS($W$2:W902),$W$2:$W$1001,0),0), INDEX($AD$1004:$AU$1004,1,MATCH(COLUMNS($AD$1006:AS1006),$AD$1006:$AU$1006,0)))),"Fix")))</f>
        <v xml:space="preserve"> </v>
      </c>
      <c r="R902" s="4" t="str">
        <f ca="1">IF(OR(INDEX($X$2:$X$1001,MATCH(ROWS($W$2:W902),$W$2:$W$1001,0),1)&gt;=100000,INDEX($AD$1005:$AU$1005,1,MATCH(COLUMNS($AD$1006:AT1006),$AD$1006:$AU$1006,0))&gt;=100000), " ",IF(INDEX($AD$2:$AU$1001,MATCH(ROWS($W$2:W902),$W$2:$W$1001,0),MATCH(COLUMNS($AD$1006:AT1006),$AD$1006:$AU$1006,0)), HYPERLINK("#",""), HYPERLINK(CONCATENATE("#metadata!", ADDRESS(INDEX($Y$2:$Y$1001,MATCH(ROWS($W$2:W902),$W$2:$W$1001,0),0), INDEX($AD$1004:$AU$1004,1,MATCH(COLUMNS($AD$1006:AT1006),$AD$1006:$AU$1006,0)))),"Fix")))</f>
        <v xml:space="preserve"> </v>
      </c>
      <c r="S902" s="4" t="str">
        <f ca="1">IF(OR(INDEX($X$2:$X$1001,MATCH(ROWS($W$2:W902),$W$2:$W$1001,0),1)&gt;=100000,INDEX($AD$1005:$AU$1005,1,MATCH(COLUMNS($AD$1006:AU1006),$AD$1006:$AU$1006,0))&gt;=100000), " ",IF(INDEX($AD$2:$AU$1001,MATCH(ROWS($W$2:W902),$W$2:$W$1001,0),MATCH(COLUMNS($AD$1006:AU1006),$AD$1006:$AU$1006,0)), HYPERLINK("#",""), HYPERLINK(CONCATENATE("#metadata!", ADDRESS(INDEX($Y$2:$Y$1001,MATCH(ROWS($W$2:W902),$W$2:$W$1001,0),0), INDEX($AD$1004:$AU$1004,1,MATCH(COLUMNS($AD$1006:AU1006),$AD$1006:$AU$1006,0)))),"Fix")))</f>
        <v xml:space="preserve"> </v>
      </c>
      <c r="W902">
        <v>901</v>
      </c>
      <c r="X902">
        <v>100902</v>
      </c>
      <c r="Y902">
        <v>902</v>
      </c>
      <c r="Z902" t="b">
        <f t="shared" si="14"/>
        <v>1</v>
      </c>
      <c r="AA902" t="b">
        <f>COUNTBLANK(metadata!B902:S902)=COLUMNS(metadata!B902:S902)</f>
        <v>1</v>
      </c>
      <c r="AB902" t="str">
        <v/>
      </c>
      <c r="AD902" t="b">
        <f ca="1">AND(IF(metadata!B902="",FALSE,TRUE),COUNTIF(metadata!B:B, metadata!B902) = 1,NOT(ISERROR(SUMPRODUCT(SEARCH(MID(metadata!B902,ROW(INDIRECT("1:"&amp;LEN(metadata!B902))), 1),"0123456789abcdefghijklmnopqrstuvwxyzABCDEFGHIJKLMNOPQRSTUVWXYZ.")))))</f>
        <v>0</v>
      </c>
      <c r="AE902" t="b">
        <f>OR(AND(IF(metadata!C902="",FALSE,TRUE),OR(EXACT(metadata!C902,"not applicable"),EXACT(metadata!C902,"missing: not collected"),EXACT(metadata!C902,"missing: not provided"),EXACT(metadata!C902,"missing: restricted access"))),AND(IF(metadata!C902="",FALSE,ISNUMBER(VALUE(metadata!C902))),metadata!C902&gt;0))</f>
        <v>0</v>
      </c>
      <c r="AF902" t="b">
        <f>AND(IF(metadata!D902="",FALSE,TRUE),EXACT(metadata!D902,"missing: not provided"))</f>
        <v>0</v>
      </c>
      <c r="AG902" t="b">
        <f>AND(IF(metadata!E902="",FALSE,TRUE),EXACT(metadata!E902,"Host-associated"))</f>
        <v>0</v>
      </c>
      <c r="AH902" t="b">
        <f>AND(IF(metadata!F902="",FALSE,TRUE),OR(EXACT(metadata!F902,"Animal"),EXACT(metadata!F902,"Fungus"),EXACT(metadata!F902,"Plant")))</f>
        <v>0</v>
      </c>
      <c r="AI902" t="b">
        <f>AND(IF(metadata!G902="",FALSE,TRUE),OR(EXACT(metadata!G902,"Plant secretion"),EXACT(metadata!G902,"Plant rhizosphere"),EXACT(metadata!G902,"Plant surface"),EXACT(metadata!G902,"Plant corpus"),EXACT(metadata!G902,"Fungus surface"),EXACT(metadata!G902,"Fungus corpus"),EXACT(metadata!G902,"Animal surface"),EXACT(metadata!G902,"Animal proximal gut"),EXACT(metadata!G902,"Animal corpus"),EXACT(metadata!G902,"Animal distal gut"),EXACT(metadata!G902,"Animal secretion")))</f>
        <v>0</v>
      </c>
      <c r="AJ902" t="b">
        <f>OR(AND(IF(metadata!H902="",FALSE,TRUE),OR(EXACT(metadata!H902,"missing: not collected"),EXACT(metadata!H902,"missing: not provided"),EXACT(metadata!H902,"missing: restricted access"))),AND(IF(metadata!H902="",FALSE,TRUE),OR(EXACT(metadata!H902,"organism-associated habitat"),EXACT(metadata!H902,"plant-associated habitat"),EXACT(metadata!H902,"animal-associated habitat"),EXACT(metadata!H902,"insecta-associated habitat"),EXACT(metadata!H902,"mammalia-associated habitat"),EXACT(metadata!H902,"human-associated habitat"),EXACT(metadata!H902,"livestock-associated habitat"))))</f>
        <v>0</v>
      </c>
      <c r="AK902" t="b">
        <f>AND(IF(metadata!I902="",FALSE,TRUE),EXACT(metadata!I902,"host-associated"))</f>
        <v>0</v>
      </c>
      <c r="AL902" t="b">
        <f>OR(AND(IF(metadata!J902="",FALSE,TRUE),OR(EXACT(metadata!J902,"not applicable"),EXACT(metadata!J902,"missing: not collected"),EXACT(metadata!J902,"missing: not provided"),EXACT(metadata!J902,"missing: restricted access"))),AND(IF(metadata!J902="",FALSE,ISNUMBER(VALUE(metadata!J902))),metadata!J902&gt;0))</f>
        <v>0</v>
      </c>
      <c r="AM902" t="b">
        <f>AND(IF(metadata!K902="",FALSE,TRUE),EXACT(metadata!K902,"missing: not provided"))</f>
        <v>0</v>
      </c>
      <c r="AN902" t="b">
        <f>IF(metadata!L902="",FALSE,TRUE)</f>
        <v>0</v>
      </c>
      <c r="AO902" t="b">
        <f>IF(metadata!M902="",FALSE,TRUE)</f>
        <v>0</v>
      </c>
      <c r="AP902" t="b">
        <f>OR(AND(IF(metadata!N902="",FALSE,TRUE),OR(EXACT(metadata!N902,"not applicable"),EXACT(metadata!N902,"missing: not collected"),EXACT(metadata!N902,"missing: not provided"))),AND(IF(metadata!N902="",FALSE,IF(ISERROR(INT(metadata!N902)),FALSE,INT(metadata!N902)=metadata!N902)),metadata!N902&gt;0))</f>
        <v>0</v>
      </c>
      <c r="AQ902" t="b">
        <f>AND(IF(metadata!O902="",FALSE,TRUE),EXACT(metadata!O902,"Not applicable"))</f>
        <v>0</v>
      </c>
      <c r="AR902" t="b">
        <f>OR(AND(IF(metadata!P902="",FALSE,TRUE),OR(EXACT(metadata!P902,"not applicable"),EXACT(metadata!P902,"missing: not collected"),EXACT(metadata!P902,"missing: not provided"),EXACT(metadata!P902,"missing: restricted access"))),IF(metadata!P902="",FALSE,IF(ISERROR(INT(metadata!P902)),FALSE,INT(metadata!P902)=metadata!P902)))</f>
        <v>0</v>
      </c>
      <c r="AS902" t="b">
        <f>AND(IF(metadata!Q902="",FALSE,TRUE),EXACT(metadata!Q902,"Not applicable"))</f>
        <v>0</v>
      </c>
      <c r="AT902" t="b">
        <f>OR(AND(IF(metadata!R902="",FALSE,TRUE),OR(EXACT(metadata!R902,"not applicable"),EXACT(metadata!R902,"missing: not collected"),EXACT(metadata!R902,"missing: not provided"),EXACT(metadata!R902,"missing: restricted access"))),AND(IF(metadata!R902="",FALSE,ISNUMBER(VALUE(metadata!R902))),metadata!R902&gt;0))</f>
        <v>0</v>
      </c>
      <c r="AU902" t="b">
        <f>AND(IF(metadata!S902="",FALSE,TRUE),EXACT(metadata!S902,"missing: not provided"))</f>
        <v>0</v>
      </c>
    </row>
    <row r="903" spans="1:47" x14ac:dyDescent="0.2">
      <c r="A903" s="5" t="str">
        <f ca="1">IF(B903=" "," ",HYPERLINK(CONCATENATE("#metadata!",ADDRESS(INDEX($Y$2:$Y$1001,MATCH(ROWS($W$2:W903),$W$2:$W$1001,0),0),1)),INDEX($AB$2:$AB$1001,MATCH(ROWS($W$2:W903),$W$2:$W$1001,0),0)))</f>
        <v xml:space="preserve"> </v>
      </c>
      <c r="B903" s="4" t="str">
        <f ca="1">IF(OR(INDEX($X$2:$X$1001,MATCH(ROWS($W$2:W903),$W$2:$W$1001,0),1)&gt;=100000,INDEX($AD$1005:$AU$1005,1,MATCH(COLUMNS($AD$1006:AD1006),$AD$1006:$AU$1006,0))&gt;=100000), " ",IF(INDEX($AD$2:$AU$1001,MATCH(ROWS($W$2:W903),$W$2:$W$1001,0),MATCH(COLUMNS($AD$1006:AD1006),$AD$1006:$AU$1006,0)), HYPERLINK("#",""), HYPERLINK(CONCATENATE("#metadata!", ADDRESS(INDEX($Y$2:$Y$1001,MATCH(ROWS($W$2:W903),$W$2:$W$1001,0),0), INDEX($AD$1004:$AU$1004,1,MATCH(COLUMNS($AD$1006:AD1006),$AD$1006:$AU$1006,0)))),"Fix")))</f>
        <v xml:space="preserve"> </v>
      </c>
      <c r="C903" s="4" t="str">
        <f ca="1">IF(OR(INDEX($X$2:$X$1001,MATCH(ROWS($W$2:W903),$W$2:$W$1001,0),1)&gt;=100000,INDEX($AD$1005:$AU$1005,1,MATCH(COLUMNS($AD$1006:AE1006),$AD$1006:$AU$1006,0))&gt;=100000), " ",IF(INDEX($AD$2:$AU$1001,MATCH(ROWS($W$2:W903),$W$2:$W$1001,0),MATCH(COLUMNS($AD$1006:AE1006),$AD$1006:$AU$1006,0)), HYPERLINK("#",""), HYPERLINK(CONCATENATE("#metadata!", ADDRESS(INDEX($Y$2:$Y$1001,MATCH(ROWS($W$2:W903),$W$2:$W$1001,0),0), INDEX($AD$1004:$AU$1004,1,MATCH(COLUMNS($AD$1006:AE1006),$AD$1006:$AU$1006,0)))),"Fix")))</f>
        <v xml:space="preserve"> </v>
      </c>
      <c r="D903" s="4" t="str">
        <f ca="1">IF(OR(INDEX($X$2:$X$1001,MATCH(ROWS($W$2:W903),$W$2:$W$1001,0),1)&gt;=100000,INDEX($AD$1005:$AU$1005,1,MATCH(COLUMNS($AD$1006:AF1006),$AD$1006:$AU$1006,0))&gt;=100000), " ",IF(INDEX($AD$2:$AU$1001,MATCH(ROWS($W$2:W903),$W$2:$W$1001,0),MATCH(COLUMNS($AD$1006:AF1006),$AD$1006:$AU$1006,0)), HYPERLINK("#",""), HYPERLINK(CONCATENATE("#metadata!", ADDRESS(INDEX($Y$2:$Y$1001,MATCH(ROWS($W$2:W903),$W$2:$W$1001,0),0), INDEX($AD$1004:$AU$1004,1,MATCH(COLUMNS($AD$1006:AF1006),$AD$1006:$AU$1006,0)))),"Fix")))</f>
        <v xml:space="preserve"> </v>
      </c>
      <c r="E903" s="4" t="str">
        <f ca="1">IF(OR(INDEX($X$2:$X$1001,MATCH(ROWS($W$2:W903),$W$2:$W$1001,0),1)&gt;=100000,INDEX($AD$1005:$AU$1005,1,MATCH(COLUMNS($AD$1006:AG1006),$AD$1006:$AU$1006,0))&gt;=100000), " ",IF(INDEX($AD$2:$AU$1001,MATCH(ROWS($W$2:W903),$W$2:$W$1001,0),MATCH(COLUMNS($AD$1006:AG1006),$AD$1006:$AU$1006,0)), HYPERLINK("#",""), HYPERLINK(CONCATENATE("#metadata!", ADDRESS(INDEX($Y$2:$Y$1001,MATCH(ROWS($W$2:W903),$W$2:$W$1001,0),0), INDEX($AD$1004:$AU$1004,1,MATCH(COLUMNS($AD$1006:AG1006),$AD$1006:$AU$1006,0)))),"Fix")))</f>
        <v xml:space="preserve"> </v>
      </c>
      <c r="F903" s="4" t="str">
        <f ca="1">IF(OR(INDEX($X$2:$X$1001,MATCH(ROWS($W$2:W903),$W$2:$W$1001,0),1)&gt;=100000,INDEX($AD$1005:$AU$1005,1,MATCH(COLUMNS($AD$1006:AH1006),$AD$1006:$AU$1006,0))&gt;=100000), " ",IF(INDEX($AD$2:$AU$1001,MATCH(ROWS($W$2:W903),$W$2:$W$1001,0),MATCH(COLUMNS($AD$1006:AH1006),$AD$1006:$AU$1006,0)), HYPERLINK("#",""), HYPERLINK(CONCATENATE("#metadata!", ADDRESS(INDEX($Y$2:$Y$1001,MATCH(ROWS($W$2:W903),$W$2:$W$1001,0),0), INDEX($AD$1004:$AU$1004,1,MATCH(COLUMNS($AD$1006:AH1006),$AD$1006:$AU$1006,0)))),"Fix")))</f>
        <v xml:space="preserve"> </v>
      </c>
      <c r="G903" s="4" t="str">
        <f ca="1">IF(OR(INDEX($X$2:$X$1001,MATCH(ROWS($W$2:W903),$W$2:$W$1001,0),1)&gt;=100000,INDEX($AD$1005:$AU$1005,1,MATCH(COLUMNS($AD$1006:AI1006),$AD$1006:$AU$1006,0))&gt;=100000), " ",IF(INDEX($AD$2:$AU$1001,MATCH(ROWS($W$2:W903),$W$2:$W$1001,0),MATCH(COLUMNS($AD$1006:AI1006),$AD$1006:$AU$1006,0)), HYPERLINK("#",""), HYPERLINK(CONCATENATE("#metadata!", ADDRESS(INDEX($Y$2:$Y$1001,MATCH(ROWS($W$2:W903),$W$2:$W$1001,0),0), INDEX($AD$1004:$AU$1004,1,MATCH(COLUMNS($AD$1006:AI1006),$AD$1006:$AU$1006,0)))),"Fix")))</f>
        <v xml:space="preserve"> </v>
      </c>
      <c r="H903" s="4" t="str">
        <f ca="1">IF(OR(INDEX($X$2:$X$1001,MATCH(ROWS($W$2:W903),$W$2:$W$1001,0),1)&gt;=100000,INDEX($AD$1005:$AU$1005,1,MATCH(COLUMNS($AD$1006:AJ1006),$AD$1006:$AU$1006,0))&gt;=100000), " ",IF(INDEX($AD$2:$AU$1001,MATCH(ROWS($W$2:W903),$W$2:$W$1001,0),MATCH(COLUMNS($AD$1006:AJ1006),$AD$1006:$AU$1006,0)), HYPERLINK("#",""), HYPERLINK(CONCATENATE("#metadata!", ADDRESS(INDEX($Y$2:$Y$1001,MATCH(ROWS($W$2:W903),$W$2:$W$1001,0),0), INDEX($AD$1004:$AU$1004,1,MATCH(COLUMNS($AD$1006:AJ1006),$AD$1006:$AU$1006,0)))),"Fix")))</f>
        <v xml:space="preserve"> </v>
      </c>
      <c r="I903" s="4" t="str">
        <f ca="1">IF(OR(INDEX($X$2:$X$1001,MATCH(ROWS($W$2:W903),$W$2:$W$1001,0),1)&gt;=100000,INDEX($AD$1005:$AU$1005,1,MATCH(COLUMNS($AD$1006:AK1006),$AD$1006:$AU$1006,0))&gt;=100000), " ",IF(INDEX($AD$2:$AU$1001,MATCH(ROWS($W$2:W903),$W$2:$W$1001,0),MATCH(COLUMNS($AD$1006:AK1006),$AD$1006:$AU$1006,0)), HYPERLINK("#",""), HYPERLINK(CONCATENATE("#metadata!", ADDRESS(INDEX($Y$2:$Y$1001,MATCH(ROWS($W$2:W903),$W$2:$W$1001,0),0), INDEX($AD$1004:$AU$1004,1,MATCH(COLUMNS($AD$1006:AK1006),$AD$1006:$AU$1006,0)))),"Fix")))</f>
        <v xml:space="preserve"> </v>
      </c>
      <c r="J903" s="4" t="str">
        <f ca="1">IF(OR(INDEX($X$2:$X$1001,MATCH(ROWS($W$2:W903),$W$2:$W$1001,0),1)&gt;=100000,INDEX($AD$1005:$AU$1005,1,MATCH(COLUMNS($AD$1006:AL1006),$AD$1006:$AU$1006,0))&gt;=100000), " ",IF(INDEX($AD$2:$AU$1001,MATCH(ROWS($W$2:W903),$W$2:$W$1001,0),MATCH(COLUMNS($AD$1006:AL1006),$AD$1006:$AU$1006,0)), HYPERLINK("#",""), HYPERLINK(CONCATENATE("#metadata!", ADDRESS(INDEX($Y$2:$Y$1001,MATCH(ROWS($W$2:W903),$W$2:$W$1001,0),0), INDEX($AD$1004:$AU$1004,1,MATCH(COLUMNS($AD$1006:AL1006),$AD$1006:$AU$1006,0)))),"Fix")))</f>
        <v xml:space="preserve"> </v>
      </c>
      <c r="K903" s="4" t="str">
        <f ca="1">IF(OR(INDEX($X$2:$X$1001,MATCH(ROWS($W$2:W903),$W$2:$W$1001,0),1)&gt;=100000,INDEX($AD$1005:$AU$1005,1,MATCH(COLUMNS($AD$1006:AM1006),$AD$1006:$AU$1006,0))&gt;=100000), " ",IF(INDEX($AD$2:$AU$1001,MATCH(ROWS($W$2:W903),$W$2:$W$1001,0),MATCH(COLUMNS($AD$1006:AM1006),$AD$1006:$AU$1006,0)), HYPERLINK("#",""), HYPERLINK(CONCATENATE("#metadata!", ADDRESS(INDEX($Y$2:$Y$1001,MATCH(ROWS($W$2:W903),$W$2:$W$1001,0),0), INDEX($AD$1004:$AU$1004,1,MATCH(COLUMNS($AD$1006:AM1006),$AD$1006:$AU$1006,0)))),"Fix")))</f>
        <v xml:space="preserve"> </v>
      </c>
      <c r="L903" s="4" t="str">
        <f ca="1">IF(OR(INDEX($X$2:$X$1001,MATCH(ROWS($W$2:W903),$W$2:$W$1001,0),1)&gt;=100000,INDEX($AD$1005:$AU$1005,1,MATCH(COLUMNS($AD$1006:AN1006),$AD$1006:$AU$1006,0))&gt;=100000), " ",IF(INDEX($AD$2:$AU$1001,MATCH(ROWS($W$2:W903),$W$2:$W$1001,0),MATCH(COLUMNS($AD$1006:AN1006),$AD$1006:$AU$1006,0)), HYPERLINK("#",""), HYPERLINK(CONCATENATE("#metadata!", ADDRESS(INDEX($Y$2:$Y$1001,MATCH(ROWS($W$2:W903),$W$2:$W$1001,0),0), INDEX($AD$1004:$AU$1004,1,MATCH(COLUMNS($AD$1006:AN1006),$AD$1006:$AU$1006,0)))),"Fix")))</f>
        <v xml:space="preserve"> </v>
      </c>
      <c r="M903" s="4" t="str">
        <f ca="1">IF(OR(INDEX($X$2:$X$1001,MATCH(ROWS($W$2:W903),$W$2:$W$1001,0),1)&gt;=100000,INDEX($AD$1005:$AU$1005,1,MATCH(COLUMNS($AD$1006:AO1006),$AD$1006:$AU$1006,0))&gt;=100000), " ",IF(INDEX($AD$2:$AU$1001,MATCH(ROWS($W$2:W903),$W$2:$W$1001,0),MATCH(COLUMNS($AD$1006:AO1006),$AD$1006:$AU$1006,0)), HYPERLINK("#",""), HYPERLINK(CONCATENATE("#metadata!", ADDRESS(INDEX($Y$2:$Y$1001,MATCH(ROWS($W$2:W903),$W$2:$W$1001,0),0), INDEX($AD$1004:$AU$1004,1,MATCH(COLUMNS($AD$1006:AO1006),$AD$1006:$AU$1006,0)))),"Fix")))</f>
        <v xml:space="preserve"> </v>
      </c>
      <c r="N903" s="4" t="str">
        <f ca="1">IF(OR(INDEX($X$2:$X$1001,MATCH(ROWS($W$2:W903),$W$2:$W$1001,0),1)&gt;=100000,INDEX($AD$1005:$AU$1005,1,MATCH(COLUMNS($AD$1006:AP1006),$AD$1006:$AU$1006,0))&gt;=100000), " ",IF(INDEX($AD$2:$AU$1001,MATCH(ROWS($W$2:W903),$W$2:$W$1001,0),MATCH(COLUMNS($AD$1006:AP1006),$AD$1006:$AU$1006,0)), HYPERLINK("#",""), HYPERLINK(CONCATENATE("#metadata!", ADDRESS(INDEX($Y$2:$Y$1001,MATCH(ROWS($W$2:W903),$W$2:$W$1001,0),0), INDEX($AD$1004:$AU$1004,1,MATCH(COLUMNS($AD$1006:AP1006),$AD$1006:$AU$1006,0)))),"Fix")))</f>
        <v xml:space="preserve"> </v>
      </c>
      <c r="O903" s="4" t="str">
        <f ca="1">IF(OR(INDEX($X$2:$X$1001,MATCH(ROWS($W$2:W903),$W$2:$W$1001,0),1)&gt;=100000,INDEX($AD$1005:$AU$1005,1,MATCH(COLUMNS($AD$1006:AQ1006),$AD$1006:$AU$1006,0))&gt;=100000), " ",IF(INDEX($AD$2:$AU$1001,MATCH(ROWS($W$2:W903),$W$2:$W$1001,0),MATCH(COLUMNS($AD$1006:AQ1006),$AD$1006:$AU$1006,0)), HYPERLINK("#",""), HYPERLINK(CONCATENATE("#metadata!", ADDRESS(INDEX($Y$2:$Y$1001,MATCH(ROWS($W$2:W903),$W$2:$W$1001,0),0), INDEX($AD$1004:$AU$1004,1,MATCH(COLUMNS($AD$1006:AQ1006),$AD$1006:$AU$1006,0)))),"Fix")))</f>
        <v xml:space="preserve"> </v>
      </c>
      <c r="P903" s="4" t="str">
        <f ca="1">IF(OR(INDEX($X$2:$X$1001,MATCH(ROWS($W$2:W903),$W$2:$W$1001,0),1)&gt;=100000,INDEX($AD$1005:$AU$1005,1,MATCH(COLUMNS($AD$1006:AR1006),$AD$1006:$AU$1006,0))&gt;=100000), " ",IF(INDEX($AD$2:$AU$1001,MATCH(ROWS($W$2:W903),$W$2:$W$1001,0),MATCH(COLUMNS($AD$1006:AR1006),$AD$1006:$AU$1006,0)), HYPERLINK("#",""), HYPERLINK(CONCATENATE("#metadata!", ADDRESS(INDEX($Y$2:$Y$1001,MATCH(ROWS($W$2:W903),$W$2:$W$1001,0),0), INDEX($AD$1004:$AU$1004,1,MATCH(COLUMNS($AD$1006:AR1006),$AD$1006:$AU$1006,0)))),"Fix")))</f>
        <v xml:space="preserve"> </v>
      </c>
      <c r="Q903" s="4" t="str">
        <f ca="1">IF(OR(INDEX($X$2:$X$1001,MATCH(ROWS($W$2:W903),$W$2:$W$1001,0),1)&gt;=100000,INDEX($AD$1005:$AU$1005,1,MATCH(COLUMNS($AD$1006:AS1006),$AD$1006:$AU$1006,0))&gt;=100000), " ",IF(INDEX($AD$2:$AU$1001,MATCH(ROWS($W$2:W903),$W$2:$W$1001,0),MATCH(COLUMNS($AD$1006:AS1006),$AD$1006:$AU$1006,0)), HYPERLINK("#",""), HYPERLINK(CONCATENATE("#metadata!", ADDRESS(INDEX($Y$2:$Y$1001,MATCH(ROWS($W$2:W903),$W$2:$W$1001,0),0), INDEX($AD$1004:$AU$1004,1,MATCH(COLUMNS($AD$1006:AS1006),$AD$1006:$AU$1006,0)))),"Fix")))</f>
        <v xml:space="preserve"> </v>
      </c>
      <c r="R903" s="4" t="str">
        <f ca="1">IF(OR(INDEX($X$2:$X$1001,MATCH(ROWS($W$2:W903),$W$2:$W$1001,0),1)&gt;=100000,INDEX($AD$1005:$AU$1005,1,MATCH(COLUMNS($AD$1006:AT1006),$AD$1006:$AU$1006,0))&gt;=100000), " ",IF(INDEX($AD$2:$AU$1001,MATCH(ROWS($W$2:W903),$W$2:$W$1001,0),MATCH(COLUMNS($AD$1006:AT1006),$AD$1006:$AU$1006,0)), HYPERLINK("#",""), HYPERLINK(CONCATENATE("#metadata!", ADDRESS(INDEX($Y$2:$Y$1001,MATCH(ROWS($W$2:W903),$W$2:$W$1001,0),0), INDEX($AD$1004:$AU$1004,1,MATCH(COLUMNS($AD$1006:AT1006),$AD$1006:$AU$1006,0)))),"Fix")))</f>
        <v xml:space="preserve"> </v>
      </c>
      <c r="S903" s="4" t="str">
        <f ca="1">IF(OR(INDEX($X$2:$X$1001,MATCH(ROWS($W$2:W903),$W$2:$W$1001,0),1)&gt;=100000,INDEX($AD$1005:$AU$1005,1,MATCH(COLUMNS($AD$1006:AU1006),$AD$1006:$AU$1006,0))&gt;=100000), " ",IF(INDEX($AD$2:$AU$1001,MATCH(ROWS($W$2:W903),$W$2:$W$1001,0),MATCH(COLUMNS($AD$1006:AU1006),$AD$1006:$AU$1006,0)), HYPERLINK("#",""), HYPERLINK(CONCATENATE("#metadata!", ADDRESS(INDEX($Y$2:$Y$1001,MATCH(ROWS($W$2:W903),$W$2:$W$1001,0),0), INDEX($AD$1004:$AU$1004,1,MATCH(COLUMNS($AD$1006:AU1006),$AD$1006:$AU$1006,0)))),"Fix")))</f>
        <v xml:space="preserve"> </v>
      </c>
      <c r="W903">
        <v>902</v>
      </c>
      <c r="X903">
        <v>100903</v>
      </c>
      <c r="Y903">
        <v>903</v>
      </c>
      <c r="Z903" t="b">
        <f t="shared" si="14"/>
        <v>1</v>
      </c>
      <c r="AA903" t="b">
        <f>COUNTBLANK(metadata!B903:S903)=COLUMNS(metadata!B903:S903)</f>
        <v>1</v>
      </c>
      <c r="AB903" t="str">
        <v/>
      </c>
      <c r="AD903" t="b">
        <f ca="1">AND(IF(metadata!B903="",FALSE,TRUE),COUNTIF(metadata!B:B, metadata!B903) = 1,NOT(ISERROR(SUMPRODUCT(SEARCH(MID(metadata!B903,ROW(INDIRECT("1:"&amp;LEN(metadata!B903))), 1),"0123456789abcdefghijklmnopqrstuvwxyzABCDEFGHIJKLMNOPQRSTUVWXYZ.")))))</f>
        <v>0</v>
      </c>
      <c r="AE903" t="b">
        <f>OR(AND(IF(metadata!C903="",FALSE,TRUE),OR(EXACT(metadata!C903,"not applicable"),EXACT(metadata!C903,"missing: not collected"),EXACT(metadata!C903,"missing: not provided"),EXACT(metadata!C903,"missing: restricted access"))),AND(IF(metadata!C903="",FALSE,ISNUMBER(VALUE(metadata!C903))),metadata!C903&gt;0))</f>
        <v>0</v>
      </c>
      <c r="AF903" t="b">
        <f>AND(IF(metadata!D903="",FALSE,TRUE),EXACT(metadata!D903,"missing: not provided"))</f>
        <v>0</v>
      </c>
      <c r="AG903" t="b">
        <f>AND(IF(metadata!E903="",FALSE,TRUE),EXACT(metadata!E903,"Host-associated"))</f>
        <v>0</v>
      </c>
      <c r="AH903" t="b">
        <f>AND(IF(metadata!F903="",FALSE,TRUE),OR(EXACT(metadata!F903,"Animal"),EXACT(metadata!F903,"Fungus"),EXACT(metadata!F903,"Plant")))</f>
        <v>0</v>
      </c>
      <c r="AI903" t="b">
        <f>AND(IF(metadata!G903="",FALSE,TRUE),OR(EXACT(metadata!G903,"Plant secretion"),EXACT(metadata!G903,"Plant rhizosphere"),EXACT(metadata!G903,"Plant surface"),EXACT(metadata!G903,"Plant corpus"),EXACT(metadata!G903,"Fungus surface"),EXACT(metadata!G903,"Fungus corpus"),EXACT(metadata!G903,"Animal surface"),EXACT(metadata!G903,"Animal proximal gut"),EXACT(metadata!G903,"Animal corpus"),EXACT(metadata!G903,"Animal distal gut"),EXACT(metadata!G903,"Animal secretion")))</f>
        <v>0</v>
      </c>
      <c r="AJ903" t="b">
        <f>OR(AND(IF(metadata!H903="",FALSE,TRUE),OR(EXACT(metadata!H903,"missing: not collected"),EXACT(metadata!H903,"missing: not provided"),EXACT(metadata!H903,"missing: restricted access"))),AND(IF(metadata!H903="",FALSE,TRUE),OR(EXACT(metadata!H903,"organism-associated habitat"),EXACT(metadata!H903,"plant-associated habitat"),EXACT(metadata!H903,"animal-associated habitat"),EXACT(metadata!H903,"insecta-associated habitat"),EXACT(metadata!H903,"mammalia-associated habitat"),EXACT(metadata!H903,"human-associated habitat"),EXACT(metadata!H903,"livestock-associated habitat"))))</f>
        <v>0</v>
      </c>
      <c r="AK903" t="b">
        <f>AND(IF(metadata!I903="",FALSE,TRUE),EXACT(metadata!I903,"host-associated"))</f>
        <v>0</v>
      </c>
      <c r="AL903" t="b">
        <f>OR(AND(IF(metadata!J903="",FALSE,TRUE),OR(EXACT(metadata!J903,"not applicable"),EXACT(metadata!J903,"missing: not collected"),EXACT(metadata!J903,"missing: not provided"),EXACT(metadata!J903,"missing: restricted access"))),AND(IF(metadata!J903="",FALSE,ISNUMBER(VALUE(metadata!J903))),metadata!J903&gt;0))</f>
        <v>0</v>
      </c>
      <c r="AM903" t="b">
        <f>AND(IF(metadata!K903="",FALSE,TRUE),EXACT(metadata!K903,"missing: not provided"))</f>
        <v>0</v>
      </c>
      <c r="AN903" t="b">
        <f>IF(metadata!L903="",FALSE,TRUE)</f>
        <v>0</v>
      </c>
      <c r="AO903" t="b">
        <f>IF(metadata!M903="",FALSE,TRUE)</f>
        <v>0</v>
      </c>
      <c r="AP903" t="b">
        <f>OR(AND(IF(metadata!N903="",FALSE,TRUE),OR(EXACT(metadata!N903,"not applicable"),EXACT(metadata!N903,"missing: not collected"),EXACT(metadata!N903,"missing: not provided"))),AND(IF(metadata!N903="",FALSE,IF(ISERROR(INT(metadata!N903)),FALSE,INT(metadata!N903)=metadata!N903)),metadata!N903&gt;0))</f>
        <v>0</v>
      </c>
      <c r="AQ903" t="b">
        <f>AND(IF(metadata!O903="",FALSE,TRUE),EXACT(metadata!O903,"Not applicable"))</f>
        <v>0</v>
      </c>
      <c r="AR903" t="b">
        <f>OR(AND(IF(metadata!P903="",FALSE,TRUE),OR(EXACT(metadata!P903,"not applicable"),EXACT(metadata!P903,"missing: not collected"),EXACT(metadata!P903,"missing: not provided"),EXACT(metadata!P903,"missing: restricted access"))),IF(metadata!P903="",FALSE,IF(ISERROR(INT(metadata!P903)),FALSE,INT(metadata!P903)=metadata!P903)))</f>
        <v>0</v>
      </c>
      <c r="AS903" t="b">
        <f>AND(IF(metadata!Q903="",FALSE,TRUE),EXACT(metadata!Q903,"Not applicable"))</f>
        <v>0</v>
      </c>
      <c r="AT903" t="b">
        <f>OR(AND(IF(metadata!R903="",FALSE,TRUE),OR(EXACT(metadata!R903,"not applicable"),EXACT(metadata!R903,"missing: not collected"),EXACT(metadata!R903,"missing: not provided"),EXACT(metadata!R903,"missing: restricted access"))),AND(IF(metadata!R903="",FALSE,ISNUMBER(VALUE(metadata!R903))),metadata!R903&gt;0))</f>
        <v>0</v>
      </c>
      <c r="AU903" t="b">
        <f>AND(IF(metadata!S903="",FALSE,TRUE),EXACT(metadata!S903,"missing: not provided"))</f>
        <v>0</v>
      </c>
    </row>
    <row r="904" spans="1:47" x14ac:dyDescent="0.2">
      <c r="A904" s="5" t="str">
        <f ca="1">IF(B904=" "," ",HYPERLINK(CONCATENATE("#metadata!",ADDRESS(INDEX($Y$2:$Y$1001,MATCH(ROWS($W$2:W904),$W$2:$W$1001,0),0),1)),INDEX($AB$2:$AB$1001,MATCH(ROWS($W$2:W904),$W$2:$W$1001,0),0)))</f>
        <v xml:space="preserve"> </v>
      </c>
      <c r="B904" s="4" t="str">
        <f ca="1">IF(OR(INDEX($X$2:$X$1001,MATCH(ROWS($W$2:W904),$W$2:$W$1001,0),1)&gt;=100000,INDEX($AD$1005:$AU$1005,1,MATCH(COLUMNS($AD$1006:AD1006),$AD$1006:$AU$1006,0))&gt;=100000), " ",IF(INDEX($AD$2:$AU$1001,MATCH(ROWS($W$2:W904),$W$2:$W$1001,0),MATCH(COLUMNS($AD$1006:AD1006),$AD$1006:$AU$1006,0)), HYPERLINK("#",""), HYPERLINK(CONCATENATE("#metadata!", ADDRESS(INDEX($Y$2:$Y$1001,MATCH(ROWS($W$2:W904),$W$2:$W$1001,0),0), INDEX($AD$1004:$AU$1004,1,MATCH(COLUMNS($AD$1006:AD1006),$AD$1006:$AU$1006,0)))),"Fix")))</f>
        <v xml:space="preserve"> </v>
      </c>
      <c r="C904" s="4" t="str">
        <f ca="1">IF(OR(INDEX($X$2:$X$1001,MATCH(ROWS($W$2:W904),$W$2:$W$1001,0),1)&gt;=100000,INDEX($AD$1005:$AU$1005,1,MATCH(COLUMNS($AD$1006:AE1006),$AD$1006:$AU$1006,0))&gt;=100000), " ",IF(INDEX($AD$2:$AU$1001,MATCH(ROWS($W$2:W904),$W$2:$W$1001,0),MATCH(COLUMNS($AD$1006:AE1006),$AD$1006:$AU$1006,0)), HYPERLINK("#",""), HYPERLINK(CONCATENATE("#metadata!", ADDRESS(INDEX($Y$2:$Y$1001,MATCH(ROWS($W$2:W904),$W$2:$W$1001,0),0), INDEX($AD$1004:$AU$1004,1,MATCH(COLUMNS($AD$1006:AE1006),$AD$1006:$AU$1006,0)))),"Fix")))</f>
        <v xml:space="preserve"> </v>
      </c>
      <c r="D904" s="4" t="str">
        <f ca="1">IF(OR(INDEX($X$2:$X$1001,MATCH(ROWS($W$2:W904),$W$2:$W$1001,0),1)&gt;=100000,INDEX($AD$1005:$AU$1005,1,MATCH(COLUMNS($AD$1006:AF1006),$AD$1006:$AU$1006,0))&gt;=100000), " ",IF(INDEX($AD$2:$AU$1001,MATCH(ROWS($W$2:W904),$W$2:$W$1001,0),MATCH(COLUMNS($AD$1006:AF1006),$AD$1006:$AU$1006,0)), HYPERLINK("#",""), HYPERLINK(CONCATENATE("#metadata!", ADDRESS(INDEX($Y$2:$Y$1001,MATCH(ROWS($W$2:W904),$W$2:$W$1001,0),0), INDEX($AD$1004:$AU$1004,1,MATCH(COLUMNS($AD$1006:AF1006),$AD$1006:$AU$1006,0)))),"Fix")))</f>
        <v xml:space="preserve"> </v>
      </c>
      <c r="E904" s="4" t="str">
        <f ca="1">IF(OR(INDEX($X$2:$X$1001,MATCH(ROWS($W$2:W904),$W$2:$W$1001,0),1)&gt;=100000,INDEX($AD$1005:$AU$1005,1,MATCH(COLUMNS($AD$1006:AG1006),$AD$1006:$AU$1006,0))&gt;=100000), " ",IF(INDEX($AD$2:$AU$1001,MATCH(ROWS($W$2:W904),$W$2:$W$1001,0),MATCH(COLUMNS($AD$1006:AG1006),$AD$1006:$AU$1006,0)), HYPERLINK("#",""), HYPERLINK(CONCATENATE("#metadata!", ADDRESS(INDEX($Y$2:$Y$1001,MATCH(ROWS($W$2:W904),$W$2:$W$1001,0),0), INDEX($AD$1004:$AU$1004,1,MATCH(COLUMNS($AD$1006:AG1006),$AD$1006:$AU$1006,0)))),"Fix")))</f>
        <v xml:space="preserve"> </v>
      </c>
      <c r="F904" s="4" t="str">
        <f ca="1">IF(OR(INDEX($X$2:$X$1001,MATCH(ROWS($W$2:W904),$W$2:$W$1001,0),1)&gt;=100000,INDEX($AD$1005:$AU$1005,1,MATCH(COLUMNS($AD$1006:AH1006),$AD$1006:$AU$1006,0))&gt;=100000), " ",IF(INDEX($AD$2:$AU$1001,MATCH(ROWS($W$2:W904),$W$2:$W$1001,0),MATCH(COLUMNS($AD$1006:AH1006),$AD$1006:$AU$1006,0)), HYPERLINK("#",""), HYPERLINK(CONCATENATE("#metadata!", ADDRESS(INDEX($Y$2:$Y$1001,MATCH(ROWS($W$2:W904),$W$2:$W$1001,0),0), INDEX($AD$1004:$AU$1004,1,MATCH(COLUMNS($AD$1006:AH1006),$AD$1006:$AU$1006,0)))),"Fix")))</f>
        <v xml:space="preserve"> </v>
      </c>
      <c r="G904" s="4" t="str">
        <f ca="1">IF(OR(INDEX($X$2:$X$1001,MATCH(ROWS($W$2:W904),$W$2:$W$1001,0),1)&gt;=100000,INDEX($AD$1005:$AU$1005,1,MATCH(COLUMNS($AD$1006:AI1006),$AD$1006:$AU$1006,0))&gt;=100000), " ",IF(INDEX($AD$2:$AU$1001,MATCH(ROWS($W$2:W904),$W$2:$W$1001,0),MATCH(COLUMNS($AD$1006:AI1006),$AD$1006:$AU$1006,0)), HYPERLINK("#",""), HYPERLINK(CONCATENATE("#metadata!", ADDRESS(INDEX($Y$2:$Y$1001,MATCH(ROWS($W$2:W904),$W$2:$W$1001,0),0), INDEX($AD$1004:$AU$1004,1,MATCH(COLUMNS($AD$1006:AI1006),$AD$1006:$AU$1006,0)))),"Fix")))</f>
        <v xml:space="preserve"> </v>
      </c>
      <c r="H904" s="4" t="str">
        <f ca="1">IF(OR(INDEX($X$2:$X$1001,MATCH(ROWS($W$2:W904),$W$2:$W$1001,0),1)&gt;=100000,INDEX($AD$1005:$AU$1005,1,MATCH(COLUMNS($AD$1006:AJ1006),$AD$1006:$AU$1006,0))&gt;=100000), " ",IF(INDEX($AD$2:$AU$1001,MATCH(ROWS($W$2:W904),$W$2:$W$1001,0),MATCH(COLUMNS($AD$1006:AJ1006),$AD$1006:$AU$1006,0)), HYPERLINK("#",""), HYPERLINK(CONCATENATE("#metadata!", ADDRESS(INDEX($Y$2:$Y$1001,MATCH(ROWS($W$2:W904),$W$2:$W$1001,0),0), INDEX($AD$1004:$AU$1004,1,MATCH(COLUMNS($AD$1006:AJ1006),$AD$1006:$AU$1006,0)))),"Fix")))</f>
        <v xml:space="preserve"> </v>
      </c>
      <c r="I904" s="4" t="str">
        <f ca="1">IF(OR(INDEX($X$2:$X$1001,MATCH(ROWS($W$2:W904),$W$2:$W$1001,0),1)&gt;=100000,INDEX($AD$1005:$AU$1005,1,MATCH(COLUMNS($AD$1006:AK1006),$AD$1006:$AU$1006,0))&gt;=100000), " ",IF(INDEX($AD$2:$AU$1001,MATCH(ROWS($W$2:W904),$W$2:$W$1001,0),MATCH(COLUMNS($AD$1006:AK1006),$AD$1006:$AU$1006,0)), HYPERLINK("#",""), HYPERLINK(CONCATENATE("#metadata!", ADDRESS(INDEX($Y$2:$Y$1001,MATCH(ROWS($W$2:W904),$W$2:$W$1001,0),0), INDEX($AD$1004:$AU$1004,1,MATCH(COLUMNS($AD$1006:AK1006),$AD$1006:$AU$1006,0)))),"Fix")))</f>
        <v xml:space="preserve"> </v>
      </c>
      <c r="J904" s="4" t="str">
        <f ca="1">IF(OR(INDEX($X$2:$X$1001,MATCH(ROWS($W$2:W904),$W$2:$W$1001,0),1)&gt;=100000,INDEX($AD$1005:$AU$1005,1,MATCH(COLUMNS($AD$1006:AL1006),$AD$1006:$AU$1006,0))&gt;=100000), " ",IF(INDEX($AD$2:$AU$1001,MATCH(ROWS($W$2:W904),$W$2:$W$1001,0),MATCH(COLUMNS($AD$1006:AL1006),$AD$1006:$AU$1006,0)), HYPERLINK("#",""), HYPERLINK(CONCATENATE("#metadata!", ADDRESS(INDEX($Y$2:$Y$1001,MATCH(ROWS($W$2:W904),$W$2:$W$1001,0),0), INDEX($AD$1004:$AU$1004,1,MATCH(COLUMNS($AD$1006:AL1006),$AD$1006:$AU$1006,0)))),"Fix")))</f>
        <v xml:space="preserve"> </v>
      </c>
      <c r="K904" s="4" t="str">
        <f ca="1">IF(OR(INDEX($X$2:$X$1001,MATCH(ROWS($W$2:W904),$W$2:$W$1001,0),1)&gt;=100000,INDEX($AD$1005:$AU$1005,1,MATCH(COLUMNS($AD$1006:AM1006),$AD$1006:$AU$1006,0))&gt;=100000), " ",IF(INDEX($AD$2:$AU$1001,MATCH(ROWS($W$2:W904),$W$2:$W$1001,0),MATCH(COLUMNS($AD$1006:AM1006),$AD$1006:$AU$1006,0)), HYPERLINK("#",""), HYPERLINK(CONCATENATE("#metadata!", ADDRESS(INDEX($Y$2:$Y$1001,MATCH(ROWS($W$2:W904),$W$2:$W$1001,0),0), INDEX($AD$1004:$AU$1004,1,MATCH(COLUMNS($AD$1006:AM1006),$AD$1006:$AU$1006,0)))),"Fix")))</f>
        <v xml:space="preserve"> </v>
      </c>
      <c r="L904" s="4" t="str">
        <f ca="1">IF(OR(INDEX($X$2:$X$1001,MATCH(ROWS($W$2:W904),$W$2:$W$1001,0),1)&gt;=100000,INDEX($AD$1005:$AU$1005,1,MATCH(COLUMNS($AD$1006:AN1006),$AD$1006:$AU$1006,0))&gt;=100000), " ",IF(INDEX($AD$2:$AU$1001,MATCH(ROWS($W$2:W904),$W$2:$W$1001,0),MATCH(COLUMNS($AD$1006:AN1006),$AD$1006:$AU$1006,0)), HYPERLINK("#",""), HYPERLINK(CONCATENATE("#metadata!", ADDRESS(INDEX($Y$2:$Y$1001,MATCH(ROWS($W$2:W904),$W$2:$W$1001,0),0), INDEX($AD$1004:$AU$1004,1,MATCH(COLUMNS($AD$1006:AN1006),$AD$1006:$AU$1006,0)))),"Fix")))</f>
        <v xml:space="preserve"> </v>
      </c>
      <c r="M904" s="4" t="str">
        <f ca="1">IF(OR(INDEX($X$2:$X$1001,MATCH(ROWS($W$2:W904),$W$2:$W$1001,0),1)&gt;=100000,INDEX($AD$1005:$AU$1005,1,MATCH(COLUMNS($AD$1006:AO1006),$AD$1006:$AU$1006,0))&gt;=100000), " ",IF(INDEX($AD$2:$AU$1001,MATCH(ROWS($W$2:W904),$W$2:$W$1001,0),MATCH(COLUMNS($AD$1006:AO1006),$AD$1006:$AU$1006,0)), HYPERLINK("#",""), HYPERLINK(CONCATENATE("#metadata!", ADDRESS(INDEX($Y$2:$Y$1001,MATCH(ROWS($W$2:W904),$W$2:$W$1001,0),0), INDEX($AD$1004:$AU$1004,1,MATCH(COLUMNS($AD$1006:AO1006),$AD$1006:$AU$1006,0)))),"Fix")))</f>
        <v xml:space="preserve"> </v>
      </c>
      <c r="N904" s="4" t="str">
        <f ca="1">IF(OR(INDEX($X$2:$X$1001,MATCH(ROWS($W$2:W904),$W$2:$W$1001,0),1)&gt;=100000,INDEX($AD$1005:$AU$1005,1,MATCH(COLUMNS($AD$1006:AP1006),$AD$1006:$AU$1006,0))&gt;=100000), " ",IF(INDEX($AD$2:$AU$1001,MATCH(ROWS($W$2:W904),$W$2:$W$1001,0),MATCH(COLUMNS($AD$1006:AP1006),$AD$1006:$AU$1006,0)), HYPERLINK("#",""), HYPERLINK(CONCATENATE("#metadata!", ADDRESS(INDEX($Y$2:$Y$1001,MATCH(ROWS($W$2:W904),$W$2:$W$1001,0),0), INDEX($AD$1004:$AU$1004,1,MATCH(COLUMNS($AD$1006:AP1006),$AD$1006:$AU$1006,0)))),"Fix")))</f>
        <v xml:space="preserve"> </v>
      </c>
      <c r="O904" s="4" t="str">
        <f ca="1">IF(OR(INDEX($X$2:$X$1001,MATCH(ROWS($W$2:W904),$W$2:$W$1001,0),1)&gt;=100000,INDEX($AD$1005:$AU$1005,1,MATCH(COLUMNS($AD$1006:AQ1006),$AD$1006:$AU$1006,0))&gt;=100000), " ",IF(INDEX($AD$2:$AU$1001,MATCH(ROWS($W$2:W904),$W$2:$W$1001,0),MATCH(COLUMNS($AD$1006:AQ1006),$AD$1006:$AU$1006,0)), HYPERLINK("#",""), HYPERLINK(CONCATENATE("#metadata!", ADDRESS(INDEX($Y$2:$Y$1001,MATCH(ROWS($W$2:W904),$W$2:$W$1001,0),0), INDEX($AD$1004:$AU$1004,1,MATCH(COLUMNS($AD$1006:AQ1006),$AD$1006:$AU$1006,0)))),"Fix")))</f>
        <v xml:space="preserve"> </v>
      </c>
      <c r="P904" s="4" t="str">
        <f ca="1">IF(OR(INDEX($X$2:$X$1001,MATCH(ROWS($W$2:W904),$W$2:$W$1001,0),1)&gt;=100000,INDEX($AD$1005:$AU$1005,1,MATCH(COLUMNS($AD$1006:AR1006),$AD$1006:$AU$1006,0))&gt;=100000), " ",IF(INDEX($AD$2:$AU$1001,MATCH(ROWS($W$2:W904),$W$2:$W$1001,0),MATCH(COLUMNS($AD$1006:AR1006),$AD$1006:$AU$1006,0)), HYPERLINK("#",""), HYPERLINK(CONCATENATE("#metadata!", ADDRESS(INDEX($Y$2:$Y$1001,MATCH(ROWS($W$2:W904),$W$2:$W$1001,0),0), INDEX($AD$1004:$AU$1004,1,MATCH(COLUMNS($AD$1006:AR1006),$AD$1006:$AU$1006,0)))),"Fix")))</f>
        <v xml:space="preserve"> </v>
      </c>
      <c r="Q904" s="4" t="str">
        <f ca="1">IF(OR(INDEX($X$2:$X$1001,MATCH(ROWS($W$2:W904),$W$2:$W$1001,0),1)&gt;=100000,INDEX($AD$1005:$AU$1005,1,MATCH(COLUMNS($AD$1006:AS1006),$AD$1006:$AU$1006,0))&gt;=100000), " ",IF(INDEX($AD$2:$AU$1001,MATCH(ROWS($W$2:W904),$W$2:$W$1001,0),MATCH(COLUMNS($AD$1006:AS1006),$AD$1006:$AU$1006,0)), HYPERLINK("#",""), HYPERLINK(CONCATENATE("#metadata!", ADDRESS(INDEX($Y$2:$Y$1001,MATCH(ROWS($W$2:W904),$W$2:$W$1001,0),0), INDEX($AD$1004:$AU$1004,1,MATCH(COLUMNS($AD$1006:AS1006),$AD$1006:$AU$1006,0)))),"Fix")))</f>
        <v xml:space="preserve"> </v>
      </c>
      <c r="R904" s="4" t="str">
        <f ca="1">IF(OR(INDEX($X$2:$X$1001,MATCH(ROWS($W$2:W904),$W$2:$W$1001,0),1)&gt;=100000,INDEX($AD$1005:$AU$1005,1,MATCH(COLUMNS($AD$1006:AT1006),$AD$1006:$AU$1006,0))&gt;=100000), " ",IF(INDEX($AD$2:$AU$1001,MATCH(ROWS($W$2:W904),$W$2:$W$1001,0),MATCH(COLUMNS($AD$1006:AT1006),$AD$1006:$AU$1006,0)), HYPERLINK("#",""), HYPERLINK(CONCATENATE("#metadata!", ADDRESS(INDEX($Y$2:$Y$1001,MATCH(ROWS($W$2:W904),$W$2:$W$1001,0),0), INDEX($AD$1004:$AU$1004,1,MATCH(COLUMNS($AD$1006:AT1006),$AD$1006:$AU$1006,0)))),"Fix")))</f>
        <v xml:space="preserve"> </v>
      </c>
      <c r="S904" s="4" t="str">
        <f ca="1">IF(OR(INDEX($X$2:$X$1001,MATCH(ROWS($W$2:W904),$W$2:$W$1001,0),1)&gt;=100000,INDEX($AD$1005:$AU$1005,1,MATCH(COLUMNS($AD$1006:AU1006),$AD$1006:$AU$1006,0))&gt;=100000), " ",IF(INDEX($AD$2:$AU$1001,MATCH(ROWS($W$2:W904),$W$2:$W$1001,0),MATCH(COLUMNS($AD$1006:AU1006),$AD$1006:$AU$1006,0)), HYPERLINK("#",""), HYPERLINK(CONCATENATE("#metadata!", ADDRESS(INDEX($Y$2:$Y$1001,MATCH(ROWS($W$2:W904),$W$2:$W$1001,0),0), INDEX($AD$1004:$AU$1004,1,MATCH(COLUMNS($AD$1006:AU1006),$AD$1006:$AU$1006,0)))),"Fix")))</f>
        <v xml:space="preserve"> </v>
      </c>
      <c r="W904">
        <v>903</v>
      </c>
      <c r="X904">
        <v>100904</v>
      </c>
      <c r="Y904">
        <v>904</v>
      </c>
      <c r="Z904" t="b">
        <f t="shared" si="14"/>
        <v>1</v>
      </c>
      <c r="AA904" t="b">
        <f>COUNTBLANK(metadata!B904:S904)=COLUMNS(metadata!B904:S904)</f>
        <v>1</v>
      </c>
      <c r="AB904" t="str">
        <v/>
      </c>
      <c r="AD904" t="b">
        <f ca="1">AND(IF(metadata!B904="",FALSE,TRUE),COUNTIF(metadata!B:B, metadata!B904) = 1,NOT(ISERROR(SUMPRODUCT(SEARCH(MID(metadata!B904,ROW(INDIRECT("1:"&amp;LEN(metadata!B904))), 1),"0123456789abcdefghijklmnopqrstuvwxyzABCDEFGHIJKLMNOPQRSTUVWXYZ.")))))</f>
        <v>0</v>
      </c>
      <c r="AE904" t="b">
        <f>OR(AND(IF(metadata!C904="",FALSE,TRUE),OR(EXACT(metadata!C904,"not applicable"),EXACT(metadata!C904,"missing: not collected"),EXACT(metadata!C904,"missing: not provided"),EXACT(metadata!C904,"missing: restricted access"))),AND(IF(metadata!C904="",FALSE,ISNUMBER(VALUE(metadata!C904))),metadata!C904&gt;0))</f>
        <v>0</v>
      </c>
      <c r="AF904" t="b">
        <f>AND(IF(metadata!D904="",FALSE,TRUE),EXACT(metadata!D904,"missing: not provided"))</f>
        <v>0</v>
      </c>
      <c r="AG904" t="b">
        <f>AND(IF(metadata!E904="",FALSE,TRUE),EXACT(metadata!E904,"Host-associated"))</f>
        <v>0</v>
      </c>
      <c r="AH904" t="b">
        <f>AND(IF(metadata!F904="",FALSE,TRUE),OR(EXACT(metadata!F904,"Animal"),EXACT(metadata!F904,"Fungus"),EXACT(metadata!F904,"Plant")))</f>
        <v>0</v>
      </c>
      <c r="AI904" t="b">
        <f>AND(IF(metadata!G904="",FALSE,TRUE),OR(EXACT(metadata!G904,"Plant secretion"),EXACT(metadata!G904,"Plant rhizosphere"),EXACT(metadata!G904,"Plant surface"),EXACT(metadata!G904,"Plant corpus"),EXACT(metadata!G904,"Fungus surface"),EXACT(metadata!G904,"Fungus corpus"),EXACT(metadata!G904,"Animal surface"),EXACT(metadata!G904,"Animal proximal gut"),EXACT(metadata!G904,"Animal corpus"),EXACT(metadata!G904,"Animal distal gut"),EXACT(metadata!G904,"Animal secretion")))</f>
        <v>0</v>
      </c>
      <c r="AJ904" t="b">
        <f>OR(AND(IF(metadata!H904="",FALSE,TRUE),OR(EXACT(metadata!H904,"missing: not collected"),EXACT(metadata!H904,"missing: not provided"),EXACT(metadata!H904,"missing: restricted access"))),AND(IF(metadata!H904="",FALSE,TRUE),OR(EXACT(metadata!H904,"organism-associated habitat"),EXACT(metadata!H904,"plant-associated habitat"),EXACT(metadata!H904,"animal-associated habitat"),EXACT(metadata!H904,"insecta-associated habitat"),EXACT(metadata!H904,"mammalia-associated habitat"),EXACT(metadata!H904,"human-associated habitat"),EXACT(metadata!H904,"livestock-associated habitat"))))</f>
        <v>0</v>
      </c>
      <c r="AK904" t="b">
        <f>AND(IF(metadata!I904="",FALSE,TRUE),EXACT(metadata!I904,"host-associated"))</f>
        <v>0</v>
      </c>
      <c r="AL904" t="b">
        <f>OR(AND(IF(metadata!J904="",FALSE,TRUE),OR(EXACT(metadata!J904,"not applicable"),EXACT(metadata!J904,"missing: not collected"),EXACT(metadata!J904,"missing: not provided"),EXACT(metadata!J904,"missing: restricted access"))),AND(IF(metadata!J904="",FALSE,ISNUMBER(VALUE(metadata!J904))),metadata!J904&gt;0))</f>
        <v>0</v>
      </c>
      <c r="AM904" t="b">
        <f>AND(IF(metadata!K904="",FALSE,TRUE),EXACT(metadata!K904,"missing: not provided"))</f>
        <v>0</v>
      </c>
      <c r="AN904" t="b">
        <f>IF(metadata!L904="",FALSE,TRUE)</f>
        <v>0</v>
      </c>
      <c r="AO904" t="b">
        <f>IF(metadata!M904="",FALSE,TRUE)</f>
        <v>0</v>
      </c>
      <c r="AP904" t="b">
        <f>OR(AND(IF(metadata!N904="",FALSE,TRUE),OR(EXACT(metadata!N904,"not applicable"),EXACT(metadata!N904,"missing: not collected"),EXACT(metadata!N904,"missing: not provided"))),AND(IF(metadata!N904="",FALSE,IF(ISERROR(INT(metadata!N904)),FALSE,INT(metadata!N904)=metadata!N904)),metadata!N904&gt;0))</f>
        <v>0</v>
      </c>
      <c r="AQ904" t="b">
        <f>AND(IF(metadata!O904="",FALSE,TRUE),EXACT(metadata!O904,"Not applicable"))</f>
        <v>0</v>
      </c>
      <c r="AR904" t="b">
        <f>OR(AND(IF(metadata!P904="",FALSE,TRUE),OR(EXACT(metadata!P904,"not applicable"),EXACT(metadata!P904,"missing: not collected"),EXACT(metadata!P904,"missing: not provided"),EXACT(metadata!P904,"missing: restricted access"))),IF(metadata!P904="",FALSE,IF(ISERROR(INT(metadata!P904)),FALSE,INT(metadata!P904)=metadata!P904)))</f>
        <v>0</v>
      </c>
      <c r="AS904" t="b">
        <f>AND(IF(metadata!Q904="",FALSE,TRUE),EXACT(metadata!Q904,"Not applicable"))</f>
        <v>0</v>
      </c>
      <c r="AT904" t="b">
        <f>OR(AND(IF(metadata!R904="",FALSE,TRUE),OR(EXACT(metadata!R904,"not applicable"),EXACT(metadata!R904,"missing: not collected"),EXACT(metadata!R904,"missing: not provided"),EXACT(metadata!R904,"missing: restricted access"))),AND(IF(metadata!R904="",FALSE,ISNUMBER(VALUE(metadata!R904))),metadata!R904&gt;0))</f>
        <v>0</v>
      </c>
      <c r="AU904" t="b">
        <f>AND(IF(metadata!S904="",FALSE,TRUE),EXACT(metadata!S904,"missing: not provided"))</f>
        <v>0</v>
      </c>
    </row>
    <row r="905" spans="1:47" x14ac:dyDescent="0.2">
      <c r="A905" s="5" t="str">
        <f ca="1">IF(B905=" "," ",HYPERLINK(CONCATENATE("#metadata!",ADDRESS(INDEX($Y$2:$Y$1001,MATCH(ROWS($W$2:W905),$W$2:$W$1001,0),0),1)),INDEX($AB$2:$AB$1001,MATCH(ROWS($W$2:W905),$W$2:$W$1001,0),0)))</f>
        <v xml:space="preserve"> </v>
      </c>
      <c r="B905" s="4" t="str">
        <f ca="1">IF(OR(INDEX($X$2:$X$1001,MATCH(ROWS($W$2:W905),$W$2:$W$1001,0),1)&gt;=100000,INDEX($AD$1005:$AU$1005,1,MATCH(COLUMNS($AD$1006:AD1006),$AD$1006:$AU$1006,0))&gt;=100000), " ",IF(INDEX($AD$2:$AU$1001,MATCH(ROWS($W$2:W905),$W$2:$W$1001,0),MATCH(COLUMNS($AD$1006:AD1006),$AD$1006:$AU$1006,0)), HYPERLINK("#",""), HYPERLINK(CONCATENATE("#metadata!", ADDRESS(INDEX($Y$2:$Y$1001,MATCH(ROWS($W$2:W905),$W$2:$W$1001,0),0), INDEX($AD$1004:$AU$1004,1,MATCH(COLUMNS($AD$1006:AD1006),$AD$1006:$AU$1006,0)))),"Fix")))</f>
        <v xml:space="preserve"> </v>
      </c>
      <c r="C905" s="4" t="str">
        <f ca="1">IF(OR(INDEX($X$2:$X$1001,MATCH(ROWS($W$2:W905),$W$2:$W$1001,0),1)&gt;=100000,INDEX($AD$1005:$AU$1005,1,MATCH(COLUMNS($AD$1006:AE1006),$AD$1006:$AU$1006,0))&gt;=100000), " ",IF(INDEX($AD$2:$AU$1001,MATCH(ROWS($W$2:W905),$W$2:$W$1001,0),MATCH(COLUMNS($AD$1006:AE1006),$AD$1006:$AU$1006,0)), HYPERLINK("#",""), HYPERLINK(CONCATENATE("#metadata!", ADDRESS(INDEX($Y$2:$Y$1001,MATCH(ROWS($W$2:W905),$W$2:$W$1001,0),0), INDEX($AD$1004:$AU$1004,1,MATCH(COLUMNS($AD$1006:AE1006),$AD$1006:$AU$1006,0)))),"Fix")))</f>
        <v xml:space="preserve"> </v>
      </c>
      <c r="D905" s="4" t="str">
        <f ca="1">IF(OR(INDEX($X$2:$X$1001,MATCH(ROWS($W$2:W905),$W$2:$W$1001,0),1)&gt;=100000,INDEX($AD$1005:$AU$1005,1,MATCH(COLUMNS($AD$1006:AF1006),$AD$1006:$AU$1006,0))&gt;=100000), " ",IF(INDEX($AD$2:$AU$1001,MATCH(ROWS($W$2:W905),$W$2:$W$1001,0),MATCH(COLUMNS($AD$1006:AF1006),$AD$1006:$AU$1006,0)), HYPERLINK("#",""), HYPERLINK(CONCATENATE("#metadata!", ADDRESS(INDEX($Y$2:$Y$1001,MATCH(ROWS($W$2:W905),$W$2:$W$1001,0),0), INDEX($AD$1004:$AU$1004,1,MATCH(COLUMNS($AD$1006:AF1006),$AD$1006:$AU$1006,0)))),"Fix")))</f>
        <v xml:space="preserve"> </v>
      </c>
      <c r="E905" s="4" t="str">
        <f ca="1">IF(OR(INDEX($X$2:$X$1001,MATCH(ROWS($W$2:W905),$W$2:$W$1001,0),1)&gt;=100000,INDEX($AD$1005:$AU$1005,1,MATCH(COLUMNS($AD$1006:AG1006),$AD$1006:$AU$1006,0))&gt;=100000), " ",IF(INDEX($AD$2:$AU$1001,MATCH(ROWS($W$2:W905),$W$2:$W$1001,0),MATCH(COLUMNS($AD$1006:AG1006),$AD$1006:$AU$1006,0)), HYPERLINK("#",""), HYPERLINK(CONCATENATE("#metadata!", ADDRESS(INDEX($Y$2:$Y$1001,MATCH(ROWS($W$2:W905),$W$2:$W$1001,0),0), INDEX($AD$1004:$AU$1004,1,MATCH(COLUMNS($AD$1006:AG1006),$AD$1006:$AU$1006,0)))),"Fix")))</f>
        <v xml:space="preserve"> </v>
      </c>
      <c r="F905" s="4" t="str">
        <f ca="1">IF(OR(INDEX($X$2:$X$1001,MATCH(ROWS($W$2:W905),$W$2:$W$1001,0),1)&gt;=100000,INDEX($AD$1005:$AU$1005,1,MATCH(COLUMNS($AD$1006:AH1006),$AD$1006:$AU$1006,0))&gt;=100000), " ",IF(INDEX($AD$2:$AU$1001,MATCH(ROWS($W$2:W905),$W$2:$W$1001,0),MATCH(COLUMNS($AD$1006:AH1006),$AD$1006:$AU$1006,0)), HYPERLINK("#",""), HYPERLINK(CONCATENATE("#metadata!", ADDRESS(INDEX($Y$2:$Y$1001,MATCH(ROWS($W$2:W905),$W$2:$W$1001,0),0), INDEX($AD$1004:$AU$1004,1,MATCH(COLUMNS($AD$1006:AH1006),$AD$1006:$AU$1006,0)))),"Fix")))</f>
        <v xml:space="preserve"> </v>
      </c>
      <c r="G905" s="4" t="str">
        <f ca="1">IF(OR(INDEX($X$2:$X$1001,MATCH(ROWS($W$2:W905),$W$2:$W$1001,0),1)&gt;=100000,INDEX($AD$1005:$AU$1005,1,MATCH(COLUMNS($AD$1006:AI1006),$AD$1006:$AU$1006,0))&gt;=100000), " ",IF(INDEX($AD$2:$AU$1001,MATCH(ROWS($W$2:W905),$W$2:$W$1001,0),MATCH(COLUMNS($AD$1006:AI1006),$AD$1006:$AU$1006,0)), HYPERLINK("#",""), HYPERLINK(CONCATENATE("#metadata!", ADDRESS(INDEX($Y$2:$Y$1001,MATCH(ROWS($W$2:W905),$W$2:$W$1001,0),0), INDEX($AD$1004:$AU$1004,1,MATCH(COLUMNS($AD$1006:AI1006),$AD$1006:$AU$1006,0)))),"Fix")))</f>
        <v xml:space="preserve"> </v>
      </c>
      <c r="H905" s="4" t="str">
        <f ca="1">IF(OR(INDEX($X$2:$X$1001,MATCH(ROWS($W$2:W905),$W$2:$W$1001,0),1)&gt;=100000,INDEX($AD$1005:$AU$1005,1,MATCH(COLUMNS($AD$1006:AJ1006),$AD$1006:$AU$1006,0))&gt;=100000), " ",IF(INDEX($AD$2:$AU$1001,MATCH(ROWS($W$2:W905),$W$2:$W$1001,0),MATCH(COLUMNS($AD$1006:AJ1006),$AD$1006:$AU$1006,0)), HYPERLINK("#",""), HYPERLINK(CONCATENATE("#metadata!", ADDRESS(INDEX($Y$2:$Y$1001,MATCH(ROWS($W$2:W905),$W$2:$W$1001,0),0), INDEX($AD$1004:$AU$1004,1,MATCH(COLUMNS($AD$1006:AJ1006),$AD$1006:$AU$1006,0)))),"Fix")))</f>
        <v xml:space="preserve"> </v>
      </c>
      <c r="I905" s="4" t="str">
        <f ca="1">IF(OR(INDEX($X$2:$X$1001,MATCH(ROWS($W$2:W905),$W$2:$W$1001,0),1)&gt;=100000,INDEX($AD$1005:$AU$1005,1,MATCH(COLUMNS($AD$1006:AK1006),$AD$1006:$AU$1006,0))&gt;=100000), " ",IF(INDEX($AD$2:$AU$1001,MATCH(ROWS($W$2:W905),$W$2:$W$1001,0),MATCH(COLUMNS($AD$1006:AK1006),$AD$1006:$AU$1006,0)), HYPERLINK("#",""), HYPERLINK(CONCATENATE("#metadata!", ADDRESS(INDEX($Y$2:$Y$1001,MATCH(ROWS($W$2:W905),$W$2:$W$1001,0),0), INDEX($AD$1004:$AU$1004,1,MATCH(COLUMNS($AD$1006:AK1006),$AD$1006:$AU$1006,0)))),"Fix")))</f>
        <v xml:space="preserve"> </v>
      </c>
      <c r="J905" s="4" t="str">
        <f ca="1">IF(OR(INDEX($X$2:$X$1001,MATCH(ROWS($W$2:W905),$W$2:$W$1001,0),1)&gt;=100000,INDEX($AD$1005:$AU$1005,1,MATCH(COLUMNS($AD$1006:AL1006),$AD$1006:$AU$1006,0))&gt;=100000), " ",IF(INDEX($AD$2:$AU$1001,MATCH(ROWS($W$2:W905),$W$2:$W$1001,0),MATCH(COLUMNS($AD$1006:AL1006),$AD$1006:$AU$1006,0)), HYPERLINK("#",""), HYPERLINK(CONCATENATE("#metadata!", ADDRESS(INDEX($Y$2:$Y$1001,MATCH(ROWS($W$2:W905),$W$2:$W$1001,0),0), INDEX($AD$1004:$AU$1004,1,MATCH(COLUMNS($AD$1006:AL1006),$AD$1006:$AU$1006,0)))),"Fix")))</f>
        <v xml:space="preserve"> </v>
      </c>
      <c r="K905" s="4" t="str">
        <f ca="1">IF(OR(INDEX($X$2:$X$1001,MATCH(ROWS($W$2:W905),$W$2:$W$1001,0),1)&gt;=100000,INDEX($AD$1005:$AU$1005,1,MATCH(COLUMNS($AD$1006:AM1006),$AD$1006:$AU$1006,0))&gt;=100000), " ",IF(INDEX($AD$2:$AU$1001,MATCH(ROWS($W$2:W905),$W$2:$W$1001,0),MATCH(COLUMNS($AD$1006:AM1006),$AD$1006:$AU$1006,0)), HYPERLINK("#",""), HYPERLINK(CONCATENATE("#metadata!", ADDRESS(INDEX($Y$2:$Y$1001,MATCH(ROWS($W$2:W905),$W$2:$W$1001,0),0), INDEX($AD$1004:$AU$1004,1,MATCH(COLUMNS($AD$1006:AM1006),$AD$1006:$AU$1006,0)))),"Fix")))</f>
        <v xml:space="preserve"> </v>
      </c>
      <c r="L905" s="4" t="str">
        <f ca="1">IF(OR(INDEX($X$2:$X$1001,MATCH(ROWS($W$2:W905),$W$2:$W$1001,0),1)&gt;=100000,INDEX($AD$1005:$AU$1005,1,MATCH(COLUMNS($AD$1006:AN1006),$AD$1006:$AU$1006,0))&gt;=100000), " ",IF(INDEX($AD$2:$AU$1001,MATCH(ROWS($W$2:W905),$W$2:$W$1001,0),MATCH(COLUMNS($AD$1006:AN1006),$AD$1006:$AU$1006,0)), HYPERLINK("#",""), HYPERLINK(CONCATENATE("#metadata!", ADDRESS(INDEX($Y$2:$Y$1001,MATCH(ROWS($W$2:W905),$W$2:$W$1001,0),0), INDEX($AD$1004:$AU$1004,1,MATCH(COLUMNS($AD$1006:AN1006),$AD$1006:$AU$1006,0)))),"Fix")))</f>
        <v xml:space="preserve"> </v>
      </c>
      <c r="M905" s="4" t="str">
        <f ca="1">IF(OR(INDEX($X$2:$X$1001,MATCH(ROWS($W$2:W905),$W$2:$W$1001,0),1)&gt;=100000,INDEX($AD$1005:$AU$1005,1,MATCH(COLUMNS($AD$1006:AO1006),$AD$1006:$AU$1006,0))&gt;=100000), " ",IF(INDEX($AD$2:$AU$1001,MATCH(ROWS($W$2:W905),$W$2:$W$1001,0),MATCH(COLUMNS($AD$1006:AO1006),$AD$1006:$AU$1006,0)), HYPERLINK("#",""), HYPERLINK(CONCATENATE("#metadata!", ADDRESS(INDEX($Y$2:$Y$1001,MATCH(ROWS($W$2:W905),$W$2:$W$1001,0),0), INDEX($AD$1004:$AU$1004,1,MATCH(COLUMNS($AD$1006:AO1006),$AD$1006:$AU$1006,0)))),"Fix")))</f>
        <v xml:space="preserve"> </v>
      </c>
      <c r="N905" s="4" t="str">
        <f ca="1">IF(OR(INDEX($X$2:$X$1001,MATCH(ROWS($W$2:W905),$W$2:$W$1001,0),1)&gt;=100000,INDEX($AD$1005:$AU$1005,1,MATCH(COLUMNS($AD$1006:AP1006),$AD$1006:$AU$1006,0))&gt;=100000), " ",IF(INDEX($AD$2:$AU$1001,MATCH(ROWS($W$2:W905),$W$2:$W$1001,0),MATCH(COLUMNS($AD$1006:AP1006),$AD$1006:$AU$1006,0)), HYPERLINK("#",""), HYPERLINK(CONCATENATE("#metadata!", ADDRESS(INDEX($Y$2:$Y$1001,MATCH(ROWS($W$2:W905),$W$2:$W$1001,0),0), INDEX($AD$1004:$AU$1004,1,MATCH(COLUMNS($AD$1006:AP1006),$AD$1006:$AU$1006,0)))),"Fix")))</f>
        <v xml:space="preserve"> </v>
      </c>
      <c r="O905" s="4" t="str">
        <f ca="1">IF(OR(INDEX($X$2:$X$1001,MATCH(ROWS($W$2:W905),$W$2:$W$1001,0),1)&gt;=100000,INDEX($AD$1005:$AU$1005,1,MATCH(COLUMNS($AD$1006:AQ1006),$AD$1006:$AU$1006,0))&gt;=100000), " ",IF(INDEX($AD$2:$AU$1001,MATCH(ROWS($W$2:W905),$W$2:$W$1001,0),MATCH(COLUMNS($AD$1006:AQ1006),$AD$1006:$AU$1006,0)), HYPERLINK("#",""), HYPERLINK(CONCATENATE("#metadata!", ADDRESS(INDEX($Y$2:$Y$1001,MATCH(ROWS($W$2:W905),$W$2:$W$1001,0),0), INDEX($AD$1004:$AU$1004,1,MATCH(COLUMNS($AD$1006:AQ1006),$AD$1006:$AU$1006,0)))),"Fix")))</f>
        <v xml:space="preserve"> </v>
      </c>
      <c r="P905" s="4" t="str">
        <f ca="1">IF(OR(INDEX($X$2:$X$1001,MATCH(ROWS($W$2:W905),$W$2:$W$1001,0),1)&gt;=100000,INDEX($AD$1005:$AU$1005,1,MATCH(COLUMNS($AD$1006:AR1006),$AD$1006:$AU$1006,0))&gt;=100000), " ",IF(INDEX($AD$2:$AU$1001,MATCH(ROWS($W$2:W905),$W$2:$W$1001,0),MATCH(COLUMNS($AD$1006:AR1006),$AD$1006:$AU$1006,0)), HYPERLINK("#",""), HYPERLINK(CONCATENATE("#metadata!", ADDRESS(INDEX($Y$2:$Y$1001,MATCH(ROWS($W$2:W905),$W$2:$W$1001,0),0), INDEX($AD$1004:$AU$1004,1,MATCH(COLUMNS($AD$1006:AR1006),$AD$1006:$AU$1006,0)))),"Fix")))</f>
        <v xml:space="preserve"> </v>
      </c>
      <c r="Q905" s="4" t="str">
        <f ca="1">IF(OR(INDEX($X$2:$X$1001,MATCH(ROWS($W$2:W905),$W$2:$W$1001,0),1)&gt;=100000,INDEX($AD$1005:$AU$1005,1,MATCH(COLUMNS($AD$1006:AS1006),$AD$1006:$AU$1006,0))&gt;=100000), " ",IF(INDEX($AD$2:$AU$1001,MATCH(ROWS($W$2:W905),$W$2:$W$1001,0),MATCH(COLUMNS($AD$1006:AS1006),$AD$1006:$AU$1006,0)), HYPERLINK("#",""), HYPERLINK(CONCATENATE("#metadata!", ADDRESS(INDEX($Y$2:$Y$1001,MATCH(ROWS($W$2:W905),$W$2:$W$1001,0),0), INDEX($AD$1004:$AU$1004,1,MATCH(COLUMNS($AD$1006:AS1006),$AD$1006:$AU$1006,0)))),"Fix")))</f>
        <v xml:space="preserve"> </v>
      </c>
      <c r="R905" s="4" t="str">
        <f ca="1">IF(OR(INDEX($X$2:$X$1001,MATCH(ROWS($W$2:W905),$W$2:$W$1001,0),1)&gt;=100000,INDEX($AD$1005:$AU$1005,1,MATCH(COLUMNS($AD$1006:AT1006),$AD$1006:$AU$1006,0))&gt;=100000), " ",IF(INDEX($AD$2:$AU$1001,MATCH(ROWS($W$2:W905),$W$2:$W$1001,0),MATCH(COLUMNS($AD$1006:AT1006),$AD$1006:$AU$1006,0)), HYPERLINK("#",""), HYPERLINK(CONCATENATE("#metadata!", ADDRESS(INDEX($Y$2:$Y$1001,MATCH(ROWS($W$2:W905),$W$2:$W$1001,0),0), INDEX($AD$1004:$AU$1004,1,MATCH(COLUMNS($AD$1006:AT1006),$AD$1006:$AU$1006,0)))),"Fix")))</f>
        <v xml:space="preserve"> </v>
      </c>
      <c r="S905" s="4" t="str">
        <f ca="1">IF(OR(INDEX($X$2:$X$1001,MATCH(ROWS($W$2:W905),$W$2:$W$1001,0),1)&gt;=100000,INDEX($AD$1005:$AU$1005,1,MATCH(COLUMNS($AD$1006:AU1006),$AD$1006:$AU$1006,0))&gt;=100000), " ",IF(INDEX($AD$2:$AU$1001,MATCH(ROWS($W$2:W905),$W$2:$W$1001,0),MATCH(COLUMNS($AD$1006:AU1006),$AD$1006:$AU$1006,0)), HYPERLINK("#",""), HYPERLINK(CONCATENATE("#metadata!", ADDRESS(INDEX($Y$2:$Y$1001,MATCH(ROWS($W$2:W905),$W$2:$W$1001,0),0), INDEX($AD$1004:$AU$1004,1,MATCH(COLUMNS($AD$1006:AU1006),$AD$1006:$AU$1006,0)))),"Fix")))</f>
        <v xml:space="preserve"> </v>
      </c>
      <c r="W905">
        <v>904</v>
      </c>
      <c r="X905">
        <v>100905</v>
      </c>
      <c r="Y905">
        <v>905</v>
      </c>
      <c r="Z905" t="b">
        <f t="shared" si="14"/>
        <v>1</v>
      </c>
      <c r="AA905" t="b">
        <f>COUNTBLANK(metadata!B905:S905)=COLUMNS(metadata!B905:S905)</f>
        <v>1</v>
      </c>
      <c r="AB905" t="str">
        <v/>
      </c>
      <c r="AD905" t="b">
        <f ca="1">AND(IF(metadata!B905="",FALSE,TRUE),COUNTIF(metadata!B:B, metadata!B905) = 1,NOT(ISERROR(SUMPRODUCT(SEARCH(MID(metadata!B905,ROW(INDIRECT("1:"&amp;LEN(metadata!B905))), 1),"0123456789abcdefghijklmnopqrstuvwxyzABCDEFGHIJKLMNOPQRSTUVWXYZ.")))))</f>
        <v>0</v>
      </c>
      <c r="AE905" t="b">
        <f>OR(AND(IF(metadata!C905="",FALSE,TRUE),OR(EXACT(metadata!C905,"not applicable"),EXACT(metadata!C905,"missing: not collected"),EXACT(metadata!C905,"missing: not provided"),EXACT(metadata!C905,"missing: restricted access"))),AND(IF(metadata!C905="",FALSE,ISNUMBER(VALUE(metadata!C905))),metadata!C905&gt;0))</f>
        <v>0</v>
      </c>
      <c r="AF905" t="b">
        <f>AND(IF(metadata!D905="",FALSE,TRUE),EXACT(metadata!D905,"missing: not provided"))</f>
        <v>0</v>
      </c>
      <c r="AG905" t="b">
        <f>AND(IF(metadata!E905="",FALSE,TRUE),EXACT(metadata!E905,"Host-associated"))</f>
        <v>0</v>
      </c>
      <c r="AH905" t="b">
        <f>AND(IF(metadata!F905="",FALSE,TRUE),OR(EXACT(metadata!F905,"Animal"),EXACT(metadata!F905,"Fungus"),EXACT(metadata!F905,"Plant")))</f>
        <v>0</v>
      </c>
      <c r="AI905" t="b">
        <f>AND(IF(metadata!G905="",FALSE,TRUE),OR(EXACT(metadata!G905,"Plant secretion"),EXACT(metadata!G905,"Plant rhizosphere"),EXACT(metadata!G905,"Plant surface"),EXACT(metadata!G905,"Plant corpus"),EXACT(metadata!G905,"Fungus surface"),EXACT(metadata!G905,"Fungus corpus"),EXACT(metadata!G905,"Animal surface"),EXACT(metadata!G905,"Animal proximal gut"),EXACT(metadata!G905,"Animal corpus"),EXACT(metadata!G905,"Animal distal gut"),EXACT(metadata!G905,"Animal secretion")))</f>
        <v>0</v>
      </c>
      <c r="AJ905" t="b">
        <f>OR(AND(IF(metadata!H905="",FALSE,TRUE),OR(EXACT(metadata!H905,"missing: not collected"),EXACT(metadata!H905,"missing: not provided"),EXACT(metadata!H905,"missing: restricted access"))),AND(IF(metadata!H905="",FALSE,TRUE),OR(EXACT(metadata!H905,"organism-associated habitat"),EXACT(metadata!H905,"plant-associated habitat"),EXACT(metadata!H905,"animal-associated habitat"),EXACT(metadata!H905,"insecta-associated habitat"),EXACT(metadata!H905,"mammalia-associated habitat"),EXACT(metadata!H905,"human-associated habitat"),EXACT(metadata!H905,"livestock-associated habitat"))))</f>
        <v>0</v>
      </c>
      <c r="AK905" t="b">
        <f>AND(IF(metadata!I905="",FALSE,TRUE),EXACT(metadata!I905,"host-associated"))</f>
        <v>0</v>
      </c>
      <c r="AL905" t="b">
        <f>OR(AND(IF(metadata!J905="",FALSE,TRUE),OR(EXACT(metadata!J905,"not applicable"),EXACT(metadata!J905,"missing: not collected"),EXACT(metadata!J905,"missing: not provided"),EXACT(metadata!J905,"missing: restricted access"))),AND(IF(metadata!J905="",FALSE,ISNUMBER(VALUE(metadata!J905))),metadata!J905&gt;0))</f>
        <v>0</v>
      </c>
      <c r="AM905" t="b">
        <f>AND(IF(metadata!K905="",FALSE,TRUE),EXACT(metadata!K905,"missing: not provided"))</f>
        <v>0</v>
      </c>
      <c r="AN905" t="b">
        <f>IF(metadata!L905="",FALSE,TRUE)</f>
        <v>0</v>
      </c>
      <c r="AO905" t="b">
        <f>IF(metadata!M905="",FALSE,TRUE)</f>
        <v>0</v>
      </c>
      <c r="AP905" t="b">
        <f>OR(AND(IF(metadata!N905="",FALSE,TRUE),OR(EXACT(metadata!N905,"not applicable"),EXACT(metadata!N905,"missing: not collected"),EXACT(metadata!N905,"missing: not provided"))),AND(IF(metadata!N905="",FALSE,IF(ISERROR(INT(metadata!N905)),FALSE,INT(metadata!N905)=metadata!N905)),metadata!N905&gt;0))</f>
        <v>0</v>
      </c>
      <c r="AQ905" t="b">
        <f>AND(IF(metadata!O905="",FALSE,TRUE),EXACT(metadata!O905,"Not applicable"))</f>
        <v>0</v>
      </c>
      <c r="AR905" t="b">
        <f>OR(AND(IF(metadata!P905="",FALSE,TRUE),OR(EXACT(metadata!P905,"not applicable"),EXACT(metadata!P905,"missing: not collected"),EXACT(metadata!P905,"missing: not provided"),EXACT(metadata!P905,"missing: restricted access"))),IF(metadata!P905="",FALSE,IF(ISERROR(INT(metadata!P905)),FALSE,INT(metadata!P905)=metadata!P905)))</f>
        <v>0</v>
      </c>
      <c r="AS905" t="b">
        <f>AND(IF(metadata!Q905="",FALSE,TRUE),EXACT(metadata!Q905,"Not applicable"))</f>
        <v>0</v>
      </c>
      <c r="AT905" t="b">
        <f>OR(AND(IF(metadata!R905="",FALSE,TRUE),OR(EXACT(metadata!R905,"not applicable"),EXACT(metadata!R905,"missing: not collected"),EXACT(metadata!R905,"missing: not provided"),EXACT(metadata!R905,"missing: restricted access"))),AND(IF(metadata!R905="",FALSE,ISNUMBER(VALUE(metadata!R905))),metadata!R905&gt;0))</f>
        <v>0</v>
      </c>
      <c r="AU905" t="b">
        <f>AND(IF(metadata!S905="",FALSE,TRUE),EXACT(metadata!S905,"missing: not provided"))</f>
        <v>0</v>
      </c>
    </row>
    <row r="906" spans="1:47" x14ac:dyDescent="0.2">
      <c r="A906" s="5" t="str">
        <f ca="1">IF(B906=" "," ",HYPERLINK(CONCATENATE("#metadata!",ADDRESS(INDEX($Y$2:$Y$1001,MATCH(ROWS($W$2:W906),$W$2:$W$1001,0),0),1)),INDEX($AB$2:$AB$1001,MATCH(ROWS($W$2:W906),$W$2:$W$1001,0),0)))</f>
        <v xml:space="preserve"> </v>
      </c>
      <c r="B906" s="4" t="str">
        <f ca="1">IF(OR(INDEX($X$2:$X$1001,MATCH(ROWS($W$2:W906),$W$2:$W$1001,0),1)&gt;=100000,INDEX($AD$1005:$AU$1005,1,MATCH(COLUMNS($AD$1006:AD1006),$AD$1006:$AU$1006,0))&gt;=100000), " ",IF(INDEX($AD$2:$AU$1001,MATCH(ROWS($W$2:W906),$W$2:$W$1001,0),MATCH(COLUMNS($AD$1006:AD1006),$AD$1006:$AU$1006,0)), HYPERLINK("#",""), HYPERLINK(CONCATENATE("#metadata!", ADDRESS(INDEX($Y$2:$Y$1001,MATCH(ROWS($W$2:W906),$W$2:$W$1001,0),0), INDEX($AD$1004:$AU$1004,1,MATCH(COLUMNS($AD$1006:AD1006),$AD$1006:$AU$1006,0)))),"Fix")))</f>
        <v xml:space="preserve"> </v>
      </c>
      <c r="C906" s="4" t="str">
        <f ca="1">IF(OR(INDEX($X$2:$X$1001,MATCH(ROWS($W$2:W906),$W$2:$W$1001,0),1)&gt;=100000,INDEX($AD$1005:$AU$1005,1,MATCH(COLUMNS($AD$1006:AE1006),$AD$1006:$AU$1006,0))&gt;=100000), " ",IF(INDEX($AD$2:$AU$1001,MATCH(ROWS($W$2:W906),$W$2:$W$1001,0),MATCH(COLUMNS($AD$1006:AE1006),$AD$1006:$AU$1006,0)), HYPERLINK("#",""), HYPERLINK(CONCATENATE("#metadata!", ADDRESS(INDEX($Y$2:$Y$1001,MATCH(ROWS($W$2:W906),$W$2:$W$1001,0),0), INDEX($AD$1004:$AU$1004,1,MATCH(COLUMNS($AD$1006:AE1006),$AD$1006:$AU$1006,0)))),"Fix")))</f>
        <v xml:space="preserve"> </v>
      </c>
      <c r="D906" s="4" t="str">
        <f ca="1">IF(OR(INDEX($X$2:$X$1001,MATCH(ROWS($W$2:W906),$W$2:$W$1001,0),1)&gt;=100000,INDEX($AD$1005:$AU$1005,1,MATCH(COLUMNS($AD$1006:AF1006),$AD$1006:$AU$1006,0))&gt;=100000), " ",IF(INDEX($AD$2:$AU$1001,MATCH(ROWS($W$2:W906),$W$2:$W$1001,0),MATCH(COLUMNS($AD$1006:AF1006),$AD$1006:$AU$1006,0)), HYPERLINK("#",""), HYPERLINK(CONCATENATE("#metadata!", ADDRESS(INDEX($Y$2:$Y$1001,MATCH(ROWS($W$2:W906),$W$2:$W$1001,0),0), INDEX($AD$1004:$AU$1004,1,MATCH(COLUMNS($AD$1006:AF1006),$AD$1006:$AU$1006,0)))),"Fix")))</f>
        <v xml:space="preserve"> </v>
      </c>
      <c r="E906" s="4" t="str">
        <f ca="1">IF(OR(INDEX($X$2:$X$1001,MATCH(ROWS($W$2:W906),$W$2:$W$1001,0),1)&gt;=100000,INDEX($AD$1005:$AU$1005,1,MATCH(COLUMNS($AD$1006:AG1006),$AD$1006:$AU$1006,0))&gt;=100000), " ",IF(INDEX($AD$2:$AU$1001,MATCH(ROWS($W$2:W906),$W$2:$W$1001,0),MATCH(COLUMNS($AD$1006:AG1006),$AD$1006:$AU$1006,0)), HYPERLINK("#",""), HYPERLINK(CONCATENATE("#metadata!", ADDRESS(INDEX($Y$2:$Y$1001,MATCH(ROWS($W$2:W906),$W$2:$W$1001,0),0), INDEX($AD$1004:$AU$1004,1,MATCH(COLUMNS($AD$1006:AG1006),$AD$1006:$AU$1006,0)))),"Fix")))</f>
        <v xml:space="preserve"> </v>
      </c>
      <c r="F906" s="4" t="str">
        <f ca="1">IF(OR(INDEX($X$2:$X$1001,MATCH(ROWS($W$2:W906),$W$2:$W$1001,0),1)&gt;=100000,INDEX($AD$1005:$AU$1005,1,MATCH(COLUMNS($AD$1006:AH1006),$AD$1006:$AU$1006,0))&gt;=100000), " ",IF(INDEX($AD$2:$AU$1001,MATCH(ROWS($W$2:W906),$W$2:$W$1001,0),MATCH(COLUMNS($AD$1006:AH1006),$AD$1006:$AU$1006,0)), HYPERLINK("#",""), HYPERLINK(CONCATENATE("#metadata!", ADDRESS(INDEX($Y$2:$Y$1001,MATCH(ROWS($W$2:W906),$W$2:$W$1001,0),0), INDEX($AD$1004:$AU$1004,1,MATCH(COLUMNS($AD$1006:AH1006),$AD$1006:$AU$1006,0)))),"Fix")))</f>
        <v xml:space="preserve"> </v>
      </c>
      <c r="G906" s="4" t="str">
        <f ca="1">IF(OR(INDEX($X$2:$X$1001,MATCH(ROWS($W$2:W906),$W$2:$W$1001,0),1)&gt;=100000,INDEX($AD$1005:$AU$1005,1,MATCH(COLUMNS($AD$1006:AI1006),$AD$1006:$AU$1006,0))&gt;=100000), " ",IF(INDEX($AD$2:$AU$1001,MATCH(ROWS($W$2:W906),$W$2:$W$1001,0),MATCH(COLUMNS($AD$1006:AI1006),$AD$1006:$AU$1006,0)), HYPERLINK("#",""), HYPERLINK(CONCATENATE("#metadata!", ADDRESS(INDEX($Y$2:$Y$1001,MATCH(ROWS($W$2:W906),$W$2:$W$1001,0),0), INDEX($AD$1004:$AU$1004,1,MATCH(COLUMNS($AD$1006:AI1006),$AD$1006:$AU$1006,0)))),"Fix")))</f>
        <v xml:space="preserve"> </v>
      </c>
      <c r="H906" s="4" t="str">
        <f ca="1">IF(OR(INDEX($X$2:$X$1001,MATCH(ROWS($W$2:W906),$W$2:$W$1001,0),1)&gt;=100000,INDEX($AD$1005:$AU$1005,1,MATCH(COLUMNS($AD$1006:AJ1006),$AD$1006:$AU$1006,0))&gt;=100000), " ",IF(INDEX($AD$2:$AU$1001,MATCH(ROWS($W$2:W906),$W$2:$W$1001,0),MATCH(COLUMNS($AD$1006:AJ1006),$AD$1006:$AU$1006,0)), HYPERLINK("#",""), HYPERLINK(CONCATENATE("#metadata!", ADDRESS(INDEX($Y$2:$Y$1001,MATCH(ROWS($W$2:W906),$W$2:$W$1001,0),0), INDEX($AD$1004:$AU$1004,1,MATCH(COLUMNS($AD$1006:AJ1006),$AD$1006:$AU$1006,0)))),"Fix")))</f>
        <v xml:space="preserve"> </v>
      </c>
      <c r="I906" s="4" t="str">
        <f ca="1">IF(OR(INDEX($X$2:$X$1001,MATCH(ROWS($W$2:W906),$W$2:$W$1001,0),1)&gt;=100000,INDEX($AD$1005:$AU$1005,1,MATCH(COLUMNS($AD$1006:AK1006),$AD$1006:$AU$1006,0))&gt;=100000), " ",IF(INDEX($AD$2:$AU$1001,MATCH(ROWS($W$2:W906),$W$2:$W$1001,0),MATCH(COLUMNS($AD$1006:AK1006),$AD$1006:$AU$1006,0)), HYPERLINK("#",""), HYPERLINK(CONCATENATE("#metadata!", ADDRESS(INDEX($Y$2:$Y$1001,MATCH(ROWS($W$2:W906),$W$2:$W$1001,0),0), INDEX($AD$1004:$AU$1004,1,MATCH(COLUMNS($AD$1006:AK1006),$AD$1006:$AU$1006,0)))),"Fix")))</f>
        <v xml:space="preserve"> </v>
      </c>
      <c r="J906" s="4" t="str">
        <f ca="1">IF(OR(INDEX($X$2:$X$1001,MATCH(ROWS($W$2:W906),$W$2:$W$1001,0),1)&gt;=100000,INDEX($AD$1005:$AU$1005,1,MATCH(COLUMNS($AD$1006:AL1006),$AD$1006:$AU$1006,0))&gt;=100000), " ",IF(INDEX($AD$2:$AU$1001,MATCH(ROWS($W$2:W906),$W$2:$W$1001,0),MATCH(COLUMNS($AD$1006:AL1006),$AD$1006:$AU$1006,0)), HYPERLINK("#",""), HYPERLINK(CONCATENATE("#metadata!", ADDRESS(INDEX($Y$2:$Y$1001,MATCH(ROWS($W$2:W906),$W$2:$W$1001,0),0), INDEX($AD$1004:$AU$1004,1,MATCH(COLUMNS($AD$1006:AL1006),$AD$1006:$AU$1006,0)))),"Fix")))</f>
        <v xml:space="preserve"> </v>
      </c>
      <c r="K906" s="4" t="str">
        <f ca="1">IF(OR(INDEX($X$2:$X$1001,MATCH(ROWS($W$2:W906),$W$2:$W$1001,0),1)&gt;=100000,INDEX($AD$1005:$AU$1005,1,MATCH(COLUMNS($AD$1006:AM1006),$AD$1006:$AU$1006,0))&gt;=100000), " ",IF(INDEX($AD$2:$AU$1001,MATCH(ROWS($W$2:W906),$W$2:$W$1001,0),MATCH(COLUMNS($AD$1006:AM1006),$AD$1006:$AU$1006,0)), HYPERLINK("#",""), HYPERLINK(CONCATENATE("#metadata!", ADDRESS(INDEX($Y$2:$Y$1001,MATCH(ROWS($W$2:W906),$W$2:$W$1001,0),0), INDEX($AD$1004:$AU$1004,1,MATCH(COLUMNS($AD$1006:AM1006),$AD$1006:$AU$1006,0)))),"Fix")))</f>
        <v xml:space="preserve"> </v>
      </c>
      <c r="L906" s="4" t="str">
        <f ca="1">IF(OR(INDEX($X$2:$X$1001,MATCH(ROWS($W$2:W906),$W$2:$W$1001,0),1)&gt;=100000,INDEX($AD$1005:$AU$1005,1,MATCH(COLUMNS($AD$1006:AN1006),$AD$1006:$AU$1006,0))&gt;=100000), " ",IF(INDEX($AD$2:$AU$1001,MATCH(ROWS($W$2:W906),$W$2:$W$1001,0),MATCH(COLUMNS($AD$1006:AN1006),$AD$1006:$AU$1006,0)), HYPERLINK("#",""), HYPERLINK(CONCATENATE("#metadata!", ADDRESS(INDEX($Y$2:$Y$1001,MATCH(ROWS($W$2:W906),$W$2:$W$1001,0),0), INDEX($AD$1004:$AU$1004,1,MATCH(COLUMNS($AD$1006:AN1006),$AD$1006:$AU$1006,0)))),"Fix")))</f>
        <v xml:space="preserve"> </v>
      </c>
      <c r="M906" s="4" t="str">
        <f ca="1">IF(OR(INDEX($X$2:$X$1001,MATCH(ROWS($W$2:W906),$W$2:$W$1001,0),1)&gt;=100000,INDEX($AD$1005:$AU$1005,1,MATCH(COLUMNS($AD$1006:AO1006),$AD$1006:$AU$1006,0))&gt;=100000), " ",IF(INDEX($AD$2:$AU$1001,MATCH(ROWS($W$2:W906),$W$2:$W$1001,0),MATCH(COLUMNS($AD$1006:AO1006),$AD$1006:$AU$1006,0)), HYPERLINK("#",""), HYPERLINK(CONCATENATE("#metadata!", ADDRESS(INDEX($Y$2:$Y$1001,MATCH(ROWS($W$2:W906),$W$2:$W$1001,0),0), INDEX($AD$1004:$AU$1004,1,MATCH(COLUMNS($AD$1006:AO1006),$AD$1006:$AU$1006,0)))),"Fix")))</f>
        <v xml:space="preserve"> </v>
      </c>
      <c r="N906" s="4" t="str">
        <f ca="1">IF(OR(INDEX($X$2:$X$1001,MATCH(ROWS($W$2:W906),$W$2:$W$1001,0),1)&gt;=100000,INDEX($AD$1005:$AU$1005,1,MATCH(COLUMNS($AD$1006:AP1006),$AD$1006:$AU$1006,0))&gt;=100000), " ",IF(INDEX($AD$2:$AU$1001,MATCH(ROWS($W$2:W906),$W$2:$W$1001,0),MATCH(COLUMNS($AD$1006:AP1006),$AD$1006:$AU$1006,0)), HYPERLINK("#",""), HYPERLINK(CONCATENATE("#metadata!", ADDRESS(INDEX($Y$2:$Y$1001,MATCH(ROWS($W$2:W906),$W$2:$W$1001,0),0), INDEX($AD$1004:$AU$1004,1,MATCH(COLUMNS($AD$1006:AP1006),$AD$1006:$AU$1006,0)))),"Fix")))</f>
        <v xml:space="preserve"> </v>
      </c>
      <c r="O906" s="4" t="str">
        <f ca="1">IF(OR(INDEX($X$2:$X$1001,MATCH(ROWS($W$2:W906),$W$2:$W$1001,0),1)&gt;=100000,INDEX($AD$1005:$AU$1005,1,MATCH(COLUMNS($AD$1006:AQ1006),$AD$1006:$AU$1006,0))&gt;=100000), " ",IF(INDEX($AD$2:$AU$1001,MATCH(ROWS($W$2:W906),$W$2:$W$1001,0),MATCH(COLUMNS($AD$1006:AQ1006),$AD$1006:$AU$1006,0)), HYPERLINK("#",""), HYPERLINK(CONCATENATE("#metadata!", ADDRESS(INDEX($Y$2:$Y$1001,MATCH(ROWS($W$2:W906),$W$2:$W$1001,0),0), INDEX($AD$1004:$AU$1004,1,MATCH(COLUMNS($AD$1006:AQ1006),$AD$1006:$AU$1006,0)))),"Fix")))</f>
        <v xml:space="preserve"> </v>
      </c>
      <c r="P906" s="4" t="str">
        <f ca="1">IF(OR(INDEX($X$2:$X$1001,MATCH(ROWS($W$2:W906),$W$2:$W$1001,0),1)&gt;=100000,INDEX($AD$1005:$AU$1005,1,MATCH(COLUMNS($AD$1006:AR1006),$AD$1006:$AU$1006,0))&gt;=100000), " ",IF(INDEX($AD$2:$AU$1001,MATCH(ROWS($W$2:W906),$W$2:$W$1001,0),MATCH(COLUMNS($AD$1006:AR1006),$AD$1006:$AU$1006,0)), HYPERLINK("#",""), HYPERLINK(CONCATENATE("#metadata!", ADDRESS(INDEX($Y$2:$Y$1001,MATCH(ROWS($W$2:W906),$W$2:$W$1001,0),0), INDEX($AD$1004:$AU$1004,1,MATCH(COLUMNS($AD$1006:AR1006),$AD$1006:$AU$1006,0)))),"Fix")))</f>
        <v xml:space="preserve"> </v>
      </c>
      <c r="Q906" s="4" t="str">
        <f ca="1">IF(OR(INDEX($X$2:$X$1001,MATCH(ROWS($W$2:W906),$W$2:$W$1001,0),1)&gt;=100000,INDEX($AD$1005:$AU$1005,1,MATCH(COLUMNS($AD$1006:AS1006),$AD$1006:$AU$1006,0))&gt;=100000), " ",IF(INDEX($AD$2:$AU$1001,MATCH(ROWS($W$2:W906),$W$2:$W$1001,0),MATCH(COLUMNS($AD$1006:AS1006),$AD$1006:$AU$1006,0)), HYPERLINK("#",""), HYPERLINK(CONCATENATE("#metadata!", ADDRESS(INDEX($Y$2:$Y$1001,MATCH(ROWS($W$2:W906),$W$2:$W$1001,0),0), INDEX($AD$1004:$AU$1004,1,MATCH(COLUMNS($AD$1006:AS1006),$AD$1006:$AU$1006,0)))),"Fix")))</f>
        <v xml:space="preserve"> </v>
      </c>
      <c r="R906" s="4" t="str">
        <f ca="1">IF(OR(INDEX($X$2:$X$1001,MATCH(ROWS($W$2:W906),$W$2:$W$1001,0),1)&gt;=100000,INDEX($AD$1005:$AU$1005,1,MATCH(COLUMNS($AD$1006:AT1006),$AD$1006:$AU$1006,0))&gt;=100000), " ",IF(INDEX($AD$2:$AU$1001,MATCH(ROWS($W$2:W906),$W$2:$W$1001,0),MATCH(COLUMNS($AD$1006:AT1006),$AD$1006:$AU$1006,0)), HYPERLINK("#",""), HYPERLINK(CONCATENATE("#metadata!", ADDRESS(INDEX($Y$2:$Y$1001,MATCH(ROWS($W$2:W906),$W$2:$W$1001,0),0), INDEX($AD$1004:$AU$1004,1,MATCH(COLUMNS($AD$1006:AT1006),$AD$1006:$AU$1006,0)))),"Fix")))</f>
        <v xml:space="preserve"> </v>
      </c>
      <c r="S906" s="4" t="str">
        <f ca="1">IF(OR(INDEX($X$2:$X$1001,MATCH(ROWS($W$2:W906),$W$2:$W$1001,0),1)&gt;=100000,INDEX($AD$1005:$AU$1005,1,MATCH(COLUMNS($AD$1006:AU1006),$AD$1006:$AU$1006,0))&gt;=100000), " ",IF(INDEX($AD$2:$AU$1001,MATCH(ROWS($W$2:W906),$W$2:$W$1001,0),MATCH(COLUMNS($AD$1006:AU1006),$AD$1006:$AU$1006,0)), HYPERLINK("#",""), HYPERLINK(CONCATENATE("#metadata!", ADDRESS(INDEX($Y$2:$Y$1001,MATCH(ROWS($W$2:W906),$W$2:$W$1001,0),0), INDEX($AD$1004:$AU$1004,1,MATCH(COLUMNS($AD$1006:AU1006),$AD$1006:$AU$1006,0)))),"Fix")))</f>
        <v xml:space="preserve"> </v>
      </c>
      <c r="W906">
        <v>905</v>
      </c>
      <c r="X906">
        <v>100906</v>
      </c>
      <c r="Y906">
        <v>906</v>
      </c>
      <c r="Z906" t="b">
        <f t="shared" si="14"/>
        <v>1</v>
      </c>
      <c r="AA906" t="b">
        <f>COUNTBLANK(metadata!B906:S906)=COLUMNS(metadata!B906:S906)</f>
        <v>1</v>
      </c>
      <c r="AB906" t="str">
        <v/>
      </c>
      <c r="AD906" t="b">
        <f ca="1">AND(IF(metadata!B906="",FALSE,TRUE),COUNTIF(metadata!B:B, metadata!B906) = 1,NOT(ISERROR(SUMPRODUCT(SEARCH(MID(metadata!B906,ROW(INDIRECT("1:"&amp;LEN(metadata!B906))), 1),"0123456789abcdefghijklmnopqrstuvwxyzABCDEFGHIJKLMNOPQRSTUVWXYZ.")))))</f>
        <v>0</v>
      </c>
      <c r="AE906" t="b">
        <f>OR(AND(IF(metadata!C906="",FALSE,TRUE),OR(EXACT(metadata!C906,"not applicable"),EXACT(metadata!C906,"missing: not collected"),EXACT(metadata!C906,"missing: not provided"),EXACT(metadata!C906,"missing: restricted access"))),AND(IF(metadata!C906="",FALSE,ISNUMBER(VALUE(metadata!C906))),metadata!C906&gt;0))</f>
        <v>0</v>
      </c>
      <c r="AF906" t="b">
        <f>AND(IF(metadata!D906="",FALSE,TRUE),EXACT(metadata!D906,"missing: not provided"))</f>
        <v>0</v>
      </c>
      <c r="AG906" t="b">
        <f>AND(IF(metadata!E906="",FALSE,TRUE),EXACT(metadata!E906,"Host-associated"))</f>
        <v>0</v>
      </c>
      <c r="AH906" t="b">
        <f>AND(IF(metadata!F906="",FALSE,TRUE),OR(EXACT(metadata!F906,"Animal"),EXACT(metadata!F906,"Fungus"),EXACT(metadata!F906,"Plant")))</f>
        <v>0</v>
      </c>
      <c r="AI906" t="b">
        <f>AND(IF(metadata!G906="",FALSE,TRUE),OR(EXACT(metadata!G906,"Plant secretion"),EXACT(metadata!G906,"Plant rhizosphere"),EXACT(metadata!G906,"Plant surface"),EXACT(metadata!G906,"Plant corpus"),EXACT(metadata!G906,"Fungus surface"),EXACT(metadata!G906,"Fungus corpus"),EXACT(metadata!G906,"Animal surface"),EXACT(metadata!G906,"Animal proximal gut"),EXACT(metadata!G906,"Animal corpus"),EXACT(metadata!G906,"Animal distal gut"),EXACT(metadata!G906,"Animal secretion")))</f>
        <v>0</v>
      </c>
      <c r="AJ906" t="b">
        <f>OR(AND(IF(metadata!H906="",FALSE,TRUE),OR(EXACT(metadata!H906,"missing: not collected"),EXACT(metadata!H906,"missing: not provided"),EXACT(metadata!H906,"missing: restricted access"))),AND(IF(metadata!H906="",FALSE,TRUE),OR(EXACT(metadata!H906,"organism-associated habitat"),EXACT(metadata!H906,"plant-associated habitat"),EXACT(metadata!H906,"animal-associated habitat"),EXACT(metadata!H906,"insecta-associated habitat"),EXACT(metadata!H906,"mammalia-associated habitat"),EXACT(metadata!H906,"human-associated habitat"),EXACT(metadata!H906,"livestock-associated habitat"))))</f>
        <v>0</v>
      </c>
      <c r="AK906" t="b">
        <f>AND(IF(metadata!I906="",FALSE,TRUE),EXACT(metadata!I906,"host-associated"))</f>
        <v>0</v>
      </c>
      <c r="AL906" t="b">
        <f>OR(AND(IF(metadata!J906="",FALSE,TRUE),OR(EXACT(metadata!J906,"not applicable"),EXACT(metadata!J906,"missing: not collected"),EXACT(metadata!J906,"missing: not provided"),EXACT(metadata!J906,"missing: restricted access"))),AND(IF(metadata!J906="",FALSE,ISNUMBER(VALUE(metadata!J906))),metadata!J906&gt;0))</f>
        <v>0</v>
      </c>
      <c r="AM906" t="b">
        <f>AND(IF(metadata!K906="",FALSE,TRUE),EXACT(metadata!K906,"missing: not provided"))</f>
        <v>0</v>
      </c>
      <c r="AN906" t="b">
        <f>IF(metadata!L906="",FALSE,TRUE)</f>
        <v>0</v>
      </c>
      <c r="AO906" t="b">
        <f>IF(metadata!M906="",FALSE,TRUE)</f>
        <v>0</v>
      </c>
      <c r="AP906" t="b">
        <f>OR(AND(IF(metadata!N906="",FALSE,TRUE),OR(EXACT(metadata!N906,"not applicable"),EXACT(metadata!N906,"missing: not collected"),EXACT(metadata!N906,"missing: not provided"))),AND(IF(metadata!N906="",FALSE,IF(ISERROR(INT(metadata!N906)),FALSE,INT(metadata!N906)=metadata!N906)),metadata!N906&gt;0))</f>
        <v>0</v>
      </c>
      <c r="AQ906" t="b">
        <f>AND(IF(metadata!O906="",FALSE,TRUE),EXACT(metadata!O906,"Not applicable"))</f>
        <v>0</v>
      </c>
      <c r="AR906" t="b">
        <f>OR(AND(IF(metadata!P906="",FALSE,TRUE),OR(EXACT(metadata!P906,"not applicable"),EXACT(metadata!P906,"missing: not collected"),EXACT(metadata!P906,"missing: not provided"),EXACT(metadata!P906,"missing: restricted access"))),IF(metadata!P906="",FALSE,IF(ISERROR(INT(metadata!P906)),FALSE,INT(metadata!P906)=metadata!P906)))</f>
        <v>0</v>
      </c>
      <c r="AS906" t="b">
        <f>AND(IF(metadata!Q906="",FALSE,TRUE),EXACT(metadata!Q906,"Not applicable"))</f>
        <v>0</v>
      </c>
      <c r="AT906" t="b">
        <f>OR(AND(IF(metadata!R906="",FALSE,TRUE),OR(EXACT(metadata!R906,"not applicable"),EXACT(metadata!R906,"missing: not collected"),EXACT(metadata!R906,"missing: not provided"),EXACT(metadata!R906,"missing: restricted access"))),AND(IF(metadata!R906="",FALSE,ISNUMBER(VALUE(metadata!R906))),metadata!R906&gt;0))</f>
        <v>0</v>
      </c>
      <c r="AU906" t="b">
        <f>AND(IF(metadata!S906="",FALSE,TRUE),EXACT(metadata!S906,"missing: not provided"))</f>
        <v>0</v>
      </c>
    </row>
    <row r="907" spans="1:47" x14ac:dyDescent="0.2">
      <c r="A907" s="5" t="str">
        <f ca="1">IF(B907=" "," ",HYPERLINK(CONCATENATE("#metadata!",ADDRESS(INDEX($Y$2:$Y$1001,MATCH(ROWS($W$2:W907),$W$2:$W$1001,0),0),1)),INDEX($AB$2:$AB$1001,MATCH(ROWS($W$2:W907),$W$2:$W$1001,0),0)))</f>
        <v xml:space="preserve"> </v>
      </c>
      <c r="B907" s="4" t="str">
        <f ca="1">IF(OR(INDEX($X$2:$X$1001,MATCH(ROWS($W$2:W907),$W$2:$W$1001,0),1)&gt;=100000,INDEX($AD$1005:$AU$1005,1,MATCH(COLUMNS($AD$1006:AD1006),$AD$1006:$AU$1006,0))&gt;=100000), " ",IF(INDEX($AD$2:$AU$1001,MATCH(ROWS($W$2:W907),$W$2:$W$1001,0),MATCH(COLUMNS($AD$1006:AD1006),$AD$1006:$AU$1006,0)), HYPERLINK("#",""), HYPERLINK(CONCATENATE("#metadata!", ADDRESS(INDEX($Y$2:$Y$1001,MATCH(ROWS($W$2:W907),$W$2:$W$1001,0),0), INDEX($AD$1004:$AU$1004,1,MATCH(COLUMNS($AD$1006:AD1006),$AD$1006:$AU$1006,0)))),"Fix")))</f>
        <v xml:space="preserve"> </v>
      </c>
      <c r="C907" s="4" t="str">
        <f ca="1">IF(OR(INDEX($X$2:$X$1001,MATCH(ROWS($W$2:W907),$W$2:$W$1001,0),1)&gt;=100000,INDEX($AD$1005:$AU$1005,1,MATCH(COLUMNS($AD$1006:AE1006),$AD$1006:$AU$1006,0))&gt;=100000), " ",IF(INDEX($AD$2:$AU$1001,MATCH(ROWS($W$2:W907),$W$2:$W$1001,0),MATCH(COLUMNS($AD$1006:AE1006),$AD$1006:$AU$1006,0)), HYPERLINK("#",""), HYPERLINK(CONCATENATE("#metadata!", ADDRESS(INDEX($Y$2:$Y$1001,MATCH(ROWS($W$2:W907),$W$2:$W$1001,0),0), INDEX($AD$1004:$AU$1004,1,MATCH(COLUMNS($AD$1006:AE1006),$AD$1006:$AU$1006,0)))),"Fix")))</f>
        <v xml:space="preserve"> </v>
      </c>
      <c r="D907" s="4" t="str">
        <f ca="1">IF(OR(INDEX($X$2:$X$1001,MATCH(ROWS($W$2:W907),$W$2:$W$1001,0),1)&gt;=100000,INDEX($AD$1005:$AU$1005,1,MATCH(COLUMNS($AD$1006:AF1006),$AD$1006:$AU$1006,0))&gt;=100000), " ",IF(INDEX($AD$2:$AU$1001,MATCH(ROWS($W$2:W907),$W$2:$W$1001,0),MATCH(COLUMNS($AD$1006:AF1006),$AD$1006:$AU$1006,0)), HYPERLINK("#",""), HYPERLINK(CONCATENATE("#metadata!", ADDRESS(INDEX($Y$2:$Y$1001,MATCH(ROWS($W$2:W907),$W$2:$W$1001,0),0), INDEX($AD$1004:$AU$1004,1,MATCH(COLUMNS($AD$1006:AF1006),$AD$1006:$AU$1006,0)))),"Fix")))</f>
        <v xml:space="preserve"> </v>
      </c>
      <c r="E907" s="4" t="str">
        <f ca="1">IF(OR(INDEX($X$2:$X$1001,MATCH(ROWS($W$2:W907),$W$2:$W$1001,0),1)&gt;=100000,INDEX($AD$1005:$AU$1005,1,MATCH(COLUMNS($AD$1006:AG1006),$AD$1006:$AU$1006,0))&gt;=100000), " ",IF(INDEX($AD$2:$AU$1001,MATCH(ROWS($W$2:W907),$W$2:$W$1001,0),MATCH(COLUMNS($AD$1006:AG1006),$AD$1006:$AU$1006,0)), HYPERLINK("#",""), HYPERLINK(CONCATENATE("#metadata!", ADDRESS(INDEX($Y$2:$Y$1001,MATCH(ROWS($W$2:W907),$W$2:$W$1001,0),0), INDEX($AD$1004:$AU$1004,1,MATCH(COLUMNS($AD$1006:AG1006),$AD$1006:$AU$1006,0)))),"Fix")))</f>
        <v xml:space="preserve"> </v>
      </c>
      <c r="F907" s="4" t="str">
        <f ca="1">IF(OR(INDEX($X$2:$X$1001,MATCH(ROWS($W$2:W907),$W$2:$W$1001,0),1)&gt;=100000,INDEX($AD$1005:$AU$1005,1,MATCH(COLUMNS($AD$1006:AH1006),$AD$1006:$AU$1006,0))&gt;=100000), " ",IF(INDEX($AD$2:$AU$1001,MATCH(ROWS($W$2:W907),$W$2:$W$1001,0),MATCH(COLUMNS($AD$1006:AH1006),$AD$1006:$AU$1006,0)), HYPERLINK("#",""), HYPERLINK(CONCATENATE("#metadata!", ADDRESS(INDEX($Y$2:$Y$1001,MATCH(ROWS($W$2:W907),$W$2:$W$1001,0),0), INDEX($AD$1004:$AU$1004,1,MATCH(COLUMNS($AD$1006:AH1006),$AD$1006:$AU$1006,0)))),"Fix")))</f>
        <v xml:space="preserve"> </v>
      </c>
      <c r="G907" s="4" t="str">
        <f ca="1">IF(OR(INDEX($X$2:$X$1001,MATCH(ROWS($W$2:W907),$W$2:$W$1001,0),1)&gt;=100000,INDEX($AD$1005:$AU$1005,1,MATCH(COLUMNS($AD$1006:AI1006),$AD$1006:$AU$1006,0))&gt;=100000), " ",IF(INDEX($AD$2:$AU$1001,MATCH(ROWS($W$2:W907),$W$2:$W$1001,0),MATCH(COLUMNS($AD$1006:AI1006),$AD$1006:$AU$1006,0)), HYPERLINK("#",""), HYPERLINK(CONCATENATE("#metadata!", ADDRESS(INDEX($Y$2:$Y$1001,MATCH(ROWS($W$2:W907),$W$2:$W$1001,0),0), INDEX($AD$1004:$AU$1004,1,MATCH(COLUMNS($AD$1006:AI1006),$AD$1006:$AU$1006,0)))),"Fix")))</f>
        <v xml:space="preserve"> </v>
      </c>
      <c r="H907" s="4" t="str">
        <f ca="1">IF(OR(INDEX($X$2:$X$1001,MATCH(ROWS($W$2:W907),$W$2:$W$1001,0),1)&gt;=100000,INDEX($AD$1005:$AU$1005,1,MATCH(COLUMNS($AD$1006:AJ1006),$AD$1006:$AU$1006,0))&gt;=100000), " ",IF(INDEX($AD$2:$AU$1001,MATCH(ROWS($W$2:W907),$W$2:$W$1001,0),MATCH(COLUMNS($AD$1006:AJ1006),$AD$1006:$AU$1006,0)), HYPERLINK("#",""), HYPERLINK(CONCATENATE("#metadata!", ADDRESS(INDEX($Y$2:$Y$1001,MATCH(ROWS($W$2:W907),$W$2:$W$1001,0),0), INDEX($AD$1004:$AU$1004,1,MATCH(COLUMNS($AD$1006:AJ1006),$AD$1006:$AU$1006,0)))),"Fix")))</f>
        <v xml:space="preserve"> </v>
      </c>
      <c r="I907" s="4" t="str">
        <f ca="1">IF(OR(INDEX($X$2:$X$1001,MATCH(ROWS($W$2:W907),$W$2:$W$1001,0),1)&gt;=100000,INDEX($AD$1005:$AU$1005,1,MATCH(COLUMNS($AD$1006:AK1006),$AD$1006:$AU$1006,0))&gt;=100000), " ",IF(INDEX($AD$2:$AU$1001,MATCH(ROWS($W$2:W907),$W$2:$W$1001,0),MATCH(COLUMNS($AD$1006:AK1006),$AD$1006:$AU$1006,0)), HYPERLINK("#",""), HYPERLINK(CONCATENATE("#metadata!", ADDRESS(INDEX($Y$2:$Y$1001,MATCH(ROWS($W$2:W907),$W$2:$W$1001,0),0), INDEX($AD$1004:$AU$1004,1,MATCH(COLUMNS($AD$1006:AK1006),$AD$1006:$AU$1006,0)))),"Fix")))</f>
        <v xml:space="preserve"> </v>
      </c>
      <c r="J907" s="4" t="str">
        <f ca="1">IF(OR(INDEX($X$2:$X$1001,MATCH(ROWS($W$2:W907),$W$2:$W$1001,0),1)&gt;=100000,INDEX($AD$1005:$AU$1005,1,MATCH(COLUMNS($AD$1006:AL1006),$AD$1006:$AU$1006,0))&gt;=100000), " ",IF(INDEX($AD$2:$AU$1001,MATCH(ROWS($W$2:W907),$W$2:$W$1001,0),MATCH(COLUMNS($AD$1006:AL1006),$AD$1006:$AU$1006,0)), HYPERLINK("#",""), HYPERLINK(CONCATENATE("#metadata!", ADDRESS(INDEX($Y$2:$Y$1001,MATCH(ROWS($W$2:W907),$W$2:$W$1001,0),0), INDEX($AD$1004:$AU$1004,1,MATCH(COLUMNS($AD$1006:AL1006),$AD$1006:$AU$1006,0)))),"Fix")))</f>
        <v xml:space="preserve"> </v>
      </c>
      <c r="K907" s="4" t="str">
        <f ca="1">IF(OR(INDEX($X$2:$X$1001,MATCH(ROWS($W$2:W907),$W$2:$W$1001,0),1)&gt;=100000,INDEX($AD$1005:$AU$1005,1,MATCH(COLUMNS($AD$1006:AM1006),$AD$1006:$AU$1006,0))&gt;=100000), " ",IF(INDEX($AD$2:$AU$1001,MATCH(ROWS($W$2:W907),$W$2:$W$1001,0),MATCH(COLUMNS($AD$1006:AM1006),$AD$1006:$AU$1006,0)), HYPERLINK("#",""), HYPERLINK(CONCATENATE("#metadata!", ADDRESS(INDEX($Y$2:$Y$1001,MATCH(ROWS($W$2:W907),$W$2:$W$1001,0),0), INDEX($AD$1004:$AU$1004,1,MATCH(COLUMNS($AD$1006:AM1006),$AD$1006:$AU$1006,0)))),"Fix")))</f>
        <v xml:space="preserve"> </v>
      </c>
      <c r="L907" s="4" t="str">
        <f ca="1">IF(OR(INDEX($X$2:$X$1001,MATCH(ROWS($W$2:W907),$W$2:$W$1001,0),1)&gt;=100000,INDEX($AD$1005:$AU$1005,1,MATCH(COLUMNS($AD$1006:AN1006),$AD$1006:$AU$1006,0))&gt;=100000), " ",IF(INDEX($AD$2:$AU$1001,MATCH(ROWS($W$2:W907),$W$2:$W$1001,0),MATCH(COLUMNS($AD$1006:AN1006),$AD$1006:$AU$1006,0)), HYPERLINK("#",""), HYPERLINK(CONCATENATE("#metadata!", ADDRESS(INDEX($Y$2:$Y$1001,MATCH(ROWS($W$2:W907),$W$2:$W$1001,0),0), INDEX($AD$1004:$AU$1004,1,MATCH(COLUMNS($AD$1006:AN1006),$AD$1006:$AU$1006,0)))),"Fix")))</f>
        <v xml:space="preserve"> </v>
      </c>
      <c r="M907" s="4" t="str">
        <f ca="1">IF(OR(INDEX($X$2:$X$1001,MATCH(ROWS($W$2:W907),$W$2:$W$1001,0),1)&gt;=100000,INDEX($AD$1005:$AU$1005,1,MATCH(COLUMNS($AD$1006:AO1006),$AD$1006:$AU$1006,0))&gt;=100000), " ",IF(INDEX($AD$2:$AU$1001,MATCH(ROWS($W$2:W907),$W$2:$W$1001,0),MATCH(COLUMNS($AD$1006:AO1006),$AD$1006:$AU$1006,0)), HYPERLINK("#",""), HYPERLINK(CONCATENATE("#metadata!", ADDRESS(INDEX($Y$2:$Y$1001,MATCH(ROWS($W$2:W907),$W$2:$W$1001,0),0), INDEX($AD$1004:$AU$1004,1,MATCH(COLUMNS($AD$1006:AO1006),$AD$1006:$AU$1006,0)))),"Fix")))</f>
        <v xml:space="preserve"> </v>
      </c>
      <c r="N907" s="4" t="str">
        <f ca="1">IF(OR(INDEX($X$2:$X$1001,MATCH(ROWS($W$2:W907),$W$2:$W$1001,0),1)&gt;=100000,INDEX($AD$1005:$AU$1005,1,MATCH(COLUMNS($AD$1006:AP1006),$AD$1006:$AU$1006,0))&gt;=100000), " ",IF(INDEX($AD$2:$AU$1001,MATCH(ROWS($W$2:W907),$W$2:$W$1001,0),MATCH(COLUMNS($AD$1006:AP1006),$AD$1006:$AU$1006,0)), HYPERLINK("#",""), HYPERLINK(CONCATENATE("#metadata!", ADDRESS(INDEX($Y$2:$Y$1001,MATCH(ROWS($W$2:W907),$W$2:$W$1001,0),0), INDEX($AD$1004:$AU$1004,1,MATCH(COLUMNS($AD$1006:AP1006),$AD$1006:$AU$1006,0)))),"Fix")))</f>
        <v xml:space="preserve"> </v>
      </c>
      <c r="O907" s="4" t="str">
        <f ca="1">IF(OR(INDEX($X$2:$X$1001,MATCH(ROWS($W$2:W907),$W$2:$W$1001,0),1)&gt;=100000,INDEX($AD$1005:$AU$1005,1,MATCH(COLUMNS($AD$1006:AQ1006),$AD$1006:$AU$1006,0))&gt;=100000), " ",IF(INDEX($AD$2:$AU$1001,MATCH(ROWS($W$2:W907),$W$2:$W$1001,0),MATCH(COLUMNS($AD$1006:AQ1006),$AD$1006:$AU$1006,0)), HYPERLINK("#",""), HYPERLINK(CONCATENATE("#metadata!", ADDRESS(INDEX($Y$2:$Y$1001,MATCH(ROWS($W$2:W907),$W$2:$W$1001,0),0), INDEX($AD$1004:$AU$1004,1,MATCH(COLUMNS($AD$1006:AQ1006),$AD$1006:$AU$1006,0)))),"Fix")))</f>
        <v xml:space="preserve"> </v>
      </c>
      <c r="P907" s="4" t="str">
        <f ca="1">IF(OR(INDEX($X$2:$X$1001,MATCH(ROWS($W$2:W907),$W$2:$W$1001,0),1)&gt;=100000,INDEX($AD$1005:$AU$1005,1,MATCH(COLUMNS($AD$1006:AR1006),$AD$1006:$AU$1006,0))&gt;=100000), " ",IF(INDEX($AD$2:$AU$1001,MATCH(ROWS($W$2:W907),$W$2:$W$1001,0),MATCH(COLUMNS($AD$1006:AR1006),$AD$1006:$AU$1006,0)), HYPERLINK("#",""), HYPERLINK(CONCATENATE("#metadata!", ADDRESS(INDEX($Y$2:$Y$1001,MATCH(ROWS($W$2:W907),$W$2:$W$1001,0),0), INDEX($AD$1004:$AU$1004,1,MATCH(COLUMNS($AD$1006:AR1006),$AD$1006:$AU$1006,0)))),"Fix")))</f>
        <v xml:space="preserve"> </v>
      </c>
      <c r="Q907" s="4" t="str">
        <f ca="1">IF(OR(INDEX($X$2:$X$1001,MATCH(ROWS($W$2:W907),$W$2:$W$1001,0),1)&gt;=100000,INDEX($AD$1005:$AU$1005,1,MATCH(COLUMNS($AD$1006:AS1006),$AD$1006:$AU$1006,0))&gt;=100000), " ",IF(INDEX($AD$2:$AU$1001,MATCH(ROWS($W$2:W907),$W$2:$W$1001,0),MATCH(COLUMNS($AD$1006:AS1006),$AD$1006:$AU$1006,0)), HYPERLINK("#",""), HYPERLINK(CONCATENATE("#metadata!", ADDRESS(INDEX($Y$2:$Y$1001,MATCH(ROWS($W$2:W907),$W$2:$W$1001,0),0), INDEX($AD$1004:$AU$1004,1,MATCH(COLUMNS($AD$1006:AS1006),$AD$1006:$AU$1006,0)))),"Fix")))</f>
        <v xml:space="preserve"> </v>
      </c>
      <c r="R907" s="4" t="str">
        <f ca="1">IF(OR(INDEX($X$2:$X$1001,MATCH(ROWS($W$2:W907),$W$2:$W$1001,0),1)&gt;=100000,INDEX($AD$1005:$AU$1005,1,MATCH(COLUMNS($AD$1006:AT1006),$AD$1006:$AU$1006,0))&gt;=100000), " ",IF(INDEX($AD$2:$AU$1001,MATCH(ROWS($W$2:W907),$W$2:$W$1001,0),MATCH(COLUMNS($AD$1006:AT1006),$AD$1006:$AU$1006,0)), HYPERLINK("#",""), HYPERLINK(CONCATENATE("#metadata!", ADDRESS(INDEX($Y$2:$Y$1001,MATCH(ROWS($W$2:W907),$W$2:$W$1001,0),0), INDEX($AD$1004:$AU$1004,1,MATCH(COLUMNS($AD$1006:AT1006),$AD$1006:$AU$1006,0)))),"Fix")))</f>
        <v xml:space="preserve"> </v>
      </c>
      <c r="S907" s="4" t="str">
        <f ca="1">IF(OR(INDEX($X$2:$X$1001,MATCH(ROWS($W$2:W907),$W$2:$W$1001,0),1)&gt;=100000,INDEX($AD$1005:$AU$1005,1,MATCH(COLUMNS($AD$1006:AU1006),$AD$1006:$AU$1006,0))&gt;=100000), " ",IF(INDEX($AD$2:$AU$1001,MATCH(ROWS($W$2:W907),$W$2:$W$1001,0),MATCH(COLUMNS($AD$1006:AU1006),$AD$1006:$AU$1006,0)), HYPERLINK("#",""), HYPERLINK(CONCATENATE("#metadata!", ADDRESS(INDEX($Y$2:$Y$1001,MATCH(ROWS($W$2:W907),$W$2:$W$1001,0),0), INDEX($AD$1004:$AU$1004,1,MATCH(COLUMNS($AD$1006:AU1006),$AD$1006:$AU$1006,0)))),"Fix")))</f>
        <v xml:space="preserve"> </v>
      </c>
      <c r="W907">
        <v>906</v>
      </c>
      <c r="X907">
        <v>100907</v>
      </c>
      <c r="Y907">
        <v>907</v>
      </c>
      <c r="Z907" t="b">
        <f t="shared" si="14"/>
        <v>1</v>
      </c>
      <c r="AA907" t="b">
        <f>COUNTBLANK(metadata!B907:S907)=COLUMNS(metadata!B907:S907)</f>
        <v>1</v>
      </c>
      <c r="AB907" t="str">
        <v/>
      </c>
      <c r="AD907" t="b">
        <f ca="1">AND(IF(metadata!B907="",FALSE,TRUE),COUNTIF(metadata!B:B, metadata!B907) = 1,NOT(ISERROR(SUMPRODUCT(SEARCH(MID(metadata!B907,ROW(INDIRECT("1:"&amp;LEN(metadata!B907))), 1),"0123456789abcdefghijklmnopqrstuvwxyzABCDEFGHIJKLMNOPQRSTUVWXYZ.")))))</f>
        <v>0</v>
      </c>
      <c r="AE907" t="b">
        <f>OR(AND(IF(metadata!C907="",FALSE,TRUE),OR(EXACT(metadata!C907,"not applicable"),EXACT(metadata!C907,"missing: not collected"),EXACT(metadata!C907,"missing: not provided"),EXACT(metadata!C907,"missing: restricted access"))),AND(IF(metadata!C907="",FALSE,ISNUMBER(VALUE(metadata!C907))),metadata!C907&gt;0))</f>
        <v>0</v>
      </c>
      <c r="AF907" t="b">
        <f>AND(IF(metadata!D907="",FALSE,TRUE),EXACT(metadata!D907,"missing: not provided"))</f>
        <v>0</v>
      </c>
      <c r="AG907" t="b">
        <f>AND(IF(metadata!E907="",FALSE,TRUE),EXACT(metadata!E907,"Host-associated"))</f>
        <v>0</v>
      </c>
      <c r="AH907" t="b">
        <f>AND(IF(metadata!F907="",FALSE,TRUE),OR(EXACT(metadata!F907,"Animal"),EXACT(metadata!F907,"Fungus"),EXACT(metadata!F907,"Plant")))</f>
        <v>0</v>
      </c>
      <c r="AI907" t="b">
        <f>AND(IF(metadata!G907="",FALSE,TRUE),OR(EXACT(metadata!G907,"Plant secretion"),EXACT(metadata!G907,"Plant rhizosphere"),EXACT(metadata!G907,"Plant surface"),EXACT(metadata!G907,"Plant corpus"),EXACT(metadata!G907,"Fungus surface"),EXACT(metadata!G907,"Fungus corpus"),EXACT(metadata!G907,"Animal surface"),EXACT(metadata!G907,"Animal proximal gut"),EXACT(metadata!G907,"Animal corpus"),EXACT(metadata!G907,"Animal distal gut"),EXACT(metadata!G907,"Animal secretion")))</f>
        <v>0</v>
      </c>
      <c r="AJ907" t="b">
        <f>OR(AND(IF(metadata!H907="",FALSE,TRUE),OR(EXACT(metadata!H907,"missing: not collected"),EXACT(metadata!H907,"missing: not provided"),EXACT(metadata!H907,"missing: restricted access"))),AND(IF(metadata!H907="",FALSE,TRUE),OR(EXACT(metadata!H907,"organism-associated habitat"),EXACT(metadata!H907,"plant-associated habitat"),EXACT(metadata!H907,"animal-associated habitat"),EXACT(metadata!H907,"insecta-associated habitat"),EXACT(metadata!H907,"mammalia-associated habitat"),EXACT(metadata!H907,"human-associated habitat"),EXACT(metadata!H907,"livestock-associated habitat"))))</f>
        <v>0</v>
      </c>
      <c r="AK907" t="b">
        <f>AND(IF(metadata!I907="",FALSE,TRUE),EXACT(metadata!I907,"host-associated"))</f>
        <v>0</v>
      </c>
      <c r="AL907" t="b">
        <f>OR(AND(IF(metadata!J907="",FALSE,TRUE),OR(EXACT(metadata!J907,"not applicable"),EXACT(metadata!J907,"missing: not collected"),EXACT(metadata!J907,"missing: not provided"),EXACT(metadata!J907,"missing: restricted access"))),AND(IF(metadata!J907="",FALSE,ISNUMBER(VALUE(metadata!J907))),metadata!J907&gt;0))</f>
        <v>0</v>
      </c>
      <c r="AM907" t="b">
        <f>AND(IF(metadata!K907="",FALSE,TRUE),EXACT(metadata!K907,"missing: not provided"))</f>
        <v>0</v>
      </c>
      <c r="AN907" t="b">
        <f>IF(metadata!L907="",FALSE,TRUE)</f>
        <v>0</v>
      </c>
      <c r="AO907" t="b">
        <f>IF(metadata!M907="",FALSE,TRUE)</f>
        <v>0</v>
      </c>
      <c r="AP907" t="b">
        <f>OR(AND(IF(metadata!N907="",FALSE,TRUE),OR(EXACT(metadata!N907,"not applicable"),EXACT(metadata!N907,"missing: not collected"),EXACT(metadata!N907,"missing: not provided"))),AND(IF(metadata!N907="",FALSE,IF(ISERROR(INT(metadata!N907)),FALSE,INT(metadata!N907)=metadata!N907)),metadata!N907&gt;0))</f>
        <v>0</v>
      </c>
      <c r="AQ907" t="b">
        <f>AND(IF(metadata!O907="",FALSE,TRUE),EXACT(metadata!O907,"Not applicable"))</f>
        <v>0</v>
      </c>
      <c r="AR907" t="b">
        <f>OR(AND(IF(metadata!P907="",FALSE,TRUE),OR(EXACT(metadata!P907,"not applicable"),EXACT(metadata!P907,"missing: not collected"),EXACT(metadata!P907,"missing: not provided"),EXACT(metadata!P907,"missing: restricted access"))),IF(metadata!P907="",FALSE,IF(ISERROR(INT(metadata!P907)),FALSE,INT(metadata!P907)=metadata!P907)))</f>
        <v>0</v>
      </c>
      <c r="AS907" t="b">
        <f>AND(IF(metadata!Q907="",FALSE,TRUE),EXACT(metadata!Q907,"Not applicable"))</f>
        <v>0</v>
      </c>
      <c r="AT907" t="b">
        <f>OR(AND(IF(metadata!R907="",FALSE,TRUE),OR(EXACT(metadata!R907,"not applicable"),EXACT(metadata!R907,"missing: not collected"),EXACT(metadata!R907,"missing: not provided"),EXACT(metadata!R907,"missing: restricted access"))),AND(IF(metadata!R907="",FALSE,ISNUMBER(VALUE(metadata!R907))),metadata!R907&gt;0))</f>
        <v>0</v>
      </c>
      <c r="AU907" t="b">
        <f>AND(IF(metadata!S907="",FALSE,TRUE),EXACT(metadata!S907,"missing: not provided"))</f>
        <v>0</v>
      </c>
    </row>
    <row r="908" spans="1:47" x14ac:dyDescent="0.2">
      <c r="A908" s="5" t="str">
        <f ca="1">IF(B908=" "," ",HYPERLINK(CONCATENATE("#metadata!",ADDRESS(INDEX($Y$2:$Y$1001,MATCH(ROWS($W$2:W908),$W$2:$W$1001,0),0),1)),INDEX($AB$2:$AB$1001,MATCH(ROWS($W$2:W908),$W$2:$W$1001,0),0)))</f>
        <v xml:space="preserve"> </v>
      </c>
      <c r="B908" s="4" t="str">
        <f ca="1">IF(OR(INDEX($X$2:$X$1001,MATCH(ROWS($W$2:W908),$W$2:$W$1001,0),1)&gt;=100000,INDEX($AD$1005:$AU$1005,1,MATCH(COLUMNS($AD$1006:AD1006),$AD$1006:$AU$1006,0))&gt;=100000), " ",IF(INDEX($AD$2:$AU$1001,MATCH(ROWS($W$2:W908),$W$2:$W$1001,0),MATCH(COLUMNS($AD$1006:AD1006),$AD$1006:$AU$1006,0)), HYPERLINK("#",""), HYPERLINK(CONCATENATE("#metadata!", ADDRESS(INDEX($Y$2:$Y$1001,MATCH(ROWS($W$2:W908),$W$2:$W$1001,0),0), INDEX($AD$1004:$AU$1004,1,MATCH(COLUMNS($AD$1006:AD1006),$AD$1006:$AU$1006,0)))),"Fix")))</f>
        <v xml:space="preserve"> </v>
      </c>
      <c r="C908" s="4" t="str">
        <f ca="1">IF(OR(INDEX($X$2:$X$1001,MATCH(ROWS($W$2:W908),$W$2:$W$1001,0),1)&gt;=100000,INDEX($AD$1005:$AU$1005,1,MATCH(COLUMNS($AD$1006:AE1006),$AD$1006:$AU$1006,0))&gt;=100000), " ",IF(INDEX($AD$2:$AU$1001,MATCH(ROWS($W$2:W908),$W$2:$W$1001,0),MATCH(COLUMNS($AD$1006:AE1006),$AD$1006:$AU$1006,0)), HYPERLINK("#",""), HYPERLINK(CONCATENATE("#metadata!", ADDRESS(INDEX($Y$2:$Y$1001,MATCH(ROWS($W$2:W908),$W$2:$W$1001,0),0), INDEX($AD$1004:$AU$1004,1,MATCH(COLUMNS($AD$1006:AE1006),$AD$1006:$AU$1006,0)))),"Fix")))</f>
        <v xml:space="preserve"> </v>
      </c>
      <c r="D908" s="4" t="str">
        <f ca="1">IF(OR(INDEX($X$2:$X$1001,MATCH(ROWS($W$2:W908),$W$2:$W$1001,0),1)&gt;=100000,INDEX($AD$1005:$AU$1005,1,MATCH(COLUMNS($AD$1006:AF1006),$AD$1006:$AU$1006,0))&gt;=100000), " ",IF(INDEX($AD$2:$AU$1001,MATCH(ROWS($W$2:W908),$W$2:$W$1001,0),MATCH(COLUMNS($AD$1006:AF1006),$AD$1006:$AU$1006,0)), HYPERLINK("#",""), HYPERLINK(CONCATENATE("#metadata!", ADDRESS(INDEX($Y$2:$Y$1001,MATCH(ROWS($W$2:W908),$W$2:$W$1001,0),0), INDEX($AD$1004:$AU$1004,1,MATCH(COLUMNS($AD$1006:AF1006),$AD$1006:$AU$1006,0)))),"Fix")))</f>
        <v xml:space="preserve"> </v>
      </c>
      <c r="E908" s="4" t="str">
        <f ca="1">IF(OR(INDEX($X$2:$X$1001,MATCH(ROWS($W$2:W908),$W$2:$W$1001,0),1)&gt;=100000,INDEX($AD$1005:$AU$1005,1,MATCH(COLUMNS($AD$1006:AG1006),$AD$1006:$AU$1006,0))&gt;=100000), " ",IF(INDEX($AD$2:$AU$1001,MATCH(ROWS($W$2:W908),$W$2:$W$1001,0),MATCH(COLUMNS($AD$1006:AG1006),$AD$1006:$AU$1006,0)), HYPERLINK("#",""), HYPERLINK(CONCATENATE("#metadata!", ADDRESS(INDEX($Y$2:$Y$1001,MATCH(ROWS($W$2:W908),$W$2:$W$1001,0),0), INDEX($AD$1004:$AU$1004,1,MATCH(COLUMNS($AD$1006:AG1006),$AD$1006:$AU$1006,0)))),"Fix")))</f>
        <v xml:space="preserve"> </v>
      </c>
      <c r="F908" s="4" t="str">
        <f ca="1">IF(OR(INDEX($X$2:$X$1001,MATCH(ROWS($W$2:W908),$W$2:$W$1001,0),1)&gt;=100000,INDEX($AD$1005:$AU$1005,1,MATCH(COLUMNS($AD$1006:AH1006),$AD$1006:$AU$1006,0))&gt;=100000), " ",IF(INDEX($AD$2:$AU$1001,MATCH(ROWS($W$2:W908),$W$2:$W$1001,0),MATCH(COLUMNS($AD$1006:AH1006),$AD$1006:$AU$1006,0)), HYPERLINK("#",""), HYPERLINK(CONCATENATE("#metadata!", ADDRESS(INDEX($Y$2:$Y$1001,MATCH(ROWS($W$2:W908),$W$2:$W$1001,0),0), INDEX($AD$1004:$AU$1004,1,MATCH(COLUMNS($AD$1006:AH1006),$AD$1006:$AU$1006,0)))),"Fix")))</f>
        <v xml:space="preserve"> </v>
      </c>
      <c r="G908" s="4" t="str">
        <f ca="1">IF(OR(INDEX($X$2:$X$1001,MATCH(ROWS($W$2:W908),$W$2:$W$1001,0),1)&gt;=100000,INDEX($AD$1005:$AU$1005,1,MATCH(COLUMNS($AD$1006:AI1006),$AD$1006:$AU$1006,0))&gt;=100000), " ",IF(INDEX($AD$2:$AU$1001,MATCH(ROWS($W$2:W908),$W$2:$W$1001,0),MATCH(COLUMNS($AD$1006:AI1006),$AD$1006:$AU$1006,0)), HYPERLINK("#",""), HYPERLINK(CONCATENATE("#metadata!", ADDRESS(INDEX($Y$2:$Y$1001,MATCH(ROWS($W$2:W908),$W$2:$W$1001,0),0), INDEX($AD$1004:$AU$1004,1,MATCH(COLUMNS($AD$1006:AI1006),$AD$1006:$AU$1006,0)))),"Fix")))</f>
        <v xml:space="preserve"> </v>
      </c>
      <c r="H908" s="4" t="str">
        <f ca="1">IF(OR(INDEX($X$2:$X$1001,MATCH(ROWS($W$2:W908),$W$2:$W$1001,0),1)&gt;=100000,INDEX($AD$1005:$AU$1005,1,MATCH(COLUMNS($AD$1006:AJ1006),$AD$1006:$AU$1006,0))&gt;=100000), " ",IF(INDEX($AD$2:$AU$1001,MATCH(ROWS($W$2:W908),$W$2:$W$1001,0),MATCH(COLUMNS($AD$1006:AJ1006),$AD$1006:$AU$1006,0)), HYPERLINK("#",""), HYPERLINK(CONCATENATE("#metadata!", ADDRESS(INDEX($Y$2:$Y$1001,MATCH(ROWS($W$2:W908),$W$2:$W$1001,0),0), INDEX($AD$1004:$AU$1004,1,MATCH(COLUMNS($AD$1006:AJ1006),$AD$1006:$AU$1006,0)))),"Fix")))</f>
        <v xml:space="preserve"> </v>
      </c>
      <c r="I908" s="4" t="str">
        <f ca="1">IF(OR(INDEX($X$2:$X$1001,MATCH(ROWS($W$2:W908),$W$2:$W$1001,0),1)&gt;=100000,INDEX($AD$1005:$AU$1005,1,MATCH(COLUMNS($AD$1006:AK1006),$AD$1006:$AU$1006,0))&gt;=100000), " ",IF(INDEX($AD$2:$AU$1001,MATCH(ROWS($W$2:W908),$W$2:$W$1001,0),MATCH(COLUMNS($AD$1006:AK1006),$AD$1006:$AU$1006,0)), HYPERLINK("#",""), HYPERLINK(CONCATENATE("#metadata!", ADDRESS(INDEX($Y$2:$Y$1001,MATCH(ROWS($W$2:W908),$W$2:$W$1001,0),0), INDEX($AD$1004:$AU$1004,1,MATCH(COLUMNS($AD$1006:AK1006),$AD$1006:$AU$1006,0)))),"Fix")))</f>
        <v xml:space="preserve"> </v>
      </c>
      <c r="J908" s="4" t="str">
        <f ca="1">IF(OR(INDEX($X$2:$X$1001,MATCH(ROWS($W$2:W908),$W$2:$W$1001,0),1)&gt;=100000,INDEX($AD$1005:$AU$1005,1,MATCH(COLUMNS($AD$1006:AL1006),$AD$1006:$AU$1006,0))&gt;=100000), " ",IF(INDEX($AD$2:$AU$1001,MATCH(ROWS($W$2:W908),$W$2:$W$1001,0),MATCH(COLUMNS($AD$1006:AL1006),$AD$1006:$AU$1006,0)), HYPERLINK("#",""), HYPERLINK(CONCATENATE("#metadata!", ADDRESS(INDEX($Y$2:$Y$1001,MATCH(ROWS($W$2:W908),$W$2:$W$1001,0),0), INDEX($AD$1004:$AU$1004,1,MATCH(COLUMNS($AD$1006:AL1006),$AD$1006:$AU$1006,0)))),"Fix")))</f>
        <v xml:space="preserve"> </v>
      </c>
      <c r="K908" s="4" t="str">
        <f ca="1">IF(OR(INDEX($X$2:$X$1001,MATCH(ROWS($W$2:W908),$W$2:$W$1001,0),1)&gt;=100000,INDEX($AD$1005:$AU$1005,1,MATCH(COLUMNS($AD$1006:AM1006),$AD$1006:$AU$1006,0))&gt;=100000), " ",IF(INDEX($AD$2:$AU$1001,MATCH(ROWS($W$2:W908),$W$2:$W$1001,0),MATCH(COLUMNS($AD$1006:AM1006),$AD$1006:$AU$1006,0)), HYPERLINK("#",""), HYPERLINK(CONCATENATE("#metadata!", ADDRESS(INDEX($Y$2:$Y$1001,MATCH(ROWS($W$2:W908),$W$2:$W$1001,0),0), INDEX($AD$1004:$AU$1004,1,MATCH(COLUMNS($AD$1006:AM1006),$AD$1006:$AU$1006,0)))),"Fix")))</f>
        <v xml:space="preserve"> </v>
      </c>
      <c r="L908" s="4" t="str">
        <f ca="1">IF(OR(INDEX($X$2:$X$1001,MATCH(ROWS($W$2:W908),$W$2:$W$1001,0),1)&gt;=100000,INDEX($AD$1005:$AU$1005,1,MATCH(COLUMNS($AD$1006:AN1006),$AD$1006:$AU$1006,0))&gt;=100000), " ",IF(INDEX($AD$2:$AU$1001,MATCH(ROWS($W$2:W908),$W$2:$W$1001,0),MATCH(COLUMNS($AD$1006:AN1006),$AD$1006:$AU$1006,0)), HYPERLINK("#",""), HYPERLINK(CONCATENATE("#metadata!", ADDRESS(INDEX($Y$2:$Y$1001,MATCH(ROWS($W$2:W908),$W$2:$W$1001,0),0), INDEX($AD$1004:$AU$1004,1,MATCH(COLUMNS($AD$1006:AN1006),$AD$1006:$AU$1006,0)))),"Fix")))</f>
        <v xml:space="preserve"> </v>
      </c>
      <c r="M908" s="4" t="str">
        <f ca="1">IF(OR(INDEX($X$2:$X$1001,MATCH(ROWS($W$2:W908),$W$2:$W$1001,0),1)&gt;=100000,INDEX($AD$1005:$AU$1005,1,MATCH(COLUMNS($AD$1006:AO1006),$AD$1006:$AU$1006,0))&gt;=100000), " ",IF(INDEX($AD$2:$AU$1001,MATCH(ROWS($W$2:W908),$W$2:$W$1001,0),MATCH(COLUMNS($AD$1006:AO1006),$AD$1006:$AU$1006,0)), HYPERLINK("#",""), HYPERLINK(CONCATENATE("#metadata!", ADDRESS(INDEX($Y$2:$Y$1001,MATCH(ROWS($W$2:W908),$W$2:$W$1001,0),0), INDEX($AD$1004:$AU$1004,1,MATCH(COLUMNS($AD$1006:AO1006),$AD$1006:$AU$1006,0)))),"Fix")))</f>
        <v xml:space="preserve"> </v>
      </c>
      <c r="N908" s="4" t="str">
        <f ca="1">IF(OR(INDEX($X$2:$X$1001,MATCH(ROWS($W$2:W908),$W$2:$W$1001,0),1)&gt;=100000,INDEX($AD$1005:$AU$1005,1,MATCH(COLUMNS($AD$1006:AP1006),$AD$1006:$AU$1006,0))&gt;=100000), " ",IF(INDEX($AD$2:$AU$1001,MATCH(ROWS($W$2:W908),$W$2:$W$1001,0),MATCH(COLUMNS($AD$1006:AP1006),$AD$1006:$AU$1006,0)), HYPERLINK("#",""), HYPERLINK(CONCATENATE("#metadata!", ADDRESS(INDEX($Y$2:$Y$1001,MATCH(ROWS($W$2:W908),$W$2:$W$1001,0),0), INDEX($AD$1004:$AU$1004,1,MATCH(COLUMNS($AD$1006:AP1006),$AD$1006:$AU$1006,0)))),"Fix")))</f>
        <v xml:space="preserve"> </v>
      </c>
      <c r="O908" s="4" t="str">
        <f ca="1">IF(OR(INDEX($X$2:$X$1001,MATCH(ROWS($W$2:W908),$W$2:$W$1001,0),1)&gt;=100000,INDEX($AD$1005:$AU$1005,1,MATCH(COLUMNS($AD$1006:AQ1006),$AD$1006:$AU$1006,0))&gt;=100000), " ",IF(INDEX($AD$2:$AU$1001,MATCH(ROWS($W$2:W908),$W$2:$W$1001,0),MATCH(COLUMNS($AD$1006:AQ1006),$AD$1006:$AU$1006,0)), HYPERLINK("#",""), HYPERLINK(CONCATENATE("#metadata!", ADDRESS(INDEX($Y$2:$Y$1001,MATCH(ROWS($W$2:W908),$W$2:$W$1001,0),0), INDEX($AD$1004:$AU$1004,1,MATCH(COLUMNS($AD$1006:AQ1006),$AD$1006:$AU$1006,0)))),"Fix")))</f>
        <v xml:space="preserve"> </v>
      </c>
      <c r="P908" s="4" t="str">
        <f ca="1">IF(OR(INDEX($X$2:$X$1001,MATCH(ROWS($W$2:W908),$W$2:$W$1001,0),1)&gt;=100000,INDEX($AD$1005:$AU$1005,1,MATCH(COLUMNS($AD$1006:AR1006),$AD$1006:$AU$1006,0))&gt;=100000), " ",IF(INDEX($AD$2:$AU$1001,MATCH(ROWS($W$2:W908),$W$2:$W$1001,0),MATCH(COLUMNS($AD$1006:AR1006),$AD$1006:$AU$1006,0)), HYPERLINK("#",""), HYPERLINK(CONCATENATE("#metadata!", ADDRESS(INDEX($Y$2:$Y$1001,MATCH(ROWS($W$2:W908),$W$2:$W$1001,0),0), INDEX($AD$1004:$AU$1004,1,MATCH(COLUMNS($AD$1006:AR1006),$AD$1006:$AU$1006,0)))),"Fix")))</f>
        <v xml:space="preserve"> </v>
      </c>
      <c r="Q908" s="4" t="str">
        <f ca="1">IF(OR(INDEX($X$2:$X$1001,MATCH(ROWS($W$2:W908),$W$2:$W$1001,0),1)&gt;=100000,INDEX($AD$1005:$AU$1005,1,MATCH(COLUMNS($AD$1006:AS1006),$AD$1006:$AU$1006,0))&gt;=100000), " ",IF(INDEX($AD$2:$AU$1001,MATCH(ROWS($W$2:W908),$W$2:$W$1001,0),MATCH(COLUMNS($AD$1006:AS1006),$AD$1006:$AU$1006,0)), HYPERLINK("#",""), HYPERLINK(CONCATENATE("#metadata!", ADDRESS(INDEX($Y$2:$Y$1001,MATCH(ROWS($W$2:W908),$W$2:$W$1001,0),0), INDEX($AD$1004:$AU$1004,1,MATCH(COLUMNS($AD$1006:AS1006),$AD$1006:$AU$1006,0)))),"Fix")))</f>
        <v xml:space="preserve"> </v>
      </c>
      <c r="R908" s="4" t="str">
        <f ca="1">IF(OR(INDEX($X$2:$X$1001,MATCH(ROWS($W$2:W908),$W$2:$W$1001,0),1)&gt;=100000,INDEX($AD$1005:$AU$1005,1,MATCH(COLUMNS($AD$1006:AT1006),$AD$1006:$AU$1006,0))&gt;=100000), " ",IF(INDEX($AD$2:$AU$1001,MATCH(ROWS($W$2:W908),$W$2:$W$1001,0),MATCH(COLUMNS($AD$1006:AT1006),$AD$1006:$AU$1006,0)), HYPERLINK("#",""), HYPERLINK(CONCATENATE("#metadata!", ADDRESS(INDEX($Y$2:$Y$1001,MATCH(ROWS($W$2:W908),$W$2:$W$1001,0),0), INDEX($AD$1004:$AU$1004,1,MATCH(COLUMNS($AD$1006:AT1006),$AD$1006:$AU$1006,0)))),"Fix")))</f>
        <v xml:space="preserve"> </v>
      </c>
      <c r="S908" s="4" t="str">
        <f ca="1">IF(OR(INDEX($X$2:$X$1001,MATCH(ROWS($W$2:W908),$W$2:$W$1001,0),1)&gt;=100000,INDEX($AD$1005:$AU$1005,1,MATCH(COLUMNS($AD$1006:AU1006),$AD$1006:$AU$1006,0))&gt;=100000), " ",IF(INDEX($AD$2:$AU$1001,MATCH(ROWS($W$2:W908),$W$2:$W$1001,0),MATCH(COLUMNS($AD$1006:AU1006),$AD$1006:$AU$1006,0)), HYPERLINK("#",""), HYPERLINK(CONCATENATE("#metadata!", ADDRESS(INDEX($Y$2:$Y$1001,MATCH(ROWS($W$2:W908),$W$2:$W$1001,0),0), INDEX($AD$1004:$AU$1004,1,MATCH(COLUMNS($AD$1006:AU1006),$AD$1006:$AU$1006,0)))),"Fix")))</f>
        <v xml:space="preserve"> </v>
      </c>
      <c r="W908">
        <v>907</v>
      </c>
      <c r="X908">
        <v>100908</v>
      </c>
      <c r="Y908">
        <v>908</v>
      </c>
      <c r="Z908" t="b">
        <f t="shared" si="14"/>
        <v>1</v>
      </c>
      <c r="AA908" t="b">
        <f>COUNTBLANK(metadata!B908:S908)=COLUMNS(metadata!B908:S908)</f>
        <v>1</v>
      </c>
      <c r="AB908" t="str">
        <v/>
      </c>
      <c r="AD908" t="b">
        <f ca="1">AND(IF(metadata!B908="",FALSE,TRUE),COUNTIF(metadata!B:B, metadata!B908) = 1,NOT(ISERROR(SUMPRODUCT(SEARCH(MID(metadata!B908,ROW(INDIRECT("1:"&amp;LEN(metadata!B908))), 1),"0123456789abcdefghijklmnopqrstuvwxyzABCDEFGHIJKLMNOPQRSTUVWXYZ.")))))</f>
        <v>0</v>
      </c>
      <c r="AE908" t="b">
        <f>OR(AND(IF(metadata!C908="",FALSE,TRUE),OR(EXACT(metadata!C908,"not applicable"),EXACT(metadata!C908,"missing: not collected"),EXACT(metadata!C908,"missing: not provided"),EXACT(metadata!C908,"missing: restricted access"))),AND(IF(metadata!C908="",FALSE,ISNUMBER(VALUE(metadata!C908))),metadata!C908&gt;0))</f>
        <v>0</v>
      </c>
      <c r="AF908" t="b">
        <f>AND(IF(metadata!D908="",FALSE,TRUE),EXACT(metadata!D908,"missing: not provided"))</f>
        <v>0</v>
      </c>
      <c r="AG908" t="b">
        <f>AND(IF(metadata!E908="",FALSE,TRUE),EXACT(metadata!E908,"Host-associated"))</f>
        <v>0</v>
      </c>
      <c r="AH908" t="b">
        <f>AND(IF(metadata!F908="",FALSE,TRUE),OR(EXACT(metadata!F908,"Animal"),EXACT(metadata!F908,"Fungus"),EXACT(metadata!F908,"Plant")))</f>
        <v>0</v>
      </c>
      <c r="AI908" t="b">
        <f>AND(IF(metadata!G908="",FALSE,TRUE),OR(EXACT(metadata!G908,"Plant secretion"),EXACT(metadata!G908,"Plant rhizosphere"),EXACT(metadata!G908,"Plant surface"),EXACT(metadata!G908,"Plant corpus"),EXACT(metadata!G908,"Fungus surface"),EXACT(metadata!G908,"Fungus corpus"),EXACT(metadata!G908,"Animal surface"),EXACT(metadata!G908,"Animal proximal gut"),EXACT(metadata!G908,"Animal corpus"),EXACT(metadata!G908,"Animal distal gut"),EXACT(metadata!G908,"Animal secretion")))</f>
        <v>0</v>
      </c>
      <c r="AJ908" t="b">
        <f>OR(AND(IF(metadata!H908="",FALSE,TRUE),OR(EXACT(metadata!H908,"missing: not collected"),EXACT(metadata!H908,"missing: not provided"),EXACT(metadata!H908,"missing: restricted access"))),AND(IF(metadata!H908="",FALSE,TRUE),OR(EXACT(metadata!H908,"organism-associated habitat"),EXACT(metadata!H908,"plant-associated habitat"),EXACT(metadata!H908,"animal-associated habitat"),EXACT(metadata!H908,"insecta-associated habitat"),EXACT(metadata!H908,"mammalia-associated habitat"),EXACT(metadata!H908,"human-associated habitat"),EXACT(metadata!H908,"livestock-associated habitat"))))</f>
        <v>0</v>
      </c>
      <c r="AK908" t="b">
        <f>AND(IF(metadata!I908="",FALSE,TRUE),EXACT(metadata!I908,"host-associated"))</f>
        <v>0</v>
      </c>
      <c r="AL908" t="b">
        <f>OR(AND(IF(metadata!J908="",FALSE,TRUE),OR(EXACT(metadata!J908,"not applicable"),EXACT(metadata!J908,"missing: not collected"),EXACT(metadata!J908,"missing: not provided"),EXACT(metadata!J908,"missing: restricted access"))),AND(IF(metadata!J908="",FALSE,ISNUMBER(VALUE(metadata!J908))),metadata!J908&gt;0))</f>
        <v>0</v>
      </c>
      <c r="AM908" t="b">
        <f>AND(IF(metadata!K908="",FALSE,TRUE),EXACT(metadata!K908,"missing: not provided"))</f>
        <v>0</v>
      </c>
      <c r="AN908" t="b">
        <f>IF(metadata!L908="",FALSE,TRUE)</f>
        <v>0</v>
      </c>
      <c r="AO908" t="b">
        <f>IF(metadata!M908="",FALSE,TRUE)</f>
        <v>0</v>
      </c>
      <c r="AP908" t="b">
        <f>OR(AND(IF(metadata!N908="",FALSE,TRUE),OR(EXACT(metadata!N908,"not applicable"),EXACT(metadata!N908,"missing: not collected"),EXACT(metadata!N908,"missing: not provided"))),AND(IF(metadata!N908="",FALSE,IF(ISERROR(INT(metadata!N908)),FALSE,INT(metadata!N908)=metadata!N908)),metadata!N908&gt;0))</f>
        <v>0</v>
      </c>
      <c r="AQ908" t="b">
        <f>AND(IF(metadata!O908="",FALSE,TRUE),EXACT(metadata!O908,"Not applicable"))</f>
        <v>0</v>
      </c>
      <c r="AR908" t="b">
        <f>OR(AND(IF(metadata!P908="",FALSE,TRUE),OR(EXACT(metadata!P908,"not applicable"),EXACT(metadata!P908,"missing: not collected"),EXACT(metadata!P908,"missing: not provided"),EXACT(metadata!P908,"missing: restricted access"))),IF(metadata!P908="",FALSE,IF(ISERROR(INT(metadata!P908)),FALSE,INT(metadata!P908)=metadata!P908)))</f>
        <v>0</v>
      </c>
      <c r="AS908" t="b">
        <f>AND(IF(metadata!Q908="",FALSE,TRUE),EXACT(metadata!Q908,"Not applicable"))</f>
        <v>0</v>
      </c>
      <c r="AT908" t="b">
        <f>OR(AND(IF(metadata!R908="",FALSE,TRUE),OR(EXACT(metadata!R908,"not applicable"),EXACT(metadata!R908,"missing: not collected"),EXACT(metadata!R908,"missing: not provided"),EXACT(metadata!R908,"missing: restricted access"))),AND(IF(metadata!R908="",FALSE,ISNUMBER(VALUE(metadata!R908))),metadata!R908&gt;0))</f>
        <v>0</v>
      </c>
      <c r="AU908" t="b">
        <f>AND(IF(metadata!S908="",FALSE,TRUE),EXACT(metadata!S908,"missing: not provided"))</f>
        <v>0</v>
      </c>
    </row>
    <row r="909" spans="1:47" x14ac:dyDescent="0.2">
      <c r="A909" s="5" t="str">
        <f ca="1">IF(B909=" "," ",HYPERLINK(CONCATENATE("#metadata!",ADDRESS(INDEX($Y$2:$Y$1001,MATCH(ROWS($W$2:W909),$W$2:$W$1001,0),0),1)),INDEX($AB$2:$AB$1001,MATCH(ROWS($W$2:W909),$W$2:$W$1001,0),0)))</f>
        <v xml:space="preserve"> </v>
      </c>
      <c r="B909" s="4" t="str">
        <f ca="1">IF(OR(INDEX($X$2:$X$1001,MATCH(ROWS($W$2:W909),$W$2:$W$1001,0),1)&gt;=100000,INDEX($AD$1005:$AU$1005,1,MATCH(COLUMNS($AD$1006:AD1006),$AD$1006:$AU$1006,0))&gt;=100000), " ",IF(INDEX($AD$2:$AU$1001,MATCH(ROWS($W$2:W909),$W$2:$W$1001,0),MATCH(COLUMNS($AD$1006:AD1006),$AD$1006:$AU$1006,0)), HYPERLINK("#",""), HYPERLINK(CONCATENATE("#metadata!", ADDRESS(INDEX($Y$2:$Y$1001,MATCH(ROWS($W$2:W909),$W$2:$W$1001,0),0), INDEX($AD$1004:$AU$1004,1,MATCH(COLUMNS($AD$1006:AD1006),$AD$1006:$AU$1006,0)))),"Fix")))</f>
        <v xml:space="preserve"> </v>
      </c>
      <c r="C909" s="4" t="str">
        <f ca="1">IF(OR(INDEX($X$2:$X$1001,MATCH(ROWS($W$2:W909),$W$2:$W$1001,0),1)&gt;=100000,INDEX($AD$1005:$AU$1005,1,MATCH(COLUMNS($AD$1006:AE1006),$AD$1006:$AU$1006,0))&gt;=100000), " ",IF(INDEX($AD$2:$AU$1001,MATCH(ROWS($W$2:W909),$W$2:$W$1001,0),MATCH(COLUMNS($AD$1006:AE1006),$AD$1006:$AU$1006,0)), HYPERLINK("#",""), HYPERLINK(CONCATENATE("#metadata!", ADDRESS(INDEX($Y$2:$Y$1001,MATCH(ROWS($W$2:W909),$W$2:$W$1001,0),0), INDEX($AD$1004:$AU$1004,1,MATCH(COLUMNS($AD$1006:AE1006),$AD$1006:$AU$1006,0)))),"Fix")))</f>
        <v xml:space="preserve"> </v>
      </c>
      <c r="D909" s="4" t="str">
        <f ca="1">IF(OR(INDEX($X$2:$X$1001,MATCH(ROWS($W$2:W909),$W$2:$W$1001,0),1)&gt;=100000,INDEX($AD$1005:$AU$1005,1,MATCH(COLUMNS($AD$1006:AF1006),$AD$1006:$AU$1006,0))&gt;=100000), " ",IF(INDEX($AD$2:$AU$1001,MATCH(ROWS($W$2:W909),$W$2:$W$1001,0),MATCH(COLUMNS($AD$1006:AF1006),$AD$1006:$AU$1006,0)), HYPERLINK("#",""), HYPERLINK(CONCATENATE("#metadata!", ADDRESS(INDEX($Y$2:$Y$1001,MATCH(ROWS($W$2:W909),$W$2:$W$1001,0),0), INDEX($AD$1004:$AU$1004,1,MATCH(COLUMNS($AD$1006:AF1006),$AD$1006:$AU$1006,0)))),"Fix")))</f>
        <v xml:space="preserve"> </v>
      </c>
      <c r="E909" s="4" t="str">
        <f ca="1">IF(OR(INDEX($X$2:$X$1001,MATCH(ROWS($W$2:W909),$W$2:$W$1001,0),1)&gt;=100000,INDEX($AD$1005:$AU$1005,1,MATCH(COLUMNS($AD$1006:AG1006),$AD$1006:$AU$1006,0))&gt;=100000), " ",IF(INDEX($AD$2:$AU$1001,MATCH(ROWS($W$2:W909),$W$2:$W$1001,0),MATCH(COLUMNS($AD$1006:AG1006),$AD$1006:$AU$1006,0)), HYPERLINK("#",""), HYPERLINK(CONCATENATE("#metadata!", ADDRESS(INDEX($Y$2:$Y$1001,MATCH(ROWS($W$2:W909),$W$2:$W$1001,0),0), INDEX($AD$1004:$AU$1004,1,MATCH(COLUMNS($AD$1006:AG1006),$AD$1006:$AU$1006,0)))),"Fix")))</f>
        <v xml:space="preserve"> </v>
      </c>
      <c r="F909" s="4" t="str">
        <f ca="1">IF(OR(INDEX($X$2:$X$1001,MATCH(ROWS($W$2:W909),$W$2:$W$1001,0),1)&gt;=100000,INDEX($AD$1005:$AU$1005,1,MATCH(COLUMNS($AD$1006:AH1006),$AD$1006:$AU$1006,0))&gt;=100000), " ",IF(INDEX($AD$2:$AU$1001,MATCH(ROWS($W$2:W909),$W$2:$W$1001,0),MATCH(COLUMNS($AD$1006:AH1006),$AD$1006:$AU$1006,0)), HYPERLINK("#",""), HYPERLINK(CONCATENATE("#metadata!", ADDRESS(INDEX($Y$2:$Y$1001,MATCH(ROWS($W$2:W909),$W$2:$W$1001,0),0), INDEX($AD$1004:$AU$1004,1,MATCH(COLUMNS($AD$1006:AH1006),$AD$1006:$AU$1006,0)))),"Fix")))</f>
        <v xml:space="preserve"> </v>
      </c>
      <c r="G909" s="4" t="str">
        <f ca="1">IF(OR(INDEX($X$2:$X$1001,MATCH(ROWS($W$2:W909),$W$2:$W$1001,0),1)&gt;=100000,INDEX($AD$1005:$AU$1005,1,MATCH(COLUMNS($AD$1006:AI1006),$AD$1006:$AU$1006,0))&gt;=100000), " ",IF(INDEX($AD$2:$AU$1001,MATCH(ROWS($W$2:W909),$W$2:$W$1001,0),MATCH(COLUMNS($AD$1006:AI1006),$AD$1006:$AU$1006,0)), HYPERLINK("#",""), HYPERLINK(CONCATENATE("#metadata!", ADDRESS(INDEX($Y$2:$Y$1001,MATCH(ROWS($W$2:W909),$W$2:$W$1001,0),0), INDEX($AD$1004:$AU$1004,1,MATCH(COLUMNS($AD$1006:AI1006),$AD$1006:$AU$1006,0)))),"Fix")))</f>
        <v xml:space="preserve"> </v>
      </c>
      <c r="H909" s="4" t="str">
        <f ca="1">IF(OR(INDEX($X$2:$X$1001,MATCH(ROWS($W$2:W909),$W$2:$W$1001,0),1)&gt;=100000,INDEX($AD$1005:$AU$1005,1,MATCH(COLUMNS($AD$1006:AJ1006),$AD$1006:$AU$1006,0))&gt;=100000), " ",IF(INDEX($AD$2:$AU$1001,MATCH(ROWS($W$2:W909),$W$2:$W$1001,0),MATCH(COLUMNS($AD$1006:AJ1006),$AD$1006:$AU$1006,0)), HYPERLINK("#",""), HYPERLINK(CONCATENATE("#metadata!", ADDRESS(INDEX($Y$2:$Y$1001,MATCH(ROWS($W$2:W909),$W$2:$W$1001,0),0), INDEX($AD$1004:$AU$1004,1,MATCH(COLUMNS($AD$1006:AJ1006),$AD$1006:$AU$1006,0)))),"Fix")))</f>
        <v xml:space="preserve"> </v>
      </c>
      <c r="I909" s="4" t="str">
        <f ca="1">IF(OR(INDEX($X$2:$X$1001,MATCH(ROWS($W$2:W909),$W$2:$W$1001,0),1)&gt;=100000,INDEX($AD$1005:$AU$1005,1,MATCH(COLUMNS($AD$1006:AK1006),$AD$1006:$AU$1006,0))&gt;=100000), " ",IF(INDEX($AD$2:$AU$1001,MATCH(ROWS($W$2:W909),$W$2:$W$1001,0),MATCH(COLUMNS($AD$1006:AK1006),$AD$1006:$AU$1006,0)), HYPERLINK("#",""), HYPERLINK(CONCATENATE("#metadata!", ADDRESS(INDEX($Y$2:$Y$1001,MATCH(ROWS($W$2:W909),$W$2:$W$1001,0),0), INDEX($AD$1004:$AU$1004,1,MATCH(COLUMNS($AD$1006:AK1006),$AD$1006:$AU$1006,0)))),"Fix")))</f>
        <v xml:space="preserve"> </v>
      </c>
      <c r="J909" s="4" t="str">
        <f ca="1">IF(OR(INDEX($X$2:$X$1001,MATCH(ROWS($W$2:W909),$W$2:$W$1001,0),1)&gt;=100000,INDEX($AD$1005:$AU$1005,1,MATCH(COLUMNS($AD$1006:AL1006),$AD$1006:$AU$1006,0))&gt;=100000), " ",IF(INDEX($AD$2:$AU$1001,MATCH(ROWS($W$2:W909),$W$2:$W$1001,0),MATCH(COLUMNS($AD$1006:AL1006),$AD$1006:$AU$1006,0)), HYPERLINK("#",""), HYPERLINK(CONCATENATE("#metadata!", ADDRESS(INDEX($Y$2:$Y$1001,MATCH(ROWS($W$2:W909),$W$2:$W$1001,0),0), INDEX($AD$1004:$AU$1004,1,MATCH(COLUMNS($AD$1006:AL1006),$AD$1006:$AU$1006,0)))),"Fix")))</f>
        <v xml:space="preserve"> </v>
      </c>
      <c r="K909" s="4" t="str">
        <f ca="1">IF(OR(INDEX($X$2:$X$1001,MATCH(ROWS($W$2:W909),$W$2:$W$1001,0),1)&gt;=100000,INDEX($AD$1005:$AU$1005,1,MATCH(COLUMNS($AD$1006:AM1006),$AD$1006:$AU$1006,0))&gt;=100000), " ",IF(INDEX($AD$2:$AU$1001,MATCH(ROWS($W$2:W909),$W$2:$W$1001,0),MATCH(COLUMNS($AD$1006:AM1006),$AD$1006:$AU$1006,0)), HYPERLINK("#",""), HYPERLINK(CONCATENATE("#metadata!", ADDRESS(INDEX($Y$2:$Y$1001,MATCH(ROWS($W$2:W909),$W$2:$W$1001,0),0), INDEX($AD$1004:$AU$1004,1,MATCH(COLUMNS($AD$1006:AM1006),$AD$1006:$AU$1006,0)))),"Fix")))</f>
        <v xml:space="preserve"> </v>
      </c>
      <c r="L909" s="4" t="str">
        <f ca="1">IF(OR(INDEX($X$2:$X$1001,MATCH(ROWS($W$2:W909),$W$2:$W$1001,0),1)&gt;=100000,INDEX($AD$1005:$AU$1005,1,MATCH(COLUMNS($AD$1006:AN1006),$AD$1006:$AU$1006,0))&gt;=100000), " ",IF(INDEX($AD$2:$AU$1001,MATCH(ROWS($W$2:W909),$W$2:$W$1001,0),MATCH(COLUMNS($AD$1006:AN1006),$AD$1006:$AU$1006,0)), HYPERLINK("#",""), HYPERLINK(CONCATENATE("#metadata!", ADDRESS(INDEX($Y$2:$Y$1001,MATCH(ROWS($W$2:W909),$W$2:$W$1001,0),0), INDEX($AD$1004:$AU$1004,1,MATCH(COLUMNS($AD$1006:AN1006),$AD$1006:$AU$1006,0)))),"Fix")))</f>
        <v xml:space="preserve"> </v>
      </c>
      <c r="M909" s="4" t="str">
        <f ca="1">IF(OR(INDEX($X$2:$X$1001,MATCH(ROWS($W$2:W909),$W$2:$W$1001,0),1)&gt;=100000,INDEX($AD$1005:$AU$1005,1,MATCH(COLUMNS($AD$1006:AO1006),$AD$1006:$AU$1006,0))&gt;=100000), " ",IF(INDEX($AD$2:$AU$1001,MATCH(ROWS($W$2:W909),$W$2:$W$1001,0),MATCH(COLUMNS($AD$1006:AO1006),$AD$1006:$AU$1006,0)), HYPERLINK("#",""), HYPERLINK(CONCATENATE("#metadata!", ADDRESS(INDEX($Y$2:$Y$1001,MATCH(ROWS($W$2:W909),$W$2:$W$1001,0),0), INDEX($AD$1004:$AU$1004,1,MATCH(COLUMNS($AD$1006:AO1006),$AD$1006:$AU$1006,0)))),"Fix")))</f>
        <v xml:space="preserve"> </v>
      </c>
      <c r="N909" s="4" t="str">
        <f ca="1">IF(OR(INDEX($X$2:$X$1001,MATCH(ROWS($W$2:W909),$W$2:$W$1001,0),1)&gt;=100000,INDEX($AD$1005:$AU$1005,1,MATCH(COLUMNS($AD$1006:AP1006),$AD$1006:$AU$1006,0))&gt;=100000), " ",IF(INDEX($AD$2:$AU$1001,MATCH(ROWS($W$2:W909),$W$2:$W$1001,0),MATCH(COLUMNS($AD$1006:AP1006),$AD$1006:$AU$1006,0)), HYPERLINK("#",""), HYPERLINK(CONCATENATE("#metadata!", ADDRESS(INDEX($Y$2:$Y$1001,MATCH(ROWS($W$2:W909),$W$2:$W$1001,0),0), INDEX($AD$1004:$AU$1004,1,MATCH(COLUMNS($AD$1006:AP1006),$AD$1006:$AU$1006,0)))),"Fix")))</f>
        <v xml:space="preserve"> </v>
      </c>
      <c r="O909" s="4" t="str">
        <f ca="1">IF(OR(INDEX($X$2:$X$1001,MATCH(ROWS($W$2:W909),$W$2:$W$1001,0),1)&gt;=100000,INDEX($AD$1005:$AU$1005,1,MATCH(COLUMNS($AD$1006:AQ1006),$AD$1006:$AU$1006,0))&gt;=100000), " ",IF(INDEX($AD$2:$AU$1001,MATCH(ROWS($W$2:W909),$W$2:$W$1001,0),MATCH(COLUMNS($AD$1006:AQ1006),$AD$1006:$AU$1006,0)), HYPERLINK("#",""), HYPERLINK(CONCATENATE("#metadata!", ADDRESS(INDEX($Y$2:$Y$1001,MATCH(ROWS($W$2:W909),$W$2:$W$1001,0),0), INDEX($AD$1004:$AU$1004,1,MATCH(COLUMNS($AD$1006:AQ1006),$AD$1006:$AU$1006,0)))),"Fix")))</f>
        <v xml:space="preserve"> </v>
      </c>
      <c r="P909" s="4" t="str">
        <f ca="1">IF(OR(INDEX($X$2:$X$1001,MATCH(ROWS($W$2:W909),$W$2:$W$1001,0),1)&gt;=100000,INDEX($AD$1005:$AU$1005,1,MATCH(COLUMNS($AD$1006:AR1006),$AD$1006:$AU$1006,0))&gt;=100000), " ",IF(INDEX($AD$2:$AU$1001,MATCH(ROWS($W$2:W909),$W$2:$W$1001,0),MATCH(COLUMNS($AD$1006:AR1006),$AD$1006:$AU$1006,0)), HYPERLINK("#",""), HYPERLINK(CONCATENATE("#metadata!", ADDRESS(INDEX($Y$2:$Y$1001,MATCH(ROWS($W$2:W909),$W$2:$W$1001,0),0), INDEX($AD$1004:$AU$1004,1,MATCH(COLUMNS($AD$1006:AR1006),$AD$1006:$AU$1006,0)))),"Fix")))</f>
        <v xml:space="preserve"> </v>
      </c>
      <c r="Q909" s="4" t="str">
        <f ca="1">IF(OR(INDEX($X$2:$X$1001,MATCH(ROWS($W$2:W909),$W$2:$W$1001,0),1)&gt;=100000,INDEX($AD$1005:$AU$1005,1,MATCH(COLUMNS($AD$1006:AS1006),$AD$1006:$AU$1006,0))&gt;=100000), " ",IF(INDEX($AD$2:$AU$1001,MATCH(ROWS($W$2:W909),$W$2:$W$1001,0),MATCH(COLUMNS($AD$1006:AS1006),$AD$1006:$AU$1006,0)), HYPERLINK("#",""), HYPERLINK(CONCATENATE("#metadata!", ADDRESS(INDEX($Y$2:$Y$1001,MATCH(ROWS($W$2:W909),$W$2:$W$1001,0),0), INDEX($AD$1004:$AU$1004,1,MATCH(COLUMNS($AD$1006:AS1006),$AD$1006:$AU$1006,0)))),"Fix")))</f>
        <v xml:space="preserve"> </v>
      </c>
      <c r="R909" s="4" t="str">
        <f ca="1">IF(OR(INDEX($X$2:$X$1001,MATCH(ROWS($W$2:W909),$W$2:$W$1001,0),1)&gt;=100000,INDEX($AD$1005:$AU$1005,1,MATCH(COLUMNS($AD$1006:AT1006),$AD$1006:$AU$1006,0))&gt;=100000), " ",IF(INDEX($AD$2:$AU$1001,MATCH(ROWS($W$2:W909),$W$2:$W$1001,0),MATCH(COLUMNS($AD$1006:AT1006),$AD$1006:$AU$1006,0)), HYPERLINK("#",""), HYPERLINK(CONCATENATE("#metadata!", ADDRESS(INDEX($Y$2:$Y$1001,MATCH(ROWS($W$2:W909),$W$2:$W$1001,0),0), INDEX($AD$1004:$AU$1004,1,MATCH(COLUMNS($AD$1006:AT1006),$AD$1006:$AU$1006,0)))),"Fix")))</f>
        <v xml:space="preserve"> </v>
      </c>
      <c r="S909" s="4" t="str">
        <f ca="1">IF(OR(INDEX($X$2:$X$1001,MATCH(ROWS($W$2:W909),$W$2:$W$1001,0),1)&gt;=100000,INDEX($AD$1005:$AU$1005,1,MATCH(COLUMNS($AD$1006:AU1006),$AD$1006:$AU$1006,0))&gt;=100000), " ",IF(INDEX($AD$2:$AU$1001,MATCH(ROWS($W$2:W909),$W$2:$W$1001,0),MATCH(COLUMNS($AD$1006:AU1006),$AD$1006:$AU$1006,0)), HYPERLINK("#",""), HYPERLINK(CONCATENATE("#metadata!", ADDRESS(INDEX($Y$2:$Y$1001,MATCH(ROWS($W$2:W909),$W$2:$W$1001,0),0), INDEX($AD$1004:$AU$1004,1,MATCH(COLUMNS($AD$1006:AU1006),$AD$1006:$AU$1006,0)))),"Fix")))</f>
        <v xml:space="preserve"> </v>
      </c>
      <c r="W909">
        <v>908</v>
      </c>
      <c r="X909">
        <v>100909</v>
      </c>
      <c r="Y909">
        <v>909</v>
      </c>
      <c r="Z909" t="b">
        <f t="shared" si="14"/>
        <v>1</v>
      </c>
      <c r="AA909" t="b">
        <f>COUNTBLANK(metadata!B909:S909)=COLUMNS(metadata!B909:S909)</f>
        <v>1</v>
      </c>
      <c r="AB909" t="str">
        <v/>
      </c>
      <c r="AD909" t="b">
        <f ca="1">AND(IF(metadata!B909="",FALSE,TRUE),COUNTIF(metadata!B:B, metadata!B909) = 1,NOT(ISERROR(SUMPRODUCT(SEARCH(MID(metadata!B909,ROW(INDIRECT("1:"&amp;LEN(metadata!B909))), 1),"0123456789abcdefghijklmnopqrstuvwxyzABCDEFGHIJKLMNOPQRSTUVWXYZ.")))))</f>
        <v>0</v>
      </c>
      <c r="AE909" t="b">
        <f>OR(AND(IF(metadata!C909="",FALSE,TRUE),OR(EXACT(metadata!C909,"not applicable"),EXACT(metadata!C909,"missing: not collected"),EXACT(metadata!C909,"missing: not provided"),EXACT(metadata!C909,"missing: restricted access"))),AND(IF(metadata!C909="",FALSE,ISNUMBER(VALUE(metadata!C909))),metadata!C909&gt;0))</f>
        <v>0</v>
      </c>
      <c r="AF909" t="b">
        <f>AND(IF(metadata!D909="",FALSE,TRUE),EXACT(metadata!D909,"missing: not provided"))</f>
        <v>0</v>
      </c>
      <c r="AG909" t="b">
        <f>AND(IF(metadata!E909="",FALSE,TRUE),EXACT(metadata!E909,"Host-associated"))</f>
        <v>0</v>
      </c>
      <c r="AH909" t="b">
        <f>AND(IF(metadata!F909="",FALSE,TRUE),OR(EXACT(metadata!F909,"Animal"),EXACT(metadata!F909,"Fungus"),EXACT(metadata!F909,"Plant")))</f>
        <v>0</v>
      </c>
      <c r="AI909" t="b">
        <f>AND(IF(metadata!G909="",FALSE,TRUE),OR(EXACT(metadata!G909,"Plant secretion"),EXACT(metadata!G909,"Plant rhizosphere"),EXACT(metadata!G909,"Plant surface"),EXACT(metadata!G909,"Plant corpus"),EXACT(metadata!G909,"Fungus surface"),EXACT(metadata!G909,"Fungus corpus"),EXACT(metadata!G909,"Animal surface"),EXACT(metadata!G909,"Animal proximal gut"),EXACT(metadata!G909,"Animal corpus"),EXACT(metadata!G909,"Animal distal gut"),EXACT(metadata!G909,"Animal secretion")))</f>
        <v>0</v>
      </c>
      <c r="AJ909" t="b">
        <f>OR(AND(IF(metadata!H909="",FALSE,TRUE),OR(EXACT(metadata!H909,"missing: not collected"),EXACT(metadata!H909,"missing: not provided"),EXACT(metadata!H909,"missing: restricted access"))),AND(IF(metadata!H909="",FALSE,TRUE),OR(EXACT(metadata!H909,"organism-associated habitat"),EXACT(metadata!H909,"plant-associated habitat"),EXACT(metadata!H909,"animal-associated habitat"),EXACT(metadata!H909,"insecta-associated habitat"),EXACT(metadata!H909,"mammalia-associated habitat"),EXACT(metadata!H909,"human-associated habitat"),EXACT(metadata!H909,"livestock-associated habitat"))))</f>
        <v>0</v>
      </c>
      <c r="AK909" t="b">
        <f>AND(IF(metadata!I909="",FALSE,TRUE),EXACT(metadata!I909,"host-associated"))</f>
        <v>0</v>
      </c>
      <c r="AL909" t="b">
        <f>OR(AND(IF(metadata!J909="",FALSE,TRUE),OR(EXACT(metadata!J909,"not applicable"),EXACT(metadata!J909,"missing: not collected"),EXACT(metadata!J909,"missing: not provided"),EXACT(metadata!J909,"missing: restricted access"))),AND(IF(metadata!J909="",FALSE,ISNUMBER(VALUE(metadata!J909))),metadata!J909&gt;0))</f>
        <v>0</v>
      </c>
      <c r="AM909" t="b">
        <f>AND(IF(metadata!K909="",FALSE,TRUE),EXACT(metadata!K909,"missing: not provided"))</f>
        <v>0</v>
      </c>
      <c r="AN909" t="b">
        <f>IF(metadata!L909="",FALSE,TRUE)</f>
        <v>0</v>
      </c>
      <c r="AO909" t="b">
        <f>IF(metadata!M909="",FALSE,TRUE)</f>
        <v>0</v>
      </c>
      <c r="AP909" t="b">
        <f>OR(AND(IF(metadata!N909="",FALSE,TRUE),OR(EXACT(metadata!N909,"not applicable"),EXACT(metadata!N909,"missing: not collected"),EXACT(metadata!N909,"missing: not provided"))),AND(IF(metadata!N909="",FALSE,IF(ISERROR(INT(metadata!N909)),FALSE,INT(metadata!N909)=metadata!N909)),metadata!N909&gt;0))</f>
        <v>0</v>
      </c>
      <c r="AQ909" t="b">
        <f>AND(IF(metadata!O909="",FALSE,TRUE),EXACT(metadata!O909,"Not applicable"))</f>
        <v>0</v>
      </c>
      <c r="AR909" t="b">
        <f>OR(AND(IF(metadata!P909="",FALSE,TRUE),OR(EXACT(metadata!P909,"not applicable"),EXACT(metadata!P909,"missing: not collected"),EXACT(metadata!P909,"missing: not provided"),EXACT(metadata!P909,"missing: restricted access"))),IF(metadata!P909="",FALSE,IF(ISERROR(INT(metadata!P909)),FALSE,INT(metadata!P909)=metadata!P909)))</f>
        <v>0</v>
      </c>
      <c r="AS909" t="b">
        <f>AND(IF(metadata!Q909="",FALSE,TRUE),EXACT(metadata!Q909,"Not applicable"))</f>
        <v>0</v>
      </c>
      <c r="AT909" t="b">
        <f>OR(AND(IF(metadata!R909="",FALSE,TRUE),OR(EXACT(metadata!R909,"not applicable"),EXACT(metadata!R909,"missing: not collected"),EXACT(metadata!R909,"missing: not provided"),EXACT(metadata!R909,"missing: restricted access"))),AND(IF(metadata!R909="",FALSE,ISNUMBER(VALUE(metadata!R909))),metadata!R909&gt;0))</f>
        <v>0</v>
      </c>
      <c r="AU909" t="b">
        <f>AND(IF(metadata!S909="",FALSE,TRUE),EXACT(metadata!S909,"missing: not provided"))</f>
        <v>0</v>
      </c>
    </row>
    <row r="910" spans="1:47" x14ac:dyDescent="0.2">
      <c r="A910" s="5" t="str">
        <f ca="1">IF(B910=" "," ",HYPERLINK(CONCATENATE("#metadata!",ADDRESS(INDEX($Y$2:$Y$1001,MATCH(ROWS($W$2:W910),$W$2:$W$1001,0),0),1)),INDEX($AB$2:$AB$1001,MATCH(ROWS($W$2:W910),$W$2:$W$1001,0),0)))</f>
        <v xml:space="preserve"> </v>
      </c>
      <c r="B910" s="4" t="str">
        <f ca="1">IF(OR(INDEX($X$2:$X$1001,MATCH(ROWS($W$2:W910),$W$2:$W$1001,0),1)&gt;=100000,INDEX($AD$1005:$AU$1005,1,MATCH(COLUMNS($AD$1006:AD1006),$AD$1006:$AU$1006,0))&gt;=100000), " ",IF(INDEX($AD$2:$AU$1001,MATCH(ROWS($W$2:W910),$W$2:$W$1001,0),MATCH(COLUMNS($AD$1006:AD1006),$AD$1006:$AU$1006,0)), HYPERLINK("#",""), HYPERLINK(CONCATENATE("#metadata!", ADDRESS(INDEX($Y$2:$Y$1001,MATCH(ROWS($W$2:W910),$W$2:$W$1001,0),0), INDEX($AD$1004:$AU$1004,1,MATCH(COLUMNS($AD$1006:AD1006),$AD$1006:$AU$1006,0)))),"Fix")))</f>
        <v xml:space="preserve"> </v>
      </c>
      <c r="C910" s="4" t="str">
        <f ca="1">IF(OR(INDEX($X$2:$X$1001,MATCH(ROWS($W$2:W910),$W$2:$W$1001,0),1)&gt;=100000,INDEX($AD$1005:$AU$1005,1,MATCH(COLUMNS($AD$1006:AE1006),$AD$1006:$AU$1006,0))&gt;=100000), " ",IF(INDEX($AD$2:$AU$1001,MATCH(ROWS($W$2:W910),$W$2:$W$1001,0),MATCH(COLUMNS($AD$1006:AE1006),$AD$1006:$AU$1006,0)), HYPERLINK("#",""), HYPERLINK(CONCATENATE("#metadata!", ADDRESS(INDEX($Y$2:$Y$1001,MATCH(ROWS($W$2:W910),$W$2:$W$1001,0),0), INDEX($AD$1004:$AU$1004,1,MATCH(COLUMNS($AD$1006:AE1006),$AD$1006:$AU$1006,0)))),"Fix")))</f>
        <v xml:space="preserve"> </v>
      </c>
      <c r="D910" s="4" t="str">
        <f ca="1">IF(OR(INDEX($X$2:$X$1001,MATCH(ROWS($W$2:W910),$W$2:$W$1001,0),1)&gt;=100000,INDEX($AD$1005:$AU$1005,1,MATCH(COLUMNS($AD$1006:AF1006),$AD$1006:$AU$1006,0))&gt;=100000), " ",IF(INDEX($AD$2:$AU$1001,MATCH(ROWS($W$2:W910),$W$2:$W$1001,0),MATCH(COLUMNS($AD$1006:AF1006),$AD$1006:$AU$1006,0)), HYPERLINK("#",""), HYPERLINK(CONCATENATE("#metadata!", ADDRESS(INDEX($Y$2:$Y$1001,MATCH(ROWS($W$2:W910),$W$2:$W$1001,0),0), INDEX($AD$1004:$AU$1004,1,MATCH(COLUMNS($AD$1006:AF1006),$AD$1006:$AU$1006,0)))),"Fix")))</f>
        <v xml:space="preserve"> </v>
      </c>
      <c r="E910" s="4" t="str">
        <f ca="1">IF(OR(INDEX($X$2:$X$1001,MATCH(ROWS($W$2:W910),$W$2:$W$1001,0),1)&gt;=100000,INDEX($AD$1005:$AU$1005,1,MATCH(COLUMNS($AD$1006:AG1006),$AD$1006:$AU$1006,0))&gt;=100000), " ",IF(INDEX($AD$2:$AU$1001,MATCH(ROWS($W$2:W910),$W$2:$W$1001,0),MATCH(COLUMNS($AD$1006:AG1006),$AD$1006:$AU$1006,0)), HYPERLINK("#",""), HYPERLINK(CONCATENATE("#metadata!", ADDRESS(INDEX($Y$2:$Y$1001,MATCH(ROWS($W$2:W910),$W$2:$W$1001,0),0), INDEX($AD$1004:$AU$1004,1,MATCH(COLUMNS($AD$1006:AG1006),$AD$1006:$AU$1006,0)))),"Fix")))</f>
        <v xml:space="preserve"> </v>
      </c>
      <c r="F910" s="4" t="str">
        <f ca="1">IF(OR(INDEX($X$2:$X$1001,MATCH(ROWS($W$2:W910),$W$2:$W$1001,0),1)&gt;=100000,INDEX($AD$1005:$AU$1005,1,MATCH(COLUMNS($AD$1006:AH1006),$AD$1006:$AU$1006,0))&gt;=100000), " ",IF(INDEX($AD$2:$AU$1001,MATCH(ROWS($W$2:W910),$W$2:$W$1001,0),MATCH(COLUMNS($AD$1006:AH1006),$AD$1006:$AU$1006,0)), HYPERLINK("#",""), HYPERLINK(CONCATENATE("#metadata!", ADDRESS(INDEX($Y$2:$Y$1001,MATCH(ROWS($W$2:W910),$W$2:$W$1001,0),0), INDEX($AD$1004:$AU$1004,1,MATCH(COLUMNS($AD$1006:AH1006),$AD$1006:$AU$1006,0)))),"Fix")))</f>
        <v xml:space="preserve"> </v>
      </c>
      <c r="G910" s="4" t="str">
        <f ca="1">IF(OR(INDEX($X$2:$X$1001,MATCH(ROWS($W$2:W910),$W$2:$W$1001,0),1)&gt;=100000,INDEX($AD$1005:$AU$1005,1,MATCH(COLUMNS($AD$1006:AI1006),$AD$1006:$AU$1006,0))&gt;=100000), " ",IF(INDEX($AD$2:$AU$1001,MATCH(ROWS($W$2:W910),$W$2:$W$1001,0),MATCH(COLUMNS($AD$1006:AI1006),$AD$1006:$AU$1006,0)), HYPERLINK("#",""), HYPERLINK(CONCATENATE("#metadata!", ADDRESS(INDEX($Y$2:$Y$1001,MATCH(ROWS($W$2:W910),$W$2:$W$1001,0),0), INDEX($AD$1004:$AU$1004,1,MATCH(COLUMNS($AD$1006:AI1006),$AD$1006:$AU$1006,0)))),"Fix")))</f>
        <v xml:space="preserve"> </v>
      </c>
      <c r="H910" s="4" t="str">
        <f ca="1">IF(OR(INDEX($X$2:$X$1001,MATCH(ROWS($W$2:W910),$W$2:$W$1001,0),1)&gt;=100000,INDEX($AD$1005:$AU$1005,1,MATCH(COLUMNS($AD$1006:AJ1006),$AD$1006:$AU$1006,0))&gt;=100000), " ",IF(INDEX($AD$2:$AU$1001,MATCH(ROWS($W$2:W910),$W$2:$W$1001,0),MATCH(COLUMNS($AD$1006:AJ1006),$AD$1006:$AU$1006,0)), HYPERLINK("#",""), HYPERLINK(CONCATENATE("#metadata!", ADDRESS(INDEX($Y$2:$Y$1001,MATCH(ROWS($W$2:W910),$W$2:$W$1001,0),0), INDEX($AD$1004:$AU$1004,1,MATCH(COLUMNS($AD$1006:AJ1006),$AD$1006:$AU$1006,0)))),"Fix")))</f>
        <v xml:space="preserve"> </v>
      </c>
      <c r="I910" s="4" t="str">
        <f ca="1">IF(OR(INDEX($X$2:$X$1001,MATCH(ROWS($W$2:W910),$W$2:$W$1001,0),1)&gt;=100000,INDEX($AD$1005:$AU$1005,1,MATCH(COLUMNS($AD$1006:AK1006),$AD$1006:$AU$1006,0))&gt;=100000), " ",IF(INDEX($AD$2:$AU$1001,MATCH(ROWS($W$2:W910),$W$2:$W$1001,0),MATCH(COLUMNS($AD$1006:AK1006),$AD$1006:$AU$1006,0)), HYPERLINK("#",""), HYPERLINK(CONCATENATE("#metadata!", ADDRESS(INDEX($Y$2:$Y$1001,MATCH(ROWS($W$2:W910),$W$2:$W$1001,0),0), INDEX($AD$1004:$AU$1004,1,MATCH(COLUMNS($AD$1006:AK1006),$AD$1006:$AU$1006,0)))),"Fix")))</f>
        <v xml:space="preserve"> </v>
      </c>
      <c r="J910" s="4" t="str">
        <f ca="1">IF(OR(INDEX($X$2:$X$1001,MATCH(ROWS($W$2:W910),$W$2:$W$1001,0),1)&gt;=100000,INDEX($AD$1005:$AU$1005,1,MATCH(COLUMNS($AD$1006:AL1006),$AD$1006:$AU$1006,0))&gt;=100000), " ",IF(INDEX($AD$2:$AU$1001,MATCH(ROWS($W$2:W910),$W$2:$W$1001,0),MATCH(COLUMNS($AD$1006:AL1006),$AD$1006:$AU$1006,0)), HYPERLINK("#",""), HYPERLINK(CONCATENATE("#metadata!", ADDRESS(INDEX($Y$2:$Y$1001,MATCH(ROWS($W$2:W910),$W$2:$W$1001,0),0), INDEX($AD$1004:$AU$1004,1,MATCH(COLUMNS($AD$1006:AL1006),$AD$1006:$AU$1006,0)))),"Fix")))</f>
        <v xml:space="preserve"> </v>
      </c>
      <c r="K910" s="4" t="str">
        <f ca="1">IF(OR(INDEX($X$2:$X$1001,MATCH(ROWS($W$2:W910),$W$2:$W$1001,0),1)&gt;=100000,INDEX($AD$1005:$AU$1005,1,MATCH(COLUMNS($AD$1006:AM1006),$AD$1006:$AU$1006,0))&gt;=100000), " ",IF(INDEX($AD$2:$AU$1001,MATCH(ROWS($W$2:W910),$W$2:$W$1001,0),MATCH(COLUMNS($AD$1006:AM1006),$AD$1006:$AU$1006,0)), HYPERLINK("#",""), HYPERLINK(CONCATENATE("#metadata!", ADDRESS(INDEX($Y$2:$Y$1001,MATCH(ROWS($W$2:W910),$W$2:$W$1001,0),0), INDEX($AD$1004:$AU$1004,1,MATCH(COLUMNS($AD$1006:AM1006),$AD$1006:$AU$1006,0)))),"Fix")))</f>
        <v xml:space="preserve"> </v>
      </c>
      <c r="L910" s="4" t="str">
        <f ca="1">IF(OR(INDEX($X$2:$X$1001,MATCH(ROWS($W$2:W910),$W$2:$W$1001,0),1)&gt;=100000,INDEX($AD$1005:$AU$1005,1,MATCH(COLUMNS($AD$1006:AN1006),$AD$1006:$AU$1006,0))&gt;=100000), " ",IF(INDEX($AD$2:$AU$1001,MATCH(ROWS($W$2:W910),$W$2:$W$1001,0),MATCH(COLUMNS($AD$1006:AN1006),$AD$1006:$AU$1006,0)), HYPERLINK("#",""), HYPERLINK(CONCATENATE("#metadata!", ADDRESS(INDEX($Y$2:$Y$1001,MATCH(ROWS($W$2:W910),$W$2:$W$1001,0),0), INDEX($AD$1004:$AU$1004,1,MATCH(COLUMNS($AD$1006:AN1006),$AD$1006:$AU$1006,0)))),"Fix")))</f>
        <v xml:space="preserve"> </v>
      </c>
      <c r="M910" s="4" t="str">
        <f ca="1">IF(OR(INDEX($X$2:$X$1001,MATCH(ROWS($W$2:W910),$W$2:$W$1001,0),1)&gt;=100000,INDEX($AD$1005:$AU$1005,1,MATCH(COLUMNS($AD$1006:AO1006),$AD$1006:$AU$1006,0))&gt;=100000), " ",IF(INDEX($AD$2:$AU$1001,MATCH(ROWS($W$2:W910),$W$2:$W$1001,0),MATCH(COLUMNS($AD$1006:AO1006),$AD$1006:$AU$1006,0)), HYPERLINK("#",""), HYPERLINK(CONCATENATE("#metadata!", ADDRESS(INDEX($Y$2:$Y$1001,MATCH(ROWS($W$2:W910),$W$2:$W$1001,0),0), INDEX($AD$1004:$AU$1004,1,MATCH(COLUMNS($AD$1006:AO1006),$AD$1006:$AU$1006,0)))),"Fix")))</f>
        <v xml:space="preserve"> </v>
      </c>
      <c r="N910" s="4" t="str">
        <f ca="1">IF(OR(INDEX($X$2:$X$1001,MATCH(ROWS($W$2:W910),$W$2:$W$1001,0),1)&gt;=100000,INDEX($AD$1005:$AU$1005,1,MATCH(COLUMNS($AD$1006:AP1006),$AD$1006:$AU$1006,0))&gt;=100000), " ",IF(INDEX($AD$2:$AU$1001,MATCH(ROWS($W$2:W910),$W$2:$W$1001,0),MATCH(COLUMNS($AD$1006:AP1006),$AD$1006:$AU$1006,0)), HYPERLINK("#",""), HYPERLINK(CONCATENATE("#metadata!", ADDRESS(INDEX($Y$2:$Y$1001,MATCH(ROWS($W$2:W910),$W$2:$W$1001,0),0), INDEX($AD$1004:$AU$1004,1,MATCH(COLUMNS($AD$1006:AP1006),$AD$1006:$AU$1006,0)))),"Fix")))</f>
        <v xml:space="preserve"> </v>
      </c>
      <c r="O910" s="4" t="str">
        <f ca="1">IF(OR(INDEX($X$2:$X$1001,MATCH(ROWS($W$2:W910),$W$2:$W$1001,0),1)&gt;=100000,INDEX($AD$1005:$AU$1005,1,MATCH(COLUMNS($AD$1006:AQ1006),$AD$1006:$AU$1006,0))&gt;=100000), " ",IF(INDEX($AD$2:$AU$1001,MATCH(ROWS($W$2:W910),$W$2:$W$1001,0),MATCH(COLUMNS($AD$1006:AQ1006),$AD$1006:$AU$1006,0)), HYPERLINK("#",""), HYPERLINK(CONCATENATE("#metadata!", ADDRESS(INDEX($Y$2:$Y$1001,MATCH(ROWS($W$2:W910),$W$2:$W$1001,0),0), INDEX($AD$1004:$AU$1004,1,MATCH(COLUMNS($AD$1006:AQ1006),$AD$1006:$AU$1006,0)))),"Fix")))</f>
        <v xml:space="preserve"> </v>
      </c>
      <c r="P910" s="4" t="str">
        <f ca="1">IF(OR(INDEX($X$2:$X$1001,MATCH(ROWS($W$2:W910),$W$2:$W$1001,0),1)&gt;=100000,INDEX($AD$1005:$AU$1005,1,MATCH(COLUMNS($AD$1006:AR1006),$AD$1006:$AU$1006,0))&gt;=100000), " ",IF(INDEX($AD$2:$AU$1001,MATCH(ROWS($W$2:W910),$W$2:$W$1001,0),MATCH(COLUMNS($AD$1006:AR1006),$AD$1006:$AU$1006,0)), HYPERLINK("#",""), HYPERLINK(CONCATENATE("#metadata!", ADDRESS(INDEX($Y$2:$Y$1001,MATCH(ROWS($W$2:W910),$W$2:$W$1001,0),0), INDEX($AD$1004:$AU$1004,1,MATCH(COLUMNS($AD$1006:AR1006),$AD$1006:$AU$1006,0)))),"Fix")))</f>
        <v xml:space="preserve"> </v>
      </c>
      <c r="Q910" s="4" t="str">
        <f ca="1">IF(OR(INDEX($X$2:$X$1001,MATCH(ROWS($W$2:W910),$W$2:$W$1001,0),1)&gt;=100000,INDEX($AD$1005:$AU$1005,1,MATCH(COLUMNS($AD$1006:AS1006),$AD$1006:$AU$1006,0))&gt;=100000), " ",IF(INDEX($AD$2:$AU$1001,MATCH(ROWS($W$2:W910),$W$2:$W$1001,0),MATCH(COLUMNS($AD$1006:AS1006),$AD$1006:$AU$1006,0)), HYPERLINK("#",""), HYPERLINK(CONCATENATE("#metadata!", ADDRESS(INDEX($Y$2:$Y$1001,MATCH(ROWS($W$2:W910),$W$2:$W$1001,0),0), INDEX($AD$1004:$AU$1004,1,MATCH(COLUMNS($AD$1006:AS1006),$AD$1006:$AU$1006,0)))),"Fix")))</f>
        <v xml:space="preserve"> </v>
      </c>
      <c r="R910" s="4" t="str">
        <f ca="1">IF(OR(INDEX($X$2:$X$1001,MATCH(ROWS($W$2:W910),$W$2:$W$1001,0),1)&gt;=100000,INDEX($AD$1005:$AU$1005,1,MATCH(COLUMNS($AD$1006:AT1006),$AD$1006:$AU$1006,0))&gt;=100000), " ",IF(INDEX($AD$2:$AU$1001,MATCH(ROWS($W$2:W910),$W$2:$W$1001,0),MATCH(COLUMNS($AD$1006:AT1006),$AD$1006:$AU$1006,0)), HYPERLINK("#",""), HYPERLINK(CONCATENATE("#metadata!", ADDRESS(INDEX($Y$2:$Y$1001,MATCH(ROWS($W$2:W910),$W$2:$W$1001,0),0), INDEX($AD$1004:$AU$1004,1,MATCH(COLUMNS($AD$1006:AT1006),$AD$1006:$AU$1006,0)))),"Fix")))</f>
        <v xml:space="preserve"> </v>
      </c>
      <c r="S910" s="4" t="str">
        <f ca="1">IF(OR(INDEX($X$2:$X$1001,MATCH(ROWS($W$2:W910),$W$2:$W$1001,0),1)&gt;=100000,INDEX($AD$1005:$AU$1005,1,MATCH(COLUMNS($AD$1006:AU1006),$AD$1006:$AU$1006,0))&gt;=100000), " ",IF(INDEX($AD$2:$AU$1001,MATCH(ROWS($W$2:W910),$W$2:$W$1001,0),MATCH(COLUMNS($AD$1006:AU1006),$AD$1006:$AU$1006,0)), HYPERLINK("#",""), HYPERLINK(CONCATENATE("#metadata!", ADDRESS(INDEX($Y$2:$Y$1001,MATCH(ROWS($W$2:W910),$W$2:$W$1001,0),0), INDEX($AD$1004:$AU$1004,1,MATCH(COLUMNS($AD$1006:AU1006),$AD$1006:$AU$1006,0)))),"Fix")))</f>
        <v xml:space="preserve"> </v>
      </c>
      <c r="W910">
        <v>909</v>
      </c>
      <c r="X910">
        <v>100910</v>
      </c>
      <c r="Y910">
        <v>910</v>
      </c>
      <c r="Z910" t="b">
        <f t="shared" si="14"/>
        <v>1</v>
      </c>
      <c r="AA910" t="b">
        <f>COUNTBLANK(metadata!B910:S910)=COLUMNS(metadata!B910:S910)</f>
        <v>1</v>
      </c>
      <c r="AB910" t="str">
        <v/>
      </c>
      <c r="AD910" t="b">
        <f ca="1">AND(IF(metadata!B910="",FALSE,TRUE),COUNTIF(metadata!B:B, metadata!B910) = 1,NOT(ISERROR(SUMPRODUCT(SEARCH(MID(metadata!B910,ROW(INDIRECT("1:"&amp;LEN(metadata!B910))), 1),"0123456789abcdefghijklmnopqrstuvwxyzABCDEFGHIJKLMNOPQRSTUVWXYZ.")))))</f>
        <v>0</v>
      </c>
      <c r="AE910" t="b">
        <f>OR(AND(IF(metadata!C910="",FALSE,TRUE),OR(EXACT(metadata!C910,"not applicable"),EXACT(metadata!C910,"missing: not collected"),EXACT(metadata!C910,"missing: not provided"),EXACT(metadata!C910,"missing: restricted access"))),AND(IF(metadata!C910="",FALSE,ISNUMBER(VALUE(metadata!C910))),metadata!C910&gt;0))</f>
        <v>0</v>
      </c>
      <c r="AF910" t="b">
        <f>AND(IF(metadata!D910="",FALSE,TRUE),EXACT(metadata!D910,"missing: not provided"))</f>
        <v>0</v>
      </c>
      <c r="AG910" t="b">
        <f>AND(IF(metadata!E910="",FALSE,TRUE),EXACT(metadata!E910,"Host-associated"))</f>
        <v>0</v>
      </c>
      <c r="AH910" t="b">
        <f>AND(IF(metadata!F910="",FALSE,TRUE),OR(EXACT(metadata!F910,"Animal"),EXACT(metadata!F910,"Fungus"),EXACT(metadata!F910,"Plant")))</f>
        <v>0</v>
      </c>
      <c r="AI910" t="b">
        <f>AND(IF(metadata!G910="",FALSE,TRUE),OR(EXACT(metadata!G910,"Plant secretion"),EXACT(metadata!G910,"Plant rhizosphere"),EXACT(metadata!G910,"Plant surface"),EXACT(metadata!G910,"Plant corpus"),EXACT(metadata!G910,"Fungus surface"),EXACT(metadata!G910,"Fungus corpus"),EXACT(metadata!G910,"Animal surface"),EXACT(metadata!G910,"Animal proximal gut"),EXACT(metadata!G910,"Animal corpus"),EXACT(metadata!G910,"Animal distal gut"),EXACT(metadata!G910,"Animal secretion")))</f>
        <v>0</v>
      </c>
      <c r="AJ910" t="b">
        <f>OR(AND(IF(metadata!H910="",FALSE,TRUE),OR(EXACT(metadata!H910,"missing: not collected"),EXACT(metadata!H910,"missing: not provided"),EXACT(metadata!H910,"missing: restricted access"))),AND(IF(metadata!H910="",FALSE,TRUE),OR(EXACT(metadata!H910,"organism-associated habitat"),EXACT(metadata!H910,"plant-associated habitat"),EXACT(metadata!H910,"animal-associated habitat"),EXACT(metadata!H910,"insecta-associated habitat"),EXACT(metadata!H910,"mammalia-associated habitat"),EXACT(metadata!H910,"human-associated habitat"),EXACT(metadata!H910,"livestock-associated habitat"))))</f>
        <v>0</v>
      </c>
      <c r="AK910" t="b">
        <f>AND(IF(metadata!I910="",FALSE,TRUE),EXACT(metadata!I910,"host-associated"))</f>
        <v>0</v>
      </c>
      <c r="AL910" t="b">
        <f>OR(AND(IF(metadata!J910="",FALSE,TRUE),OR(EXACT(metadata!J910,"not applicable"),EXACT(metadata!J910,"missing: not collected"),EXACT(metadata!J910,"missing: not provided"),EXACT(metadata!J910,"missing: restricted access"))),AND(IF(metadata!J910="",FALSE,ISNUMBER(VALUE(metadata!J910))),metadata!J910&gt;0))</f>
        <v>0</v>
      </c>
      <c r="AM910" t="b">
        <f>AND(IF(metadata!K910="",FALSE,TRUE),EXACT(metadata!K910,"missing: not provided"))</f>
        <v>0</v>
      </c>
      <c r="AN910" t="b">
        <f>IF(metadata!L910="",FALSE,TRUE)</f>
        <v>0</v>
      </c>
      <c r="AO910" t="b">
        <f>IF(metadata!M910="",FALSE,TRUE)</f>
        <v>0</v>
      </c>
      <c r="AP910" t="b">
        <f>OR(AND(IF(metadata!N910="",FALSE,TRUE),OR(EXACT(metadata!N910,"not applicable"),EXACT(metadata!N910,"missing: not collected"),EXACT(metadata!N910,"missing: not provided"))),AND(IF(metadata!N910="",FALSE,IF(ISERROR(INT(metadata!N910)),FALSE,INT(metadata!N910)=metadata!N910)),metadata!N910&gt;0))</f>
        <v>0</v>
      </c>
      <c r="AQ910" t="b">
        <f>AND(IF(metadata!O910="",FALSE,TRUE),EXACT(metadata!O910,"Not applicable"))</f>
        <v>0</v>
      </c>
      <c r="AR910" t="b">
        <f>OR(AND(IF(metadata!P910="",FALSE,TRUE),OR(EXACT(metadata!P910,"not applicable"),EXACT(metadata!P910,"missing: not collected"),EXACT(metadata!P910,"missing: not provided"),EXACT(metadata!P910,"missing: restricted access"))),IF(metadata!P910="",FALSE,IF(ISERROR(INT(metadata!P910)),FALSE,INT(metadata!P910)=metadata!P910)))</f>
        <v>0</v>
      </c>
      <c r="AS910" t="b">
        <f>AND(IF(metadata!Q910="",FALSE,TRUE),EXACT(metadata!Q910,"Not applicable"))</f>
        <v>0</v>
      </c>
      <c r="AT910" t="b">
        <f>OR(AND(IF(metadata!R910="",FALSE,TRUE),OR(EXACT(metadata!R910,"not applicable"),EXACT(metadata!R910,"missing: not collected"),EXACT(metadata!R910,"missing: not provided"),EXACT(metadata!R910,"missing: restricted access"))),AND(IF(metadata!R910="",FALSE,ISNUMBER(VALUE(metadata!R910))),metadata!R910&gt;0))</f>
        <v>0</v>
      </c>
      <c r="AU910" t="b">
        <f>AND(IF(metadata!S910="",FALSE,TRUE),EXACT(metadata!S910,"missing: not provided"))</f>
        <v>0</v>
      </c>
    </row>
    <row r="911" spans="1:47" x14ac:dyDescent="0.2">
      <c r="A911" s="5" t="str">
        <f ca="1">IF(B911=" "," ",HYPERLINK(CONCATENATE("#metadata!",ADDRESS(INDEX($Y$2:$Y$1001,MATCH(ROWS($W$2:W911),$W$2:$W$1001,0),0),1)),INDEX($AB$2:$AB$1001,MATCH(ROWS($W$2:W911),$W$2:$W$1001,0),0)))</f>
        <v xml:space="preserve"> </v>
      </c>
      <c r="B911" s="4" t="str">
        <f ca="1">IF(OR(INDEX($X$2:$X$1001,MATCH(ROWS($W$2:W911),$W$2:$W$1001,0),1)&gt;=100000,INDEX($AD$1005:$AU$1005,1,MATCH(COLUMNS($AD$1006:AD1006),$AD$1006:$AU$1006,0))&gt;=100000), " ",IF(INDEX($AD$2:$AU$1001,MATCH(ROWS($W$2:W911),$W$2:$W$1001,0),MATCH(COLUMNS($AD$1006:AD1006),$AD$1006:$AU$1006,0)), HYPERLINK("#",""), HYPERLINK(CONCATENATE("#metadata!", ADDRESS(INDEX($Y$2:$Y$1001,MATCH(ROWS($W$2:W911),$W$2:$W$1001,0),0), INDEX($AD$1004:$AU$1004,1,MATCH(COLUMNS($AD$1006:AD1006),$AD$1006:$AU$1006,0)))),"Fix")))</f>
        <v xml:space="preserve"> </v>
      </c>
      <c r="C911" s="4" t="str">
        <f ca="1">IF(OR(INDEX($X$2:$X$1001,MATCH(ROWS($W$2:W911),$W$2:$W$1001,0),1)&gt;=100000,INDEX($AD$1005:$AU$1005,1,MATCH(COLUMNS($AD$1006:AE1006),$AD$1006:$AU$1006,0))&gt;=100000), " ",IF(INDEX($AD$2:$AU$1001,MATCH(ROWS($W$2:W911),$W$2:$W$1001,0),MATCH(COLUMNS($AD$1006:AE1006),$AD$1006:$AU$1006,0)), HYPERLINK("#",""), HYPERLINK(CONCATENATE("#metadata!", ADDRESS(INDEX($Y$2:$Y$1001,MATCH(ROWS($W$2:W911),$W$2:$W$1001,0),0), INDEX($AD$1004:$AU$1004,1,MATCH(COLUMNS($AD$1006:AE1006),$AD$1006:$AU$1006,0)))),"Fix")))</f>
        <v xml:space="preserve"> </v>
      </c>
      <c r="D911" s="4" t="str">
        <f ca="1">IF(OR(INDEX($X$2:$X$1001,MATCH(ROWS($W$2:W911),$W$2:$W$1001,0),1)&gt;=100000,INDEX($AD$1005:$AU$1005,1,MATCH(COLUMNS($AD$1006:AF1006),$AD$1006:$AU$1006,0))&gt;=100000), " ",IF(INDEX($AD$2:$AU$1001,MATCH(ROWS($W$2:W911),$W$2:$W$1001,0),MATCH(COLUMNS($AD$1006:AF1006),$AD$1006:$AU$1006,0)), HYPERLINK("#",""), HYPERLINK(CONCATENATE("#metadata!", ADDRESS(INDEX($Y$2:$Y$1001,MATCH(ROWS($W$2:W911),$W$2:$W$1001,0),0), INDEX($AD$1004:$AU$1004,1,MATCH(COLUMNS($AD$1006:AF1006),$AD$1006:$AU$1006,0)))),"Fix")))</f>
        <v xml:space="preserve"> </v>
      </c>
      <c r="E911" s="4" t="str">
        <f ca="1">IF(OR(INDEX($X$2:$X$1001,MATCH(ROWS($W$2:W911),$W$2:$W$1001,0),1)&gt;=100000,INDEX($AD$1005:$AU$1005,1,MATCH(COLUMNS($AD$1006:AG1006),$AD$1006:$AU$1006,0))&gt;=100000), " ",IF(INDEX($AD$2:$AU$1001,MATCH(ROWS($W$2:W911),$W$2:$W$1001,0),MATCH(COLUMNS($AD$1006:AG1006),$AD$1006:$AU$1006,0)), HYPERLINK("#",""), HYPERLINK(CONCATENATE("#metadata!", ADDRESS(INDEX($Y$2:$Y$1001,MATCH(ROWS($W$2:W911),$W$2:$W$1001,0),0), INDEX($AD$1004:$AU$1004,1,MATCH(COLUMNS($AD$1006:AG1006),$AD$1006:$AU$1006,0)))),"Fix")))</f>
        <v xml:space="preserve"> </v>
      </c>
      <c r="F911" s="4" t="str">
        <f ca="1">IF(OR(INDEX($X$2:$X$1001,MATCH(ROWS($W$2:W911),$W$2:$W$1001,0),1)&gt;=100000,INDEX($AD$1005:$AU$1005,1,MATCH(COLUMNS($AD$1006:AH1006),$AD$1006:$AU$1006,0))&gt;=100000), " ",IF(INDEX($AD$2:$AU$1001,MATCH(ROWS($W$2:W911),$W$2:$W$1001,0),MATCH(COLUMNS($AD$1006:AH1006),$AD$1006:$AU$1006,0)), HYPERLINK("#",""), HYPERLINK(CONCATENATE("#metadata!", ADDRESS(INDEX($Y$2:$Y$1001,MATCH(ROWS($W$2:W911),$W$2:$W$1001,0),0), INDEX($AD$1004:$AU$1004,1,MATCH(COLUMNS($AD$1006:AH1006),$AD$1006:$AU$1006,0)))),"Fix")))</f>
        <v xml:space="preserve"> </v>
      </c>
      <c r="G911" s="4" t="str">
        <f ca="1">IF(OR(INDEX($X$2:$X$1001,MATCH(ROWS($W$2:W911),$W$2:$W$1001,0),1)&gt;=100000,INDEX($AD$1005:$AU$1005,1,MATCH(COLUMNS($AD$1006:AI1006),$AD$1006:$AU$1006,0))&gt;=100000), " ",IF(INDEX($AD$2:$AU$1001,MATCH(ROWS($W$2:W911),$W$2:$W$1001,0),MATCH(COLUMNS($AD$1006:AI1006),$AD$1006:$AU$1006,0)), HYPERLINK("#",""), HYPERLINK(CONCATENATE("#metadata!", ADDRESS(INDEX($Y$2:$Y$1001,MATCH(ROWS($W$2:W911),$W$2:$W$1001,0),0), INDEX($AD$1004:$AU$1004,1,MATCH(COLUMNS($AD$1006:AI1006),$AD$1006:$AU$1006,0)))),"Fix")))</f>
        <v xml:space="preserve"> </v>
      </c>
      <c r="H911" s="4" t="str">
        <f ca="1">IF(OR(INDEX($X$2:$X$1001,MATCH(ROWS($W$2:W911),$W$2:$W$1001,0),1)&gt;=100000,INDEX($AD$1005:$AU$1005,1,MATCH(COLUMNS($AD$1006:AJ1006),$AD$1006:$AU$1006,0))&gt;=100000), " ",IF(INDEX($AD$2:$AU$1001,MATCH(ROWS($W$2:W911),$W$2:$W$1001,0),MATCH(COLUMNS($AD$1006:AJ1006),$AD$1006:$AU$1006,0)), HYPERLINK("#",""), HYPERLINK(CONCATENATE("#metadata!", ADDRESS(INDEX($Y$2:$Y$1001,MATCH(ROWS($W$2:W911),$W$2:$W$1001,0),0), INDEX($AD$1004:$AU$1004,1,MATCH(COLUMNS($AD$1006:AJ1006),$AD$1006:$AU$1006,0)))),"Fix")))</f>
        <v xml:space="preserve"> </v>
      </c>
      <c r="I911" s="4" t="str">
        <f ca="1">IF(OR(INDEX($X$2:$X$1001,MATCH(ROWS($W$2:W911),$W$2:$W$1001,0),1)&gt;=100000,INDEX($AD$1005:$AU$1005,1,MATCH(COLUMNS($AD$1006:AK1006),$AD$1006:$AU$1006,0))&gt;=100000), " ",IF(INDEX($AD$2:$AU$1001,MATCH(ROWS($W$2:W911),$W$2:$W$1001,0),MATCH(COLUMNS($AD$1006:AK1006),$AD$1006:$AU$1006,0)), HYPERLINK("#",""), HYPERLINK(CONCATENATE("#metadata!", ADDRESS(INDEX($Y$2:$Y$1001,MATCH(ROWS($W$2:W911),$W$2:$W$1001,0),0), INDEX($AD$1004:$AU$1004,1,MATCH(COLUMNS($AD$1006:AK1006),$AD$1006:$AU$1006,0)))),"Fix")))</f>
        <v xml:space="preserve"> </v>
      </c>
      <c r="J911" s="4" t="str">
        <f ca="1">IF(OR(INDEX($X$2:$X$1001,MATCH(ROWS($W$2:W911),$W$2:$W$1001,0),1)&gt;=100000,INDEX($AD$1005:$AU$1005,1,MATCH(COLUMNS($AD$1006:AL1006),$AD$1006:$AU$1006,0))&gt;=100000), " ",IF(INDEX($AD$2:$AU$1001,MATCH(ROWS($W$2:W911),$W$2:$W$1001,0),MATCH(COLUMNS($AD$1006:AL1006),$AD$1006:$AU$1006,0)), HYPERLINK("#",""), HYPERLINK(CONCATENATE("#metadata!", ADDRESS(INDEX($Y$2:$Y$1001,MATCH(ROWS($W$2:W911),$W$2:$W$1001,0),0), INDEX($AD$1004:$AU$1004,1,MATCH(COLUMNS($AD$1006:AL1006),$AD$1006:$AU$1006,0)))),"Fix")))</f>
        <v xml:space="preserve"> </v>
      </c>
      <c r="K911" s="4" t="str">
        <f ca="1">IF(OR(INDEX($X$2:$X$1001,MATCH(ROWS($W$2:W911),$W$2:$W$1001,0),1)&gt;=100000,INDEX($AD$1005:$AU$1005,1,MATCH(COLUMNS($AD$1006:AM1006),$AD$1006:$AU$1006,0))&gt;=100000), " ",IF(INDEX($AD$2:$AU$1001,MATCH(ROWS($W$2:W911),$W$2:$W$1001,0),MATCH(COLUMNS($AD$1006:AM1006),$AD$1006:$AU$1006,0)), HYPERLINK("#",""), HYPERLINK(CONCATENATE("#metadata!", ADDRESS(INDEX($Y$2:$Y$1001,MATCH(ROWS($W$2:W911),$W$2:$W$1001,0),0), INDEX($AD$1004:$AU$1004,1,MATCH(COLUMNS($AD$1006:AM1006),$AD$1006:$AU$1006,0)))),"Fix")))</f>
        <v xml:space="preserve"> </v>
      </c>
      <c r="L911" s="4" t="str">
        <f ca="1">IF(OR(INDEX($X$2:$X$1001,MATCH(ROWS($W$2:W911),$W$2:$W$1001,0),1)&gt;=100000,INDEX($AD$1005:$AU$1005,1,MATCH(COLUMNS($AD$1006:AN1006),$AD$1006:$AU$1006,0))&gt;=100000), " ",IF(INDEX($AD$2:$AU$1001,MATCH(ROWS($W$2:W911),$W$2:$W$1001,0),MATCH(COLUMNS($AD$1006:AN1006),$AD$1006:$AU$1006,0)), HYPERLINK("#",""), HYPERLINK(CONCATENATE("#metadata!", ADDRESS(INDEX($Y$2:$Y$1001,MATCH(ROWS($W$2:W911),$W$2:$W$1001,0),0), INDEX($AD$1004:$AU$1004,1,MATCH(COLUMNS($AD$1006:AN1006),$AD$1006:$AU$1006,0)))),"Fix")))</f>
        <v xml:space="preserve"> </v>
      </c>
      <c r="M911" s="4" t="str">
        <f ca="1">IF(OR(INDEX($X$2:$X$1001,MATCH(ROWS($W$2:W911),$W$2:$W$1001,0),1)&gt;=100000,INDEX($AD$1005:$AU$1005,1,MATCH(COLUMNS($AD$1006:AO1006),$AD$1006:$AU$1006,0))&gt;=100000), " ",IF(INDEX($AD$2:$AU$1001,MATCH(ROWS($W$2:W911),$W$2:$W$1001,0),MATCH(COLUMNS($AD$1006:AO1006),$AD$1006:$AU$1006,0)), HYPERLINK("#",""), HYPERLINK(CONCATENATE("#metadata!", ADDRESS(INDEX($Y$2:$Y$1001,MATCH(ROWS($W$2:W911),$W$2:$W$1001,0),0), INDEX($AD$1004:$AU$1004,1,MATCH(COLUMNS($AD$1006:AO1006),$AD$1006:$AU$1006,0)))),"Fix")))</f>
        <v xml:space="preserve"> </v>
      </c>
      <c r="N911" s="4" t="str">
        <f ca="1">IF(OR(INDEX($X$2:$X$1001,MATCH(ROWS($W$2:W911),$W$2:$W$1001,0),1)&gt;=100000,INDEX($AD$1005:$AU$1005,1,MATCH(COLUMNS($AD$1006:AP1006),$AD$1006:$AU$1006,0))&gt;=100000), " ",IF(INDEX($AD$2:$AU$1001,MATCH(ROWS($W$2:W911),$W$2:$W$1001,0),MATCH(COLUMNS($AD$1006:AP1006),$AD$1006:$AU$1006,0)), HYPERLINK("#",""), HYPERLINK(CONCATENATE("#metadata!", ADDRESS(INDEX($Y$2:$Y$1001,MATCH(ROWS($W$2:W911),$W$2:$W$1001,0),0), INDEX($AD$1004:$AU$1004,1,MATCH(COLUMNS($AD$1006:AP1006),$AD$1006:$AU$1006,0)))),"Fix")))</f>
        <v xml:space="preserve"> </v>
      </c>
      <c r="O911" s="4" t="str">
        <f ca="1">IF(OR(INDEX($X$2:$X$1001,MATCH(ROWS($W$2:W911),$W$2:$W$1001,0),1)&gt;=100000,INDEX($AD$1005:$AU$1005,1,MATCH(COLUMNS($AD$1006:AQ1006),$AD$1006:$AU$1006,0))&gt;=100000), " ",IF(INDEX($AD$2:$AU$1001,MATCH(ROWS($W$2:W911),$W$2:$W$1001,0),MATCH(COLUMNS($AD$1006:AQ1006),$AD$1006:$AU$1006,0)), HYPERLINK("#",""), HYPERLINK(CONCATENATE("#metadata!", ADDRESS(INDEX($Y$2:$Y$1001,MATCH(ROWS($W$2:W911),$W$2:$W$1001,0),0), INDEX($AD$1004:$AU$1004,1,MATCH(COLUMNS($AD$1006:AQ1006),$AD$1006:$AU$1006,0)))),"Fix")))</f>
        <v xml:space="preserve"> </v>
      </c>
      <c r="P911" s="4" t="str">
        <f ca="1">IF(OR(INDEX($X$2:$X$1001,MATCH(ROWS($W$2:W911),$W$2:$W$1001,0),1)&gt;=100000,INDEX($AD$1005:$AU$1005,1,MATCH(COLUMNS($AD$1006:AR1006),$AD$1006:$AU$1006,0))&gt;=100000), " ",IF(INDEX($AD$2:$AU$1001,MATCH(ROWS($W$2:W911),$W$2:$W$1001,0),MATCH(COLUMNS($AD$1006:AR1006),$AD$1006:$AU$1006,0)), HYPERLINK("#",""), HYPERLINK(CONCATENATE("#metadata!", ADDRESS(INDEX($Y$2:$Y$1001,MATCH(ROWS($W$2:W911),$W$2:$W$1001,0),0), INDEX($AD$1004:$AU$1004,1,MATCH(COLUMNS($AD$1006:AR1006),$AD$1006:$AU$1006,0)))),"Fix")))</f>
        <v xml:space="preserve"> </v>
      </c>
      <c r="Q911" s="4" t="str">
        <f ca="1">IF(OR(INDEX($X$2:$X$1001,MATCH(ROWS($W$2:W911),$W$2:$W$1001,0),1)&gt;=100000,INDEX($AD$1005:$AU$1005,1,MATCH(COLUMNS($AD$1006:AS1006),$AD$1006:$AU$1006,0))&gt;=100000), " ",IF(INDEX($AD$2:$AU$1001,MATCH(ROWS($W$2:W911),$W$2:$W$1001,0),MATCH(COLUMNS($AD$1006:AS1006),$AD$1006:$AU$1006,0)), HYPERLINK("#",""), HYPERLINK(CONCATENATE("#metadata!", ADDRESS(INDEX($Y$2:$Y$1001,MATCH(ROWS($W$2:W911),$W$2:$W$1001,0),0), INDEX($AD$1004:$AU$1004,1,MATCH(COLUMNS($AD$1006:AS1006),$AD$1006:$AU$1006,0)))),"Fix")))</f>
        <v xml:space="preserve"> </v>
      </c>
      <c r="R911" s="4" t="str">
        <f ca="1">IF(OR(INDEX($X$2:$X$1001,MATCH(ROWS($W$2:W911),$W$2:$W$1001,0),1)&gt;=100000,INDEX($AD$1005:$AU$1005,1,MATCH(COLUMNS($AD$1006:AT1006),$AD$1006:$AU$1006,0))&gt;=100000), " ",IF(INDEX($AD$2:$AU$1001,MATCH(ROWS($W$2:W911),$W$2:$W$1001,0),MATCH(COLUMNS($AD$1006:AT1006),$AD$1006:$AU$1006,0)), HYPERLINK("#",""), HYPERLINK(CONCATENATE("#metadata!", ADDRESS(INDEX($Y$2:$Y$1001,MATCH(ROWS($W$2:W911),$W$2:$W$1001,0),0), INDEX($AD$1004:$AU$1004,1,MATCH(COLUMNS($AD$1006:AT1006),$AD$1006:$AU$1006,0)))),"Fix")))</f>
        <v xml:space="preserve"> </v>
      </c>
      <c r="S911" s="4" t="str">
        <f ca="1">IF(OR(INDEX($X$2:$X$1001,MATCH(ROWS($W$2:W911),$W$2:$W$1001,0),1)&gt;=100000,INDEX($AD$1005:$AU$1005,1,MATCH(COLUMNS($AD$1006:AU1006),$AD$1006:$AU$1006,0))&gt;=100000), " ",IF(INDEX($AD$2:$AU$1001,MATCH(ROWS($W$2:W911),$W$2:$W$1001,0),MATCH(COLUMNS($AD$1006:AU1006),$AD$1006:$AU$1006,0)), HYPERLINK("#",""), HYPERLINK(CONCATENATE("#metadata!", ADDRESS(INDEX($Y$2:$Y$1001,MATCH(ROWS($W$2:W911),$W$2:$W$1001,0),0), INDEX($AD$1004:$AU$1004,1,MATCH(COLUMNS($AD$1006:AU1006),$AD$1006:$AU$1006,0)))),"Fix")))</f>
        <v xml:space="preserve"> </v>
      </c>
      <c r="W911">
        <v>910</v>
      </c>
      <c r="X911">
        <v>100911</v>
      </c>
      <c r="Y911">
        <v>911</v>
      </c>
      <c r="Z911" t="b">
        <f t="shared" si="14"/>
        <v>1</v>
      </c>
      <c r="AA911" t="b">
        <f>COUNTBLANK(metadata!B911:S911)=COLUMNS(metadata!B911:S911)</f>
        <v>1</v>
      </c>
      <c r="AB911" t="str">
        <v/>
      </c>
      <c r="AD911" t="b">
        <f ca="1">AND(IF(metadata!B911="",FALSE,TRUE),COUNTIF(metadata!B:B, metadata!B911) = 1,NOT(ISERROR(SUMPRODUCT(SEARCH(MID(metadata!B911,ROW(INDIRECT("1:"&amp;LEN(metadata!B911))), 1),"0123456789abcdefghijklmnopqrstuvwxyzABCDEFGHIJKLMNOPQRSTUVWXYZ.")))))</f>
        <v>0</v>
      </c>
      <c r="AE911" t="b">
        <f>OR(AND(IF(metadata!C911="",FALSE,TRUE),OR(EXACT(metadata!C911,"not applicable"),EXACT(metadata!C911,"missing: not collected"),EXACT(metadata!C911,"missing: not provided"),EXACT(metadata!C911,"missing: restricted access"))),AND(IF(metadata!C911="",FALSE,ISNUMBER(VALUE(metadata!C911))),metadata!C911&gt;0))</f>
        <v>0</v>
      </c>
      <c r="AF911" t="b">
        <f>AND(IF(metadata!D911="",FALSE,TRUE),EXACT(metadata!D911,"missing: not provided"))</f>
        <v>0</v>
      </c>
      <c r="AG911" t="b">
        <f>AND(IF(metadata!E911="",FALSE,TRUE),EXACT(metadata!E911,"Host-associated"))</f>
        <v>0</v>
      </c>
      <c r="AH911" t="b">
        <f>AND(IF(metadata!F911="",FALSE,TRUE),OR(EXACT(metadata!F911,"Animal"),EXACT(metadata!F911,"Fungus"),EXACT(metadata!F911,"Plant")))</f>
        <v>0</v>
      </c>
      <c r="AI911" t="b">
        <f>AND(IF(metadata!G911="",FALSE,TRUE),OR(EXACT(metadata!G911,"Plant secretion"),EXACT(metadata!G911,"Plant rhizosphere"),EXACT(metadata!G911,"Plant surface"),EXACT(metadata!G911,"Plant corpus"),EXACT(metadata!G911,"Fungus surface"),EXACT(metadata!G911,"Fungus corpus"),EXACT(metadata!G911,"Animal surface"),EXACT(metadata!G911,"Animal proximal gut"),EXACT(metadata!G911,"Animal corpus"),EXACT(metadata!G911,"Animal distal gut"),EXACT(metadata!G911,"Animal secretion")))</f>
        <v>0</v>
      </c>
      <c r="AJ911" t="b">
        <f>OR(AND(IF(metadata!H911="",FALSE,TRUE),OR(EXACT(metadata!H911,"missing: not collected"),EXACT(metadata!H911,"missing: not provided"),EXACT(metadata!H911,"missing: restricted access"))),AND(IF(metadata!H911="",FALSE,TRUE),OR(EXACT(metadata!H911,"organism-associated habitat"),EXACT(metadata!H911,"plant-associated habitat"),EXACT(metadata!H911,"animal-associated habitat"),EXACT(metadata!H911,"insecta-associated habitat"),EXACT(metadata!H911,"mammalia-associated habitat"),EXACT(metadata!H911,"human-associated habitat"),EXACT(metadata!H911,"livestock-associated habitat"))))</f>
        <v>0</v>
      </c>
      <c r="AK911" t="b">
        <f>AND(IF(metadata!I911="",FALSE,TRUE),EXACT(metadata!I911,"host-associated"))</f>
        <v>0</v>
      </c>
      <c r="AL911" t="b">
        <f>OR(AND(IF(metadata!J911="",FALSE,TRUE),OR(EXACT(metadata!J911,"not applicable"),EXACT(metadata!J911,"missing: not collected"),EXACT(metadata!J911,"missing: not provided"),EXACT(metadata!J911,"missing: restricted access"))),AND(IF(metadata!J911="",FALSE,ISNUMBER(VALUE(metadata!J911))),metadata!J911&gt;0))</f>
        <v>0</v>
      </c>
      <c r="AM911" t="b">
        <f>AND(IF(metadata!K911="",FALSE,TRUE),EXACT(metadata!K911,"missing: not provided"))</f>
        <v>0</v>
      </c>
      <c r="AN911" t="b">
        <f>IF(metadata!L911="",FALSE,TRUE)</f>
        <v>0</v>
      </c>
      <c r="AO911" t="b">
        <f>IF(metadata!M911="",FALSE,TRUE)</f>
        <v>0</v>
      </c>
      <c r="AP911" t="b">
        <f>OR(AND(IF(metadata!N911="",FALSE,TRUE),OR(EXACT(metadata!N911,"not applicable"),EXACT(metadata!N911,"missing: not collected"),EXACT(metadata!N911,"missing: not provided"))),AND(IF(metadata!N911="",FALSE,IF(ISERROR(INT(metadata!N911)),FALSE,INT(metadata!N911)=metadata!N911)),metadata!N911&gt;0))</f>
        <v>0</v>
      </c>
      <c r="AQ911" t="b">
        <f>AND(IF(metadata!O911="",FALSE,TRUE),EXACT(metadata!O911,"Not applicable"))</f>
        <v>0</v>
      </c>
      <c r="AR911" t="b">
        <f>OR(AND(IF(metadata!P911="",FALSE,TRUE),OR(EXACT(metadata!P911,"not applicable"),EXACT(metadata!P911,"missing: not collected"),EXACT(metadata!P911,"missing: not provided"),EXACT(metadata!P911,"missing: restricted access"))),IF(metadata!P911="",FALSE,IF(ISERROR(INT(metadata!P911)),FALSE,INT(metadata!P911)=metadata!P911)))</f>
        <v>0</v>
      </c>
      <c r="AS911" t="b">
        <f>AND(IF(metadata!Q911="",FALSE,TRUE),EXACT(metadata!Q911,"Not applicable"))</f>
        <v>0</v>
      </c>
      <c r="AT911" t="b">
        <f>OR(AND(IF(metadata!R911="",FALSE,TRUE),OR(EXACT(metadata!R911,"not applicable"),EXACT(metadata!R911,"missing: not collected"),EXACT(metadata!R911,"missing: not provided"),EXACT(metadata!R911,"missing: restricted access"))),AND(IF(metadata!R911="",FALSE,ISNUMBER(VALUE(metadata!R911))),metadata!R911&gt;0))</f>
        <v>0</v>
      </c>
      <c r="AU911" t="b">
        <f>AND(IF(metadata!S911="",FALSE,TRUE),EXACT(metadata!S911,"missing: not provided"))</f>
        <v>0</v>
      </c>
    </row>
    <row r="912" spans="1:47" x14ac:dyDescent="0.2">
      <c r="A912" s="5" t="str">
        <f ca="1">IF(B912=" "," ",HYPERLINK(CONCATENATE("#metadata!",ADDRESS(INDEX($Y$2:$Y$1001,MATCH(ROWS($W$2:W912),$W$2:$W$1001,0),0),1)),INDEX($AB$2:$AB$1001,MATCH(ROWS($W$2:W912),$W$2:$W$1001,0),0)))</f>
        <v xml:space="preserve"> </v>
      </c>
      <c r="B912" s="4" t="str">
        <f ca="1">IF(OR(INDEX($X$2:$X$1001,MATCH(ROWS($W$2:W912),$W$2:$W$1001,0),1)&gt;=100000,INDEX($AD$1005:$AU$1005,1,MATCH(COLUMNS($AD$1006:AD1006),$AD$1006:$AU$1006,0))&gt;=100000), " ",IF(INDEX($AD$2:$AU$1001,MATCH(ROWS($W$2:W912),$W$2:$W$1001,0),MATCH(COLUMNS($AD$1006:AD1006),$AD$1006:$AU$1006,0)), HYPERLINK("#",""), HYPERLINK(CONCATENATE("#metadata!", ADDRESS(INDEX($Y$2:$Y$1001,MATCH(ROWS($W$2:W912),$W$2:$W$1001,0),0), INDEX($AD$1004:$AU$1004,1,MATCH(COLUMNS($AD$1006:AD1006),$AD$1006:$AU$1006,0)))),"Fix")))</f>
        <v xml:space="preserve"> </v>
      </c>
      <c r="C912" s="4" t="str">
        <f ca="1">IF(OR(INDEX($X$2:$X$1001,MATCH(ROWS($W$2:W912),$W$2:$W$1001,0),1)&gt;=100000,INDEX($AD$1005:$AU$1005,1,MATCH(COLUMNS($AD$1006:AE1006),$AD$1006:$AU$1006,0))&gt;=100000), " ",IF(INDEX($AD$2:$AU$1001,MATCH(ROWS($W$2:W912),$W$2:$W$1001,0),MATCH(COLUMNS($AD$1006:AE1006),$AD$1006:$AU$1006,0)), HYPERLINK("#",""), HYPERLINK(CONCATENATE("#metadata!", ADDRESS(INDEX($Y$2:$Y$1001,MATCH(ROWS($W$2:W912),$W$2:$W$1001,0),0), INDEX($AD$1004:$AU$1004,1,MATCH(COLUMNS($AD$1006:AE1006),$AD$1006:$AU$1006,0)))),"Fix")))</f>
        <v xml:space="preserve"> </v>
      </c>
      <c r="D912" s="4" t="str">
        <f ca="1">IF(OR(INDEX($X$2:$X$1001,MATCH(ROWS($W$2:W912),$W$2:$W$1001,0),1)&gt;=100000,INDEX($AD$1005:$AU$1005,1,MATCH(COLUMNS($AD$1006:AF1006),$AD$1006:$AU$1006,0))&gt;=100000), " ",IF(INDEX($AD$2:$AU$1001,MATCH(ROWS($W$2:W912),$W$2:$W$1001,0),MATCH(COLUMNS($AD$1006:AF1006),$AD$1006:$AU$1006,0)), HYPERLINK("#",""), HYPERLINK(CONCATENATE("#metadata!", ADDRESS(INDEX($Y$2:$Y$1001,MATCH(ROWS($W$2:W912),$W$2:$W$1001,0),0), INDEX($AD$1004:$AU$1004,1,MATCH(COLUMNS($AD$1006:AF1006),$AD$1006:$AU$1006,0)))),"Fix")))</f>
        <v xml:space="preserve"> </v>
      </c>
      <c r="E912" s="4" t="str">
        <f ca="1">IF(OR(INDEX($X$2:$X$1001,MATCH(ROWS($W$2:W912),$W$2:$W$1001,0),1)&gt;=100000,INDEX($AD$1005:$AU$1005,1,MATCH(COLUMNS($AD$1006:AG1006),$AD$1006:$AU$1006,0))&gt;=100000), " ",IF(INDEX($AD$2:$AU$1001,MATCH(ROWS($W$2:W912),$W$2:$W$1001,0),MATCH(COLUMNS($AD$1006:AG1006),$AD$1006:$AU$1006,0)), HYPERLINK("#",""), HYPERLINK(CONCATENATE("#metadata!", ADDRESS(INDEX($Y$2:$Y$1001,MATCH(ROWS($W$2:W912),$W$2:$W$1001,0),0), INDEX($AD$1004:$AU$1004,1,MATCH(COLUMNS($AD$1006:AG1006),$AD$1006:$AU$1006,0)))),"Fix")))</f>
        <v xml:space="preserve"> </v>
      </c>
      <c r="F912" s="4" t="str">
        <f ca="1">IF(OR(INDEX($X$2:$X$1001,MATCH(ROWS($W$2:W912),$W$2:$W$1001,0),1)&gt;=100000,INDEX($AD$1005:$AU$1005,1,MATCH(COLUMNS($AD$1006:AH1006),$AD$1006:$AU$1006,0))&gt;=100000), " ",IF(INDEX($AD$2:$AU$1001,MATCH(ROWS($W$2:W912),$W$2:$W$1001,0),MATCH(COLUMNS($AD$1006:AH1006),$AD$1006:$AU$1006,0)), HYPERLINK("#",""), HYPERLINK(CONCATENATE("#metadata!", ADDRESS(INDEX($Y$2:$Y$1001,MATCH(ROWS($W$2:W912),$W$2:$W$1001,0),0), INDEX($AD$1004:$AU$1004,1,MATCH(COLUMNS($AD$1006:AH1006),$AD$1006:$AU$1006,0)))),"Fix")))</f>
        <v xml:space="preserve"> </v>
      </c>
      <c r="G912" s="4" t="str">
        <f ca="1">IF(OR(INDEX($X$2:$X$1001,MATCH(ROWS($W$2:W912),$W$2:$W$1001,0),1)&gt;=100000,INDEX($AD$1005:$AU$1005,1,MATCH(COLUMNS($AD$1006:AI1006),$AD$1006:$AU$1006,0))&gt;=100000), " ",IF(INDEX($AD$2:$AU$1001,MATCH(ROWS($W$2:W912),$W$2:$W$1001,0),MATCH(COLUMNS($AD$1006:AI1006),$AD$1006:$AU$1006,0)), HYPERLINK("#",""), HYPERLINK(CONCATENATE("#metadata!", ADDRESS(INDEX($Y$2:$Y$1001,MATCH(ROWS($W$2:W912),$W$2:$W$1001,0),0), INDEX($AD$1004:$AU$1004,1,MATCH(COLUMNS($AD$1006:AI1006),$AD$1006:$AU$1006,0)))),"Fix")))</f>
        <v xml:space="preserve"> </v>
      </c>
      <c r="H912" s="4" t="str">
        <f ca="1">IF(OR(INDEX($X$2:$X$1001,MATCH(ROWS($W$2:W912),$W$2:$W$1001,0),1)&gt;=100000,INDEX($AD$1005:$AU$1005,1,MATCH(COLUMNS($AD$1006:AJ1006),$AD$1006:$AU$1006,0))&gt;=100000), " ",IF(INDEX($AD$2:$AU$1001,MATCH(ROWS($W$2:W912),$W$2:$W$1001,0),MATCH(COLUMNS($AD$1006:AJ1006),$AD$1006:$AU$1006,0)), HYPERLINK("#",""), HYPERLINK(CONCATENATE("#metadata!", ADDRESS(INDEX($Y$2:$Y$1001,MATCH(ROWS($W$2:W912),$W$2:$W$1001,0),0), INDEX($AD$1004:$AU$1004,1,MATCH(COLUMNS($AD$1006:AJ1006),$AD$1006:$AU$1006,0)))),"Fix")))</f>
        <v xml:space="preserve"> </v>
      </c>
      <c r="I912" s="4" t="str">
        <f ca="1">IF(OR(INDEX($X$2:$X$1001,MATCH(ROWS($W$2:W912),$W$2:$W$1001,0),1)&gt;=100000,INDEX($AD$1005:$AU$1005,1,MATCH(COLUMNS($AD$1006:AK1006),$AD$1006:$AU$1006,0))&gt;=100000), " ",IF(INDEX($AD$2:$AU$1001,MATCH(ROWS($W$2:W912),$W$2:$W$1001,0),MATCH(COLUMNS($AD$1006:AK1006),$AD$1006:$AU$1006,0)), HYPERLINK("#",""), HYPERLINK(CONCATENATE("#metadata!", ADDRESS(INDEX($Y$2:$Y$1001,MATCH(ROWS($W$2:W912),$W$2:$W$1001,0),0), INDEX($AD$1004:$AU$1004,1,MATCH(COLUMNS($AD$1006:AK1006),$AD$1006:$AU$1006,0)))),"Fix")))</f>
        <v xml:space="preserve"> </v>
      </c>
      <c r="J912" s="4" t="str">
        <f ca="1">IF(OR(INDEX($X$2:$X$1001,MATCH(ROWS($W$2:W912),$W$2:$W$1001,0),1)&gt;=100000,INDEX($AD$1005:$AU$1005,1,MATCH(COLUMNS($AD$1006:AL1006),$AD$1006:$AU$1006,0))&gt;=100000), " ",IF(INDEX($AD$2:$AU$1001,MATCH(ROWS($W$2:W912),$W$2:$W$1001,0),MATCH(COLUMNS($AD$1006:AL1006),$AD$1006:$AU$1006,0)), HYPERLINK("#",""), HYPERLINK(CONCATENATE("#metadata!", ADDRESS(INDEX($Y$2:$Y$1001,MATCH(ROWS($W$2:W912),$W$2:$W$1001,0),0), INDEX($AD$1004:$AU$1004,1,MATCH(COLUMNS($AD$1006:AL1006),$AD$1006:$AU$1006,0)))),"Fix")))</f>
        <v xml:space="preserve"> </v>
      </c>
      <c r="K912" s="4" t="str">
        <f ca="1">IF(OR(INDEX($X$2:$X$1001,MATCH(ROWS($W$2:W912),$W$2:$W$1001,0),1)&gt;=100000,INDEX($AD$1005:$AU$1005,1,MATCH(COLUMNS($AD$1006:AM1006),$AD$1006:$AU$1006,0))&gt;=100000), " ",IF(INDEX($AD$2:$AU$1001,MATCH(ROWS($W$2:W912),$W$2:$W$1001,0),MATCH(COLUMNS($AD$1006:AM1006),$AD$1006:$AU$1006,0)), HYPERLINK("#",""), HYPERLINK(CONCATENATE("#metadata!", ADDRESS(INDEX($Y$2:$Y$1001,MATCH(ROWS($W$2:W912),$W$2:$W$1001,0),0), INDEX($AD$1004:$AU$1004,1,MATCH(COLUMNS($AD$1006:AM1006),$AD$1006:$AU$1006,0)))),"Fix")))</f>
        <v xml:space="preserve"> </v>
      </c>
      <c r="L912" s="4" t="str">
        <f ca="1">IF(OR(INDEX($X$2:$X$1001,MATCH(ROWS($W$2:W912),$W$2:$W$1001,0),1)&gt;=100000,INDEX($AD$1005:$AU$1005,1,MATCH(COLUMNS($AD$1006:AN1006),$AD$1006:$AU$1006,0))&gt;=100000), " ",IF(INDEX($AD$2:$AU$1001,MATCH(ROWS($W$2:W912),$W$2:$W$1001,0),MATCH(COLUMNS($AD$1006:AN1006),$AD$1006:$AU$1006,0)), HYPERLINK("#",""), HYPERLINK(CONCATENATE("#metadata!", ADDRESS(INDEX($Y$2:$Y$1001,MATCH(ROWS($W$2:W912),$W$2:$W$1001,0),0), INDEX($AD$1004:$AU$1004,1,MATCH(COLUMNS($AD$1006:AN1006),$AD$1006:$AU$1006,0)))),"Fix")))</f>
        <v xml:space="preserve"> </v>
      </c>
      <c r="M912" s="4" t="str">
        <f ca="1">IF(OR(INDEX($X$2:$X$1001,MATCH(ROWS($W$2:W912),$W$2:$W$1001,0),1)&gt;=100000,INDEX($AD$1005:$AU$1005,1,MATCH(COLUMNS($AD$1006:AO1006),$AD$1006:$AU$1006,0))&gt;=100000), " ",IF(INDEX($AD$2:$AU$1001,MATCH(ROWS($W$2:W912),$W$2:$W$1001,0),MATCH(COLUMNS($AD$1006:AO1006),$AD$1006:$AU$1006,0)), HYPERLINK("#",""), HYPERLINK(CONCATENATE("#metadata!", ADDRESS(INDEX($Y$2:$Y$1001,MATCH(ROWS($W$2:W912),$W$2:$W$1001,0),0), INDEX($AD$1004:$AU$1004,1,MATCH(COLUMNS($AD$1006:AO1006),$AD$1006:$AU$1006,0)))),"Fix")))</f>
        <v xml:space="preserve"> </v>
      </c>
      <c r="N912" s="4" t="str">
        <f ca="1">IF(OR(INDEX($X$2:$X$1001,MATCH(ROWS($W$2:W912),$W$2:$W$1001,0),1)&gt;=100000,INDEX($AD$1005:$AU$1005,1,MATCH(COLUMNS($AD$1006:AP1006),$AD$1006:$AU$1006,0))&gt;=100000), " ",IF(INDEX($AD$2:$AU$1001,MATCH(ROWS($W$2:W912),$W$2:$W$1001,0),MATCH(COLUMNS($AD$1006:AP1006),$AD$1006:$AU$1006,0)), HYPERLINK("#",""), HYPERLINK(CONCATENATE("#metadata!", ADDRESS(INDEX($Y$2:$Y$1001,MATCH(ROWS($W$2:W912),$W$2:$W$1001,0),0), INDEX($AD$1004:$AU$1004,1,MATCH(COLUMNS($AD$1006:AP1006),$AD$1006:$AU$1006,0)))),"Fix")))</f>
        <v xml:space="preserve"> </v>
      </c>
      <c r="O912" s="4" t="str">
        <f ca="1">IF(OR(INDEX($X$2:$X$1001,MATCH(ROWS($W$2:W912),$W$2:$W$1001,0),1)&gt;=100000,INDEX($AD$1005:$AU$1005,1,MATCH(COLUMNS($AD$1006:AQ1006),$AD$1006:$AU$1006,0))&gt;=100000), " ",IF(INDEX($AD$2:$AU$1001,MATCH(ROWS($W$2:W912),$W$2:$W$1001,0),MATCH(COLUMNS($AD$1006:AQ1006),$AD$1006:$AU$1006,0)), HYPERLINK("#",""), HYPERLINK(CONCATENATE("#metadata!", ADDRESS(INDEX($Y$2:$Y$1001,MATCH(ROWS($W$2:W912),$W$2:$W$1001,0),0), INDEX($AD$1004:$AU$1004,1,MATCH(COLUMNS($AD$1006:AQ1006),$AD$1006:$AU$1006,0)))),"Fix")))</f>
        <v xml:space="preserve"> </v>
      </c>
      <c r="P912" s="4" t="str">
        <f ca="1">IF(OR(INDEX($X$2:$X$1001,MATCH(ROWS($W$2:W912),$W$2:$W$1001,0),1)&gt;=100000,INDEX($AD$1005:$AU$1005,1,MATCH(COLUMNS($AD$1006:AR1006),$AD$1006:$AU$1006,0))&gt;=100000), " ",IF(INDEX($AD$2:$AU$1001,MATCH(ROWS($W$2:W912),$W$2:$W$1001,0),MATCH(COLUMNS($AD$1006:AR1006),$AD$1006:$AU$1006,0)), HYPERLINK("#",""), HYPERLINK(CONCATENATE("#metadata!", ADDRESS(INDEX($Y$2:$Y$1001,MATCH(ROWS($W$2:W912),$W$2:$W$1001,0),0), INDEX($AD$1004:$AU$1004,1,MATCH(COLUMNS($AD$1006:AR1006),$AD$1006:$AU$1006,0)))),"Fix")))</f>
        <v xml:space="preserve"> </v>
      </c>
      <c r="Q912" s="4" t="str">
        <f ca="1">IF(OR(INDEX($X$2:$X$1001,MATCH(ROWS($W$2:W912),$W$2:$W$1001,0),1)&gt;=100000,INDEX($AD$1005:$AU$1005,1,MATCH(COLUMNS($AD$1006:AS1006),$AD$1006:$AU$1006,0))&gt;=100000), " ",IF(INDEX($AD$2:$AU$1001,MATCH(ROWS($W$2:W912),$W$2:$W$1001,0),MATCH(COLUMNS($AD$1006:AS1006),$AD$1006:$AU$1006,0)), HYPERLINK("#",""), HYPERLINK(CONCATENATE("#metadata!", ADDRESS(INDEX($Y$2:$Y$1001,MATCH(ROWS($W$2:W912),$W$2:$W$1001,0),0), INDEX($AD$1004:$AU$1004,1,MATCH(COLUMNS($AD$1006:AS1006),$AD$1006:$AU$1006,0)))),"Fix")))</f>
        <v xml:space="preserve"> </v>
      </c>
      <c r="R912" s="4" t="str">
        <f ca="1">IF(OR(INDEX($X$2:$X$1001,MATCH(ROWS($W$2:W912),$W$2:$W$1001,0),1)&gt;=100000,INDEX($AD$1005:$AU$1005,1,MATCH(COLUMNS($AD$1006:AT1006),$AD$1006:$AU$1006,0))&gt;=100000), " ",IF(INDEX($AD$2:$AU$1001,MATCH(ROWS($W$2:W912),$W$2:$W$1001,0),MATCH(COLUMNS($AD$1006:AT1006),$AD$1006:$AU$1006,0)), HYPERLINK("#",""), HYPERLINK(CONCATENATE("#metadata!", ADDRESS(INDEX($Y$2:$Y$1001,MATCH(ROWS($W$2:W912),$W$2:$W$1001,0),0), INDEX($AD$1004:$AU$1004,1,MATCH(COLUMNS($AD$1006:AT1006),$AD$1006:$AU$1006,0)))),"Fix")))</f>
        <v xml:space="preserve"> </v>
      </c>
      <c r="S912" s="4" t="str">
        <f ca="1">IF(OR(INDEX($X$2:$X$1001,MATCH(ROWS($W$2:W912),$W$2:$W$1001,0),1)&gt;=100000,INDEX($AD$1005:$AU$1005,1,MATCH(COLUMNS($AD$1006:AU1006),$AD$1006:$AU$1006,0))&gt;=100000), " ",IF(INDEX($AD$2:$AU$1001,MATCH(ROWS($W$2:W912),$W$2:$W$1001,0),MATCH(COLUMNS($AD$1006:AU1006),$AD$1006:$AU$1006,0)), HYPERLINK("#",""), HYPERLINK(CONCATENATE("#metadata!", ADDRESS(INDEX($Y$2:$Y$1001,MATCH(ROWS($W$2:W912),$W$2:$W$1001,0),0), INDEX($AD$1004:$AU$1004,1,MATCH(COLUMNS($AD$1006:AU1006),$AD$1006:$AU$1006,0)))),"Fix")))</f>
        <v xml:space="preserve"> </v>
      </c>
      <c r="W912">
        <v>911</v>
      </c>
      <c r="X912">
        <v>100912</v>
      </c>
      <c r="Y912">
        <v>912</v>
      </c>
      <c r="Z912" t="b">
        <f t="shared" si="14"/>
        <v>1</v>
      </c>
      <c r="AA912" t="b">
        <f>COUNTBLANK(metadata!B912:S912)=COLUMNS(metadata!B912:S912)</f>
        <v>1</v>
      </c>
      <c r="AB912" t="str">
        <v/>
      </c>
      <c r="AD912" t="b">
        <f ca="1">AND(IF(metadata!B912="",FALSE,TRUE),COUNTIF(metadata!B:B, metadata!B912) = 1,NOT(ISERROR(SUMPRODUCT(SEARCH(MID(metadata!B912,ROW(INDIRECT("1:"&amp;LEN(metadata!B912))), 1),"0123456789abcdefghijklmnopqrstuvwxyzABCDEFGHIJKLMNOPQRSTUVWXYZ.")))))</f>
        <v>0</v>
      </c>
      <c r="AE912" t="b">
        <f>OR(AND(IF(metadata!C912="",FALSE,TRUE),OR(EXACT(metadata!C912,"not applicable"),EXACT(metadata!C912,"missing: not collected"),EXACT(metadata!C912,"missing: not provided"),EXACT(metadata!C912,"missing: restricted access"))),AND(IF(metadata!C912="",FALSE,ISNUMBER(VALUE(metadata!C912))),metadata!C912&gt;0))</f>
        <v>0</v>
      </c>
      <c r="AF912" t="b">
        <f>AND(IF(metadata!D912="",FALSE,TRUE),EXACT(metadata!D912,"missing: not provided"))</f>
        <v>0</v>
      </c>
      <c r="AG912" t="b">
        <f>AND(IF(metadata!E912="",FALSE,TRUE),EXACT(metadata!E912,"Host-associated"))</f>
        <v>0</v>
      </c>
      <c r="AH912" t="b">
        <f>AND(IF(metadata!F912="",FALSE,TRUE),OR(EXACT(metadata!F912,"Animal"),EXACT(metadata!F912,"Fungus"),EXACT(metadata!F912,"Plant")))</f>
        <v>0</v>
      </c>
      <c r="AI912" t="b">
        <f>AND(IF(metadata!G912="",FALSE,TRUE),OR(EXACT(metadata!G912,"Plant secretion"),EXACT(metadata!G912,"Plant rhizosphere"),EXACT(metadata!G912,"Plant surface"),EXACT(metadata!G912,"Plant corpus"),EXACT(metadata!G912,"Fungus surface"),EXACT(metadata!G912,"Fungus corpus"),EXACT(metadata!G912,"Animal surface"),EXACT(metadata!G912,"Animal proximal gut"),EXACT(metadata!G912,"Animal corpus"),EXACT(metadata!G912,"Animal distal gut"),EXACT(metadata!G912,"Animal secretion")))</f>
        <v>0</v>
      </c>
      <c r="AJ912" t="b">
        <f>OR(AND(IF(metadata!H912="",FALSE,TRUE),OR(EXACT(metadata!H912,"missing: not collected"),EXACT(metadata!H912,"missing: not provided"),EXACT(metadata!H912,"missing: restricted access"))),AND(IF(metadata!H912="",FALSE,TRUE),OR(EXACT(metadata!H912,"organism-associated habitat"),EXACT(metadata!H912,"plant-associated habitat"),EXACT(metadata!H912,"animal-associated habitat"),EXACT(metadata!H912,"insecta-associated habitat"),EXACT(metadata!H912,"mammalia-associated habitat"),EXACT(metadata!H912,"human-associated habitat"),EXACT(metadata!H912,"livestock-associated habitat"))))</f>
        <v>0</v>
      </c>
      <c r="AK912" t="b">
        <f>AND(IF(metadata!I912="",FALSE,TRUE),EXACT(metadata!I912,"host-associated"))</f>
        <v>0</v>
      </c>
      <c r="AL912" t="b">
        <f>OR(AND(IF(metadata!J912="",FALSE,TRUE),OR(EXACT(metadata!J912,"not applicable"),EXACT(metadata!J912,"missing: not collected"),EXACT(metadata!J912,"missing: not provided"),EXACT(metadata!J912,"missing: restricted access"))),AND(IF(metadata!J912="",FALSE,ISNUMBER(VALUE(metadata!J912))),metadata!J912&gt;0))</f>
        <v>0</v>
      </c>
      <c r="AM912" t="b">
        <f>AND(IF(metadata!K912="",FALSE,TRUE),EXACT(metadata!K912,"missing: not provided"))</f>
        <v>0</v>
      </c>
      <c r="AN912" t="b">
        <f>IF(metadata!L912="",FALSE,TRUE)</f>
        <v>0</v>
      </c>
      <c r="AO912" t="b">
        <f>IF(metadata!M912="",FALSE,TRUE)</f>
        <v>0</v>
      </c>
      <c r="AP912" t="b">
        <f>OR(AND(IF(metadata!N912="",FALSE,TRUE),OR(EXACT(metadata!N912,"not applicable"),EXACT(metadata!N912,"missing: not collected"),EXACT(metadata!N912,"missing: not provided"))),AND(IF(metadata!N912="",FALSE,IF(ISERROR(INT(metadata!N912)),FALSE,INT(metadata!N912)=metadata!N912)),metadata!N912&gt;0))</f>
        <v>0</v>
      </c>
      <c r="AQ912" t="b">
        <f>AND(IF(metadata!O912="",FALSE,TRUE),EXACT(metadata!O912,"Not applicable"))</f>
        <v>0</v>
      </c>
      <c r="AR912" t="b">
        <f>OR(AND(IF(metadata!P912="",FALSE,TRUE),OR(EXACT(metadata!P912,"not applicable"),EXACT(metadata!P912,"missing: not collected"),EXACT(metadata!P912,"missing: not provided"),EXACT(metadata!P912,"missing: restricted access"))),IF(metadata!P912="",FALSE,IF(ISERROR(INT(metadata!P912)),FALSE,INT(metadata!P912)=metadata!P912)))</f>
        <v>0</v>
      </c>
      <c r="AS912" t="b">
        <f>AND(IF(metadata!Q912="",FALSE,TRUE),EXACT(metadata!Q912,"Not applicable"))</f>
        <v>0</v>
      </c>
      <c r="AT912" t="b">
        <f>OR(AND(IF(metadata!R912="",FALSE,TRUE),OR(EXACT(metadata!R912,"not applicable"),EXACT(metadata!R912,"missing: not collected"),EXACT(metadata!R912,"missing: not provided"),EXACT(metadata!R912,"missing: restricted access"))),AND(IF(metadata!R912="",FALSE,ISNUMBER(VALUE(metadata!R912))),metadata!R912&gt;0))</f>
        <v>0</v>
      </c>
      <c r="AU912" t="b">
        <f>AND(IF(metadata!S912="",FALSE,TRUE),EXACT(metadata!S912,"missing: not provided"))</f>
        <v>0</v>
      </c>
    </row>
    <row r="913" spans="1:47" x14ac:dyDescent="0.2">
      <c r="A913" s="5" t="str">
        <f ca="1">IF(B913=" "," ",HYPERLINK(CONCATENATE("#metadata!",ADDRESS(INDEX($Y$2:$Y$1001,MATCH(ROWS($W$2:W913),$W$2:$W$1001,0),0),1)),INDEX($AB$2:$AB$1001,MATCH(ROWS($W$2:W913),$W$2:$W$1001,0),0)))</f>
        <v xml:space="preserve"> </v>
      </c>
      <c r="B913" s="4" t="str">
        <f ca="1">IF(OR(INDEX($X$2:$X$1001,MATCH(ROWS($W$2:W913),$W$2:$W$1001,0),1)&gt;=100000,INDEX($AD$1005:$AU$1005,1,MATCH(COLUMNS($AD$1006:AD1006),$AD$1006:$AU$1006,0))&gt;=100000), " ",IF(INDEX($AD$2:$AU$1001,MATCH(ROWS($W$2:W913),$W$2:$W$1001,0),MATCH(COLUMNS($AD$1006:AD1006),$AD$1006:$AU$1006,0)), HYPERLINK("#",""), HYPERLINK(CONCATENATE("#metadata!", ADDRESS(INDEX($Y$2:$Y$1001,MATCH(ROWS($W$2:W913),$W$2:$W$1001,0),0), INDEX($AD$1004:$AU$1004,1,MATCH(COLUMNS($AD$1006:AD1006),$AD$1006:$AU$1006,0)))),"Fix")))</f>
        <v xml:space="preserve"> </v>
      </c>
      <c r="C913" s="4" t="str">
        <f ca="1">IF(OR(INDEX($X$2:$X$1001,MATCH(ROWS($W$2:W913),$W$2:$W$1001,0),1)&gt;=100000,INDEX($AD$1005:$AU$1005,1,MATCH(COLUMNS($AD$1006:AE1006),$AD$1006:$AU$1006,0))&gt;=100000), " ",IF(INDEX($AD$2:$AU$1001,MATCH(ROWS($W$2:W913),$W$2:$W$1001,0),MATCH(COLUMNS($AD$1006:AE1006),$AD$1006:$AU$1006,0)), HYPERLINK("#",""), HYPERLINK(CONCATENATE("#metadata!", ADDRESS(INDEX($Y$2:$Y$1001,MATCH(ROWS($W$2:W913),$W$2:$W$1001,0),0), INDEX($AD$1004:$AU$1004,1,MATCH(COLUMNS($AD$1006:AE1006),$AD$1006:$AU$1006,0)))),"Fix")))</f>
        <v xml:space="preserve"> </v>
      </c>
      <c r="D913" s="4" t="str">
        <f ca="1">IF(OR(INDEX($X$2:$X$1001,MATCH(ROWS($W$2:W913),$W$2:$W$1001,0),1)&gt;=100000,INDEX($AD$1005:$AU$1005,1,MATCH(COLUMNS($AD$1006:AF1006),$AD$1006:$AU$1006,0))&gt;=100000), " ",IF(INDEX($AD$2:$AU$1001,MATCH(ROWS($W$2:W913),$W$2:$W$1001,0),MATCH(COLUMNS($AD$1006:AF1006),$AD$1006:$AU$1006,0)), HYPERLINK("#",""), HYPERLINK(CONCATENATE("#metadata!", ADDRESS(INDEX($Y$2:$Y$1001,MATCH(ROWS($W$2:W913),$W$2:$W$1001,0),0), INDEX($AD$1004:$AU$1004,1,MATCH(COLUMNS($AD$1006:AF1006),$AD$1006:$AU$1006,0)))),"Fix")))</f>
        <v xml:space="preserve"> </v>
      </c>
      <c r="E913" s="4" t="str">
        <f ca="1">IF(OR(INDEX($X$2:$X$1001,MATCH(ROWS($W$2:W913),$W$2:$W$1001,0),1)&gt;=100000,INDEX($AD$1005:$AU$1005,1,MATCH(COLUMNS($AD$1006:AG1006),$AD$1006:$AU$1006,0))&gt;=100000), " ",IF(INDEX($AD$2:$AU$1001,MATCH(ROWS($W$2:W913),$W$2:$W$1001,0),MATCH(COLUMNS($AD$1006:AG1006),$AD$1006:$AU$1006,0)), HYPERLINK("#",""), HYPERLINK(CONCATENATE("#metadata!", ADDRESS(INDEX($Y$2:$Y$1001,MATCH(ROWS($W$2:W913),$W$2:$W$1001,0),0), INDEX($AD$1004:$AU$1004,1,MATCH(COLUMNS($AD$1006:AG1006),$AD$1006:$AU$1006,0)))),"Fix")))</f>
        <v xml:space="preserve"> </v>
      </c>
      <c r="F913" s="4" t="str">
        <f ca="1">IF(OR(INDEX($X$2:$X$1001,MATCH(ROWS($W$2:W913),$W$2:$W$1001,0),1)&gt;=100000,INDEX($AD$1005:$AU$1005,1,MATCH(COLUMNS($AD$1006:AH1006),$AD$1006:$AU$1006,0))&gt;=100000), " ",IF(INDEX($AD$2:$AU$1001,MATCH(ROWS($W$2:W913),$W$2:$W$1001,0),MATCH(COLUMNS($AD$1006:AH1006),$AD$1006:$AU$1006,0)), HYPERLINK("#",""), HYPERLINK(CONCATENATE("#metadata!", ADDRESS(INDEX($Y$2:$Y$1001,MATCH(ROWS($W$2:W913),$W$2:$W$1001,0),0), INDEX($AD$1004:$AU$1004,1,MATCH(COLUMNS($AD$1006:AH1006),$AD$1006:$AU$1006,0)))),"Fix")))</f>
        <v xml:space="preserve"> </v>
      </c>
      <c r="G913" s="4" t="str">
        <f ca="1">IF(OR(INDEX($X$2:$X$1001,MATCH(ROWS($W$2:W913),$W$2:$W$1001,0),1)&gt;=100000,INDEX($AD$1005:$AU$1005,1,MATCH(COLUMNS($AD$1006:AI1006),$AD$1006:$AU$1006,0))&gt;=100000), " ",IF(INDEX($AD$2:$AU$1001,MATCH(ROWS($W$2:W913),$W$2:$W$1001,0),MATCH(COLUMNS($AD$1006:AI1006),$AD$1006:$AU$1006,0)), HYPERLINK("#",""), HYPERLINK(CONCATENATE("#metadata!", ADDRESS(INDEX($Y$2:$Y$1001,MATCH(ROWS($W$2:W913),$W$2:$W$1001,0),0), INDEX($AD$1004:$AU$1004,1,MATCH(COLUMNS($AD$1006:AI1006),$AD$1006:$AU$1006,0)))),"Fix")))</f>
        <v xml:space="preserve"> </v>
      </c>
      <c r="H913" s="4" t="str">
        <f ca="1">IF(OR(INDEX($X$2:$X$1001,MATCH(ROWS($W$2:W913),$W$2:$W$1001,0),1)&gt;=100000,INDEX($AD$1005:$AU$1005,1,MATCH(COLUMNS($AD$1006:AJ1006),$AD$1006:$AU$1006,0))&gt;=100000), " ",IF(INDEX($AD$2:$AU$1001,MATCH(ROWS($W$2:W913),$W$2:$W$1001,0),MATCH(COLUMNS($AD$1006:AJ1006),$AD$1006:$AU$1006,0)), HYPERLINK("#",""), HYPERLINK(CONCATENATE("#metadata!", ADDRESS(INDEX($Y$2:$Y$1001,MATCH(ROWS($W$2:W913),$W$2:$W$1001,0),0), INDEX($AD$1004:$AU$1004,1,MATCH(COLUMNS($AD$1006:AJ1006),$AD$1006:$AU$1006,0)))),"Fix")))</f>
        <v xml:space="preserve"> </v>
      </c>
      <c r="I913" s="4" t="str">
        <f ca="1">IF(OR(INDEX($X$2:$X$1001,MATCH(ROWS($W$2:W913),$W$2:$W$1001,0),1)&gt;=100000,INDEX($AD$1005:$AU$1005,1,MATCH(COLUMNS($AD$1006:AK1006),$AD$1006:$AU$1006,0))&gt;=100000), " ",IF(INDEX($AD$2:$AU$1001,MATCH(ROWS($W$2:W913),$W$2:$W$1001,0),MATCH(COLUMNS($AD$1006:AK1006),$AD$1006:$AU$1006,0)), HYPERLINK("#",""), HYPERLINK(CONCATENATE("#metadata!", ADDRESS(INDEX($Y$2:$Y$1001,MATCH(ROWS($W$2:W913),$W$2:$W$1001,0),0), INDEX($AD$1004:$AU$1004,1,MATCH(COLUMNS($AD$1006:AK1006),$AD$1006:$AU$1006,0)))),"Fix")))</f>
        <v xml:space="preserve"> </v>
      </c>
      <c r="J913" s="4" t="str">
        <f ca="1">IF(OR(INDEX($X$2:$X$1001,MATCH(ROWS($W$2:W913),$W$2:$W$1001,0),1)&gt;=100000,INDEX($AD$1005:$AU$1005,1,MATCH(COLUMNS($AD$1006:AL1006),$AD$1006:$AU$1006,0))&gt;=100000), " ",IF(INDEX($AD$2:$AU$1001,MATCH(ROWS($W$2:W913),$W$2:$W$1001,0),MATCH(COLUMNS($AD$1006:AL1006),$AD$1006:$AU$1006,0)), HYPERLINK("#",""), HYPERLINK(CONCATENATE("#metadata!", ADDRESS(INDEX($Y$2:$Y$1001,MATCH(ROWS($W$2:W913),$W$2:$W$1001,0),0), INDEX($AD$1004:$AU$1004,1,MATCH(COLUMNS($AD$1006:AL1006),$AD$1006:$AU$1006,0)))),"Fix")))</f>
        <v xml:space="preserve"> </v>
      </c>
      <c r="K913" s="4" t="str">
        <f ca="1">IF(OR(INDEX($X$2:$X$1001,MATCH(ROWS($W$2:W913),$W$2:$W$1001,0),1)&gt;=100000,INDEX($AD$1005:$AU$1005,1,MATCH(COLUMNS($AD$1006:AM1006),$AD$1006:$AU$1006,0))&gt;=100000), " ",IF(INDEX($AD$2:$AU$1001,MATCH(ROWS($W$2:W913),$W$2:$W$1001,0),MATCH(COLUMNS($AD$1006:AM1006),$AD$1006:$AU$1006,0)), HYPERLINK("#",""), HYPERLINK(CONCATENATE("#metadata!", ADDRESS(INDEX($Y$2:$Y$1001,MATCH(ROWS($W$2:W913),$W$2:$W$1001,0),0), INDEX($AD$1004:$AU$1004,1,MATCH(COLUMNS($AD$1006:AM1006),$AD$1006:$AU$1006,0)))),"Fix")))</f>
        <v xml:space="preserve"> </v>
      </c>
      <c r="L913" s="4" t="str">
        <f ca="1">IF(OR(INDEX($X$2:$X$1001,MATCH(ROWS($W$2:W913),$W$2:$W$1001,0),1)&gt;=100000,INDEX($AD$1005:$AU$1005,1,MATCH(COLUMNS($AD$1006:AN1006),$AD$1006:$AU$1006,0))&gt;=100000), " ",IF(INDEX($AD$2:$AU$1001,MATCH(ROWS($W$2:W913),$W$2:$W$1001,0),MATCH(COLUMNS($AD$1006:AN1006),$AD$1006:$AU$1006,0)), HYPERLINK("#",""), HYPERLINK(CONCATENATE("#metadata!", ADDRESS(INDEX($Y$2:$Y$1001,MATCH(ROWS($W$2:W913),$W$2:$W$1001,0),0), INDEX($AD$1004:$AU$1004,1,MATCH(COLUMNS($AD$1006:AN1006),$AD$1006:$AU$1006,0)))),"Fix")))</f>
        <v xml:space="preserve"> </v>
      </c>
      <c r="M913" s="4" t="str">
        <f ca="1">IF(OR(INDEX($X$2:$X$1001,MATCH(ROWS($W$2:W913),$W$2:$W$1001,0),1)&gt;=100000,INDEX($AD$1005:$AU$1005,1,MATCH(COLUMNS($AD$1006:AO1006),$AD$1006:$AU$1006,0))&gt;=100000), " ",IF(INDEX($AD$2:$AU$1001,MATCH(ROWS($W$2:W913),$W$2:$W$1001,0),MATCH(COLUMNS($AD$1006:AO1006),$AD$1006:$AU$1006,0)), HYPERLINK("#",""), HYPERLINK(CONCATENATE("#metadata!", ADDRESS(INDEX($Y$2:$Y$1001,MATCH(ROWS($W$2:W913),$W$2:$W$1001,0),0), INDEX($AD$1004:$AU$1004,1,MATCH(COLUMNS($AD$1006:AO1006),$AD$1006:$AU$1006,0)))),"Fix")))</f>
        <v xml:space="preserve"> </v>
      </c>
      <c r="N913" s="4" t="str">
        <f ca="1">IF(OR(INDEX($X$2:$X$1001,MATCH(ROWS($W$2:W913),$W$2:$W$1001,0),1)&gt;=100000,INDEX($AD$1005:$AU$1005,1,MATCH(COLUMNS($AD$1006:AP1006),$AD$1006:$AU$1006,0))&gt;=100000), " ",IF(INDEX($AD$2:$AU$1001,MATCH(ROWS($W$2:W913),$W$2:$W$1001,0),MATCH(COLUMNS($AD$1006:AP1006),$AD$1006:$AU$1006,0)), HYPERLINK("#",""), HYPERLINK(CONCATENATE("#metadata!", ADDRESS(INDEX($Y$2:$Y$1001,MATCH(ROWS($W$2:W913),$W$2:$W$1001,0),0), INDEX($AD$1004:$AU$1004,1,MATCH(COLUMNS($AD$1006:AP1006),$AD$1006:$AU$1006,0)))),"Fix")))</f>
        <v xml:space="preserve"> </v>
      </c>
      <c r="O913" s="4" t="str">
        <f ca="1">IF(OR(INDEX($X$2:$X$1001,MATCH(ROWS($W$2:W913),$W$2:$W$1001,0),1)&gt;=100000,INDEX($AD$1005:$AU$1005,1,MATCH(COLUMNS($AD$1006:AQ1006),$AD$1006:$AU$1006,0))&gt;=100000), " ",IF(INDEX($AD$2:$AU$1001,MATCH(ROWS($W$2:W913),$W$2:$W$1001,0),MATCH(COLUMNS($AD$1006:AQ1006),$AD$1006:$AU$1006,0)), HYPERLINK("#",""), HYPERLINK(CONCATENATE("#metadata!", ADDRESS(INDEX($Y$2:$Y$1001,MATCH(ROWS($W$2:W913),$W$2:$W$1001,0),0), INDEX($AD$1004:$AU$1004,1,MATCH(COLUMNS($AD$1006:AQ1006),$AD$1006:$AU$1006,0)))),"Fix")))</f>
        <v xml:space="preserve"> </v>
      </c>
      <c r="P913" s="4" t="str">
        <f ca="1">IF(OR(INDEX($X$2:$X$1001,MATCH(ROWS($W$2:W913),$W$2:$W$1001,0),1)&gt;=100000,INDEX($AD$1005:$AU$1005,1,MATCH(COLUMNS($AD$1006:AR1006),$AD$1006:$AU$1006,0))&gt;=100000), " ",IF(INDEX($AD$2:$AU$1001,MATCH(ROWS($W$2:W913),$W$2:$W$1001,0),MATCH(COLUMNS($AD$1006:AR1006),$AD$1006:$AU$1006,0)), HYPERLINK("#",""), HYPERLINK(CONCATENATE("#metadata!", ADDRESS(INDEX($Y$2:$Y$1001,MATCH(ROWS($W$2:W913),$W$2:$W$1001,0),0), INDEX($AD$1004:$AU$1004,1,MATCH(COLUMNS($AD$1006:AR1006),$AD$1006:$AU$1006,0)))),"Fix")))</f>
        <v xml:space="preserve"> </v>
      </c>
      <c r="Q913" s="4" t="str">
        <f ca="1">IF(OR(INDEX($X$2:$X$1001,MATCH(ROWS($W$2:W913),$W$2:$W$1001,0),1)&gt;=100000,INDEX($AD$1005:$AU$1005,1,MATCH(COLUMNS($AD$1006:AS1006),$AD$1006:$AU$1006,0))&gt;=100000), " ",IF(INDEX($AD$2:$AU$1001,MATCH(ROWS($W$2:W913),$W$2:$W$1001,0),MATCH(COLUMNS($AD$1006:AS1006),$AD$1006:$AU$1006,0)), HYPERLINK("#",""), HYPERLINK(CONCATENATE("#metadata!", ADDRESS(INDEX($Y$2:$Y$1001,MATCH(ROWS($W$2:W913),$W$2:$W$1001,0),0), INDEX($AD$1004:$AU$1004,1,MATCH(COLUMNS($AD$1006:AS1006),$AD$1006:$AU$1006,0)))),"Fix")))</f>
        <v xml:space="preserve"> </v>
      </c>
      <c r="R913" s="4" t="str">
        <f ca="1">IF(OR(INDEX($X$2:$X$1001,MATCH(ROWS($W$2:W913),$W$2:$W$1001,0),1)&gt;=100000,INDEX($AD$1005:$AU$1005,1,MATCH(COLUMNS($AD$1006:AT1006),$AD$1006:$AU$1006,0))&gt;=100000), " ",IF(INDEX($AD$2:$AU$1001,MATCH(ROWS($W$2:W913),$W$2:$W$1001,0),MATCH(COLUMNS($AD$1006:AT1006),$AD$1006:$AU$1006,0)), HYPERLINK("#",""), HYPERLINK(CONCATENATE("#metadata!", ADDRESS(INDEX($Y$2:$Y$1001,MATCH(ROWS($W$2:W913),$W$2:$W$1001,0),0), INDEX($AD$1004:$AU$1004,1,MATCH(COLUMNS($AD$1006:AT1006),$AD$1006:$AU$1006,0)))),"Fix")))</f>
        <v xml:space="preserve"> </v>
      </c>
      <c r="S913" s="4" t="str">
        <f ca="1">IF(OR(INDEX($X$2:$X$1001,MATCH(ROWS($W$2:W913),$W$2:$W$1001,0),1)&gt;=100000,INDEX($AD$1005:$AU$1005,1,MATCH(COLUMNS($AD$1006:AU1006),$AD$1006:$AU$1006,0))&gt;=100000), " ",IF(INDEX($AD$2:$AU$1001,MATCH(ROWS($W$2:W913),$W$2:$W$1001,0),MATCH(COLUMNS($AD$1006:AU1006),$AD$1006:$AU$1006,0)), HYPERLINK("#",""), HYPERLINK(CONCATENATE("#metadata!", ADDRESS(INDEX($Y$2:$Y$1001,MATCH(ROWS($W$2:W913),$W$2:$W$1001,0),0), INDEX($AD$1004:$AU$1004,1,MATCH(COLUMNS($AD$1006:AU1006),$AD$1006:$AU$1006,0)))),"Fix")))</f>
        <v xml:space="preserve"> </v>
      </c>
      <c r="W913">
        <v>912</v>
      </c>
      <c r="X913">
        <v>100913</v>
      </c>
      <c r="Y913">
        <v>913</v>
      </c>
      <c r="Z913" t="b">
        <f t="shared" si="14"/>
        <v>1</v>
      </c>
      <c r="AA913" t="b">
        <f>COUNTBLANK(metadata!B913:S913)=COLUMNS(metadata!B913:S913)</f>
        <v>1</v>
      </c>
      <c r="AB913" t="str">
        <v/>
      </c>
      <c r="AD913" t="b">
        <f ca="1">AND(IF(metadata!B913="",FALSE,TRUE),COUNTIF(metadata!B:B, metadata!B913) = 1,NOT(ISERROR(SUMPRODUCT(SEARCH(MID(metadata!B913,ROW(INDIRECT("1:"&amp;LEN(metadata!B913))), 1),"0123456789abcdefghijklmnopqrstuvwxyzABCDEFGHIJKLMNOPQRSTUVWXYZ.")))))</f>
        <v>0</v>
      </c>
      <c r="AE913" t="b">
        <f>OR(AND(IF(metadata!C913="",FALSE,TRUE),OR(EXACT(metadata!C913,"not applicable"),EXACT(metadata!C913,"missing: not collected"),EXACT(metadata!C913,"missing: not provided"),EXACT(metadata!C913,"missing: restricted access"))),AND(IF(metadata!C913="",FALSE,ISNUMBER(VALUE(metadata!C913))),metadata!C913&gt;0))</f>
        <v>0</v>
      </c>
      <c r="AF913" t="b">
        <f>AND(IF(metadata!D913="",FALSE,TRUE),EXACT(metadata!D913,"missing: not provided"))</f>
        <v>0</v>
      </c>
      <c r="AG913" t="b">
        <f>AND(IF(metadata!E913="",FALSE,TRUE),EXACT(metadata!E913,"Host-associated"))</f>
        <v>0</v>
      </c>
      <c r="AH913" t="b">
        <f>AND(IF(metadata!F913="",FALSE,TRUE),OR(EXACT(metadata!F913,"Animal"),EXACT(metadata!F913,"Fungus"),EXACT(metadata!F913,"Plant")))</f>
        <v>0</v>
      </c>
      <c r="AI913" t="b">
        <f>AND(IF(metadata!G913="",FALSE,TRUE),OR(EXACT(metadata!G913,"Plant secretion"),EXACT(metadata!G913,"Plant rhizosphere"),EXACT(metadata!G913,"Plant surface"),EXACT(metadata!G913,"Plant corpus"),EXACT(metadata!G913,"Fungus surface"),EXACT(metadata!G913,"Fungus corpus"),EXACT(metadata!G913,"Animal surface"),EXACT(metadata!G913,"Animal proximal gut"),EXACT(metadata!G913,"Animal corpus"),EXACT(metadata!G913,"Animal distal gut"),EXACT(metadata!G913,"Animal secretion")))</f>
        <v>0</v>
      </c>
      <c r="AJ913" t="b">
        <f>OR(AND(IF(metadata!H913="",FALSE,TRUE),OR(EXACT(metadata!H913,"missing: not collected"),EXACT(metadata!H913,"missing: not provided"),EXACT(metadata!H913,"missing: restricted access"))),AND(IF(metadata!H913="",FALSE,TRUE),OR(EXACT(metadata!H913,"organism-associated habitat"),EXACT(metadata!H913,"plant-associated habitat"),EXACT(metadata!H913,"animal-associated habitat"),EXACT(metadata!H913,"insecta-associated habitat"),EXACT(metadata!H913,"mammalia-associated habitat"),EXACT(metadata!H913,"human-associated habitat"),EXACT(metadata!H913,"livestock-associated habitat"))))</f>
        <v>0</v>
      </c>
      <c r="AK913" t="b">
        <f>AND(IF(metadata!I913="",FALSE,TRUE),EXACT(metadata!I913,"host-associated"))</f>
        <v>0</v>
      </c>
      <c r="AL913" t="b">
        <f>OR(AND(IF(metadata!J913="",FALSE,TRUE),OR(EXACT(metadata!J913,"not applicable"),EXACT(metadata!J913,"missing: not collected"),EXACT(metadata!J913,"missing: not provided"),EXACT(metadata!J913,"missing: restricted access"))),AND(IF(metadata!J913="",FALSE,ISNUMBER(VALUE(metadata!J913))),metadata!J913&gt;0))</f>
        <v>0</v>
      </c>
      <c r="AM913" t="b">
        <f>AND(IF(metadata!K913="",FALSE,TRUE),EXACT(metadata!K913,"missing: not provided"))</f>
        <v>0</v>
      </c>
      <c r="AN913" t="b">
        <f>IF(metadata!L913="",FALSE,TRUE)</f>
        <v>0</v>
      </c>
      <c r="AO913" t="b">
        <f>IF(metadata!M913="",FALSE,TRUE)</f>
        <v>0</v>
      </c>
      <c r="AP913" t="b">
        <f>OR(AND(IF(metadata!N913="",FALSE,TRUE),OR(EXACT(metadata!N913,"not applicable"),EXACT(metadata!N913,"missing: not collected"),EXACT(metadata!N913,"missing: not provided"))),AND(IF(metadata!N913="",FALSE,IF(ISERROR(INT(metadata!N913)),FALSE,INT(metadata!N913)=metadata!N913)),metadata!N913&gt;0))</f>
        <v>0</v>
      </c>
      <c r="AQ913" t="b">
        <f>AND(IF(metadata!O913="",FALSE,TRUE),EXACT(metadata!O913,"Not applicable"))</f>
        <v>0</v>
      </c>
      <c r="AR913" t="b">
        <f>OR(AND(IF(metadata!P913="",FALSE,TRUE),OR(EXACT(metadata!P913,"not applicable"),EXACT(metadata!P913,"missing: not collected"),EXACT(metadata!P913,"missing: not provided"),EXACT(metadata!P913,"missing: restricted access"))),IF(metadata!P913="",FALSE,IF(ISERROR(INT(metadata!P913)),FALSE,INT(metadata!P913)=metadata!P913)))</f>
        <v>0</v>
      </c>
      <c r="AS913" t="b">
        <f>AND(IF(metadata!Q913="",FALSE,TRUE),EXACT(metadata!Q913,"Not applicable"))</f>
        <v>0</v>
      </c>
      <c r="AT913" t="b">
        <f>OR(AND(IF(metadata!R913="",FALSE,TRUE),OR(EXACT(metadata!R913,"not applicable"),EXACT(metadata!R913,"missing: not collected"),EXACT(metadata!R913,"missing: not provided"),EXACT(metadata!R913,"missing: restricted access"))),AND(IF(metadata!R913="",FALSE,ISNUMBER(VALUE(metadata!R913))),metadata!R913&gt;0))</f>
        <v>0</v>
      </c>
      <c r="AU913" t="b">
        <f>AND(IF(metadata!S913="",FALSE,TRUE),EXACT(metadata!S913,"missing: not provided"))</f>
        <v>0</v>
      </c>
    </row>
    <row r="914" spans="1:47" x14ac:dyDescent="0.2">
      <c r="A914" s="5" t="str">
        <f ca="1">IF(B914=" "," ",HYPERLINK(CONCATENATE("#metadata!",ADDRESS(INDEX($Y$2:$Y$1001,MATCH(ROWS($W$2:W914),$W$2:$W$1001,0),0),1)),INDEX($AB$2:$AB$1001,MATCH(ROWS($W$2:W914),$W$2:$W$1001,0),0)))</f>
        <v xml:space="preserve"> </v>
      </c>
      <c r="B914" s="4" t="str">
        <f ca="1">IF(OR(INDEX($X$2:$X$1001,MATCH(ROWS($W$2:W914),$W$2:$W$1001,0),1)&gt;=100000,INDEX($AD$1005:$AU$1005,1,MATCH(COLUMNS($AD$1006:AD1006),$AD$1006:$AU$1006,0))&gt;=100000), " ",IF(INDEX($AD$2:$AU$1001,MATCH(ROWS($W$2:W914),$W$2:$W$1001,0),MATCH(COLUMNS($AD$1006:AD1006),$AD$1006:$AU$1006,0)), HYPERLINK("#",""), HYPERLINK(CONCATENATE("#metadata!", ADDRESS(INDEX($Y$2:$Y$1001,MATCH(ROWS($W$2:W914),$W$2:$W$1001,0),0), INDEX($AD$1004:$AU$1004,1,MATCH(COLUMNS($AD$1006:AD1006),$AD$1006:$AU$1006,0)))),"Fix")))</f>
        <v xml:space="preserve"> </v>
      </c>
      <c r="C914" s="4" t="str">
        <f ca="1">IF(OR(INDEX($X$2:$X$1001,MATCH(ROWS($W$2:W914),$W$2:$W$1001,0),1)&gt;=100000,INDEX($AD$1005:$AU$1005,1,MATCH(COLUMNS($AD$1006:AE1006),$AD$1006:$AU$1006,0))&gt;=100000), " ",IF(INDEX($AD$2:$AU$1001,MATCH(ROWS($W$2:W914),$W$2:$W$1001,0),MATCH(COLUMNS($AD$1006:AE1006),$AD$1006:$AU$1006,0)), HYPERLINK("#",""), HYPERLINK(CONCATENATE("#metadata!", ADDRESS(INDEX($Y$2:$Y$1001,MATCH(ROWS($W$2:W914),$W$2:$W$1001,0),0), INDEX($AD$1004:$AU$1004,1,MATCH(COLUMNS($AD$1006:AE1006),$AD$1006:$AU$1006,0)))),"Fix")))</f>
        <v xml:space="preserve"> </v>
      </c>
      <c r="D914" s="4" t="str">
        <f ca="1">IF(OR(INDEX($X$2:$X$1001,MATCH(ROWS($W$2:W914),$W$2:$W$1001,0),1)&gt;=100000,INDEX($AD$1005:$AU$1005,1,MATCH(COLUMNS($AD$1006:AF1006),$AD$1006:$AU$1006,0))&gt;=100000), " ",IF(INDEX($AD$2:$AU$1001,MATCH(ROWS($W$2:W914),$W$2:$W$1001,0),MATCH(COLUMNS($AD$1006:AF1006),$AD$1006:$AU$1006,0)), HYPERLINK("#",""), HYPERLINK(CONCATENATE("#metadata!", ADDRESS(INDEX($Y$2:$Y$1001,MATCH(ROWS($W$2:W914),$W$2:$W$1001,0),0), INDEX($AD$1004:$AU$1004,1,MATCH(COLUMNS($AD$1006:AF1006),$AD$1006:$AU$1006,0)))),"Fix")))</f>
        <v xml:space="preserve"> </v>
      </c>
      <c r="E914" s="4" t="str">
        <f ca="1">IF(OR(INDEX($X$2:$X$1001,MATCH(ROWS($W$2:W914),$W$2:$W$1001,0),1)&gt;=100000,INDEX($AD$1005:$AU$1005,1,MATCH(COLUMNS($AD$1006:AG1006),$AD$1006:$AU$1006,0))&gt;=100000), " ",IF(INDEX($AD$2:$AU$1001,MATCH(ROWS($W$2:W914),$W$2:$W$1001,0),MATCH(COLUMNS($AD$1006:AG1006),$AD$1006:$AU$1006,0)), HYPERLINK("#",""), HYPERLINK(CONCATENATE("#metadata!", ADDRESS(INDEX($Y$2:$Y$1001,MATCH(ROWS($W$2:W914),$W$2:$W$1001,0),0), INDEX($AD$1004:$AU$1004,1,MATCH(COLUMNS($AD$1006:AG1006),$AD$1006:$AU$1006,0)))),"Fix")))</f>
        <v xml:space="preserve"> </v>
      </c>
      <c r="F914" s="4" t="str">
        <f ca="1">IF(OR(INDEX($X$2:$X$1001,MATCH(ROWS($W$2:W914),$W$2:$W$1001,0),1)&gt;=100000,INDEX($AD$1005:$AU$1005,1,MATCH(COLUMNS($AD$1006:AH1006),$AD$1006:$AU$1006,0))&gt;=100000), " ",IF(INDEX($AD$2:$AU$1001,MATCH(ROWS($W$2:W914),$W$2:$W$1001,0),MATCH(COLUMNS($AD$1006:AH1006),$AD$1006:$AU$1006,0)), HYPERLINK("#",""), HYPERLINK(CONCATENATE("#metadata!", ADDRESS(INDEX($Y$2:$Y$1001,MATCH(ROWS($W$2:W914),$W$2:$W$1001,0),0), INDEX($AD$1004:$AU$1004,1,MATCH(COLUMNS($AD$1006:AH1006),$AD$1006:$AU$1006,0)))),"Fix")))</f>
        <v xml:space="preserve"> </v>
      </c>
      <c r="G914" s="4" t="str">
        <f ca="1">IF(OR(INDEX($X$2:$X$1001,MATCH(ROWS($W$2:W914),$W$2:$W$1001,0),1)&gt;=100000,INDEX($AD$1005:$AU$1005,1,MATCH(COLUMNS($AD$1006:AI1006),$AD$1006:$AU$1006,0))&gt;=100000), " ",IF(INDEX($AD$2:$AU$1001,MATCH(ROWS($W$2:W914),$W$2:$W$1001,0),MATCH(COLUMNS($AD$1006:AI1006),$AD$1006:$AU$1006,0)), HYPERLINK("#",""), HYPERLINK(CONCATENATE("#metadata!", ADDRESS(INDEX($Y$2:$Y$1001,MATCH(ROWS($W$2:W914),$W$2:$W$1001,0),0), INDEX($AD$1004:$AU$1004,1,MATCH(COLUMNS($AD$1006:AI1006),$AD$1006:$AU$1006,0)))),"Fix")))</f>
        <v xml:space="preserve"> </v>
      </c>
      <c r="H914" s="4" t="str">
        <f ca="1">IF(OR(INDEX($X$2:$X$1001,MATCH(ROWS($W$2:W914),$W$2:$W$1001,0),1)&gt;=100000,INDEX($AD$1005:$AU$1005,1,MATCH(COLUMNS($AD$1006:AJ1006),$AD$1006:$AU$1006,0))&gt;=100000), " ",IF(INDEX($AD$2:$AU$1001,MATCH(ROWS($W$2:W914),$W$2:$W$1001,0),MATCH(COLUMNS($AD$1006:AJ1006),$AD$1006:$AU$1006,0)), HYPERLINK("#",""), HYPERLINK(CONCATENATE("#metadata!", ADDRESS(INDEX($Y$2:$Y$1001,MATCH(ROWS($W$2:W914),$W$2:$W$1001,0),0), INDEX($AD$1004:$AU$1004,1,MATCH(COLUMNS($AD$1006:AJ1006),$AD$1006:$AU$1006,0)))),"Fix")))</f>
        <v xml:space="preserve"> </v>
      </c>
      <c r="I914" s="4" t="str">
        <f ca="1">IF(OR(INDEX($X$2:$X$1001,MATCH(ROWS($W$2:W914),$W$2:$W$1001,0),1)&gt;=100000,INDEX($AD$1005:$AU$1005,1,MATCH(COLUMNS($AD$1006:AK1006),$AD$1006:$AU$1006,0))&gt;=100000), " ",IF(INDEX($AD$2:$AU$1001,MATCH(ROWS($W$2:W914),$W$2:$W$1001,0),MATCH(COLUMNS($AD$1006:AK1006),$AD$1006:$AU$1006,0)), HYPERLINK("#",""), HYPERLINK(CONCATENATE("#metadata!", ADDRESS(INDEX($Y$2:$Y$1001,MATCH(ROWS($W$2:W914),$W$2:$W$1001,0),0), INDEX($AD$1004:$AU$1004,1,MATCH(COLUMNS($AD$1006:AK1006),$AD$1006:$AU$1006,0)))),"Fix")))</f>
        <v xml:space="preserve"> </v>
      </c>
      <c r="J914" s="4" t="str">
        <f ca="1">IF(OR(INDEX($X$2:$X$1001,MATCH(ROWS($W$2:W914),$W$2:$W$1001,0),1)&gt;=100000,INDEX($AD$1005:$AU$1005,1,MATCH(COLUMNS($AD$1006:AL1006),$AD$1006:$AU$1006,0))&gt;=100000), " ",IF(INDEX($AD$2:$AU$1001,MATCH(ROWS($W$2:W914),$W$2:$W$1001,0),MATCH(COLUMNS($AD$1006:AL1006),$AD$1006:$AU$1006,0)), HYPERLINK("#",""), HYPERLINK(CONCATENATE("#metadata!", ADDRESS(INDEX($Y$2:$Y$1001,MATCH(ROWS($W$2:W914),$W$2:$W$1001,0),0), INDEX($AD$1004:$AU$1004,1,MATCH(COLUMNS($AD$1006:AL1006),$AD$1006:$AU$1006,0)))),"Fix")))</f>
        <v xml:space="preserve"> </v>
      </c>
      <c r="K914" s="4" t="str">
        <f ca="1">IF(OR(INDEX($X$2:$X$1001,MATCH(ROWS($W$2:W914),$W$2:$W$1001,0),1)&gt;=100000,INDEX($AD$1005:$AU$1005,1,MATCH(COLUMNS($AD$1006:AM1006),$AD$1006:$AU$1006,0))&gt;=100000), " ",IF(INDEX($AD$2:$AU$1001,MATCH(ROWS($W$2:W914),$W$2:$W$1001,0),MATCH(COLUMNS($AD$1006:AM1006),$AD$1006:$AU$1006,0)), HYPERLINK("#",""), HYPERLINK(CONCATENATE("#metadata!", ADDRESS(INDEX($Y$2:$Y$1001,MATCH(ROWS($W$2:W914),$W$2:$W$1001,0),0), INDEX($AD$1004:$AU$1004,1,MATCH(COLUMNS($AD$1006:AM1006),$AD$1006:$AU$1006,0)))),"Fix")))</f>
        <v xml:space="preserve"> </v>
      </c>
      <c r="L914" s="4" t="str">
        <f ca="1">IF(OR(INDEX($X$2:$X$1001,MATCH(ROWS($W$2:W914),$W$2:$W$1001,0),1)&gt;=100000,INDEX($AD$1005:$AU$1005,1,MATCH(COLUMNS($AD$1006:AN1006),$AD$1006:$AU$1006,0))&gt;=100000), " ",IF(INDEX($AD$2:$AU$1001,MATCH(ROWS($W$2:W914),$W$2:$W$1001,0),MATCH(COLUMNS($AD$1006:AN1006),$AD$1006:$AU$1006,0)), HYPERLINK("#",""), HYPERLINK(CONCATENATE("#metadata!", ADDRESS(INDEX($Y$2:$Y$1001,MATCH(ROWS($W$2:W914),$W$2:$W$1001,0),0), INDEX($AD$1004:$AU$1004,1,MATCH(COLUMNS($AD$1006:AN1006),$AD$1006:$AU$1006,0)))),"Fix")))</f>
        <v xml:space="preserve"> </v>
      </c>
      <c r="M914" s="4" t="str">
        <f ca="1">IF(OR(INDEX($X$2:$X$1001,MATCH(ROWS($W$2:W914),$W$2:$W$1001,0),1)&gt;=100000,INDEX($AD$1005:$AU$1005,1,MATCH(COLUMNS($AD$1006:AO1006),$AD$1006:$AU$1006,0))&gt;=100000), " ",IF(INDEX($AD$2:$AU$1001,MATCH(ROWS($W$2:W914),$W$2:$W$1001,0),MATCH(COLUMNS($AD$1006:AO1006),$AD$1006:$AU$1006,0)), HYPERLINK("#",""), HYPERLINK(CONCATENATE("#metadata!", ADDRESS(INDEX($Y$2:$Y$1001,MATCH(ROWS($W$2:W914),$W$2:$W$1001,0),0), INDEX($AD$1004:$AU$1004,1,MATCH(COLUMNS($AD$1006:AO1006),$AD$1006:$AU$1006,0)))),"Fix")))</f>
        <v xml:space="preserve"> </v>
      </c>
      <c r="N914" s="4" t="str">
        <f ca="1">IF(OR(INDEX($X$2:$X$1001,MATCH(ROWS($W$2:W914),$W$2:$W$1001,0),1)&gt;=100000,INDEX($AD$1005:$AU$1005,1,MATCH(COLUMNS($AD$1006:AP1006),$AD$1006:$AU$1006,0))&gt;=100000), " ",IF(INDEX($AD$2:$AU$1001,MATCH(ROWS($W$2:W914),$W$2:$W$1001,0),MATCH(COLUMNS($AD$1006:AP1006),$AD$1006:$AU$1006,0)), HYPERLINK("#",""), HYPERLINK(CONCATENATE("#metadata!", ADDRESS(INDEX($Y$2:$Y$1001,MATCH(ROWS($W$2:W914),$W$2:$W$1001,0),0), INDEX($AD$1004:$AU$1004,1,MATCH(COLUMNS($AD$1006:AP1006),$AD$1006:$AU$1006,0)))),"Fix")))</f>
        <v xml:space="preserve"> </v>
      </c>
      <c r="O914" s="4" t="str">
        <f ca="1">IF(OR(INDEX($X$2:$X$1001,MATCH(ROWS($W$2:W914),$W$2:$W$1001,0),1)&gt;=100000,INDEX($AD$1005:$AU$1005,1,MATCH(COLUMNS($AD$1006:AQ1006),$AD$1006:$AU$1006,0))&gt;=100000), " ",IF(INDEX($AD$2:$AU$1001,MATCH(ROWS($W$2:W914),$W$2:$W$1001,0),MATCH(COLUMNS($AD$1006:AQ1006),$AD$1006:$AU$1006,0)), HYPERLINK("#",""), HYPERLINK(CONCATENATE("#metadata!", ADDRESS(INDEX($Y$2:$Y$1001,MATCH(ROWS($W$2:W914),$W$2:$W$1001,0),0), INDEX($AD$1004:$AU$1004,1,MATCH(COLUMNS($AD$1006:AQ1006),$AD$1006:$AU$1006,0)))),"Fix")))</f>
        <v xml:space="preserve"> </v>
      </c>
      <c r="P914" s="4" t="str">
        <f ca="1">IF(OR(INDEX($X$2:$X$1001,MATCH(ROWS($W$2:W914),$W$2:$W$1001,0),1)&gt;=100000,INDEX($AD$1005:$AU$1005,1,MATCH(COLUMNS($AD$1006:AR1006),$AD$1006:$AU$1006,0))&gt;=100000), " ",IF(INDEX($AD$2:$AU$1001,MATCH(ROWS($W$2:W914),$W$2:$W$1001,0),MATCH(COLUMNS($AD$1006:AR1006),$AD$1006:$AU$1006,0)), HYPERLINK("#",""), HYPERLINK(CONCATENATE("#metadata!", ADDRESS(INDEX($Y$2:$Y$1001,MATCH(ROWS($W$2:W914),$W$2:$W$1001,0),0), INDEX($AD$1004:$AU$1004,1,MATCH(COLUMNS($AD$1006:AR1006),$AD$1006:$AU$1006,0)))),"Fix")))</f>
        <v xml:space="preserve"> </v>
      </c>
      <c r="Q914" s="4" t="str">
        <f ca="1">IF(OR(INDEX($X$2:$X$1001,MATCH(ROWS($W$2:W914),$W$2:$W$1001,0),1)&gt;=100000,INDEX($AD$1005:$AU$1005,1,MATCH(COLUMNS($AD$1006:AS1006),$AD$1006:$AU$1006,0))&gt;=100000), " ",IF(INDEX($AD$2:$AU$1001,MATCH(ROWS($W$2:W914),$W$2:$W$1001,0),MATCH(COLUMNS($AD$1006:AS1006),$AD$1006:$AU$1006,0)), HYPERLINK("#",""), HYPERLINK(CONCATENATE("#metadata!", ADDRESS(INDEX($Y$2:$Y$1001,MATCH(ROWS($W$2:W914),$W$2:$W$1001,0),0), INDEX($AD$1004:$AU$1004,1,MATCH(COLUMNS($AD$1006:AS1006),$AD$1006:$AU$1006,0)))),"Fix")))</f>
        <v xml:space="preserve"> </v>
      </c>
      <c r="R914" s="4" t="str">
        <f ca="1">IF(OR(INDEX($X$2:$X$1001,MATCH(ROWS($W$2:W914),$W$2:$W$1001,0),1)&gt;=100000,INDEX($AD$1005:$AU$1005,1,MATCH(COLUMNS($AD$1006:AT1006),$AD$1006:$AU$1006,0))&gt;=100000), " ",IF(INDEX($AD$2:$AU$1001,MATCH(ROWS($W$2:W914),$W$2:$W$1001,0),MATCH(COLUMNS($AD$1006:AT1006),$AD$1006:$AU$1006,0)), HYPERLINK("#",""), HYPERLINK(CONCATENATE("#metadata!", ADDRESS(INDEX($Y$2:$Y$1001,MATCH(ROWS($W$2:W914),$W$2:$W$1001,0),0), INDEX($AD$1004:$AU$1004,1,MATCH(COLUMNS($AD$1006:AT1006),$AD$1006:$AU$1006,0)))),"Fix")))</f>
        <v xml:space="preserve"> </v>
      </c>
      <c r="S914" s="4" t="str">
        <f ca="1">IF(OR(INDEX($X$2:$X$1001,MATCH(ROWS($W$2:W914),$W$2:$W$1001,0),1)&gt;=100000,INDEX($AD$1005:$AU$1005,1,MATCH(COLUMNS($AD$1006:AU1006),$AD$1006:$AU$1006,0))&gt;=100000), " ",IF(INDEX($AD$2:$AU$1001,MATCH(ROWS($W$2:W914),$W$2:$W$1001,0),MATCH(COLUMNS($AD$1006:AU1006),$AD$1006:$AU$1006,0)), HYPERLINK("#",""), HYPERLINK(CONCATENATE("#metadata!", ADDRESS(INDEX($Y$2:$Y$1001,MATCH(ROWS($W$2:W914),$W$2:$W$1001,0),0), INDEX($AD$1004:$AU$1004,1,MATCH(COLUMNS($AD$1006:AU1006),$AD$1006:$AU$1006,0)))),"Fix")))</f>
        <v xml:space="preserve"> </v>
      </c>
      <c r="W914">
        <v>913</v>
      </c>
      <c r="X914">
        <v>100914</v>
      </c>
      <c r="Y914">
        <v>914</v>
      </c>
      <c r="Z914" t="b">
        <f t="shared" si="14"/>
        <v>1</v>
      </c>
      <c r="AA914" t="b">
        <f>COUNTBLANK(metadata!B914:S914)=COLUMNS(metadata!B914:S914)</f>
        <v>1</v>
      </c>
      <c r="AB914" t="str">
        <v/>
      </c>
      <c r="AD914" t="b">
        <f ca="1">AND(IF(metadata!B914="",FALSE,TRUE),COUNTIF(metadata!B:B, metadata!B914) = 1,NOT(ISERROR(SUMPRODUCT(SEARCH(MID(metadata!B914,ROW(INDIRECT("1:"&amp;LEN(metadata!B914))), 1),"0123456789abcdefghijklmnopqrstuvwxyzABCDEFGHIJKLMNOPQRSTUVWXYZ.")))))</f>
        <v>0</v>
      </c>
      <c r="AE914" t="b">
        <f>OR(AND(IF(metadata!C914="",FALSE,TRUE),OR(EXACT(metadata!C914,"not applicable"),EXACT(metadata!C914,"missing: not collected"),EXACT(metadata!C914,"missing: not provided"),EXACT(metadata!C914,"missing: restricted access"))),AND(IF(metadata!C914="",FALSE,ISNUMBER(VALUE(metadata!C914))),metadata!C914&gt;0))</f>
        <v>0</v>
      </c>
      <c r="AF914" t="b">
        <f>AND(IF(metadata!D914="",FALSE,TRUE),EXACT(metadata!D914,"missing: not provided"))</f>
        <v>0</v>
      </c>
      <c r="AG914" t="b">
        <f>AND(IF(metadata!E914="",FALSE,TRUE),EXACT(metadata!E914,"Host-associated"))</f>
        <v>0</v>
      </c>
      <c r="AH914" t="b">
        <f>AND(IF(metadata!F914="",FALSE,TRUE),OR(EXACT(metadata!F914,"Animal"),EXACT(metadata!F914,"Fungus"),EXACT(metadata!F914,"Plant")))</f>
        <v>0</v>
      </c>
      <c r="AI914" t="b">
        <f>AND(IF(metadata!G914="",FALSE,TRUE),OR(EXACT(metadata!G914,"Plant secretion"),EXACT(metadata!G914,"Plant rhizosphere"),EXACT(metadata!G914,"Plant surface"),EXACT(metadata!G914,"Plant corpus"),EXACT(metadata!G914,"Fungus surface"),EXACT(metadata!G914,"Fungus corpus"),EXACT(metadata!G914,"Animal surface"),EXACT(metadata!G914,"Animal proximal gut"),EXACT(metadata!G914,"Animal corpus"),EXACT(metadata!G914,"Animal distal gut"),EXACT(metadata!G914,"Animal secretion")))</f>
        <v>0</v>
      </c>
      <c r="AJ914" t="b">
        <f>OR(AND(IF(metadata!H914="",FALSE,TRUE),OR(EXACT(metadata!H914,"missing: not collected"),EXACT(metadata!H914,"missing: not provided"),EXACT(metadata!H914,"missing: restricted access"))),AND(IF(metadata!H914="",FALSE,TRUE),OR(EXACT(metadata!H914,"organism-associated habitat"),EXACT(metadata!H914,"plant-associated habitat"),EXACT(metadata!H914,"animal-associated habitat"),EXACT(metadata!H914,"insecta-associated habitat"),EXACT(metadata!H914,"mammalia-associated habitat"),EXACT(metadata!H914,"human-associated habitat"),EXACT(metadata!H914,"livestock-associated habitat"))))</f>
        <v>0</v>
      </c>
      <c r="AK914" t="b">
        <f>AND(IF(metadata!I914="",FALSE,TRUE),EXACT(metadata!I914,"host-associated"))</f>
        <v>0</v>
      </c>
      <c r="AL914" t="b">
        <f>OR(AND(IF(metadata!J914="",FALSE,TRUE),OR(EXACT(metadata!J914,"not applicable"),EXACT(metadata!J914,"missing: not collected"),EXACT(metadata!J914,"missing: not provided"),EXACT(metadata!J914,"missing: restricted access"))),AND(IF(metadata!J914="",FALSE,ISNUMBER(VALUE(metadata!J914))),metadata!J914&gt;0))</f>
        <v>0</v>
      </c>
      <c r="AM914" t="b">
        <f>AND(IF(metadata!K914="",FALSE,TRUE),EXACT(metadata!K914,"missing: not provided"))</f>
        <v>0</v>
      </c>
      <c r="AN914" t="b">
        <f>IF(metadata!L914="",FALSE,TRUE)</f>
        <v>0</v>
      </c>
      <c r="AO914" t="b">
        <f>IF(metadata!M914="",FALSE,TRUE)</f>
        <v>0</v>
      </c>
      <c r="AP914" t="b">
        <f>OR(AND(IF(metadata!N914="",FALSE,TRUE),OR(EXACT(metadata!N914,"not applicable"),EXACT(metadata!N914,"missing: not collected"),EXACT(metadata!N914,"missing: not provided"))),AND(IF(metadata!N914="",FALSE,IF(ISERROR(INT(metadata!N914)),FALSE,INT(metadata!N914)=metadata!N914)),metadata!N914&gt;0))</f>
        <v>0</v>
      </c>
      <c r="AQ914" t="b">
        <f>AND(IF(metadata!O914="",FALSE,TRUE),EXACT(metadata!O914,"Not applicable"))</f>
        <v>0</v>
      </c>
      <c r="AR914" t="b">
        <f>OR(AND(IF(metadata!P914="",FALSE,TRUE),OR(EXACT(metadata!P914,"not applicable"),EXACT(metadata!P914,"missing: not collected"),EXACT(metadata!P914,"missing: not provided"),EXACT(metadata!P914,"missing: restricted access"))),IF(metadata!P914="",FALSE,IF(ISERROR(INT(metadata!P914)),FALSE,INT(metadata!P914)=metadata!P914)))</f>
        <v>0</v>
      </c>
      <c r="AS914" t="b">
        <f>AND(IF(metadata!Q914="",FALSE,TRUE),EXACT(metadata!Q914,"Not applicable"))</f>
        <v>0</v>
      </c>
      <c r="AT914" t="b">
        <f>OR(AND(IF(metadata!R914="",FALSE,TRUE),OR(EXACT(metadata!R914,"not applicable"),EXACT(metadata!R914,"missing: not collected"),EXACT(metadata!R914,"missing: not provided"),EXACT(metadata!R914,"missing: restricted access"))),AND(IF(metadata!R914="",FALSE,ISNUMBER(VALUE(metadata!R914))),metadata!R914&gt;0))</f>
        <v>0</v>
      </c>
      <c r="AU914" t="b">
        <f>AND(IF(metadata!S914="",FALSE,TRUE),EXACT(metadata!S914,"missing: not provided"))</f>
        <v>0</v>
      </c>
    </row>
    <row r="915" spans="1:47" x14ac:dyDescent="0.2">
      <c r="A915" s="5" t="str">
        <f ca="1">IF(B915=" "," ",HYPERLINK(CONCATENATE("#metadata!",ADDRESS(INDEX($Y$2:$Y$1001,MATCH(ROWS($W$2:W915),$W$2:$W$1001,0),0),1)),INDEX($AB$2:$AB$1001,MATCH(ROWS($W$2:W915),$W$2:$W$1001,0),0)))</f>
        <v xml:space="preserve"> </v>
      </c>
      <c r="B915" s="4" t="str">
        <f ca="1">IF(OR(INDEX($X$2:$X$1001,MATCH(ROWS($W$2:W915),$W$2:$W$1001,0),1)&gt;=100000,INDEX($AD$1005:$AU$1005,1,MATCH(COLUMNS($AD$1006:AD1006),$AD$1006:$AU$1006,0))&gt;=100000), " ",IF(INDEX($AD$2:$AU$1001,MATCH(ROWS($W$2:W915),$W$2:$W$1001,0),MATCH(COLUMNS($AD$1006:AD1006),$AD$1006:$AU$1006,0)), HYPERLINK("#",""), HYPERLINK(CONCATENATE("#metadata!", ADDRESS(INDEX($Y$2:$Y$1001,MATCH(ROWS($W$2:W915),$W$2:$W$1001,0),0), INDEX($AD$1004:$AU$1004,1,MATCH(COLUMNS($AD$1006:AD1006),$AD$1006:$AU$1006,0)))),"Fix")))</f>
        <v xml:space="preserve"> </v>
      </c>
      <c r="C915" s="4" t="str">
        <f ca="1">IF(OR(INDEX($X$2:$X$1001,MATCH(ROWS($W$2:W915),$W$2:$W$1001,0),1)&gt;=100000,INDEX($AD$1005:$AU$1005,1,MATCH(COLUMNS($AD$1006:AE1006),$AD$1006:$AU$1006,0))&gt;=100000), " ",IF(INDEX($AD$2:$AU$1001,MATCH(ROWS($W$2:W915),$W$2:$W$1001,0),MATCH(COLUMNS($AD$1006:AE1006),$AD$1006:$AU$1006,0)), HYPERLINK("#",""), HYPERLINK(CONCATENATE("#metadata!", ADDRESS(INDEX($Y$2:$Y$1001,MATCH(ROWS($W$2:W915),$W$2:$W$1001,0),0), INDEX($AD$1004:$AU$1004,1,MATCH(COLUMNS($AD$1006:AE1006),$AD$1006:$AU$1006,0)))),"Fix")))</f>
        <v xml:space="preserve"> </v>
      </c>
      <c r="D915" s="4" t="str">
        <f ca="1">IF(OR(INDEX($X$2:$X$1001,MATCH(ROWS($W$2:W915),$W$2:$W$1001,0),1)&gt;=100000,INDEX($AD$1005:$AU$1005,1,MATCH(COLUMNS($AD$1006:AF1006),$AD$1006:$AU$1006,0))&gt;=100000), " ",IF(INDEX($AD$2:$AU$1001,MATCH(ROWS($W$2:W915),$W$2:$W$1001,0),MATCH(COLUMNS($AD$1006:AF1006),$AD$1006:$AU$1006,0)), HYPERLINK("#",""), HYPERLINK(CONCATENATE("#metadata!", ADDRESS(INDEX($Y$2:$Y$1001,MATCH(ROWS($W$2:W915),$W$2:$W$1001,0),0), INDEX($AD$1004:$AU$1004,1,MATCH(COLUMNS($AD$1006:AF1006),$AD$1006:$AU$1006,0)))),"Fix")))</f>
        <v xml:space="preserve"> </v>
      </c>
      <c r="E915" s="4" t="str">
        <f ca="1">IF(OR(INDEX($X$2:$X$1001,MATCH(ROWS($W$2:W915),$W$2:$W$1001,0),1)&gt;=100000,INDEX($AD$1005:$AU$1005,1,MATCH(COLUMNS($AD$1006:AG1006),$AD$1006:$AU$1006,0))&gt;=100000), " ",IF(INDEX($AD$2:$AU$1001,MATCH(ROWS($W$2:W915),$W$2:$W$1001,0),MATCH(COLUMNS($AD$1006:AG1006),$AD$1006:$AU$1006,0)), HYPERLINK("#",""), HYPERLINK(CONCATENATE("#metadata!", ADDRESS(INDEX($Y$2:$Y$1001,MATCH(ROWS($W$2:W915),$W$2:$W$1001,0),0), INDEX($AD$1004:$AU$1004,1,MATCH(COLUMNS($AD$1006:AG1006),$AD$1006:$AU$1006,0)))),"Fix")))</f>
        <v xml:space="preserve"> </v>
      </c>
      <c r="F915" s="4" t="str">
        <f ca="1">IF(OR(INDEX($X$2:$X$1001,MATCH(ROWS($W$2:W915),$W$2:$W$1001,0),1)&gt;=100000,INDEX($AD$1005:$AU$1005,1,MATCH(COLUMNS($AD$1006:AH1006),$AD$1006:$AU$1006,0))&gt;=100000), " ",IF(INDEX($AD$2:$AU$1001,MATCH(ROWS($W$2:W915),$W$2:$W$1001,0),MATCH(COLUMNS($AD$1006:AH1006),$AD$1006:$AU$1006,0)), HYPERLINK("#",""), HYPERLINK(CONCATENATE("#metadata!", ADDRESS(INDEX($Y$2:$Y$1001,MATCH(ROWS($W$2:W915),$W$2:$W$1001,0),0), INDEX($AD$1004:$AU$1004,1,MATCH(COLUMNS($AD$1006:AH1006),$AD$1006:$AU$1006,0)))),"Fix")))</f>
        <v xml:space="preserve"> </v>
      </c>
      <c r="G915" s="4" t="str">
        <f ca="1">IF(OR(INDEX($X$2:$X$1001,MATCH(ROWS($W$2:W915),$W$2:$W$1001,0),1)&gt;=100000,INDEX($AD$1005:$AU$1005,1,MATCH(COLUMNS($AD$1006:AI1006),$AD$1006:$AU$1006,0))&gt;=100000), " ",IF(INDEX($AD$2:$AU$1001,MATCH(ROWS($W$2:W915),$W$2:$W$1001,0),MATCH(COLUMNS($AD$1006:AI1006),$AD$1006:$AU$1006,0)), HYPERLINK("#",""), HYPERLINK(CONCATENATE("#metadata!", ADDRESS(INDEX($Y$2:$Y$1001,MATCH(ROWS($W$2:W915),$W$2:$W$1001,0),0), INDEX($AD$1004:$AU$1004,1,MATCH(COLUMNS($AD$1006:AI1006),$AD$1006:$AU$1006,0)))),"Fix")))</f>
        <v xml:space="preserve"> </v>
      </c>
      <c r="H915" s="4" t="str">
        <f ca="1">IF(OR(INDEX($X$2:$X$1001,MATCH(ROWS($W$2:W915),$W$2:$W$1001,0),1)&gt;=100000,INDEX($AD$1005:$AU$1005,1,MATCH(COLUMNS($AD$1006:AJ1006),$AD$1006:$AU$1006,0))&gt;=100000), " ",IF(INDEX($AD$2:$AU$1001,MATCH(ROWS($W$2:W915),$W$2:$W$1001,0),MATCH(COLUMNS($AD$1006:AJ1006),$AD$1006:$AU$1006,0)), HYPERLINK("#",""), HYPERLINK(CONCATENATE("#metadata!", ADDRESS(INDEX($Y$2:$Y$1001,MATCH(ROWS($W$2:W915),$W$2:$W$1001,0),0), INDEX($AD$1004:$AU$1004,1,MATCH(COLUMNS($AD$1006:AJ1006),$AD$1006:$AU$1006,0)))),"Fix")))</f>
        <v xml:space="preserve"> </v>
      </c>
      <c r="I915" s="4" t="str">
        <f ca="1">IF(OR(INDEX($X$2:$X$1001,MATCH(ROWS($W$2:W915),$W$2:$W$1001,0),1)&gt;=100000,INDEX($AD$1005:$AU$1005,1,MATCH(COLUMNS($AD$1006:AK1006),$AD$1006:$AU$1006,0))&gt;=100000), " ",IF(INDEX($AD$2:$AU$1001,MATCH(ROWS($W$2:W915),$W$2:$W$1001,0),MATCH(COLUMNS($AD$1006:AK1006),$AD$1006:$AU$1006,0)), HYPERLINK("#",""), HYPERLINK(CONCATENATE("#metadata!", ADDRESS(INDEX($Y$2:$Y$1001,MATCH(ROWS($W$2:W915),$W$2:$W$1001,0),0), INDEX($AD$1004:$AU$1004,1,MATCH(COLUMNS($AD$1006:AK1006),$AD$1006:$AU$1006,0)))),"Fix")))</f>
        <v xml:space="preserve"> </v>
      </c>
      <c r="J915" s="4" t="str">
        <f ca="1">IF(OR(INDEX($X$2:$X$1001,MATCH(ROWS($W$2:W915),$W$2:$W$1001,0),1)&gt;=100000,INDEX($AD$1005:$AU$1005,1,MATCH(COLUMNS($AD$1006:AL1006),$AD$1006:$AU$1006,0))&gt;=100000), " ",IF(INDEX($AD$2:$AU$1001,MATCH(ROWS($W$2:W915),$W$2:$W$1001,0),MATCH(COLUMNS($AD$1006:AL1006),$AD$1006:$AU$1006,0)), HYPERLINK("#",""), HYPERLINK(CONCATENATE("#metadata!", ADDRESS(INDEX($Y$2:$Y$1001,MATCH(ROWS($W$2:W915),$W$2:$W$1001,0),0), INDEX($AD$1004:$AU$1004,1,MATCH(COLUMNS($AD$1006:AL1006),$AD$1006:$AU$1006,0)))),"Fix")))</f>
        <v xml:space="preserve"> </v>
      </c>
      <c r="K915" s="4" t="str">
        <f ca="1">IF(OR(INDEX($X$2:$X$1001,MATCH(ROWS($W$2:W915),$W$2:$W$1001,0),1)&gt;=100000,INDEX($AD$1005:$AU$1005,1,MATCH(COLUMNS($AD$1006:AM1006),$AD$1006:$AU$1006,0))&gt;=100000), " ",IF(INDEX($AD$2:$AU$1001,MATCH(ROWS($W$2:W915),$W$2:$W$1001,0),MATCH(COLUMNS($AD$1006:AM1006),$AD$1006:$AU$1006,0)), HYPERLINK("#",""), HYPERLINK(CONCATENATE("#metadata!", ADDRESS(INDEX($Y$2:$Y$1001,MATCH(ROWS($W$2:W915),$W$2:$W$1001,0),0), INDEX($AD$1004:$AU$1004,1,MATCH(COLUMNS($AD$1006:AM1006),$AD$1006:$AU$1006,0)))),"Fix")))</f>
        <v xml:space="preserve"> </v>
      </c>
      <c r="L915" s="4" t="str">
        <f ca="1">IF(OR(INDEX($X$2:$X$1001,MATCH(ROWS($W$2:W915),$W$2:$W$1001,0),1)&gt;=100000,INDEX($AD$1005:$AU$1005,1,MATCH(COLUMNS($AD$1006:AN1006),$AD$1006:$AU$1006,0))&gt;=100000), " ",IF(INDEX($AD$2:$AU$1001,MATCH(ROWS($W$2:W915),$W$2:$W$1001,0),MATCH(COLUMNS($AD$1006:AN1006),$AD$1006:$AU$1006,0)), HYPERLINK("#",""), HYPERLINK(CONCATENATE("#metadata!", ADDRESS(INDEX($Y$2:$Y$1001,MATCH(ROWS($W$2:W915),$W$2:$W$1001,0),0), INDEX($AD$1004:$AU$1004,1,MATCH(COLUMNS($AD$1006:AN1006),$AD$1006:$AU$1006,0)))),"Fix")))</f>
        <v xml:space="preserve"> </v>
      </c>
      <c r="M915" s="4" t="str">
        <f ca="1">IF(OR(INDEX($X$2:$X$1001,MATCH(ROWS($W$2:W915),$W$2:$W$1001,0),1)&gt;=100000,INDEX($AD$1005:$AU$1005,1,MATCH(COLUMNS($AD$1006:AO1006),$AD$1006:$AU$1006,0))&gt;=100000), " ",IF(INDEX($AD$2:$AU$1001,MATCH(ROWS($W$2:W915),$W$2:$W$1001,0),MATCH(COLUMNS($AD$1006:AO1006),$AD$1006:$AU$1006,0)), HYPERLINK("#",""), HYPERLINK(CONCATENATE("#metadata!", ADDRESS(INDEX($Y$2:$Y$1001,MATCH(ROWS($W$2:W915),$W$2:$W$1001,0),0), INDEX($AD$1004:$AU$1004,1,MATCH(COLUMNS($AD$1006:AO1006),$AD$1006:$AU$1006,0)))),"Fix")))</f>
        <v xml:space="preserve"> </v>
      </c>
      <c r="N915" s="4" t="str">
        <f ca="1">IF(OR(INDEX($X$2:$X$1001,MATCH(ROWS($W$2:W915),$W$2:$W$1001,0),1)&gt;=100000,INDEX($AD$1005:$AU$1005,1,MATCH(COLUMNS($AD$1006:AP1006),$AD$1006:$AU$1006,0))&gt;=100000), " ",IF(INDEX($AD$2:$AU$1001,MATCH(ROWS($W$2:W915),$W$2:$W$1001,0),MATCH(COLUMNS($AD$1006:AP1006),$AD$1006:$AU$1006,0)), HYPERLINK("#",""), HYPERLINK(CONCATENATE("#metadata!", ADDRESS(INDEX($Y$2:$Y$1001,MATCH(ROWS($W$2:W915),$W$2:$W$1001,0),0), INDEX($AD$1004:$AU$1004,1,MATCH(COLUMNS($AD$1006:AP1006),$AD$1006:$AU$1006,0)))),"Fix")))</f>
        <v xml:space="preserve"> </v>
      </c>
      <c r="O915" s="4" t="str">
        <f ca="1">IF(OR(INDEX($X$2:$X$1001,MATCH(ROWS($W$2:W915),$W$2:$W$1001,0),1)&gt;=100000,INDEX($AD$1005:$AU$1005,1,MATCH(COLUMNS($AD$1006:AQ1006),$AD$1006:$AU$1006,0))&gt;=100000), " ",IF(INDEX($AD$2:$AU$1001,MATCH(ROWS($W$2:W915),$W$2:$W$1001,0),MATCH(COLUMNS($AD$1006:AQ1006),$AD$1006:$AU$1006,0)), HYPERLINK("#",""), HYPERLINK(CONCATENATE("#metadata!", ADDRESS(INDEX($Y$2:$Y$1001,MATCH(ROWS($W$2:W915),$W$2:$W$1001,0),0), INDEX($AD$1004:$AU$1004,1,MATCH(COLUMNS($AD$1006:AQ1006),$AD$1006:$AU$1006,0)))),"Fix")))</f>
        <v xml:space="preserve"> </v>
      </c>
      <c r="P915" s="4" t="str">
        <f ca="1">IF(OR(INDEX($X$2:$X$1001,MATCH(ROWS($W$2:W915),$W$2:$W$1001,0),1)&gt;=100000,INDEX($AD$1005:$AU$1005,1,MATCH(COLUMNS($AD$1006:AR1006),$AD$1006:$AU$1006,0))&gt;=100000), " ",IF(INDEX($AD$2:$AU$1001,MATCH(ROWS($W$2:W915),$W$2:$W$1001,0),MATCH(COLUMNS($AD$1006:AR1006),$AD$1006:$AU$1006,0)), HYPERLINK("#",""), HYPERLINK(CONCATENATE("#metadata!", ADDRESS(INDEX($Y$2:$Y$1001,MATCH(ROWS($W$2:W915),$W$2:$W$1001,0),0), INDEX($AD$1004:$AU$1004,1,MATCH(COLUMNS($AD$1006:AR1006),$AD$1006:$AU$1006,0)))),"Fix")))</f>
        <v xml:space="preserve"> </v>
      </c>
      <c r="Q915" s="4" t="str">
        <f ca="1">IF(OR(INDEX($X$2:$X$1001,MATCH(ROWS($W$2:W915),$W$2:$W$1001,0),1)&gt;=100000,INDEX($AD$1005:$AU$1005,1,MATCH(COLUMNS($AD$1006:AS1006),$AD$1006:$AU$1006,0))&gt;=100000), " ",IF(INDEX($AD$2:$AU$1001,MATCH(ROWS($W$2:W915),$W$2:$W$1001,0),MATCH(COLUMNS($AD$1006:AS1006),$AD$1006:$AU$1006,0)), HYPERLINK("#",""), HYPERLINK(CONCATENATE("#metadata!", ADDRESS(INDEX($Y$2:$Y$1001,MATCH(ROWS($W$2:W915),$W$2:$W$1001,0),0), INDEX($AD$1004:$AU$1004,1,MATCH(COLUMNS($AD$1006:AS1006),$AD$1006:$AU$1006,0)))),"Fix")))</f>
        <v xml:space="preserve"> </v>
      </c>
      <c r="R915" s="4" t="str">
        <f ca="1">IF(OR(INDEX($X$2:$X$1001,MATCH(ROWS($W$2:W915),$W$2:$W$1001,0),1)&gt;=100000,INDEX($AD$1005:$AU$1005,1,MATCH(COLUMNS($AD$1006:AT1006),$AD$1006:$AU$1006,0))&gt;=100000), " ",IF(INDEX($AD$2:$AU$1001,MATCH(ROWS($W$2:W915),$W$2:$W$1001,0),MATCH(COLUMNS($AD$1006:AT1006),$AD$1006:$AU$1006,0)), HYPERLINK("#",""), HYPERLINK(CONCATENATE("#metadata!", ADDRESS(INDEX($Y$2:$Y$1001,MATCH(ROWS($W$2:W915),$W$2:$W$1001,0),0), INDEX($AD$1004:$AU$1004,1,MATCH(COLUMNS($AD$1006:AT1006),$AD$1006:$AU$1006,0)))),"Fix")))</f>
        <v xml:space="preserve"> </v>
      </c>
      <c r="S915" s="4" t="str">
        <f ca="1">IF(OR(INDEX($X$2:$X$1001,MATCH(ROWS($W$2:W915),$W$2:$W$1001,0),1)&gt;=100000,INDEX($AD$1005:$AU$1005,1,MATCH(COLUMNS($AD$1006:AU1006),$AD$1006:$AU$1006,0))&gt;=100000), " ",IF(INDEX($AD$2:$AU$1001,MATCH(ROWS($W$2:W915),$W$2:$W$1001,0),MATCH(COLUMNS($AD$1006:AU1006),$AD$1006:$AU$1006,0)), HYPERLINK("#",""), HYPERLINK(CONCATENATE("#metadata!", ADDRESS(INDEX($Y$2:$Y$1001,MATCH(ROWS($W$2:W915),$W$2:$W$1001,0),0), INDEX($AD$1004:$AU$1004,1,MATCH(COLUMNS($AD$1006:AU1006),$AD$1006:$AU$1006,0)))),"Fix")))</f>
        <v xml:space="preserve"> </v>
      </c>
      <c r="W915">
        <v>914</v>
      </c>
      <c r="X915">
        <v>100915</v>
      </c>
      <c r="Y915">
        <v>915</v>
      </c>
      <c r="Z915" t="b">
        <f t="shared" si="14"/>
        <v>1</v>
      </c>
      <c r="AA915" t="b">
        <f>COUNTBLANK(metadata!B915:S915)=COLUMNS(metadata!B915:S915)</f>
        <v>1</v>
      </c>
      <c r="AB915" t="str">
        <v/>
      </c>
      <c r="AD915" t="b">
        <f ca="1">AND(IF(metadata!B915="",FALSE,TRUE),COUNTIF(metadata!B:B, metadata!B915) = 1,NOT(ISERROR(SUMPRODUCT(SEARCH(MID(metadata!B915,ROW(INDIRECT("1:"&amp;LEN(metadata!B915))), 1),"0123456789abcdefghijklmnopqrstuvwxyzABCDEFGHIJKLMNOPQRSTUVWXYZ.")))))</f>
        <v>0</v>
      </c>
      <c r="AE915" t="b">
        <f>OR(AND(IF(metadata!C915="",FALSE,TRUE),OR(EXACT(metadata!C915,"not applicable"),EXACT(metadata!C915,"missing: not collected"),EXACT(metadata!C915,"missing: not provided"),EXACT(metadata!C915,"missing: restricted access"))),AND(IF(metadata!C915="",FALSE,ISNUMBER(VALUE(metadata!C915))),metadata!C915&gt;0))</f>
        <v>0</v>
      </c>
      <c r="AF915" t="b">
        <f>AND(IF(metadata!D915="",FALSE,TRUE),EXACT(metadata!D915,"missing: not provided"))</f>
        <v>0</v>
      </c>
      <c r="AG915" t="b">
        <f>AND(IF(metadata!E915="",FALSE,TRUE),EXACT(metadata!E915,"Host-associated"))</f>
        <v>0</v>
      </c>
      <c r="AH915" t="b">
        <f>AND(IF(metadata!F915="",FALSE,TRUE),OR(EXACT(metadata!F915,"Animal"),EXACT(metadata!F915,"Fungus"),EXACT(metadata!F915,"Plant")))</f>
        <v>0</v>
      </c>
      <c r="AI915" t="b">
        <f>AND(IF(metadata!G915="",FALSE,TRUE),OR(EXACT(metadata!G915,"Plant secretion"),EXACT(metadata!G915,"Plant rhizosphere"),EXACT(metadata!G915,"Plant surface"),EXACT(metadata!G915,"Plant corpus"),EXACT(metadata!G915,"Fungus surface"),EXACT(metadata!G915,"Fungus corpus"),EXACT(metadata!G915,"Animal surface"),EXACT(metadata!G915,"Animal proximal gut"),EXACT(metadata!G915,"Animal corpus"),EXACT(metadata!G915,"Animal distal gut"),EXACT(metadata!G915,"Animal secretion")))</f>
        <v>0</v>
      </c>
      <c r="AJ915" t="b">
        <f>OR(AND(IF(metadata!H915="",FALSE,TRUE),OR(EXACT(metadata!H915,"missing: not collected"),EXACT(metadata!H915,"missing: not provided"),EXACT(metadata!H915,"missing: restricted access"))),AND(IF(metadata!H915="",FALSE,TRUE),OR(EXACT(metadata!H915,"organism-associated habitat"),EXACT(metadata!H915,"plant-associated habitat"),EXACT(metadata!H915,"animal-associated habitat"),EXACT(metadata!H915,"insecta-associated habitat"),EXACT(metadata!H915,"mammalia-associated habitat"),EXACT(metadata!H915,"human-associated habitat"),EXACT(metadata!H915,"livestock-associated habitat"))))</f>
        <v>0</v>
      </c>
      <c r="AK915" t="b">
        <f>AND(IF(metadata!I915="",FALSE,TRUE),EXACT(metadata!I915,"host-associated"))</f>
        <v>0</v>
      </c>
      <c r="AL915" t="b">
        <f>OR(AND(IF(metadata!J915="",FALSE,TRUE),OR(EXACT(metadata!J915,"not applicable"),EXACT(metadata!J915,"missing: not collected"),EXACT(metadata!J915,"missing: not provided"),EXACT(metadata!J915,"missing: restricted access"))),AND(IF(metadata!J915="",FALSE,ISNUMBER(VALUE(metadata!J915))),metadata!J915&gt;0))</f>
        <v>0</v>
      </c>
      <c r="AM915" t="b">
        <f>AND(IF(metadata!K915="",FALSE,TRUE),EXACT(metadata!K915,"missing: not provided"))</f>
        <v>0</v>
      </c>
      <c r="AN915" t="b">
        <f>IF(metadata!L915="",FALSE,TRUE)</f>
        <v>0</v>
      </c>
      <c r="AO915" t="b">
        <f>IF(metadata!M915="",FALSE,TRUE)</f>
        <v>0</v>
      </c>
      <c r="AP915" t="b">
        <f>OR(AND(IF(metadata!N915="",FALSE,TRUE),OR(EXACT(metadata!N915,"not applicable"),EXACT(metadata!N915,"missing: not collected"),EXACT(metadata!N915,"missing: not provided"))),AND(IF(metadata!N915="",FALSE,IF(ISERROR(INT(metadata!N915)),FALSE,INT(metadata!N915)=metadata!N915)),metadata!N915&gt;0))</f>
        <v>0</v>
      </c>
      <c r="AQ915" t="b">
        <f>AND(IF(metadata!O915="",FALSE,TRUE),EXACT(metadata!O915,"Not applicable"))</f>
        <v>0</v>
      </c>
      <c r="AR915" t="b">
        <f>OR(AND(IF(metadata!P915="",FALSE,TRUE),OR(EXACT(metadata!P915,"not applicable"),EXACT(metadata!P915,"missing: not collected"),EXACT(metadata!P915,"missing: not provided"),EXACT(metadata!P915,"missing: restricted access"))),IF(metadata!P915="",FALSE,IF(ISERROR(INT(metadata!P915)),FALSE,INT(metadata!P915)=metadata!P915)))</f>
        <v>0</v>
      </c>
      <c r="AS915" t="b">
        <f>AND(IF(metadata!Q915="",FALSE,TRUE),EXACT(metadata!Q915,"Not applicable"))</f>
        <v>0</v>
      </c>
      <c r="AT915" t="b">
        <f>OR(AND(IF(metadata!R915="",FALSE,TRUE),OR(EXACT(metadata!R915,"not applicable"),EXACT(metadata!R915,"missing: not collected"),EXACT(metadata!R915,"missing: not provided"),EXACT(metadata!R915,"missing: restricted access"))),AND(IF(metadata!R915="",FALSE,ISNUMBER(VALUE(metadata!R915))),metadata!R915&gt;0))</f>
        <v>0</v>
      </c>
      <c r="AU915" t="b">
        <f>AND(IF(metadata!S915="",FALSE,TRUE),EXACT(metadata!S915,"missing: not provided"))</f>
        <v>0</v>
      </c>
    </row>
    <row r="916" spans="1:47" x14ac:dyDescent="0.2">
      <c r="A916" s="5" t="str">
        <f ca="1">IF(B916=" "," ",HYPERLINK(CONCATENATE("#metadata!",ADDRESS(INDEX($Y$2:$Y$1001,MATCH(ROWS($W$2:W916),$W$2:$W$1001,0),0),1)),INDEX($AB$2:$AB$1001,MATCH(ROWS($W$2:W916),$W$2:$W$1001,0),0)))</f>
        <v xml:space="preserve"> </v>
      </c>
      <c r="B916" s="4" t="str">
        <f ca="1">IF(OR(INDEX($X$2:$X$1001,MATCH(ROWS($W$2:W916),$W$2:$W$1001,0),1)&gt;=100000,INDEX($AD$1005:$AU$1005,1,MATCH(COLUMNS($AD$1006:AD1006),$AD$1006:$AU$1006,0))&gt;=100000), " ",IF(INDEX($AD$2:$AU$1001,MATCH(ROWS($W$2:W916),$W$2:$W$1001,0),MATCH(COLUMNS($AD$1006:AD1006),$AD$1006:$AU$1006,0)), HYPERLINK("#",""), HYPERLINK(CONCATENATE("#metadata!", ADDRESS(INDEX($Y$2:$Y$1001,MATCH(ROWS($W$2:W916),$W$2:$W$1001,0),0), INDEX($AD$1004:$AU$1004,1,MATCH(COLUMNS($AD$1006:AD1006),$AD$1006:$AU$1006,0)))),"Fix")))</f>
        <v xml:space="preserve"> </v>
      </c>
      <c r="C916" s="4" t="str">
        <f ca="1">IF(OR(INDEX($X$2:$X$1001,MATCH(ROWS($W$2:W916),$W$2:$W$1001,0),1)&gt;=100000,INDEX($AD$1005:$AU$1005,1,MATCH(COLUMNS($AD$1006:AE1006),$AD$1006:$AU$1006,0))&gt;=100000), " ",IF(INDEX($AD$2:$AU$1001,MATCH(ROWS($W$2:W916),$W$2:$W$1001,0),MATCH(COLUMNS($AD$1006:AE1006),$AD$1006:$AU$1006,0)), HYPERLINK("#",""), HYPERLINK(CONCATENATE("#metadata!", ADDRESS(INDEX($Y$2:$Y$1001,MATCH(ROWS($W$2:W916),$W$2:$W$1001,0),0), INDEX($AD$1004:$AU$1004,1,MATCH(COLUMNS($AD$1006:AE1006),$AD$1006:$AU$1006,0)))),"Fix")))</f>
        <v xml:space="preserve"> </v>
      </c>
      <c r="D916" s="4" t="str">
        <f ca="1">IF(OR(INDEX($X$2:$X$1001,MATCH(ROWS($W$2:W916),$W$2:$W$1001,0),1)&gt;=100000,INDEX($AD$1005:$AU$1005,1,MATCH(COLUMNS($AD$1006:AF1006),$AD$1006:$AU$1006,0))&gt;=100000), " ",IF(INDEX($AD$2:$AU$1001,MATCH(ROWS($W$2:W916),$W$2:$W$1001,0),MATCH(COLUMNS($AD$1006:AF1006),$AD$1006:$AU$1006,0)), HYPERLINK("#",""), HYPERLINK(CONCATENATE("#metadata!", ADDRESS(INDEX($Y$2:$Y$1001,MATCH(ROWS($W$2:W916),$W$2:$W$1001,0),0), INDEX($AD$1004:$AU$1004,1,MATCH(COLUMNS($AD$1006:AF1006),$AD$1006:$AU$1006,0)))),"Fix")))</f>
        <v xml:space="preserve"> </v>
      </c>
      <c r="E916" s="4" t="str">
        <f ca="1">IF(OR(INDEX($X$2:$X$1001,MATCH(ROWS($W$2:W916),$W$2:$W$1001,0),1)&gt;=100000,INDEX($AD$1005:$AU$1005,1,MATCH(COLUMNS($AD$1006:AG1006),$AD$1006:$AU$1006,0))&gt;=100000), " ",IF(INDEX($AD$2:$AU$1001,MATCH(ROWS($W$2:W916),$W$2:$W$1001,0),MATCH(COLUMNS($AD$1006:AG1006),$AD$1006:$AU$1006,0)), HYPERLINK("#",""), HYPERLINK(CONCATENATE("#metadata!", ADDRESS(INDEX($Y$2:$Y$1001,MATCH(ROWS($W$2:W916),$W$2:$W$1001,0),0), INDEX($AD$1004:$AU$1004,1,MATCH(COLUMNS($AD$1006:AG1006),$AD$1006:$AU$1006,0)))),"Fix")))</f>
        <v xml:space="preserve"> </v>
      </c>
      <c r="F916" s="4" t="str">
        <f ca="1">IF(OR(INDEX($X$2:$X$1001,MATCH(ROWS($W$2:W916),$W$2:$W$1001,0),1)&gt;=100000,INDEX($AD$1005:$AU$1005,1,MATCH(COLUMNS($AD$1006:AH1006),$AD$1006:$AU$1006,0))&gt;=100000), " ",IF(INDEX($AD$2:$AU$1001,MATCH(ROWS($W$2:W916),$W$2:$W$1001,0),MATCH(COLUMNS($AD$1006:AH1006),$AD$1006:$AU$1006,0)), HYPERLINK("#",""), HYPERLINK(CONCATENATE("#metadata!", ADDRESS(INDEX($Y$2:$Y$1001,MATCH(ROWS($W$2:W916),$W$2:$W$1001,0),0), INDEX($AD$1004:$AU$1004,1,MATCH(COLUMNS($AD$1006:AH1006),$AD$1006:$AU$1006,0)))),"Fix")))</f>
        <v xml:space="preserve"> </v>
      </c>
      <c r="G916" s="4" t="str">
        <f ca="1">IF(OR(INDEX($X$2:$X$1001,MATCH(ROWS($W$2:W916),$W$2:$W$1001,0),1)&gt;=100000,INDEX($AD$1005:$AU$1005,1,MATCH(COLUMNS($AD$1006:AI1006),$AD$1006:$AU$1006,0))&gt;=100000), " ",IF(INDEX($AD$2:$AU$1001,MATCH(ROWS($W$2:W916),$W$2:$W$1001,0),MATCH(COLUMNS($AD$1006:AI1006),$AD$1006:$AU$1006,0)), HYPERLINK("#",""), HYPERLINK(CONCATENATE("#metadata!", ADDRESS(INDEX($Y$2:$Y$1001,MATCH(ROWS($W$2:W916),$W$2:$W$1001,0),0), INDEX($AD$1004:$AU$1004,1,MATCH(COLUMNS($AD$1006:AI1006),$AD$1006:$AU$1006,0)))),"Fix")))</f>
        <v xml:space="preserve"> </v>
      </c>
      <c r="H916" s="4" t="str">
        <f ca="1">IF(OR(INDEX($X$2:$X$1001,MATCH(ROWS($W$2:W916),$W$2:$W$1001,0),1)&gt;=100000,INDEX($AD$1005:$AU$1005,1,MATCH(COLUMNS($AD$1006:AJ1006),$AD$1006:$AU$1006,0))&gt;=100000), " ",IF(INDEX($AD$2:$AU$1001,MATCH(ROWS($W$2:W916),$W$2:$W$1001,0),MATCH(COLUMNS($AD$1006:AJ1006),$AD$1006:$AU$1006,0)), HYPERLINK("#",""), HYPERLINK(CONCATENATE("#metadata!", ADDRESS(INDEX($Y$2:$Y$1001,MATCH(ROWS($W$2:W916),$W$2:$W$1001,0),0), INDEX($AD$1004:$AU$1004,1,MATCH(COLUMNS($AD$1006:AJ1006),$AD$1006:$AU$1006,0)))),"Fix")))</f>
        <v xml:space="preserve"> </v>
      </c>
      <c r="I916" s="4" t="str">
        <f ca="1">IF(OR(INDEX($X$2:$X$1001,MATCH(ROWS($W$2:W916),$W$2:$W$1001,0),1)&gt;=100000,INDEX($AD$1005:$AU$1005,1,MATCH(COLUMNS($AD$1006:AK1006),$AD$1006:$AU$1006,0))&gt;=100000), " ",IF(INDEX($AD$2:$AU$1001,MATCH(ROWS($W$2:W916),$W$2:$W$1001,0),MATCH(COLUMNS($AD$1006:AK1006),$AD$1006:$AU$1006,0)), HYPERLINK("#",""), HYPERLINK(CONCATENATE("#metadata!", ADDRESS(INDEX($Y$2:$Y$1001,MATCH(ROWS($W$2:W916),$W$2:$W$1001,0),0), INDEX($AD$1004:$AU$1004,1,MATCH(COLUMNS($AD$1006:AK1006),$AD$1006:$AU$1006,0)))),"Fix")))</f>
        <v xml:space="preserve"> </v>
      </c>
      <c r="J916" s="4" t="str">
        <f ca="1">IF(OR(INDEX($X$2:$X$1001,MATCH(ROWS($W$2:W916),$W$2:$W$1001,0),1)&gt;=100000,INDEX($AD$1005:$AU$1005,1,MATCH(COLUMNS($AD$1006:AL1006),$AD$1006:$AU$1006,0))&gt;=100000), " ",IF(INDEX($AD$2:$AU$1001,MATCH(ROWS($W$2:W916),$W$2:$W$1001,0),MATCH(COLUMNS($AD$1006:AL1006),$AD$1006:$AU$1006,0)), HYPERLINK("#",""), HYPERLINK(CONCATENATE("#metadata!", ADDRESS(INDEX($Y$2:$Y$1001,MATCH(ROWS($W$2:W916),$W$2:$W$1001,0),0), INDEX($AD$1004:$AU$1004,1,MATCH(COLUMNS($AD$1006:AL1006),$AD$1006:$AU$1006,0)))),"Fix")))</f>
        <v xml:space="preserve"> </v>
      </c>
      <c r="K916" s="4" t="str">
        <f ca="1">IF(OR(INDEX($X$2:$X$1001,MATCH(ROWS($W$2:W916),$W$2:$W$1001,0),1)&gt;=100000,INDEX($AD$1005:$AU$1005,1,MATCH(COLUMNS($AD$1006:AM1006),$AD$1006:$AU$1006,0))&gt;=100000), " ",IF(INDEX($AD$2:$AU$1001,MATCH(ROWS($W$2:W916),$W$2:$W$1001,0),MATCH(COLUMNS($AD$1006:AM1006),$AD$1006:$AU$1006,0)), HYPERLINK("#",""), HYPERLINK(CONCATENATE("#metadata!", ADDRESS(INDEX($Y$2:$Y$1001,MATCH(ROWS($W$2:W916),$W$2:$W$1001,0),0), INDEX($AD$1004:$AU$1004,1,MATCH(COLUMNS($AD$1006:AM1006),$AD$1006:$AU$1006,0)))),"Fix")))</f>
        <v xml:space="preserve"> </v>
      </c>
      <c r="L916" s="4" t="str">
        <f ca="1">IF(OR(INDEX($X$2:$X$1001,MATCH(ROWS($W$2:W916),$W$2:$W$1001,0),1)&gt;=100000,INDEX($AD$1005:$AU$1005,1,MATCH(COLUMNS($AD$1006:AN1006),$AD$1006:$AU$1006,0))&gt;=100000), " ",IF(INDEX($AD$2:$AU$1001,MATCH(ROWS($W$2:W916),$W$2:$W$1001,0),MATCH(COLUMNS($AD$1006:AN1006),$AD$1006:$AU$1006,0)), HYPERLINK("#",""), HYPERLINK(CONCATENATE("#metadata!", ADDRESS(INDEX($Y$2:$Y$1001,MATCH(ROWS($W$2:W916),$W$2:$W$1001,0),0), INDEX($AD$1004:$AU$1004,1,MATCH(COLUMNS($AD$1006:AN1006),$AD$1006:$AU$1006,0)))),"Fix")))</f>
        <v xml:space="preserve"> </v>
      </c>
      <c r="M916" s="4" t="str">
        <f ca="1">IF(OR(INDEX($X$2:$X$1001,MATCH(ROWS($W$2:W916),$W$2:$W$1001,0),1)&gt;=100000,INDEX($AD$1005:$AU$1005,1,MATCH(COLUMNS($AD$1006:AO1006),$AD$1006:$AU$1006,0))&gt;=100000), " ",IF(INDEX($AD$2:$AU$1001,MATCH(ROWS($W$2:W916),$W$2:$W$1001,0),MATCH(COLUMNS($AD$1006:AO1006),$AD$1006:$AU$1006,0)), HYPERLINK("#",""), HYPERLINK(CONCATENATE("#metadata!", ADDRESS(INDEX($Y$2:$Y$1001,MATCH(ROWS($W$2:W916),$W$2:$W$1001,0),0), INDEX($AD$1004:$AU$1004,1,MATCH(COLUMNS($AD$1006:AO1006),$AD$1006:$AU$1006,0)))),"Fix")))</f>
        <v xml:space="preserve"> </v>
      </c>
      <c r="N916" s="4" t="str">
        <f ca="1">IF(OR(INDEX($X$2:$X$1001,MATCH(ROWS($W$2:W916),$W$2:$W$1001,0),1)&gt;=100000,INDEX($AD$1005:$AU$1005,1,MATCH(COLUMNS($AD$1006:AP1006),$AD$1006:$AU$1006,0))&gt;=100000), " ",IF(INDEX($AD$2:$AU$1001,MATCH(ROWS($W$2:W916),$W$2:$W$1001,0),MATCH(COLUMNS($AD$1006:AP1006),$AD$1006:$AU$1006,0)), HYPERLINK("#",""), HYPERLINK(CONCATENATE("#metadata!", ADDRESS(INDEX($Y$2:$Y$1001,MATCH(ROWS($W$2:W916),$W$2:$W$1001,0),0), INDEX($AD$1004:$AU$1004,1,MATCH(COLUMNS($AD$1006:AP1006),$AD$1006:$AU$1006,0)))),"Fix")))</f>
        <v xml:space="preserve"> </v>
      </c>
      <c r="O916" s="4" t="str">
        <f ca="1">IF(OR(INDEX($X$2:$X$1001,MATCH(ROWS($W$2:W916),$W$2:$W$1001,0),1)&gt;=100000,INDEX($AD$1005:$AU$1005,1,MATCH(COLUMNS($AD$1006:AQ1006),$AD$1006:$AU$1006,0))&gt;=100000), " ",IF(INDEX($AD$2:$AU$1001,MATCH(ROWS($W$2:W916),$W$2:$W$1001,0),MATCH(COLUMNS($AD$1006:AQ1006),$AD$1006:$AU$1006,0)), HYPERLINK("#",""), HYPERLINK(CONCATENATE("#metadata!", ADDRESS(INDEX($Y$2:$Y$1001,MATCH(ROWS($W$2:W916),$W$2:$W$1001,0),0), INDEX($AD$1004:$AU$1004,1,MATCH(COLUMNS($AD$1006:AQ1006),$AD$1006:$AU$1006,0)))),"Fix")))</f>
        <v xml:space="preserve"> </v>
      </c>
      <c r="P916" s="4" t="str">
        <f ca="1">IF(OR(INDEX($X$2:$X$1001,MATCH(ROWS($W$2:W916),$W$2:$W$1001,0),1)&gt;=100000,INDEX($AD$1005:$AU$1005,1,MATCH(COLUMNS($AD$1006:AR1006),$AD$1006:$AU$1006,0))&gt;=100000), " ",IF(INDEX($AD$2:$AU$1001,MATCH(ROWS($W$2:W916),$W$2:$W$1001,0),MATCH(COLUMNS($AD$1006:AR1006),$AD$1006:$AU$1006,0)), HYPERLINK("#",""), HYPERLINK(CONCATENATE("#metadata!", ADDRESS(INDEX($Y$2:$Y$1001,MATCH(ROWS($W$2:W916),$W$2:$W$1001,0),0), INDEX($AD$1004:$AU$1004,1,MATCH(COLUMNS($AD$1006:AR1006),$AD$1006:$AU$1006,0)))),"Fix")))</f>
        <v xml:space="preserve"> </v>
      </c>
      <c r="Q916" s="4" t="str">
        <f ca="1">IF(OR(INDEX($X$2:$X$1001,MATCH(ROWS($W$2:W916),$W$2:$W$1001,0),1)&gt;=100000,INDEX($AD$1005:$AU$1005,1,MATCH(COLUMNS($AD$1006:AS1006),$AD$1006:$AU$1006,0))&gt;=100000), " ",IF(INDEX($AD$2:$AU$1001,MATCH(ROWS($W$2:W916),$W$2:$W$1001,0),MATCH(COLUMNS($AD$1006:AS1006),$AD$1006:$AU$1006,0)), HYPERLINK("#",""), HYPERLINK(CONCATENATE("#metadata!", ADDRESS(INDEX($Y$2:$Y$1001,MATCH(ROWS($W$2:W916),$W$2:$W$1001,0),0), INDEX($AD$1004:$AU$1004,1,MATCH(COLUMNS($AD$1006:AS1006),$AD$1006:$AU$1006,0)))),"Fix")))</f>
        <v xml:space="preserve"> </v>
      </c>
      <c r="R916" s="4" t="str">
        <f ca="1">IF(OR(INDEX($X$2:$X$1001,MATCH(ROWS($W$2:W916),$W$2:$W$1001,0),1)&gt;=100000,INDEX($AD$1005:$AU$1005,1,MATCH(COLUMNS($AD$1006:AT1006),$AD$1006:$AU$1006,0))&gt;=100000), " ",IF(INDEX($AD$2:$AU$1001,MATCH(ROWS($W$2:W916),$W$2:$W$1001,0),MATCH(COLUMNS($AD$1006:AT1006),$AD$1006:$AU$1006,0)), HYPERLINK("#",""), HYPERLINK(CONCATENATE("#metadata!", ADDRESS(INDEX($Y$2:$Y$1001,MATCH(ROWS($W$2:W916),$W$2:$W$1001,0),0), INDEX($AD$1004:$AU$1004,1,MATCH(COLUMNS($AD$1006:AT1006),$AD$1006:$AU$1006,0)))),"Fix")))</f>
        <v xml:space="preserve"> </v>
      </c>
      <c r="S916" s="4" t="str">
        <f ca="1">IF(OR(INDEX($X$2:$X$1001,MATCH(ROWS($W$2:W916),$W$2:$W$1001,0),1)&gt;=100000,INDEX($AD$1005:$AU$1005,1,MATCH(COLUMNS($AD$1006:AU1006),$AD$1006:$AU$1006,0))&gt;=100000), " ",IF(INDEX($AD$2:$AU$1001,MATCH(ROWS($W$2:W916),$W$2:$W$1001,0),MATCH(COLUMNS($AD$1006:AU1006),$AD$1006:$AU$1006,0)), HYPERLINK("#",""), HYPERLINK(CONCATENATE("#metadata!", ADDRESS(INDEX($Y$2:$Y$1001,MATCH(ROWS($W$2:W916),$W$2:$W$1001,0),0), INDEX($AD$1004:$AU$1004,1,MATCH(COLUMNS($AD$1006:AU1006),$AD$1006:$AU$1006,0)))),"Fix")))</f>
        <v xml:space="preserve"> </v>
      </c>
      <c r="W916">
        <v>915</v>
      </c>
      <c r="X916">
        <v>100916</v>
      </c>
      <c r="Y916">
        <v>916</v>
      </c>
      <c r="Z916" t="b">
        <f t="shared" si="14"/>
        <v>1</v>
      </c>
      <c r="AA916" t="b">
        <f>COUNTBLANK(metadata!B916:S916)=COLUMNS(metadata!B916:S916)</f>
        <v>1</v>
      </c>
      <c r="AB916" t="str">
        <v/>
      </c>
      <c r="AD916" t="b">
        <f ca="1">AND(IF(metadata!B916="",FALSE,TRUE),COUNTIF(metadata!B:B, metadata!B916) = 1,NOT(ISERROR(SUMPRODUCT(SEARCH(MID(metadata!B916,ROW(INDIRECT("1:"&amp;LEN(metadata!B916))), 1),"0123456789abcdefghijklmnopqrstuvwxyzABCDEFGHIJKLMNOPQRSTUVWXYZ.")))))</f>
        <v>0</v>
      </c>
      <c r="AE916" t="b">
        <f>OR(AND(IF(metadata!C916="",FALSE,TRUE),OR(EXACT(metadata!C916,"not applicable"),EXACT(metadata!C916,"missing: not collected"),EXACT(metadata!C916,"missing: not provided"),EXACT(metadata!C916,"missing: restricted access"))),AND(IF(metadata!C916="",FALSE,ISNUMBER(VALUE(metadata!C916))),metadata!C916&gt;0))</f>
        <v>0</v>
      </c>
      <c r="AF916" t="b">
        <f>AND(IF(metadata!D916="",FALSE,TRUE),EXACT(metadata!D916,"missing: not provided"))</f>
        <v>0</v>
      </c>
      <c r="AG916" t="b">
        <f>AND(IF(metadata!E916="",FALSE,TRUE),EXACT(metadata!E916,"Host-associated"))</f>
        <v>0</v>
      </c>
      <c r="AH916" t="b">
        <f>AND(IF(metadata!F916="",FALSE,TRUE),OR(EXACT(metadata!F916,"Animal"),EXACT(metadata!F916,"Fungus"),EXACT(metadata!F916,"Plant")))</f>
        <v>0</v>
      </c>
      <c r="AI916" t="b">
        <f>AND(IF(metadata!G916="",FALSE,TRUE),OR(EXACT(metadata!G916,"Plant secretion"),EXACT(metadata!G916,"Plant rhizosphere"),EXACT(metadata!G916,"Plant surface"),EXACT(metadata!G916,"Plant corpus"),EXACT(metadata!G916,"Fungus surface"),EXACT(metadata!G916,"Fungus corpus"),EXACT(metadata!G916,"Animal surface"),EXACT(metadata!G916,"Animal proximal gut"),EXACT(metadata!G916,"Animal corpus"),EXACT(metadata!G916,"Animal distal gut"),EXACT(metadata!G916,"Animal secretion")))</f>
        <v>0</v>
      </c>
      <c r="AJ916" t="b">
        <f>OR(AND(IF(metadata!H916="",FALSE,TRUE),OR(EXACT(metadata!H916,"missing: not collected"),EXACT(metadata!H916,"missing: not provided"),EXACT(metadata!H916,"missing: restricted access"))),AND(IF(metadata!H916="",FALSE,TRUE),OR(EXACT(metadata!H916,"organism-associated habitat"),EXACT(metadata!H916,"plant-associated habitat"),EXACT(metadata!H916,"animal-associated habitat"),EXACT(metadata!H916,"insecta-associated habitat"),EXACT(metadata!H916,"mammalia-associated habitat"),EXACT(metadata!H916,"human-associated habitat"),EXACT(metadata!H916,"livestock-associated habitat"))))</f>
        <v>0</v>
      </c>
      <c r="AK916" t="b">
        <f>AND(IF(metadata!I916="",FALSE,TRUE),EXACT(metadata!I916,"host-associated"))</f>
        <v>0</v>
      </c>
      <c r="AL916" t="b">
        <f>OR(AND(IF(metadata!J916="",FALSE,TRUE),OR(EXACT(metadata!J916,"not applicable"),EXACT(metadata!J916,"missing: not collected"),EXACT(metadata!J916,"missing: not provided"),EXACT(metadata!J916,"missing: restricted access"))),AND(IF(metadata!J916="",FALSE,ISNUMBER(VALUE(metadata!J916))),metadata!J916&gt;0))</f>
        <v>0</v>
      </c>
      <c r="AM916" t="b">
        <f>AND(IF(metadata!K916="",FALSE,TRUE),EXACT(metadata!K916,"missing: not provided"))</f>
        <v>0</v>
      </c>
      <c r="AN916" t="b">
        <f>IF(metadata!L916="",FALSE,TRUE)</f>
        <v>0</v>
      </c>
      <c r="AO916" t="b">
        <f>IF(metadata!M916="",FALSE,TRUE)</f>
        <v>0</v>
      </c>
      <c r="AP916" t="b">
        <f>OR(AND(IF(metadata!N916="",FALSE,TRUE),OR(EXACT(metadata!N916,"not applicable"),EXACT(metadata!N916,"missing: not collected"),EXACT(metadata!N916,"missing: not provided"))),AND(IF(metadata!N916="",FALSE,IF(ISERROR(INT(metadata!N916)),FALSE,INT(metadata!N916)=metadata!N916)),metadata!N916&gt;0))</f>
        <v>0</v>
      </c>
      <c r="AQ916" t="b">
        <f>AND(IF(metadata!O916="",FALSE,TRUE),EXACT(metadata!O916,"Not applicable"))</f>
        <v>0</v>
      </c>
      <c r="AR916" t="b">
        <f>OR(AND(IF(metadata!P916="",FALSE,TRUE),OR(EXACT(metadata!P916,"not applicable"),EXACT(metadata!P916,"missing: not collected"),EXACT(metadata!P916,"missing: not provided"),EXACT(metadata!P916,"missing: restricted access"))),IF(metadata!P916="",FALSE,IF(ISERROR(INT(metadata!P916)),FALSE,INT(metadata!P916)=metadata!P916)))</f>
        <v>0</v>
      </c>
      <c r="AS916" t="b">
        <f>AND(IF(metadata!Q916="",FALSE,TRUE),EXACT(metadata!Q916,"Not applicable"))</f>
        <v>0</v>
      </c>
      <c r="AT916" t="b">
        <f>OR(AND(IF(metadata!R916="",FALSE,TRUE),OR(EXACT(metadata!R916,"not applicable"),EXACT(metadata!R916,"missing: not collected"),EXACT(metadata!R916,"missing: not provided"),EXACT(metadata!R916,"missing: restricted access"))),AND(IF(metadata!R916="",FALSE,ISNUMBER(VALUE(metadata!R916))),metadata!R916&gt;0))</f>
        <v>0</v>
      </c>
      <c r="AU916" t="b">
        <f>AND(IF(metadata!S916="",FALSE,TRUE),EXACT(metadata!S916,"missing: not provided"))</f>
        <v>0</v>
      </c>
    </row>
    <row r="917" spans="1:47" x14ac:dyDescent="0.2">
      <c r="A917" s="5" t="str">
        <f ca="1">IF(B917=" "," ",HYPERLINK(CONCATENATE("#metadata!",ADDRESS(INDEX($Y$2:$Y$1001,MATCH(ROWS($W$2:W917),$W$2:$W$1001,0),0),1)),INDEX($AB$2:$AB$1001,MATCH(ROWS($W$2:W917),$W$2:$W$1001,0),0)))</f>
        <v xml:space="preserve"> </v>
      </c>
      <c r="B917" s="4" t="str">
        <f ca="1">IF(OR(INDEX($X$2:$X$1001,MATCH(ROWS($W$2:W917),$W$2:$W$1001,0),1)&gt;=100000,INDEX($AD$1005:$AU$1005,1,MATCH(COLUMNS($AD$1006:AD1006),$AD$1006:$AU$1006,0))&gt;=100000), " ",IF(INDEX($AD$2:$AU$1001,MATCH(ROWS($W$2:W917),$W$2:$W$1001,0),MATCH(COLUMNS($AD$1006:AD1006),$AD$1006:$AU$1006,0)), HYPERLINK("#",""), HYPERLINK(CONCATENATE("#metadata!", ADDRESS(INDEX($Y$2:$Y$1001,MATCH(ROWS($W$2:W917),$W$2:$W$1001,0),0), INDEX($AD$1004:$AU$1004,1,MATCH(COLUMNS($AD$1006:AD1006),$AD$1006:$AU$1006,0)))),"Fix")))</f>
        <v xml:space="preserve"> </v>
      </c>
      <c r="C917" s="4" t="str">
        <f ca="1">IF(OR(INDEX($X$2:$X$1001,MATCH(ROWS($W$2:W917),$W$2:$W$1001,0),1)&gt;=100000,INDEX($AD$1005:$AU$1005,1,MATCH(COLUMNS($AD$1006:AE1006),$AD$1006:$AU$1006,0))&gt;=100000), " ",IF(INDEX($AD$2:$AU$1001,MATCH(ROWS($W$2:W917),$W$2:$W$1001,0),MATCH(COLUMNS($AD$1006:AE1006),$AD$1006:$AU$1006,0)), HYPERLINK("#",""), HYPERLINK(CONCATENATE("#metadata!", ADDRESS(INDEX($Y$2:$Y$1001,MATCH(ROWS($W$2:W917),$W$2:$W$1001,0),0), INDEX($AD$1004:$AU$1004,1,MATCH(COLUMNS($AD$1006:AE1006),$AD$1006:$AU$1006,0)))),"Fix")))</f>
        <v xml:space="preserve"> </v>
      </c>
      <c r="D917" s="4" t="str">
        <f ca="1">IF(OR(INDEX($X$2:$X$1001,MATCH(ROWS($W$2:W917),$W$2:$W$1001,0),1)&gt;=100000,INDEX($AD$1005:$AU$1005,1,MATCH(COLUMNS($AD$1006:AF1006),$AD$1006:$AU$1006,0))&gt;=100000), " ",IF(INDEX($AD$2:$AU$1001,MATCH(ROWS($W$2:W917),$W$2:$W$1001,0),MATCH(COLUMNS($AD$1006:AF1006),$AD$1006:$AU$1006,0)), HYPERLINK("#",""), HYPERLINK(CONCATENATE("#metadata!", ADDRESS(INDEX($Y$2:$Y$1001,MATCH(ROWS($W$2:W917),$W$2:$W$1001,0),0), INDEX($AD$1004:$AU$1004,1,MATCH(COLUMNS($AD$1006:AF1006),$AD$1006:$AU$1006,0)))),"Fix")))</f>
        <v xml:space="preserve"> </v>
      </c>
      <c r="E917" s="4" t="str">
        <f ca="1">IF(OR(INDEX($X$2:$X$1001,MATCH(ROWS($W$2:W917),$W$2:$W$1001,0),1)&gt;=100000,INDEX($AD$1005:$AU$1005,1,MATCH(COLUMNS($AD$1006:AG1006),$AD$1006:$AU$1006,0))&gt;=100000), " ",IF(INDEX($AD$2:$AU$1001,MATCH(ROWS($W$2:W917),$W$2:$W$1001,0),MATCH(COLUMNS($AD$1006:AG1006),$AD$1006:$AU$1006,0)), HYPERLINK("#",""), HYPERLINK(CONCATENATE("#metadata!", ADDRESS(INDEX($Y$2:$Y$1001,MATCH(ROWS($W$2:W917),$W$2:$W$1001,0),0), INDEX($AD$1004:$AU$1004,1,MATCH(COLUMNS($AD$1006:AG1006),$AD$1006:$AU$1006,0)))),"Fix")))</f>
        <v xml:space="preserve"> </v>
      </c>
      <c r="F917" s="4" t="str">
        <f ca="1">IF(OR(INDEX($X$2:$X$1001,MATCH(ROWS($W$2:W917),$W$2:$W$1001,0),1)&gt;=100000,INDEX($AD$1005:$AU$1005,1,MATCH(COLUMNS($AD$1006:AH1006),$AD$1006:$AU$1006,0))&gt;=100000), " ",IF(INDEX($AD$2:$AU$1001,MATCH(ROWS($W$2:W917),$W$2:$W$1001,0),MATCH(COLUMNS($AD$1006:AH1006),$AD$1006:$AU$1006,0)), HYPERLINK("#",""), HYPERLINK(CONCATENATE("#metadata!", ADDRESS(INDEX($Y$2:$Y$1001,MATCH(ROWS($W$2:W917),$W$2:$W$1001,0),0), INDEX($AD$1004:$AU$1004,1,MATCH(COLUMNS($AD$1006:AH1006),$AD$1006:$AU$1006,0)))),"Fix")))</f>
        <v xml:space="preserve"> </v>
      </c>
      <c r="G917" s="4" t="str">
        <f ca="1">IF(OR(INDEX($X$2:$X$1001,MATCH(ROWS($W$2:W917),$W$2:$W$1001,0),1)&gt;=100000,INDEX($AD$1005:$AU$1005,1,MATCH(COLUMNS($AD$1006:AI1006),$AD$1006:$AU$1006,0))&gt;=100000), " ",IF(INDEX($AD$2:$AU$1001,MATCH(ROWS($W$2:W917),$W$2:$W$1001,0),MATCH(COLUMNS($AD$1006:AI1006),$AD$1006:$AU$1006,0)), HYPERLINK("#",""), HYPERLINK(CONCATENATE("#metadata!", ADDRESS(INDEX($Y$2:$Y$1001,MATCH(ROWS($W$2:W917),$W$2:$W$1001,0),0), INDEX($AD$1004:$AU$1004,1,MATCH(COLUMNS($AD$1006:AI1006),$AD$1006:$AU$1006,0)))),"Fix")))</f>
        <v xml:space="preserve"> </v>
      </c>
      <c r="H917" s="4" t="str">
        <f ca="1">IF(OR(INDEX($X$2:$X$1001,MATCH(ROWS($W$2:W917),$W$2:$W$1001,0),1)&gt;=100000,INDEX($AD$1005:$AU$1005,1,MATCH(COLUMNS($AD$1006:AJ1006),$AD$1006:$AU$1006,0))&gt;=100000), " ",IF(INDEX($AD$2:$AU$1001,MATCH(ROWS($W$2:W917),$W$2:$W$1001,0),MATCH(COLUMNS($AD$1006:AJ1006),$AD$1006:$AU$1006,0)), HYPERLINK("#",""), HYPERLINK(CONCATENATE("#metadata!", ADDRESS(INDEX($Y$2:$Y$1001,MATCH(ROWS($W$2:W917),$W$2:$W$1001,0),0), INDEX($AD$1004:$AU$1004,1,MATCH(COLUMNS($AD$1006:AJ1006),$AD$1006:$AU$1006,0)))),"Fix")))</f>
        <v xml:space="preserve"> </v>
      </c>
      <c r="I917" s="4" t="str">
        <f ca="1">IF(OR(INDEX($X$2:$X$1001,MATCH(ROWS($W$2:W917),$W$2:$W$1001,0),1)&gt;=100000,INDEX($AD$1005:$AU$1005,1,MATCH(COLUMNS($AD$1006:AK1006),$AD$1006:$AU$1006,0))&gt;=100000), " ",IF(INDEX($AD$2:$AU$1001,MATCH(ROWS($W$2:W917),$W$2:$W$1001,0),MATCH(COLUMNS($AD$1006:AK1006),$AD$1006:$AU$1006,0)), HYPERLINK("#",""), HYPERLINK(CONCATENATE("#metadata!", ADDRESS(INDEX($Y$2:$Y$1001,MATCH(ROWS($W$2:W917),$W$2:$W$1001,0),0), INDEX($AD$1004:$AU$1004,1,MATCH(COLUMNS($AD$1006:AK1006),$AD$1006:$AU$1006,0)))),"Fix")))</f>
        <v xml:space="preserve"> </v>
      </c>
      <c r="J917" s="4" t="str">
        <f ca="1">IF(OR(INDEX($X$2:$X$1001,MATCH(ROWS($W$2:W917),$W$2:$W$1001,0),1)&gt;=100000,INDEX($AD$1005:$AU$1005,1,MATCH(COLUMNS($AD$1006:AL1006),$AD$1006:$AU$1006,0))&gt;=100000), " ",IF(INDEX($AD$2:$AU$1001,MATCH(ROWS($W$2:W917),$W$2:$W$1001,0),MATCH(COLUMNS($AD$1006:AL1006),$AD$1006:$AU$1006,0)), HYPERLINK("#",""), HYPERLINK(CONCATENATE("#metadata!", ADDRESS(INDEX($Y$2:$Y$1001,MATCH(ROWS($W$2:W917),$W$2:$W$1001,0),0), INDEX($AD$1004:$AU$1004,1,MATCH(COLUMNS($AD$1006:AL1006),$AD$1006:$AU$1006,0)))),"Fix")))</f>
        <v xml:space="preserve"> </v>
      </c>
      <c r="K917" s="4" t="str">
        <f ca="1">IF(OR(INDEX($X$2:$X$1001,MATCH(ROWS($W$2:W917),$W$2:$W$1001,0),1)&gt;=100000,INDEX($AD$1005:$AU$1005,1,MATCH(COLUMNS($AD$1006:AM1006),$AD$1006:$AU$1006,0))&gt;=100000), " ",IF(INDEX($AD$2:$AU$1001,MATCH(ROWS($W$2:W917),$W$2:$W$1001,0),MATCH(COLUMNS($AD$1006:AM1006),$AD$1006:$AU$1006,0)), HYPERLINK("#",""), HYPERLINK(CONCATENATE("#metadata!", ADDRESS(INDEX($Y$2:$Y$1001,MATCH(ROWS($W$2:W917),$W$2:$W$1001,0),0), INDEX($AD$1004:$AU$1004,1,MATCH(COLUMNS($AD$1006:AM1006),$AD$1006:$AU$1006,0)))),"Fix")))</f>
        <v xml:space="preserve"> </v>
      </c>
      <c r="L917" s="4" t="str">
        <f ca="1">IF(OR(INDEX($X$2:$X$1001,MATCH(ROWS($W$2:W917),$W$2:$W$1001,0),1)&gt;=100000,INDEX($AD$1005:$AU$1005,1,MATCH(COLUMNS($AD$1006:AN1006),$AD$1006:$AU$1006,0))&gt;=100000), " ",IF(INDEX($AD$2:$AU$1001,MATCH(ROWS($W$2:W917),$W$2:$W$1001,0),MATCH(COLUMNS($AD$1006:AN1006),$AD$1006:$AU$1006,0)), HYPERLINK("#",""), HYPERLINK(CONCATENATE("#metadata!", ADDRESS(INDEX($Y$2:$Y$1001,MATCH(ROWS($W$2:W917),$W$2:$W$1001,0),0), INDEX($AD$1004:$AU$1004,1,MATCH(COLUMNS($AD$1006:AN1006),$AD$1006:$AU$1006,0)))),"Fix")))</f>
        <v xml:space="preserve"> </v>
      </c>
      <c r="M917" s="4" t="str">
        <f ca="1">IF(OR(INDEX($X$2:$X$1001,MATCH(ROWS($W$2:W917),$W$2:$W$1001,0),1)&gt;=100000,INDEX($AD$1005:$AU$1005,1,MATCH(COLUMNS($AD$1006:AO1006),$AD$1006:$AU$1006,0))&gt;=100000), " ",IF(INDEX($AD$2:$AU$1001,MATCH(ROWS($W$2:W917),$W$2:$W$1001,0),MATCH(COLUMNS($AD$1006:AO1006),$AD$1006:$AU$1006,0)), HYPERLINK("#",""), HYPERLINK(CONCATENATE("#metadata!", ADDRESS(INDEX($Y$2:$Y$1001,MATCH(ROWS($W$2:W917),$W$2:$W$1001,0),0), INDEX($AD$1004:$AU$1004,1,MATCH(COLUMNS($AD$1006:AO1006),$AD$1006:$AU$1006,0)))),"Fix")))</f>
        <v xml:space="preserve"> </v>
      </c>
      <c r="N917" s="4" t="str">
        <f ca="1">IF(OR(INDEX($X$2:$X$1001,MATCH(ROWS($W$2:W917),$W$2:$W$1001,0),1)&gt;=100000,INDEX($AD$1005:$AU$1005,1,MATCH(COLUMNS($AD$1006:AP1006),$AD$1006:$AU$1006,0))&gt;=100000), " ",IF(INDEX($AD$2:$AU$1001,MATCH(ROWS($W$2:W917),$W$2:$W$1001,0),MATCH(COLUMNS($AD$1006:AP1006),$AD$1006:$AU$1006,0)), HYPERLINK("#",""), HYPERLINK(CONCATENATE("#metadata!", ADDRESS(INDEX($Y$2:$Y$1001,MATCH(ROWS($W$2:W917),$W$2:$W$1001,0),0), INDEX($AD$1004:$AU$1004,1,MATCH(COLUMNS($AD$1006:AP1006),$AD$1006:$AU$1006,0)))),"Fix")))</f>
        <v xml:space="preserve"> </v>
      </c>
      <c r="O917" s="4" t="str">
        <f ca="1">IF(OR(INDEX($X$2:$X$1001,MATCH(ROWS($W$2:W917),$W$2:$W$1001,0),1)&gt;=100000,INDEX($AD$1005:$AU$1005,1,MATCH(COLUMNS($AD$1006:AQ1006),$AD$1006:$AU$1006,0))&gt;=100000), " ",IF(INDEX($AD$2:$AU$1001,MATCH(ROWS($W$2:W917),$W$2:$W$1001,0),MATCH(COLUMNS($AD$1006:AQ1006),$AD$1006:$AU$1006,0)), HYPERLINK("#",""), HYPERLINK(CONCATENATE("#metadata!", ADDRESS(INDEX($Y$2:$Y$1001,MATCH(ROWS($W$2:W917),$W$2:$W$1001,0),0), INDEX($AD$1004:$AU$1004,1,MATCH(COLUMNS($AD$1006:AQ1006),$AD$1006:$AU$1006,0)))),"Fix")))</f>
        <v xml:space="preserve"> </v>
      </c>
      <c r="P917" s="4" t="str">
        <f ca="1">IF(OR(INDEX($X$2:$X$1001,MATCH(ROWS($W$2:W917),$W$2:$W$1001,0),1)&gt;=100000,INDEX($AD$1005:$AU$1005,1,MATCH(COLUMNS($AD$1006:AR1006),$AD$1006:$AU$1006,0))&gt;=100000), " ",IF(INDEX($AD$2:$AU$1001,MATCH(ROWS($W$2:W917),$W$2:$W$1001,0),MATCH(COLUMNS($AD$1006:AR1006),$AD$1006:$AU$1006,0)), HYPERLINK("#",""), HYPERLINK(CONCATENATE("#metadata!", ADDRESS(INDEX($Y$2:$Y$1001,MATCH(ROWS($W$2:W917),$W$2:$W$1001,0),0), INDEX($AD$1004:$AU$1004,1,MATCH(COLUMNS($AD$1006:AR1006),$AD$1006:$AU$1006,0)))),"Fix")))</f>
        <v xml:space="preserve"> </v>
      </c>
      <c r="Q917" s="4" t="str">
        <f ca="1">IF(OR(INDEX($X$2:$X$1001,MATCH(ROWS($W$2:W917),$W$2:$W$1001,0),1)&gt;=100000,INDEX($AD$1005:$AU$1005,1,MATCH(COLUMNS($AD$1006:AS1006),$AD$1006:$AU$1006,0))&gt;=100000), " ",IF(INDEX($AD$2:$AU$1001,MATCH(ROWS($W$2:W917),$W$2:$W$1001,0),MATCH(COLUMNS($AD$1006:AS1006),$AD$1006:$AU$1006,0)), HYPERLINK("#",""), HYPERLINK(CONCATENATE("#metadata!", ADDRESS(INDEX($Y$2:$Y$1001,MATCH(ROWS($W$2:W917),$W$2:$W$1001,0),0), INDEX($AD$1004:$AU$1004,1,MATCH(COLUMNS($AD$1006:AS1006),$AD$1006:$AU$1006,0)))),"Fix")))</f>
        <v xml:space="preserve"> </v>
      </c>
      <c r="R917" s="4" t="str">
        <f ca="1">IF(OR(INDEX($X$2:$X$1001,MATCH(ROWS($W$2:W917),$W$2:$W$1001,0),1)&gt;=100000,INDEX($AD$1005:$AU$1005,1,MATCH(COLUMNS($AD$1006:AT1006),$AD$1006:$AU$1006,0))&gt;=100000), " ",IF(INDEX($AD$2:$AU$1001,MATCH(ROWS($W$2:W917),$W$2:$W$1001,0),MATCH(COLUMNS($AD$1006:AT1006),$AD$1006:$AU$1006,0)), HYPERLINK("#",""), HYPERLINK(CONCATENATE("#metadata!", ADDRESS(INDEX($Y$2:$Y$1001,MATCH(ROWS($W$2:W917),$W$2:$W$1001,0),0), INDEX($AD$1004:$AU$1004,1,MATCH(COLUMNS($AD$1006:AT1006),$AD$1006:$AU$1006,0)))),"Fix")))</f>
        <v xml:space="preserve"> </v>
      </c>
      <c r="S917" s="4" t="str">
        <f ca="1">IF(OR(INDEX($X$2:$X$1001,MATCH(ROWS($W$2:W917),$W$2:$W$1001,0),1)&gt;=100000,INDEX($AD$1005:$AU$1005,1,MATCH(COLUMNS($AD$1006:AU1006),$AD$1006:$AU$1006,0))&gt;=100000), " ",IF(INDEX($AD$2:$AU$1001,MATCH(ROWS($W$2:W917),$W$2:$W$1001,0),MATCH(COLUMNS($AD$1006:AU1006),$AD$1006:$AU$1006,0)), HYPERLINK("#",""), HYPERLINK(CONCATENATE("#metadata!", ADDRESS(INDEX($Y$2:$Y$1001,MATCH(ROWS($W$2:W917),$W$2:$W$1001,0),0), INDEX($AD$1004:$AU$1004,1,MATCH(COLUMNS($AD$1006:AU1006),$AD$1006:$AU$1006,0)))),"Fix")))</f>
        <v xml:space="preserve"> </v>
      </c>
      <c r="W917">
        <v>916</v>
      </c>
      <c r="X917">
        <v>100917</v>
      </c>
      <c r="Y917">
        <v>917</v>
      </c>
      <c r="Z917" t="b">
        <f t="shared" si="14"/>
        <v>1</v>
      </c>
      <c r="AA917" t="b">
        <f>COUNTBLANK(metadata!B917:S917)=COLUMNS(metadata!B917:S917)</f>
        <v>1</v>
      </c>
      <c r="AB917" t="str">
        <v/>
      </c>
      <c r="AD917" t="b">
        <f ca="1">AND(IF(metadata!B917="",FALSE,TRUE),COUNTIF(metadata!B:B, metadata!B917) = 1,NOT(ISERROR(SUMPRODUCT(SEARCH(MID(metadata!B917,ROW(INDIRECT("1:"&amp;LEN(metadata!B917))), 1),"0123456789abcdefghijklmnopqrstuvwxyzABCDEFGHIJKLMNOPQRSTUVWXYZ.")))))</f>
        <v>0</v>
      </c>
      <c r="AE917" t="b">
        <f>OR(AND(IF(metadata!C917="",FALSE,TRUE),OR(EXACT(metadata!C917,"not applicable"),EXACT(metadata!C917,"missing: not collected"),EXACT(metadata!C917,"missing: not provided"),EXACT(metadata!C917,"missing: restricted access"))),AND(IF(metadata!C917="",FALSE,ISNUMBER(VALUE(metadata!C917))),metadata!C917&gt;0))</f>
        <v>0</v>
      </c>
      <c r="AF917" t="b">
        <f>AND(IF(metadata!D917="",FALSE,TRUE),EXACT(metadata!D917,"missing: not provided"))</f>
        <v>0</v>
      </c>
      <c r="AG917" t="b">
        <f>AND(IF(metadata!E917="",FALSE,TRUE),EXACT(metadata!E917,"Host-associated"))</f>
        <v>0</v>
      </c>
      <c r="AH917" t="b">
        <f>AND(IF(metadata!F917="",FALSE,TRUE),OR(EXACT(metadata!F917,"Animal"),EXACT(metadata!F917,"Fungus"),EXACT(metadata!F917,"Plant")))</f>
        <v>0</v>
      </c>
      <c r="AI917" t="b">
        <f>AND(IF(metadata!G917="",FALSE,TRUE),OR(EXACT(metadata!G917,"Plant secretion"),EXACT(metadata!G917,"Plant rhizosphere"),EXACT(metadata!G917,"Plant surface"),EXACT(metadata!G917,"Plant corpus"),EXACT(metadata!G917,"Fungus surface"),EXACT(metadata!G917,"Fungus corpus"),EXACT(metadata!G917,"Animal surface"),EXACT(metadata!G917,"Animal proximal gut"),EXACT(metadata!G917,"Animal corpus"),EXACT(metadata!G917,"Animal distal gut"),EXACT(metadata!G917,"Animal secretion")))</f>
        <v>0</v>
      </c>
      <c r="AJ917" t="b">
        <f>OR(AND(IF(metadata!H917="",FALSE,TRUE),OR(EXACT(metadata!H917,"missing: not collected"),EXACT(metadata!H917,"missing: not provided"),EXACT(metadata!H917,"missing: restricted access"))),AND(IF(metadata!H917="",FALSE,TRUE),OR(EXACT(metadata!H917,"organism-associated habitat"),EXACT(metadata!H917,"plant-associated habitat"),EXACT(metadata!H917,"animal-associated habitat"),EXACT(metadata!H917,"insecta-associated habitat"),EXACT(metadata!H917,"mammalia-associated habitat"),EXACT(metadata!H917,"human-associated habitat"),EXACT(metadata!H917,"livestock-associated habitat"))))</f>
        <v>0</v>
      </c>
      <c r="AK917" t="b">
        <f>AND(IF(metadata!I917="",FALSE,TRUE),EXACT(metadata!I917,"host-associated"))</f>
        <v>0</v>
      </c>
      <c r="AL917" t="b">
        <f>OR(AND(IF(metadata!J917="",FALSE,TRUE),OR(EXACT(metadata!J917,"not applicable"),EXACT(metadata!J917,"missing: not collected"),EXACT(metadata!J917,"missing: not provided"),EXACT(metadata!J917,"missing: restricted access"))),AND(IF(metadata!J917="",FALSE,ISNUMBER(VALUE(metadata!J917))),metadata!J917&gt;0))</f>
        <v>0</v>
      </c>
      <c r="AM917" t="b">
        <f>AND(IF(metadata!K917="",FALSE,TRUE),EXACT(metadata!K917,"missing: not provided"))</f>
        <v>0</v>
      </c>
      <c r="AN917" t="b">
        <f>IF(metadata!L917="",FALSE,TRUE)</f>
        <v>0</v>
      </c>
      <c r="AO917" t="b">
        <f>IF(metadata!M917="",FALSE,TRUE)</f>
        <v>0</v>
      </c>
      <c r="AP917" t="b">
        <f>OR(AND(IF(metadata!N917="",FALSE,TRUE),OR(EXACT(metadata!N917,"not applicable"),EXACT(metadata!N917,"missing: not collected"),EXACT(metadata!N917,"missing: not provided"))),AND(IF(metadata!N917="",FALSE,IF(ISERROR(INT(metadata!N917)),FALSE,INT(metadata!N917)=metadata!N917)),metadata!N917&gt;0))</f>
        <v>0</v>
      </c>
      <c r="AQ917" t="b">
        <f>AND(IF(metadata!O917="",FALSE,TRUE),EXACT(metadata!O917,"Not applicable"))</f>
        <v>0</v>
      </c>
      <c r="AR917" t="b">
        <f>OR(AND(IF(metadata!P917="",FALSE,TRUE),OR(EXACT(metadata!P917,"not applicable"),EXACT(metadata!P917,"missing: not collected"),EXACT(metadata!P917,"missing: not provided"),EXACT(metadata!P917,"missing: restricted access"))),IF(metadata!P917="",FALSE,IF(ISERROR(INT(metadata!P917)),FALSE,INT(metadata!P917)=metadata!P917)))</f>
        <v>0</v>
      </c>
      <c r="AS917" t="b">
        <f>AND(IF(metadata!Q917="",FALSE,TRUE),EXACT(metadata!Q917,"Not applicable"))</f>
        <v>0</v>
      </c>
      <c r="AT917" t="b">
        <f>OR(AND(IF(metadata!R917="",FALSE,TRUE),OR(EXACT(metadata!R917,"not applicable"),EXACT(metadata!R917,"missing: not collected"),EXACT(metadata!R917,"missing: not provided"),EXACT(metadata!R917,"missing: restricted access"))),AND(IF(metadata!R917="",FALSE,ISNUMBER(VALUE(metadata!R917))),metadata!R917&gt;0))</f>
        <v>0</v>
      </c>
      <c r="AU917" t="b">
        <f>AND(IF(metadata!S917="",FALSE,TRUE),EXACT(metadata!S917,"missing: not provided"))</f>
        <v>0</v>
      </c>
    </row>
    <row r="918" spans="1:47" x14ac:dyDescent="0.2">
      <c r="A918" s="5" t="str">
        <f ca="1">IF(B918=" "," ",HYPERLINK(CONCATENATE("#metadata!",ADDRESS(INDEX($Y$2:$Y$1001,MATCH(ROWS($W$2:W918),$W$2:$W$1001,0),0),1)),INDEX($AB$2:$AB$1001,MATCH(ROWS($W$2:W918),$W$2:$W$1001,0),0)))</f>
        <v xml:space="preserve"> </v>
      </c>
      <c r="B918" s="4" t="str">
        <f ca="1">IF(OR(INDEX($X$2:$X$1001,MATCH(ROWS($W$2:W918),$W$2:$W$1001,0),1)&gt;=100000,INDEX($AD$1005:$AU$1005,1,MATCH(COLUMNS($AD$1006:AD1006),$AD$1006:$AU$1006,0))&gt;=100000), " ",IF(INDEX($AD$2:$AU$1001,MATCH(ROWS($W$2:W918),$W$2:$W$1001,0),MATCH(COLUMNS($AD$1006:AD1006),$AD$1006:$AU$1006,0)), HYPERLINK("#",""), HYPERLINK(CONCATENATE("#metadata!", ADDRESS(INDEX($Y$2:$Y$1001,MATCH(ROWS($W$2:W918),$W$2:$W$1001,0),0), INDEX($AD$1004:$AU$1004,1,MATCH(COLUMNS($AD$1006:AD1006),$AD$1006:$AU$1006,0)))),"Fix")))</f>
        <v xml:space="preserve"> </v>
      </c>
      <c r="C918" s="4" t="str">
        <f ca="1">IF(OR(INDEX($X$2:$X$1001,MATCH(ROWS($W$2:W918),$W$2:$W$1001,0),1)&gt;=100000,INDEX($AD$1005:$AU$1005,1,MATCH(COLUMNS($AD$1006:AE1006),$AD$1006:$AU$1006,0))&gt;=100000), " ",IF(INDEX($AD$2:$AU$1001,MATCH(ROWS($W$2:W918),$W$2:$W$1001,0),MATCH(COLUMNS($AD$1006:AE1006),$AD$1006:$AU$1006,0)), HYPERLINK("#",""), HYPERLINK(CONCATENATE("#metadata!", ADDRESS(INDEX($Y$2:$Y$1001,MATCH(ROWS($W$2:W918),$W$2:$W$1001,0),0), INDEX($AD$1004:$AU$1004,1,MATCH(COLUMNS($AD$1006:AE1006),$AD$1006:$AU$1006,0)))),"Fix")))</f>
        <v xml:space="preserve"> </v>
      </c>
      <c r="D918" s="4" t="str">
        <f ca="1">IF(OR(INDEX($X$2:$X$1001,MATCH(ROWS($W$2:W918),$W$2:$W$1001,0),1)&gt;=100000,INDEX($AD$1005:$AU$1005,1,MATCH(COLUMNS($AD$1006:AF1006),$AD$1006:$AU$1006,0))&gt;=100000), " ",IF(INDEX($AD$2:$AU$1001,MATCH(ROWS($W$2:W918),$W$2:$W$1001,0),MATCH(COLUMNS($AD$1006:AF1006),$AD$1006:$AU$1006,0)), HYPERLINK("#",""), HYPERLINK(CONCATENATE("#metadata!", ADDRESS(INDEX($Y$2:$Y$1001,MATCH(ROWS($W$2:W918),$W$2:$W$1001,0),0), INDEX($AD$1004:$AU$1004,1,MATCH(COLUMNS($AD$1006:AF1006),$AD$1006:$AU$1006,0)))),"Fix")))</f>
        <v xml:space="preserve"> </v>
      </c>
      <c r="E918" s="4" t="str">
        <f ca="1">IF(OR(INDEX($X$2:$X$1001,MATCH(ROWS($W$2:W918),$W$2:$W$1001,0),1)&gt;=100000,INDEX($AD$1005:$AU$1005,1,MATCH(COLUMNS($AD$1006:AG1006),$AD$1006:$AU$1006,0))&gt;=100000), " ",IF(INDEX($AD$2:$AU$1001,MATCH(ROWS($W$2:W918),$W$2:$W$1001,0),MATCH(COLUMNS($AD$1006:AG1006),$AD$1006:$AU$1006,0)), HYPERLINK("#",""), HYPERLINK(CONCATENATE("#metadata!", ADDRESS(INDEX($Y$2:$Y$1001,MATCH(ROWS($W$2:W918),$W$2:$W$1001,0),0), INDEX($AD$1004:$AU$1004,1,MATCH(COLUMNS($AD$1006:AG1006),$AD$1006:$AU$1006,0)))),"Fix")))</f>
        <v xml:space="preserve"> </v>
      </c>
      <c r="F918" s="4" t="str">
        <f ca="1">IF(OR(INDEX($X$2:$X$1001,MATCH(ROWS($W$2:W918),$W$2:$W$1001,0),1)&gt;=100000,INDEX($AD$1005:$AU$1005,1,MATCH(COLUMNS($AD$1006:AH1006),$AD$1006:$AU$1006,0))&gt;=100000), " ",IF(INDEX($AD$2:$AU$1001,MATCH(ROWS($W$2:W918),$W$2:$W$1001,0),MATCH(COLUMNS($AD$1006:AH1006),$AD$1006:$AU$1006,0)), HYPERLINK("#",""), HYPERLINK(CONCATENATE("#metadata!", ADDRESS(INDEX($Y$2:$Y$1001,MATCH(ROWS($W$2:W918),$W$2:$W$1001,0),0), INDEX($AD$1004:$AU$1004,1,MATCH(COLUMNS($AD$1006:AH1006),$AD$1006:$AU$1006,0)))),"Fix")))</f>
        <v xml:space="preserve"> </v>
      </c>
      <c r="G918" s="4" t="str">
        <f ca="1">IF(OR(INDEX($X$2:$X$1001,MATCH(ROWS($W$2:W918),$W$2:$W$1001,0),1)&gt;=100000,INDEX($AD$1005:$AU$1005,1,MATCH(COLUMNS($AD$1006:AI1006),$AD$1006:$AU$1006,0))&gt;=100000), " ",IF(INDEX($AD$2:$AU$1001,MATCH(ROWS($W$2:W918),$W$2:$W$1001,0),MATCH(COLUMNS($AD$1006:AI1006),$AD$1006:$AU$1006,0)), HYPERLINK("#",""), HYPERLINK(CONCATENATE("#metadata!", ADDRESS(INDEX($Y$2:$Y$1001,MATCH(ROWS($W$2:W918),$W$2:$W$1001,0),0), INDEX($AD$1004:$AU$1004,1,MATCH(COLUMNS($AD$1006:AI1006),$AD$1006:$AU$1006,0)))),"Fix")))</f>
        <v xml:space="preserve"> </v>
      </c>
      <c r="H918" s="4" t="str">
        <f ca="1">IF(OR(INDEX($X$2:$X$1001,MATCH(ROWS($W$2:W918),$W$2:$W$1001,0),1)&gt;=100000,INDEX($AD$1005:$AU$1005,1,MATCH(COLUMNS($AD$1006:AJ1006),$AD$1006:$AU$1006,0))&gt;=100000), " ",IF(INDEX($AD$2:$AU$1001,MATCH(ROWS($W$2:W918),$W$2:$W$1001,0),MATCH(COLUMNS($AD$1006:AJ1006),$AD$1006:$AU$1006,0)), HYPERLINK("#",""), HYPERLINK(CONCATENATE("#metadata!", ADDRESS(INDEX($Y$2:$Y$1001,MATCH(ROWS($W$2:W918),$W$2:$W$1001,0),0), INDEX($AD$1004:$AU$1004,1,MATCH(COLUMNS($AD$1006:AJ1006),$AD$1006:$AU$1006,0)))),"Fix")))</f>
        <v xml:space="preserve"> </v>
      </c>
      <c r="I918" s="4" t="str">
        <f ca="1">IF(OR(INDEX($X$2:$X$1001,MATCH(ROWS($W$2:W918),$W$2:$W$1001,0),1)&gt;=100000,INDEX($AD$1005:$AU$1005,1,MATCH(COLUMNS($AD$1006:AK1006),$AD$1006:$AU$1006,0))&gt;=100000), " ",IF(INDEX($AD$2:$AU$1001,MATCH(ROWS($W$2:W918),$W$2:$W$1001,0),MATCH(COLUMNS($AD$1006:AK1006),$AD$1006:$AU$1006,0)), HYPERLINK("#",""), HYPERLINK(CONCATENATE("#metadata!", ADDRESS(INDEX($Y$2:$Y$1001,MATCH(ROWS($W$2:W918),$W$2:$W$1001,0),0), INDEX($AD$1004:$AU$1004,1,MATCH(COLUMNS($AD$1006:AK1006),$AD$1006:$AU$1006,0)))),"Fix")))</f>
        <v xml:space="preserve"> </v>
      </c>
      <c r="J918" s="4" t="str">
        <f ca="1">IF(OR(INDEX($X$2:$X$1001,MATCH(ROWS($W$2:W918),$W$2:$W$1001,0),1)&gt;=100000,INDEX($AD$1005:$AU$1005,1,MATCH(COLUMNS($AD$1006:AL1006),$AD$1006:$AU$1006,0))&gt;=100000), " ",IF(INDEX($AD$2:$AU$1001,MATCH(ROWS($W$2:W918),$W$2:$W$1001,0),MATCH(COLUMNS($AD$1006:AL1006),$AD$1006:$AU$1006,0)), HYPERLINK("#",""), HYPERLINK(CONCATENATE("#metadata!", ADDRESS(INDEX($Y$2:$Y$1001,MATCH(ROWS($W$2:W918),$W$2:$W$1001,0),0), INDEX($AD$1004:$AU$1004,1,MATCH(COLUMNS($AD$1006:AL1006),$AD$1006:$AU$1006,0)))),"Fix")))</f>
        <v xml:space="preserve"> </v>
      </c>
      <c r="K918" s="4" t="str">
        <f ca="1">IF(OR(INDEX($X$2:$X$1001,MATCH(ROWS($W$2:W918),$W$2:$W$1001,0),1)&gt;=100000,INDEX($AD$1005:$AU$1005,1,MATCH(COLUMNS($AD$1006:AM1006),$AD$1006:$AU$1006,0))&gt;=100000), " ",IF(INDEX($AD$2:$AU$1001,MATCH(ROWS($W$2:W918),$W$2:$W$1001,0),MATCH(COLUMNS($AD$1006:AM1006),$AD$1006:$AU$1006,0)), HYPERLINK("#",""), HYPERLINK(CONCATENATE("#metadata!", ADDRESS(INDEX($Y$2:$Y$1001,MATCH(ROWS($W$2:W918),$W$2:$W$1001,0),0), INDEX($AD$1004:$AU$1004,1,MATCH(COLUMNS($AD$1006:AM1006),$AD$1006:$AU$1006,0)))),"Fix")))</f>
        <v xml:space="preserve"> </v>
      </c>
      <c r="L918" s="4" t="str">
        <f ca="1">IF(OR(INDEX($X$2:$X$1001,MATCH(ROWS($W$2:W918),$W$2:$W$1001,0),1)&gt;=100000,INDEX($AD$1005:$AU$1005,1,MATCH(COLUMNS($AD$1006:AN1006),$AD$1006:$AU$1006,0))&gt;=100000), " ",IF(INDEX($AD$2:$AU$1001,MATCH(ROWS($W$2:W918),$W$2:$W$1001,0),MATCH(COLUMNS($AD$1006:AN1006),$AD$1006:$AU$1006,0)), HYPERLINK("#",""), HYPERLINK(CONCATENATE("#metadata!", ADDRESS(INDEX($Y$2:$Y$1001,MATCH(ROWS($W$2:W918),$W$2:$W$1001,0),0), INDEX($AD$1004:$AU$1004,1,MATCH(COLUMNS($AD$1006:AN1006),$AD$1006:$AU$1006,0)))),"Fix")))</f>
        <v xml:space="preserve"> </v>
      </c>
      <c r="M918" s="4" t="str">
        <f ca="1">IF(OR(INDEX($X$2:$X$1001,MATCH(ROWS($W$2:W918),$W$2:$W$1001,0),1)&gt;=100000,INDEX($AD$1005:$AU$1005,1,MATCH(COLUMNS($AD$1006:AO1006),$AD$1006:$AU$1006,0))&gt;=100000), " ",IF(INDEX($AD$2:$AU$1001,MATCH(ROWS($W$2:W918),$W$2:$W$1001,0),MATCH(COLUMNS($AD$1006:AO1006),$AD$1006:$AU$1006,0)), HYPERLINK("#",""), HYPERLINK(CONCATENATE("#metadata!", ADDRESS(INDEX($Y$2:$Y$1001,MATCH(ROWS($W$2:W918),$W$2:$W$1001,0),0), INDEX($AD$1004:$AU$1004,1,MATCH(COLUMNS($AD$1006:AO1006),$AD$1006:$AU$1006,0)))),"Fix")))</f>
        <v xml:space="preserve"> </v>
      </c>
      <c r="N918" s="4" t="str">
        <f ca="1">IF(OR(INDEX($X$2:$X$1001,MATCH(ROWS($W$2:W918),$W$2:$W$1001,0),1)&gt;=100000,INDEX($AD$1005:$AU$1005,1,MATCH(COLUMNS($AD$1006:AP1006),$AD$1006:$AU$1006,0))&gt;=100000), " ",IF(INDEX($AD$2:$AU$1001,MATCH(ROWS($W$2:W918),$W$2:$W$1001,0),MATCH(COLUMNS($AD$1006:AP1006),$AD$1006:$AU$1006,0)), HYPERLINK("#",""), HYPERLINK(CONCATENATE("#metadata!", ADDRESS(INDEX($Y$2:$Y$1001,MATCH(ROWS($W$2:W918),$W$2:$W$1001,0),0), INDEX($AD$1004:$AU$1004,1,MATCH(COLUMNS($AD$1006:AP1006),$AD$1006:$AU$1006,0)))),"Fix")))</f>
        <v xml:space="preserve"> </v>
      </c>
      <c r="O918" s="4" t="str">
        <f ca="1">IF(OR(INDEX($X$2:$X$1001,MATCH(ROWS($W$2:W918),$W$2:$W$1001,0),1)&gt;=100000,INDEX($AD$1005:$AU$1005,1,MATCH(COLUMNS($AD$1006:AQ1006),$AD$1006:$AU$1006,0))&gt;=100000), " ",IF(INDEX($AD$2:$AU$1001,MATCH(ROWS($W$2:W918),$W$2:$W$1001,0),MATCH(COLUMNS($AD$1006:AQ1006),$AD$1006:$AU$1006,0)), HYPERLINK("#",""), HYPERLINK(CONCATENATE("#metadata!", ADDRESS(INDEX($Y$2:$Y$1001,MATCH(ROWS($W$2:W918),$W$2:$W$1001,0),0), INDEX($AD$1004:$AU$1004,1,MATCH(COLUMNS($AD$1006:AQ1006),$AD$1006:$AU$1006,0)))),"Fix")))</f>
        <v xml:space="preserve"> </v>
      </c>
      <c r="P918" s="4" t="str">
        <f ca="1">IF(OR(INDEX($X$2:$X$1001,MATCH(ROWS($W$2:W918),$W$2:$W$1001,0),1)&gt;=100000,INDEX($AD$1005:$AU$1005,1,MATCH(COLUMNS($AD$1006:AR1006),$AD$1006:$AU$1006,0))&gt;=100000), " ",IF(INDEX($AD$2:$AU$1001,MATCH(ROWS($W$2:W918),$W$2:$W$1001,0),MATCH(COLUMNS($AD$1006:AR1006),$AD$1006:$AU$1006,0)), HYPERLINK("#",""), HYPERLINK(CONCATENATE("#metadata!", ADDRESS(INDEX($Y$2:$Y$1001,MATCH(ROWS($W$2:W918),$W$2:$W$1001,0),0), INDEX($AD$1004:$AU$1004,1,MATCH(COLUMNS($AD$1006:AR1006),$AD$1006:$AU$1006,0)))),"Fix")))</f>
        <v xml:space="preserve"> </v>
      </c>
      <c r="Q918" s="4" t="str">
        <f ca="1">IF(OR(INDEX($X$2:$X$1001,MATCH(ROWS($W$2:W918),$W$2:$W$1001,0),1)&gt;=100000,INDEX($AD$1005:$AU$1005,1,MATCH(COLUMNS($AD$1006:AS1006),$AD$1006:$AU$1006,0))&gt;=100000), " ",IF(INDEX($AD$2:$AU$1001,MATCH(ROWS($W$2:W918),$W$2:$W$1001,0),MATCH(COLUMNS($AD$1006:AS1006),$AD$1006:$AU$1006,0)), HYPERLINK("#",""), HYPERLINK(CONCATENATE("#metadata!", ADDRESS(INDEX($Y$2:$Y$1001,MATCH(ROWS($W$2:W918),$W$2:$W$1001,0),0), INDEX($AD$1004:$AU$1004,1,MATCH(COLUMNS($AD$1006:AS1006),$AD$1006:$AU$1006,0)))),"Fix")))</f>
        <v xml:space="preserve"> </v>
      </c>
      <c r="R918" s="4" t="str">
        <f ca="1">IF(OR(INDEX($X$2:$X$1001,MATCH(ROWS($W$2:W918),$W$2:$W$1001,0),1)&gt;=100000,INDEX($AD$1005:$AU$1005,1,MATCH(COLUMNS($AD$1006:AT1006),$AD$1006:$AU$1006,0))&gt;=100000), " ",IF(INDEX($AD$2:$AU$1001,MATCH(ROWS($W$2:W918),$W$2:$W$1001,0),MATCH(COLUMNS($AD$1006:AT1006),$AD$1006:$AU$1006,0)), HYPERLINK("#",""), HYPERLINK(CONCATENATE("#metadata!", ADDRESS(INDEX($Y$2:$Y$1001,MATCH(ROWS($W$2:W918),$W$2:$W$1001,0),0), INDEX($AD$1004:$AU$1004,1,MATCH(COLUMNS($AD$1006:AT1006),$AD$1006:$AU$1006,0)))),"Fix")))</f>
        <v xml:space="preserve"> </v>
      </c>
      <c r="S918" s="4" t="str">
        <f ca="1">IF(OR(INDEX($X$2:$X$1001,MATCH(ROWS($W$2:W918),$W$2:$W$1001,0),1)&gt;=100000,INDEX($AD$1005:$AU$1005,1,MATCH(COLUMNS($AD$1006:AU1006),$AD$1006:$AU$1006,0))&gt;=100000), " ",IF(INDEX($AD$2:$AU$1001,MATCH(ROWS($W$2:W918),$W$2:$W$1001,0),MATCH(COLUMNS($AD$1006:AU1006),$AD$1006:$AU$1006,0)), HYPERLINK("#",""), HYPERLINK(CONCATENATE("#metadata!", ADDRESS(INDEX($Y$2:$Y$1001,MATCH(ROWS($W$2:W918),$W$2:$W$1001,0),0), INDEX($AD$1004:$AU$1004,1,MATCH(COLUMNS($AD$1006:AU1006),$AD$1006:$AU$1006,0)))),"Fix")))</f>
        <v xml:space="preserve"> </v>
      </c>
      <c r="W918">
        <v>917</v>
      </c>
      <c r="X918">
        <v>100918</v>
      </c>
      <c r="Y918">
        <v>918</v>
      </c>
      <c r="Z918" t="b">
        <f t="shared" si="14"/>
        <v>1</v>
      </c>
      <c r="AA918" t="b">
        <f>COUNTBLANK(metadata!B918:S918)=COLUMNS(metadata!B918:S918)</f>
        <v>1</v>
      </c>
      <c r="AB918" t="str">
        <v/>
      </c>
      <c r="AD918" t="b">
        <f ca="1">AND(IF(metadata!B918="",FALSE,TRUE),COUNTIF(metadata!B:B, metadata!B918) = 1,NOT(ISERROR(SUMPRODUCT(SEARCH(MID(metadata!B918,ROW(INDIRECT("1:"&amp;LEN(metadata!B918))), 1),"0123456789abcdefghijklmnopqrstuvwxyzABCDEFGHIJKLMNOPQRSTUVWXYZ.")))))</f>
        <v>0</v>
      </c>
      <c r="AE918" t="b">
        <f>OR(AND(IF(metadata!C918="",FALSE,TRUE),OR(EXACT(metadata!C918,"not applicable"),EXACT(metadata!C918,"missing: not collected"),EXACT(metadata!C918,"missing: not provided"),EXACT(metadata!C918,"missing: restricted access"))),AND(IF(metadata!C918="",FALSE,ISNUMBER(VALUE(metadata!C918))),metadata!C918&gt;0))</f>
        <v>0</v>
      </c>
      <c r="AF918" t="b">
        <f>AND(IF(metadata!D918="",FALSE,TRUE),EXACT(metadata!D918,"missing: not provided"))</f>
        <v>0</v>
      </c>
      <c r="AG918" t="b">
        <f>AND(IF(metadata!E918="",FALSE,TRUE),EXACT(metadata!E918,"Host-associated"))</f>
        <v>0</v>
      </c>
      <c r="AH918" t="b">
        <f>AND(IF(metadata!F918="",FALSE,TRUE),OR(EXACT(metadata!F918,"Animal"),EXACT(metadata!F918,"Fungus"),EXACT(metadata!F918,"Plant")))</f>
        <v>0</v>
      </c>
      <c r="AI918" t="b">
        <f>AND(IF(metadata!G918="",FALSE,TRUE),OR(EXACT(metadata!G918,"Plant secretion"),EXACT(metadata!G918,"Plant rhizosphere"),EXACT(metadata!G918,"Plant surface"),EXACT(metadata!G918,"Plant corpus"),EXACT(metadata!G918,"Fungus surface"),EXACT(metadata!G918,"Fungus corpus"),EXACT(metadata!G918,"Animal surface"),EXACT(metadata!G918,"Animal proximal gut"),EXACT(metadata!G918,"Animal corpus"),EXACT(metadata!G918,"Animal distal gut"),EXACT(metadata!G918,"Animal secretion")))</f>
        <v>0</v>
      </c>
      <c r="AJ918" t="b">
        <f>OR(AND(IF(metadata!H918="",FALSE,TRUE),OR(EXACT(metadata!H918,"missing: not collected"),EXACT(metadata!H918,"missing: not provided"),EXACT(metadata!H918,"missing: restricted access"))),AND(IF(metadata!H918="",FALSE,TRUE),OR(EXACT(metadata!H918,"organism-associated habitat"),EXACT(metadata!H918,"plant-associated habitat"),EXACT(metadata!H918,"animal-associated habitat"),EXACT(metadata!H918,"insecta-associated habitat"),EXACT(metadata!H918,"mammalia-associated habitat"),EXACT(metadata!H918,"human-associated habitat"),EXACT(metadata!H918,"livestock-associated habitat"))))</f>
        <v>0</v>
      </c>
      <c r="AK918" t="b">
        <f>AND(IF(metadata!I918="",FALSE,TRUE),EXACT(metadata!I918,"host-associated"))</f>
        <v>0</v>
      </c>
      <c r="AL918" t="b">
        <f>OR(AND(IF(metadata!J918="",FALSE,TRUE),OR(EXACT(metadata!J918,"not applicable"),EXACT(metadata!J918,"missing: not collected"),EXACT(metadata!J918,"missing: not provided"),EXACT(metadata!J918,"missing: restricted access"))),AND(IF(metadata!J918="",FALSE,ISNUMBER(VALUE(metadata!J918))),metadata!J918&gt;0))</f>
        <v>0</v>
      </c>
      <c r="AM918" t="b">
        <f>AND(IF(metadata!K918="",FALSE,TRUE),EXACT(metadata!K918,"missing: not provided"))</f>
        <v>0</v>
      </c>
      <c r="AN918" t="b">
        <f>IF(metadata!L918="",FALSE,TRUE)</f>
        <v>0</v>
      </c>
      <c r="AO918" t="b">
        <f>IF(metadata!M918="",FALSE,TRUE)</f>
        <v>0</v>
      </c>
      <c r="AP918" t="b">
        <f>OR(AND(IF(metadata!N918="",FALSE,TRUE),OR(EXACT(metadata!N918,"not applicable"),EXACT(metadata!N918,"missing: not collected"),EXACT(metadata!N918,"missing: not provided"))),AND(IF(metadata!N918="",FALSE,IF(ISERROR(INT(metadata!N918)),FALSE,INT(metadata!N918)=metadata!N918)),metadata!N918&gt;0))</f>
        <v>0</v>
      </c>
      <c r="AQ918" t="b">
        <f>AND(IF(metadata!O918="",FALSE,TRUE),EXACT(metadata!O918,"Not applicable"))</f>
        <v>0</v>
      </c>
      <c r="AR918" t="b">
        <f>OR(AND(IF(metadata!P918="",FALSE,TRUE),OR(EXACT(metadata!P918,"not applicable"),EXACT(metadata!P918,"missing: not collected"),EXACT(metadata!P918,"missing: not provided"),EXACT(metadata!P918,"missing: restricted access"))),IF(metadata!P918="",FALSE,IF(ISERROR(INT(metadata!P918)),FALSE,INT(metadata!P918)=metadata!P918)))</f>
        <v>0</v>
      </c>
      <c r="AS918" t="b">
        <f>AND(IF(metadata!Q918="",FALSE,TRUE),EXACT(metadata!Q918,"Not applicable"))</f>
        <v>0</v>
      </c>
      <c r="AT918" t="b">
        <f>OR(AND(IF(metadata!R918="",FALSE,TRUE),OR(EXACT(metadata!R918,"not applicable"),EXACT(metadata!R918,"missing: not collected"),EXACT(metadata!R918,"missing: not provided"),EXACT(metadata!R918,"missing: restricted access"))),AND(IF(metadata!R918="",FALSE,ISNUMBER(VALUE(metadata!R918))),metadata!R918&gt;0))</f>
        <v>0</v>
      </c>
      <c r="AU918" t="b">
        <f>AND(IF(metadata!S918="",FALSE,TRUE),EXACT(metadata!S918,"missing: not provided"))</f>
        <v>0</v>
      </c>
    </row>
    <row r="919" spans="1:47" x14ac:dyDescent="0.2">
      <c r="A919" s="5" t="str">
        <f ca="1">IF(B919=" "," ",HYPERLINK(CONCATENATE("#metadata!",ADDRESS(INDEX($Y$2:$Y$1001,MATCH(ROWS($W$2:W919),$W$2:$W$1001,0),0),1)),INDEX($AB$2:$AB$1001,MATCH(ROWS($W$2:W919),$W$2:$W$1001,0),0)))</f>
        <v xml:space="preserve"> </v>
      </c>
      <c r="B919" s="4" t="str">
        <f ca="1">IF(OR(INDEX($X$2:$X$1001,MATCH(ROWS($W$2:W919),$W$2:$W$1001,0),1)&gt;=100000,INDEX($AD$1005:$AU$1005,1,MATCH(COLUMNS($AD$1006:AD1006),$AD$1006:$AU$1006,0))&gt;=100000), " ",IF(INDEX($AD$2:$AU$1001,MATCH(ROWS($W$2:W919),$W$2:$W$1001,0),MATCH(COLUMNS($AD$1006:AD1006),$AD$1006:$AU$1006,0)), HYPERLINK("#",""), HYPERLINK(CONCATENATE("#metadata!", ADDRESS(INDEX($Y$2:$Y$1001,MATCH(ROWS($W$2:W919),$W$2:$W$1001,0),0), INDEX($AD$1004:$AU$1004,1,MATCH(COLUMNS($AD$1006:AD1006),$AD$1006:$AU$1006,0)))),"Fix")))</f>
        <v xml:space="preserve"> </v>
      </c>
      <c r="C919" s="4" t="str">
        <f ca="1">IF(OR(INDEX($X$2:$X$1001,MATCH(ROWS($W$2:W919),$W$2:$W$1001,0),1)&gt;=100000,INDEX($AD$1005:$AU$1005,1,MATCH(COLUMNS($AD$1006:AE1006),$AD$1006:$AU$1006,0))&gt;=100000), " ",IF(INDEX($AD$2:$AU$1001,MATCH(ROWS($W$2:W919),$W$2:$W$1001,0),MATCH(COLUMNS($AD$1006:AE1006),$AD$1006:$AU$1006,0)), HYPERLINK("#",""), HYPERLINK(CONCATENATE("#metadata!", ADDRESS(INDEX($Y$2:$Y$1001,MATCH(ROWS($W$2:W919),$W$2:$W$1001,0),0), INDEX($AD$1004:$AU$1004,1,MATCH(COLUMNS($AD$1006:AE1006),$AD$1006:$AU$1006,0)))),"Fix")))</f>
        <v xml:space="preserve"> </v>
      </c>
      <c r="D919" s="4" t="str">
        <f ca="1">IF(OR(INDEX($X$2:$X$1001,MATCH(ROWS($W$2:W919),$W$2:$W$1001,0),1)&gt;=100000,INDEX($AD$1005:$AU$1005,1,MATCH(COLUMNS($AD$1006:AF1006),$AD$1006:$AU$1006,0))&gt;=100000), " ",IF(INDEX($AD$2:$AU$1001,MATCH(ROWS($W$2:W919),$W$2:$W$1001,0),MATCH(COLUMNS($AD$1006:AF1006),$AD$1006:$AU$1006,0)), HYPERLINK("#",""), HYPERLINK(CONCATENATE("#metadata!", ADDRESS(INDEX($Y$2:$Y$1001,MATCH(ROWS($W$2:W919),$W$2:$W$1001,0),0), INDEX($AD$1004:$AU$1004,1,MATCH(COLUMNS($AD$1006:AF1006),$AD$1006:$AU$1006,0)))),"Fix")))</f>
        <v xml:space="preserve"> </v>
      </c>
      <c r="E919" s="4" t="str">
        <f ca="1">IF(OR(INDEX($X$2:$X$1001,MATCH(ROWS($W$2:W919),$W$2:$W$1001,0),1)&gt;=100000,INDEX($AD$1005:$AU$1005,1,MATCH(COLUMNS($AD$1006:AG1006),$AD$1006:$AU$1006,0))&gt;=100000), " ",IF(INDEX($AD$2:$AU$1001,MATCH(ROWS($W$2:W919),$W$2:$W$1001,0),MATCH(COLUMNS($AD$1006:AG1006),$AD$1006:$AU$1006,0)), HYPERLINK("#",""), HYPERLINK(CONCATENATE("#metadata!", ADDRESS(INDEX($Y$2:$Y$1001,MATCH(ROWS($W$2:W919),$W$2:$W$1001,0),0), INDEX($AD$1004:$AU$1004,1,MATCH(COLUMNS($AD$1006:AG1006),$AD$1006:$AU$1006,0)))),"Fix")))</f>
        <v xml:space="preserve"> </v>
      </c>
      <c r="F919" s="4" t="str">
        <f ca="1">IF(OR(INDEX($X$2:$X$1001,MATCH(ROWS($W$2:W919),$W$2:$W$1001,0),1)&gt;=100000,INDEX($AD$1005:$AU$1005,1,MATCH(COLUMNS($AD$1006:AH1006),$AD$1006:$AU$1006,0))&gt;=100000), " ",IF(INDEX($AD$2:$AU$1001,MATCH(ROWS($W$2:W919),$W$2:$W$1001,0),MATCH(COLUMNS($AD$1006:AH1006),$AD$1006:$AU$1006,0)), HYPERLINK("#",""), HYPERLINK(CONCATENATE("#metadata!", ADDRESS(INDEX($Y$2:$Y$1001,MATCH(ROWS($W$2:W919),$W$2:$W$1001,0),0), INDEX($AD$1004:$AU$1004,1,MATCH(COLUMNS($AD$1006:AH1006),$AD$1006:$AU$1006,0)))),"Fix")))</f>
        <v xml:space="preserve"> </v>
      </c>
      <c r="G919" s="4" t="str">
        <f ca="1">IF(OR(INDEX($X$2:$X$1001,MATCH(ROWS($W$2:W919),$W$2:$W$1001,0),1)&gt;=100000,INDEX($AD$1005:$AU$1005,1,MATCH(COLUMNS($AD$1006:AI1006),$AD$1006:$AU$1006,0))&gt;=100000), " ",IF(INDEX($AD$2:$AU$1001,MATCH(ROWS($W$2:W919),$W$2:$W$1001,0),MATCH(COLUMNS($AD$1006:AI1006),$AD$1006:$AU$1006,0)), HYPERLINK("#",""), HYPERLINK(CONCATENATE("#metadata!", ADDRESS(INDEX($Y$2:$Y$1001,MATCH(ROWS($W$2:W919),$W$2:$W$1001,0),0), INDEX($AD$1004:$AU$1004,1,MATCH(COLUMNS($AD$1006:AI1006),$AD$1006:$AU$1006,0)))),"Fix")))</f>
        <v xml:space="preserve"> </v>
      </c>
      <c r="H919" s="4" t="str">
        <f ca="1">IF(OR(INDEX($X$2:$X$1001,MATCH(ROWS($W$2:W919),$W$2:$W$1001,0),1)&gt;=100000,INDEX($AD$1005:$AU$1005,1,MATCH(COLUMNS($AD$1006:AJ1006),$AD$1006:$AU$1006,0))&gt;=100000), " ",IF(INDEX($AD$2:$AU$1001,MATCH(ROWS($W$2:W919),$W$2:$W$1001,0),MATCH(COLUMNS($AD$1006:AJ1006),$AD$1006:$AU$1006,0)), HYPERLINK("#",""), HYPERLINK(CONCATENATE("#metadata!", ADDRESS(INDEX($Y$2:$Y$1001,MATCH(ROWS($W$2:W919),$W$2:$W$1001,0),0), INDEX($AD$1004:$AU$1004,1,MATCH(COLUMNS($AD$1006:AJ1006),$AD$1006:$AU$1006,0)))),"Fix")))</f>
        <v xml:space="preserve"> </v>
      </c>
      <c r="I919" s="4" t="str">
        <f ca="1">IF(OR(INDEX($X$2:$X$1001,MATCH(ROWS($W$2:W919),$W$2:$W$1001,0),1)&gt;=100000,INDEX($AD$1005:$AU$1005,1,MATCH(COLUMNS($AD$1006:AK1006),$AD$1006:$AU$1006,0))&gt;=100000), " ",IF(INDEX($AD$2:$AU$1001,MATCH(ROWS($W$2:W919),$W$2:$W$1001,0),MATCH(COLUMNS($AD$1006:AK1006),$AD$1006:$AU$1006,0)), HYPERLINK("#",""), HYPERLINK(CONCATENATE("#metadata!", ADDRESS(INDEX($Y$2:$Y$1001,MATCH(ROWS($W$2:W919),$W$2:$W$1001,0),0), INDEX($AD$1004:$AU$1004,1,MATCH(COLUMNS($AD$1006:AK1006),$AD$1006:$AU$1006,0)))),"Fix")))</f>
        <v xml:space="preserve"> </v>
      </c>
      <c r="J919" s="4" t="str">
        <f ca="1">IF(OR(INDEX($X$2:$X$1001,MATCH(ROWS($W$2:W919),$W$2:$W$1001,0),1)&gt;=100000,INDEX($AD$1005:$AU$1005,1,MATCH(COLUMNS($AD$1006:AL1006),$AD$1006:$AU$1006,0))&gt;=100000), " ",IF(INDEX($AD$2:$AU$1001,MATCH(ROWS($W$2:W919),$W$2:$W$1001,0),MATCH(COLUMNS($AD$1006:AL1006),$AD$1006:$AU$1006,0)), HYPERLINK("#",""), HYPERLINK(CONCATENATE("#metadata!", ADDRESS(INDEX($Y$2:$Y$1001,MATCH(ROWS($W$2:W919),$W$2:$W$1001,0),0), INDEX($AD$1004:$AU$1004,1,MATCH(COLUMNS($AD$1006:AL1006),$AD$1006:$AU$1006,0)))),"Fix")))</f>
        <v xml:space="preserve"> </v>
      </c>
      <c r="K919" s="4" t="str">
        <f ca="1">IF(OR(INDEX($X$2:$X$1001,MATCH(ROWS($W$2:W919),$W$2:$W$1001,0),1)&gt;=100000,INDEX($AD$1005:$AU$1005,1,MATCH(COLUMNS($AD$1006:AM1006),$AD$1006:$AU$1006,0))&gt;=100000), " ",IF(INDEX($AD$2:$AU$1001,MATCH(ROWS($W$2:W919),$W$2:$W$1001,0),MATCH(COLUMNS($AD$1006:AM1006),$AD$1006:$AU$1006,0)), HYPERLINK("#",""), HYPERLINK(CONCATENATE("#metadata!", ADDRESS(INDEX($Y$2:$Y$1001,MATCH(ROWS($W$2:W919),$W$2:$W$1001,0),0), INDEX($AD$1004:$AU$1004,1,MATCH(COLUMNS($AD$1006:AM1006),$AD$1006:$AU$1006,0)))),"Fix")))</f>
        <v xml:space="preserve"> </v>
      </c>
      <c r="L919" s="4" t="str">
        <f ca="1">IF(OR(INDEX($X$2:$X$1001,MATCH(ROWS($W$2:W919),$W$2:$W$1001,0),1)&gt;=100000,INDEX($AD$1005:$AU$1005,1,MATCH(COLUMNS($AD$1006:AN1006),$AD$1006:$AU$1006,0))&gt;=100000), " ",IF(INDEX($AD$2:$AU$1001,MATCH(ROWS($W$2:W919),$W$2:$W$1001,0),MATCH(COLUMNS($AD$1006:AN1006),$AD$1006:$AU$1006,0)), HYPERLINK("#",""), HYPERLINK(CONCATENATE("#metadata!", ADDRESS(INDEX($Y$2:$Y$1001,MATCH(ROWS($W$2:W919),$W$2:$W$1001,0),0), INDEX($AD$1004:$AU$1004,1,MATCH(COLUMNS($AD$1006:AN1006),$AD$1006:$AU$1006,0)))),"Fix")))</f>
        <v xml:space="preserve"> </v>
      </c>
      <c r="M919" s="4" t="str">
        <f ca="1">IF(OR(INDEX($X$2:$X$1001,MATCH(ROWS($W$2:W919),$W$2:$W$1001,0),1)&gt;=100000,INDEX($AD$1005:$AU$1005,1,MATCH(COLUMNS($AD$1006:AO1006),$AD$1006:$AU$1006,0))&gt;=100000), " ",IF(INDEX($AD$2:$AU$1001,MATCH(ROWS($W$2:W919),$W$2:$W$1001,0),MATCH(COLUMNS($AD$1006:AO1006),$AD$1006:$AU$1006,0)), HYPERLINK("#",""), HYPERLINK(CONCATENATE("#metadata!", ADDRESS(INDEX($Y$2:$Y$1001,MATCH(ROWS($W$2:W919),$W$2:$W$1001,0),0), INDEX($AD$1004:$AU$1004,1,MATCH(COLUMNS($AD$1006:AO1006),$AD$1006:$AU$1006,0)))),"Fix")))</f>
        <v xml:space="preserve"> </v>
      </c>
      <c r="N919" s="4" t="str">
        <f ca="1">IF(OR(INDEX($X$2:$X$1001,MATCH(ROWS($W$2:W919),$W$2:$W$1001,0),1)&gt;=100000,INDEX($AD$1005:$AU$1005,1,MATCH(COLUMNS($AD$1006:AP1006),$AD$1006:$AU$1006,0))&gt;=100000), " ",IF(INDEX($AD$2:$AU$1001,MATCH(ROWS($W$2:W919),$W$2:$W$1001,0),MATCH(COLUMNS($AD$1006:AP1006),$AD$1006:$AU$1006,0)), HYPERLINK("#",""), HYPERLINK(CONCATENATE("#metadata!", ADDRESS(INDEX($Y$2:$Y$1001,MATCH(ROWS($W$2:W919),$W$2:$W$1001,0),0), INDEX($AD$1004:$AU$1004,1,MATCH(COLUMNS($AD$1006:AP1006),$AD$1006:$AU$1006,0)))),"Fix")))</f>
        <v xml:space="preserve"> </v>
      </c>
      <c r="O919" s="4" t="str">
        <f ca="1">IF(OR(INDEX($X$2:$X$1001,MATCH(ROWS($W$2:W919),$W$2:$W$1001,0),1)&gt;=100000,INDEX($AD$1005:$AU$1005,1,MATCH(COLUMNS($AD$1006:AQ1006),$AD$1006:$AU$1006,0))&gt;=100000), " ",IF(INDEX($AD$2:$AU$1001,MATCH(ROWS($W$2:W919),$W$2:$W$1001,0),MATCH(COLUMNS($AD$1006:AQ1006),$AD$1006:$AU$1006,0)), HYPERLINK("#",""), HYPERLINK(CONCATENATE("#metadata!", ADDRESS(INDEX($Y$2:$Y$1001,MATCH(ROWS($W$2:W919),$W$2:$W$1001,0),0), INDEX($AD$1004:$AU$1004,1,MATCH(COLUMNS($AD$1006:AQ1006),$AD$1006:$AU$1006,0)))),"Fix")))</f>
        <v xml:space="preserve"> </v>
      </c>
      <c r="P919" s="4" t="str">
        <f ca="1">IF(OR(INDEX($X$2:$X$1001,MATCH(ROWS($W$2:W919),$W$2:$W$1001,0),1)&gt;=100000,INDEX($AD$1005:$AU$1005,1,MATCH(COLUMNS($AD$1006:AR1006),$AD$1006:$AU$1006,0))&gt;=100000), " ",IF(INDEX($AD$2:$AU$1001,MATCH(ROWS($W$2:W919),$W$2:$W$1001,0),MATCH(COLUMNS($AD$1006:AR1006),$AD$1006:$AU$1006,0)), HYPERLINK("#",""), HYPERLINK(CONCATENATE("#metadata!", ADDRESS(INDEX($Y$2:$Y$1001,MATCH(ROWS($W$2:W919),$W$2:$W$1001,0),0), INDEX($AD$1004:$AU$1004,1,MATCH(COLUMNS($AD$1006:AR1006),$AD$1006:$AU$1006,0)))),"Fix")))</f>
        <v xml:space="preserve"> </v>
      </c>
      <c r="Q919" s="4" t="str">
        <f ca="1">IF(OR(INDEX($X$2:$X$1001,MATCH(ROWS($W$2:W919),$W$2:$W$1001,0),1)&gt;=100000,INDEX($AD$1005:$AU$1005,1,MATCH(COLUMNS($AD$1006:AS1006),$AD$1006:$AU$1006,0))&gt;=100000), " ",IF(INDEX($AD$2:$AU$1001,MATCH(ROWS($W$2:W919),$W$2:$W$1001,0),MATCH(COLUMNS($AD$1006:AS1006),$AD$1006:$AU$1006,0)), HYPERLINK("#",""), HYPERLINK(CONCATENATE("#metadata!", ADDRESS(INDEX($Y$2:$Y$1001,MATCH(ROWS($W$2:W919),$W$2:$W$1001,0),0), INDEX($AD$1004:$AU$1004,1,MATCH(COLUMNS($AD$1006:AS1006),$AD$1006:$AU$1006,0)))),"Fix")))</f>
        <v xml:space="preserve"> </v>
      </c>
      <c r="R919" s="4" t="str">
        <f ca="1">IF(OR(INDEX($X$2:$X$1001,MATCH(ROWS($W$2:W919),$W$2:$W$1001,0),1)&gt;=100000,INDEX($AD$1005:$AU$1005,1,MATCH(COLUMNS($AD$1006:AT1006),$AD$1006:$AU$1006,0))&gt;=100000), " ",IF(INDEX($AD$2:$AU$1001,MATCH(ROWS($W$2:W919),$W$2:$W$1001,0),MATCH(COLUMNS($AD$1006:AT1006),$AD$1006:$AU$1006,0)), HYPERLINK("#",""), HYPERLINK(CONCATENATE("#metadata!", ADDRESS(INDEX($Y$2:$Y$1001,MATCH(ROWS($W$2:W919),$W$2:$W$1001,0),0), INDEX($AD$1004:$AU$1004,1,MATCH(COLUMNS($AD$1006:AT1006),$AD$1006:$AU$1006,0)))),"Fix")))</f>
        <v xml:space="preserve"> </v>
      </c>
      <c r="S919" s="4" t="str">
        <f ca="1">IF(OR(INDEX($X$2:$X$1001,MATCH(ROWS($W$2:W919),$W$2:$W$1001,0),1)&gt;=100000,INDEX($AD$1005:$AU$1005,1,MATCH(COLUMNS($AD$1006:AU1006),$AD$1006:$AU$1006,0))&gt;=100000), " ",IF(INDEX($AD$2:$AU$1001,MATCH(ROWS($W$2:W919),$W$2:$W$1001,0),MATCH(COLUMNS($AD$1006:AU1006),$AD$1006:$AU$1006,0)), HYPERLINK("#",""), HYPERLINK(CONCATENATE("#metadata!", ADDRESS(INDEX($Y$2:$Y$1001,MATCH(ROWS($W$2:W919),$W$2:$W$1001,0),0), INDEX($AD$1004:$AU$1004,1,MATCH(COLUMNS($AD$1006:AU1006),$AD$1006:$AU$1006,0)))),"Fix")))</f>
        <v xml:space="preserve"> </v>
      </c>
      <c r="W919">
        <v>918</v>
      </c>
      <c r="X919">
        <v>100919</v>
      </c>
      <c r="Y919">
        <v>919</v>
      </c>
      <c r="Z919" t="b">
        <f t="shared" si="14"/>
        <v>1</v>
      </c>
      <c r="AA919" t="b">
        <f>COUNTBLANK(metadata!B919:S919)=COLUMNS(metadata!B919:S919)</f>
        <v>1</v>
      </c>
      <c r="AB919" t="str">
        <v/>
      </c>
      <c r="AD919" t="b">
        <f ca="1">AND(IF(metadata!B919="",FALSE,TRUE),COUNTIF(metadata!B:B, metadata!B919) = 1,NOT(ISERROR(SUMPRODUCT(SEARCH(MID(metadata!B919,ROW(INDIRECT("1:"&amp;LEN(metadata!B919))), 1),"0123456789abcdefghijklmnopqrstuvwxyzABCDEFGHIJKLMNOPQRSTUVWXYZ.")))))</f>
        <v>0</v>
      </c>
      <c r="AE919" t="b">
        <f>OR(AND(IF(metadata!C919="",FALSE,TRUE),OR(EXACT(metadata!C919,"not applicable"),EXACT(metadata!C919,"missing: not collected"),EXACT(metadata!C919,"missing: not provided"),EXACT(metadata!C919,"missing: restricted access"))),AND(IF(metadata!C919="",FALSE,ISNUMBER(VALUE(metadata!C919))),metadata!C919&gt;0))</f>
        <v>0</v>
      </c>
      <c r="AF919" t="b">
        <f>AND(IF(metadata!D919="",FALSE,TRUE),EXACT(metadata!D919,"missing: not provided"))</f>
        <v>0</v>
      </c>
      <c r="AG919" t="b">
        <f>AND(IF(metadata!E919="",FALSE,TRUE),EXACT(metadata!E919,"Host-associated"))</f>
        <v>0</v>
      </c>
      <c r="AH919" t="b">
        <f>AND(IF(metadata!F919="",FALSE,TRUE),OR(EXACT(metadata!F919,"Animal"),EXACT(metadata!F919,"Fungus"),EXACT(metadata!F919,"Plant")))</f>
        <v>0</v>
      </c>
      <c r="AI919" t="b">
        <f>AND(IF(metadata!G919="",FALSE,TRUE),OR(EXACT(metadata!G919,"Plant secretion"),EXACT(metadata!G919,"Plant rhizosphere"),EXACT(metadata!G919,"Plant surface"),EXACT(metadata!G919,"Plant corpus"),EXACT(metadata!G919,"Fungus surface"),EXACT(metadata!G919,"Fungus corpus"),EXACT(metadata!G919,"Animal surface"),EXACT(metadata!G919,"Animal proximal gut"),EXACT(metadata!G919,"Animal corpus"),EXACT(metadata!G919,"Animal distal gut"),EXACT(metadata!G919,"Animal secretion")))</f>
        <v>0</v>
      </c>
      <c r="AJ919" t="b">
        <f>OR(AND(IF(metadata!H919="",FALSE,TRUE),OR(EXACT(metadata!H919,"missing: not collected"),EXACT(metadata!H919,"missing: not provided"),EXACT(metadata!H919,"missing: restricted access"))),AND(IF(metadata!H919="",FALSE,TRUE),OR(EXACT(metadata!H919,"organism-associated habitat"),EXACT(metadata!H919,"plant-associated habitat"),EXACT(metadata!H919,"animal-associated habitat"),EXACT(metadata!H919,"insecta-associated habitat"),EXACT(metadata!H919,"mammalia-associated habitat"),EXACT(metadata!H919,"human-associated habitat"),EXACT(metadata!H919,"livestock-associated habitat"))))</f>
        <v>0</v>
      </c>
      <c r="AK919" t="b">
        <f>AND(IF(metadata!I919="",FALSE,TRUE),EXACT(metadata!I919,"host-associated"))</f>
        <v>0</v>
      </c>
      <c r="AL919" t="b">
        <f>OR(AND(IF(metadata!J919="",FALSE,TRUE),OR(EXACT(metadata!J919,"not applicable"),EXACT(metadata!J919,"missing: not collected"),EXACT(metadata!J919,"missing: not provided"),EXACT(metadata!J919,"missing: restricted access"))),AND(IF(metadata!J919="",FALSE,ISNUMBER(VALUE(metadata!J919))),metadata!J919&gt;0))</f>
        <v>0</v>
      </c>
      <c r="AM919" t="b">
        <f>AND(IF(metadata!K919="",FALSE,TRUE),EXACT(metadata!K919,"missing: not provided"))</f>
        <v>0</v>
      </c>
      <c r="AN919" t="b">
        <f>IF(metadata!L919="",FALSE,TRUE)</f>
        <v>0</v>
      </c>
      <c r="AO919" t="b">
        <f>IF(metadata!M919="",FALSE,TRUE)</f>
        <v>0</v>
      </c>
      <c r="AP919" t="b">
        <f>OR(AND(IF(metadata!N919="",FALSE,TRUE),OR(EXACT(metadata!N919,"not applicable"),EXACT(metadata!N919,"missing: not collected"),EXACT(metadata!N919,"missing: not provided"))),AND(IF(metadata!N919="",FALSE,IF(ISERROR(INT(metadata!N919)),FALSE,INT(metadata!N919)=metadata!N919)),metadata!N919&gt;0))</f>
        <v>0</v>
      </c>
      <c r="AQ919" t="b">
        <f>AND(IF(metadata!O919="",FALSE,TRUE),EXACT(metadata!O919,"Not applicable"))</f>
        <v>0</v>
      </c>
      <c r="AR919" t="b">
        <f>OR(AND(IF(metadata!P919="",FALSE,TRUE),OR(EXACT(metadata!P919,"not applicable"),EXACT(metadata!P919,"missing: not collected"),EXACT(metadata!P919,"missing: not provided"),EXACT(metadata!P919,"missing: restricted access"))),IF(metadata!P919="",FALSE,IF(ISERROR(INT(metadata!P919)),FALSE,INT(metadata!P919)=metadata!P919)))</f>
        <v>0</v>
      </c>
      <c r="AS919" t="b">
        <f>AND(IF(metadata!Q919="",FALSE,TRUE),EXACT(metadata!Q919,"Not applicable"))</f>
        <v>0</v>
      </c>
      <c r="AT919" t="b">
        <f>OR(AND(IF(metadata!R919="",FALSE,TRUE),OR(EXACT(metadata!R919,"not applicable"),EXACT(metadata!R919,"missing: not collected"),EXACT(metadata!R919,"missing: not provided"),EXACT(metadata!R919,"missing: restricted access"))),AND(IF(metadata!R919="",FALSE,ISNUMBER(VALUE(metadata!R919))),metadata!R919&gt;0))</f>
        <v>0</v>
      </c>
      <c r="AU919" t="b">
        <f>AND(IF(metadata!S919="",FALSE,TRUE),EXACT(metadata!S919,"missing: not provided"))</f>
        <v>0</v>
      </c>
    </row>
    <row r="920" spans="1:47" x14ac:dyDescent="0.2">
      <c r="A920" s="5" t="str">
        <f ca="1">IF(B920=" "," ",HYPERLINK(CONCATENATE("#metadata!",ADDRESS(INDEX($Y$2:$Y$1001,MATCH(ROWS($W$2:W920),$W$2:$W$1001,0),0),1)),INDEX($AB$2:$AB$1001,MATCH(ROWS($W$2:W920),$W$2:$W$1001,0),0)))</f>
        <v xml:space="preserve"> </v>
      </c>
      <c r="B920" s="4" t="str">
        <f ca="1">IF(OR(INDEX($X$2:$X$1001,MATCH(ROWS($W$2:W920),$W$2:$W$1001,0),1)&gt;=100000,INDEX($AD$1005:$AU$1005,1,MATCH(COLUMNS($AD$1006:AD1006),$AD$1006:$AU$1006,0))&gt;=100000), " ",IF(INDEX($AD$2:$AU$1001,MATCH(ROWS($W$2:W920),$W$2:$W$1001,0),MATCH(COLUMNS($AD$1006:AD1006),$AD$1006:$AU$1006,0)), HYPERLINK("#",""), HYPERLINK(CONCATENATE("#metadata!", ADDRESS(INDEX($Y$2:$Y$1001,MATCH(ROWS($W$2:W920),$W$2:$W$1001,0),0), INDEX($AD$1004:$AU$1004,1,MATCH(COLUMNS($AD$1006:AD1006),$AD$1006:$AU$1006,0)))),"Fix")))</f>
        <v xml:space="preserve"> </v>
      </c>
      <c r="C920" s="4" t="str">
        <f ca="1">IF(OR(INDEX($X$2:$X$1001,MATCH(ROWS($W$2:W920),$W$2:$W$1001,0),1)&gt;=100000,INDEX($AD$1005:$AU$1005,1,MATCH(COLUMNS($AD$1006:AE1006),$AD$1006:$AU$1006,0))&gt;=100000), " ",IF(INDEX($AD$2:$AU$1001,MATCH(ROWS($W$2:W920),$W$2:$W$1001,0),MATCH(COLUMNS($AD$1006:AE1006),$AD$1006:$AU$1006,0)), HYPERLINK("#",""), HYPERLINK(CONCATENATE("#metadata!", ADDRESS(INDEX($Y$2:$Y$1001,MATCH(ROWS($W$2:W920),$W$2:$W$1001,0),0), INDEX($AD$1004:$AU$1004,1,MATCH(COLUMNS($AD$1006:AE1006),$AD$1006:$AU$1006,0)))),"Fix")))</f>
        <v xml:space="preserve"> </v>
      </c>
      <c r="D920" s="4" t="str">
        <f ca="1">IF(OR(INDEX($X$2:$X$1001,MATCH(ROWS($W$2:W920),$W$2:$W$1001,0),1)&gt;=100000,INDEX($AD$1005:$AU$1005,1,MATCH(COLUMNS($AD$1006:AF1006),$AD$1006:$AU$1006,0))&gt;=100000), " ",IF(INDEX($AD$2:$AU$1001,MATCH(ROWS($W$2:W920),$W$2:$W$1001,0),MATCH(COLUMNS($AD$1006:AF1006),$AD$1006:$AU$1006,0)), HYPERLINK("#",""), HYPERLINK(CONCATENATE("#metadata!", ADDRESS(INDEX($Y$2:$Y$1001,MATCH(ROWS($W$2:W920),$W$2:$W$1001,0),0), INDEX($AD$1004:$AU$1004,1,MATCH(COLUMNS($AD$1006:AF1006),$AD$1006:$AU$1006,0)))),"Fix")))</f>
        <v xml:space="preserve"> </v>
      </c>
      <c r="E920" s="4" t="str">
        <f ca="1">IF(OR(INDEX($X$2:$X$1001,MATCH(ROWS($W$2:W920),$W$2:$W$1001,0),1)&gt;=100000,INDEX($AD$1005:$AU$1005,1,MATCH(COLUMNS($AD$1006:AG1006),$AD$1006:$AU$1006,0))&gt;=100000), " ",IF(INDEX($AD$2:$AU$1001,MATCH(ROWS($W$2:W920),$W$2:$W$1001,0),MATCH(COLUMNS($AD$1006:AG1006),$AD$1006:$AU$1006,0)), HYPERLINK("#",""), HYPERLINK(CONCATENATE("#metadata!", ADDRESS(INDEX($Y$2:$Y$1001,MATCH(ROWS($W$2:W920),$W$2:$W$1001,0),0), INDEX($AD$1004:$AU$1004,1,MATCH(COLUMNS($AD$1006:AG1006),$AD$1006:$AU$1006,0)))),"Fix")))</f>
        <v xml:space="preserve"> </v>
      </c>
      <c r="F920" s="4" t="str">
        <f ca="1">IF(OR(INDEX($X$2:$X$1001,MATCH(ROWS($W$2:W920),$W$2:$W$1001,0),1)&gt;=100000,INDEX($AD$1005:$AU$1005,1,MATCH(COLUMNS($AD$1006:AH1006),$AD$1006:$AU$1006,0))&gt;=100000), " ",IF(INDEX($AD$2:$AU$1001,MATCH(ROWS($W$2:W920),$W$2:$W$1001,0),MATCH(COLUMNS($AD$1006:AH1006),$AD$1006:$AU$1006,0)), HYPERLINK("#",""), HYPERLINK(CONCATENATE("#metadata!", ADDRESS(INDEX($Y$2:$Y$1001,MATCH(ROWS($W$2:W920),$W$2:$W$1001,0),0), INDEX($AD$1004:$AU$1004,1,MATCH(COLUMNS($AD$1006:AH1006),$AD$1006:$AU$1006,0)))),"Fix")))</f>
        <v xml:space="preserve"> </v>
      </c>
      <c r="G920" s="4" t="str">
        <f ca="1">IF(OR(INDEX($X$2:$X$1001,MATCH(ROWS($W$2:W920),$W$2:$W$1001,0),1)&gt;=100000,INDEX($AD$1005:$AU$1005,1,MATCH(COLUMNS($AD$1006:AI1006),$AD$1006:$AU$1006,0))&gt;=100000), " ",IF(INDEX($AD$2:$AU$1001,MATCH(ROWS($W$2:W920),$W$2:$W$1001,0),MATCH(COLUMNS($AD$1006:AI1006),$AD$1006:$AU$1006,0)), HYPERLINK("#",""), HYPERLINK(CONCATENATE("#metadata!", ADDRESS(INDEX($Y$2:$Y$1001,MATCH(ROWS($W$2:W920),$W$2:$W$1001,0),0), INDEX($AD$1004:$AU$1004,1,MATCH(COLUMNS($AD$1006:AI1006),$AD$1006:$AU$1006,0)))),"Fix")))</f>
        <v xml:space="preserve"> </v>
      </c>
      <c r="H920" s="4" t="str">
        <f ca="1">IF(OR(INDEX($X$2:$X$1001,MATCH(ROWS($W$2:W920),$W$2:$W$1001,0),1)&gt;=100000,INDEX($AD$1005:$AU$1005,1,MATCH(COLUMNS($AD$1006:AJ1006),$AD$1006:$AU$1006,0))&gt;=100000), " ",IF(INDEX($AD$2:$AU$1001,MATCH(ROWS($W$2:W920),$W$2:$W$1001,0),MATCH(COLUMNS($AD$1006:AJ1006),$AD$1006:$AU$1006,0)), HYPERLINK("#",""), HYPERLINK(CONCATENATE("#metadata!", ADDRESS(INDEX($Y$2:$Y$1001,MATCH(ROWS($W$2:W920),$W$2:$W$1001,0),0), INDEX($AD$1004:$AU$1004,1,MATCH(COLUMNS($AD$1006:AJ1006),$AD$1006:$AU$1006,0)))),"Fix")))</f>
        <v xml:space="preserve"> </v>
      </c>
      <c r="I920" s="4" t="str">
        <f ca="1">IF(OR(INDEX($X$2:$X$1001,MATCH(ROWS($W$2:W920),$W$2:$W$1001,0),1)&gt;=100000,INDEX($AD$1005:$AU$1005,1,MATCH(COLUMNS($AD$1006:AK1006),$AD$1006:$AU$1006,0))&gt;=100000), " ",IF(INDEX($AD$2:$AU$1001,MATCH(ROWS($W$2:W920),$W$2:$W$1001,0),MATCH(COLUMNS($AD$1006:AK1006),$AD$1006:$AU$1006,0)), HYPERLINK("#",""), HYPERLINK(CONCATENATE("#metadata!", ADDRESS(INDEX($Y$2:$Y$1001,MATCH(ROWS($W$2:W920),$W$2:$W$1001,0),0), INDEX($AD$1004:$AU$1004,1,MATCH(COLUMNS($AD$1006:AK1006),$AD$1006:$AU$1006,0)))),"Fix")))</f>
        <v xml:space="preserve"> </v>
      </c>
      <c r="J920" s="4" t="str">
        <f ca="1">IF(OR(INDEX($X$2:$X$1001,MATCH(ROWS($W$2:W920),$W$2:$W$1001,0),1)&gt;=100000,INDEX($AD$1005:$AU$1005,1,MATCH(COLUMNS($AD$1006:AL1006),$AD$1006:$AU$1006,0))&gt;=100000), " ",IF(INDEX($AD$2:$AU$1001,MATCH(ROWS($W$2:W920),$W$2:$W$1001,0),MATCH(COLUMNS($AD$1006:AL1006),$AD$1006:$AU$1006,0)), HYPERLINK("#",""), HYPERLINK(CONCATENATE("#metadata!", ADDRESS(INDEX($Y$2:$Y$1001,MATCH(ROWS($W$2:W920),$W$2:$W$1001,0),0), INDEX($AD$1004:$AU$1004,1,MATCH(COLUMNS($AD$1006:AL1006),$AD$1006:$AU$1006,0)))),"Fix")))</f>
        <v xml:space="preserve"> </v>
      </c>
      <c r="K920" s="4" t="str">
        <f ca="1">IF(OR(INDEX($X$2:$X$1001,MATCH(ROWS($W$2:W920),$W$2:$W$1001,0),1)&gt;=100000,INDEX($AD$1005:$AU$1005,1,MATCH(COLUMNS($AD$1006:AM1006),$AD$1006:$AU$1006,0))&gt;=100000), " ",IF(INDEX($AD$2:$AU$1001,MATCH(ROWS($W$2:W920),$W$2:$W$1001,0),MATCH(COLUMNS($AD$1006:AM1006),$AD$1006:$AU$1006,0)), HYPERLINK("#",""), HYPERLINK(CONCATENATE("#metadata!", ADDRESS(INDEX($Y$2:$Y$1001,MATCH(ROWS($W$2:W920),$W$2:$W$1001,0),0), INDEX($AD$1004:$AU$1004,1,MATCH(COLUMNS($AD$1006:AM1006),$AD$1006:$AU$1006,0)))),"Fix")))</f>
        <v xml:space="preserve"> </v>
      </c>
      <c r="L920" s="4" t="str">
        <f ca="1">IF(OR(INDEX($X$2:$X$1001,MATCH(ROWS($W$2:W920),$W$2:$W$1001,0),1)&gt;=100000,INDEX($AD$1005:$AU$1005,1,MATCH(COLUMNS($AD$1006:AN1006),$AD$1006:$AU$1006,0))&gt;=100000), " ",IF(INDEX($AD$2:$AU$1001,MATCH(ROWS($W$2:W920),$W$2:$W$1001,0),MATCH(COLUMNS($AD$1006:AN1006),$AD$1006:$AU$1006,0)), HYPERLINK("#",""), HYPERLINK(CONCATENATE("#metadata!", ADDRESS(INDEX($Y$2:$Y$1001,MATCH(ROWS($W$2:W920),$W$2:$W$1001,0),0), INDEX($AD$1004:$AU$1004,1,MATCH(COLUMNS($AD$1006:AN1006),$AD$1006:$AU$1006,0)))),"Fix")))</f>
        <v xml:space="preserve"> </v>
      </c>
      <c r="M920" s="4" t="str">
        <f ca="1">IF(OR(INDEX($X$2:$X$1001,MATCH(ROWS($W$2:W920),$W$2:$W$1001,0),1)&gt;=100000,INDEX($AD$1005:$AU$1005,1,MATCH(COLUMNS($AD$1006:AO1006),$AD$1006:$AU$1006,0))&gt;=100000), " ",IF(INDEX($AD$2:$AU$1001,MATCH(ROWS($W$2:W920),$W$2:$W$1001,0),MATCH(COLUMNS($AD$1006:AO1006),$AD$1006:$AU$1006,0)), HYPERLINK("#",""), HYPERLINK(CONCATENATE("#metadata!", ADDRESS(INDEX($Y$2:$Y$1001,MATCH(ROWS($W$2:W920),$W$2:$W$1001,0),0), INDEX($AD$1004:$AU$1004,1,MATCH(COLUMNS($AD$1006:AO1006),$AD$1006:$AU$1006,0)))),"Fix")))</f>
        <v xml:space="preserve"> </v>
      </c>
      <c r="N920" s="4" t="str">
        <f ca="1">IF(OR(INDEX($X$2:$X$1001,MATCH(ROWS($W$2:W920),$W$2:$W$1001,0),1)&gt;=100000,INDEX($AD$1005:$AU$1005,1,MATCH(COLUMNS($AD$1006:AP1006),$AD$1006:$AU$1006,0))&gt;=100000), " ",IF(INDEX($AD$2:$AU$1001,MATCH(ROWS($W$2:W920),$W$2:$W$1001,0),MATCH(COLUMNS($AD$1006:AP1006),$AD$1006:$AU$1006,0)), HYPERLINK("#",""), HYPERLINK(CONCATENATE("#metadata!", ADDRESS(INDEX($Y$2:$Y$1001,MATCH(ROWS($W$2:W920),$W$2:$W$1001,0),0), INDEX($AD$1004:$AU$1004,1,MATCH(COLUMNS($AD$1006:AP1006),$AD$1006:$AU$1006,0)))),"Fix")))</f>
        <v xml:space="preserve"> </v>
      </c>
      <c r="O920" s="4" t="str">
        <f ca="1">IF(OR(INDEX($X$2:$X$1001,MATCH(ROWS($W$2:W920),$W$2:$W$1001,0),1)&gt;=100000,INDEX($AD$1005:$AU$1005,1,MATCH(COLUMNS($AD$1006:AQ1006),$AD$1006:$AU$1006,0))&gt;=100000), " ",IF(INDEX($AD$2:$AU$1001,MATCH(ROWS($W$2:W920),$W$2:$W$1001,0),MATCH(COLUMNS($AD$1006:AQ1006),$AD$1006:$AU$1006,0)), HYPERLINK("#",""), HYPERLINK(CONCATENATE("#metadata!", ADDRESS(INDEX($Y$2:$Y$1001,MATCH(ROWS($W$2:W920),$W$2:$W$1001,0),0), INDEX($AD$1004:$AU$1004,1,MATCH(COLUMNS($AD$1006:AQ1006),$AD$1006:$AU$1006,0)))),"Fix")))</f>
        <v xml:space="preserve"> </v>
      </c>
      <c r="P920" s="4" t="str">
        <f ca="1">IF(OR(INDEX($X$2:$X$1001,MATCH(ROWS($W$2:W920),$W$2:$W$1001,0),1)&gt;=100000,INDEX($AD$1005:$AU$1005,1,MATCH(COLUMNS($AD$1006:AR1006),$AD$1006:$AU$1006,0))&gt;=100000), " ",IF(INDEX($AD$2:$AU$1001,MATCH(ROWS($W$2:W920),$W$2:$W$1001,0),MATCH(COLUMNS($AD$1006:AR1006),$AD$1006:$AU$1006,0)), HYPERLINK("#",""), HYPERLINK(CONCATENATE("#metadata!", ADDRESS(INDEX($Y$2:$Y$1001,MATCH(ROWS($W$2:W920),$W$2:$W$1001,0),0), INDEX($AD$1004:$AU$1004,1,MATCH(COLUMNS($AD$1006:AR1006),$AD$1006:$AU$1006,0)))),"Fix")))</f>
        <v xml:space="preserve"> </v>
      </c>
      <c r="Q920" s="4" t="str">
        <f ca="1">IF(OR(INDEX($X$2:$X$1001,MATCH(ROWS($W$2:W920),$W$2:$W$1001,0),1)&gt;=100000,INDEX($AD$1005:$AU$1005,1,MATCH(COLUMNS($AD$1006:AS1006),$AD$1006:$AU$1006,0))&gt;=100000), " ",IF(INDEX($AD$2:$AU$1001,MATCH(ROWS($W$2:W920),$W$2:$W$1001,0),MATCH(COLUMNS($AD$1006:AS1006),$AD$1006:$AU$1006,0)), HYPERLINK("#",""), HYPERLINK(CONCATENATE("#metadata!", ADDRESS(INDEX($Y$2:$Y$1001,MATCH(ROWS($W$2:W920),$W$2:$W$1001,0),0), INDEX($AD$1004:$AU$1004,1,MATCH(COLUMNS($AD$1006:AS1006),$AD$1006:$AU$1006,0)))),"Fix")))</f>
        <v xml:space="preserve"> </v>
      </c>
      <c r="R920" s="4" t="str">
        <f ca="1">IF(OR(INDEX($X$2:$X$1001,MATCH(ROWS($W$2:W920),$W$2:$W$1001,0),1)&gt;=100000,INDEX($AD$1005:$AU$1005,1,MATCH(COLUMNS($AD$1006:AT1006),$AD$1006:$AU$1006,0))&gt;=100000), " ",IF(INDEX($AD$2:$AU$1001,MATCH(ROWS($W$2:W920),$W$2:$W$1001,0),MATCH(COLUMNS($AD$1006:AT1006),$AD$1006:$AU$1006,0)), HYPERLINK("#",""), HYPERLINK(CONCATENATE("#metadata!", ADDRESS(INDEX($Y$2:$Y$1001,MATCH(ROWS($W$2:W920),$W$2:$W$1001,0),0), INDEX($AD$1004:$AU$1004,1,MATCH(COLUMNS($AD$1006:AT1006),$AD$1006:$AU$1006,0)))),"Fix")))</f>
        <v xml:space="preserve"> </v>
      </c>
      <c r="S920" s="4" t="str">
        <f ca="1">IF(OR(INDEX($X$2:$X$1001,MATCH(ROWS($W$2:W920),$W$2:$W$1001,0),1)&gt;=100000,INDEX($AD$1005:$AU$1005,1,MATCH(COLUMNS($AD$1006:AU1006),$AD$1006:$AU$1006,0))&gt;=100000), " ",IF(INDEX($AD$2:$AU$1001,MATCH(ROWS($W$2:W920),$W$2:$W$1001,0),MATCH(COLUMNS($AD$1006:AU1006),$AD$1006:$AU$1006,0)), HYPERLINK("#",""), HYPERLINK(CONCATENATE("#metadata!", ADDRESS(INDEX($Y$2:$Y$1001,MATCH(ROWS($W$2:W920),$W$2:$W$1001,0),0), INDEX($AD$1004:$AU$1004,1,MATCH(COLUMNS($AD$1006:AU1006),$AD$1006:$AU$1006,0)))),"Fix")))</f>
        <v xml:space="preserve"> </v>
      </c>
      <c r="W920">
        <v>919</v>
      </c>
      <c r="X920">
        <v>100920</v>
      </c>
      <c r="Y920">
        <v>920</v>
      </c>
      <c r="Z920" t="b">
        <f t="shared" si="14"/>
        <v>1</v>
      </c>
      <c r="AA920" t="b">
        <f>COUNTBLANK(metadata!B920:S920)=COLUMNS(metadata!B920:S920)</f>
        <v>1</v>
      </c>
      <c r="AB920" t="str">
        <v/>
      </c>
      <c r="AD920" t="b">
        <f ca="1">AND(IF(metadata!B920="",FALSE,TRUE),COUNTIF(metadata!B:B, metadata!B920) = 1,NOT(ISERROR(SUMPRODUCT(SEARCH(MID(metadata!B920,ROW(INDIRECT("1:"&amp;LEN(metadata!B920))), 1),"0123456789abcdefghijklmnopqrstuvwxyzABCDEFGHIJKLMNOPQRSTUVWXYZ.")))))</f>
        <v>0</v>
      </c>
      <c r="AE920" t="b">
        <f>OR(AND(IF(metadata!C920="",FALSE,TRUE),OR(EXACT(metadata!C920,"not applicable"),EXACT(metadata!C920,"missing: not collected"),EXACT(metadata!C920,"missing: not provided"),EXACT(metadata!C920,"missing: restricted access"))),AND(IF(metadata!C920="",FALSE,ISNUMBER(VALUE(metadata!C920))),metadata!C920&gt;0))</f>
        <v>0</v>
      </c>
      <c r="AF920" t="b">
        <f>AND(IF(metadata!D920="",FALSE,TRUE),EXACT(metadata!D920,"missing: not provided"))</f>
        <v>0</v>
      </c>
      <c r="AG920" t="b">
        <f>AND(IF(metadata!E920="",FALSE,TRUE),EXACT(metadata!E920,"Host-associated"))</f>
        <v>0</v>
      </c>
      <c r="AH920" t="b">
        <f>AND(IF(metadata!F920="",FALSE,TRUE),OR(EXACT(metadata!F920,"Animal"),EXACT(metadata!F920,"Fungus"),EXACT(metadata!F920,"Plant")))</f>
        <v>0</v>
      </c>
      <c r="AI920" t="b">
        <f>AND(IF(metadata!G920="",FALSE,TRUE),OR(EXACT(metadata!G920,"Plant secretion"),EXACT(metadata!G920,"Plant rhizosphere"),EXACT(metadata!G920,"Plant surface"),EXACT(metadata!G920,"Plant corpus"),EXACT(metadata!G920,"Fungus surface"),EXACT(metadata!G920,"Fungus corpus"),EXACT(metadata!G920,"Animal surface"),EXACT(metadata!G920,"Animal proximal gut"),EXACT(metadata!G920,"Animal corpus"),EXACT(metadata!G920,"Animal distal gut"),EXACT(metadata!G920,"Animal secretion")))</f>
        <v>0</v>
      </c>
      <c r="AJ920" t="b">
        <f>OR(AND(IF(metadata!H920="",FALSE,TRUE),OR(EXACT(metadata!H920,"missing: not collected"),EXACT(metadata!H920,"missing: not provided"),EXACT(metadata!H920,"missing: restricted access"))),AND(IF(metadata!H920="",FALSE,TRUE),OR(EXACT(metadata!H920,"organism-associated habitat"),EXACT(metadata!H920,"plant-associated habitat"),EXACT(metadata!H920,"animal-associated habitat"),EXACT(metadata!H920,"insecta-associated habitat"),EXACT(metadata!H920,"mammalia-associated habitat"),EXACT(metadata!H920,"human-associated habitat"),EXACT(metadata!H920,"livestock-associated habitat"))))</f>
        <v>0</v>
      </c>
      <c r="AK920" t="b">
        <f>AND(IF(metadata!I920="",FALSE,TRUE),EXACT(metadata!I920,"host-associated"))</f>
        <v>0</v>
      </c>
      <c r="AL920" t="b">
        <f>OR(AND(IF(metadata!J920="",FALSE,TRUE),OR(EXACT(metadata!J920,"not applicable"),EXACT(metadata!J920,"missing: not collected"),EXACT(metadata!J920,"missing: not provided"),EXACT(metadata!J920,"missing: restricted access"))),AND(IF(metadata!J920="",FALSE,ISNUMBER(VALUE(metadata!J920))),metadata!J920&gt;0))</f>
        <v>0</v>
      </c>
      <c r="AM920" t="b">
        <f>AND(IF(metadata!K920="",FALSE,TRUE),EXACT(metadata!K920,"missing: not provided"))</f>
        <v>0</v>
      </c>
      <c r="AN920" t="b">
        <f>IF(metadata!L920="",FALSE,TRUE)</f>
        <v>0</v>
      </c>
      <c r="AO920" t="b">
        <f>IF(metadata!M920="",FALSE,TRUE)</f>
        <v>0</v>
      </c>
      <c r="AP920" t="b">
        <f>OR(AND(IF(metadata!N920="",FALSE,TRUE),OR(EXACT(metadata!N920,"not applicable"),EXACT(metadata!N920,"missing: not collected"),EXACT(metadata!N920,"missing: not provided"))),AND(IF(metadata!N920="",FALSE,IF(ISERROR(INT(metadata!N920)),FALSE,INT(metadata!N920)=metadata!N920)),metadata!N920&gt;0))</f>
        <v>0</v>
      </c>
      <c r="AQ920" t="b">
        <f>AND(IF(metadata!O920="",FALSE,TRUE),EXACT(metadata!O920,"Not applicable"))</f>
        <v>0</v>
      </c>
      <c r="AR920" t="b">
        <f>OR(AND(IF(metadata!P920="",FALSE,TRUE),OR(EXACT(metadata!P920,"not applicable"),EXACT(metadata!P920,"missing: not collected"),EXACT(metadata!P920,"missing: not provided"),EXACT(metadata!P920,"missing: restricted access"))),IF(metadata!P920="",FALSE,IF(ISERROR(INT(metadata!P920)),FALSE,INT(metadata!P920)=metadata!P920)))</f>
        <v>0</v>
      </c>
      <c r="AS920" t="b">
        <f>AND(IF(metadata!Q920="",FALSE,TRUE),EXACT(metadata!Q920,"Not applicable"))</f>
        <v>0</v>
      </c>
      <c r="AT920" t="b">
        <f>OR(AND(IF(metadata!R920="",FALSE,TRUE),OR(EXACT(metadata!R920,"not applicable"),EXACT(metadata!R920,"missing: not collected"),EXACT(metadata!R920,"missing: not provided"),EXACT(metadata!R920,"missing: restricted access"))),AND(IF(metadata!R920="",FALSE,ISNUMBER(VALUE(metadata!R920))),metadata!R920&gt;0))</f>
        <v>0</v>
      </c>
      <c r="AU920" t="b">
        <f>AND(IF(metadata!S920="",FALSE,TRUE),EXACT(metadata!S920,"missing: not provided"))</f>
        <v>0</v>
      </c>
    </row>
    <row r="921" spans="1:47" x14ac:dyDescent="0.2">
      <c r="A921" s="5" t="str">
        <f ca="1">IF(B921=" "," ",HYPERLINK(CONCATENATE("#metadata!",ADDRESS(INDEX($Y$2:$Y$1001,MATCH(ROWS($W$2:W921),$W$2:$W$1001,0),0),1)),INDEX($AB$2:$AB$1001,MATCH(ROWS($W$2:W921),$W$2:$W$1001,0),0)))</f>
        <v xml:space="preserve"> </v>
      </c>
      <c r="B921" s="4" t="str">
        <f ca="1">IF(OR(INDEX($X$2:$X$1001,MATCH(ROWS($W$2:W921),$W$2:$W$1001,0),1)&gt;=100000,INDEX($AD$1005:$AU$1005,1,MATCH(COLUMNS($AD$1006:AD1006),$AD$1006:$AU$1006,0))&gt;=100000), " ",IF(INDEX($AD$2:$AU$1001,MATCH(ROWS($W$2:W921),$W$2:$W$1001,0),MATCH(COLUMNS($AD$1006:AD1006),$AD$1006:$AU$1006,0)), HYPERLINK("#",""), HYPERLINK(CONCATENATE("#metadata!", ADDRESS(INDEX($Y$2:$Y$1001,MATCH(ROWS($W$2:W921),$W$2:$W$1001,0),0), INDEX($AD$1004:$AU$1004,1,MATCH(COLUMNS($AD$1006:AD1006),$AD$1006:$AU$1006,0)))),"Fix")))</f>
        <v xml:space="preserve"> </v>
      </c>
      <c r="C921" s="4" t="str">
        <f ca="1">IF(OR(INDEX($X$2:$X$1001,MATCH(ROWS($W$2:W921),$W$2:$W$1001,0),1)&gt;=100000,INDEX($AD$1005:$AU$1005,1,MATCH(COLUMNS($AD$1006:AE1006),$AD$1006:$AU$1006,0))&gt;=100000), " ",IF(INDEX($AD$2:$AU$1001,MATCH(ROWS($W$2:W921),$W$2:$W$1001,0),MATCH(COLUMNS($AD$1006:AE1006),$AD$1006:$AU$1006,0)), HYPERLINK("#",""), HYPERLINK(CONCATENATE("#metadata!", ADDRESS(INDEX($Y$2:$Y$1001,MATCH(ROWS($W$2:W921),$W$2:$W$1001,0),0), INDEX($AD$1004:$AU$1004,1,MATCH(COLUMNS($AD$1006:AE1006),$AD$1006:$AU$1006,0)))),"Fix")))</f>
        <v xml:space="preserve"> </v>
      </c>
      <c r="D921" s="4" t="str">
        <f ca="1">IF(OR(INDEX($X$2:$X$1001,MATCH(ROWS($W$2:W921),$W$2:$W$1001,0),1)&gt;=100000,INDEX($AD$1005:$AU$1005,1,MATCH(COLUMNS($AD$1006:AF1006),$AD$1006:$AU$1006,0))&gt;=100000), " ",IF(INDEX($AD$2:$AU$1001,MATCH(ROWS($W$2:W921),$W$2:$W$1001,0),MATCH(COLUMNS($AD$1006:AF1006),$AD$1006:$AU$1006,0)), HYPERLINK("#",""), HYPERLINK(CONCATENATE("#metadata!", ADDRESS(INDEX($Y$2:$Y$1001,MATCH(ROWS($W$2:W921),$W$2:$W$1001,0),0), INDEX($AD$1004:$AU$1004,1,MATCH(COLUMNS($AD$1006:AF1006),$AD$1006:$AU$1006,0)))),"Fix")))</f>
        <v xml:space="preserve"> </v>
      </c>
      <c r="E921" s="4" t="str">
        <f ca="1">IF(OR(INDEX($X$2:$X$1001,MATCH(ROWS($W$2:W921),$W$2:$W$1001,0),1)&gt;=100000,INDEX($AD$1005:$AU$1005,1,MATCH(COLUMNS($AD$1006:AG1006),$AD$1006:$AU$1006,0))&gt;=100000), " ",IF(INDEX($AD$2:$AU$1001,MATCH(ROWS($W$2:W921),$W$2:$W$1001,0),MATCH(COLUMNS($AD$1006:AG1006),$AD$1006:$AU$1006,0)), HYPERLINK("#",""), HYPERLINK(CONCATENATE("#metadata!", ADDRESS(INDEX($Y$2:$Y$1001,MATCH(ROWS($W$2:W921),$W$2:$W$1001,0),0), INDEX($AD$1004:$AU$1004,1,MATCH(COLUMNS($AD$1006:AG1006),$AD$1006:$AU$1006,0)))),"Fix")))</f>
        <v xml:space="preserve"> </v>
      </c>
      <c r="F921" s="4" t="str">
        <f ca="1">IF(OR(INDEX($X$2:$X$1001,MATCH(ROWS($W$2:W921),$W$2:$W$1001,0),1)&gt;=100000,INDEX($AD$1005:$AU$1005,1,MATCH(COLUMNS($AD$1006:AH1006),$AD$1006:$AU$1006,0))&gt;=100000), " ",IF(INDEX($AD$2:$AU$1001,MATCH(ROWS($W$2:W921),$W$2:$W$1001,0),MATCH(COLUMNS($AD$1006:AH1006),$AD$1006:$AU$1006,0)), HYPERLINK("#",""), HYPERLINK(CONCATENATE("#metadata!", ADDRESS(INDEX($Y$2:$Y$1001,MATCH(ROWS($W$2:W921),$W$2:$W$1001,0),0), INDEX($AD$1004:$AU$1004,1,MATCH(COLUMNS($AD$1006:AH1006),$AD$1006:$AU$1006,0)))),"Fix")))</f>
        <v xml:space="preserve"> </v>
      </c>
      <c r="G921" s="4" t="str">
        <f ca="1">IF(OR(INDEX($X$2:$X$1001,MATCH(ROWS($W$2:W921),$W$2:$W$1001,0),1)&gt;=100000,INDEX($AD$1005:$AU$1005,1,MATCH(COLUMNS($AD$1006:AI1006),$AD$1006:$AU$1006,0))&gt;=100000), " ",IF(INDEX($AD$2:$AU$1001,MATCH(ROWS($W$2:W921),$W$2:$W$1001,0),MATCH(COLUMNS($AD$1006:AI1006),$AD$1006:$AU$1006,0)), HYPERLINK("#",""), HYPERLINK(CONCATENATE("#metadata!", ADDRESS(INDEX($Y$2:$Y$1001,MATCH(ROWS($W$2:W921),$W$2:$W$1001,0),0), INDEX($AD$1004:$AU$1004,1,MATCH(COLUMNS($AD$1006:AI1006),$AD$1006:$AU$1006,0)))),"Fix")))</f>
        <v xml:space="preserve"> </v>
      </c>
      <c r="H921" s="4" t="str">
        <f ca="1">IF(OR(INDEX($X$2:$X$1001,MATCH(ROWS($W$2:W921),$W$2:$W$1001,0),1)&gt;=100000,INDEX($AD$1005:$AU$1005,1,MATCH(COLUMNS($AD$1006:AJ1006),$AD$1006:$AU$1006,0))&gt;=100000), " ",IF(INDEX($AD$2:$AU$1001,MATCH(ROWS($W$2:W921),$W$2:$W$1001,0),MATCH(COLUMNS($AD$1006:AJ1006),$AD$1006:$AU$1006,0)), HYPERLINK("#",""), HYPERLINK(CONCATENATE("#metadata!", ADDRESS(INDEX($Y$2:$Y$1001,MATCH(ROWS($W$2:W921),$W$2:$W$1001,0),0), INDEX($AD$1004:$AU$1004,1,MATCH(COLUMNS($AD$1006:AJ1006),$AD$1006:$AU$1006,0)))),"Fix")))</f>
        <v xml:space="preserve"> </v>
      </c>
      <c r="I921" s="4" t="str">
        <f ca="1">IF(OR(INDEX($X$2:$X$1001,MATCH(ROWS($W$2:W921),$W$2:$W$1001,0),1)&gt;=100000,INDEX($AD$1005:$AU$1005,1,MATCH(COLUMNS($AD$1006:AK1006),$AD$1006:$AU$1006,0))&gt;=100000), " ",IF(INDEX($AD$2:$AU$1001,MATCH(ROWS($W$2:W921),$W$2:$W$1001,0),MATCH(COLUMNS($AD$1006:AK1006),$AD$1006:$AU$1006,0)), HYPERLINK("#",""), HYPERLINK(CONCATENATE("#metadata!", ADDRESS(INDEX($Y$2:$Y$1001,MATCH(ROWS($W$2:W921),$W$2:$W$1001,0),0), INDEX($AD$1004:$AU$1004,1,MATCH(COLUMNS($AD$1006:AK1006),$AD$1006:$AU$1006,0)))),"Fix")))</f>
        <v xml:space="preserve"> </v>
      </c>
      <c r="J921" s="4" t="str">
        <f ca="1">IF(OR(INDEX($X$2:$X$1001,MATCH(ROWS($W$2:W921),$W$2:$W$1001,0),1)&gt;=100000,INDEX($AD$1005:$AU$1005,1,MATCH(COLUMNS($AD$1006:AL1006),$AD$1006:$AU$1006,0))&gt;=100000), " ",IF(INDEX($AD$2:$AU$1001,MATCH(ROWS($W$2:W921),$W$2:$W$1001,0),MATCH(COLUMNS($AD$1006:AL1006),$AD$1006:$AU$1006,0)), HYPERLINK("#",""), HYPERLINK(CONCATENATE("#metadata!", ADDRESS(INDEX($Y$2:$Y$1001,MATCH(ROWS($W$2:W921),$W$2:$W$1001,0),0), INDEX($AD$1004:$AU$1004,1,MATCH(COLUMNS($AD$1006:AL1006),$AD$1006:$AU$1006,0)))),"Fix")))</f>
        <v xml:space="preserve"> </v>
      </c>
      <c r="K921" s="4" t="str">
        <f ca="1">IF(OR(INDEX($X$2:$X$1001,MATCH(ROWS($W$2:W921),$W$2:$W$1001,0),1)&gt;=100000,INDEX($AD$1005:$AU$1005,1,MATCH(COLUMNS($AD$1006:AM1006),$AD$1006:$AU$1006,0))&gt;=100000), " ",IF(INDEX($AD$2:$AU$1001,MATCH(ROWS($W$2:W921),$W$2:$W$1001,0),MATCH(COLUMNS($AD$1006:AM1006),$AD$1006:$AU$1006,0)), HYPERLINK("#",""), HYPERLINK(CONCATENATE("#metadata!", ADDRESS(INDEX($Y$2:$Y$1001,MATCH(ROWS($W$2:W921),$W$2:$W$1001,0),0), INDEX($AD$1004:$AU$1004,1,MATCH(COLUMNS($AD$1006:AM1006),$AD$1006:$AU$1006,0)))),"Fix")))</f>
        <v xml:space="preserve"> </v>
      </c>
      <c r="L921" s="4" t="str">
        <f ca="1">IF(OR(INDEX($X$2:$X$1001,MATCH(ROWS($W$2:W921),$W$2:$W$1001,0),1)&gt;=100000,INDEX($AD$1005:$AU$1005,1,MATCH(COLUMNS($AD$1006:AN1006),$AD$1006:$AU$1006,0))&gt;=100000), " ",IF(INDEX($AD$2:$AU$1001,MATCH(ROWS($W$2:W921),$W$2:$W$1001,0),MATCH(COLUMNS($AD$1006:AN1006),$AD$1006:$AU$1006,0)), HYPERLINK("#",""), HYPERLINK(CONCATENATE("#metadata!", ADDRESS(INDEX($Y$2:$Y$1001,MATCH(ROWS($W$2:W921),$W$2:$W$1001,0),0), INDEX($AD$1004:$AU$1004,1,MATCH(COLUMNS($AD$1006:AN1006),$AD$1006:$AU$1006,0)))),"Fix")))</f>
        <v xml:space="preserve"> </v>
      </c>
      <c r="M921" s="4" t="str">
        <f ca="1">IF(OR(INDEX($X$2:$X$1001,MATCH(ROWS($W$2:W921),$W$2:$W$1001,0),1)&gt;=100000,INDEX($AD$1005:$AU$1005,1,MATCH(COLUMNS($AD$1006:AO1006),$AD$1006:$AU$1006,0))&gt;=100000), " ",IF(INDEX($AD$2:$AU$1001,MATCH(ROWS($W$2:W921),$W$2:$W$1001,0),MATCH(COLUMNS($AD$1006:AO1006),$AD$1006:$AU$1006,0)), HYPERLINK("#",""), HYPERLINK(CONCATENATE("#metadata!", ADDRESS(INDEX($Y$2:$Y$1001,MATCH(ROWS($W$2:W921),$W$2:$W$1001,0),0), INDEX($AD$1004:$AU$1004,1,MATCH(COLUMNS($AD$1006:AO1006),$AD$1006:$AU$1006,0)))),"Fix")))</f>
        <v xml:space="preserve"> </v>
      </c>
      <c r="N921" s="4" t="str">
        <f ca="1">IF(OR(INDEX($X$2:$X$1001,MATCH(ROWS($W$2:W921),$W$2:$W$1001,0),1)&gt;=100000,INDEX($AD$1005:$AU$1005,1,MATCH(COLUMNS($AD$1006:AP1006),$AD$1006:$AU$1006,0))&gt;=100000), " ",IF(INDEX($AD$2:$AU$1001,MATCH(ROWS($W$2:W921),$W$2:$W$1001,0),MATCH(COLUMNS($AD$1006:AP1006),$AD$1006:$AU$1006,0)), HYPERLINK("#",""), HYPERLINK(CONCATENATE("#metadata!", ADDRESS(INDEX($Y$2:$Y$1001,MATCH(ROWS($W$2:W921),$W$2:$W$1001,0),0), INDEX($AD$1004:$AU$1004,1,MATCH(COLUMNS($AD$1006:AP1006),$AD$1006:$AU$1006,0)))),"Fix")))</f>
        <v xml:space="preserve"> </v>
      </c>
      <c r="O921" s="4" t="str">
        <f ca="1">IF(OR(INDEX($X$2:$X$1001,MATCH(ROWS($W$2:W921),$W$2:$W$1001,0),1)&gt;=100000,INDEX($AD$1005:$AU$1005,1,MATCH(COLUMNS($AD$1006:AQ1006),$AD$1006:$AU$1006,0))&gt;=100000), " ",IF(INDEX($AD$2:$AU$1001,MATCH(ROWS($W$2:W921),$W$2:$W$1001,0),MATCH(COLUMNS($AD$1006:AQ1006),$AD$1006:$AU$1006,0)), HYPERLINK("#",""), HYPERLINK(CONCATENATE("#metadata!", ADDRESS(INDEX($Y$2:$Y$1001,MATCH(ROWS($W$2:W921),$W$2:$W$1001,0),0), INDEX($AD$1004:$AU$1004,1,MATCH(COLUMNS($AD$1006:AQ1006),$AD$1006:$AU$1006,0)))),"Fix")))</f>
        <v xml:space="preserve"> </v>
      </c>
      <c r="P921" s="4" t="str">
        <f ca="1">IF(OR(INDEX($X$2:$X$1001,MATCH(ROWS($W$2:W921),$W$2:$W$1001,0),1)&gt;=100000,INDEX($AD$1005:$AU$1005,1,MATCH(COLUMNS($AD$1006:AR1006),$AD$1006:$AU$1006,0))&gt;=100000), " ",IF(INDEX($AD$2:$AU$1001,MATCH(ROWS($W$2:W921),$W$2:$W$1001,0),MATCH(COLUMNS($AD$1006:AR1006),$AD$1006:$AU$1006,0)), HYPERLINK("#",""), HYPERLINK(CONCATENATE("#metadata!", ADDRESS(INDEX($Y$2:$Y$1001,MATCH(ROWS($W$2:W921),$W$2:$W$1001,0),0), INDEX($AD$1004:$AU$1004,1,MATCH(COLUMNS($AD$1006:AR1006),$AD$1006:$AU$1006,0)))),"Fix")))</f>
        <v xml:space="preserve"> </v>
      </c>
      <c r="Q921" s="4" t="str">
        <f ca="1">IF(OR(INDEX($X$2:$X$1001,MATCH(ROWS($W$2:W921),$W$2:$W$1001,0),1)&gt;=100000,INDEX($AD$1005:$AU$1005,1,MATCH(COLUMNS($AD$1006:AS1006),$AD$1006:$AU$1006,0))&gt;=100000), " ",IF(INDEX($AD$2:$AU$1001,MATCH(ROWS($W$2:W921),$W$2:$W$1001,0),MATCH(COLUMNS($AD$1006:AS1006),$AD$1006:$AU$1006,0)), HYPERLINK("#",""), HYPERLINK(CONCATENATE("#metadata!", ADDRESS(INDEX($Y$2:$Y$1001,MATCH(ROWS($W$2:W921),$W$2:$W$1001,0),0), INDEX($AD$1004:$AU$1004,1,MATCH(COLUMNS($AD$1006:AS1006),$AD$1006:$AU$1006,0)))),"Fix")))</f>
        <v xml:space="preserve"> </v>
      </c>
      <c r="R921" s="4" t="str">
        <f ca="1">IF(OR(INDEX($X$2:$X$1001,MATCH(ROWS($W$2:W921),$W$2:$W$1001,0),1)&gt;=100000,INDEX($AD$1005:$AU$1005,1,MATCH(COLUMNS($AD$1006:AT1006),$AD$1006:$AU$1006,0))&gt;=100000), " ",IF(INDEX($AD$2:$AU$1001,MATCH(ROWS($W$2:W921),$W$2:$W$1001,0),MATCH(COLUMNS($AD$1006:AT1006),$AD$1006:$AU$1006,0)), HYPERLINK("#",""), HYPERLINK(CONCATENATE("#metadata!", ADDRESS(INDEX($Y$2:$Y$1001,MATCH(ROWS($W$2:W921),$W$2:$W$1001,0),0), INDEX($AD$1004:$AU$1004,1,MATCH(COLUMNS($AD$1006:AT1006),$AD$1006:$AU$1006,0)))),"Fix")))</f>
        <v xml:space="preserve"> </v>
      </c>
      <c r="S921" s="4" t="str">
        <f ca="1">IF(OR(INDEX($X$2:$X$1001,MATCH(ROWS($W$2:W921),$W$2:$W$1001,0),1)&gt;=100000,INDEX($AD$1005:$AU$1005,1,MATCH(COLUMNS($AD$1006:AU1006),$AD$1006:$AU$1006,0))&gt;=100000), " ",IF(INDEX($AD$2:$AU$1001,MATCH(ROWS($W$2:W921),$W$2:$W$1001,0),MATCH(COLUMNS($AD$1006:AU1006),$AD$1006:$AU$1006,0)), HYPERLINK("#",""), HYPERLINK(CONCATENATE("#metadata!", ADDRESS(INDEX($Y$2:$Y$1001,MATCH(ROWS($W$2:W921),$W$2:$W$1001,0),0), INDEX($AD$1004:$AU$1004,1,MATCH(COLUMNS($AD$1006:AU1006),$AD$1006:$AU$1006,0)))),"Fix")))</f>
        <v xml:space="preserve"> </v>
      </c>
      <c r="W921">
        <v>920</v>
      </c>
      <c r="X921">
        <v>100921</v>
      </c>
      <c r="Y921">
        <v>921</v>
      </c>
      <c r="Z921" t="b">
        <f t="shared" si="14"/>
        <v>1</v>
      </c>
      <c r="AA921" t="b">
        <f>COUNTBLANK(metadata!B921:S921)=COLUMNS(metadata!B921:S921)</f>
        <v>1</v>
      </c>
      <c r="AB921" t="str">
        <v/>
      </c>
      <c r="AD921" t="b">
        <f ca="1">AND(IF(metadata!B921="",FALSE,TRUE),COUNTIF(metadata!B:B, metadata!B921) = 1,NOT(ISERROR(SUMPRODUCT(SEARCH(MID(metadata!B921,ROW(INDIRECT("1:"&amp;LEN(metadata!B921))), 1),"0123456789abcdefghijklmnopqrstuvwxyzABCDEFGHIJKLMNOPQRSTUVWXYZ.")))))</f>
        <v>0</v>
      </c>
      <c r="AE921" t="b">
        <f>OR(AND(IF(metadata!C921="",FALSE,TRUE),OR(EXACT(metadata!C921,"not applicable"),EXACT(metadata!C921,"missing: not collected"),EXACT(metadata!C921,"missing: not provided"),EXACT(metadata!C921,"missing: restricted access"))),AND(IF(metadata!C921="",FALSE,ISNUMBER(VALUE(metadata!C921))),metadata!C921&gt;0))</f>
        <v>0</v>
      </c>
      <c r="AF921" t="b">
        <f>AND(IF(metadata!D921="",FALSE,TRUE),EXACT(metadata!D921,"missing: not provided"))</f>
        <v>0</v>
      </c>
      <c r="AG921" t="b">
        <f>AND(IF(metadata!E921="",FALSE,TRUE),EXACT(metadata!E921,"Host-associated"))</f>
        <v>0</v>
      </c>
      <c r="AH921" t="b">
        <f>AND(IF(metadata!F921="",FALSE,TRUE),OR(EXACT(metadata!F921,"Animal"),EXACT(metadata!F921,"Fungus"),EXACT(metadata!F921,"Plant")))</f>
        <v>0</v>
      </c>
      <c r="AI921" t="b">
        <f>AND(IF(metadata!G921="",FALSE,TRUE),OR(EXACT(metadata!G921,"Plant secretion"),EXACT(metadata!G921,"Plant rhizosphere"),EXACT(metadata!G921,"Plant surface"),EXACT(metadata!G921,"Plant corpus"),EXACT(metadata!G921,"Fungus surface"),EXACT(metadata!G921,"Fungus corpus"),EXACT(metadata!G921,"Animal surface"),EXACT(metadata!G921,"Animal proximal gut"),EXACT(metadata!G921,"Animal corpus"),EXACT(metadata!G921,"Animal distal gut"),EXACT(metadata!G921,"Animal secretion")))</f>
        <v>0</v>
      </c>
      <c r="AJ921" t="b">
        <f>OR(AND(IF(metadata!H921="",FALSE,TRUE),OR(EXACT(metadata!H921,"missing: not collected"),EXACT(metadata!H921,"missing: not provided"),EXACT(metadata!H921,"missing: restricted access"))),AND(IF(metadata!H921="",FALSE,TRUE),OR(EXACT(metadata!H921,"organism-associated habitat"),EXACT(metadata!H921,"plant-associated habitat"),EXACT(metadata!H921,"animal-associated habitat"),EXACT(metadata!H921,"insecta-associated habitat"),EXACT(metadata!H921,"mammalia-associated habitat"),EXACT(metadata!H921,"human-associated habitat"),EXACT(metadata!H921,"livestock-associated habitat"))))</f>
        <v>0</v>
      </c>
      <c r="AK921" t="b">
        <f>AND(IF(metadata!I921="",FALSE,TRUE),EXACT(metadata!I921,"host-associated"))</f>
        <v>0</v>
      </c>
      <c r="AL921" t="b">
        <f>OR(AND(IF(metadata!J921="",FALSE,TRUE),OR(EXACT(metadata!J921,"not applicable"),EXACT(metadata!J921,"missing: not collected"),EXACT(metadata!J921,"missing: not provided"),EXACT(metadata!J921,"missing: restricted access"))),AND(IF(metadata!J921="",FALSE,ISNUMBER(VALUE(metadata!J921))),metadata!J921&gt;0))</f>
        <v>0</v>
      </c>
      <c r="AM921" t="b">
        <f>AND(IF(metadata!K921="",FALSE,TRUE),EXACT(metadata!K921,"missing: not provided"))</f>
        <v>0</v>
      </c>
      <c r="AN921" t="b">
        <f>IF(metadata!L921="",FALSE,TRUE)</f>
        <v>0</v>
      </c>
      <c r="AO921" t="b">
        <f>IF(metadata!M921="",FALSE,TRUE)</f>
        <v>0</v>
      </c>
      <c r="AP921" t="b">
        <f>OR(AND(IF(metadata!N921="",FALSE,TRUE),OR(EXACT(metadata!N921,"not applicable"),EXACT(metadata!N921,"missing: not collected"),EXACT(metadata!N921,"missing: not provided"))),AND(IF(metadata!N921="",FALSE,IF(ISERROR(INT(metadata!N921)),FALSE,INT(metadata!N921)=metadata!N921)),metadata!N921&gt;0))</f>
        <v>0</v>
      </c>
      <c r="AQ921" t="b">
        <f>AND(IF(metadata!O921="",FALSE,TRUE),EXACT(metadata!O921,"Not applicable"))</f>
        <v>0</v>
      </c>
      <c r="AR921" t="b">
        <f>OR(AND(IF(metadata!P921="",FALSE,TRUE),OR(EXACT(metadata!P921,"not applicable"),EXACT(metadata!P921,"missing: not collected"),EXACT(metadata!P921,"missing: not provided"),EXACT(metadata!P921,"missing: restricted access"))),IF(metadata!P921="",FALSE,IF(ISERROR(INT(metadata!P921)),FALSE,INT(metadata!P921)=metadata!P921)))</f>
        <v>0</v>
      </c>
      <c r="AS921" t="b">
        <f>AND(IF(metadata!Q921="",FALSE,TRUE),EXACT(metadata!Q921,"Not applicable"))</f>
        <v>0</v>
      </c>
      <c r="AT921" t="b">
        <f>OR(AND(IF(metadata!R921="",FALSE,TRUE),OR(EXACT(metadata!R921,"not applicable"),EXACT(metadata!R921,"missing: not collected"),EXACT(metadata!R921,"missing: not provided"),EXACT(metadata!R921,"missing: restricted access"))),AND(IF(metadata!R921="",FALSE,ISNUMBER(VALUE(metadata!R921))),metadata!R921&gt;0))</f>
        <v>0</v>
      </c>
      <c r="AU921" t="b">
        <f>AND(IF(metadata!S921="",FALSE,TRUE),EXACT(metadata!S921,"missing: not provided"))</f>
        <v>0</v>
      </c>
    </row>
    <row r="922" spans="1:47" x14ac:dyDescent="0.2">
      <c r="A922" s="5" t="str">
        <f ca="1">IF(B922=" "," ",HYPERLINK(CONCATENATE("#metadata!",ADDRESS(INDEX($Y$2:$Y$1001,MATCH(ROWS($W$2:W922),$W$2:$W$1001,0),0),1)),INDEX($AB$2:$AB$1001,MATCH(ROWS($W$2:W922),$W$2:$W$1001,0),0)))</f>
        <v xml:space="preserve"> </v>
      </c>
      <c r="B922" s="4" t="str">
        <f ca="1">IF(OR(INDEX($X$2:$X$1001,MATCH(ROWS($W$2:W922),$W$2:$W$1001,0),1)&gt;=100000,INDEX($AD$1005:$AU$1005,1,MATCH(COLUMNS($AD$1006:AD1006),$AD$1006:$AU$1006,0))&gt;=100000), " ",IF(INDEX($AD$2:$AU$1001,MATCH(ROWS($W$2:W922),$W$2:$W$1001,0),MATCH(COLUMNS($AD$1006:AD1006),$AD$1006:$AU$1006,0)), HYPERLINK("#",""), HYPERLINK(CONCATENATE("#metadata!", ADDRESS(INDEX($Y$2:$Y$1001,MATCH(ROWS($W$2:W922),$W$2:$W$1001,0),0), INDEX($AD$1004:$AU$1004,1,MATCH(COLUMNS($AD$1006:AD1006),$AD$1006:$AU$1006,0)))),"Fix")))</f>
        <v xml:space="preserve"> </v>
      </c>
      <c r="C922" s="4" t="str">
        <f ca="1">IF(OR(INDEX($X$2:$X$1001,MATCH(ROWS($W$2:W922),$W$2:$W$1001,0),1)&gt;=100000,INDEX($AD$1005:$AU$1005,1,MATCH(COLUMNS($AD$1006:AE1006),$AD$1006:$AU$1006,0))&gt;=100000), " ",IF(INDEX($AD$2:$AU$1001,MATCH(ROWS($W$2:W922),$W$2:$W$1001,0),MATCH(COLUMNS($AD$1006:AE1006),$AD$1006:$AU$1006,0)), HYPERLINK("#",""), HYPERLINK(CONCATENATE("#metadata!", ADDRESS(INDEX($Y$2:$Y$1001,MATCH(ROWS($W$2:W922),$W$2:$W$1001,0),0), INDEX($AD$1004:$AU$1004,1,MATCH(COLUMNS($AD$1006:AE1006),$AD$1006:$AU$1006,0)))),"Fix")))</f>
        <v xml:space="preserve"> </v>
      </c>
      <c r="D922" s="4" t="str">
        <f ca="1">IF(OR(INDEX($X$2:$X$1001,MATCH(ROWS($W$2:W922),$W$2:$W$1001,0),1)&gt;=100000,INDEX($AD$1005:$AU$1005,1,MATCH(COLUMNS($AD$1006:AF1006),$AD$1006:$AU$1006,0))&gt;=100000), " ",IF(INDEX($AD$2:$AU$1001,MATCH(ROWS($W$2:W922),$W$2:$W$1001,0),MATCH(COLUMNS($AD$1006:AF1006),$AD$1006:$AU$1006,0)), HYPERLINK("#",""), HYPERLINK(CONCATENATE("#metadata!", ADDRESS(INDEX($Y$2:$Y$1001,MATCH(ROWS($W$2:W922),$W$2:$W$1001,0),0), INDEX($AD$1004:$AU$1004,1,MATCH(COLUMNS($AD$1006:AF1006),$AD$1006:$AU$1006,0)))),"Fix")))</f>
        <v xml:space="preserve"> </v>
      </c>
      <c r="E922" s="4" t="str">
        <f ca="1">IF(OR(INDEX($X$2:$X$1001,MATCH(ROWS($W$2:W922),$W$2:$W$1001,0),1)&gt;=100000,INDEX($AD$1005:$AU$1005,1,MATCH(COLUMNS($AD$1006:AG1006),$AD$1006:$AU$1006,0))&gt;=100000), " ",IF(INDEX($AD$2:$AU$1001,MATCH(ROWS($W$2:W922),$W$2:$W$1001,0),MATCH(COLUMNS($AD$1006:AG1006),$AD$1006:$AU$1006,0)), HYPERLINK("#",""), HYPERLINK(CONCATENATE("#metadata!", ADDRESS(INDEX($Y$2:$Y$1001,MATCH(ROWS($W$2:W922),$W$2:$W$1001,0),0), INDEX($AD$1004:$AU$1004,1,MATCH(COLUMNS($AD$1006:AG1006),$AD$1006:$AU$1006,0)))),"Fix")))</f>
        <v xml:space="preserve"> </v>
      </c>
      <c r="F922" s="4" t="str">
        <f ca="1">IF(OR(INDEX($X$2:$X$1001,MATCH(ROWS($W$2:W922),$W$2:$W$1001,0),1)&gt;=100000,INDEX($AD$1005:$AU$1005,1,MATCH(COLUMNS($AD$1006:AH1006),$AD$1006:$AU$1006,0))&gt;=100000), " ",IF(INDEX($AD$2:$AU$1001,MATCH(ROWS($W$2:W922),$W$2:$W$1001,0),MATCH(COLUMNS($AD$1006:AH1006),$AD$1006:$AU$1006,0)), HYPERLINK("#",""), HYPERLINK(CONCATENATE("#metadata!", ADDRESS(INDEX($Y$2:$Y$1001,MATCH(ROWS($W$2:W922),$W$2:$W$1001,0),0), INDEX($AD$1004:$AU$1004,1,MATCH(COLUMNS($AD$1006:AH1006),$AD$1006:$AU$1006,0)))),"Fix")))</f>
        <v xml:space="preserve"> </v>
      </c>
      <c r="G922" s="4" t="str">
        <f ca="1">IF(OR(INDEX($X$2:$X$1001,MATCH(ROWS($W$2:W922),$W$2:$W$1001,0),1)&gt;=100000,INDEX($AD$1005:$AU$1005,1,MATCH(COLUMNS($AD$1006:AI1006),$AD$1006:$AU$1006,0))&gt;=100000), " ",IF(INDEX($AD$2:$AU$1001,MATCH(ROWS($W$2:W922),$W$2:$W$1001,0),MATCH(COLUMNS($AD$1006:AI1006),$AD$1006:$AU$1006,0)), HYPERLINK("#",""), HYPERLINK(CONCATENATE("#metadata!", ADDRESS(INDEX($Y$2:$Y$1001,MATCH(ROWS($W$2:W922),$W$2:$W$1001,0),0), INDEX($AD$1004:$AU$1004,1,MATCH(COLUMNS($AD$1006:AI1006),$AD$1006:$AU$1006,0)))),"Fix")))</f>
        <v xml:space="preserve"> </v>
      </c>
      <c r="H922" s="4" t="str">
        <f ca="1">IF(OR(INDEX($X$2:$X$1001,MATCH(ROWS($W$2:W922),$W$2:$W$1001,0),1)&gt;=100000,INDEX($AD$1005:$AU$1005,1,MATCH(COLUMNS($AD$1006:AJ1006),$AD$1006:$AU$1006,0))&gt;=100000), " ",IF(INDEX($AD$2:$AU$1001,MATCH(ROWS($W$2:W922),$W$2:$W$1001,0),MATCH(COLUMNS($AD$1006:AJ1006),$AD$1006:$AU$1006,0)), HYPERLINK("#",""), HYPERLINK(CONCATENATE("#metadata!", ADDRESS(INDEX($Y$2:$Y$1001,MATCH(ROWS($W$2:W922),$W$2:$W$1001,0),0), INDEX($AD$1004:$AU$1004,1,MATCH(COLUMNS($AD$1006:AJ1006),$AD$1006:$AU$1006,0)))),"Fix")))</f>
        <v xml:space="preserve"> </v>
      </c>
      <c r="I922" s="4" t="str">
        <f ca="1">IF(OR(INDEX($X$2:$X$1001,MATCH(ROWS($W$2:W922),$W$2:$W$1001,0),1)&gt;=100000,INDEX($AD$1005:$AU$1005,1,MATCH(COLUMNS($AD$1006:AK1006),$AD$1006:$AU$1006,0))&gt;=100000), " ",IF(INDEX($AD$2:$AU$1001,MATCH(ROWS($W$2:W922),$W$2:$W$1001,0),MATCH(COLUMNS($AD$1006:AK1006),$AD$1006:$AU$1006,0)), HYPERLINK("#",""), HYPERLINK(CONCATENATE("#metadata!", ADDRESS(INDEX($Y$2:$Y$1001,MATCH(ROWS($W$2:W922),$W$2:$W$1001,0),0), INDEX($AD$1004:$AU$1004,1,MATCH(COLUMNS($AD$1006:AK1006),$AD$1006:$AU$1006,0)))),"Fix")))</f>
        <v xml:space="preserve"> </v>
      </c>
      <c r="J922" s="4" t="str">
        <f ca="1">IF(OR(INDEX($X$2:$X$1001,MATCH(ROWS($W$2:W922),$W$2:$W$1001,0),1)&gt;=100000,INDEX($AD$1005:$AU$1005,1,MATCH(COLUMNS($AD$1006:AL1006),$AD$1006:$AU$1006,0))&gt;=100000), " ",IF(INDEX($AD$2:$AU$1001,MATCH(ROWS($W$2:W922),$W$2:$W$1001,0),MATCH(COLUMNS($AD$1006:AL1006),$AD$1006:$AU$1006,0)), HYPERLINK("#",""), HYPERLINK(CONCATENATE("#metadata!", ADDRESS(INDEX($Y$2:$Y$1001,MATCH(ROWS($W$2:W922),$W$2:$W$1001,0),0), INDEX($AD$1004:$AU$1004,1,MATCH(COLUMNS($AD$1006:AL1006),$AD$1006:$AU$1006,0)))),"Fix")))</f>
        <v xml:space="preserve"> </v>
      </c>
      <c r="K922" s="4" t="str">
        <f ca="1">IF(OR(INDEX($X$2:$X$1001,MATCH(ROWS($W$2:W922),$W$2:$W$1001,0),1)&gt;=100000,INDEX($AD$1005:$AU$1005,1,MATCH(COLUMNS($AD$1006:AM1006),$AD$1006:$AU$1006,0))&gt;=100000), " ",IF(INDEX($AD$2:$AU$1001,MATCH(ROWS($W$2:W922),$W$2:$W$1001,0),MATCH(COLUMNS($AD$1006:AM1006),$AD$1006:$AU$1006,0)), HYPERLINK("#",""), HYPERLINK(CONCATENATE("#metadata!", ADDRESS(INDEX($Y$2:$Y$1001,MATCH(ROWS($W$2:W922),$W$2:$W$1001,0),0), INDEX($AD$1004:$AU$1004,1,MATCH(COLUMNS($AD$1006:AM1006),$AD$1006:$AU$1006,0)))),"Fix")))</f>
        <v xml:space="preserve"> </v>
      </c>
      <c r="L922" s="4" t="str">
        <f ca="1">IF(OR(INDEX($X$2:$X$1001,MATCH(ROWS($W$2:W922),$W$2:$W$1001,0),1)&gt;=100000,INDEX($AD$1005:$AU$1005,1,MATCH(COLUMNS($AD$1006:AN1006),$AD$1006:$AU$1006,0))&gt;=100000), " ",IF(INDEX($AD$2:$AU$1001,MATCH(ROWS($W$2:W922),$W$2:$W$1001,0),MATCH(COLUMNS($AD$1006:AN1006),$AD$1006:$AU$1006,0)), HYPERLINK("#",""), HYPERLINK(CONCATENATE("#metadata!", ADDRESS(INDEX($Y$2:$Y$1001,MATCH(ROWS($W$2:W922),$W$2:$W$1001,0),0), INDEX($AD$1004:$AU$1004,1,MATCH(COLUMNS($AD$1006:AN1006),$AD$1006:$AU$1006,0)))),"Fix")))</f>
        <v xml:space="preserve"> </v>
      </c>
      <c r="M922" s="4" t="str">
        <f ca="1">IF(OR(INDEX($X$2:$X$1001,MATCH(ROWS($W$2:W922),$W$2:$W$1001,0),1)&gt;=100000,INDEX($AD$1005:$AU$1005,1,MATCH(COLUMNS($AD$1006:AO1006),$AD$1006:$AU$1006,0))&gt;=100000), " ",IF(INDEX($AD$2:$AU$1001,MATCH(ROWS($W$2:W922),$W$2:$W$1001,0),MATCH(COLUMNS($AD$1006:AO1006),$AD$1006:$AU$1006,0)), HYPERLINK("#",""), HYPERLINK(CONCATENATE("#metadata!", ADDRESS(INDEX($Y$2:$Y$1001,MATCH(ROWS($W$2:W922),$W$2:$W$1001,0),0), INDEX($AD$1004:$AU$1004,1,MATCH(COLUMNS($AD$1006:AO1006),$AD$1006:$AU$1006,0)))),"Fix")))</f>
        <v xml:space="preserve"> </v>
      </c>
      <c r="N922" s="4" t="str">
        <f ca="1">IF(OR(INDEX($X$2:$X$1001,MATCH(ROWS($W$2:W922),$W$2:$W$1001,0),1)&gt;=100000,INDEX($AD$1005:$AU$1005,1,MATCH(COLUMNS($AD$1006:AP1006),$AD$1006:$AU$1006,0))&gt;=100000), " ",IF(INDEX($AD$2:$AU$1001,MATCH(ROWS($W$2:W922),$W$2:$W$1001,0),MATCH(COLUMNS($AD$1006:AP1006),$AD$1006:$AU$1006,0)), HYPERLINK("#",""), HYPERLINK(CONCATENATE("#metadata!", ADDRESS(INDEX($Y$2:$Y$1001,MATCH(ROWS($W$2:W922),$W$2:$W$1001,0),0), INDEX($AD$1004:$AU$1004,1,MATCH(COLUMNS($AD$1006:AP1006),$AD$1006:$AU$1006,0)))),"Fix")))</f>
        <v xml:space="preserve"> </v>
      </c>
      <c r="O922" s="4" t="str">
        <f ca="1">IF(OR(INDEX($X$2:$X$1001,MATCH(ROWS($W$2:W922),$W$2:$W$1001,0),1)&gt;=100000,INDEX($AD$1005:$AU$1005,1,MATCH(COLUMNS($AD$1006:AQ1006),$AD$1006:$AU$1006,0))&gt;=100000), " ",IF(INDEX($AD$2:$AU$1001,MATCH(ROWS($W$2:W922),$W$2:$W$1001,0),MATCH(COLUMNS($AD$1006:AQ1006),$AD$1006:$AU$1006,0)), HYPERLINK("#",""), HYPERLINK(CONCATENATE("#metadata!", ADDRESS(INDEX($Y$2:$Y$1001,MATCH(ROWS($W$2:W922),$W$2:$W$1001,0),0), INDEX($AD$1004:$AU$1004,1,MATCH(COLUMNS($AD$1006:AQ1006),$AD$1006:$AU$1006,0)))),"Fix")))</f>
        <v xml:space="preserve"> </v>
      </c>
      <c r="P922" s="4" t="str">
        <f ca="1">IF(OR(INDEX($X$2:$X$1001,MATCH(ROWS($W$2:W922),$W$2:$W$1001,0),1)&gt;=100000,INDEX($AD$1005:$AU$1005,1,MATCH(COLUMNS($AD$1006:AR1006),$AD$1006:$AU$1006,0))&gt;=100000), " ",IF(INDEX($AD$2:$AU$1001,MATCH(ROWS($W$2:W922),$W$2:$W$1001,0),MATCH(COLUMNS($AD$1006:AR1006),$AD$1006:$AU$1006,0)), HYPERLINK("#",""), HYPERLINK(CONCATENATE("#metadata!", ADDRESS(INDEX($Y$2:$Y$1001,MATCH(ROWS($W$2:W922),$W$2:$W$1001,0),0), INDEX($AD$1004:$AU$1004,1,MATCH(COLUMNS($AD$1006:AR1006),$AD$1006:$AU$1006,0)))),"Fix")))</f>
        <v xml:space="preserve"> </v>
      </c>
      <c r="Q922" s="4" t="str">
        <f ca="1">IF(OR(INDEX($X$2:$X$1001,MATCH(ROWS($W$2:W922),$W$2:$W$1001,0),1)&gt;=100000,INDEX($AD$1005:$AU$1005,1,MATCH(COLUMNS($AD$1006:AS1006),$AD$1006:$AU$1006,0))&gt;=100000), " ",IF(INDEX($AD$2:$AU$1001,MATCH(ROWS($W$2:W922),$W$2:$W$1001,0),MATCH(COLUMNS($AD$1006:AS1006),$AD$1006:$AU$1006,0)), HYPERLINK("#",""), HYPERLINK(CONCATENATE("#metadata!", ADDRESS(INDEX($Y$2:$Y$1001,MATCH(ROWS($W$2:W922),$W$2:$W$1001,0),0), INDEX($AD$1004:$AU$1004,1,MATCH(COLUMNS($AD$1006:AS1006),$AD$1006:$AU$1006,0)))),"Fix")))</f>
        <v xml:space="preserve"> </v>
      </c>
      <c r="R922" s="4" t="str">
        <f ca="1">IF(OR(INDEX($X$2:$X$1001,MATCH(ROWS($W$2:W922),$W$2:$W$1001,0),1)&gt;=100000,INDEX($AD$1005:$AU$1005,1,MATCH(COLUMNS($AD$1006:AT1006),$AD$1006:$AU$1006,0))&gt;=100000), " ",IF(INDEX($AD$2:$AU$1001,MATCH(ROWS($W$2:W922),$W$2:$W$1001,0),MATCH(COLUMNS($AD$1006:AT1006),$AD$1006:$AU$1006,0)), HYPERLINK("#",""), HYPERLINK(CONCATENATE("#metadata!", ADDRESS(INDEX($Y$2:$Y$1001,MATCH(ROWS($W$2:W922),$W$2:$W$1001,0),0), INDEX($AD$1004:$AU$1004,1,MATCH(COLUMNS($AD$1006:AT1006),$AD$1006:$AU$1006,0)))),"Fix")))</f>
        <v xml:space="preserve"> </v>
      </c>
      <c r="S922" s="4" t="str">
        <f ca="1">IF(OR(INDEX($X$2:$X$1001,MATCH(ROWS($W$2:W922),$W$2:$W$1001,0),1)&gt;=100000,INDEX($AD$1005:$AU$1005,1,MATCH(COLUMNS($AD$1006:AU1006),$AD$1006:$AU$1006,0))&gt;=100000), " ",IF(INDEX($AD$2:$AU$1001,MATCH(ROWS($W$2:W922),$W$2:$W$1001,0),MATCH(COLUMNS($AD$1006:AU1006),$AD$1006:$AU$1006,0)), HYPERLINK("#",""), HYPERLINK(CONCATENATE("#metadata!", ADDRESS(INDEX($Y$2:$Y$1001,MATCH(ROWS($W$2:W922),$W$2:$W$1001,0),0), INDEX($AD$1004:$AU$1004,1,MATCH(COLUMNS($AD$1006:AU1006),$AD$1006:$AU$1006,0)))),"Fix")))</f>
        <v xml:space="preserve"> </v>
      </c>
      <c r="W922">
        <v>921</v>
      </c>
      <c r="X922">
        <v>100922</v>
      </c>
      <c r="Y922">
        <v>922</v>
      </c>
      <c r="Z922" t="b">
        <f t="shared" si="14"/>
        <v>1</v>
      </c>
      <c r="AA922" t="b">
        <f>COUNTBLANK(metadata!B922:S922)=COLUMNS(metadata!B922:S922)</f>
        <v>1</v>
      </c>
      <c r="AB922" t="str">
        <v/>
      </c>
      <c r="AD922" t="b">
        <f ca="1">AND(IF(metadata!B922="",FALSE,TRUE),COUNTIF(metadata!B:B, metadata!B922) = 1,NOT(ISERROR(SUMPRODUCT(SEARCH(MID(metadata!B922,ROW(INDIRECT("1:"&amp;LEN(metadata!B922))), 1),"0123456789abcdefghijklmnopqrstuvwxyzABCDEFGHIJKLMNOPQRSTUVWXYZ.")))))</f>
        <v>0</v>
      </c>
      <c r="AE922" t="b">
        <f>OR(AND(IF(metadata!C922="",FALSE,TRUE),OR(EXACT(metadata!C922,"not applicable"),EXACT(metadata!C922,"missing: not collected"),EXACT(metadata!C922,"missing: not provided"),EXACT(metadata!C922,"missing: restricted access"))),AND(IF(metadata!C922="",FALSE,ISNUMBER(VALUE(metadata!C922))),metadata!C922&gt;0))</f>
        <v>0</v>
      </c>
      <c r="AF922" t="b">
        <f>AND(IF(metadata!D922="",FALSE,TRUE),EXACT(metadata!D922,"missing: not provided"))</f>
        <v>0</v>
      </c>
      <c r="AG922" t="b">
        <f>AND(IF(metadata!E922="",FALSE,TRUE),EXACT(metadata!E922,"Host-associated"))</f>
        <v>0</v>
      </c>
      <c r="AH922" t="b">
        <f>AND(IF(metadata!F922="",FALSE,TRUE),OR(EXACT(metadata!F922,"Animal"),EXACT(metadata!F922,"Fungus"),EXACT(metadata!F922,"Plant")))</f>
        <v>0</v>
      </c>
      <c r="AI922" t="b">
        <f>AND(IF(metadata!G922="",FALSE,TRUE),OR(EXACT(metadata!G922,"Plant secretion"),EXACT(metadata!G922,"Plant rhizosphere"),EXACT(metadata!G922,"Plant surface"),EXACT(metadata!G922,"Plant corpus"),EXACT(metadata!G922,"Fungus surface"),EXACT(metadata!G922,"Fungus corpus"),EXACT(metadata!G922,"Animal surface"),EXACT(metadata!G922,"Animal proximal gut"),EXACT(metadata!G922,"Animal corpus"),EXACT(metadata!G922,"Animal distal gut"),EXACT(metadata!G922,"Animal secretion")))</f>
        <v>0</v>
      </c>
      <c r="AJ922" t="b">
        <f>OR(AND(IF(metadata!H922="",FALSE,TRUE),OR(EXACT(metadata!H922,"missing: not collected"),EXACT(metadata!H922,"missing: not provided"),EXACT(metadata!H922,"missing: restricted access"))),AND(IF(metadata!H922="",FALSE,TRUE),OR(EXACT(metadata!H922,"organism-associated habitat"),EXACT(metadata!H922,"plant-associated habitat"),EXACT(metadata!H922,"animal-associated habitat"),EXACT(metadata!H922,"insecta-associated habitat"),EXACT(metadata!H922,"mammalia-associated habitat"),EXACT(metadata!H922,"human-associated habitat"),EXACT(metadata!H922,"livestock-associated habitat"))))</f>
        <v>0</v>
      </c>
      <c r="AK922" t="b">
        <f>AND(IF(metadata!I922="",FALSE,TRUE),EXACT(metadata!I922,"host-associated"))</f>
        <v>0</v>
      </c>
      <c r="AL922" t="b">
        <f>OR(AND(IF(metadata!J922="",FALSE,TRUE),OR(EXACT(metadata!J922,"not applicable"),EXACT(metadata!J922,"missing: not collected"),EXACT(metadata!J922,"missing: not provided"),EXACT(metadata!J922,"missing: restricted access"))),AND(IF(metadata!J922="",FALSE,ISNUMBER(VALUE(metadata!J922))),metadata!J922&gt;0))</f>
        <v>0</v>
      </c>
      <c r="AM922" t="b">
        <f>AND(IF(metadata!K922="",FALSE,TRUE),EXACT(metadata!K922,"missing: not provided"))</f>
        <v>0</v>
      </c>
      <c r="AN922" t="b">
        <f>IF(metadata!L922="",FALSE,TRUE)</f>
        <v>0</v>
      </c>
      <c r="AO922" t="b">
        <f>IF(metadata!M922="",FALSE,TRUE)</f>
        <v>0</v>
      </c>
      <c r="AP922" t="b">
        <f>OR(AND(IF(metadata!N922="",FALSE,TRUE),OR(EXACT(metadata!N922,"not applicable"),EXACT(metadata!N922,"missing: not collected"),EXACT(metadata!N922,"missing: not provided"))),AND(IF(metadata!N922="",FALSE,IF(ISERROR(INT(metadata!N922)),FALSE,INT(metadata!N922)=metadata!N922)),metadata!N922&gt;0))</f>
        <v>0</v>
      </c>
      <c r="AQ922" t="b">
        <f>AND(IF(metadata!O922="",FALSE,TRUE),EXACT(metadata!O922,"Not applicable"))</f>
        <v>0</v>
      </c>
      <c r="AR922" t="b">
        <f>OR(AND(IF(metadata!P922="",FALSE,TRUE),OR(EXACT(metadata!P922,"not applicable"),EXACT(metadata!P922,"missing: not collected"),EXACT(metadata!P922,"missing: not provided"),EXACT(metadata!P922,"missing: restricted access"))),IF(metadata!P922="",FALSE,IF(ISERROR(INT(metadata!P922)),FALSE,INT(metadata!P922)=metadata!P922)))</f>
        <v>0</v>
      </c>
      <c r="AS922" t="b">
        <f>AND(IF(metadata!Q922="",FALSE,TRUE),EXACT(metadata!Q922,"Not applicable"))</f>
        <v>0</v>
      </c>
      <c r="AT922" t="b">
        <f>OR(AND(IF(metadata!R922="",FALSE,TRUE),OR(EXACT(metadata!R922,"not applicable"),EXACT(metadata!R922,"missing: not collected"),EXACT(metadata!R922,"missing: not provided"),EXACT(metadata!R922,"missing: restricted access"))),AND(IF(metadata!R922="",FALSE,ISNUMBER(VALUE(metadata!R922))),metadata!R922&gt;0))</f>
        <v>0</v>
      </c>
      <c r="AU922" t="b">
        <f>AND(IF(metadata!S922="",FALSE,TRUE),EXACT(metadata!S922,"missing: not provided"))</f>
        <v>0</v>
      </c>
    </row>
    <row r="923" spans="1:47" x14ac:dyDescent="0.2">
      <c r="A923" s="5" t="str">
        <f ca="1">IF(B923=" "," ",HYPERLINK(CONCATENATE("#metadata!",ADDRESS(INDEX($Y$2:$Y$1001,MATCH(ROWS($W$2:W923),$W$2:$W$1001,0),0),1)),INDEX($AB$2:$AB$1001,MATCH(ROWS($W$2:W923),$W$2:$W$1001,0),0)))</f>
        <v xml:space="preserve"> </v>
      </c>
      <c r="B923" s="4" t="str">
        <f ca="1">IF(OR(INDEX($X$2:$X$1001,MATCH(ROWS($W$2:W923),$W$2:$W$1001,0),1)&gt;=100000,INDEX($AD$1005:$AU$1005,1,MATCH(COLUMNS($AD$1006:AD1006),$AD$1006:$AU$1006,0))&gt;=100000), " ",IF(INDEX($AD$2:$AU$1001,MATCH(ROWS($W$2:W923),$W$2:$W$1001,0),MATCH(COLUMNS($AD$1006:AD1006),$AD$1006:$AU$1006,0)), HYPERLINK("#",""), HYPERLINK(CONCATENATE("#metadata!", ADDRESS(INDEX($Y$2:$Y$1001,MATCH(ROWS($W$2:W923),$W$2:$W$1001,0),0), INDEX($AD$1004:$AU$1004,1,MATCH(COLUMNS($AD$1006:AD1006),$AD$1006:$AU$1006,0)))),"Fix")))</f>
        <v xml:space="preserve"> </v>
      </c>
      <c r="C923" s="4" t="str">
        <f ca="1">IF(OR(INDEX($X$2:$X$1001,MATCH(ROWS($W$2:W923),$W$2:$W$1001,0),1)&gt;=100000,INDEX($AD$1005:$AU$1005,1,MATCH(COLUMNS($AD$1006:AE1006),$AD$1006:$AU$1006,0))&gt;=100000), " ",IF(INDEX($AD$2:$AU$1001,MATCH(ROWS($W$2:W923),$W$2:$W$1001,0),MATCH(COLUMNS($AD$1006:AE1006),$AD$1006:$AU$1006,0)), HYPERLINK("#",""), HYPERLINK(CONCATENATE("#metadata!", ADDRESS(INDEX($Y$2:$Y$1001,MATCH(ROWS($W$2:W923),$W$2:$W$1001,0),0), INDEX($AD$1004:$AU$1004,1,MATCH(COLUMNS($AD$1006:AE1006),$AD$1006:$AU$1006,0)))),"Fix")))</f>
        <v xml:space="preserve"> </v>
      </c>
      <c r="D923" s="4" t="str">
        <f ca="1">IF(OR(INDEX($X$2:$X$1001,MATCH(ROWS($W$2:W923),$W$2:$W$1001,0),1)&gt;=100000,INDEX($AD$1005:$AU$1005,1,MATCH(COLUMNS($AD$1006:AF1006),$AD$1006:$AU$1006,0))&gt;=100000), " ",IF(INDEX($AD$2:$AU$1001,MATCH(ROWS($W$2:W923),$W$2:$W$1001,0),MATCH(COLUMNS($AD$1006:AF1006),$AD$1006:$AU$1006,0)), HYPERLINK("#",""), HYPERLINK(CONCATENATE("#metadata!", ADDRESS(INDEX($Y$2:$Y$1001,MATCH(ROWS($W$2:W923),$W$2:$W$1001,0),0), INDEX($AD$1004:$AU$1004,1,MATCH(COLUMNS($AD$1006:AF1006),$AD$1006:$AU$1006,0)))),"Fix")))</f>
        <v xml:space="preserve"> </v>
      </c>
      <c r="E923" s="4" t="str">
        <f ca="1">IF(OR(INDEX($X$2:$X$1001,MATCH(ROWS($W$2:W923),$W$2:$W$1001,0),1)&gt;=100000,INDEX($AD$1005:$AU$1005,1,MATCH(COLUMNS($AD$1006:AG1006),$AD$1006:$AU$1006,0))&gt;=100000), " ",IF(INDEX($AD$2:$AU$1001,MATCH(ROWS($W$2:W923),$W$2:$W$1001,0),MATCH(COLUMNS($AD$1006:AG1006),$AD$1006:$AU$1006,0)), HYPERLINK("#",""), HYPERLINK(CONCATENATE("#metadata!", ADDRESS(INDEX($Y$2:$Y$1001,MATCH(ROWS($W$2:W923),$W$2:$W$1001,0),0), INDEX($AD$1004:$AU$1004,1,MATCH(COLUMNS($AD$1006:AG1006),$AD$1006:$AU$1006,0)))),"Fix")))</f>
        <v xml:space="preserve"> </v>
      </c>
      <c r="F923" s="4" t="str">
        <f ca="1">IF(OR(INDEX($X$2:$X$1001,MATCH(ROWS($W$2:W923),$W$2:$W$1001,0),1)&gt;=100000,INDEX($AD$1005:$AU$1005,1,MATCH(COLUMNS($AD$1006:AH1006),$AD$1006:$AU$1006,0))&gt;=100000), " ",IF(INDEX($AD$2:$AU$1001,MATCH(ROWS($W$2:W923),$W$2:$W$1001,0),MATCH(COLUMNS($AD$1006:AH1006),$AD$1006:$AU$1006,0)), HYPERLINK("#",""), HYPERLINK(CONCATENATE("#metadata!", ADDRESS(INDEX($Y$2:$Y$1001,MATCH(ROWS($W$2:W923),$W$2:$W$1001,0),0), INDEX($AD$1004:$AU$1004,1,MATCH(COLUMNS($AD$1006:AH1006),$AD$1006:$AU$1006,0)))),"Fix")))</f>
        <v xml:space="preserve"> </v>
      </c>
      <c r="G923" s="4" t="str">
        <f ca="1">IF(OR(INDEX($X$2:$X$1001,MATCH(ROWS($W$2:W923),$W$2:$W$1001,0),1)&gt;=100000,INDEX($AD$1005:$AU$1005,1,MATCH(COLUMNS($AD$1006:AI1006),$AD$1006:$AU$1006,0))&gt;=100000), " ",IF(INDEX($AD$2:$AU$1001,MATCH(ROWS($W$2:W923),$W$2:$W$1001,0),MATCH(COLUMNS($AD$1006:AI1006),$AD$1006:$AU$1006,0)), HYPERLINK("#",""), HYPERLINK(CONCATENATE("#metadata!", ADDRESS(INDEX($Y$2:$Y$1001,MATCH(ROWS($W$2:W923),$W$2:$W$1001,0),0), INDEX($AD$1004:$AU$1004,1,MATCH(COLUMNS($AD$1006:AI1006),$AD$1006:$AU$1006,0)))),"Fix")))</f>
        <v xml:space="preserve"> </v>
      </c>
      <c r="H923" s="4" t="str">
        <f ca="1">IF(OR(INDEX($X$2:$X$1001,MATCH(ROWS($W$2:W923),$W$2:$W$1001,0),1)&gt;=100000,INDEX($AD$1005:$AU$1005,1,MATCH(COLUMNS($AD$1006:AJ1006),$AD$1006:$AU$1006,0))&gt;=100000), " ",IF(INDEX($AD$2:$AU$1001,MATCH(ROWS($W$2:W923),$W$2:$W$1001,0),MATCH(COLUMNS($AD$1006:AJ1006),$AD$1006:$AU$1006,0)), HYPERLINK("#",""), HYPERLINK(CONCATENATE("#metadata!", ADDRESS(INDEX($Y$2:$Y$1001,MATCH(ROWS($W$2:W923),$W$2:$W$1001,0),0), INDEX($AD$1004:$AU$1004,1,MATCH(COLUMNS($AD$1006:AJ1006),$AD$1006:$AU$1006,0)))),"Fix")))</f>
        <v xml:space="preserve"> </v>
      </c>
      <c r="I923" s="4" t="str">
        <f ca="1">IF(OR(INDEX($X$2:$X$1001,MATCH(ROWS($W$2:W923),$W$2:$W$1001,0),1)&gt;=100000,INDEX($AD$1005:$AU$1005,1,MATCH(COLUMNS($AD$1006:AK1006),$AD$1006:$AU$1006,0))&gt;=100000), " ",IF(INDEX($AD$2:$AU$1001,MATCH(ROWS($W$2:W923),$W$2:$W$1001,0),MATCH(COLUMNS($AD$1006:AK1006),$AD$1006:$AU$1006,0)), HYPERLINK("#",""), HYPERLINK(CONCATENATE("#metadata!", ADDRESS(INDEX($Y$2:$Y$1001,MATCH(ROWS($W$2:W923),$W$2:$W$1001,0),0), INDEX($AD$1004:$AU$1004,1,MATCH(COLUMNS($AD$1006:AK1006),$AD$1006:$AU$1006,0)))),"Fix")))</f>
        <v xml:space="preserve"> </v>
      </c>
      <c r="J923" s="4" t="str">
        <f ca="1">IF(OR(INDEX($X$2:$X$1001,MATCH(ROWS($W$2:W923),$W$2:$W$1001,0),1)&gt;=100000,INDEX($AD$1005:$AU$1005,1,MATCH(COLUMNS($AD$1006:AL1006),$AD$1006:$AU$1006,0))&gt;=100000), " ",IF(INDEX($AD$2:$AU$1001,MATCH(ROWS($W$2:W923),$W$2:$W$1001,0),MATCH(COLUMNS($AD$1006:AL1006),$AD$1006:$AU$1006,0)), HYPERLINK("#",""), HYPERLINK(CONCATENATE("#metadata!", ADDRESS(INDEX($Y$2:$Y$1001,MATCH(ROWS($W$2:W923),$W$2:$W$1001,0),0), INDEX($AD$1004:$AU$1004,1,MATCH(COLUMNS($AD$1006:AL1006),$AD$1006:$AU$1006,0)))),"Fix")))</f>
        <v xml:space="preserve"> </v>
      </c>
      <c r="K923" s="4" t="str">
        <f ca="1">IF(OR(INDEX($X$2:$X$1001,MATCH(ROWS($W$2:W923),$W$2:$W$1001,0),1)&gt;=100000,INDEX($AD$1005:$AU$1005,1,MATCH(COLUMNS($AD$1006:AM1006),$AD$1006:$AU$1006,0))&gt;=100000), " ",IF(INDEX($AD$2:$AU$1001,MATCH(ROWS($W$2:W923),$W$2:$W$1001,0),MATCH(COLUMNS($AD$1006:AM1006),$AD$1006:$AU$1006,0)), HYPERLINK("#",""), HYPERLINK(CONCATENATE("#metadata!", ADDRESS(INDEX($Y$2:$Y$1001,MATCH(ROWS($W$2:W923),$W$2:$W$1001,0),0), INDEX($AD$1004:$AU$1004,1,MATCH(COLUMNS($AD$1006:AM1006),$AD$1006:$AU$1006,0)))),"Fix")))</f>
        <v xml:space="preserve"> </v>
      </c>
      <c r="L923" s="4" t="str">
        <f ca="1">IF(OR(INDEX($X$2:$X$1001,MATCH(ROWS($W$2:W923),$W$2:$W$1001,0),1)&gt;=100000,INDEX($AD$1005:$AU$1005,1,MATCH(COLUMNS($AD$1006:AN1006),$AD$1006:$AU$1006,0))&gt;=100000), " ",IF(INDEX($AD$2:$AU$1001,MATCH(ROWS($W$2:W923),$W$2:$W$1001,0),MATCH(COLUMNS($AD$1006:AN1006),$AD$1006:$AU$1006,0)), HYPERLINK("#",""), HYPERLINK(CONCATENATE("#metadata!", ADDRESS(INDEX($Y$2:$Y$1001,MATCH(ROWS($W$2:W923),$W$2:$W$1001,0),0), INDEX($AD$1004:$AU$1004,1,MATCH(COLUMNS($AD$1006:AN1006),$AD$1006:$AU$1006,0)))),"Fix")))</f>
        <v xml:space="preserve"> </v>
      </c>
      <c r="M923" s="4" t="str">
        <f ca="1">IF(OR(INDEX($X$2:$X$1001,MATCH(ROWS($W$2:W923),$W$2:$W$1001,0),1)&gt;=100000,INDEX($AD$1005:$AU$1005,1,MATCH(COLUMNS($AD$1006:AO1006),$AD$1006:$AU$1006,0))&gt;=100000), " ",IF(INDEX($AD$2:$AU$1001,MATCH(ROWS($W$2:W923),$W$2:$W$1001,0),MATCH(COLUMNS($AD$1006:AO1006),$AD$1006:$AU$1006,0)), HYPERLINK("#",""), HYPERLINK(CONCATENATE("#metadata!", ADDRESS(INDEX($Y$2:$Y$1001,MATCH(ROWS($W$2:W923),$W$2:$W$1001,0),0), INDEX($AD$1004:$AU$1004,1,MATCH(COLUMNS($AD$1006:AO1006),$AD$1006:$AU$1006,0)))),"Fix")))</f>
        <v xml:space="preserve"> </v>
      </c>
      <c r="N923" s="4" t="str">
        <f ca="1">IF(OR(INDEX($X$2:$X$1001,MATCH(ROWS($W$2:W923),$W$2:$W$1001,0),1)&gt;=100000,INDEX($AD$1005:$AU$1005,1,MATCH(COLUMNS($AD$1006:AP1006),$AD$1006:$AU$1006,0))&gt;=100000), " ",IF(INDEX($AD$2:$AU$1001,MATCH(ROWS($W$2:W923),$W$2:$W$1001,0),MATCH(COLUMNS($AD$1006:AP1006),$AD$1006:$AU$1006,0)), HYPERLINK("#",""), HYPERLINK(CONCATENATE("#metadata!", ADDRESS(INDEX($Y$2:$Y$1001,MATCH(ROWS($W$2:W923),$W$2:$W$1001,0),0), INDEX($AD$1004:$AU$1004,1,MATCH(COLUMNS($AD$1006:AP1006),$AD$1006:$AU$1006,0)))),"Fix")))</f>
        <v xml:space="preserve"> </v>
      </c>
      <c r="O923" s="4" t="str">
        <f ca="1">IF(OR(INDEX($X$2:$X$1001,MATCH(ROWS($W$2:W923),$W$2:$W$1001,0),1)&gt;=100000,INDEX($AD$1005:$AU$1005,1,MATCH(COLUMNS($AD$1006:AQ1006),$AD$1006:$AU$1006,0))&gt;=100000), " ",IF(INDEX($AD$2:$AU$1001,MATCH(ROWS($W$2:W923),$W$2:$W$1001,0),MATCH(COLUMNS($AD$1006:AQ1006),$AD$1006:$AU$1006,0)), HYPERLINK("#",""), HYPERLINK(CONCATENATE("#metadata!", ADDRESS(INDEX($Y$2:$Y$1001,MATCH(ROWS($W$2:W923),$W$2:$W$1001,0),0), INDEX($AD$1004:$AU$1004,1,MATCH(COLUMNS($AD$1006:AQ1006),$AD$1006:$AU$1006,0)))),"Fix")))</f>
        <v xml:space="preserve"> </v>
      </c>
      <c r="P923" s="4" t="str">
        <f ca="1">IF(OR(INDEX($X$2:$X$1001,MATCH(ROWS($W$2:W923),$W$2:$W$1001,0),1)&gt;=100000,INDEX($AD$1005:$AU$1005,1,MATCH(COLUMNS($AD$1006:AR1006),$AD$1006:$AU$1006,0))&gt;=100000), " ",IF(INDEX($AD$2:$AU$1001,MATCH(ROWS($W$2:W923),$W$2:$W$1001,0),MATCH(COLUMNS($AD$1006:AR1006),$AD$1006:$AU$1006,0)), HYPERLINK("#",""), HYPERLINK(CONCATENATE("#metadata!", ADDRESS(INDEX($Y$2:$Y$1001,MATCH(ROWS($W$2:W923),$W$2:$W$1001,0),0), INDEX($AD$1004:$AU$1004,1,MATCH(COLUMNS($AD$1006:AR1006),$AD$1006:$AU$1006,0)))),"Fix")))</f>
        <v xml:space="preserve"> </v>
      </c>
      <c r="Q923" s="4" t="str">
        <f ca="1">IF(OR(INDEX($X$2:$X$1001,MATCH(ROWS($W$2:W923),$W$2:$W$1001,0),1)&gt;=100000,INDEX($AD$1005:$AU$1005,1,MATCH(COLUMNS($AD$1006:AS1006),$AD$1006:$AU$1006,0))&gt;=100000), " ",IF(INDEX($AD$2:$AU$1001,MATCH(ROWS($W$2:W923),$W$2:$W$1001,0),MATCH(COLUMNS($AD$1006:AS1006),$AD$1006:$AU$1006,0)), HYPERLINK("#",""), HYPERLINK(CONCATENATE("#metadata!", ADDRESS(INDEX($Y$2:$Y$1001,MATCH(ROWS($W$2:W923),$W$2:$W$1001,0),0), INDEX($AD$1004:$AU$1004,1,MATCH(COLUMNS($AD$1006:AS1006),$AD$1006:$AU$1006,0)))),"Fix")))</f>
        <v xml:space="preserve"> </v>
      </c>
      <c r="R923" s="4" t="str">
        <f ca="1">IF(OR(INDEX($X$2:$X$1001,MATCH(ROWS($W$2:W923),$W$2:$W$1001,0),1)&gt;=100000,INDEX($AD$1005:$AU$1005,1,MATCH(COLUMNS($AD$1006:AT1006),$AD$1006:$AU$1006,0))&gt;=100000), " ",IF(INDEX($AD$2:$AU$1001,MATCH(ROWS($W$2:W923),$W$2:$W$1001,0),MATCH(COLUMNS($AD$1006:AT1006),$AD$1006:$AU$1006,0)), HYPERLINK("#",""), HYPERLINK(CONCATENATE("#metadata!", ADDRESS(INDEX($Y$2:$Y$1001,MATCH(ROWS($W$2:W923),$W$2:$W$1001,0),0), INDEX($AD$1004:$AU$1004,1,MATCH(COLUMNS($AD$1006:AT1006),$AD$1006:$AU$1006,0)))),"Fix")))</f>
        <v xml:space="preserve"> </v>
      </c>
      <c r="S923" s="4" t="str">
        <f ca="1">IF(OR(INDEX($X$2:$X$1001,MATCH(ROWS($W$2:W923),$W$2:$W$1001,0),1)&gt;=100000,INDEX($AD$1005:$AU$1005,1,MATCH(COLUMNS($AD$1006:AU1006),$AD$1006:$AU$1006,0))&gt;=100000), " ",IF(INDEX($AD$2:$AU$1001,MATCH(ROWS($W$2:W923),$W$2:$W$1001,0),MATCH(COLUMNS($AD$1006:AU1006),$AD$1006:$AU$1006,0)), HYPERLINK("#",""), HYPERLINK(CONCATENATE("#metadata!", ADDRESS(INDEX($Y$2:$Y$1001,MATCH(ROWS($W$2:W923),$W$2:$W$1001,0),0), INDEX($AD$1004:$AU$1004,1,MATCH(COLUMNS($AD$1006:AU1006),$AD$1006:$AU$1006,0)))),"Fix")))</f>
        <v xml:space="preserve"> </v>
      </c>
      <c r="W923">
        <v>922</v>
      </c>
      <c r="X923">
        <v>100923</v>
      </c>
      <c r="Y923">
        <v>923</v>
      </c>
      <c r="Z923" t="b">
        <f t="shared" si="14"/>
        <v>1</v>
      </c>
      <c r="AA923" t="b">
        <f>COUNTBLANK(metadata!B923:S923)=COLUMNS(metadata!B923:S923)</f>
        <v>1</v>
      </c>
      <c r="AB923" t="str">
        <v/>
      </c>
      <c r="AD923" t="b">
        <f ca="1">AND(IF(metadata!B923="",FALSE,TRUE),COUNTIF(metadata!B:B, metadata!B923) = 1,NOT(ISERROR(SUMPRODUCT(SEARCH(MID(metadata!B923,ROW(INDIRECT("1:"&amp;LEN(metadata!B923))), 1),"0123456789abcdefghijklmnopqrstuvwxyzABCDEFGHIJKLMNOPQRSTUVWXYZ.")))))</f>
        <v>0</v>
      </c>
      <c r="AE923" t="b">
        <f>OR(AND(IF(metadata!C923="",FALSE,TRUE),OR(EXACT(metadata!C923,"not applicable"),EXACT(metadata!C923,"missing: not collected"),EXACT(metadata!C923,"missing: not provided"),EXACT(metadata!C923,"missing: restricted access"))),AND(IF(metadata!C923="",FALSE,ISNUMBER(VALUE(metadata!C923))),metadata!C923&gt;0))</f>
        <v>0</v>
      </c>
      <c r="AF923" t="b">
        <f>AND(IF(metadata!D923="",FALSE,TRUE),EXACT(metadata!D923,"missing: not provided"))</f>
        <v>0</v>
      </c>
      <c r="AG923" t="b">
        <f>AND(IF(metadata!E923="",FALSE,TRUE),EXACT(metadata!E923,"Host-associated"))</f>
        <v>0</v>
      </c>
      <c r="AH923" t="b">
        <f>AND(IF(metadata!F923="",FALSE,TRUE),OR(EXACT(metadata!F923,"Animal"),EXACT(metadata!F923,"Fungus"),EXACT(metadata!F923,"Plant")))</f>
        <v>0</v>
      </c>
      <c r="AI923" t="b">
        <f>AND(IF(metadata!G923="",FALSE,TRUE),OR(EXACT(metadata!G923,"Plant secretion"),EXACT(metadata!G923,"Plant rhizosphere"),EXACT(metadata!G923,"Plant surface"),EXACT(metadata!G923,"Plant corpus"),EXACT(metadata!G923,"Fungus surface"),EXACT(metadata!G923,"Fungus corpus"),EXACT(metadata!G923,"Animal surface"),EXACT(metadata!G923,"Animal proximal gut"),EXACT(metadata!G923,"Animal corpus"),EXACT(metadata!G923,"Animal distal gut"),EXACT(metadata!G923,"Animal secretion")))</f>
        <v>0</v>
      </c>
      <c r="AJ923" t="b">
        <f>OR(AND(IF(metadata!H923="",FALSE,TRUE),OR(EXACT(metadata!H923,"missing: not collected"),EXACT(metadata!H923,"missing: not provided"),EXACT(metadata!H923,"missing: restricted access"))),AND(IF(metadata!H923="",FALSE,TRUE),OR(EXACT(metadata!H923,"organism-associated habitat"),EXACT(metadata!H923,"plant-associated habitat"),EXACT(metadata!H923,"animal-associated habitat"),EXACT(metadata!H923,"insecta-associated habitat"),EXACT(metadata!H923,"mammalia-associated habitat"),EXACT(metadata!H923,"human-associated habitat"),EXACT(metadata!H923,"livestock-associated habitat"))))</f>
        <v>0</v>
      </c>
      <c r="AK923" t="b">
        <f>AND(IF(metadata!I923="",FALSE,TRUE),EXACT(metadata!I923,"host-associated"))</f>
        <v>0</v>
      </c>
      <c r="AL923" t="b">
        <f>OR(AND(IF(metadata!J923="",FALSE,TRUE),OR(EXACT(metadata!J923,"not applicable"),EXACT(metadata!J923,"missing: not collected"),EXACT(metadata!J923,"missing: not provided"),EXACT(metadata!J923,"missing: restricted access"))),AND(IF(metadata!J923="",FALSE,ISNUMBER(VALUE(metadata!J923))),metadata!J923&gt;0))</f>
        <v>0</v>
      </c>
      <c r="AM923" t="b">
        <f>AND(IF(metadata!K923="",FALSE,TRUE),EXACT(metadata!K923,"missing: not provided"))</f>
        <v>0</v>
      </c>
      <c r="AN923" t="b">
        <f>IF(metadata!L923="",FALSE,TRUE)</f>
        <v>0</v>
      </c>
      <c r="AO923" t="b">
        <f>IF(metadata!M923="",FALSE,TRUE)</f>
        <v>0</v>
      </c>
      <c r="AP923" t="b">
        <f>OR(AND(IF(metadata!N923="",FALSE,TRUE),OR(EXACT(metadata!N923,"not applicable"),EXACT(metadata!N923,"missing: not collected"),EXACT(metadata!N923,"missing: not provided"))),AND(IF(metadata!N923="",FALSE,IF(ISERROR(INT(metadata!N923)),FALSE,INT(metadata!N923)=metadata!N923)),metadata!N923&gt;0))</f>
        <v>0</v>
      </c>
      <c r="AQ923" t="b">
        <f>AND(IF(metadata!O923="",FALSE,TRUE),EXACT(metadata!O923,"Not applicable"))</f>
        <v>0</v>
      </c>
      <c r="AR923" t="b">
        <f>OR(AND(IF(metadata!P923="",FALSE,TRUE),OR(EXACT(metadata!P923,"not applicable"),EXACT(metadata!P923,"missing: not collected"),EXACT(metadata!P923,"missing: not provided"),EXACT(metadata!P923,"missing: restricted access"))),IF(metadata!P923="",FALSE,IF(ISERROR(INT(metadata!P923)),FALSE,INT(metadata!P923)=metadata!P923)))</f>
        <v>0</v>
      </c>
      <c r="AS923" t="b">
        <f>AND(IF(metadata!Q923="",FALSE,TRUE),EXACT(metadata!Q923,"Not applicable"))</f>
        <v>0</v>
      </c>
      <c r="AT923" t="b">
        <f>OR(AND(IF(metadata!R923="",FALSE,TRUE),OR(EXACT(metadata!R923,"not applicable"),EXACT(metadata!R923,"missing: not collected"),EXACT(metadata!R923,"missing: not provided"),EXACT(metadata!R923,"missing: restricted access"))),AND(IF(metadata!R923="",FALSE,ISNUMBER(VALUE(metadata!R923))),metadata!R923&gt;0))</f>
        <v>0</v>
      </c>
      <c r="AU923" t="b">
        <f>AND(IF(metadata!S923="",FALSE,TRUE),EXACT(metadata!S923,"missing: not provided"))</f>
        <v>0</v>
      </c>
    </row>
    <row r="924" spans="1:47" x14ac:dyDescent="0.2">
      <c r="A924" s="5" t="str">
        <f ca="1">IF(B924=" "," ",HYPERLINK(CONCATENATE("#metadata!",ADDRESS(INDEX($Y$2:$Y$1001,MATCH(ROWS($W$2:W924),$W$2:$W$1001,0),0),1)),INDEX($AB$2:$AB$1001,MATCH(ROWS($W$2:W924),$W$2:$W$1001,0),0)))</f>
        <v xml:space="preserve"> </v>
      </c>
      <c r="B924" s="4" t="str">
        <f ca="1">IF(OR(INDEX($X$2:$X$1001,MATCH(ROWS($W$2:W924),$W$2:$W$1001,0),1)&gt;=100000,INDEX($AD$1005:$AU$1005,1,MATCH(COLUMNS($AD$1006:AD1006),$AD$1006:$AU$1006,0))&gt;=100000), " ",IF(INDEX($AD$2:$AU$1001,MATCH(ROWS($W$2:W924),$W$2:$W$1001,0),MATCH(COLUMNS($AD$1006:AD1006),$AD$1006:$AU$1006,0)), HYPERLINK("#",""), HYPERLINK(CONCATENATE("#metadata!", ADDRESS(INDEX($Y$2:$Y$1001,MATCH(ROWS($W$2:W924),$W$2:$W$1001,0),0), INDEX($AD$1004:$AU$1004,1,MATCH(COLUMNS($AD$1006:AD1006),$AD$1006:$AU$1006,0)))),"Fix")))</f>
        <v xml:space="preserve"> </v>
      </c>
      <c r="C924" s="4" t="str">
        <f ca="1">IF(OR(INDEX($X$2:$X$1001,MATCH(ROWS($W$2:W924),$W$2:$W$1001,0),1)&gt;=100000,INDEX($AD$1005:$AU$1005,1,MATCH(COLUMNS($AD$1006:AE1006),$AD$1006:$AU$1006,0))&gt;=100000), " ",IF(INDEX($AD$2:$AU$1001,MATCH(ROWS($W$2:W924),$W$2:$W$1001,0),MATCH(COLUMNS($AD$1006:AE1006),$AD$1006:$AU$1006,0)), HYPERLINK("#",""), HYPERLINK(CONCATENATE("#metadata!", ADDRESS(INDEX($Y$2:$Y$1001,MATCH(ROWS($W$2:W924),$W$2:$W$1001,0),0), INDEX($AD$1004:$AU$1004,1,MATCH(COLUMNS($AD$1006:AE1006),$AD$1006:$AU$1006,0)))),"Fix")))</f>
        <v xml:space="preserve"> </v>
      </c>
      <c r="D924" s="4" t="str">
        <f ca="1">IF(OR(INDEX($X$2:$X$1001,MATCH(ROWS($W$2:W924),$W$2:$W$1001,0),1)&gt;=100000,INDEX($AD$1005:$AU$1005,1,MATCH(COLUMNS($AD$1006:AF1006),$AD$1006:$AU$1006,0))&gt;=100000), " ",IF(INDEX($AD$2:$AU$1001,MATCH(ROWS($W$2:W924),$W$2:$W$1001,0),MATCH(COLUMNS($AD$1006:AF1006),$AD$1006:$AU$1006,0)), HYPERLINK("#",""), HYPERLINK(CONCATENATE("#metadata!", ADDRESS(INDEX($Y$2:$Y$1001,MATCH(ROWS($W$2:W924),$W$2:$W$1001,0),0), INDEX($AD$1004:$AU$1004,1,MATCH(COLUMNS($AD$1006:AF1006),$AD$1006:$AU$1006,0)))),"Fix")))</f>
        <v xml:space="preserve"> </v>
      </c>
      <c r="E924" s="4" t="str">
        <f ca="1">IF(OR(INDEX($X$2:$X$1001,MATCH(ROWS($W$2:W924),$W$2:$W$1001,0),1)&gt;=100000,INDEX($AD$1005:$AU$1005,1,MATCH(COLUMNS($AD$1006:AG1006),$AD$1006:$AU$1006,0))&gt;=100000), " ",IF(INDEX($AD$2:$AU$1001,MATCH(ROWS($W$2:W924),$W$2:$W$1001,0),MATCH(COLUMNS($AD$1006:AG1006),$AD$1006:$AU$1006,0)), HYPERLINK("#",""), HYPERLINK(CONCATENATE("#metadata!", ADDRESS(INDEX($Y$2:$Y$1001,MATCH(ROWS($W$2:W924),$W$2:$W$1001,0),0), INDEX($AD$1004:$AU$1004,1,MATCH(COLUMNS($AD$1006:AG1006),$AD$1006:$AU$1006,0)))),"Fix")))</f>
        <v xml:space="preserve"> </v>
      </c>
      <c r="F924" s="4" t="str">
        <f ca="1">IF(OR(INDEX($X$2:$X$1001,MATCH(ROWS($W$2:W924),$W$2:$W$1001,0),1)&gt;=100000,INDEX($AD$1005:$AU$1005,1,MATCH(COLUMNS($AD$1006:AH1006),$AD$1006:$AU$1006,0))&gt;=100000), " ",IF(INDEX($AD$2:$AU$1001,MATCH(ROWS($W$2:W924),$W$2:$W$1001,0),MATCH(COLUMNS($AD$1006:AH1006),$AD$1006:$AU$1006,0)), HYPERLINK("#",""), HYPERLINK(CONCATENATE("#metadata!", ADDRESS(INDEX($Y$2:$Y$1001,MATCH(ROWS($W$2:W924),$W$2:$W$1001,0),0), INDEX($AD$1004:$AU$1004,1,MATCH(COLUMNS($AD$1006:AH1006),$AD$1006:$AU$1006,0)))),"Fix")))</f>
        <v xml:space="preserve"> </v>
      </c>
      <c r="G924" s="4" t="str">
        <f ca="1">IF(OR(INDEX($X$2:$X$1001,MATCH(ROWS($W$2:W924),$W$2:$W$1001,0),1)&gt;=100000,INDEX($AD$1005:$AU$1005,1,MATCH(COLUMNS($AD$1006:AI1006),$AD$1006:$AU$1006,0))&gt;=100000), " ",IF(INDEX($AD$2:$AU$1001,MATCH(ROWS($W$2:W924),$W$2:$W$1001,0),MATCH(COLUMNS($AD$1006:AI1006),$AD$1006:$AU$1006,0)), HYPERLINK("#",""), HYPERLINK(CONCATENATE("#metadata!", ADDRESS(INDEX($Y$2:$Y$1001,MATCH(ROWS($W$2:W924),$W$2:$W$1001,0),0), INDEX($AD$1004:$AU$1004,1,MATCH(COLUMNS($AD$1006:AI1006),$AD$1006:$AU$1006,0)))),"Fix")))</f>
        <v xml:space="preserve"> </v>
      </c>
      <c r="H924" s="4" t="str">
        <f ca="1">IF(OR(INDEX($X$2:$X$1001,MATCH(ROWS($W$2:W924),$W$2:$W$1001,0),1)&gt;=100000,INDEX($AD$1005:$AU$1005,1,MATCH(COLUMNS($AD$1006:AJ1006),$AD$1006:$AU$1006,0))&gt;=100000), " ",IF(INDEX($AD$2:$AU$1001,MATCH(ROWS($W$2:W924),$W$2:$W$1001,0),MATCH(COLUMNS($AD$1006:AJ1006),$AD$1006:$AU$1006,0)), HYPERLINK("#",""), HYPERLINK(CONCATENATE("#metadata!", ADDRESS(INDEX($Y$2:$Y$1001,MATCH(ROWS($W$2:W924),$W$2:$W$1001,0),0), INDEX($AD$1004:$AU$1004,1,MATCH(COLUMNS($AD$1006:AJ1006),$AD$1006:$AU$1006,0)))),"Fix")))</f>
        <v xml:space="preserve"> </v>
      </c>
      <c r="I924" s="4" t="str">
        <f ca="1">IF(OR(INDEX($X$2:$X$1001,MATCH(ROWS($W$2:W924),$W$2:$W$1001,0),1)&gt;=100000,INDEX($AD$1005:$AU$1005,1,MATCH(COLUMNS($AD$1006:AK1006),$AD$1006:$AU$1006,0))&gt;=100000), " ",IF(INDEX($AD$2:$AU$1001,MATCH(ROWS($W$2:W924),$W$2:$W$1001,0),MATCH(COLUMNS($AD$1006:AK1006),$AD$1006:$AU$1006,0)), HYPERLINK("#",""), HYPERLINK(CONCATENATE("#metadata!", ADDRESS(INDEX($Y$2:$Y$1001,MATCH(ROWS($W$2:W924),$W$2:$W$1001,0),0), INDEX($AD$1004:$AU$1004,1,MATCH(COLUMNS($AD$1006:AK1006),$AD$1006:$AU$1006,0)))),"Fix")))</f>
        <v xml:space="preserve"> </v>
      </c>
      <c r="J924" s="4" t="str">
        <f ca="1">IF(OR(INDEX($X$2:$X$1001,MATCH(ROWS($W$2:W924),$W$2:$W$1001,0),1)&gt;=100000,INDEX($AD$1005:$AU$1005,1,MATCH(COLUMNS($AD$1006:AL1006),$AD$1006:$AU$1006,0))&gt;=100000), " ",IF(INDEX($AD$2:$AU$1001,MATCH(ROWS($W$2:W924),$W$2:$W$1001,0),MATCH(COLUMNS($AD$1006:AL1006),$AD$1006:$AU$1006,0)), HYPERLINK("#",""), HYPERLINK(CONCATENATE("#metadata!", ADDRESS(INDEX($Y$2:$Y$1001,MATCH(ROWS($W$2:W924),$W$2:$W$1001,0),0), INDEX($AD$1004:$AU$1004,1,MATCH(COLUMNS($AD$1006:AL1006),$AD$1006:$AU$1006,0)))),"Fix")))</f>
        <v xml:space="preserve"> </v>
      </c>
      <c r="K924" s="4" t="str">
        <f ca="1">IF(OR(INDEX($X$2:$X$1001,MATCH(ROWS($W$2:W924),$W$2:$W$1001,0),1)&gt;=100000,INDEX($AD$1005:$AU$1005,1,MATCH(COLUMNS($AD$1006:AM1006),$AD$1006:$AU$1006,0))&gt;=100000), " ",IF(INDEX($AD$2:$AU$1001,MATCH(ROWS($W$2:W924),$W$2:$W$1001,0),MATCH(COLUMNS($AD$1006:AM1006),$AD$1006:$AU$1006,0)), HYPERLINK("#",""), HYPERLINK(CONCATENATE("#metadata!", ADDRESS(INDEX($Y$2:$Y$1001,MATCH(ROWS($W$2:W924),$W$2:$W$1001,0),0), INDEX($AD$1004:$AU$1004,1,MATCH(COLUMNS($AD$1006:AM1006),$AD$1006:$AU$1006,0)))),"Fix")))</f>
        <v xml:space="preserve"> </v>
      </c>
      <c r="L924" s="4" t="str">
        <f ca="1">IF(OR(INDEX($X$2:$X$1001,MATCH(ROWS($W$2:W924),$W$2:$W$1001,0),1)&gt;=100000,INDEX($AD$1005:$AU$1005,1,MATCH(COLUMNS($AD$1006:AN1006),$AD$1006:$AU$1006,0))&gt;=100000), " ",IF(INDEX($AD$2:$AU$1001,MATCH(ROWS($W$2:W924),$W$2:$W$1001,0),MATCH(COLUMNS($AD$1006:AN1006),$AD$1006:$AU$1006,0)), HYPERLINK("#",""), HYPERLINK(CONCATENATE("#metadata!", ADDRESS(INDEX($Y$2:$Y$1001,MATCH(ROWS($W$2:W924),$W$2:$W$1001,0),0), INDEX($AD$1004:$AU$1004,1,MATCH(COLUMNS($AD$1006:AN1006),$AD$1006:$AU$1006,0)))),"Fix")))</f>
        <v xml:space="preserve"> </v>
      </c>
      <c r="M924" s="4" t="str">
        <f ca="1">IF(OR(INDEX($X$2:$X$1001,MATCH(ROWS($W$2:W924),$W$2:$W$1001,0),1)&gt;=100000,INDEX($AD$1005:$AU$1005,1,MATCH(COLUMNS($AD$1006:AO1006),$AD$1006:$AU$1006,0))&gt;=100000), " ",IF(INDEX($AD$2:$AU$1001,MATCH(ROWS($W$2:W924),$W$2:$W$1001,0),MATCH(COLUMNS($AD$1006:AO1006),$AD$1006:$AU$1006,0)), HYPERLINK("#",""), HYPERLINK(CONCATENATE("#metadata!", ADDRESS(INDEX($Y$2:$Y$1001,MATCH(ROWS($W$2:W924),$W$2:$W$1001,0),0), INDEX($AD$1004:$AU$1004,1,MATCH(COLUMNS($AD$1006:AO1006),$AD$1006:$AU$1006,0)))),"Fix")))</f>
        <v xml:space="preserve"> </v>
      </c>
      <c r="N924" s="4" t="str">
        <f ca="1">IF(OR(INDEX($X$2:$X$1001,MATCH(ROWS($W$2:W924),$W$2:$W$1001,0),1)&gt;=100000,INDEX($AD$1005:$AU$1005,1,MATCH(COLUMNS($AD$1006:AP1006),$AD$1006:$AU$1006,0))&gt;=100000), " ",IF(INDEX($AD$2:$AU$1001,MATCH(ROWS($W$2:W924),$W$2:$W$1001,0),MATCH(COLUMNS($AD$1006:AP1006),$AD$1006:$AU$1006,0)), HYPERLINK("#",""), HYPERLINK(CONCATENATE("#metadata!", ADDRESS(INDEX($Y$2:$Y$1001,MATCH(ROWS($W$2:W924),$W$2:$W$1001,0),0), INDEX($AD$1004:$AU$1004,1,MATCH(COLUMNS($AD$1006:AP1006),$AD$1006:$AU$1006,0)))),"Fix")))</f>
        <v xml:space="preserve"> </v>
      </c>
      <c r="O924" s="4" t="str">
        <f ca="1">IF(OR(INDEX($X$2:$X$1001,MATCH(ROWS($W$2:W924),$W$2:$W$1001,0),1)&gt;=100000,INDEX($AD$1005:$AU$1005,1,MATCH(COLUMNS($AD$1006:AQ1006),$AD$1006:$AU$1006,0))&gt;=100000), " ",IF(INDEX($AD$2:$AU$1001,MATCH(ROWS($W$2:W924),$W$2:$W$1001,0),MATCH(COLUMNS($AD$1006:AQ1006),$AD$1006:$AU$1006,0)), HYPERLINK("#",""), HYPERLINK(CONCATENATE("#metadata!", ADDRESS(INDEX($Y$2:$Y$1001,MATCH(ROWS($W$2:W924),$W$2:$W$1001,0),0), INDEX($AD$1004:$AU$1004,1,MATCH(COLUMNS($AD$1006:AQ1006),$AD$1006:$AU$1006,0)))),"Fix")))</f>
        <v xml:space="preserve"> </v>
      </c>
      <c r="P924" s="4" t="str">
        <f ca="1">IF(OR(INDEX($X$2:$X$1001,MATCH(ROWS($W$2:W924),$W$2:$W$1001,0),1)&gt;=100000,INDEX($AD$1005:$AU$1005,1,MATCH(COLUMNS($AD$1006:AR1006),$AD$1006:$AU$1006,0))&gt;=100000), " ",IF(INDEX($AD$2:$AU$1001,MATCH(ROWS($W$2:W924),$W$2:$W$1001,0),MATCH(COLUMNS($AD$1006:AR1006),$AD$1006:$AU$1006,0)), HYPERLINK("#",""), HYPERLINK(CONCATENATE("#metadata!", ADDRESS(INDEX($Y$2:$Y$1001,MATCH(ROWS($W$2:W924),$W$2:$W$1001,0),0), INDEX($AD$1004:$AU$1004,1,MATCH(COLUMNS($AD$1006:AR1006),$AD$1006:$AU$1006,0)))),"Fix")))</f>
        <v xml:space="preserve"> </v>
      </c>
      <c r="Q924" s="4" t="str">
        <f ca="1">IF(OR(INDEX($X$2:$X$1001,MATCH(ROWS($W$2:W924),$W$2:$W$1001,0),1)&gt;=100000,INDEX($AD$1005:$AU$1005,1,MATCH(COLUMNS($AD$1006:AS1006),$AD$1006:$AU$1006,0))&gt;=100000), " ",IF(INDEX($AD$2:$AU$1001,MATCH(ROWS($W$2:W924),$W$2:$W$1001,0),MATCH(COLUMNS($AD$1006:AS1006),$AD$1006:$AU$1006,0)), HYPERLINK("#",""), HYPERLINK(CONCATENATE("#metadata!", ADDRESS(INDEX($Y$2:$Y$1001,MATCH(ROWS($W$2:W924),$W$2:$W$1001,0),0), INDEX($AD$1004:$AU$1004,1,MATCH(COLUMNS($AD$1006:AS1006),$AD$1006:$AU$1006,0)))),"Fix")))</f>
        <v xml:space="preserve"> </v>
      </c>
      <c r="R924" s="4" t="str">
        <f ca="1">IF(OR(INDEX($X$2:$X$1001,MATCH(ROWS($W$2:W924),$W$2:$W$1001,0),1)&gt;=100000,INDEX($AD$1005:$AU$1005,1,MATCH(COLUMNS($AD$1006:AT1006),$AD$1006:$AU$1006,0))&gt;=100000), " ",IF(INDEX($AD$2:$AU$1001,MATCH(ROWS($W$2:W924),$W$2:$W$1001,0),MATCH(COLUMNS($AD$1006:AT1006),$AD$1006:$AU$1006,0)), HYPERLINK("#",""), HYPERLINK(CONCATENATE("#metadata!", ADDRESS(INDEX($Y$2:$Y$1001,MATCH(ROWS($W$2:W924),$W$2:$W$1001,0),0), INDEX($AD$1004:$AU$1004,1,MATCH(COLUMNS($AD$1006:AT1006),$AD$1006:$AU$1006,0)))),"Fix")))</f>
        <v xml:space="preserve"> </v>
      </c>
      <c r="S924" s="4" t="str">
        <f ca="1">IF(OR(INDEX($X$2:$X$1001,MATCH(ROWS($W$2:W924),$W$2:$W$1001,0),1)&gt;=100000,INDEX($AD$1005:$AU$1005,1,MATCH(COLUMNS($AD$1006:AU1006),$AD$1006:$AU$1006,0))&gt;=100000), " ",IF(INDEX($AD$2:$AU$1001,MATCH(ROWS($W$2:W924),$W$2:$W$1001,0),MATCH(COLUMNS($AD$1006:AU1006),$AD$1006:$AU$1006,0)), HYPERLINK("#",""), HYPERLINK(CONCATENATE("#metadata!", ADDRESS(INDEX($Y$2:$Y$1001,MATCH(ROWS($W$2:W924),$W$2:$W$1001,0),0), INDEX($AD$1004:$AU$1004,1,MATCH(COLUMNS($AD$1006:AU1006),$AD$1006:$AU$1006,0)))),"Fix")))</f>
        <v xml:space="preserve"> </v>
      </c>
      <c r="W924">
        <v>923</v>
      </c>
      <c r="X924">
        <v>100924</v>
      </c>
      <c r="Y924">
        <v>924</v>
      </c>
      <c r="Z924" t="b">
        <f t="shared" si="14"/>
        <v>1</v>
      </c>
      <c r="AA924" t="b">
        <f>COUNTBLANK(metadata!B924:S924)=COLUMNS(metadata!B924:S924)</f>
        <v>1</v>
      </c>
      <c r="AB924" t="str">
        <v/>
      </c>
      <c r="AD924" t="b">
        <f ca="1">AND(IF(metadata!B924="",FALSE,TRUE),COUNTIF(metadata!B:B, metadata!B924) = 1,NOT(ISERROR(SUMPRODUCT(SEARCH(MID(metadata!B924,ROW(INDIRECT("1:"&amp;LEN(metadata!B924))), 1),"0123456789abcdefghijklmnopqrstuvwxyzABCDEFGHIJKLMNOPQRSTUVWXYZ.")))))</f>
        <v>0</v>
      </c>
      <c r="AE924" t="b">
        <f>OR(AND(IF(metadata!C924="",FALSE,TRUE),OR(EXACT(metadata!C924,"not applicable"),EXACT(metadata!C924,"missing: not collected"),EXACT(metadata!C924,"missing: not provided"),EXACT(metadata!C924,"missing: restricted access"))),AND(IF(metadata!C924="",FALSE,ISNUMBER(VALUE(metadata!C924))),metadata!C924&gt;0))</f>
        <v>0</v>
      </c>
      <c r="AF924" t="b">
        <f>AND(IF(metadata!D924="",FALSE,TRUE),EXACT(metadata!D924,"missing: not provided"))</f>
        <v>0</v>
      </c>
      <c r="AG924" t="b">
        <f>AND(IF(metadata!E924="",FALSE,TRUE),EXACT(metadata!E924,"Host-associated"))</f>
        <v>0</v>
      </c>
      <c r="AH924" t="b">
        <f>AND(IF(metadata!F924="",FALSE,TRUE),OR(EXACT(metadata!F924,"Animal"),EXACT(metadata!F924,"Fungus"),EXACT(metadata!F924,"Plant")))</f>
        <v>0</v>
      </c>
      <c r="AI924" t="b">
        <f>AND(IF(metadata!G924="",FALSE,TRUE),OR(EXACT(metadata!G924,"Plant secretion"),EXACT(metadata!G924,"Plant rhizosphere"),EXACT(metadata!G924,"Plant surface"),EXACT(metadata!G924,"Plant corpus"),EXACT(metadata!G924,"Fungus surface"),EXACT(metadata!G924,"Fungus corpus"),EXACT(metadata!G924,"Animal surface"),EXACT(metadata!G924,"Animal proximal gut"),EXACT(metadata!G924,"Animal corpus"),EXACT(metadata!G924,"Animal distal gut"),EXACT(metadata!G924,"Animal secretion")))</f>
        <v>0</v>
      </c>
      <c r="AJ924" t="b">
        <f>OR(AND(IF(metadata!H924="",FALSE,TRUE),OR(EXACT(metadata!H924,"missing: not collected"),EXACT(metadata!H924,"missing: not provided"),EXACT(metadata!H924,"missing: restricted access"))),AND(IF(metadata!H924="",FALSE,TRUE),OR(EXACT(metadata!H924,"organism-associated habitat"),EXACT(metadata!H924,"plant-associated habitat"),EXACT(metadata!H924,"animal-associated habitat"),EXACT(metadata!H924,"insecta-associated habitat"),EXACT(metadata!H924,"mammalia-associated habitat"),EXACT(metadata!H924,"human-associated habitat"),EXACT(metadata!H924,"livestock-associated habitat"))))</f>
        <v>0</v>
      </c>
      <c r="AK924" t="b">
        <f>AND(IF(metadata!I924="",FALSE,TRUE),EXACT(metadata!I924,"host-associated"))</f>
        <v>0</v>
      </c>
      <c r="AL924" t="b">
        <f>OR(AND(IF(metadata!J924="",FALSE,TRUE),OR(EXACT(metadata!J924,"not applicable"),EXACT(metadata!J924,"missing: not collected"),EXACT(metadata!J924,"missing: not provided"),EXACT(metadata!J924,"missing: restricted access"))),AND(IF(metadata!J924="",FALSE,ISNUMBER(VALUE(metadata!J924))),metadata!J924&gt;0))</f>
        <v>0</v>
      </c>
      <c r="AM924" t="b">
        <f>AND(IF(metadata!K924="",FALSE,TRUE),EXACT(metadata!K924,"missing: not provided"))</f>
        <v>0</v>
      </c>
      <c r="AN924" t="b">
        <f>IF(metadata!L924="",FALSE,TRUE)</f>
        <v>0</v>
      </c>
      <c r="AO924" t="b">
        <f>IF(metadata!M924="",FALSE,TRUE)</f>
        <v>0</v>
      </c>
      <c r="AP924" t="b">
        <f>OR(AND(IF(metadata!N924="",FALSE,TRUE),OR(EXACT(metadata!N924,"not applicable"),EXACT(metadata!N924,"missing: not collected"),EXACT(metadata!N924,"missing: not provided"))),AND(IF(metadata!N924="",FALSE,IF(ISERROR(INT(metadata!N924)),FALSE,INT(metadata!N924)=metadata!N924)),metadata!N924&gt;0))</f>
        <v>0</v>
      </c>
      <c r="AQ924" t="b">
        <f>AND(IF(metadata!O924="",FALSE,TRUE),EXACT(metadata!O924,"Not applicable"))</f>
        <v>0</v>
      </c>
      <c r="AR924" t="b">
        <f>OR(AND(IF(metadata!P924="",FALSE,TRUE),OR(EXACT(metadata!P924,"not applicable"),EXACT(metadata!P924,"missing: not collected"),EXACT(metadata!P924,"missing: not provided"),EXACT(metadata!P924,"missing: restricted access"))),IF(metadata!P924="",FALSE,IF(ISERROR(INT(metadata!P924)),FALSE,INT(metadata!P924)=metadata!P924)))</f>
        <v>0</v>
      </c>
      <c r="AS924" t="b">
        <f>AND(IF(metadata!Q924="",FALSE,TRUE),EXACT(metadata!Q924,"Not applicable"))</f>
        <v>0</v>
      </c>
      <c r="AT924" t="b">
        <f>OR(AND(IF(metadata!R924="",FALSE,TRUE),OR(EXACT(metadata!R924,"not applicable"),EXACT(metadata!R924,"missing: not collected"),EXACT(metadata!R924,"missing: not provided"),EXACT(metadata!R924,"missing: restricted access"))),AND(IF(metadata!R924="",FALSE,ISNUMBER(VALUE(metadata!R924))),metadata!R924&gt;0))</f>
        <v>0</v>
      </c>
      <c r="AU924" t="b">
        <f>AND(IF(metadata!S924="",FALSE,TRUE),EXACT(metadata!S924,"missing: not provided"))</f>
        <v>0</v>
      </c>
    </row>
    <row r="925" spans="1:47" x14ac:dyDescent="0.2">
      <c r="A925" s="5" t="str">
        <f ca="1">IF(B925=" "," ",HYPERLINK(CONCATENATE("#metadata!",ADDRESS(INDEX($Y$2:$Y$1001,MATCH(ROWS($W$2:W925),$W$2:$W$1001,0),0),1)),INDEX($AB$2:$AB$1001,MATCH(ROWS($W$2:W925),$W$2:$W$1001,0),0)))</f>
        <v xml:space="preserve"> </v>
      </c>
      <c r="B925" s="4" t="str">
        <f ca="1">IF(OR(INDEX($X$2:$X$1001,MATCH(ROWS($W$2:W925),$W$2:$W$1001,0),1)&gt;=100000,INDEX($AD$1005:$AU$1005,1,MATCH(COLUMNS($AD$1006:AD1006),$AD$1006:$AU$1006,0))&gt;=100000), " ",IF(INDEX($AD$2:$AU$1001,MATCH(ROWS($W$2:W925),$W$2:$W$1001,0),MATCH(COLUMNS($AD$1006:AD1006),$AD$1006:$AU$1006,0)), HYPERLINK("#",""), HYPERLINK(CONCATENATE("#metadata!", ADDRESS(INDEX($Y$2:$Y$1001,MATCH(ROWS($W$2:W925),$W$2:$W$1001,0),0), INDEX($AD$1004:$AU$1004,1,MATCH(COLUMNS($AD$1006:AD1006),$AD$1006:$AU$1006,0)))),"Fix")))</f>
        <v xml:space="preserve"> </v>
      </c>
      <c r="C925" s="4" t="str">
        <f ca="1">IF(OR(INDEX($X$2:$X$1001,MATCH(ROWS($W$2:W925),$W$2:$W$1001,0),1)&gt;=100000,INDEX($AD$1005:$AU$1005,1,MATCH(COLUMNS($AD$1006:AE1006),$AD$1006:$AU$1006,0))&gt;=100000), " ",IF(INDEX($AD$2:$AU$1001,MATCH(ROWS($W$2:W925),$W$2:$W$1001,0),MATCH(COLUMNS($AD$1006:AE1006),$AD$1006:$AU$1006,0)), HYPERLINK("#",""), HYPERLINK(CONCATENATE("#metadata!", ADDRESS(INDEX($Y$2:$Y$1001,MATCH(ROWS($W$2:W925),$W$2:$W$1001,0),0), INDEX($AD$1004:$AU$1004,1,MATCH(COLUMNS($AD$1006:AE1006),$AD$1006:$AU$1006,0)))),"Fix")))</f>
        <v xml:space="preserve"> </v>
      </c>
      <c r="D925" s="4" t="str">
        <f ca="1">IF(OR(INDEX($X$2:$X$1001,MATCH(ROWS($W$2:W925),$W$2:$W$1001,0),1)&gt;=100000,INDEX($AD$1005:$AU$1005,1,MATCH(COLUMNS($AD$1006:AF1006),$AD$1006:$AU$1006,0))&gt;=100000), " ",IF(INDEX($AD$2:$AU$1001,MATCH(ROWS($W$2:W925),$W$2:$W$1001,0),MATCH(COLUMNS($AD$1006:AF1006),$AD$1006:$AU$1006,0)), HYPERLINK("#",""), HYPERLINK(CONCATENATE("#metadata!", ADDRESS(INDEX($Y$2:$Y$1001,MATCH(ROWS($W$2:W925),$W$2:$W$1001,0),0), INDEX($AD$1004:$AU$1004,1,MATCH(COLUMNS($AD$1006:AF1006),$AD$1006:$AU$1006,0)))),"Fix")))</f>
        <v xml:space="preserve"> </v>
      </c>
      <c r="E925" s="4" t="str">
        <f ca="1">IF(OR(INDEX($X$2:$X$1001,MATCH(ROWS($W$2:W925),$W$2:$W$1001,0),1)&gt;=100000,INDEX($AD$1005:$AU$1005,1,MATCH(COLUMNS($AD$1006:AG1006),$AD$1006:$AU$1006,0))&gt;=100000), " ",IF(INDEX($AD$2:$AU$1001,MATCH(ROWS($W$2:W925),$W$2:$W$1001,0),MATCH(COLUMNS($AD$1006:AG1006),$AD$1006:$AU$1006,0)), HYPERLINK("#",""), HYPERLINK(CONCATENATE("#metadata!", ADDRESS(INDEX($Y$2:$Y$1001,MATCH(ROWS($W$2:W925),$W$2:$W$1001,0),0), INDEX($AD$1004:$AU$1004,1,MATCH(COLUMNS($AD$1006:AG1006),$AD$1006:$AU$1006,0)))),"Fix")))</f>
        <v xml:space="preserve"> </v>
      </c>
      <c r="F925" s="4" t="str">
        <f ca="1">IF(OR(INDEX($X$2:$X$1001,MATCH(ROWS($W$2:W925),$W$2:$W$1001,0),1)&gt;=100000,INDEX($AD$1005:$AU$1005,1,MATCH(COLUMNS($AD$1006:AH1006),$AD$1006:$AU$1006,0))&gt;=100000), " ",IF(INDEX($AD$2:$AU$1001,MATCH(ROWS($W$2:W925),$W$2:$W$1001,0),MATCH(COLUMNS($AD$1006:AH1006),$AD$1006:$AU$1006,0)), HYPERLINK("#",""), HYPERLINK(CONCATENATE("#metadata!", ADDRESS(INDEX($Y$2:$Y$1001,MATCH(ROWS($W$2:W925),$W$2:$W$1001,0),0), INDEX($AD$1004:$AU$1004,1,MATCH(COLUMNS($AD$1006:AH1006),$AD$1006:$AU$1006,0)))),"Fix")))</f>
        <v xml:space="preserve"> </v>
      </c>
      <c r="G925" s="4" t="str">
        <f ca="1">IF(OR(INDEX($X$2:$X$1001,MATCH(ROWS($W$2:W925),$W$2:$W$1001,0),1)&gt;=100000,INDEX($AD$1005:$AU$1005,1,MATCH(COLUMNS($AD$1006:AI1006),$AD$1006:$AU$1006,0))&gt;=100000), " ",IF(INDEX($AD$2:$AU$1001,MATCH(ROWS($W$2:W925),$W$2:$W$1001,0),MATCH(COLUMNS($AD$1006:AI1006),$AD$1006:$AU$1006,0)), HYPERLINK("#",""), HYPERLINK(CONCATENATE("#metadata!", ADDRESS(INDEX($Y$2:$Y$1001,MATCH(ROWS($W$2:W925),$W$2:$W$1001,0),0), INDEX($AD$1004:$AU$1004,1,MATCH(COLUMNS($AD$1006:AI1006),$AD$1006:$AU$1006,0)))),"Fix")))</f>
        <v xml:space="preserve"> </v>
      </c>
      <c r="H925" s="4" t="str">
        <f ca="1">IF(OR(INDEX($X$2:$X$1001,MATCH(ROWS($W$2:W925),$W$2:$W$1001,0),1)&gt;=100000,INDEX($AD$1005:$AU$1005,1,MATCH(COLUMNS($AD$1006:AJ1006),$AD$1006:$AU$1006,0))&gt;=100000), " ",IF(INDEX($AD$2:$AU$1001,MATCH(ROWS($W$2:W925),$W$2:$W$1001,0),MATCH(COLUMNS($AD$1006:AJ1006),$AD$1006:$AU$1006,0)), HYPERLINK("#",""), HYPERLINK(CONCATENATE("#metadata!", ADDRESS(INDEX($Y$2:$Y$1001,MATCH(ROWS($W$2:W925),$W$2:$W$1001,0),0), INDEX($AD$1004:$AU$1004,1,MATCH(COLUMNS($AD$1006:AJ1006),$AD$1006:$AU$1006,0)))),"Fix")))</f>
        <v xml:space="preserve"> </v>
      </c>
      <c r="I925" s="4" t="str">
        <f ca="1">IF(OR(INDEX($X$2:$X$1001,MATCH(ROWS($W$2:W925),$W$2:$W$1001,0),1)&gt;=100000,INDEX($AD$1005:$AU$1005,1,MATCH(COLUMNS($AD$1006:AK1006),$AD$1006:$AU$1006,0))&gt;=100000), " ",IF(INDEX($AD$2:$AU$1001,MATCH(ROWS($W$2:W925),$W$2:$W$1001,0),MATCH(COLUMNS($AD$1006:AK1006),$AD$1006:$AU$1006,0)), HYPERLINK("#",""), HYPERLINK(CONCATENATE("#metadata!", ADDRESS(INDEX($Y$2:$Y$1001,MATCH(ROWS($W$2:W925),$W$2:$W$1001,0),0), INDEX($AD$1004:$AU$1004,1,MATCH(COLUMNS($AD$1006:AK1006),$AD$1006:$AU$1006,0)))),"Fix")))</f>
        <v xml:space="preserve"> </v>
      </c>
      <c r="J925" s="4" t="str">
        <f ca="1">IF(OR(INDEX($X$2:$X$1001,MATCH(ROWS($W$2:W925),$W$2:$W$1001,0),1)&gt;=100000,INDEX($AD$1005:$AU$1005,1,MATCH(COLUMNS($AD$1006:AL1006),$AD$1006:$AU$1006,0))&gt;=100000), " ",IF(INDEX($AD$2:$AU$1001,MATCH(ROWS($W$2:W925),$W$2:$W$1001,0),MATCH(COLUMNS($AD$1006:AL1006),$AD$1006:$AU$1006,0)), HYPERLINK("#",""), HYPERLINK(CONCATENATE("#metadata!", ADDRESS(INDEX($Y$2:$Y$1001,MATCH(ROWS($W$2:W925),$W$2:$W$1001,0),0), INDEX($AD$1004:$AU$1004,1,MATCH(COLUMNS($AD$1006:AL1006),$AD$1006:$AU$1006,0)))),"Fix")))</f>
        <v xml:space="preserve"> </v>
      </c>
      <c r="K925" s="4" t="str">
        <f ca="1">IF(OR(INDEX($X$2:$X$1001,MATCH(ROWS($W$2:W925),$W$2:$W$1001,0),1)&gt;=100000,INDEX($AD$1005:$AU$1005,1,MATCH(COLUMNS($AD$1006:AM1006),$AD$1006:$AU$1006,0))&gt;=100000), " ",IF(INDEX($AD$2:$AU$1001,MATCH(ROWS($W$2:W925),$W$2:$W$1001,0),MATCH(COLUMNS($AD$1006:AM1006),$AD$1006:$AU$1006,0)), HYPERLINK("#",""), HYPERLINK(CONCATENATE("#metadata!", ADDRESS(INDEX($Y$2:$Y$1001,MATCH(ROWS($W$2:W925),$W$2:$W$1001,0),0), INDEX($AD$1004:$AU$1004,1,MATCH(COLUMNS($AD$1006:AM1006),$AD$1006:$AU$1006,0)))),"Fix")))</f>
        <v xml:space="preserve"> </v>
      </c>
      <c r="L925" s="4" t="str">
        <f ca="1">IF(OR(INDEX($X$2:$X$1001,MATCH(ROWS($W$2:W925),$W$2:$W$1001,0),1)&gt;=100000,INDEX($AD$1005:$AU$1005,1,MATCH(COLUMNS($AD$1006:AN1006),$AD$1006:$AU$1006,0))&gt;=100000), " ",IF(INDEX($AD$2:$AU$1001,MATCH(ROWS($W$2:W925),$W$2:$W$1001,0),MATCH(COLUMNS($AD$1006:AN1006),$AD$1006:$AU$1006,0)), HYPERLINK("#",""), HYPERLINK(CONCATENATE("#metadata!", ADDRESS(INDEX($Y$2:$Y$1001,MATCH(ROWS($W$2:W925),$W$2:$W$1001,0),0), INDEX($AD$1004:$AU$1004,1,MATCH(COLUMNS($AD$1006:AN1006),$AD$1006:$AU$1006,0)))),"Fix")))</f>
        <v xml:space="preserve"> </v>
      </c>
      <c r="M925" s="4" t="str">
        <f ca="1">IF(OR(INDEX($X$2:$X$1001,MATCH(ROWS($W$2:W925),$W$2:$W$1001,0),1)&gt;=100000,INDEX($AD$1005:$AU$1005,1,MATCH(COLUMNS($AD$1006:AO1006),$AD$1006:$AU$1006,0))&gt;=100000), " ",IF(INDEX($AD$2:$AU$1001,MATCH(ROWS($W$2:W925),$W$2:$W$1001,0),MATCH(COLUMNS($AD$1006:AO1006),$AD$1006:$AU$1006,0)), HYPERLINK("#",""), HYPERLINK(CONCATENATE("#metadata!", ADDRESS(INDEX($Y$2:$Y$1001,MATCH(ROWS($W$2:W925),$W$2:$W$1001,0),0), INDEX($AD$1004:$AU$1004,1,MATCH(COLUMNS($AD$1006:AO1006),$AD$1006:$AU$1006,0)))),"Fix")))</f>
        <v xml:space="preserve"> </v>
      </c>
      <c r="N925" s="4" t="str">
        <f ca="1">IF(OR(INDEX($X$2:$X$1001,MATCH(ROWS($W$2:W925),$W$2:$W$1001,0),1)&gt;=100000,INDEX($AD$1005:$AU$1005,1,MATCH(COLUMNS($AD$1006:AP1006),$AD$1006:$AU$1006,0))&gt;=100000), " ",IF(INDEX($AD$2:$AU$1001,MATCH(ROWS($W$2:W925),$W$2:$W$1001,0),MATCH(COLUMNS($AD$1006:AP1006),$AD$1006:$AU$1006,0)), HYPERLINK("#",""), HYPERLINK(CONCATENATE("#metadata!", ADDRESS(INDEX($Y$2:$Y$1001,MATCH(ROWS($W$2:W925),$W$2:$W$1001,0),0), INDEX($AD$1004:$AU$1004,1,MATCH(COLUMNS($AD$1006:AP1006),$AD$1006:$AU$1006,0)))),"Fix")))</f>
        <v xml:space="preserve"> </v>
      </c>
      <c r="O925" s="4" t="str">
        <f ca="1">IF(OR(INDEX($X$2:$X$1001,MATCH(ROWS($W$2:W925),$W$2:$W$1001,0),1)&gt;=100000,INDEX($AD$1005:$AU$1005,1,MATCH(COLUMNS($AD$1006:AQ1006),$AD$1006:$AU$1006,0))&gt;=100000), " ",IF(INDEX($AD$2:$AU$1001,MATCH(ROWS($W$2:W925),$W$2:$W$1001,0),MATCH(COLUMNS($AD$1006:AQ1006),$AD$1006:$AU$1006,0)), HYPERLINK("#",""), HYPERLINK(CONCATENATE("#metadata!", ADDRESS(INDEX($Y$2:$Y$1001,MATCH(ROWS($W$2:W925),$W$2:$W$1001,0),0), INDEX($AD$1004:$AU$1004,1,MATCH(COLUMNS($AD$1006:AQ1006),$AD$1006:$AU$1006,0)))),"Fix")))</f>
        <v xml:space="preserve"> </v>
      </c>
      <c r="P925" s="4" t="str">
        <f ca="1">IF(OR(INDEX($X$2:$X$1001,MATCH(ROWS($W$2:W925),$W$2:$W$1001,0),1)&gt;=100000,INDEX($AD$1005:$AU$1005,1,MATCH(COLUMNS($AD$1006:AR1006),$AD$1006:$AU$1006,0))&gt;=100000), " ",IF(INDEX($AD$2:$AU$1001,MATCH(ROWS($W$2:W925),$W$2:$W$1001,0),MATCH(COLUMNS($AD$1006:AR1006),$AD$1006:$AU$1006,0)), HYPERLINK("#",""), HYPERLINK(CONCATENATE("#metadata!", ADDRESS(INDEX($Y$2:$Y$1001,MATCH(ROWS($W$2:W925),$W$2:$W$1001,0),0), INDEX($AD$1004:$AU$1004,1,MATCH(COLUMNS($AD$1006:AR1006),$AD$1006:$AU$1006,0)))),"Fix")))</f>
        <v xml:space="preserve"> </v>
      </c>
      <c r="Q925" s="4" t="str">
        <f ca="1">IF(OR(INDEX($X$2:$X$1001,MATCH(ROWS($W$2:W925),$W$2:$W$1001,0),1)&gt;=100000,INDEX($AD$1005:$AU$1005,1,MATCH(COLUMNS($AD$1006:AS1006),$AD$1006:$AU$1006,0))&gt;=100000), " ",IF(INDEX($AD$2:$AU$1001,MATCH(ROWS($W$2:W925),$W$2:$W$1001,0),MATCH(COLUMNS($AD$1006:AS1006),$AD$1006:$AU$1006,0)), HYPERLINK("#",""), HYPERLINK(CONCATENATE("#metadata!", ADDRESS(INDEX($Y$2:$Y$1001,MATCH(ROWS($W$2:W925),$W$2:$W$1001,0),0), INDEX($AD$1004:$AU$1004,1,MATCH(COLUMNS($AD$1006:AS1006),$AD$1006:$AU$1006,0)))),"Fix")))</f>
        <v xml:space="preserve"> </v>
      </c>
      <c r="R925" s="4" t="str">
        <f ca="1">IF(OR(INDEX($X$2:$X$1001,MATCH(ROWS($W$2:W925),$W$2:$W$1001,0),1)&gt;=100000,INDEX($AD$1005:$AU$1005,1,MATCH(COLUMNS($AD$1006:AT1006),$AD$1006:$AU$1006,0))&gt;=100000), " ",IF(INDEX($AD$2:$AU$1001,MATCH(ROWS($W$2:W925),$W$2:$W$1001,0),MATCH(COLUMNS($AD$1006:AT1006),$AD$1006:$AU$1006,0)), HYPERLINK("#",""), HYPERLINK(CONCATENATE("#metadata!", ADDRESS(INDEX($Y$2:$Y$1001,MATCH(ROWS($W$2:W925),$W$2:$W$1001,0),0), INDEX($AD$1004:$AU$1004,1,MATCH(COLUMNS($AD$1006:AT1006),$AD$1006:$AU$1006,0)))),"Fix")))</f>
        <v xml:space="preserve"> </v>
      </c>
      <c r="S925" s="4" t="str">
        <f ca="1">IF(OR(INDEX($X$2:$X$1001,MATCH(ROWS($W$2:W925),$W$2:$W$1001,0),1)&gt;=100000,INDEX($AD$1005:$AU$1005,1,MATCH(COLUMNS($AD$1006:AU1006),$AD$1006:$AU$1006,0))&gt;=100000), " ",IF(INDEX($AD$2:$AU$1001,MATCH(ROWS($W$2:W925),$W$2:$W$1001,0),MATCH(COLUMNS($AD$1006:AU1006),$AD$1006:$AU$1006,0)), HYPERLINK("#",""), HYPERLINK(CONCATENATE("#metadata!", ADDRESS(INDEX($Y$2:$Y$1001,MATCH(ROWS($W$2:W925),$W$2:$W$1001,0),0), INDEX($AD$1004:$AU$1004,1,MATCH(COLUMNS($AD$1006:AU1006),$AD$1006:$AU$1006,0)))),"Fix")))</f>
        <v xml:space="preserve"> </v>
      </c>
      <c r="W925">
        <v>924</v>
      </c>
      <c r="X925">
        <v>100925</v>
      </c>
      <c r="Y925">
        <v>925</v>
      </c>
      <c r="Z925" t="b">
        <f t="shared" si="14"/>
        <v>1</v>
      </c>
      <c r="AA925" t="b">
        <f>COUNTBLANK(metadata!B925:S925)=COLUMNS(metadata!B925:S925)</f>
        <v>1</v>
      </c>
      <c r="AB925" t="str">
        <v/>
      </c>
      <c r="AD925" t="b">
        <f ca="1">AND(IF(metadata!B925="",FALSE,TRUE),COUNTIF(metadata!B:B, metadata!B925) = 1,NOT(ISERROR(SUMPRODUCT(SEARCH(MID(metadata!B925,ROW(INDIRECT("1:"&amp;LEN(metadata!B925))), 1),"0123456789abcdefghijklmnopqrstuvwxyzABCDEFGHIJKLMNOPQRSTUVWXYZ.")))))</f>
        <v>0</v>
      </c>
      <c r="AE925" t="b">
        <f>OR(AND(IF(metadata!C925="",FALSE,TRUE),OR(EXACT(metadata!C925,"not applicable"),EXACT(metadata!C925,"missing: not collected"),EXACT(metadata!C925,"missing: not provided"),EXACT(metadata!C925,"missing: restricted access"))),AND(IF(metadata!C925="",FALSE,ISNUMBER(VALUE(metadata!C925))),metadata!C925&gt;0))</f>
        <v>0</v>
      </c>
      <c r="AF925" t="b">
        <f>AND(IF(metadata!D925="",FALSE,TRUE),EXACT(metadata!D925,"missing: not provided"))</f>
        <v>0</v>
      </c>
      <c r="AG925" t="b">
        <f>AND(IF(metadata!E925="",FALSE,TRUE),EXACT(metadata!E925,"Host-associated"))</f>
        <v>0</v>
      </c>
      <c r="AH925" t="b">
        <f>AND(IF(metadata!F925="",FALSE,TRUE),OR(EXACT(metadata!F925,"Animal"),EXACT(metadata!F925,"Fungus"),EXACT(metadata!F925,"Plant")))</f>
        <v>0</v>
      </c>
      <c r="AI925" t="b">
        <f>AND(IF(metadata!G925="",FALSE,TRUE),OR(EXACT(metadata!G925,"Plant secretion"),EXACT(metadata!G925,"Plant rhizosphere"),EXACT(metadata!G925,"Plant surface"),EXACT(metadata!G925,"Plant corpus"),EXACT(metadata!G925,"Fungus surface"),EXACT(metadata!G925,"Fungus corpus"),EXACT(metadata!G925,"Animal surface"),EXACT(metadata!G925,"Animal proximal gut"),EXACT(metadata!G925,"Animal corpus"),EXACT(metadata!G925,"Animal distal gut"),EXACT(metadata!G925,"Animal secretion")))</f>
        <v>0</v>
      </c>
      <c r="AJ925" t="b">
        <f>OR(AND(IF(metadata!H925="",FALSE,TRUE),OR(EXACT(metadata!H925,"missing: not collected"),EXACT(metadata!H925,"missing: not provided"),EXACT(metadata!H925,"missing: restricted access"))),AND(IF(metadata!H925="",FALSE,TRUE),OR(EXACT(metadata!H925,"organism-associated habitat"),EXACT(metadata!H925,"plant-associated habitat"),EXACT(metadata!H925,"animal-associated habitat"),EXACT(metadata!H925,"insecta-associated habitat"),EXACT(metadata!H925,"mammalia-associated habitat"),EXACT(metadata!H925,"human-associated habitat"),EXACT(metadata!H925,"livestock-associated habitat"))))</f>
        <v>0</v>
      </c>
      <c r="AK925" t="b">
        <f>AND(IF(metadata!I925="",FALSE,TRUE),EXACT(metadata!I925,"host-associated"))</f>
        <v>0</v>
      </c>
      <c r="AL925" t="b">
        <f>OR(AND(IF(metadata!J925="",FALSE,TRUE),OR(EXACT(metadata!J925,"not applicable"),EXACT(metadata!J925,"missing: not collected"),EXACT(metadata!J925,"missing: not provided"),EXACT(metadata!J925,"missing: restricted access"))),AND(IF(metadata!J925="",FALSE,ISNUMBER(VALUE(metadata!J925))),metadata!J925&gt;0))</f>
        <v>0</v>
      </c>
      <c r="AM925" t="b">
        <f>AND(IF(metadata!K925="",FALSE,TRUE),EXACT(metadata!K925,"missing: not provided"))</f>
        <v>0</v>
      </c>
      <c r="AN925" t="b">
        <f>IF(metadata!L925="",FALSE,TRUE)</f>
        <v>0</v>
      </c>
      <c r="AO925" t="b">
        <f>IF(metadata!M925="",FALSE,TRUE)</f>
        <v>0</v>
      </c>
      <c r="AP925" t="b">
        <f>OR(AND(IF(metadata!N925="",FALSE,TRUE),OR(EXACT(metadata!N925,"not applicable"),EXACT(metadata!N925,"missing: not collected"),EXACT(metadata!N925,"missing: not provided"))),AND(IF(metadata!N925="",FALSE,IF(ISERROR(INT(metadata!N925)),FALSE,INT(metadata!N925)=metadata!N925)),metadata!N925&gt;0))</f>
        <v>0</v>
      </c>
      <c r="AQ925" t="b">
        <f>AND(IF(metadata!O925="",FALSE,TRUE),EXACT(metadata!O925,"Not applicable"))</f>
        <v>0</v>
      </c>
      <c r="AR925" t="b">
        <f>OR(AND(IF(metadata!P925="",FALSE,TRUE),OR(EXACT(metadata!P925,"not applicable"),EXACT(metadata!P925,"missing: not collected"),EXACT(metadata!P925,"missing: not provided"),EXACT(metadata!P925,"missing: restricted access"))),IF(metadata!P925="",FALSE,IF(ISERROR(INT(metadata!P925)),FALSE,INT(metadata!P925)=metadata!P925)))</f>
        <v>0</v>
      </c>
      <c r="AS925" t="b">
        <f>AND(IF(metadata!Q925="",FALSE,TRUE),EXACT(metadata!Q925,"Not applicable"))</f>
        <v>0</v>
      </c>
      <c r="AT925" t="b">
        <f>OR(AND(IF(metadata!R925="",FALSE,TRUE),OR(EXACT(metadata!R925,"not applicable"),EXACT(metadata!R925,"missing: not collected"),EXACT(metadata!R925,"missing: not provided"),EXACT(metadata!R925,"missing: restricted access"))),AND(IF(metadata!R925="",FALSE,ISNUMBER(VALUE(metadata!R925))),metadata!R925&gt;0))</f>
        <v>0</v>
      </c>
      <c r="AU925" t="b">
        <f>AND(IF(metadata!S925="",FALSE,TRUE),EXACT(metadata!S925,"missing: not provided"))</f>
        <v>0</v>
      </c>
    </row>
    <row r="926" spans="1:47" x14ac:dyDescent="0.2">
      <c r="A926" s="5" t="str">
        <f ca="1">IF(B926=" "," ",HYPERLINK(CONCATENATE("#metadata!",ADDRESS(INDEX($Y$2:$Y$1001,MATCH(ROWS($W$2:W926),$W$2:$W$1001,0),0),1)),INDEX($AB$2:$AB$1001,MATCH(ROWS($W$2:W926),$W$2:$W$1001,0),0)))</f>
        <v xml:space="preserve"> </v>
      </c>
      <c r="B926" s="4" t="str">
        <f ca="1">IF(OR(INDEX($X$2:$X$1001,MATCH(ROWS($W$2:W926),$W$2:$W$1001,0),1)&gt;=100000,INDEX($AD$1005:$AU$1005,1,MATCH(COLUMNS($AD$1006:AD1006),$AD$1006:$AU$1006,0))&gt;=100000), " ",IF(INDEX($AD$2:$AU$1001,MATCH(ROWS($W$2:W926),$W$2:$W$1001,0),MATCH(COLUMNS($AD$1006:AD1006),$AD$1006:$AU$1006,0)), HYPERLINK("#",""), HYPERLINK(CONCATENATE("#metadata!", ADDRESS(INDEX($Y$2:$Y$1001,MATCH(ROWS($W$2:W926),$W$2:$W$1001,0),0), INDEX($AD$1004:$AU$1004,1,MATCH(COLUMNS($AD$1006:AD1006),$AD$1006:$AU$1006,0)))),"Fix")))</f>
        <v xml:space="preserve"> </v>
      </c>
      <c r="C926" s="4" t="str">
        <f ca="1">IF(OR(INDEX($X$2:$X$1001,MATCH(ROWS($W$2:W926),$W$2:$W$1001,0),1)&gt;=100000,INDEX($AD$1005:$AU$1005,1,MATCH(COLUMNS($AD$1006:AE1006),$AD$1006:$AU$1006,0))&gt;=100000), " ",IF(INDEX($AD$2:$AU$1001,MATCH(ROWS($W$2:W926),$W$2:$W$1001,0),MATCH(COLUMNS($AD$1006:AE1006),$AD$1006:$AU$1006,0)), HYPERLINK("#",""), HYPERLINK(CONCATENATE("#metadata!", ADDRESS(INDEX($Y$2:$Y$1001,MATCH(ROWS($W$2:W926),$W$2:$W$1001,0),0), INDEX($AD$1004:$AU$1004,1,MATCH(COLUMNS($AD$1006:AE1006),$AD$1006:$AU$1006,0)))),"Fix")))</f>
        <v xml:space="preserve"> </v>
      </c>
      <c r="D926" s="4" t="str">
        <f ca="1">IF(OR(INDEX($X$2:$X$1001,MATCH(ROWS($W$2:W926),$W$2:$W$1001,0),1)&gt;=100000,INDEX($AD$1005:$AU$1005,1,MATCH(COLUMNS($AD$1006:AF1006),$AD$1006:$AU$1006,0))&gt;=100000), " ",IF(INDEX($AD$2:$AU$1001,MATCH(ROWS($W$2:W926),$W$2:$W$1001,0),MATCH(COLUMNS($AD$1006:AF1006),$AD$1006:$AU$1006,0)), HYPERLINK("#",""), HYPERLINK(CONCATENATE("#metadata!", ADDRESS(INDEX($Y$2:$Y$1001,MATCH(ROWS($W$2:W926),$W$2:$W$1001,0),0), INDEX($AD$1004:$AU$1004,1,MATCH(COLUMNS($AD$1006:AF1006),$AD$1006:$AU$1006,0)))),"Fix")))</f>
        <v xml:space="preserve"> </v>
      </c>
      <c r="E926" s="4" t="str">
        <f ca="1">IF(OR(INDEX($X$2:$X$1001,MATCH(ROWS($W$2:W926),$W$2:$W$1001,0),1)&gt;=100000,INDEX($AD$1005:$AU$1005,1,MATCH(COLUMNS($AD$1006:AG1006),$AD$1006:$AU$1006,0))&gt;=100000), " ",IF(INDEX($AD$2:$AU$1001,MATCH(ROWS($W$2:W926),$W$2:$W$1001,0),MATCH(COLUMNS($AD$1006:AG1006),$AD$1006:$AU$1006,0)), HYPERLINK("#",""), HYPERLINK(CONCATENATE("#metadata!", ADDRESS(INDEX($Y$2:$Y$1001,MATCH(ROWS($W$2:W926),$W$2:$W$1001,0),0), INDEX($AD$1004:$AU$1004,1,MATCH(COLUMNS($AD$1006:AG1006),$AD$1006:$AU$1006,0)))),"Fix")))</f>
        <v xml:space="preserve"> </v>
      </c>
      <c r="F926" s="4" t="str">
        <f ca="1">IF(OR(INDEX($X$2:$X$1001,MATCH(ROWS($W$2:W926),$W$2:$W$1001,0),1)&gt;=100000,INDEX($AD$1005:$AU$1005,1,MATCH(COLUMNS($AD$1006:AH1006),$AD$1006:$AU$1006,0))&gt;=100000), " ",IF(INDEX($AD$2:$AU$1001,MATCH(ROWS($W$2:W926),$W$2:$W$1001,0),MATCH(COLUMNS($AD$1006:AH1006),$AD$1006:$AU$1006,0)), HYPERLINK("#",""), HYPERLINK(CONCATENATE("#metadata!", ADDRESS(INDEX($Y$2:$Y$1001,MATCH(ROWS($W$2:W926),$W$2:$W$1001,0),0), INDEX($AD$1004:$AU$1004,1,MATCH(COLUMNS($AD$1006:AH1006),$AD$1006:$AU$1006,0)))),"Fix")))</f>
        <v xml:space="preserve"> </v>
      </c>
      <c r="G926" s="4" t="str">
        <f ca="1">IF(OR(INDEX($X$2:$X$1001,MATCH(ROWS($W$2:W926),$W$2:$W$1001,0),1)&gt;=100000,INDEX($AD$1005:$AU$1005,1,MATCH(COLUMNS($AD$1006:AI1006),$AD$1006:$AU$1006,0))&gt;=100000), " ",IF(INDEX($AD$2:$AU$1001,MATCH(ROWS($W$2:W926),$W$2:$W$1001,0),MATCH(COLUMNS($AD$1006:AI1006),$AD$1006:$AU$1006,0)), HYPERLINK("#",""), HYPERLINK(CONCATENATE("#metadata!", ADDRESS(INDEX($Y$2:$Y$1001,MATCH(ROWS($W$2:W926),$W$2:$W$1001,0),0), INDEX($AD$1004:$AU$1004,1,MATCH(COLUMNS($AD$1006:AI1006),$AD$1006:$AU$1006,0)))),"Fix")))</f>
        <v xml:space="preserve"> </v>
      </c>
      <c r="H926" s="4" t="str">
        <f ca="1">IF(OR(INDEX($X$2:$X$1001,MATCH(ROWS($W$2:W926),$W$2:$W$1001,0),1)&gt;=100000,INDEX($AD$1005:$AU$1005,1,MATCH(COLUMNS($AD$1006:AJ1006),$AD$1006:$AU$1006,0))&gt;=100000), " ",IF(INDEX($AD$2:$AU$1001,MATCH(ROWS($W$2:W926),$W$2:$W$1001,0),MATCH(COLUMNS($AD$1006:AJ1006),$AD$1006:$AU$1006,0)), HYPERLINK("#",""), HYPERLINK(CONCATENATE("#metadata!", ADDRESS(INDEX($Y$2:$Y$1001,MATCH(ROWS($W$2:W926),$W$2:$W$1001,0),0), INDEX($AD$1004:$AU$1004,1,MATCH(COLUMNS($AD$1006:AJ1006),$AD$1006:$AU$1006,0)))),"Fix")))</f>
        <v xml:space="preserve"> </v>
      </c>
      <c r="I926" s="4" t="str">
        <f ca="1">IF(OR(INDEX($X$2:$X$1001,MATCH(ROWS($W$2:W926),$W$2:$W$1001,0),1)&gt;=100000,INDEX($AD$1005:$AU$1005,1,MATCH(COLUMNS($AD$1006:AK1006),$AD$1006:$AU$1006,0))&gt;=100000), " ",IF(INDEX($AD$2:$AU$1001,MATCH(ROWS($W$2:W926),$W$2:$W$1001,0),MATCH(COLUMNS($AD$1006:AK1006),$AD$1006:$AU$1006,0)), HYPERLINK("#",""), HYPERLINK(CONCATENATE("#metadata!", ADDRESS(INDEX($Y$2:$Y$1001,MATCH(ROWS($W$2:W926),$W$2:$W$1001,0),0), INDEX($AD$1004:$AU$1004,1,MATCH(COLUMNS($AD$1006:AK1006),$AD$1006:$AU$1006,0)))),"Fix")))</f>
        <v xml:space="preserve"> </v>
      </c>
      <c r="J926" s="4" t="str">
        <f ca="1">IF(OR(INDEX($X$2:$X$1001,MATCH(ROWS($W$2:W926),$W$2:$W$1001,0),1)&gt;=100000,INDEX($AD$1005:$AU$1005,1,MATCH(COLUMNS($AD$1006:AL1006),$AD$1006:$AU$1006,0))&gt;=100000), " ",IF(INDEX($AD$2:$AU$1001,MATCH(ROWS($W$2:W926),$W$2:$W$1001,0),MATCH(COLUMNS($AD$1006:AL1006),$AD$1006:$AU$1006,0)), HYPERLINK("#",""), HYPERLINK(CONCATENATE("#metadata!", ADDRESS(INDEX($Y$2:$Y$1001,MATCH(ROWS($W$2:W926),$W$2:$W$1001,0),0), INDEX($AD$1004:$AU$1004,1,MATCH(COLUMNS($AD$1006:AL1006),$AD$1006:$AU$1006,0)))),"Fix")))</f>
        <v xml:space="preserve"> </v>
      </c>
      <c r="K926" s="4" t="str">
        <f ca="1">IF(OR(INDEX($X$2:$X$1001,MATCH(ROWS($W$2:W926),$W$2:$W$1001,0),1)&gt;=100000,INDEX($AD$1005:$AU$1005,1,MATCH(COLUMNS($AD$1006:AM1006),$AD$1006:$AU$1006,0))&gt;=100000), " ",IF(INDEX($AD$2:$AU$1001,MATCH(ROWS($W$2:W926),$W$2:$W$1001,0),MATCH(COLUMNS($AD$1006:AM1006),$AD$1006:$AU$1006,0)), HYPERLINK("#",""), HYPERLINK(CONCATENATE("#metadata!", ADDRESS(INDEX($Y$2:$Y$1001,MATCH(ROWS($W$2:W926),$W$2:$W$1001,0),0), INDEX($AD$1004:$AU$1004,1,MATCH(COLUMNS($AD$1006:AM1006),$AD$1006:$AU$1006,0)))),"Fix")))</f>
        <v xml:space="preserve"> </v>
      </c>
      <c r="L926" s="4" t="str">
        <f ca="1">IF(OR(INDEX($X$2:$X$1001,MATCH(ROWS($W$2:W926),$W$2:$W$1001,0),1)&gt;=100000,INDEX($AD$1005:$AU$1005,1,MATCH(COLUMNS($AD$1006:AN1006),$AD$1006:$AU$1006,0))&gt;=100000), " ",IF(INDEX($AD$2:$AU$1001,MATCH(ROWS($W$2:W926),$W$2:$W$1001,0),MATCH(COLUMNS($AD$1006:AN1006),$AD$1006:$AU$1006,0)), HYPERLINK("#",""), HYPERLINK(CONCATENATE("#metadata!", ADDRESS(INDEX($Y$2:$Y$1001,MATCH(ROWS($W$2:W926),$W$2:$W$1001,0),0), INDEX($AD$1004:$AU$1004,1,MATCH(COLUMNS($AD$1006:AN1006),$AD$1006:$AU$1006,0)))),"Fix")))</f>
        <v xml:space="preserve"> </v>
      </c>
      <c r="M926" s="4" t="str">
        <f ca="1">IF(OR(INDEX($X$2:$X$1001,MATCH(ROWS($W$2:W926),$W$2:$W$1001,0),1)&gt;=100000,INDEX($AD$1005:$AU$1005,1,MATCH(COLUMNS($AD$1006:AO1006),$AD$1006:$AU$1006,0))&gt;=100000), " ",IF(INDEX($AD$2:$AU$1001,MATCH(ROWS($W$2:W926),$W$2:$W$1001,0),MATCH(COLUMNS($AD$1006:AO1006),$AD$1006:$AU$1006,0)), HYPERLINK("#",""), HYPERLINK(CONCATENATE("#metadata!", ADDRESS(INDEX($Y$2:$Y$1001,MATCH(ROWS($W$2:W926),$W$2:$W$1001,0),0), INDEX($AD$1004:$AU$1004,1,MATCH(COLUMNS($AD$1006:AO1006),$AD$1006:$AU$1006,0)))),"Fix")))</f>
        <v xml:space="preserve"> </v>
      </c>
      <c r="N926" s="4" t="str">
        <f ca="1">IF(OR(INDEX($X$2:$X$1001,MATCH(ROWS($W$2:W926),$W$2:$W$1001,0),1)&gt;=100000,INDEX($AD$1005:$AU$1005,1,MATCH(COLUMNS($AD$1006:AP1006),$AD$1006:$AU$1006,0))&gt;=100000), " ",IF(INDEX($AD$2:$AU$1001,MATCH(ROWS($W$2:W926),$W$2:$W$1001,0),MATCH(COLUMNS($AD$1006:AP1006),$AD$1006:$AU$1006,0)), HYPERLINK("#",""), HYPERLINK(CONCATENATE("#metadata!", ADDRESS(INDEX($Y$2:$Y$1001,MATCH(ROWS($W$2:W926),$W$2:$W$1001,0),0), INDEX($AD$1004:$AU$1004,1,MATCH(COLUMNS($AD$1006:AP1006),$AD$1006:$AU$1006,0)))),"Fix")))</f>
        <v xml:space="preserve"> </v>
      </c>
      <c r="O926" s="4" t="str">
        <f ca="1">IF(OR(INDEX($X$2:$X$1001,MATCH(ROWS($W$2:W926),$W$2:$W$1001,0),1)&gt;=100000,INDEX($AD$1005:$AU$1005,1,MATCH(COLUMNS($AD$1006:AQ1006),$AD$1006:$AU$1006,0))&gt;=100000), " ",IF(INDEX($AD$2:$AU$1001,MATCH(ROWS($W$2:W926),$W$2:$W$1001,0),MATCH(COLUMNS($AD$1006:AQ1006),$AD$1006:$AU$1006,0)), HYPERLINK("#",""), HYPERLINK(CONCATENATE("#metadata!", ADDRESS(INDEX($Y$2:$Y$1001,MATCH(ROWS($W$2:W926),$W$2:$W$1001,0),0), INDEX($AD$1004:$AU$1004,1,MATCH(COLUMNS($AD$1006:AQ1006),$AD$1006:$AU$1006,0)))),"Fix")))</f>
        <v xml:space="preserve"> </v>
      </c>
      <c r="P926" s="4" t="str">
        <f ca="1">IF(OR(INDEX($X$2:$X$1001,MATCH(ROWS($W$2:W926),$W$2:$W$1001,0),1)&gt;=100000,INDEX($AD$1005:$AU$1005,1,MATCH(COLUMNS($AD$1006:AR1006),$AD$1006:$AU$1006,0))&gt;=100000), " ",IF(INDEX($AD$2:$AU$1001,MATCH(ROWS($W$2:W926),$W$2:$W$1001,0),MATCH(COLUMNS($AD$1006:AR1006),$AD$1006:$AU$1006,0)), HYPERLINK("#",""), HYPERLINK(CONCATENATE("#metadata!", ADDRESS(INDEX($Y$2:$Y$1001,MATCH(ROWS($W$2:W926),$W$2:$W$1001,0),0), INDEX($AD$1004:$AU$1004,1,MATCH(COLUMNS($AD$1006:AR1006),$AD$1006:$AU$1006,0)))),"Fix")))</f>
        <v xml:space="preserve"> </v>
      </c>
      <c r="Q926" s="4" t="str">
        <f ca="1">IF(OR(INDEX($X$2:$X$1001,MATCH(ROWS($W$2:W926),$W$2:$W$1001,0),1)&gt;=100000,INDEX($AD$1005:$AU$1005,1,MATCH(COLUMNS($AD$1006:AS1006),$AD$1006:$AU$1006,0))&gt;=100000), " ",IF(INDEX($AD$2:$AU$1001,MATCH(ROWS($W$2:W926),$W$2:$W$1001,0),MATCH(COLUMNS($AD$1006:AS1006),$AD$1006:$AU$1006,0)), HYPERLINK("#",""), HYPERLINK(CONCATENATE("#metadata!", ADDRESS(INDEX($Y$2:$Y$1001,MATCH(ROWS($W$2:W926),$W$2:$W$1001,0),0), INDEX($AD$1004:$AU$1004,1,MATCH(COLUMNS($AD$1006:AS1006),$AD$1006:$AU$1006,0)))),"Fix")))</f>
        <v xml:space="preserve"> </v>
      </c>
      <c r="R926" s="4" t="str">
        <f ca="1">IF(OR(INDEX($X$2:$X$1001,MATCH(ROWS($W$2:W926),$W$2:$W$1001,0),1)&gt;=100000,INDEX($AD$1005:$AU$1005,1,MATCH(COLUMNS($AD$1006:AT1006),$AD$1006:$AU$1006,0))&gt;=100000), " ",IF(INDEX($AD$2:$AU$1001,MATCH(ROWS($W$2:W926),$W$2:$W$1001,0),MATCH(COLUMNS($AD$1006:AT1006),$AD$1006:$AU$1006,0)), HYPERLINK("#",""), HYPERLINK(CONCATENATE("#metadata!", ADDRESS(INDEX($Y$2:$Y$1001,MATCH(ROWS($W$2:W926),$W$2:$W$1001,0),0), INDEX($AD$1004:$AU$1004,1,MATCH(COLUMNS($AD$1006:AT1006),$AD$1006:$AU$1006,0)))),"Fix")))</f>
        <v xml:space="preserve"> </v>
      </c>
      <c r="S926" s="4" t="str">
        <f ca="1">IF(OR(INDEX($X$2:$X$1001,MATCH(ROWS($W$2:W926),$W$2:$W$1001,0),1)&gt;=100000,INDEX($AD$1005:$AU$1005,1,MATCH(COLUMNS($AD$1006:AU1006),$AD$1006:$AU$1006,0))&gt;=100000), " ",IF(INDEX($AD$2:$AU$1001,MATCH(ROWS($W$2:W926),$W$2:$W$1001,0),MATCH(COLUMNS($AD$1006:AU1006),$AD$1006:$AU$1006,0)), HYPERLINK("#",""), HYPERLINK(CONCATENATE("#metadata!", ADDRESS(INDEX($Y$2:$Y$1001,MATCH(ROWS($W$2:W926),$W$2:$W$1001,0),0), INDEX($AD$1004:$AU$1004,1,MATCH(COLUMNS($AD$1006:AU1006),$AD$1006:$AU$1006,0)))),"Fix")))</f>
        <v xml:space="preserve"> </v>
      </c>
      <c r="W926">
        <v>925</v>
      </c>
      <c r="X926">
        <v>100926</v>
      </c>
      <c r="Y926">
        <v>926</v>
      </c>
      <c r="Z926" t="b">
        <f t="shared" si="14"/>
        <v>1</v>
      </c>
      <c r="AA926" t="b">
        <f>COUNTBLANK(metadata!B926:S926)=COLUMNS(metadata!B926:S926)</f>
        <v>1</v>
      </c>
      <c r="AB926" t="str">
        <v/>
      </c>
      <c r="AD926" t="b">
        <f ca="1">AND(IF(metadata!B926="",FALSE,TRUE),COUNTIF(metadata!B:B, metadata!B926) = 1,NOT(ISERROR(SUMPRODUCT(SEARCH(MID(metadata!B926,ROW(INDIRECT("1:"&amp;LEN(metadata!B926))), 1),"0123456789abcdefghijklmnopqrstuvwxyzABCDEFGHIJKLMNOPQRSTUVWXYZ.")))))</f>
        <v>0</v>
      </c>
      <c r="AE926" t="b">
        <f>OR(AND(IF(metadata!C926="",FALSE,TRUE),OR(EXACT(metadata!C926,"not applicable"),EXACT(metadata!C926,"missing: not collected"),EXACT(metadata!C926,"missing: not provided"),EXACT(metadata!C926,"missing: restricted access"))),AND(IF(metadata!C926="",FALSE,ISNUMBER(VALUE(metadata!C926))),metadata!C926&gt;0))</f>
        <v>0</v>
      </c>
      <c r="AF926" t="b">
        <f>AND(IF(metadata!D926="",FALSE,TRUE),EXACT(metadata!D926,"missing: not provided"))</f>
        <v>0</v>
      </c>
      <c r="AG926" t="b">
        <f>AND(IF(metadata!E926="",FALSE,TRUE),EXACT(metadata!E926,"Host-associated"))</f>
        <v>0</v>
      </c>
      <c r="AH926" t="b">
        <f>AND(IF(metadata!F926="",FALSE,TRUE),OR(EXACT(metadata!F926,"Animal"),EXACT(metadata!F926,"Fungus"),EXACT(metadata!F926,"Plant")))</f>
        <v>0</v>
      </c>
      <c r="AI926" t="b">
        <f>AND(IF(metadata!G926="",FALSE,TRUE),OR(EXACT(metadata!G926,"Plant secretion"),EXACT(metadata!G926,"Plant rhizosphere"),EXACT(metadata!G926,"Plant surface"),EXACT(metadata!G926,"Plant corpus"),EXACT(metadata!G926,"Fungus surface"),EXACT(metadata!G926,"Fungus corpus"),EXACT(metadata!G926,"Animal surface"),EXACT(metadata!G926,"Animal proximal gut"),EXACT(metadata!G926,"Animal corpus"),EXACT(metadata!G926,"Animal distal gut"),EXACT(metadata!G926,"Animal secretion")))</f>
        <v>0</v>
      </c>
      <c r="AJ926" t="b">
        <f>OR(AND(IF(metadata!H926="",FALSE,TRUE),OR(EXACT(metadata!H926,"missing: not collected"),EXACT(metadata!H926,"missing: not provided"),EXACT(metadata!H926,"missing: restricted access"))),AND(IF(metadata!H926="",FALSE,TRUE),OR(EXACT(metadata!H926,"organism-associated habitat"),EXACT(metadata!H926,"plant-associated habitat"),EXACT(metadata!H926,"animal-associated habitat"),EXACT(metadata!H926,"insecta-associated habitat"),EXACT(metadata!H926,"mammalia-associated habitat"),EXACT(metadata!H926,"human-associated habitat"),EXACT(metadata!H926,"livestock-associated habitat"))))</f>
        <v>0</v>
      </c>
      <c r="AK926" t="b">
        <f>AND(IF(metadata!I926="",FALSE,TRUE),EXACT(metadata!I926,"host-associated"))</f>
        <v>0</v>
      </c>
      <c r="AL926" t="b">
        <f>OR(AND(IF(metadata!J926="",FALSE,TRUE),OR(EXACT(metadata!J926,"not applicable"),EXACT(metadata!J926,"missing: not collected"),EXACT(metadata!J926,"missing: not provided"),EXACT(metadata!J926,"missing: restricted access"))),AND(IF(metadata!J926="",FALSE,ISNUMBER(VALUE(metadata!J926))),metadata!J926&gt;0))</f>
        <v>0</v>
      </c>
      <c r="AM926" t="b">
        <f>AND(IF(metadata!K926="",FALSE,TRUE),EXACT(metadata!K926,"missing: not provided"))</f>
        <v>0</v>
      </c>
      <c r="AN926" t="b">
        <f>IF(metadata!L926="",FALSE,TRUE)</f>
        <v>0</v>
      </c>
      <c r="AO926" t="b">
        <f>IF(metadata!M926="",FALSE,TRUE)</f>
        <v>0</v>
      </c>
      <c r="AP926" t="b">
        <f>OR(AND(IF(metadata!N926="",FALSE,TRUE),OR(EXACT(metadata!N926,"not applicable"),EXACT(metadata!N926,"missing: not collected"),EXACT(metadata!N926,"missing: not provided"))),AND(IF(metadata!N926="",FALSE,IF(ISERROR(INT(metadata!N926)),FALSE,INT(metadata!N926)=metadata!N926)),metadata!N926&gt;0))</f>
        <v>0</v>
      </c>
      <c r="AQ926" t="b">
        <f>AND(IF(metadata!O926="",FALSE,TRUE),EXACT(metadata!O926,"Not applicable"))</f>
        <v>0</v>
      </c>
      <c r="AR926" t="b">
        <f>OR(AND(IF(metadata!P926="",FALSE,TRUE),OR(EXACT(metadata!P926,"not applicable"),EXACT(metadata!P926,"missing: not collected"),EXACT(metadata!P926,"missing: not provided"),EXACT(metadata!P926,"missing: restricted access"))),IF(metadata!P926="",FALSE,IF(ISERROR(INT(metadata!P926)),FALSE,INT(metadata!P926)=metadata!P926)))</f>
        <v>0</v>
      </c>
      <c r="AS926" t="b">
        <f>AND(IF(metadata!Q926="",FALSE,TRUE),EXACT(metadata!Q926,"Not applicable"))</f>
        <v>0</v>
      </c>
      <c r="AT926" t="b">
        <f>OR(AND(IF(metadata!R926="",FALSE,TRUE),OR(EXACT(metadata!R926,"not applicable"),EXACT(metadata!R926,"missing: not collected"),EXACT(metadata!R926,"missing: not provided"),EXACT(metadata!R926,"missing: restricted access"))),AND(IF(metadata!R926="",FALSE,ISNUMBER(VALUE(metadata!R926))),metadata!R926&gt;0))</f>
        <v>0</v>
      </c>
      <c r="AU926" t="b">
        <f>AND(IF(metadata!S926="",FALSE,TRUE),EXACT(metadata!S926,"missing: not provided"))</f>
        <v>0</v>
      </c>
    </row>
    <row r="927" spans="1:47" x14ac:dyDescent="0.2">
      <c r="A927" s="5" t="str">
        <f ca="1">IF(B927=" "," ",HYPERLINK(CONCATENATE("#metadata!",ADDRESS(INDEX($Y$2:$Y$1001,MATCH(ROWS($W$2:W927),$W$2:$W$1001,0),0),1)),INDEX($AB$2:$AB$1001,MATCH(ROWS($W$2:W927),$W$2:$W$1001,0),0)))</f>
        <v xml:space="preserve"> </v>
      </c>
      <c r="B927" s="4" t="str">
        <f ca="1">IF(OR(INDEX($X$2:$X$1001,MATCH(ROWS($W$2:W927),$W$2:$W$1001,0),1)&gt;=100000,INDEX($AD$1005:$AU$1005,1,MATCH(COLUMNS($AD$1006:AD1006),$AD$1006:$AU$1006,0))&gt;=100000), " ",IF(INDEX($AD$2:$AU$1001,MATCH(ROWS($W$2:W927),$W$2:$W$1001,0),MATCH(COLUMNS($AD$1006:AD1006),$AD$1006:$AU$1006,0)), HYPERLINK("#",""), HYPERLINK(CONCATENATE("#metadata!", ADDRESS(INDEX($Y$2:$Y$1001,MATCH(ROWS($W$2:W927),$W$2:$W$1001,0),0), INDEX($AD$1004:$AU$1004,1,MATCH(COLUMNS($AD$1006:AD1006),$AD$1006:$AU$1006,0)))),"Fix")))</f>
        <v xml:space="preserve"> </v>
      </c>
      <c r="C927" s="4" t="str">
        <f ca="1">IF(OR(INDEX($X$2:$X$1001,MATCH(ROWS($W$2:W927),$W$2:$W$1001,0),1)&gt;=100000,INDEX($AD$1005:$AU$1005,1,MATCH(COLUMNS($AD$1006:AE1006),$AD$1006:$AU$1006,0))&gt;=100000), " ",IF(INDEX($AD$2:$AU$1001,MATCH(ROWS($W$2:W927),$W$2:$W$1001,0),MATCH(COLUMNS($AD$1006:AE1006),$AD$1006:$AU$1006,0)), HYPERLINK("#",""), HYPERLINK(CONCATENATE("#metadata!", ADDRESS(INDEX($Y$2:$Y$1001,MATCH(ROWS($W$2:W927),$W$2:$W$1001,0),0), INDEX($AD$1004:$AU$1004,1,MATCH(COLUMNS($AD$1006:AE1006),$AD$1006:$AU$1006,0)))),"Fix")))</f>
        <v xml:space="preserve"> </v>
      </c>
      <c r="D927" s="4" t="str">
        <f ca="1">IF(OR(INDEX($X$2:$X$1001,MATCH(ROWS($W$2:W927),$W$2:$W$1001,0),1)&gt;=100000,INDEX($AD$1005:$AU$1005,1,MATCH(COLUMNS($AD$1006:AF1006),$AD$1006:$AU$1006,0))&gt;=100000), " ",IF(INDEX($AD$2:$AU$1001,MATCH(ROWS($W$2:W927),$W$2:$W$1001,0),MATCH(COLUMNS($AD$1006:AF1006),$AD$1006:$AU$1006,0)), HYPERLINK("#",""), HYPERLINK(CONCATENATE("#metadata!", ADDRESS(INDEX($Y$2:$Y$1001,MATCH(ROWS($W$2:W927),$W$2:$W$1001,0),0), INDEX($AD$1004:$AU$1004,1,MATCH(COLUMNS($AD$1006:AF1006),$AD$1006:$AU$1006,0)))),"Fix")))</f>
        <v xml:space="preserve"> </v>
      </c>
      <c r="E927" s="4" t="str">
        <f ca="1">IF(OR(INDEX($X$2:$X$1001,MATCH(ROWS($W$2:W927),$W$2:$W$1001,0),1)&gt;=100000,INDEX($AD$1005:$AU$1005,1,MATCH(COLUMNS($AD$1006:AG1006),$AD$1006:$AU$1006,0))&gt;=100000), " ",IF(INDEX($AD$2:$AU$1001,MATCH(ROWS($W$2:W927),$W$2:$W$1001,0),MATCH(COLUMNS($AD$1006:AG1006),$AD$1006:$AU$1006,0)), HYPERLINK("#",""), HYPERLINK(CONCATENATE("#metadata!", ADDRESS(INDEX($Y$2:$Y$1001,MATCH(ROWS($W$2:W927),$W$2:$W$1001,0),0), INDEX($AD$1004:$AU$1004,1,MATCH(COLUMNS($AD$1006:AG1006),$AD$1006:$AU$1006,0)))),"Fix")))</f>
        <v xml:space="preserve"> </v>
      </c>
      <c r="F927" s="4" t="str">
        <f ca="1">IF(OR(INDEX($X$2:$X$1001,MATCH(ROWS($W$2:W927),$W$2:$W$1001,0),1)&gt;=100000,INDEX($AD$1005:$AU$1005,1,MATCH(COLUMNS($AD$1006:AH1006),$AD$1006:$AU$1006,0))&gt;=100000), " ",IF(INDEX($AD$2:$AU$1001,MATCH(ROWS($W$2:W927),$W$2:$W$1001,0),MATCH(COLUMNS($AD$1006:AH1006),$AD$1006:$AU$1006,0)), HYPERLINK("#",""), HYPERLINK(CONCATENATE("#metadata!", ADDRESS(INDEX($Y$2:$Y$1001,MATCH(ROWS($W$2:W927),$W$2:$W$1001,0),0), INDEX($AD$1004:$AU$1004,1,MATCH(COLUMNS($AD$1006:AH1006),$AD$1006:$AU$1006,0)))),"Fix")))</f>
        <v xml:space="preserve"> </v>
      </c>
      <c r="G927" s="4" t="str">
        <f ca="1">IF(OR(INDEX($X$2:$X$1001,MATCH(ROWS($W$2:W927),$W$2:$W$1001,0),1)&gt;=100000,INDEX($AD$1005:$AU$1005,1,MATCH(COLUMNS($AD$1006:AI1006),$AD$1006:$AU$1006,0))&gt;=100000), " ",IF(INDEX($AD$2:$AU$1001,MATCH(ROWS($W$2:W927),$W$2:$W$1001,0),MATCH(COLUMNS($AD$1006:AI1006),$AD$1006:$AU$1006,0)), HYPERLINK("#",""), HYPERLINK(CONCATENATE("#metadata!", ADDRESS(INDEX($Y$2:$Y$1001,MATCH(ROWS($W$2:W927),$W$2:$W$1001,0),0), INDEX($AD$1004:$AU$1004,1,MATCH(COLUMNS($AD$1006:AI1006),$AD$1006:$AU$1006,0)))),"Fix")))</f>
        <v xml:space="preserve"> </v>
      </c>
      <c r="H927" s="4" t="str">
        <f ca="1">IF(OR(INDEX($X$2:$X$1001,MATCH(ROWS($W$2:W927),$W$2:$W$1001,0),1)&gt;=100000,INDEX($AD$1005:$AU$1005,1,MATCH(COLUMNS($AD$1006:AJ1006),$AD$1006:$AU$1006,0))&gt;=100000), " ",IF(INDEX($AD$2:$AU$1001,MATCH(ROWS($W$2:W927),$W$2:$W$1001,0),MATCH(COLUMNS($AD$1006:AJ1006),$AD$1006:$AU$1006,0)), HYPERLINK("#",""), HYPERLINK(CONCATENATE("#metadata!", ADDRESS(INDEX($Y$2:$Y$1001,MATCH(ROWS($W$2:W927),$W$2:$W$1001,0),0), INDEX($AD$1004:$AU$1004,1,MATCH(COLUMNS($AD$1006:AJ1006),$AD$1006:$AU$1006,0)))),"Fix")))</f>
        <v xml:space="preserve"> </v>
      </c>
      <c r="I927" s="4" t="str">
        <f ca="1">IF(OR(INDEX($X$2:$X$1001,MATCH(ROWS($W$2:W927),$W$2:$W$1001,0),1)&gt;=100000,INDEX($AD$1005:$AU$1005,1,MATCH(COLUMNS($AD$1006:AK1006),$AD$1006:$AU$1006,0))&gt;=100000), " ",IF(INDEX($AD$2:$AU$1001,MATCH(ROWS($W$2:W927),$W$2:$W$1001,0),MATCH(COLUMNS($AD$1006:AK1006),$AD$1006:$AU$1006,0)), HYPERLINK("#",""), HYPERLINK(CONCATENATE("#metadata!", ADDRESS(INDEX($Y$2:$Y$1001,MATCH(ROWS($W$2:W927),$W$2:$W$1001,0),0), INDEX($AD$1004:$AU$1004,1,MATCH(COLUMNS($AD$1006:AK1006),$AD$1006:$AU$1006,0)))),"Fix")))</f>
        <v xml:space="preserve"> </v>
      </c>
      <c r="J927" s="4" t="str">
        <f ca="1">IF(OR(INDEX($X$2:$X$1001,MATCH(ROWS($W$2:W927),$W$2:$W$1001,0),1)&gt;=100000,INDEX($AD$1005:$AU$1005,1,MATCH(COLUMNS($AD$1006:AL1006),$AD$1006:$AU$1006,0))&gt;=100000), " ",IF(INDEX($AD$2:$AU$1001,MATCH(ROWS($W$2:W927),$W$2:$W$1001,0),MATCH(COLUMNS($AD$1006:AL1006),$AD$1006:$AU$1006,0)), HYPERLINK("#",""), HYPERLINK(CONCATENATE("#metadata!", ADDRESS(INDEX($Y$2:$Y$1001,MATCH(ROWS($W$2:W927),$W$2:$W$1001,0),0), INDEX($AD$1004:$AU$1004,1,MATCH(COLUMNS($AD$1006:AL1006),$AD$1006:$AU$1006,0)))),"Fix")))</f>
        <v xml:space="preserve"> </v>
      </c>
      <c r="K927" s="4" t="str">
        <f ca="1">IF(OR(INDEX($X$2:$X$1001,MATCH(ROWS($W$2:W927),$W$2:$W$1001,0),1)&gt;=100000,INDEX($AD$1005:$AU$1005,1,MATCH(COLUMNS($AD$1006:AM1006),$AD$1006:$AU$1006,0))&gt;=100000), " ",IF(INDEX($AD$2:$AU$1001,MATCH(ROWS($W$2:W927),$W$2:$W$1001,0),MATCH(COLUMNS($AD$1006:AM1006),$AD$1006:$AU$1006,0)), HYPERLINK("#",""), HYPERLINK(CONCATENATE("#metadata!", ADDRESS(INDEX($Y$2:$Y$1001,MATCH(ROWS($W$2:W927),$W$2:$W$1001,0),0), INDEX($AD$1004:$AU$1004,1,MATCH(COLUMNS($AD$1006:AM1006),$AD$1006:$AU$1006,0)))),"Fix")))</f>
        <v xml:space="preserve"> </v>
      </c>
      <c r="L927" s="4" t="str">
        <f ca="1">IF(OR(INDEX($X$2:$X$1001,MATCH(ROWS($W$2:W927),$W$2:$W$1001,0),1)&gt;=100000,INDEX($AD$1005:$AU$1005,1,MATCH(COLUMNS($AD$1006:AN1006),$AD$1006:$AU$1006,0))&gt;=100000), " ",IF(INDEX($AD$2:$AU$1001,MATCH(ROWS($W$2:W927),$W$2:$W$1001,0),MATCH(COLUMNS($AD$1006:AN1006),$AD$1006:$AU$1006,0)), HYPERLINK("#",""), HYPERLINK(CONCATENATE("#metadata!", ADDRESS(INDEX($Y$2:$Y$1001,MATCH(ROWS($W$2:W927),$W$2:$W$1001,0),0), INDEX($AD$1004:$AU$1004,1,MATCH(COLUMNS($AD$1006:AN1006),$AD$1006:$AU$1006,0)))),"Fix")))</f>
        <v xml:space="preserve"> </v>
      </c>
      <c r="M927" s="4" t="str">
        <f ca="1">IF(OR(INDEX($X$2:$X$1001,MATCH(ROWS($W$2:W927),$W$2:$W$1001,0),1)&gt;=100000,INDEX($AD$1005:$AU$1005,1,MATCH(COLUMNS($AD$1006:AO1006),$AD$1006:$AU$1006,0))&gt;=100000), " ",IF(INDEX($AD$2:$AU$1001,MATCH(ROWS($W$2:W927),$W$2:$W$1001,0),MATCH(COLUMNS($AD$1006:AO1006),$AD$1006:$AU$1006,0)), HYPERLINK("#",""), HYPERLINK(CONCATENATE("#metadata!", ADDRESS(INDEX($Y$2:$Y$1001,MATCH(ROWS($W$2:W927),$W$2:$W$1001,0),0), INDEX($AD$1004:$AU$1004,1,MATCH(COLUMNS($AD$1006:AO1006),$AD$1006:$AU$1006,0)))),"Fix")))</f>
        <v xml:space="preserve"> </v>
      </c>
      <c r="N927" s="4" t="str">
        <f ca="1">IF(OR(INDEX($X$2:$X$1001,MATCH(ROWS($W$2:W927),$W$2:$W$1001,0),1)&gt;=100000,INDEX($AD$1005:$AU$1005,1,MATCH(COLUMNS($AD$1006:AP1006),$AD$1006:$AU$1006,0))&gt;=100000), " ",IF(INDEX($AD$2:$AU$1001,MATCH(ROWS($W$2:W927),$W$2:$W$1001,0),MATCH(COLUMNS($AD$1006:AP1006),$AD$1006:$AU$1006,0)), HYPERLINK("#",""), HYPERLINK(CONCATENATE("#metadata!", ADDRESS(INDEX($Y$2:$Y$1001,MATCH(ROWS($W$2:W927),$W$2:$W$1001,0),0), INDEX($AD$1004:$AU$1004,1,MATCH(COLUMNS($AD$1006:AP1006),$AD$1006:$AU$1006,0)))),"Fix")))</f>
        <v xml:space="preserve"> </v>
      </c>
      <c r="O927" s="4" t="str">
        <f ca="1">IF(OR(INDEX($X$2:$X$1001,MATCH(ROWS($W$2:W927),$W$2:$W$1001,0),1)&gt;=100000,INDEX($AD$1005:$AU$1005,1,MATCH(COLUMNS($AD$1006:AQ1006),$AD$1006:$AU$1006,0))&gt;=100000), " ",IF(INDEX($AD$2:$AU$1001,MATCH(ROWS($W$2:W927),$W$2:$W$1001,0),MATCH(COLUMNS($AD$1006:AQ1006),$AD$1006:$AU$1006,0)), HYPERLINK("#",""), HYPERLINK(CONCATENATE("#metadata!", ADDRESS(INDEX($Y$2:$Y$1001,MATCH(ROWS($W$2:W927),$W$2:$W$1001,0),0), INDEX($AD$1004:$AU$1004,1,MATCH(COLUMNS($AD$1006:AQ1006),$AD$1006:$AU$1006,0)))),"Fix")))</f>
        <v xml:space="preserve"> </v>
      </c>
      <c r="P927" s="4" t="str">
        <f ca="1">IF(OR(INDEX($X$2:$X$1001,MATCH(ROWS($W$2:W927),$W$2:$W$1001,0),1)&gt;=100000,INDEX($AD$1005:$AU$1005,1,MATCH(COLUMNS($AD$1006:AR1006),$AD$1006:$AU$1006,0))&gt;=100000), " ",IF(INDEX($AD$2:$AU$1001,MATCH(ROWS($W$2:W927),$W$2:$W$1001,0),MATCH(COLUMNS($AD$1006:AR1006),$AD$1006:$AU$1006,0)), HYPERLINK("#",""), HYPERLINK(CONCATENATE("#metadata!", ADDRESS(INDEX($Y$2:$Y$1001,MATCH(ROWS($W$2:W927),$W$2:$W$1001,0),0), INDEX($AD$1004:$AU$1004,1,MATCH(COLUMNS($AD$1006:AR1006),$AD$1006:$AU$1006,0)))),"Fix")))</f>
        <v xml:space="preserve"> </v>
      </c>
      <c r="Q927" s="4" t="str">
        <f ca="1">IF(OR(INDEX($X$2:$X$1001,MATCH(ROWS($W$2:W927),$W$2:$W$1001,0),1)&gt;=100000,INDEX($AD$1005:$AU$1005,1,MATCH(COLUMNS($AD$1006:AS1006),$AD$1006:$AU$1006,0))&gt;=100000), " ",IF(INDEX($AD$2:$AU$1001,MATCH(ROWS($W$2:W927),$W$2:$W$1001,0),MATCH(COLUMNS($AD$1006:AS1006),$AD$1006:$AU$1006,0)), HYPERLINK("#",""), HYPERLINK(CONCATENATE("#metadata!", ADDRESS(INDEX($Y$2:$Y$1001,MATCH(ROWS($W$2:W927),$W$2:$W$1001,0),0), INDEX($AD$1004:$AU$1004,1,MATCH(COLUMNS($AD$1006:AS1006),$AD$1006:$AU$1006,0)))),"Fix")))</f>
        <v xml:space="preserve"> </v>
      </c>
      <c r="R927" s="4" t="str">
        <f ca="1">IF(OR(INDEX($X$2:$X$1001,MATCH(ROWS($W$2:W927),$W$2:$W$1001,0),1)&gt;=100000,INDEX($AD$1005:$AU$1005,1,MATCH(COLUMNS($AD$1006:AT1006),$AD$1006:$AU$1006,0))&gt;=100000), " ",IF(INDEX($AD$2:$AU$1001,MATCH(ROWS($W$2:W927),$W$2:$W$1001,0),MATCH(COLUMNS($AD$1006:AT1006),$AD$1006:$AU$1006,0)), HYPERLINK("#",""), HYPERLINK(CONCATENATE("#metadata!", ADDRESS(INDEX($Y$2:$Y$1001,MATCH(ROWS($W$2:W927),$W$2:$W$1001,0),0), INDEX($AD$1004:$AU$1004,1,MATCH(COLUMNS($AD$1006:AT1006),$AD$1006:$AU$1006,0)))),"Fix")))</f>
        <v xml:space="preserve"> </v>
      </c>
      <c r="S927" s="4" t="str">
        <f ca="1">IF(OR(INDEX($X$2:$X$1001,MATCH(ROWS($W$2:W927),$W$2:$W$1001,0),1)&gt;=100000,INDEX($AD$1005:$AU$1005,1,MATCH(COLUMNS($AD$1006:AU1006),$AD$1006:$AU$1006,0))&gt;=100000), " ",IF(INDEX($AD$2:$AU$1001,MATCH(ROWS($W$2:W927),$W$2:$W$1001,0),MATCH(COLUMNS($AD$1006:AU1006),$AD$1006:$AU$1006,0)), HYPERLINK("#",""), HYPERLINK(CONCATENATE("#metadata!", ADDRESS(INDEX($Y$2:$Y$1001,MATCH(ROWS($W$2:W927),$W$2:$W$1001,0),0), INDEX($AD$1004:$AU$1004,1,MATCH(COLUMNS($AD$1006:AU1006),$AD$1006:$AU$1006,0)))),"Fix")))</f>
        <v xml:space="preserve"> </v>
      </c>
      <c r="W927">
        <v>926</v>
      </c>
      <c r="X927">
        <v>100927</v>
      </c>
      <c r="Y927">
        <v>927</v>
      </c>
      <c r="Z927" t="b">
        <f t="shared" si="14"/>
        <v>1</v>
      </c>
      <c r="AA927" t="b">
        <f>COUNTBLANK(metadata!B927:S927)=COLUMNS(metadata!B927:S927)</f>
        <v>1</v>
      </c>
      <c r="AB927" t="str">
        <v/>
      </c>
      <c r="AD927" t="b">
        <f ca="1">AND(IF(metadata!B927="",FALSE,TRUE),COUNTIF(metadata!B:B, metadata!B927) = 1,NOT(ISERROR(SUMPRODUCT(SEARCH(MID(metadata!B927,ROW(INDIRECT("1:"&amp;LEN(metadata!B927))), 1),"0123456789abcdefghijklmnopqrstuvwxyzABCDEFGHIJKLMNOPQRSTUVWXYZ.")))))</f>
        <v>0</v>
      </c>
      <c r="AE927" t="b">
        <f>OR(AND(IF(metadata!C927="",FALSE,TRUE),OR(EXACT(metadata!C927,"not applicable"),EXACT(metadata!C927,"missing: not collected"),EXACT(metadata!C927,"missing: not provided"),EXACT(metadata!C927,"missing: restricted access"))),AND(IF(metadata!C927="",FALSE,ISNUMBER(VALUE(metadata!C927))),metadata!C927&gt;0))</f>
        <v>0</v>
      </c>
      <c r="AF927" t="b">
        <f>AND(IF(metadata!D927="",FALSE,TRUE),EXACT(metadata!D927,"missing: not provided"))</f>
        <v>0</v>
      </c>
      <c r="AG927" t="b">
        <f>AND(IF(metadata!E927="",FALSE,TRUE),EXACT(metadata!E927,"Host-associated"))</f>
        <v>0</v>
      </c>
      <c r="AH927" t="b">
        <f>AND(IF(metadata!F927="",FALSE,TRUE),OR(EXACT(metadata!F927,"Animal"),EXACT(metadata!F927,"Fungus"),EXACT(metadata!F927,"Plant")))</f>
        <v>0</v>
      </c>
      <c r="AI927" t="b">
        <f>AND(IF(metadata!G927="",FALSE,TRUE),OR(EXACT(metadata!G927,"Plant secretion"),EXACT(metadata!G927,"Plant rhizosphere"),EXACT(metadata!G927,"Plant surface"),EXACT(metadata!G927,"Plant corpus"),EXACT(metadata!G927,"Fungus surface"),EXACT(metadata!G927,"Fungus corpus"),EXACT(metadata!G927,"Animal surface"),EXACT(metadata!G927,"Animal proximal gut"),EXACT(metadata!G927,"Animal corpus"),EXACT(metadata!G927,"Animal distal gut"),EXACT(metadata!G927,"Animal secretion")))</f>
        <v>0</v>
      </c>
      <c r="AJ927" t="b">
        <f>OR(AND(IF(metadata!H927="",FALSE,TRUE),OR(EXACT(metadata!H927,"missing: not collected"),EXACT(metadata!H927,"missing: not provided"),EXACT(metadata!H927,"missing: restricted access"))),AND(IF(metadata!H927="",FALSE,TRUE),OR(EXACT(metadata!H927,"organism-associated habitat"),EXACT(metadata!H927,"plant-associated habitat"),EXACT(metadata!H927,"animal-associated habitat"),EXACT(metadata!H927,"insecta-associated habitat"),EXACT(metadata!H927,"mammalia-associated habitat"),EXACT(metadata!H927,"human-associated habitat"),EXACT(metadata!H927,"livestock-associated habitat"))))</f>
        <v>0</v>
      </c>
      <c r="AK927" t="b">
        <f>AND(IF(metadata!I927="",FALSE,TRUE),EXACT(metadata!I927,"host-associated"))</f>
        <v>0</v>
      </c>
      <c r="AL927" t="b">
        <f>OR(AND(IF(metadata!J927="",FALSE,TRUE),OR(EXACT(metadata!J927,"not applicable"),EXACT(metadata!J927,"missing: not collected"),EXACT(metadata!J927,"missing: not provided"),EXACT(metadata!J927,"missing: restricted access"))),AND(IF(metadata!J927="",FALSE,ISNUMBER(VALUE(metadata!J927))),metadata!J927&gt;0))</f>
        <v>0</v>
      </c>
      <c r="AM927" t="b">
        <f>AND(IF(metadata!K927="",FALSE,TRUE),EXACT(metadata!K927,"missing: not provided"))</f>
        <v>0</v>
      </c>
      <c r="AN927" t="b">
        <f>IF(metadata!L927="",FALSE,TRUE)</f>
        <v>0</v>
      </c>
      <c r="AO927" t="b">
        <f>IF(metadata!M927="",FALSE,TRUE)</f>
        <v>0</v>
      </c>
      <c r="AP927" t="b">
        <f>OR(AND(IF(metadata!N927="",FALSE,TRUE),OR(EXACT(metadata!N927,"not applicable"),EXACT(metadata!N927,"missing: not collected"),EXACT(metadata!N927,"missing: not provided"))),AND(IF(metadata!N927="",FALSE,IF(ISERROR(INT(metadata!N927)),FALSE,INT(metadata!N927)=metadata!N927)),metadata!N927&gt;0))</f>
        <v>0</v>
      </c>
      <c r="AQ927" t="b">
        <f>AND(IF(metadata!O927="",FALSE,TRUE),EXACT(metadata!O927,"Not applicable"))</f>
        <v>0</v>
      </c>
      <c r="AR927" t="b">
        <f>OR(AND(IF(metadata!P927="",FALSE,TRUE),OR(EXACT(metadata!P927,"not applicable"),EXACT(metadata!P927,"missing: not collected"),EXACT(metadata!P927,"missing: not provided"),EXACT(metadata!P927,"missing: restricted access"))),IF(metadata!P927="",FALSE,IF(ISERROR(INT(metadata!P927)),FALSE,INT(metadata!P927)=metadata!P927)))</f>
        <v>0</v>
      </c>
      <c r="AS927" t="b">
        <f>AND(IF(metadata!Q927="",FALSE,TRUE),EXACT(metadata!Q927,"Not applicable"))</f>
        <v>0</v>
      </c>
      <c r="AT927" t="b">
        <f>OR(AND(IF(metadata!R927="",FALSE,TRUE),OR(EXACT(metadata!R927,"not applicable"),EXACT(metadata!R927,"missing: not collected"),EXACT(metadata!R927,"missing: not provided"),EXACT(metadata!R927,"missing: restricted access"))),AND(IF(metadata!R927="",FALSE,ISNUMBER(VALUE(metadata!R927))),metadata!R927&gt;0))</f>
        <v>0</v>
      </c>
      <c r="AU927" t="b">
        <f>AND(IF(metadata!S927="",FALSE,TRUE),EXACT(metadata!S927,"missing: not provided"))</f>
        <v>0</v>
      </c>
    </row>
    <row r="928" spans="1:47" x14ac:dyDescent="0.2">
      <c r="A928" s="5" t="str">
        <f ca="1">IF(B928=" "," ",HYPERLINK(CONCATENATE("#metadata!",ADDRESS(INDEX($Y$2:$Y$1001,MATCH(ROWS($W$2:W928),$W$2:$W$1001,0),0),1)),INDEX($AB$2:$AB$1001,MATCH(ROWS($W$2:W928),$W$2:$W$1001,0),0)))</f>
        <v xml:space="preserve"> </v>
      </c>
      <c r="B928" s="4" t="str">
        <f ca="1">IF(OR(INDEX($X$2:$X$1001,MATCH(ROWS($W$2:W928),$W$2:$W$1001,0),1)&gt;=100000,INDEX($AD$1005:$AU$1005,1,MATCH(COLUMNS($AD$1006:AD1006),$AD$1006:$AU$1006,0))&gt;=100000), " ",IF(INDEX($AD$2:$AU$1001,MATCH(ROWS($W$2:W928),$W$2:$W$1001,0),MATCH(COLUMNS($AD$1006:AD1006),$AD$1006:$AU$1006,0)), HYPERLINK("#",""), HYPERLINK(CONCATENATE("#metadata!", ADDRESS(INDEX($Y$2:$Y$1001,MATCH(ROWS($W$2:W928),$W$2:$W$1001,0),0), INDEX($AD$1004:$AU$1004,1,MATCH(COLUMNS($AD$1006:AD1006),$AD$1006:$AU$1006,0)))),"Fix")))</f>
        <v xml:space="preserve"> </v>
      </c>
      <c r="C928" s="4" t="str">
        <f ca="1">IF(OR(INDEX($X$2:$X$1001,MATCH(ROWS($W$2:W928),$W$2:$W$1001,0),1)&gt;=100000,INDEX($AD$1005:$AU$1005,1,MATCH(COLUMNS($AD$1006:AE1006),$AD$1006:$AU$1006,0))&gt;=100000), " ",IF(INDEX($AD$2:$AU$1001,MATCH(ROWS($W$2:W928),$W$2:$W$1001,0),MATCH(COLUMNS($AD$1006:AE1006),$AD$1006:$AU$1006,0)), HYPERLINK("#",""), HYPERLINK(CONCATENATE("#metadata!", ADDRESS(INDEX($Y$2:$Y$1001,MATCH(ROWS($W$2:W928),$W$2:$W$1001,0),0), INDEX($AD$1004:$AU$1004,1,MATCH(COLUMNS($AD$1006:AE1006),$AD$1006:$AU$1006,0)))),"Fix")))</f>
        <v xml:space="preserve"> </v>
      </c>
      <c r="D928" s="4" t="str">
        <f ca="1">IF(OR(INDEX($X$2:$X$1001,MATCH(ROWS($W$2:W928),$W$2:$W$1001,0),1)&gt;=100000,INDEX($AD$1005:$AU$1005,1,MATCH(COLUMNS($AD$1006:AF1006),$AD$1006:$AU$1006,0))&gt;=100000), " ",IF(INDEX($AD$2:$AU$1001,MATCH(ROWS($W$2:W928),$W$2:$W$1001,0),MATCH(COLUMNS($AD$1006:AF1006),$AD$1006:$AU$1006,0)), HYPERLINK("#",""), HYPERLINK(CONCATENATE("#metadata!", ADDRESS(INDEX($Y$2:$Y$1001,MATCH(ROWS($W$2:W928),$W$2:$W$1001,0),0), INDEX($AD$1004:$AU$1004,1,MATCH(COLUMNS($AD$1006:AF1006),$AD$1006:$AU$1006,0)))),"Fix")))</f>
        <v xml:space="preserve"> </v>
      </c>
      <c r="E928" s="4" t="str">
        <f ca="1">IF(OR(INDEX($X$2:$X$1001,MATCH(ROWS($W$2:W928),$W$2:$W$1001,0),1)&gt;=100000,INDEX($AD$1005:$AU$1005,1,MATCH(COLUMNS($AD$1006:AG1006),$AD$1006:$AU$1006,0))&gt;=100000), " ",IF(INDEX($AD$2:$AU$1001,MATCH(ROWS($W$2:W928),$W$2:$W$1001,0),MATCH(COLUMNS($AD$1006:AG1006),$AD$1006:$AU$1006,0)), HYPERLINK("#",""), HYPERLINK(CONCATENATE("#metadata!", ADDRESS(INDEX($Y$2:$Y$1001,MATCH(ROWS($W$2:W928),$W$2:$W$1001,0),0), INDEX($AD$1004:$AU$1004,1,MATCH(COLUMNS($AD$1006:AG1006),$AD$1006:$AU$1006,0)))),"Fix")))</f>
        <v xml:space="preserve"> </v>
      </c>
      <c r="F928" s="4" t="str">
        <f ca="1">IF(OR(INDEX($X$2:$X$1001,MATCH(ROWS($W$2:W928),$W$2:$W$1001,0),1)&gt;=100000,INDEX($AD$1005:$AU$1005,1,MATCH(COLUMNS($AD$1006:AH1006),$AD$1006:$AU$1006,0))&gt;=100000), " ",IF(INDEX($AD$2:$AU$1001,MATCH(ROWS($W$2:W928),$W$2:$W$1001,0),MATCH(COLUMNS($AD$1006:AH1006),$AD$1006:$AU$1006,0)), HYPERLINK("#",""), HYPERLINK(CONCATENATE("#metadata!", ADDRESS(INDEX($Y$2:$Y$1001,MATCH(ROWS($W$2:W928),$W$2:$W$1001,0),0), INDEX($AD$1004:$AU$1004,1,MATCH(COLUMNS($AD$1006:AH1006),$AD$1006:$AU$1006,0)))),"Fix")))</f>
        <v xml:space="preserve"> </v>
      </c>
      <c r="G928" s="4" t="str">
        <f ca="1">IF(OR(INDEX($X$2:$X$1001,MATCH(ROWS($W$2:W928),$W$2:$W$1001,0),1)&gt;=100000,INDEX($AD$1005:$AU$1005,1,MATCH(COLUMNS($AD$1006:AI1006),$AD$1006:$AU$1006,0))&gt;=100000), " ",IF(INDEX($AD$2:$AU$1001,MATCH(ROWS($W$2:W928),$W$2:$W$1001,0),MATCH(COLUMNS($AD$1006:AI1006),$AD$1006:$AU$1006,0)), HYPERLINK("#",""), HYPERLINK(CONCATENATE("#metadata!", ADDRESS(INDEX($Y$2:$Y$1001,MATCH(ROWS($W$2:W928),$W$2:$W$1001,0),0), INDEX($AD$1004:$AU$1004,1,MATCH(COLUMNS($AD$1006:AI1006),$AD$1006:$AU$1006,0)))),"Fix")))</f>
        <v xml:space="preserve"> </v>
      </c>
      <c r="H928" s="4" t="str">
        <f ca="1">IF(OR(INDEX($X$2:$X$1001,MATCH(ROWS($W$2:W928),$W$2:$W$1001,0),1)&gt;=100000,INDEX($AD$1005:$AU$1005,1,MATCH(COLUMNS($AD$1006:AJ1006),$AD$1006:$AU$1006,0))&gt;=100000), " ",IF(INDEX($AD$2:$AU$1001,MATCH(ROWS($W$2:W928),$W$2:$W$1001,0),MATCH(COLUMNS($AD$1006:AJ1006),$AD$1006:$AU$1006,0)), HYPERLINK("#",""), HYPERLINK(CONCATENATE("#metadata!", ADDRESS(INDEX($Y$2:$Y$1001,MATCH(ROWS($W$2:W928),$W$2:$W$1001,0),0), INDEX($AD$1004:$AU$1004,1,MATCH(COLUMNS($AD$1006:AJ1006),$AD$1006:$AU$1006,0)))),"Fix")))</f>
        <v xml:space="preserve"> </v>
      </c>
      <c r="I928" s="4" t="str">
        <f ca="1">IF(OR(INDEX($X$2:$X$1001,MATCH(ROWS($W$2:W928),$W$2:$W$1001,0),1)&gt;=100000,INDEX($AD$1005:$AU$1005,1,MATCH(COLUMNS($AD$1006:AK1006),$AD$1006:$AU$1006,0))&gt;=100000), " ",IF(INDEX($AD$2:$AU$1001,MATCH(ROWS($W$2:W928),$W$2:$W$1001,0),MATCH(COLUMNS($AD$1006:AK1006),$AD$1006:$AU$1006,0)), HYPERLINK("#",""), HYPERLINK(CONCATENATE("#metadata!", ADDRESS(INDEX($Y$2:$Y$1001,MATCH(ROWS($W$2:W928),$W$2:$W$1001,0),0), INDEX($AD$1004:$AU$1004,1,MATCH(COLUMNS($AD$1006:AK1006),$AD$1006:$AU$1006,0)))),"Fix")))</f>
        <v xml:space="preserve"> </v>
      </c>
      <c r="J928" s="4" t="str">
        <f ca="1">IF(OR(INDEX($X$2:$X$1001,MATCH(ROWS($W$2:W928),$W$2:$W$1001,0),1)&gt;=100000,INDEX($AD$1005:$AU$1005,1,MATCH(COLUMNS($AD$1006:AL1006),$AD$1006:$AU$1006,0))&gt;=100000), " ",IF(INDEX($AD$2:$AU$1001,MATCH(ROWS($W$2:W928),$W$2:$W$1001,0),MATCH(COLUMNS($AD$1006:AL1006),$AD$1006:$AU$1006,0)), HYPERLINK("#",""), HYPERLINK(CONCATENATE("#metadata!", ADDRESS(INDEX($Y$2:$Y$1001,MATCH(ROWS($W$2:W928),$W$2:$W$1001,0),0), INDEX($AD$1004:$AU$1004,1,MATCH(COLUMNS($AD$1006:AL1006),$AD$1006:$AU$1006,0)))),"Fix")))</f>
        <v xml:space="preserve"> </v>
      </c>
      <c r="K928" s="4" t="str">
        <f ca="1">IF(OR(INDEX($X$2:$X$1001,MATCH(ROWS($W$2:W928),$W$2:$W$1001,0),1)&gt;=100000,INDEX($AD$1005:$AU$1005,1,MATCH(COLUMNS($AD$1006:AM1006),$AD$1006:$AU$1006,0))&gt;=100000), " ",IF(INDEX($AD$2:$AU$1001,MATCH(ROWS($W$2:W928),$W$2:$W$1001,0),MATCH(COLUMNS($AD$1006:AM1006),$AD$1006:$AU$1006,0)), HYPERLINK("#",""), HYPERLINK(CONCATENATE("#metadata!", ADDRESS(INDEX($Y$2:$Y$1001,MATCH(ROWS($W$2:W928),$W$2:$W$1001,0),0), INDEX($AD$1004:$AU$1004,1,MATCH(COLUMNS($AD$1006:AM1006),$AD$1006:$AU$1006,0)))),"Fix")))</f>
        <v xml:space="preserve"> </v>
      </c>
      <c r="L928" s="4" t="str">
        <f ca="1">IF(OR(INDEX($X$2:$X$1001,MATCH(ROWS($W$2:W928),$W$2:$W$1001,0),1)&gt;=100000,INDEX($AD$1005:$AU$1005,1,MATCH(COLUMNS($AD$1006:AN1006),$AD$1006:$AU$1006,0))&gt;=100000), " ",IF(INDEX($AD$2:$AU$1001,MATCH(ROWS($W$2:W928),$W$2:$W$1001,0),MATCH(COLUMNS($AD$1006:AN1006),$AD$1006:$AU$1006,0)), HYPERLINK("#",""), HYPERLINK(CONCATENATE("#metadata!", ADDRESS(INDEX($Y$2:$Y$1001,MATCH(ROWS($W$2:W928),$W$2:$W$1001,0),0), INDEX($AD$1004:$AU$1004,1,MATCH(COLUMNS($AD$1006:AN1006),$AD$1006:$AU$1006,0)))),"Fix")))</f>
        <v xml:space="preserve"> </v>
      </c>
      <c r="M928" s="4" t="str">
        <f ca="1">IF(OR(INDEX($X$2:$X$1001,MATCH(ROWS($W$2:W928),$W$2:$W$1001,0),1)&gt;=100000,INDEX($AD$1005:$AU$1005,1,MATCH(COLUMNS($AD$1006:AO1006),$AD$1006:$AU$1006,0))&gt;=100000), " ",IF(INDEX($AD$2:$AU$1001,MATCH(ROWS($W$2:W928),$W$2:$W$1001,0),MATCH(COLUMNS($AD$1006:AO1006),$AD$1006:$AU$1006,0)), HYPERLINK("#",""), HYPERLINK(CONCATENATE("#metadata!", ADDRESS(INDEX($Y$2:$Y$1001,MATCH(ROWS($W$2:W928),$W$2:$W$1001,0),0), INDEX($AD$1004:$AU$1004,1,MATCH(COLUMNS($AD$1006:AO1006),$AD$1006:$AU$1006,0)))),"Fix")))</f>
        <v xml:space="preserve"> </v>
      </c>
      <c r="N928" s="4" t="str">
        <f ca="1">IF(OR(INDEX($X$2:$X$1001,MATCH(ROWS($W$2:W928),$W$2:$W$1001,0),1)&gt;=100000,INDEX($AD$1005:$AU$1005,1,MATCH(COLUMNS($AD$1006:AP1006),$AD$1006:$AU$1006,0))&gt;=100000), " ",IF(INDEX($AD$2:$AU$1001,MATCH(ROWS($W$2:W928),$W$2:$W$1001,0),MATCH(COLUMNS($AD$1006:AP1006),$AD$1006:$AU$1006,0)), HYPERLINK("#",""), HYPERLINK(CONCATENATE("#metadata!", ADDRESS(INDEX($Y$2:$Y$1001,MATCH(ROWS($W$2:W928),$W$2:$W$1001,0),0), INDEX($AD$1004:$AU$1004,1,MATCH(COLUMNS($AD$1006:AP1006),$AD$1006:$AU$1006,0)))),"Fix")))</f>
        <v xml:space="preserve"> </v>
      </c>
      <c r="O928" s="4" t="str">
        <f ca="1">IF(OR(INDEX($X$2:$X$1001,MATCH(ROWS($W$2:W928),$W$2:$W$1001,0),1)&gt;=100000,INDEX($AD$1005:$AU$1005,1,MATCH(COLUMNS($AD$1006:AQ1006),$AD$1006:$AU$1006,0))&gt;=100000), " ",IF(INDEX($AD$2:$AU$1001,MATCH(ROWS($W$2:W928),$W$2:$W$1001,0),MATCH(COLUMNS($AD$1006:AQ1006),$AD$1006:$AU$1006,0)), HYPERLINK("#",""), HYPERLINK(CONCATENATE("#metadata!", ADDRESS(INDEX($Y$2:$Y$1001,MATCH(ROWS($W$2:W928),$W$2:$W$1001,0),0), INDEX($AD$1004:$AU$1004,1,MATCH(COLUMNS($AD$1006:AQ1006),$AD$1006:$AU$1006,0)))),"Fix")))</f>
        <v xml:space="preserve"> </v>
      </c>
      <c r="P928" s="4" t="str">
        <f ca="1">IF(OR(INDEX($X$2:$X$1001,MATCH(ROWS($W$2:W928),$W$2:$W$1001,0),1)&gt;=100000,INDEX($AD$1005:$AU$1005,1,MATCH(COLUMNS($AD$1006:AR1006),$AD$1006:$AU$1006,0))&gt;=100000), " ",IF(INDEX($AD$2:$AU$1001,MATCH(ROWS($W$2:W928),$W$2:$W$1001,0),MATCH(COLUMNS($AD$1006:AR1006),$AD$1006:$AU$1006,0)), HYPERLINK("#",""), HYPERLINK(CONCATENATE("#metadata!", ADDRESS(INDEX($Y$2:$Y$1001,MATCH(ROWS($W$2:W928),$W$2:$W$1001,0),0), INDEX($AD$1004:$AU$1004,1,MATCH(COLUMNS($AD$1006:AR1006),$AD$1006:$AU$1006,0)))),"Fix")))</f>
        <v xml:space="preserve"> </v>
      </c>
      <c r="Q928" s="4" t="str">
        <f ca="1">IF(OR(INDEX($X$2:$X$1001,MATCH(ROWS($W$2:W928),$W$2:$W$1001,0),1)&gt;=100000,INDEX($AD$1005:$AU$1005,1,MATCH(COLUMNS($AD$1006:AS1006),$AD$1006:$AU$1006,0))&gt;=100000), " ",IF(INDEX($AD$2:$AU$1001,MATCH(ROWS($W$2:W928),$W$2:$W$1001,0),MATCH(COLUMNS($AD$1006:AS1006),$AD$1006:$AU$1006,0)), HYPERLINK("#",""), HYPERLINK(CONCATENATE("#metadata!", ADDRESS(INDEX($Y$2:$Y$1001,MATCH(ROWS($W$2:W928),$W$2:$W$1001,0),0), INDEX($AD$1004:$AU$1004,1,MATCH(COLUMNS($AD$1006:AS1006),$AD$1006:$AU$1006,0)))),"Fix")))</f>
        <v xml:space="preserve"> </v>
      </c>
      <c r="R928" s="4" t="str">
        <f ca="1">IF(OR(INDEX($X$2:$X$1001,MATCH(ROWS($W$2:W928),$W$2:$W$1001,0),1)&gt;=100000,INDEX($AD$1005:$AU$1005,1,MATCH(COLUMNS($AD$1006:AT1006),$AD$1006:$AU$1006,0))&gt;=100000), " ",IF(INDEX($AD$2:$AU$1001,MATCH(ROWS($W$2:W928),$W$2:$W$1001,0),MATCH(COLUMNS($AD$1006:AT1006),$AD$1006:$AU$1006,0)), HYPERLINK("#",""), HYPERLINK(CONCATENATE("#metadata!", ADDRESS(INDEX($Y$2:$Y$1001,MATCH(ROWS($W$2:W928),$W$2:$W$1001,0),0), INDEX($AD$1004:$AU$1004,1,MATCH(COLUMNS($AD$1006:AT1006),$AD$1006:$AU$1006,0)))),"Fix")))</f>
        <v xml:space="preserve"> </v>
      </c>
      <c r="S928" s="4" t="str">
        <f ca="1">IF(OR(INDEX($X$2:$X$1001,MATCH(ROWS($W$2:W928),$W$2:$W$1001,0),1)&gt;=100000,INDEX($AD$1005:$AU$1005,1,MATCH(COLUMNS($AD$1006:AU1006),$AD$1006:$AU$1006,0))&gt;=100000), " ",IF(INDEX($AD$2:$AU$1001,MATCH(ROWS($W$2:W928),$W$2:$W$1001,0),MATCH(COLUMNS($AD$1006:AU1006),$AD$1006:$AU$1006,0)), HYPERLINK("#",""), HYPERLINK(CONCATENATE("#metadata!", ADDRESS(INDEX($Y$2:$Y$1001,MATCH(ROWS($W$2:W928),$W$2:$W$1001,0),0), INDEX($AD$1004:$AU$1004,1,MATCH(COLUMNS($AD$1006:AU1006),$AD$1006:$AU$1006,0)))),"Fix")))</f>
        <v xml:space="preserve"> </v>
      </c>
      <c r="W928">
        <v>927</v>
      </c>
      <c r="X928">
        <v>100928</v>
      </c>
      <c r="Y928">
        <v>928</v>
      </c>
      <c r="Z928" t="b">
        <f t="shared" si="14"/>
        <v>1</v>
      </c>
      <c r="AA928" t="b">
        <f>COUNTBLANK(metadata!B928:S928)=COLUMNS(metadata!B928:S928)</f>
        <v>1</v>
      </c>
      <c r="AB928" t="str">
        <v/>
      </c>
      <c r="AD928" t="b">
        <f ca="1">AND(IF(metadata!B928="",FALSE,TRUE),COUNTIF(metadata!B:B, metadata!B928) = 1,NOT(ISERROR(SUMPRODUCT(SEARCH(MID(metadata!B928,ROW(INDIRECT("1:"&amp;LEN(metadata!B928))), 1),"0123456789abcdefghijklmnopqrstuvwxyzABCDEFGHIJKLMNOPQRSTUVWXYZ.")))))</f>
        <v>0</v>
      </c>
      <c r="AE928" t="b">
        <f>OR(AND(IF(metadata!C928="",FALSE,TRUE),OR(EXACT(metadata!C928,"not applicable"),EXACT(metadata!C928,"missing: not collected"),EXACT(metadata!C928,"missing: not provided"),EXACT(metadata!C928,"missing: restricted access"))),AND(IF(metadata!C928="",FALSE,ISNUMBER(VALUE(metadata!C928))),metadata!C928&gt;0))</f>
        <v>0</v>
      </c>
      <c r="AF928" t="b">
        <f>AND(IF(metadata!D928="",FALSE,TRUE),EXACT(metadata!D928,"missing: not provided"))</f>
        <v>0</v>
      </c>
      <c r="AG928" t="b">
        <f>AND(IF(metadata!E928="",FALSE,TRUE),EXACT(metadata!E928,"Host-associated"))</f>
        <v>0</v>
      </c>
      <c r="AH928" t="b">
        <f>AND(IF(metadata!F928="",FALSE,TRUE),OR(EXACT(metadata!F928,"Animal"),EXACT(metadata!F928,"Fungus"),EXACT(metadata!F928,"Plant")))</f>
        <v>0</v>
      </c>
      <c r="AI928" t="b">
        <f>AND(IF(metadata!G928="",FALSE,TRUE),OR(EXACT(metadata!G928,"Plant secretion"),EXACT(metadata!G928,"Plant rhizosphere"),EXACT(metadata!G928,"Plant surface"),EXACT(metadata!G928,"Plant corpus"),EXACT(metadata!G928,"Fungus surface"),EXACT(metadata!G928,"Fungus corpus"),EXACT(metadata!G928,"Animal surface"),EXACT(metadata!G928,"Animal proximal gut"),EXACT(metadata!G928,"Animal corpus"),EXACT(metadata!G928,"Animal distal gut"),EXACT(metadata!G928,"Animal secretion")))</f>
        <v>0</v>
      </c>
      <c r="AJ928" t="b">
        <f>OR(AND(IF(metadata!H928="",FALSE,TRUE),OR(EXACT(metadata!H928,"missing: not collected"),EXACT(metadata!H928,"missing: not provided"),EXACT(metadata!H928,"missing: restricted access"))),AND(IF(metadata!H928="",FALSE,TRUE),OR(EXACT(metadata!H928,"organism-associated habitat"),EXACT(metadata!H928,"plant-associated habitat"),EXACT(metadata!H928,"animal-associated habitat"),EXACT(metadata!H928,"insecta-associated habitat"),EXACT(metadata!H928,"mammalia-associated habitat"),EXACT(metadata!H928,"human-associated habitat"),EXACT(metadata!H928,"livestock-associated habitat"))))</f>
        <v>0</v>
      </c>
      <c r="AK928" t="b">
        <f>AND(IF(metadata!I928="",FALSE,TRUE),EXACT(metadata!I928,"host-associated"))</f>
        <v>0</v>
      </c>
      <c r="AL928" t="b">
        <f>OR(AND(IF(metadata!J928="",FALSE,TRUE),OR(EXACT(metadata!J928,"not applicable"),EXACT(metadata!J928,"missing: not collected"),EXACT(metadata!J928,"missing: not provided"),EXACT(metadata!J928,"missing: restricted access"))),AND(IF(metadata!J928="",FALSE,ISNUMBER(VALUE(metadata!J928))),metadata!J928&gt;0))</f>
        <v>0</v>
      </c>
      <c r="AM928" t="b">
        <f>AND(IF(metadata!K928="",FALSE,TRUE),EXACT(metadata!K928,"missing: not provided"))</f>
        <v>0</v>
      </c>
      <c r="AN928" t="b">
        <f>IF(metadata!L928="",FALSE,TRUE)</f>
        <v>0</v>
      </c>
      <c r="AO928" t="b">
        <f>IF(metadata!M928="",FALSE,TRUE)</f>
        <v>0</v>
      </c>
      <c r="AP928" t="b">
        <f>OR(AND(IF(metadata!N928="",FALSE,TRUE),OR(EXACT(metadata!N928,"not applicable"),EXACT(metadata!N928,"missing: not collected"),EXACT(metadata!N928,"missing: not provided"))),AND(IF(metadata!N928="",FALSE,IF(ISERROR(INT(metadata!N928)),FALSE,INT(metadata!N928)=metadata!N928)),metadata!N928&gt;0))</f>
        <v>0</v>
      </c>
      <c r="AQ928" t="b">
        <f>AND(IF(metadata!O928="",FALSE,TRUE),EXACT(metadata!O928,"Not applicable"))</f>
        <v>0</v>
      </c>
      <c r="AR928" t="b">
        <f>OR(AND(IF(metadata!P928="",FALSE,TRUE),OR(EXACT(metadata!P928,"not applicable"),EXACT(metadata!P928,"missing: not collected"),EXACT(metadata!P928,"missing: not provided"),EXACT(metadata!P928,"missing: restricted access"))),IF(metadata!P928="",FALSE,IF(ISERROR(INT(metadata!P928)),FALSE,INT(metadata!P928)=metadata!P928)))</f>
        <v>0</v>
      </c>
      <c r="AS928" t="b">
        <f>AND(IF(metadata!Q928="",FALSE,TRUE),EXACT(metadata!Q928,"Not applicable"))</f>
        <v>0</v>
      </c>
      <c r="AT928" t="b">
        <f>OR(AND(IF(metadata!R928="",FALSE,TRUE),OR(EXACT(metadata!R928,"not applicable"),EXACT(metadata!R928,"missing: not collected"),EXACT(metadata!R928,"missing: not provided"),EXACT(metadata!R928,"missing: restricted access"))),AND(IF(metadata!R928="",FALSE,ISNUMBER(VALUE(metadata!R928))),metadata!R928&gt;0))</f>
        <v>0</v>
      </c>
      <c r="AU928" t="b">
        <f>AND(IF(metadata!S928="",FALSE,TRUE),EXACT(metadata!S928,"missing: not provided"))</f>
        <v>0</v>
      </c>
    </row>
    <row r="929" spans="1:47" x14ac:dyDescent="0.2">
      <c r="A929" s="5" t="str">
        <f ca="1">IF(B929=" "," ",HYPERLINK(CONCATENATE("#metadata!",ADDRESS(INDEX($Y$2:$Y$1001,MATCH(ROWS($W$2:W929),$W$2:$W$1001,0),0),1)),INDEX($AB$2:$AB$1001,MATCH(ROWS($W$2:W929),$W$2:$W$1001,0),0)))</f>
        <v xml:space="preserve"> </v>
      </c>
      <c r="B929" s="4" t="str">
        <f ca="1">IF(OR(INDEX($X$2:$X$1001,MATCH(ROWS($W$2:W929),$W$2:$W$1001,0),1)&gt;=100000,INDEX($AD$1005:$AU$1005,1,MATCH(COLUMNS($AD$1006:AD1006),$AD$1006:$AU$1006,0))&gt;=100000), " ",IF(INDEX($AD$2:$AU$1001,MATCH(ROWS($W$2:W929),$W$2:$W$1001,0),MATCH(COLUMNS($AD$1006:AD1006),$AD$1006:$AU$1006,0)), HYPERLINK("#",""), HYPERLINK(CONCATENATE("#metadata!", ADDRESS(INDEX($Y$2:$Y$1001,MATCH(ROWS($W$2:W929),$W$2:$W$1001,0),0), INDEX($AD$1004:$AU$1004,1,MATCH(COLUMNS($AD$1006:AD1006),$AD$1006:$AU$1006,0)))),"Fix")))</f>
        <v xml:space="preserve"> </v>
      </c>
      <c r="C929" s="4" t="str">
        <f ca="1">IF(OR(INDEX($X$2:$X$1001,MATCH(ROWS($W$2:W929),$W$2:$W$1001,0),1)&gt;=100000,INDEX($AD$1005:$AU$1005,1,MATCH(COLUMNS($AD$1006:AE1006),$AD$1006:$AU$1006,0))&gt;=100000), " ",IF(INDEX($AD$2:$AU$1001,MATCH(ROWS($W$2:W929),$W$2:$W$1001,0),MATCH(COLUMNS($AD$1006:AE1006),$AD$1006:$AU$1006,0)), HYPERLINK("#",""), HYPERLINK(CONCATENATE("#metadata!", ADDRESS(INDEX($Y$2:$Y$1001,MATCH(ROWS($W$2:W929),$W$2:$W$1001,0),0), INDEX($AD$1004:$AU$1004,1,MATCH(COLUMNS($AD$1006:AE1006),$AD$1006:$AU$1006,0)))),"Fix")))</f>
        <v xml:space="preserve"> </v>
      </c>
      <c r="D929" s="4" t="str">
        <f ca="1">IF(OR(INDEX($X$2:$X$1001,MATCH(ROWS($W$2:W929),$W$2:$W$1001,0),1)&gt;=100000,INDEX($AD$1005:$AU$1005,1,MATCH(COLUMNS($AD$1006:AF1006),$AD$1006:$AU$1006,0))&gt;=100000), " ",IF(INDEX($AD$2:$AU$1001,MATCH(ROWS($W$2:W929),$W$2:$W$1001,0),MATCH(COLUMNS($AD$1006:AF1006),$AD$1006:$AU$1006,0)), HYPERLINK("#",""), HYPERLINK(CONCATENATE("#metadata!", ADDRESS(INDEX($Y$2:$Y$1001,MATCH(ROWS($W$2:W929),$W$2:$W$1001,0),0), INDEX($AD$1004:$AU$1004,1,MATCH(COLUMNS($AD$1006:AF1006),$AD$1006:$AU$1006,0)))),"Fix")))</f>
        <v xml:space="preserve"> </v>
      </c>
      <c r="E929" s="4" t="str">
        <f ca="1">IF(OR(INDEX($X$2:$X$1001,MATCH(ROWS($W$2:W929),$W$2:$W$1001,0),1)&gt;=100000,INDEX($AD$1005:$AU$1005,1,MATCH(COLUMNS($AD$1006:AG1006),$AD$1006:$AU$1006,0))&gt;=100000), " ",IF(INDEX($AD$2:$AU$1001,MATCH(ROWS($W$2:W929),$W$2:$W$1001,0),MATCH(COLUMNS($AD$1006:AG1006),$AD$1006:$AU$1006,0)), HYPERLINK("#",""), HYPERLINK(CONCATENATE("#metadata!", ADDRESS(INDEX($Y$2:$Y$1001,MATCH(ROWS($W$2:W929),$W$2:$W$1001,0),0), INDEX($AD$1004:$AU$1004,1,MATCH(COLUMNS($AD$1006:AG1006),$AD$1006:$AU$1006,0)))),"Fix")))</f>
        <v xml:space="preserve"> </v>
      </c>
      <c r="F929" s="4" t="str">
        <f ca="1">IF(OR(INDEX($X$2:$X$1001,MATCH(ROWS($W$2:W929),$W$2:$W$1001,0),1)&gt;=100000,INDEX($AD$1005:$AU$1005,1,MATCH(COLUMNS($AD$1006:AH1006),$AD$1006:$AU$1006,0))&gt;=100000), " ",IF(INDEX($AD$2:$AU$1001,MATCH(ROWS($W$2:W929),$W$2:$W$1001,0),MATCH(COLUMNS($AD$1006:AH1006),$AD$1006:$AU$1006,0)), HYPERLINK("#",""), HYPERLINK(CONCATENATE("#metadata!", ADDRESS(INDEX($Y$2:$Y$1001,MATCH(ROWS($W$2:W929),$W$2:$W$1001,0),0), INDEX($AD$1004:$AU$1004,1,MATCH(COLUMNS($AD$1006:AH1006),$AD$1006:$AU$1006,0)))),"Fix")))</f>
        <v xml:space="preserve"> </v>
      </c>
      <c r="G929" s="4" t="str">
        <f ca="1">IF(OR(INDEX($X$2:$X$1001,MATCH(ROWS($W$2:W929),$W$2:$W$1001,0),1)&gt;=100000,INDEX($AD$1005:$AU$1005,1,MATCH(COLUMNS($AD$1006:AI1006),$AD$1006:$AU$1006,0))&gt;=100000), " ",IF(INDEX($AD$2:$AU$1001,MATCH(ROWS($W$2:W929),$W$2:$W$1001,0),MATCH(COLUMNS($AD$1006:AI1006),$AD$1006:$AU$1006,0)), HYPERLINK("#",""), HYPERLINK(CONCATENATE("#metadata!", ADDRESS(INDEX($Y$2:$Y$1001,MATCH(ROWS($W$2:W929),$W$2:$W$1001,0),0), INDEX($AD$1004:$AU$1004,1,MATCH(COLUMNS($AD$1006:AI1006),$AD$1006:$AU$1006,0)))),"Fix")))</f>
        <v xml:space="preserve"> </v>
      </c>
      <c r="H929" s="4" t="str">
        <f ca="1">IF(OR(INDEX($X$2:$X$1001,MATCH(ROWS($W$2:W929),$W$2:$W$1001,0),1)&gt;=100000,INDEX($AD$1005:$AU$1005,1,MATCH(COLUMNS($AD$1006:AJ1006),$AD$1006:$AU$1006,0))&gt;=100000), " ",IF(INDEX($AD$2:$AU$1001,MATCH(ROWS($W$2:W929),$W$2:$W$1001,0),MATCH(COLUMNS($AD$1006:AJ1006),$AD$1006:$AU$1006,0)), HYPERLINK("#",""), HYPERLINK(CONCATENATE("#metadata!", ADDRESS(INDEX($Y$2:$Y$1001,MATCH(ROWS($W$2:W929),$W$2:$W$1001,0),0), INDEX($AD$1004:$AU$1004,1,MATCH(COLUMNS($AD$1006:AJ1006),$AD$1006:$AU$1006,0)))),"Fix")))</f>
        <v xml:space="preserve"> </v>
      </c>
      <c r="I929" s="4" t="str">
        <f ca="1">IF(OR(INDEX($X$2:$X$1001,MATCH(ROWS($W$2:W929),$W$2:$W$1001,0),1)&gt;=100000,INDEX($AD$1005:$AU$1005,1,MATCH(COLUMNS($AD$1006:AK1006),$AD$1006:$AU$1006,0))&gt;=100000), " ",IF(INDEX($AD$2:$AU$1001,MATCH(ROWS($W$2:W929),$W$2:$W$1001,0),MATCH(COLUMNS($AD$1006:AK1006),$AD$1006:$AU$1006,0)), HYPERLINK("#",""), HYPERLINK(CONCATENATE("#metadata!", ADDRESS(INDEX($Y$2:$Y$1001,MATCH(ROWS($W$2:W929),$W$2:$W$1001,0),0), INDEX($AD$1004:$AU$1004,1,MATCH(COLUMNS($AD$1006:AK1006),$AD$1006:$AU$1006,0)))),"Fix")))</f>
        <v xml:space="preserve"> </v>
      </c>
      <c r="J929" s="4" t="str">
        <f ca="1">IF(OR(INDEX($X$2:$X$1001,MATCH(ROWS($W$2:W929),$W$2:$W$1001,0),1)&gt;=100000,INDEX($AD$1005:$AU$1005,1,MATCH(COLUMNS($AD$1006:AL1006),$AD$1006:$AU$1006,0))&gt;=100000), " ",IF(INDEX($AD$2:$AU$1001,MATCH(ROWS($W$2:W929),$W$2:$W$1001,0),MATCH(COLUMNS($AD$1006:AL1006),$AD$1006:$AU$1006,0)), HYPERLINK("#",""), HYPERLINK(CONCATENATE("#metadata!", ADDRESS(INDEX($Y$2:$Y$1001,MATCH(ROWS($W$2:W929),$W$2:$W$1001,0),0), INDEX($AD$1004:$AU$1004,1,MATCH(COLUMNS($AD$1006:AL1006),$AD$1006:$AU$1006,0)))),"Fix")))</f>
        <v xml:space="preserve"> </v>
      </c>
      <c r="K929" s="4" t="str">
        <f ca="1">IF(OR(INDEX($X$2:$X$1001,MATCH(ROWS($W$2:W929),$W$2:$W$1001,0),1)&gt;=100000,INDEX($AD$1005:$AU$1005,1,MATCH(COLUMNS($AD$1006:AM1006),$AD$1006:$AU$1006,0))&gt;=100000), " ",IF(INDEX($AD$2:$AU$1001,MATCH(ROWS($W$2:W929),$W$2:$W$1001,0),MATCH(COLUMNS($AD$1006:AM1006),$AD$1006:$AU$1006,0)), HYPERLINK("#",""), HYPERLINK(CONCATENATE("#metadata!", ADDRESS(INDEX($Y$2:$Y$1001,MATCH(ROWS($W$2:W929),$W$2:$W$1001,0),0), INDEX($AD$1004:$AU$1004,1,MATCH(COLUMNS($AD$1006:AM1006),$AD$1006:$AU$1006,0)))),"Fix")))</f>
        <v xml:space="preserve"> </v>
      </c>
      <c r="L929" s="4" t="str">
        <f ca="1">IF(OR(INDEX($X$2:$X$1001,MATCH(ROWS($W$2:W929),$W$2:$W$1001,0),1)&gt;=100000,INDEX($AD$1005:$AU$1005,1,MATCH(COLUMNS($AD$1006:AN1006),$AD$1006:$AU$1006,0))&gt;=100000), " ",IF(INDEX($AD$2:$AU$1001,MATCH(ROWS($W$2:W929),$W$2:$W$1001,0),MATCH(COLUMNS($AD$1006:AN1006),$AD$1006:$AU$1006,0)), HYPERLINK("#",""), HYPERLINK(CONCATENATE("#metadata!", ADDRESS(INDEX($Y$2:$Y$1001,MATCH(ROWS($W$2:W929),$W$2:$W$1001,0),0), INDEX($AD$1004:$AU$1004,1,MATCH(COLUMNS($AD$1006:AN1006),$AD$1006:$AU$1006,0)))),"Fix")))</f>
        <v xml:space="preserve"> </v>
      </c>
      <c r="M929" s="4" t="str">
        <f ca="1">IF(OR(INDEX($X$2:$X$1001,MATCH(ROWS($W$2:W929),$W$2:$W$1001,0),1)&gt;=100000,INDEX($AD$1005:$AU$1005,1,MATCH(COLUMNS($AD$1006:AO1006),$AD$1006:$AU$1006,0))&gt;=100000), " ",IF(INDEX($AD$2:$AU$1001,MATCH(ROWS($W$2:W929),$W$2:$W$1001,0),MATCH(COLUMNS($AD$1006:AO1006),$AD$1006:$AU$1006,0)), HYPERLINK("#",""), HYPERLINK(CONCATENATE("#metadata!", ADDRESS(INDEX($Y$2:$Y$1001,MATCH(ROWS($W$2:W929),$W$2:$W$1001,0),0), INDEX($AD$1004:$AU$1004,1,MATCH(COLUMNS($AD$1006:AO1006),$AD$1006:$AU$1006,0)))),"Fix")))</f>
        <v xml:space="preserve"> </v>
      </c>
      <c r="N929" s="4" t="str">
        <f ca="1">IF(OR(INDEX($X$2:$X$1001,MATCH(ROWS($W$2:W929),$W$2:$W$1001,0),1)&gt;=100000,INDEX($AD$1005:$AU$1005,1,MATCH(COLUMNS($AD$1006:AP1006),$AD$1006:$AU$1006,0))&gt;=100000), " ",IF(INDEX($AD$2:$AU$1001,MATCH(ROWS($W$2:W929),$W$2:$W$1001,0),MATCH(COLUMNS($AD$1006:AP1006),$AD$1006:$AU$1006,0)), HYPERLINK("#",""), HYPERLINK(CONCATENATE("#metadata!", ADDRESS(INDEX($Y$2:$Y$1001,MATCH(ROWS($W$2:W929),$W$2:$W$1001,0),0), INDEX($AD$1004:$AU$1004,1,MATCH(COLUMNS($AD$1006:AP1006),$AD$1006:$AU$1006,0)))),"Fix")))</f>
        <v xml:space="preserve"> </v>
      </c>
      <c r="O929" s="4" t="str">
        <f ca="1">IF(OR(INDEX($X$2:$X$1001,MATCH(ROWS($W$2:W929),$W$2:$W$1001,0),1)&gt;=100000,INDEX($AD$1005:$AU$1005,1,MATCH(COLUMNS($AD$1006:AQ1006),$AD$1006:$AU$1006,0))&gt;=100000), " ",IF(INDEX($AD$2:$AU$1001,MATCH(ROWS($W$2:W929),$W$2:$W$1001,0),MATCH(COLUMNS($AD$1006:AQ1006),$AD$1006:$AU$1006,0)), HYPERLINK("#",""), HYPERLINK(CONCATENATE("#metadata!", ADDRESS(INDEX($Y$2:$Y$1001,MATCH(ROWS($W$2:W929),$W$2:$W$1001,0),0), INDEX($AD$1004:$AU$1004,1,MATCH(COLUMNS($AD$1006:AQ1006),$AD$1006:$AU$1006,0)))),"Fix")))</f>
        <v xml:space="preserve"> </v>
      </c>
      <c r="P929" s="4" t="str">
        <f ca="1">IF(OR(INDEX($X$2:$X$1001,MATCH(ROWS($W$2:W929),$W$2:$W$1001,0),1)&gt;=100000,INDEX($AD$1005:$AU$1005,1,MATCH(COLUMNS($AD$1006:AR1006),$AD$1006:$AU$1006,0))&gt;=100000), " ",IF(INDEX($AD$2:$AU$1001,MATCH(ROWS($W$2:W929),$W$2:$W$1001,0),MATCH(COLUMNS($AD$1006:AR1006),$AD$1006:$AU$1006,0)), HYPERLINK("#",""), HYPERLINK(CONCATENATE("#metadata!", ADDRESS(INDEX($Y$2:$Y$1001,MATCH(ROWS($W$2:W929),$W$2:$W$1001,0),0), INDEX($AD$1004:$AU$1004,1,MATCH(COLUMNS($AD$1006:AR1006),$AD$1006:$AU$1006,0)))),"Fix")))</f>
        <v xml:space="preserve"> </v>
      </c>
      <c r="Q929" s="4" t="str">
        <f ca="1">IF(OR(INDEX($X$2:$X$1001,MATCH(ROWS($W$2:W929),$W$2:$W$1001,0),1)&gt;=100000,INDEX($AD$1005:$AU$1005,1,MATCH(COLUMNS($AD$1006:AS1006),$AD$1006:$AU$1006,0))&gt;=100000), " ",IF(INDEX($AD$2:$AU$1001,MATCH(ROWS($W$2:W929),$W$2:$W$1001,0),MATCH(COLUMNS($AD$1006:AS1006),$AD$1006:$AU$1006,0)), HYPERLINK("#",""), HYPERLINK(CONCATENATE("#metadata!", ADDRESS(INDEX($Y$2:$Y$1001,MATCH(ROWS($W$2:W929),$W$2:$W$1001,0),0), INDEX($AD$1004:$AU$1004,1,MATCH(COLUMNS($AD$1006:AS1006),$AD$1006:$AU$1006,0)))),"Fix")))</f>
        <v xml:space="preserve"> </v>
      </c>
      <c r="R929" s="4" t="str">
        <f ca="1">IF(OR(INDEX($X$2:$X$1001,MATCH(ROWS($W$2:W929),$W$2:$W$1001,0),1)&gt;=100000,INDEX($AD$1005:$AU$1005,1,MATCH(COLUMNS($AD$1006:AT1006),$AD$1006:$AU$1006,0))&gt;=100000), " ",IF(INDEX($AD$2:$AU$1001,MATCH(ROWS($W$2:W929),$W$2:$W$1001,0),MATCH(COLUMNS($AD$1006:AT1006),$AD$1006:$AU$1006,0)), HYPERLINK("#",""), HYPERLINK(CONCATENATE("#metadata!", ADDRESS(INDEX($Y$2:$Y$1001,MATCH(ROWS($W$2:W929),$W$2:$W$1001,0),0), INDEX($AD$1004:$AU$1004,1,MATCH(COLUMNS($AD$1006:AT1006),$AD$1006:$AU$1006,0)))),"Fix")))</f>
        <v xml:space="preserve"> </v>
      </c>
      <c r="S929" s="4" t="str">
        <f ca="1">IF(OR(INDEX($X$2:$X$1001,MATCH(ROWS($W$2:W929),$W$2:$W$1001,0),1)&gt;=100000,INDEX($AD$1005:$AU$1005,1,MATCH(COLUMNS($AD$1006:AU1006),$AD$1006:$AU$1006,0))&gt;=100000), " ",IF(INDEX($AD$2:$AU$1001,MATCH(ROWS($W$2:W929),$W$2:$W$1001,0),MATCH(COLUMNS($AD$1006:AU1006),$AD$1006:$AU$1006,0)), HYPERLINK("#",""), HYPERLINK(CONCATENATE("#metadata!", ADDRESS(INDEX($Y$2:$Y$1001,MATCH(ROWS($W$2:W929),$W$2:$W$1001,0),0), INDEX($AD$1004:$AU$1004,1,MATCH(COLUMNS($AD$1006:AU1006),$AD$1006:$AU$1006,0)))),"Fix")))</f>
        <v xml:space="preserve"> </v>
      </c>
      <c r="W929">
        <v>928</v>
      </c>
      <c r="X929">
        <v>100929</v>
      </c>
      <c r="Y929">
        <v>929</v>
      </c>
      <c r="Z929" t="b">
        <f t="shared" si="14"/>
        <v>1</v>
      </c>
      <c r="AA929" t="b">
        <f>COUNTBLANK(metadata!B929:S929)=COLUMNS(metadata!B929:S929)</f>
        <v>1</v>
      </c>
      <c r="AB929" t="str">
        <v/>
      </c>
      <c r="AD929" t="b">
        <f ca="1">AND(IF(metadata!B929="",FALSE,TRUE),COUNTIF(metadata!B:B, metadata!B929) = 1,NOT(ISERROR(SUMPRODUCT(SEARCH(MID(metadata!B929,ROW(INDIRECT("1:"&amp;LEN(metadata!B929))), 1),"0123456789abcdefghijklmnopqrstuvwxyzABCDEFGHIJKLMNOPQRSTUVWXYZ.")))))</f>
        <v>0</v>
      </c>
      <c r="AE929" t="b">
        <f>OR(AND(IF(metadata!C929="",FALSE,TRUE),OR(EXACT(metadata!C929,"not applicable"),EXACT(metadata!C929,"missing: not collected"),EXACT(metadata!C929,"missing: not provided"),EXACT(metadata!C929,"missing: restricted access"))),AND(IF(metadata!C929="",FALSE,ISNUMBER(VALUE(metadata!C929))),metadata!C929&gt;0))</f>
        <v>0</v>
      </c>
      <c r="AF929" t="b">
        <f>AND(IF(metadata!D929="",FALSE,TRUE),EXACT(metadata!D929,"missing: not provided"))</f>
        <v>0</v>
      </c>
      <c r="AG929" t="b">
        <f>AND(IF(metadata!E929="",FALSE,TRUE),EXACT(metadata!E929,"Host-associated"))</f>
        <v>0</v>
      </c>
      <c r="AH929" t="b">
        <f>AND(IF(metadata!F929="",FALSE,TRUE),OR(EXACT(metadata!F929,"Animal"),EXACT(metadata!F929,"Fungus"),EXACT(metadata!F929,"Plant")))</f>
        <v>0</v>
      </c>
      <c r="AI929" t="b">
        <f>AND(IF(metadata!G929="",FALSE,TRUE),OR(EXACT(metadata!G929,"Plant secretion"),EXACT(metadata!G929,"Plant rhizosphere"),EXACT(metadata!G929,"Plant surface"),EXACT(metadata!G929,"Plant corpus"),EXACT(metadata!G929,"Fungus surface"),EXACT(metadata!G929,"Fungus corpus"),EXACT(metadata!G929,"Animal surface"),EXACT(metadata!G929,"Animal proximal gut"),EXACT(metadata!G929,"Animal corpus"),EXACT(metadata!G929,"Animal distal gut"),EXACT(metadata!G929,"Animal secretion")))</f>
        <v>0</v>
      </c>
      <c r="AJ929" t="b">
        <f>OR(AND(IF(metadata!H929="",FALSE,TRUE),OR(EXACT(metadata!H929,"missing: not collected"),EXACT(metadata!H929,"missing: not provided"),EXACT(metadata!H929,"missing: restricted access"))),AND(IF(metadata!H929="",FALSE,TRUE),OR(EXACT(metadata!H929,"organism-associated habitat"),EXACT(metadata!H929,"plant-associated habitat"),EXACT(metadata!H929,"animal-associated habitat"),EXACT(metadata!H929,"insecta-associated habitat"),EXACT(metadata!H929,"mammalia-associated habitat"),EXACT(metadata!H929,"human-associated habitat"),EXACT(metadata!H929,"livestock-associated habitat"))))</f>
        <v>0</v>
      </c>
      <c r="AK929" t="b">
        <f>AND(IF(metadata!I929="",FALSE,TRUE),EXACT(metadata!I929,"host-associated"))</f>
        <v>0</v>
      </c>
      <c r="AL929" t="b">
        <f>OR(AND(IF(metadata!J929="",FALSE,TRUE),OR(EXACT(metadata!J929,"not applicable"),EXACT(metadata!J929,"missing: not collected"),EXACT(metadata!J929,"missing: not provided"),EXACT(metadata!J929,"missing: restricted access"))),AND(IF(metadata!J929="",FALSE,ISNUMBER(VALUE(metadata!J929))),metadata!J929&gt;0))</f>
        <v>0</v>
      </c>
      <c r="AM929" t="b">
        <f>AND(IF(metadata!K929="",FALSE,TRUE),EXACT(metadata!K929,"missing: not provided"))</f>
        <v>0</v>
      </c>
      <c r="AN929" t="b">
        <f>IF(metadata!L929="",FALSE,TRUE)</f>
        <v>0</v>
      </c>
      <c r="AO929" t="b">
        <f>IF(metadata!M929="",FALSE,TRUE)</f>
        <v>0</v>
      </c>
      <c r="AP929" t="b">
        <f>OR(AND(IF(metadata!N929="",FALSE,TRUE),OR(EXACT(metadata!N929,"not applicable"),EXACT(metadata!N929,"missing: not collected"),EXACT(metadata!N929,"missing: not provided"))),AND(IF(metadata!N929="",FALSE,IF(ISERROR(INT(metadata!N929)),FALSE,INT(metadata!N929)=metadata!N929)),metadata!N929&gt;0))</f>
        <v>0</v>
      </c>
      <c r="AQ929" t="b">
        <f>AND(IF(metadata!O929="",FALSE,TRUE),EXACT(metadata!O929,"Not applicable"))</f>
        <v>0</v>
      </c>
      <c r="AR929" t="b">
        <f>OR(AND(IF(metadata!P929="",FALSE,TRUE),OR(EXACT(metadata!P929,"not applicable"),EXACT(metadata!P929,"missing: not collected"),EXACT(metadata!P929,"missing: not provided"),EXACT(metadata!P929,"missing: restricted access"))),IF(metadata!P929="",FALSE,IF(ISERROR(INT(metadata!P929)),FALSE,INT(metadata!P929)=metadata!P929)))</f>
        <v>0</v>
      </c>
      <c r="AS929" t="b">
        <f>AND(IF(metadata!Q929="",FALSE,TRUE),EXACT(metadata!Q929,"Not applicable"))</f>
        <v>0</v>
      </c>
      <c r="AT929" t="b">
        <f>OR(AND(IF(metadata!R929="",FALSE,TRUE),OR(EXACT(metadata!R929,"not applicable"),EXACT(metadata!R929,"missing: not collected"),EXACT(metadata!R929,"missing: not provided"),EXACT(metadata!R929,"missing: restricted access"))),AND(IF(metadata!R929="",FALSE,ISNUMBER(VALUE(metadata!R929))),metadata!R929&gt;0))</f>
        <v>0</v>
      </c>
      <c r="AU929" t="b">
        <f>AND(IF(metadata!S929="",FALSE,TRUE),EXACT(metadata!S929,"missing: not provided"))</f>
        <v>0</v>
      </c>
    </row>
    <row r="930" spans="1:47" x14ac:dyDescent="0.2">
      <c r="A930" s="5" t="str">
        <f ca="1">IF(B930=" "," ",HYPERLINK(CONCATENATE("#metadata!",ADDRESS(INDEX($Y$2:$Y$1001,MATCH(ROWS($W$2:W930),$W$2:$W$1001,0),0),1)),INDEX($AB$2:$AB$1001,MATCH(ROWS($W$2:W930),$W$2:$W$1001,0),0)))</f>
        <v xml:space="preserve"> </v>
      </c>
      <c r="B930" s="4" t="str">
        <f ca="1">IF(OR(INDEX($X$2:$X$1001,MATCH(ROWS($W$2:W930),$W$2:$W$1001,0),1)&gt;=100000,INDEX($AD$1005:$AU$1005,1,MATCH(COLUMNS($AD$1006:AD1006),$AD$1006:$AU$1006,0))&gt;=100000), " ",IF(INDEX($AD$2:$AU$1001,MATCH(ROWS($W$2:W930),$W$2:$W$1001,0),MATCH(COLUMNS($AD$1006:AD1006),$AD$1006:$AU$1006,0)), HYPERLINK("#",""), HYPERLINK(CONCATENATE("#metadata!", ADDRESS(INDEX($Y$2:$Y$1001,MATCH(ROWS($W$2:W930),$W$2:$W$1001,0),0), INDEX($AD$1004:$AU$1004,1,MATCH(COLUMNS($AD$1006:AD1006),$AD$1006:$AU$1006,0)))),"Fix")))</f>
        <v xml:space="preserve"> </v>
      </c>
      <c r="C930" s="4" t="str">
        <f ca="1">IF(OR(INDEX($X$2:$X$1001,MATCH(ROWS($W$2:W930),$W$2:$W$1001,0),1)&gt;=100000,INDEX($AD$1005:$AU$1005,1,MATCH(COLUMNS($AD$1006:AE1006),$AD$1006:$AU$1006,0))&gt;=100000), " ",IF(INDEX($AD$2:$AU$1001,MATCH(ROWS($W$2:W930),$W$2:$W$1001,0),MATCH(COLUMNS($AD$1006:AE1006),$AD$1006:$AU$1006,0)), HYPERLINK("#",""), HYPERLINK(CONCATENATE("#metadata!", ADDRESS(INDEX($Y$2:$Y$1001,MATCH(ROWS($W$2:W930),$W$2:$W$1001,0),0), INDEX($AD$1004:$AU$1004,1,MATCH(COLUMNS($AD$1006:AE1006),$AD$1006:$AU$1006,0)))),"Fix")))</f>
        <v xml:space="preserve"> </v>
      </c>
      <c r="D930" s="4" t="str">
        <f ca="1">IF(OR(INDEX($X$2:$X$1001,MATCH(ROWS($W$2:W930),$W$2:$W$1001,0),1)&gt;=100000,INDEX($AD$1005:$AU$1005,1,MATCH(COLUMNS($AD$1006:AF1006),$AD$1006:$AU$1006,0))&gt;=100000), " ",IF(INDEX($AD$2:$AU$1001,MATCH(ROWS($W$2:W930),$W$2:$W$1001,0),MATCH(COLUMNS($AD$1006:AF1006),$AD$1006:$AU$1006,0)), HYPERLINK("#",""), HYPERLINK(CONCATENATE("#metadata!", ADDRESS(INDEX($Y$2:$Y$1001,MATCH(ROWS($W$2:W930),$W$2:$W$1001,0),0), INDEX($AD$1004:$AU$1004,1,MATCH(COLUMNS($AD$1006:AF1006),$AD$1006:$AU$1006,0)))),"Fix")))</f>
        <v xml:space="preserve"> </v>
      </c>
      <c r="E930" s="4" t="str">
        <f ca="1">IF(OR(INDEX($X$2:$X$1001,MATCH(ROWS($W$2:W930),$W$2:$W$1001,0),1)&gt;=100000,INDEX($AD$1005:$AU$1005,1,MATCH(COLUMNS($AD$1006:AG1006),$AD$1006:$AU$1006,0))&gt;=100000), " ",IF(INDEX($AD$2:$AU$1001,MATCH(ROWS($W$2:W930),$W$2:$W$1001,0),MATCH(COLUMNS($AD$1006:AG1006),$AD$1006:$AU$1006,0)), HYPERLINK("#",""), HYPERLINK(CONCATENATE("#metadata!", ADDRESS(INDEX($Y$2:$Y$1001,MATCH(ROWS($W$2:W930),$W$2:$W$1001,0),0), INDEX($AD$1004:$AU$1004,1,MATCH(COLUMNS($AD$1006:AG1006),$AD$1006:$AU$1006,0)))),"Fix")))</f>
        <v xml:space="preserve"> </v>
      </c>
      <c r="F930" s="4" t="str">
        <f ca="1">IF(OR(INDEX($X$2:$X$1001,MATCH(ROWS($W$2:W930),$W$2:$W$1001,0),1)&gt;=100000,INDEX($AD$1005:$AU$1005,1,MATCH(COLUMNS($AD$1006:AH1006),$AD$1006:$AU$1006,0))&gt;=100000), " ",IF(INDEX($AD$2:$AU$1001,MATCH(ROWS($W$2:W930),$W$2:$W$1001,0),MATCH(COLUMNS($AD$1006:AH1006),$AD$1006:$AU$1006,0)), HYPERLINK("#",""), HYPERLINK(CONCATENATE("#metadata!", ADDRESS(INDEX($Y$2:$Y$1001,MATCH(ROWS($W$2:W930),$W$2:$W$1001,0),0), INDEX($AD$1004:$AU$1004,1,MATCH(COLUMNS($AD$1006:AH1006),$AD$1006:$AU$1006,0)))),"Fix")))</f>
        <v xml:space="preserve"> </v>
      </c>
      <c r="G930" s="4" t="str">
        <f ca="1">IF(OR(INDEX($X$2:$X$1001,MATCH(ROWS($W$2:W930),$W$2:$W$1001,0),1)&gt;=100000,INDEX($AD$1005:$AU$1005,1,MATCH(COLUMNS($AD$1006:AI1006),$AD$1006:$AU$1006,0))&gt;=100000), " ",IF(INDEX($AD$2:$AU$1001,MATCH(ROWS($W$2:W930),$W$2:$W$1001,0),MATCH(COLUMNS($AD$1006:AI1006),$AD$1006:$AU$1006,0)), HYPERLINK("#",""), HYPERLINK(CONCATENATE("#metadata!", ADDRESS(INDEX($Y$2:$Y$1001,MATCH(ROWS($W$2:W930),$W$2:$W$1001,0),0), INDEX($AD$1004:$AU$1004,1,MATCH(COLUMNS($AD$1006:AI1006),$AD$1006:$AU$1006,0)))),"Fix")))</f>
        <v xml:space="preserve"> </v>
      </c>
      <c r="H930" s="4" t="str">
        <f ca="1">IF(OR(INDEX($X$2:$X$1001,MATCH(ROWS($W$2:W930),$W$2:$W$1001,0),1)&gt;=100000,INDEX($AD$1005:$AU$1005,1,MATCH(COLUMNS($AD$1006:AJ1006),$AD$1006:$AU$1006,0))&gt;=100000), " ",IF(INDEX($AD$2:$AU$1001,MATCH(ROWS($W$2:W930),$W$2:$W$1001,0),MATCH(COLUMNS($AD$1006:AJ1006),$AD$1006:$AU$1006,0)), HYPERLINK("#",""), HYPERLINK(CONCATENATE("#metadata!", ADDRESS(INDEX($Y$2:$Y$1001,MATCH(ROWS($W$2:W930),$W$2:$W$1001,0),0), INDEX($AD$1004:$AU$1004,1,MATCH(COLUMNS($AD$1006:AJ1006),$AD$1006:$AU$1006,0)))),"Fix")))</f>
        <v xml:space="preserve"> </v>
      </c>
      <c r="I930" s="4" t="str">
        <f ca="1">IF(OR(INDEX($X$2:$X$1001,MATCH(ROWS($W$2:W930),$W$2:$W$1001,0),1)&gt;=100000,INDEX($AD$1005:$AU$1005,1,MATCH(COLUMNS($AD$1006:AK1006),$AD$1006:$AU$1006,0))&gt;=100000), " ",IF(INDEX($AD$2:$AU$1001,MATCH(ROWS($W$2:W930),$W$2:$W$1001,0),MATCH(COLUMNS($AD$1006:AK1006),$AD$1006:$AU$1006,0)), HYPERLINK("#",""), HYPERLINK(CONCATENATE("#metadata!", ADDRESS(INDEX($Y$2:$Y$1001,MATCH(ROWS($W$2:W930),$W$2:$W$1001,0),0), INDEX($AD$1004:$AU$1004,1,MATCH(COLUMNS($AD$1006:AK1006),$AD$1006:$AU$1006,0)))),"Fix")))</f>
        <v xml:space="preserve"> </v>
      </c>
      <c r="J930" s="4" t="str">
        <f ca="1">IF(OR(INDEX($X$2:$X$1001,MATCH(ROWS($W$2:W930),$W$2:$W$1001,0),1)&gt;=100000,INDEX($AD$1005:$AU$1005,1,MATCH(COLUMNS($AD$1006:AL1006),$AD$1006:$AU$1006,0))&gt;=100000), " ",IF(INDEX($AD$2:$AU$1001,MATCH(ROWS($W$2:W930),$W$2:$W$1001,0),MATCH(COLUMNS($AD$1006:AL1006),$AD$1006:$AU$1006,0)), HYPERLINK("#",""), HYPERLINK(CONCATENATE("#metadata!", ADDRESS(INDEX($Y$2:$Y$1001,MATCH(ROWS($W$2:W930),$W$2:$W$1001,0),0), INDEX($AD$1004:$AU$1004,1,MATCH(COLUMNS($AD$1006:AL1006),$AD$1006:$AU$1006,0)))),"Fix")))</f>
        <v xml:space="preserve"> </v>
      </c>
      <c r="K930" s="4" t="str">
        <f ca="1">IF(OR(INDEX($X$2:$X$1001,MATCH(ROWS($W$2:W930),$W$2:$W$1001,0),1)&gt;=100000,INDEX($AD$1005:$AU$1005,1,MATCH(COLUMNS($AD$1006:AM1006),$AD$1006:$AU$1006,0))&gt;=100000), " ",IF(INDEX($AD$2:$AU$1001,MATCH(ROWS($W$2:W930),$W$2:$W$1001,0),MATCH(COLUMNS($AD$1006:AM1006),$AD$1006:$AU$1006,0)), HYPERLINK("#",""), HYPERLINK(CONCATENATE("#metadata!", ADDRESS(INDEX($Y$2:$Y$1001,MATCH(ROWS($W$2:W930),$W$2:$W$1001,0),0), INDEX($AD$1004:$AU$1004,1,MATCH(COLUMNS($AD$1006:AM1006),$AD$1006:$AU$1006,0)))),"Fix")))</f>
        <v xml:space="preserve"> </v>
      </c>
      <c r="L930" s="4" t="str">
        <f ca="1">IF(OR(INDEX($X$2:$X$1001,MATCH(ROWS($W$2:W930),$W$2:$W$1001,0),1)&gt;=100000,INDEX($AD$1005:$AU$1005,1,MATCH(COLUMNS($AD$1006:AN1006),$AD$1006:$AU$1006,0))&gt;=100000), " ",IF(INDEX($AD$2:$AU$1001,MATCH(ROWS($W$2:W930),$W$2:$W$1001,0),MATCH(COLUMNS($AD$1006:AN1006),$AD$1006:$AU$1006,0)), HYPERLINK("#",""), HYPERLINK(CONCATENATE("#metadata!", ADDRESS(INDEX($Y$2:$Y$1001,MATCH(ROWS($W$2:W930),$W$2:$W$1001,0),0), INDEX($AD$1004:$AU$1004,1,MATCH(COLUMNS($AD$1006:AN1006),$AD$1006:$AU$1006,0)))),"Fix")))</f>
        <v xml:space="preserve"> </v>
      </c>
      <c r="M930" s="4" t="str">
        <f ca="1">IF(OR(INDEX($X$2:$X$1001,MATCH(ROWS($W$2:W930),$W$2:$W$1001,0),1)&gt;=100000,INDEX($AD$1005:$AU$1005,1,MATCH(COLUMNS($AD$1006:AO1006),$AD$1006:$AU$1006,0))&gt;=100000), " ",IF(INDEX($AD$2:$AU$1001,MATCH(ROWS($W$2:W930),$W$2:$W$1001,0),MATCH(COLUMNS($AD$1006:AO1006),$AD$1006:$AU$1006,0)), HYPERLINK("#",""), HYPERLINK(CONCATENATE("#metadata!", ADDRESS(INDEX($Y$2:$Y$1001,MATCH(ROWS($W$2:W930),$W$2:$W$1001,0),0), INDEX($AD$1004:$AU$1004,1,MATCH(COLUMNS($AD$1006:AO1006),$AD$1006:$AU$1006,0)))),"Fix")))</f>
        <v xml:space="preserve"> </v>
      </c>
      <c r="N930" s="4" t="str">
        <f ca="1">IF(OR(INDEX($X$2:$X$1001,MATCH(ROWS($W$2:W930),$W$2:$W$1001,0),1)&gt;=100000,INDEX($AD$1005:$AU$1005,1,MATCH(COLUMNS($AD$1006:AP1006),$AD$1006:$AU$1006,0))&gt;=100000), " ",IF(INDEX($AD$2:$AU$1001,MATCH(ROWS($W$2:W930),$W$2:$W$1001,0),MATCH(COLUMNS($AD$1006:AP1006),$AD$1006:$AU$1006,0)), HYPERLINK("#",""), HYPERLINK(CONCATENATE("#metadata!", ADDRESS(INDEX($Y$2:$Y$1001,MATCH(ROWS($W$2:W930),$W$2:$W$1001,0),0), INDEX($AD$1004:$AU$1004,1,MATCH(COLUMNS($AD$1006:AP1006),$AD$1006:$AU$1006,0)))),"Fix")))</f>
        <v xml:space="preserve"> </v>
      </c>
      <c r="O930" s="4" t="str">
        <f ca="1">IF(OR(INDEX($X$2:$X$1001,MATCH(ROWS($W$2:W930),$W$2:$W$1001,0),1)&gt;=100000,INDEX($AD$1005:$AU$1005,1,MATCH(COLUMNS($AD$1006:AQ1006),$AD$1006:$AU$1006,0))&gt;=100000), " ",IF(INDEX($AD$2:$AU$1001,MATCH(ROWS($W$2:W930),$W$2:$W$1001,0),MATCH(COLUMNS($AD$1006:AQ1006),$AD$1006:$AU$1006,0)), HYPERLINK("#",""), HYPERLINK(CONCATENATE("#metadata!", ADDRESS(INDEX($Y$2:$Y$1001,MATCH(ROWS($W$2:W930),$W$2:$W$1001,0),0), INDEX($AD$1004:$AU$1004,1,MATCH(COLUMNS($AD$1006:AQ1006),$AD$1006:$AU$1006,0)))),"Fix")))</f>
        <v xml:space="preserve"> </v>
      </c>
      <c r="P930" s="4" t="str">
        <f ca="1">IF(OR(INDEX($X$2:$X$1001,MATCH(ROWS($W$2:W930),$W$2:$W$1001,0),1)&gt;=100000,INDEX($AD$1005:$AU$1005,1,MATCH(COLUMNS($AD$1006:AR1006),$AD$1006:$AU$1006,0))&gt;=100000), " ",IF(INDEX($AD$2:$AU$1001,MATCH(ROWS($W$2:W930),$W$2:$W$1001,0),MATCH(COLUMNS($AD$1006:AR1006),$AD$1006:$AU$1006,0)), HYPERLINK("#",""), HYPERLINK(CONCATENATE("#metadata!", ADDRESS(INDEX($Y$2:$Y$1001,MATCH(ROWS($W$2:W930),$W$2:$W$1001,0),0), INDEX($AD$1004:$AU$1004,1,MATCH(COLUMNS($AD$1006:AR1006),$AD$1006:$AU$1006,0)))),"Fix")))</f>
        <v xml:space="preserve"> </v>
      </c>
      <c r="Q930" s="4" t="str">
        <f ca="1">IF(OR(INDEX($X$2:$X$1001,MATCH(ROWS($W$2:W930),$W$2:$W$1001,0),1)&gt;=100000,INDEX($AD$1005:$AU$1005,1,MATCH(COLUMNS($AD$1006:AS1006),$AD$1006:$AU$1006,0))&gt;=100000), " ",IF(INDEX($AD$2:$AU$1001,MATCH(ROWS($W$2:W930),$W$2:$W$1001,0),MATCH(COLUMNS($AD$1006:AS1006),$AD$1006:$AU$1006,0)), HYPERLINK("#",""), HYPERLINK(CONCATENATE("#metadata!", ADDRESS(INDEX($Y$2:$Y$1001,MATCH(ROWS($W$2:W930),$W$2:$W$1001,0),0), INDEX($AD$1004:$AU$1004,1,MATCH(COLUMNS($AD$1006:AS1006),$AD$1006:$AU$1006,0)))),"Fix")))</f>
        <v xml:space="preserve"> </v>
      </c>
      <c r="R930" s="4" t="str">
        <f ca="1">IF(OR(INDEX($X$2:$X$1001,MATCH(ROWS($W$2:W930),$W$2:$W$1001,0),1)&gt;=100000,INDEX($AD$1005:$AU$1005,1,MATCH(COLUMNS($AD$1006:AT1006),$AD$1006:$AU$1006,0))&gt;=100000), " ",IF(INDEX($AD$2:$AU$1001,MATCH(ROWS($W$2:W930),$W$2:$W$1001,0),MATCH(COLUMNS($AD$1006:AT1006),$AD$1006:$AU$1006,0)), HYPERLINK("#",""), HYPERLINK(CONCATENATE("#metadata!", ADDRESS(INDEX($Y$2:$Y$1001,MATCH(ROWS($W$2:W930),$W$2:$W$1001,0),0), INDEX($AD$1004:$AU$1004,1,MATCH(COLUMNS($AD$1006:AT1006),$AD$1006:$AU$1006,0)))),"Fix")))</f>
        <v xml:space="preserve"> </v>
      </c>
      <c r="S930" s="4" t="str">
        <f ca="1">IF(OR(INDEX($X$2:$X$1001,MATCH(ROWS($W$2:W930),$W$2:$W$1001,0),1)&gt;=100000,INDEX($AD$1005:$AU$1005,1,MATCH(COLUMNS($AD$1006:AU1006),$AD$1006:$AU$1006,0))&gt;=100000), " ",IF(INDEX($AD$2:$AU$1001,MATCH(ROWS($W$2:W930),$W$2:$W$1001,0),MATCH(COLUMNS($AD$1006:AU1006),$AD$1006:$AU$1006,0)), HYPERLINK("#",""), HYPERLINK(CONCATENATE("#metadata!", ADDRESS(INDEX($Y$2:$Y$1001,MATCH(ROWS($W$2:W930),$W$2:$W$1001,0),0), INDEX($AD$1004:$AU$1004,1,MATCH(COLUMNS($AD$1006:AU1006),$AD$1006:$AU$1006,0)))),"Fix")))</f>
        <v xml:space="preserve"> </v>
      </c>
      <c r="W930">
        <v>929</v>
      </c>
      <c r="X930">
        <v>100930</v>
      </c>
      <c r="Y930">
        <v>930</v>
      </c>
      <c r="Z930" t="b">
        <f t="shared" si="14"/>
        <v>1</v>
      </c>
      <c r="AA930" t="b">
        <f>COUNTBLANK(metadata!B930:S930)=COLUMNS(metadata!B930:S930)</f>
        <v>1</v>
      </c>
      <c r="AB930" t="str">
        <v/>
      </c>
      <c r="AD930" t="b">
        <f ca="1">AND(IF(metadata!B930="",FALSE,TRUE),COUNTIF(metadata!B:B, metadata!B930) = 1,NOT(ISERROR(SUMPRODUCT(SEARCH(MID(metadata!B930,ROW(INDIRECT("1:"&amp;LEN(metadata!B930))), 1),"0123456789abcdefghijklmnopqrstuvwxyzABCDEFGHIJKLMNOPQRSTUVWXYZ.")))))</f>
        <v>0</v>
      </c>
      <c r="AE930" t="b">
        <f>OR(AND(IF(metadata!C930="",FALSE,TRUE),OR(EXACT(metadata!C930,"not applicable"),EXACT(metadata!C930,"missing: not collected"),EXACT(metadata!C930,"missing: not provided"),EXACT(metadata!C930,"missing: restricted access"))),AND(IF(metadata!C930="",FALSE,ISNUMBER(VALUE(metadata!C930))),metadata!C930&gt;0))</f>
        <v>0</v>
      </c>
      <c r="AF930" t="b">
        <f>AND(IF(metadata!D930="",FALSE,TRUE),EXACT(metadata!D930,"missing: not provided"))</f>
        <v>0</v>
      </c>
      <c r="AG930" t="b">
        <f>AND(IF(metadata!E930="",FALSE,TRUE),EXACT(metadata!E930,"Host-associated"))</f>
        <v>0</v>
      </c>
      <c r="AH930" t="b">
        <f>AND(IF(metadata!F930="",FALSE,TRUE),OR(EXACT(metadata!F930,"Animal"),EXACT(metadata!F930,"Fungus"),EXACT(metadata!F930,"Plant")))</f>
        <v>0</v>
      </c>
      <c r="AI930" t="b">
        <f>AND(IF(metadata!G930="",FALSE,TRUE),OR(EXACT(metadata!G930,"Plant secretion"),EXACT(metadata!G930,"Plant rhizosphere"),EXACT(metadata!G930,"Plant surface"),EXACT(metadata!G930,"Plant corpus"),EXACT(metadata!G930,"Fungus surface"),EXACT(metadata!G930,"Fungus corpus"),EXACT(metadata!G930,"Animal surface"),EXACT(metadata!G930,"Animal proximal gut"),EXACT(metadata!G930,"Animal corpus"),EXACT(metadata!G930,"Animal distal gut"),EXACT(metadata!G930,"Animal secretion")))</f>
        <v>0</v>
      </c>
      <c r="AJ930" t="b">
        <f>OR(AND(IF(metadata!H930="",FALSE,TRUE),OR(EXACT(metadata!H930,"missing: not collected"),EXACT(metadata!H930,"missing: not provided"),EXACT(metadata!H930,"missing: restricted access"))),AND(IF(metadata!H930="",FALSE,TRUE),OR(EXACT(metadata!H930,"organism-associated habitat"),EXACT(metadata!H930,"plant-associated habitat"),EXACT(metadata!H930,"animal-associated habitat"),EXACT(metadata!H930,"insecta-associated habitat"),EXACT(metadata!H930,"mammalia-associated habitat"),EXACT(metadata!H930,"human-associated habitat"),EXACT(metadata!H930,"livestock-associated habitat"))))</f>
        <v>0</v>
      </c>
      <c r="AK930" t="b">
        <f>AND(IF(metadata!I930="",FALSE,TRUE),EXACT(metadata!I930,"host-associated"))</f>
        <v>0</v>
      </c>
      <c r="AL930" t="b">
        <f>OR(AND(IF(metadata!J930="",FALSE,TRUE),OR(EXACT(metadata!J930,"not applicable"),EXACT(metadata!J930,"missing: not collected"),EXACT(metadata!J930,"missing: not provided"),EXACT(metadata!J930,"missing: restricted access"))),AND(IF(metadata!J930="",FALSE,ISNUMBER(VALUE(metadata!J930))),metadata!J930&gt;0))</f>
        <v>0</v>
      </c>
      <c r="AM930" t="b">
        <f>AND(IF(metadata!K930="",FALSE,TRUE),EXACT(metadata!K930,"missing: not provided"))</f>
        <v>0</v>
      </c>
      <c r="AN930" t="b">
        <f>IF(metadata!L930="",FALSE,TRUE)</f>
        <v>0</v>
      </c>
      <c r="AO930" t="b">
        <f>IF(metadata!M930="",FALSE,TRUE)</f>
        <v>0</v>
      </c>
      <c r="AP930" t="b">
        <f>OR(AND(IF(metadata!N930="",FALSE,TRUE),OR(EXACT(metadata!N930,"not applicable"),EXACT(metadata!N930,"missing: not collected"),EXACT(metadata!N930,"missing: not provided"))),AND(IF(metadata!N930="",FALSE,IF(ISERROR(INT(metadata!N930)),FALSE,INT(metadata!N930)=metadata!N930)),metadata!N930&gt;0))</f>
        <v>0</v>
      </c>
      <c r="AQ930" t="b">
        <f>AND(IF(metadata!O930="",FALSE,TRUE),EXACT(metadata!O930,"Not applicable"))</f>
        <v>0</v>
      </c>
      <c r="AR930" t="b">
        <f>OR(AND(IF(metadata!P930="",FALSE,TRUE),OR(EXACT(metadata!P930,"not applicable"),EXACT(metadata!P930,"missing: not collected"),EXACT(metadata!P930,"missing: not provided"),EXACT(metadata!P930,"missing: restricted access"))),IF(metadata!P930="",FALSE,IF(ISERROR(INT(metadata!P930)),FALSE,INT(metadata!P930)=metadata!P930)))</f>
        <v>0</v>
      </c>
      <c r="AS930" t="b">
        <f>AND(IF(metadata!Q930="",FALSE,TRUE),EXACT(metadata!Q930,"Not applicable"))</f>
        <v>0</v>
      </c>
      <c r="AT930" t="b">
        <f>OR(AND(IF(metadata!R930="",FALSE,TRUE),OR(EXACT(metadata!R930,"not applicable"),EXACT(metadata!R930,"missing: not collected"),EXACT(metadata!R930,"missing: not provided"),EXACT(metadata!R930,"missing: restricted access"))),AND(IF(metadata!R930="",FALSE,ISNUMBER(VALUE(metadata!R930))),metadata!R930&gt;0))</f>
        <v>0</v>
      </c>
      <c r="AU930" t="b">
        <f>AND(IF(metadata!S930="",FALSE,TRUE),EXACT(metadata!S930,"missing: not provided"))</f>
        <v>0</v>
      </c>
    </row>
    <row r="931" spans="1:47" x14ac:dyDescent="0.2">
      <c r="A931" s="5" t="str">
        <f ca="1">IF(B931=" "," ",HYPERLINK(CONCATENATE("#metadata!",ADDRESS(INDEX($Y$2:$Y$1001,MATCH(ROWS($W$2:W931),$W$2:$W$1001,0),0),1)),INDEX($AB$2:$AB$1001,MATCH(ROWS($W$2:W931),$W$2:$W$1001,0),0)))</f>
        <v xml:space="preserve"> </v>
      </c>
      <c r="B931" s="4" t="str">
        <f ca="1">IF(OR(INDEX($X$2:$X$1001,MATCH(ROWS($W$2:W931),$W$2:$W$1001,0),1)&gt;=100000,INDEX($AD$1005:$AU$1005,1,MATCH(COLUMNS($AD$1006:AD1006),$AD$1006:$AU$1006,0))&gt;=100000), " ",IF(INDEX($AD$2:$AU$1001,MATCH(ROWS($W$2:W931),$W$2:$W$1001,0),MATCH(COLUMNS($AD$1006:AD1006),$AD$1006:$AU$1006,0)), HYPERLINK("#",""), HYPERLINK(CONCATENATE("#metadata!", ADDRESS(INDEX($Y$2:$Y$1001,MATCH(ROWS($W$2:W931),$W$2:$W$1001,0),0), INDEX($AD$1004:$AU$1004,1,MATCH(COLUMNS($AD$1006:AD1006),$AD$1006:$AU$1006,0)))),"Fix")))</f>
        <v xml:space="preserve"> </v>
      </c>
      <c r="C931" s="4" t="str">
        <f ca="1">IF(OR(INDEX($X$2:$X$1001,MATCH(ROWS($W$2:W931),$W$2:$W$1001,0),1)&gt;=100000,INDEX($AD$1005:$AU$1005,1,MATCH(COLUMNS($AD$1006:AE1006),$AD$1006:$AU$1006,0))&gt;=100000), " ",IF(INDEX($AD$2:$AU$1001,MATCH(ROWS($W$2:W931),$W$2:$W$1001,0),MATCH(COLUMNS($AD$1006:AE1006),$AD$1006:$AU$1006,0)), HYPERLINK("#",""), HYPERLINK(CONCATENATE("#metadata!", ADDRESS(INDEX($Y$2:$Y$1001,MATCH(ROWS($W$2:W931),$W$2:$W$1001,0),0), INDEX($AD$1004:$AU$1004,1,MATCH(COLUMNS($AD$1006:AE1006),$AD$1006:$AU$1006,0)))),"Fix")))</f>
        <v xml:space="preserve"> </v>
      </c>
      <c r="D931" s="4" t="str">
        <f ca="1">IF(OR(INDEX($X$2:$X$1001,MATCH(ROWS($W$2:W931),$W$2:$W$1001,0),1)&gt;=100000,INDEX($AD$1005:$AU$1005,1,MATCH(COLUMNS($AD$1006:AF1006),$AD$1006:$AU$1006,0))&gt;=100000), " ",IF(INDEX($AD$2:$AU$1001,MATCH(ROWS($W$2:W931),$W$2:$W$1001,0),MATCH(COLUMNS($AD$1006:AF1006),$AD$1006:$AU$1006,0)), HYPERLINK("#",""), HYPERLINK(CONCATENATE("#metadata!", ADDRESS(INDEX($Y$2:$Y$1001,MATCH(ROWS($W$2:W931),$W$2:$W$1001,0),0), INDEX($AD$1004:$AU$1004,1,MATCH(COLUMNS($AD$1006:AF1006),$AD$1006:$AU$1006,0)))),"Fix")))</f>
        <v xml:space="preserve"> </v>
      </c>
      <c r="E931" s="4" t="str">
        <f ca="1">IF(OR(INDEX($X$2:$X$1001,MATCH(ROWS($W$2:W931),$W$2:$W$1001,0),1)&gt;=100000,INDEX($AD$1005:$AU$1005,1,MATCH(COLUMNS($AD$1006:AG1006),$AD$1006:$AU$1006,0))&gt;=100000), " ",IF(INDEX($AD$2:$AU$1001,MATCH(ROWS($W$2:W931),$W$2:$W$1001,0),MATCH(COLUMNS($AD$1006:AG1006),$AD$1006:$AU$1006,0)), HYPERLINK("#",""), HYPERLINK(CONCATENATE("#metadata!", ADDRESS(INDEX($Y$2:$Y$1001,MATCH(ROWS($W$2:W931),$W$2:$W$1001,0),0), INDEX($AD$1004:$AU$1004,1,MATCH(COLUMNS($AD$1006:AG1006),$AD$1006:$AU$1006,0)))),"Fix")))</f>
        <v xml:space="preserve"> </v>
      </c>
      <c r="F931" s="4" t="str">
        <f ca="1">IF(OR(INDEX($X$2:$X$1001,MATCH(ROWS($W$2:W931),$W$2:$W$1001,0),1)&gt;=100000,INDEX($AD$1005:$AU$1005,1,MATCH(COLUMNS($AD$1006:AH1006),$AD$1006:$AU$1006,0))&gt;=100000), " ",IF(INDEX($AD$2:$AU$1001,MATCH(ROWS($W$2:W931),$W$2:$W$1001,0),MATCH(COLUMNS($AD$1006:AH1006),$AD$1006:$AU$1006,0)), HYPERLINK("#",""), HYPERLINK(CONCATENATE("#metadata!", ADDRESS(INDEX($Y$2:$Y$1001,MATCH(ROWS($W$2:W931),$W$2:$W$1001,0),0), INDEX($AD$1004:$AU$1004,1,MATCH(COLUMNS($AD$1006:AH1006),$AD$1006:$AU$1006,0)))),"Fix")))</f>
        <v xml:space="preserve"> </v>
      </c>
      <c r="G931" s="4" t="str">
        <f ca="1">IF(OR(INDEX($X$2:$X$1001,MATCH(ROWS($W$2:W931),$W$2:$W$1001,0),1)&gt;=100000,INDEX($AD$1005:$AU$1005,1,MATCH(COLUMNS($AD$1006:AI1006),$AD$1006:$AU$1006,0))&gt;=100000), " ",IF(INDEX($AD$2:$AU$1001,MATCH(ROWS($W$2:W931),$W$2:$W$1001,0),MATCH(COLUMNS($AD$1006:AI1006),$AD$1006:$AU$1006,0)), HYPERLINK("#",""), HYPERLINK(CONCATENATE("#metadata!", ADDRESS(INDEX($Y$2:$Y$1001,MATCH(ROWS($W$2:W931),$W$2:$W$1001,0),0), INDEX($AD$1004:$AU$1004,1,MATCH(COLUMNS($AD$1006:AI1006),$AD$1006:$AU$1006,0)))),"Fix")))</f>
        <v xml:space="preserve"> </v>
      </c>
      <c r="H931" s="4" t="str">
        <f ca="1">IF(OR(INDEX($X$2:$X$1001,MATCH(ROWS($W$2:W931),$W$2:$W$1001,0),1)&gt;=100000,INDEX($AD$1005:$AU$1005,1,MATCH(COLUMNS($AD$1006:AJ1006),$AD$1006:$AU$1006,0))&gt;=100000), " ",IF(INDEX($AD$2:$AU$1001,MATCH(ROWS($W$2:W931),$W$2:$W$1001,0),MATCH(COLUMNS($AD$1006:AJ1006),$AD$1006:$AU$1006,0)), HYPERLINK("#",""), HYPERLINK(CONCATENATE("#metadata!", ADDRESS(INDEX($Y$2:$Y$1001,MATCH(ROWS($W$2:W931),$W$2:$W$1001,0),0), INDEX($AD$1004:$AU$1004,1,MATCH(COLUMNS($AD$1006:AJ1006),$AD$1006:$AU$1006,0)))),"Fix")))</f>
        <v xml:space="preserve"> </v>
      </c>
      <c r="I931" s="4" t="str">
        <f ca="1">IF(OR(INDEX($X$2:$X$1001,MATCH(ROWS($W$2:W931),$W$2:$W$1001,0),1)&gt;=100000,INDEX($AD$1005:$AU$1005,1,MATCH(COLUMNS($AD$1006:AK1006),$AD$1006:$AU$1006,0))&gt;=100000), " ",IF(INDEX($AD$2:$AU$1001,MATCH(ROWS($W$2:W931),$W$2:$W$1001,0),MATCH(COLUMNS($AD$1006:AK1006),$AD$1006:$AU$1006,0)), HYPERLINK("#",""), HYPERLINK(CONCATENATE("#metadata!", ADDRESS(INDEX($Y$2:$Y$1001,MATCH(ROWS($W$2:W931),$W$2:$W$1001,0),0), INDEX($AD$1004:$AU$1004,1,MATCH(COLUMNS($AD$1006:AK1006),$AD$1006:$AU$1006,0)))),"Fix")))</f>
        <v xml:space="preserve"> </v>
      </c>
      <c r="J931" s="4" t="str">
        <f ca="1">IF(OR(INDEX($X$2:$X$1001,MATCH(ROWS($W$2:W931),$W$2:$W$1001,0),1)&gt;=100000,INDEX($AD$1005:$AU$1005,1,MATCH(COLUMNS($AD$1006:AL1006),$AD$1006:$AU$1006,0))&gt;=100000), " ",IF(INDEX($AD$2:$AU$1001,MATCH(ROWS($W$2:W931),$W$2:$W$1001,0),MATCH(COLUMNS($AD$1006:AL1006),$AD$1006:$AU$1006,0)), HYPERLINK("#",""), HYPERLINK(CONCATENATE("#metadata!", ADDRESS(INDEX($Y$2:$Y$1001,MATCH(ROWS($W$2:W931),$W$2:$W$1001,0),0), INDEX($AD$1004:$AU$1004,1,MATCH(COLUMNS($AD$1006:AL1006),$AD$1006:$AU$1006,0)))),"Fix")))</f>
        <v xml:space="preserve"> </v>
      </c>
      <c r="K931" s="4" t="str">
        <f ca="1">IF(OR(INDEX($X$2:$X$1001,MATCH(ROWS($W$2:W931),$W$2:$W$1001,0),1)&gt;=100000,INDEX($AD$1005:$AU$1005,1,MATCH(COLUMNS($AD$1006:AM1006),$AD$1006:$AU$1006,0))&gt;=100000), " ",IF(INDEX($AD$2:$AU$1001,MATCH(ROWS($W$2:W931),$W$2:$W$1001,0),MATCH(COLUMNS($AD$1006:AM1006),$AD$1006:$AU$1006,0)), HYPERLINK("#",""), HYPERLINK(CONCATENATE("#metadata!", ADDRESS(INDEX($Y$2:$Y$1001,MATCH(ROWS($W$2:W931),$W$2:$W$1001,0),0), INDEX($AD$1004:$AU$1004,1,MATCH(COLUMNS($AD$1006:AM1006),$AD$1006:$AU$1006,0)))),"Fix")))</f>
        <v xml:space="preserve"> </v>
      </c>
      <c r="L931" s="4" t="str">
        <f ca="1">IF(OR(INDEX($X$2:$X$1001,MATCH(ROWS($W$2:W931),$W$2:$W$1001,0),1)&gt;=100000,INDEX($AD$1005:$AU$1005,1,MATCH(COLUMNS($AD$1006:AN1006),$AD$1006:$AU$1006,0))&gt;=100000), " ",IF(INDEX($AD$2:$AU$1001,MATCH(ROWS($W$2:W931),$W$2:$W$1001,0),MATCH(COLUMNS($AD$1006:AN1006),$AD$1006:$AU$1006,0)), HYPERLINK("#",""), HYPERLINK(CONCATENATE("#metadata!", ADDRESS(INDEX($Y$2:$Y$1001,MATCH(ROWS($W$2:W931),$W$2:$W$1001,0),0), INDEX($AD$1004:$AU$1004,1,MATCH(COLUMNS($AD$1006:AN1006),$AD$1006:$AU$1006,0)))),"Fix")))</f>
        <v xml:space="preserve"> </v>
      </c>
      <c r="M931" s="4" t="str">
        <f ca="1">IF(OR(INDEX($X$2:$X$1001,MATCH(ROWS($W$2:W931),$W$2:$W$1001,0),1)&gt;=100000,INDEX($AD$1005:$AU$1005,1,MATCH(COLUMNS($AD$1006:AO1006),$AD$1006:$AU$1006,0))&gt;=100000), " ",IF(INDEX($AD$2:$AU$1001,MATCH(ROWS($W$2:W931),$W$2:$W$1001,0),MATCH(COLUMNS($AD$1006:AO1006),$AD$1006:$AU$1006,0)), HYPERLINK("#",""), HYPERLINK(CONCATENATE("#metadata!", ADDRESS(INDEX($Y$2:$Y$1001,MATCH(ROWS($W$2:W931),$W$2:$W$1001,0),0), INDEX($AD$1004:$AU$1004,1,MATCH(COLUMNS($AD$1006:AO1006),$AD$1006:$AU$1006,0)))),"Fix")))</f>
        <v xml:space="preserve"> </v>
      </c>
      <c r="N931" s="4" t="str">
        <f ca="1">IF(OR(INDEX($X$2:$X$1001,MATCH(ROWS($W$2:W931),$W$2:$W$1001,0),1)&gt;=100000,INDEX($AD$1005:$AU$1005,1,MATCH(COLUMNS($AD$1006:AP1006),$AD$1006:$AU$1006,0))&gt;=100000), " ",IF(INDEX($AD$2:$AU$1001,MATCH(ROWS($W$2:W931),$W$2:$W$1001,0),MATCH(COLUMNS($AD$1006:AP1006),$AD$1006:$AU$1006,0)), HYPERLINK("#",""), HYPERLINK(CONCATENATE("#metadata!", ADDRESS(INDEX($Y$2:$Y$1001,MATCH(ROWS($W$2:W931),$W$2:$W$1001,0),0), INDEX($AD$1004:$AU$1004,1,MATCH(COLUMNS($AD$1006:AP1006),$AD$1006:$AU$1006,0)))),"Fix")))</f>
        <v xml:space="preserve"> </v>
      </c>
      <c r="O931" s="4" t="str">
        <f ca="1">IF(OR(INDEX($X$2:$X$1001,MATCH(ROWS($W$2:W931),$W$2:$W$1001,0),1)&gt;=100000,INDEX($AD$1005:$AU$1005,1,MATCH(COLUMNS($AD$1006:AQ1006),$AD$1006:$AU$1006,0))&gt;=100000), " ",IF(INDEX($AD$2:$AU$1001,MATCH(ROWS($W$2:W931),$W$2:$W$1001,0),MATCH(COLUMNS($AD$1006:AQ1006),$AD$1006:$AU$1006,0)), HYPERLINK("#",""), HYPERLINK(CONCATENATE("#metadata!", ADDRESS(INDEX($Y$2:$Y$1001,MATCH(ROWS($W$2:W931),$W$2:$W$1001,0),0), INDEX($AD$1004:$AU$1004,1,MATCH(COLUMNS($AD$1006:AQ1006),$AD$1006:$AU$1006,0)))),"Fix")))</f>
        <v xml:space="preserve"> </v>
      </c>
      <c r="P931" s="4" t="str">
        <f ca="1">IF(OR(INDEX($X$2:$X$1001,MATCH(ROWS($W$2:W931),$W$2:$W$1001,0),1)&gt;=100000,INDEX($AD$1005:$AU$1005,1,MATCH(COLUMNS($AD$1006:AR1006),$AD$1006:$AU$1006,0))&gt;=100000), " ",IF(INDEX($AD$2:$AU$1001,MATCH(ROWS($W$2:W931),$W$2:$W$1001,0),MATCH(COLUMNS($AD$1006:AR1006),$AD$1006:$AU$1006,0)), HYPERLINK("#",""), HYPERLINK(CONCATENATE("#metadata!", ADDRESS(INDEX($Y$2:$Y$1001,MATCH(ROWS($W$2:W931),$W$2:$W$1001,0),0), INDEX($AD$1004:$AU$1004,1,MATCH(COLUMNS($AD$1006:AR1006),$AD$1006:$AU$1006,0)))),"Fix")))</f>
        <v xml:space="preserve"> </v>
      </c>
      <c r="Q931" s="4" t="str">
        <f ca="1">IF(OR(INDEX($X$2:$X$1001,MATCH(ROWS($W$2:W931),$W$2:$W$1001,0),1)&gt;=100000,INDEX($AD$1005:$AU$1005,1,MATCH(COLUMNS($AD$1006:AS1006),$AD$1006:$AU$1006,0))&gt;=100000), " ",IF(INDEX($AD$2:$AU$1001,MATCH(ROWS($W$2:W931),$W$2:$W$1001,0),MATCH(COLUMNS($AD$1006:AS1006),$AD$1006:$AU$1006,0)), HYPERLINK("#",""), HYPERLINK(CONCATENATE("#metadata!", ADDRESS(INDEX($Y$2:$Y$1001,MATCH(ROWS($W$2:W931),$W$2:$W$1001,0),0), INDEX($AD$1004:$AU$1004,1,MATCH(COLUMNS($AD$1006:AS1006),$AD$1006:$AU$1006,0)))),"Fix")))</f>
        <v xml:space="preserve"> </v>
      </c>
      <c r="R931" s="4" t="str">
        <f ca="1">IF(OR(INDEX($X$2:$X$1001,MATCH(ROWS($W$2:W931),$W$2:$W$1001,0),1)&gt;=100000,INDEX($AD$1005:$AU$1005,1,MATCH(COLUMNS($AD$1006:AT1006),$AD$1006:$AU$1006,0))&gt;=100000), " ",IF(INDEX($AD$2:$AU$1001,MATCH(ROWS($W$2:W931),$W$2:$W$1001,0),MATCH(COLUMNS($AD$1006:AT1006),$AD$1006:$AU$1006,0)), HYPERLINK("#",""), HYPERLINK(CONCATENATE("#metadata!", ADDRESS(INDEX($Y$2:$Y$1001,MATCH(ROWS($W$2:W931),$W$2:$W$1001,0),0), INDEX($AD$1004:$AU$1004,1,MATCH(COLUMNS($AD$1006:AT1006),$AD$1006:$AU$1006,0)))),"Fix")))</f>
        <v xml:space="preserve"> </v>
      </c>
      <c r="S931" s="4" t="str">
        <f ca="1">IF(OR(INDEX($X$2:$X$1001,MATCH(ROWS($W$2:W931),$W$2:$W$1001,0),1)&gt;=100000,INDEX($AD$1005:$AU$1005,1,MATCH(COLUMNS($AD$1006:AU1006),$AD$1006:$AU$1006,0))&gt;=100000), " ",IF(INDEX($AD$2:$AU$1001,MATCH(ROWS($W$2:W931),$W$2:$W$1001,0),MATCH(COLUMNS($AD$1006:AU1006),$AD$1006:$AU$1006,0)), HYPERLINK("#",""), HYPERLINK(CONCATENATE("#metadata!", ADDRESS(INDEX($Y$2:$Y$1001,MATCH(ROWS($W$2:W931),$W$2:$W$1001,0),0), INDEX($AD$1004:$AU$1004,1,MATCH(COLUMNS($AD$1006:AU1006),$AD$1006:$AU$1006,0)))),"Fix")))</f>
        <v xml:space="preserve"> </v>
      </c>
      <c r="W931">
        <v>930</v>
      </c>
      <c r="X931">
        <v>100931</v>
      </c>
      <c r="Y931">
        <v>931</v>
      </c>
      <c r="Z931" t="b">
        <f t="shared" si="14"/>
        <v>1</v>
      </c>
      <c r="AA931" t="b">
        <f>COUNTBLANK(metadata!B931:S931)=COLUMNS(metadata!B931:S931)</f>
        <v>1</v>
      </c>
      <c r="AB931" t="str">
        <v/>
      </c>
      <c r="AD931" t="b">
        <f ca="1">AND(IF(metadata!B931="",FALSE,TRUE),COUNTIF(metadata!B:B, metadata!B931) = 1,NOT(ISERROR(SUMPRODUCT(SEARCH(MID(metadata!B931,ROW(INDIRECT("1:"&amp;LEN(metadata!B931))), 1),"0123456789abcdefghijklmnopqrstuvwxyzABCDEFGHIJKLMNOPQRSTUVWXYZ.")))))</f>
        <v>0</v>
      </c>
      <c r="AE931" t="b">
        <f>OR(AND(IF(metadata!C931="",FALSE,TRUE),OR(EXACT(metadata!C931,"not applicable"),EXACT(metadata!C931,"missing: not collected"),EXACT(metadata!C931,"missing: not provided"),EXACT(metadata!C931,"missing: restricted access"))),AND(IF(metadata!C931="",FALSE,ISNUMBER(VALUE(metadata!C931))),metadata!C931&gt;0))</f>
        <v>0</v>
      </c>
      <c r="AF931" t="b">
        <f>AND(IF(metadata!D931="",FALSE,TRUE),EXACT(metadata!D931,"missing: not provided"))</f>
        <v>0</v>
      </c>
      <c r="AG931" t="b">
        <f>AND(IF(metadata!E931="",FALSE,TRUE),EXACT(metadata!E931,"Host-associated"))</f>
        <v>0</v>
      </c>
      <c r="AH931" t="b">
        <f>AND(IF(metadata!F931="",FALSE,TRUE),OR(EXACT(metadata!F931,"Animal"),EXACT(metadata!F931,"Fungus"),EXACT(metadata!F931,"Plant")))</f>
        <v>0</v>
      </c>
      <c r="AI931" t="b">
        <f>AND(IF(metadata!G931="",FALSE,TRUE),OR(EXACT(metadata!G931,"Plant secretion"),EXACT(metadata!G931,"Plant rhizosphere"),EXACT(metadata!G931,"Plant surface"),EXACT(metadata!G931,"Plant corpus"),EXACT(metadata!G931,"Fungus surface"),EXACT(metadata!G931,"Fungus corpus"),EXACT(metadata!G931,"Animal surface"),EXACT(metadata!G931,"Animal proximal gut"),EXACT(metadata!G931,"Animal corpus"),EXACT(metadata!G931,"Animal distal gut"),EXACT(metadata!G931,"Animal secretion")))</f>
        <v>0</v>
      </c>
      <c r="AJ931" t="b">
        <f>OR(AND(IF(metadata!H931="",FALSE,TRUE),OR(EXACT(metadata!H931,"missing: not collected"),EXACT(metadata!H931,"missing: not provided"),EXACT(metadata!H931,"missing: restricted access"))),AND(IF(metadata!H931="",FALSE,TRUE),OR(EXACT(metadata!H931,"organism-associated habitat"),EXACT(metadata!H931,"plant-associated habitat"),EXACT(metadata!H931,"animal-associated habitat"),EXACT(metadata!H931,"insecta-associated habitat"),EXACT(metadata!H931,"mammalia-associated habitat"),EXACT(metadata!H931,"human-associated habitat"),EXACT(metadata!H931,"livestock-associated habitat"))))</f>
        <v>0</v>
      </c>
      <c r="AK931" t="b">
        <f>AND(IF(metadata!I931="",FALSE,TRUE),EXACT(metadata!I931,"host-associated"))</f>
        <v>0</v>
      </c>
      <c r="AL931" t="b">
        <f>OR(AND(IF(metadata!J931="",FALSE,TRUE),OR(EXACT(metadata!J931,"not applicable"),EXACT(metadata!J931,"missing: not collected"),EXACT(metadata!J931,"missing: not provided"),EXACT(metadata!J931,"missing: restricted access"))),AND(IF(metadata!J931="",FALSE,ISNUMBER(VALUE(metadata!J931))),metadata!J931&gt;0))</f>
        <v>0</v>
      </c>
      <c r="AM931" t="b">
        <f>AND(IF(metadata!K931="",FALSE,TRUE),EXACT(metadata!K931,"missing: not provided"))</f>
        <v>0</v>
      </c>
      <c r="AN931" t="b">
        <f>IF(metadata!L931="",FALSE,TRUE)</f>
        <v>0</v>
      </c>
      <c r="AO931" t="b">
        <f>IF(metadata!M931="",FALSE,TRUE)</f>
        <v>0</v>
      </c>
      <c r="AP931" t="b">
        <f>OR(AND(IF(metadata!N931="",FALSE,TRUE),OR(EXACT(metadata!N931,"not applicable"),EXACT(metadata!N931,"missing: not collected"),EXACT(metadata!N931,"missing: not provided"))),AND(IF(metadata!N931="",FALSE,IF(ISERROR(INT(metadata!N931)),FALSE,INT(metadata!N931)=metadata!N931)),metadata!N931&gt;0))</f>
        <v>0</v>
      </c>
      <c r="AQ931" t="b">
        <f>AND(IF(metadata!O931="",FALSE,TRUE),EXACT(metadata!O931,"Not applicable"))</f>
        <v>0</v>
      </c>
      <c r="AR931" t="b">
        <f>OR(AND(IF(metadata!P931="",FALSE,TRUE),OR(EXACT(metadata!P931,"not applicable"),EXACT(metadata!P931,"missing: not collected"),EXACT(metadata!P931,"missing: not provided"),EXACT(metadata!P931,"missing: restricted access"))),IF(metadata!P931="",FALSE,IF(ISERROR(INT(metadata!P931)),FALSE,INT(metadata!P931)=metadata!P931)))</f>
        <v>0</v>
      </c>
      <c r="AS931" t="b">
        <f>AND(IF(metadata!Q931="",FALSE,TRUE),EXACT(metadata!Q931,"Not applicable"))</f>
        <v>0</v>
      </c>
      <c r="AT931" t="b">
        <f>OR(AND(IF(metadata!R931="",FALSE,TRUE),OR(EXACT(metadata!R931,"not applicable"),EXACT(metadata!R931,"missing: not collected"),EXACT(metadata!R931,"missing: not provided"),EXACT(metadata!R931,"missing: restricted access"))),AND(IF(metadata!R931="",FALSE,ISNUMBER(VALUE(metadata!R931))),metadata!R931&gt;0))</f>
        <v>0</v>
      </c>
      <c r="AU931" t="b">
        <f>AND(IF(metadata!S931="",FALSE,TRUE),EXACT(metadata!S931,"missing: not provided"))</f>
        <v>0</v>
      </c>
    </row>
    <row r="932" spans="1:47" x14ac:dyDescent="0.2">
      <c r="A932" s="5" t="str">
        <f ca="1">IF(B932=" "," ",HYPERLINK(CONCATENATE("#metadata!",ADDRESS(INDEX($Y$2:$Y$1001,MATCH(ROWS($W$2:W932),$W$2:$W$1001,0),0),1)),INDEX($AB$2:$AB$1001,MATCH(ROWS($W$2:W932),$W$2:$W$1001,0),0)))</f>
        <v xml:space="preserve"> </v>
      </c>
      <c r="B932" s="4" t="str">
        <f ca="1">IF(OR(INDEX($X$2:$X$1001,MATCH(ROWS($W$2:W932),$W$2:$W$1001,0),1)&gt;=100000,INDEX($AD$1005:$AU$1005,1,MATCH(COLUMNS($AD$1006:AD1006),$AD$1006:$AU$1006,0))&gt;=100000), " ",IF(INDEX($AD$2:$AU$1001,MATCH(ROWS($W$2:W932),$W$2:$W$1001,0),MATCH(COLUMNS($AD$1006:AD1006),$AD$1006:$AU$1006,0)), HYPERLINK("#",""), HYPERLINK(CONCATENATE("#metadata!", ADDRESS(INDEX($Y$2:$Y$1001,MATCH(ROWS($W$2:W932),$W$2:$W$1001,0),0), INDEX($AD$1004:$AU$1004,1,MATCH(COLUMNS($AD$1006:AD1006),$AD$1006:$AU$1006,0)))),"Fix")))</f>
        <v xml:space="preserve"> </v>
      </c>
      <c r="C932" s="4" t="str">
        <f ca="1">IF(OR(INDEX($X$2:$X$1001,MATCH(ROWS($W$2:W932),$W$2:$W$1001,0),1)&gt;=100000,INDEX($AD$1005:$AU$1005,1,MATCH(COLUMNS($AD$1006:AE1006),$AD$1006:$AU$1006,0))&gt;=100000), " ",IF(INDEX($AD$2:$AU$1001,MATCH(ROWS($W$2:W932),$W$2:$W$1001,0),MATCH(COLUMNS($AD$1006:AE1006),$AD$1006:$AU$1006,0)), HYPERLINK("#",""), HYPERLINK(CONCATENATE("#metadata!", ADDRESS(INDEX($Y$2:$Y$1001,MATCH(ROWS($W$2:W932),$W$2:$W$1001,0),0), INDEX($AD$1004:$AU$1004,1,MATCH(COLUMNS($AD$1006:AE1006),$AD$1006:$AU$1006,0)))),"Fix")))</f>
        <v xml:space="preserve"> </v>
      </c>
      <c r="D932" s="4" t="str">
        <f ca="1">IF(OR(INDEX($X$2:$X$1001,MATCH(ROWS($W$2:W932),$W$2:$W$1001,0),1)&gt;=100000,INDEX($AD$1005:$AU$1005,1,MATCH(COLUMNS($AD$1006:AF1006),$AD$1006:$AU$1006,0))&gt;=100000), " ",IF(INDEX($AD$2:$AU$1001,MATCH(ROWS($W$2:W932),$W$2:$W$1001,0),MATCH(COLUMNS($AD$1006:AF1006),$AD$1006:$AU$1006,0)), HYPERLINK("#",""), HYPERLINK(CONCATENATE("#metadata!", ADDRESS(INDEX($Y$2:$Y$1001,MATCH(ROWS($W$2:W932),$W$2:$W$1001,0),0), INDEX($AD$1004:$AU$1004,1,MATCH(COLUMNS($AD$1006:AF1006),$AD$1006:$AU$1006,0)))),"Fix")))</f>
        <v xml:space="preserve"> </v>
      </c>
      <c r="E932" s="4" t="str">
        <f ca="1">IF(OR(INDEX($X$2:$X$1001,MATCH(ROWS($W$2:W932),$W$2:$W$1001,0),1)&gt;=100000,INDEX($AD$1005:$AU$1005,1,MATCH(COLUMNS($AD$1006:AG1006),$AD$1006:$AU$1006,0))&gt;=100000), " ",IF(INDEX($AD$2:$AU$1001,MATCH(ROWS($W$2:W932),$W$2:$W$1001,0),MATCH(COLUMNS($AD$1006:AG1006),$AD$1006:$AU$1006,0)), HYPERLINK("#",""), HYPERLINK(CONCATENATE("#metadata!", ADDRESS(INDEX($Y$2:$Y$1001,MATCH(ROWS($W$2:W932),$W$2:$W$1001,0),0), INDEX($AD$1004:$AU$1004,1,MATCH(COLUMNS($AD$1006:AG1006),$AD$1006:$AU$1006,0)))),"Fix")))</f>
        <v xml:space="preserve"> </v>
      </c>
      <c r="F932" s="4" t="str">
        <f ca="1">IF(OR(INDEX($X$2:$X$1001,MATCH(ROWS($W$2:W932),$W$2:$W$1001,0),1)&gt;=100000,INDEX($AD$1005:$AU$1005,1,MATCH(COLUMNS($AD$1006:AH1006),$AD$1006:$AU$1006,0))&gt;=100000), " ",IF(INDEX($AD$2:$AU$1001,MATCH(ROWS($W$2:W932),$W$2:$W$1001,0),MATCH(COLUMNS($AD$1006:AH1006),$AD$1006:$AU$1006,0)), HYPERLINK("#",""), HYPERLINK(CONCATENATE("#metadata!", ADDRESS(INDEX($Y$2:$Y$1001,MATCH(ROWS($W$2:W932),$W$2:$W$1001,0),0), INDEX($AD$1004:$AU$1004,1,MATCH(COLUMNS($AD$1006:AH1006),$AD$1006:$AU$1006,0)))),"Fix")))</f>
        <v xml:space="preserve"> </v>
      </c>
      <c r="G932" s="4" t="str">
        <f ca="1">IF(OR(INDEX($X$2:$X$1001,MATCH(ROWS($W$2:W932),$W$2:$W$1001,0),1)&gt;=100000,INDEX($AD$1005:$AU$1005,1,MATCH(COLUMNS($AD$1006:AI1006),$AD$1006:$AU$1006,0))&gt;=100000), " ",IF(INDEX($AD$2:$AU$1001,MATCH(ROWS($W$2:W932),$W$2:$W$1001,0),MATCH(COLUMNS($AD$1006:AI1006),$AD$1006:$AU$1006,0)), HYPERLINK("#",""), HYPERLINK(CONCATENATE("#metadata!", ADDRESS(INDEX($Y$2:$Y$1001,MATCH(ROWS($W$2:W932),$W$2:$W$1001,0),0), INDEX($AD$1004:$AU$1004,1,MATCH(COLUMNS($AD$1006:AI1006),$AD$1006:$AU$1006,0)))),"Fix")))</f>
        <v xml:space="preserve"> </v>
      </c>
      <c r="H932" s="4" t="str">
        <f ca="1">IF(OR(INDEX($X$2:$X$1001,MATCH(ROWS($W$2:W932),$W$2:$W$1001,0),1)&gt;=100000,INDEX($AD$1005:$AU$1005,1,MATCH(COLUMNS($AD$1006:AJ1006),$AD$1006:$AU$1006,0))&gt;=100000), " ",IF(INDEX($AD$2:$AU$1001,MATCH(ROWS($W$2:W932),$W$2:$W$1001,0),MATCH(COLUMNS($AD$1006:AJ1006),$AD$1006:$AU$1006,0)), HYPERLINK("#",""), HYPERLINK(CONCATENATE("#metadata!", ADDRESS(INDEX($Y$2:$Y$1001,MATCH(ROWS($W$2:W932),$W$2:$W$1001,0),0), INDEX($AD$1004:$AU$1004,1,MATCH(COLUMNS($AD$1006:AJ1006),$AD$1006:$AU$1006,0)))),"Fix")))</f>
        <v xml:space="preserve"> </v>
      </c>
      <c r="I932" s="4" t="str">
        <f ca="1">IF(OR(INDEX($X$2:$X$1001,MATCH(ROWS($W$2:W932),$W$2:$W$1001,0),1)&gt;=100000,INDEX($AD$1005:$AU$1005,1,MATCH(COLUMNS($AD$1006:AK1006),$AD$1006:$AU$1006,0))&gt;=100000), " ",IF(INDEX($AD$2:$AU$1001,MATCH(ROWS($W$2:W932),$W$2:$W$1001,0),MATCH(COLUMNS($AD$1006:AK1006),$AD$1006:$AU$1006,0)), HYPERLINK("#",""), HYPERLINK(CONCATENATE("#metadata!", ADDRESS(INDEX($Y$2:$Y$1001,MATCH(ROWS($W$2:W932),$W$2:$W$1001,0),0), INDEX($AD$1004:$AU$1004,1,MATCH(COLUMNS($AD$1006:AK1006),$AD$1006:$AU$1006,0)))),"Fix")))</f>
        <v xml:space="preserve"> </v>
      </c>
      <c r="J932" s="4" t="str">
        <f ca="1">IF(OR(INDEX($X$2:$X$1001,MATCH(ROWS($W$2:W932),$W$2:$W$1001,0),1)&gt;=100000,INDEX($AD$1005:$AU$1005,1,MATCH(COLUMNS($AD$1006:AL1006),$AD$1006:$AU$1006,0))&gt;=100000), " ",IF(INDEX($AD$2:$AU$1001,MATCH(ROWS($W$2:W932),$W$2:$W$1001,0),MATCH(COLUMNS($AD$1006:AL1006),$AD$1006:$AU$1006,0)), HYPERLINK("#",""), HYPERLINK(CONCATENATE("#metadata!", ADDRESS(INDEX($Y$2:$Y$1001,MATCH(ROWS($W$2:W932),$W$2:$W$1001,0),0), INDEX($AD$1004:$AU$1004,1,MATCH(COLUMNS($AD$1006:AL1006),$AD$1006:$AU$1006,0)))),"Fix")))</f>
        <v xml:space="preserve"> </v>
      </c>
      <c r="K932" s="4" t="str">
        <f ca="1">IF(OR(INDEX($X$2:$X$1001,MATCH(ROWS($W$2:W932),$W$2:$W$1001,0),1)&gt;=100000,INDEX($AD$1005:$AU$1005,1,MATCH(COLUMNS($AD$1006:AM1006),$AD$1006:$AU$1006,0))&gt;=100000), " ",IF(INDEX($AD$2:$AU$1001,MATCH(ROWS($W$2:W932),$W$2:$W$1001,0),MATCH(COLUMNS($AD$1006:AM1006),$AD$1006:$AU$1006,0)), HYPERLINK("#",""), HYPERLINK(CONCATENATE("#metadata!", ADDRESS(INDEX($Y$2:$Y$1001,MATCH(ROWS($W$2:W932),$W$2:$W$1001,0),0), INDEX($AD$1004:$AU$1004,1,MATCH(COLUMNS($AD$1006:AM1006),$AD$1006:$AU$1006,0)))),"Fix")))</f>
        <v xml:space="preserve"> </v>
      </c>
      <c r="L932" s="4" t="str">
        <f ca="1">IF(OR(INDEX($X$2:$X$1001,MATCH(ROWS($W$2:W932),$W$2:$W$1001,0),1)&gt;=100000,INDEX($AD$1005:$AU$1005,1,MATCH(COLUMNS($AD$1006:AN1006),$AD$1006:$AU$1006,0))&gt;=100000), " ",IF(INDEX($AD$2:$AU$1001,MATCH(ROWS($W$2:W932),$W$2:$W$1001,0),MATCH(COLUMNS($AD$1006:AN1006),$AD$1006:$AU$1006,0)), HYPERLINK("#",""), HYPERLINK(CONCATENATE("#metadata!", ADDRESS(INDEX($Y$2:$Y$1001,MATCH(ROWS($W$2:W932),$W$2:$W$1001,0),0), INDEX($AD$1004:$AU$1004,1,MATCH(COLUMNS($AD$1006:AN1006),$AD$1006:$AU$1006,0)))),"Fix")))</f>
        <v xml:space="preserve"> </v>
      </c>
      <c r="M932" s="4" t="str">
        <f ca="1">IF(OR(INDEX($X$2:$X$1001,MATCH(ROWS($W$2:W932),$W$2:$W$1001,0),1)&gt;=100000,INDEX($AD$1005:$AU$1005,1,MATCH(COLUMNS($AD$1006:AO1006),$AD$1006:$AU$1006,0))&gt;=100000), " ",IF(INDEX($AD$2:$AU$1001,MATCH(ROWS($W$2:W932),$W$2:$W$1001,0),MATCH(COLUMNS($AD$1006:AO1006),$AD$1006:$AU$1006,0)), HYPERLINK("#",""), HYPERLINK(CONCATENATE("#metadata!", ADDRESS(INDEX($Y$2:$Y$1001,MATCH(ROWS($W$2:W932),$W$2:$W$1001,0),0), INDEX($AD$1004:$AU$1004,1,MATCH(COLUMNS($AD$1006:AO1006),$AD$1006:$AU$1006,0)))),"Fix")))</f>
        <v xml:space="preserve"> </v>
      </c>
      <c r="N932" s="4" t="str">
        <f ca="1">IF(OR(INDEX($X$2:$X$1001,MATCH(ROWS($W$2:W932),$W$2:$W$1001,0),1)&gt;=100000,INDEX($AD$1005:$AU$1005,1,MATCH(COLUMNS($AD$1006:AP1006),$AD$1006:$AU$1006,0))&gt;=100000), " ",IF(INDEX($AD$2:$AU$1001,MATCH(ROWS($W$2:W932),$W$2:$W$1001,0),MATCH(COLUMNS($AD$1006:AP1006),$AD$1006:$AU$1006,0)), HYPERLINK("#",""), HYPERLINK(CONCATENATE("#metadata!", ADDRESS(INDEX($Y$2:$Y$1001,MATCH(ROWS($W$2:W932),$W$2:$W$1001,0),0), INDEX($AD$1004:$AU$1004,1,MATCH(COLUMNS($AD$1006:AP1006),$AD$1006:$AU$1006,0)))),"Fix")))</f>
        <v xml:space="preserve"> </v>
      </c>
      <c r="O932" s="4" t="str">
        <f ca="1">IF(OR(INDEX($X$2:$X$1001,MATCH(ROWS($W$2:W932),$W$2:$W$1001,0),1)&gt;=100000,INDEX($AD$1005:$AU$1005,1,MATCH(COLUMNS($AD$1006:AQ1006),$AD$1006:$AU$1006,0))&gt;=100000), " ",IF(INDEX($AD$2:$AU$1001,MATCH(ROWS($W$2:W932),$W$2:$W$1001,0),MATCH(COLUMNS($AD$1006:AQ1006),$AD$1006:$AU$1006,0)), HYPERLINK("#",""), HYPERLINK(CONCATENATE("#metadata!", ADDRESS(INDEX($Y$2:$Y$1001,MATCH(ROWS($W$2:W932),$W$2:$W$1001,0),0), INDEX($AD$1004:$AU$1004,1,MATCH(COLUMNS($AD$1006:AQ1006),$AD$1006:$AU$1006,0)))),"Fix")))</f>
        <v xml:space="preserve"> </v>
      </c>
      <c r="P932" s="4" t="str">
        <f ca="1">IF(OR(INDEX($X$2:$X$1001,MATCH(ROWS($W$2:W932),$W$2:$W$1001,0),1)&gt;=100000,INDEX($AD$1005:$AU$1005,1,MATCH(COLUMNS($AD$1006:AR1006),$AD$1006:$AU$1006,0))&gt;=100000), " ",IF(INDEX($AD$2:$AU$1001,MATCH(ROWS($W$2:W932),$W$2:$W$1001,0),MATCH(COLUMNS($AD$1006:AR1006),$AD$1006:$AU$1006,0)), HYPERLINK("#",""), HYPERLINK(CONCATENATE("#metadata!", ADDRESS(INDEX($Y$2:$Y$1001,MATCH(ROWS($W$2:W932),$W$2:$W$1001,0),0), INDEX($AD$1004:$AU$1004,1,MATCH(COLUMNS($AD$1006:AR1006),$AD$1006:$AU$1006,0)))),"Fix")))</f>
        <v xml:space="preserve"> </v>
      </c>
      <c r="Q932" s="4" t="str">
        <f ca="1">IF(OR(INDEX($X$2:$X$1001,MATCH(ROWS($W$2:W932),$W$2:$W$1001,0),1)&gt;=100000,INDEX($AD$1005:$AU$1005,1,MATCH(COLUMNS($AD$1006:AS1006),$AD$1006:$AU$1006,0))&gt;=100000), " ",IF(INDEX($AD$2:$AU$1001,MATCH(ROWS($W$2:W932),$W$2:$W$1001,0),MATCH(COLUMNS($AD$1006:AS1006),$AD$1006:$AU$1006,0)), HYPERLINK("#",""), HYPERLINK(CONCATENATE("#metadata!", ADDRESS(INDEX($Y$2:$Y$1001,MATCH(ROWS($W$2:W932),$W$2:$W$1001,0),0), INDEX($AD$1004:$AU$1004,1,MATCH(COLUMNS($AD$1006:AS1006),$AD$1006:$AU$1006,0)))),"Fix")))</f>
        <v xml:space="preserve"> </v>
      </c>
      <c r="R932" s="4" t="str">
        <f ca="1">IF(OR(INDEX($X$2:$X$1001,MATCH(ROWS($W$2:W932),$W$2:$W$1001,0),1)&gt;=100000,INDEX($AD$1005:$AU$1005,1,MATCH(COLUMNS($AD$1006:AT1006),$AD$1006:$AU$1006,0))&gt;=100000), " ",IF(INDEX($AD$2:$AU$1001,MATCH(ROWS($W$2:W932),$W$2:$W$1001,0),MATCH(COLUMNS($AD$1006:AT1006),$AD$1006:$AU$1006,0)), HYPERLINK("#",""), HYPERLINK(CONCATENATE("#metadata!", ADDRESS(INDEX($Y$2:$Y$1001,MATCH(ROWS($W$2:W932),$W$2:$W$1001,0),0), INDEX($AD$1004:$AU$1004,1,MATCH(COLUMNS($AD$1006:AT1006),$AD$1006:$AU$1006,0)))),"Fix")))</f>
        <v xml:space="preserve"> </v>
      </c>
      <c r="S932" s="4" t="str">
        <f ca="1">IF(OR(INDEX($X$2:$X$1001,MATCH(ROWS($W$2:W932),$W$2:$W$1001,0),1)&gt;=100000,INDEX($AD$1005:$AU$1005,1,MATCH(COLUMNS($AD$1006:AU1006),$AD$1006:$AU$1006,0))&gt;=100000), " ",IF(INDEX($AD$2:$AU$1001,MATCH(ROWS($W$2:W932),$W$2:$W$1001,0),MATCH(COLUMNS($AD$1006:AU1006),$AD$1006:$AU$1006,0)), HYPERLINK("#",""), HYPERLINK(CONCATENATE("#metadata!", ADDRESS(INDEX($Y$2:$Y$1001,MATCH(ROWS($W$2:W932),$W$2:$W$1001,0),0), INDEX($AD$1004:$AU$1004,1,MATCH(COLUMNS($AD$1006:AU1006),$AD$1006:$AU$1006,0)))),"Fix")))</f>
        <v xml:space="preserve"> </v>
      </c>
      <c r="W932">
        <v>931</v>
      </c>
      <c r="X932">
        <v>100932</v>
      </c>
      <c r="Y932">
        <v>932</v>
      </c>
      <c r="Z932" t="b">
        <f t="shared" si="14"/>
        <v>1</v>
      </c>
      <c r="AA932" t="b">
        <f>COUNTBLANK(metadata!B932:S932)=COLUMNS(metadata!B932:S932)</f>
        <v>1</v>
      </c>
      <c r="AB932" t="str">
        <v/>
      </c>
      <c r="AD932" t="b">
        <f ca="1">AND(IF(metadata!B932="",FALSE,TRUE),COUNTIF(metadata!B:B, metadata!B932) = 1,NOT(ISERROR(SUMPRODUCT(SEARCH(MID(metadata!B932,ROW(INDIRECT("1:"&amp;LEN(metadata!B932))), 1),"0123456789abcdefghijklmnopqrstuvwxyzABCDEFGHIJKLMNOPQRSTUVWXYZ.")))))</f>
        <v>0</v>
      </c>
      <c r="AE932" t="b">
        <f>OR(AND(IF(metadata!C932="",FALSE,TRUE),OR(EXACT(metadata!C932,"not applicable"),EXACT(metadata!C932,"missing: not collected"),EXACT(metadata!C932,"missing: not provided"),EXACT(metadata!C932,"missing: restricted access"))),AND(IF(metadata!C932="",FALSE,ISNUMBER(VALUE(metadata!C932))),metadata!C932&gt;0))</f>
        <v>0</v>
      </c>
      <c r="AF932" t="b">
        <f>AND(IF(metadata!D932="",FALSE,TRUE),EXACT(metadata!D932,"missing: not provided"))</f>
        <v>0</v>
      </c>
      <c r="AG932" t="b">
        <f>AND(IF(metadata!E932="",FALSE,TRUE),EXACT(metadata!E932,"Host-associated"))</f>
        <v>0</v>
      </c>
      <c r="AH932" t="b">
        <f>AND(IF(metadata!F932="",FALSE,TRUE),OR(EXACT(metadata!F932,"Animal"),EXACT(metadata!F932,"Fungus"),EXACT(metadata!F932,"Plant")))</f>
        <v>0</v>
      </c>
      <c r="AI932" t="b">
        <f>AND(IF(metadata!G932="",FALSE,TRUE),OR(EXACT(metadata!G932,"Plant secretion"),EXACT(metadata!G932,"Plant rhizosphere"),EXACT(metadata!G932,"Plant surface"),EXACT(metadata!G932,"Plant corpus"),EXACT(metadata!G932,"Fungus surface"),EXACT(metadata!G932,"Fungus corpus"),EXACT(metadata!G932,"Animal surface"),EXACT(metadata!G932,"Animal proximal gut"),EXACT(metadata!G932,"Animal corpus"),EXACT(metadata!G932,"Animal distal gut"),EXACT(metadata!G932,"Animal secretion")))</f>
        <v>0</v>
      </c>
      <c r="AJ932" t="b">
        <f>OR(AND(IF(metadata!H932="",FALSE,TRUE),OR(EXACT(metadata!H932,"missing: not collected"),EXACT(metadata!H932,"missing: not provided"),EXACT(metadata!H932,"missing: restricted access"))),AND(IF(metadata!H932="",FALSE,TRUE),OR(EXACT(metadata!H932,"organism-associated habitat"),EXACT(metadata!H932,"plant-associated habitat"),EXACT(metadata!H932,"animal-associated habitat"),EXACT(metadata!H932,"insecta-associated habitat"),EXACT(metadata!H932,"mammalia-associated habitat"),EXACT(metadata!H932,"human-associated habitat"),EXACT(metadata!H932,"livestock-associated habitat"))))</f>
        <v>0</v>
      </c>
      <c r="AK932" t="b">
        <f>AND(IF(metadata!I932="",FALSE,TRUE),EXACT(metadata!I932,"host-associated"))</f>
        <v>0</v>
      </c>
      <c r="AL932" t="b">
        <f>OR(AND(IF(metadata!J932="",FALSE,TRUE),OR(EXACT(metadata!J932,"not applicable"),EXACT(metadata!J932,"missing: not collected"),EXACT(metadata!J932,"missing: not provided"),EXACT(metadata!J932,"missing: restricted access"))),AND(IF(metadata!J932="",FALSE,ISNUMBER(VALUE(metadata!J932))),metadata!J932&gt;0))</f>
        <v>0</v>
      </c>
      <c r="AM932" t="b">
        <f>AND(IF(metadata!K932="",FALSE,TRUE),EXACT(metadata!K932,"missing: not provided"))</f>
        <v>0</v>
      </c>
      <c r="AN932" t="b">
        <f>IF(metadata!L932="",FALSE,TRUE)</f>
        <v>0</v>
      </c>
      <c r="AO932" t="b">
        <f>IF(metadata!M932="",FALSE,TRUE)</f>
        <v>0</v>
      </c>
      <c r="AP932" t="b">
        <f>OR(AND(IF(metadata!N932="",FALSE,TRUE),OR(EXACT(metadata!N932,"not applicable"),EXACT(metadata!N932,"missing: not collected"),EXACT(metadata!N932,"missing: not provided"))),AND(IF(metadata!N932="",FALSE,IF(ISERROR(INT(metadata!N932)),FALSE,INT(metadata!N932)=metadata!N932)),metadata!N932&gt;0))</f>
        <v>0</v>
      </c>
      <c r="AQ932" t="b">
        <f>AND(IF(metadata!O932="",FALSE,TRUE),EXACT(metadata!O932,"Not applicable"))</f>
        <v>0</v>
      </c>
      <c r="AR932" t="b">
        <f>OR(AND(IF(metadata!P932="",FALSE,TRUE),OR(EXACT(metadata!P932,"not applicable"),EXACT(metadata!P932,"missing: not collected"),EXACT(metadata!P932,"missing: not provided"),EXACT(metadata!P932,"missing: restricted access"))),IF(metadata!P932="",FALSE,IF(ISERROR(INT(metadata!P932)),FALSE,INT(metadata!P932)=metadata!P932)))</f>
        <v>0</v>
      </c>
      <c r="AS932" t="b">
        <f>AND(IF(metadata!Q932="",FALSE,TRUE),EXACT(metadata!Q932,"Not applicable"))</f>
        <v>0</v>
      </c>
      <c r="AT932" t="b">
        <f>OR(AND(IF(metadata!R932="",FALSE,TRUE),OR(EXACT(metadata!R932,"not applicable"),EXACT(metadata!R932,"missing: not collected"),EXACT(metadata!R932,"missing: not provided"),EXACT(metadata!R932,"missing: restricted access"))),AND(IF(metadata!R932="",FALSE,ISNUMBER(VALUE(metadata!R932))),metadata!R932&gt;0))</f>
        <v>0</v>
      </c>
      <c r="AU932" t="b">
        <f>AND(IF(metadata!S932="",FALSE,TRUE),EXACT(metadata!S932,"missing: not provided"))</f>
        <v>0</v>
      </c>
    </row>
    <row r="933" spans="1:47" x14ac:dyDescent="0.2">
      <c r="A933" s="5" t="str">
        <f ca="1">IF(B933=" "," ",HYPERLINK(CONCATENATE("#metadata!",ADDRESS(INDEX($Y$2:$Y$1001,MATCH(ROWS($W$2:W933),$W$2:$W$1001,0),0),1)),INDEX($AB$2:$AB$1001,MATCH(ROWS($W$2:W933),$W$2:$W$1001,0),0)))</f>
        <v xml:space="preserve"> </v>
      </c>
      <c r="B933" s="4" t="str">
        <f ca="1">IF(OR(INDEX($X$2:$X$1001,MATCH(ROWS($W$2:W933),$W$2:$W$1001,0),1)&gt;=100000,INDEX($AD$1005:$AU$1005,1,MATCH(COLUMNS($AD$1006:AD1006),$AD$1006:$AU$1006,0))&gt;=100000), " ",IF(INDEX($AD$2:$AU$1001,MATCH(ROWS($W$2:W933),$W$2:$W$1001,0),MATCH(COLUMNS($AD$1006:AD1006),$AD$1006:$AU$1006,0)), HYPERLINK("#",""), HYPERLINK(CONCATENATE("#metadata!", ADDRESS(INDEX($Y$2:$Y$1001,MATCH(ROWS($W$2:W933),$W$2:$W$1001,0),0), INDEX($AD$1004:$AU$1004,1,MATCH(COLUMNS($AD$1006:AD1006),$AD$1006:$AU$1006,0)))),"Fix")))</f>
        <v xml:space="preserve"> </v>
      </c>
      <c r="C933" s="4" t="str">
        <f ca="1">IF(OR(INDEX($X$2:$X$1001,MATCH(ROWS($W$2:W933),$W$2:$W$1001,0),1)&gt;=100000,INDEX($AD$1005:$AU$1005,1,MATCH(COLUMNS($AD$1006:AE1006),$AD$1006:$AU$1006,0))&gt;=100000), " ",IF(INDEX($AD$2:$AU$1001,MATCH(ROWS($W$2:W933),$W$2:$W$1001,0),MATCH(COLUMNS($AD$1006:AE1006),$AD$1006:$AU$1006,0)), HYPERLINK("#",""), HYPERLINK(CONCATENATE("#metadata!", ADDRESS(INDEX($Y$2:$Y$1001,MATCH(ROWS($W$2:W933),$W$2:$W$1001,0),0), INDEX($AD$1004:$AU$1004,1,MATCH(COLUMNS($AD$1006:AE1006),$AD$1006:$AU$1006,0)))),"Fix")))</f>
        <v xml:space="preserve"> </v>
      </c>
      <c r="D933" s="4" t="str">
        <f ca="1">IF(OR(INDEX($X$2:$X$1001,MATCH(ROWS($W$2:W933),$W$2:$W$1001,0),1)&gt;=100000,INDEX($AD$1005:$AU$1005,1,MATCH(COLUMNS($AD$1006:AF1006),$AD$1006:$AU$1006,0))&gt;=100000), " ",IF(INDEX($AD$2:$AU$1001,MATCH(ROWS($W$2:W933),$W$2:$W$1001,0),MATCH(COLUMNS($AD$1006:AF1006),$AD$1006:$AU$1006,0)), HYPERLINK("#",""), HYPERLINK(CONCATENATE("#metadata!", ADDRESS(INDEX($Y$2:$Y$1001,MATCH(ROWS($W$2:W933),$W$2:$W$1001,0),0), INDEX($AD$1004:$AU$1004,1,MATCH(COLUMNS($AD$1006:AF1006),$AD$1006:$AU$1006,0)))),"Fix")))</f>
        <v xml:space="preserve"> </v>
      </c>
      <c r="E933" s="4" t="str">
        <f ca="1">IF(OR(INDEX($X$2:$X$1001,MATCH(ROWS($W$2:W933),$W$2:$W$1001,0),1)&gt;=100000,INDEX($AD$1005:$AU$1005,1,MATCH(COLUMNS($AD$1006:AG1006),$AD$1006:$AU$1006,0))&gt;=100000), " ",IF(INDEX($AD$2:$AU$1001,MATCH(ROWS($W$2:W933),$W$2:$W$1001,0),MATCH(COLUMNS($AD$1006:AG1006),$AD$1006:$AU$1006,0)), HYPERLINK("#",""), HYPERLINK(CONCATENATE("#metadata!", ADDRESS(INDEX($Y$2:$Y$1001,MATCH(ROWS($W$2:W933),$W$2:$W$1001,0),0), INDEX($AD$1004:$AU$1004,1,MATCH(COLUMNS($AD$1006:AG1006),$AD$1006:$AU$1006,0)))),"Fix")))</f>
        <v xml:space="preserve"> </v>
      </c>
      <c r="F933" s="4" t="str">
        <f ca="1">IF(OR(INDEX($X$2:$X$1001,MATCH(ROWS($W$2:W933),$W$2:$W$1001,0),1)&gt;=100000,INDEX($AD$1005:$AU$1005,1,MATCH(COLUMNS($AD$1006:AH1006),$AD$1006:$AU$1006,0))&gt;=100000), " ",IF(INDEX($AD$2:$AU$1001,MATCH(ROWS($W$2:W933),$W$2:$W$1001,0),MATCH(COLUMNS($AD$1006:AH1006),$AD$1006:$AU$1006,0)), HYPERLINK("#",""), HYPERLINK(CONCATENATE("#metadata!", ADDRESS(INDEX($Y$2:$Y$1001,MATCH(ROWS($W$2:W933),$W$2:$W$1001,0),0), INDEX($AD$1004:$AU$1004,1,MATCH(COLUMNS($AD$1006:AH1006),$AD$1006:$AU$1006,0)))),"Fix")))</f>
        <v xml:space="preserve"> </v>
      </c>
      <c r="G933" s="4" t="str">
        <f ca="1">IF(OR(INDEX($X$2:$X$1001,MATCH(ROWS($W$2:W933),$W$2:$W$1001,0),1)&gt;=100000,INDEX($AD$1005:$AU$1005,1,MATCH(COLUMNS($AD$1006:AI1006),$AD$1006:$AU$1006,0))&gt;=100000), " ",IF(INDEX($AD$2:$AU$1001,MATCH(ROWS($W$2:W933),$W$2:$W$1001,0),MATCH(COLUMNS($AD$1006:AI1006),$AD$1006:$AU$1006,0)), HYPERLINK("#",""), HYPERLINK(CONCATENATE("#metadata!", ADDRESS(INDEX($Y$2:$Y$1001,MATCH(ROWS($W$2:W933),$W$2:$W$1001,0),0), INDEX($AD$1004:$AU$1004,1,MATCH(COLUMNS($AD$1006:AI1006),$AD$1006:$AU$1006,0)))),"Fix")))</f>
        <v xml:space="preserve"> </v>
      </c>
      <c r="H933" s="4" t="str">
        <f ca="1">IF(OR(INDEX($X$2:$X$1001,MATCH(ROWS($W$2:W933),$W$2:$W$1001,0),1)&gt;=100000,INDEX($AD$1005:$AU$1005,1,MATCH(COLUMNS($AD$1006:AJ1006),$AD$1006:$AU$1006,0))&gt;=100000), " ",IF(INDEX($AD$2:$AU$1001,MATCH(ROWS($W$2:W933),$W$2:$W$1001,0),MATCH(COLUMNS($AD$1006:AJ1006),$AD$1006:$AU$1006,0)), HYPERLINK("#",""), HYPERLINK(CONCATENATE("#metadata!", ADDRESS(INDEX($Y$2:$Y$1001,MATCH(ROWS($W$2:W933),$W$2:$W$1001,0),0), INDEX($AD$1004:$AU$1004,1,MATCH(COLUMNS($AD$1006:AJ1006),$AD$1006:$AU$1006,0)))),"Fix")))</f>
        <v xml:space="preserve"> </v>
      </c>
      <c r="I933" s="4" t="str">
        <f ca="1">IF(OR(INDEX($X$2:$X$1001,MATCH(ROWS($W$2:W933),$W$2:$W$1001,0),1)&gt;=100000,INDEX($AD$1005:$AU$1005,1,MATCH(COLUMNS($AD$1006:AK1006),$AD$1006:$AU$1006,0))&gt;=100000), " ",IF(INDEX($AD$2:$AU$1001,MATCH(ROWS($W$2:W933),$W$2:$W$1001,0),MATCH(COLUMNS($AD$1006:AK1006),$AD$1006:$AU$1006,0)), HYPERLINK("#",""), HYPERLINK(CONCATENATE("#metadata!", ADDRESS(INDEX($Y$2:$Y$1001,MATCH(ROWS($W$2:W933),$W$2:$W$1001,0),0), INDEX($AD$1004:$AU$1004,1,MATCH(COLUMNS($AD$1006:AK1006),$AD$1006:$AU$1006,0)))),"Fix")))</f>
        <v xml:space="preserve"> </v>
      </c>
      <c r="J933" s="4" t="str">
        <f ca="1">IF(OR(INDEX($X$2:$X$1001,MATCH(ROWS($W$2:W933),$W$2:$W$1001,0),1)&gt;=100000,INDEX($AD$1005:$AU$1005,1,MATCH(COLUMNS($AD$1006:AL1006),$AD$1006:$AU$1006,0))&gt;=100000), " ",IF(INDEX($AD$2:$AU$1001,MATCH(ROWS($W$2:W933),$W$2:$W$1001,0),MATCH(COLUMNS($AD$1006:AL1006),$AD$1006:$AU$1006,0)), HYPERLINK("#",""), HYPERLINK(CONCATENATE("#metadata!", ADDRESS(INDEX($Y$2:$Y$1001,MATCH(ROWS($W$2:W933),$W$2:$W$1001,0),0), INDEX($AD$1004:$AU$1004,1,MATCH(COLUMNS($AD$1006:AL1006),$AD$1006:$AU$1006,0)))),"Fix")))</f>
        <v xml:space="preserve"> </v>
      </c>
      <c r="K933" s="4" t="str">
        <f ca="1">IF(OR(INDEX($X$2:$X$1001,MATCH(ROWS($W$2:W933),$W$2:$W$1001,0),1)&gt;=100000,INDEX($AD$1005:$AU$1005,1,MATCH(COLUMNS($AD$1006:AM1006),$AD$1006:$AU$1006,0))&gt;=100000), " ",IF(INDEX($AD$2:$AU$1001,MATCH(ROWS($W$2:W933),$W$2:$W$1001,0),MATCH(COLUMNS($AD$1006:AM1006),$AD$1006:$AU$1006,0)), HYPERLINK("#",""), HYPERLINK(CONCATENATE("#metadata!", ADDRESS(INDEX($Y$2:$Y$1001,MATCH(ROWS($W$2:W933),$W$2:$W$1001,0),0), INDEX($AD$1004:$AU$1004,1,MATCH(COLUMNS($AD$1006:AM1006),$AD$1006:$AU$1006,0)))),"Fix")))</f>
        <v xml:space="preserve"> </v>
      </c>
      <c r="L933" s="4" t="str">
        <f ca="1">IF(OR(INDEX($X$2:$X$1001,MATCH(ROWS($W$2:W933),$W$2:$W$1001,0),1)&gt;=100000,INDEX($AD$1005:$AU$1005,1,MATCH(COLUMNS($AD$1006:AN1006),$AD$1006:$AU$1006,0))&gt;=100000), " ",IF(INDEX($AD$2:$AU$1001,MATCH(ROWS($W$2:W933),$W$2:$W$1001,0),MATCH(COLUMNS($AD$1006:AN1006),$AD$1006:$AU$1006,0)), HYPERLINK("#",""), HYPERLINK(CONCATENATE("#metadata!", ADDRESS(INDEX($Y$2:$Y$1001,MATCH(ROWS($W$2:W933),$W$2:$W$1001,0),0), INDEX($AD$1004:$AU$1004,1,MATCH(COLUMNS($AD$1006:AN1006),$AD$1006:$AU$1006,0)))),"Fix")))</f>
        <v xml:space="preserve"> </v>
      </c>
      <c r="M933" s="4" t="str">
        <f ca="1">IF(OR(INDEX($X$2:$X$1001,MATCH(ROWS($W$2:W933),$W$2:$W$1001,0),1)&gt;=100000,INDEX($AD$1005:$AU$1005,1,MATCH(COLUMNS($AD$1006:AO1006),$AD$1006:$AU$1006,0))&gt;=100000), " ",IF(INDEX($AD$2:$AU$1001,MATCH(ROWS($W$2:W933),$W$2:$W$1001,0),MATCH(COLUMNS($AD$1006:AO1006),$AD$1006:$AU$1006,0)), HYPERLINK("#",""), HYPERLINK(CONCATENATE("#metadata!", ADDRESS(INDEX($Y$2:$Y$1001,MATCH(ROWS($W$2:W933),$W$2:$W$1001,0),0), INDEX($AD$1004:$AU$1004,1,MATCH(COLUMNS($AD$1006:AO1006),$AD$1006:$AU$1006,0)))),"Fix")))</f>
        <v xml:space="preserve"> </v>
      </c>
      <c r="N933" s="4" t="str">
        <f ca="1">IF(OR(INDEX($X$2:$X$1001,MATCH(ROWS($W$2:W933),$W$2:$W$1001,0),1)&gt;=100000,INDEX($AD$1005:$AU$1005,1,MATCH(COLUMNS($AD$1006:AP1006),$AD$1006:$AU$1006,0))&gt;=100000), " ",IF(INDEX($AD$2:$AU$1001,MATCH(ROWS($W$2:W933),$W$2:$W$1001,0),MATCH(COLUMNS($AD$1006:AP1006),$AD$1006:$AU$1006,0)), HYPERLINK("#",""), HYPERLINK(CONCATENATE("#metadata!", ADDRESS(INDEX($Y$2:$Y$1001,MATCH(ROWS($W$2:W933),$W$2:$W$1001,0),0), INDEX($AD$1004:$AU$1004,1,MATCH(COLUMNS($AD$1006:AP1006),$AD$1006:$AU$1006,0)))),"Fix")))</f>
        <v xml:space="preserve"> </v>
      </c>
      <c r="O933" s="4" t="str">
        <f ca="1">IF(OR(INDEX($X$2:$X$1001,MATCH(ROWS($W$2:W933),$W$2:$W$1001,0),1)&gt;=100000,INDEX($AD$1005:$AU$1005,1,MATCH(COLUMNS($AD$1006:AQ1006),$AD$1006:$AU$1006,0))&gt;=100000), " ",IF(INDEX($AD$2:$AU$1001,MATCH(ROWS($W$2:W933),$W$2:$W$1001,0),MATCH(COLUMNS($AD$1006:AQ1006),$AD$1006:$AU$1006,0)), HYPERLINK("#",""), HYPERLINK(CONCATENATE("#metadata!", ADDRESS(INDEX($Y$2:$Y$1001,MATCH(ROWS($W$2:W933),$W$2:$W$1001,0),0), INDEX($AD$1004:$AU$1004,1,MATCH(COLUMNS($AD$1006:AQ1006),$AD$1006:$AU$1006,0)))),"Fix")))</f>
        <v xml:space="preserve"> </v>
      </c>
      <c r="P933" s="4" t="str">
        <f ca="1">IF(OR(INDEX($X$2:$X$1001,MATCH(ROWS($W$2:W933),$W$2:$W$1001,0),1)&gt;=100000,INDEX($AD$1005:$AU$1005,1,MATCH(COLUMNS($AD$1006:AR1006),$AD$1006:$AU$1006,0))&gt;=100000), " ",IF(INDEX($AD$2:$AU$1001,MATCH(ROWS($W$2:W933),$W$2:$W$1001,0),MATCH(COLUMNS($AD$1006:AR1006),$AD$1006:$AU$1006,0)), HYPERLINK("#",""), HYPERLINK(CONCATENATE("#metadata!", ADDRESS(INDEX($Y$2:$Y$1001,MATCH(ROWS($W$2:W933),$W$2:$W$1001,0),0), INDEX($AD$1004:$AU$1004,1,MATCH(COLUMNS($AD$1006:AR1006),$AD$1006:$AU$1006,0)))),"Fix")))</f>
        <v xml:space="preserve"> </v>
      </c>
      <c r="Q933" s="4" t="str">
        <f ca="1">IF(OR(INDEX($X$2:$X$1001,MATCH(ROWS($W$2:W933),$W$2:$W$1001,0),1)&gt;=100000,INDEX($AD$1005:$AU$1005,1,MATCH(COLUMNS($AD$1006:AS1006),$AD$1006:$AU$1006,0))&gt;=100000), " ",IF(INDEX($AD$2:$AU$1001,MATCH(ROWS($W$2:W933),$W$2:$W$1001,0),MATCH(COLUMNS($AD$1006:AS1006),$AD$1006:$AU$1006,0)), HYPERLINK("#",""), HYPERLINK(CONCATENATE("#metadata!", ADDRESS(INDEX($Y$2:$Y$1001,MATCH(ROWS($W$2:W933),$W$2:$W$1001,0),0), INDEX($AD$1004:$AU$1004,1,MATCH(COLUMNS($AD$1006:AS1006),$AD$1006:$AU$1006,0)))),"Fix")))</f>
        <v xml:space="preserve"> </v>
      </c>
      <c r="R933" s="4" t="str">
        <f ca="1">IF(OR(INDEX($X$2:$X$1001,MATCH(ROWS($W$2:W933),$W$2:$W$1001,0),1)&gt;=100000,INDEX($AD$1005:$AU$1005,1,MATCH(COLUMNS($AD$1006:AT1006),$AD$1006:$AU$1006,0))&gt;=100000), " ",IF(INDEX($AD$2:$AU$1001,MATCH(ROWS($W$2:W933),$W$2:$W$1001,0),MATCH(COLUMNS($AD$1006:AT1006),$AD$1006:$AU$1006,0)), HYPERLINK("#",""), HYPERLINK(CONCATENATE("#metadata!", ADDRESS(INDEX($Y$2:$Y$1001,MATCH(ROWS($W$2:W933),$W$2:$W$1001,0),0), INDEX($AD$1004:$AU$1004,1,MATCH(COLUMNS($AD$1006:AT1006),$AD$1006:$AU$1006,0)))),"Fix")))</f>
        <v xml:space="preserve"> </v>
      </c>
      <c r="S933" s="4" t="str">
        <f ca="1">IF(OR(INDEX($X$2:$X$1001,MATCH(ROWS($W$2:W933),$W$2:$W$1001,0),1)&gt;=100000,INDEX($AD$1005:$AU$1005,1,MATCH(COLUMNS($AD$1006:AU1006),$AD$1006:$AU$1006,0))&gt;=100000), " ",IF(INDEX($AD$2:$AU$1001,MATCH(ROWS($W$2:W933),$W$2:$W$1001,0),MATCH(COLUMNS($AD$1006:AU1006),$AD$1006:$AU$1006,0)), HYPERLINK("#",""), HYPERLINK(CONCATENATE("#metadata!", ADDRESS(INDEX($Y$2:$Y$1001,MATCH(ROWS($W$2:W933),$W$2:$W$1001,0),0), INDEX($AD$1004:$AU$1004,1,MATCH(COLUMNS($AD$1006:AU1006),$AD$1006:$AU$1006,0)))),"Fix")))</f>
        <v xml:space="preserve"> </v>
      </c>
      <c r="W933">
        <v>932</v>
      </c>
      <c r="X933">
        <v>100933</v>
      </c>
      <c r="Y933">
        <v>933</v>
      </c>
      <c r="Z933" t="b">
        <f t="shared" si="14"/>
        <v>1</v>
      </c>
      <c r="AA933" t="b">
        <f>COUNTBLANK(metadata!B933:S933)=COLUMNS(metadata!B933:S933)</f>
        <v>1</v>
      </c>
      <c r="AB933" t="str">
        <v/>
      </c>
      <c r="AD933" t="b">
        <f ca="1">AND(IF(metadata!B933="",FALSE,TRUE),COUNTIF(metadata!B:B, metadata!B933) = 1,NOT(ISERROR(SUMPRODUCT(SEARCH(MID(metadata!B933,ROW(INDIRECT("1:"&amp;LEN(metadata!B933))), 1),"0123456789abcdefghijklmnopqrstuvwxyzABCDEFGHIJKLMNOPQRSTUVWXYZ.")))))</f>
        <v>0</v>
      </c>
      <c r="AE933" t="b">
        <f>OR(AND(IF(metadata!C933="",FALSE,TRUE),OR(EXACT(metadata!C933,"not applicable"),EXACT(metadata!C933,"missing: not collected"),EXACT(metadata!C933,"missing: not provided"),EXACT(metadata!C933,"missing: restricted access"))),AND(IF(metadata!C933="",FALSE,ISNUMBER(VALUE(metadata!C933))),metadata!C933&gt;0))</f>
        <v>0</v>
      </c>
      <c r="AF933" t="b">
        <f>AND(IF(metadata!D933="",FALSE,TRUE),EXACT(metadata!D933,"missing: not provided"))</f>
        <v>0</v>
      </c>
      <c r="AG933" t="b">
        <f>AND(IF(metadata!E933="",FALSE,TRUE),EXACT(metadata!E933,"Host-associated"))</f>
        <v>0</v>
      </c>
      <c r="AH933" t="b">
        <f>AND(IF(metadata!F933="",FALSE,TRUE),OR(EXACT(metadata!F933,"Animal"),EXACT(metadata!F933,"Fungus"),EXACT(metadata!F933,"Plant")))</f>
        <v>0</v>
      </c>
      <c r="AI933" t="b">
        <f>AND(IF(metadata!G933="",FALSE,TRUE),OR(EXACT(metadata!G933,"Plant secretion"),EXACT(metadata!G933,"Plant rhizosphere"),EXACT(metadata!G933,"Plant surface"),EXACT(metadata!G933,"Plant corpus"),EXACT(metadata!G933,"Fungus surface"),EXACT(metadata!G933,"Fungus corpus"),EXACT(metadata!G933,"Animal surface"),EXACT(metadata!G933,"Animal proximal gut"),EXACT(metadata!G933,"Animal corpus"),EXACT(metadata!G933,"Animal distal gut"),EXACT(metadata!G933,"Animal secretion")))</f>
        <v>0</v>
      </c>
      <c r="AJ933" t="b">
        <f>OR(AND(IF(metadata!H933="",FALSE,TRUE),OR(EXACT(metadata!H933,"missing: not collected"),EXACT(metadata!H933,"missing: not provided"),EXACT(metadata!H933,"missing: restricted access"))),AND(IF(metadata!H933="",FALSE,TRUE),OR(EXACT(metadata!H933,"organism-associated habitat"),EXACT(metadata!H933,"plant-associated habitat"),EXACT(metadata!H933,"animal-associated habitat"),EXACT(metadata!H933,"insecta-associated habitat"),EXACT(metadata!H933,"mammalia-associated habitat"),EXACT(metadata!H933,"human-associated habitat"),EXACT(metadata!H933,"livestock-associated habitat"))))</f>
        <v>0</v>
      </c>
      <c r="AK933" t="b">
        <f>AND(IF(metadata!I933="",FALSE,TRUE),EXACT(metadata!I933,"host-associated"))</f>
        <v>0</v>
      </c>
      <c r="AL933" t="b">
        <f>OR(AND(IF(metadata!J933="",FALSE,TRUE),OR(EXACT(metadata!J933,"not applicable"),EXACT(metadata!J933,"missing: not collected"),EXACT(metadata!J933,"missing: not provided"),EXACT(metadata!J933,"missing: restricted access"))),AND(IF(metadata!J933="",FALSE,ISNUMBER(VALUE(metadata!J933))),metadata!J933&gt;0))</f>
        <v>0</v>
      </c>
      <c r="AM933" t="b">
        <f>AND(IF(metadata!K933="",FALSE,TRUE),EXACT(metadata!K933,"missing: not provided"))</f>
        <v>0</v>
      </c>
      <c r="AN933" t="b">
        <f>IF(metadata!L933="",FALSE,TRUE)</f>
        <v>0</v>
      </c>
      <c r="AO933" t="b">
        <f>IF(metadata!M933="",FALSE,TRUE)</f>
        <v>0</v>
      </c>
      <c r="AP933" t="b">
        <f>OR(AND(IF(metadata!N933="",FALSE,TRUE),OR(EXACT(metadata!N933,"not applicable"),EXACT(metadata!N933,"missing: not collected"),EXACT(metadata!N933,"missing: not provided"))),AND(IF(metadata!N933="",FALSE,IF(ISERROR(INT(metadata!N933)),FALSE,INT(metadata!N933)=metadata!N933)),metadata!N933&gt;0))</f>
        <v>0</v>
      </c>
      <c r="AQ933" t="b">
        <f>AND(IF(metadata!O933="",FALSE,TRUE),EXACT(metadata!O933,"Not applicable"))</f>
        <v>0</v>
      </c>
      <c r="AR933" t="b">
        <f>OR(AND(IF(metadata!P933="",FALSE,TRUE),OR(EXACT(metadata!P933,"not applicable"),EXACT(metadata!P933,"missing: not collected"),EXACT(metadata!P933,"missing: not provided"),EXACT(metadata!P933,"missing: restricted access"))),IF(metadata!P933="",FALSE,IF(ISERROR(INT(metadata!P933)),FALSE,INT(metadata!P933)=metadata!P933)))</f>
        <v>0</v>
      </c>
      <c r="AS933" t="b">
        <f>AND(IF(metadata!Q933="",FALSE,TRUE),EXACT(metadata!Q933,"Not applicable"))</f>
        <v>0</v>
      </c>
      <c r="AT933" t="b">
        <f>OR(AND(IF(metadata!R933="",FALSE,TRUE),OR(EXACT(metadata!R933,"not applicable"),EXACT(metadata!R933,"missing: not collected"),EXACT(metadata!R933,"missing: not provided"),EXACT(metadata!R933,"missing: restricted access"))),AND(IF(metadata!R933="",FALSE,ISNUMBER(VALUE(metadata!R933))),metadata!R933&gt;0))</f>
        <v>0</v>
      </c>
      <c r="AU933" t="b">
        <f>AND(IF(metadata!S933="",FALSE,TRUE),EXACT(metadata!S933,"missing: not provided"))</f>
        <v>0</v>
      </c>
    </row>
    <row r="934" spans="1:47" x14ac:dyDescent="0.2">
      <c r="A934" s="5" t="str">
        <f ca="1">IF(B934=" "," ",HYPERLINK(CONCATENATE("#metadata!",ADDRESS(INDEX($Y$2:$Y$1001,MATCH(ROWS($W$2:W934),$W$2:$W$1001,0),0),1)),INDEX($AB$2:$AB$1001,MATCH(ROWS($W$2:W934),$W$2:$W$1001,0),0)))</f>
        <v xml:space="preserve"> </v>
      </c>
      <c r="B934" s="4" t="str">
        <f ca="1">IF(OR(INDEX($X$2:$X$1001,MATCH(ROWS($W$2:W934),$W$2:$W$1001,0),1)&gt;=100000,INDEX($AD$1005:$AU$1005,1,MATCH(COLUMNS($AD$1006:AD1006),$AD$1006:$AU$1006,0))&gt;=100000), " ",IF(INDEX($AD$2:$AU$1001,MATCH(ROWS($W$2:W934),$W$2:$W$1001,0),MATCH(COLUMNS($AD$1006:AD1006),$AD$1006:$AU$1006,0)), HYPERLINK("#",""), HYPERLINK(CONCATENATE("#metadata!", ADDRESS(INDEX($Y$2:$Y$1001,MATCH(ROWS($W$2:W934),$W$2:$W$1001,0),0), INDEX($AD$1004:$AU$1004,1,MATCH(COLUMNS($AD$1006:AD1006),$AD$1006:$AU$1006,0)))),"Fix")))</f>
        <v xml:space="preserve"> </v>
      </c>
      <c r="C934" s="4" t="str">
        <f ca="1">IF(OR(INDEX($X$2:$X$1001,MATCH(ROWS($W$2:W934),$W$2:$W$1001,0),1)&gt;=100000,INDEX($AD$1005:$AU$1005,1,MATCH(COLUMNS($AD$1006:AE1006),$AD$1006:$AU$1006,0))&gt;=100000), " ",IF(INDEX($AD$2:$AU$1001,MATCH(ROWS($W$2:W934),$W$2:$W$1001,0),MATCH(COLUMNS($AD$1006:AE1006),$AD$1006:$AU$1006,0)), HYPERLINK("#",""), HYPERLINK(CONCATENATE("#metadata!", ADDRESS(INDEX($Y$2:$Y$1001,MATCH(ROWS($W$2:W934),$W$2:$W$1001,0),0), INDEX($AD$1004:$AU$1004,1,MATCH(COLUMNS($AD$1006:AE1006),$AD$1006:$AU$1006,0)))),"Fix")))</f>
        <v xml:space="preserve"> </v>
      </c>
      <c r="D934" s="4" t="str">
        <f ca="1">IF(OR(INDEX($X$2:$X$1001,MATCH(ROWS($W$2:W934),$W$2:$W$1001,0),1)&gt;=100000,INDEX($AD$1005:$AU$1005,1,MATCH(COLUMNS($AD$1006:AF1006),$AD$1006:$AU$1006,0))&gt;=100000), " ",IF(INDEX($AD$2:$AU$1001,MATCH(ROWS($W$2:W934),$W$2:$W$1001,0),MATCH(COLUMNS($AD$1006:AF1006),$AD$1006:$AU$1006,0)), HYPERLINK("#",""), HYPERLINK(CONCATENATE("#metadata!", ADDRESS(INDEX($Y$2:$Y$1001,MATCH(ROWS($W$2:W934),$W$2:$W$1001,0),0), INDEX($AD$1004:$AU$1004,1,MATCH(COLUMNS($AD$1006:AF1006),$AD$1006:$AU$1006,0)))),"Fix")))</f>
        <v xml:space="preserve"> </v>
      </c>
      <c r="E934" s="4" t="str">
        <f ca="1">IF(OR(INDEX($X$2:$X$1001,MATCH(ROWS($W$2:W934),$W$2:$W$1001,0),1)&gt;=100000,INDEX($AD$1005:$AU$1005,1,MATCH(COLUMNS($AD$1006:AG1006),$AD$1006:$AU$1006,0))&gt;=100000), " ",IF(INDEX($AD$2:$AU$1001,MATCH(ROWS($W$2:W934),$W$2:$W$1001,0),MATCH(COLUMNS($AD$1006:AG1006),$AD$1006:$AU$1006,0)), HYPERLINK("#",""), HYPERLINK(CONCATENATE("#metadata!", ADDRESS(INDEX($Y$2:$Y$1001,MATCH(ROWS($W$2:W934),$W$2:$W$1001,0),0), INDEX($AD$1004:$AU$1004,1,MATCH(COLUMNS($AD$1006:AG1006),$AD$1006:$AU$1006,0)))),"Fix")))</f>
        <v xml:space="preserve"> </v>
      </c>
      <c r="F934" s="4" t="str">
        <f ca="1">IF(OR(INDEX($X$2:$X$1001,MATCH(ROWS($W$2:W934),$W$2:$W$1001,0),1)&gt;=100000,INDEX($AD$1005:$AU$1005,1,MATCH(COLUMNS($AD$1006:AH1006),$AD$1006:$AU$1006,0))&gt;=100000), " ",IF(INDEX($AD$2:$AU$1001,MATCH(ROWS($W$2:W934),$W$2:$W$1001,0),MATCH(COLUMNS($AD$1006:AH1006),$AD$1006:$AU$1006,0)), HYPERLINK("#",""), HYPERLINK(CONCATENATE("#metadata!", ADDRESS(INDEX($Y$2:$Y$1001,MATCH(ROWS($W$2:W934),$W$2:$W$1001,0),0), INDEX($AD$1004:$AU$1004,1,MATCH(COLUMNS($AD$1006:AH1006),$AD$1006:$AU$1006,0)))),"Fix")))</f>
        <v xml:space="preserve"> </v>
      </c>
      <c r="G934" s="4" t="str">
        <f ca="1">IF(OR(INDEX($X$2:$X$1001,MATCH(ROWS($W$2:W934),$W$2:$W$1001,0),1)&gt;=100000,INDEX($AD$1005:$AU$1005,1,MATCH(COLUMNS($AD$1006:AI1006),$AD$1006:$AU$1006,0))&gt;=100000), " ",IF(INDEX($AD$2:$AU$1001,MATCH(ROWS($W$2:W934),$W$2:$W$1001,0),MATCH(COLUMNS($AD$1006:AI1006),$AD$1006:$AU$1006,0)), HYPERLINK("#",""), HYPERLINK(CONCATENATE("#metadata!", ADDRESS(INDEX($Y$2:$Y$1001,MATCH(ROWS($W$2:W934),$W$2:$W$1001,0),0), INDEX($AD$1004:$AU$1004,1,MATCH(COLUMNS($AD$1006:AI1006),$AD$1006:$AU$1006,0)))),"Fix")))</f>
        <v xml:space="preserve"> </v>
      </c>
      <c r="H934" s="4" t="str">
        <f ca="1">IF(OR(INDEX($X$2:$X$1001,MATCH(ROWS($W$2:W934),$W$2:$W$1001,0),1)&gt;=100000,INDEX($AD$1005:$AU$1005,1,MATCH(COLUMNS($AD$1006:AJ1006),$AD$1006:$AU$1006,0))&gt;=100000), " ",IF(INDEX($AD$2:$AU$1001,MATCH(ROWS($W$2:W934),$W$2:$W$1001,0),MATCH(COLUMNS($AD$1006:AJ1006),$AD$1006:$AU$1006,0)), HYPERLINK("#",""), HYPERLINK(CONCATENATE("#metadata!", ADDRESS(INDEX($Y$2:$Y$1001,MATCH(ROWS($W$2:W934),$W$2:$W$1001,0),0), INDEX($AD$1004:$AU$1004,1,MATCH(COLUMNS($AD$1006:AJ1006),$AD$1006:$AU$1006,0)))),"Fix")))</f>
        <v xml:space="preserve"> </v>
      </c>
      <c r="I934" s="4" t="str">
        <f ca="1">IF(OR(INDEX($X$2:$X$1001,MATCH(ROWS($W$2:W934),$W$2:$W$1001,0),1)&gt;=100000,INDEX($AD$1005:$AU$1005,1,MATCH(COLUMNS($AD$1006:AK1006),$AD$1006:$AU$1006,0))&gt;=100000), " ",IF(INDEX($AD$2:$AU$1001,MATCH(ROWS($W$2:W934),$W$2:$W$1001,0),MATCH(COLUMNS($AD$1006:AK1006),$AD$1006:$AU$1006,0)), HYPERLINK("#",""), HYPERLINK(CONCATENATE("#metadata!", ADDRESS(INDEX($Y$2:$Y$1001,MATCH(ROWS($W$2:W934),$W$2:$W$1001,0),0), INDEX($AD$1004:$AU$1004,1,MATCH(COLUMNS($AD$1006:AK1006),$AD$1006:$AU$1006,0)))),"Fix")))</f>
        <v xml:space="preserve"> </v>
      </c>
      <c r="J934" s="4" t="str">
        <f ca="1">IF(OR(INDEX($X$2:$X$1001,MATCH(ROWS($W$2:W934),$W$2:$W$1001,0),1)&gt;=100000,INDEX($AD$1005:$AU$1005,1,MATCH(COLUMNS($AD$1006:AL1006),$AD$1006:$AU$1006,0))&gt;=100000), " ",IF(INDEX($AD$2:$AU$1001,MATCH(ROWS($W$2:W934),$W$2:$W$1001,0),MATCH(COLUMNS($AD$1006:AL1006),$AD$1006:$AU$1006,0)), HYPERLINK("#",""), HYPERLINK(CONCATENATE("#metadata!", ADDRESS(INDEX($Y$2:$Y$1001,MATCH(ROWS($W$2:W934),$W$2:$W$1001,0),0), INDEX($AD$1004:$AU$1004,1,MATCH(COLUMNS($AD$1006:AL1006),$AD$1006:$AU$1006,0)))),"Fix")))</f>
        <v xml:space="preserve"> </v>
      </c>
      <c r="K934" s="4" t="str">
        <f ca="1">IF(OR(INDEX($X$2:$X$1001,MATCH(ROWS($W$2:W934),$W$2:$W$1001,0),1)&gt;=100000,INDEX($AD$1005:$AU$1005,1,MATCH(COLUMNS($AD$1006:AM1006),$AD$1006:$AU$1006,0))&gt;=100000), " ",IF(INDEX($AD$2:$AU$1001,MATCH(ROWS($W$2:W934),$W$2:$W$1001,0),MATCH(COLUMNS($AD$1006:AM1006),$AD$1006:$AU$1006,0)), HYPERLINK("#",""), HYPERLINK(CONCATENATE("#metadata!", ADDRESS(INDEX($Y$2:$Y$1001,MATCH(ROWS($W$2:W934),$W$2:$W$1001,0),0), INDEX($AD$1004:$AU$1004,1,MATCH(COLUMNS($AD$1006:AM1006),$AD$1006:$AU$1006,0)))),"Fix")))</f>
        <v xml:space="preserve"> </v>
      </c>
      <c r="L934" s="4" t="str">
        <f ca="1">IF(OR(INDEX($X$2:$X$1001,MATCH(ROWS($W$2:W934),$W$2:$W$1001,0),1)&gt;=100000,INDEX($AD$1005:$AU$1005,1,MATCH(COLUMNS($AD$1006:AN1006),$AD$1006:$AU$1006,0))&gt;=100000), " ",IF(INDEX($AD$2:$AU$1001,MATCH(ROWS($W$2:W934),$W$2:$W$1001,0),MATCH(COLUMNS($AD$1006:AN1006),$AD$1006:$AU$1006,0)), HYPERLINK("#",""), HYPERLINK(CONCATENATE("#metadata!", ADDRESS(INDEX($Y$2:$Y$1001,MATCH(ROWS($W$2:W934),$W$2:$W$1001,0),0), INDEX($AD$1004:$AU$1004,1,MATCH(COLUMNS($AD$1006:AN1006),$AD$1006:$AU$1006,0)))),"Fix")))</f>
        <v xml:space="preserve"> </v>
      </c>
      <c r="M934" s="4" t="str">
        <f ca="1">IF(OR(INDEX($X$2:$X$1001,MATCH(ROWS($W$2:W934),$W$2:$W$1001,0),1)&gt;=100000,INDEX($AD$1005:$AU$1005,1,MATCH(COLUMNS($AD$1006:AO1006),$AD$1006:$AU$1006,0))&gt;=100000), " ",IF(INDEX($AD$2:$AU$1001,MATCH(ROWS($W$2:W934),$W$2:$W$1001,0),MATCH(COLUMNS($AD$1006:AO1006),$AD$1006:$AU$1006,0)), HYPERLINK("#",""), HYPERLINK(CONCATENATE("#metadata!", ADDRESS(INDEX($Y$2:$Y$1001,MATCH(ROWS($W$2:W934),$W$2:$W$1001,0),0), INDEX($AD$1004:$AU$1004,1,MATCH(COLUMNS($AD$1006:AO1006),$AD$1006:$AU$1006,0)))),"Fix")))</f>
        <v xml:space="preserve"> </v>
      </c>
      <c r="N934" s="4" t="str">
        <f ca="1">IF(OR(INDEX($X$2:$X$1001,MATCH(ROWS($W$2:W934),$W$2:$W$1001,0),1)&gt;=100000,INDEX($AD$1005:$AU$1005,1,MATCH(COLUMNS($AD$1006:AP1006),$AD$1006:$AU$1006,0))&gt;=100000), " ",IF(INDEX($AD$2:$AU$1001,MATCH(ROWS($W$2:W934),$W$2:$W$1001,0),MATCH(COLUMNS($AD$1006:AP1006),$AD$1006:$AU$1006,0)), HYPERLINK("#",""), HYPERLINK(CONCATENATE("#metadata!", ADDRESS(INDEX($Y$2:$Y$1001,MATCH(ROWS($W$2:W934),$W$2:$W$1001,0),0), INDEX($AD$1004:$AU$1004,1,MATCH(COLUMNS($AD$1006:AP1006),$AD$1006:$AU$1006,0)))),"Fix")))</f>
        <v xml:space="preserve"> </v>
      </c>
      <c r="O934" s="4" t="str">
        <f ca="1">IF(OR(INDEX($X$2:$X$1001,MATCH(ROWS($W$2:W934),$W$2:$W$1001,0),1)&gt;=100000,INDEX($AD$1005:$AU$1005,1,MATCH(COLUMNS($AD$1006:AQ1006),$AD$1006:$AU$1006,0))&gt;=100000), " ",IF(INDEX($AD$2:$AU$1001,MATCH(ROWS($W$2:W934),$W$2:$W$1001,0),MATCH(COLUMNS($AD$1006:AQ1006),$AD$1006:$AU$1006,0)), HYPERLINK("#",""), HYPERLINK(CONCATENATE("#metadata!", ADDRESS(INDEX($Y$2:$Y$1001,MATCH(ROWS($W$2:W934),$W$2:$W$1001,0),0), INDEX($AD$1004:$AU$1004,1,MATCH(COLUMNS($AD$1006:AQ1006),$AD$1006:$AU$1006,0)))),"Fix")))</f>
        <v xml:space="preserve"> </v>
      </c>
      <c r="P934" s="4" t="str">
        <f ca="1">IF(OR(INDEX($X$2:$X$1001,MATCH(ROWS($W$2:W934),$W$2:$W$1001,0),1)&gt;=100000,INDEX($AD$1005:$AU$1005,1,MATCH(COLUMNS($AD$1006:AR1006),$AD$1006:$AU$1006,0))&gt;=100000), " ",IF(INDEX($AD$2:$AU$1001,MATCH(ROWS($W$2:W934),$W$2:$W$1001,0),MATCH(COLUMNS($AD$1006:AR1006),$AD$1006:$AU$1006,0)), HYPERLINK("#",""), HYPERLINK(CONCATENATE("#metadata!", ADDRESS(INDEX($Y$2:$Y$1001,MATCH(ROWS($W$2:W934),$W$2:$W$1001,0),0), INDEX($AD$1004:$AU$1004,1,MATCH(COLUMNS($AD$1006:AR1006),$AD$1006:$AU$1006,0)))),"Fix")))</f>
        <v xml:space="preserve"> </v>
      </c>
      <c r="Q934" s="4" t="str">
        <f ca="1">IF(OR(INDEX($X$2:$X$1001,MATCH(ROWS($W$2:W934),$W$2:$W$1001,0),1)&gt;=100000,INDEX($AD$1005:$AU$1005,1,MATCH(COLUMNS($AD$1006:AS1006),$AD$1006:$AU$1006,0))&gt;=100000), " ",IF(INDEX($AD$2:$AU$1001,MATCH(ROWS($W$2:W934),$W$2:$W$1001,0),MATCH(COLUMNS($AD$1006:AS1006),$AD$1006:$AU$1006,0)), HYPERLINK("#",""), HYPERLINK(CONCATENATE("#metadata!", ADDRESS(INDEX($Y$2:$Y$1001,MATCH(ROWS($W$2:W934),$W$2:$W$1001,0),0), INDEX($AD$1004:$AU$1004,1,MATCH(COLUMNS($AD$1006:AS1006),$AD$1006:$AU$1006,0)))),"Fix")))</f>
        <v xml:space="preserve"> </v>
      </c>
      <c r="R934" s="4" t="str">
        <f ca="1">IF(OR(INDEX($X$2:$X$1001,MATCH(ROWS($W$2:W934),$W$2:$W$1001,0),1)&gt;=100000,INDEX($AD$1005:$AU$1005,1,MATCH(COLUMNS($AD$1006:AT1006),$AD$1006:$AU$1006,0))&gt;=100000), " ",IF(INDEX($AD$2:$AU$1001,MATCH(ROWS($W$2:W934),$W$2:$W$1001,0),MATCH(COLUMNS($AD$1006:AT1006),$AD$1006:$AU$1006,0)), HYPERLINK("#",""), HYPERLINK(CONCATENATE("#metadata!", ADDRESS(INDEX($Y$2:$Y$1001,MATCH(ROWS($W$2:W934),$W$2:$W$1001,0),0), INDEX($AD$1004:$AU$1004,1,MATCH(COLUMNS($AD$1006:AT1006),$AD$1006:$AU$1006,0)))),"Fix")))</f>
        <v xml:space="preserve"> </v>
      </c>
      <c r="S934" s="4" t="str">
        <f ca="1">IF(OR(INDEX($X$2:$X$1001,MATCH(ROWS($W$2:W934),$W$2:$W$1001,0),1)&gt;=100000,INDEX($AD$1005:$AU$1005,1,MATCH(COLUMNS($AD$1006:AU1006),$AD$1006:$AU$1006,0))&gt;=100000), " ",IF(INDEX($AD$2:$AU$1001,MATCH(ROWS($W$2:W934),$W$2:$W$1001,0),MATCH(COLUMNS($AD$1006:AU1006),$AD$1006:$AU$1006,0)), HYPERLINK("#",""), HYPERLINK(CONCATENATE("#metadata!", ADDRESS(INDEX($Y$2:$Y$1001,MATCH(ROWS($W$2:W934),$W$2:$W$1001,0),0), INDEX($AD$1004:$AU$1004,1,MATCH(COLUMNS($AD$1006:AU1006),$AD$1006:$AU$1006,0)))),"Fix")))</f>
        <v xml:space="preserve"> </v>
      </c>
      <c r="W934">
        <v>933</v>
      </c>
      <c r="X934">
        <v>100934</v>
      </c>
      <c r="Y934">
        <v>934</v>
      </c>
      <c r="Z934" t="b">
        <f t="shared" si="14"/>
        <v>1</v>
      </c>
      <c r="AA934" t="b">
        <f>COUNTBLANK(metadata!B934:S934)=COLUMNS(metadata!B934:S934)</f>
        <v>1</v>
      </c>
      <c r="AB934" t="str">
        <v/>
      </c>
      <c r="AD934" t="b">
        <f ca="1">AND(IF(metadata!B934="",FALSE,TRUE),COUNTIF(metadata!B:B, metadata!B934) = 1,NOT(ISERROR(SUMPRODUCT(SEARCH(MID(metadata!B934,ROW(INDIRECT("1:"&amp;LEN(metadata!B934))), 1),"0123456789abcdefghijklmnopqrstuvwxyzABCDEFGHIJKLMNOPQRSTUVWXYZ.")))))</f>
        <v>0</v>
      </c>
      <c r="AE934" t="b">
        <f>OR(AND(IF(metadata!C934="",FALSE,TRUE),OR(EXACT(metadata!C934,"not applicable"),EXACT(metadata!C934,"missing: not collected"),EXACT(metadata!C934,"missing: not provided"),EXACT(metadata!C934,"missing: restricted access"))),AND(IF(metadata!C934="",FALSE,ISNUMBER(VALUE(metadata!C934))),metadata!C934&gt;0))</f>
        <v>0</v>
      </c>
      <c r="AF934" t="b">
        <f>AND(IF(metadata!D934="",FALSE,TRUE),EXACT(metadata!D934,"missing: not provided"))</f>
        <v>0</v>
      </c>
      <c r="AG934" t="b">
        <f>AND(IF(metadata!E934="",FALSE,TRUE),EXACT(metadata!E934,"Host-associated"))</f>
        <v>0</v>
      </c>
      <c r="AH934" t="b">
        <f>AND(IF(metadata!F934="",FALSE,TRUE),OR(EXACT(metadata!F934,"Animal"),EXACT(metadata!F934,"Fungus"),EXACT(metadata!F934,"Plant")))</f>
        <v>0</v>
      </c>
      <c r="AI934" t="b">
        <f>AND(IF(metadata!G934="",FALSE,TRUE),OR(EXACT(metadata!G934,"Plant secretion"),EXACT(metadata!G934,"Plant rhizosphere"),EXACT(metadata!G934,"Plant surface"),EXACT(metadata!G934,"Plant corpus"),EXACT(metadata!G934,"Fungus surface"),EXACT(metadata!G934,"Fungus corpus"),EXACT(metadata!G934,"Animal surface"),EXACT(metadata!G934,"Animal proximal gut"),EXACT(metadata!G934,"Animal corpus"),EXACT(metadata!G934,"Animal distal gut"),EXACT(metadata!G934,"Animal secretion")))</f>
        <v>0</v>
      </c>
      <c r="AJ934" t="b">
        <f>OR(AND(IF(metadata!H934="",FALSE,TRUE),OR(EXACT(metadata!H934,"missing: not collected"),EXACT(metadata!H934,"missing: not provided"),EXACT(metadata!H934,"missing: restricted access"))),AND(IF(metadata!H934="",FALSE,TRUE),OR(EXACT(metadata!H934,"organism-associated habitat"),EXACT(metadata!H934,"plant-associated habitat"),EXACT(metadata!H934,"animal-associated habitat"),EXACT(metadata!H934,"insecta-associated habitat"),EXACT(metadata!H934,"mammalia-associated habitat"),EXACT(metadata!H934,"human-associated habitat"),EXACT(metadata!H934,"livestock-associated habitat"))))</f>
        <v>0</v>
      </c>
      <c r="AK934" t="b">
        <f>AND(IF(metadata!I934="",FALSE,TRUE),EXACT(metadata!I934,"host-associated"))</f>
        <v>0</v>
      </c>
      <c r="AL934" t="b">
        <f>OR(AND(IF(metadata!J934="",FALSE,TRUE),OR(EXACT(metadata!J934,"not applicable"),EXACT(metadata!J934,"missing: not collected"),EXACT(metadata!J934,"missing: not provided"),EXACT(metadata!J934,"missing: restricted access"))),AND(IF(metadata!J934="",FALSE,ISNUMBER(VALUE(metadata!J934))),metadata!J934&gt;0))</f>
        <v>0</v>
      </c>
      <c r="AM934" t="b">
        <f>AND(IF(metadata!K934="",FALSE,TRUE),EXACT(metadata!K934,"missing: not provided"))</f>
        <v>0</v>
      </c>
      <c r="AN934" t="b">
        <f>IF(metadata!L934="",FALSE,TRUE)</f>
        <v>0</v>
      </c>
      <c r="AO934" t="b">
        <f>IF(metadata!M934="",FALSE,TRUE)</f>
        <v>0</v>
      </c>
      <c r="AP934" t="b">
        <f>OR(AND(IF(metadata!N934="",FALSE,TRUE),OR(EXACT(metadata!N934,"not applicable"),EXACT(metadata!N934,"missing: not collected"),EXACT(metadata!N934,"missing: not provided"))),AND(IF(metadata!N934="",FALSE,IF(ISERROR(INT(metadata!N934)),FALSE,INT(metadata!N934)=metadata!N934)),metadata!N934&gt;0))</f>
        <v>0</v>
      </c>
      <c r="AQ934" t="b">
        <f>AND(IF(metadata!O934="",FALSE,TRUE),EXACT(metadata!O934,"Not applicable"))</f>
        <v>0</v>
      </c>
      <c r="AR934" t="b">
        <f>OR(AND(IF(metadata!P934="",FALSE,TRUE),OR(EXACT(metadata!P934,"not applicable"),EXACT(metadata!P934,"missing: not collected"),EXACT(metadata!P934,"missing: not provided"),EXACT(metadata!P934,"missing: restricted access"))),IF(metadata!P934="",FALSE,IF(ISERROR(INT(metadata!P934)),FALSE,INT(metadata!P934)=metadata!P934)))</f>
        <v>0</v>
      </c>
      <c r="AS934" t="b">
        <f>AND(IF(metadata!Q934="",FALSE,TRUE),EXACT(metadata!Q934,"Not applicable"))</f>
        <v>0</v>
      </c>
      <c r="AT934" t="b">
        <f>OR(AND(IF(metadata!R934="",FALSE,TRUE),OR(EXACT(metadata!R934,"not applicable"),EXACT(metadata!R934,"missing: not collected"),EXACT(metadata!R934,"missing: not provided"),EXACT(metadata!R934,"missing: restricted access"))),AND(IF(metadata!R934="",FALSE,ISNUMBER(VALUE(metadata!R934))),metadata!R934&gt;0))</f>
        <v>0</v>
      </c>
      <c r="AU934" t="b">
        <f>AND(IF(metadata!S934="",FALSE,TRUE),EXACT(metadata!S934,"missing: not provided"))</f>
        <v>0</v>
      </c>
    </row>
    <row r="935" spans="1:47" x14ac:dyDescent="0.2">
      <c r="A935" s="5" t="str">
        <f ca="1">IF(B935=" "," ",HYPERLINK(CONCATENATE("#metadata!",ADDRESS(INDEX($Y$2:$Y$1001,MATCH(ROWS($W$2:W935),$W$2:$W$1001,0),0),1)),INDEX($AB$2:$AB$1001,MATCH(ROWS($W$2:W935),$W$2:$W$1001,0),0)))</f>
        <v xml:space="preserve"> </v>
      </c>
      <c r="B935" s="4" t="str">
        <f ca="1">IF(OR(INDEX($X$2:$X$1001,MATCH(ROWS($W$2:W935),$W$2:$W$1001,0),1)&gt;=100000,INDEX($AD$1005:$AU$1005,1,MATCH(COLUMNS($AD$1006:AD1006),$AD$1006:$AU$1006,0))&gt;=100000), " ",IF(INDEX($AD$2:$AU$1001,MATCH(ROWS($W$2:W935),$W$2:$W$1001,0),MATCH(COLUMNS($AD$1006:AD1006),$AD$1006:$AU$1006,0)), HYPERLINK("#",""), HYPERLINK(CONCATENATE("#metadata!", ADDRESS(INDEX($Y$2:$Y$1001,MATCH(ROWS($W$2:W935),$W$2:$W$1001,0),0), INDEX($AD$1004:$AU$1004,1,MATCH(COLUMNS($AD$1006:AD1006),$AD$1006:$AU$1006,0)))),"Fix")))</f>
        <v xml:space="preserve"> </v>
      </c>
      <c r="C935" s="4" t="str">
        <f ca="1">IF(OR(INDEX($X$2:$X$1001,MATCH(ROWS($W$2:W935),$W$2:$W$1001,0),1)&gt;=100000,INDEX($AD$1005:$AU$1005,1,MATCH(COLUMNS($AD$1006:AE1006),$AD$1006:$AU$1006,0))&gt;=100000), " ",IF(INDEX($AD$2:$AU$1001,MATCH(ROWS($W$2:W935),$W$2:$W$1001,0),MATCH(COLUMNS($AD$1006:AE1006),$AD$1006:$AU$1006,0)), HYPERLINK("#",""), HYPERLINK(CONCATENATE("#metadata!", ADDRESS(INDEX($Y$2:$Y$1001,MATCH(ROWS($W$2:W935),$W$2:$W$1001,0),0), INDEX($AD$1004:$AU$1004,1,MATCH(COLUMNS($AD$1006:AE1006),$AD$1006:$AU$1006,0)))),"Fix")))</f>
        <v xml:space="preserve"> </v>
      </c>
      <c r="D935" s="4" t="str">
        <f ca="1">IF(OR(INDEX($X$2:$X$1001,MATCH(ROWS($W$2:W935),$W$2:$W$1001,0),1)&gt;=100000,INDEX($AD$1005:$AU$1005,1,MATCH(COLUMNS($AD$1006:AF1006),$AD$1006:$AU$1006,0))&gt;=100000), " ",IF(INDEX($AD$2:$AU$1001,MATCH(ROWS($W$2:W935),$W$2:$W$1001,0),MATCH(COLUMNS($AD$1006:AF1006),$AD$1006:$AU$1006,0)), HYPERLINK("#",""), HYPERLINK(CONCATENATE("#metadata!", ADDRESS(INDEX($Y$2:$Y$1001,MATCH(ROWS($W$2:W935),$W$2:$W$1001,0),0), INDEX($AD$1004:$AU$1004,1,MATCH(COLUMNS($AD$1006:AF1006),$AD$1006:$AU$1006,0)))),"Fix")))</f>
        <v xml:space="preserve"> </v>
      </c>
      <c r="E935" s="4" t="str">
        <f ca="1">IF(OR(INDEX($X$2:$X$1001,MATCH(ROWS($W$2:W935),$W$2:$W$1001,0),1)&gt;=100000,INDEX($AD$1005:$AU$1005,1,MATCH(COLUMNS($AD$1006:AG1006),$AD$1006:$AU$1006,0))&gt;=100000), " ",IF(INDEX($AD$2:$AU$1001,MATCH(ROWS($W$2:W935),$W$2:$W$1001,0),MATCH(COLUMNS($AD$1006:AG1006),$AD$1006:$AU$1006,0)), HYPERLINK("#",""), HYPERLINK(CONCATENATE("#metadata!", ADDRESS(INDEX($Y$2:$Y$1001,MATCH(ROWS($W$2:W935),$W$2:$W$1001,0),0), INDEX($AD$1004:$AU$1004,1,MATCH(COLUMNS($AD$1006:AG1006),$AD$1006:$AU$1006,0)))),"Fix")))</f>
        <v xml:space="preserve"> </v>
      </c>
      <c r="F935" s="4" t="str">
        <f ca="1">IF(OR(INDEX($X$2:$X$1001,MATCH(ROWS($W$2:W935),$W$2:$W$1001,0),1)&gt;=100000,INDEX($AD$1005:$AU$1005,1,MATCH(COLUMNS($AD$1006:AH1006),$AD$1006:$AU$1006,0))&gt;=100000), " ",IF(INDEX($AD$2:$AU$1001,MATCH(ROWS($W$2:W935),$W$2:$W$1001,0),MATCH(COLUMNS($AD$1006:AH1006),$AD$1006:$AU$1006,0)), HYPERLINK("#",""), HYPERLINK(CONCATENATE("#metadata!", ADDRESS(INDEX($Y$2:$Y$1001,MATCH(ROWS($W$2:W935),$W$2:$W$1001,0),0), INDEX($AD$1004:$AU$1004,1,MATCH(COLUMNS($AD$1006:AH1006),$AD$1006:$AU$1006,0)))),"Fix")))</f>
        <v xml:space="preserve"> </v>
      </c>
      <c r="G935" s="4" t="str">
        <f ca="1">IF(OR(INDEX($X$2:$X$1001,MATCH(ROWS($W$2:W935),$W$2:$W$1001,0),1)&gt;=100000,INDEX($AD$1005:$AU$1005,1,MATCH(COLUMNS($AD$1006:AI1006),$AD$1006:$AU$1006,0))&gt;=100000), " ",IF(INDEX($AD$2:$AU$1001,MATCH(ROWS($W$2:W935),$W$2:$W$1001,0),MATCH(COLUMNS($AD$1006:AI1006),$AD$1006:$AU$1006,0)), HYPERLINK("#",""), HYPERLINK(CONCATENATE("#metadata!", ADDRESS(INDEX($Y$2:$Y$1001,MATCH(ROWS($W$2:W935),$W$2:$W$1001,0),0), INDEX($AD$1004:$AU$1004,1,MATCH(COLUMNS($AD$1006:AI1006),$AD$1006:$AU$1006,0)))),"Fix")))</f>
        <v xml:space="preserve"> </v>
      </c>
      <c r="H935" s="4" t="str">
        <f ca="1">IF(OR(INDEX($X$2:$X$1001,MATCH(ROWS($W$2:W935),$W$2:$W$1001,0),1)&gt;=100000,INDEX($AD$1005:$AU$1005,1,MATCH(COLUMNS($AD$1006:AJ1006),$AD$1006:$AU$1006,0))&gt;=100000), " ",IF(INDEX($AD$2:$AU$1001,MATCH(ROWS($W$2:W935),$W$2:$W$1001,0),MATCH(COLUMNS($AD$1006:AJ1006),$AD$1006:$AU$1006,0)), HYPERLINK("#",""), HYPERLINK(CONCATENATE("#metadata!", ADDRESS(INDEX($Y$2:$Y$1001,MATCH(ROWS($W$2:W935),$W$2:$W$1001,0),0), INDEX($AD$1004:$AU$1004,1,MATCH(COLUMNS($AD$1006:AJ1006),$AD$1006:$AU$1006,0)))),"Fix")))</f>
        <v xml:space="preserve"> </v>
      </c>
      <c r="I935" s="4" t="str">
        <f ca="1">IF(OR(INDEX($X$2:$X$1001,MATCH(ROWS($W$2:W935),$W$2:$W$1001,0),1)&gt;=100000,INDEX($AD$1005:$AU$1005,1,MATCH(COLUMNS($AD$1006:AK1006),$AD$1006:$AU$1006,0))&gt;=100000), " ",IF(INDEX($AD$2:$AU$1001,MATCH(ROWS($W$2:W935),$W$2:$W$1001,0),MATCH(COLUMNS($AD$1006:AK1006),$AD$1006:$AU$1006,0)), HYPERLINK("#",""), HYPERLINK(CONCATENATE("#metadata!", ADDRESS(INDEX($Y$2:$Y$1001,MATCH(ROWS($W$2:W935),$W$2:$W$1001,0),0), INDEX($AD$1004:$AU$1004,1,MATCH(COLUMNS($AD$1006:AK1006),$AD$1006:$AU$1006,0)))),"Fix")))</f>
        <v xml:space="preserve"> </v>
      </c>
      <c r="J935" s="4" t="str">
        <f ca="1">IF(OR(INDEX($X$2:$X$1001,MATCH(ROWS($W$2:W935),$W$2:$W$1001,0),1)&gt;=100000,INDEX($AD$1005:$AU$1005,1,MATCH(COLUMNS($AD$1006:AL1006),$AD$1006:$AU$1006,0))&gt;=100000), " ",IF(INDEX($AD$2:$AU$1001,MATCH(ROWS($W$2:W935),$W$2:$W$1001,0),MATCH(COLUMNS($AD$1006:AL1006),$AD$1006:$AU$1006,0)), HYPERLINK("#",""), HYPERLINK(CONCATENATE("#metadata!", ADDRESS(INDEX($Y$2:$Y$1001,MATCH(ROWS($W$2:W935),$W$2:$W$1001,0),0), INDEX($AD$1004:$AU$1004,1,MATCH(COLUMNS($AD$1006:AL1006),$AD$1006:$AU$1006,0)))),"Fix")))</f>
        <v xml:space="preserve"> </v>
      </c>
      <c r="K935" s="4" t="str">
        <f ca="1">IF(OR(INDEX($X$2:$X$1001,MATCH(ROWS($W$2:W935),$W$2:$W$1001,0),1)&gt;=100000,INDEX($AD$1005:$AU$1005,1,MATCH(COLUMNS($AD$1006:AM1006),$AD$1006:$AU$1006,0))&gt;=100000), " ",IF(INDEX($AD$2:$AU$1001,MATCH(ROWS($W$2:W935),$W$2:$W$1001,0),MATCH(COLUMNS($AD$1006:AM1006),$AD$1006:$AU$1006,0)), HYPERLINK("#",""), HYPERLINK(CONCATENATE("#metadata!", ADDRESS(INDEX($Y$2:$Y$1001,MATCH(ROWS($W$2:W935),$W$2:$W$1001,0),0), INDEX($AD$1004:$AU$1004,1,MATCH(COLUMNS($AD$1006:AM1006),$AD$1006:$AU$1006,0)))),"Fix")))</f>
        <v xml:space="preserve"> </v>
      </c>
      <c r="L935" s="4" t="str">
        <f ca="1">IF(OR(INDEX($X$2:$X$1001,MATCH(ROWS($W$2:W935),$W$2:$W$1001,0),1)&gt;=100000,INDEX($AD$1005:$AU$1005,1,MATCH(COLUMNS($AD$1006:AN1006),$AD$1006:$AU$1006,0))&gt;=100000), " ",IF(INDEX($AD$2:$AU$1001,MATCH(ROWS($W$2:W935),$W$2:$W$1001,0),MATCH(COLUMNS($AD$1006:AN1006),$AD$1006:$AU$1006,0)), HYPERLINK("#",""), HYPERLINK(CONCATENATE("#metadata!", ADDRESS(INDEX($Y$2:$Y$1001,MATCH(ROWS($W$2:W935),$W$2:$W$1001,0),0), INDEX($AD$1004:$AU$1004,1,MATCH(COLUMNS($AD$1006:AN1006),$AD$1006:$AU$1006,0)))),"Fix")))</f>
        <v xml:space="preserve"> </v>
      </c>
      <c r="M935" s="4" t="str">
        <f ca="1">IF(OR(INDEX($X$2:$X$1001,MATCH(ROWS($W$2:W935),$W$2:$W$1001,0),1)&gt;=100000,INDEX($AD$1005:$AU$1005,1,MATCH(COLUMNS($AD$1006:AO1006),$AD$1006:$AU$1006,0))&gt;=100000), " ",IF(INDEX($AD$2:$AU$1001,MATCH(ROWS($W$2:W935),$W$2:$W$1001,0),MATCH(COLUMNS($AD$1006:AO1006),$AD$1006:$AU$1006,0)), HYPERLINK("#",""), HYPERLINK(CONCATENATE("#metadata!", ADDRESS(INDEX($Y$2:$Y$1001,MATCH(ROWS($W$2:W935),$W$2:$W$1001,0),0), INDEX($AD$1004:$AU$1004,1,MATCH(COLUMNS($AD$1006:AO1006),$AD$1006:$AU$1006,0)))),"Fix")))</f>
        <v xml:space="preserve"> </v>
      </c>
      <c r="N935" s="4" t="str">
        <f ca="1">IF(OR(INDEX($X$2:$X$1001,MATCH(ROWS($W$2:W935),$W$2:$W$1001,0),1)&gt;=100000,INDEX($AD$1005:$AU$1005,1,MATCH(COLUMNS($AD$1006:AP1006),$AD$1006:$AU$1006,0))&gt;=100000), " ",IF(INDEX($AD$2:$AU$1001,MATCH(ROWS($W$2:W935),$W$2:$W$1001,0),MATCH(COLUMNS($AD$1006:AP1006),$AD$1006:$AU$1006,0)), HYPERLINK("#",""), HYPERLINK(CONCATENATE("#metadata!", ADDRESS(INDEX($Y$2:$Y$1001,MATCH(ROWS($W$2:W935),$W$2:$W$1001,0),0), INDEX($AD$1004:$AU$1004,1,MATCH(COLUMNS($AD$1006:AP1006),$AD$1006:$AU$1006,0)))),"Fix")))</f>
        <v xml:space="preserve"> </v>
      </c>
      <c r="O935" s="4" t="str">
        <f ca="1">IF(OR(INDEX($X$2:$X$1001,MATCH(ROWS($W$2:W935),$W$2:$W$1001,0),1)&gt;=100000,INDEX($AD$1005:$AU$1005,1,MATCH(COLUMNS($AD$1006:AQ1006),$AD$1006:$AU$1006,0))&gt;=100000), " ",IF(INDEX($AD$2:$AU$1001,MATCH(ROWS($W$2:W935),$W$2:$W$1001,0),MATCH(COLUMNS($AD$1006:AQ1006),$AD$1006:$AU$1006,0)), HYPERLINK("#",""), HYPERLINK(CONCATENATE("#metadata!", ADDRESS(INDEX($Y$2:$Y$1001,MATCH(ROWS($W$2:W935),$W$2:$W$1001,0),0), INDEX($AD$1004:$AU$1004,1,MATCH(COLUMNS($AD$1006:AQ1006),$AD$1006:$AU$1006,0)))),"Fix")))</f>
        <v xml:space="preserve"> </v>
      </c>
      <c r="P935" s="4" t="str">
        <f ca="1">IF(OR(INDEX($X$2:$X$1001,MATCH(ROWS($W$2:W935),$W$2:$W$1001,0),1)&gt;=100000,INDEX($AD$1005:$AU$1005,1,MATCH(COLUMNS($AD$1006:AR1006),$AD$1006:$AU$1006,0))&gt;=100000), " ",IF(INDEX($AD$2:$AU$1001,MATCH(ROWS($W$2:W935),$W$2:$W$1001,0),MATCH(COLUMNS($AD$1006:AR1006),$AD$1006:$AU$1006,0)), HYPERLINK("#",""), HYPERLINK(CONCATENATE("#metadata!", ADDRESS(INDEX($Y$2:$Y$1001,MATCH(ROWS($W$2:W935),$W$2:$W$1001,0),0), INDEX($AD$1004:$AU$1004,1,MATCH(COLUMNS($AD$1006:AR1006),$AD$1006:$AU$1006,0)))),"Fix")))</f>
        <v xml:space="preserve"> </v>
      </c>
      <c r="Q935" s="4" t="str">
        <f ca="1">IF(OR(INDEX($X$2:$X$1001,MATCH(ROWS($W$2:W935),$W$2:$W$1001,0),1)&gt;=100000,INDEX($AD$1005:$AU$1005,1,MATCH(COLUMNS($AD$1006:AS1006),$AD$1006:$AU$1006,0))&gt;=100000), " ",IF(INDEX($AD$2:$AU$1001,MATCH(ROWS($W$2:W935),$W$2:$W$1001,0),MATCH(COLUMNS($AD$1006:AS1006),$AD$1006:$AU$1006,0)), HYPERLINK("#",""), HYPERLINK(CONCATENATE("#metadata!", ADDRESS(INDEX($Y$2:$Y$1001,MATCH(ROWS($W$2:W935),$W$2:$W$1001,0),0), INDEX($AD$1004:$AU$1004,1,MATCH(COLUMNS($AD$1006:AS1006),$AD$1006:$AU$1006,0)))),"Fix")))</f>
        <v xml:space="preserve"> </v>
      </c>
      <c r="R935" s="4" t="str">
        <f ca="1">IF(OR(INDEX($X$2:$X$1001,MATCH(ROWS($W$2:W935),$W$2:$W$1001,0),1)&gt;=100000,INDEX($AD$1005:$AU$1005,1,MATCH(COLUMNS($AD$1006:AT1006),$AD$1006:$AU$1006,0))&gt;=100000), " ",IF(INDEX($AD$2:$AU$1001,MATCH(ROWS($W$2:W935),$W$2:$W$1001,0),MATCH(COLUMNS($AD$1006:AT1006),$AD$1006:$AU$1006,0)), HYPERLINK("#",""), HYPERLINK(CONCATENATE("#metadata!", ADDRESS(INDEX($Y$2:$Y$1001,MATCH(ROWS($W$2:W935),$W$2:$W$1001,0),0), INDEX($AD$1004:$AU$1004,1,MATCH(COLUMNS($AD$1006:AT1006),$AD$1006:$AU$1006,0)))),"Fix")))</f>
        <v xml:space="preserve"> </v>
      </c>
      <c r="S935" s="4" t="str">
        <f ca="1">IF(OR(INDEX($X$2:$X$1001,MATCH(ROWS($W$2:W935),$W$2:$W$1001,0),1)&gt;=100000,INDEX($AD$1005:$AU$1005,1,MATCH(COLUMNS($AD$1006:AU1006),$AD$1006:$AU$1006,0))&gt;=100000), " ",IF(INDEX($AD$2:$AU$1001,MATCH(ROWS($W$2:W935),$W$2:$W$1001,0),MATCH(COLUMNS($AD$1006:AU1006),$AD$1006:$AU$1006,0)), HYPERLINK("#",""), HYPERLINK(CONCATENATE("#metadata!", ADDRESS(INDEX($Y$2:$Y$1001,MATCH(ROWS($W$2:W935),$W$2:$W$1001,0),0), INDEX($AD$1004:$AU$1004,1,MATCH(COLUMNS($AD$1006:AU1006),$AD$1006:$AU$1006,0)))),"Fix")))</f>
        <v xml:space="preserve"> </v>
      </c>
      <c r="W935">
        <v>934</v>
      </c>
      <c r="X935">
        <v>100935</v>
      </c>
      <c r="Y935">
        <v>935</v>
      </c>
      <c r="Z935" t="b">
        <f t="shared" si="14"/>
        <v>1</v>
      </c>
      <c r="AA935" t="b">
        <f>COUNTBLANK(metadata!B935:S935)=COLUMNS(metadata!B935:S935)</f>
        <v>1</v>
      </c>
      <c r="AB935" t="str">
        <v/>
      </c>
      <c r="AD935" t="b">
        <f ca="1">AND(IF(metadata!B935="",FALSE,TRUE),COUNTIF(metadata!B:B, metadata!B935) = 1,NOT(ISERROR(SUMPRODUCT(SEARCH(MID(metadata!B935,ROW(INDIRECT("1:"&amp;LEN(metadata!B935))), 1),"0123456789abcdefghijklmnopqrstuvwxyzABCDEFGHIJKLMNOPQRSTUVWXYZ.")))))</f>
        <v>0</v>
      </c>
      <c r="AE935" t="b">
        <f>OR(AND(IF(metadata!C935="",FALSE,TRUE),OR(EXACT(metadata!C935,"not applicable"),EXACT(metadata!C935,"missing: not collected"),EXACT(metadata!C935,"missing: not provided"),EXACT(metadata!C935,"missing: restricted access"))),AND(IF(metadata!C935="",FALSE,ISNUMBER(VALUE(metadata!C935))),metadata!C935&gt;0))</f>
        <v>0</v>
      </c>
      <c r="AF935" t="b">
        <f>AND(IF(metadata!D935="",FALSE,TRUE),EXACT(metadata!D935,"missing: not provided"))</f>
        <v>0</v>
      </c>
      <c r="AG935" t="b">
        <f>AND(IF(metadata!E935="",FALSE,TRUE),EXACT(metadata!E935,"Host-associated"))</f>
        <v>0</v>
      </c>
      <c r="AH935" t="b">
        <f>AND(IF(metadata!F935="",FALSE,TRUE),OR(EXACT(metadata!F935,"Animal"),EXACT(metadata!F935,"Fungus"),EXACT(metadata!F935,"Plant")))</f>
        <v>0</v>
      </c>
      <c r="AI935" t="b">
        <f>AND(IF(metadata!G935="",FALSE,TRUE),OR(EXACT(metadata!G935,"Plant secretion"),EXACT(metadata!G935,"Plant rhizosphere"),EXACT(metadata!G935,"Plant surface"),EXACT(metadata!G935,"Plant corpus"),EXACT(metadata!G935,"Fungus surface"),EXACT(metadata!G935,"Fungus corpus"),EXACT(metadata!G935,"Animal surface"),EXACT(metadata!G935,"Animal proximal gut"),EXACT(metadata!G935,"Animal corpus"),EXACT(metadata!G935,"Animal distal gut"),EXACT(metadata!G935,"Animal secretion")))</f>
        <v>0</v>
      </c>
      <c r="AJ935" t="b">
        <f>OR(AND(IF(metadata!H935="",FALSE,TRUE),OR(EXACT(metadata!H935,"missing: not collected"),EXACT(metadata!H935,"missing: not provided"),EXACT(metadata!H935,"missing: restricted access"))),AND(IF(metadata!H935="",FALSE,TRUE),OR(EXACT(metadata!H935,"organism-associated habitat"),EXACT(metadata!H935,"plant-associated habitat"),EXACT(metadata!H935,"animal-associated habitat"),EXACT(metadata!H935,"insecta-associated habitat"),EXACT(metadata!H935,"mammalia-associated habitat"),EXACT(metadata!H935,"human-associated habitat"),EXACT(metadata!H935,"livestock-associated habitat"))))</f>
        <v>0</v>
      </c>
      <c r="AK935" t="b">
        <f>AND(IF(metadata!I935="",FALSE,TRUE),EXACT(metadata!I935,"host-associated"))</f>
        <v>0</v>
      </c>
      <c r="AL935" t="b">
        <f>OR(AND(IF(metadata!J935="",FALSE,TRUE),OR(EXACT(metadata!J935,"not applicable"),EXACT(metadata!J935,"missing: not collected"),EXACT(metadata!J935,"missing: not provided"),EXACT(metadata!J935,"missing: restricted access"))),AND(IF(metadata!J935="",FALSE,ISNUMBER(VALUE(metadata!J935))),metadata!J935&gt;0))</f>
        <v>0</v>
      </c>
      <c r="AM935" t="b">
        <f>AND(IF(metadata!K935="",FALSE,TRUE),EXACT(metadata!K935,"missing: not provided"))</f>
        <v>0</v>
      </c>
      <c r="AN935" t="b">
        <f>IF(metadata!L935="",FALSE,TRUE)</f>
        <v>0</v>
      </c>
      <c r="AO935" t="b">
        <f>IF(metadata!M935="",FALSE,TRUE)</f>
        <v>0</v>
      </c>
      <c r="AP935" t="b">
        <f>OR(AND(IF(metadata!N935="",FALSE,TRUE),OR(EXACT(metadata!N935,"not applicable"),EXACT(metadata!N935,"missing: not collected"),EXACT(metadata!N935,"missing: not provided"))),AND(IF(metadata!N935="",FALSE,IF(ISERROR(INT(metadata!N935)),FALSE,INT(metadata!N935)=metadata!N935)),metadata!N935&gt;0))</f>
        <v>0</v>
      </c>
      <c r="AQ935" t="b">
        <f>AND(IF(metadata!O935="",FALSE,TRUE),EXACT(metadata!O935,"Not applicable"))</f>
        <v>0</v>
      </c>
      <c r="AR935" t="b">
        <f>OR(AND(IF(metadata!P935="",FALSE,TRUE),OR(EXACT(metadata!P935,"not applicable"),EXACT(metadata!P935,"missing: not collected"),EXACT(metadata!P935,"missing: not provided"),EXACT(metadata!P935,"missing: restricted access"))),IF(metadata!P935="",FALSE,IF(ISERROR(INT(metadata!P935)),FALSE,INT(metadata!P935)=metadata!P935)))</f>
        <v>0</v>
      </c>
      <c r="AS935" t="b">
        <f>AND(IF(metadata!Q935="",FALSE,TRUE),EXACT(metadata!Q935,"Not applicable"))</f>
        <v>0</v>
      </c>
      <c r="AT935" t="b">
        <f>OR(AND(IF(metadata!R935="",FALSE,TRUE),OR(EXACT(metadata!R935,"not applicable"),EXACT(metadata!R935,"missing: not collected"),EXACT(metadata!R935,"missing: not provided"),EXACT(metadata!R935,"missing: restricted access"))),AND(IF(metadata!R935="",FALSE,ISNUMBER(VALUE(metadata!R935))),metadata!R935&gt;0))</f>
        <v>0</v>
      </c>
      <c r="AU935" t="b">
        <f>AND(IF(metadata!S935="",FALSE,TRUE),EXACT(metadata!S935,"missing: not provided"))</f>
        <v>0</v>
      </c>
    </row>
    <row r="936" spans="1:47" x14ac:dyDescent="0.2">
      <c r="A936" s="5" t="str">
        <f ca="1">IF(B936=" "," ",HYPERLINK(CONCATENATE("#metadata!",ADDRESS(INDEX($Y$2:$Y$1001,MATCH(ROWS($W$2:W936),$W$2:$W$1001,0),0),1)),INDEX($AB$2:$AB$1001,MATCH(ROWS($W$2:W936),$W$2:$W$1001,0),0)))</f>
        <v xml:space="preserve"> </v>
      </c>
      <c r="B936" s="4" t="str">
        <f ca="1">IF(OR(INDEX($X$2:$X$1001,MATCH(ROWS($W$2:W936),$W$2:$W$1001,0),1)&gt;=100000,INDEX($AD$1005:$AU$1005,1,MATCH(COLUMNS($AD$1006:AD1006),$AD$1006:$AU$1006,0))&gt;=100000), " ",IF(INDEX($AD$2:$AU$1001,MATCH(ROWS($W$2:W936),$W$2:$W$1001,0),MATCH(COLUMNS($AD$1006:AD1006),$AD$1006:$AU$1006,0)), HYPERLINK("#",""), HYPERLINK(CONCATENATE("#metadata!", ADDRESS(INDEX($Y$2:$Y$1001,MATCH(ROWS($W$2:W936),$W$2:$W$1001,0),0), INDEX($AD$1004:$AU$1004,1,MATCH(COLUMNS($AD$1006:AD1006),$AD$1006:$AU$1006,0)))),"Fix")))</f>
        <v xml:space="preserve"> </v>
      </c>
      <c r="C936" s="4" t="str">
        <f ca="1">IF(OR(INDEX($X$2:$X$1001,MATCH(ROWS($W$2:W936),$W$2:$W$1001,0),1)&gt;=100000,INDEX($AD$1005:$AU$1005,1,MATCH(COLUMNS($AD$1006:AE1006),$AD$1006:$AU$1006,0))&gt;=100000), " ",IF(INDEX($AD$2:$AU$1001,MATCH(ROWS($W$2:W936),$W$2:$W$1001,0),MATCH(COLUMNS($AD$1006:AE1006),$AD$1006:$AU$1006,0)), HYPERLINK("#",""), HYPERLINK(CONCATENATE("#metadata!", ADDRESS(INDEX($Y$2:$Y$1001,MATCH(ROWS($W$2:W936),$W$2:$W$1001,0),0), INDEX($AD$1004:$AU$1004,1,MATCH(COLUMNS($AD$1006:AE1006),$AD$1006:$AU$1006,0)))),"Fix")))</f>
        <v xml:space="preserve"> </v>
      </c>
      <c r="D936" s="4" t="str">
        <f ca="1">IF(OR(INDEX($X$2:$X$1001,MATCH(ROWS($W$2:W936),$W$2:$W$1001,0),1)&gt;=100000,INDEX($AD$1005:$AU$1005,1,MATCH(COLUMNS($AD$1006:AF1006),$AD$1006:$AU$1006,0))&gt;=100000), " ",IF(INDEX($AD$2:$AU$1001,MATCH(ROWS($W$2:W936),$W$2:$W$1001,0),MATCH(COLUMNS($AD$1006:AF1006),$AD$1006:$AU$1006,0)), HYPERLINK("#",""), HYPERLINK(CONCATENATE("#metadata!", ADDRESS(INDEX($Y$2:$Y$1001,MATCH(ROWS($W$2:W936),$W$2:$W$1001,0),0), INDEX($AD$1004:$AU$1004,1,MATCH(COLUMNS($AD$1006:AF1006),$AD$1006:$AU$1006,0)))),"Fix")))</f>
        <v xml:space="preserve"> </v>
      </c>
      <c r="E936" s="4" t="str">
        <f ca="1">IF(OR(INDEX($X$2:$X$1001,MATCH(ROWS($W$2:W936),$W$2:$W$1001,0),1)&gt;=100000,INDEX($AD$1005:$AU$1005,1,MATCH(COLUMNS($AD$1006:AG1006),$AD$1006:$AU$1006,0))&gt;=100000), " ",IF(INDEX($AD$2:$AU$1001,MATCH(ROWS($W$2:W936),$W$2:$W$1001,0),MATCH(COLUMNS($AD$1006:AG1006),$AD$1006:$AU$1006,0)), HYPERLINK("#",""), HYPERLINK(CONCATENATE("#metadata!", ADDRESS(INDEX($Y$2:$Y$1001,MATCH(ROWS($W$2:W936),$W$2:$W$1001,0),0), INDEX($AD$1004:$AU$1004,1,MATCH(COLUMNS($AD$1006:AG1006),$AD$1006:$AU$1006,0)))),"Fix")))</f>
        <v xml:space="preserve"> </v>
      </c>
      <c r="F936" s="4" t="str">
        <f ca="1">IF(OR(INDEX($X$2:$X$1001,MATCH(ROWS($W$2:W936),$W$2:$W$1001,0),1)&gt;=100000,INDEX($AD$1005:$AU$1005,1,MATCH(COLUMNS($AD$1006:AH1006),$AD$1006:$AU$1006,0))&gt;=100000), " ",IF(INDEX($AD$2:$AU$1001,MATCH(ROWS($W$2:W936),$W$2:$W$1001,0),MATCH(COLUMNS($AD$1006:AH1006),$AD$1006:$AU$1006,0)), HYPERLINK("#",""), HYPERLINK(CONCATENATE("#metadata!", ADDRESS(INDEX($Y$2:$Y$1001,MATCH(ROWS($W$2:W936),$W$2:$W$1001,0),0), INDEX($AD$1004:$AU$1004,1,MATCH(COLUMNS($AD$1006:AH1006),$AD$1006:$AU$1006,0)))),"Fix")))</f>
        <v xml:space="preserve"> </v>
      </c>
      <c r="G936" s="4" t="str">
        <f ca="1">IF(OR(INDEX($X$2:$X$1001,MATCH(ROWS($W$2:W936),$W$2:$W$1001,0),1)&gt;=100000,INDEX($AD$1005:$AU$1005,1,MATCH(COLUMNS($AD$1006:AI1006),$AD$1006:$AU$1006,0))&gt;=100000), " ",IF(INDEX($AD$2:$AU$1001,MATCH(ROWS($W$2:W936),$W$2:$W$1001,0),MATCH(COLUMNS($AD$1006:AI1006),$AD$1006:$AU$1006,0)), HYPERLINK("#",""), HYPERLINK(CONCATENATE("#metadata!", ADDRESS(INDEX($Y$2:$Y$1001,MATCH(ROWS($W$2:W936),$W$2:$W$1001,0),0), INDEX($AD$1004:$AU$1004,1,MATCH(COLUMNS($AD$1006:AI1006),$AD$1006:$AU$1006,0)))),"Fix")))</f>
        <v xml:space="preserve"> </v>
      </c>
      <c r="H936" s="4" t="str">
        <f ca="1">IF(OR(INDEX($X$2:$X$1001,MATCH(ROWS($W$2:W936),$W$2:$W$1001,0),1)&gt;=100000,INDEX($AD$1005:$AU$1005,1,MATCH(COLUMNS($AD$1006:AJ1006),$AD$1006:$AU$1006,0))&gt;=100000), " ",IF(INDEX($AD$2:$AU$1001,MATCH(ROWS($W$2:W936),$W$2:$W$1001,0),MATCH(COLUMNS($AD$1006:AJ1006),$AD$1006:$AU$1006,0)), HYPERLINK("#",""), HYPERLINK(CONCATENATE("#metadata!", ADDRESS(INDEX($Y$2:$Y$1001,MATCH(ROWS($W$2:W936),$W$2:$W$1001,0),0), INDEX($AD$1004:$AU$1004,1,MATCH(COLUMNS($AD$1006:AJ1006),$AD$1006:$AU$1006,0)))),"Fix")))</f>
        <v xml:space="preserve"> </v>
      </c>
      <c r="I936" s="4" t="str">
        <f ca="1">IF(OR(INDEX($X$2:$X$1001,MATCH(ROWS($W$2:W936),$W$2:$W$1001,0),1)&gt;=100000,INDEX($AD$1005:$AU$1005,1,MATCH(COLUMNS($AD$1006:AK1006),$AD$1006:$AU$1006,0))&gt;=100000), " ",IF(INDEX($AD$2:$AU$1001,MATCH(ROWS($W$2:W936),$W$2:$W$1001,0),MATCH(COLUMNS($AD$1006:AK1006),$AD$1006:$AU$1006,0)), HYPERLINK("#",""), HYPERLINK(CONCATENATE("#metadata!", ADDRESS(INDEX($Y$2:$Y$1001,MATCH(ROWS($W$2:W936),$W$2:$W$1001,0),0), INDEX($AD$1004:$AU$1004,1,MATCH(COLUMNS($AD$1006:AK1006),$AD$1006:$AU$1006,0)))),"Fix")))</f>
        <v xml:space="preserve"> </v>
      </c>
      <c r="J936" s="4" t="str">
        <f ca="1">IF(OR(INDEX($X$2:$X$1001,MATCH(ROWS($W$2:W936),$W$2:$W$1001,0),1)&gt;=100000,INDEX($AD$1005:$AU$1005,1,MATCH(COLUMNS($AD$1006:AL1006),$AD$1006:$AU$1006,0))&gt;=100000), " ",IF(INDEX($AD$2:$AU$1001,MATCH(ROWS($W$2:W936),$W$2:$W$1001,0),MATCH(COLUMNS($AD$1006:AL1006),$AD$1006:$AU$1006,0)), HYPERLINK("#",""), HYPERLINK(CONCATENATE("#metadata!", ADDRESS(INDEX($Y$2:$Y$1001,MATCH(ROWS($W$2:W936),$W$2:$W$1001,0),0), INDEX($AD$1004:$AU$1004,1,MATCH(COLUMNS($AD$1006:AL1006),$AD$1006:$AU$1006,0)))),"Fix")))</f>
        <v xml:space="preserve"> </v>
      </c>
      <c r="K936" s="4" t="str">
        <f ca="1">IF(OR(INDEX($X$2:$X$1001,MATCH(ROWS($W$2:W936),$W$2:$W$1001,0),1)&gt;=100000,INDEX($AD$1005:$AU$1005,1,MATCH(COLUMNS($AD$1006:AM1006),$AD$1006:$AU$1006,0))&gt;=100000), " ",IF(INDEX($AD$2:$AU$1001,MATCH(ROWS($W$2:W936),$W$2:$W$1001,0),MATCH(COLUMNS($AD$1006:AM1006),$AD$1006:$AU$1006,0)), HYPERLINK("#",""), HYPERLINK(CONCATENATE("#metadata!", ADDRESS(INDEX($Y$2:$Y$1001,MATCH(ROWS($W$2:W936),$W$2:$W$1001,0),0), INDEX($AD$1004:$AU$1004,1,MATCH(COLUMNS($AD$1006:AM1006),$AD$1006:$AU$1006,0)))),"Fix")))</f>
        <v xml:space="preserve"> </v>
      </c>
      <c r="L936" s="4" t="str">
        <f ca="1">IF(OR(INDEX($X$2:$X$1001,MATCH(ROWS($W$2:W936),$W$2:$W$1001,0),1)&gt;=100000,INDEX($AD$1005:$AU$1005,1,MATCH(COLUMNS($AD$1006:AN1006),$AD$1006:$AU$1006,0))&gt;=100000), " ",IF(INDEX($AD$2:$AU$1001,MATCH(ROWS($W$2:W936),$W$2:$W$1001,0),MATCH(COLUMNS($AD$1006:AN1006),$AD$1006:$AU$1006,0)), HYPERLINK("#",""), HYPERLINK(CONCATENATE("#metadata!", ADDRESS(INDEX($Y$2:$Y$1001,MATCH(ROWS($W$2:W936),$W$2:$W$1001,0),0), INDEX($AD$1004:$AU$1004,1,MATCH(COLUMNS($AD$1006:AN1006),$AD$1006:$AU$1006,0)))),"Fix")))</f>
        <v xml:space="preserve"> </v>
      </c>
      <c r="M936" s="4" t="str">
        <f ca="1">IF(OR(INDEX($X$2:$X$1001,MATCH(ROWS($W$2:W936),$W$2:$W$1001,0),1)&gt;=100000,INDEX($AD$1005:$AU$1005,1,MATCH(COLUMNS($AD$1006:AO1006),$AD$1006:$AU$1006,0))&gt;=100000), " ",IF(INDEX($AD$2:$AU$1001,MATCH(ROWS($W$2:W936),$W$2:$W$1001,0),MATCH(COLUMNS($AD$1006:AO1006),$AD$1006:$AU$1006,0)), HYPERLINK("#",""), HYPERLINK(CONCATENATE("#metadata!", ADDRESS(INDEX($Y$2:$Y$1001,MATCH(ROWS($W$2:W936),$W$2:$W$1001,0),0), INDEX($AD$1004:$AU$1004,1,MATCH(COLUMNS($AD$1006:AO1006),$AD$1006:$AU$1006,0)))),"Fix")))</f>
        <v xml:space="preserve"> </v>
      </c>
      <c r="N936" s="4" t="str">
        <f ca="1">IF(OR(INDEX($X$2:$X$1001,MATCH(ROWS($W$2:W936),$W$2:$W$1001,0),1)&gt;=100000,INDEX($AD$1005:$AU$1005,1,MATCH(COLUMNS($AD$1006:AP1006),$AD$1006:$AU$1006,0))&gt;=100000), " ",IF(INDEX($AD$2:$AU$1001,MATCH(ROWS($W$2:W936),$W$2:$W$1001,0),MATCH(COLUMNS($AD$1006:AP1006),$AD$1006:$AU$1006,0)), HYPERLINK("#",""), HYPERLINK(CONCATENATE("#metadata!", ADDRESS(INDEX($Y$2:$Y$1001,MATCH(ROWS($W$2:W936),$W$2:$W$1001,0),0), INDEX($AD$1004:$AU$1004,1,MATCH(COLUMNS($AD$1006:AP1006),$AD$1006:$AU$1006,0)))),"Fix")))</f>
        <v xml:space="preserve"> </v>
      </c>
      <c r="O936" s="4" t="str">
        <f ca="1">IF(OR(INDEX($X$2:$X$1001,MATCH(ROWS($W$2:W936),$W$2:$W$1001,0),1)&gt;=100000,INDEX($AD$1005:$AU$1005,1,MATCH(COLUMNS($AD$1006:AQ1006),$AD$1006:$AU$1006,0))&gt;=100000), " ",IF(INDEX($AD$2:$AU$1001,MATCH(ROWS($W$2:W936),$W$2:$W$1001,0),MATCH(COLUMNS($AD$1006:AQ1006),$AD$1006:$AU$1006,0)), HYPERLINK("#",""), HYPERLINK(CONCATENATE("#metadata!", ADDRESS(INDEX($Y$2:$Y$1001,MATCH(ROWS($W$2:W936),$W$2:$W$1001,0),0), INDEX($AD$1004:$AU$1004,1,MATCH(COLUMNS($AD$1006:AQ1006),$AD$1006:$AU$1006,0)))),"Fix")))</f>
        <v xml:space="preserve"> </v>
      </c>
      <c r="P936" s="4" t="str">
        <f ca="1">IF(OR(INDEX($X$2:$X$1001,MATCH(ROWS($W$2:W936),$W$2:$W$1001,0),1)&gt;=100000,INDEX($AD$1005:$AU$1005,1,MATCH(COLUMNS($AD$1006:AR1006),$AD$1006:$AU$1006,0))&gt;=100000), " ",IF(INDEX($AD$2:$AU$1001,MATCH(ROWS($W$2:W936),$W$2:$W$1001,0),MATCH(COLUMNS($AD$1006:AR1006),$AD$1006:$AU$1006,0)), HYPERLINK("#",""), HYPERLINK(CONCATENATE("#metadata!", ADDRESS(INDEX($Y$2:$Y$1001,MATCH(ROWS($W$2:W936),$W$2:$W$1001,0),0), INDEX($AD$1004:$AU$1004,1,MATCH(COLUMNS($AD$1006:AR1006),$AD$1006:$AU$1006,0)))),"Fix")))</f>
        <v xml:space="preserve"> </v>
      </c>
      <c r="Q936" s="4" t="str">
        <f ca="1">IF(OR(INDEX($X$2:$X$1001,MATCH(ROWS($W$2:W936),$W$2:$W$1001,0),1)&gt;=100000,INDEX($AD$1005:$AU$1005,1,MATCH(COLUMNS($AD$1006:AS1006),$AD$1006:$AU$1006,0))&gt;=100000), " ",IF(INDEX($AD$2:$AU$1001,MATCH(ROWS($W$2:W936),$W$2:$W$1001,0),MATCH(COLUMNS($AD$1006:AS1006),$AD$1006:$AU$1006,0)), HYPERLINK("#",""), HYPERLINK(CONCATENATE("#metadata!", ADDRESS(INDEX($Y$2:$Y$1001,MATCH(ROWS($W$2:W936),$W$2:$W$1001,0),0), INDEX($AD$1004:$AU$1004,1,MATCH(COLUMNS($AD$1006:AS1006),$AD$1006:$AU$1006,0)))),"Fix")))</f>
        <v xml:space="preserve"> </v>
      </c>
      <c r="R936" s="4" t="str">
        <f ca="1">IF(OR(INDEX($X$2:$X$1001,MATCH(ROWS($W$2:W936),$W$2:$W$1001,0),1)&gt;=100000,INDEX($AD$1005:$AU$1005,1,MATCH(COLUMNS($AD$1006:AT1006),$AD$1006:$AU$1006,0))&gt;=100000), " ",IF(INDEX($AD$2:$AU$1001,MATCH(ROWS($W$2:W936),$W$2:$W$1001,0),MATCH(COLUMNS($AD$1006:AT1006),$AD$1006:$AU$1006,0)), HYPERLINK("#",""), HYPERLINK(CONCATENATE("#metadata!", ADDRESS(INDEX($Y$2:$Y$1001,MATCH(ROWS($W$2:W936),$W$2:$W$1001,0),0), INDEX($AD$1004:$AU$1004,1,MATCH(COLUMNS($AD$1006:AT1006),$AD$1006:$AU$1006,0)))),"Fix")))</f>
        <v xml:space="preserve"> </v>
      </c>
      <c r="S936" s="4" t="str">
        <f ca="1">IF(OR(INDEX($X$2:$X$1001,MATCH(ROWS($W$2:W936),$W$2:$W$1001,0),1)&gt;=100000,INDEX($AD$1005:$AU$1005,1,MATCH(COLUMNS($AD$1006:AU1006),$AD$1006:$AU$1006,0))&gt;=100000), " ",IF(INDEX($AD$2:$AU$1001,MATCH(ROWS($W$2:W936),$W$2:$W$1001,0),MATCH(COLUMNS($AD$1006:AU1006),$AD$1006:$AU$1006,0)), HYPERLINK("#",""), HYPERLINK(CONCATENATE("#metadata!", ADDRESS(INDEX($Y$2:$Y$1001,MATCH(ROWS($W$2:W936),$W$2:$W$1001,0),0), INDEX($AD$1004:$AU$1004,1,MATCH(COLUMNS($AD$1006:AU1006),$AD$1006:$AU$1006,0)))),"Fix")))</f>
        <v xml:space="preserve"> </v>
      </c>
      <c r="W936">
        <v>935</v>
      </c>
      <c r="X936">
        <v>100936</v>
      </c>
      <c r="Y936">
        <v>936</v>
      </c>
      <c r="Z936" t="b">
        <f t="shared" si="14"/>
        <v>1</v>
      </c>
      <c r="AA936" t="b">
        <f>COUNTBLANK(metadata!B936:S936)=COLUMNS(metadata!B936:S936)</f>
        <v>1</v>
      </c>
      <c r="AB936" t="str">
        <v/>
      </c>
      <c r="AD936" t="b">
        <f ca="1">AND(IF(metadata!B936="",FALSE,TRUE),COUNTIF(metadata!B:B, metadata!B936) = 1,NOT(ISERROR(SUMPRODUCT(SEARCH(MID(metadata!B936,ROW(INDIRECT("1:"&amp;LEN(metadata!B936))), 1),"0123456789abcdefghijklmnopqrstuvwxyzABCDEFGHIJKLMNOPQRSTUVWXYZ.")))))</f>
        <v>0</v>
      </c>
      <c r="AE936" t="b">
        <f>OR(AND(IF(metadata!C936="",FALSE,TRUE),OR(EXACT(metadata!C936,"not applicable"),EXACT(metadata!C936,"missing: not collected"),EXACT(metadata!C936,"missing: not provided"),EXACT(metadata!C936,"missing: restricted access"))),AND(IF(metadata!C936="",FALSE,ISNUMBER(VALUE(metadata!C936))),metadata!C936&gt;0))</f>
        <v>0</v>
      </c>
      <c r="AF936" t="b">
        <f>AND(IF(metadata!D936="",FALSE,TRUE),EXACT(metadata!D936,"missing: not provided"))</f>
        <v>0</v>
      </c>
      <c r="AG936" t="b">
        <f>AND(IF(metadata!E936="",FALSE,TRUE),EXACT(metadata!E936,"Host-associated"))</f>
        <v>0</v>
      </c>
      <c r="AH936" t="b">
        <f>AND(IF(metadata!F936="",FALSE,TRUE),OR(EXACT(metadata!F936,"Animal"),EXACT(metadata!F936,"Fungus"),EXACT(metadata!F936,"Plant")))</f>
        <v>0</v>
      </c>
      <c r="AI936" t="b">
        <f>AND(IF(metadata!G936="",FALSE,TRUE),OR(EXACT(metadata!G936,"Plant secretion"),EXACT(metadata!G936,"Plant rhizosphere"),EXACT(metadata!G936,"Plant surface"),EXACT(metadata!G936,"Plant corpus"),EXACT(metadata!G936,"Fungus surface"),EXACT(metadata!G936,"Fungus corpus"),EXACT(metadata!G936,"Animal surface"),EXACT(metadata!G936,"Animal proximal gut"),EXACT(metadata!G936,"Animal corpus"),EXACT(metadata!G936,"Animal distal gut"),EXACT(metadata!G936,"Animal secretion")))</f>
        <v>0</v>
      </c>
      <c r="AJ936" t="b">
        <f>OR(AND(IF(metadata!H936="",FALSE,TRUE),OR(EXACT(metadata!H936,"missing: not collected"),EXACT(metadata!H936,"missing: not provided"),EXACT(metadata!H936,"missing: restricted access"))),AND(IF(metadata!H936="",FALSE,TRUE),OR(EXACT(metadata!H936,"organism-associated habitat"),EXACT(metadata!H936,"plant-associated habitat"),EXACT(metadata!H936,"animal-associated habitat"),EXACT(metadata!H936,"insecta-associated habitat"),EXACT(metadata!H936,"mammalia-associated habitat"),EXACT(metadata!H936,"human-associated habitat"),EXACT(metadata!H936,"livestock-associated habitat"))))</f>
        <v>0</v>
      </c>
      <c r="AK936" t="b">
        <f>AND(IF(metadata!I936="",FALSE,TRUE),EXACT(metadata!I936,"host-associated"))</f>
        <v>0</v>
      </c>
      <c r="AL936" t="b">
        <f>OR(AND(IF(metadata!J936="",FALSE,TRUE),OR(EXACT(metadata!J936,"not applicable"),EXACT(metadata!J936,"missing: not collected"),EXACT(metadata!J936,"missing: not provided"),EXACT(metadata!J936,"missing: restricted access"))),AND(IF(metadata!J936="",FALSE,ISNUMBER(VALUE(metadata!J936))),metadata!J936&gt;0))</f>
        <v>0</v>
      </c>
      <c r="AM936" t="b">
        <f>AND(IF(metadata!K936="",FALSE,TRUE),EXACT(metadata!K936,"missing: not provided"))</f>
        <v>0</v>
      </c>
      <c r="AN936" t="b">
        <f>IF(metadata!L936="",FALSE,TRUE)</f>
        <v>0</v>
      </c>
      <c r="AO936" t="b">
        <f>IF(metadata!M936="",FALSE,TRUE)</f>
        <v>0</v>
      </c>
      <c r="AP936" t="b">
        <f>OR(AND(IF(metadata!N936="",FALSE,TRUE),OR(EXACT(metadata!N936,"not applicable"),EXACT(metadata!N936,"missing: not collected"),EXACT(metadata!N936,"missing: not provided"))),AND(IF(metadata!N936="",FALSE,IF(ISERROR(INT(metadata!N936)),FALSE,INT(metadata!N936)=metadata!N936)),metadata!N936&gt;0))</f>
        <v>0</v>
      </c>
      <c r="AQ936" t="b">
        <f>AND(IF(metadata!O936="",FALSE,TRUE),EXACT(metadata!O936,"Not applicable"))</f>
        <v>0</v>
      </c>
      <c r="AR936" t="b">
        <f>OR(AND(IF(metadata!P936="",FALSE,TRUE),OR(EXACT(metadata!P936,"not applicable"),EXACT(metadata!P936,"missing: not collected"),EXACT(metadata!P936,"missing: not provided"),EXACT(metadata!P936,"missing: restricted access"))),IF(metadata!P936="",FALSE,IF(ISERROR(INT(metadata!P936)),FALSE,INT(metadata!P936)=metadata!P936)))</f>
        <v>0</v>
      </c>
      <c r="AS936" t="b">
        <f>AND(IF(metadata!Q936="",FALSE,TRUE),EXACT(metadata!Q936,"Not applicable"))</f>
        <v>0</v>
      </c>
      <c r="AT936" t="b">
        <f>OR(AND(IF(metadata!R936="",FALSE,TRUE),OR(EXACT(metadata!R936,"not applicable"),EXACT(metadata!R936,"missing: not collected"),EXACT(metadata!R936,"missing: not provided"),EXACT(metadata!R936,"missing: restricted access"))),AND(IF(metadata!R936="",FALSE,ISNUMBER(VALUE(metadata!R936))),metadata!R936&gt;0))</f>
        <v>0</v>
      </c>
      <c r="AU936" t="b">
        <f>AND(IF(metadata!S936="",FALSE,TRUE),EXACT(metadata!S936,"missing: not provided"))</f>
        <v>0</v>
      </c>
    </row>
    <row r="937" spans="1:47" x14ac:dyDescent="0.2">
      <c r="A937" s="5" t="str">
        <f ca="1">IF(B937=" "," ",HYPERLINK(CONCATENATE("#metadata!",ADDRESS(INDEX($Y$2:$Y$1001,MATCH(ROWS($W$2:W937),$W$2:$W$1001,0),0),1)),INDEX($AB$2:$AB$1001,MATCH(ROWS($W$2:W937),$W$2:$W$1001,0),0)))</f>
        <v xml:space="preserve"> </v>
      </c>
      <c r="B937" s="4" t="str">
        <f ca="1">IF(OR(INDEX($X$2:$X$1001,MATCH(ROWS($W$2:W937),$W$2:$W$1001,0),1)&gt;=100000,INDEX($AD$1005:$AU$1005,1,MATCH(COLUMNS($AD$1006:AD1006),$AD$1006:$AU$1006,0))&gt;=100000), " ",IF(INDEX($AD$2:$AU$1001,MATCH(ROWS($W$2:W937),$W$2:$W$1001,0),MATCH(COLUMNS($AD$1006:AD1006),$AD$1006:$AU$1006,0)), HYPERLINK("#",""), HYPERLINK(CONCATENATE("#metadata!", ADDRESS(INDEX($Y$2:$Y$1001,MATCH(ROWS($W$2:W937),$W$2:$W$1001,0),0), INDEX($AD$1004:$AU$1004,1,MATCH(COLUMNS($AD$1006:AD1006),$AD$1006:$AU$1006,0)))),"Fix")))</f>
        <v xml:space="preserve"> </v>
      </c>
      <c r="C937" s="4" t="str">
        <f ca="1">IF(OR(INDEX($X$2:$X$1001,MATCH(ROWS($W$2:W937),$W$2:$W$1001,0),1)&gt;=100000,INDEX($AD$1005:$AU$1005,1,MATCH(COLUMNS($AD$1006:AE1006),$AD$1006:$AU$1006,0))&gt;=100000), " ",IF(INDEX($AD$2:$AU$1001,MATCH(ROWS($W$2:W937),$W$2:$W$1001,0),MATCH(COLUMNS($AD$1006:AE1006),$AD$1006:$AU$1006,0)), HYPERLINK("#",""), HYPERLINK(CONCATENATE("#metadata!", ADDRESS(INDEX($Y$2:$Y$1001,MATCH(ROWS($W$2:W937),$W$2:$W$1001,0),0), INDEX($AD$1004:$AU$1004,1,MATCH(COLUMNS($AD$1006:AE1006),$AD$1006:$AU$1006,0)))),"Fix")))</f>
        <v xml:space="preserve"> </v>
      </c>
      <c r="D937" s="4" t="str">
        <f ca="1">IF(OR(INDEX($X$2:$X$1001,MATCH(ROWS($W$2:W937),$W$2:$W$1001,0),1)&gt;=100000,INDEX($AD$1005:$AU$1005,1,MATCH(COLUMNS($AD$1006:AF1006),$AD$1006:$AU$1006,0))&gt;=100000), " ",IF(INDEX($AD$2:$AU$1001,MATCH(ROWS($W$2:W937),$W$2:$W$1001,0),MATCH(COLUMNS($AD$1006:AF1006),$AD$1006:$AU$1006,0)), HYPERLINK("#",""), HYPERLINK(CONCATENATE("#metadata!", ADDRESS(INDEX($Y$2:$Y$1001,MATCH(ROWS($W$2:W937),$W$2:$W$1001,0),0), INDEX($AD$1004:$AU$1004,1,MATCH(COLUMNS($AD$1006:AF1006),$AD$1006:$AU$1006,0)))),"Fix")))</f>
        <v xml:space="preserve"> </v>
      </c>
      <c r="E937" s="4" t="str">
        <f ca="1">IF(OR(INDEX($X$2:$X$1001,MATCH(ROWS($W$2:W937),$W$2:$W$1001,0),1)&gt;=100000,INDEX($AD$1005:$AU$1005,1,MATCH(COLUMNS($AD$1006:AG1006),$AD$1006:$AU$1006,0))&gt;=100000), " ",IF(INDEX($AD$2:$AU$1001,MATCH(ROWS($W$2:W937),$W$2:$W$1001,0),MATCH(COLUMNS($AD$1006:AG1006),$AD$1006:$AU$1006,0)), HYPERLINK("#",""), HYPERLINK(CONCATENATE("#metadata!", ADDRESS(INDEX($Y$2:$Y$1001,MATCH(ROWS($W$2:W937),$W$2:$W$1001,0),0), INDEX($AD$1004:$AU$1004,1,MATCH(COLUMNS($AD$1006:AG1006),$AD$1006:$AU$1006,0)))),"Fix")))</f>
        <v xml:space="preserve"> </v>
      </c>
      <c r="F937" s="4" t="str">
        <f ca="1">IF(OR(INDEX($X$2:$X$1001,MATCH(ROWS($W$2:W937),$W$2:$W$1001,0),1)&gt;=100000,INDEX($AD$1005:$AU$1005,1,MATCH(COLUMNS($AD$1006:AH1006),$AD$1006:$AU$1006,0))&gt;=100000), " ",IF(INDEX($AD$2:$AU$1001,MATCH(ROWS($W$2:W937),$W$2:$W$1001,0),MATCH(COLUMNS($AD$1006:AH1006),$AD$1006:$AU$1006,0)), HYPERLINK("#",""), HYPERLINK(CONCATENATE("#metadata!", ADDRESS(INDEX($Y$2:$Y$1001,MATCH(ROWS($W$2:W937),$W$2:$W$1001,0),0), INDEX($AD$1004:$AU$1004,1,MATCH(COLUMNS($AD$1006:AH1006),$AD$1006:$AU$1006,0)))),"Fix")))</f>
        <v xml:space="preserve"> </v>
      </c>
      <c r="G937" s="4" t="str">
        <f ca="1">IF(OR(INDEX($X$2:$X$1001,MATCH(ROWS($W$2:W937),$W$2:$W$1001,0),1)&gt;=100000,INDEX($AD$1005:$AU$1005,1,MATCH(COLUMNS($AD$1006:AI1006),$AD$1006:$AU$1006,0))&gt;=100000), " ",IF(INDEX($AD$2:$AU$1001,MATCH(ROWS($W$2:W937),$W$2:$W$1001,0),MATCH(COLUMNS($AD$1006:AI1006),$AD$1006:$AU$1006,0)), HYPERLINK("#",""), HYPERLINK(CONCATENATE("#metadata!", ADDRESS(INDEX($Y$2:$Y$1001,MATCH(ROWS($W$2:W937),$W$2:$W$1001,0),0), INDEX($AD$1004:$AU$1004,1,MATCH(COLUMNS($AD$1006:AI1006),$AD$1006:$AU$1006,0)))),"Fix")))</f>
        <v xml:space="preserve"> </v>
      </c>
      <c r="H937" s="4" t="str">
        <f ca="1">IF(OR(INDEX($X$2:$X$1001,MATCH(ROWS($W$2:W937),$W$2:$W$1001,0),1)&gt;=100000,INDEX($AD$1005:$AU$1005,1,MATCH(COLUMNS($AD$1006:AJ1006),$AD$1006:$AU$1006,0))&gt;=100000), " ",IF(INDEX($AD$2:$AU$1001,MATCH(ROWS($W$2:W937),$W$2:$W$1001,0),MATCH(COLUMNS($AD$1006:AJ1006),$AD$1006:$AU$1006,0)), HYPERLINK("#",""), HYPERLINK(CONCATENATE("#metadata!", ADDRESS(INDEX($Y$2:$Y$1001,MATCH(ROWS($W$2:W937),$W$2:$W$1001,0),0), INDEX($AD$1004:$AU$1004,1,MATCH(COLUMNS($AD$1006:AJ1006),$AD$1006:$AU$1006,0)))),"Fix")))</f>
        <v xml:space="preserve"> </v>
      </c>
      <c r="I937" s="4" t="str">
        <f ca="1">IF(OR(INDEX($X$2:$X$1001,MATCH(ROWS($W$2:W937),$W$2:$W$1001,0),1)&gt;=100000,INDEX($AD$1005:$AU$1005,1,MATCH(COLUMNS($AD$1006:AK1006),$AD$1006:$AU$1006,0))&gt;=100000), " ",IF(INDEX($AD$2:$AU$1001,MATCH(ROWS($W$2:W937),$W$2:$W$1001,0),MATCH(COLUMNS($AD$1006:AK1006),$AD$1006:$AU$1006,0)), HYPERLINK("#",""), HYPERLINK(CONCATENATE("#metadata!", ADDRESS(INDEX($Y$2:$Y$1001,MATCH(ROWS($W$2:W937),$W$2:$W$1001,0),0), INDEX($AD$1004:$AU$1004,1,MATCH(COLUMNS($AD$1006:AK1006),$AD$1006:$AU$1006,0)))),"Fix")))</f>
        <v xml:space="preserve"> </v>
      </c>
      <c r="J937" s="4" t="str">
        <f ca="1">IF(OR(INDEX($X$2:$X$1001,MATCH(ROWS($W$2:W937),$W$2:$W$1001,0),1)&gt;=100000,INDEX($AD$1005:$AU$1005,1,MATCH(COLUMNS($AD$1006:AL1006),$AD$1006:$AU$1006,0))&gt;=100000), " ",IF(INDEX($AD$2:$AU$1001,MATCH(ROWS($W$2:W937),$W$2:$W$1001,0),MATCH(COLUMNS($AD$1006:AL1006),$AD$1006:$AU$1006,0)), HYPERLINK("#",""), HYPERLINK(CONCATENATE("#metadata!", ADDRESS(INDEX($Y$2:$Y$1001,MATCH(ROWS($W$2:W937),$W$2:$W$1001,0),0), INDEX($AD$1004:$AU$1004,1,MATCH(COLUMNS($AD$1006:AL1006),$AD$1006:$AU$1006,0)))),"Fix")))</f>
        <v xml:space="preserve"> </v>
      </c>
      <c r="K937" s="4" t="str">
        <f ca="1">IF(OR(INDEX($X$2:$X$1001,MATCH(ROWS($W$2:W937),$W$2:$W$1001,0),1)&gt;=100000,INDEX($AD$1005:$AU$1005,1,MATCH(COLUMNS($AD$1006:AM1006),$AD$1006:$AU$1006,0))&gt;=100000), " ",IF(INDEX($AD$2:$AU$1001,MATCH(ROWS($W$2:W937),$W$2:$W$1001,0),MATCH(COLUMNS($AD$1006:AM1006),$AD$1006:$AU$1006,0)), HYPERLINK("#",""), HYPERLINK(CONCATENATE("#metadata!", ADDRESS(INDEX($Y$2:$Y$1001,MATCH(ROWS($W$2:W937),$W$2:$W$1001,0),0), INDEX($AD$1004:$AU$1004,1,MATCH(COLUMNS($AD$1006:AM1006),$AD$1006:$AU$1006,0)))),"Fix")))</f>
        <v xml:space="preserve"> </v>
      </c>
      <c r="L937" s="4" t="str">
        <f ca="1">IF(OR(INDEX($X$2:$X$1001,MATCH(ROWS($W$2:W937),$W$2:$W$1001,0),1)&gt;=100000,INDEX($AD$1005:$AU$1005,1,MATCH(COLUMNS($AD$1006:AN1006),$AD$1006:$AU$1006,0))&gt;=100000), " ",IF(INDEX($AD$2:$AU$1001,MATCH(ROWS($W$2:W937),$W$2:$W$1001,0),MATCH(COLUMNS($AD$1006:AN1006),$AD$1006:$AU$1006,0)), HYPERLINK("#",""), HYPERLINK(CONCATENATE("#metadata!", ADDRESS(INDEX($Y$2:$Y$1001,MATCH(ROWS($W$2:W937),$W$2:$W$1001,0),0), INDEX($AD$1004:$AU$1004,1,MATCH(COLUMNS($AD$1006:AN1006),$AD$1006:$AU$1006,0)))),"Fix")))</f>
        <v xml:space="preserve"> </v>
      </c>
      <c r="M937" s="4" t="str">
        <f ca="1">IF(OR(INDEX($X$2:$X$1001,MATCH(ROWS($W$2:W937),$W$2:$W$1001,0),1)&gt;=100000,INDEX($AD$1005:$AU$1005,1,MATCH(COLUMNS($AD$1006:AO1006),$AD$1006:$AU$1006,0))&gt;=100000), " ",IF(INDEX($AD$2:$AU$1001,MATCH(ROWS($W$2:W937),$W$2:$W$1001,0),MATCH(COLUMNS($AD$1006:AO1006),$AD$1006:$AU$1006,0)), HYPERLINK("#",""), HYPERLINK(CONCATENATE("#metadata!", ADDRESS(INDEX($Y$2:$Y$1001,MATCH(ROWS($W$2:W937),$W$2:$W$1001,0),0), INDEX($AD$1004:$AU$1004,1,MATCH(COLUMNS($AD$1006:AO1006),$AD$1006:$AU$1006,0)))),"Fix")))</f>
        <v xml:space="preserve"> </v>
      </c>
      <c r="N937" s="4" t="str">
        <f ca="1">IF(OR(INDEX($X$2:$X$1001,MATCH(ROWS($W$2:W937),$W$2:$W$1001,0),1)&gt;=100000,INDEX($AD$1005:$AU$1005,1,MATCH(COLUMNS($AD$1006:AP1006),$AD$1006:$AU$1006,0))&gt;=100000), " ",IF(INDEX($AD$2:$AU$1001,MATCH(ROWS($W$2:W937),$W$2:$W$1001,0),MATCH(COLUMNS($AD$1006:AP1006),$AD$1006:$AU$1006,0)), HYPERLINK("#",""), HYPERLINK(CONCATENATE("#metadata!", ADDRESS(INDEX($Y$2:$Y$1001,MATCH(ROWS($W$2:W937),$W$2:$W$1001,0),0), INDEX($AD$1004:$AU$1004,1,MATCH(COLUMNS($AD$1006:AP1006),$AD$1006:$AU$1006,0)))),"Fix")))</f>
        <v xml:space="preserve"> </v>
      </c>
      <c r="O937" s="4" t="str">
        <f ca="1">IF(OR(INDEX($X$2:$X$1001,MATCH(ROWS($W$2:W937),$W$2:$W$1001,0),1)&gt;=100000,INDEX($AD$1005:$AU$1005,1,MATCH(COLUMNS($AD$1006:AQ1006),$AD$1006:$AU$1006,0))&gt;=100000), " ",IF(INDEX($AD$2:$AU$1001,MATCH(ROWS($W$2:W937),$W$2:$W$1001,0),MATCH(COLUMNS($AD$1006:AQ1006),$AD$1006:$AU$1006,0)), HYPERLINK("#",""), HYPERLINK(CONCATENATE("#metadata!", ADDRESS(INDEX($Y$2:$Y$1001,MATCH(ROWS($W$2:W937),$W$2:$W$1001,0),0), INDEX($AD$1004:$AU$1004,1,MATCH(COLUMNS($AD$1006:AQ1006),$AD$1006:$AU$1006,0)))),"Fix")))</f>
        <v xml:space="preserve"> </v>
      </c>
      <c r="P937" s="4" t="str">
        <f ca="1">IF(OR(INDEX($X$2:$X$1001,MATCH(ROWS($W$2:W937),$W$2:$W$1001,0),1)&gt;=100000,INDEX($AD$1005:$AU$1005,1,MATCH(COLUMNS($AD$1006:AR1006),$AD$1006:$AU$1006,0))&gt;=100000), " ",IF(INDEX($AD$2:$AU$1001,MATCH(ROWS($W$2:W937),$W$2:$W$1001,0),MATCH(COLUMNS($AD$1006:AR1006),$AD$1006:$AU$1006,0)), HYPERLINK("#",""), HYPERLINK(CONCATENATE("#metadata!", ADDRESS(INDEX($Y$2:$Y$1001,MATCH(ROWS($W$2:W937),$W$2:$W$1001,0),0), INDEX($AD$1004:$AU$1004,1,MATCH(COLUMNS($AD$1006:AR1006),$AD$1006:$AU$1006,0)))),"Fix")))</f>
        <v xml:space="preserve"> </v>
      </c>
      <c r="Q937" s="4" t="str">
        <f ca="1">IF(OR(INDEX($X$2:$X$1001,MATCH(ROWS($W$2:W937),$W$2:$W$1001,0),1)&gt;=100000,INDEX($AD$1005:$AU$1005,1,MATCH(COLUMNS($AD$1006:AS1006),$AD$1006:$AU$1006,0))&gt;=100000), " ",IF(INDEX($AD$2:$AU$1001,MATCH(ROWS($W$2:W937),$W$2:$W$1001,0),MATCH(COLUMNS($AD$1006:AS1006),$AD$1006:$AU$1006,0)), HYPERLINK("#",""), HYPERLINK(CONCATENATE("#metadata!", ADDRESS(INDEX($Y$2:$Y$1001,MATCH(ROWS($W$2:W937),$W$2:$W$1001,0),0), INDEX($AD$1004:$AU$1004,1,MATCH(COLUMNS($AD$1006:AS1006),$AD$1006:$AU$1006,0)))),"Fix")))</f>
        <v xml:space="preserve"> </v>
      </c>
      <c r="R937" s="4" t="str">
        <f ca="1">IF(OR(INDEX($X$2:$X$1001,MATCH(ROWS($W$2:W937),$W$2:$W$1001,0),1)&gt;=100000,INDEX($AD$1005:$AU$1005,1,MATCH(COLUMNS($AD$1006:AT1006),$AD$1006:$AU$1006,0))&gt;=100000), " ",IF(INDEX($AD$2:$AU$1001,MATCH(ROWS($W$2:W937),$W$2:$W$1001,0),MATCH(COLUMNS($AD$1006:AT1006),$AD$1006:$AU$1006,0)), HYPERLINK("#",""), HYPERLINK(CONCATENATE("#metadata!", ADDRESS(INDEX($Y$2:$Y$1001,MATCH(ROWS($W$2:W937),$W$2:$W$1001,0),0), INDEX($AD$1004:$AU$1004,1,MATCH(COLUMNS($AD$1006:AT1006),$AD$1006:$AU$1006,0)))),"Fix")))</f>
        <v xml:space="preserve"> </v>
      </c>
      <c r="S937" s="4" t="str">
        <f ca="1">IF(OR(INDEX($X$2:$X$1001,MATCH(ROWS($W$2:W937),$W$2:$W$1001,0),1)&gt;=100000,INDEX($AD$1005:$AU$1005,1,MATCH(COLUMNS($AD$1006:AU1006),$AD$1006:$AU$1006,0))&gt;=100000), " ",IF(INDEX($AD$2:$AU$1001,MATCH(ROWS($W$2:W937),$W$2:$W$1001,0),MATCH(COLUMNS($AD$1006:AU1006),$AD$1006:$AU$1006,0)), HYPERLINK("#",""), HYPERLINK(CONCATENATE("#metadata!", ADDRESS(INDEX($Y$2:$Y$1001,MATCH(ROWS($W$2:W937),$W$2:$W$1001,0),0), INDEX($AD$1004:$AU$1004,1,MATCH(COLUMNS($AD$1006:AU1006),$AD$1006:$AU$1006,0)))),"Fix")))</f>
        <v xml:space="preserve"> </v>
      </c>
      <c r="W937">
        <v>936</v>
      </c>
      <c r="X937">
        <v>100937</v>
      </c>
      <c r="Y937">
        <v>937</v>
      </c>
      <c r="Z937" t="b">
        <f t="shared" si="14"/>
        <v>1</v>
      </c>
      <c r="AA937" t="b">
        <f>COUNTBLANK(metadata!B937:S937)=COLUMNS(metadata!B937:S937)</f>
        <v>1</v>
      </c>
      <c r="AB937" t="str">
        <v/>
      </c>
      <c r="AD937" t="b">
        <f ca="1">AND(IF(metadata!B937="",FALSE,TRUE),COUNTIF(metadata!B:B, metadata!B937) = 1,NOT(ISERROR(SUMPRODUCT(SEARCH(MID(metadata!B937,ROW(INDIRECT("1:"&amp;LEN(metadata!B937))), 1),"0123456789abcdefghijklmnopqrstuvwxyzABCDEFGHIJKLMNOPQRSTUVWXYZ.")))))</f>
        <v>0</v>
      </c>
      <c r="AE937" t="b">
        <f>OR(AND(IF(metadata!C937="",FALSE,TRUE),OR(EXACT(metadata!C937,"not applicable"),EXACT(metadata!C937,"missing: not collected"),EXACT(metadata!C937,"missing: not provided"),EXACT(metadata!C937,"missing: restricted access"))),AND(IF(metadata!C937="",FALSE,ISNUMBER(VALUE(metadata!C937))),metadata!C937&gt;0))</f>
        <v>0</v>
      </c>
      <c r="AF937" t="b">
        <f>AND(IF(metadata!D937="",FALSE,TRUE),EXACT(metadata!D937,"missing: not provided"))</f>
        <v>0</v>
      </c>
      <c r="AG937" t="b">
        <f>AND(IF(metadata!E937="",FALSE,TRUE),EXACT(metadata!E937,"Host-associated"))</f>
        <v>0</v>
      </c>
      <c r="AH937" t="b">
        <f>AND(IF(metadata!F937="",FALSE,TRUE),OR(EXACT(metadata!F937,"Animal"),EXACT(metadata!F937,"Fungus"),EXACT(metadata!F937,"Plant")))</f>
        <v>0</v>
      </c>
      <c r="AI937" t="b">
        <f>AND(IF(metadata!G937="",FALSE,TRUE),OR(EXACT(metadata!G937,"Plant secretion"),EXACT(metadata!G937,"Plant rhizosphere"),EXACT(metadata!G937,"Plant surface"),EXACT(metadata!G937,"Plant corpus"),EXACT(metadata!G937,"Fungus surface"),EXACT(metadata!G937,"Fungus corpus"),EXACT(metadata!G937,"Animal surface"),EXACT(metadata!G937,"Animal proximal gut"),EXACT(metadata!G937,"Animal corpus"),EXACT(metadata!G937,"Animal distal gut"),EXACT(metadata!G937,"Animal secretion")))</f>
        <v>0</v>
      </c>
      <c r="AJ937" t="b">
        <f>OR(AND(IF(metadata!H937="",FALSE,TRUE),OR(EXACT(metadata!H937,"missing: not collected"),EXACT(metadata!H937,"missing: not provided"),EXACT(metadata!H937,"missing: restricted access"))),AND(IF(metadata!H937="",FALSE,TRUE),OR(EXACT(metadata!H937,"organism-associated habitat"),EXACT(metadata!H937,"plant-associated habitat"),EXACT(metadata!H937,"animal-associated habitat"),EXACT(metadata!H937,"insecta-associated habitat"),EXACT(metadata!H937,"mammalia-associated habitat"),EXACT(metadata!H937,"human-associated habitat"),EXACT(metadata!H937,"livestock-associated habitat"))))</f>
        <v>0</v>
      </c>
      <c r="AK937" t="b">
        <f>AND(IF(metadata!I937="",FALSE,TRUE),EXACT(metadata!I937,"host-associated"))</f>
        <v>0</v>
      </c>
      <c r="AL937" t="b">
        <f>OR(AND(IF(metadata!J937="",FALSE,TRUE),OR(EXACT(metadata!J937,"not applicable"),EXACT(metadata!J937,"missing: not collected"),EXACT(metadata!J937,"missing: not provided"),EXACT(metadata!J937,"missing: restricted access"))),AND(IF(metadata!J937="",FALSE,ISNUMBER(VALUE(metadata!J937))),metadata!J937&gt;0))</f>
        <v>0</v>
      </c>
      <c r="AM937" t="b">
        <f>AND(IF(metadata!K937="",FALSE,TRUE),EXACT(metadata!K937,"missing: not provided"))</f>
        <v>0</v>
      </c>
      <c r="AN937" t="b">
        <f>IF(metadata!L937="",FALSE,TRUE)</f>
        <v>0</v>
      </c>
      <c r="AO937" t="b">
        <f>IF(metadata!M937="",FALSE,TRUE)</f>
        <v>0</v>
      </c>
      <c r="AP937" t="b">
        <f>OR(AND(IF(metadata!N937="",FALSE,TRUE),OR(EXACT(metadata!N937,"not applicable"),EXACT(metadata!N937,"missing: not collected"),EXACT(metadata!N937,"missing: not provided"))),AND(IF(metadata!N937="",FALSE,IF(ISERROR(INT(metadata!N937)),FALSE,INT(metadata!N937)=metadata!N937)),metadata!N937&gt;0))</f>
        <v>0</v>
      </c>
      <c r="AQ937" t="b">
        <f>AND(IF(metadata!O937="",FALSE,TRUE),EXACT(metadata!O937,"Not applicable"))</f>
        <v>0</v>
      </c>
      <c r="AR937" t="b">
        <f>OR(AND(IF(metadata!P937="",FALSE,TRUE),OR(EXACT(metadata!P937,"not applicable"),EXACT(metadata!P937,"missing: not collected"),EXACT(metadata!P937,"missing: not provided"),EXACT(metadata!P937,"missing: restricted access"))),IF(metadata!P937="",FALSE,IF(ISERROR(INT(metadata!P937)),FALSE,INT(metadata!P937)=metadata!P937)))</f>
        <v>0</v>
      </c>
      <c r="AS937" t="b">
        <f>AND(IF(metadata!Q937="",FALSE,TRUE),EXACT(metadata!Q937,"Not applicable"))</f>
        <v>0</v>
      </c>
      <c r="AT937" t="b">
        <f>OR(AND(IF(metadata!R937="",FALSE,TRUE),OR(EXACT(metadata!R937,"not applicable"),EXACT(metadata!R937,"missing: not collected"),EXACT(metadata!R937,"missing: not provided"),EXACT(metadata!R937,"missing: restricted access"))),AND(IF(metadata!R937="",FALSE,ISNUMBER(VALUE(metadata!R937))),metadata!R937&gt;0))</f>
        <v>0</v>
      </c>
      <c r="AU937" t="b">
        <f>AND(IF(metadata!S937="",FALSE,TRUE),EXACT(metadata!S937,"missing: not provided"))</f>
        <v>0</v>
      </c>
    </row>
    <row r="938" spans="1:47" x14ac:dyDescent="0.2">
      <c r="A938" s="5" t="str">
        <f ca="1">IF(B938=" "," ",HYPERLINK(CONCATENATE("#metadata!",ADDRESS(INDEX($Y$2:$Y$1001,MATCH(ROWS($W$2:W938),$W$2:$W$1001,0),0),1)),INDEX($AB$2:$AB$1001,MATCH(ROWS($W$2:W938),$W$2:$W$1001,0),0)))</f>
        <v xml:space="preserve"> </v>
      </c>
      <c r="B938" s="4" t="str">
        <f ca="1">IF(OR(INDEX($X$2:$X$1001,MATCH(ROWS($W$2:W938),$W$2:$W$1001,0),1)&gt;=100000,INDEX($AD$1005:$AU$1005,1,MATCH(COLUMNS($AD$1006:AD1006),$AD$1006:$AU$1006,0))&gt;=100000), " ",IF(INDEX($AD$2:$AU$1001,MATCH(ROWS($W$2:W938),$W$2:$W$1001,0),MATCH(COLUMNS($AD$1006:AD1006),$AD$1006:$AU$1006,0)), HYPERLINK("#",""), HYPERLINK(CONCATENATE("#metadata!", ADDRESS(INDEX($Y$2:$Y$1001,MATCH(ROWS($W$2:W938),$W$2:$W$1001,0),0), INDEX($AD$1004:$AU$1004,1,MATCH(COLUMNS($AD$1006:AD1006),$AD$1006:$AU$1006,0)))),"Fix")))</f>
        <v xml:space="preserve"> </v>
      </c>
      <c r="C938" s="4" t="str">
        <f ca="1">IF(OR(INDEX($X$2:$X$1001,MATCH(ROWS($W$2:W938),$W$2:$W$1001,0),1)&gt;=100000,INDEX($AD$1005:$AU$1005,1,MATCH(COLUMNS($AD$1006:AE1006),$AD$1006:$AU$1006,0))&gt;=100000), " ",IF(INDEX($AD$2:$AU$1001,MATCH(ROWS($W$2:W938),$W$2:$W$1001,0),MATCH(COLUMNS($AD$1006:AE1006),$AD$1006:$AU$1006,0)), HYPERLINK("#",""), HYPERLINK(CONCATENATE("#metadata!", ADDRESS(INDEX($Y$2:$Y$1001,MATCH(ROWS($W$2:W938),$W$2:$W$1001,0),0), INDEX($AD$1004:$AU$1004,1,MATCH(COLUMNS($AD$1006:AE1006),$AD$1006:$AU$1006,0)))),"Fix")))</f>
        <v xml:space="preserve"> </v>
      </c>
      <c r="D938" s="4" t="str">
        <f ca="1">IF(OR(INDEX($X$2:$X$1001,MATCH(ROWS($W$2:W938),$W$2:$W$1001,0),1)&gt;=100000,INDEX($AD$1005:$AU$1005,1,MATCH(COLUMNS($AD$1006:AF1006),$AD$1006:$AU$1006,0))&gt;=100000), " ",IF(INDEX($AD$2:$AU$1001,MATCH(ROWS($W$2:W938),$W$2:$W$1001,0),MATCH(COLUMNS($AD$1006:AF1006),$AD$1006:$AU$1006,0)), HYPERLINK("#",""), HYPERLINK(CONCATENATE("#metadata!", ADDRESS(INDEX($Y$2:$Y$1001,MATCH(ROWS($W$2:W938),$W$2:$W$1001,0),0), INDEX($AD$1004:$AU$1004,1,MATCH(COLUMNS($AD$1006:AF1006),$AD$1006:$AU$1006,0)))),"Fix")))</f>
        <v xml:space="preserve"> </v>
      </c>
      <c r="E938" s="4" t="str">
        <f ca="1">IF(OR(INDEX($X$2:$X$1001,MATCH(ROWS($W$2:W938),$W$2:$W$1001,0),1)&gt;=100000,INDEX($AD$1005:$AU$1005,1,MATCH(COLUMNS($AD$1006:AG1006),$AD$1006:$AU$1006,0))&gt;=100000), " ",IF(INDEX($AD$2:$AU$1001,MATCH(ROWS($W$2:W938),$W$2:$W$1001,0),MATCH(COLUMNS($AD$1006:AG1006),$AD$1006:$AU$1006,0)), HYPERLINK("#",""), HYPERLINK(CONCATENATE("#metadata!", ADDRESS(INDEX($Y$2:$Y$1001,MATCH(ROWS($W$2:W938),$W$2:$W$1001,0),0), INDEX($AD$1004:$AU$1004,1,MATCH(COLUMNS($AD$1006:AG1006),$AD$1006:$AU$1006,0)))),"Fix")))</f>
        <v xml:space="preserve"> </v>
      </c>
      <c r="F938" s="4" t="str">
        <f ca="1">IF(OR(INDEX($X$2:$X$1001,MATCH(ROWS($W$2:W938),$W$2:$W$1001,0),1)&gt;=100000,INDEX($AD$1005:$AU$1005,1,MATCH(COLUMNS($AD$1006:AH1006),$AD$1006:$AU$1006,0))&gt;=100000), " ",IF(INDEX($AD$2:$AU$1001,MATCH(ROWS($W$2:W938),$W$2:$W$1001,0),MATCH(COLUMNS($AD$1006:AH1006),$AD$1006:$AU$1006,0)), HYPERLINK("#",""), HYPERLINK(CONCATENATE("#metadata!", ADDRESS(INDEX($Y$2:$Y$1001,MATCH(ROWS($W$2:W938),$W$2:$W$1001,0),0), INDEX($AD$1004:$AU$1004,1,MATCH(COLUMNS($AD$1006:AH1006),$AD$1006:$AU$1006,0)))),"Fix")))</f>
        <v xml:space="preserve"> </v>
      </c>
      <c r="G938" s="4" t="str">
        <f ca="1">IF(OR(INDEX($X$2:$X$1001,MATCH(ROWS($W$2:W938),$W$2:$W$1001,0),1)&gt;=100000,INDEX($AD$1005:$AU$1005,1,MATCH(COLUMNS($AD$1006:AI1006),$AD$1006:$AU$1006,0))&gt;=100000), " ",IF(INDEX($AD$2:$AU$1001,MATCH(ROWS($W$2:W938),$W$2:$W$1001,0),MATCH(COLUMNS($AD$1006:AI1006),$AD$1006:$AU$1006,0)), HYPERLINK("#",""), HYPERLINK(CONCATENATE("#metadata!", ADDRESS(INDEX($Y$2:$Y$1001,MATCH(ROWS($W$2:W938),$W$2:$W$1001,0),0), INDEX($AD$1004:$AU$1004,1,MATCH(COLUMNS($AD$1006:AI1006),$AD$1006:$AU$1006,0)))),"Fix")))</f>
        <v xml:space="preserve"> </v>
      </c>
      <c r="H938" s="4" t="str">
        <f ca="1">IF(OR(INDEX($X$2:$X$1001,MATCH(ROWS($W$2:W938),$W$2:$W$1001,0),1)&gt;=100000,INDEX($AD$1005:$AU$1005,1,MATCH(COLUMNS($AD$1006:AJ1006),$AD$1006:$AU$1006,0))&gt;=100000), " ",IF(INDEX($AD$2:$AU$1001,MATCH(ROWS($W$2:W938),$W$2:$W$1001,0),MATCH(COLUMNS($AD$1006:AJ1006),$AD$1006:$AU$1006,0)), HYPERLINK("#",""), HYPERLINK(CONCATENATE("#metadata!", ADDRESS(INDEX($Y$2:$Y$1001,MATCH(ROWS($W$2:W938),$W$2:$W$1001,0),0), INDEX($AD$1004:$AU$1004,1,MATCH(COLUMNS($AD$1006:AJ1006),$AD$1006:$AU$1006,0)))),"Fix")))</f>
        <v xml:space="preserve"> </v>
      </c>
      <c r="I938" s="4" t="str">
        <f ca="1">IF(OR(INDEX($X$2:$X$1001,MATCH(ROWS($W$2:W938),$W$2:$W$1001,0),1)&gt;=100000,INDEX($AD$1005:$AU$1005,1,MATCH(COLUMNS($AD$1006:AK1006),$AD$1006:$AU$1006,0))&gt;=100000), " ",IF(INDEX($AD$2:$AU$1001,MATCH(ROWS($W$2:W938),$W$2:$W$1001,0),MATCH(COLUMNS($AD$1006:AK1006),$AD$1006:$AU$1006,0)), HYPERLINK("#",""), HYPERLINK(CONCATENATE("#metadata!", ADDRESS(INDEX($Y$2:$Y$1001,MATCH(ROWS($W$2:W938),$W$2:$W$1001,0),0), INDEX($AD$1004:$AU$1004,1,MATCH(COLUMNS($AD$1006:AK1006),$AD$1006:$AU$1006,0)))),"Fix")))</f>
        <v xml:space="preserve"> </v>
      </c>
      <c r="J938" s="4" t="str">
        <f ca="1">IF(OR(INDEX($X$2:$X$1001,MATCH(ROWS($W$2:W938),$W$2:$W$1001,0),1)&gt;=100000,INDEX($AD$1005:$AU$1005,1,MATCH(COLUMNS($AD$1006:AL1006),$AD$1006:$AU$1006,0))&gt;=100000), " ",IF(INDEX($AD$2:$AU$1001,MATCH(ROWS($W$2:W938),$W$2:$W$1001,0),MATCH(COLUMNS($AD$1006:AL1006),$AD$1006:$AU$1006,0)), HYPERLINK("#",""), HYPERLINK(CONCATENATE("#metadata!", ADDRESS(INDEX($Y$2:$Y$1001,MATCH(ROWS($W$2:W938),$W$2:$W$1001,0),0), INDEX($AD$1004:$AU$1004,1,MATCH(COLUMNS($AD$1006:AL1006),$AD$1006:$AU$1006,0)))),"Fix")))</f>
        <v xml:space="preserve"> </v>
      </c>
      <c r="K938" s="4" t="str">
        <f ca="1">IF(OR(INDEX($X$2:$X$1001,MATCH(ROWS($W$2:W938),$W$2:$W$1001,0),1)&gt;=100000,INDEX($AD$1005:$AU$1005,1,MATCH(COLUMNS($AD$1006:AM1006),$AD$1006:$AU$1006,0))&gt;=100000), " ",IF(INDEX($AD$2:$AU$1001,MATCH(ROWS($W$2:W938),$W$2:$W$1001,0),MATCH(COLUMNS($AD$1006:AM1006),$AD$1006:$AU$1006,0)), HYPERLINK("#",""), HYPERLINK(CONCATENATE("#metadata!", ADDRESS(INDEX($Y$2:$Y$1001,MATCH(ROWS($W$2:W938),$W$2:$W$1001,0),0), INDEX($AD$1004:$AU$1004,1,MATCH(COLUMNS($AD$1006:AM1006),$AD$1006:$AU$1006,0)))),"Fix")))</f>
        <v xml:space="preserve"> </v>
      </c>
      <c r="L938" s="4" t="str">
        <f ca="1">IF(OR(INDEX($X$2:$X$1001,MATCH(ROWS($W$2:W938),$W$2:$W$1001,0),1)&gt;=100000,INDEX($AD$1005:$AU$1005,1,MATCH(COLUMNS($AD$1006:AN1006),$AD$1006:$AU$1006,0))&gt;=100000), " ",IF(INDEX($AD$2:$AU$1001,MATCH(ROWS($W$2:W938),$W$2:$W$1001,0),MATCH(COLUMNS($AD$1006:AN1006),$AD$1006:$AU$1006,0)), HYPERLINK("#",""), HYPERLINK(CONCATENATE("#metadata!", ADDRESS(INDEX($Y$2:$Y$1001,MATCH(ROWS($W$2:W938),$W$2:$W$1001,0),0), INDEX($AD$1004:$AU$1004,1,MATCH(COLUMNS($AD$1006:AN1006),$AD$1006:$AU$1006,0)))),"Fix")))</f>
        <v xml:space="preserve"> </v>
      </c>
      <c r="M938" s="4" t="str">
        <f ca="1">IF(OR(INDEX($X$2:$X$1001,MATCH(ROWS($W$2:W938),$W$2:$W$1001,0),1)&gt;=100000,INDEX($AD$1005:$AU$1005,1,MATCH(COLUMNS($AD$1006:AO1006),$AD$1006:$AU$1006,0))&gt;=100000), " ",IF(INDEX($AD$2:$AU$1001,MATCH(ROWS($W$2:W938),$W$2:$W$1001,0),MATCH(COLUMNS($AD$1006:AO1006),$AD$1006:$AU$1006,0)), HYPERLINK("#",""), HYPERLINK(CONCATENATE("#metadata!", ADDRESS(INDEX($Y$2:$Y$1001,MATCH(ROWS($W$2:W938),$W$2:$W$1001,0),0), INDEX($AD$1004:$AU$1004,1,MATCH(COLUMNS($AD$1006:AO1006),$AD$1006:$AU$1006,0)))),"Fix")))</f>
        <v xml:space="preserve"> </v>
      </c>
      <c r="N938" s="4" t="str">
        <f ca="1">IF(OR(INDEX($X$2:$X$1001,MATCH(ROWS($W$2:W938),$W$2:$W$1001,0),1)&gt;=100000,INDEX($AD$1005:$AU$1005,1,MATCH(COLUMNS($AD$1006:AP1006),$AD$1006:$AU$1006,0))&gt;=100000), " ",IF(INDEX($AD$2:$AU$1001,MATCH(ROWS($W$2:W938),$W$2:$W$1001,0),MATCH(COLUMNS($AD$1006:AP1006),$AD$1006:$AU$1006,0)), HYPERLINK("#",""), HYPERLINK(CONCATENATE("#metadata!", ADDRESS(INDEX($Y$2:$Y$1001,MATCH(ROWS($W$2:W938),$W$2:$W$1001,0),0), INDEX($AD$1004:$AU$1004,1,MATCH(COLUMNS($AD$1006:AP1006),$AD$1006:$AU$1006,0)))),"Fix")))</f>
        <v xml:space="preserve"> </v>
      </c>
      <c r="O938" s="4" t="str">
        <f ca="1">IF(OR(INDEX($X$2:$X$1001,MATCH(ROWS($W$2:W938),$W$2:$W$1001,0),1)&gt;=100000,INDEX($AD$1005:$AU$1005,1,MATCH(COLUMNS($AD$1006:AQ1006),$AD$1006:$AU$1006,0))&gt;=100000), " ",IF(INDEX($AD$2:$AU$1001,MATCH(ROWS($W$2:W938),$W$2:$W$1001,0),MATCH(COLUMNS($AD$1006:AQ1006),$AD$1006:$AU$1006,0)), HYPERLINK("#",""), HYPERLINK(CONCATENATE("#metadata!", ADDRESS(INDEX($Y$2:$Y$1001,MATCH(ROWS($W$2:W938),$W$2:$W$1001,0),0), INDEX($AD$1004:$AU$1004,1,MATCH(COLUMNS($AD$1006:AQ1006),$AD$1006:$AU$1006,0)))),"Fix")))</f>
        <v xml:space="preserve"> </v>
      </c>
      <c r="P938" s="4" t="str">
        <f ca="1">IF(OR(INDEX($X$2:$X$1001,MATCH(ROWS($W$2:W938),$W$2:$W$1001,0),1)&gt;=100000,INDEX($AD$1005:$AU$1005,1,MATCH(COLUMNS($AD$1006:AR1006),$AD$1006:$AU$1006,0))&gt;=100000), " ",IF(INDEX($AD$2:$AU$1001,MATCH(ROWS($W$2:W938),$W$2:$W$1001,0),MATCH(COLUMNS($AD$1006:AR1006),$AD$1006:$AU$1006,0)), HYPERLINK("#",""), HYPERLINK(CONCATENATE("#metadata!", ADDRESS(INDEX($Y$2:$Y$1001,MATCH(ROWS($W$2:W938),$W$2:$W$1001,0),0), INDEX($AD$1004:$AU$1004,1,MATCH(COLUMNS($AD$1006:AR1006),$AD$1006:$AU$1006,0)))),"Fix")))</f>
        <v xml:space="preserve"> </v>
      </c>
      <c r="Q938" s="4" t="str">
        <f ca="1">IF(OR(INDEX($X$2:$X$1001,MATCH(ROWS($W$2:W938),$W$2:$W$1001,0),1)&gt;=100000,INDEX($AD$1005:$AU$1005,1,MATCH(COLUMNS($AD$1006:AS1006),$AD$1006:$AU$1006,0))&gt;=100000), " ",IF(INDEX($AD$2:$AU$1001,MATCH(ROWS($W$2:W938),$W$2:$W$1001,0),MATCH(COLUMNS($AD$1006:AS1006),$AD$1006:$AU$1006,0)), HYPERLINK("#",""), HYPERLINK(CONCATENATE("#metadata!", ADDRESS(INDEX($Y$2:$Y$1001,MATCH(ROWS($W$2:W938),$W$2:$W$1001,0),0), INDEX($AD$1004:$AU$1004,1,MATCH(COLUMNS($AD$1006:AS1006),$AD$1006:$AU$1006,0)))),"Fix")))</f>
        <v xml:space="preserve"> </v>
      </c>
      <c r="R938" s="4" t="str">
        <f ca="1">IF(OR(INDEX($X$2:$X$1001,MATCH(ROWS($W$2:W938),$W$2:$W$1001,0),1)&gt;=100000,INDEX($AD$1005:$AU$1005,1,MATCH(COLUMNS($AD$1006:AT1006),$AD$1006:$AU$1006,0))&gt;=100000), " ",IF(INDEX($AD$2:$AU$1001,MATCH(ROWS($W$2:W938),$W$2:$W$1001,0),MATCH(COLUMNS($AD$1006:AT1006),$AD$1006:$AU$1006,0)), HYPERLINK("#",""), HYPERLINK(CONCATENATE("#metadata!", ADDRESS(INDEX($Y$2:$Y$1001,MATCH(ROWS($W$2:W938),$W$2:$W$1001,0),0), INDEX($AD$1004:$AU$1004,1,MATCH(COLUMNS($AD$1006:AT1006),$AD$1006:$AU$1006,0)))),"Fix")))</f>
        <v xml:space="preserve"> </v>
      </c>
      <c r="S938" s="4" t="str">
        <f ca="1">IF(OR(INDEX($X$2:$X$1001,MATCH(ROWS($W$2:W938),$W$2:$W$1001,0),1)&gt;=100000,INDEX($AD$1005:$AU$1005,1,MATCH(COLUMNS($AD$1006:AU1006),$AD$1006:$AU$1006,0))&gt;=100000), " ",IF(INDEX($AD$2:$AU$1001,MATCH(ROWS($W$2:W938),$W$2:$W$1001,0),MATCH(COLUMNS($AD$1006:AU1006),$AD$1006:$AU$1006,0)), HYPERLINK("#",""), HYPERLINK(CONCATENATE("#metadata!", ADDRESS(INDEX($Y$2:$Y$1001,MATCH(ROWS($W$2:W938),$W$2:$W$1001,0),0), INDEX($AD$1004:$AU$1004,1,MATCH(COLUMNS($AD$1006:AU1006),$AD$1006:$AU$1006,0)))),"Fix")))</f>
        <v xml:space="preserve"> </v>
      </c>
      <c r="W938">
        <v>937</v>
      </c>
      <c r="X938">
        <v>100938</v>
      </c>
      <c r="Y938">
        <v>938</v>
      </c>
      <c r="Z938" t="b">
        <f t="shared" si="14"/>
        <v>1</v>
      </c>
      <c r="AA938" t="b">
        <f>COUNTBLANK(metadata!B938:S938)=COLUMNS(metadata!B938:S938)</f>
        <v>1</v>
      </c>
      <c r="AB938" t="str">
        <v/>
      </c>
      <c r="AD938" t="b">
        <f ca="1">AND(IF(metadata!B938="",FALSE,TRUE),COUNTIF(metadata!B:B, metadata!B938) = 1,NOT(ISERROR(SUMPRODUCT(SEARCH(MID(metadata!B938,ROW(INDIRECT("1:"&amp;LEN(metadata!B938))), 1),"0123456789abcdefghijklmnopqrstuvwxyzABCDEFGHIJKLMNOPQRSTUVWXYZ.")))))</f>
        <v>0</v>
      </c>
      <c r="AE938" t="b">
        <f>OR(AND(IF(metadata!C938="",FALSE,TRUE),OR(EXACT(metadata!C938,"not applicable"),EXACT(metadata!C938,"missing: not collected"),EXACT(metadata!C938,"missing: not provided"),EXACT(metadata!C938,"missing: restricted access"))),AND(IF(metadata!C938="",FALSE,ISNUMBER(VALUE(metadata!C938))),metadata!C938&gt;0))</f>
        <v>0</v>
      </c>
      <c r="AF938" t="b">
        <f>AND(IF(metadata!D938="",FALSE,TRUE),EXACT(metadata!D938,"missing: not provided"))</f>
        <v>0</v>
      </c>
      <c r="AG938" t="b">
        <f>AND(IF(metadata!E938="",FALSE,TRUE),EXACT(metadata!E938,"Host-associated"))</f>
        <v>0</v>
      </c>
      <c r="AH938" t="b">
        <f>AND(IF(metadata!F938="",FALSE,TRUE),OR(EXACT(metadata!F938,"Animal"),EXACT(metadata!F938,"Fungus"),EXACT(metadata!F938,"Plant")))</f>
        <v>0</v>
      </c>
      <c r="AI938" t="b">
        <f>AND(IF(metadata!G938="",FALSE,TRUE),OR(EXACT(metadata!G938,"Plant secretion"),EXACT(metadata!G938,"Plant rhizosphere"),EXACT(metadata!G938,"Plant surface"),EXACT(metadata!G938,"Plant corpus"),EXACT(metadata!G938,"Fungus surface"),EXACT(metadata!G938,"Fungus corpus"),EXACT(metadata!G938,"Animal surface"),EXACT(metadata!G938,"Animal proximal gut"),EXACT(metadata!G938,"Animal corpus"),EXACT(metadata!G938,"Animal distal gut"),EXACT(metadata!G938,"Animal secretion")))</f>
        <v>0</v>
      </c>
      <c r="AJ938" t="b">
        <f>OR(AND(IF(metadata!H938="",FALSE,TRUE),OR(EXACT(metadata!H938,"missing: not collected"),EXACT(metadata!H938,"missing: not provided"),EXACT(metadata!H938,"missing: restricted access"))),AND(IF(metadata!H938="",FALSE,TRUE),OR(EXACT(metadata!H938,"organism-associated habitat"),EXACT(metadata!H938,"plant-associated habitat"),EXACT(metadata!H938,"animal-associated habitat"),EXACT(metadata!H938,"insecta-associated habitat"),EXACT(metadata!H938,"mammalia-associated habitat"),EXACT(metadata!H938,"human-associated habitat"),EXACT(metadata!H938,"livestock-associated habitat"))))</f>
        <v>0</v>
      </c>
      <c r="AK938" t="b">
        <f>AND(IF(metadata!I938="",FALSE,TRUE),EXACT(metadata!I938,"host-associated"))</f>
        <v>0</v>
      </c>
      <c r="AL938" t="b">
        <f>OR(AND(IF(metadata!J938="",FALSE,TRUE),OR(EXACT(metadata!J938,"not applicable"),EXACT(metadata!J938,"missing: not collected"),EXACT(metadata!J938,"missing: not provided"),EXACT(metadata!J938,"missing: restricted access"))),AND(IF(metadata!J938="",FALSE,ISNUMBER(VALUE(metadata!J938))),metadata!J938&gt;0))</f>
        <v>0</v>
      </c>
      <c r="AM938" t="b">
        <f>AND(IF(metadata!K938="",FALSE,TRUE),EXACT(metadata!K938,"missing: not provided"))</f>
        <v>0</v>
      </c>
      <c r="AN938" t="b">
        <f>IF(metadata!L938="",FALSE,TRUE)</f>
        <v>0</v>
      </c>
      <c r="AO938" t="b">
        <f>IF(metadata!M938="",FALSE,TRUE)</f>
        <v>0</v>
      </c>
      <c r="AP938" t="b">
        <f>OR(AND(IF(metadata!N938="",FALSE,TRUE),OR(EXACT(metadata!N938,"not applicable"),EXACT(metadata!N938,"missing: not collected"),EXACT(metadata!N938,"missing: not provided"))),AND(IF(metadata!N938="",FALSE,IF(ISERROR(INT(metadata!N938)),FALSE,INT(metadata!N938)=metadata!N938)),metadata!N938&gt;0))</f>
        <v>0</v>
      </c>
      <c r="AQ938" t="b">
        <f>AND(IF(metadata!O938="",FALSE,TRUE),EXACT(metadata!O938,"Not applicable"))</f>
        <v>0</v>
      </c>
      <c r="AR938" t="b">
        <f>OR(AND(IF(metadata!P938="",FALSE,TRUE),OR(EXACT(metadata!P938,"not applicable"),EXACT(metadata!P938,"missing: not collected"),EXACT(metadata!P938,"missing: not provided"),EXACT(metadata!P938,"missing: restricted access"))),IF(metadata!P938="",FALSE,IF(ISERROR(INT(metadata!P938)),FALSE,INT(metadata!P938)=metadata!P938)))</f>
        <v>0</v>
      </c>
      <c r="AS938" t="b">
        <f>AND(IF(metadata!Q938="",FALSE,TRUE),EXACT(metadata!Q938,"Not applicable"))</f>
        <v>0</v>
      </c>
      <c r="AT938" t="b">
        <f>OR(AND(IF(metadata!R938="",FALSE,TRUE),OR(EXACT(metadata!R938,"not applicable"),EXACT(metadata!R938,"missing: not collected"),EXACT(metadata!R938,"missing: not provided"),EXACT(metadata!R938,"missing: restricted access"))),AND(IF(metadata!R938="",FALSE,ISNUMBER(VALUE(metadata!R938))),metadata!R938&gt;0))</f>
        <v>0</v>
      </c>
      <c r="AU938" t="b">
        <f>AND(IF(metadata!S938="",FALSE,TRUE),EXACT(metadata!S938,"missing: not provided"))</f>
        <v>0</v>
      </c>
    </row>
    <row r="939" spans="1:47" x14ac:dyDescent="0.2">
      <c r="A939" s="5" t="str">
        <f ca="1">IF(B939=" "," ",HYPERLINK(CONCATENATE("#metadata!",ADDRESS(INDEX($Y$2:$Y$1001,MATCH(ROWS($W$2:W939),$W$2:$W$1001,0),0),1)),INDEX($AB$2:$AB$1001,MATCH(ROWS($W$2:W939),$W$2:$W$1001,0),0)))</f>
        <v xml:space="preserve"> </v>
      </c>
      <c r="B939" s="4" t="str">
        <f ca="1">IF(OR(INDEX($X$2:$X$1001,MATCH(ROWS($W$2:W939),$W$2:$W$1001,0),1)&gt;=100000,INDEX($AD$1005:$AU$1005,1,MATCH(COLUMNS($AD$1006:AD1006),$AD$1006:$AU$1006,0))&gt;=100000), " ",IF(INDEX($AD$2:$AU$1001,MATCH(ROWS($W$2:W939),$W$2:$W$1001,0),MATCH(COLUMNS($AD$1006:AD1006),$AD$1006:$AU$1006,0)), HYPERLINK("#",""), HYPERLINK(CONCATENATE("#metadata!", ADDRESS(INDEX($Y$2:$Y$1001,MATCH(ROWS($W$2:W939),$W$2:$W$1001,0),0), INDEX($AD$1004:$AU$1004,1,MATCH(COLUMNS($AD$1006:AD1006),$AD$1006:$AU$1006,0)))),"Fix")))</f>
        <v xml:space="preserve"> </v>
      </c>
      <c r="C939" s="4" t="str">
        <f ca="1">IF(OR(INDEX($X$2:$X$1001,MATCH(ROWS($W$2:W939),$W$2:$W$1001,0),1)&gt;=100000,INDEX($AD$1005:$AU$1005,1,MATCH(COLUMNS($AD$1006:AE1006),$AD$1006:$AU$1006,0))&gt;=100000), " ",IF(INDEX($AD$2:$AU$1001,MATCH(ROWS($W$2:W939),$W$2:$W$1001,0),MATCH(COLUMNS($AD$1006:AE1006),$AD$1006:$AU$1006,0)), HYPERLINK("#",""), HYPERLINK(CONCATENATE("#metadata!", ADDRESS(INDEX($Y$2:$Y$1001,MATCH(ROWS($W$2:W939),$W$2:$W$1001,0),0), INDEX($AD$1004:$AU$1004,1,MATCH(COLUMNS($AD$1006:AE1006),$AD$1006:$AU$1006,0)))),"Fix")))</f>
        <v xml:space="preserve"> </v>
      </c>
      <c r="D939" s="4" t="str">
        <f ca="1">IF(OR(INDEX($X$2:$X$1001,MATCH(ROWS($W$2:W939),$W$2:$W$1001,0),1)&gt;=100000,INDEX($AD$1005:$AU$1005,1,MATCH(COLUMNS($AD$1006:AF1006),$AD$1006:$AU$1006,0))&gt;=100000), " ",IF(INDEX($AD$2:$AU$1001,MATCH(ROWS($W$2:W939),$W$2:$W$1001,0),MATCH(COLUMNS($AD$1006:AF1006),$AD$1006:$AU$1006,0)), HYPERLINK("#",""), HYPERLINK(CONCATENATE("#metadata!", ADDRESS(INDEX($Y$2:$Y$1001,MATCH(ROWS($W$2:W939),$W$2:$W$1001,0),0), INDEX($AD$1004:$AU$1004,1,MATCH(COLUMNS($AD$1006:AF1006),$AD$1006:$AU$1006,0)))),"Fix")))</f>
        <v xml:space="preserve"> </v>
      </c>
      <c r="E939" s="4" t="str">
        <f ca="1">IF(OR(INDEX($X$2:$X$1001,MATCH(ROWS($W$2:W939),$W$2:$W$1001,0),1)&gt;=100000,INDEX($AD$1005:$AU$1005,1,MATCH(COLUMNS($AD$1006:AG1006),$AD$1006:$AU$1006,0))&gt;=100000), " ",IF(INDEX($AD$2:$AU$1001,MATCH(ROWS($W$2:W939),$W$2:$W$1001,0),MATCH(COLUMNS($AD$1006:AG1006),$AD$1006:$AU$1006,0)), HYPERLINK("#",""), HYPERLINK(CONCATENATE("#metadata!", ADDRESS(INDEX($Y$2:$Y$1001,MATCH(ROWS($W$2:W939),$W$2:$W$1001,0),0), INDEX($AD$1004:$AU$1004,1,MATCH(COLUMNS($AD$1006:AG1006),$AD$1006:$AU$1006,0)))),"Fix")))</f>
        <v xml:space="preserve"> </v>
      </c>
      <c r="F939" s="4" t="str">
        <f ca="1">IF(OR(INDEX($X$2:$X$1001,MATCH(ROWS($W$2:W939),$W$2:$W$1001,0),1)&gt;=100000,INDEX($AD$1005:$AU$1005,1,MATCH(COLUMNS($AD$1006:AH1006),$AD$1006:$AU$1006,0))&gt;=100000), " ",IF(INDEX($AD$2:$AU$1001,MATCH(ROWS($W$2:W939),$W$2:$W$1001,0),MATCH(COLUMNS($AD$1006:AH1006),$AD$1006:$AU$1006,0)), HYPERLINK("#",""), HYPERLINK(CONCATENATE("#metadata!", ADDRESS(INDEX($Y$2:$Y$1001,MATCH(ROWS($W$2:W939),$W$2:$W$1001,0),0), INDEX($AD$1004:$AU$1004,1,MATCH(COLUMNS($AD$1006:AH1006),$AD$1006:$AU$1006,0)))),"Fix")))</f>
        <v xml:space="preserve"> </v>
      </c>
      <c r="G939" s="4" t="str">
        <f ca="1">IF(OR(INDEX($X$2:$X$1001,MATCH(ROWS($W$2:W939),$W$2:$W$1001,0),1)&gt;=100000,INDEX($AD$1005:$AU$1005,1,MATCH(COLUMNS($AD$1006:AI1006),$AD$1006:$AU$1006,0))&gt;=100000), " ",IF(INDEX($AD$2:$AU$1001,MATCH(ROWS($W$2:W939),$W$2:$W$1001,0),MATCH(COLUMNS($AD$1006:AI1006),$AD$1006:$AU$1006,0)), HYPERLINK("#",""), HYPERLINK(CONCATENATE("#metadata!", ADDRESS(INDEX($Y$2:$Y$1001,MATCH(ROWS($W$2:W939),$W$2:$W$1001,0),0), INDEX($AD$1004:$AU$1004,1,MATCH(COLUMNS($AD$1006:AI1006),$AD$1006:$AU$1006,0)))),"Fix")))</f>
        <v xml:space="preserve"> </v>
      </c>
      <c r="H939" s="4" t="str">
        <f ca="1">IF(OR(INDEX($X$2:$X$1001,MATCH(ROWS($W$2:W939),$W$2:$W$1001,0),1)&gt;=100000,INDEX($AD$1005:$AU$1005,1,MATCH(COLUMNS($AD$1006:AJ1006),$AD$1006:$AU$1006,0))&gt;=100000), " ",IF(INDEX($AD$2:$AU$1001,MATCH(ROWS($W$2:W939),$W$2:$W$1001,0),MATCH(COLUMNS($AD$1006:AJ1006),$AD$1006:$AU$1006,0)), HYPERLINK("#",""), HYPERLINK(CONCATENATE("#metadata!", ADDRESS(INDEX($Y$2:$Y$1001,MATCH(ROWS($W$2:W939),$W$2:$W$1001,0),0), INDEX($AD$1004:$AU$1004,1,MATCH(COLUMNS($AD$1006:AJ1006),$AD$1006:$AU$1006,0)))),"Fix")))</f>
        <v xml:space="preserve"> </v>
      </c>
      <c r="I939" s="4" t="str">
        <f ca="1">IF(OR(INDEX($X$2:$X$1001,MATCH(ROWS($W$2:W939),$W$2:$W$1001,0),1)&gt;=100000,INDEX($AD$1005:$AU$1005,1,MATCH(COLUMNS($AD$1006:AK1006),$AD$1006:$AU$1006,0))&gt;=100000), " ",IF(INDEX($AD$2:$AU$1001,MATCH(ROWS($W$2:W939),$W$2:$W$1001,0),MATCH(COLUMNS($AD$1006:AK1006),$AD$1006:$AU$1006,0)), HYPERLINK("#",""), HYPERLINK(CONCATENATE("#metadata!", ADDRESS(INDEX($Y$2:$Y$1001,MATCH(ROWS($W$2:W939),$W$2:$W$1001,0),0), INDEX($AD$1004:$AU$1004,1,MATCH(COLUMNS($AD$1006:AK1006),$AD$1006:$AU$1006,0)))),"Fix")))</f>
        <v xml:space="preserve"> </v>
      </c>
      <c r="J939" s="4" t="str">
        <f ca="1">IF(OR(INDEX($X$2:$X$1001,MATCH(ROWS($W$2:W939),$W$2:$W$1001,0),1)&gt;=100000,INDEX($AD$1005:$AU$1005,1,MATCH(COLUMNS($AD$1006:AL1006),$AD$1006:$AU$1006,0))&gt;=100000), " ",IF(INDEX($AD$2:$AU$1001,MATCH(ROWS($W$2:W939),$W$2:$W$1001,0),MATCH(COLUMNS($AD$1006:AL1006),$AD$1006:$AU$1006,0)), HYPERLINK("#",""), HYPERLINK(CONCATENATE("#metadata!", ADDRESS(INDEX($Y$2:$Y$1001,MATCH(ROWS($W$2:W939),$W$2:$W$1001,0),0), INDEX($AD$1004:$AU$1004,1,MATCH(COLUMNS($AD$1006:AL1006),$AD$1006:$AU$1006,0)))),"Fix")))</f>
        <v xml:space="preserve"> </v>
      </c>
      <c r="K939" s="4" t="str">
        <f ca="1">IF(OR(INDEX($X$2:$X$1001,MATCH(ROWS($W$2:W939),$W$2:$W$1001,0),1)&gt;=100000,INDEX($AD$1005:$AU$1005,1,MATCH(COLUMNS($AD$1006:AM1006),$AD$1006:$AU$1006,0))&gt;=100000), " ",IF(INDEX($AD$2:$AU$1001,MATCH(ROWS($W$2:W939),$W$2:$W$1001,0),MATCH(COLUMNS($AD$1006:AM1006),$AD$1006:$AU$1006,0)), HYPERLINK("#",""), HYPERLINK(CONCATENATE("#metadata!", ADDRESS(INDEX($Y$2:$Y$1001,MATCH(ROWS($W$2:W939),$W$2:$W$1001,0),0), INDEX($AD$1004:$AU$1004,1,MATCH(COLUMNS($AD$1006:AM1006),$AD$1006:$AU$1006,0)))),"Fix")))</f>
        <v xml:space="preserve"> </v>
      </c>
      <c r="L939" s="4" t="str">
        <f ca="1">IF(OR(INDEX($X$2:$X$1001,MATCH(ROWS($W$2:W939),$W$2:$W$1001,0),1)&gt;=100000,INDEX($AD$1005:$AU$1005,1,MATCH(COLUMNS($AD$1006:AN1006),$AD$1006:$AU$1006,0))&gt;=100000), " ",IF(INDEX($AD$2:$AU$1001,MATCH(ROWS($W$2:W939),$W$2:$W$1001,0),MATCH(COLUMNS($AD$1006:AN1006),$AD$1006:$AU$1006,0)), HYPERLINK("#",""), HYPERLINK(CONCATENATE("#metadata!", ADDRESS(INDEX($Y$2:$Y$1001,MATCH(ROWS($W$2:W939),$W$2:$W$1001,0),0), INDEX($AD$1004:$AU$1004,1,MATCH(COLUMNS($AD$1006:AN1006),$AD$1006:$AU$1006,0)))),"Fix")))</f>
        <v xml:space="preserve"> </v>
      </c>
      <c r="M939" s="4" t="str">
        <f ca="1">IF(OR(INDEX($X$2:$X$1001,MATCH(ROWS($W$2:W939),$W$2:$W$1001,0),1)&gt;=100000,INDEX($AD$1005:$AU$1005,1,MATCH(COLUMNS($AD$1006:AO1006),$AD$1006:$AU$1006,0))&gt;=100000), " ",IF(INDEX($AD$2:$AU$1001,MATCH(ROWS($W$2:W939),$W$2:$W$1001,0),MATCH(COLUMNS($AD$1006:AO1006),$AD$1006:$AU$1006,0)), HYPERLINK("#",""), HYPERLINK(CONCATENATE("#metadata!", ADDRESS(INDEX($Y$2:$Y$1001,MATCH(ROWS($W$2:W939),$W$2:$W$1001,0),0), INDEX($AD$1004:$AU$1004,1,MATCH(COLUMNS($AD$1006:AO1006),$AD$1006:$AU$1006,0)))),"Fix")))</f>
        <v xml:space="preserve"> </v>
      </c>
      <c r="N939" s="4" t="str">
        <f ca="1">IF(OR(INDEX($X$2:$X$1001,MATCH(ROWS($W$2:W939),$W$2:$W$1001,0),1)&gt;=100000,INDEX($AD$1005:$AU$1005,1,MATCH(COLUMNS($AD$1006:AP1006),$AD$1006:$AU$1006,0))&gt;=100000), " ",IF(INDEX($AD$2:$AU$1001,MATCH(ROWS($W$2:W939),$W$2:$W$1001,0),MATCH(COLUMNS($AD$1006:AP1006),$AD$1006:$AU$1006,0)), HYPERLINK("#",""), HYPERLINK(CONCATENATE("#metadata!", ADDRESS(INDEX($Y$2:$Y$1001,MATCH(ROWS($W$2:W939),$W$2:$W$1001,0),0), INDEX($AD$1004:$AU$1004,1,MATCH(COLUMNS($AD$1006:AP1006),$AD$1006:$AU$1006,0)))),"Fix")))</f>
        <v xml:space="preserve"> </v>
      </c>
      <c r="O939" s="4" t="str">
        <f ca="1">IF(OR(INDEX($X$2:$X$1001,MATCH(ROWS($W$2:W939),$W$2:$W$1001,0),1)&gt;=100000,INDEX($AD$1005:$AU$1005,1,MATCH(COLUMNS($AD$1006:AQ1006),$AD$1006:$AU$1006,0))&gt;=100000), " ",IF(INDEX($AD$2:$AU$1001,MATCH(ROWS($W$2:W939),$W$2:$W$1001,0),MATCH(COLUMNS($AD$1006:AQ1006),$AD$1006:$AU$1006,0)), HYPERLINK("#",""), HYPERLINK(CONCATENATE("#metadata!", ADDRESS(INDEX($Y$2:$Y$1001,MATCH(ROWS($W$2:W939),$W$2:$W$1001,0),0), INDEX($AD$1004:$AU$1004,1,MATCH(COLUMNS($AD$1006:AQ1006),$AD$1006:$AU$1006,0)))),"Fix")))</f>
        <v xml:space="preserve"> </v>
      </c>
      <c r="P939" s="4" t="str">
        <f ca="1">IF(OR(INDEX($X$2:$X$1001,MATCH(ROWS($W$2:W939),$W$2:$W$1001,0),1)&gt;=100000,INDEX($AD$1005:$AU$1005,1,MATCH(COLUMNS($AD$1006:AR1006),$AD$1006:$AU$1006,0))&gt;=100000), " ",IF(INDEX($AD$2:$AU$1001,MATCH(ROWS($W$2:W939),$W$2:$W$1001,0),MATCH(COLUMNS($AD$1006:AR1006),$AD$1006:$AU$1006,0)), HYPERLINK("#",""), HYPERLINK(CONCATENATE("#metadata!", ADDRESS(INDEX($Y$2:$Y$1001,MATCH(ROWS($W$2:W939),$W$2:$W$1001,0),0), INDEX($AD$1004:$AU$1004,1,MATCH(COLUMNS($AD$1006:AR1006),$AD$1006:$AU$1006,0)))),"Fix")))</f>
        <v xml:space="preserve"> </v>
      </c>
      <c r="Q939" s="4" t="str">
        <f ca="1">IF(OR(INDEX($X$2:$X$1001,MATCH(ROWS($W$2:W939),$W$2:$W$1001,0),1)&gt;=100000,INDEX($AD$1005:$AU$1005,1,MATCH(COLUMNS($AD$1006:AS1006),$AD$1006:$AU$1006,0))&gt;=100000), " ",IF(INDEX($AD$2:$AU$1001,MATCH(ROWS($W$2:W939),$W$2:$W$1001,0),MATCH(COLUMNS($AD$1006:AS1006),$AD$1006:$AU$1006,0)), HYPERLINK("#",""), HYPERLINK(CONCATENATE("#metadata!", ADDRESS(INDEX($Y$2:$Y$1001,MATCH(ROWS($W$2:W939),$W$2:$W$1001,0),0), INDEX($AD$1004:$AU$1004,1,MATCH(COLUMNS($AD$1006:AS1006),$AD$1006:$AU$1006,0)))),"Fix")))</f>
        <v xml:space="preserve"> </v>
      </c>
      <c r="R939" s="4" t="str">
        <f ca="1">IF(OR(INDEX($X$2:$X$1001,MATCH(ROWS($W$2:W939),$W$2:$W$1001,0),1)&gt;=100000,INDEX($AD$1005:$AU$1005,1,MATCH(COLUMNS($AD$1006:AT1006),$AD$1006:$AU$1006,0))&gt;=100000), " ",IF(INDEX($AD$2:$AU$1001,MATCH(ROWS($W$2:W939),$W$2:$W$1001,0),MATCH(COLUMNS($AD$1006:AT1006),$AD$1006:$AU$1006,0)), HYPERLINK("#",""), HYPERLINK(CONCATENATE("#metadata!", ADDRESS(INDEX($Y$2:$Y$1001,MATCH(ROWS($W$2:W939),$W$2:$W$1001,0),0), INDEX($AD$1004:$AU$1004,1,MATCH(COLUMNS($AD$1006:AT1006),$AD$1006:$AU$1006,0)))),"Fix")))</f>
        <v xml:space="preserve"> </v>
      </c>
      <c r="S939" s="4" t="str">
        <f ca="1">IF(OR(INDEX($X$2:$X$1001,MATCH(ROWS($W$2:W939),$W$2:$W$1001,0),1)&gt;=100000,INDEX($AD$1005:$AU$1005,1,MATCH(COLUMNS($AD$1006:AU1006),$AD$1006:$AU$1006,0))&gt;=100000), " ",IF(INDEX($AD$2:$AU$1001,MATCH(ROWS($W$2:W939),$W$2:$W$1001,0),MATCH(COLUMNS($AD$1006:AU1006),$AD$1006:$AU$1006,0)), HYPERLINK("#",""), HYPERLINK(CONCATENATE("#metadata!", ADDRESS(INDEX($Y$2:$Y$1001,MATCH(ROWS($W$2:W939),$W$2:$W$1001,0),0), INDEX($AD$1004:$AU$1004,1,MATCH(COLUMNS($AD$1006:AU1006),$AD$1006:$AU$1006,0)))),"Fix")))</f>
        <v xml:space="preserve"> </v>
      </c>
      <c r="W939">
        <v>938</v>
      </c>
      <c r="X939">
        <v>100939</v>
      </c>
      <c r="Y939">
        <v>939</v>
      </c>
      <c r="Z939" t="b">
        <f t="shared" si="14"/>
        <v>1</v>
      </c>
      <c r="AA939" t="b">
        <f>COUNTBLANK(metadata!B939:S939)=COLUMNS(metadata!B939:S939)</f>
        <v>1</v>
      </c>
      <c r="AB939" t="str">
        <v/>
      </c>
      <c r="AD939" t="b">
        <f ca="1">AND(IF(metadata!B939="",FALSE,TRUE),COUNTIF(metadata!B:B, metadata!B939) = 1,NOT(ISERROR(SUMPRODUCT(SEARCH(MID(metadata!B939,ROW(INDIRECT("1:"&amp;LEN(metadata!B939))), 1),"0123456789abcdefghijklmnopqrstuvwxyzABCDEFGHIJKLMNOPQRSTUVWXYZ.")))))</f>
        <v>0</v>
      </c>
      <c r="AE939" t="b">
        <f>OR(AND(IF(metadata!C939="",FALSE,TRUE),OR(EXACT(metadata!C939,"not applicable"),EXACT(metadata!C939,"missing: not collected"),EXACT(metadata!C939,"missing: not provided"),EXACT(metadata!C939,"missing: restricted access"))),AND(IF(metadata!C939="",FALSE,ISNUMBER(VALUE(metadata!C939))),metadata!C939&gt;0))</f>
        <v>0</v>
      </c>
      <c r="AF939" t="b">
        <f>AND(IF(metadata!D939="",FALSE,TRUE),EXACT(metadata!D939,"missing: not provided"))</f>
        <v>0</v>
      </c>
      <c r="AG939" t="b">
        <f>AND(IF(metadata!E939="",FALSE,TRUE),EXACT(metadata!E939,"Host-associated"))</f>
        <v>0</v>
      </c>
      <c r="AH939" t="b">
        <f>AND(IF(metadata!F939="",FALSE,TRUE),OR(EXACT(metadata!F939,"Animal"),EXACT(metadata!F939,"Fungus"),EXACT(metadata!F939,"Plant")))</f>
        <v>0</v>
      </c>
      <c r="AI939" t="b">
        <f>AND(IF(metadata!G939="",FALSE,TRUE),OR(EXACT(metadata!G939,"Plant secretion"),EXACT(metadata!G939,"Plant rhizosphere"),EXACT(metadata!G939,"Plant surface"),EXACT(metadata!G939,"Plant corpus"),EXACT(metadata!G939,"Fungus surface"),EXACT(metadata!G939,"Fungus corpus"),EXACT(metadata!G939,"Animal surface"),EXACT(metadata!G939,"Animal proximal gut"),EXACT(metadata!G939,"Animal corpus"),EXACT(metadata!G939,"Animal distal gut"),EXACT(metadata!G939,"Animal secretion")))</f>
        <v>0</v>
      </c>
      <c r="AJ939" t="b">
        <f>OR(AND(IF(metadata!H939="",FALSE,TRUE),OR(EXACT(metadata!H939,"missing: not collected"),EXACT(metadata!H939,"missing: not provided"),EXACT(metadata!H939,"missing: restricted access"))),AND(IF(metadata!H939="",FALSE,TRUE),OR(EXACT(metadata!H939,"organism-associated habitat"),EXACT(metadata!H939,"plant-associated habitat"),EXACT(metadata!H939,"animal-associated habitat"),EXACT(metadata!H939,"insecta-associated habitat"),EXACT(metadata!H939,"mammalia-associated habitat"),EXACT(metadata!H939,"human-associated habitat"),EXACT(metadata!H939,"livestock-associated habitat"))))</f>
        <v>0</v>
      </c>
      <c r="AK939" t="b">
        <f>AND(IF(metadata!I939="",FALSE,TRUE),EXACT(metadata!I939,"host-associated"))</f>
        <v>0</v>
      </c>
      <c r="AL939" t="b">
        <f>OR(AND(IF(metadata!J939="",FALSE,TRUE),OR(EXACT(metadata!J939,"not applicable"),EXACT(metadata!J939,"missing: not collected"),EXACT(metadata!J939,"missing: not provided"),EXACT(metadata!J939,"missing: restricted access"))),AND(IF(metadata!J939="",FALSE,ISNUMBER(VALUE(metadata!J939))),metadata!J939&gt;0))</f>
        <v>0</v>
      </c>
      <c r="AM939" t="b">
        <f>AND(IF(metadata!K939="",FALSE,TRUE),EXACT(metadata!K939,"missing: not provided"))</f>
        <v>0</v>
      </c>
      <c r="AN939" t="b">
        <f>IF(metadata!L939="",FALSE,TRUE)</f>
        <v>0</v>
      </c>
      <c r="AO939" t="b">
        <f>IF(metadata!M939="",FALSE,TRUE)</f>
        <v>0</v>
      </c>
      <c r="AP939" t="b">
        <f>OR(AND(IF(metadata!N939="",FALSE,TRUE),OR(EXACT(metadata!N939,"not applicable"),EXACT(metadata!N939,"missing: not collected"),EXACT(metadata!N939,"missing: not provided"))),AND(IF(metadata!N939="",FALSE,IF(ISERROR(INT(metadata!N939)),FALSE,INT(metadata!N939)=metadata!N939)),metadata!N939&gt;0))</f>
        <v>0</v>
      </c>
      <c r="AQ939" t="b">
        <f>AND(IF(metadata!O939="",FALSE,TRUE),EXACT(metadata!O939,"Not applicable"))</f>
        <v>0</v>
      </c>
      <c r="AR939" t="b">
        <f>OR(AND(IF(metadata!P939="",FALSE,TRUE),OR(EXACT(metadata!P939,"not applicable"),EXACT(metadata!P939,"missing: not collected"),EXACT(metadata!P939,"missing: not provided"),EXACT(metadata!P939,"missing: restricted access"))),IF(metadata!P939="",FALSE,IF(ISERROR(INT(metadata!P939)),FALSE,INT(metadata!P939)=metadata!P939)))</f>
        <v>0</v>
      </c>
      <c r="AS939" t="b">
        <f>AND(IF(metadata!Q939="",FALSE,TRUE),EXACT(metadata!Q939,"Not applicable"))</f>
        <v>0</v>
      </c>
      <c r="AT939" t="b">
        <f>OR(AND(IF(metadata!R939="",FALSE,TRUE),OR(EXACT(metadata!R939,"not applicable"),EXACT(metadata!R939,"missing: not collected"),EXACT(metadata!R939,"missing: not provided"),EXACT(metadata!R939,"missing: restricted access"))),AND(IF(metadata!R939="",FALSE,ISNUMBER(VALUE(metadata!R939))),metadata!R939&gt;0))</f>
        <v>0</v>
      </c>
      <c r="AU939" t="b">
        <f>AND(IF(metadata!S939="",FALSE,TRUE),EXACT(metadata!S939,"missing: not provided"))</f>
        <v>0</v>
      </c>
    </row>
    <row r="940" spans="1:47" x14ac:dyDescent="0.2">
      <c r="A940" s="5" t="str">
        <f ca="1">IF(B940=" "," ",HYPERLINK(CONCATENATE("#metadata!",ADDRESS(INDEX($Y$2:$Y$1001,MATCH(ROWS($W$2:W940),$W$2:$W$1001,0),0),1)),INDEX($AB$2:$AB$1001,MATCH(ROWS($W$2:W940),$W$2:$W$1001,0),0)))</f>
        <v xml:space="preserve"> </v>
      </c>
      <c r="B940" s="4" t="str">
        <f ca="1">IF(OR(INDEX($X$2:$X$1001,MATCH(ROWS($W$2:W940),$W$2:$W$1001,0),1)&gt;=100000,INDEX($AD$1005:$AU$1005,1,MATCH(COLUMNS($AD$1006:AD1006),$AD$1006:$AU$1006,0))&gt;=100000), " ",IF(INDEX($AD$2:$AU$1001,MATCH(ROWS($W$2:W940),$W$2:$W$1001,0),MATCH(COLUMNS($AD$1006:AD1006),$AD$1006:$AU$1006,0)), HYPERLINK("#",""), HYPERLINK(CONCATENATE("#metadata!", ADDRESS(INDEX($Y$2:$Y$1001,MATCH(ROWS($W$2:W940),$W$2:$W$1001,0),0), INDEX($AD$1004:$AU$1004,1,MATCH(COLUMNS($AD$1006:AD1006),$AD$1006:$AU$1006,0)))),"Fix")))</f>
        <v xml:space="preserve"> </v>
      </c>
      <c r="C940" s="4" t="str">
        <f ca="1">IF(OR(INDEX($X$2:$X$1001,MATCH(ROWS($W$2:W940),$W$2:$W$1001,0),1)&gt;=100000,INDEX($AD$1005:$AU$1005,1,MATCH(COLUMNS($AD$1006:AE1006),$AD$1006:$AU$1006,0))&gt;=100000), " ",IF(INDEX($AD$2:$AU$1001,MATCH(ROWS($W$2:W940),$W$2:$W$1001,0),MATCH(COLUMNS($AD$1006:AE1006),$AD$1006:$AU$1006,0)), HYPERLINK("#",""), HYPERLINK(CONCATENATE("#metadata!", ADDRESS(INDEX($Y$2:$Y$1001,MATCH(ROWS($W$2:W940),$W$2:$W$1001,0),0), INDEX($AD$1004:$AU$1004,1,MATCH(COLUMNS($AD$1006:AE1006),$AD$1006:$AU$1006,0)))),"Fix")))</f>
        <v xml:space="preserve"> </v>
      </c>
      <c r="D940" s="4" t="str">
        <f ca="1">IF(OR(INDEX($X$2:$X$1001,MATCH(ROWS($W$2:W940),$W$2:$W$1001,0),1)&gt;=100000,INDEX($AD$1005:$AU$1005,1,MATCH(COLUMNS($AD$1006:AF1006),$AD$1006:$AU$1006,0))&gt;=100000), " ",IF(INDEX($AD$2:$AU$1001,MATCH(ROWS($W$2:W940),$W$2:$W$1001,0),MATCH(COLUMNS($AD$1006:AF1006),$AD$1006:$AU$1006,0)), HYPERLINK("#",""), HYPERLINK(CONCATENATE("#metadata!", ADDRESS(INDEX($Y$2:$Y$1001,MATCH(ROWS($W$2:W940),$W$2:$W$1001,0),0), INDEX($AD$1004:$AU$1004,1,MATCH(COLUMNS($AD$1006:AF1006),$AD$1006:$AU$1006,0)))),"Fix")))</f>
        <v xml:space="preserve"> </v>
      </c>
      <c r="E940" s="4" t="str">
        <f ca="1">IF(OR(INDEX($X$2:$X$1001,MATCH(ROWS($W$2:W940),$W$2:$W$1001,0),1)&gt;=100000,INDEX($AD$1005:$AU$1005,1,MATCH(COLUMNS($AD$1006:AG1006),$AD$1006:$AU$1006,0))&gt;=100000), " ",IF(INDEX($AD$2:$AU$1001,MATCH(ROWS($W$2:W940),$W$2:$W$1001,0),MATCH(COLUMNS($AD$1006:AG1006),$AD$1006:$AU$1006,0)), HYPERLINK("#",""), HYPERLINK(CONCATENATE("#metadata!", ADDRESS(INDEX($Y$2:$Y$1001,MATCH(ROWS($W$2:W940),$W$2:$W$1001,0),0), INDEX($AD$1004:$AU$1004,1,MATCH(COLUMNS($AD$1006:AG1006),$AD$1006:$AU$1006,0)))),"Fix")))</f>
        <v xml:space="preserve"> </v>
      </c>
      <c r="F940" s="4" t="str">
        <f ca="1">IF(OR(INDEX($X$2:$X$1001,MATCH(ROWS($W$2:W940),$W$2:$W$1001,0),1)&gt;=100000,INDEX($AD$1005:$AU$1005,1,MATCH(COLUMNS($AD$1006:AH1006),$AD$1006:$AU$1006,0))&gt;=100000), " ",IF(INDEX($AD$2:$AU$1001,MATCH(ROWS($W$2:W940),$W$2:$W$1001,0),MATCH(COLUMNS($AD$1006:AH1006),$AD$1006:$AU$1006,0)), HYPERLINK("#",""), HYPERLINK(CONCATENATE("#metadata!", ADDRESS(INDEX($Y$2:$Y$1001,MATCH(ROWS($W$2:W940),$W$2:$W$1001,0),0), INDEX($AD$1004:$AU$1004,1,MATCH(COLUMNS($AD$1006:AH1006),$AD$1006:$AU$1006,0)))),"Fix")))</f>
        <v xml:space="preserve"> </v>
      </c>
      <c r="G940" s="4" t="str">
        <f ca="1">IF(OR(INDEX($X$2:$X$1001,MATCH(ROWS($W$2:W940),$W$2:$W$1001,0),1)&gt;=100000,INDEX($AD$1005:$AU$1005,1,MATCH(COLUMNS($AD$1006:AI1006),$AD$1006:$AU$1006,0))&gt;=100000), " ",IF(INDEX($AD$2:$AU$1001,MATCH(ROWS($W$2:W940),$W$2:$W$1001,0),MATCH(COLUMNS($AD$1006:AI1006),$AD$1006:$AU$1006,0)), HYPERLINK("#",""), HYPERLINK(CONCATENATE("#metadata!", ADDRESS(INDEX($Y$2:$Y$1001,MATCH(ROWS($W$2:W940),$W$2:$W$1001,0),0), INDEX($AD$1004:$AU$1004,1,MATCH(COLUMNS($AD$1006:AI1006),$AD$1006:$AU$1006,0)))),"Fix")))</f>
        <v xml:space="preserve"> </v>
      </c>
      <c r="H940" s="4" t="str">
        <f ca="1">IF(OR(INDEX($X$2:$X$1001,MATCH(ROWS($W$2:W940),$W$2:$W$1001,0),1)&gt;=100000,INDEX($AD$1005:$AU$1005,1,MATCH(COLUMNS($AD$1006:AJ1006),$AD$1006:$AU$1006,0))&gt;=100000), " ",IF(INDEX($AD$2:$AU$1001,MATCH(ROWS($W$2:W940),$W$2:$W$1001,0),MATCH(COLUMNS($AD$1006:AJ1006),$AD$1006:$AU$1006,0)), HYPERLINK("#",""), HYPERLINK(CONCATENATE("#metadata!", ADDRESS(INDEX($Y$2:$Y$1001,MATCH(ROWS($W$2:W940),$W$2:$W$1001,0),0), INDEX($AD$1004:$AU$1004,1,MATCH(COLUMNS($AD$1006:AJ1006),$AD$1006:$AU$1006,0)))),"Fix")))</f>
        <v xml:space="preserve"> </v>
      </c>
      <c r="I940" s="4" t="str">
        <f ca="1">IF(OR(INDEX($X$2:$X$1001,MATCH(ROWS($W$2:W940),$W$2:$W$1001,0),1)&gt;=100000,INDEX($AD$1005:$AU$1005,1,MATCH(COLUMNS($AD$1006:AK1006),$AD$1006:$AU$1006,0))&gt;=100000), " ",IF(INDEX($AD$2:$AU$1001,MATCH(ROWS($W$2:W940),$W$2:$W$1001,0),MATCH(COLUMNS($AD$1006:AK1006),$AD$1006:$AU$1006,0)), HYPERLINK("#",""), HYPERLINK(CONCATENATE("#metadata!", ADDRESS(INDEX($Y$2:$Y$1001,MATCH(ROWS($W$2:W940),$W$2:$W$1001,0),0), INDEX($AD$1004:$AU$1004,1,MATCH(COLUMNS($AD$1006:AK1006),$AD$1006:$AU$1006,0)))),"Fix")))</f>
        <v xml:space="preserve"> </v>
      </c>
      <c r="J940" s="4" t="str">
        <f ca="1">IF(OR(INDEX($X$2:$X$1001,MATCH(ROWS($W$2:W940),$W$2:$W$1001,0),1)&gt;=100000,INDEX($AD$1005:$AU$1005,1,MATCH(COLUMNS($AD$1006:AL1006),$AD$1006:$AU$1006,0))&gt;=100000), " ",IF(INDEX($AD$2:$AU$1001,MATCH(ROWS($W$2:W940),$W$2:$W$1001,0),MATCH(COLUMNS($AD$1006:AL1006),$AD$1006:$AU$1006,0)), HYPERLINK("#",""), HYPERLINK(CONCATENATE("#metadata!", ADDRESS(INDEX($Y$2:$Y$1001,MATCH(ROWS($W$2:W940),$W$2:$W$1001,0),0), INDEX($AD$1004:$AU$1004,1,MATCH(COLUMNS($AD$1006:AL1006),$AD$1006:$AU$1006,0)))),"Fix")))</f>
        <v xml:space="preserve"> </v>
      </c>
      <c r="K940" s="4" t="str">
        <f ca="1">IF(OR(INDEX($X$2:$X$1001,MATCH(ROWS($W$2:W940),$W$2:$W$1001,0),1)&gt;=100000,INDEX($AD$1005:$AU$1005,1,MATCH(COLUMNS($AD$1006:AM1006),$AD$1006:$AU$1006,0))&gt;=100000), " ",IF(INDEX($AD$2:$AU$1001,MATCH(ROWS($W$2:W940),$W$2:$W$1001,0),MATCH(COLUMNS($AD$1006:AM1006),$AD$1006:$AU$1006,0)), HYPERLINK("#",""), HYPERLINK(CONCATENATE("#metadata!", ADDRESS(INDEX($Y$2:$Y$1001,MATCH(ROWS($W$2:W940),$W$2:$W$1001,0),0), INDEX($AD$1004:$AU$1004,1,MATCH(COLUMNS($AD$1006:AM1006),$AD$1006:$AU$1006,0)))),"Fix")))</f>
        <v xml:space="preserve"> </v>
      </c>
      <c r="L940" s="4" t="str">
        <f ca="1">IF(OR(INDEX($X$2:$X$1001,MATCH(ROWS($W$2:W940),$W$2:$W$1001,0),1)&gt;=100000,INDEX($AD$1005:$AU$1005,1,MATCH(COLUMNS($AD$1006:AN1006),$AD$1006:$AU$1006,0))&gt;=100000), " ",IF(INDEX($AD$2:$AU$1001,MATCH(ROWS($W$2:W940),$W$2:$W$1001,0),MATCH(COLUMNS($AD$1006:AN1006),$AD$1006:$AU$1006,0)), HYPERLINK("#",""), HYPERLINK(CONCATENATE("#metadata!", ADDRESS(INDEX($Y$2:$Y$1001,MATCH(ROWS($W$2:W940),$W$2:$W$1001,0),0), INDEX($AD$1004:$AU$1004,1,MATCH(COLUMNS($AD$1006:AN1006),$AD$1006:$AU$1006,0)))),"Fix")))</f>
        <v xml:space="preserve"> </v>
      </c>
      <c r="M940" s="4" t="str">
        <f ca="1">IF(OR(INDEX($X$2:$X$1001,MATCH(ROWS($W$2:W940),$W$2:$W$1001,0),1)&gt;=100000,INDEX($AD$1005:$AU$1005,1,MATCH(COLUMNS($AD$1006:AO1006),$AD$1006:$AU$1006,0))&gt;=100000), " ",IF(INDEX($AD$2:$AU$1001,MATCH(ROWS($W$2:W940),$W$2:$W$1001,0),MATCH(COLUMNS($AD$1006:AO1006),$AD$1006:$AU$1006,0)), HYPERLINK("#",""), HYPERLINK(CONCATENATE("#metadata!", ADDRESS(INDEX($Y$2:$Y$1001,MATCH(ROWS($W$2:W940),$W$2:$W$1001,0),0), INDEX($AD$1004:$AU$1004,1,MATCH(COLUMNS($AD$1006:AO1006),$AD$1006:$AU$1006,0)))),"Fix")))</f>
        <v xml:space="preserve"> </v>
      </c>
      <c r="N940" s="4" t="str">
        <f ca="1">IF(OR(INDEX($X$2:$X$1001,MATCH(ROWS($W$2:W940),$W$2:$W$1001,0),1)&gt;=100000,INDEX($AD$1005:$AU$1005,1,MATCH(COLUMNS($AD$1006:AP1006),$AD$1006:$AU$1006,0))&gt;=100000), " ",IF(INDEX($AD$2:$AU$1001,MATCH(ROWS($W$2:W940),$W$2:$W$1001,0),MATCH(COLUMNS($AD$1006:AP1006),$AD$1006:$AU$1006,0)), HYPERLINK("#",""), HYPERLINK(CONCATENATE("#metadata!", ADDRESS(INDEX($Y$2:$Y$1001,MATCH(ROWS($W$2:W940),$W$2:$W$1001,0),0), INDEX($AD$1004:$AU$1004,1,MATCH(COLUMNS($AD$1006:AP1006),$AD$1006:$AU$1006,0)))),"Fix")))</f>
        <v xml:space="preserve"> </v>
      </c>
      <c r="O940" s="4" t="str">
        <f ca="1">IF(OR(INDEX($X$2:$X$1001,MATCH(ROWS($W$2:W940),$W$2:$W$1001,0),1)&gt;=100000,INDEX($AD$1005:$AU$1005,1,MATCH(COLUMNS($AD$1006:AQ1006),$AD$1006:$AU$1006,0))&gt;=100000), " ",IF(INDEX($AD$2:$AU$1001,MATCH(ROWS($W$2:W940),$W$2:$W$1001,0),MATCH(COLUMNS($AD$1006:AQ1006),$AD$1006:$AU$1006,0)), HYPERLINK("#",""), HYPERLINK(CONCATENATE("#metadata!", ADDRESS(INDEX($Y$2:$Y$1001,MATCH(ROWS($W$2:W940),$W$2:$W$1001,0),0), INDEX($AD$1004:$AU$1004,1,MATCH(COLUMNS($AD$1006:AQ1006),$AD$1006:$AU$1006,0)))),"Fix")))</f>
        <v xml:space="preserve"> </v>
      </c>
      <c r="P940" s="4" t="str">
        <f ca="1">IF(OR(INDEX($X$2:$X$1001,MATCH(ROWS($W$2:W940),$W$2:$W$1001,0),1)&gt;=100000,INDEX($AD$1005:$AU$1005,1,MATCH(COLUMNS($AD$1006:AR1006),$AD$1006:$AU$1006,0))&gt;=100000), " ",IF(INDEX($AD$2:$AU$1001,MATCH(ROWS($W$2:W940),$W$2:$W$1001,0),MATCH(COLUMNS($AD$1006:AR1006),$AD$1006:$AU$1006,0)), HYPERLINK("#",""), HYPERLINK(CONCATENATE("#metadata!", ADDRESS(INDEX($Y$2:$Y$1001,MATCH(ROWS($W$2:W940),$W$2:$W$1001,0),0), INDEX($AD$1004:$AU$1004,1,MATCH(COLUMNS($AD$1006:AR1006),$AD$1006:$AU$1006,0)))),"Fix")))</f>
        <v xml:space="preserve"> </v>
      </c>
      <c r="Q940" s="4" t="str">
        <f ca="1">IF(OR(INDEX($X$2:$X$1001,MATCH(ROWS($W$2:W940),$W$2:$W$1001,0),1)&gt;=100000,INDEX($AD$1005:$AU$1005,1,MATCH(COLUMNS($AD$1006:AS1006),$AD$1006:$AU$1006,0))&gt;=100000), " ",IF(INDEX($AD$2:$AU$1001,MATCH(ROWS($W$2:W940),$W$2:$W$1001,0),MATCH(COLUMNS($AD$1006:AS1006),$AD$1006:$AU$1006,0)), HYPERLINK("#",""), HYPERLINK(CONCATENATE("#metadata!", ADDRESS(INDEX($Y$2:$Y$1001,MATCH(ROWS($W$2:W940),$W$2:$W$1001,0),0), INDEX($AD$1004:$AU$1004,1,MATCH(COLUMNS($AD$1006:AS1006),$AD$1006:$AU$1006,0)))),"Fix")))</f>
        <v xml:space="preserve"> </v>
      </c>
      <c r="R940" s="4" t="str">
        <f ca="1">IF(OR(INDEX($X$2:$X$1001,MATCH(ROWS($W$2:W940),$W$2:$W$1001,0),1)&gt;=100000,INDEX($AD$1005:$AU$1005,1,MATCH(COLUMNS($AD$1006:AT1006),$AD$1006:$AU$1006,0))&gt;=100000), " ",IF(INDEX($AD$2:$AU$1001,MATCH(ROWS($W$2:W940),$W$2:$W$1001,0),MATCH(COLUMNS($AD$1006:AT1006),$AD$1006:$AU$1006,0)), HYPERLINK("#",""), HYPERLINK(CONCATENATE("#metadata!", ADDRESS(INDEX($Y$2:$Y$1001,MATCH(ROWS($W$2:W940),$W$2:$W$1001,0),0), INDEX($AD$1004:$AU$1004,1,MATCH(COLUMNS($AD$1006:AT1006),$AD$1006:$AU$1006,0)))),"Fix")))</f>
        <v xml:space="preserve"> </v>
      </c>
      <c r="S940" s="4" t="str">
        <f ca="1">IF(OR(INDEX($X$2:$X$1001,MATCH(ROWS($W$2:W940),$W$2:$W$1001,0),1)&gt;=100000,INDEX($AD$1005:$AU$1005,1,MATCH(COLUMNS($AD$1006:AU1006),$AD$1006:$AU$1006,0))&gt;=100000), " ",IF(INDEX($AD$2:$AU$1001,MATCH(ROWS($W$2:W940),$W$2:$W$1001,0),MATCH(COLUMNS($AD$1006:AU1006),$AD$1006:$AU$1006,0)), HYPERLINK("#",""), HYPERLINK(CONCATENATE("#metadata!", ADDRESS(INDEX($Y$2:$Y$1001,MATCH(ROWS($W$2:W940),$W$2:$W$1001,0),0), INDEX($AD$1004:$AU$1004,1,MATCH(COLUMNS($AD$1006:AU1006),$AD$1006:$AU$1006,0)))),"Fix")))</f>
        <v xml:space="preserve"> </v>
      </c>
      <c r="W940">
        <v>939</v>
      </c>
      <c r="X940">
        <v>100940</v>
      </c>
      <c r="Y940">
        <v>940</v>
      </c>
      <c r="Z940" t="b">
        <f t="shared" si="14"/>
        <v>1</v>
      </c>
      <c r="AA940" t="b">
        <f>COUNTBLANK(metadata!B940:S940)=COLUMNS(metadata!B940:S940)</f>
        <v>1</v>
      </c>
      <c r="AB940" t="str">
        <v/>
      </c>
      <c r="AD940" t="b">
        <f ca="1">AND(IF(metadata!B940="",FALSE,TRUE),COUNTIF(metadata!B:B, metadata!B940) = 1,NOT(ISERROR(SUMPRODUCT(SEARCH(MID(metadata!B940,ROW(INDIRECT("1:"&amp;LEN(metadata!B940))), 1),"0123456789abcdefghijklmnopqrstuvwxyzABCDEFGHIJKLMNOPQRSTUVWXYZ.")))))</f>
        <v>0</v>
      </c>
      <c r="AE940" t="b">
        <f>OR(AND(IF(metadata!C940="",FALSE,TRUE),OR(EXACT(metadata!C940,"not applicable"),EXACT(metadata!C940,"missing: not collected"),EXACT(metadata!C940,"missing: not provided"),EXACT(metadata!C940,"missing: restricted access"))),AND(IF(metadata!C940="",FALSE,ISNUMBER(VALUE(metadata!C940))),metadata!C940&gt;0))</f>
        <v>0</v>
      </c>
      <c r="AF940" t="b">
        <f>AND(IF(metadata!D940="",FALSE,TRUE),EXACT(metadata!D940,"missing: not provided"))</f>
        <v>0</v>
      </c>
      <c r="AG940" t="b">
        <f>AND(IF(metadata!E940="",FALSE,TRUE),EXACT(metadata!E940,"Host-associated"))</f>
        <v>0</v>
      </c>
      <c r="AH940" t="b">
        <f>AND(IF(metadata!F940="",FALSE,TRUE),OR(EXACT(metadata!F940,"Animal"),EXACT(metadata!F940,"Fungus"),EXACT(metadata!F940,"Plant")))</f>
        <v>0</v>
      </c>
      <c r="AI940" t="b">
        <f>AND(IF(metadata!G940="",FALSE,TRUE),OR(EXACT(metadata!G940,"Plant secretion"),EXACT(metadata!G940,"Plant rhizosphere"),EXACT(metadata!G940,"Plant surface"),EXACT(metadata!G940,"Plant corpus"),EXACT(metadata!G940,"Fungus surface"),EXACT(metadata!G940,"Fungus corpus"),EXACT(metadata!G940,"Animal surface"),EXACT(metadata!G940,"Animal proximal gut"),EXACT(metadata!G940,"Animal corpus"),EXACT(metadata!G940,"Animal distal gut"),EXACT(metadata!G940,"Animal secretion")))</f>
        <v>0</v>
      </c>
      <c r="AJ940" t="b">
        <f>OR(AND(IF(metadata!H940="",FALSE,TRUE),OR(EXACT(metadata!H940,"missing: not collected"),EXACT(metadata!H940,"missing: not provided"),EXACT(metadata!H940,"missing: restricted access"))),AND(IF(metadata!H940="",FALSE,TRUE),OR(EXACT(metadata!H940,"organism-associated habitat"),EXACT(metadata!H940,"plant-associated habitat"),EXACT(metadata!H940,"animal-associated habitat"),EXACT(metadata!H940,"insecta-associated habitat"),EXACT(metadata!H940,"mammalia-associated habitat"),EXACT(metadata!H940,"human-associated habitat"),EXACT(metadata!H940,"livestock-associated habitat"))))</f>
        <v>0</v>
      </c>
      <c r="AK940" t="b">
        <f>AND(IF(metadata!I940="",FALSE,TRUE),EXACT(metadata!I940,"host-associated"))</f>
        <v>0</v>
      </c>
      <c r="AL940" t="b">
        <f>OR(AND(IF(metadata!J940="",FALSE,TRUE),OR(EXACT(metadata!J940,"not applicable"),EXACT(metadata!J940,"missing: not collected"),EXACT(metadata!J940,"missing: not provided"),EXACT(metadata!J940,"missing: restricted access"))),AND(IF(metadata!J940="",FALSE,ISNUMBER(VALUE(metadata!J940))),metadata!J940&gt;0))</f>
        <v>0</v>
      </c>
      <c r="AM940" t="b">
        <f>AND(IF(metadata!K940="",FALSE,TRUE),EXACT(metadata!K940,"missing: not provided"))</f>
        <v>0</v>
      </c>
      <c r="AN940" t="b">
        <f>IF(metadata!L940="",FALSE,TRUE)</f>
        <v>0</v>
      </c>
      <c r="AO940" t="b">
        <f>IF(metadata!M940="",FALSE,TRUE)</f>
        <v>0</v>
      </c>
      <c r="AP940" t="b">
        <f>OR(AND(IF(metadata!N940="",FALSE,TRUE),OR(EXACT(metadata!N940,"not applicable"),EXACT(metadata!N940,"missing: not collected"),EXACT(metadata!N940,"missing: not provided"))),AND(IF(metadata!N940="",FALSE,IF(ISERROR(INT(metadata!N940)),FALSE,INT(metadata!N940)=metadata!N940)),metadata!N940&gt;0))</f>
        <v>0</v>
      </c>
      <c r="AQ940" t="b">
        <f>AND(IF(metadata!O940="",FALSE,TRUE),EXACT(metadata!O940,"Not applicable"))</f>
        <v>0</v>
      </c>
      <c r="AR940" t="b">
        <f>OR(AND(IF(metadata!P940="",FALSE,TRUE),OR(EXACT(metadata!P940,"not applicable"),EXACT(metadata!P940,"missing: not collected"),EXACT(metadata!P940,"missing: not provided"),EXACT(metadata!P940,"missing: restricted access"))),IF(metadata!P940="",FALSE,IF(ISERROR(INT(metadata!P940)),FALSE,INT(metadata!P940)=metadata!P940)))</f>
        <v>0</v>
      </c>
      <c r="AS940" t="b">
        <f>AND(IF(metadata!Q940="",FALSE,TRUE),EXACT(metadata!Q940,"Not applicable"))</f>
        <v>0</v>
      </c>
      <c r="AT940" t="b">
        <f>OR(AND(IF(metadata!R940="",FALSE,TRUE),OR(EXACT(metadata!R940,"not applicable"),EXACT(metadata!R940,"missing: not collected"),EXACT(metadata!R940,"missing: not provided"),EXACT(metadata!R940,"missing: restricted access"))),AND(IF(metadata!R940="",FALSE,ISNUMBER(VALUE(metadata!R940))),metadata!R940&gt;0))</f>
        <v>0</v>
      </c>
      <c r="AU940" t="b">
        <f>AND(IF(metadata!S940="",FALSE,TRUE),EXACT(metadata!S940,"missing: not provided"))</f>
        <v>0</v>
      </c>
    </row>
    <row r="941" spans="1:47" x14ac:dyDescent="0.2">
      <c r="A941" s="5" t="str">
        <f ca="1">IF(B941=" "," ",HYPERLINK(CONCATENATE("#metadata!",ADDRESS(INDEX($Y$2:$Y$1001,MATCH(ROWS($W$2:W941),$W$2:$W$1001,0),0),1)),INDEX($AB$2:$AB$1001,MATCH(ROWS($W$2:W941),$W$2:$W$1001,0),0)))</f>
        <v xml:space="preserve"> </v>
      </c>
      <c r="B941" s="4" t="str">
        <f ca="1">IF(OR(INDEX($X$2:$X$1001,MATCH(ROWS($W$2:W941),$W$2:$W$1001,0),1)&gt;=100000,INDEX($AD$1005:$AU$1005,1,MATCH(COLUMNS($AD$1006:AD1006),$AD$1006:$AU$1006,0))&gt;=100000), " ",IF(INDEX($AD$2:$AU$1001,MATCH(ROWS($W$2:W941),$W$2:$W$1001,0),MATCH(COLUMNS($AD$1006:AD1006),$AD$1006:$AU$1006,0)), HYPERLINK("#",""), HYPERLINK(CONCATENATE("#metadata!", ADDRESS(INDEX($Y$2:$Y$1001,MATCH(ROWS($W$2:W941),$W$2:$W$1001,0),0), INDEX($AD$1004:$AU$1004,1,MATCH(COLUMNS($AD$1006:AD1006),$AD$1006:$AU$1006,0)))),"Fix")))</f>
        <v xml:space="preserve"> </v>
      </c>
      <c r="C941" s="4" t="str">
        <f ca="1">IF(OR(INDEX($X$2:$X$1001,MATCH(ROWS($W$2:W941),$W$2:$W$1001,0),1)&gt;=100000,INDEX($AD$1005:$AU$1005,1,MATCH(COLUMNS($AD$1006:AE1006),$AD$1006:$AU$1006,0))&gt;=100000), " ",IF(INDEX($AD$2:$AU$1001,MATCH(ROWS($W$2:W941),$W$2:$W$1001,0),MATCH(COLUMNS($AD$1006:AE1006),$AD$1006:$AU$1006,0)), HYPERLINK("#",""), HYPERLINK(CONCATENATE("#metadata!", ADDRESS(INDEX($Y$2:$Y$1001,MATCH(ROWS($W$2:W941),$W$2:$W$1001,0),0), INDEX($AD$1004:$AU$1004,1,MATCH(COLUMNS($AD$1006:AE1006),$AD$1006:$AU$1006,0)))),"Fix")))</f>
        <v xml:space="preserve"> </v>
      </c>
      <c r="D941" s="4" t="str">
        <f ca="1">IF(OR(INDEX($X$2:$X$1001,MATCH(ROWS($W$2:W941),$W$2:$W$1001,0),1)&gt;=100000,INDEX($AD$1005:$AU$1005,1,MATCH(COLUMNS($AD$1006:AF1006),$AD$1006:$AU$1006,0))&gt;=100000), " ",IF(INDEX($AD$2:$AU$1001,MATCH(ROWS($W$2:W941),$W$2:$W$1001,0),MATCH(COLUMNS($AD$1006:AF1006),$AD$1006:$AU$1006,0)), HYPERLINK("#",""), HYPERLINK(CONCATENATE("#metadata!", ADDRESS(INDEX($Y$2:$Y$1001,MATCH(ROWS($W$2:W941),$W$2:$W$1001,0),0), INDEX($AD$1004:$AU$1004,1,MATCH(COLUMNS($AD$1006:AF1006),$AD$1006:$AU$1006,0)))),"Fix")))</f>
        <v xml:space="preserve"> </v>
      </c>
      <c r="E941" s="4" t="str">
        <f ca="1">IF(OR(INDEX($X$2:$X$1001,MATCH(ROWS($W$2:W941),$W$2:$W$1001,0),1)&gt;=100000,INDEX($AD$1005:$AU$1005,1,MATCH(COLUMNS($AD$1006:AG1006),$AD$1006:$AU$1006,0))&gt;=100000), " ",IF(INDEX($AD$2:$AU$1001,MATCH(ROWS($W$2:W941),$W$2:$W$1001,0),MATCH(COLUMNS($AD$1006:AG1006),$AD$1006:$AU$1006,0)), HYPERLINK("#",""), HYPERLINK(CONCATENATE("#metadata!", ADDRESS(INDEX($Y$2:$Y$1001,MATCH(ROWS($W$2:W941),$W$2:$W$1001,0),0), INDEX($AD$1004:$AU$1004,1,MATCH(COLUMNS($AD$1006:AG1006),$AD$1006:$AU$1006,0)))),"Fix")))</f>
        <v xml:space="preserve"> </v>
      </c>
      <c r="F941" s="4" t="str">
        <f ca="1">IF(OR(INDEX($X$2:$X$1001,MATCH(ROWS($W$2:W941),$W$2:$W$1001,0),1)&gt;=100000,INDEX($AD$1005:$AU$1005,1,MATCH(COLUMNS($AD$1006:AH1006),$AD$1006:$AU$1006,0))&gt;=100000), " ",IF(INDEX($AD$2:$AU$1001,MATCH(ROWS($W$2:W941),$W$2:$W$1001,0),MATCH(COLUMNS($AD$1006:AH1006),$AD$1006:$AU$1006,0)), HYPERLINK("#",""), HYPERLINK(CONCATENATE("#metadata!", ADDRESS(INDEX($Y$2:$Y$1001,MATCH(ROWS($W$2:W941),$W$2:$W$1001,0),0), INDEX($AD$1004:$AU$1004,1,MATCH(COLUMNS($AD$1006:AH1006),$AD$1006:$AU$1006,0)))),"Fix")))</f>
        <v xml:space="preserve"> </v>
      </c>
      <c r="G941" s="4" t="str">
        <f ca="1">IF(OR(INDEX($X$2:$X$1001,MATCH(ROWS($W$2:W941),$W$2:$W$1001,0),1)&gt;=100000,INDEX($AD$1005:$AU$1005,1,MATCH(COLUMNS($AD$1006:AI1006),$AD$1006:$AU$1006,0))&gt;=100000), " ",IF(INDEX($AD$2:$AU$1001,MATCH(ROWS($W$2:W941),$W$2:$W$1001,0),MATCH(COLUMNS($AD$1006:AI1006),$AD$1006:$AU$1006,0)), HYPERLINK("#",""), HYPERLINK(CONCATENATE("#metadata!", ADDRESS(INDEX($Y$2:$Y$1001,MATCH(ROWS($W$2:W941),$W$2:$W$1001,0),0), INDEX($AD$1004:$AU$1004,1,MATCH(COLUMNS($AD$1006:AI1006),$AD$1006:$AU$1006,0)))),"Fix")))</f>
        <v xml:space="preserve"> </v>
      </c>
      <c r="H941" s="4" t="str">
        <f ca="1">IF(OR(INDEX($X$2:$X$1001,MATCH(ROWS($W$2:W941),$W$2:$W$1001,0),1)&gt;=100000,INDEX($AD$1005:$AU$1005,1,MATCH(COLUMNS($AD$1006:AJ1006),$AD$1006:$AU$1006,0))&gt;=100000), " ",IF(INDEX($AD$2:$AU$1001,MATCH(ROWS($W$2:W941),$W$2:$W$1001,0),MATCH(COLUMNS($AD$1006:AJ1006),$AD$1006:$AU$1006,0)), HYPERLINK("#",""), HYPERLINK(CONCATENATE("#metadata!", ADDRESS(INDEX($Y$2:$Y$1001,MATCH(ROWS($W$2:W941),$W$2:$W$1001,0),0), INDEX($AD$1004:$AU$1004,1,MATCH(COLUMNS($AD$1006:AJ1006),$AD$1006:$AU$1006,0)))),"Fix")))</f>
        <v xml:space="preserve"> </v>
      </c>
      <c r="I941" s="4" t="str">
        <f ca="1">IF(OR(INDEX($X$2:$X$1001,MATCH(ROWS($W$2:W941),$W$2:$W$1001,0),1)&gt;=100000,INDEX($AD$1005:$AU$1005,1,MATCH(COLUMNS($AD$1006:AK1006),$AD$1006:$AU$1006,0))&gt;=100000), " ",IF(INDEX($AD$2:$AU$1001,MATCH(ROWS($W$2:W941),$W$2:$W$1001,0),MATCH(COLUMNS($AD$1006:AK1006),$AD$1006:$AU$1006,0)), HYPERLINK("#",""), HYPERLINK(CONCATENATE("#metadata!", ADDRESS(INDEX($Y$2:$Y$1001,MATCH(ROWS($W$2:W941),$W$2:$W$1001,0),0), INDEX($AD$1004:$AU$1004,1,MATCH(COLUMNS($AD$1006:AK1006),$AD$1006:$AU$1006,0)))),"Fix")))</f>
        <v xml:space="preserve"> </v>
      </c>
      <c r="J941" s="4" t="str">
        <f ca="1">IF(OR(INDEX($X$2:$X$1001,MATCH(ROWS($W$2:W941),$W$2:$W$1001,0),1)&gt;=100000,INDEX($AD$1005:$AU$1005,1,MATCH(COLUMNS($AD$1006:AL1006),$AD$1006:$AU$1006,0))&gt;=100000), " ",IF(INDEX($AD$2:$AU$1001,MATCH(ROWS($W$2:W941),$W$2:$W$1001,0),MATCH(COLUMNS($AD$1006:AL1006),$AD$1006:$AU$1006,0)), HYPERLINK("#",""), HYPERLINK(CONCATENATE("#metadata!", ADDRESS(INDEX($Y$2:$Y$1001,MATCH(ROWS($W$2:W941),$W$2:$W$1001,0),0), INDEX($AD$1004:$AU$1004,1,MATCH(COLUMNS($AD$1006:AL1006),$AD$1006:$AU$1006,0)))),"Fix")))</f>
        <v xml:space="preserve"> </v>
      </c>
      <c r="K941" s="4" t="str">
        <f ca="1">IF(OR(INDEX($X$2:$X$1001,MATCH(ROWS($W$2:W941),$W$2:$W$1001,0),1)&gt;=100000,INDEX($AD$1005:$AU$1005,1,MATCH(COLUMNS($AD$1006:AM1006),$AD$1006:$AU$1006,0))&gt;=100000), " ",IF(INDEX($AD$2:$AU$1001,MATCH(ROWS($W$2:W941),$W$2:$W$1001,0),MATCH(COLUMNS($AD$1006:AM1006),$AD$1006:$AU$1006,0)), HYPERLINK("#",""), HYPERLINK(CONCATENATE("#metadata!", ADDRESS(INDEX($Y$2:$Y$1001,MATCH(ROWS($W$2:W941),$W$2:$W$1001,0),0), INDEX($AD$1004:$AU$1004,1,MATCH(COLUMNS($AD$1006:AM1006),$AD$1006:$AU$1006,0)))),"Fix")))</f>
        <v xml:space="preserve"> </v>
      </c>
      <c r="L941" s="4" t="str">
        <f ca="1">IF(OR(INDEX($X$2:$X$1001,MATCH(ROWS($W$2:W941),$W$2:$W$1001,0),1)&gt;=100000,INDEX($AD$1005:$AU$1005,1,MATCH(COLUMNS($AD$1006:AN1006),$AD$1006:$AU$1006,0))&gt;=100000), " ",IF(INDEX($AD$2:$AU$1001,MATCH(ROWS($W$2:W941),$W$2:$W$1001,0),MATCH(COLUMNS($AD$1006:AN1006),$AD$1006:$AU$1006,0)), HYPERLINK("#",""), HYPERLINK(CONCATENATE("#metadata!", ADDRESS(INDEX($Y$2:$Y$1001,MATCH(ROWS($W$2:W941),$W$2:$W$1001,0),0), INDEX($AD$1004:$AU$1004,1,MATCH(COLUMNS($AD$1006:AN1006),$AD$1006:$AU$1006,0)))),"Fix")))</f>
        <v xml:space="preserve"> </v>
      </c>
      <c r="M941" s="4" t="str">
        <f ca="1">IF(OR(INDEX($X$2:$X$1001,MATCH(ROWS($W$2:W941),$W$2:$W$1001,0),1)&gt;=100000,INDEX($AD$1005:$AU$1005,1,MATCH(COLUMNS($AD$1006:AO1006),$AD$1006:$AU$1006,0))&gt;=100000), " ",IF(INDEX($AD$2:$AU$1001,MATCH(ROWS($W$2:W941),$W$2:$W$1001,0),MATCH(COLUMNS($AD$1006:AO1006),$AD$1006:$AU$1006,0)), HYPERLINK("#",""), HYPERLINK(CONCATENATE("#metadata!", ADDRESS(INDEX($Y$2:$Y$1001,MATCH(ROWS($W$2:W941),$W$2:$W$1001,0),0), INDEX($AD$1004:$AU$1004,1,MATCH(COLUMNS($AD$1006:AO1006),$AD$1006:$AU$1006,0)))),"Fix")))</f>
        <v xml:space="preserve"> </v>
      </c>
      <c r="N941" s="4" t="str">
        <f ca="1">IF(OR(INDEX($X$2:$X$1001,MATCH(ROWS($W$2:W941),$W$2:$W$1001,0),1)&gt;=100000,INDEX($AD$1005:$AU$1005,1,MATCH(COLUMNS($AD$1006:AP1006),$AD$1006:$AU$1006,0))&gt;=100000), " ",IF(INDEX($AD$2:$AU$1001,MATCH(ROWS($W$2:W941),$W$2:$W$1001,0),MATCH(COLUMNS($AD$1006:AP1006),$AD$1006:$AU$1006,0)), HYPERLINK("#",""), HYPERLINK(CONCATENATE("#metadata!", ADDRESS(INDEX($Y$2:$Y$1001,MATCH(ROWS($W$2:W941),$W$2:$W$1001,0),0), INDEX($AD$1004:$AU$1004,1,MATCH(COLUMNS($AD$1006:AP1006),$AD$1006:$AU$1006,0)))),"Fix")))</f>
        <v xml:space="preserve"> </v>
      </c>
      <c r="O941" s="4" t="str">
        <f ca="1">IF(OR(INDEX($X$2:$X$1001,MATCH(ROWS($W$2:W941),$W$2:$W$1001,0),1)&gt;=100000,INDEX($AD$1005:$AU$1005,1,MATCH(COLUMNS($AD$1006:AQ1006),$AD$1006:$AU$1006,0))&gt;=100000), " ",IF(INDEX($AD$2:$AU$1001,MATCH(ROWS($W$2:W941),$W$2:$W$1001,0),MATCH(COLUMNS($AD$1006:AQ1006),$AD$1006:$AU$1006,0)), HYPERLINK("#",""), HYPERLINK(CONCATENATE("#metadata!", ADDRESS(INDEX($Y$2:$Y$1001,MATCH(ROWS($W$2:W941),$W$2:$W$1001,0),0), INDEX($AD$1004:$AU$1004,1,MATCH(COLUMNS($AD$1006:AQ1006),$AD$1006:$AU$1006,0)))),"Fix")))</f>
        <v xml:space="preserve"> </v>
      </c>
      <c r="P941" s="4" t="str">
        <f ca="1">IF(OR(INDEX($X$2:$X$1001,MATCH(ROWS($W$2:W941),$W$2:$W$1001,0),1)&gt;=100000,INDEX($AD$1005:$AU$1005,1,MATCH(COLUMNS($AD$1006:AR1006),$AD$1006:$AU$1006,0))&gt;=100000), " ",IF(INDEX($AD$2:$AU$1001,MATCH(ROWS($W$2:W941),$W$2:$W$1001,0),MATCH(COLUMNS($AD$1006:AR1006),$AD$1006:$AU$1006,0)), HYPERLINK("#",""), HYPERLINK(CONCATENATE("#metadata!", ADDRESS(INDEX($Y$2:$Y$1001,MATCH(ROWS($W$2:W941),$W$2:$W$1001,0),0), INDEX($AD$1004:$AU$1004,1,MATCH(COLUMNS($AD$1006:AR1006),$AD$1006:$AU$1006,0)))),"Fix")))</f>
        <v xml:space="preserve"> </v>
      </c>
      <c r="Q941" s="4" t="str">
        <f ca="1">IF(OR(INDEX($X$2:$X$1001,MATCH(ROWS($W$2:W941),$W$2:$W$1001,0),1)&gt;=100000,INDEX($AD$1005:$AU$1005,1,MATCH(COLUMNS($AD$1006:AS1006),$AD$1006:$AU$1006,0))&gt;=100000), " ",IF(INDEX($AD$2:$AU$1001,MATCH(ROWS($W$2:W941),$W$2:$W$1001,0),MATCH(COLUMNS($AD$1006:AS1006),$AD$1006:$AU$1006,0)), HYPERLINK("#",""), HYPERLINK(CONCATENATE("#metadata!", ADDRESS(INDEX($Y$2:$Y$1001,MATCH(ROWS($W$2:W941),$W$2:$W$1001,0),0), INDEX($AD$1004:$AU$1004,1,MATCH(COLUMNS($AD$1006:AS1006),$AD$1006:$AU$1006,0)))),"Fix")))</f>
        <v xml:space="preserve"> </v>
      </c>
      <c r="R941" s="4" t="str">
        <f ca="1">IF(OR(INDEX($X$2:$X$1001,MATCH(ROWS($W$2:W941),$W$2:$W$1001,0),1)&gt;=100000,INDEX($AD$1005:$AU$1005,1,MATCH(COLUMNS($AD$1006:AT1006),$AD$1006:$AU$1006,0))&gt;=100000), " ",IF(INDEX($AD$2:$AU$1001,MATCH(ROWS($W$2:W941),$W$2:$W$1001,0),MATCH(COLUMNS($AD$1006:AT1006),$AD$1006:$AU$1006,0)), HYPERLINK("#",""), HYPERLINK(CONCATENATE("#metadata!", ADDRESS(INDEX($Y$2:$Y$1001,MATCH(ROWS($W$2:W941),$W$2:$W$1001,0),0), INDEX($AD$1004:$AU$1004,1,MATCH(COLUMNS($AD$1006:AT1006),$AD$1006:$AU$1006,0)))),"Fix")))</f>
        <v xml:space="preserve"> </v>
      </c>
      <c r="S941" s="4" t="str">
        <f ca="1">IF(OR(INDEX($X$2:$X$1001,MATCH(ROWS($W$2:W941),$W$2:$W$1001,0),1)&gt;=100000,INDEX($AD$1005:$AU$1005,1,MATCH(COLUMNS($AD$1006:AU1006),$AD$1006:$AU$1006,0))&gt;=100000), " ",IF(INDEX($AD$2:$AU$1001,MATCH(ROWS($W$2:W941),$W$2:$W$1001,0),MATCH(COLUMNS($AD$1006:AU1006),$AD$1006:$AU$1006,0)), HYPERLINK("#",""), HYPERLINK(CONCATENATE("#metadata!", ADDRESS(INDEX($Y$2:$Y$1001,MATCH(ROWS($W$2:W941),$W$2:$W$1001,0),0), INDEX($AD$1004:$AU$1004,1,MATCH(COLUMNS($AD$1006:AU1006),$AD$1006:$AU$1006,0)))),"Fix")))</f>
        <v xml:space="preserve"> </v>
      </c>
      <c r="W941">
        <v>940</v>
      </c>
      <c r="X941">
        <v>100941</v>
      </c>
      <c r="Y941">
        <v>941</v>
      </c>
      <c r="Z941" t="b">
        <f t="shared" si="14"/>
        <v>1</v>
      </c>
      <c r="AA941" t="b">
        <f>COUNTBLANK(metadata!B941:S941)=COLUMNS(metadata!B941:S941)</f>
        <v>1</v>
      </c>
      <c r="AB941" t="str">
        <v/>
      </c>
      <c r="AD941" t="b">
        <f ca="1">AND(IF(metadata!B941="",FALSE,TRUE),COUNTIF(metadata!B:B, metadata!B941) = 1,NOT(ISERROR(SUMPRODUCT(SEARCH(MID(metadata!B941,ROW(INDIRECT("1:"&amp;LEN(metadata!B941))), 1),"0123456789abcdefghijklmnopqrstuvwxyzABCDEFGHIJKLMNOPQRSTUVWXYZ.")))))</f>
        <v>0</v>
      </c>
      <c r="AE941" t="b">
        <f>OR(AND(IF(metadata!C941="",FALSE,TRUE),OR(EXACT(metadata!C941,"not applicable"),EXACT(metadata!C941,"missing: not collected"),EXACT(metadata!C941,"missing: not provided"),EXACT(metadata!C941,"missing: restricted access"))),AND(IF(metadata!C941="",FALSE,ISNUMBER(VALUE(metadata!C941))),metadata!C941&gt;0))</f>
        <v>0</v>
      </c>
      <c r="AF941" t="b">
        <f>AND(IF(metadata!D941="",FALSE,TRUE),EXACT(metadata!D941,"missing: not provided"))</f>
        <v>0</v>
      </c>
      <c r="AG941" t="b">
        <f>AND(IF(metadata!E941="",FALSE,TRUE),EXACT(metadata!E941,"Host-associated"))</f>
        <v>0</v>
      </c>
      <c r="AH941" t="b">
        <f>AND(IF(metadata!F941="",FALSE,TRUE),OR(EXACT(metadata!F941,"Animal"),EXACT(metadata!F941,"Fungus"),EXACT(metadata!F941,"Plant")))</f>
        <v>0</v>
      </c>
      <c r="AI941" t="b">
        <f>AND(IF(metadata!G941="",FALSE,TRUE),OR(EXACT(metadata!G941,"Plant secretion"),EXACT(metadata!G941,"Plant rhizosphere"),EXACT(metadata!G941,"Plant surface"),EXACT(metadata!G941,"Plant corpus"),EXACT(metadata!G941,"Fungus surface"),EXACT(metadata!G941,"Fungus corpus"),EXACT(metadata!G941,"Animal surface"),EXACT(metadata!G941,"Animal proximal gut"),EXACT(metadata!G941,"Animal corpus"),EXACT(metadata!G941,"Animal distal gut"),EXACT(metadata!G941,"Animal secretion")))</f>
        <v>0</v>
      </c>
      <c r="AJ941" t="b">
        <f>OR(AND(IF(metadata!H941="",FALSE,TRUE),OR(EXACT(metadata!H941,"missing: not collected"),EXACT(metadata!H941,"missing: not provided"),EXACT(metadata!H941,"missing: restricted access"))),AND(IF(metadata!H941="",FALSE,TRUE),OR(EXACT(metadata!H941,"organism-associated habitat"),EXACT(metadata!H941,"plant-associated habitat"),EXACT(metadata!H941,"animal-associated habitat"),EXACT(metadata!H941,"insecta-associated habitat"),EXACT(metadata!H941,"mammalia-associated habitat"),EXACT(metadata!H941,"human-associated habitat"),EXACT(metadata!H941,"livestock-associated habitat"))))</f>
        <v>0</v>
      </c>
      <c r="AK941" t="b">
        <f>AND(IF(metadata!I941="",FALSE,TRUE),EXACT(metadata!I941,"host-associated"))</f>
        <v>0</v>
      </c>
      <c r="AL941" t="b">
        <f>OR(AND(IF(metadata!J941="",FALSE,TRUE),OR(EXACT(metadata!J941,"not applicable"),EXACT(metadata!J941,"missing: not collected"),EXACT(metadata!J941,"missing: not provided"),EXACT(metadata!J941,"missing: restricted access"))),AND(IF(metadata!J941="",FALSE,ISNUMBER(VALUE(metadata!J941))),metadata!J941&gt;0))</f>
        <v>0</v>
      </c>
      <c r="AM941" t="b">
        <f>AND(IF(metadata!K941="",FALSE,TRUE),EXACT(metadata!K941,"missing: not provided"))</f>
        <v>0</v>
      </c>
      <c r="AN941" t="b">
        <f>IF(metadata!L941="",FALSE,TRUE)</f>
        <v>0</v>
      </c>
      <c r="AO941" t="b">
        <f>IF(metadata!M941="",FALSE,TRUE)</f>
        <v>0</v>
      </c>
      <c r="AP941" t="b">
        <f>OR(AND(IF(metadata!N941="",FALSE,TRUE),OR(EXACT(metadata!N941,"not applicable"),EXACT(metadata!N941,"missing: not collected"),EXACT(metadata!N941,"missing: not provided"))),AND(IF(metadata!N941="",FALSE,IF(ISERROR(INT(metadata!N941)),FALSE,INT(metadata!N941)=metadata!N941)),metadata!N941&gt;0))</f>
        <v>0</v>
      </c>
      <c r="AQ941" t="b">
        <f>AND(IF(metadata!O941="",FALSE,TRUE),EXACT(metadata!O941,"Not applicable"))</f>
        <v>0</v>
      </c>
      <c r="AR941" t="b">
        <f>OR(AND(IF(metadata!P941="",FALSE,TRUE),OR(EXACT(metadata!P941,"not applicable"),EXACT(metadata!P941,"missing: not collected"),EXACT(metadata!P941,"missing: not provided"),EXACT(metadata!P941,"missing: restricted access"))),IF(metadata!P941="",FALSE,IF(ISERROR(INT(metadata!P941)),FALSE,INT(metadata!P941)=metadata!P941)))</f>
        <v>0</v>
      </c>
      <c r="AS941" t="b">
        <f>AND(IF(metadata!Q941="",FALSE,TRUE),EXACT(metadata!Q941,"Not applicable"))</f>
        <v>0</v>
      </c>
      <c r="AT941" t="b">
        <f>OR(AND(IF(metadata!R941="",FALSE,TRUE),OR(EXACT(metadata!R941,"not applicable"),EXACT(metadata!R941,"missing: not collected"),EXACT(metadata!R941,"missing: not provided"),EXACT(metadata!R941,"missing: restricted access"))),AND(IF(metadata!R941="",FALSE,ISNUMBER(VALUE(metadata!R941))),metadata!R941&gt;0))</f>
        <v>0</v>
      </c>
      <c r="AU941" t="b">
        <f>AND(IF(metadata!S941="",FALSE,TRUE),EXACT(metadata!S941,"missing: not provided"))</f>
        <v>0</v>
      </c>
    </row>
    <row r="942" spans="1:47" x14ac:dyDescent="0.2">
      <c r="A942" s="5" t="str">
        <f ca="1">IF(B942=" "," ",HYPERLINK(CONCATENATE("#metadata!",ADDRESS(INDEX($Y$2:$Y$1001,MATCH(ROWS($W$2:W942),$W$2:$W$1001,0),0),1)),INDEX($AB$2:$AB$1001,MATCH(ROWS($W$2:W942),$W$2:$W$1001,0),0)))</f>
        <v xml:space="preserve"> </v>
      </c>
      <c r="B942" s="4" t="str">
        <f ca="1">IF(OR(INDEX($X$2:$X$1001,MATCH(ROWS($W$2:W942),$W$2:$W$1001,0),1)&gt;=100000,INDEX($AD$1005:$AU$1005,1,MATCH(COLUMNS($AD$1006:AD1006),$AD$1006:$AU$1006,0))&gt;=100000), " ",IF(INDEX($AD$2:$AU$1001,MATCH(ROWS($W$2:W942),$W$2:$W$1001,0),MATCH(COLUMNS($AD$1006:AD1006),$AD$1006:$AU$1006,0)), HYPERLINK("#",""), HYPERLINK(CONCATENATE("#metadata!", ADDRESS(INDEX($Y$2:$Y$1001,MATCH(ROWS($W$2:W942),$W$2:$W$1001,0),0), INDEX($AD$1004:$AU$1004,1,MATCH(COLUMNS($AD$1006:AD1006),$AD$1006:$AU$1006,0)))),"Fix")))</f>
        <v xml:space="preserve"> </v>
      </c>
      <c r="C942" s="4" t="str">
        <f ca="1">IF(OR(INDEX($X$2:$X$1001,MATCH(ROWS($W$2:W942),$W$2:$W$1001,0),1)&gt;=100000,INDEX($AD$1005:$AU$1005,1,MATCH(COLUMNS($AD$1006:AE1006),$AD$1006:$AU$1006,0))&gt;=100000), " ",IF(INDEX($AD$2:$AU$1001,MATCH(ROWS($W$2:W942),$W$2:$W$1001,0),MATCH(COLUMNS($AD$1006:AE1006),$AD$1006:$AU$1006,0)), HYPERLINK("#",""), HYPERLINK(CONCATENATE("#metadata!", ADDRESS(INDEX($Y$2:$Y$1001,MATCH(ROWS($W$2:W942),$W$2:$W$1001,0),0), INDEX($AD$1004:$AU$1004,1,MATCH(COLUMNS($AD$1006:AE1006),$AD$1006:$AU$1006,0)))),"Fix")))</f>
        <v xml:space="preserve"> </v>
      </c>
      <c r="D942" s="4" t="str">
        <f ca="1">IF(OR(INDEX($X$2:$X$1001,MATCH(ROWS($W$2:W942),$W$2:$W$1001,0),1)&gt;=100000,INDEX($AD$1005:$AU$1005,1,MATCH(COLUMNS($AD$1006:AF1006),$AD$1006:$AU$1006,0))&gt;=100000), " ",IF(INDEX($AD$2:$AU$1001,MATCH(ROWS($W$2:W942),$W$2:$W$1001,0),MATCH(COLUMNS($AD$1006:AF1006),$AD$1006:$AU$1006,0)), HYPERLINK("#",""), HYPERLINK(CONCATENATE("#metadata!", ADDRESS(INDEX($Y$2:$Y$1001,MATCH(ROWS($W$2:W942),$W$2:$W$1001,0),0), INDEX($AD$1004:$AU$1004,1,MATCH(COLUMNS($AD$1006:AF1006),$AD$1006:$AU$1006,0)))),"Fix")))</f>
        <v xml:space="preserve"> </v>
      </c>
      <c r="E942" s="4" t="str">
        <f ca="1">IF(OR(INDEX($X$2:$X$1001,MATCH(ROWS($W$2:W942),$W$2:$W$1001,0),1)&gt;=100000,INDEX($AD$1005:$AU$1005,1,MATCH(COLUMNS($AD$1006:AG1006),$AD$1006:$AU$1006,0))&gt;=100000), " ",IF(INDEX($AD$2:$AU$1001,MATCH(ROWS($W$2:W942),$W$2:$W$1001,0),MATCH(COLUMNS($AD$1006:AG1006),$AD$1006:$AU$1006,0)), HYPERLINK("#",""), HYPERLINK(CONCATENATE("#metadata!", ADDRESS(INDEX($Y$2:$Y$1001,MATCH(ROWS($W$2:W942),$W$2:$W$1001,0),0), INDEX($AD$1004:$AU$1004,1,MATCH(COLUMNS($AD$1006:AG1006),$AD$1006:$AU$1006,0)))),"Fix")))</f>
        <v xml:space="preserve"> </v>
      </c>
      <c r="F942" s="4" t="str">
        <f ca="1">IF(OR(INDEX($X$2:$X$1001,MATCH(ROWS($W$2:W942),$W$2:$W$1001,0),1)&gt;=100000,INDEX($AD$1005:$AU$1005,1,MATCH(COLUMNS($AD$1006:AH1006),$AD$1006:$AU$1006,0))&gt;=100000), " ",IF(INDEX($AD$2:$AU$1001,MATCH(ROWS($W$2:W942),$W$2:$W$1001,0),MATCH(COLUMNS($AD$1006:AH1006),$AD$1006:$AU$1006,0)), HYPERLINK("#",""), HYPERLINK(CONCATENATE("#metadata!", ADDRESS(INDEX($Y$2:$Y$1001,MATCH(ROWS($W$2:W942),$W$2:$W$1001,0),0), INDEX($AD$1004:$AU$1004,1,MATCH(COLUMNS($AD$1006:AH1006),$AD$1006:$AU$1006,0)))),"Fix")))</f>
        <v xml:space="preserve"> </v>
      </c>
      <c r="G942" s="4" t="str">
        <f ca="1">IF(OR(INDEX($X$2:$X$1001,MATCH(ROWS($W$2:W942),$W$2:$W$1001,0),1)&gt;=100000,INDEX($AD$1005:$AU$1005,1,MATCH(COLUMNS($AD$1006:AI1006),$AD$1006:$AU$1006,0))&gt;=100000), " ",IF(INDEX($AD$2:$AU$1001,MATCH(ROWS($W$2:W942),$W$2:$W$1001,0),MATCH(COLUMNS($AD$1006:AI1006),$AD$1006:$AU$1006,0)), HYPERLINK("#",""), HYPERLINK(CONCATENATE("#metadata!", ADDRESS(INDEX($Y$2:$Y$1001,MATCH(ROWS($W$2:W942),$W$2:$W$1001,0),0), INDEX($AD$1004:$AU$1004,1,MATCH(COLUMNS($AD$1006:AI1006),$AD$1006:$AU$1006,0)))),"Fix")))</f>
        <v xml:space="preserve"> </v>
      </c>
      <c r="H942" s="4" t="str">
        <f ca="1">IF(OR(INDEX($X$2:$X$1001,MATCH(ROWS($W$2:W942),$W$2:$W$1001,0),1)&gt;=100000,INDEX($AD$1005:$AU$1005,1,MATCH(COLUMNS($AD$1006:AJ1006),$AD$1006:$AU$1006,0))&gt;=100000), " ",IF(INDEX($AD$2:$AU$1001,MATCH(ROWS($W$2:W942),$W$2:$W$1001,0),MATCH(COLUMNS($AD$1006:AJ1006),$AD$1006:$AU$1006,0)), HYPERLINK("#",""), HYPERLINK(CONCATENATE("#metadata!", ADDRESS(INDEX($Y$2:$Y$1001,MATCH(ROWS($W$2:W942),$W$2:$W$1001,0),0), INDEX($AD$1004:$AU$1004,1,MATCH(COLUMNS($AD$1006:AJ1006),$AD$1006:$AU$1006,0)))),"Fix")))</f>
        <v xml:space="preserve"> </v>
      </c>
      <c r="I942" s="4" t="str">
        <f ca="1">IF(OR(INDEX($X$2:$X$1001,MATCH(ROWS($W$2:W942),$W$2:$W$1001,0),1)&gt;=100000,INDEX($AD$1005:$AU$1005,1,MATCH(COLUMNS($AD$1006:AK1006),$AD$1006:$AU$1006,0))&gt;=100000), " ",IF(INDEX($AD$2:$AU$1001,MATCH(ROWS($W$2:W942),$W$2:$W$1001,0),MATCH(COLUMNS($AD$1006:AK1006),$AD$1006:$AU$1006,0)), HYPERLINK("#",""), HYPERLINK(CONCATENATE("#metadata!", ADDRESS(INDEX($Y$2:$Y$1001,MATCH(ROWS($W$2:W942),$W$2:$W$1001,0),0), INDEX($AD$1004:$AU$1004,1,MATCH(COLUMNS($AD$1006:AK1006),$AD$1006:$AU$1006,0)))),"Fix")))</f>
        <v xml:space="preserve"> </v>
      </c>
      <c r="J942" s="4" t="str">
        <f ca="1">IF(OR(INDEX($X$2:$X$1001,MATCH(ROWS($W$2:W942),$W$2:$W$1001,0),1)&gt;=100000,INDEX($AD$1005:$AU$1005,1,MATCH(COLUMNS($AD$1006:AL1006),$AD$1006:$AU$1006,0))&gt;=100000), " ",IF(INDEX($AD$2:$AU$1001,MATCH(ROWS($W$2:W942),$W$2:$W$1001,0),MATCH(COLUMNS($AD$1006:AL1006),$AD$1006:$AU$1006,0)), HYPERLINK("#",""), HYPERLINK(CONCATENATE("#metadata!", ADDRESS(INDEX($Y$2:$Y$1001,MATCH(ROWS($W$2:W942),$W$2:$W$1001,0),0), INDEX($AD$1004:$AU$1004,1,MATCH(COLUMNS($AD$1006:AL1006),$AD$1006:$AU$1006,0)))),"Fix")))</f>
        <v xml:space="preserve"> </v>
      </c>
      <c r="K942" s="4" t="str">
        <f ca="1">IF(OR(INDEX($X$2:$X$1001,MATCH(ROWS($W$2:W942),$W$2:$W$1001,0),1)&gt;=100000,INDEX($AD$1005:$AU$1005,1,MATCH(COLUMNS($AD$1006:AM1006),$AD$1006:$AU$1006,0))&gt;=100000), " ",IF(INDEX($AD$2:$AU$1001,MATCH(ROWS($W$2:W942),$W$2:$W$1001,0),MATCH(COLUMNS($AD$1006:AM1006),$AD$1006:$AU$1006,0)), HYPERLINK("#",""), HYPERLINK(CONCATENATE("#metadata!", ADDRESS(INDEX($Y$2:$Y$1001,MATCH(ROWS($W$2:W942),$W$2:$W$1001,0),0), INDEX($AD$1004:$AU$1004,1,MATCH(COLUMNS($AD$1006:AM1006),$AD$1006:$AU$1006,0)))),"Fix")))</f>
        <v xml:space="preserve"> </v>
      </c>
      <c r="L942" s="4" t="str">
        <f ca="1">IF(OR(INDEX($X$2:$X$1001,MATCH(ROWS($W$2:W942),$W$2:$W$1001,0),1)&gt;=100000,INDEX($AD$1005:$AU$1005,1,MATCH(COLUMNS($AD$1006:AN1006),$AD$1006:$AU$1006,0))&gt;=100000), " ",IF(INDEX($AD$2:$AU$1001,MATCH(ROWS($W$2:W942),$W$2:$W$1001,0),MATCH(COLUMNS($AD$1006:AN1006),$AD$1006:$AU$1006,0)), HYPERLINK("#",""), HYPERLINK(CONCATENATE("#metadata!", ADDRESS(INDEX($Y$2:$Y$1001,MATCH(ROWS($W$2:W942),$W$2:$W$1001,0),0), INDEX($AD$1004:$AU$1004,1,MATCH(COLUMNS($AD$1006:AN1006),$AD$1006:$AU$1006,0)))),"Fix")))</f>
        <v xml:space="preserve"> </v>
      </c>
      <c r="M942" s="4" t="str">
        <f ca="1">IF(OR(INDEX($X$2:$X$1001,MATCH(ROWS($W$2:W942),$W$2:$W$1001,0),1)&gt;=100000,INDEX($AD$1005:$AU$1005,1,MATCH(COLUMNS($AD$1006:AO1006),$AD$1006:$AU$1006,0))&gt;=100000), " ",IF(INDEX($AD$2:$AU$1001,MATCH(ROWS($W$2:W942),$W$2:$W$1001,0),MATCH(COLUMNS($AD$1006:AO1006),$AD$1006:$AU$1006,0)), HYPERLINK("#",""), HYPERLINK(CONCATENATE("#metadata!", ADDRESS(INDEX($Y$2:$Y$1001,MATCH(ROWS($W$2:W942),$W$2:$W$1001,0),0), INDEX($AD$1004:$AU$1004,1,MATCH(COLUMNS($AD$1006:AO1006),$AD$1006:$AU$1006,0)))),"Fix")))</f>
        <v xml:space="preserve"> </v>
      </c>
      <c r="N942" s="4" t="str">
        <f ca="1">IF(OR(INDEX($X$2:$X$1001,MATCH(ROWS($W$2:W942),$W$2:$W$1001,0),1)&gt;=100000,INDEX($AD$1005:$AU$1005,1,MATCH(COLUMNS($AD$1006:AP1006),$AD$1006:$AU$1006,0))&gt;=100000), " ",IF(INDEX($AD$2:$AU$1001,MATCH(ROWS($W$2:W942),$W$2:$W$1001,0),MATCH(COLUMNS($AD$1006:AP1006),$AD$1006:$AU$1006,0)), HYPERLINK("#",""), HYPERLINK(CONCATENATE("#metadata!", ADDRESS(INDEX($Y$2:$Y$1001,MATCH(ROWS($W$2:W942),$W$2:$W$1001,0),0), INDEX($AD$1004:$AU$1004,1,MATCH(COLUMNS($AD$1006:AP1006),$AD$1006:$AU$1006,0)))),"Fix")))</f>
        <v xml:space="preserve"> </v>
      </c>
      <c r="O942" s="4" t="str">
        <f ca="1">IF(OR(INDEX($X$2:$X$1001,MATCH(ROWS($W$2:W942),$W$2:$W$1001,0),1)&gt;=100000,INDEX($AD$1005:$AU$1005,1,MATCH(COLUMNS($AD$1006:AQ1006),$AD$1006:$AU$1006,0))&gt;=100000), " ",IF(INDEX($AD$2:$AU$1001,MATCH(ROWS($W$2:W942),$W$2:$W$1001,0),MATCH(COLUMNS($AD$1006:AQ1006),$AD$1006:$AU$1006,0)), HYPERLINK("#",""), HYPERLINK(CONCATENATE("#metadata!", ADDRESS(INDEX($Y$2:$Y$1001,MATCH(ROWS($W$2:W942),$W$2:$W$1001,0),0), INDEX($AD$1004:$AU$1004,1,MATCH(COLUMNS($AD$1006:AQ1006),$AD$1006:$AU$1006,0)))),"Fix")))</f>
        <v xml:space="preserve"> </v>
      </c>
      <c r="P942" s="4" t="str">
        <f ca="1">IF(OR(INDEX($X$2:$X$1001,MATCH(ROWS($W$2:W942),$W$2:$W$1001,0),1)&gt;=100000,INDEX($AD$1005:$AU$1005,1,MATCH(COLUMNS($AD$1006:AR1006),$AD$1006:$AU$1006,0))&gt;=100000), " ",IF(INDEX($AD$2:$AU$1001,MATCH(ROWS($W$2:W942),$W$2:$W$1001,0),MATCH(COLUMNS($AD$1006:AR1006),$AD$1006:$AU$1006,0)), HYPERLINK("#",""), HYPERLINK(CONCATENATE("#metadata!", ADDRESS(INDEX($Y$2:$Y$1001,MATCH(ROWS($W$2:W942),$W$2:$W$1001,0),0), INDEX($AD$1004:$AU$1004,1,MATCH(COLUMNS($AD$1006:AR1006),$AD$1006:$AU$1006,0)))),"Fix")))</f>
        <v xml:space="preserve"> </v>
      </c>
      <c r="Q942" s="4" t="str">
        <f ca="1">IF(OR(INDEX($X$2:$X$1001,MATCH(ROWS($W$2:W942),$W$2:$W$1001,0),1)&gt;=100000,INDEX($AD$1005:$AU$1005,1,MATCH(COLUMNS($AD$1006:AS1006),$AD$1006:$AU$1006,0))&gt;=100000), " ",IF(INDEX($AD$2:$AU$1001,MATCH(ROWS($W$2:W942),$W$2:$W$1001,0),MATCH(COLUMNS($AD$1006:AS1006),$AD$1006:$AU$1006,0)), HYPERLINK("#",""), HYPERLINK(CONCATENATE("#metadata!", ADDRESS(INDEX($Y$2:$Y$1001,MATCH(ROWS($W$2:W942),$W$2:$W$1001,0),0), INDEX($AD$1004:$AU$1004,1,MATCH(COLUMNS($AD$1006:AS1006),$AD$1006:$AU$1006,0)))),"Fix")))</f>
        <v xml:space="preserve"> </v>
      </c>
      <c r="R942" s="4" t="str">
        <f ca="1">IF(OR(INDEX($X$2:$X$1001,MATCH(ROWS($W$2:W942),$W$2:$W$1001,0),1)&gt;=100000,INDEX($AD$1005:$AU$1005,1,MATCH(COLUMNS($AD$1006:AT1006),$AD$1006:$AU$1006,0))&gt;=100000), " ",IF(INDEX($AD$2:$AU$1001,MATCH(ROWS($W$2:W942),$W$2:$W$1001,0),MATCH(COLUMNS($AD$1006:AT1006),$AD$1006:$AU$1006,0)), HYPERLINK("#",""), HYPERLINK(CONCATENATE("#metadata!", ADDRESS(INDEX($Y$2:$Y$1001,MATCH(ROWS($W$2:W942),$W$2:$W$1001,0),0), INDEX($AD$1004:$AU$1004,1,MATCH(COLUMNS($AD$1006:AT1006),$AD$1006:$AU$1006,0)))),"Fix")))</f>
        <v xml:space="preserve"> </v>
      </c>
      <c r="S942" s="4" t="str">
        <f ca="1">IF(OR(INDEX($X$2:$X$1001,MATCH(ROWS($W$2:W942),$W$2:$W$1001,0),1)&gt;=100000,INDEX($AD$1005:$AU$1005,1,MATCH(COLUMNS($AD$1006:AU1006),$AD$1006:$AU$1006,0))&gt;=100000), " ",IF(INDEX($AD$2:$AU$1001,MATCH(ROWS($W$2:W942),$W$2:$W$1001,0),MATCH(COLUMNS($AD$1006:AU1006),$AD$1006:$AU$1006,0)), HYPERLINK("#",""), HYPERLINK(CONCATENATE("#metadata!", ADDRESS(INDEX($Y$2:$Y$1001,MATCH(ROWS($W$2:W942),$W$2:$W$1001,0),0), INDEX($AD$1004:$AU$1004,1,MATCH(COLUMNS($AD$1006:AU1006),$AD$1006:$AU$1006,0)))),"Fix")))</f>
        <v xml:space="preserve"> </v>
      </c>
      <c r="W942">
        <v>941</v>
      </c>
      <c r="X942">
        <v>100942</v>
      </c>
      <c r="Y942">
        <v>942</v>
      </c>
      <c r="Z942" t="b">
        <f t="shared" si="14"/>
        <v>1</v>
      </c>
      <c r="AA942" t="b">
        <f>COUNTBLANK(metadata!B942:S942)=COLUMNS(metadata!B942:S942)</f>
        <v>1</v>
      </c>
      <c r="AB942" t="str">
        <v/>
      </c>
      <c r="AD942" t="b">
        <f ca="1">AND(IF(metadata!B942="",FALSE,TRUE),COUNTIF(metadata!B:B, metadata!B942) = 1,NOT(ISERROR(SUMPRODUCT(SEARCH(MID(metadata!B942,ROW(INDIRECT("1:"&amp;LEN(metadata!B942))), 1),"0123456789abcdefghijklmnopqrstuvwxyzABCDEFGHIJKLMNOPQRSTUVWXYZ.")))))</f>
        <v>0</v>
      </c>
      <c r="AE942" t="b">
        <f>OR(AND(IF(metadata!C942="",FALSE,TRUE),OR(EXACT(metadata!C942,"not applicable"),EXACT(metadata!C942,"missing: not collected"),EXACT(metadata!C942,"missing: not provided"),EXACT(metadata!C942,"missing: restricted access"))),AND(IF(metadata!C942="",FALSE,ISNUMBER(VALUE(metadata!C942))),metadata!C942&gt;0))</f>
        <v>0</v>
      </c>
      <c r="AF942" t="b">
        <f>AND(IF(metadata!D942="",FALSE,TRUE),EXACT(metadata!D942,"missing: not provided"))</f>
        <v>0</v>
      </c>
      <c r="AG942" t="b">
        <f>AND(IF(metadata!E942="",FALSE,TRUE),EXACT(metadata!E942,"Host-associated"))</f>
        <v>0</v>
      </c>
      <c r="AH942" t="b">
        <f>AND(IF(metadata!F942="",FALSE,TRUE),OR(EXACT(metadata!F942,"Animal"),EXACT(metadata!F942,"Fungus"),EXACT(metadata!F942,"Plant")))</f>
        <v>0</v>
      </c>
      <c r="AI942" t="b">
        <f>AND(IF(metadata!G942="",FALSE,TRUE),OR(EXACT(metadata!G942,"Plant secretion"),EXACT(metadata!G942,"Plant rhizosphere"),EXACT(metadata!G942,"Plant surface"),EXACT(metadata!G942,"Plant corpus"),EXACT(metadata!G942,"Fungus surface"),EXACT(metadata!G942,"Fungus corpus"),EXACT(metadata!G942,"Animal surface"),EXACT(metadata!G942,"Animal proximal gut"),EXACT(metadata!G942,"Animal corpus"),EXACT(metadata!G942,"Animal distal gut"),EXACT(metadata!G942,"Animal secretion")))</f>
        <v>0</v>
      </c>
      <c r="AJ942" t="b">
        <f>OR(AND(IF(metadata!H942="",FALSE,TRUE),OR(EXACT(metadata!H942,"missing: not collected"),EXACT(metadata!H942,"missing: not provided"),EXACT(metadata!H942,"missing: restricted access"))),AND(IF(metadata!H942="",FALSE,TRUE),OR(EXACT(metadata!H942,"organism-associated habitat"),EXACT(metadata!H942,"plant-associated habitat"),EXACT(metadata!H942,"animal-associated habitat"),EXACT(metadata!H942,"insecta-associated habitat"),EXACT(metadata!H942,"mammalia-associated habitat"),EXACT(metadata!H942,"human-associated habitat"),EXACT(metadata!H942,"livestock-associated habitat"))))</f>
        <v>0</v>
      </c>
      <c r="AK942" t="b">
        <f>AND(IF(metadata!I942="",FALSE,TRUE),EXACT(metadata!I942,"host-associated"))</f>
        <v>0</v>
      </c>
      <c r="AL942" t="b">
        <f>OR(AND(IF(metadata!J942="",FALSE,TRUE),OR(EXACT(metadata!J942,"not applicable"),EXACT(metadata!J942,"missing: not collected"),EXACT(metadata!J942,"missing: not provided"),EXACT(metadata!J942,"missing: restricted access"))),AND(IF(metadata!J942="",FALSE,ISNUMBER(VALUE(metadata!J942))),metadata!J942&gt;0))</f>
        <v>0</v>
      </c>
      <c r="AM942" t="b">
        <f>AND(IF(metadata!K942="",FALSE,TRUE),EXACT(metadata!K942,"missing: not provided"))</f>
        <v>0</v>
      </c>
      <c r="AN942" t="b">
        <f>IF(metadata!L942="",FALSE,TRUE)</f>
        <v>0</v>
      </c>
      <c r="AO942" t="b">
        <f>IF(metadata!M942="",FALSE,TRUE)</f>
        <v>0</v>
      </c>
      <c r="AP942" t="b">
        <f>OR(AND(IF(metadata!N942="",FALSE,TRUE),OR(EXACT(metadata!N942,"not applicable"),EXACT(metadata!N942,"missing: not collected"),EXACT(metadata!N942,"missing: not provided"))),AND(IF(metadata!N942="",FALSE,IF(ISERROR(INT(metadata!N942)),FALSE,INT(metadata!N942)=metadata!N942)),metadata!N942&gt;0))</f>
        <v>0</v>
      </c>
      <c r="AQ942" t="b">
        <f>AND(IF(metadata!O942="",FALSE,TRUE),EXACT(metadata!O942,"Not applicable"))</f>
        <v>0</v>
      </c>
      <c r="AR942" t="b">
        <f>OR(AND(IF(metadata!P942="",FALSE,TRUE),OR(EXACT(metadata!P942,"not applicable"),EXACT(metadata!P942,"missing: not collected"),EXACT(metadata!P942,"missing: not provided"),EXACT(metadata!P942,"missing: restricted access"))),IF(metadata!P942="",FALSE,IF(ISERROR(INT(metadata!P942)),FALSE,INT(metadata!P942)=metadata!P942)))</f>
        <v>0</v>
      </c>
      <c r="AS942" t="b">
        <f>AND(IF(metadata!Q942="",FALSE,TRUE),EXACT(metadata!Q942,"Not applicable"))</f>
        <v>0</v>
      </c>
      <c r="AT942" t="b">
        <f>OR(AND(IF(metadata!R942="",FALSE,TRUE),OR(EXACT(metadata!R942,"not applicable"),EXACT(metadata!R942,"missing: not collected"),EXACT(metadata!R942,"missing: not provided"),EXACT(metadata!R942,"missing: restricted access"))),AND(IF(metadata!R942="",FALSE,ISNUMBER(VALUE(metadata!R942))),metadata!R942&gt;0))</f>
        <v>0</v>
      </c>
      <c r="AU942" t="b">
        <f>AND(IF(metadata!S942="",FALSE,TRUE),EXACT(metadata!S942,"missing: not provided"))</f>
        <v>0</v>
      </c>
    </row>
    <row r="943" spans="1:47" x14ac:dyDescent="0.2">
      <c r="A943" s="5" t="str">
        <f ca="1">IF(B943=" "," ",HYPERLINK(CONCATENATE("#metadata!",ADDRESS(INDEX($Y$2:$Y$1001,MATCH(ROWS($W$2:W943),$W$2:$W$1001,0),0),1)),INDEX($AB$2:$AB$1001,MATCH(ROWS($W$2:W943),$W$2:$W$1001,0),0)))</f>
        <v xml:space="preserve"> </v>
      </c>
      <c r="B943" s="4" t="str">
        <f ca="1">IF(OR(INDEX($X$2:$X$1001,MATCH(ROWS($W$2:W943),$W$2:$W$1001,0),1)&gt;=100000,INDEX($AD$1005:$AU$1005,1,MATCH(COLUMNS($AD$1006:AD1006),$AD$1006:$AU$1006,0))&gt;=100000), " ",IF(INDEX($AD$2:$AU$1001,MATCH(ROWS($W$2:W943),$W$2:$W$1001,0),MATCH(COLUMNS($AD$1006:AD1006),$AD$1006:$AU$1006,0)), HYPERLINK("#",""), HYPERLINK(CONCATENATE("#metadata!", ADDRESS(INDEX($Y$2:$Y$1001,MATCH(ROWS($W$2:W943),$W$2:$W$1001,0),0), INDEX($AD$1004:$AU$1004,1,MATCH(COLUMNS($AD$1006:AD1006),$AD$1006:$AU$1006,0)))),"Fix")))</f>
        <v xml:space="preserve"> </v>
      </c>
      <c r="C943" s="4" t="str">
        <f ca="1">IF(OR(INDEX($X$2:$X$1001,MATCH(ROWS($W$2:W943),$W$2:$W$1001,0),1)&gt;=100000,INDEX($AD$1005:$AU$1005,1,MATCH(COLUMNS($AD$1006:AE1006),$AD$1006:$AU$1006,0))&gt;=100000), " ",IF(INDEX($AD$2:$AU$1001,MATCH(ROWS($W$2:W943),$W$2:$W$1001,0),MATCH(COLUMNS($AD$1006:AE1006),$AD$1006:$AU$1006,0)), HYPERLINK("#",""), HYPERLINK(CONCATENATE("#metadata!", ADDRESS(INDEX($Y$2:$Y$1001,MATCH(ROWS($W$2:W943),$W$2:$W$1001,0),0), INDEX($AD$1004:$AU$1004,1,MATCH(COLUMNS($AD$1006:AE1006),$AD$1006:$AU$1006,0)))),"Fix")))</f>
        <v xml:space="preserve"> </v>
      </c>
      <c r="D943" s="4" t="str">
        <f ca="1">IF(OR(INDEX($X$2:$X$1001,MATCH(ROWS($W$2:W943),$W$2:$W$1001,0),1)&gt;=100000,INDEX($AD$1005:$AU$1005,1,MATCH(COLUMNS($AD$1006:AF1006),$AD$1006:$AU$1006,0))&gt;=100000), " ",IF(INDEX($AD$2:$AU$1001,MATCH(ROWS($W$2:W943),$W$2:$W$1001,0),MATCH(COLUMNS($AD$1006:AF1006),$AD$1006:$AU$1006,0)), HYPERLINK("#",""), HYPERLINK(CONCATENATE("#metadata!", ADDRESS(INDEX($Y$2:$Y$1001,MATCH(ROWS($W$2:W943),$W$2:$W$1001,0),0), INDEX($AD$1004:$AU$1004,1,MATCH(COLUMNS($AD$1006:AF1006),$AD$1006:$AU$1006,0)))),"Fix")))</f>
        <v xml:space="preserve"> </v>
      </c>
      <c r="E943" s="4" t="str">
        <f ca="1">IF(OR(INDEX($X$2:$X$1001,MATCH(ROWS($W$2:W943),$W$2:$W$1001,0),1)&gt;=100000,INDEX($AD$1005:$AU$1005,1,MATCH(COLUMNS($AD$1006:AG1006),$AD$1006:$AU$1006,0))&gt;=100000), " ",IF(INDEX($AD$2:$AU$1001,MATCH(ROWS($W$2:W943),$W$2:$W$1001,0),MATCH(COLUMNS($AD$1006:AG1006),$AD$1006:$AU$1006,0)), HYPERLINK("#",""), HYPERLINK(CONCATENATE("#metadata!", ADDRESS(INDEX($Y$2:$Y$1001,MATCH(ROWS($W$2:W943),$W$2:$W$1001,0),0), INDEX($AD$1004:$AU$1004,1,MATCH(COLUMNS($AD$1006:AG1006),$AD$1006:$AU$1006,0)))),"Fix")))</f>
        <v xml:space="preserve"> </v>
      </c>
      <c r="F943" s="4" t="str">
        <f ca="1">IF(OR(INDEX($X$2:$X$1001,MATCH(ROWS($W$2:W943),$W$2:$W$1001,0),1)&gt;=100000,INDEX($AD$1005:$AU$1005,1,MATCH(COLUMNS($AD$1006:AH1006),$AD$1006:$AU$1006,0))&gt;=100000), " ",IF(INDEX($AD$2:$AU$1001,MATCH(ROWS($W$2:W943),$W$2:$W$1001,0),MATCH(COLUMNS($AD$1006:AH1006),$AD$1006:$AU$1006,0)), HYPERLINK("#",""), HYPERLINK(CONCATENATE("#metadata!", ADDRESS(INDEX($Y$2:$Y$1001,MATCH(ROWS($W$2:W943),$W$2:$W$1001,0),0), INDEX($AD$1004:$AU$1004,1,MATCH(COLUMNS($AD$1006:AH1006),$AD$1006:$AU$1006,0)))),"Fix")))</f>
        <v xml:space="preserve"> </v>
      </c>
      <c r="G943" s="4" t="str">
        <f ca="1">IF(OR(INDEX($X$2:$X$1001,MATCH(ROWS($W$2:W943),$W$2:$W$1001,0),1)&gt;=100000,INDEX($AD$1005:$AU$1005,1,MATCH(COLUMNS($AD$1006:AI1006),$AD$1006:$AU$1006,0))&gt;=100000), " ",IF(INDEX($AD$2:$AU$1001,MATCH(ROWS($W$2:W943),$W$2:$W$1001,0),MATCH(COLUMNS($AD$1006:AI1006),$AD$1006:$AU$1006,0)), HYPERLINK("#",""), HYPERLINK(CONCATENATE("#metadata!", ADDRESS(INDEX($Y$2:$Y$1001,MATCH(ROWS($W$2:W943),$W$2:$W$1001,0),0), INDEX($AD$1004:$AU$1004,1,MATCH(COLUMNS($AD$1006:AI1006),$AD$1006:$AU$1006,0)))),"Fix")))</f>
        <v xml:space="preserve"> </v>
      </c>
      <c r="H943" s="4" t="str">
        <f ca="1">IF(OR(INDEX($X$2:$X$1001,MATCH(ROWS($W$2:W943),$W$2:$W$1001,0),1)&gt;=100000,INDEX($AD$1005:$AU$1005,1,MATCH(COLUMNS($AD$1006:AJ1006),$AD$1006:$AU$1006,0))&gt;=100000), " ",IF(INDEX($AD$2:$AU$1001,MATCH(ROWS($W$2:W943),$W$2:$W$1001,0),MATCH(COLUMNS($AD$1006:AJ1006),$AD$1006:$AU$1006,0)), HYPERLINK("#",""), HYPERLINK(CONCATENATE("#metadata!", ADDRESS(INDEX($Y$2:$Y$1001,MATCH(ROWS($W$2:W943),$W$2:$W$1001,0),0), INDEX($AD$1004:$AU$1004,1,MATCH(COLUMNS($AD$1006:AJ1006),$AD$1006:$AU$1006,0)))),"Fix")))</f>
        <v xml:space="preserve"> </v>
      </c>
      <c r="I943" s="4" t="str">
        <f ca="1">IF(OR(INDEX($X$2:$X$1001,MATCH(ROWS($W$2:W943),$W$2:$W$1001,0),1)&gt;=100000,INDEX($AD$1005:$AU$1005,1,MATCH(COLUMNS($AD$1006:AK1006),$AD$1006:$AU$1006,0))&gt;=100000), " ",IF(INDEX($AD$2:$AU$1001,MATCH(ROWS($W$2:W943),$W$2:$W$1001,0),MATCH(COLUMNS($AD$1006:AK1006),$AD$1006:$AU$1006,0)), HYPERLINK("#",""), HYPERLINK(CONCATENATE("#metadata!", ADDRESS(INDEX($Y$2:$Y$1001,MATCH(ROWS($W$2:W943),$W$2:$W$1001,0),0), INDEX($AD$1004:$AU$1004,1,MATCH(COLUMNS($AD$1006:AK1006),$AD$1006:$AU$1006,0)))),"Fix")))</f>
        <v xml:space="preserve"> </v>
      </c>
      <c r="J943" s="4" t="str">
        <f ca="1">IF(OR(INDEX($X$2:$X$1001,MATCH(ROWS($W$2:W943),$W$2:$W$1001,0),1)&gt;=100000,INDEX($AD$1005:$AU$1005,1,MATCH(COLUMNS($AD$1006:AL1006),$AD$1006:$AU$1006,0))&gt;=100000), " ",IF(INDEX($AD$2:$AU$1001,MATCH(ROWS($W$2:W943),$W$2:$W$1001,0),MATCH(COLUMNS($AD$1006:AL1006),$AD$1006:$AU$1006,0)), HYPERLINK("#",""), HYPERLINK(CONCATENATE("#metadata!", ADDRESS(INDEX($Y$2:$Y$1001,MATCH(ROWS($W$2:W943),$W$2:$W$1001,0),0), INDEX($AD$1004:$AU$1004,1,MATCH(COLUMNS($AD$1006:AL1006),$AD$1006:$AU$1006,0)))),"Fix")))</f>
        <v xml:space="preserve"> </v>
      </c>
      <c r="K943" s="4" t="str">
        <f ca="1">IF(OR(INDEX($X$2:$X$1001,MATCH(ROWS($W$2:W943),$W$2:$W$1001,0),1)&gt;=100000,INDEX($AD$1005:$AU$1005,1,MATCH(COLUMNS($AD$1006:AM1006),$AD$1006:$AU$1006,0))&gt;=100000), " ",IF(INDEX($AD$2:$AU$1001,MATCH(ROWS($W$2:W943),$W$2:$W$1001,0),MATCH(COLUMNS($AD$1006:AM1006),$AD$1006:$AU$1006,0)), HYPERLINK("#",""), HYPERLINK(CONCATENATE("#metadata!", ADDRESS(INDEX($Y$2:$Y$1001,MATCH(ROWS($W$2:W943),$W$2:$W$1001,0),0), INDEX($AD$1004:$AU$1004,1,MATCH(COLUMNS($AD$1006:AM1006),$AD$1006:$AU$1006,0)))),"Fix")))</f>
        <v xml:space="preserve"> </v>
      </c>
      <c r="L943" s="4" t="str">
        <f ca="1">IF(OR(INDEX($X$2:$X$1001,MATCH(ROWS($W$2:W943),$W$2:$W$1001,0),1)&gt;=100000,INDEX($AD$1005:$AU$1005,1,MATCH(COLUMNS($AD$1006:AN1006),$AD$1006:$AU$1006,0))&gt;=100000), " ",IF(INDEX($AD$2:$AU$1001,MATCH(ROWS($W$2:W943),$W$2:$W$1001,0),MATCH(COLUMNS($AD$1006:AN1006),$AD$1006:$AU$1006,0)), HYPERLINK("#",""), HYPERLINK(CONCATENATE("#metadata!", ADDRESS(INDEX($Y$2:$Y$1001,MATCH(ROWS($W$2:W943),$W$2:$W$1001,0),0), INDEX($AD$1004:$AU$1004,1,MATCH(COLUMNS($AD$1006:AN1006),$AD$1006:$AU$1006,0)))),"Fix")))</f>
        <v xml:space="preserve"> </v>
      </c>
      <c r="M943" s="4" t="str">
        <f ca="1">IF(OR(INDEX($X$2:$X$1001,MATCH(ROWS($W$2:W943),$W$2:$W$1001,0),1)&gt;=100000,INDEX($AD$1005:$AU$1005,1,MATCH(COLUMNS($AD$1006:AO1006),$AD$1006:$AU$1006,0))&gt;=100000), " ",IF(INDEX($AD$2:$AU$1001,MATCH(ROWS($W$2:W943),$W$2:$W$1001,0),MATCH(COLUMNS($AD$1006:AO1006),$AD$1006:$AU$1006,0)), HYPERLINK("#",""), HYPERLINK(CONCATENATE("#metadata!", ADDRESS(INDEX($Y$2:$Y$1001,MATCH(ROWS($W$2:W943),$W$2:$W$1001,0),0), INDEX($AD$1004:$AU$1004,1,MATCH(COLUMNS($AD$1006:AO1006),$AD$1006:$AU$1006,0)))),"Fix")))</f>
        <v xml:space="preserve"> </v>
      </c>
      <c r="N943" s="4" t="str">
        <f ca="1">IF(OR(INDEX($X$2:$X$1001,MATCH(ROWS($W$2:W943),$W$2:$W$1001,0),1)&gt;=100000,INDEX($AD$1005:$AU$1005,1,MATCH(COLUMNS($AD$1006:AP1006),$AD$1006:$AU$1006,0))&gt;=100000), " ",IF(INDEX($AD$2:$AU$1001,MATCH(ROWS($W$2:W943),$W$2:$W$1001,0),MATCH(COLUMNS($AD$1006:AP1006),$AD$1006:$AU$1006,0)), HYPERLINK("#",""), HYPERLINK(CONCATENATE("#metadata!", ADDRESS(INDEX($Y$2:$Y$1001,MATCH(ROWS($W$2:W943),$W$2:$W$1001,0),0), INDEX($AD$1004:$AU$1004,1,MATCH(COLUMNS($AD$1006:AP1006),$AD$1006:$AU$1006,0)))),"Fix")))</f>
        <v xml:space="preserve"> </v>
      </c>
      <c r="O943" s="4" t="str">
        <f ca="1">IF(OR(INDEX($X$2:$X$1001,MATCH(ROWS($W$2:W943),$W$2:$W$1001,0),1)&gt;=100000,INDEX($AD$1005:$AU$1005,1,MATCH(COLUMNS($AD$1006:AQ1006),$AD$1006:$AU$1006,0))&gt;=100000), " ",IF(INDEX($AD$2:$AU$1001,MATCH(ROWS($W$2:W943),$W$2:$W$1001,0),MATCH(COLUMNS($AD$1006:AQ1006),$AD$1006:$AU$1006,0)), HYPERLINK("#",""), HYPERLINK(CONCATENATE("#metadata!", ADDRESS(INDEX($Y$2:$Y$1001,MATCH(ROWS($W$2:W943),$W$2:$W$1001,0),0), INDEX($AD$1004:$AU$1004,1,MATCH(COLUMNS($AD$1006:AQ1006),$AD$1006:$AU$1006,0)))),"Fix")))</f>
        <v xml:space="preserve"> </v>
      </c>
      <c r="P943" s="4" t="str">
        <f ca="1">IF(OR(INDEX($X$2:$X$1001,MATCH(ROWS($W$2:W943),$W$2:$W$1001,0),1)&gt;=100000,INDEX($AD$1005:$AU$1005,1,MATCH(COLUMNS($AD$1006:AR1006),$AD$1006:$AU$1006,0))&gt;=100000), " ",IF(INDEX($AD$2:$AU$1001,MATCH(ROWS($W$2:W943),$W$2:$W$1001,0),MATCH(COLUMNS($AD$1006:AR1006),$AD$1006:$AU$1006,0)), HYPERLINK("#",""), HYPERLINK(CONCATENATE("#metadata!", ADDRESS(INDEX($Y$2:$Y$1001,MATCH(ROWS($W$2:W943),$W$2:$W$1001,0),0), INDEX($AD$1004:$AU$1004,1,MATCH(COLUMNS($AD$1006:AR1006),$AD$1006:$AU$1006,0)))),"Fix")))</f>
        <v xml:space="preserve"> </v>
      </c>
      <c r="Q943" s="4" t="str">
        <f ca="1">IF(OR(INDEX($X$2:$X$1001,MATCH(ROWS($W$2:W943),$W$2:$W$1001,0),1)&gt;=100000,INDEX($AD$1005:$AU$1005,1,MATCH(COLUMNS($AD$1006:AS1006),$AD$1006:$AU$1006,0))&gt;=100000), " ",IF(INDEX($AD$2:$AU$1001,MATCH(ROWS($W$2:W943),$W$2:$W$1001,0),MATCH(COLUMNS($AD$1006:AS1006),$AD$1006:$AU$1006,0)), HYPERLINK("#",""), HYPERLINK(CONCATENATE("#metadata!", ADDRESS(INDEX($Y$2:$Y$1001,MATCH(ROWS($W$2:W943),$W$2:$W$1001,0),0), INDEX($AD$1004:$AU$1004,1,MATCH(COLUMNS($AD$1006:AS1006),$AD$1006:$AU$1006,0)))),"Fix")))</f>
        <v xml:space="preserve"> </v>
      </c>
      <c r="R943" s="4" t="str">
        <f ca="1">IF(OR(INDEX($X$2:$X$1001,MATCH(ROWS($W$2:W943),$W$2:$W$1001,0),1)&gt;=100000,INDEX($AD$1005:$AU$1005,1,MATCH(COLUMNS($AD$1006:AT1006),$AD$1006:$AU$1006,0))&gt;=100000), " ",IF(INDEX($AD$2:$AU$1001,MATCH(ROWS($W$2:W943),$W$2:$W$1001,0),MATCH(COLUMNS($AD$1006:AT1006),$AD$1006:$AU$1006,0)), HYPERLINK("#",""), HYPERLINK(CONCATENATE("#metadata!", ADDRESS(INDEX($Y$2:$Y$1001,MATCH(ROWS($W$2:W943),$W$2:$W$1001,0),0), INDEX($AD$1004:$AU$1004,1,MATCH(COLUMNS($AD$1006:AT1006),$AD$1006:$AU$1006,0)))),"Fix")))</f>
        <v xml:space="preserve"> </v>
      </c>
      <c r="S943" s="4" t="str">
        <f ca="1">IF(OR(INDEX($X$2:$X$1001,MATCH(ROWS($W$2:W943),$W$2:$W$1001,0),1)&gt;=100000,INDEX($AD$1005:$AU$1005,1,MATCH(COLUMNS($AD$1006:AU1006),$AD$1006:$AU$1006,0))&gt;=100000), " ",IF(INDEX($AD$2:$AU$1001,MATCH(ROWS($W$2:W943),$W$2:$W$1001,0),MATCH(COLUMNS($AD$1006:AU1006),$AD$1006:$AU$1006,0)), HYPERLINK("#",""), HYPERLINK(CONCATENATE("#metadata!", ADDRESS(INDEX($Y$2:$Y$1001,MATCH(ROWS($W$2:W943),$W$2:$W$1001,0),0), INDEX($AD$1004:$AU$1004,1,MATCH(COLUMNS($AD$1006:AU1006),$AD$1006:$AU$1006,0)))),"Fix")))</f>
        <v xml:space="preserve"> </v>
      </c>
      <c r="W943">
        <v>942</v>
      </c>
      <c r="X943">
        <v>100943</v>
      </c>
      <c r="Y943">
        <v>943</v>
      </c>
      <c r="Z943" t="b">
        <f t="shared" si="14"/>
        <v>1</v>
      </c>
      <c r="AA943" t="b">
        <f>COUNTBLANK(metadata!B943:S943)=COLUMNS(metadata!B943:S943)</f>
        <v>1</v>
      </c>
      <c r="AB943" t="str">
        <v/>
      </c>
      <c r="AD943" t="b">
        <f ca="1">AND(IF(metadata!B943="",FALSE,TRUE),COUNTIF(metadata!B:B, metadata!B943) = 1,NOT(ISERROR(SUMPRODUCT(SEARCH(MID(metadata!B943,ROW(INDIRECT("1:"&amp;LEN(metadata!B943))), 1),"0123456789abcdefghijklmnopqrstuvwxyzABCDEFGHIJKLMNOPQRSTUVWXYZ.")))))</f>
        <v>0</v>
      </c>
      <c r="AE943" t="b">
        <f>OR(AND(IF(metadata!C943="",FALSE,TRUE),OR(EXACT(metadata!C943,"not applicable"),EXACT(metadata!C943,"missing: not collected"),EXACT(metadata!C943,"missing: not provided"),EXACT(metadata!C943,"missing: restricted access"))),AND(IF(metadata!C943="",FALSE,ISNUMBER(VALUE(metadata!C943))),metadata!C943&gt;0))</f>
        <v>0</v>
      </c>
      <c r="AF943" t="b">
        <f>AND(IF(metadata!D943="",FALSE,TRUE),EXACT(metadata!D943,"missing: not provided"))</f>
        <v>0</v>
      </c>
      <c r="AG943" t="b">
        <f>AND(IF(metadata!E943="",FALSE,TRUE),EXACT(metadata!E943,"Host-associated"))</f>
        <v>0</v>
      </c>
      <c r="AH943" t="b">
        <f>AND(IF(metadata!F943="",FALSE,TRUE),OR(EXACT(metadata!F943,"Animal"),EXACT(metadata!F943,"Fungus"),EXACT(metadata!F943,"Plant")))</f>
        <v>0</v>
      </c>
      <c r="AI943" t="b">
        <f>AND(IF(metadata!G943="",FALSE,TRUE),OR(EXACT(metadata!G943,"Plant secretion"),EXACT(metadata!G943,"Plant rhizosphere"),EXACT(metadata!G943,"Plant surface"),EXACT(metadata!G943,"Plant corpus"),EXACT(metadata!G943,"Fungus surface"),EXACT(metadata!G943,"Fungus corpus"),EXACT(metadata!G943,"Animal surface"),EXACT(metadata!G943,"Animal proximal gut"),EXACT(metadata!G943,"Animal corpus"),EXACT(metadata!G943,"Animal distal gut"),EXACT(metadata!G943,"Animal secretion")))</f>
        <v>0</v>
      </c>
      <c r="AJ943" t="b">
        <f>OR(AND(IF(metadata!H943="",FALSE,TRUE),OR(EXACT(metadata!H943,"missing: not collected"),EXACT(metadata!H943,"missing: not provided"),EXACT(metadata!H943,"missing: restricted access"))),AND(IF(metadata!H943="",FALSE,TRUE),OR(EXACT(metadata!H943,"organism-associated habitat"),EXACT(metadata!H943,"plant-associated habitat"),EXACT(metadata!H943,"animal-associated habitat"),EXACT(metadata!H943,"insecta-associated habitat"),EXACT(metadata!H943,"mammalia-associated habitat"),EXACT(metadata!H943,"human-associated habitat"),EXACT(metadata!H943,"livestock-associated habitat"))))</f>
        <v>0</v>
      </c>
      <c r="AK943" t="b">
        <f>AND(IF(metadata!I943="",FALSE,TRUE),EXACT(metadata!I943,"host-associated"))</f>
        <v>0</v>
      </c>
      <c r="AL943" t="b">
        <f>OR(AND(IF(metadata!J943="",FALSE,TRUE),OR(EXACT(metadata!J943,"not applicable"),EXACT(metadata!J943,"missing: not collected"),EXACT(metadata!J943,"missing: not provided"),EXACT(metadata!J943,"missing: restricted access"))),AND(IF(metadata!J943="",FALSE,ISNUMBER(VALUE(metadata!J943))),metadata!J943&gt;0))</f>
        <v>0</v>
      </c>
      <c r="AM943" t="b">
        <f>AND(IF(metadata!K943="",FALSE,TRUE),EXACT(metadata!K943,"missing: not provided"))</f>
        <v>0</v>
      </c>
      <c r="AN943" t="b">
        <f>IF(metadata!L943="",FALSE,TRUE)</f>
        <v>0</v>
      </c>
      <c r="AO943" t="b">
        <f>IF(metadata!M943="",FALSE,TRUE)</f>
        <v>0</v>
      </c>
      <c r="AP943" t="b">
        <f>OR(AND(IF(metadata!N943="",FALSE,TRUE),OR(EXACT(metadata!N943,"not applicable"),EXACT(metadata!N943,"missing: not collected"),EXACT(metadata!N943,"missing: not provided"))),AND(IF(metadata!N943="",FALSE,IF(ISERROR(INT(metadata!N943)),FALSE,INT(metadata!N943)=metadata!N943)),metadata!N943&gt;0))</f>
        <v>0</v>
      </c>
      <c r="AQ943" t="b">
        <f>AND(IF(metadata!O943="",FALSE,TRUE),EXACT(metadata!O943,"Not applicable"))</f>
        <v>0</v>
      </c>
      <c r="AR943" t="b">
        <f>OR(AND(IF(metadata!P943="",FALSE,TRUE),OR(EXACT(metadata!P943,"not applicable"),EXACT(metadata!P943,"missing: not collected"),EXACT(metadata!P943,"missing: not provided"),EXACT(metadata!P943,"missing: restricted access"))),IF(metadata!P943="",FALSE,IF(ISERROR(INT(metadata!P943)),FALSE,INT(metadata!P943)=metadata!P943)))</f>
        <v>0</v>
      </c>
      <c r="AS943" t="b">
        <f>AND(IF(metadata!Q943="",FALSE,TRUE),EXACT(metadata!Q943,"Not applicable"))</f>
        <v>0</v>
      </c>
      <c r="AT943" t="b">
        <f>OR(AND(IF(metadata!R943="",FALSE,TRUE),OR(EXACT(metadata!R943,"not applicable"),EXACT(metadata!R943,"missing: not collected"),EXACT(metadata!R943,"missing: not provided"),EXACT(metadata!R943,"missing: restricted access"))),AND(IF(metadata!R943="",FALSE,ISNUMBER(VALUE(metadata!R943))),metadata!R943&gt;0))</f>
        <v>0</v>
      </c>
      <c r="AU943" t="b">
        <f>AND(IF(metadata!S943="",FALSE,TRUE),EXACT(metadata!S943,"missing: not provided"))</f>
        <v>0</v>
      </c>
    </row>
    <row r="944" spans="1:47" x14ac:dyDescent="0.2">
      <c r="A944" s="5" t="str">
        <f ca="1">IF(B944=" "," ",HYPERLINK(CONCATENATE("#metadata!",ADDRESS(INDEX($Y$2:$Y$1001,MATCH(ROWS($W$2:W944),$W$2:$W$1001,0),0),1)),INDEX($AB$2:$AB$1001,MATCH(ROWS($W$2:W944),$W$2:$W$1001,0),0)))</f>
        <v xml:space="preserve"> </v>
      </c>
      <c r="B944" s="4" t="str">
        <f ca="1">IF(OR(INDEX($X$2:$X$1001,MATCH(ROWS($W$2:W944),$W$2:$W$1001,0),1)&gt;=100000,INDEX($AD$1005:$AU$1005,1,MATCH(COLUMNS($AD$1006:AD1006),$AD$1006:$AU$1006,0))&gt;=100000), " ",IF(INDEX($AD$2:$AU$1001,MATCH(ROWS($W$2:W944),$W$2:$W$1001,0),MATCH(COLUMNS($AD$1006:AD1006),$AD$1006:$AU$1006,0)), HYPERLINK("#",""), HYPERLINK(CONCATENATE("#metadata!", ADDRESS(INDEX($Y$2:$Y$1001,MATCH(ROWS($W$2:W944),$W$2:$W$1001,0),0), INDEX($AD$1004:$AU$1004,1,MATCH(COLUMNS($AD$1006:AD1006),$AD$1006:$AU$1006,0)))),"Fix")))</f>
        <v xml:space="preserve"> </v>
      </c>
      <c r="C944" s="4" t="str">
        <f ca="1">IF(OR(INDEX($X$2:$X$1001,MATCH(ROWS($W$2:W944),$W$2:$W$1001,0),1)&gt;=100000,INDEX($AD$1005:$AU$1005,1,MATCH(COLUMNS($AD$1006:AE1006),$AD$1006:$AU$1006,0))&gt;=100000), " ",IF(INDEX($AD$2:$AU$1001,MATCH(ROWS($W$2:W944),$W$2:$W$1001,0),MATCH(COLUMNS($AD$1006:AE1006),$AD$1006:$AU$1006,0)), HYPERLINK("#",""), HYPERLINK(CONCATENATE("#metadata!", ADDRESS(INDEX($Y$2:$Y$1001,MATCH(ROWS($W$2:W944),$W$2:$W$1001,0),0), INDEX($AD$1004:$AU$1004,1,MATCH(COLUMNS($AD$1006:AE1006),$AD$1006:$AU$1006,0)))),"Fix")))</f>
        <v xml:space="preserve"> </v>
      </c>
      <c r="D944" s="4" t="str">
        <f ca="1">IF(OR(INDEX($X$2:$X$1001,MATCH(ROWS($W$2:W944),$W$2:$W$1001,0),1)&gt;=100000,INDEX($AD$1005:$AU$1005,1,MATCH(COLUMNS($AD$1006:AF1006),$AD$1006:$AU$1006,0))&gt;=100000), " ",IF(INDEX($AD$2:$AU$1001,MATCH(ROWS($W$2:W944),$W$2:$W$1001,0),MATCH(COLUMNS($AD$1006:AF1006),$AD$1006:$AU$1006,0)), HYPERLINK("#",""), HYPERLINK(CONCATENATE("#metadata!", ADDRESS(INDEX($Y$2:$Y$1001,MATCH(ROWS($W$2:W944),$W$2:$W$1001,0),0), INDEX($AD$1004:$AU$1004,1,MATCH(COLUMNS($AD$1006:AF1006),$AD$1006:$AU$1006,0)))),"Fix")))</f>
        <v xml:space="preserve"> </v>
      </c>
      <c r="E944" s="4" t="str">
        <f ca="1">IF(OR(INDEX($X$2:$X$1001,MATCH(ROWS($W$2:W944),$W$2:$W$1001,0),1)&gt;=100000,INDEX($AD$1005:$AU$1005,1,MATCH(COLUMNS($AD$1006:AG1006),$AD$1006:$AU$1006,0))&gt;=100000), " ",IF(INDEX($AD$2:$AU$1001,MATCH(ROWS($W$2:W944),$W$2:$W$1001,0),MATCH(COLUMNS($AD$1006:AG1006),$AD$1006:$AU$1006,0)), HYPERLINK("#",""), HYPERLINK(CONCATENATE("#metadata!", ADDRESS(INDEX($Y$2:$Y$1001,MATCH(ROWS($W$2:W944),$W$2:$W$1001,0),0), INDEX($AD$1004:$AU$1004,1,MATCH(COLUMNS($AD$1006:AG1006),$AD$1006:$AU$1006,0)))),"Fix")))</f>
        <v xml:space="preserve"> </v>
      </c>
      <c r="F944" s="4" t="str">
        <f ca="1">IF(OR(INDEX($X$2:$X$1001,MATCH(ROWS($W$2:W944),$W$2:$W$1001,0),1)&gt;=100000,INDEX($AD$1005:$AU$1005,1,MATCH(COLUMNS($AD$1006:AH1006),$AD$1006:$AU$1006,0))&gt;=100000), " ",IF(INDEX($AD$2:$AU$1001,MATCH(ROWS($W$2:W944),$W$2:$W$1001,0),MATCH(COLUMNS($AD$1006:AH1006),$AD$1006:$AU$1006,0)), HYPERLINK("#",""), HYPERLINK(CONCATENATE("#metadata!", ADDRESS(INDEX($Y$2:$Y$1001,MATCH(ROWS($W$2:W944),$W$2:$W$1001,0),0), INDEX($AD$1004:$AU$1004,1,MATCH(COLUMNS($AD$1006:AH1006),$AD$1006:$AU$1006,0)))),"Fix")))</f>
        <v xml:space="preserve"> </v>
      </c>
      <c r="G944" s="4" t="str">
        <f ca="1">IF(OR(INDEX($X$2:$X$1001,MATCH(ROWS($W$2:W944),$W$2:$W$1001,0),1)&gt;=100000,INDEX($AD$1005:$AU$1005,1,MATCH(COLUMNS($AD$1006:AI1006),$AD$1006:$AU$1006,0))&gt;=100000), " ",IF(INDEX($AD$2:$AU$1001,MATCH(ROWS($W$2:W944),$W$2:$W$1001,0),MATCH(COLUMNS($AD$1006:AI1006),$AD$1006:$AU$1006,0)), HYPERLINK("#",""), HYPERLINK(CONCATENATE("#metadata!", ADDRESS(INDEX($Y$2:$Y$1001,MATCH(ROWS($W$2:W944),$W$2:$W$1001,0),0), INDEX($AD$1004:$AU$1004,1,MATCH(COLUMNS($AD$1006:AI1006),$AD$1006:$AU$1006,0)))),"Fix")))</f>
        <v xml:space="preserve"> </v>
      </c>
      <c r="H944" s="4" t="str">
        <f ca="1">IF(OR(INDEX($X$2:$X$1001,MATCH(ROWS($W$2:W944),$W$2:$W$1001,0),1)&gt;=100000,INDEX($AD$1005:$AU$1005,1,MATCH(COLUMNS($AD$1006:AJ1006),$AD$1006:$AU$1006,0))&gt;=100000), " ",IF(INDEX($AD$2:$AU$1001,MATCH(ROWS($W$2:W944),$W$2:$W$1001,0),MATCH(COLUMNS($AD$1006:AJ1006),$AD$1006:$AU$1006,0)), HYPERLINK("#",""), HYPERLINK(CONCATENATE("#metadata!", ADDRESS(INDEX($Y$2:$Y$1001,MATCH(ROWS($W$2:W944),$W$2:$W$1001,0),0), INDEX($AD$1004:$AU$1004,1,MATCH(COLUMNS($AD$1006:AJ1006),$AD$1006:$AU$1006,0)))),"Fix")))</f>
        <v xml:space="preserve"> </v>
      </c>
      <c r="I944" s="4" t="str">
        <f ca="1">IF(OR(INDEX($X$2:$X$1001,MATCH(ROWS($W$2:W944),$W$2:$W$1001,0),1)&gt;=100000,INDEX($AD$1005:$AU$1005,1,MATCH(COLUMNS($AD$1006:AK1006),$AD$1006:$AU$1006,0))&gt;=100000), " ",IF(INDEX($AD$2:$AU$1001,MATCH(ROWS($W$2:W944),$W$2:$W$1001,0),MATCH(COLUMNS($AD$1006:AK1006),$AD$1006:$AU$1006,0)), HYPERLINK("#",""), HYPERLINK(CONCATENATE("#metadata!", ADDRESS(INDEX($Y$2:$Y$1001,MATCH(ROWS($W$2:W944),$W$2:$W$1001,0),0), INDEX($AD$1004:$AU$1004,1,MATCH(COLUMNS($AD$1006:AK1006),$AD$1006:$AU$1006,0)))),"Fix")))</f>
        <v xml:space="preserve"> </v>
      </c>
      <c r="J944" s="4" t="str">
        <f ca="1">IF(OR(INDEX($X$2:$X$1001,MATCH(ROWS($W$2:W944),$W$2:$W$1001,0),1)&gt;=100000,INDEX($AD$1005:$AU$1005,1,MATCH(COLUMNS($AD$1006:AL1006),$AD$1006:$AU$1006,0))&gt;=100000), " ",IF(INDEX($AD$2:$AU$1001,MATCH(ROWS($W$2:W944),$W$2:$W$1001,0),MATCH(COLUMNS($AD$1006:AL1006),$AD$1006:$AU$1006,0)), HYPERLINK("#",""), HYPERLINK(CONCATENATE("#metadata!", ADDRESS(INDEX($Y$2:$Y$1001,MATCH(ROWS($W$2:W944),$W$2:$W$1001,0),0), INDEX($AD$1004:$AU$1004,1,MATCH(COLUMNS($AD$1006:AL1006),$AD$1006:$AU$1006,0)))),"Fix")))</f>
        <v xml:space="preserve"> </v>
      </c>
      <c r="K944" s="4" t="str">
        <f ca="1">IF(OR(INDEX($X$2:$X$1001,MATCH(ROWS($W$2:W944),$W$2:$W$1001,0),1)&gt;=100000,INDEX($AD$1005:$AU$1005,1,MATCH(COLUMNS($AD$1006:AM1006),$AD$1006:$AU$1006,0))&gt;=100000), " ",IF(INDEX($AD$2:$AU$1001,MATCH(ROWS($W$2:W944),$W$2:$W$1001,0),MATCH(COLUMNS($AD$1006:AM1006),$AD$1006:$AU$1006,0)), HYPERLINK("#",""), HYPERLINK(CONCATENATE("#metadata!", ADDRESS(INDEX($Y$2:$Y$1001,MATCH(ROWS($W$2:W944),$W$2:$W$1001,0),0), INDEX($AD$1004:$AU$1004,1,MATCH(COLUMNS($AD$1006:AM1006),$AD$1006:$AU$1006,0)))),"Fix")))</f>
        <v xml:space="preserve"> </v>
      </c>
      <c r="L944" s="4" t="str">
        <f ca="1">IF(OR(INDEX($X$2:$X$1001,MATCH(ROWS($W$2:W944),$W$2:$W$1001,0),1)&gt;=100000,INDEX($AD$1005:$AU$1005,1,MATCH(COLUMNS($AD$1006:AN1006),$AD$1006:$AU$1006,0))&gt;=100000), " ",IF(INDEX($AD$2:$AU$1001,MATCH(ROWS($W$2:W944),$W$2:$W$1001,0),MATCH(COLUMNS($AD$1006:AN1006),$AD$1006:$AU$1006,0)), HYPERLINK("#",""), HYPERLINK(CONCATENATE("#metadata!", ADDRESS(INDEX($Y$2:$Y$1001,MATCH(ROWS($W$2:W944),$W$2:$W$1001,0),0), INDEX($AD$1004:$AU$1004,1,MATCH(COLUMNS($AD$1006:AN1006),$AD$1006:$AU$1006,0)))),"Fix")))</f>
        <v xml:space="preserve"> </v>
      </c>
      <c r="M944" s="4" t="str">
        <f ca="1">IF(OR(INDEX($X$2:$X$1001,MATCH(ROWS($W$2:W944),$W$2:$W$1001,0),1)&gt;=100000,INDEX($AD$1005:$AU$1005,1,MATCH(COLUMNS($AD$1006:AO1006),$AD$1006:$AU$1006,0))&gt;=100000), " ",IF(INDEX($AD$2:$AU$1001,MATCH(ROWS($W$2:W944),$W$2:$W$1001,0),MATCH(COLUMNS($AD$1006:AO1006),$AD$1006:$AU$1006,0)), HYPERLINK("#",""), HYPERLINK(CONCATENATE("#metadata!", ADDRESS(INDEX($Y$2:$Y$1001,MATCH(ROWS($W$2:W944),$W$2:$W$1001,0),0), INDEX($AD$1004:$AU$1004,1,MATCH(COLUMNS($AD$1006:AO1006),$AD$1006:$AU$1006,0)))),"Fix")))</f>
        <v xml:space="preserve"> </v>
      </c>
      <c r="N944" s="4" t="str">
        <f ca="1">IF(OR(INDEX($X$2:$X$1001,MATCH(ROWS($W$2:W944),$W$2:$W$1001,0),1)&gt;=100000,INDEX($AD$1005:$AU$1005,1,MATCH(COLUMNS($AD$1006:AP1006),$AD$1006:$AU$1006,0))&gt;=100000), " ",IF(INDEX($AD$2:$AU$1001,MATCH(ROWS($W$2:W944),$W$2:$W$1001,0),MATCH(COLUMNS($AD$1006:AP1006),$AD$1006:$AU$1006,0)), HYPERLINK("#",""), HYPERLINK(CONCATENATE("#metadata!", ADDRESS(INDEX($Y$2:$Y$1001,MATCH(ROWS($W$2:W944),$W$2:$W$1001,0),0), INDEX($AD$1004:$AU$1004,1,MATCH(COLUMNS($AD$1006:AP1006),$AD$1006:$AU$1006,0)))),"Fix")))</f>
        <v xml:space="preserve"> </v>
      </c>
      <c r="O944" s="4" t="str">
        <f ca="1">IF(OR(INDEX($X$2:$X$1001,MATCH(ROWS($W$2:W944),$W$2:$W$1001,0),1)&gt;=100000,INDEX($AD$1005:$AU$1005,1,MATCH(COLUMNS($AD$1006:AQ1006),$AD$1006:$AU$1006,0))&gt;=100000), " ",IF(INDEX($AD$2:$AU$1001,MATCH(ROWS($W$2:W944),$W$2:$W$1001,0),MATCH(COLUMNS($AD$1006:AQ1006),$AD$1006:$AU$1006,0)), HYPERLINK("#",""), HYPERLINK(CONCATENATE("#metadata!", ADDRESS(INDEX($Y$2:$Y$1001,MATCH(ROWS($W$2:W944),$W$2:$W$1001,0),0), INDEX($AD$1004:$AU$1004,1,MATCH(COLUMNS($AD$1006:AQ1006),$AD$1006:$AU$1006,0)))),"Fix")))</f>
        <v xml:space="preserve"> </v>
      </c>
      <c r="P944" s="4" t="str">
        <f ca="1">IF(OR(INDEX($X$2:$X$1001,MATCH(ROWS($W$2:W944),$W$2:$W$1001,0),1)&gt;=100000,INDEX($AD$1005:$AU$1005,1,MATCH(COLUMNS($AD$1006:AR1006),$AD$1006:$AU$1006,0))&gt;=100000), " ",IF(INDEX($AD$2:$AU$1001,MATCH(ROWS($W$2:W944),$W$2:$W$1001,0),MATCH(COLUMNS($AD$1006:AR1006),$AD$1006:$AU$1006,0)), HYPERLINK("#",""), HYPERLINK(CONCATENATE("#metadata!", ADDRESS(INDEX($Y$2:$Y$1001,MATCH(ROWS($W$2:W944),$W$2:$W$1001,0),0), INDEX($AD$1004:$AU$1004,1,MATCH(COLUMNS($AD$1006:AR1006),$AD$1006:$AU$1006,0)))),"Fix")))</f>
        <v xml:space="preserve"> </v>
      </c>
      <c r="Q944" s="4" t="str">
        <f ca="1">IF(OR(INDEX($X$2:$X$1001,MATCH(ROWS($W$2:W944),$W$2:$W$1001,0),1)&gt;=100000,INDEX($AD$1005:$AU$1005,1,MATCH(COLUMNS($AD$1006:AS1006),$AD$1006:$AU$1006,0))&gt;=100000), " ",IF(INDEX($AD$2:$AU$1001,MATCH(ROWS($W$2:W944),$W$2:$W$1001,0),MATCH(COLUMNS($AD$1006:AS1006),$AD$1006:$AU$1006,0)), HYPERLINK("#",""), HYPERLINK(CONCATENATE("#metadata!", ADDRESS(INDEX($Y$2:$Y$1001,MATCH(ROWS($W$2:W944),$W$2:$W$1001,0),0), INDEX($AD$1004:$AU$1004,1,MATCH(COLUMNS($AD$1006:AS1006),$AD$1006:$AU$1006,0)))),"Fix")))</f>
        <v xml:space="preserve"> </v>
      </c>
      <c r="R944" s="4" t="str">
        <f ca="1">IF(OR(INDEX($X$2:$X$1001,MATCH(ROWS($W$2:W944),$W$2:$W$1001,0),1)&gt;=100000,INDEX($AD$1005:$AU$1005,1,MATCH(COLUMNS($AD$1006:AT1006),$AD$1006:$AU$1006,0))&gt;=100000), " ",IF(INDEX($AD$2:$AU$1001,MATCH(ROWS($W$2:W944),$W$2:$W$1001,0),MATCH(COLUMNS($AD$1006:AT1006),$AD$1006:$AU$1006,0)), HYPERLINK("#",""), HYPERLINK(CONCATENATE("#metadata!", ADDRESS(INDEX($Y$2:$Y$1001,MATCH(ROWS($W$2:W944),$W$2:$W$1001,0),0), INDEX($AD$1004:$AU$1004,1,MATCH(COLUMNS($AD$1006:AT1006),$AD$1006:$AU$1006,0)))),"Fix")))</f>
        <v xml:space="preserve"> </v>
      </c>
      <c r="S944" s="4" t="str">
        <f ca="1">IF(OR(INDEX($X$2:$X$1001,MATCH(ROWS($W$2:W944),$W$2:$W$1001,0),1)&gt;=100000,INDEX($AD$1005:$AU$1005,1,MATCH(COLUMNS($AD$1006:AU1006),$AD$1006:$AU$1006,0))&gt;=100000), " ",IF(INDEX($AD$2:$AU$1001,MATCH(ROWS($W$2:W944),$W$2:$W$1001,0),MATCH(COLUMNS($AD$1006:AU1006),$AD$1006:$AU$1006,0)), HYPERLINK("#",""), HYPERLINK(CONCATENATE("#metadata!", ADDRESS(INDEX($Y$2:$Y$1001,MATCH(ROWS($W$2:W944),$W$2:$W$1001,0),0), INDEX($AD$1004:$AU$1004,1,MATCH(COLUMNS($AD$1006:AU1006),$AD$1006:$AU$1006,0)))),"Fix")))</f>
        <v xml:space="preserve"> </v>
      </c>
      <c r="W944">
        <v>943</v>
      </c>
      <c r="X944">
        <v>100944</v>
      </c>
      <c r="Y944">
        <v>944</v>
      </c>
      <c r="Z944" t="b">
        <f t="shared" si="14"/>
        <v>1</v>
      </c>
      <c r="AA944" t="b">
        <f>COUNTBLANK(metadata!B944:S944)=COLUMNS(metadata!B944:S944)</f>
        <v>1</v>
      </c>
      <c r="AB944" t="str">
        <v/>
      </c>
      <c r="AD944" t="b">
        <f ca="1">AND(IF(metadata!B944="",FALSE,TRUE),COUNTIF(metadata!B:B, metadata!B944) = 1,NOT(ISERROR(SUMPRODUCT(SEARCH(MID(metadata!B944,ROW(INDIRECT("1:"&amp;LEN(metadata!B944))), 1),"0123456789abcdefghijklmnopqrstuvwxyzABCDEFGHIJKLMNOPQRSTUVWXYZ.")))))</f>
        <v>0</v>
      </c>
      <c r="AE944" t="b">
        <f>OR(AND(IF(metadata!C944="",FALSE,TRUE),OR(EXACT(metadata!C944,"not applicable"),EXACT(metadata!C944,"missing: not collected"),EXACT(metadata!C944,"missing: not provided"),EXACT(metadata!C944,"missing: restricted access"))),AND(IF(metadata!C944="",FALSE,ISNUMBER(VALUE(metadata!C944))),metadata!C944&gt;0))</f>
        <v>0</v>
      </c>
      <c r="AF944" t="b">
        <f>AND(IF(metadata!D944="",FALSE,TRUE),EXACT(metadata!D944,"missing: not provided"))</f>
        <v>0</v>
      </c>
      <c r="AG944" t="b">
        <f>AND(IF(metadata!E944="",FALSE,TRUE),EXACT(metadata!E944,"Host-associated"))</f>
        <v>0</v>
      </c>
      <c r="AH944" t="b">
        <f>AND(IF(metadata!F944="",FALSE,TRUE),OR(EXACT(metadata!F944,"Animal"),EXACT(metadata!F944,"Fungus"),EXACT(metadata!F944,"Plant")))</f>
        <v>0</v>
      </c>
      <c r="AI944" t="b">
        <f>AND(IF(metadata!G944="",FALSE,TRUE),OR(EXACT(metadata!G944,"Plant secretion"),EXACT(metadata!G944,"Plant rhizosphere"),EXACT(metadata!G944,"Plant surface"),EXACT(metadata!G944,"Plant corpus"),EXACT(metadata!G944,"Fungus surface"),EXACT(metadata!G944,"Fungus corpus"),EXACT(metadata!G944,"Animal surface"),EXACT(metadata!G944,"Animal proximal gut"),EXACT(metadata!G944,"Animal corpus"),EXACT(metadata!G944,"Animal distal gut"),EXACT(metadata!G944,"Animal secretion")))</f>
        <v>0</v>
      </c>
      <c r="AJ944" t="b">
        <f>OR(AND(IF(metadata!H944="",FALSE,TRUE),OR(EXACT(metadata!H944,"missing: not collected"),EXACT(metadata!H944,"missing: not provided"),EXACT(metadata!H944,"missing: restricted access"))),AND(IF(metadata!H944="",FALSE,TRUE),OR(EXACT(metadata!H944,"organism-associated habitat"),EXACT(metadata!H944,"plant-associated habitat"),EXACT(metadata!H944,"animal-associated habitat"),EXACT(metadata!H944,"insecta-associated habitat"),EXACT(metadata!H944,"mammalia-associated habitat"),EXACT(metadata!H944,"human-associated habitat"),EXACT(metadata!H944,"livestock-associated habitat"))))</f>
        <v>0</v>
      </c>
      <c r="AK944" t="b">
        <f>AND(IF(metadata!I944="",FALSE,TRUE),EXACT(metadata!I944,"host-associated"))</f>
        <v>0</v>
      </c>
      <c r="AL944" t="b">
        <f>OR(AND(IF(metadata!J944="",FALSE,TRUE),OR(EXACT(metadata!J944,"not applicable"),EXACT(metadata!J944,"missing: not collected"),EXACT(metadata!J944,"missing: not provided"),EXACT(metadata!J944,"missing: restricted access"))),AND(IF(metadata!J944="",FALSE,ISNUMBER(VALUE(metadata!J944))),metadata!J944&gt;0))</f>
        <v>0</v>
      </c>
      <c r="AM944" t="b">
        <f>AND(IF(metadata!K944="",FALSE,TRUE),EXACT(metadata!K944,"missing: not provided"))</f>
        <v>0</v>
      </c>
      <c r="AN944" t="b">
        <f>IF(metadata!L944="",FALSE,TRUE)</f>
        <v>0</v>
      </c>
      <c r="AO944" t="b">
        <f>IF(metadata!M944="",FALSE,TRUE)</f>
        <v>0</v>
      </c>
      <c r="AP944" t="b">
        <f>OR(AND(IF(metadata!N944="",FALSE,TRUE),OR(EXACT(metadata!N944,"not applicable"),EXACT(metadata!N944,"missing: not collected"),EXACT(metadata!N944,"missing: not provided"))),AND(IF(metadata!N944="",FALSE,IF(ISERROR(INT(metadata!N944)),FALSE,INT(metadata!N944)=metadata!N944)),metadata!N944&gt;0))</f>
        <v>0</v>
      </c>
      <c r="AQ944" t="b">
        <f>AND(IF(metadata!O944="",FALSE,TRUE),EXACT(metadata!O944,"Not applicable"))</f>
        <v>0</v>
      </c>
      <c r="AR944" t="b">
        <f>OR(AND(IF(metadata!P944="",FALSE,TRUE),OR(EXACT(metadata!P944,"not applicable"),EXACT(metadata!P944,"missing: not collected"),EXACT(metadata!P944,"missing: not provided"),EXACT(metadata!P944,"missing: restricted access"))),IF(metadata!P944="",FALSE,IF(ISERROR(INT(metadata!P944)),FALSE,INT(metadata!P944)=metadata!P944)))</f>
        <v>0</v>
      </c>
      <c r="AS944" t="b">
        <f>AND(IF(metadata!Q944="",FALSE,TRUE),EXACT(metadata!Q944,"Not applicable"))</f>
        <v>0</v>
      </c>
      <c r="AT944" t="b">
        <f>OR(AND(IF(metadata!R944="",FALSE,TRUE),OR(EXACT(metadata!R944,"not applicable"),EXACT(metadata!R944,"missing: not collected"),EXACT(metadata!R944,"missing: not provided"),EXACT(metadata!R944,"missing: restricted access"))),AND(IF(metadata!R944="",FALSE,ISNUMBER(VALUE(metadata!R944))),metadata!R944&gt;0))</f>
        <v>0</v>
      </c>
      <c r="AU944" t="b">
        <f>AND(IF(metadata!S944="",FALSE,TRUE),EXACT(metadata!S944,"missing: not provided"))</f>
        <v>0</v>
      </c>
    </row>
    <row r="945" spans="1:47" x14ac:dyDescent="0.2">
      <c r="A945" s="5" t="str">
        <f ca="1">IF(B945=" "," ",HYPERLINK(CONCATENATE("#metadata!",ADDRESS(INDEX($Y$2:$Y$1001,MATCH(ROWS($W$2:W945),$W$2:$W$1001,0),0),1)),INDEX($AB$2:$AB$1001,MATCH(ROWS($W$2:W945),$W$2:$W$1001,0),0)))</f>
        <v xml:space="preserve"> </v>
      </c>
      <c r="B945" s="4" t="str">
        <f ca="1">IF(OR(INDEX($X$2:$X$1001,MATCH(ROWS($W$2:W945),$W$2:$W$1001,0),1)&gt;=100000,INDEX($AD$1005:$AU$1005,1,MATCH(COLUMNS($AD$1006:AD1006),$AD$1006:$AU$1006,0))&gt;=100000), " ",IF(INDEX($AD$2:$AU$1001,MATCH(ROWS($W$2:W945),$W$2:$W$1001,0),MATCH(COLUMNS($AD$1006:AD1006),$AD$1006:$AU$1006,0)), HYPERLINK("#",""), HYPERLINK(CONCATENATE("#metadata!", ADDRESS(INDEX($Y$2:$Y$1001,MATCH(ROWS($W$2:W945),$W$2:$W$1001,0),0), INDEX($AD$1004:$AU$1004,1,MATCH(COLUMNS($AD$1006:AD1006),$AD$1006:$AU$1006,0)))),"Fix")))</f>
        <v xml:space="preserve"> </v>
      </c>
      <c r="C945" s="4" t="str">
        <f ca="1">IF(OR(INDEX($X$2:$X$1001,MATCH(ROWS($W$2:W945),$W$2:$W$1001,0),1)&gt;=100000,INDEX($AD$1005:$AU$1005,1,MATCH(COLUMNS($AD$1006:AE1006),$AD$1006:$AU$1006,0))&gt;=100000), " ",IF(INDEX($AD$2:$AU$1001,MATCH(ROWS($W$2:W945),$W$2:$W$1001,0),MATCH(COLUMNS($AD$1006:AE1006),$AD$1006:$AU$1006,0)), HYPERLINK("#",""), HYPERLINK(CONCATENATE("#metadata!", ADDRESS(INDEX($Y$2:$Y$1001,MATCH(ROWS($W$2:W945),$W$2:$W$1001,0),0), INDEX($AD$1004:$AU$1004,1,MATCH(COLUMNS($AD$1006:AE1006),$AD$1006:$AU$1006,0)))),"Fix")))</f>
        <v xml:space="preserve"> </v>
      </c>
      <c r="D945" s="4" t="str">
        <f ca="1">IF(OR(INDEX($X$2:$X$1001,MATCH(ROWS($W$2:W945),$W$2:$W$1001,0),1)&gt;=100000,INDEX($AD$1005:$AU$1005,1,MATCH(COLUMNS($AD$1006:AF1006),$AD$1006:$AU$1006,0))&gt;=100000), " ",IF(INDEX($AD$2:$AU$1001,MATCH(ROWS($W$2:W945),$W$2:$W$1001,0),MATCH(COLUMNS($AD$1006:AF1006),$AD$1006:$AU$1006,0)), HYPERLINK("#",""), HYPERLINK(CONCATENATE("#metadata!", ADDRESS(INDEX($Y$2:$Y$1001,MATCH(ROWS($W$2:W945),$W$2:$W$1001,0),0), INDEX($AD$1004:$AU$1004,1,MATCH(COLUMNS($AD$1006:AF1006),$AD$1006:$AU$1006,0)))),"Fix")))</f>
        <v xml:space="preserve"> </v>
      </c>
      <c r="E945" s="4" t="str">
        <f ca="1">IF(OR(INDEX($X$2:$X$1001,MATCH(ROWS($W$2:W945),$W$2:$W$1001,0),1)&gt;=100000,INDEX($AD$1005:$AU$1005,1,MATCH(COLUMNS($AD$1006:AG1006),$AD$1006:$AU$1006,0))&gt;=100000), " ",IF(INDEX($AD$2:$AU$1001,MATCH(ROWS($W$2:W945),$W$2:$W$1001,0),MATCH(COLUMNS($AD$1006:AG1006),$AD$1006:$AU$1006,0)), HYPERLINK("#",""), HYPERLINK(CONCATENATE("#metadata!", ADDRESS(INDEX($Y$2:$Y$1001,MATCH(ROWS($W$2:W945),$W$2:$W$1001,0),0), INDEX($AD$1004:$AU$1004,1,MATCH(COLUMNS($AD$1006:AG1006),$AD$1006:$AU$1006,0)))),"Fix")))</f>
        <v xml:space="preserve"> </v>
      </c>
      <c r="F945" s="4" t="str">
        <f ca="1">IF(OR(INDEX($X$2:$X$1001,MATCH(ROWS($W$2:W945),$W$2:$W$1001,0),1)&gt;=100000,INDEX($AD$1005:$AU$1005,1,MATCH(COLUMNS($AD$1006:AH1006),$AD$1006:$AU$1006,0))&gt;=100000), " ",IF(INDEX($AD$2:$AU$1001,MATCH(ROWS($W$2:W945),$W$2:$W$1001,0),MATCH(COLUMNS($AD$1006:AH1006),$AD$1006:$AU$1006,0)), HYPERLINK("#",""), HYPERLINK(CONCATENATE("#metadata!", ADDRESS(INDEX($Y$2:$Y$1001,MATCH(ROWS($W$2:W945),$W$2:$W$1001,0),0), INDEX($AD$1004:$AU$1004,1,MATCH(COLUMNS($AD$1006:AH1006),$AD$1006:$AU$1006,0)))),"Fix")))</f>
        <v xml:space="preserve"> </v>
      </c>
      <c r="G945" s="4" t="str">
        <f ca="1">IF(OR(INDEX($X$2:$X$1001,MATCH(ROWS($W$2:W945),$W$2:$W$1001,0),1)&gt;=100000,INDEX($AD$1005:$AU$1005,1,MATCH(COLUMNS($AD$1006:AI1006),$AD$1006:$AU$1006,0))&gt;=100000), " ",IF(INDEX($AD$2:$AU$1001,MATCH(ROWS($W$2:W945),$W$2:$W$1001,0),MATCH(COLUMNS($AD$1006:AI1006),$AD$1006:$AU$1006,0)), HYPERLINK("#",""), HYPERLINK(CONCATENATE("#metadata!", ADDRESS(INDEX($Y$2:$Y$1001,MATCH(ROWS($W$2:W945),$W$2:$W$1001,0),0), INDEX($AD$1004:$AU$1004,1,MATCH(COLUMNS($AD$1006:AI1006),$AD$1006:$AU$1006,0)))),"Fix")))</f>
        <v xml:space="preserve"> </v>
      </c>
      <c r="H945" s="4" t="str">
        <f ca="1">IF(OR(INDEX($X$2:$X$1001,MATCH(ROWS($W$2:W945),$W$2:$W$1001,0),1)&gt;=100000,INDEX($AD$1005:$AU$1005,1,MATCH(COLUMNS($AD$1006:AJ1006),$AD$1006:$AU$1006,0))&gt;=100000), " ",IF(INDEX($AD$2:$AU$1001,MATCH(ROWS($W$2:W945),$W$2:$W$1001,0),MATCH(COLUMNS($AD$1006:AJ1006),$AD$1006:$AU$1006,0)), HYPERLINK("#",""), HYPERLINK(CONCATENATE("#metadata!", ADDRESS(INDEX($Y$2:$Y$1001,MATCH(ROWS($W$2:W945),$W$2:$W$1001,0),0), INDEX($AD$1004:$AU$1004,1,MATCH(COLUMNS($AD$1006:AJ1006),$AD$1006:$AU$1006,0)))),"Fix")))</f>
        <v xml:space="preserve"> </v>
      </c>
      <c r="I945" s="4" t="str">
        <f ca="1">IF(OR(INDEX($X$2:$X$1001,MATCH(ROWS($W$2:W945),$W$2:$W$1001,0),1)&gt;=100000,INDEX($AD$1005:$AU$1005,1,MATCH(COLUMNS($AD$1006:AK1006),$AD$1006:$AU$1006,0))&gt;=100000), " ",IF(INDEX($AD$2:$AU$1001,MATCH(ROWS($W$2:W945),$W$2:$W$1001,0),MATCH(COLUMNS($AD$1006:AK1006),$AD$1006:$AU$1006,0)), HYPERLINK("#",""), HYPERLINK(CONCATENATE("#metadata!", ADDRESS(INDEX($Y$2:$Y$1001,MATCH(ROWS($W$2:W945),$W$2:$W$1001,0),0), INDEX($AD$1004:$AU$1004,1,MATCH(COLUMNS($AD$1006:AK1006),$AD$1006:$AU$1006,0)))),"Fix")))</f>
        <v xml:space="preserve"> </v>
      </c>
      <c r="J945" s="4" t="str">
        <f ca="1">IF(OR(INDEX($X$2:$X$1001,MATCH(ROWS($W$2:W945),$W$2:$W$1001,0),1)&gt;=100000,INDEX($AD$1005:$AU$1005,1,MATCH(COLUMNS($AD$1006:AL1006),$AD$1006:$AU$1006,0))&gt;=100000), " ",IF(INDEX($AD$2:$AU$1001,MATCH(ROWS($W$2:W945),$W$2:$W$1001,0),MATCH(COLUMNS($AD$1006:AL1006),$AD$1006:$AU$1006,0)), HYPERLINK("#",""), HYPERLINK(CONCATENATE("#metadata!", ADDRESS(INDEX($Y$2:$Y$1001,MATCH(ROWS($W$2:W945),$W$2:$W$1001,0),0), INDEX($AD$1004:$AU$1004,1,MATCH(COLUMNS($AD$1006:AL1006),$AD$1006:$AU$1006,0)))),"Fix")))</f>
        <v xml:space="preserve"> </v>
      </c>
      <c r="K945" s="4" t="str">
        <f ca="1">IF(OR(INDEX($X$2:$X$1001,MATCH(ROWS($W$2:W945),$W$2:$W$1001,0),1)&gt;=100000,INDEX($AD$1005:$AU$1005,1,MATCH(COLUMNS($AD$1006:AM1006),$AD$1006:$AU$1006,0))&gt;=100000), " ",IF(INDEX($AD$2:$AU$1001,MATCH(ROWS($W$2:W945),$W$2:$W$1001,0),MATCH(COLUMNS($AD$1006:AM1006),$AD$1006:$AU$1006,0)), HYPERLINK("#",""), HYPERLINK(CONCATENATE("#metadata!", ADDRESS(INDEX($Y$2:$Y$1001,MATCH(ROWS($W$2:W945),$W$2:$W$1001,0),0), INDEX($AD$1004:$AU$1004,1,MATCH(COLUMNS($AD$1006:AM1006),$AD$1006:$AU$1006,0)))),"Fix")))</f>
        <v xml:space="preserve"> </v>
      </c>
      <c r="L945" s="4" t="str">
        <f ca="1">IF(OR(INDEX($X$2:$X$1001,MATCH(ROWS($W$2:W945),$W$2:$W$1001,0),1)&gt;=100000,INDEX($AD$1005:$AU$1005,1,MATCH(COLUMNS($AD$1006:AN1006),$AD$1006:$AU$1006,0))&gt;=100000), " ",IF(INDEX($AD$2:$AU$1001,MATCH(ROWS($W$2:W945),$W$2:$W$1001,0),MATCH(COLUMNS($AD$1006:AN1006),$AD$1006:$AU$1006,0)), HYPERLINK("#",""), HYPERLINK(CONCATENATE("#metadata!", ADDRESS(INDEX($Y$2:$Y$1001,MATCH(ROWS($W$2:W945),$W$2:$W$1001,0),0), INDEX($AD$1004:$AU$1004,1,MATCH(COLUMNS($AD$1006:AN1006),$AD$1006:$AU$1006,0)))),"Fix")))</f>
        <v xml:space="preserve"> </v>
      </c>
      <c r="M945" s="4" t="str">
        <f ca="1">IF(OR(INDEX($X$2:$X$1001,MATCH(ROWS($W$2:W945),$W$2:$W$1001,0),1)&gt;=100000,INDEX($AD$1005:$AU$1005,1,MATCH(COLUMNS($AD$1006:AO1006),$AD$1006:$AU$1006,0))&gt;=100000), " ",IF(INDEX($AD$2:$AU$1001,MATCH(ROWS($W$2:W945),$W$2:$W$1001,0),MATCH(COLUMNS($AD$1006:AO1006),$AD$1006:$AU$1006,0)), HYPERLINK("#",""), HYPERLINK(CONCATENATE("#metadata!", ADDRESS(INDEX($Y$2:$Y$1001,MATCH(ROWS($W$2:W945),$W$2:$W$1001,0),0), INDEX($AD$1004:$AU$1004,1,MATCH(COLUMNS($AD$1006:AO1006),$AD$1006:$AU$1006,0)))),"Fix")))</f>
        <v xml:space="preserve"> </v>
      </c>
      <c r="N945" s="4" t="str">
        <f ca="1">IF(OR(INDEX($X$2:$X$1001,MATCH(ROWS($W$2:W945),$W$2:$W$1001,0),1)&gt;=100000,INDEX($AD$1005:$AU$1005,1,MATCH(COLUMNS($AD$1006:AP1006),$AD$1006:$AU$1006,0))&gt;=100000), " ",IF(INDEX($AD$2:$AU$1001,MATCH(ROWS($W$2:W945),$W$2:$W$1001,0),MATCH(COLUMNS($AD$1006:AP1006),$AD$1006:$AU$1006,0)), HYPERLINK("#",""), HYPERLINK(CONCATENATE("#metadata!", ADDRESS(INDEX($Y$2:$Y$1001,MATCH(ROWS($W$2:W945),$W$2:$W$1001,0),0), INDEX($AD$1004:$AU$1004,1,MATCH(COLUMNS($AD$1006:AP1006),$AD$1006:$AU$1006,0)))),"Fix")))</f>
        <v xml:space="preserve"> </v>
      </c>
      <c r="O945" s="4" t="str">
        <f ca="1">IF(OR(INDEX($X$2:$X$1001,MATCH(ROWS($W$2:W945),$W$2:$W$1001,0),1)&gt;=100000,INDEX($AD$1005:$AU$1005,1,MATCH(COLUMNS($AD$1006:AQ1006),$AD$1006:$AU$1006,0))&gt;=100000), " ",IF(INDEX($AD$2:$AU$1001,MATCH(ROWS($W$2:W945),$W$2:$W$1001,0),MATCH(COLUMNS($AD$1006:AQ1006),$AD$1006:$AU$1006,0)), HYPERLINK("#",""), HYPERLINK(CONCATENATE("#metadata!", ADDRESS(INDEX($Y$2:$Y$1001,MATCH(ROWS($W$2:W945),$W$2:$W$1001,0),0), INDEX($AD$1004:$AU$1004,1,MATCH(COLUMNS($AD$1006:AQ1006),$AD$1006:$AU$1006,0)))),"Fix")))</f>
        <v xml:space="preserve"> </v>
      </c>
      <c r="P945" s="4" t="str">
        <f ca="1">IF(OR(INDEX($X$2:$X$1001,MATCH(ROWS($W$2:W945),$W$2:$W$1001,0),1)&gt;=100000,INDEX($AD$1005:$AU$1005,1,MATCH(COLUMNS($AD$1006:AR1006),$AD$1006:$AU$1006,0))&gt;=100000), " ",IF(INDEX($AD$2:$AU$1001,MATCH(ROWS($W$2:W945),$W$2:$W$1001,0),MATCH(COLUMNS($AD$1006:AR1006),$AD$1006:$AU$1006,0)), HYPERLINK("#",""), HYPERLINK(CONCATENATE("#metadata!", ADDRESS(INDEX($Y$2:$Y$1001,MATCH(ROWS($W$2:W945),$W$2:$W$1001,0),0), INDEX($AD$1004:$AU$1004,1,MATCH(COLUMNS($AD$1006:AR1006),$AD$1006:$AU$1006,0)))),"Fix")))</f>
        <v xml:space="preserve"> </v>
      </c>
      <c r="Q945" s="4" t="str">
        <f ca="1">IF(OR(INDEX($X$2:$X$1001,MATCH(ROWS($W$2:W945),$W$2:$W$1001,0),1)&gt;=100000,INDEX($AD$1005:$AU$1005,1,MATCH(COLUMNS($AD$1006:AS1006),$AD$1006:$AU$1006,0))&gt;=100000), " ",IF(INDEX($AD$2:$AU$1001,MATCH(ROWS($W$2:W945),$W$2:$W$1001,0),MATCH(COLUMNS($AD$1006:AS1006),$AD$1006:$AU$1006,0)), HYPERLINK("#",""), HYPERLINK(CONCATENATE("#metadata!", ADDRESS(INDEX($Y$2:$Y$1001,MATCH(ROWS($W$2:W945),$W$2:$W$1001,0),0), INDEX($AD$1004:$AU$1004,1,MATCH(COLUMNS($AD$1006:AS1006),$AD$1006:$AU$1006,0)))),"Fix")))</f>
        <v xml:space="preserve"> </v>
      </c>
      <c r="R945" s="4" t="str">
        <f ca="1">IF(OR(INDEX($X$2:$X$1001,MATCH(ROWS($W$2:W945),$W$2:$W$1001,0),1)&gt;=100000,INDEX($AD$1005:$AU$1005,1,MATCH(COLUMNS($AD$1006:AT1006),$AD$1006:$AU$1006,0))&gt;=100000), " ",IF(INDEX($AD$2:$AU$1001,MATCH(ROWS($W$2:W945),$W$2:$W$1001,0),MATCH(COLUMNS($AD$1006:AT1006),$AD$1006:$AU$1006,0)), HYPERLINK("#",""), HYPERLINK(CONCATENATE("#metadata!", ADDRESS(INDEX($Y$2:$Y$1001,MATCH(ROWS($W$2:W945),$W$2:$W$1001,0),0), INDEX($AD$1004:$AU$1004,1,MATCH(COLUMNS($AD$1006:AT1006),$AD$1006:$AU$1006,0)))),"Fix")))</f>
        <v xml:space="preserve"> </v>
      </c>
      <c r="S945" s="4" t="str">
        <f ca="1">IF(OR(INDEX($X$2:$X$1001,MATCH(ROWS($W$2:W945),$W$2:$W$1001,0),1)&gt;=100000,INDEX($AD$1005:$AU$1005,1,MATCH(COLUMNS($AD$1006:AU1006),$AD$1006:$AU$1006,0))&gt;=100000), " ",IF(INDEX($AD$2:$AU$1001,MATCH(ROWS($W$2:W945),$W$2:$W$1001,0),MATCH(COLUMNS($AD$1006:AU1006),$AD$1006:$AU$1006,0)), HYPERLINK("#",""), HYPERLINK(CONCATENATE("#metadata!", ADDRESS(INDEX($Y$2:$Y$1001,MATCH(ROWS($W$2:W945),$W$2:$W$1001,0),0), INDEX($AD$1004:$AU$1004,1,MATCH(COLUMNS($AD$1006:AU1006),$AD$1006:$AU$1006,0)))),"Fix")))</f>
        <v xml:space="preserve"> </v>
      </c>
      <c r="W945">
        <v>944</v>
      </c>
      <c r="X945">
        <v>100945</v>
      </c>
      <c r="Y945">
        <v>945</v>
      </c>
      <c r="Z945" t="b">
        <f t="shared" si="14"/>
        <v>1</v>
      </c>
      <c r="AA945" t="b">
        <f>COUNTBLANK(metadata!B945:S945)=COLUMNS(metadata!B945:S945)</f>
        <v>1</v>
      </c>
      <c r="AB945" t="str">
        <v/>
      </c>
      <c r="AD945" t="b">
        <f ca="1">AND(IF(metadata!B945="",FALSE,TRUE),COUNTIF(metadata!B:B, metadata!B945) = 1,NOT(ISERROR(SUMPRODUCT(SEARCH(MID(metadata!B945,ROW(INDIRECT("1:"&amp;LEN(metadata!B945))), 1),"0123456789abcdefghijklmnopqrstuvwxyzABCDEFGHIJKLMNOPQRSTUVWXYZ.")))))</f>
        <v>0</v>
      </c>
      <c r="AE945" t="b">
        <f>OR(AND(IF(metadata!C945="",FALSE,TRUE),OR(EXACT(metadata!C945,"not applicable"),EXACT(metadata!C945,"missing: not collected"),EXACT(metadata!C945,"missing: not provided"),EXACT(metadata!C945,"missing: restricted access"))),AND(IF(metadata!C945="",FALSE,ISNUMBER(VALUE(metadata!C945))),metadata!C945&gt;0))</f>
        <v>0</v>
      </c>
      <c r="AF945" t="b">
        <f>AND(IF(metadata!D945="",FALSE,TRUE),EXACT(metadata!D945,"missing: not provided"))</f>
        <v>0</v>
      </c>
      <c r="AG945" t="b">
        <f>AND(IF(metadata!E945="",FALSE,TRUE),EXACT(metadata!E945,"Host-associated"))</f>
        <v>0</v>
      </c>
      <c r="AH945" t="b">
        <f>AND(IF(metadata!F945="",FALSE,TRUE),OR(EXACT(metadata!F945,"Animal"),EXACT(metadata!F945,"Fungus"),EXACT(metadata!F945,"Plant")))</f>
        <v>0</v>
      </c>
      <c r="AI945" t="b">
        <f>AND(IF(metadata!G945="",FALSE,TRUE),OR(EXACT(metadata!G945,"Plant secretion"),EXACT(metadata!G945,"Plant rhizosphere"),EXACT(metadata!G945,"Plant surface"),EXACT(metadata!G945,"Plant corpus"),EXACT(metadata!G945,"Fungus surface"),EXACT(metadata!G945,"Fungus corpus"),EXACT(metadata!G945,"Animal surface"),EXACT(metadata!G945,"Animal proximal gut"),EXACT(metadata!G945,"Animal corpus"),EXACT(metadata!G945,"Animal distal gut"),EXACT(metadata!G945,"Animal secretion")))</f>
        <v>0</v>
      </c>
      <c r="AJ945" t="b">
        <f>OR(AND(IF(metadata!H945="",FALSE,TRUE),OR(EXACT(metadata!H945,"missing: not collected"),EXACT(metadata!H945,"missing: not provided"),EXACT(metadata!H945,"missing: restricted access"))),AND(IF(metadata!H945="",FALSE,TRUE),OR(EXACT(metadata!H945,"organism-associated habitat"),EXACT(metadata!H945,"plant-associated habitat"),EXACT(metadata!H945,"animal-associated habitat"),EXACT(metadata!H945,"insecta-associated habitat"),EXACT(metadata!H945,"mammalia-associated habitat"),EXACT(metadata!H945,"human-associated habitat"),EXACT(metadata!H945,"livestock-associated habitat"))))</f>
        <v>0</v>
      </c>
      <c r="AK945" t="b">
        <f>AND(IF(metadata!I945="",FALSE,TRUE),EXACT(metadata!I945,"host-associated"))</f>
        <v>0</v>
      </c>
      <c r="AL945" t="b">
        <f>OR(AND(IF(metadata!J945="",FALSE,TRUE),OR(EXACT(metadata!J945,"not applicable"),EXACT(metadata!J945,"missing: not collected"),EXACT(metadata!J945,"missing: not provided"),EXACT(metadata!J945,"missing: restricted access"))),AND(IF(metadata!J945="",FALSE,ISNUMBER(VALUE(metadata!J945))),metadata!J945&gt;0))</f>
        <v>0</v>
      </c>
      <c r="AM945" t="b">
        <f>AND(IF(metadata!K945="",FALSE,TRUE),EXACT(metadata!K945,"missing: not provided"))</f>
        <v>0</v>
      </c>
      <c r="AN945" t="b">
        <f>IF(metadata!L945="",FALSE,TRUE)</f>
        <v>0</v>
      </c>
      <c r="AO945" t="b">
        <f>IF(metadata!M945="",FALSE,TRUE)</f>
        <v>0</v>
      </c>
      <c r="AP945" t="b">
        <f>OR(AND(IF(metadata!N945="",FALSE,TRUE),OR(EXACT(metadata!N945,"not applicable"),EXACT(metadata!N945,"missing: not collected"),EXACT(metadata!N945,"missing: not provided"))),AND(IF(metadata!N945="",FALSE,IF(ISERROR(INT(metadata!N945)),FALSE,INT(metadata!N945)=metadata!N945)),metadata!N945&gt;0))</f>
        <v>0</v>
      </c>
      <c r="AQ945" t="b">
        <f>AND(IF(metadata!O945="",FALSE,TRUE),EXACT(metadata!O945,"Not applicable"))</f>
        <v>0</v>
      </c>
      <c r="AR945" t="b">
        <f>OR(AND(IF(metadata!P945="",FALSE,TRUE),OR(EXACT(metadata!P945,"not applicable"),EXACT(metadata!P945,"missing: not collected"),EXACT(metadata!P945,"missing: not provided"),EXACT(metadata!P945,"missing: restricted access"))),IF(metadata!P945="",FALSE,IF(ISERROR(INT(metadata!P945)),FALSE,INT(metadata!P945)=metadata!P945)))</f>
        <v>0</v>
      </c>
      <c r="AS945" t="b">
        <f>AND(IF(metadata!Q945="",FALSE,TRUE),EXACT(metadata!Q945,"Not applicable"))</f>
        <v>0</v>
      </c>
      <c r="AT945" t="b">
        <f>OR(AND(IF(metadata!R945="",FALSE,TRUE),OR(EXACT(metadata!R945,"not applicable"),EXACT(metadata!R945,"missing: not collected"),EXACT(metadata!R945,"missing: not provided"),EXACT(metadata!R945,"missing: restricted access"))),AND(IF(metadata!R945="",FALSE,ISNUMBER(VALUE(metadata!R945))),metadata!R945&gt;0))</f>
        <v>0</v>
      </c>
      <c r="AU945" t="b">
        <f>AND(IF(metadata!S945="",FALSE,TRUE),EXACT(metadata!S945,"missing: not provided"))</f>
        <v>0</v>
      </c>
    </row>
    <row r="946" spans="1:47" x14ac:dyDescent="0.2">
      <c r="A946" s="5" t="str">
        <f ca="1">IF(B946=" "," ",HYPERLINK(CONCATENATE("#metadata!",ADDRESS(INDEX($Y$2:$Y$1001,MATCH(ROWS($W$2:W946),$W$2:$W$1001,0),0),1)),INDEX($AB$2:$AB$1001,MATCH(ROWS($W$2:W946),$W$2:$W$1001,0),0)))</f>
        <v xml:space="preserve"> </v>
      </c>
      <c r="B946" s="4" t="str">
        <f ca="1">IF(OR(INDEX($X$2:$X$1001,MATCH(ROWS($W$2:W946),$W$2:$W$1001,0),1)&gt;=100000,INDEX($AD$1005:$AU$1005,1,MATCH(COLUMNS($AD$1006:AD1006),$AD$1006:$AU$1006,0))&gt;=100000), " ",IF(INDEX($AD$2:$AU$1001,MATCH(ROWS($W$2:W946),$W$2:$W$1001,0),MATCH(COLUMNS($AD$1006:AD1006),$AD$1006:$AU$1006,0)), HYPERLINK("#",""), HYPERLINK(CONCATENATE("#metadata!", ADDRESS(INDEX($Y$2:$Y$1001,MATCH(ROWS($W$2:W946),$W$2:$W$1001,0),0), INDEX($AD$1004:$AU$1004,1,MATCH(COLUMNS($AD$1006:AD1006),$AD$1006:$AU$1006,0)))),"Fix")))</f>
        <v xml:space="preserve"> </v>
      </c>
      <c r="C946" s="4" t="str">
        <f ca="1">IF(OR(INDEX($X$2:$X$1001,MATCH(ROWS($W$2:W946),$W$2:$W$1001,0),1)&gt;=100000,INDEX($AD$1005:$AU$1005,1,MATCH(COLUMNS($AD$1006:AE1006),$AD$1006:$AU$1006,0))&gt;=100000), " ",IF(INDEX($AD$2:$AU$1001,MATCH(ROWS($W$2:W946),$W$2:$W$1001,0),MATCH(COLUMNS($AD$1006:AE1006),$AD$1006:$AU$1006,0)), HYPERLINK("#",""), HYPERLINK(CONCATENATE("#metadata!", ADDRESS(INDEX($Y$2:$Y$1001,MATCH(ROWS($W$2:W946),$W$2:$W$1001,0),0), INDEX($AD$1004:$AU$1004,1,MATCH(COLUMNS($AD$1006:AE1006),$AD$1006:$AU$1006,0)))),"Fix")))</f>
        <v xml:space="preserve"> </v>
      </c>
      <c r="D946" s="4" t="str">
        <f ca="1">IF(OR(INDEX($X$2:$X$1001,MATCH(ROWS($W$2:W946),$W$2:$W$1001,0),1)&gt;=100000,INDEX($AD$1005:$AU$1005,1,MATCH(COLUMNS($AD$1006:AF1006),$AD$1006:$AU$1006,0))&gt;=100000), " ",IF(INDEX($AD$2:$AU$1001,MATCH(ROWS($W$2:W946),$W$2:$W$1001,0),MATCH(COLUMNS($AD$1006:AF1006),$AD$1006:$AU$1006,0)), HYPERLINK("#",""), HYPERLINK(CONCATENATE("#metadata!", ADDRESS(INDEX($Y$2:$Y$1001,MATCH(ROWS($W$2:W946),$W$2:$W$1001,0),0), INDEX($AD$1004:$AU$1004,1,MATCH(COLUMNS($AD$1006:AF1006),$AD$1006:$AU$1006,0)))),"Fix")))</f>
        <v xml:space="preserve"> </v>
      </c>
      <c r="E946" s="4" t="str">
        <f ca="1">IF(OR(INDEX($X$2:$X$1001,MATCH(ROWS($W$2:W946),$W$2:$W$1001,0),1)&gt;=100000,INDEX($AD$1005:$AU$1005,1,MATCH(COLUMNS($AD$1006:AG1006),$AD$1006:$AU$1006,0))&gt;=100000), " ",IF(INDEX($AD$2:$AU$1001,MATCH(ROWS($W$2:W946),$W$2:$W$1001,0),MATCH(COLUMNS($AD$1006:AG1006),$AD$1006:$AU$1006,0)), HYPERLINK("#",""), HYPERLINK(CONCATENATE("#metadata!", ADDRESS(INDEX($Y$2:$Y$1001,MATCH(ROWS($W$2:W946),$W$2:$W$1001,0),0), INDEX($AD$1004:$AU$1004,1,MATCH(COLUMNS($AD$1006:AG1006),$AD$1006:$AU$1006,0)))),"Fix")))</f>
        <v xml:space="preserve"> </v>
      </c>
      <c r="F946" s="4" t="str">
        <f ca="1">IF(OR(INDEX($X$2:$X$1001,MATCH(ROWS($W$2:W946),$W$2:$W$1001,0),1)&gt;=100000,INDEX($AD$1005:$AU$1005,1,MATCH(COLUMNS($AD$1006:AH1006),$AD$1006:$AU$1006,0))&gt;=100000), " ",IF(INDEX($AD$2:$AU$1001,MATCH(ROWS($W$2:W946),$W$2:$W$1001,0),MATCH(COLUMNS($AD$1006:AH1006),$AD$1006:$AU$1006,0)), HYPERLINK("#",""), HYPERLINK(CONCATENATE("#metadata!", ADDRESS(INDEX($Y$2:$Y$1001,MATCH(ROWS($W$2:W946),$W$2:$W$1001,0),0), INDEX($AD$1004:$AU$1004,1,MATCH(COLUMNS($AD$1006:AH1006),$AD$1006:$AU$1006,0)))),"Fix")))</f>
        <v xml:space="preserve"> </v>
      </c>
      <c r="G946" s="4" t="str">
        <f ca="1">IF(OR(INDEX($X$2:$X$1001,MATCH(ROWS($W$2:W946),$W$2:$W$1001,0),1)&gt;=100000,INDEX($AD$1005:$AU$1005,1,MATCH(COLUMNS($AD$1006:AI1006),$AD$1006:$AU$1006,0))&gt;=100000), " ",IF(INDEX($AD$2:$AU$1001,MATCH(ROWS($W$2:W946),$W$2:$W$1001,0),MATCH(COLUMNS($AD$1006:AI1006),$AD$1006:$AU$1006,0)), HYPERLINK("#",""), HYPERLINK(CONCATENATE("#metadata!", ADDRESS(INDEX($Y$2:$Y$1001,MATCH(ROWS($W$2:W946),$W$2:$W$1001,0),0), INDEX($AD$1004:$AU$1004,1,MATCH(COLUMNS($AD$1006:AI1006),$AD$1006:$AU$1006,0)))),"Fix")))</f>
        <v xml:space="preserve"> </v>
      </c>
      <c r="H946" s="4" t="str">
        <f ca="1">IF(OR(INDEX($X$2:$X$1001,MATCH(ROWS($W$2:W946),$W$2:$W$1001,0),1)&gt;=100000,INDEX($AD$1005:$AU$1005,1,MATCH(COLUMNS($AD$1006:AJ1006),$AD$1006:$AU$1006,0))&gt;=100000), " ",IF(INDEX($AD$2:$AU$1001,MATCH(ROWS($W$2:W946),$W$2:$W$1001,0),MATCH(COLUMNS($AD$1006:AJ1006),$AD$1006:$AU$1006,0)), HYPERLINK("#",""), HYPERLINK(CONCATENATE("#metadata!", ADDRESS(INDEX($Y$2:$Y$1001,MATCH(ROWS($W$2:W946),$W$2:$W$1001,0),0), INDEX($AD$1004:$AU$1004,1,MATCH(COLUMNS($AD$1006:AJ1006),$AD$1006:$AU$1006,0)))),"Fix")))</f>
        <v xml:space="preserve"> </v>
      </c>
      <c r="I946" s="4" t="str">
        <f ca="1">IF(OR(INDEX($X$2:$X$1001,MATCH(ROWS($W$2:W946),$W$2:$W$1001,0),1)&gt;=100000,INDEX($AD$1005:$AU$1005,1,MATCH(COLUMNS($AD$1006:AK1006),$AD$1006:$AU$1006,0))&gt;=100000), " ",IF(INDEX($AD$2:$AU$1001,MATCH(ROWS($W$2:W946),$W$2:$W$1001,0),MATCH(COLUMNS($AD$1006:AK1006),$AD$1006:$AU$1006,0)), HYPERLINK("#",""), HYPERLINK(CONCATENATE("#metadata!", ADDRESS(INDEX($Y$2:$Y$1001,MATCH(ROWS($W$2:W946),$W$2:$W$1001,0),0), INDEX($AD$1004:$AU$1004,1,MATCH(COLUMNS($AD$1006:AK1006),$AD$1006:$AU$1006,0)))),"Fix")))</f>
        <v xml:space="preserve"> </v>
      </c>
      <c r="J946" s="4" t="str">
        <f ca="1">IF(OR(INDEX($X$2:$X$1001,MATCH(ROWS($W$2:W946),$W$2:$W$1001,0),1)&gt;=100000,INDEX($AD$1005:$AU$1005,1,MATCH(COLUMNS($AD$1006:AL1006),$AD$1006:$AU$1006,0))&gt;=100000), " ",IF(INDEX($AD$2:$AU$1001,MATCH(ROWS($W$2:W946),$W$2:$W$1001,0),MATCH(COLUMNS($AD$1006:AL1006),$AD$1006:$AU$1006,0)), HYPERLINK("#",""), HYPERLINK(CONCATENATE("#metadata!", ADDRESS(INDEX($Y$2:$Y$1001,MATCH(ROWS($W$2:W946),$W$2:$W$1001,0),0), INDEX($AD$1004:$AU$1004,1,MATCH(COLUMNS($AD$1006:AL1006),$AD$1006:$AU$1006,0)))),"Fix")))</f>
        <v xml:space="preserve"> </v>
      </c>
      <c r="K946" s="4" t="str">
        <f ca="1">IF(OR(INDEX($X$2:$X$1001,MATCH(ROWS($W$2:W946),$W$2:$W$1001,0),1)&gt;=100000,INDEX($AD$1005:$AU$1005,1,MATCH(COLUMNS($AD$1006:AM1006),$AD$1006:$AU$1006,0))&gt;=100000), " ",IF(INDEX($AD$2:$AU$1001,MATCH(ROWS($W$2:W946),$W$2:$W$1001,0),MATCH(COLUMNS($AD$1006:AM1006),$AD$1006:$AU$1006,0)), HYPERLINK("#",""), HYPERLINK(CONCATENATE("#metadata!", ADDRESS(INDEX($Y$2:$Y$1001,MATCH(ROWS($W$2:W946),$W$2:$W$1001,0),0), INDEX($AD$1004:$AU$1004,1,MATCH(COLUMNS($AD$1006:AM1006),$AD$1006:$AU$1006,0)))),"Fix")))</f>
        <v xml:space="preserve"> </v>
      </c>
      <c r="L946" s="4" t="str">
        <f ca="1">IF(OR(INDEX($X$2:$X$1001,MATCH(ROWS($W$2:W946),$W$2:$W$1001,0),1)&gt;=100000,INDEX($AD$1005:$AU$1005,1,MATCH(COLUMNS($AD$1006:AN1006),$AD$1006:$AU$1006,0))&gt;=100000), " ",IF(INDEX($AD$2:$AU$1001,MATCH(ROWS($W$2:W946),$W$2:$W$1001,0),MATCH(COLUMNS($AD$1006:AN1006),$AD$1006:$AU$1006,0)), HYPERLINK("#",""), HYPERLINK(CONCATENATE("#metadata!", ADDRESS(INDEX($Y$2:$Y$1001,MATCH(ROWS($W$2:W946),$W$2:$W$1001,0),0), INDEX($AD$1004:$AU$1004,1,MATCH(COLUMNS($AD$1006:AN1006),$AD$1006:$AU$1006,0)))),"Fix")))</f>
        <v xml:space="preserve"> </v>
      </c>
      <c r="M946" s="4" t="str">
        <f ca="1">IF(OR(INDEX($X$2:$X$1001,MATCH(ROWS($W$2:W946),$W$2:$W$1001,0),1)&gt;=100000,INDEX($AD$1005:$AU$1005,1,MATCH(COLUMNS($AD$1006:AO1006),$AD$1006:$AU$1006,0))&gt;=100000), " ",IF(INDEX($AD$2:$AU$1001,MATCH(ROWS($W$2:W946),$W$2:$W$1001,0),MATCH(COLUMNS($AD$1006:AO1006),$AD$1006:$AU$1006,0)), HYPERLINK("#",""), HYPERLINK(CONCATENATE("#metadata!", ADDRESS(INDEX($Y$2:$Y$1001,MATCH(ROWS($W$2:W946),$W$2:$W$1001,0),0), INDEX($AD$1004:$AU$1004,1,MATCH(COLUMNS($AD$1006:AO1006),$AD$1006:$AU$1006,0)))),"Fix")))</f>
        <v xml:space="preserve"> </v>
      </c>
      <c r="N946" s="4" t="str">
        <f ca="1">IF(OR(INDEX($X$2:$X$1001,MATCH(ROWS($W$2:W946),$W$2:$W$1001,0),1)&gt;=100000,INDEX($AD$1005:$AU$1005,1,MATCH(COLUMNS($AD$1006:AP1006),$AD$1006:$AU$1006,0))&gt;=100000), " ",IF(INDEX($AD$2:$AU$1001,MATCH(ROWS($W$2:W946),$W$2:$W$1001,0),MATCH(COLUMNS($AD$1006:AP1006),$AD$1006:$AU$1006,0)), HYPERLINK("#",""), HYPERLINK(CONCATENATE("#metadata!", ADDRESS(INDEX($Y$2:$Y$1001,MATCH(ROWS($W$2:W946),$W$2:$W$1001,0),0), INDEX($AD$1004:$AU$1004,1,MATCH(COLUMNS($AD$1006:AP1006),$AD$1006:$AU$1006,0)))),"Fix")))</f>
        <v xml:space="preserve"> </v>
      </c>
      <c r="O946" s="4" t="str">
        <f ca="1">IF(OR(INDEX($X$2:$X$1001,MATCH(ROWS($W$2:W946),$W$2:$W$1001,0),1)&gt;=100000,INDEX($AD$1005:$AU$1005,1,MATCH(COLUMNS($AD$1006:AQ1006),$AD$1006:$AU$1006,0))&gt;=100000), " ",IF(INDEX($AD$2:$AU$1001,MATCH(ROWS($W$2:W946),$W$2:$W$1001,0),MATCH(COLUMNS($AD$1006:AQ1006),$AD$1006:$AU$1006,0)), HYPERLINK("#",""), HYPERLINK(CONCATENATE("#metadata!", ADDRESS(INDEX($Y$2:$Y$1001,MATCH(ROWS($W$2:W946),$W$2:$W$1001,0),0), INDEX($AD$1004:$AU$1004,1,MATCH(COLUMNS($AD$1006:AQ1006),$AD$1006:$AU$1006,0)))),"Fix")))</f>
        <v xml:space="preserve"> </v>
      </c>
      <c r="P946" s="4" t="str">
        <f ca="1">IF(OR(INDEX($X$2:$X$1001,MATCH(ROWS($W$2:W946),$W$2:$W$1001,0),1)&gt;=100000,INDEX($AD$1005:$AU$1005,1,MATCH(COLUMNS($AD$1006:AR1006),$AD$1006:$AU$1006,0))&gt;=100000), " ",IF(INDEX($AD$2:$AU$1001,MATCH(ROWS($W$2:W946),$W$2:$W$1001,0),MATCH(COLUMNS($AD$1006:AR1006),$AD$1006:$AU$1006,0)), HYPERLINK("#",""), HYPERLINK(CONCATENATE("#metadata!", ADDRESS(INDEX($Y$2:$Y$1001,MATCH(ROWS($W$2:W946),$W$2:$W$1001,0),0), INDEX($AD$1004:$AU$1004,1,MATCH(COLUMNS($AD$1006:AR1006),$AD$1006:$AU$1006,0)))),"Fix")))</f>
        <v xml:space="preserve"> </v>
      </c>
      <c r="Q946" s="4" t="str">
        <f ca="1">IF(OR(INDEX($X$2:$X$1001,MATCH(ROWS($W$2:W946),$W$2:$W$1001,0),1)&gt;=100000,INDEX($AD$1005:$AU$1005,1,MATCH(COLUMNS($AD$1006:AS1006),$AD$1006:$AU$1006,0))&gt;=100000), " ",IF(INDEX($AD$2:$AU$1001,MATCH(ROWS($W$2:W946),$W$2:$W$1001,0),MATCH(COLUMNS($AD$1006:AS1006),$AD$1006:$AU$1006,0)), HYPERLINK("#",""), HYPERLINK(CONCATENATE("#metadata!", ADDRESS(INDEX($Y$2:$Y$1001,MATCH(ROWS($W$2:W946),$W$2:$W$1001,0),0), INDEX($AD$1004:$AU$1004,1,MATCH(COLUMNS($AD$1006:AS1006),$AD$1006:$AU$1006,0)))),"Fix")))</f>
        <v xml:space="preserve"> </v>
      </c>
      <c r="R946" s="4" t="str">
        <f ca="1">IF(OR(INDEX($X$2:$X$1001,MATCH(ROWS($W$2:W946),$W$2:$W$1001,0),1)&gt;=100000,INDEX($AD$1005:$AU$1005,1,MATCH(COLUMNS($AD$1006:AT1006),$AD$1006:$AU$1006,0))&gt;=100000), " ",IF(INDEX($AD$2:$AU$1001,MATCH(ROWS($W$2:W946),$W$2:$W$1001,0),MATCH(COLUMNS($AD$1006:AT1006),$AD$1006:$AU$1006,0)), HYPERLINK("#",""), HYPERLINK(CONCATENATE("#metadata!", ADDRESS(INDEX($Y$2:$Y$1001,MATCH(ROWS($W$2:W946),$W$2:$W$1001,0),0), INDEX($AD$1004:$AU$1004,1,MATCH(COLUMNS($AD$1006:AT1006),$AD$1006:$AU$1006,0)))),"Fix")))</f>
        <v xml:space="preserve"> </v>
      </c>
      <c r="S946" s="4" t="str">
        <f ca="1">IF(OR(INDEX($X$2:$X$1001,MATCH(ROWS($W$2:W946),$W$2:$W$1001,0),1)&gt;=100000,INDEX($AD$1005:$AU$1005,1,MATCH(COLUMNS($AD$1006:AU1006),$AD$1006:$AU$1006,0))&gt;=100000), " ",IF(INDEX($AD$2:$AU$1001,MATCH(ROWS($W$2:W946),$W$2:$W$1001,0),MATCH(COLUMNS($AD$1006:AU1006),$AD$1006:$AU$1006,0)), HYPERLINK("#",""), HYPERLINK(CONCATENATE("#metadata!", ADDRESS(INDEX($Y$2:$Y$1001,MATCH(ROWS($W$2:W946),$W$2:$W$1001,0),0), INDEX($AD$1004:$AU$1004,1,MATCH(COLUMNS($AD$1006:AU1006),$AD$1006:$AU$1006,0)))),"Fix")))</f>
        <v xml:space="preserve"> </v>
      </c>
      <c r="W946">
        <v>945</v>
      </c>
      <c r="X946">
        <v>100946</v>
      </c>
      <c r="Y946">
        <v>946</v>
      </c>
      <c r="Z946" t="b">
        <f t="shared" si="14"/>
        <v>1</v>
      </c>
      <c r="AA946" t="b">
        <f>COUNTBLANK(metadata!B946:S946)=COLUMNS(metadata!B946:S946)</f>
        <v>1</v>
      </c>
      <c r="AB946" t="str">
        <v/>
      </c>
      <c r="AD946" t="b">
        <f ca="1">AND(IF(metadata!B946="",FALSE,TRUE),COUNTIF(metadata!B:B, metadata!B946) = 1,NOT(ISERROR(SUMPRODUCT(SEARCH(MID(metadata!B946,ROW(INDIRECT("1:"&amp;LEN(metadata!B946))), 1),"0123456789abcdefghijklmnopqrstuvwxyzABCDEFGHIJKLMNOPQRSTUVWXYZ.")))))</f>
        <v>0</v>
      </c>
      <c r="AE946" t="b">
        <f>OR(AND(IF(metadata!C946="",FALSE,TRUE),OR(EXACT(metadata!C946,"not applicable"),EXACT(metadata!C946,"missing: not collected"),EXACT(metadata!C946,"missing: not provided"),EXACT(metadata!C946,"missing: restricted access"))),AND(IF(metadata!C946="",FALSE,ISNUMBER(VALUE(metadata!C946))),metadata!C946&gt;0))</f>
        <v>0</v>
      </c>
      <c r="AF946" t="b">
        <f>AND(IF(metadata!D946="",FALSE,TRUE),EXACT(metadata!D946,"missing: not provided"))</f>
        <v>0</v>
      </c>
      <c r="AG946" t="b">
        <f>AND(IF(metadata!E946="",FALSE,TRUE),EXACT(metadata!E946,"Host-associated"))</f>
        <v>0</v>
      </c>
      <c r="AH946" t="b">
        <f>AND(IF(metadata!F946="",FALSE,TRUE),OR(EXACT(metadata!F946,"Animal"),EXACT(metadata!F946,"Fungus"),EXACT(metadata!F946,"Plant")))</f>
        <v>0</v>
      </c>
      <c r="AI946" t="b">
        <f>AND(IF(metadata!G946="",FALSE,TRUE),OR(EXACT(metadata!G946,"Plant secretion"),EXACT(metadata!G946,"Plant rhizosphere"),EXACT(metadata!G946,"Plant surface"),EXACT(metadata!G946,"Plant corpus"),EXACT(metadata!G946,"Fungus surface"),EXACT(metadata!G946,"Fungus corpus"),EXACT(metadata!G946,"Animal surface"),EXACT(metadata!G946,"Animal proximal gut"),EXACT(metadata!G946,"Animal corpus"),EXACT(metadata!G946,"Animal distal gut"),EXACT(metadata!G946,"Animal secretion")))</f>
        <v>0</v>
      </c>
      <c r="AJ946" t="b">
        <f>OR(AND(IF(metadata!H946="",FALSE,TRUE),OR(EXACT(metadata!H946,"missing: not collected"),EXACT(metadata!H946,"missing: not provided"),EXACT(metadata!H946,"missing: restricted access"))),AND(IF(metadata!H946="",FALSE,TRUE),OR(EXACT(metadata!H946,"organism-associated habitat"),EXACT(metadata!H946,"plant-associated habitat"),EXACT(metadata!H946,"animal-associated habitat"),EXACT(metadata!H946,"insecta-associated habitat"),EXACT(metadata!H946,"mammalia-associated habitat"),EXACT(metadata!H946,"human-associated habitat"),EXACT(metadata!H946,"livestock-associated habitat"))))</f>
        <v>0</v>
      </c>
      <c r="AK946" t="b">
        <f>AND(IF(metadata!I946="",FALSE,TRUE),EXACT(metadata!I946,"host-associated"))</f>
        <v>0</v>
      </c>
      <c r="AL946" t="b">
        <f>OR(AND(IF(metadata!J946="",FALSE,TRUE),OR(EXACT(metadata!J946,"not applicable"),EXACT(metadata!J946,"missing: not collected"),EXACT(metadata!J946,"missing: not provided"),EXACT(metadata!J946,"missing: restricted access"))),AND(IF(metadata!J946="",FALSE,ISNUMBER(VALUE(metadata!J946))),metadata!J946&gt;0))</f>
        <v>0</v>
      </c>
      <c r="AM946" t="b">
        <f>AND(IF(metadata!K946="",FALSE,TRUE),EXACT(metadata!K946,"missing: not provided"))</f>
        <v>0</v>
      </c>
      <c r="AN946" t="b">
        <f>IF(metadata!L946="",FALSE,TRUE)</f>
        <v>0</v>
      </c>
      <c r="AO946" t="b">
        <f>IF(metadata!M946="",FALSE,TRUE)</f>
        <v>0</v>
      </c>
      <c r="AP946" t="b">
        <f>OR(AND(IF(metadata!N946="",FALSE,TRUE),OR(EXACT(metadata!N946,"not applicable"),EXACT(metadata!N946,"missing: not collected"),EXACT(metadata!N946,"missing: not provided"))),AND(IF(metadata!N946="",FALSE,IF(ISERROR(INT(metadata!N946)),FALSE,INT(metadata!N946)=metadata!N946)),metadata!N946&gt;0))</f>
        <v>0</v>
      </c>
      <c r="AQ946" t="b">
        <f>AND(IF(metadata!O946="",FALSE,TRUE),EXACT(metadata!O946,"Not applicable"))</f>
        <v>0</v>
      </c>
      <c r="AR946" t="b">
        <f>OR(AND(IF(metadata!P946="",FALSE,TRUE),OR(EXACT(metadata!P946,"not applicable"),EXACT(metadata!P946,"missing: not collected"),EXACT(metadata!P946,"missing: not provided"),EXACT(metadata!P946,"missing: restricted access"))),IF(metadata!P946="",FALSE,IF(ISERROR(INT(metadata!P946)),FALSE,INT(metadata!P946)=metadata!P946)))</f>
        <v>0</v>
      </c>
      <c r="AS946" t="b">
        <f>AND(IF(metadata!Q946="",FALSE,TRUE),EXACT(metadata!Q946,"Not applicable"))</f>
        <v>0</v>
      </c>
      <c r="AT946" t="b">
        <f>OR(AND(IF(metadata!R946="",FALSE,TRUE),OR(EXACT(metadata!R946,"not applicable"),EXACT(metadata!R946,"missing: not collected"),EXACT(metadata!R946,"missing: not provided"),EXACT(metadata!R946,"missing: restricted access"))),AND(IF(metadata!R946="",FALSE,ISNUMBER(VALUE(metadata!R946))),metadata!R946&gt;0))</f>
        <v>0</v>
      </c>
      <c r="AU946" t="b">
        <f>AND(IF(metadata!S946="",FALSE,TRUE),EXACT(metadata!S946,"missing: not provided"))</f>
        <v>0</v>
      </c>
    </row>
    <row r="947" spans="1:47" x14ac:dyDescent="0.2">
      <c r="A947" s="5" t="str">
        <f ca="1">IF(B947=" "," ",HYPERLINK(CONCATENATE("#metadata!",ADDRESS(INDEX($Y$2:$Y$1001,MATCH(ROWS($W$2:W947),$W$2:$W$1001,0),0),1)),INDEX($AB$2:$AB$1001,MATCH(ROWS($W$2:W947),$W$2:$W$1001,0),0)))</f>
        <v xml:space="preserve"> </v>
      </c>
      <c r="B947" s="4" t="str">
        <f ca="1">IF(OR(INDEX($X$2:$X$1001,MATCH(ROWS($W$2:W947),$W$2:$W$1001,0),1)&gt;=100000,INDEX($AD$1005:$AU$1005,1,MATCH(COLUMNS($AD$1006:AD1006),$AD$1006:$AU$1006,0))&gt;=100000), " ",IF(INDEX($AD$2:$AU$1001,MATCH(ROWS($W$2:W947),$W$2:$W$1001,0),MATCH(COLUMNS($AD$1006:AD1006),$AD$1006:$AU$1006,0)), HYPERLINK("#",""), HYPERLINK(CONCATENATE("#metadata!", ADDRESS(INDEX($Y$2:$Y$1001,MATCH(ROWS($W$2:W947),$W$2:$W$1001,0),0), INDEX($AD$1004:$AU$1004,1,MATCH(COLUMNS($AD$1006:AD1006),$AD$1006:$AU$1006,0)))),"Fix")))</f>
        <v xml:space="preserve"> </v>
      </c>
      <c r="C947" s="4" t="str">
        <f ca="1">IF(OR(INDEX($X$2:$X$1001,MATCH(ROWS($W$2:W947),$W$2:$W$1001,0),1)&gt;=100000,INDEX($AD$1005:$AU$1005,1,MATCH(COLUMNS($AD$1006:AE1006),$AD$1006:$AU$1006,0))&gt;=100000), " ",IF(INDEX($AD$2:$AU$1001,MATCH(ROWS($W$2:W947),$W$2:$W$1001,0),MATCH(COLUMNS($AD$1006:AE1006),$AD$1006:$AU$1006,0)), HYPERLINK("#",""), HYPERLINK(CONCATENATE("#metadata!", ADDRESS(INDEX($Y$2:$Y$1001,MATCH(ROWS($W$2:W947),$W$2:$W$1001,0),0), INDEX($AD$1004:$AU$1004,1,MATCH(COLUMNS($AD$1006:AE1006),$AD$1006:$AU$1006,0)))),"Fix")))</f>
        <v xml:space="preserve"> </v>
      </c>
      <c r="D947" s="4" t="str">
        <f ca="1">IF(OR(INDEX($X$2:$X$1001,MATCH(ROWS($W$2:W947),$W$2:$W$1001,0),1)&gt;=100000,INDEX($AD$1005:$AU$1005,1,MATCH(COLUMNS($AD$1006:AF1006),$AD$1006:$AU$1006,0))&gt;=100000), " ",IF(INDEX($AD$2:$AU$1001,MATCH(ROWS($W$2:W947),$W$2:$W$1001,0),MATCH(COLUMNS($AD$1006:AF1006),$AD$1006:$AU$1006,0)), HYPERLINK("#",""), HYPERLINK(CONCATENATE("#metadata!", ADDRESS(INDEX($Y$2:$Y$1001,MATCH(ROWS($W$2:W947),$W$2:$W$1001,0),0), INDEX($AD$1004:$AU$1004,1,MATCH(COLUMNS($AD$1006:AF1006),$AD$1006:$AU$1006,0)))),"Fix")))</f>
        <v xml:space="preserve"> </v>
      </c>
      <c r="E947" s="4" t="str">
        <f ca="1">IF(OR(INDEX($X$2:$X$1001,MATCH(ROWS($W$2:W947),$W$2:$W$1001,0),1)&gt;=100000,INDEX($AD$1005:$AU$1005,1,MATCH(COLUMNS($AD$1006:AG1006),$AD$1006:$AU$1006,0))&gt;=100000), " ",IF(INDEX($AD$2:$AU$1001,MATCH(ROWS($W$2:W947),$W$2:$W$1001,0),MATCH(COLUMNS($AD$1006:AG1006),$AD$1006:$AU$1006,0)), HYPERLINK("#",""), HYPERLINK(CONCATENATE("#metadata!", ADDRESS(INDEX($Y$2:$Y$1001,MATCH(ROWS($W$2:W947),$W$2:$W$1001,0),0), INDEX($AD$1004:$AU$1004,1,MATCH(COLUMNS($AD$1006:AG1006),$AD$1006:$AU$1006,0)))),"Fix")))</f>
        <v xml:space="preserve"> </v>
      </c>
      <c r="F947" s="4" t="str">
        <f ca="1">IF(OR(INDEX($X$2:$X$1001,MATCH(ROWS($W$2:W947),$W$2:$W$1001,0),1)&gt;=100000,INDEX($AD$1005:$AU$1005,1,MATCH(COLUMNS($AD$1006:AH1006),$AD$1006:$AU$1006,0))&gt;=100000), " ",IF(INDEX($AD$2:$AU$1001,MATCH(ROWS($W$2:W947),$W$2:$W$1001,0),MATCH(COLUMNS($AD$1006:AH1006),$AD$1006:$AU$1006,0)), HYPERLINK("#",""), HYPERLINK(CONCATENATE("#metadata!", ADDRESS(INDEX($Y$2:$Y$1001,MATCH(ROWS($W$2:W947),$W$2:$W$1001,0),0), INDEX($AD$1004:$AU$1004,1,MATCH(COLUMNS($AD$1006:AH1006),$AD$1006:$AU$1006,0)))),"Fix")))</f>
        <v xml:space="preserve"> </v>
      </c>
      <c r="G947" s="4" t="str">
        <f ca="1">IF(OR(INDEX($X$2:$X$1001,MATCH(ROWS($W$2:W947),$W$2:$W$1001,0),1)&gt;=100000,INDEX($AD$1005:$AU$1005,1,MATCH(COLUMNS($AD$1006:AI1006),$AD$1006:$AU$1006,0))&gt;=100000), " ",IF(INDEX($AD$2:$AU$1001,MATCH(ROWS($W$2:W947),$W$2:$W$1001,0),MATCH(COLUMNS($AD$1006:AI1006),$AD$1006:$AU$1006,0)), HYPERLINK("#",""), HYPERLINK(CONCATENATE("#metadata!", ADDRESS(INDEX($Y$2:$Y$1001,MATCH(ROWS($W$2:W947),$W$2:$W$1001,0),0), INDEX($AD$1004:$AU$1004,1,MATCH(COLUMNS($AD$1006:AI1006),$AD$1006:$AU$1006,0)))),"Fix")))</f>
        <v xml:space="preserve"> </v>
      </c>
      <c r="H947" s="4" t="str">
        <f ca="1">IF(OR(INDEX($X$2:$X$1001,MATCH(ROWS($W$2:W947),$W$2:$W$1001,0),1)&gt;=100000,INDEX($AD$1005:$AU$1005,1,MATCH(COLUMNS($AD$1006:AJ1006),$AD$1006:$AU$1006,0))&gt;=100000), " ",IF(INDEX($AD$2:$AU$1001,MATCH(ROWS($W$2:W947),$W$2:$W$1001,0),MATCH(COLUMNS($AD$1006:AJ1006),$AD$1006:$AU$1006,0)), HYPERLINK("#",""), HYPERLINK(CONCATENATE("#metadata!", ADDRESS(INDEX($Y$2:$Y$1001,MATCH(ROWS($W$2:W947),$W$2:$W$1001,0),0), INDEX($AD$1004:$AU$1004,1,MATCH(COLUMNS($AD$1006:AJ1006),$AD$1006:$AU$1006,0)))),"Fix")))</f>
        <v xml:space="preserve"> </v>
      </c>
      <c r="I947" s="4" t="str">
        <f ca="1">IF(OR(INDEX($X$2:$X$1001,MATCH(ROWS($W$2:W947),$W$2:$W$1001,0),1)&gt;=100000,INDEX($AD$1005:$AU$1005,1,MATCH(COLUMNS($AD$1006:AK1006),$AD$1006:$AU$1006,0))&gt;=100000), " ",IF(INDEX($AD$2:$AU$1001,MATCH(ROWS($W$2:W947),$W$2:$W$1001,0),MATCH(COLUMNS($AD$1006:AK1006),$AD$1006:$AU$1006,0)), HYPERLINK("#",""), HYPERLINK(CONCATENATE("#metadata!", ADDRESS(INDEX($Y$2:$Y$1001,MATCH(ROWS($W$2:W947),$W$2:$W$1001,0),0), INDEX($AD$1004:$AU$1004,1,MATCH(COLUMNS($AD$1006:AK1006),$AD$1006:$AU$1006,0)))),"Fix")))</f>
        <v xml:space="preserve"> </v>
      </c>
      <c r="J947" s="4" t="str">
        <f ca="1">IF(OR(INDEX($X$2:$X$1001,MATCH(ROWS($W$2:W947),$W$2:$W$1001,0),1)&gt;=100000,INDEX($AD$1005:$AU$1005,1,MATCH(COLUMNS($AD$1006:AL1006),$AD$1006:$AU$1006,0))&gt;=100000), " ",IF(INDEX($AD$2:$AU$1001,MATCH(ROWS($W$2:W947),$W$2:$W$1001,0),MATCH(COLUMNS($AD$1006:AL1006),$AD$1006:$AU$1006,0)), HYPERLINK("#",""), HYPERLINK(CONCATENATE("#metadata!", ADDRESS(INDEX($Y$2:$Y$1001,MATCH(ROWS($W$2:W947),$W$2:$W$1001,0),0), INDEX($AD$1004:$AU$1004,1,MATCH(COLUMNS($AD$1006:AL1006),$AD$1006:$AU$1006,0)))),"Fix")))</f>
        <v xml:space="preserve"> </v>
      </c>
      <c r="K947" s="4" t="str">
        <f ca="1">IF(OR(INDEX($X$2:$X$1001,MATCH(ROWS($W$2:W947),$W$2:$W$1001,0),1)&gt;=100000,INDEX($AD$1005:$AU$1005,1,MATCH(COLUMNS($AD$1006:AM1006),$AD$1006:$AU$1006,0))&gt;=100000), " ",IF(INDEX($AD$2:$AU$1001,MATCH(ROWS($W$2:W947),$W$2:$W$1001,0),MATCH(COLUMNS($AD$1006:AM1006),$AD$1006:$AU$1006,0)), HYPERLINK("#",""), HYPERLINK(CONCATENATE("#metadata!", ADDRESS(INDEX($Y$2:$Y$1001,MATCH(ROWS($W$2:W947),$W$2:$W$1001,0),0), INDEX($AD$1004:$AU$1004,1,MATCH(COLUMNS($AD$1006:AM1006),$AD$1006:$AU$1006,0)))),"Fix")))</f>
        <v xml:space="preserve"> </v>
      </c>
      <c r="L947" s="4" t="str">
        <f ca="1">IF(OR(INDEX($X$2:$X$1001,MATCH(ROWS($W$2:W947),$W$2:$W$1001,0),1)&gt;=100000,INDEX($AD$1005:$AU$1005,1,MATCH(COLUMNS($AD$1006:AN1006),$AD$1006:$AU$1006,0))&gt;=100000), " ",IF(INDEX($AD$2:$AU$1001,MATCH(ROWS($W$2:W947),$W$2:$W$1001,0),MATCH(COLUMNS($AD$1006:AN1006),$AD$1006:$AU$1006,0)), HYPERLINK("#",""), HYPERLINK(CONCATENATE("#metadata!", ADDRESS(INDEX($Y$2:$Y$1001,MATCH(ROWS($W$2:W947),$W$2:$W$1001,0),0), INDEX($AD$1004:$AU$1004,1,MATCH(COLUMNS($AD$1006:AN1006),$AD$1006:$AU$1006,0)))),"Fix")))</f>
        <v xml:space="preserve"> </v>
      </c>
      <c r="M947" s="4" t="str">
        <f ca="1">IF(OR(INDEX($X$2:$X$1001,MATCH(ROWS($W$2:W947),$W$2:$W$1001,0),1)&gt;=100000,INDEX($AD$1005:$AU$1005,1,MATCH(COLUMNS($AD$1006:AO1006),$AD$1006:$AU$1006,0))&gt;=100000), " ",IF(INDEX($AD$2:$AU$1001,MATCH(ROWS($W$2:W947),$W$2:$W$1001,0),MATCH(COLUMNS($AD$1006:AO1006),$AD$1006:$AU$1006,0)), HYPERLINK("#",""), HYPERLINK(CONCATENATE("#metadata!", ADDRESS(INDEX($Y$2:$Y$1001,MATCH(ROWS($W$2:W947),$W$2:$W$1001,0),0), INDEX($AD$1004:$AU$1004,1,MATCH(COLUMNS($AD$1006:AO1006),$AD$1006:$AU$1006,0)))),"Fix")))</f>
        <v xml:space="preserve"> </v>
      </c>
      <c r="N947" s="4" t="str">
        <f ca="1">IF(OR(INDEX($X$2:$X$1001,MATCH(ROWS($W$2:W947),$W$2:$W$1001,0),1)&gt;=100000,INDEX($AD$1005:$AU$1005,1,MATCH(COLUMNS($AD$1006:AP1006),$AD$1006:$AU$1006,0))&gt;=100000), " ",IF(INDEX($AD$2:$AU$1001,MATCH(ROWS($W$2:W947),$W$2:$W$1001,0),MATCH(COLUMNS($AD$1006:AP1006),$AD$1006:$AU$1006,0)), HYPERLINK("#",""), HYPERLINK(CONCATENATE("#metadata!", ADDRESS(INDEX($Y$2:$Y$1001,MATCH(ROWS($W$2:W947),$W$2:$W$1001,0),0), INDEX($AD$1004:$AU$1004,1,MATCH(COLUMNS($AD$1006:AP1006),$AD$1006:$AU$1006,0)))),"Fix")))</f>
        <v xml:space="preserve"> </v>
      </c>
      <c r="O947" s="4" t="str">
        <f ca="1">IF(OR(INDEX($X$2:$X$1001,MATCH(ROWS($W$2:W947),$W$2:$W$1001,0),1)&gt;=100000,INDEX($AD$1005:$AU$1005,1,MATCH(COLUMNS($AD$1006:AQ1006),$AD$1006:$AU$1006,0))&gt;=100000), " ",IF(INDEX($AD$2:$AU$1001,MATCH(ROWS($W$2:W947),$W$2:$W$1001,0),MATCH(COLUMNS($AD$1006:AQ1006),$AD$1006:$AU$1006,0)), HYPERLINK("#",""), HYPERLINK(CONCATENATE("#metadata!", ADDRESS(INDEX($Y$2:$Y$1001,MATCH(ROWS($W$2:W947),$W$2:$W$1001,0),0), INDEX($AD$1004:$AU$1004,1,MATCH(COLUMNS($AD$1006:AQ1006),$AD$1006:$AU$1006,0)))),"Fix")))</f>
        <v xml:space="preserve"> </v>
      </c>
      <c r="P947" s="4" t="str">
        <f ca="1">IF(OR(INDEX($X$2:$X$1001,MATCH(ROWS($W$2:W947),$W$2:$W$1001,0),1)&gt;=100000,INDEX($AD$1005:$AU$1005,1,MATCH(COLUMNS($AD$1006:AR1006),$AD$1006:$AU$1006,0))&gt;=100000), " ",IF(INDEX($AD$2:$AU$1001,MATCH(ROWS($W$2:W947),$W$2:$W$1001,0),MATCH(COLUMNS($AD$1006:AR1006),$AD$1006:$AU$1006,0)), HYPERLINK("#",""), HYPERLINK(CONCATENATE("#metadata!", ADDRESS(INDEX($Y$2:$Y$1001,MATCH(ROWS($W$2:W947),$W$2:$W$1001,0),0), INDEX($AD$1004:$AU$1004,1,MATCH(COLUMNS($AD$1006:AR1006),$AD$1006:$AU$1006,0)))),"Fix")))</f>
        <v xml:space="preserve"> </v>
      </c>
      <c r="Q947" s="4" t="str">
        <f ca="1">IF(OR(INDEX($X$2:$X$1001,MATCH(ROWS($W$2:W947),$W$2:$W$1001,0),1)&gt;=100000,INDEX($AD$1005:$AU$1005,1,MATCH(COLUMNS($AD$1006:AS1006),$AD$1006:$AU$1006,0))&gt;=100000), " ",IF(INDEX($AD$2:$AU$1001,MATCH(ROWS($W$2:W947),$W$2:$W$1001,0),MATCH(COLUMNS($AD$1006:AS1006),$AD$1006:$AU$1006,0)), HYPERLINK("#",""), HYPERLINK(CONCATENATE("#metadata!", ADDRESS(INDEX($Y$2:$Y$1001,MATCH(ROWS($W$2:W947),$W$2:$W$1001,0),0), INDEX($AD$1004:$AU$1004,1,MATCH(COLUMNS($AD$1006:AS1006),$AD$1006:$AU$1006,0)))),"Fix")))</f>
        <v xml:space="preserve"> </v>
      </c>
      <c r="R947" s="4" t="str">
        <f ca="1">IF(OR(INDEX($X$2:$X$1001,MATCH(ROWS($W$2:W947),$W$2:$W$1001,0),1)&gt;=100000,INDEX($AD$1005:$AU$1005,1,MATCH(COLUMNS($AD$1006:AT1006),$AD$1006:$AU$1006,0))&gt;=100000), " ",IF(INDEX($AD$2:$AU$1001,MATCH(ROWS($W$2:W947),$W$2:$W$1001,0),MATCH(COLUMNS($AD$1006:AT1006),$AD$1006:$AU$1006,0)), HYPERLINK("#",""), HYPERLINK(CONCATENATE("#metadata!", ADDRESS(INDEX($Y$2:$Y$1001,MATCH(ROWS($W$2:W947),$W$2:$W$1001,0),0), INDEX($AD$1004:$AU$1004,1,MATCH(COLUMNS($AD$1006:AT1006),$AD$1006:$AU$1006,0)))),"Fix")))</f>
        <v xml:space="preserve"> </v>
      </c>
      <c r="S947" s="4" t="str">
        <f ca="1">IF(OR(INDEX($X$2:$X$1001,MATCH(ROWS($W$2:W947),$W$2:$W$1001,0),1)&gt;=100000,INDEX($AD$1005:$AU$1005,1,MATCH(COLUMNS($AD$1006:AU1006),$AD$1006:$AU$1006,0))&gt;=100000), " ",IF(INDEX($AD$2:$AU$1001,MATCH(ROWS($W$2:W947),$W$2:$W$1001,0),MATCH(COLUMNS($AD$1006:AU1006),$AD$1006:$AU$1006,0)), HYPERLINK("#",""), HYPERLINK(CONCATENATE("#metadata!", ADDRESS(INDEX($Y$2:$Y$1001,MATCH(ROWS($W$2:W947),$W$2:$W$1001,0),0), INDEX($AD$1004:$AU$1004,1,MATCH(COLUMNS($AD$1006:AU1006),$AD$1006:$AU$1006,0)))),"Fix")))</f>
        <v xml:space="preserve"> </v>
      </c>
      <c r="W947">
        <v>946</v>
      </c>
      <c r="X947">
        <v>100947</v>
      </c>
      <c r="Y947">
        <v>947</v>
      </c>
      <c r="Z947" t="b">
        <f t="shared" si="14"/>
        <v>1</v>
      </c>
      <c r="AA947" t="b">
        <f>COUNTBLANK(metadata!B947:S947)=COLUMNS(metadata!B947:S947)</f>
        <v>1</v>
      </c>
      <c r="AB947" t="str">
        <v/>
      </c>
      <c r="AD947" t="b">
        <f ca="1">AND(IF(metadata!B947="",FALSE,TRUE),COUNTIF(metadata!B:B, metadata!B947) = 1,NOT(ISERROR(SUMPRODUCT(SEARCH(MID(metadata!B947,ROW(INDIRECT("1:"&amp;LEN(metadata!B947))), 1),"0123456789abcdefghijklmnopqrstuvwxyzABCDEFGHIJKLMNOPQRSTUVWXYZ.")))))</f>
        <v>0</v>
      </c>
      <c r="AE947" t="b">
        <f>OR(AND(IF(metadata!C947="",FALSE,TRUE),OR(EXACT(metadata!C947,"not applicable"),EXACT(metadata!C947,"missing: not collected"),EXACT(metadata!C947,"missing: not provided"),EXACT(metadata!C947,"missing: restricted access"))),AND(IF(metadata!C947="",FALSE,ISNUMBER(VALUE(metadata!C947))),metadata!C947&gt;0))</f>
        <v>0</v>
      </c>
      <c r="AF947" t="b">
        <f>AND(IF(metadata!D947="",FALSE,TRUE),EXACT(metadata!D947,"missing: not provided"))</f>
        <v>0</v>
      </c>
      <c r="AG947" t="b">
        <f>AND(IF(metadata!E947="",FALSE,TRUE),EXACT(metadata!E947,"Host-associated"))</f>
        <v>0</v>
      </c>
      <c r="AH947" t="b">
        <f>AND(IF(metadata!F947="",FALSE,TRUE),OR(EXACT(metadata!F947,"Animal"),EXACT(metadata!F947,"Fungus"),EXACT(metadata!F947,"Plant")))</f>
        <v>0</v>
      </c>
      <c r="AI947" t="b">
        <f>AND(IF(metadata!G947="",FALSE,TRUE),OR(EXACT(metadata!G947,"Plant secretion"),EXACT(metadata!G947,"Plant rhizosphere"),EXACT(metadata!G947,"Plant surface"),EXACT(metadata!G947,"Plant corpus"),EXACT(metadata!G947,"Fungus surface"),EXACT(metadata!G947,"Fungus corpus"),EXACT(metadata!G947,"Animal surface"),EXACT(metadata!G947,"Animal proximal gut"),EXACT(metadata!G947,"Animal corpus"),EXACT(metadata!G947,"Animal distal gut"),EXACT(metadata!G947,"Animal secretion")))</f>
        <v>0</v>
      </c>
      <c r="AJ947" t="b">
        <f>OR(AND(IF(metadata!H947="",FALSE,TRUE),OR(EXACT(metadata!H947,"missing: not collected"),EXACT(metadata!H947,"missing: not provided"),EXACT(metadata!H947,"missing: restricted access"))),AND(IF(metadata!H947="",FALSE,TRUE),OR(EXACT(metadata!H947,"organism-associated habitat"),EXACT(metadata!H947,"plant-associated habitat"),EXACT(metadata!H947,"animal-associated habitat"),EXACT(metadata!H947,"insecta-associated habitat"),EXACT(metadata!H947,"mammalia-associated habitat"),EXACT(metadata!H947,"human-associated habitat"),EXACT(metadata!H947,"livestock-associated habitat"))))</f>
        <v>0</v>
      </c>
      <c r="AK947" t="b">
        <f>AND(IF(metadata!I947="",FALSE,TRUE),EXACT(metadata!I947,"host-associated"))</f>
        <v>0</v>
      </c>
      <c r="AL947" t="b">
        <f>OR(AND(IF(metadata!J947="",FALSE,TRUE),OR(EXACT(metadata!J947,"not applicable"),EXACT(metadata!J947,"missing: not collected"),EXACT(metadata!J947,"missing: not provided"),EXACT(metadata!J947,"missing: restricted access"))),AND(IF(metadata!J947="",FALSE,ISNUMBER(VALUE(metadata!J947))),metadata!J947&gt;0))</f>
        <v>0</v>
      </c>
      <c r="AM947" t="b">
        <f>AND(IF(metadata!K947="",FALSE,TRUE),EXACT(metadata!K947,"missing: not provided"))</f>
        <v>0</v>
      </c>
      <c r="AN947" t="b">
        <f>IF(metadata!L947="",FALSE,TRUE)</f>
        <v>0</v>
      </c>
      <c r="AO947" t="b">
        <f>IF(metadata!M947="",FALSE,TRUE)</f>
        <v>0</v>
      </c>
      <c r="AP947" t="b">
        <f>OR(AND(IF(metadata!N947="",FALSE,TRUE),OR(EXACT(metadata!N947,"not applicable"),EXACT(metadata!N947,"missing: not collected"),EXACT(metadata!N947,"missing: not provided"))),AND(IF(metadata!N947="",FALSE,IF(ISERROR(INT(metadata!N947)),FALSE,INT(metadata!N947)=metadata!N947)),metadata!N947&gt;0))</f>
        <v>0</v>
      </c>
      <c r="AQ947" t="b">
        <f>AND(IF(metadata!O947="",FALSE,TRUE),EXACT(metadata!O947,"Not applicable"))</f>
        <v>0</v>
      </c>
      <c r="AR947" t="b">
        <f>OR(AND(IF(metadata!P947="",FALSE,TRUE),OR(EXACT(metadata!P947,"not applicable"),EXACT(metadata!P947,"missing: not collected"),EXACT(metadata!P947,"missing: not provided"),EXACT(metadata!P947,"missing: restricted access"))),IF(metadata!P947="",FALSE,IF(ISERROR(INT(metadata!P947)),FALSE,INT(metadata!P947)=metadata!P947)))</f>
        <v>0</v>
      </c>
      <c r="AS947" t="b">
        <f>AND(IF(metadata!Q947="",FALSE,TRUE),EXACT(metadata!Q947,"Not applicable"))</f>
        <v>0</v>
      </c>
      <c r="AT947" t="b">
        <f>OR(AND(IF(metadata!R947="",FALSE,TRUE),OR(EXACT(metadata!R947,"not applicable"),EXACT(metadata!R947,"missing: not collected"),EXACT(metadata!R947,"missing: not provided"),EXACT(metadata!R947,"missing: restricted access"))),AND(IF(metadata!R947="",FALSE,ISNUMBER(VALUE(metadata!R947))),metadata!R947&gt;0))</f>
        <v>0</v>
      </c>
      <c r="AU947" t="b">
        <f>AND(IF(metadata!S947="",FALSE,TRUE),EXACT(metadata!S947,"missing: not provided"))</f>
        <v>0</v>
      </c>
    </row>
    <row r="948" spans="1:47" x14ac:dyDescent="0.2">
      <c r="A948" s="5" t="str">
        <f ca="1">IF(B948=" "," ",HYPERLINK(CONCATENATE("#metadata!",ADDRESS(INDEX($Y$2:$Y$1001,MATCH(ROWS($W$2:W948),$W$2:$W$1001,0),0),1)),INDEX($AB$2:$AB$1001,MATCH(ROWS($W$2:W948),$W$2:$W$1001,0),0)))</f>
        <v xml:space="preserve"> </v>
      </c>
      <c r="B948" s="4" t="str">
        <f ca="1">IF(OR(INDEX($X$2:$X$1001,MATCH(ROWS($W$2:W948),$W$2:$W$1001,0),1)&gt;=100000,INDEX($AD$1005:$AU$1005,1,MATCH(COLUMNS($AD$1006:AD1006),$AD$1006:$AU$1006,0))&gt;=100000), " ",IF(INDEX($AD$2:$AU$1001,MATCH(ROWS($W$2:W948),$W$2:$W$1001,0),MATCH(COLUMNS($AD$1006:AD1006),$AD$1006:$AU$1006,0)), HYPERLINK("#",""), HYPERLINK(CONCATENATE("#metadata!", ADDRESS(INDEX($Y$2:$Y$1001,MATCH(ROWS($W$2:W948),$W$2:$W$1001,0),0), INDEX($AD$1004:$AU$1004,1,MATCH(COLUMNS($AD$1006:AD1006),$AD$1006:$AU$1006,0)))),"Fix")))</f>
        <v xml:space="preserve"> </v>
      </c>
      <c r="C948" s="4" t="str">
        <f ca="1">IF(OR(INDEX($X$2:$X$1001,MATCH(ROWS($W$2:W948),$W$2:$W$1001,0),1)&gt;=100000,INDEX($AD$1005:$AU$1005,1,MATCH(COLUMNS($AD$1006:AE1006),$AD$1006:$AU$1006,0))&gt;=100000), " ",IF(INDEX($AD$2:$AU$1001,MATCH(ROWS($W$2:W948),$W$2:$W$1001,0),MATCH(COLUMNS($AD$1006:AE1006),$AD$1006:$AU$1006,0)), HYPERLINK("#",""), HYPERLINK(CONCATENATE("#metadata!", ADDRESS(INDEX($Y$2:$Y$1001,MATCH(ROWS($W$2:W948),$W$2:$W$1001,0),0), INDEX($AD$1004:$AU$1004,1,MATCH(COLUMNS($AD$1006:AE1006),$AD$1006:$AU$1006,0)))),"Fix")))</f>
        <v xml:space="preserve"> </v>
      </c>
      <c r="D948" s="4" t="str">
        <f ca="1">IF(OR(INDEX($X$2:$X$1001,MATCH(ROWS($W$2:W948),$W$2:$W$1001,0),1)&gt;=100000,INDEX($AD$1005:$AU$1005,1,MATCH(COLUMNS($AD$1006:AF1006),$AD$1006:$AU$1006,0))&gt;=100000), " ",IF(INDEX($AD$2:$AU$1001,MATCH(ROWS($W$2:W948),$W$2:$W$1001,0),MATCH(COLUMNS($AD$1006:AF1006),$AD$1006:$AU$1006,0)), HYPERLINK("#",""), HYPERLINK(CONCATENATE("#metadata!", ADDRESS(INDEX($Y$2:$Y$1001,MATCH(ROWS($W$2:W948),$W$2:$W$1001,0),0), INDEX($AD$1004:$AU$1004,1,MATCH(COLUMNS($AD$1006:AF1006),$AD$1006:$AU$1006,0)))),"Fix")))</f>
        <v xml:space="preserve"> </v>
      </c>
      <c r="E948" s="4" t="str">
        <f ca="1">IF(OR(INDEX($X$2:$X$1001,MATCH(ROWS($W$2:W948),$W$2:$W$1001,0),1)&gt;=100000,INDEX($AD$1005:$AU$1005,1,MATCH(COLUMNS($AD$1006:AG1006),$AD$1006:$AU$1006,0))&gt;=100000), " ",IF(INDEX($AD$2:$AU$1001,MATCH(ROWS($W$2:W948),$W$2:$W$1001,0),MATCH(COLUMNS($AD$1006:AG1006),$AD$1006:$AU$1006,0)), HYPERLINK("#",""), HYPERLINK(CONCATENATE("#metadata!", ADDRESS(INDEX($Y$2:$Y$1001,MATCH(ROWS($W$2:W948),$W$2:$W$1001,0),0), INDEX($AD$1004:$AU$1004,1,MATCH(COLUMNS($AD$1006:AG1006),$AD$1006:$AU$1006,0)))),"Fix")))</f>
        <v xml:space="preserve"> </v>
      </c>
      <c r="F948" s="4" t="str">
        <f ca="1">IF(OR(INDEX($X$2:$X$1001,MATCH(ROWS($W$2:W948),$W$2:$W$1001,0),1)&gt;=100000,INDEX($AD$1005:$AU$1005,1,MATCH(COLUMNS($AD$1006:AH1006),$AD$1006:$AU$1006,0))&gt;=100000), " ",IF(INDEX($AD$2:$AU$1001,MATCH(ROWS($W$2:W948),$W$2:$W$1001,0),MATCH(COLUMNS($AD$1006:AH1006),$AD$1006:$AU$1006,0)), HYPERLINK("#",""), HYPERLINK(CONCATENATE("#metadata!", ADDRESS(INDEX($Y$2:$Y$1001,MATCH(ROWS($W$2:W948),$W$2:$W$1001,0),0), INDEX($AD$1004:$AU$1004,1,MATCH(COLUMNS($AD$1006:AH1006),$AD$1006:$AU$1006,0)))),"Fix")))</f>
        <v xml:space="preserve"> </v>
      </c>
      <c r="G948" s="4" t="str">
        <f ca="1">IF(OR(INDEX($X$2:$X$1001,MATCH(ROWS($W$2:W948),$W$2:$W$1001,0),1)&gt;=100000,INDEX($AD$1005:$AU$1005,1,MATCH(COLUMNS($AD$1006:AI1006),$AD$1006:$AU$1006,0))&gt;=100000), " ",IF(INDEX($AD$2:$AU$1001,MATCH(ROWS($W$2:W948),$W$2:$W$1001,0),MATCH(COLUMNS($AD$1006:AI1006),$AD$1006:$AU$1006,0)), HYPERLINK("#",""), HYPERLINK(CONCATENATE("#metadata!", ADDRESS(INDEX($Y$2:$Y$1001,MATCH(ROWS($W$2:W948),$W$2:$W$1001,0),0), INDEX($AD$1004:$AU$1004,1,MATCH(COLUMNS($AD$1006:AI1006),$AD$1006:$AU$1006,0)))),"Fix")))</f>
        <v xml:space="preserve"> </v>
      </c>
      <c r="H948" s="4" t="str">
        <f ca="1">IF(OR(INDEX($X$2:$X$1001,MATCH(ROWS($W$2:W948),$W$2:$W$1001,0),1)&gt;=100000,INDEX($AD$1005:$AU$1005,1,MATCH(COLUMNS($AD$1006:AJ1006),$AD$1006:$AU$1006,0))&gt;=100000), " ",IF(INDEX($AD$2:$AU$1001,MATCH(ROWS($W$2:W948),$W$2:$W$1001,0),MATCH(COLUMNS($AD$1006:AJ1006),$AD$1006:$AU$1006,0)), HYPERLINK("#",""), HYPERLINK(CONCATENATE("#metadata!", ADDRESS(INDEX($Y$2:$Y$1001,MATCH(ROWS($W$2:W948),$W$2:$W$1001,0),0), INDEX($AD$1004:$AU$1004,1,MATCH(COLUMNS($AD$1006:AJ1006),$AD$1006:$AU$1006,0)))),"Fix")))</f>
        <v xml:space="preserve"> </v>
      </c>
      <c r="I948" s="4" t="str">
        <f ca="1">IF(OR(INDEX($X$2:$X$1001,MATCH(ROWS($W$2:W948),$W$2:$W$1001,0),1)&gt;=100000,INDEX($AD$1005:$AU$1005,1,MATCH(COLUMNS($AD$1006:AK1006),$AD$1006:$AU$1006,0))&gt;=100000), " ",IF(INDEX($AD$2:$AU$1001,MATCH(ROWS($W$2:W948),$W$2:$W$1001,0),MATCH(COLUMNS($AD$1006:AK1006),$AD$1006:$AU$1006,0)), HYPERLINK("#",""), HYPERLINK(CONCATENATE("#metadata!", ADDRESS(INDEX($Y$2:$Y$1001,MATCH(ROWS($W$2:W948),$W$2:$W$1001,0),0), INDEX($AD$1004:$AU$1004,1,MATCH(COLUMNS($AD$1006:AK1006),$AD$1006:$AU$1006,0)))),"Fix")))</f>
        <v xml:space="preserve"> </v>
      </c>
      <c r="J948" s="4" t="str">
        <f ca="1">IF(OR(INDEX($X$2:$X$1001,MATCH(ROWS($W$2:W948),$W$2:$W$1001,0),1)&gt;=100000,INDEX($AD$1005:$AU$1005,1,MATCH(COLUMNS($AD$1006:AL1006),$AD$1006:$AU$1006,0))&gt;=100000), " ",IF(INDEX($AD$2:$AU$1001,MATCH(ROWS($W$2:W948),$W$2:$W$1001,0),MATCH(COLUMNS($AD$1006:AL1006),$AD$1006:$AU$1006,0)), HYPERLINK("#",""), HYPERLINK(CONCATENATE("#metadata!", ADDRESS(INDEX($Y$2:$Y$1001,MATCH(ROWS($W$2:W948),$W$2:$W$1001,0),0), INDEX($AD$1004:$AU$1004,1,MATCH(COLUMNS($AD$1006:AL1006),$AD$1006:$AU$1006,0)))),"Fix")))</f>
        <v xml:space="preserve"> </v>
      </c>
      <c r="K948" s="4" t="str">
        <f ca="1">IF(OR(INDEX($X$2:$X$1001,MATCH(ROWS($W$2:W948),$W$2:$W$1001,0),1)&gt;=100000,INDEX($AD$1005:$AU$1005,1,MATCH(COLUMNS($AD$1006:AM1006),$AD$1006:$AU$1006,0))&gt;=100000), " ",IF(INDEX($AD$2:$AU$1001,MATCH(ROWS($W$2:W948),$W$2:$W$1001,0),MATCH(COLUMNS($AD$1006:AM1006),$AD$1006:$AU$1006,0)), HYPERLINK("#",""), HYPERLINK(CONCATENATE("#metadata!", ADDRESS(INDEX($Y$2:$Y$1001,MATCH(ROWS($W$2:W948),$W$2:$W$1001,0),0), INDEX($AD$1004:$AU$1004,1,MATCH(COLUMNS($AD$1006:AM1006),$AD$1006:$AU$1006,0)))),"Fix")))</f>
        <v xml:space="preserve"> </v>
      </c>
      <c r="L948" s="4" t="str">
        <f ca="1">IF(OR(INDEX($X$2:$X$1001,MATCH(ROWS($W$2:W948),$W$2:$W$1001,0),1)&gt;=100000,INDEX($AD$1005:$AU$1005,1,MATCH(COLUMNS($AD$1006:AN1006),$AD$1006:$AU$1006,0))&gt;=100000), " ",IF(INDEX($AD$2:$AU$1001,MATCH(ROWS($W$2:W948),$W$2:$W$1001,0),MATCH(COLUMNS($AD$1006:AN1006),$AD$1006:$AU$1006,0)), HYPERLINK("#",""), HYPERLINK(CONCATENATE("#metadata!", ADDRESS(INDEX($Y$2:$Y$1001,MATCH(ROWS($W$2:W948),$W$2:$W$1001,0),0), INDEX($AD$1004:$AU$1004,1,MATCH(COLUMNS($AD$1006:AN1006),$AD$1006:$AU$1006,0)))),"Fix")))</f>
        <v xml:space="preserve"> </v>
      </c>
      <c r="M948" s="4" t="str">
        <f ca="1">IF(OR(INDEX($X$2:$X$1001,MATCH(ROWS($W$2:W948),$W$2:$W$1001,0),1)&gt;=100000,INDEX($AD$1005:$AU$1005,1,MATCH(COLUMNS($AD$1006:AO1006),$AD$1006:$AU$1006,0))&gt;=100000), " ",IF(INDEX($AD$2:$AU$1001,MATCH(ROWS($W$2:W948),$W$2:$W$1001,0),MATCH(COLUMNS($AD$1006:AO1006),$AD$1006:$AU$1006,0)), HYPERLINK("#",""), HYPERLINK(CONCATENATE("#metadata!", ADDRESS(INDEX($Y$2:$Y$1001,MATCH(ROWS($W$2:W948),$W$2:$W$1001,0),0), INDEX($AD$1004:$AU$1004,1,MATCH(COLUMNS($AD$1006:AO1006),$AD$1006:$AU$1006,0)))),"Fix")))</f>
        <v xml:space="preserve"> </v>
      </c>
      <c r="N948" s="4" t="str">
        <f ca="1">IF(OR(INDEX($X$2:$X$1001,MATCH(ROWS($W$2:W948),$W$2:$W$1001,0),1)&gt;=100000,INDEX($AD$1005:$AU$1005,1,MATCH(COLUMNS($AD$1006:AP1006),$AD$1006:$AU$1006,0))&gt;=100000), " ",IF(INDEX($AD$2:$AU$1001,MATCH(ROWS($W$2:W948),$W$2:$W$1001,0),MATCH(COLUMNS($AD$1006:AP1006),$AD$1006:$AU$1006,0)), HYPERLINK("#",""), HYPERLINK(CONCATENATE("#metadata!", ADDRESS(INDEX($Y$2:$Y$1001,MATCH(ROWS($W$2:W948),$W$2:$W$1001,0),0), INDEX($AD$1004:$AU$1004,1,MATCH(COLUMNS($AD$1006:AP1006),$AD$1006:$AU$1006,0)))),"Fix")))</f>
        <v xml:space="preserve"> </v>
      </c>
      <c r="O948" s="4" t="str">
        <f ca="1">IF(OR(INDEX($X$2:$X$1001,MATCH(ROWS($W$2:W948),$W$2:$W$1001,0),1)&gt;=100000,INDEX($AD$1005:$AU$1005,1,MATCH(COLUMNS($AD$1006:AQ1006),$AD$1006:$AU$1006,0))&gt;=100000), " ",IF(INDEX($AD$2:$AU$1001,MATCH(ROWS($W$2:W948),$W$2:$W$1001,0),MATCH(COLUMNS($AD$1006:AQ1006),$AD$1006:$AU$1006,0)), HYPERLINK("#",""), HYPERLINK(CONCATENATE("#metadata!", ADDRESS(INDEX($Y$2:$Y$1001,MATCH(ROWS($W$2:W948),$W$2:$W$1001,0),0), INDEX($AD$1004:$AU$1004,1,MATCH(COLUMNS($AD$1006:AQ1006),$AD$1006:$AU$1006,0)))),"Fix")))</f>
        <v xml:space="preserve"> </v>
      </c>
      <c r="P948" s="4" t="str">
        <f ca="1">IF(OR(INDEX($X$2:$X$1001,MATCH(ROWS($W$2:W948),$W$2:$W$1001,0),1)&gt;=100000,INDEX($AD$1005:$AU$1005,1,MATCH(COLUMNS($AD$1006:AR1006),$AD$1006:$AU$1006,0))&gt;=100000), " ",IF(INDEX($AD$2:$AU$1001,MATCH(ROWS($W$2:W948),$W$2:$W$1001,0),MATCH(COLUMNS($AD$1006:AR1006),$AD$1006:$AU$1006,0)), HYPERLINK("#",""), HYPERLINK(CONCATENATE("#metadata!", ADDRESS(INDEX($Y$2:$Y$1001,MATCH(ROWS($W$2:W948),$W$2:$W$1001,0),0), INDEX($AD$1004:$AU$1004,1,MATCH(COLUMNS($AD$1006:AR1006),$AD$1006:$AU$1006,0)))),"Fix")))</f>
        <v xml:space="preserve"> </v>
      </c>
      <c r="Q948" s="4" t="str">
        <f ca="1">IF(OR(INDEX($X$2:$X$1001,MATCH(ROWS($W$2:W948),$W$2:$W$1001,0),1)&gt;=100000,INDEX($AD$1005:$AU$1005,1,MATCH(COLUMNS($AD$1006:AS1006),$AD$1006:$AU$1006,0))&gt;=100000), " ",IF(INDEX($AD$2:$AU$1001,MATCH(ROWS($W$2:W948),$W$2:$W$1001,0),MATCH(COLUMNS($AD$1006:AS1006),$AD$1006:$AU$1006,0)), HYPERLINK("#",""), HYPERLINK(CONCATENATE("#metadata!", ADDRESS(INDEX($Y$2:$Y$1001,MATCH(ROWS($W$2:W948),$W$2:$W$1001,0),0), INDEX($AD$1004:$AU$1004,1,MATCH(COLUMNS($AD$1006:AS1006),$AD$1006:$AU$1006,0)))),"Fix")))</f>
        <v xml:space="preserve"> </v>
      </c>
      <c r="R948" s="4" t="str">
        <f ca="1">IF(OR(INDEX($X$2:$X$1001,MATCH(ROWS($W$2:W948),$W$2:$W$1001,0),1)&gt;=100000,INDEX($AD$1005:$AU$1005,1,MATCH(COLUMNS($AD$1006:AT1006),$AD$1006:$AU$1006,0))&gt;=100000), " ",IF(INDEX($AD$2:$AU$1001,MATCH(ROWS($W$2:W948),$W$2:$W$1001,0),MATCH(COLUMNS($AD$1006:AT1006),$AD$1006:$AU$1006,0)), HYPERLINK("#",""), HYPERLINK(CONCATENATE("#metadata!", ADDRESS(INDEX($Y$2:$Y$1001,MATCH(ROWS($W$2:W948),$W$2:$W$1001,0),0), INDEX($AD$1004:$AU$1004,1,MATCH(COLUMNS($AD$1006:AT1006),$AD$1006:$AU$1006,0)))),"Fix")))</f>
        <v xml:space="preserve"> </v>
      </c>
      <c r="S948" s="4" t="str">
        <f ca="1">IF(OR(INDEX($X$2:$X$1001,MATCH(ROWS($W$2:W948),$W$2:$W$1001,0),1)&gt;=100000,INDEX($AD$1005:$AU$1005,1,MATCH(COLUMNS($AD$1006:AU1006),$AD$1006:$AU$1006,0))&gt;=100000), " ",IF(INDEX($AD$2:$AU$1001,MATCH(ROWS($W$2:W948),$W$2:$W$1001,0),MATCH(COLUMNS($AD$1006:AU1006),$AD$1006:$AU$1006,0)), HYPERLINK("#",""), HYPERLINK(CONCATENATE("#metadata!", ADDRESS(INDEX($Y$2:$Y$1001,MATCH(ROWS($W$2:W948),$W$2:$W$1001,0),0), INDEX($AD$1004:$AU$1004,1,MATCH(COLUMNS($AD$1006:AU1006),$AD$1006:$AU$1006,0)))),"Fix")))</f>
        <v xml:space="preserve"> </v>
      </c>
      <c r="W948">
        <v>947</v>
      </c>
      <c r="X948">
        <v>100948</v>
      </c>
      <c r="Y948">
        <v>948</v>
      </c>
      <c r="Z948" t="b">
        <f t="shared" si="14"/>
        <v>1</v>
      </c>
      <c r="AA948" t="b">
        <f>COUNTBLANK(metadata!B948:S948)=COLUMNS(metadata!B948:S948)</f>
        <v>1</v>
      </c>
      <c r="AB948" t="str">
        <v/>
      </c>
      <c r="AD948" t="b">
        <f ca="1">AND(IF(metadata!B948="",FALSE,TRUE),COUNTIF(metadata!B:B, metadata!B948) = 1,NOT(ISERROR(SUMPRODUCT(SEARCH(MID(metadata!B948,ROW(INDIRECT("1:"&amp;LEN(metadata!B948))), 1),"0123456789abcdefghijklmnopqrstuvwxyzABCDEFGHIJKLMNOPQRSTUVWXYZ.")))))</f>
        <v>0</v>
      </c>
      <c r="AE948" t="b">
        <f>OR(AND(IF(metadata!C948="",FALSE,TRUE),OR(EXACT(metadata!C948,"not applicable"),EXACT(metadata!C948,"missing: not collected"),EXACT(metadata!C948,"missing: not provided"),EXACT(metadata!C948,"missing: restricted access"))),AND(IF(metadata!C948="",FALSE,ISNUMBER(VALUE(metadata!C948))),metadata!C948&gt;0))</f>
        <v>0</v>
      </c>
      <c r="AF948" t="b">
        <f>AND(IF(metadata!D948="",FALSE,TRUE),EXACT(metadata!D948,"missing: not provided"))</f>
        <v>0</v>
      </c>
      <c r="AG948" t="b">
        <f>AND(IF(metadata!E948="",FALSE,TRUE),EXACT(metadata!E948,"Host-associated"))</f>
        <v>0</v>
      </c>
      <c r="AH948" t="b">
        <f>AND(IF(metadata!F948="",FALSE,TRUE),OR(EXACT(metadata!F948,"Animal"),EXACT(metadata!F948,"Fungus"),EXACT(metadata!F948,"Plant")))</f>
        <v>0</v>
      </c>
      <c r="AI948" t="b">
        <f>AND(IF(metadata!G948="",FALSE,TRUE),OR(EXACT(metadata!G948,"Plant secretion"),EXACT(metadata!G948,"Plant rhizosphere"),EXACT(metadata!G948,"Plant surface"),EXACT(metadata!G948,"Plant corpus"),EXACT(metadata!G948,"Fungus surface"),EXACT(metadata!G948,"Fungus corpus"),EXACT(metadata!G948,"Animal surface"),EXACT(metadata!G948,"Animal proximal gut"),EXACT(metadata!G948,"Animal corpus"),EXACT(metadata!G948,"Animal distal gut"),EXACT(metadata!G948,"Animal secretion")))</f>
        <v>0</v>
      </c>
      <c r="AJ948" t="b">
        <f>OR(AND(IF(metadata!H948="",FALSE,TRUE),OR(EXACT(metadata!H948,"missing: not collected"),EXACT(metadata!H948,"missing: not provided"),EXACT(metadata!H948,"missing: restricted access"))),AND(IF(metadata!H948="",FALSE,TRUE),OR(EXACT(metadata!H948,"organism-associated habitat"),EXACT(metadata!H948,"plant-associated habitat"),EXACT(metadata!H948,"animal-associated habitat"),EXACT(metadata!H948,"insecta-associated habitat"),EXACT(metadata!H948,"mammalia-associated habitat"),EXACT(metadata!H948,"human-associated habitat"),EXACT(metadata!H948,"livestock-associated habitat"))))</f>
        <v>0</v>
      </c>
      <c r="AK948" t="b">
        <f>AND(IF(metadata!I948="",FALSE,TRUE),EXACT(metadata!I948,"host-associated"))</f>
        <v>0</v>
      </c>
      <c r="AL948" t="b">
        <f>OR(AND(IF(metadata!J948="",FALSE,TRUE),OR(EXACT(metadata!J948,"not applicable"),EXACT(metadata!J948,"missing: not collected"),EXACT(metadata!J948,"missing: not provided"),EXACT(metadata!J948,"missing: restricted access"))),AND(IF(metadata!J948="",FALSE,ISNUMBER(VALUE(metadata!J948))),metadata!J948&gt;0))</f>
        <v>0</v>
      </c>
      <c r="AM948" t="b">
        <f>AND(IF(metadata!K948="",FALSE,TRUE),EXACT(metadata!K948,"missing: not provided"))</f>
        <v>0</v>
      </c>
      <c r="AN948" t="b">
        <f>IF(metadata!L948="",FALSE,TRUE)</f>
        <v>0</v>
      </c>
      <c r="AO948" t="b">
        <f>IF(metadata!M948="",FALSE,TRUE)</f>
        <v>0</v>
      </c>
      <c r="AP948" t="b">
        <f>OR(AND(IF(metadata!N948="",FALSE,TRUE),OR(EXACT(metadata!N948,"not applicable"),EXACT(metadata!N948,"missing: not collected"),EXACT(metadata!N948,"missing: not provided"))),AND(IF(metadata!N948="",FALSE,IF(ISERROR(INT(metadata!N948)),FALSE,INT(metadata!N948)=metadata!N948)),metadata!N948&gt;0))</f>
        <v>0</v>
      </c>
      <c r="AQ948" t="b">
        <f>AND(IF(metadata!O948="",FALSE,TRUE),EXACT(metadata!O948,"Not applicable"))</f>
        <v>0</v>
      </c>
      <c r="AR948" t="b">
        <f>OR(AND(IF(metadata!P948="",FALSE,TRUE),OR(EXACT(metadata!P948,"not applicable"),EXACT(metadata!P948,"missing: not collected"),EXACT(metadata!P948,"missing: not provided"),EXACT(metadata!P948,"missing: restricted access"))),IF(metadata!P948="",FALSE,IF(ISERROR(INT(metadata!P948)),FALSE,INT(metadata!P948)=metadata!P948)))</f>
        <v>0</v>
      </c>
      <c r="AS948" t="b">
        <f>AND(IF(metadata!Q948="",FALSE,TRUE),EXACT(metadata!Q948,"Not applicable"))</f>
        <v>0</v>
      </c>
      <c r="AT948" t="b">
        <f>OR(AND(IF(metadata!R948="",FALSE,TRUE),OR(EXACT(metadata!R948,"not applicable"),EXACT(metadata!R948,"missing: not collected"),EXACT(metadata!R948,"missing: not provided"),EXACT(metadata!R948,"missing: restricted access"))),AND(IF(metadata!R948="",FALSE,ISNUMBER(VALUE(metadata!R948))),metadata!R948&gt;0))</f>
        <v>0</v>
      </c>
      <c r="AU948" t="b">
        <f>AND(IF(metadata!S948="",FALSE,TRUE),EXACT(metadata!S948,"missing: not provided"))</f>
        <v>0</v>
      </c>
    </row>
    <row r="949" spans="1:47" x14ac:dyDescent="0.2">
      <c r="A949" s="5" t="str">
        <f ca="1">IF(B949=" "," ",HYPERLINK(CONCATENATE("#metadata!",ADDRESS(INDEX($Y$2:$Y$1001,MATCH(ROWS($W$2:W949),$W$2:$W$1001,0),0),1)),INDEX($AB$2:$AB$1001,MATCH(ROWS($W$2:W949),$W$2:$W$1001,0),0)))</f>
        <v xml:space="preserve"> </v>
      </c>
      <c r="B949" s="4" t="str">
        <f ca="1">IF(OR(INDEX($X$2:$X$1001,MATCH(ROWS($W$2:W949),$W$2:$W$1001,0),1)&gt;=100000,INDEX($AD$1005:$AU$1005,1,MATCH(COLUMNS($AD$1006:AD1006),$AD$1006:$AU$1006,0))&gt;=100000), " ",IF(INDEX($AD$2:$AU$1001,MATCH(ROWS($W$2:W949),$W$2:$W$1001,0),MATCH(COLUMNS($AD$1006:AD1006),$AD$1006:$AU$1006,0)), HYPERLINK("#",""), HYPERLINK(CONCATENATE("#metadata!", ADDRESS(INDEX($Y$2:$Y$1001,MATCH(ROWS($W$2:W949),$W$2:$W$1001,0),0), INDEX($AD$1004:$AU$1004,1,MATCH(COLUMNS($AD$1006:AD1006),$AD$1006:$AU$1006,0)))),"Fix")))</f>
        <v xml:space="preserve"> </v>
      </c>
      <c r="C949" s="4" t="str">
        <f ca="1">IF(OR(INDEX($X$2:$X$1001,MATCH(ROWS($W$2:W949),$W$2:$W$1001,0),1)&gt;=100000,INDEX($AD$1005:$AU$1005,1,MATCH(COLUMNS($AD$1006:AE1006),$AD$1006:$AU$1006,0))&gt;=100000), " ",IF(INDEX($AD$2:$AU$1001,MATCH(ROWS($W$2:W949),$W$2:$W$1001,0),MATCH(COLUMNS($AD$1006:AE1006),$AD$1006:$AU$1006,0)), HYPERLINK("#",""), HYPERLINK(CONCATENATE("#metadata!", ADDRESS(INDEX($Y$2:$Y$1001,MATCH(ROWS($W$2:W949),$W$2:$W$1001,0),0), INDEX($AD$1004:$AU$1004,1,MATCH(COLUMNS($AD$1006:AE1006),$AD$1006:$AU$1006,0)))),"Fix")))</f>
        <v xml:space="preserve"> </v>
      </c>
      <c r="D949" s="4" t="str">
        <f ca="1">IF(OR(INDEX($X$2:$X$1001,MATCH(ROWS($W$2:W949),$W$2:$W$1001,0),1)&gt;=100000,INDEX($AD$1005:$AU$1005,1,MATCH(COLUMNS($AD$1006:AF1006),$AD$1006:$AU$1006,0))&gt;=100000), " ",IF(INDEX($AD$2:$AU$1001,MATCH(ROWS($W$2:W949),$W$2:$W$1001,0),MATCH(COLUMNS($AD$1006:AF1006),$AD$1006:$AU$1006,0)), HYPERLINK("#",""), HYPERLINK(CONCATENATE("#metadata!", ADDRESS(INDEX($Y$2:$Y$1001,MATCH(ROWS($W$2:W949),$W$2:$W$1001,0),0), INDEX($AD$1004:$AU$1004,1,MATCH(COLUMNS($AD$1006:AF1006),$AD$1006:$AU$1006,0)))),"Fix")))</f>
        <v xml:space="preserve"> </v>
      </c>
      <c r="E949" s="4" t="str">
        <f ca="1">IF(OR(INDEX($X$2:$X$1001,MATCH(ROWS($W$2:W949),$W$2:$W$1001,0),1)&gt;=100000,INDEX($AD$1005:$AU$1005,1,MATCH(COLUMNS($AD$1006:AG1006),$AD$1006:$AU$1006,0))&gt;=100000), " ",IF(INDEX($AD$2:$AU$1001,MATCH(ROWS($W$2:W949),$W$2:$W$1001,0),MATCH(COLUMNS($AD$1006:AG1006),$AD$1006:$AU$1006,0)), HYPERLINK("#",""), HYPERLINK(CONCATENATE("#metadata!", ADDRESS(INDEX($Y$2:$Y$1001,MATCH(ROWS($W$2:W949),$W$2:$W$1001,0),0), INDEX($AD$1004:$AU$1004,1,MATCH(COLUMNS($AD$1006:AG1006),$AD$1006:$AU$1006,0)))),"Fix")))</f>
        <v xml:space="preserve"> </v>
      </c>
      <c r="F949" s="4" t="str">
        <f ca="1">IF(OR(INDEX($X$2:$X$1001,MATCH(ROWS($W$2:W949),$W$2:$W$1001,0),1)&gt;=100000,INDEX($AD$1005:$AU$1005,1,MATCH(COLUMNS($AD$1006:AH1006),$AD$1006:$AU$1006,0))&gt;=100000), " ",IF(INDEX($AD$2:$AU$1001,MATCH(ROWS($W$2:W949),$W$2:$W$1001,0),MATCH(COLUMNS($AD$1006:AH1006),$AD$1006:$AU$1006,0)), HYPERLINK("#",""), HYPERLINK(CONCATENATE("#metadata!", ADDRESS(INDEX($Y$2:$Y$1001,MATCH(ROWS($W$2:W949),$W$2:$W$1001,0),0), INDEX($AD$1004:$AU$1004,1,MATCH(COLUMNS($AD$1006:AH1006),$AD$1006:$AU$1006,0)))),"Fix")))</f>
        <v xml:space="preserve"> </v>
      </c>
      <c r="G949" s="4" t="str">
        <f ca="1">IF(OR(INDEX($X$2:$X$1001,MATCH(ROWS($W$2:W949),$W$2:$W$1001,0),1)&gt;=100000,INDEX($AD$1005:$AU$1005,1,MATCH(COLUMNS($AD$1006:AI1006),$AD$1006:$AU$1006,0))&gt;=100000), " ",IF(INDEX($AD$2:$AU$1001,MATCH(ROWS($W$2:W949),$W$2:$W$1001,0),MATCH(COLUMNS($AD$1006:AI1006),$AD$1006:$AU$1006,0)), HYPERLINK("#",""), HYPERLINK(CONCATENATE("#metadata!", ADDRESS(INDEX($Y$2:$Y$1001,MATCH(ROWS($W$2:W949),$W$2:$W$1001,0),0), INDEX($AD$1004:$AU$1004,1,MATCH(COLUMNS($AD$1006:AI1006),$AD$1006:$AU$1006,0)))),"Fix")))</f>
        <v xml:space="preserve"> </v>
      </c>
      <c r="H949" s="4" t="str">
        <f ca="1">IF(OR(INDEX($X$2:$X$1001,MATCH(ROWS($W$2:W949),$W$2:$W$1001,0),1)&gt;=100000,INDEX($AD$1005:$AU$1005,1,MATCH(COLUMNS($AD$1006:AJ1006),$AD$1006:$AU$1006,0))&gt;=100000), " ",IF(INDEX($AD$2:$AU$1001,MATCH(ROWS($W$2:W949),$W$2:$W$1001,0),MATCH(COLUMNS($AD$1006:AJ1006),$AD$1006:$AU$1006,0)), HYPERLINK("#",""), HYPERLINK(CONCATENATE("#metadata!", ADDRESS(INDEX($Y$2:$Y$1001,MATCH(ROWS($W$2:W949),$W$2:$W$1001,0),0), INDEX($AD$1004:$AU$1004,1,MATCH(COLUMNS($AD$1006:AJ1006),$AD$1006:$AU$1006,0)))),"Fix")))</f>
        <v xml:space="preserve"> </v>
      </c>
      <c r="I949" s="4" t="str">
        <f ca="1">IF(OR(INDEX($X$2:$X$1001,MATCH(ROWS($W$2:W949),$W$2:$W$1001,0),1)&gt;=100000,INDEX($AD$1005:$AU$1005,1,MATCH(COLUMNS($AD$1006:AK1006),$AD$1006:$AU$1006,0))&gt;=100000), " ",IF(INDEX($AD$2:$AU$1001,MATCH(ROWS($W$2:W949),$W$2:$W$1001,0),MATCH(COLUMNS($AD$1006:AK1006),$AD$1006:$AU$1006,0)), HYPERLINK("#",""), HYPERLINK(CONCATENATE("#metadata!", ADDRESS(INDEX($Y$2:$Y$1001,MATCH(ROWS($W$2:W949),$W$2:$W$1001,0),0), INDEX($AD$1004:$AU$1004,1,MATCH(COLUMNS($AD$1006:AK1006),$AD$1006:$AU$1006,0)))),"Fix")))</f>
        <v xml:space="preserve"> </v>
      </c>
      <c r="J949" s="4" t="str">
        <f ca="1">IF(OR(INDEX($X$2:$X$1001,MATCH(ROWS($W$2:W949),$W$2:$W$1001,0),1)&gt;=100000,INDEX($AD$1005:$AU$1005,1,MATCH(COLUMNS($AD$1006:AL1006),$AD$1006:$AU$1006,0))&gt;=100000), " ",IF(INDEX($AD$2:$AU$1001,MATCH(ROWS($W$2:W949),$W$2:$W$1001,0),MATCH(COLUMNS($AD$1006:AL1006),$AD$1006:$AU$1006,0)), HYPERLINK("#",""), HYPERLINK(CONCATENATE("#metadata!", ADDRESS(INDEX($Y$2:$Y$1001,MATCH(ROWS($W$2:W949),$W$2:$W$1001,0),0), INDEX($AD$1004:$AU$1004,1,MATCH(COLUMNS($AD$1006:AL1006),$AD$1006:$AU$1006,0)))),"Fix")))</f>
        <v xml:space="preserve"> </v>
      </c>
      <c r="K949" s="4" t="str">
        <f ca="1">IF(OR(INDEX($X$2:$X$1001,MATCH(ROWS($W$2:W949),$W$2:$W$1001,0),1)&gt;=100000,INDEX($AD$1005:$AU$1005,1,MATCH(COLUMNS($AD$1006:AM1006),$AD$1006:$AU$1006,0))&gt;=100000), " ",IF(INDEX($AD$2:$AU$1001,MATCH(ROWS($W$2:W949),$W$2:$W$1001,0),MATCH(COLUMNS($AD$1006:AM1006),$AD$1006:$AU$1006,0)), HYPERLINK("#",""), HYPERLINK(CONCATENATE("#metadata!", ADDRESS(INDEX($Y$2:$Y$1001,MATCH(ROWS($W$2:W949),$W$2:$W$1001,0),0), INDEX($AD$1004:$AU$1004,1,MATCH(COLUMNS($AD$1006:AM1006),$AD$1006:$AU$1006,0)))),"Fix")))</f>
        <v xml:space="preserve"> </v>
      </c>
      <c r="L949" s="4" t="str">
        <f ca="1">IF(OR(INDEX($X$2:$X$1001,MATCH(ROWS($W$2:W949),$W$2:$W$1001,0),1)&gt;=100000,INDEX($AD$1005:$AU$1005,1,MATCH(COLUMNS($AD$1006:AN1006),$AD$1006:$AU$1006,0))&gt;=100000), " ",IF(INDEX($AD$2:$AU$1001,MATCH(ROWS($W$2:W949),$W$2:$W$1001,0),MATCH(COLUMNS($AD$1006:AN1006),$AD$1006:$AU$1006,0)), HYPERLINK("#",""), HYPERLINK(CONCATENATE("#metadata!", ADDRESS(INDEX($Y$2:$Y$1001,MATCH(ROWS($W$2:W949),$W$2:$W$1001,0),0), INDEX($AD$1004:$AU$1004,1,MATCH(COLUMNS($AD$1006:AN1006),$AD$1006:$AU$1006,0)))),"Fix")))</f>
        <v xml:space="preserve"> </v>
      </c>
      <c r="M949" s="4" t="str">
        <f ca="1">IF(OR(INDEX($X$2:$X$1001,MATCH(ROWS($W$2:W949),$W$2:$W$1001,0),1)&gt;=100000,INDEX($AD$1005:$AU$1005,1,MATCH(COLUMNS($AD$1006:AO1006),$AD$1006:$AU$1006,0))&gt;=100000), " ",IF(INDEX($AD$2:$AU$1001,MATCH(ROWS($W$2:W949),$W$2:$W$1001,0),MATCH(COLUMNS($AD$1006:AO1006),$AD$1006:$AU$1006,0)), HYPERLINK("#",""), HYPERLINK(CONCATENATE("#metadata!", ADDRESS(INDEX($Y$2:$Y$1001,MATCH(ROWS($W$2:W949),$W$2:$W$1001,0),0), INDEX($AD$1004:$AU$1004,1,MATCH(COLUMNS($AD$1006:AO1006),$AD$1006:$AU$1006,0)))),"Fix")))</f>
        <v xml:space="preserve"> </v>
      </c>
      <c r="N949" s="4" t="str">
        <f ca="1">IF(OR(INDEX($X$2:$X$1001,MATCH(ROWS($W$2:W949),$W$2:$W$1001,0),1)&gt;=100000,INDEX($AD$1005:$AU$1005,1,MATCH(COLUMNS($AD$1006:AP1006),$AD$1006:$AU$1006,0))&gt;=100000), " ",IF(INDEX($AD$2:$AU$1001,MATCH(ROWS($W$2:W949),$W$2:$W$1001,0),MATCH(COLUMNS($AD$1006:AP1006),$AD$1006:$AU$1006,0)), HYPERLINK("#",""), HYPERLINK(CONCATENATE("#metadata!", ADDRESS(INDEX($Y$2:$Y$1001,MATCH(ROWS($W$2:W949),$W$2:$W$1001,0),0), INDEX($AD$1004:$AU$1004,1,MATCH(COLUMNS($AD$1006:AP1006),$AD$1006:$AU$1006,0)))),"Fix")))</f>
        <v xml:space="preserve"> </v>
      </c>
      <c r="O949" s="4" t="str">
        <f ca="1">IF(OR(INDEX($X$2:$X$1001,MATCH(ROWS($W$2:W949),$W$2:$W$1001,0),1)&gt;=100000,INDEX($AD$1005:$AU$1005,1,MATCH(COLUMNS($AD$1006:AQ1006),$AD$1006:$AU$1006,0))&gt;=100000), " ",IF(INDEX($AD$2:$AU$1001,MATCH(ROWS($W$2:W949),$W$2:$W$1001,0),MATCH(COLUMNS($AD$1006:AQ1006),$AD$1006:$AU$1006,0)), HYPERLINK("#",""), HYPERLINK(CONCATENATE("#metadata!", ADDRESS(INDEX($Y$2:$Y$1001,MATCH(ROWS($W$2:W949),$W$2:$W$1001,0),0), INDEX($AD$1004:$AU$1004,1,MATCH(COLUMNS($AD$1006:AQ1006),$AD$1006:$AU$1006,0)))),"Fix")))</f>
        <v xml:space="preserve"> </v>
      </c>
      <c r="P949" s="4" t="str">
        <f ca="1">IF(OR(INDEX($X$2:$X$1001,MATCH(ROWS($W$2:W949),$W$2:$W$1001,0),1)&gt;=100000,INDEX($AD$1005:$AU$1005,1,MATCH(COLUMNS($AD$1006:AR1006),$AD$1006:$AU$1006,0))&gt;=100000), " ",IF(INDEX($AD$2:$AU$1001,MATCH(ROWS($W$2:W949),$W$2:$W$1001,0),MATCH(COLUMNS($AD$1006:AR1006),$AD$1006:$AU$1006,0)), HYPERLINK("#",""), HYPERLINK(CONCATENATE("#metadata!", ADDRESS(INDEX($Y$2:$Y$1001,MATCH(ROWS($W$2:W949),$W$2:$W$1001,0),0), INDEX($AD$1004:$AU$1004,1,MATCH(COLUMNS($AD$1006:AR1006),$AD$1006:$AU$1006,0)))),"Fix")))</f>
        <v xml:space="preserve"> </v>
      </c>
      <c r="Q949" s="4" t="str">
        <f ca="1">IF(OR(INDEX($X$2:$X$1001,MATCH(ROWS($W$2:W949),$W$2:$W$1001,0),1)&gt;=100000,INDEX($AD$1005:$AU$1005,1,MATCH(COLUMNS($AD$1006:AS1006),$AD$1006:$AU$1006,0))&gt;=100000), " ",IF(INDEX($AD$2:$AU$1001,MATCH(ROWS($W$2:W949),$W$2:$W$1001,0),MATCH(COLUMNS($AD$1006:AS1006),$AD$1006:$AU$1006,0)), HYPERLINK("#",""), HYPERLINK(CONCATENATE("#metadata!", ADDRESS(INDEX($Y$2:$Y$1001,MATCH(ROWS($W$2:W949),$W$2:$W$1001,0),0), INDEX($AD$1004:$AU$1004,1,MATCH(COLUMNS($AD$1006:AS1006),$AD$1006:$AU$1006,0)))),"Fix")))</f>
        <v xml:space="preserve"> </v>
      </c>
      <c r="R949" s="4" t="str">
        <f ca="1">IF(OR(INDEX($X$2:$X$1001,MATCH(ROWS($W$2:W949),$W$2:$W$1001,0),1)&gt;=100000,INDEX($AD$1005:$AU$1005,1,MATCH(COLUMNS($AD$1006:AT1006),$AD$1006:$AU$1006,0))&gt;=100000), " ",IF(INDEX($AD$2:$AU$1001,MATCH(ROWS($W$2:W949),$W$2:$W$1001,0),MATCH(COLUMNS($AD$1006:AT1006),$AD$1006:$AU$1006,0)), HYPERLINK("#",""), HYPERLINK(CONCATENATE("#metadata!", ADDRESS(INDEX($Y$2:$Y$1001,MATCH(ROWS($W$2:W949),$W$2:$W$1001,0),0), INDEX($AD$1004:$AU$1004,1,MATCH(COLUMNS($AD$1006:AT1006),$AD$1006:$AU$1006,0)))),"Fix")))</f>
        <v xml:space="preserve"> </v>
      </c>
      <c r="S949" s="4" t="str">
        <f ca="1">IF(OR(INDEX($X$2:$X$1001,MATCH(ROWS($W$2:W949),$W$2:$W$1001,0),1)&gt;=100000,INDEX($AD$1005:$AU$1005,1,MATCH(COLUMNS($AD$1006:AU1006),$AD$1006:$AU$1006,0))&gt;=100000), " ",IF(INDEX($AD$2:$AU$1001,MATCH(ROWS($W$2:W949),$W$2:$W$1001,0),MATCH(COLUMNS($AD$1006:AU1006),$AD$1006:$AU$1006,0)), HYPERLINK("#",""), HYPERLINK(CONCATENATE("#metadata!", ADDRESS(INDEX($Y$2:$Y$1001,MATCH(ROWS($W$2:W949),$W$2:$W$1001,0),0), INDEX($AD$1004:$AU$1004,1,MATCH(COLUMNS($AD$1006:AU1006),$AD$1006:$AU$1006,0)))),"Fix")))</f>
        <v xml:space="preserve"> </v>
      </c>
      <c r="W949">
        <v>948</v>
      </c>
      <c r="X949">
        <v>100949</v>
      </c>
      <c r="Y949">
        <v>949</v>
      </c>
      <c r="Z949" t="b">
        <f t="shared" si="14"/>
        <v>1</v>
      </c>
      <c r="AA949" t="b">
        <f>COUNTBLANK(metadata!B949:S949)=COLUMNS(metadata!B949:S949)</f>
        <v>1</v>
      </c>
      <c r="AB949" t="str">
        <v/>
      </c>
      <c r="AD949" t="b">
        <f ca="1">AND(IF(metadata!B949="",FALSE,TRUE),COUNTIF(metadata!B:B, metadata!B949) = 1,NOT(ISERROR(SUMPRODUCT(SEARCH(MID(metadata!B949,ROW(INDIRECT("1:"&amp;LEN(metadata!B949))), 1),"0123456789abcdefghijklmnopqrstuvwxyzABCDEFGHIJKLMNOPQRSTUVWXYZ.")))))</f>
        <v>0</v>
      </c>
      <c r="AE949" t="b">
        <f>OR(AND(IF(metadata!C949="",FALSE,TRUE),OR(EXACT(metadata!C949,"not applicable"),EXACT(metadata!C949,"missing: not collected"),EXACT(metadata!C949,"missing: not provided"),EXACT(metadata!C949,"missing: restricted access"))),AND(IF(metadata!C949="",FALSE,ISNUMBER(VALUE(metadata!C949))),metadata!C949&gt;0))</f>
        <v>0</v>
      </c>
      <c r="AF949" t="b">
        <f>AND(IF(metadata!D949="",FALSE,TRUE),EXACT(metadata!D949,"missing: not provided"))</f>
        <v>0</v>
      </c>
      <c r="AG949" t="b">
        <f>AND(IF(metadata!E949="",FALSE,TRUE),EXACT(metadata!E949,"Host-associated"))</f>
        <v>0</v>
      </c>
      <c r="AH949" t="b">
        <f>AND(IF(metadata!F949="",FALSE,TRUE),OR(EXACT(metadata!F949,"Animal"),EXACT(metadata!F949,"Fungus"),EXACT(metadata!F949,"Plant")))</f>
        <v>0</v>
      </c>
      <c r="AI949" t="b">
        <f>AND(IF(metadata!G949="",FALSE,TRUE),OR(EXACT(metadata!G949,"Plant secretion"),EXACT(metadata!G949,"Plant rhizosphere"),EXACT(metadata!G949,"Plant surface"),EXACT(metadata!G949,"Plant corpus"),EXACT(metadata!G949,"Fungus surface"),EXACT(metadata!G949,"Fungus corpus"),EXACT(metadata!G949,"Animal surface"),EXACT(metadata!G949,"Animal proximal gut"),EXACT(metadata!G949,"Animal corpus"),EXACT(metadata!G949,"Animal distal gut"),EXACT(metadata!G949,"Animal secretion")))</f>
        <v>0</v>
      </c>
      <c r="AJ949" t="b">
        <f>OR(AND(IF(metadata!H949="",FALSE,TRUE),OR(EXACT(metadata!H949,"missing: not collected"),EXACT(metadata!H949,"missing: not provided"),EXACT(metadata!H949,"missing: restricted access"))),AND(IF(metadata!H949="",FALSE,TRUE),OR(EXACT(metadata!H949,"organism-associated habitat"),EXACT(metadata!H949,"plant-associated habitat"),EXACT(metadata!H949,"animal-associated habitat"),EXACT(metadata!H949,"insecta-associated habitat"),EXACT(metadata!H949,"mammalia-associated habitat"),EXACT(metadata!H949,"human-associated habitat"),EXACT(metadata!H949,"livestock-associated habitat"))))</f>
        <v>0</v>
      </c>
      <c r="AK949" t="b">
        <f>AND(IF(metadata!I949="",FALSE,TRUE),EXACT(metadata!I949,"host-associated"))</f>
        <v>0</v>
      </c>
      <c r="AL949" t="b">
        <f>OR(AND(IF(metadata!J949="",FALSE,TRUE),OR(EXACT(metadata!J949,"not applicable"),EXACT(metadata!J949,"missing: not collected"),EXACT(metadata!J949,"missing: not provided"),EXACT(metadata!J949,"missing: restricted access"))),AND(IF(metadata!J949="",FALSE,ISNUMBER(VALUE(metadata!J949))),metadata!J949&gt;0))</f>
        <v>0</v>
      </c>
      <c r="AM949" t="b">
        <f>AND(IF(metadata!K949="",FALSE,TRUE),EXACT(metadata!K949,"missing: not provided"))</f>
        <v>0</v>
      </c>
      <c r="AN949" t="b">
        <f>IF(metadata!L949="",FALSE,TRUE)</f>
        <v>0</v>
      </c>
      <c r="AO949" t="b">
        <f>IF(metadata!M949="",FALSE,TRUE)</f>
        <v>0</v>
      </c>
      <c r="AP949" t="b">
        <f>OR(AND(IF(metadata!N949="",FALSE,TRUE),OR(EXACT(metadata!N949,"not applicable"),EXACT(metadata!N949,"missing: not collected"),EXACT(metadata!N949,"missing: not provided"))),AND(IF(metadata!N949="",FALSE,IF(ISERROR(INT(metadata!N949)),FALSE,INT(metadata!N949)=metadata!N949)),metadata!N949&gt;0))</f>
        <v>0</v>
      </c>
      <c r="AQ949" t="b">
        <f>AND(IF(metadata!O949="",FALSE,TRUE),EXACT(metadata!O949,"Not applicable"))</f>
        <v>0</v>
      </c>
      <c r="AR949" t="b">
        <f>OR(AND(IF(metadata!P949="",FALSE,TRUE),OR(EXACT(metadata!P949,"not applicable"),EXACT(metadata!P949,"missing: not collected"),EXACT(metadata!P949,"missing: not provided"),EXACT(metadata!P949,"missing: restricted access"))),IF(metadata!P949="",FALSE,IF(ISERROR(INT(metadata!P949)),FALSE,INT(metadata!P949)=metadata!P949)))</f>
        <v>0</v>
      </c>
      <c r="AS949" t="b">
        <f>AND(IF(metadata!Q949="",FALSE,TRUE),EXACT(metadata!Q949,"Not applicable"))</f>
        <v>0</v>
      </c>
      <c r="AT949" t="b">
        <f>OR(AND(IF(metadata!R949="",FALSE,TRUE),OR(EXACT(metadata!R949,"not applicable"),EXACT(metadata!R949,"missing: not collected"),EXACT(metadata!R949,"missing: not provided"),EXACT(metadata!R949,"missing: restricted access"))),AND(IF(metadata!R949="",FALSE,ISNUMBER(VALUE(metadata!R949))),metadata!R949&gt;0))</f>
        <v>0</v>
      </c>
      <c r="AU949" t="b">
        <f>AND(IF(metadata!S949="",FALSE,TRUE),EXACT(metadata!S949,"missing: not provided"))</f>
        <v>0</v>
      </c>
    </row>
    <row r="950" spans="1:47" x14ac:dyDescent="0.2">
      <c r="A950" s="5" t="str">
        <f ca="1">IF(B950=" "," ",HYPERLINK(CONCATENATE("#metadata!",ADDRESS(INDEX($Y$2:$Y$1001,MATCH(ROWS($W$2:W950),$W$2:$W$1001,0),0),1)),INDEX($AB$2:$AB$1001,MATCH(ROWS($W$2:W950),$W$2:$W$1001,0),0)))</f>
        <v xml:space="preserve"> </v>
      </c>
      <c r="B950" s="4" t="str">
        <f ca="1">IF(OR(INDEX($X$2:$X$1001,MATCH(ROWS($W$2:W950),$W$2:$W$1001,0),1)&gt;=100000,INDEX($AD$1005:$AU$1005,1,MATCH(COLUMNS($AD$1006:AD1006),$AD$1006:$AU$1006,0))&gt;=100000), " ",IF(INDEX($AD$2:$AU$1001,MATCH(ROWS($W$2:W950),$W$2:$W$1001,0),MATCH(COLUMNS($AD$1006:AD1006),$AD$1006:$AU$1006,0)), HYPERLINK("#",""), HYPERLINK(CONCATENATE("#metadata!", ADDRESS(INDEX($Y$2:$Y$1001,MATCH(ROWS($W$2:W950),$W$2:$W$1001,0),0), INDEX($AD$1004:$AU$1004,1,MATCH(COLUMNS($AD$1006:AD1006),$AD$1006:$AU$1006,0)))),"Fix")))</f>
        <v xml:space="preserve"> </v>
      </c>
      <c r="C950" s="4" t="str">
        <f ca="1">IF(OR(INDEX($X$2:$X$1001,MATCH(ROWS($W$2:W950),$W$2:$W$1001,0),1)&gt;=100000,INDEX($AD$1005:$AU$1005,1,MATCH(COLUMNS($AD$1006:AE1006),$AD$1006:$AU$1006,0))&gt;=100000), " ",IF(INDEX($AD$2:$AU$1001,MATCH(ROWS($W$2:W950),$W$2:$W$1001,0),MATCH(COLUMNS($AD$1006:AE1006),$AD$1006:$AU$1006,0)), HYPERLINK("#",""), HYPERLINK(CONCATENATE("#metadata!", ADDRESS(INDEX($Y$2:$Y$1001,MATCH(ROWS($W$2:W950),$W$2:$W$1001,0),0), INDEX($AD$1004:$AU$1004,1,MATCH(COLUMNS($AD$1006:AE1006),$AD$1006:$AU$1006,0)))),"Fix")))</f>
        <v xml:space="preserve"> </v>
      </c>
      <c r="D950" s="4" t="str">
        <f ca="1">IF(OR(INDEX($X$2:$X$1001,MATCH(ROWS($W$2:W950),$W$2:$W$1001,0),1)&gt;=100000,INDEX($AD$1005:$AU$1005,1,MATCH(COLUMNS($AD$1006:AF1006),$AD$1006:$AU$1006,0))&gt;=100000), " ",IF(INDEX($AD$2:$AU$1001,MATCH(ROWS($W$2:W950),$W$2:$W$1001,0),MATCH(COLUMNS($AD$1006:AF1006),$AD$1006:$AU$1006,0)), HYPERLINK("#",""), HYPERLINK(CONCATENATE("#metadata!", ADDRESS(INDEX($Y$2:$Y$1001,MATCH(ROWS($W$2:W950),$W$2:$W$1001,0),0), INDEX($AD$1004:$AU$1004,1,MATCH(COLUMNS($AD$1006:AF1006),$AD$1006:$AU$1006,0)))),"Fix")))</f>
        <v xml:space="preserve"> </v>
      </c>
      <c r="E950" s="4" t="str">
        <f ca="1">IF(OR(INDEX($X$2:$X$1001,MATCH(ROWS($W$2:W950),$W$2:$W$1001,0),1)&gt;=100000,INDEX($AD$1005:$AU$1005,1,MATCH(COLUMNS($AD$1006:AG1006),$AD$1006:$AU$1006,0))&gt;=100000), " ",IF(INDEX($AD$2:$AU$1001,MATCH(ROWS($W$2:W950),$W$2:$W$1001,0),MATCH(COLUMNS($AD$1006:AG1006),$AD$1006:$AU$1006,0)), HYPERLINK("#",""), HYPERLINK(CONCATENATE("#metadata!", ADDRESS(INDEX($Y$2:$Y$1001,MATCH(ROWS($W$2:W950),$W$2:$W$1001,0),0), INDEX($AD$1004:$AU$1004,1,MATCH(COLUMNS($AD$1006:AG1006),$AD$1006:$AU$1006,0)))),"Fix")))</f>
        <v xml:space="preserve"> </v>
      </c>
      <c r="F950" s="4" t="str">
        <f ca="1">IF(OR(INDEX($X$2:$X$1001,MATCH(ROWS($W$2:W950),$W$2:$W$1001,0),1)&gt;=100000,INDEX($AD$1005:$AU$1005,1,MATCH(COLUMNS($AD$1006:AH1006),$AD$1006:$AU$1006,0))&gt;=100000), " ",IF(INDEX($AD$2:$AU$1001,MATCH(ROWS($W$2:W950),$W$2:$W$1001,0),MATCH(COLUMNS($AD$1006:AH1006),$AD$1006:$AU$1006,0)), HYPERLINK("#",""), HYPERLINK(CONCATENATE("#metadata!", ADDRESS(INDEX($Y$2:$Y$1001,MATCH(ROWS($W$2:W950),$W$2:$W$1001,0),0), INDEX($AD$1004:$AU$1004,1,MATCH(COLUMNS($AD$1006:AH1006),$AD$1006:$AU$1006,0)))),"Fix")))</f>
        <v xml:space="preserve"> </v>
      </c>
      <c r="G950" s="4" t="str">
        <f ca="1">IF(OR(INDEX($X$2:$X$1001,MATCH(ROWS($W$2:W950),$W$2:$W$1001,0),1)&gt;=100000,INDEX($AD$1005:$AU$1005,1,MATCH(COLUMNS($AD$1006:AI1006),$AD$1006:$AU$1006,0))&gt;=100000), " ",IF(INDEX($AD$2:$AU$1001,MATCH(ROWS($W$2:W950),$W$2:$W$1001,0),MATCH(COLUMNS($AD$1006:AI1006),$AD$1006:$AU$1006,0)), HYPERLINK("#",""), HYPERLINK(CONCATENATE("#metadata!", ADDRESS(INDEX($Y$2:$Y$1001,MATCH(ROWS($W$2:W950),$W$2:$W$1001,0),0), INDEX($AD$1004:$AU$1004,1,MATCH(COLUMNS($AD$1006:AI1006),$AD$1006:$AU$1006,0)))),"Fix")))</f>
        <v xml:space="preserve"> </v>
      </c>
      <c r="H950" s="4" t="str">
        <f ca="1">IF(OR(INDEX($X$2:$X$1001,MATCH(ROWS($W$2:W950),$W$2:$W$1001,0),1)&gt;=100000,INDEX($AD$1005:$AU$1005,1,MATCH(COLUMNS($AD$1006:AJ1006),$AD$1006:$AU$1006,0))&gt;=100000), " ",IF(INDEX($AD$2:$AU$1001,MATCH(ROWS($W$2:W950),$W$2:$W$1001,0),MATCH(COLUMNS($AD$1006:AJ1006),$AD$1006:$AU$1006,0)), HYPERLINK("#",""), HYPERLINK(CONCATENATE("#metadata!", ADDRESS(INDEX($Y$2:$Y$1001,MATCH(ROWS($W$2:W950),$W$2:$W$1001,0),0), INDEX($AD$1004:$AU$1004,1,MATCH(COLUMNS($AD$1006:AJ1006),$AD$1006:$AU$1006,0)))),"Fix")))</f>
        <v xml:space="preserve"> </v>
      </c>
      <c r="I950" s="4" t="str">
        <f ca="1">IF(OR(INDEX($X$2:$X$1001,MATCH(ROWS($W$2:W950),$W$2:$W$1001,0),1)&gt;=100000,INDEX($AD$1005:$AU$1005,1,MATCH(COLUMNS($AD$1006:AK1006),$AD$1006:$AU$1006,0))&gt;=100000), " ",IF(INDEX($AD$2:$AU$1001,MATCH(ROWS($W$2:W950),$W$2:$W$1001,0),MATCH(COLUMNS($AD$1006:AK1006),$AD$1006:$AU$1006,0)), HYPERLINK("#",""), HYPERLINK(CONCATENATE("#metadata!", ADDRESS(INDEX($Y$2:$Y$1001,MATCH(ROWS($W$2:W950),$W$2:$W$1001,0),0), INDEX($AD$1004:$AU$1004,1,MATCH(COLUMNS($AD$1006:AK1006),$AD$1006:$AU$1006,0)))),"Fix")))</f>
        <v xml:space="preserve"> </v>
      </c>
      <c r="J950" s="4" t="str">
        <f ca="1">IF(OR(INDEX($X$2:$X$1001,MATCH(ROWS($W$2:W950),$W$2:$W$1001,0),1)&gt;=100000,INDEX($AD$1005:$AU$1005,1,MATCH(COLUMNS($AD$1006:AL1006),$AD$1006:$AU$1006,0))&gt;=100000), " ",IF(INDEX($AD$2:$AU$1001,MATCH(ROWS($W$2:W950),$W$2:$W$1001,0),MATCH(COLUMNS($AD$1006:AL1006),$AD$1006:$AU$1006,0)), HYPERLINK("#",""), HYPERLINK(CONCATENATE("#metadata!", ADDRESS(INDEX($Y$2:$Y$1001,MATCH(ROWS($W$2:W950),$W$2:$W$1001,0),0), INDEX($AD$1004:$AU$1004,1,MATCH(COLUMNS($AD$1006:AL1006),$AD$1006:$AU$1006,0)))),"Fix")))</f>
        <v xml:space="preserve"> </v>
      </c>
      <c r="K950" s="4" t="str">
        <f ca="1">IF(OR(INDEX($X$2:$X$1001,MATCH(ROWS($W$2:W950),$W$2:$W$1001,0),1)&gt;=100000,INDEX($AD$1005:$AU$1005,1,MATCH(COLUMNS($AD$1006:AM1006),$AD$1006:$AU$1006,0))&gt;=100000), " ",IF(INDEX($AD$2:$AU$1001,MATCH(ROWS($W$2:W950),$W$2:$W$1001,0),MATCH(COLUMNS($AD$1006:AM1006),$AD$1006:$AU$1006,0)), HYPERLINK("#",""), HYPERLINK(CONCATENATE("#metadata!", ADDRESS(INDEX($Y$2:$Y$1001,MATCH(ROWS($W$2:W950),$W$2:$W$1001,0),0), INDEX($AD$1004:$AU$1004,1,MATCH(COLUMNS($AD$1006:AM1006),$AD$1006:$AU$1006,0)))),"Fix")))</f>
        <v xml:space="preserve"> </v>
      </c>
      <c r="L950" s="4" t="str">
        <f ca="1">IF(OR(INDEX($X$2:$X$1001,MATCH(ROWS($W$2:W950),$W$2:$W$1001,0),1)&gt;=100000,INDEX($AD$1005:$AU$1005,1,MATCH(COLUMNS($AD$1006:AN1006),$AD$1006:$AU$1006,0))&gt;=100000), " ",IF(INDEX($AD$2:$AU$1001,MATCH(ROWS($W$2:W950),$W$2:$W$1001,0),MATCH(COLUMNS($AD$1006:AN1006),$AD$1006:$AU$1006,0)), HYPERLINK("#",""), HYPERLINK(CONCATENATE("#metadata!", ADDRESS(INDEX($Y$2:$Y$1001,MATCH(ROWS($W$2:W950),$W$2:$W$1001,0),0), INDEX($AD$1004:$AU$1004,1,MATCH(COLUMNS($AD$1006:AN1006),$AD$1006:$AU$1006,0)))),"Fix")))</f>
        <v xml:space="preserve"> </v>
      </c>
      <c r="M950" s="4" t="str">
        <f ca="1">IF(OR(INDEX($X$2:$X$1001,MATCH(ROWS($W$2:W950),$W$2:$W$1001,0),1)&gt;=100000,INDEX($AD$1005:$AU$1005,1,MATCH(COLUMNS($AD$1006:AO1006),$AD$1006:$AU$1006,0))&gt;=100000), " ",IF(INDEX($AD$2:$AU$1001,MATCH(ROWS($W$2:W950),$W$2:$W$1001,0),MATCH(COLUMNS($AD$1006:AO1006),$AD$1006:$AU$1006,0)), HYPERLINK("#",""), HYPERLINK(CONCATENATE("#metadata!", ADDRESS(INDEX($Y$2:$Y$1001,MATCH(ROWS($W$2:W950),$W$2:$W$1001,0),0), INDEX($AD$1004:$AU$1004,1,MATCH(COLUMNS($AD$1006:AO1006),$AD$1006:$AU$1006,0)))),"Fix")))</f>
        <v xml:space="preserve"> </v>
      </c>
      <c r="N950" s="4" t="str">
        <f ca="1">IF(OR(INDEX($X$2:$X$1001,MATCH(ROWS($W$2:W950),$W$2:$W$1001,0),1)&gt;=100000,INDEX($AD$1005:$AU$1005,1,MATCH(COLUMNS($AD$1006:AP1006),$AD$1006:$AU$1006,0))&gt;=100000), " ",IF(INDEX($AD$2:$AU$1001,MATCH(ROWS($W$2:W950),$W$2:$W$1001,0),MATCH(COLUMNS($AD$1006:AP1006),$AD$1006:$AU$1006,0)), HYPERLINK("#",""), HYPERLINK(CONCATENATE("#metadata!", ADDRESS(INDEX($Y$2:$Y$1001,MATCH(ROWS($W$2:W950),$W$2:$W$1001,0),0), INDEX($AD$1004:$AU$1004,1,MATCH(COLUMNS($AD$1006:AP1006),$AD$1006:$AU$1006,0)))),"Fix")))</f>
        <v xml:space="preserve"> </v>
      </c>
      <c r="O950" s="4" t="str">
        <f ca="1">IF(OR(INDEX($X$2:$X$1001,MATCH(ROWS($W$2:W950),$W$2:$W$1001,0),1)&gt;=100000,INDEX($AD$1005:$AU$1005,1,MATCH(COLUMNS($AD$1006:AQ1006),$AD$1006:$AU$1006,0))&gt;=100000), " ",IF(INDEX($AD$2:$AU$1001,MATCH(ROWS($W$2:W950),$W$2:$W$1001,0),MATCH(COLUMNS($AD$1006:AQ1006),$AD$1006:$AU$1006,0)), HYPERLINK("#",""), HYPERLINK(CONCATENATE("#metadata!", ADDRESS(INDEX($Y$2:$Y$1001,MATCH(ROWS($W$2:W950),$W$2:$W$1001,0),0), INDEX($AD$1004:$AU$1004,1,MATCH(COLUMNS($AD$1006:AQ1006),$AD$1006:$AU$1006,0)))),"Fix")))</f>
        <v xml:space="preserve"> </v>
      </c>
      <c r="P950" s="4" t="str">
        <f ca="1">IF(OR(INDEX($X$2:$X$1001,MATCH(ROWS($W$2:W950),$W$2:$W$1001,0),1)&gt;=100000,INDEX($AD$1005:$AU$1005,1,MATCH(COLUMNS($AD$1006:AR1006),$AD$1006:$AU$1006,0))&gt;=100000), " ",IF(INDEX($AD$2:$AU$1001,MATCH(ROWS($W$2:W950),$W$2:$W$1001,0),MATCH(COLUMNS($AD$1006:AR1006),$AD$1006:$AU$1006,0)), HYPERLINK("#",""), HYPERLINK(CONCATENATE("#metadata!", ADDRESS(INDEX($Y$2:$Y$1001,MATCH(ROWS($W$2:W950),$W$2:$W$1001,0),0), INDEX($AD$1004:$AU$1004,1,MATCH(COLUMNS($AD$1006:AR1006),$AD$1006:$AU$1006,0)))),"Fix")))</f>
        <v xml:space="preserve"> </v>
      </c>
      <c r="Q950" s="4" t="str">
        <f ca="1">IF(OR(INDEX($X$2:$X$1001,MATCH(ROWS($W$2:W950),$W$2:$W$1001,0),1)&gt;=100000,INDEX($AD$1005:$AU$1005,1,MATCH(COLUMNS($AD$1006:AS1006),$AD$1006:$AU$1006,0))&gt;=100000), " ",IF(INDEX($AD$2:$AU$1001,MATCH(ROWS($W$2:W950),$W$2:$W$1001,0),MATCH(COLUMNS($AD$1006:AS1006),$AD$1006:$AU$1006,0)), HYPERLINK("#",""), HYPERLINK(CONCATENATE("#metadata!", ADDRESS(INDEX($Y$2:$Y$1001,MATCH(ROWS($W$2:W950),$W$2:$W$1001,0),0), INDEX($AD$1004:$AU$1004,1,MATCH(COLUMNS($AD$1006:AS1006),$AD$1006:$AU$1006,0)))),"Fix")))</f>
        <v xml:space="preserve"> </v>
      </c>
      <c r="R950" s="4" t="str">
        <f ca="1">IF(OR(INDEX($X$2:$X$1001,MATCH(ROWS($W$2:W950),$W$2:$W$1001,0),1)&gt;=100000,INDEX($AD$1005:$AU$1005,1,MATCH(COLUMNS($AD$1006:AT1006),$AD$1006:$AU$1006,0))&gt;=100000), " ",IF(INDEX($AD$2:$AU$1001,MATCH(ROWS($W$2:W950),$W$2:$W$1001,0),MATCH(COLUMNS($AD$1006:AT1006),$AD$1006:$AU$1006,0)), HYPERLINK("#",""), HYPERLINK(CONCATENATE("#metadata!", ADDRESS(INDEX($Y$2:$Y$1001,MATCH(ROWS($W$2:W950),$W$2:$W$1001,0),0), INDEX($AD$1004:$AU$1004,1,MATCH(COLUMNS($AD$1006:AT1006),$AD$1006:$AU$1006,0)))),"Fix")))</f>
        <v xml:space="preserve"> </v>
      </c>
      <c r="S950" s="4" t="str">
        <f ca="1">IF(OR(INDEX($X$2:$X$1001,MATCH(ROWS($W$2:W950),$W$2:$W$1001,0),1)&gt;=100000,INDEX($AD$1005:$AU$1005,1,MATCH(COLUMNS($AD$1006:AU1006),$AD$1006:$AU$1006,0))&gt;=100000), " ",IF(INDEX($AD$2:$AU$1001,MATCH(ROWS($W$2:W950),$W$2:$W$1001,0),MATCH(COLUMNS($AD$1006:AU1006),$AD$1006:$AU$1006,0)), HYPERLINK("#",""), HYPERLINK(CONCATENATE("#metadata!", ADDRESS(INDEX($Y$2:$Y$1001,MATCH(ROWS($W$2:W950),$W$2:$W$1001,0),0), INDEX($AD$1004:$AU$1004,1,MATCH(COLUMNS($AD$1006:AU1006),$AD$1006:$AU$1006,0)))),"Fix")))</f>
        <v xml:space="preserve"> </v>
      </c>
      <c r="W950">
        <v>949</v>
      </c>
      <c r="X950">
        <v>100950</v>
      </c>
      <c r="Y950">
        <v>950</v>
      </c>
      <c r="Z950" t="b">
        <f t="shared" si="14"/>
        <v>1</v>
      </c>
      <c r="AA950" t="b">
        <f>COUNTBLANK(metadata!B950:S950)=COLUMNS(metadata!B950:S950)</f>
        <v>1</v>
      </c>
      <c r="AB950" t="str">
        <v/>
      </c>
      <c r="AD950" t="b">
        <f ca="1">AND(IF(metadata!B950="",FALSE,TRUE),COUNTIF(metadata!B:B, metadata!B950) = 1,NOT(ISERROR(SUMPRODUCT(SEARCH(MID(metadata!B950,ROW(INDIRECT("1:"&amp;LEN(metadata!B950))), 1),"0123456789abcdefghijklmnopqrstuvwxyzABCDEFGHIJKLMNOPQRSTUVWXYZ.")))))</f>
        <v>0</v>
      </c>
      <c r="AE950" t="b">
        <f>OR(AND(IF(metadata!C950="",FALSE,TRUE),OR(EXACT(metadata!C950,"not applicable"),EXACT(metadata!C950,"missing: not collected"),EXACT(metadata!C950,"missing: not provided"),EXACT(metadata!C950,"missing: restricted access"))),AND(IF(metadata!C950="",FALSE,ISNUMBER(VALUE(metadata!C950))),metadata!C950&gt;0))</f>
        <v>0</v>
      </c>
      <c r="AF950" t="b">
        <f>AND(IF(metadata!D950="",FALSE,TRUE),EXACT(metadata!D950,"missing: not provided"))</f>
        <v>0</v>
      </c>
      <c r="AG950" t="b">
        <f>AND(IF(metadata!E950="",FALSE,TRUE),EXACT(metadata!E950,"Host-associated"))</f>
        <v>0</v>
      </c>
      <c r="AH950" t="b">
        <f>AND(IF(metadata!F950="",FALSE,TRUE),OR(EXACT(metadata!F950,"Animal"),EXACT(metadata!F950,"Fungus"),EXACT(metadata!F950,"Plant")))</f>
        <v>0</v>
      </c>
      <c r="AI950" t="b">
        <f>AND(IF(metadata!G950="",FALSE,TRUE),OR(EXACT(metadata!G950,"Plant secretion"),EXACT(metadata!G950,"Plant rhizosphere"),EXACT(metadata!G950,"Plant surface"),EXACT(metadata!G950,"Plant corpus"),EXACT(metadata!G950,"Fungus surface"),EXACT(metadata!G950,"Fungus corpus"),EXACT(metadata!G950,"Animal surface"),EXACT(metadata!G950,"Animal proximal gut"),EXACT(metadata!G950,"Animal corpus"),EXACT(metadata!G950,"Animal distal gut"),EXACT(metadata!G950,"Animal secretion")))</f>
        <v>0</v>
      </c>
      <c r="AJ950" t="b">
        <f>OR(AND(IF(metadata!H950="",FALSE,TRUE),OR(EXACT(metadata!H950,"missing: not collected"),EXACT(metadata!H950,"missing: not provided"),EXACT(metadata!H950,"missing: restricted access"))),AND(IF(metadata!H950="",FALSE,TRUE),OR(EXACT(metadata!H950,"organism-associated habitat"),EXACT(metadata!H950,"plant-associated habitat"),EXACT(metadata!H950,"animal-associated habitat"),EXACT(metadata!H950,"insecta-associated habitat"),EXACT(metadata!H950,"mammalia-associated habitat"),EXACT(metadata!H950,"human-associated habitat"),EXACT(metadata!H950,"livestock-associated habitat"))))</f>
        <v>0</v>
      </c>
      <c r="AK950" t="b">
        <f>AND(IF(metadata!I950="",FALSE,TRUE),EXACT(metadata!I950,"host-associated"))</f>
        <v>0</v>
      </c>
      <c r="AL950" t="b">
        <f>OR(AND(IF(metadata!J950="",FALSE,TRUE),OR(EXACT(metadata!J950,"not applicable"),EXACT(metadata!J950,"missing: not collected"),EXACT(metadata!J950,"missing: not provided"),EXACT(metadata!J950,"missing: restricted access"))),AND(IF(metadata!J950="",FALSE,ISNUMBER(VALUE(metadata!J950))),metadata!J950&gt;0))</f>
        <v>0</v>
      </c>
      <c r="AM950" t="b">
        <f>AND(IF(metadata!K950="",FALSE,TRUE),EXACT(metadata!K950,"missing: not provided"))</f>
        <v>0</v>
      </c>
      <c r="AN950" t="b">
        <f>IF(metadata!L950="",FALSE,TRUE)</f>
        <v>0</v>
      </c>
      <c r="AO950" t="b">
        <f>IF(metadata!M950="",FALSE,TRUE)</f>
        <v>0</v>
      </c>
      <c r="AP950" t="b">
        <f>OR(AND(IF(metadata!N950="",FALSE,TRUE),OR(EXACT(metadata!N950,"not applicable"),EXACT(metadata!N950,"missing: not collected"),EXACT(metadata!N950,"missing: not provided"))),AND(IF(metadata!N950="",FALSE,IF(ISERROR(INT(metadata!N950)),FALSE,INT(metadata!N950)=metadata!N950)),metadata!N950&gt;0))</f>
        <v>0</v>
      </c>
      <c r="AQ950" t="b">
        <f>AND(IF(metadata!O950="",FALSE,TRUE),EXACT(metadata!O950,"Not applicable"))</f>
        <v>0</v>
      </c>
      <c r="AR950" t="b">
        <f>OR(AND(IF(metadata!P950="",FALSE,TRUE),OR(EXACT(metadata!P950,"not applicable"),EXACT(metadata!P950,"missing: not collected"),EXACT(metadata!P950,"missing: not provided"),EXACT(metadata!P950,"missing: restricted access"))),IF(metadata!P950="",FALSE,IF(ISERROR(INT(metadata!P950)),FALSE,INT(metadata!P950)=metadata!P950)))</f>
        <v>0</v>
      </c>
      <c r="AS950" t="b">
        <f>AND(IF(metadata!Q950="",FALSE,TRUE),EXACT(metadata!Q950,"Not applicable"))</f>
        <v>0</v>
      </c>
      <c r="AT950" t="b">
        <f>OR(AND(IF(metadata!R950="",FALSE,TRUE),OR(EXACT(metadata!R950,"not applicable"),EXACT(metadata!R950,"missing: not collected"),EXACT(metadata!R950,"missing: not provided"),EXACT(metadata!R950,"missing: restricted access"))),AND(IF(metadata!R950="",FALSE,ISNUMBER(VALUE(metadata!R950))),metadata!R950&gt;0))</f>
        <v>0</v>
      </c>
      <c r="AU950" t="b">
        <f>AND(IF(metadata!S950="",FALSE,TRUE),EXACT(metadata!S950,"missing: not provided"))</f>
        <v>0</v>
      </c>
    </row>
    <row r="951" spans="1:47" x14ac:dyDescent="0.2">
      <c r="A951" s="5" t="str">
        <f ca="1">IF(B951=" "," ",HYPERLINK(CONCATENATE("#metadata!",ADDRESS(INDEX($Y$2:$Y$1001,MATCH(ROWS($W$2:W951),$W$2:$W$1001,0),0),1)),INDEX($AB$2:$AB$1001,MATCH(ROWS($W$2:W951),$W$2:$W$1001,0),0)))</f>
        <v xml:space="preserve"> </v>
      </c>
      <c r="B951" s="4" t="str">
        <f ca="1">IF(OR(INDEX($X$2:$X$1001,MATCH(ROWS($W$2:W951),$W$2:$W$1001,0),1)&gt;=100000,INDEX($AD$1005:$AU$1005,1,MATCH(COLUMNS($AD$1006:AD1006),$AD$1006:$AU$1006,0))&gt;=100000), " ",IF(INDEX($AD$2:$AU$1001,MATCH(ROWS($W$2:W951),$W$2:$W$1001,0),MATCH(COLUMNS($AD$1006:AD1006),$AD$1006:$AU$1006,0)), HYPERLINK("#",""), HYPERLINK(CONCATENATE("#metadata!", ADDRESS(INDEX($Y$2:$Y$1001,MATCH(ROWS($W$2:W951),$W$2:$W$1001,0),0), INDEX($AD$1004:$AU$1004,1,MATCH(COLUMNS($AD$1006:AD1006),$AD$1006:$AU$1006,0)))),"Fix")))</f>
        <v xml:space="preserve"> </v>
      </c>
      <c r="C951" s="4" t="str">
        <f ca="1">IF(OR(INDEX($X$2:$X$1001,MATCH(ROWS($W$2:W951),$W$2:$W$1001,0),1)&gt;=100000,INDEX($AD$1005:$AU$1005,1,MATCH(COLUMNS($AD$1006:AE1006),$AD$1006:$AU$1006,0))&gt;=100000), " ",IF(INDEX($AD$2:$AU$1001,MATCH(ROWS($W$2:W951),$W$2:$W$1001,0),MATCH(COLUMNS($AD$1006:AE1006),$AD$1006:$AU$1006,0)), HYPERLINK("#",""), HYPERLINK(CONCATENATE("#metadata!", ADDRESS(INDEX($Y$2:$Y$1001,MATCH(ROWS($W$2:W951),$W$2:$W$1001,0),0), INDEX($AD$1004:$AU$1004,1,MATCH(COLUMNS($AD$1006:AE1006),$AD$1006:$AU$1006,0)))),"Fix")))</f>
        <v xml:space="preserve"> </v>
      </c>
      <c r="D951" s="4" t="str">
        <f ca="1">IF(OR(INDEX($X$2:$X$1001,MATCH(ROWS($W$2:W951),$W$2:$W$1001,0),1)&gt;=100000,INDEX($AD$1005:$AU$1005,1,MATCH(COLUMNS($AD$1006:AF1006),$AD$1006:$AU$1006,0))&gt;=100000), " ",IF(INDEX($AD$2:$AU$1001,MATCH(ROWS($W$2:W951),$W$2:$W$1001,0),MATCH(COLUMNS($AD$1006:AF1006),$AD$1006:$AU$1006,0)), HYPERLINK("#",""), HYPERLINK(CONCATENATE("#metadata!", ADDRESS(INDEX($Y$2:$Y$1001,MATCH(ROWS($W$2:W951),$W$2:$W$1001,0),0), INDEX($AD$1004:$AU$1004,1,MATCH(COLUMNS($AD$1006:AF1006),$AD$1006:$AU$1006,0)))),"Fix")))</f>
        <v xml:space="preserve"> </v>
      </c>
      <c r="E951" s="4" t="str">
        <f ca="1">IF(OR(INDEX($X$2:$X$1001,MATCH(ROWS($W$2:W951),$W$2:$W$1001,0),1)&gt;=100000,INDEX($AD$1005:$AU$1005,1,MATCH(COLUMNS($AD$1006:AG1006),$AD$1006:$AU$1006,0))&gt;=100000), " ",IF(INDEX($AD$2:$AU$1001,MATCH(ROWS($W$2:W951),$W$2:$W$1001,0),MATCH(COLUMNS($AD$1006:AG1006),$AD$1006:$AU$1006,0)), HYPERLINK("#",""), HYPERLINK(CONCATENATE("#metadata!", ADDRESS(INDEX($Y$2:$Y$1001,MATCH(ROWS($W$2:W951),$W$2:$W$1001,0),0), INDEX($AD$1004:$AU$1004,1,MATCH(COLUMNS($AD$1006:AG1006),$AD$1006:$AU$1006,0)))),"Fix")))</f>
        <v xml:space="preserve"> </v>
      </c>
      <c r="F951" s="4" t="str">
        <f ca="1">IF(OR(INDEX($X$2:$X$1001,MATCH(ROWS($W$2:W951),$W$2:$W$1001,0),1)&gt;=100000,INDEX($AD$1005:$AU$1005,1,MATCH(COLUMNS($AD$1006:AH1006),$AD$1006:$AU$1006,0))&gt;=100000), " ",IF(INDEX($AD$2:$AU$1001,MATCH(ROWS($W$2:W951),$W$2:$W$1001,0),MATCH(COLUMNS($AD$1006:AH1006),$AD$1006:$AU$1006,0)), HYPERLINK("#",""), HYPERLINK(CONCATENATE("#metadata!", ADDRESS(INDEX($Y$2:$Y$1001,MATCH(ROWS($W$2:W951),$W$2:$W$1001,0),0), INDEX($AD$1004:$AU$1004,1,MATCH(COLUMNS($AD$1006:AH1006),$AD$1006:$AU$1006,0)))),"Fix")))</f>
        <v xml:space="preserve"> </v>
      </c>
      <c r="G951" s="4" t="str">
        <f ca="1">IF(OR(INDEX($X$2:$X$1001,MATCH(ROWS($W$2:W951),$W$2:$W$1001,0),1)&gt;=100000,INDEX($AD$1005:$AU$1005,1,MATCH(COLUMNS($AD$1006:AI1006),$AD$1006:$AU$1006,0))&gt;=100000), " ",IF(INDEX($AD$2:$AU$1001,MATCH(ROWS($W$2:W951),$W$2:$W$1001,0),MATCH(COLUMNS($AD$1006:AI1006),$AD$1006:$AU$1006,0)), HYPERLINK("#",""), HYPERLINK(CONCATENATE("#metadata!", ADDRESS(INDEX($Y$2:$Y$1001,MATCH(ROWS($W$2:W951),$W$2:$W$1001,0),0), INDEX($AD$1004:$AU$1004,1,MATCH(COLUMNS($AD$1006:AI1006),$AD$1006:$AU$1006,0)))),"Fix")))</f>
        <v xml:space="preserve"> </v>
      </c>
      <c r="H951" s="4" t="str">
        <f ca="1">IF(OR(INDEX($X$2:$X$1001,MATCH(ROWS($W$2:W951),$W$2:$W$1001,0),1)&gt;=100000,INDEX($AD$1005:$AU$1005,1,MATCH(COLUMNS($AD$1006:AJ1006),$AD$1006:$AU$1006,0))&gt;=100000), " ",IF(INDEX($AD$2:$AU$1001,MATCH(ROWS($W$2:W951),$W$2:$W$1001,0),MATCH(COLUMNS($AD$1006:AJ1006),$AD$1006:$AU$1006,0)), HYPERLINK("#",""), HYPERLINK(CONCATENATE("#metadata!", ADDRESS(INDEX($Y$2:$Y$1001,MATCH(ROWS($W$2:W951),$W$2:$W$1001,0),0), INDEX($AD$1004:$AU$1004,1,MATCH(COLUMNS($AD$1006:AJ1006),$AD$1006:$AU$1006,0)))),"Fix")))</f>
        <v xml:space="preserve"> </v>
      </c>
      <c r="I951" s="4" t="str">
        <f ca="1">IF(OR(INDEX($X$2:$X$1001,MATCH(ROWS($W$2:W951),$W$2:$W$1001,0),1)&gt;=100000,INDEX($AD$1005:$AU$1005,1,MATCH(COLUMNS($AD$1006:AK1006),$AD$1006:$AU$1006,0))&gt;=100000), " ",IF(INDEX($AD$2:$AU$1001,MATCH(ROWS($W$2:W951),$W$2:$W$1001,0),MATCH(COLUMNS($AD$1006:AK1006),$AD$1006:$AU$1006,0)), HYPERLINK("#",""), HYPERLINK(CONCATENATE("#metadata!", ADDRESS(INDEX($Y$2:$Y$1001,MATCH(ROWS($W$2:W951),$W$2:$W$1001,0),0), INDEX($AD$1004:$AU$1004,1,MATCH(COLUMNS($AD$1006:AK1006),$AD$1006:$AU$1006,0)))),"Fix")))</f>
        <v xml:space="preserve"> </v>
      </c>
      <c r="J951" s="4" t="str">
        <f ca="1">IF(OR(INDEX($X$2:$X$1001,MATCH(ROWS($W$2:W951),$W$2:$W$1001,0),1)&gt;=100000,INDEX($AD$1005:$AU$1005,1,MATCH(COLUMNS($AD$1006:AL1006),$AD$1006:$AU$1006,0))&gt;=100000), " ",IF(INDEX($AD$2:$AU$1001,MATCH(ROWS($W$2:W951),$W$2:$W$1001,0),MATCH(COLUMNS($AD$1006:AL1006),$AD$1006:$AU$1006,0)), HYPERLINK("#",""), HYPERLINK(CONCATENATE("#metadata!", ADDRESS(INDEX($Y$2:$Y$1001,MATCH(ROWS($W$2:W951),$W$2:$W$1001,0),0), INDEX($AD$1004:$AU$1004,1,MATCH(COLUMNS($AD$1006:AL1006),$AD$1006:$AU$1006,0)))),"Fix")))</f>
        <v xml:space="preserve"> </v>
      </c>
      <c r="K951" s="4" t="str">
        <f ca="1">IF(OR(INDEX($X$2:$X$1001,MATCH(ROWS($W$2:W951),$W$2:$W$1001,0),1)&gt;=100000,INDEX($AD$1005:$AU$1005,1,MATCH(COLUMNS($AD$1006:AM1006),$AD$1006:$AU$1006,0))&gt;=100000), " ",IF(INDEX($AD$2:$AU$1001,MATCH(ROWS($W$2:W951),$W$2:$W$1001,0),MATCH(COLUMNS($AD$1006:AM1006),$AD$1006:$AU$1006,0)), HYPERLINK("#",""), HYPERLINK(CONCATENATE("#metadata!", ADDRESS(INDEX($Y$2:$Y$1001,MATCH(ROWS($W$2:W951),$W$2:$W$1001,0),0), INDEX($AD$1004:$AU$1004,1,MATCH(COLUMNS($AD$1006:AM1006),$AD$1006:$AU$1006,0)))),"Fix")))</f>
        <v xml:space="preserve"> </v>
      </c>
      <c r="L951" s="4" t="str">
        <f ca="1">IF(OR(INDEX($X$2:$X$1001,MATCH(ROWS($W$2:W951),$W$2:$W$1001,0),1)&gt;=100000,INDEX($AD$1005:$AU$1005,1,MATCH(COLUMNS($AD$1006:AN1006),$AD$1006:$AU$1006,0))&gt;=100000), " ",IF(INDEX($AD$2:$AU$1001,MATCH(ROWS($W$2:W951),$W$2:$W$1001,0),MATCH(COLUMNS($AD$1006:AN1006),$AD$1006:$AU$1006,0)), HYPERLINK("#",""), HYPERLINK(CONCATENATE("#metadata!", ADDRESS(INDEX($Y$2:$Y$1001,MATCH(ROWS($W$2:W951),$W$2:$W$1001,0),0), INDEX($AD$1004:$AU$1004,1,MATCH(COLUMNS($AD$1006:AN1006),$AD$1006:$AU$1006,0)))),"Fix")))</f>
        <v xml:space="preserve"> </v>
      </c>
      <c r="M951" s="4" t="str">
        <f ca="1">IF(OR(INDEX($X$2:$X$1001,MATCH(ROWS($W$2:W951),$W$2:$W$1001,0),1)&gt;=100000,INDEX($AD$1005:$AU$1005,1,MATCH(COLUMNS($AD$1006:AO1006),$AD$1006:$AU$1006,0))&gt;=100000), " ",IF(INDEX($AD$2:$AU$1001,MATCH(ROWS($W$2:W951),$W$2:$W$1001,0),MATCH(COLUMNS($AD$1006:AO1006),$AD$1006:$AU$1006,0)), HYPERLINK("#",""), HYPERLINK(CONCATENATE("#metadata!", ADDRESS(INDEX($Y$2:$Y$1001,MATCH(ROWS($W$2:W951),$W$2:$W$1001,0),0), INDEX($AD$1004:$AU$1004,1,MATCH(COLUMNS($AD$1006:AO1006),$AD$1006:$AU$1006,0)))),"Fix")))</f>
        <v xml:space="preserve"> </v>
      </c>
      <c r="N951" s="4" t="str">
        <f ca="1">IF(OR(INDEX($X$2:$X$1001,MATCH(ROWS($W$2:W951),$W$2:$W$1001,0),1)&gt;=100000,INDEX($AD$1005:$AU$1005,1,MATCH(COLUMNS($AD$1006:AP1006),$AD$1006:$AU$1006,0))&gt;=100000), " ",IF(INDEX($AD$2:$AU$1001,MATCH(ROWS($W$2:W951),$W$2:$W$1001,0),MATCH(COLUMNS($AD$1006:AP1006),$AD$1006:$AU$1006,0)), HYPERLINK("#",""), HYPERLINK(CONCATENATE("#metadata!", ADDRESS(INDEX($Y$2:$Y$1001,MATCH(ROWS($W$2:W951),$W$2:$W$1001,0),0), INDEX($AD$1004:$AU$1004,1,MATCH(COLUMNS($AD$1006:AP1006),$AD$1006:$AU$1006,0)))),"Fix")))</f>
        <v xml:space="preserve"> </v>
      </c>
      <c r="O951" s="4" t="str">
        <f ca="1">IF(OR(INDEX($X$2:$X$1001,MATCH(ROWS($W$2:W951),$W$2:$W$1001,0),1)&gt;=100000,INDEX($AD$1005:$AU$1005,1,MATCH(COLUMNS($AD$1006:AQ1006),$AD$1006:$AU$1006,0))&gt;=100000), " ",IF(INDEX($AD$2:$AU$1001,MATCH(ROWS($W$2:W951),$W$2:$W$1001,0),MATCH(COLUMNS($AD$1006:AQ1006),$AD$1006:$AU$1006,0)), HYPERLINK("#",""), HYPERLINK(CONCATENATE("#metadata!", ADDRESS(INDEX($Y$2:$Y$1001,MATCH(ROWS($W$2:W951),$W$2:$W$1001,0),0), INDEX($AD$1004:$AU$1004,1,MATCH(COLUMNS($AD$1006:AQ1006),$AD$1006:$AU$1006,0)))),"Fix")))</f>
        <v xml:space="preserve"> </v>
      </c>
      <c r="P951" s="4" t="str">
        <f ca="1">IF(OR(INDEX($X$2:$X$1001,MATCH(ROWS($W$2:W951),$W$2:$W$1001,0),1)&gt;=100000,INDEX($AD$1005:$AU$1005,1,MATCH(COLUMNS($AD$1006:AR1006),$AD$1006:$AU$1006,0))&gt;=100000), " ",IF(INDEX($AD$2:$AU$1001,MATCH(ROWS($W$2:W951),$W$2:$W$1001,0),MATCH(COLUMNS($AD$1006:AR1006),$AD$1006:$AU$1006,0)), HYPERLINK("#",""), HYPERLINK(CONCATENATE("#metadata!", ADDRESS(INDEX($Y$2:$Y$1001,MATCH(ROWS($W$2:W951),$W$2:$W$1001,0),0), INDEX($AD$1004:$AU$1004,1,MATCH(COLUMNS($AD$1006:AR1006),$AD$1006:$AU$1006,0)))),"Fix")))</f>
        <v xml:space="preserve"> </v>
      </c>
      <c r="Q951" s="4" t="str">
        <f ca="1">IF(OR(INDEX($X$2:$X$1001,MATCH(ROWS($W$2:W951),$W$2:$W$1001,0),1)&gt;=100000,INDEX($AD$1005:$AU$1005,1,MATCH(COLUMNS($AD$1006:AS1006),$AD$1006:$AU$1006,0))&gt;=100000), " ",IF(INDEX($AD$2:$AU$1001,MATCH(ROWS($W$2:W951),$W$2:$W$1001,0),MATCH(COLUMNS($AD$1006:AS1006),$AD$1006:$AU$1006,0)), HYPERLINK("#",""), HYPERLINK(CONCATENATE("#metadata!", ADDRESS(INDEX($Y$2:$Y$1001,MATCH(ROWS($W$2:W951),$W$2:$W$1001,0),0), INDEX($AD$1004:$AU$1004,1,MATCH(COLUMNS($AD$1006:AS1006),$AD$1006:$AU$1006,0)))),"Fix")))</f>
        <v xml:space="preserve"> </v>
      </c>
      <c r="R951" s="4" t="str">
        <f ca="1">IF(OR(INDEX($X$2:$X$1001,MATCH(ROWS($W$2:W951),$W$2:$W$1001,0),1)&gt;=100000,INDEX($AD$1005:$AU$1005,1,MATCH(COLUMNS($AD$1006:AT1006),$AD$1006:$AU$1006,0))&gt;=100000), " ",IF(INDEX($AD$2:$AU$1001,MATCH(ROWS($W$2:W951),$W$2:$W$1001,0),MATCH(COLUMNS($AD$1006:AT1006),$AD$1006:$AU$1006,0)), HYPERLINK("#",""), HYPERLINK(CONCATENATE("#metadata!", ADDRESS(INDEX($Y$2:$Y$1001,MATCH(ROWS($W$2:W951),$W$2:$W$1001,0),0), INDEX($AD$1004:$AU$1004,1,MATCH(COLUMNS($AD$1006:AT1006),$AD$1006:$AU$1006,0)))),"Fix")))</f>
        <v xml:space="preserve"> </v>
      </c>
      <c r="S951" s="4" t="str">
        <f ca="1">IF(OR(INDEX($X$2:$X$1001,MATCH(ROWS($W$2:W951),$W$2:$W$1001,0),1)&gt;=100000,INDEX($AD$1005:$AU$1005,1,MATCH(COLUMNS($AD$1006:AU1006),$AD$1006:$AU$1006,0))&gt;=100000), " ",IF(INDEX($AD$2:$AU$1001,MATCH(ROWS($W$2:W951),$W$2:$W$1001,0),MATCH(COLUMNS($AD$1006:AU1006),$AD$1006:$AU$1006,0)), HYPERLINK("#",""), HYPERLINK(CONCATENATE("#metadata!", ADDRESS(INDEX($Y$2:$Y$1001,MATCH(ROWS($W$2:W951),$W$2:$W$1001,0),0), INDEX($AD$1004:$AU$1004,1,MATCH(COLUMNS($AD$1006:AU1006),$AD$1006:$AU$1006,0)))),"Fix")))</f>
        <v xml:space="preserve"> </v>
      </c>
      <c r="W951">
        <v>950</v>
      </c>
      <c r="X951">
        <v>100951</v>
      </c>
      <c r="Y951">
        <v>951</v>
      </c>
      <c r="Z951" t="b">
        <f t="shared" si="14"/>
        <v>1</v>
      </c>
      <c r="AA951" t="b">
        <f>COUNTBLANK(metadata!B951:S951)=COLUMNS(metadata!B951:S951)</f>
        <v>1</v>
      </c>
      <c r="AB951" t="str">
        <v/>
      </c>
      <c r="AD951" t="b">
        <f ca="1">AND(IF(metadata!B951="",FALSE,TRUE),COUNTIF(metadata!B:B, metadata!B951) = 1,NOT(ISERROR(SUMPRODUCT(SEARCH(MID(metadata!B951,ROW(INDIRECT("1:"&amp;LEN(metadata!B951))), 1),"0123456789abcdefghijklmnopqrstuvwxyzABCDEFGHIJKLMNOPQRSTUVWXYZ.")))))</f>
        <v>0</v>
      </c>
      <c r="AE951" t="b">
        <f>OR(AND(IF(metadata!C951="",FALSE,TRUE),OR(EXACT(metadata!C951,"not applicable"),EXACT(metadata!C951,"missing: not collected"),EXACT(metadata!C951,"missing: not provided"),EXACT(metadata!C951,"missing: restricted access"))),AND(IF(metadata!C951="",FALSE,ISNUMBER(VALUE(metadata!C951))),metadata!C951&gt;0))</f>
        <v>0</v>
      </c>
      <c r="AF951" t="b">
        <f>AND(IF(metadata!D951="",FALSE,TRUE),EXACT(metadata!D951,"missing: not provided"))</f>
        <v>0</v>
      </c>
      <c r="AG951" t="b">
        <f>AND(IF(metadata!E951="",FALSE,TRUE),EXACT(metadata!E951,"Host-associated"))</f>
        <v>0</v>
      </c>
      <c r="AH951" t="b">
        <f>AND(IF(metadata!F951="",FALSE,TRUE),OR(EXACT(metadata!F951,"Animal"),EXACT(metadata!F951,"Fungus"),EXACT(metadata!F951,"Plant")))</f>
        <v>0</v>
      </c>
      <c r="AI951" t="b">
        <f>AND(IF(metadata!G951="",FALSE,TRUE),OR(EXACT(metadata!G951,"Plant secretion"),EXACT(metadata!G951,"Plant rhizosphere"),EXACT(metadata!G951,"Plant surface"),EXACT(metadata!G951,"Plant corpus"),EXACT(metadata!G951,"Fungus surface"),EXACT(metadata!G951,"Fungus corpus"),EXACT(metadata!G951,"Animal surface"),EXACT(metadata!G951,"Animal proximal gut"),EXACT(metadata!G951,"Animal corpus"),EXACT(metadata!G951,"Animal distal gut"),EXACT(metadata!G951,"Animal secretion")))</f>
        <v>0</v>
      </c>
      <c r="AJ951" t="b">
        <f>OR(AND(IF(metadata!H951="",FALSE,TRUE),OR(EXACT(metadata!H951,"missing: not collected"),EXACT(metadata!H951,"missing: not provided"),EXACT(metadata!H951,"missing: restricted access"))),AND(IF(metadata!H951="",FALSE,TRUE),OR(EXACT(metadata!H951,"organism-associated habitat"),EXACT(metadata!H951,"plant-associated habitat"),EXACT(metadata!H951,"animal-associated habitat"),EXACT(metadata!H951,"insecta-associated habitat"),EXACT(metadata!H951,"mammalia-associated habitat"),EXACT(metadata!H951,"human-associated habitat"),EXACT(metadata!H951,"livestock-associated habitat"))))</f>
        <v>0</v>
      </c>
      <c r="AK951" t="b">
        <f>AND(IF(metadata!I951="",FALSE,TRUE),EXACT(metadata!I951,"host-associated"))</f>
        <v>0</v>
      </c>
      <c r="AL951" t="b">
        <f>OR(AND(IF(metadata!J951="",FALSE,TRUE),OR(EXACT(metadata!J951,"not applicable"),EXACT(metadata!J951,"missing: not collected"),EXACT(metadata!J951,"missing: not provided"),EXACT(metadata!J951,"missing: restricted access"))),AND(IF(metadata!J951="",FALSE,ISNUMBER(VALUE(metadata!J951))),metadata!J951&gt;0))</f>
        <v>0</v>
      </c>
      <c r="AM951" t="b">
        <f>AND(IF(metadata!K951="",FALSE,TRUE),EXACT(metadata!K951,"missing: not provided"))</f>
        <v>0</v>
      </c>
      <c r="AN951" t="b">
        <f>IF(metadata!L951="",FALSE,TRUE)</f>
        <v>0</v>
      </c>
      <c r="AO951" t="b">
        <f>IF(metadata!M951="",FALSE,TRUE)</f>
        <v>0</v>
      </c>
      <c r="AP951" t="b">
        <f>OR(AND(IF(metadata!N951="",FALSE,TRUE),OR(EXACT(metadata!N951,"not applicable"),EXACT(metadata!N951,"missing: not collected"),EXACT(metadata!N951,"missing: not provided"))),AND(IF(metadata!N951="",FALSE,IF(ISERROR(INT(metadata!N951)),FALSE,INT(metadata!N951)=metadata!N951)),metadata!N951&gt;0))</f>
        <v>0</v>
      </c>
      <c r="AQ951" t="b">
        <f>AND(IF(metadata!O951="",FALSE,TRUE),EXACT(metadata!O951,"Not applicable"))</f>
        <v>0</v>
      </c>
      <c r="AR951" t="b">
        <f>OR(AND(IF(metadata!P951="",FALSE,TRUE),OR(EXACT(metadata!P951,"not applicable"),EXACT(metadata!P951,"missing: not collected"),EXACT(metadata!P951,"missing: not provided"),EXACT(metadata!P951,"missing: restricted access"))),IF(metadata!P951="",FALSE,IF(ISERROR(INT(metadata!P951)),FALSE,INT(metadata!P951)=metadata!P951)))</f>
        <v>0</v>
      </c>
      <c r="AS951" t="b">
        <f>AND(IF(metadata!Q951="",FALSE,TRUE),EXACT(metadata!Q951,"Not applicable"))</f>
        <v>0</v>
      </c>
      <c r="AT951" t="b">
        <f>OR(AND(IF(metadata!R951="",FALSE,TRUE),OR(EXACT(metadata!R951,"not applicable"),EXACT(metadata!R951,"missing: not collected"),EXACT(metadata!R951,"missing: not provided"),EXACT(metadata!R951,"missing: restricted access"))),AND(IF(metadata!R951="",FALSE,ISNUMBER(VALUE(metadata!R951))),metadata!R951&gt;0))</f>
        <v>0</v>
      </c>
      <c r="AU951" t="b">
        <f>AND(IF(metadata!S951="",FALSE,TRUE),EXACT(metadata!S951,"missing: not provided"))</f>
        <v>0</v>
      </c>
    </row>
    <row r="952" spans="1:47" x14ac:dyDescent="0.2">
      <c r="A952" s="5" t="str">
        <f ca="1">IF(B952=" "," ",HYPERLINK(CONCATENATE("#metadata!",ADDRESS(INDEX($Y$2:$Y$1001,MATCH(ROWS($W$2:W952),$W$2:$W$1001,0),0),1)),INDEX($AB$2:$AB$1001,MATCH(ROWS($W$2:W952),$W$2:$W$1001,0),0)))</f>
        <v xml:space="preserve"> </v>
      </c>
      <c r="B952" s="4" t="str">
        <f ca="1">IF(OR(INDEX($X$2:$X$1001,MATCH(ROWS($W$2:W952),$W$2:$W$1001,0),1)&gt;=100000,INDEX($AD$1005:$AU$1005,1,MATCH(COLUMNS($AD$1006:AD1006),$AD$1006:$AU$1006,0))&gt;=100000), " ",IF(INDEX($AD$2:$AU$1001,MATCH(ROWS($W$2:W952),$W$2:$W$1001,0),MATCH(COLUMNS($AD$1006:AD1006),$AD$1006:$AU$1006,0)), HYPERLINK("#",""), HYPERLINK(CONCATENATE("#metadata!", ADDRESS(INDEX($Y$2:$Y$1001,MATCH(ROWS($W$2:W952),$W$2:$W$1001,0),0), INDEX($AD$1004:$AU$1004,1,MATCH(COLUMNS($AD$1006:AD1006),$AD$1006:$AU$1006,0)))),"Fix")))</f>
        <v xml:space="preserve"> </v>
      </c>
      <c r="C952" s="4" t="str">
        <f ca="1">IF(OR(INDEX($X$2:$X$1001,MATCH(ROWS($W$2:W952),$W$2:$W$1001,0),1)&gt;=100000,INDEX($AD$1005:$AU$1005,1,MATCH(COLUMNS($AD$1006:AE1006),$AD$1006:$AU$1006,0))&gt;=100000), " ",IF(INDEX($AD$2:$AU$1001,MATCH(ROWS($W$2:W952),$W$2:$W$1001,0),MATCH(COLUMNS($AD$1006:AE1006),$AD$1006:$AU$1006,0)), HYPERLINK("#",""), HYPERLINK(CONCATENATE("#metadata!", ADDRESS(INDEX($Y$2:$Y$1001,MATCH(ROWS($W$2:W952),$W$2:$W$1001,0),0), INDEX($AD$1004:$AU$1004,1,MATCH(COLUMNS($AD$1006:AE1006),$AD$1006:$AU$1006,0)))),"Fix")))</f>
        <v xml:space="preserve"> </v>
      </c>
      <c r="D952" s="4" t="str">
        <f ca="1">IF(OR(INDEX($X$2:$X$1001,MATCH(ROWS($W$2:W952),$W$2:$W$1001,0),1)&gt;=100000,INDEX($AD$1005:$AU$1005,1,MATCH(COLUMNS($AD$1006:AF1006),$AD$1006:$AU$1006,0))&gt;=100000), " ",IF(INDEX($AD$2:$AU$1001,MATCH(ROWS($W$2:W952),$W$2:$W$1001,0),MATCH(COLUMNS($AD$1006:AF1006),$AD$1006:$AU$1006,0)), HYPERLINK("#",""), HYPERLINK(CONCATENATE("#metadata!", ADDRESS(INDEX($Y$2:$Y$1001,MATCH(ROWS($W$2:W952),$W$2:$W$1001,0),0), INDEX($AD$1004:$AU$1004,1,MATCH(COLUMNS($AD$1006:AF1006),$AD$1006:$AU$1006,0)))),"Fix")))</f>
        <v xml:space="preserve"> </v>
      </c>
      <c r="E952" s="4" t="str">
        <f ca="1">IF(OR(INDEX($X$2:$X$1001,MATCH(ROWS($W$2:W952),$W$2:$W$1001,0),1)&gt;=100000,INDEX($AD$1005:$AU$1005,1,MATCH(COLUMNS($AD$1006:AG1006),$AD$1006:$AU$1006,0))&gt;=100000), " ",IF(INDEX($AD$2:$AU$1001,MATCH(ROWS($W$2:W952),$W$2:$W$1001,0),MATCH(COLUMNS($AD$1006:AG1006),$AD$1006:$AU$1006,0)), HYPERLINK("#",""), HYPERLINK(CONCATENATE("#metadata!", ADDRESS(INDEX($Y$2:$Y$1001,MATCH(ROWS($W$2:W952),$W$2:$W$1001,0),0), INDEX($AD$1004:$AU$1004,1,MATCH(COLUMNS($AD$1006:AG1006),$AD$1006:$AU$1006,0)))),"Fix")))</f>
        <v xml:space="preserve"> </v>
      </c>
      <c r="F952" s="4" t="str">
        <f ca="1">IF(OR(INDEX($X$2:$X$1001,MATCH(ROWS($W$2:W952),$W$2:$W$1001,0),1)&gt;=100000,INDEX($AD$1005:$AU$1005,1,MATCH(COLUMNS($AD$1006:AH1006),$AD$1006:$AU$1006,0))&gt;=100000), " ",IF(INDEX($AD$2:$AU$1001,MATCH(ROWS($W$2:W952),$W$2:$W$1001,0),MATCH(COLUMNS($AD$1006:AH1006),$AD$1006:$AU$1006,0)), HYPERLINK("#",""), HYPERLINK(CONCATENATE("#metadata!", ADDRESS(INDEX($Y$2:$Y$1001,MATCH(ROWS($W$2:W952),$W$2:$W$1001,0),0), INDEX($AD$1004:$AU$1004,1,MATCH(COLUMNS($AD$1006:AH1006),$AD$1006:$AU$1006,0)))),"Fix")))</f>
        <v xml:space="preserve"> </v>
      </c>
      <c r="G952" s="4" t="str">
        <f ca="1">IF(OR(INDEX($X$2:$X$1001,MATCH(ROWS($W$2:W952),$W$2:$W$1001,0),1)&gt;=100000,INDEX($AD$1005:$AU$1005,1,MATCH(COLUMNS($AD$1006:AI1006),$AD$1006:$AU$1006,0))&gt;=100000), " ",IF(INDEX($AD$2:$AU$1001,MATCH(ROWS($W$2:W952),$W$2:$W$1001,0),MATCH(COLUMNS($AD$1006:AI1006),$AD$1006:$AU$1006,0)), HYPERLINK("#",""), HYPERLINK(CONCATENATE("#metadata!", ADDRESS(INDEX($Y$2:$Y$1001,MATCH(ROWS($W$2:W952),$W$2:$W$1001,0),0), INDEX($AD$1004:$AU$1004,1,MATCH(COLUMNS($AD$1006:AI1006),$AD$1006:$AU$1006,0)))),"Fix")))</f>
        <v xml:space="preserve"> </v>
      </c>
      <c r="H952" s="4" t="str">
        <f ca="1">IF(OR(INDEX($X$2:$X$1001,MATCH(ROWS($W$2:W952),$W$2:$W$1001,0),1)&gt;=100000,INDEX($AD$1005:$AU$1005,1,MATCH(COLUMNS($AD$1006:AJ1006),$AD$1006:$AU$1006,0))&gt;=100000), " ",IF(INDEX($AD$2:$AU$1001,MATCH(ROWS($W$2:W952),$W$2:$W$1001,0),MATCH(COLUMNS($AD$1006:AJ1006),$AD$1006:$AU$1006,0)), HYPERLINK("#",""), HYPERLINK(CONCATENATE("#metadata!", ADDRESS(INDEX($Y$2:$Y$1001,MATCH(ROWS($W$2:W952),$W$2:$W$1001,0),0), INDEX($AD$1004:$AU$1004,1,MATCH(COLUMNS($AD$1006:AJ1006),$AD$1006:$AU$1006,0)))),"Fix")))</f>
        <v xml:space="preserve"> </v>
      </c>
      <c r="I952" s="4" t="str">
        <f ca="1">IF(OR(INDEX($X$2:$X$1001,MATCH(ROWS($W$2:W952),$W$2:$W$1001,0),1)&gt;=100000,INDEX($AD$1005:$AU$1005,1,MATCH(COLUMNS($AD$1006:AK1006),$AD$1006:$AU$1006,0))&gt;=100000), " ",IF(INDEX($AD$2:$AU$1001,MATCH(ROWS($W$2:W952),$W$2:$W$1001,0),MATCH(COLUMNS($AD$1006:AK1006),$AD$1006:$AU$1006,0)), HYPERLINK("#",""), HYPERLINK(CONCATENATE("#metadata!", ADDRESS(INDEX($Y$2:$Y$1001,MATCH(ROWS($W$2:W952),$W$2:$W$1001,0),0), INDEX($AD$1004:$AU$1004,1,MATCH(COLUMNS($AD$1006:AK1006),$AD$1006:$AU$1006,0)))),"Fix")))</f>
        <v xml:space="preserve"> </v>
      </c>
      <c r="J952" s="4" t="str">
        <f ca="1">IF(OR(INDEX($X$2:$X$1001,MATCH(ROWS($W$2:W952),$W$2:$W$1001,0),1)&gt;=100000,INDEX($AD$1005:$AU$1005,1,MATCH(COLUMNS($AD$1006:AL1006),$AD$1006:$AU$1006,0))&gt;=100000), " ",IF(INDEX($AD$2:$AU$1001,MATCH(ROWS($W$2:W952),$W$2:$W$1001,0),MATCH(COLUMNS($AD$1006:AL1006),$AD$1006:$AU$1006,0)), HYPERLINK("#",""), HYPERLINK(CONCATENATE("#metadata!", ADDRESS(INDEX($Y$2:$Y$1001,MATCH(ROWS($W$2:W952),$W$2:$W$1001,0),0), INDEX($AD$1004:$AU$1004,1,MATCH(COLUMNS($AD$1006:AL1006),$AD$1006:$AU$1006,0)))),"Fix")))</f>
        <v xml:space="preserve"> </v>
      </c>
      <c r="K952" s="4" t="str">
        <f ca="1">IF(OR(INDEX($X$2:$X$1001,MATCH(ROWS($W$2:W952),$W$2:$W$1001,0),1)&gt;=100000,INDEX($AD$1005:$AU$1005,1,MATCH(COLUMNS($AD$1006:AM1006),$AD$1006:$AU$1006,0))&gt;=100000), " ",IF(INDEX($AD$2:$AU$1001,MATCH(ROWS($W$2:W952),$W$2:$W$1001,0),MATCH(COLUMNS($AD$1006:AM1006),$AD$1006:$AU$1006,0)), HYPERLINK("#",""), HYPERLINK(CONCATENATE("#metadata!", ADDRESS(INDEX($Y$2:$Y$1001,MATCH(ROWS($W$2:W952),$W$2:$W$1001,0),0), INDEX($AD$1004:$AU$1004,1,MATCH(COLUMNS($AD$1006:AM1006),$AD$1006:$AU$1006,0)))),"Fix")))</f>
        <v xml:space="preserve"> </v>
      </c>
      <c r="L952" s="4" t="str">
        <f ca="1">IF(OR(INDEX($X$2:$X$1001,MATCH(ROWS($W$2:W952),$W$2:$W$1001,0),1)&gt;=100000,INDEX($AD$1005:$AU$1005,1,MATCH(COLUMNS($AD$1006:AN1006),$AD$1006:$AU$1006,0))&gt;=100000), " ",IF(INDEX($AD$2:$AU$1001,MATCH(ROWS($W$2:W952),$W$2:$W$1001,0),MATCH(COLUMNS($AD$1006:AN1006),$AD$1006:$AU$1006,0)), HYPERLINK("#",""), HYPERLINK(CONCATENATE("#metadata!", ADDRESS(INDEX($Y$2:$Y$1001,MATCH(ROWS($W$2:W952),$W$2:$W$1001,0),0), INDEX($AD$1004:$AU$1004,1,MATCH(COLUMNS($AD$1006:AN1006),$AD$1006:$AU$1006,0)))),"Fix")))</f>
        <v xml:space="preserve"> </v>
      </c>
      <c r="M952" s="4" t="str">
        <f ca="1">IF(OR(INDEX($X$2:$X$1001,MATCH(ROWS($W$2:W952),$W$2:$W$1001,0),1)&gt;=100000,INDEX($AD$1005:$AU$1005,1,MATCH(COLUMNS($AD$1006:AO1006),$AD$1006:$AU$1006,0))&gt;=100000), " ",IF(INDEX($AD$2:$AU$1001,MATCH(ROWS($W$2:W952),$W$2:$W$1001,0),MATCH(COLUMNS($AD$1006:AO1006),$AD$1006:$AU$1006,0)), HYPERLINK("#",""), HYPERLINK(CONCATENATE("#metadata!", ADDRESS(INDEX($Y$2:$Y$1001,MATCH(ROWS($W$2:W952),$W$2:$W$1001,0),0), INDEX($AD$1004:$AU$1004,1,MATCH(COLUMNS($AD$1006:AO1006),$AD$1006:$AU$1006,0)))),"Fix")))</f>
        <v xml:space="preserve"> </v>
      </c>
      <c r="N952" s="4" t="str">
        <f ca="1">IF(OR(INDEX($X$2:$X$1001,MATCH(ROWS($W$2:W952),$W$2:$W$1001,0),1)&gt;=100000,INDEX($AD$1005:$AU$1005,1,MATCH(COLUMNS($AD$1006:AP1006),$AD$1006:$AU$1006,0))&gt;=100000), " ",IF(INDEX($AD$2:$AU$1001,MATCH(ROWS($W$2:W952),$W$2:$W$1001,0),MATCH(COLUMNS($AD$1006:AP1006),$AD$1006:$AU$1006,0)), HYPERLINK("#",""), HYPERLINK(CONCATENATE("#metadata!", ADDRESS(INDEX($Y$2:$Y$1001,MATCH(ROWS($W$2:W952),$W$2:$W$1001,0),0), INDEX($AD$1004:$AU$1004,1,MATCH(COLUMNS($AD$1006:AP1006),$AD$1006:$AU$1006,0)))),"Fix")))</f>
        <v xml:space="preserve"> </v>
      </c>
      <c r="O952" s="4" t="str">
        <f ca="1">IF(OR(INDEX($X$2:$X$1001,MATCH(ROWS($W$2:W952),$W$2:$W$1001,0),1)&gt;=100000,INDEX($AD$1005:$AU$1005,1,MATCH(COLUMNS($AD$1006:AQ1006),$AD$1006:$AU$1006,0))&gt;=100000), " ",IF(INDEX($AD$2:$AU$1001,MATCH(ROWS($W$2:W952),$W$2:$W$1001,0),MATCH(COLUMNS($AD$1006:AQ1006),$AD$1006:$AU$1006,0)), HYPERLINK("#",""), HYPERLINK(CONCATENATE("#metadata!", ADDRESS(INDEX($Y$2:$Y$1001,MATCH(ROWS($W$2:W952),$W$2:$W$1001,0),0), INDEX($AD$1004:$AU$1004,1,MATCH(COLUMNS($AD$1006:AQ1006),$AD$1006:$AU$1006,0)))),"Fix")))</f>
        <v xml:space="preserve"> </v>
      </c>
      <c r="P952" s="4" t="str">
        <f ca="1">IF(OR(INDEX($X$2:$X$1001,MATCH(ROWS($W$2:W952),$W$2:$W$1001,0),1)&gt;=100000,INDEX($AD$1005:$AU$1005,1,MATCH(COLUMNS($AD$1006:AR1006),$AD$1006:$AU$1006,0))&gt;=100000), " ",IF(INDEX($AD$2:$AU$1001,MATCH(ROWS($W$2:W952),$W$2:$W$1001,0),MATCH(COLUMNS($AD$1006:AR1006),$AD$1006:$AU$1006,0)), HYPERLINK("#",""), HYPERLINK(CONCATENATE("#metadata!", ADDRESS(INDEX($Y$2:$Y$1001,MATCH(ROWS($W$2:W952),$W$2:$W$1001,0),0), INDEX($AD$1004:$AU$1004,1,MATCH(COLUMNS($AD$1006:AR1006),$AD$1006:$AU$1006,0)))),"Fix")))</f>
        <v xml:space="preserve"> </v>
      </c>
      <c r="Q952" s="4" t="str">
        <f ca="1">IF(OR(INDEX($X$2:$X$1001,MATCH(ROWS($W$2:W952),$W$2:$W$1001,0),1)&gt;=100000,INDEX($AD$1005:$AU$1005,1,MATCH(COLUMNS($AD$1006:AS1006),$AD$1006:$AU$1006,0))&gt;=100000), " ",IF(INDEX($AD$2:$AU$1001,MATCH(ROWS($W$2:W952),$W$2:$W$1001,0),MATCH(COLUMNS($AD$1006:AS1006),$AD$1006:$AU$1006,0)), HYPERLINK("#",""), HYPERLINK(CONCATENATE("#metadata!", ADDRESS(INDEX($Y$2:$Y$1001,MATCH(ROWS($W$2:W952),$W$2:$W$1001,0),0), INDEX($AD$1004:$AU$1004,1,MATCH(COLUMNS($AD$1006:AS1006),$AD$1006:$AU$1006,0)))),"Fix")))</f>
        <v xml:space="preserve"> </v>
      </c>
      <c r="R952" s="4" t="str">
        <f ca="1">IF(OR(INDEX($X$2:$X$1001,MATCH(ROWS($W$2:W952),$W$2:$W$1001,0),1)&gt;=100000,INDEX($AD$1005:$AU$1005,1,MATCH(COLUMNS($AD$1006:AT1006),$AD$1006:$AU$1006,0))&gt;=100000), " ",IF(INDEX($AD$2:$AU$1001,MATCH(ROWS($W$2:W952),$W$2:$W$1001,0),MATCH(COLUMNS($AD$1006:AT1006),$AD$1006:$AU$1006,0)), HYPERLINK("#",""), HYPERLINK(CONCATENATE("#metadata!", ADDRESS(INDEX($Y$2:$Y$1001,MATCH(ROWS($W$2:W952),$W$2:$W$1001,0),0), INDEX($AD$1004:$AU$1004,1,MATCH(COLUMNS($AD$1006:AT1006),$AD$1006:$AU$1006,0)))),"Fix")))</f>
        <v xml:space="preserve"> </v>
      </c>
      <c r="S952" s="4" t="str">
        <f ca="1">IF(OR(INDEX($X$2:$X$1001,MATCH(ROWS($W$2:W952),$W$2:$W$1001,0),1)&gt;=100000,INDEX($AD$1005:$AU$1005,1,MATCH(COLUMNS($AD$1006:AU1006),$AD$1006:$AU$1006,0))&gt;=100000), " ",IF(INDEX($AD$2:$AU$1001,MATCH(ROWS($W$2:W952),$W$2:$W$1001,0),MATCH(COLUMNS($AD$1006:AU1006),$AD$1006:$AU$1006,0)), HYPERLINK("#",""), HYPERLINK(CONCATENATE("#metadata!", ADDRESS(INDEX($Y$2:$Y$1001,MATCH(ROWS($W$2:W952),$W$2:$W$1001,0),0), INDEX($AD$1004:$AU$1004,1,MATCH(COLUMNS($AD$1006:AU1006),$AD$1006:$AU$1006,0)))),"Fix")))</f>
        <v xml:space="preserve"> </v>
      </c>
      <c r="W952">
        <v>951</v>
      </c>
      <c r="X952">
        <v>100952</v>
      </c>
      <c r="Y952">
        <v>952</v>
      </c>
      <c r="Z952" t="b">
        <f t="shared" si="14"/>
        <v>1</v>
      </c>
      <c r="AA952" t="b">
        <f>COUNTBLANK(metadata!B952:S952)=COLUMNS(metadata!B952:S952)</f>
        <v>1</v>
      </c>
      <c r="AB952" t="str">
        <v/>
      </c>
      <c r="AD952" t="b">
        <f ca="1">AND(IF(metadata!B952="",FALSE,TRUE),COUNTIF(metadata!B:B, metadata!B952) = 1,NOT(ISERROR(SUMPRODUCT(SEARCH(MID(metadata!B952,ROW(INDIRECT("1:"&amp;LEN(metadata!B952))), 1),"0123456789abcdefghijklmnopqrstuvwxyzABCDEFGHIJKLMNOPQRSTUVWXYZ.")))))</f>
        <v>0</v>
      </c>
      <c r="AE952" t="b">
        <f>OR(AND(IF(metadata!C952="",FALSE,TRUE),OR(EXACT(metadata!C952,"not applicable"),EXACT(metadata!C952,"missing: not collected"),EXACT(metadata!C952,"missing: not provided"),EXACT(metadata!C952,"missing: restricted access"))),AND(IF(metadata!C952="",FALSE,ISNUMBER(VALUE(metadata!C952))),metadata!C952&gt;0))</f>
        <v>0</v>
      </c>
      <c r="AF952" t="b">
        <f>AND(IF(metadata!D952="",FALSE,TRUE),EXACT(metadata!D952,"missing: not provided"))</f>
        <v>0</v>
      </c>
      <c r="AG952" t="b">
        <f>AND(IF(metadata!E952="",FALSE,TRUE),EXACT(metadata!E952,"Host-associated"))</f>
        <v>0</v>
      </c>
      <c r="AH952" t="b">
        <f>AND(IF(metadata!F952="",FALSE,TRUE),OR(EXACT(metadata!F952,"Animal"),EXACT(metadata!F952,"Fungus"),EXACT(metadata!F952,"Plant")))</f>
        <v>0</v>
      </c>
      <c r="AI952" t="b">
        <f>AND(IF(metadata!G952="",FALSE,TRUE),OR(EXACT(metadata!G952,"Plant secretion"),EXACT(metadata!G952,"Plant rhizosphere"),EXACT(metadata!G952,"Plant surface"),EXACT(metadata!G952,"Plant corpus"),EXACT(metadata!G952,"Fungus surface"),EXACT(metadata!G952,"Fungus corpus"),EXACT(metadata!G952,"Animal surface"),EXACT(metadata!G952,"Animal proximal gut"),EXACT(metadata!G952,"Animal corpus"),EXACT(metadata!G952,"Animal distal gut"),EXACT(metadata!G952,"Animal secretion")))</f>
        <v>0</v>
      </c>
      <c r="AJ952" t="b">
        <f>OR(AND(IF(metadata!H952="",FALSE,TRUE),OR(EXACT(metadata!H952,"missing: not collected"),EXACT(metadata!H952,"missing: not provided"),EXACT(metadata!H952,"missing: restricted access"))),AND(IF(metadata!H952="",FALSE,TRUE),OR(EXACT(metadata!H952,"organism-associated habitat"),EXACT(metadata!H952,"plant-associated habitat"),EXACT(metadata!H952,"animal-associated habitat"),EXACT(metadata!H952,"insecta-associated habitat"),EXACT(metadata!H952,"mammalia-associated habitat"),EXACT(metadata!H952,"human-associated habitat"),EXACT(metadata!H952,"livestock-associated habitat"))))</f>
        <v>0</v>
      </c>
      <c r="AK952" t="b">
        <f>AND(IF(metadata!I952="",FALSE,TRUE),EXACT(metadata!I952,"host-associated"))</f>
        <v>0</v>
      </c>
      <c r="AL952" t="b">
        <f>OR(AND(IF(metadata!J952="",FALSE,TRUE),OR(EXACT(metadata!J952,"not applicable"),EXACT(metadata!J952,"missing: not collected"),EXACT(metadata!J952,"missing: not provided"),EXACT(metadata!J952,"missing: restricted access"))),AND(IF(metadata!J952="",FALSE,ISNUMBER(VALUE(metadata!J952))),metadata!J952&gt;0))</f>
        <v>0</v>
      </c>
      <c r="AM952" t="b">
        <f>AND(IF(metadata!K952="",FALSE,TRUE),EXACT(metadata!K952,"missing: not provided"))</f>
        <v>0</v>
      </c>
      <c r="AN952" t="b">
        <f>IF(metadata!L952="",FALSE,TRUE)</f>
        <v>0</v>
      </c>
      <c r="AO952" t="b">
        <f>IF(metadata!M952="",FALSE,TRUE)</f>
        <v>0</v>
      </c>
      <c r="AP952" t="b">
        <f>OR(AND(IF(metadata!N952="",FALSE,TRUE),OR(EXACT(metadata!N952,"not applicable"),EXACT(metadata!N952,"missing: not collected"),EXACT(metadata!N952,"missing: not provided"))),AND(IF(metadata!N952="",FALSE,IF(ISERROR(INT(metadata!N952)),FALSE,INT(metadata!N952)=metadata!N952)),metadata!N952&gt;0))</f>
        <v>0</v>
      </c>
      <c r="AQ952" t="b">
        <f>AND(IF(metadata!O952="",FALSE,TRUE),EXACT(metadata!O952,"Not applicable"))</f>
        <v>0</v>
      </c>
      <c r="AR952" t="b">
        <f>OR(AND(IF(metadata!P952="",FALSE,TRUE),OR(EXACT(metadata!P952,"not applicable"),EXACT(metadata!P952,"missing: not collected"),EXACT(metadata!P952,"missing: not provided"),EXACT(metadata!P952,"missing: restricted access"))),IF(metadata!P952="",FALSE,IF(ISERROR(INT(metadata!P952)),FALSE,INT(metadata!P952)=metadata!P952)))</f>
        <v>0</v>
      </c>
      <c r="AS952" t="b">
        <f>AND(IF(metadata!Q952="",FALSE,TRUE),EXACT(metadata!Q952,"Not applicable"))</f>
        <v>0</v>
      </c>
      <c r="AT952" t="b">
        <f>OR(AND(IF(metadata!R952="",FALSE,TRUE),OR(EXACT(metadata!R952,"not applicable"),EXACT(metadata!R952,"missing: not collected"),EXACT(metadata!R952,"missing: not provided"),EXACT(metadata!R952,"missing: restricted access"))),AND(IF(metadata!R952="",FALSE,ISNUMBER(VALUE(metadata!R952))),metadata!R952&gt;0))</f>
        <v>0</v>
      </c>
      <c r="AU952" t="b">
        <f>AND(IF(metadata!S952="",FALSE,TRUE),EXACT(metadata!S952,"missing: not provided"))</f>
        <v>0</v>
      </c>
    </row>
    <row r="953" spans="1:47" x14ac:dyDescent="0.2">
      <c r="A953" s="5" t="str">
        <f ca="1">IF(B953=" "," ",HYPERLINK(CONCATENATE("#metadata!",ADDRESS(INDEX($Y$2:$Y$1001,MATCH(ROWS($W$2:W953),$W$2:$W$1001,0),0),1)),INDEX($AB$2:$AB$1001,MATCH(ROWS($W$2:W953),$W$2:$W$1001,0),0)))</f>
        <v xml:space="preserve"> </v>
      </c>
      <c r="B953" s="4" t="str">
        <f ca="1">IF(OR(INDEX($X$2:$X$1001,MATCH(ROWS($W$2:W953),$W$2:$W$1001,0),1)&gt;=100000,INDEX($AD$1005:$AU$1005,1,MATCH(COLUMNS($AD$1006:AD1006),$AD$1006:$AU$1006,0))&gt;=100000), " ",IF(INDEX($AD$2:$AU$1001,MATCH(ROWS($W$2:W953),$W$2:$W$1001,0),MATCH(COLUMNS($AD$1006:AD1006),$AD$1006:$AU$1006,0)), HYPERLINK("#",""), HYPERLINK(CONCATENATE("#metadata!", ADDRESS(INDEX($Y$2:$Y$1001,MATCH(ROWS($W$2:W953),$W$2:$W$1001,0),0), INDEX($AD$1004:$AU$1004,1,MATCH(COLUMNS($AD$1006:AD1006),$AD$1006:$AU$1006,0)))),"Fix")))</f>
        <v xml:space="preserve"> </v>
      </c>
      <c r="C953" s="4" t="str">
        <f ca="1">IF(OR(INDEX($X$2:$X$1001,MATCH(ROWS($W$2:W953),$W$2:$W$1001,0),1)&gt;=100000,INDEX($AD$1005:$AU$1005,1,MATCH(COLUMNS($AD$1006:AE1006),$AD$1006:$AU$1006,0))&gt;=100000), " ",IF(INDEX($AD$2:$AU$1001,MATCH(ROWS($W$2:W953),$W$2:$W$1001,0),MATCH(COLUMNS($AD$1006:AE1006),$AD$1006:$AU$1006,0)), HYPERLINK("#",""), HYPERLINK(CONCATENATE("#metadata!", ADDRESS(INDEX($Y$2:$Y$1001,MATCH(ROWS($W$2:W953),$W$2:$W$1001,0),0), INDEX($AD$1004:$AU$1004,1,MATCH(COLUMNS($AD$1006:AE1006),$AD$1006:$AU$1006,0)))),"Fix")))</f>
        <v xml:space="preserve"> </v>
      </c>
      <c r="D953" s="4" t="str">
        <f ca="1">IF(OR(INDEX($X$2:$X$1001,MATCH(ROWS($W$2:W953),$W$2:$W$1001,0),1)&gt;=100000,INDEX($AD$1005:$AU$1005,1,MATCH(COLUMNS($AD$1006:AF1006),$AD$1006:$AU$1006,0))&gt;=100000), " ",IF(INDEX($AD$2:$AU$1001,MATCH(ROWS($W$2:W953),$W$2:$W$1001,0),MATCH(COLUMNS($AD$1006:AF1006),$AD$1006:$AU$1006,0)), HYPERLINK("#",""), HYPERLINK(CONCATENATE("#metadata!", ADDRESS(INDEX($Y$2:$Y$1001,MATCH(ROWS($W$2:W953),$W$2:$W$1001,0),0), INDEX($AD$1004:$AU$1004,1,MATCH(COLUMNS($AD$1006:AF1006),$AD$1006:$AU$1006,0)))),"Fix")))</f>
        <v xml:space="preserve"> </v>
      </c>
      <c r="E953" s="4" t="str">
        <f ca="1">IF(OR(INDEX($X$2:$X$1001,MATCH(ROWS($W$2:W953),$W$2:$W$1001,0),1)&gt;=100000,INDEX($AD$1005:$AU$1005,1,MATCH(COLUMNS($AD$1006:AG1006),$AD$1006:$AU$1006,0))&gt;=100000), " ",IF(INDEX($AD$2:$AU$1001,MATCH(ROWS($W$2:W953),$W$2:$W$1001,0),MATCH(COLUMNS($AD$1006:AG1006),$AD$1006:$AU$1006,0)), HYPERLINK("#",""), HYPERLINK(CONCATENATE("#metadata!", ADDRESS(INDEX($Y$2:$Y$1001,MATCH(ROWS($W$2:W953),$W$2:$W$1001,0),0), INDEX($AD$1004:$AU$1004,1,MATCH(COLUMNS($AD$1006:AG1006),$AD$1006:$AU$1006,0)))),"Fix")))</f>
        <v xml:space="preserve"> </v>
      </c>
      <c r="F953" s="4" t="str">
        <f ca="1">IF(OR(INDEX($X$2:$X$1001,MATCH(ROWS($W$2:W953),$W$2:$W$1001,0),1)&gt;=100000,INDEX($AD$1005:$AU$1005,1,MATCH(COLUMNS($AD$1006:AH1006),$AD$1006:$AU$1006,0))&gt;=100000), " ",IF(INDEX($AD$2:$AU$1001,MATCH(ROWS($W$2:W953),$W$2:$W$1001,0),MATCH(COLUMNS($AD$1006:AH1006),$AD$1006:$AU$1006,0)), HYPERLINK("#",""), HYPERLINK(CONCATENATE("#metadata!", ADDRESS(INDEX($Y$2:$Y$1001,MATCH(ROWS($W$2:W953),$W$2:$W$1001,0),0), INDEX($AD$1004:$AU$1004,1,MATCH(COLUMNS($AD$1006:AH1006),$AD$1006:$AU$1006,0)))),"Fix")))</f>
        <v xml:space="preserve"> </v>
      </c>
      <c r="G953" s="4" t="str">
        <f ca="1">IF(OR(INDEX($X$2:$X$1001,MATCH(ROWS($W$2:W953),$W$2:$W$1001,0),1)&gt;=100000,INDEX($AD$1005:$AU$1005,1,MATCH(COLUMNS($AD$1006:AI1006),$AD$1006:$AU$1006,0))&gt;=100000), " ",IF(INDEX($AD$2:$AU$1001,MATCH(ROWS($W$2:W953),$W$2:$W$1001,0),MATCH(COLUMNS($AD$1006:AI1006),$AD$1006:$AU$1006,0)), HYPERLINK("#",""), HYPERLINK(CONCATENATE("#metadata!", ADDRESS(INDEX($Y$2:$Y$1001,MATCH(ROWS($W$2:W953),$W$2:$W$1001,0),0), INDEX($AD$1004:$AU$1004,1,MATCH(COLUMNS($AD$1006:AI1006),$AD$1006:$AU$1006,0)))),"Fix")))</f>
        <v xml:space="preserve"> </v>
      </c>
      <c r="H953" s="4" t="str">
        <f ca="1">IF(OR(INDEX($X$2:$X$1001,MATCH(ROWS($W$2:W953),$W$2:$W$1001,0),1)&gt;=100000,INDEX($AD$1005:$AU$1005,1,MATCH(COLUMNS($AD$1006:AJ1006),$AD$1006:$AU$1006,0))&gt;=100000), " ",IF(INDEX($AD$2:$AU$1001,MATCH(ROWS($W$2:W953),$W$2:$W$1001,0),MATCH(COLUMNS($AD$1006:AJ1006),$AD$1006:$AU$1006,0)), HYPERLINK("#",""), HYPERLINK(CONCATENATE("#metadata!", ADDRESS(INDEX($Y$2:$Y$1001,MATCH(ROWS($W$2:W953),$W$2:$W$1001,0),0), INDEX($AD$1004:$AU$1004,1,MATCH(COLUMNS($AD$1006:AJ1006),$AD$1006:$AU$1006,0)))),"Fix")))</f>
        <v xml:space="preserve"> </v>
      </c>
      <c r="I953" s="4" t="str">
        <f ca="1">IF(OR(INDEX($X$2:$X$1001,MATCH(ROWS($W$2:W953),$W$2:$W$1001,0),1)&gt;=100000,INDEX($AD$1005:$AU$1005,1,MATCH(COLUMNS($AD$1006:AK1006),$AD$1006:$AU$1006,0))&gt;=100000), " ",IF(INDEX($AD$2:$AU$1001,MATCH(ROWS($W$2:W953),$W$2:$W$1001,0),MATCH(COLUMNS($AD$1006:AK1006),$AD$1006:$AU$1006,0)), HYPERLINK("#",""), HYPERLINK(CONCATENATE("#metadata!", ADDRESS(INDEX($Y$2:$Y$1001,MATCH(ROWS($W$2:W953),$W$2:$W$1001,0),0), INDEX($AD$1004:$AU$1004,1,MATCH(COLUMNS($AD$1006:AK1006),$AD$1006:$AU$1006,0)))),"Fix")))</f>
        <v xml:space="preserve"> </v>
      </c>
      <c r="J953" s="4" t="str">
        <f ca="1">IF(OR(INDEX($X$2:$X$1001,MATCH(ROWS($W$2:W953),$W$2:$W$1001,0),1)&gt;=100000,INDEX($AD$1005:$AU$1005,1,MATCH(COLUMNS($AD$1006:AL1006),$AD$1006:$AU$1006,0))&gt;=100000), " ",IF(INDEX($AD$2:$AU$1001,MATCH(ROWS($W$2:W953),$W$2:$W$1001,0),MATCH(COLUMNS($AD$1006:AL1006),$AD$1006:$AU$1006,0)), HYPERLINK("#",""), HYPERLINK(CONCATENATE("#metadata!", ADDRESS(INDEX($Y$2:$Y$1001,MATCH(ROWS($W$2:W953),$W$2:$W$1001,0),0), INDEX($AD$1004:$AU$1004,1,MATCH(COLUMNS($AD$1006:AL1006),$AD$1006:$AU$1006,0)))),"Fix")))</f>
        <v xml:space="preserve"> </v>
      </c>
      <c r="K953" s="4" t="str">
        <f ca="1">IF(OR(INDEX($X$2:$X$1001,MATCH(ROWS($W$2:W953),$W$2:$W$1001,0),1)&gt;=100000,INDEX($AD$1005:$AU$1005,1,MATCH(COLUMNS($AD$1006:AM1006),$AD$1006:$AU$1006,0))&gt;=100000), " ",IF(INDEX($AD$2:$AU$1001,MATCH(ROWS($W$2:W953),$W$2:$W$1001,0),MATCH(COLUMNS($AD$1006:AM1006),$AD$1006:$AU$1006,0)), HYPERLINK("#",""), HYPERLINK(CONCATENATE("#metadata!", ADDRESS(INDEX($Y$2:$Y$1001,MATCH(ROWS($W$2:W953),$W$2:$W$1001,0),0), INDEX($AD$1004:$AU$1004,1,MATCH(COLUMNS($AD$1006:AM1006),$AD$1006:$AU$1006,0)))),"Fix")))</f>
        <v xml:space="preserve"> </v>
      </c>
      <c r="L953" s="4" t="str">
        <f ca="1">IF(OR(INDEX($X$2:$X$1001,MATCH(ROWS($W$2:W953),$W$2:$W$1001,0),1)&gt;=100000,INDEX($AD$1005:$AU$1005,1,MATCH(COLUMNS($AD$1006:AN1006),$AD$1006:$AU$1006,0))&gt;=100000), " ",IF(INDEX($AD$2:$AU$1001,MATCH(ROWS($W$2:W953),$W$2:$W$1001,0),MATCH(COLUMNS($AD$1006:AN1006),$AD$1006:$AU$1006,0)), HYPERLINK("#",""), HYPERLINK(CONCATENATE("#metadata!", ADDRESS(INDEX($Y$2:$Y$1001,MATCH(ROWS($W$2:W953),$W$2:$W$1001,0),0), INDEX($AD$1004:$AU$1004,1,MATCH(COLUMNS($AD$1006:AN1006),$AD$1006:$AU$1006,0)))),"Fix")))</f>
        <v xml:space="preserve"> </v>
      </c>
      <c r="M953" s="4" t="str">
        <f ca="1">IF(OR(INDEX($X$2:$X$1001,MATCH(ROWS($W$2:W953),$W$2:$W$1001,0),1)&gt;=100000,INDEX($AD$1005:$AU$1005,1,MATCH(COLUMNS($AD$1006:AO1006),$AD$1006:$AU$1006,0))&gt;=100000), " ",IF(INDEX($AD$2:$AU$1001,MATCH(ROWS($W$2:W953),$W$2:$W$1001,0),MATCH(COLUMNS($AD$1006:AO1006),$AD$1006:$AU$1006,0)), HYPERLINK("#",""), HYPERLINK(CONCATENATE("#metadata!", ADDRESS(INDEX($Y$2:$Y$1001,MATCH(ROWS($W$2:W953),$W$2:$W$1001,0),0), INDEX($AD$1004:$AU$1004,1,MATCH(COLUMNS($AD$1006:AO1006),$AD$1006:$AU$1006,0)))),"Fix")))</f>
        <v xml:space="preserve"> </v>
      </c>
      <c r="N953" s="4" t="str">
        <f ca="1">IF(OR(INDEX($X$2:$X$1001,MATCH(ROWS($W$2:W953),$W$2:$W$1001,0),1)&gt;=100000,INDEX($AD$1005:$AU$1005,1,MATCH(COLUMNS($AD$1006:AP1006),$AD$1006:$AU$1006,0))&gt;=100000), " ",IF(INDEX($AD$2:$AU$1001,MATCH(ROWS($W$2:W953),$W$2:$W$1001,0),MATCH(COLUMNS($AD$1006:AP1006),$AD$1006:$AU$1006,0)), HYPERLINK("#",""), HYPERLINK(CONCATENATE("#metadata!", ADDRESS(INDEX($Y$2:$Y$1001,MATCH(ROWS($W$2:W953),$W$2:$W$1001,0),0), INDEX($AD$1004:$AU$1004,1,MATCH(COLUMNS($AD$1006:AP1006),$AD$1006:$AU$1006,0)))),"Fix")))</f>
        <v xml:space="preserve"> </v>
      </c>
      <c r="O953" s="4" t="str">
        <f ca="1">IF(OR(INDEX($X$2:$X$1001,MATCH(ROWS($W$2:W953),$W$2:$W$1001,0),1)&gt;=100000,INDEX($AD$1005:$AU$1005,1,MATCH(COLUMNS($AD$1006:AQ1006),$AD$1006:$AU$1006,0))&gt;=100000), " ",IF(INDEX($AD$2:$AU$1001,MATCH(ROWS($W$2:W953),$W$2:$W$1001,0),MATCH(COLUMNS($AD$1006:AQ1006),$AD$1006:$AU$1006,0)), HYPERLINK("#",""), HYPERLINK(CONCATENATE("#metadata!", ADDRESS(INDEX($Y$2:$Y$1001,MATCH(ROWS($W$2:W953),$W$2:$W$1001,0),0), INDEX($AD$1004:$AU$1004,1,MATCH(COLUMNS($AD$1006:AQ1006),$AD$1006:$AU$1006,0)))),"Fix")))</f>
        <v xml:space="preserve"> </v>
      </c>
      <c r="P953" s="4" t="str">
        <f ca="1">IF(OR(INDEX($X$2:$X$1001,MATCH(ROWS($W$2:W953),$W$2:$W$1001,0),1)&gt;=100000,INDEX($AD$1005:$AU$1005,1,MATCH(COLUMNS($AD$1006:AR1006),$AD$1006:$AU$1006,0))&gt;=100000), " ",IF(INDEX($AD$2:$AU$1001,MATCH(ROWS($W$2:W953),$W$2:$W$1001,0),MATCH(COLUMNS($AD$1006:AR1006),$AD$1006:$AU$1006,0)), HYPERLINK("#",""), HYPERLINK(CONCATENATE("#metadata!", ADDRESS(INDEX($Y$2:$Y$1001,MATCH(ROWS($W$2:W953),$W$2:$W$1001,0),0), INDEX($AD$1004:$AU$1004,1,MATCH(COLUMNS($AD$1006:AR1006),$AD$1006:$AU$1006,0)))),"Fix")))</f>
        <v xml:space="preserve"> </v>
      </c>
      <c r="Q953" s="4" t="str">
        <f ca="1">IF(OR(INDEX($X$2:$X$1001,MATCH(ROWS($W$2:W953),$W$2:$W$1001,0),1)&gt;=100000,INDEX($AD$1005:$AU$1005,1,MATCH(COLUMNS($AD$1006:AS1006),$AD$1006:$AU$1006,0))&gt;=100000), " ",IF(INDEX($AD$2:$AU$1001,MATCH(ROWS($W$2:W953),$W$2:$W$1001,0),MATCH(COLUMNS($AD$1006:AS1006),$AD$1006:$AU$1006,0)), HYPERLINK("#",""), HYPERLINK(CONCATENATE("#metadata!", ADDRESS(INDEX($Y$2:$Y$1001,MATCH(ROWS($W$2:W953),$W$2:$W$1001,0),0), INDEX($AD$1004:$AU$1004,1,MATCH(COLUMNS($AD$1006:AS1006),$AD$1006:$AU$1006,0)))),"Fix")))</f>
        <v xml:space="preserve"> </v>
      </c>
      <c r="R953" s="4" t="str">
        <f ca="1">IF(OR(INDEX($X$2:$X$1001,MATCH(ROWS($W$2:W953),$W$2:$W$1001,0),1)&gt;=100000,INDEX($AD$1005:$AU$1005,1,MATCH(COLUMNS($AD$1006:AT1006),$AD$1006:$AU$1006,0))&gt;=100000), " ",IF(INDEX($AD$2:$AU$1001,MATCH(ROWS($W$2:W953),$W$2:$W$1001,0),MATCH(COLUMNS($AD$1006:AT1006),$AD$1006:$AU$1006,0)), HYPERLINK("#",""), HYPERLINK(CONCATENATE("#metadata!", ADDRESS(INDEX($Y$2:$Y$1001,MATCH(ROWS($W$2:W953),$W$2:$W$1001,0),0), INDEX($AD$1004:$AU$1004,1,MATCH(COLUMNS($AD$1006:AT1006),$AD$1006:$AU$1006,0)))),"Fix")))</f>
        <v xml:space="preserve"> </v>
      </c>
      <c r="S953" s="4" t="str">
        <f ca="1">IF(OR(INDEX($X$2:$X$1001,MATCH(ROWS($W$2:W953),$W$2:$W$1001,0),1)&gt;=100000,INDEX($AD$1005:$AU$1005,1,MATCH(COLUMNS($AD$1006:AU1006),$AD$1006:$AU$1006,0))&gt;=100000), " ",IF(INDEX($AD$2:$AU$1001,MATCH(ROWS($W$2:W953),$W$2:$W$1001,0),MATCH(COLUMNS($AD$1006:AU1006),$AD$1006:$AU$1006,0)), HYPERLINK("#",""), HYPERLINK(CONCATENATE("#metadata!", ADDRESS(INDEX($Y$2:$Y$1001,MATCH(ROWS($W$2:W953),$W$2:$W$1001,0),0), INDEX($AD$1004:$AU$1004,1,MATCH(COLUMNS($AD$1006:AU1006),$AD$1006:$AU$1006,0)))),"Fix")))</f>
        <v xml:space="preserve"> </v>
      </c>
      <c r="W953">
        <v>952</v>
      </c>
      <c r="X953">
        <v>100953</v>
      </c>
      <c r="Y953">
        <v>953</v>
      </c>
      <c r="Z953" t="b">
        <f t="shared" si="14"/>
        <v>1</v>
      </c>
      <c r="AA953" t="b">
        <f>COUNTBLANK(metadata!B953:S953)=COLUMNS(metadata!B953:S953)</f>
        <v>1</v>
      </c>
      <c r="AB953" t="str">
        <v/>
      </c>
      <c r="AD953" t="b">
        <f ca="1">AND(IF(metadata!B953="",FALSE,TRUE),COUNTIF(metadata!B:B, metadata!B953) = 1,NOT(ISERROR(SUMPRODUCT(SEARCH(MID(metadata!B953,ROW(INDIRECT("1:"&amp;LEN(metadata!B953))), 1),"0123456789abcdefghijklmnopqrstuvwxyzABCDEFGHIJKLMNOPQRSTUVWXYZ.")))))</f>
        <v>0</v>
      </c>
      <c r="AE953" t="b">
        <f>OR(AND(IF(metadata!C953="",FALSE,TRUE),OR(EXACT(metadata!C953,"not applicable"),EXACT(metadata!C953,"missing: not collected"),EXACT(metadata!C953,"missing: not provided"),EXACT(metadata!C953,"missing: restricted access"))),AND(IF(metadata!C953="",FALSE,ISNUMBER(VALUE(metadata!C953))),metadata!C953&gt;0))</f>
        <v>0</v>
      </c>
      <c r="AF953" t="b">
        <f>AND(IF(metadata!D953="",FALSE,TRUE),EXACT(metadata!D953,"missing: not provided"))</f>
        <v>0</v>
      </c>
      <c r="AG953" t="b">
        <f>AND(IF(metadata!E953="",FALSE,TRUE),EXACT(metadata!E953,"Host-associated"))</f>
        <v>0</v>
      </c>
      <c r="AH953" t="b">
        <f>AND(IF(metadata!F953="",FALSE,TRUE),OR(EXACT(metadata!F953,"Animal"),EXACT(metadata!F953,"Fungus"),EXACT(metadata!F953,"Plant")))</f>
        <v>0</v>
      </c>
      <c r="AI953" t="b">
        <f>AND(IF(metadata!G953="",FALSE,TRUE),OR(EXACT(metadata!G953,"Plant secretion"),EXACT(metadata!G953,"Plant rhizosphere"),EXACT(metadata!G953,"Plant surface"),EXACT(metadata!G953,"Plant corpus"),EXACT(metadata!G953,"Fungus surface"),EXACT(metadata!G953,"Fungus corpus"),EXACT(metadata!G953,"Animal surface"),EXACT(metadata!G953,"Animal proximal gut"),EXACT(metadata!G953,"Animal corpus"),EXACT(metadata!G953,"Animal distal gut"),EXACT(metadata!G953,"Animal secretion")))</f>
        <v>0</v>
      </c>
      <c r="AJ953" t="b">
        <f>OR(AND(IF(metadata!H953="",FALSE,TRUE),OR(EXACT(metadata!H953,"missing: not collected"),EXACT(metadata!H953,"missing: not provided"),EXACT(metadata!H953,"missing: restricted access"))),AND(IF(metadata!H953="",FALSE,TRUE),OR(EXACT(metadata!H953,"organism-associated habitat"),EXACT(metadata!H953,"plant-associated habitat"),EXACT(metadata!H953,"animal-associated habitat"),EXACT(metadata!H953,"insecta-associated habitat"),EXACT(metadata!H953,"mammalia-associated habitat"),EXACT(metadata!H953,"human-associated habitat"),EXACT(metadata!H953,"livestock-associated habitat"))))</f>
        <v>0</v>
      </c>
      <c r="AK953" t="b">
        <f>AND(IF(metadata!I953="",FALSE,TRUE),EXACT(metadata!I953,"host-associated"))</f>
        <v>0</v>
      </c>
      <c r="AL953" t="b">
        <f>OR(AND(IF(metadata!J953="",FALSE,TRUE),OR(EXACT(metadata!J953,"not applicable"),EXACT(metadata!J953,"missing: not collected"),EXACT(metadata!J953,"missing: not provided"),EXACT(metadata!J953,"missing: restricted access"))),AND(IF(metadata!J953="",FALSE,ISNUMBER(VALUE(metadata!J953))),metadata!J953&gt;0))</f>
        <v>0</v>
      </c>
      <c r="AM953" t="b">
        <f>AND(IF(metadata!K953="",FALSE,TRUE),EXACT(metadata!K953,"missing: not provided"))</f>
        <v>0</v>
      </c>
      <c r="AN953" t="b">
        <f>IF(metadata!L953="",FALSE,TRUE)</f>
        <v>0</v>
      </c>
      <c r="AO953" t="b">
        <f>IF(metadata!M953="",FALSE,TRUE)</f>
        <v>0</v>
      </c>
      <c r="AP953" t="b">
        <f>OR(AND(IF(metadata!N953="",FALSE,TRUE),OR(EXACT(metadata!N953,"not applicable"),EXACT(metadata!N953,"missing: not collected"),EXACT(metadata!N953,"missing: not provided"))),AND(IF(metadata!N953="",FALSE,IF(ISERROR(INT(metadata!N953)),FALSE,INT(metadata!N953)=metadata!N953)),metadata!N953&gt;0))</f>
        <v>0</v>
      </c>
      <c r="AQ953" t="b">
        <f>AND(IF(metadata!O953="",FALSE,TRUE),EXACT(metadata!O953,"Not applicable"))</f>
        <v>0</v>
      </c>
      <c r="AR953" t="b">
        <f>OR(AND(IF(metadata!P953="",FALSE,TRUE),OR(EXACT(metadata!P953,"not applicable"),EXACT(metadata!P953,"missing: not collected"),EXACT(metadata!P953,"missing: not provided"),EXACT(metadata!P953,"missing: restricted access"))),IF(metadata!P953="",FALSE,IF(ISERROR(INT(metadata!P953)),FALSE,INT(metadata!P953)=metadata!P953)))</f>
        <v>0</v>
      </c>
      <c r="AS953" t="b">
        <f>AND(IF(metadata!Q953="",FALSE,TRUE),EXACT(metadata!Q953,"Not applicable"))</f>
        <v>0</v>
      </c>
      <c r="AT953" t="b">
        <f>OR(AND(IF(metadata!R953="",FALSE,TRUE),OR(EXACT(metadata!R953,"not applicable"),EXACT(metadata!R953,"missing: not collected"),EXACT(metadata!R953,"missing: not provided"),EXACT(metadata!R953,"missing: restricted access"))),AND(IF(metadata!R953="",FALSE,ISNUMBER(VALUE(metadata!R953))),metadata!R953&gt;0))</f>
        <v>0</v>
      </c>
      <c r="AU953" t="b">
        <f>AND(IF(metadata!S953="",FALSE,TRUE),EXACT(metadata!S953,"missing: not provided"))</f>
        <v>0</v>
      </c>
    </row>
    <row r="954" spans="1:47" x14ac:dyDescent="0.2">
      <c r="A954" s="5" t="str">
        <f ca="1">IF(B954=" "," ",HYPERLINK(CONCATENATE("#metadata!",ADDRESS(INDEX($Y$2:$Y$1001,MATCH(ROWS($W$2:W954),$W$2:$W$1001,0),0),1)),INDEX($AB$2:$AB$1001,MATCH(ROWS($W$2:W954),$W$2:$W$1001,0),0)))</f>
        <v xml:space="preserve"> </v>
      </c>
      <c r="B954" s="4" t="str">
        <f ca="1">IF(OR(INDEX($X$2:$X$1001,MATCH(ROWS($W$2:W954),$W$2:$W$1001,0),1)&gt;=100000,INDEX($AD$1005:$AU$1005,1,MATCH(COLUMNS($AD$1006:AD1006),$AD$1006:$AU$1006,0))&gt;=100000), " ",IF(INDEX($AD$2:$AU$1001,MATCH(ROWS($W$2:W954),$W$2:$W$1001,0),MATCH(COLUMNS($AD$1006:AD1006),$AD$1006:$AU$1006,0)), HYPERLINK("#",""), HYPERLINK(CONCATENATE("#metadata!", ADDRESS(INDEX($Y$2:$Y$1001,MATCH(ROWS($W$2:W954),$W$2:$W$1001,0),0), INDEX($AD$1004:$AU$1004,1,MATCH(COLUMNS($AD$1006:AD1006),$AD$1006:$AU$1006,0)))),"Fix")))</f>
        <v xml:space="preserve"> </v>
      </c>
      <c r="C954" s="4" t="str">
        <f ca="1">IF(OR(INDEX($X$2:$X$1001,MATCH(ROWS($W$2:W954),$W$2:$W$1001,0),1)&gt;=100000,INDEX($AD$1005:$AU$1005,1,MATCH(COLUMNS($AD$1006:AE1006),$AD$1006:$AU$1006,0))&gt;=100000), " ",IF(INDEX($AD$2:$AU$1001,MATCH(ROWS($W$2:W954),$W$2:$W$1001,0),MATCH(COLUMNS($AD$1006:AE1006),$AD$1006:$AU$1006,0)), HYPERLINK("#",""), HYPERLINK(CONCATENATE("#metadata!", ADDRESS(INDEX($Y$2:$Y$1001,MATCH(ROWS($W$2:W954),$W$2:$W$1001,0),0), INDEX($AD$1004:$AU$1004,1,MATCH(COLUMNS($AD$1006:AE1006),$AD$1006:$AU$1006,0)))),"Fix")))</f>
        <v xml:space="preserve"> </v>
      </c>
      <c r="D954" s="4" t="str">
        <f ca="1">IF(OR(INDEX($X$2:$X$1001,MATCH(ROWS($W$2:W954),$W$2:$W$1001,0),1)&gt;=100000,INDEX($AD$1005:$AU$1005,1,MATCH(COLUMNS($AD$1006:AF1006),$AD$1006:$AU$1006,0))&gt;=100000), " ",IF(INDEX($AD$2:$AU$1001,MATCH(ROWS($W$2:W954),$W$2:$W$1001,0),MATCH(COLUMNS($AD$1006:AF1006),$AD$1006:$AU$1006,0)), HYPERLINK("#",""), HYPERLINK(CONCATENATE("#metadata!", ADDRESS(INDEX($Y$2:$Y$1001,MATCH(ROWS($W$2:W954),$W$2:$W$1001,0),0), INDEX($AD$1004:$AU$1004,1,MATCH(COLUMNS($AD$1006:AF1006),$AD$1006:$AU$1006,0)))),"Fix")))</f>
        <v xml:space="preserve"> </v>
      </c>
      <c r="E954" s="4" t="str">
        <f ca="1">IF(OR(INDEX($X$2:$X$1001,MATCH(ROWS($W$2:W954),$W$2:$W$1001,0),1)&gt;=100000,INDEX($AD$1005:$AU$1005,1,MATCH(COLUMNS($AD$1006:AG1006),$AD$1006:$AU$1006,0))&gt;=100000), " ",IF(INDEX($AD$2:$AU$1001,MATCH(ROWS($W$2:W954),$W$2:$W$1001,0),MATCH(COLUMNS($AD$1006:AG1006),$AD$1006:$AU$1006,0)), HYPERLINK("#",""), HYPERLINK(CONCATENATE("#metadata!", ADDRESS(INDEX($Y$2:$Y$1001,MATCH(ROWS($W$2:W954),$W$2:$W$1001,0),0), INDEX($AD$1004:$AU$1004,1,MATCH(COLUMNS($AD$1006:AG1006),$AD$1006:$AU$1006,0)))),"Fix")))</f>
        <v xml:space="preserve"> </v>
      </c>
      <c r="F954" s="4" t="str">
        <f ca="1">IF(OR(INDEX($X$2:$X$1001,MATCH(ROWS($W$2:W954),$W$2:$W$1001,0),1)&gt;=100000,INDEX($AD$1005:$AU$1005,1,MATCH(COLUMNS($AD$1006:AH1006),$AD$1006:$AU$1006,0))&gt;=100000), " ",IF(INDEX($AD$2:$AU$1001,MATCH(ROWS($W$2:W954),$W$2:$W$1001,0),MATCH(COLUMNS($AD$1006:AH1006),$AD$1006:$AU$1006,0)), HYPERLINK("#",""), HYPERLINK(CONCATENATE("#metadata!", ADDRESS(INDEX($Y$2:$Y$1001,MATCH(ROWS($W$2:W954),$W$2:$W$1001,0),0), INDEX($AD$1004:$AU$1004,1,MATCH(COLUMNS($AD$1006:AH1006),$AD$1006:$AU$1006,0)))),"Fix")))</f>
        <v xml:space="preserve"> </v>
      </c>
      <c r="G954" s="4" t="str">
        <f ca="1">IF(OR(INDEX($X$2:$X$1001,MATCH(ROWS($W$2:W954),$W$2:$W$1001,0),1)&gt;=100000,INDEX($AD$1005:$AU$1005,1,MATCH(COLUMNS($AD$1006:AI1006),$AD$1006:$AU$1006,0))&gt;=100000), " ",IF(INDEX($AD$2:$AU$1001,MATCH(ROWS($W$2:W954),$W$2:$W$1001,0),MATCH(COLUMNS($AD$1006:AI1006),$AD$1006:$AU$1006,0)), HYPERLINK("#",""), HYPERLINK(CONCATENATE("#metadata!", ADDRESS(INDEX($Y$2:$Y$1001,MATCH(ROWS($W$2:W954),$W$2:$W$1001,0),0), INDEX($AD$1004:$AU$1004,1,MATCH(COLUMNS($AD$1006:AI1006),$AD$1006:$AU$1006,0)))),"Fix")))</f>
        <v xml:space="preserve"> </v>
      </c>
      <c r="H954" s="4" t="str">
        <f ca="1">IF(OR(INDEX($X$2:$X$1001,MATCH(ROWS($W$2:W954),$W$2:$W$1001,0),1)&gt;=100000,INDEX($AD$1005:$AU$1005,1,MATCH(COLUMNS($AD$1006:AJ1006),$AD$1006:$AU$1006,0))&gt;=100000), " ",IF(INDEX($AD$2:$AU$1001,MATCH(ROWS($W$2:W954),$W$2:$W$1001,0),MATCH(COLUMNS($AD$1006:AJ1006),$AD$1006:$AU$1006,0)), HYPERLINK("#",""), HYPERLINK(CONCATENATE("#metadata!", ADDRESS(INDEX($Y$2:$Y$1001,MATCH(ROWS($W$2:W954),$W$2:$W$1001,0),0), INDEX($AD$1004:$AU$1004,1,MATCH(COLUMNS($AD$1006:AJ1006),$AD$1006:$AU$1006,0)))),"Fix")))</f>
        <v xml:space="preserve"> </v>
      </c>
      <c r="I954" s="4" t="str">
        <f ca="1">IF(OR(INDEX($X$2:$X$1001,MATCH(ROWS($W$2:W954),$W$2:$W$1001,0),1)&gt;=100000,INDEX($AD$1005:$AU$1005,1,MATCH(COLUMNS($AD$1006:AK1006),$AD$1006:$AU$1006,0))&gt;=100000), " ",IF(INDEX($AD$2:$AU$1001,MATCH(ROWS($W$2:W954),$W$2:$W$1001,0),MATCH(COLUMNS($AD$1006:AK1006),$AD$1006:$AU$1006,0)), HYPERLINK("#",""), HYPERLINK(CONCATENATE("#metadata!", ADDRESS(INDEX($Y$2:$Y$1001,MATCH(ROWS($W$2:W954),$W$2:$W$1001,0),0), INDEX($AD$1004:$AU$1004,1,MATCH(COLUMNS($AD$1006:AK1006),$AD$1006:$AU$1006,0)))),"Fix")))</f>
        <v xml:space="preserve"> </v>
      </c>
      <c r="J954" s="4" t="str">
        <f ca="1">IF(OR(INDEX($X$2:$X$1001,MATCH(ROWS($W$2:W954),$W$2:$W$1001,0),1)&gt;=100000,INDEX($AD$1005:$AU$1005,1,MATCH(COLUMNS($AD$1006:AL1006),$AD$1006:$AU$1006,0))&gt;=100000), " ",IF(INDEX($AD$2:$AU$1001,MATCH(ROWS($W$2:W954),$W$2:$W$1001,0),MATCH(COLUMNS($AD$1006:AL1006),$AD$1006:$AU$1006,0)), HYPERLINK("#",""), HYPERLINK(CONCATENATE("#metadata!", ADDRESS(INDEX($Y$2:$Y$1001,MATCH(ROWS($W$2:W954),$W$2:$W$1001,0),0), INDEX($AD$1004:$AU$1004,1,MATCH(COLUMNS($AD$1006:AL1006),$AD$1006:$AU$1006,0)))),"Fix")))</f>
        <v xml:space="preserve"> </v>
      </c>
      <c r="K954" s="4" t="str">
        <f ca="1">IF(OR(INDEX($X$2:$X$1001,MATCH(ROWS($W$2:W954),$W$2:$W$1001,0),1)&gt;=100000,INDEX($AD$1005:$AU$1005,1,MATCH(COLUMNS($AD$1006:AM1006),$AD$1006:$AU$1006,0))&gt;=100000), " ",IF(INDEX($AD$2:$AU$1001,MATCH(ROWS($W$2:W954),$W$2:$W$1001,0),MATCH(COLUMNS($AD$1006:AM1006),$AD$1006:$AU$1006,0)), HYPERLINK("#",""), HYPERLINK(CONCATENATE("#metadata!", ADDRESS(INDEX($Y$2:$Y$1001,MATCH(ROWS($W$2:W954),$W$2:$W$1001,0),0), INDEX($AD$1004:$AU$1004,1,MATCH(COLUMNS($AD$1006:AM1006),$AD$1006:$AU$1006,0)))),"Fix")))</f>
        <v xml:space="preserve"> </v>
      </c>
      <c r="L954" s="4" t="str">
        <f ca="1">IF(OR(INDEX($X$2:$X$1001,MATCH(ROWS($W$2:W954),$W$2:$W$1001,0),1)&gt;=100000,INDEX($AD$1005:$AU$1005,1,MATCH(COLUMNS($AD$1006:AN1006),$AD$1006:$AU$1006,0))&gt;=100000), " ",IF(INDEX($AD$2:$AU$1001,MATCH(ROWS($W$2:W954),$W$2:$W$1001,0),MATCH(COLUMNS($AD$1006:AN1006),$AD$1006:$AU$1006,0)), HYPERLINK("#",""), HYPERLINK(CONCATENATE("#metadata!", ADDRESS(INDEX($Y$2:$Y$1001,MATCH(ROWS($W$2:W954),$W$2:$W$1001,0),0), INDEX($AD$1004:$AU$1004,1,MATCH(COLUMNS($AD$1006:AN1006),$AD$1006:$AU$1006,0)))),"Fix")))</f>
        <v xml:space="preserve"> </v>
      </c>
      <c r="M954" s="4" t="str">
        <f ca="1">IF(OR(INDEX($X$2:$X$1001,MATCH(ROWS($W$2:W954),$W$2:$W$1001,0),1)&gt;=100000,INDEX($AD$1005:$AU$1005,1,MATCH(COLUMNS($AD$1006:AO1006),$AD$1006:$AU$1006,0))&gt;=100000), " ",IF(INDEX($AD$2:$AU$1001,MATCH(ROWS($W$2:W954),$W$2:$W$1001,0),MATCH(COLUMNS($AD$1006:AO1006),$AD$1006:$AU$1006,0)), HYPERLINK("#",""), HYPERLINK(CONCATENATE("#metadata!", ADDRESS(INDEX($Y$2:$Y$1001,MATCH(ROWS($W$2:W954),$W$2:$W$1001,0),0), INDEX($AD$1004:$AU$1004,1,MATCH(COLUMNS($AD$1006:AO1006),$AD$1006:$AU$1006,0)))),"Fix")))</f>
        <v xml:space="preserve"> </v>
      </c>
      <c r="N954" s="4" t="str">
        <f ca="1">IF(OR(INDEX($X$2:$X$1001,MATCH(ROWS($W$2:W954),$W$2:$W$1001,0),1)&gt;=100000,INDEX($AD$1005:$AU$1005,1,MATCH(COLUMNS($AD$1006:AP1006),$AD$1006:$AU$1006,0))&gt;=100000), " ",IF(INDEX($AD$2:$AU$1001,MATCH(ROWS($W$2:W954),$W$2:$W$1001,0),MATCH(COLUMNS($AD$1006:AP1006),$AD$1006:$AU$1006,0)), HYPERLINK("#",""), HYPERLINK(CONCATENATE("#metadata!", ADDRESS(INDEX($Y$2:$Y$1001,MATCH(ROWS($W$2:W954),$W$2:$W$1001,0),0), INDEX($AD$1004:$AU$1004,1,MATCH(COLUMNS($AD$1006:AP1006),$AD$1006:$AU$1006,0)))),"Fix")))</f>
        <v xml:space="preserve"> </v>
      </c>
      <c r="O954" s="4" t="str">
        <f ca="1">IF(OR(INDEX($X$2:$X$1001,MATCH(ROWS($W$2:W954),$W$2:$W$1001,0),1)&gt;=100000,INDEX($AD$1005:$AU$1005,1,MATCH(COLUMNS($AD$1006:AQ1006),$AD$1006:$AU$1006,0))&gt;=100000), " ",IF(INDEX($AD$2:$AU$1001,MATCH(ROWS($W$2:W954),$W$2:$W$1001,0),MATCH(COLUMNS($AD$1006:AQ1006),$AD$1006:$AU$1006,0)), HYPERLINK("#",""), HYPERLINK(CONCATENATE("#metadata!", ADDRESS(INDEX($Y$2:$Y$1001,MATCH(ROWS($W$2:W954),$W$2:$W$1001,0),0), INDEX($AD$1004:$AU$1004,1,MATCH(COLUMNS($AD$1006:AQ1006),$AD$1006:$AU$1006,0)))),"Fix")))</f>
        <v xml:space="preserve"> </v>
      </c>
      <c r="P954" s="4" t="str">
        <f ca="1">IF(OR(INDEX($X$2:$X$1001,MATCH(ROWS($W$2:W954),$W$2:$W$1001,0),1)&gt;=100000,INDEX($AD$1005:$AU$1005,1,MATCH(COLUMNS($AD$1006:AR1006),$AD$1006:$AU$1006,0))&gt;=100000), " ",IF(INDEX($AD$2:$AU$1001,MATCH(ROWS($W$2:W954),$W$2:$W$1001,0),MATCH(COLUMNS($AD$1006:AR1006),$AD$1006:$AU$1006,0)), HYPERLINK("#",""), HYPERLINK(CONCATENATE("#metadata!", ADDRESS(INDEX($Y$2:$Y$1001,MATCH(ROWS($W$2:W954),$W$2:$W$1001,0),0), INDEX($AD$1004:$AU$1004,1,MATCH(COLUMNS($AD$1006:AR1006),$AD$1006:$AU$1006,0)))),"Fix")))</f>
        <v xml:space="preserve"> </v>
      </c>
      <c r="Q954" s="4" t="str">
        <f ca="1">IF(OR(INDEX($X$2:$X$1001,MATCH(ROWS($W$2:W954),$W$2:$W$1001,0),1)&gt;=100000,INDEX($AD$1005:$AU$1005,1,MATCH(COLUMNS($AD$1006:AS1006),$AD$1006:$AU$1006,0))&gt;=100000), " ",IF(INDEX($AD$2:$AU$1001,MATCH(ROWS($W$2:W954),$W$2:$W$1001,0),MATCH(COLUMNS($AD$1006:AS1006),$AD$1006:$AU$1006,0)), HYPERLINK("#",""), HYPERLINK(CONCATENATE("#metadata!", ADDRESS(INDEX($Y$2:$Y$1001,MATCH(ROWS($W$2:W954),$W$2:$W$1001,0),0), INDEX($AD$1004:$AU$1004,1,MATCH(COLUMNS($AD$1006:AS1006),$AD$1006:$AU$1006,0)))),"Fix")))</f>
        <v xml:space="preserve"> </v>
      </c>
      <c r="R954" s="4" t="str">
        <f ca="1">IF(OR(INDEX($X$2:$X$1001,MATCH(ROWS($W$2:W954),$W$2:$W$1001,0),1)&gt;=100000,INDEX($AD$1005:$AU$1005,1,MATCH(COLUMNS($AD$1006:AT1006),$AD$1006:$AU$1006,0))&gt;=100000), " ",IF(INDEX($AD$2:$AU$1001,MATCH(ROWS($W$2:W954),$W$2:$W$1001,0),MATCH(COLUMNS($AD$1006:AT1006),$AD$1006:$AU$1006,0)), HYPERLINK("#",""), HYPERLINK(CONCATENATE("#metadata!", ADDRESS(INDEX($Y$2:$Y$1001,MATCH(ROWS($W$2:W954),$W$2:$W$1001,0),0), INDEX($AD$1004:$AU$1004,1,MATCH(COLUMNS($AD$1006:AT1006),$AD$1006:$AU$1006,0)))),"Fix")))</f>
        <v xml:space="preserve"> </v>
      </c>
      <c r="S954" s="4" t="str">
        <f ca="1">IF(OR(INDEX($X$2:$X$1001,MATCH(ROWS($W$2:W954),$W$2:$W$1001,0),1)&gt;=100000,INDEX($AD$1005:$AU$1005,1,MATCH(COLUMNS($AD$1006:AU1006),$AD$1006:$AU$1006,0))&gt;=100000), " ",IF(INDEX($AD$2:$AU$1001,MATCH(ROWS($W$2:W954),$W$2:$W$1001,0),MATCH(COLUMNS($AD$1006:AU1006),$AD$1006:$AU$1006,0)), HYPERLINK("#",""), HYPERLINK(CONCATENATE("#metadata!", ADDRESS(INDEX($Y$2:$Y$1001,MATCH(ROWS($W$2:W954),$W$2:$W$1001,0),0), INDEX($AD$1004:$AU$1004,1,MATCH(COLUMNS($AD$1006:AU1006),$AD$1006:$AU$1006,0)))),"Fix")))</f>
        <v xml:space="preserve"> </v>
      </c>
      <c r="W954">
        <v>953</v>
      </c>
      <c r="X954">
        <v>100954</v>
      </c>
      <c r="Y954">
        <v>954</v>
      </c>
      <c r="Z954" t="b">
        <f t="shared" si="14"/>
        <v>1</v>
      </c>
      <c r="AA954" t="b">
        <f>COUNTBLANK(metadata!B954:S954)=COLUMNS(metadata!B954:S954)</f>
        <v>1</v>
      </c>
      <c r="AB954" t="str">
        <v/>
      </c>
      <c r="AD954" t="b">
        <f ca="1">AND(IF(metadata!B954="",FALSE,TRUE),COUNTIF(metadata!B:B, metadata!B954) = 1,NOT(ISERROR(SUMPRODUCT(SEARCH(MID(metadata!B954,ROW(INDIRECT("1:"&amp;LEN(metadata!B954))), 1),"0123456789abcdefghijklmnopqrstuvwxyzABCDEFGHIJKLMNOPQRSTUVWXYZ.")))))</f>
        <v>0</v>
      </c>
      <c r="AE954" t="b">
        <f>OR(AND(IF(metadata!C954="",FALSE,TRUE),OR(EXACT(metadata!C954,"not applicable"),EXACT(metadata!C954,"missing: not collected"),EXACT(metadata!C954,"missing: not provided"),EXACT(metadata!C954,"missing: restricted access"))),AND(IF(metadata!C954="",FALSE,ISNUMBER(VALUE(metadata!C954))),metadata!C954&gt;0))</f>
        <v>0</v>
      </c>
      <c r="AF954" t="b">
        <f>AND(IF(metadata!D954="",FALSE,TRUE),EXACT(metadata!D954,"missing: not provided"))</f>
        <v>0</v>
      </c>
      <c r="AG954" t="b">
        <f>AND(IF(metadata!E954="",FALSE,TRUE),EXACT(metadata!E954,"Host-associated"))</f>
        <v>0</v>
      </c>
      <c r="AH954" t="b">
        <f>AND(IF(metadata!F954="",FALSE,TRUE),OR(EXACT(metadata!F954,"Animal"),EXACT(metadata!F954,"Fungus"),EXACT(metadata!F954,"Plant")))</f>
        <v>0</v>
      </c>
      <c r="AI954" t="b">
        <f>AND(IF(metadata!G954="",FALSE,TRUE),OR(EXACT(metadata!G954,"Plant secretion"),EXACT(metadata!G954,"Plant rhizosphere"),EXACT(metadata!G954,"Plant surface"),EXACT(metadata!G954,"Plant corpus"),EXACT(metadata!G954,"Fungus surface"),EXACT(metadata!G954,"Fungus corpus"),EXACT(metadata!G954,"Animal surface"),EXACT(metadata!G954,"Animal proximal gut"),EXACT(metadata!G954,"Animal corpus"),EXACT(metadata!G954,"Animal distal gut"),EXACT(metadata!G954,"Animal secretion")))</f>
        <v>0</v>
      </c>
      <c r="AJ954" t="b">
        <f>OR(AND(IF(metadata!H954="",FALSE,TRUE),OR(EXACT(metadata!H954,"missing: not collected"),EXACT(metadata!H954,"missing: not provided"),EXACT(metadata!H954,"missing: restricted access"))),AND(IF(metadata!H954="",FALSE,TRUE),OR(EXACT(metadata!H954,"organism-associated habitat"),EXACT(metadata!H954,"plant-associated habitat"),EXACT(metadata!H954,"animal-associated habitat"),EXACT(metadata!H954,"insecta-associated habitat"),EXACT(metadata!H954,"mammalia-associated habitat"),EXACT(metadata!H954,"human-associated habitat"),EXACT(metadata!H954,"livestock-associated habitat"))))</f>
        <v>0</v>
      </c>
      <c r="AK954" t="b">
        <f>AND(IF(metadata!I954="",FALSE,TRUE),EXACT(metadata!I954,"host-associated"))</f>
        <v>0</v>
      </c>
      <c r="AL954" t="b">
        <f>OR(AND(IF(metadata!J954="",FALSE,TRUE),OR(EXACT(metadata!J954,"not applicable"),EXACT(metadata!J954,"missing: not collected"),EXACT(metadata!J954,"missing: not provided"),EXACT(metadata!J954,"missing: restricted access"))),AND(IF(metadata!J954="",FALSE,ISNUMBER(VALUE(metadata!J954))),metadata!J954&gt;0))</f>
        <v>0</v>
      </c>
      <c r="AM954" t="b">
        <f>AND(IF(metadata!K954="",FALSE,TRUE),EXACT(metadata!K954,"missing: not provided"))</f>
        <v>0</v>
      </c>
      <c r="AN954" t="b">
        <f>IF(metadata!L954="",FALSE,TRUE)</f>
        <v>0</v>
      </c>
      <c r="AO954" t="b">
        <f>IF(metadata!M954="",FALSE,TRUE)</f>
        <v>0</v>
      </c>
      <c r="AP954" t="b">
        <f>OR(AND(IF(metadata!N954="",FALSE,TRUE),OR(EXACT(metadata!N954,"not applicable"),EXACT(metadata!N954,"missing: not collected"),EXACT(metadata!N954,"missing: not provided"))),AND(IF(metadata!N954="",FALSE,IF(ISERROR(INT(metadata!N954)),FALSE,INT(metadata!N954)=metadata!N954)),metadata!N954&gt;0))</f>
        <v>0</v>
      </c>
      <c r="AQ954" t="b">
        <f>AND(IF(metadata!O954="",FALSE,TRUE),EXACT(metadata!O954,"Not applicable"))</f>
        <v>0</v>
      </c>
      <c r="AR954" t="b">
        <f>OR(AND(IF(metadata!P954="",FALSE,TRUE),OR(EXACT(metadata!P954,"not applicable"),EXACT(metadata!P954,"missing: not collected"),EXACT(metadata!P954,"missing: not provided"),EXACT(metadata!P954,"missing: restricted access"))),IF(metadata!P954="",FALSE,IF(ISERROR(INT(metadata!P954)),FALSE,INT(metadata!P954)=metadata!P954)))</f>
        <v>0</v>
      </c>
      <c r="AS954" t="b">
        <f>AND(IF(metadata!Q954="",FALSE,TRUE),EXACT(metadata!Q954,"Not applicable"))</f>
        <v>0</v>
      </c>
      <c r="AT954" t="b">
        <f>OR(AND(IF(metadata!R954="",FALSE,TRUE),OR(EXACT(metadata!R954,"not applicable"),EXACT(metadata!R954,"missing: not collected"),EXACT(metadata!R954,"missing: not provided"),EXACT(metadata!R954,"missing: restricted access"))),AND(IF(metadata!R954="",FALSE,ISNUMBER(VALUE(metadata!R954))),metadata!R954&gt;0))</f>
        <v>0</v>
      </c>
      <c r="AU954" t="b">
        <f>AND(IF(metadata!S954="",FALSE,TRUE),EXACT(metadata!S954,"missing: not provided"))</f>
        <v>0</v>
      </c>
    </row>
    <row r="955" spans="1:47" x14ac:dyDescent="0.2">
      <c r="A955" s="5" t="str">
        <f ca="1">IF(B955=" "," ",HYPERLINK(CONCATENATE("#metadata!",ADDRESS(INDEX($Y$2:$Y$1001,MATCH(ROWS($W$2:W955),$W$2:$W$1001,0),0),1)),INDEX($AB$2:$AB$1001,MATCH(ROWS($W$2:W955),$W$2:$W$1001,0),0)))</f>
        <v xml:space="preserve"> </v>
      </c>
      <c r="B955" s="4" t="str">
        <f ca="1">IF(OR(INDEX($X$2:$X$1001,MATCH(ROWS($W$2:W955),$W$2:$W$1001,0),1)&gt;=100000,INDEX($AD$1005:$AU$1005,1,MATCH(COLUMNS($AD$1006:AD1006),$AD$1006:$AU$1006,0))&gt;=100000), " ",IF(INDEX($AD$2:$AU$1001,MATCH(ROWS($W$2:W955),$W$2:$W$1001,0),MATCH(COLUMNS($AD$1006:AD1006),$AD$1006:$AU$1006,0)), HYPERLINK("#",""), HYPERLINK(CONCATENATE("#metadata!", ADDRESS(INDEX($Y$2:$Y$1001,MATCH(ROWS($W$2:W955),$W$2:$W$1001,0),0), INDEX($AD$1004:$AU$1004,1,MATCH(COLUMNS($AD$1006:AD1006),$AD$1006:$AU$1006,0)))),"Fix")))</f>
        <v xml:space="preserve"> </v>
      </c>
      <c r="C955" s="4" t="str">
        <f ca="1">IF(OR(INDEX($X$2:$X$1001,MATCH(ROWS($W$2:W955),$W$2:$W$1001,0),1)&gt;=100000,INDEX($AD$1005:$AU$1005,1,MATCH(COLUMNS($AD$1006:AE1006),$AD$1006:$AU$1006,0))&gt;=100000), " ",IF(INDEX($AD$2:$AU$1001,MATCH(ROWS($W$2:W955),$W$2:$W$1001,0),MATCH(COLUMNS($AD$1006:AE1006),$AD$1006:$AU$1006,0)), HYPERLINK("#",""), HYPERLINK(CONCATENATE("#metadata!", ADDRESS(INDEX($Y$2:$Y$1001,MATCH(ROWS($W$2:W955),$W$2:$W$1001,0),0), INDEX($AD$1004:$AU$1004,1,MATCH(COLUMNS($AD$1006:AE1006),$AD$1006:$AU$1006,0)))),"Fix")))</f>
        <v xml:space="preserve"> </v>
      </c>
      <c r="D955" s="4" t="str">
        <f ca="1">IF(OR(INDEX($X$2:$X$1001,MATCH(ROWS($W$2:W955),$W$2:$W$1001,0),1)&gt;=100000,INDEX($AD$1005:$AU$1005,1,MATCH(COLUMNS($AD$1006:AF1006),$AD$1006:$AU$1006,0))&gt;=100000), " ",IF(INDEX($AD$2:$AU$1001,MATCH(ROWS($W$2:W955),$W$2:$W$1001,0),MATCH(COLUMNS($AD$1006:AF1006),$AD$1006:$AU$1006,0)), HYPERLINK("#",""), HYPERLINK(CONCATENATE("#metadata!", ADDRESS(INDEX($Y$2:$Y$1001,MATCH(ROWS($W$2:W955),$W$2:$W$1001,0),0), INDEX($AD$1004:$AU$1004,1,MATCH(COLUMNS($AD$1006:AF1006),$AD$1006:$AU$1006,0)))),"Fix")))</f>
        <v xml:space="preserve"> </v>
      </c>
      <c r="E955" s="4" t="str">
        <f ca="1">IF(OR(INDEX($X$2:$X$1001,MATCH(ROWS($W$2:W955),$W$2:$W$1001,0),1)&gt;=100000,INDEX($AD$1005:$AU$1005,1,MATCH(COLUMNS($AD$1006:AG1006),$AD$1006:$AU$1006,0))&gt;=100000), " ",IF(INDEX($AD$2:$AU$1001,MATCH(ROWS($W$2:W955),$W$2:$W$1001,0),MATCH(COLUMNS($AD$1006:AG1006),$AD$1006:$AU$1006,0)), HYPERLINK("#",""), HYPERLINK(CONCATENATE("#metadata!", ADDRESS(INDEX($Y$2:$Y$1001,MATCH(ROWS($W$2:W955),$W$2:$W$1001,0),0), INDEX($AD$1004:$AU$1004,1,MATCH(COLUMNS($AD$1006:AG1006),$AD$1006:$AU$1006,0)))),"Fix")))</f>
        <v xml:space="preserve"> </v>
      </c>
      <c r="F955" s="4" t="str">
        <f ca="1">IF(OR(INDEX($X$2:$X$1001,MATCH(ROWS($W$2:W955),$W$2:$W$1001,0),1)&gt;=100000,INDEX($AD$1005:$AU$1005,1,MATCH(COLUMNS($AD$1006:AH1006),$AD$1006:$AU$1006,0))&gt;=100000), " ",IF(INDEX($AD$2:$AU$1001,MATCH(ROWS($W$2:W955),$W$2:$W$1001,0),MATCH(COLUMNS($AD$1006:AH1006),$AD$1006:$AU$1006,0)), HYPERLINK("#",""), HYPERLINK(CONCATENATE("#metadata!", ADDRESS(INDEX($Y$2:$Y$1001,MATCH(ROWS($W$2:W955),$W$2:$W$1001,0),0), INDEX($AD$1004:$AU$1004,1,MATCH(COLUMNS($AD$1006:AH1006),$AD$1006:$AU$1006,0)))),"Fix")))</f>
        <v xml:space="preserve"> </v>
      </c>
      <c r="G955" s="4" t="str">
        <f ca="1">IF(OR(INDEX($X$2:$X$1001,MATCH(ROWS($W$2:W955),$W$2:$W$1001,0),1)&gt;=100000,INDEX($AD$1005:$AU$1005,1,MATCH(COLUMNS($AD$1006:AI1006),$AD$1006:$AU$1006,0))&gt;=100000), " ",IF(INDEX($AD$2:$AU$1001,MATCH(ROWS($W$2:W955),$W$2:$W$1001,0),MATCH(COLUMNS($AD$1006:AI1006),$AD$1006:$AU$1006,0)), HYPERLINK("#",""), HYPERLINK(CONCATENATE("#metadata!", ADDRESS(INDEX($Y$2:$Y$1001,MATCH(ROWS($W$2:W955),$W$2:$W$1001,0),0), INDEX($AD$1004:$AU$1004,1,MATCH(COLUMNS($AD$1006:AI1006),$AD$1006:$AU$1006,0)))),"Fix")))</f>
        <v xml:space="preserve"> </v>
      </c>
      <c r="H955" s="4" t="str">
        <f ca="1">IF(OR(INDEX($X$2:$X$1001,MATCH(ROWS($W$2:W955),$W$2:$W$1001,0),1)&gt;=100000,INDEX($AD$1005:$AU$1005,1,MATCH(COLUMNS($AD$1006:AJ1006),$AD$1006:$AU$1006,0))&gt;=100000), " ",IF(INDEX($AD$2:$AU$1001,MATCH(ROWS($W$2:W955),$W$2:$W$1001,0),MATCH(COLUMNS($AD$1006:AJ1006),$AD$1006:$AU$1006,0)), HYPERLINK("#",""), HYPERLINK(CONCATENATE("#metadata!", ADDRESS(INDEX($Y$2:$Y$1001,MATCH(ROWS($W$2:W955),$W$2:$W$1001,0),0), INDEX($AD$1004:$AU$1004,1,MATCH(COLUMNS($AD$1006:AJ1006),$AD$1006:$AU$1006,0)))),"Fix")))</f>
        <v xml:space="preserve"> </v>
      </c>
      <c r="I955" s="4" t="str">
        <f ca="1">IF(OR(INDEX($X$2:$X$1001,MATCH(ROWS($W$2:W955),$W$2:$W$1001,0),1)&gt;=100000,INDEX($AD$1005:$AU$1005,1,MATCH(COLUMNS($AD$1006:AK1006),$AD$1006:$AU$1006,0))&gt;=100000), " ",IF(INDEX($AD$2:$AU$1001,MATCH(ROWS($W$2:W955),$W$2:$W$1001,0),MATCH(COLUMNS($AD$1006:AK1006),$AD$1006:$AU$1006,0)), HYPERLINK("#",""), HYPERLINK(CONCATENATE("#metadata!", ADDRESS(INDEX($Y$2:$Y$1001,MATCH(ROWS($W$2:W955),$W$2:$W$1001,0),0), INDEX($AD$1004:$AU$1004,1,MATCH(COLUMNS($AD$1006:AK1006),$AD$1006:$AU$1006,0)))),"Fix")))</f>
        <v xml:space="preserve"> </v>
      </c>
      <c r="J955" s="4" t="str">
        <f ca="1">IF(OR(INDEX($X$2:$X$1001,MATCH(ROWS($W$2:W955),$W$2:$W$1001,0),1)&gt;=100000,INDEX($AD$1005:$AU$1005,1,MATCH(COLUMNS($AD$1006:AL1006),$AD$1006:$AU$1006,0))&gt;=100000), " ",IF(INDEX($AD$2:$AU$1001,MATCH(ROWS($W$2:W955),$W$2:$W$1001,0),MATCH(COLUMNS($AD$1006:AL1006),$AD$1006:$AU$1006,0)), HYPERLINK("#",""), HYPERLINK(CONCATENATE("#metadata!", ADDRESS(INDEX($Y$2:$Y$1001,MATCH(ROWS($W$2:W955),$W$2:$W$1001,0),0), INDEX($AD$1004:$AU$1004,1,MATCH(COLUMNS($AD$1006:AL1006),$AD$1006:$AU$1006,0)))),"Fix")))</f>
        <v xml:space="preserve"> </v>
      </c>
      <c r="K955" s="4" t="str">
        <f ca="1">IF(OR(INDEX($X$2:$X$1001,MATCH(ROWS($W$2:W955),$W$2:$W$1001,0),1)&gt;=100000,INDEX($AD$1005:$AU$1005,1,MATCH(COLUMNS($AD$1006:AM1006),$AD$1006:$AU$1006,0))&gt;=100000), " ",IF(INDEX($AD$2:$AU$1001,MATCH(ROWS($W$2:W955),$W$2:$W$1001,0),MATCH(COLUMNS($AD$1006:AM1006),$AD$1006:$AU$1006,0)), HYPERLINK("#",""), HYPERLINK(CONCATENATE("#metadata!", ADDRESS(INDEX($Y$2:$Y$1001,MATCH(ROWS($W$2:W955),$W$2:$W$1001,0),0), INDEX($AD$1004:$AU$1004,1,MATCH(COLUMNS($AD$1006:AM1006),$AD$1006:$AU$1006,0)))),"Fix")))</f>
        <v xml:space="preserve"> </v>
      </c>
      <c r="L955" s="4" t="str">
        <f ca="1">IF(OR(INDEX($X$2:$X$1001,MATCH(ROWS($W$2:W955),$W$2:$W$1001,0),1)&gt;=100000,INDEX($AD$1005:$AU$1005,1,MATCH(COLUMNS($AD$1006:AN1006),$AD$1006:$AU$1006,0))&gt;=100000), " ",IF(INDEX($AD$2:$AU$1001,MATCH(ROWS($W$2:W955),$W$2:$W$1001,0),MATCH(COLUMNS($AD$1006:AN1006),$AD$1006:$AU$1006,0)), HYPERLINK("#",""), HYPERLINK(CONCATENATE("#metadata!", ADDRESS(INDEX($Y$2:$Y$1001,MATCH(ROWS($W$2:W955),$W$2:$W$1001,0),0), INDEX($AD$1004:$AU$1004,1,MATCH(COLUMNS($AD$1006:AN1006),$AD$1006:$AU$1006,0)))),"Fix")))</f>
        <v xml:space="preserve"> </v>
      </c>
      <c r="M955" s="4" t="str">
        <f ca="1">IF(OR(INDEX($X$2:$X$1001,MATCH(ROWS($W$2:W955),$W$2:$W$1001,0),1)&gt;=100000,INDEX($AD$1005:$AU$1005,1,MATCH(COLUMNS($AD$1006:AO1006),$AD$1006:$AU$1006,0))&gt;=100000), " ",IF(INDEX($AD$2:$AU$1001,MATCH(ROWS($W$2:W955),$W$2:$W$1001,0),MATCH(COLUMNS($AD$1006:AO1006),$AD$1006:$AU$1006,0)), HYPERLINK("#",""), HYPERLINK(CONCATENATE("#metadata!", ADDRESS(INDEX($Y$2:$Y$1001,MATCH(ROWS($W$2:W955),$W$2:$W$1001,0),0), INDEX($AD$1004:$AU$1004,1,MATCH(COLUMNS($AD$1006:AO1006),$AD$1006:$AU$1006,0)))),"Fix")))</f>
        <v xml:space="preserve"> </v>
      </c>
      <c r="N955" s="4" t="str">
        <f ca="1">IF(OR(INDEX($X$2:$X$1001,MATCH(ROWS($W$2:W955),$W$2:$W$1001,0),1)&gt;=100000,INDEX($AD$1005:$AU$1005,1,MATCH(COLUMNS($AD$1006:AP1006),$AD$1006:$AU$1006,0))&gt;=100000), " ",IF(INDEX($AD$2:$AU$1001,MATCH(ROWS($W$2:W955),$W$2:$W$1001,0),MATCH(COLUMNS($AD$1006:AP1006),$AD$1006:$AU$1006,0)), HYPERLINK("#",""), HYPERLINK(CONCATENATE("#metadata!", ADDRESS(INDEX($Y$2:$Y$1001,MATCH(ROWS($W$2:W955),$W$2:$W$1001,0),0), INDEX($AD$1004:$AU$1004,1,MATCH(COLUMNS($AD$1006:AP1006),$AD$1006:$AU$1006,0)))),"Fix")))</f>
        <v xml:space="preserve"> </v>
      </c>
      <c r="O955" s="4" t="str">
        <f ca="1">IF(OR(INDEX($X$2:$X$1001,MATCH(ROWS($W$2:W955),$W$2:$W$1001,0),1)&gt;=100000,INDEX($AD$1005:$AU$1005,1,MATCH(COLUMNS($AD$1006:AQ1006),$AD$1006:$AU$1006,0))&gt;=100000), " ",IF(INDEX($AD$2:$AU$1001,MATCH(ROWS($W$2:W955),$W$2:$W$1001,0),MATCH(COLUMNS($AD$1006:AQ1006),$AD$1006:$AU$1006,0)), HYPERLINK("#",""), HYPERLINK(CONCATENATE("#metadata!", ADDRESS(INDEX($Y$2:$Y$1001,MATCH(ROWS($W$2:W955),$W$2:$W$1001,0),0), INDEX($AD$1004:$AU$1004,1,MATCH(COLUMNS($AD$1006:AQ1006),$AD$1006:$AU$1006,0)))),"Fix")))</f>
        <v xml:space="preserve"> </v>
      </c>
      <c r="P955" s="4" t="str">
        <f ca="1">IF(OR(INDEX($X$2:$X$1001,MATCH(ROWS($W$2:W955),$W$2:$W$1001,0),1)&gt;=100000,INDEX($AD$1005:$AU$1005,1,MATCH(COLUMNS($AD$1006:AR1006),$AD$1006:$AU$1006,0))&gt;=100000), " ",IF(INDEX($AD$2:$AU$1001,MATCH(ROWS($W$2:W955),$W$2:$W$1001,0),MATCH(COLUMNS($AD$1006:AR1006),$AD$1006:$AU$1006,0)), HYPERLINK("#",""), HYPERLINK(CONCATENATE("#metadata!", ADDRESS(INDEX($Y$2:$Y$1001,MATCH(ROWS($W$2:W955),$W$2:$W$1001,0),0), INDEX($AD$1004:$AU$1004,1,MATCH(COLUMNS($AD$1006:AR1006),$AD$1006:$AU$1006,0)))),"Fix")))</f>
        <v xml:space="preserve"> </v>
      </c>
      <c r="Q955" s="4" t="str">
        <f ca="1">IF(OR(INDEX($X$2:$X$1001,MATCH(ROWS($W$2:W955),$W$2:$W$1001,0),1)&gt;=100000,INDEX($AD$1005:$AU$1005,1,MATCH(COLUMNS($AD$1006:AS1006),$AD$1006:$AU$1006,0))&gt;=100000), " ",IF(INDEX($AD$2:$AU$1001,MATCH(ROWS($W$2:W955),$W$2:$W$1001,0),MATCH(COLUMNS($AD$1006:AS1006),$AD$1006:$AU$1006,0)), HYPERLINK("#",""), HYPERLINK(CONCATENATE("#metadata!", ADDRESS(INDEX($Y$2:$Y$1001,MATCH(ROWS($W$2:W955),$W$2:$W$1001,0),0), INDEX($AD$1004:$AU$1004,1,MATCH(COLUMNS($AD$1006:AS1006),$AD$1006:$AU$1006,0)))),"Fix")))</f>
        <v xml:space="preserve"> </v>
      </c>
      <c r="R955" s="4" t="str">
        <f ca="1">IF(OR(INDEX($X$2:$X$1001,MATCH(ROWS($W$2:W955),$W$2:$W$1001,0),1)&gt;=100000,INDEX($AD$1005:$AU$1005,1,MATCH(COLUMNS($AD$1006:AT1006),$AD$1006:$AU$1006,0))&gt;=100000), " ",IF(INDEX($AD$2:$AU$1001,MATCH(ROWS($W$2:W955),$W$2:$W$1001,0),MATCH(COLUMNS($AD$1006:AT1006),$AD$1006:$AU$1006,0)), HYPERLINK("#",""), HYPERLINK(CONCATENATE("#metadata!", ADDRESS(INDEX($Y$2:$Y$1001,MATCH(ROWS($W$2:W955),$W$2:$W$1001,0),0), INDEX($AD$1004:$AU$1004,1,MATCH(COLUMNS($AD$1006:AT1006),$AD$1006:$AU$1006,0)))),"Fix")))</f>
        <v xml:space="preserve"> </v>
      </c>
      <c r="S955" s="4" t="str">
        <f ca="1">IF(OR(INDEX($X$2:$X$1001,MATCH(ROWS($W$2:W955),$W$2:$W$1001,0),1)&gt;=100000,INDEX($AD$1005:$AU$1005,1,MATCH(COLUMNS($AD$1006:AU1006),$AD$1006:$AU$1006,0))&gt;=100000), " ",IF(INDEX($AD$2:$AU$1001,MATCH(ROWS($W$2:W955),$W$2:$W$1001,0),MATCH(COLUMNS($AD$1006:AU1006),$AD$1006:$AU$1006,0)), HYPERLINK("#",""), HYPERLINK(CONCATENATE("#metadata!", ADDRESS(INDEX($Y$2:$Y$1001,MATCH(ROWS($W$2:W955),$W$2:$W$1001,0),0), INDEX($AD$1004:$AU$1004,1,MATCH(COLUMNS($AD$1006:AU1006),$AD$1006:$AU$1006,0)))),"Fix")))</f>
        <v xml:space="preserve"> </v>
      </c>
      <c r="W955">
        <v>954</v>
      </c>
      <c r="X955">
        <v>100955</v>
      </c>
      <c r="Y955">
        <v>955</v>
      </c>
      <c r="Z955" t="b">
        <f t="shared" si="14"/>
        <v>1</v>
      </c>
      <c r="AA955" t="b">
        <f>COUNTBLANK(metadata!B955:S955)=COLUMNS(metadata!B955:S955)</f>
        <v>1</v>
      </c>
      <c r="AB955" t="str">
        <v/>
      </c>
      <c r="AD955" t="b">
        <f ca="1">AND(IF(metadata!B955="",FALSE,TRUE),COUNTIF(metadata!B:B, metadata!B955) = 1,NOT(ISERROR(SUMPRODUCT(SEARCH(MID(metadata!B955,ROW(INDIRECT("1:"&amp;LEN(metadata!B955))), 1),"0123456789abcdefghijklmnopqrstuvwxyzABCDEFGHIJKLMNOPQRSTUVWXYZ.")))))</f>
        <v>0</v>
      </c>
      <c r="AE955" t="b">
        <f>OR(AND(IF(metadata!C955="",FALSE,TRUE),OR(EXACT(metadata!C955,"not applicable"),EXACT(metadata!C955,"missing: not collected"),EXACT(metadata!C955,"missing: not provided"),EXACT(metadata!C955,"missing: restricted access"))),AND(IF(metadata!C955="",FALSE,ISNUMBER(VALUE(metadata!C955))),metadata!C955&gt;0))</f>
        <v>0</v>
      </c>
      <c r="AF955" t="b">
        <f>AND(IF(metadata!D955="",FALSE,TRUE),EXACT(metadata!D955,"missing: not provided"))</f>
        <v>0</v>
      </c>
      <c r="AG955" t="b">
        <f>AND(IF(metadata!E955="",FALSE,TRUE),EXACT(metadata!E955,"Host-associated"))</f>
        <v>0</v>
      </c>
      <c r="AH955" t="b">
        <f>AND(IF(metadata!F955="",FALSE,TRUE),OR(EXACT(metadata!F955,"Animal"),EXACT(metadata!F955,"Fungus"),EXACT(metadata!F955,"Plant")))</f>
        <v>0</v>
      </c>
      <c r="AI955" t="b">
        <f>AND(IF(metadata!G955="",FALSE,TRUE),OR(EXACT(metadata!G955,"Plant secretion"),EXACT(metadata!G955,"Plant rhizosphere"),EXACT(metadata!G955,"Plant surface"),EXACT(metadata!G955,"Plant corpus"),EXACT(metadata!G955,"Fungus surface"),EXACT(metadata!G955,"Fungus corpus"),EXACT(metadata!G955,"Animal surface"),EXACT(metadata!G955,"Animal proximal gut"),EXACT(metadata!G955,"Animal corpus"),EXACT(metadata!G955,"Animal distal gut"),EXACT(metadata!G955,"Animal secretion")))</f>
        <v>0</v>
      </c>
      <c r="AJ955" t="b">
        <f>OR(AND(IF(metadata!H955="",FALSE,TRUE),OR(EXACT(metadata!H955,"missing: not collected"),EXACT(metadata!H955,"missing: not provided"),EXACT(metadata!H955,"missing: restricted access"))),AND(IF(metadata!H955="",FALSE,TRUE),OR(EXACT(metadata!H955,"organism-associated habitat"),EXACT(metadata!H955,"plant-associated habitat"),EXACT(metadata!H955,"animal-associated habitat"),EXACT(metadata!H955,"insecta-associated habitat"),EXACT(metadata!H955,"mammalia-associated habitat"),EXACT(metadata!H955,"human-associated habitat"),EXACT(metadata!H955,"livestock-associated habitat"))))</f>
        <v>0</v>
      </c>
      <c r="AK955" t="b">
        <f>AND(IF(metadata!I955="",FALSE,TRUE),EXACT(metadata!I955,"host-associated"))</f>
        <v>0</v>
      </c>
      <c r="AL955" t="b">
        <f>OR(AND(IF(metadata!J955="",FALSE,TRUE),OR(EXACT(metadata!J955,"not applicable"),EXACT(metadata!J955,"missing: not collected"),EXACT(metadata!J955,"missing: not provided"),EXACT(metadata!J955,"missing: restricted access"))),AND(IF(metadata!J955="",FALSE,ISNUMBER(VALUE(metadata!J955))),metadata!J955&gt;0))</f>
        <v>0</v>
      </c>
      <c r="AM955" t="b">
        <f>AND(IF(metadata!K955="",FALSE,TRUE),EXACT(metadata!K955,"missing: not provided"))</f>
        <v>0</v>
      </c>
      <c r="AN955" t="b">
        <f>IF(metadata!L955="",FALSE,TRUE)</f>
        <v>0</v>
      </c>
      <c r="AO955" t="b">
        <f>IF(metadata!M955="",FALSE,TRUE)</f>
        <v>0</v>
      </c>
      <c r="AP955" t="b">
        <f>OR(AND(IF(metadata!N955="",FALSE,TRUE),OR(EXACT(metadata!N955,"not applicable"),EXACT(metadata!N955,"missing: not collected"),EXACT(metadata!N955,"missing: not provided"))),AND(IF(metadata!N955="",FALSE,IF(ISERROR(INT(metadata!N955)),FALSE,INT(metadata!N955)=metadata!N955)),metadata!N955&gt;0))</f>
        <v>0</v>
      </c>
      <c r="AQ955" t="b">
        <f>AND(IF(metadata!O955="",FALSE,TRUE),EXACT(metadata!O955,"Not applicable"))</f>
        <v>0</v>
      </c>
      <c r="AR955" t="b">
        <f>OR(AND(IF(metadata!P955="",FALSE,TRUE),OR(EXACT(metadata!P955,"not applicable"),EXACT(metadata!P955,"missing: not collected"),EXACT(metadata!P955,"missing: not provided"),EXACT(metadata!P955,"missing: restricted access"))),IF(metadata!P955="",FALSE,IF(ISERROR(INT(metadata!P955)),FALSE,INT(metadata!P955)=metadata!P955)))</f>
        <v>0</v>
      </c>
      <c r="AS955" t="b">
        <f>AND(IF(metadata!Q955="",FALSE,TRUE),EXACT(metadata!Q955,"Not applicable"))</f>
        <v>0</v>
      </c>
      <c r="AT955" t="b">
        <f>OR(AND(IF(metadata!R955="",FALSE,TRUE),OR(EXACT(metadata!R955,"not applicable"),EXACT(metadata!R955,"missing: not collected"),EXACT(metadata!R955,"missing: not provided"),EXACT(metadata!R955,"missing: restricted access"))),AND(IF(metadata!R955="",FALSE,ISNUMBER(VALUE(metadata!R955))),metadata!R955&gt;0))</f>
        <v>0</v>
      </c>
      <c r="AU955" t="b">
        <f>AND(IF(metadata!S955="",FALSE,TRUE),EXACT(metadata!S955,"missing: not provided"))</f>
        <v>0</v>
      </c>
    </row>
    <row r="956" spans="1:47" x14ac:dyDescent="0.2">
      <c r="A956" s="5" t="str">
        <f ca="1">IF(B956=" "," ",HYPERLINK(CONCATENATE("#metadata!",ADDRESS(INDEX($Y$2:$Y$1001,MATCH(ROWS($W$2:W956),$W$2:$W$1001,0),0),1)),INDEX($AB$2:$AB$1001,MATCH(ROWS($W$2:W956),$W$2:$W$1001,0),0)))</f>
        <v xml:space="preserve"> </v>
      </c>
      <c r="B956" s="4" t="str">
        <f ca="1">IF(OR(INDEX($X$2:$X$1001,MATCH(ROWS($W$2:W956),$W$2:$W$1001,0),1)&gt;=100000,INDEX($AD$1005:$AU$1005,1,MATCH(COLUMNS($AD$1006:AD1006),$AD$1006:$AU$1006,0))&gt;=100000), " ",IF(INDEX($AD$2:$AU$1001,MATCH(ROWS($W$2:W956),$W$2:$W$1001,0),MATCH(COLUMNS($AD$1006:AD1006),$AD$1006:$AU$1006,0)), HYPERLINK("#",""), HYPERLINK(CONCATENATE("#metadata!", ADDRESS(INDEX($Y$2:$Y$1001,MATCH(ROWS($W$2:W956),$W$2:$W$1001,0),0), INDEX($AD$1004:$AU$1004,1,MATCH(COLUMNS($AD$1006:AD1006),$AD$1006:$AU$1006,0)))),"Fix")))</f>
        <v xml:space="preserve"> </v>
      </c>
      <c r="C956" s="4" t="str">
        <f ca="1">IF(OR(INDEX($X$2:$X$1001,MATCH(ROWS($W$2:W956),$W$2:$W$1001,0),1)&gt;=100000,INDEX($AD$1005:$AU$1005,1,MATCH(COLUMNS($AD$1006:AE1006),$AD$1006:$AU$1006,0))&gt;=100000), " ",IF(INDEX($AD$2:$AU$1001,MATCH(ROWS($W$2:W956),$W$2:$W$1001,0),MATCH(COLUMNS($AD$1006:AE1006),$AD$1006:$AU$1006,0)), HYPERLINK("#",""), HYPERLINK(CONCATENATE("#metadata!", ADDRESS(INDEX($Y$2:$Y$1001,MATCH(ROWS($W$2:W956),$W$2:$W$1001,0),0), INDEX($AD$1004:$AU$1004,1,MATCH(COLUMNS($AD$1006:AE1006),$AD$1006:$AU$1006,0)))),"Fix")))</f>
        <v xml:space="preserve"> </v>
      </c>
      <c r="D956" s="4" t="str">
        <f ca="1">IF(OR(INDEX($X$2:$X$1001,MATCH(ROWS($W$2:W956),$W$2:$W$1001,0),1)&gt;=100000,INDEX($AD$1005:$AU$1005,1,MATCH(COLUMNS($AD$1006:AF1006),$AD$1006:$AU$1006,0))&gt;=100000), " ",IF(INDEX($AD$2:$AU$1001,MATCH(ROWS($W$2:W956),$W$2:$W$1001,0),MATCH(COLUMNS($AD$1006:AF1006),$AD$1006:$AU$1006,0)), HYPERLINK("#",""), HYPERLINK(CONCATENATE("#metadata!", ADDRESS(INDEX($Y$2:$Y$1001,MATCH(ROWS($W$2:W956),$W$2:$W$1001,0),0), INDEX($AD$1004:$AU$1004,1,MATCH(COLUMNS($AD$1006:AF1006),$AD$1006:$AU$1006,0)))),"Fix")))</f>
        <v xml:space="preserve"> </v>
      </c>
      <c r="E956" s="4" t="str">
        <f ca="1">IF(OR(INDEX($X$2:$X$1001,MATCH(ROWS($W$2:W956),$W$2:$W$1001,0),1)&gt;=100000,INDEX($AD$1005:$AU$1005,1,MATCH(COLUMNS($AD$1006:AG1006),$AD$1006:$AU$1006,0))&gt;=100000), " ",IF(INDEX($AD$2:$AU$1001,MATCH(ROWS($W$2:W956),$W$2:$W$1001,0),MATCH(COLUMNS($AD$1006:AG1006),$AD$1006:$AU$1006,0)), HYPERLINK("#",""), HYPERLINK(CONCATENATE("#metadata!", ADDRESS(INDEX($Y$2:$Y$1001,MATCH(ROWS($W$2:W956),$W$2:$W$1001,0),0), INDEX($AD$1004:$AU$1004,1,MATCH(COLUMNS($AD$1006:AG1006),$AD$1006:$AU$1006,0)))),"Fix")))</f>
        <v xml:space="preserve"> </v>
      </c>
      <c r="F956" s="4" t="str">
        <f ca="1">IF(OR(INDEX($X$2:$X$1001,MATCH(ROWS($W$2:W956),$W$2:$W$1001,0),1)&gt;=100000,INDEX($AD$1005:$AU$1005,1,MATCH(COLUMNS($AD$1006:AH1006),$AD$1006:$AU$1006,0))&gt;=100000), " ",IF(INDEX($AD$2:$AU$1001,MATCH(ROWS($W$2:W956),$W$2:$W$1001,0),MATCH(COLUMNS($AD$1006:AH1006),$AD$1006:$AU$1006,0)), HYPERLINK("#",""), HYPERLINK(CONCATENATE("#metadata!", ADDRESS(INDEX($Y$2:$Y$1001,MATCH(ROWS($W$2:W956),$W$2:$W$1001,0),0), INDEX($AD$1004:$AU$1004,1,MATCH(COLUMNS($AD$1006:AH1006),$AD$1006:$AU$1006,0)))),"Fix")))</f>
        <v xml:space="preserve"> </v>
      </c>
      <c r="G956" s="4" t="str">
        <f ca="1">IF(OR(INDEX($X$2:$X$1001,MATCH(ROWS($W$2:W956),$W$2:$W$1001,0),1)&gt;=100000,INDEX($AD$1005:$AU$1005,1,MATCH(COLUMNS($AD$1006:AI1006),$AD$1006:$AU$1006,0))&gt;=100000), " ",IF(INDEX($AD$2:$AU$1001,MATCH(ROWS($W$2:W956),$W$2:$W$1001,0),MATCH(COLUMNS($AD$1006:AI1006),$AD$1006:$AU$1006,0)), HYPERLINK("#",""), HYPERLINK(CONCATENATE("#metadata!", ADDRESS(INDEX($Y$2:$Y$1001,MATCH(ROWS($W$2:W956),$W$2:$W$1001,0),0), INDEX($AD$1004:$AU$1004,1,MATCH(COLUMNS($AD$1006:AI1006),$AD$1006:$AU$1006,0)))),"Fix")))</f>
        <v xml:space="preserve"> </v>
      </c>
      <c r="H956" s="4" t="str">
        <f ca="1">IF(OR(INDEX($X$2:$X$1001,MATCH(ROWS($W$2:W956),$W$2:$W$1001,0),1)&gt;=100000,INDEX($AD$1005:$AU$1005,1,MATCH(COLUMNS($AD$1006:AJ1006),$AD$1006:$AU$1006,0))&gt;=100000), " ",IF(INDEX($AD$2:$AU$1001,MATCH(ROWS($W$2:W956),$W$2:$W$1001,0),MATCH(COLUMNS($AD$1006:AJ1006),$AD$1006:$AU$1006,0)), HYPERLINK("#",""), HYPERLINK(CONCATENATE("#metadata!", ADDRESS(INDEX($Y$2:$Y$1001,MATCH(ROWS($W$2:W956),$W$2:$W$1001,0),0), INDEX($AD$1004:$AU$1004,1,MATCH(COLUMNS($AD$1006:AJ1006),$AD$1006:$AU$1006,0)))),"Fix")))</f>
        <v xml:space="preserve"> </v>
      </c>
      <c r="I956" s="4" t="str">
        <f ca="1">IF(OR(INDEX($X$2:$X$1001,MATCH(ROWS($W$2:W956),$W$2:$W$1001,0),1)&gt;=100000,INDEX($AD$1005:$AU$1005,1,MATCH(COLUMNS($AD$1006:AK1006),$AD$1006:$AU$1006,0))&gt;=100000), " ",IF(INDEX($AD$2:$AU$1001,MATCH(ROWS($W$2:W956),$W$2:$W$1001,0),MATCH(COLUMNS($AD$1006:AK1006),$AD$1006:$AU$1006,0)), HYPERLINK("#",""), HYPERLINK(CONCATENATE("#metadata!", ADDRESS(INDEX($Y$2:$Y$1001,MATCH(ROWS($W$2:W956),$W$2:$W$1001,0),0), INDEX($AD$1004:$AU$1004,1,MATCH(COLUMNS($AD$1006:AK1006),$AD$1006:$AU$1006,0)))),"Fix")))</f>
        <v xml:space="preserve"> </v>
      </c>
      <c r="J956" s="4" t="str">
        <f ca="1">IF(OR(INDEX($X$2:$X$1001,MATCH(ROWS($W$2:W956),$W$2:$W$1001,0),1)&gt;=100000,INDEX($AD$1005:$AU$1005,1,MATCH(COLUMNS($AD$1006:AL1006),$AD$1006:$AU$1006,0))&gt;=100000), " ",IF(INDEX($AD$2:$AU$1001,MATCH(ROWS($W$2:W956),$W$2:$W$1001,0),MATCH(COLUMNS($AD$1006:AL1006),$AD$1006:$AU$1006,0)), HYPERLINK("#",""), HYPERLINK(CONCATENATE("#metadata!", ADDRESS(INDEX($Y$2:$Y$1001,MATCH(ROWS($W$2:W956),$W$2:$W$1001,0),0), INDEX($AD$1004:$AU$1004,1,MATCH(COLUMNS($AD$1006:AL1006),$AD$1006:$AU$1006,0)))),"Fix")))</f>
        <v xml:space="preserve"> </v>
      </c>
      <c r="K956" s="4" t="str">
        <f ca="1">IF(OR(INDEX($X$2:$X$1001,MATCH(ROWS($W$2:W956),$W$2:$W$1001,0),1)&gt;=100000,INDEX($AD$1005:$AU$1005,1,MATCH(COLUMNS($AD$1006:AM1006),$AD$1006:$AU$1006,0))&gt;=100000), " ",IF(INDEX($AD$2:$AU$1001,MATCH(ROWS($W$2:W956),$W$2:$W$1001,0),MATCH(COLUMNS($AD$1006:AM1006),$AD$1006:$AU$1006,0)), HYPERLINK("#",""), HYPERLINK(CONCATENATE("#metadata!", ADDRESS(INDEX($Y$2:$Y$1001,MATCH(ROWS($W$2:W956),$W$2:$W$1001,0),0), INDEX($AD$1004:$AU$1004,1,MATCH(COLUMNS($AD$1006:AM1006),$AD$1006:$AU$1006,0)))),"Fix")))</f>
        <v xml:space="preserve"> </v>
      </c>
      <c r="L956" s="4" t="str">
        <f ca="1">IF(OR(INDEX($X$2:$X$1001,MATCH(ROWS($W$2:W956),$W$2:$W$1001,0),1)&gt;=100000,INDEX($AD$1005:$AU$1005,1,MATCH(COLUMNS($AD$1006:AN1006),$AD$1006:$AU$1006,0))&gt;=100000), " ",IF(INDEX($AD$2:$AU$1001,MATCH(ROWS($W$2:W956),$W$2:$W$1001,0),MATCH(COLUMNS($AD$1006:AN1006),$AD$1006:$AU$1006,0)), HYPERLINK("#",""), HYPERLINK(CONCATENATE("#metadata!", ADDRESS(INDEX($Y$2:$Y$1001,MATCH(ROWS($W$2:W956),$W$2:$W$1001,0),0), INDEX($AD$1004:$AU$1004,1,MATCH(COLUMNS($AD$1006:AN1006),$AD$1006:$AU$1006,0)))),"Fix")))</f>
        <v xml:space="preserve"> </v>
      </c>
      <c r="M956" s="4" t="str">
        <f ca="1">IF(OR(INDEX($X$2:$X$1001,MATCH(ROWS($W$2:W956),$W$2:$W$1001,0),1)&gt;=100000,INDEX($AD$1005:$AU$1005,1,MATCH(COLUMNS($AD$1006:AO1006),$AD$1006:$AU$1006,0))&gt;=100000), " ",IF(INDEX($AD$2:$AU$1001,MATCH(ROWS($W$2:W956),$W$2:$W$1001,0),MATCH(COLUMNS($AD$1006:AO1006),$AD$1006:$AU$1006,0)), HYPERLINK("#",""), HYPERLINK(CONCATENATE("#metadata!", ADDRESS(INDEX($Y$2:$Y$1001,MATCH(ROWS($W$2:W956),$W$2:$W$1001,0),0), INDEX($AD$1004:$AU$1004,1,MATCH(COLUMNS($AD$1006:AO1006),$AD$1006:$AU$1006,0)))),"Fix")))</f>
        <v xml:space="preserve"> </v>
      </c>
      <c r="N956" s="4" t="str">
        <f ca="1">IF(OR(INDEX($X$2:$X$1001,MATCH(ROWS($W$2:W956),$W$2:$W$1001,0),1)&gt;=100000,INDEX($AD$1005:$AU$1005,1,MATCH(COLUMNS($AD$1006:AP1006),$AD$1006:$AU$1006,0))&gt;=100000), " ",IF(INDEX($AD$2:$AU$1001,MATCH(ROWS($W$2:W956),$W$2:$W$1001,0),MATCH(COLUMNS($AD$1006:AP1006),$AD$1006:$AU$1006,0)), HYPERLINK("#",""), HYPERLINK(CONCATENATE("#metadata!", ADDRESS(INDEX($Y$2:$Y$1001,MATCH(ROWS($W$2:W956),$W$2:$W$1001,0),0), INDEX($AD$1004:$AU$1004,1,MATCH(COLUMNS($AD$1006:AP1006),$AD$1006:$AU$1006,0)))),"Fix")))</f>
        <v xml:space="preserve"> </v>
      </c>
      <c r="O956" s="4" t="str">
        <f ca="1">IF(OR(INDEX($X$2:$X$1001,MATCH(ROWS($W$2:W956),$W$2:$W$1001,0),1)&gt;=100000,INDEX($AD$1005:$AU$1005,1,MATCH(COLUMNS($AD$1006:AQ1006),$AD$1006:$AU$1006,0))&gt;=100000), " ",IF(INDEX($AD$2:$AU$1001,MATCH(ROWS($W$2:W956),$W$2:$W$1001,0),MATCH(COLUMNS($AD$1006:AQ1006),$AD$1006:$AU$1006,0)), HYPERLINK("#",""), HYPERLINK(CONCATENATE("#metadata!", ADDRESS(INDEX($Y$2:$Y$1001,MATCH(ROWS($W$2:W956),$W$2:$W$1001,0),0), INDEX($AD$1004:$AU$1004,1,MATCH(COLUMNS($AD$1006:AQ1006),$AD$1006:$AU$1006,0)))),"Fix")))</f>
        <v xml:space="preserve"> </v>
      </c>
      <c r="P956" s="4" t="str">
        <f ca="1">IF(OR(INDEX($X$2:$X$1001,MATCH(ROWS($W$2:W956),$W$2:$W$1001,0),1)&gt;=100000,INDEX($AD$1005:$AU$1005,1,MATCH(COLUMNS($AD$1006:AR1006),$AD$1006:$AU$1006,0))&gt;=100000), " ",IF(INDEX($AD$2:$AU$1001,MATCH(ROWS($W$2:W956),$W$2:$W$1001,0),MATCH(COLUMNS($AD$1006:AR1006),$AD$1006:$AU$1006,0)), HYPERLINK("#",""), HYPERLINK(CONCATENATE("#metadata!", ADDRESS(INDEX($Y$2:$Y$1001,MATCH(ROWS($W$2:W956),$W$2:$W$1001,0),0), INDEX($AD$1004:$AU$1004,1,MATCH(COLUMNS($AD$1006:AR1006),$AD$1006:$AU$1006,0)))),"Fix")))</f>
        <v xml:space="preserve"> </v>
      </c>
      <c r="Q956" s="4" t="str">
        <f ca="1">IF(OR(INDEX($X$2:$X$1001,MATCH(ROWS($W$2:W956),$W$2:$W$1001,0),1)&gt;=100000,INDEX($AD$1005:$AU$1005,1,MATCH(COLUMNS($AD$1006:AS1006),$AD$1006:$AU$1006,0))&gt;=100000), " ",IF(INDEX($AD$2:$AU$1001,MATCH(ROWS($W$2:W956),$W$2:$W$1001,0),MATCH(COLUMNS($AD$1006:AS1006),$AD$1006:$AU$1006,0)), HYPERLINK("#",""), HYPERLINK(CONCATENATE("#metadata!", ADDRESS(INDEX($Y$2:$Y$1001,MATCH(ROWS($W$2:W956),$W$2:$W$1001,0),0), INDEX($AD$1004:$AU$1004,1,MATCH(COLUMNS($AD$1006:AS1006),$AD$1006:$AU$1006,0)))),"Fix")))</f>
        <v xml:space="preserve"> </v>
      </c>
      <c r="R956" s="4" t="str">
        <f ca="1">IF(OR(INDEX($X$2:$X$1001,MATCH(ROWS($W$2:W956),$W$2:$W$1001,0),1)&gt;=100000,INDEX($AD$1005:$AU$1005,1,MATCH(COLUMNS($AD$1006:AT1006),$AD$1006:$AU$1006,0))&gt;=100000), " ",IF(INDEX($AD$2:$AU$1001,MATCH(ROWS($W$2:W956),$W$2:$W$1001,0),MATCH(COLUMNS($AD$1006:AT1006),$AD$1006:$AU$1006,0)), HYPERLINK("#",""), HYPERLINK(CONCATENATE("#metadata!", ADDRESS(INDEX($Y$2:$Y$1001,MATCH(ROWS($W$2:W956),$W$2:$W$1001,0),0), INDEX($AD$1004:$AU$1004,1,MATCH(COLUMNS($AD$1006:AT1006),$AD$1006:$AU$1006,0)))),"Fix")))</f>
        <v xml:space="preserve"> </v>
      </c>
      <c r="S956" s="4" t="str">
        <f ca="1">IF(OR(INDEX($X$2:$X$1001,MATCH(ROWS($W$2:W956),$W$2:$W$1001,0),1)&gt;=100000,INDEX($AD$1005:$AU$1005,1,MATCH(COLUMNS($AD$1006:AU1006),$AD$1006:$AU$1006,0))&gt;=100000), " ",IF(INDEX($AD$2:$AU$1001,MATCH(ROWS($W$2:W956),$W$2:$W$1001,0),MATCH(COLUMNS($AD$1006:AU1006),$AD$1006:$AU$1006,0)), HYPERLINK("#",""), HYPERLINK(CONCATENATE("#metadata!", ADDRESS(INDEX($Y$2:$Y$1001,MATCH(ROWS($W$2:W956),$W$2:$W$1001,0),0), INDEX($AD$1004:$AU$1004,1,MATCH(COLUMNS($AD$1006:AU1006),$AD$1006:$AU$1006,0)))),"Fix")))</f>
        <v xml:space="preserve"> </v>
      </c>
      <c r="W956">
        <v>955</v>
      </c>
      <c r="X956">
        <v>100956</v>
      </c>
      <c r="Y956">
        <v>956</v>
      </c>
      <c r="Z956" t="b">
        <f t="shared" si="14"/>
        <v>1</v>
      </c>
      <c r="AA956" t="b">
        <f>COUNTBLANK(metadata!B956:S956)=COLUMNS(metadata!B956:S956)</f>
        <v>1</v>
      </c>
      <c r="AB956" t="str">
        <v/>
      </c>
      <c r="AD956" t="b">
        <f ca="1">AND(IF(metadata!B956="",FALSE,TRUE),COUNTIF(metadata!B:B, metadata!B956) = 1,NOT(ISERROR(SUMPRODUCT(SEARCH(MID(metadata!B956,ROW(INDIRECT("1:"&amp;LEN(metadata!B956))), 1),"0123456789abcdefghijklmnopqrstuvwxyzABCDEFGHIJKLMNOPQRSTUVWXYZ.")))))</f>
        <v>0</v>
      </c>
      <c r="AE956" t="b">
        <f>OR(AND(IF(metadata!C956="",FALSE,TRUE),OR(EXACT(metadata!C956,"not applicable"),EXACT(metadata!C956,"missing: not collected"),EXACT(metadata!C956,"missing: not provided"),EXACT(metadata!C956,"missing: restricted access"))),AND(IF(metadata!C956="",FALSE,ISNUMBER(VALUE(metadata!C956))),metadata!C956&gt;0))</f>
        <v>0</v>
      </c>
      <c r="AF956" t="b">
        <f>AND(IF(metadata!D956="",FALSE,TRUE),EXACT(metadata!D956,"missing: not provided"))</f>
        <v>0</v>
      </c>
      <c r="AG956" t="b">
        <f>AND(IF(metadata!E956="",FALSE,TRUE),EXACT(metadata!E956,"Host-associated"))</f>
        <v>0</v>
      </c>
      <c r="AH956" t="b">
        <f>AND(IF(metadata!F956="",FALSE,TRUE),OR(EXACT(metadata!F956,"Animal"),EXACT(metadata!F956,"Fungus"),EXACT(metadata!F956,"Plant")))</f>
        <v>0</v>
      </c>
      <c r="AI956" t="b">
        <f>AND(IF(metadata!G956="",FALSE,TRUE),OR(EXACT(metadata!G956,"Plant secretion"),EXACT(metadata!G956,"Plant rhizosphere"),EXACT(metadata!G956,"Plant surface"),EXACT(metadata!G956,"Plant corpus"),EXACT(metadata!G956,"Fungus surface"),EXACT(metadata!G956,"Fungus corpus"),EXACT(metadata!G956,"Animal surface"),EXACT(metadata!G956,"Animal proximal gut"),EXACT(metadata!G956,"Animal corpus"),EXACT(metadata!G956,"Animal distal gut"),EXACT(metadata!G956,"Animal secretion")))</f>
        <v>0</v>
      </c>
      <c r="AJ956" t="b">
        <f>OR(AND(IF(metadata!H956="",FALSE,TRUE),OR(EXACT(metadata!H956,"missing: not collected"),EXACT(metadata!H956,"missing: not provided"),EXACT(metadata!H956,"missing: restricted access"))),AND(IF(metadata!H956="",FALSE,TRUE),OR(EXACT(metadata!H956,"organism-associated habitat"),EXACT(metadata!H956,"plant-associated habitat"),EXACT(metadata!H956,"animal-associated habitat"),EXACT(metadata!H956,"insecta-associated habitat"),EXACT(metadata!H956,"mammalia-associated habitat"),EXACT(metadata!H956,"human-associated habitat"),EXACT(metadata!H956,"livestock-associated habitat"))))</f>
        <v>0</v>
      </c>
      <c r="AK956" t="b">
        <f>AND(IF(metadata!I956="",FALSE,TRUE),EXACT(metadata!I956,"host-associated"))</f>
        <v>0</v>
      </c>
      <c r="AL956" t="b">
        <f>OR(AND(IF(metadata!J956="",FALSE,TRUE),OR(EXACT(metadata!J956,"not applicable"),EXACT(metadata!J956,"missing: not collected"),EXACT(metadata!J956,"missing: not provided"),EXACT(metadata!J956,"missing: restricted access"))),AND(IF(metadata!J956="",FALSE,ISNUMBER(VALUE(metadata!J956))),metadata!J956&gt;0))</f>
        <v>0</v>
      </c>
      <c r="AM956" t="b">
        <f>AND(IF(metadata!K956="",FALSE,TRUE),EXACT(metadata!K956,"missing: not provided"))</f>
        <v>0</v>
      </c>
      <c r="AN956" t="b">
        <f>IF(metadata!L956="",FALSE,TRUE)</f>
        <v>0</v>
      </c>
      <c r="AO956" t="b">
        <f>IF(metadata!M956="",FALSE,TRUE)</f>
        <v>0</v>
      </c>
      <c r="AP956" t="b">
        <f>OR(AND(IF(metadata!N956="",FALSE,TRUE),OR(EXACT(metadata!N956,"not applicable"),EXACT(metadata!N956,"missing: not collected"),EXACT(metadata!N956,"missing: not provided"))),AND(IF(metadata!N956="",FALSE,IF(ISERROR(INT(metadata!N956)),FALSE,INT(metadata!N956)=metadata!N956)),metadata!N956&gt;0))</f>
        <v>0</v>
      </c>
      <c r="AQ956" t="b">
        <f>AND(IF(metadata!O956="",FALSE,TRUE),EXACT(metadata!O956,"Not applicable"))</f>
        <v>0</v>
      </c>
      <c r="AR956" t="b">
        <f>OR(AND(IF(metadata!P956="",FALSE,TRUE),OR(EXACT(metadata!P956,"not applicable"),EXACT(metadata!P956,"missing: not collected"),EXACT(metadata!P956,"missing: not provided"),EXACT(metadata!P956,"missing: restricted access"))),IF(metadata!P956="",FALSE,IF(ISERROR(INT(metadata!P956)),FALSE,INT(metadata!P956)=metadata!P956)))</f>
        <v>0</v>
      </c>
      <c r="AS956" t="b">
        <f>AND(IF(metadata!Q956="",FALSE,TRUE),EXACT(metadata!Q956,"Not applicable"))</f>
        <v>0</v>
      </c>
      <c r="AT956" t="b">
        <f>OR(AND(IF(metadata!R956="",FALSE,TRUE),OR(EXACT(metadata!R956,"not applicable"),EXACT(metadata!R956,"missing: not collected"),EXACT(metadata!R956,"missing: not provided"),EXACT(metadata!R956,"missing: restricted access"))),AND(IF(metadata!R956="",FALSE,ISNUMBER(VALUE(metadata!R956))),metadata!R956&gt;0))</f>
        <v>0</v>
      </c>
      <c r="AU956" t="b">
        <f>AND(IF(metadata!S956="",FALSE,TRUE),EXACT(metadata!S956,"missing: not provided"))</f>
        <v>0</v>
      </c>
    </row>
    <row r="957" spans="1:47" x14ac:dyDescent="0.2">
      <c r="A957" s="5" t="str">
        <f ca="1">IF(B957=" "," ",HYPERLINK(CONCATENATE("#metadata!",ADDRESS(INDEX($Y$2:$Y$1001,MATCH(ROWS($W$2:W957),$W$2:$W$1001,0),0),1)),INDEX($AB$2:$AB$1001,MATCH(ROWS($W$2:W957),$W$2:$W$1001,0),0)))</f>
        <v xml:space="preserve"> </v>
      </c>
      <c r="B957" s="4" t="str">
        <f ca="1">IF(OR(INDEX($X$2:$X$1001,MATCH(ROWS($W$2:W957),$W$2:$W$1001,0),1)&gt;=100000,INDEX($AD$1005:$AU$1005,1,MATCH(COLUMNS($AD$1006:AD1006),$AD$1006:$AU$1006,0))&gt;=100000), " ",IF(INDEX($AD$2:$AU$1001,MATCH(ROWS($W$2:W957),$W$2:$W$1001,0),MATCH(COLUMNS($AD$1006:AD1006),$AD$1006:$AU$1006,0)), HYPERLINK("#",""), HYPERLINK(CONCATENATE("#metadata!", ADDRESS(INDEX($Y$2:$Y$1001,MATCH(ROWS($W$2:W957),$W$2:$W$1001,0),0), INDEX($AD$1004:$AU$1004,1,MATCH(COLUMNS($AD$1006:AD1006),$AD$1006:$AU$1006,0)))),"Fix")))</f>
        <v xml:space="preserve"> </v>
      </c>
      <c r="C957" s="4" t="str">
        <f ca="1">IF(OR(INDEX($X$2:$X$1001,MATCH(ROWS($W$2:W957),$W$2:$W$1001,0),1)&gt;=100000,INDEX($AD$1005:$AU$1005,1,MATCH(COLUMNS($AD$1006:AE1006),$AD$1006:$AU$1006,0))&gt;=100000), " ",IF(INDEX($AD$2:$AU$1001,MATCH(ROWS($W$2:W957),$W$2:$W$1001,0),MATCH(COLUMNS($AD$1006:AE1006),$AD$1006:$AU$1006,0)), HYPERLINK("#",""), HYPERLINK(CONCATENATE("#metadata!", ADDRESS(INDEX($Y$2:$Y$1001,MATCH(ROWS($W$2:W957),$W$2:$W$1001,0),0), INDEX($AD$1004:$AU$1004,1,MATCH(COLUMNS($AD$1006:AE1006),$AD$1006:$AU$1006,0)))),"Fix")))</f>
        <v xml:space="preserve"> </v>
      </c>
      <c r="D957" s="4" t="str">
        <f ca="1">IF(OR(INDEX($X$2:$X$1001,MATCH(ROWS($W$2:W957),$W$2:$W$1001,0),1)&gt;=100000,INDEX($AD$1005:$AU$1005,1,MATCH(COLUMNS($AD$1006:AF1006),$AD$1006:$AU$1006,0))&gt;=100000), " ",IF(INDEX($AD$2:$AU$1001,MATCH(ROWS($W$2:W957),$W$2:$W$1001,0),MATCH(COLUMNS($AD$1006:AF1006),$AD$1006:$AU$1006,0)), HYPERLINK("#",""), HYPERLINK(CONCATENATE("#metadata!", ADDRESS(INDEX($Y$2:$Y$1001,MATCH(ROWS($W$2:W957),$W$2:$W$1001,0),0), INDEX($AD$1004:$AU$1004,1,MATCH(COLUMNS($AD$1006:AF1006),$AD$1006:$AU$1006,0)))),"Fix")))</f>
        <v xml:space="preserve"> </v>
      </c>
      <c r="E957" s="4" t="str">
        <f ca="1">IF(OR(INDEX($X$2:$X$1001,MATCH(ROWS($W$2:W957),$W$2:$W$1001,0),1)&gt;=100000,INDEX($AD$1005:$AU$1005,1,MATCH(COLUMNS($AD$1006:AG1006),$AD$1006:$AU$1006,0))&gt;=100000), " ",IF(INDEX($AD$2:$AU$1001,MATCH(ROWS($W$2:W957),$W$2:$W$1001,0),MATCH(COLUMNS($AD$1006:AG1006),$AD$1006:$AU$1006,0)), HYPERLINK("#",""), HYPERLINK(CONCATENATE("#metadata!", ADDRESS(INDEX($Y$2:$Y$1001,MATCH(ROWS($W$2:W957),$W$2:$W$1001,0),0), INDEX($AD$1004:$AU$1004,1,MATCH(COLUMNS($AD$1006:AG1006),$AD$1006:$AU$1006,0)))),"Fix")))</f>
        <v xml:space="preserve"> </v>
      </c>
      <c r="F957" s="4" t="str">
        <f ca="1">IF(OR(INDEX($X$2:$X$1001,MATCH(ROWS($W$2:W957),$W$2:$W$1001,0),1)&gt;=100000,INDEX($AD$1005:$AU$1005,1,MATCH(COLUMNS($AD$1006:AH1006),$AD$1006:$AU$1006,0))&gt;=100000), " ",IF(INDEX($AD$2:$AU$1001,MATCH(ROWS($W$2:W957),$W$2:$W$1001,0),MATCH(COLUMNS($AD$1006:AH1006),$AD$1006:$AU$1006,0)), HYPERLINK("#",""), HYPERLINK(CONCATENATE("#metadata!", ADDRESS(INDEX($Y$2:$Y$1001,MATCH(ROWS($W$2:W957),$W$2:$W$1001,0),0), INDEX($AD$1004:$AU$1004,1,MATCH(COLUMNS($AD$1006:AH1006),$AD$1006:$AU$1006,0)))),"Fix")))</f>
        <v xml:space="preserve"> </v>
      </c>
      <c r="G957" s="4" t="str">
        <f ca="1">IF(OR(INDEX($X$2:$X$1001,MATCH(ROWS($W$2:W957),$W$2:$W$1001,0),1)&gt;=100000,INDEX($AD$1005:$AU$1005,1,MATCH(COLUMNS($AD$1006:AI1006),$AD$1006:$AU$1006,0))&gt;=100000), " ",IF(INDEX($AD$2:$AU$1001,MATCH(ROWS($W$2:W957),$W$2:$W$1001,0),MATCH(COLUMNS($AD$1006:AI1006),$AD$1006:$AU$1006,0)), HYPERLINK("#",""), HYPERLINK(CONCATENATE("#metadata!", ADDRESS(INDEX($Y$2:$Y$1001,MATCH(ROWS($W$2:W957),$W$2:$W$1001,0),0), INDEX($AD$1004:$AU$1004,1,MATCH(COLUMNS($AD$1006:AI1006),$AD$1006:$AU$1006,0)))),"Fix")))</f>
        <v xml:space="preserve"> </v>
      </c>
      <c r="H957" s="4" t="str">
        <f ca="1">IF(OR(INDEX($X$2:$X$1001,MATCH(ROWS($W$2:W957),$W$2:$W$1001,0),1)&gt;=100000,INDEX($AD$1005:$AU$1005,1,MATCH(COLUMNS($AD$1006:AJ1006),$AD$1006:$AU$1006,0))&gt;=100000), " ",IF(INDEX($AD$2:$AU$1001,MATCH(ROWS($W$2:W957),$W$2:$W$1001,0),MATCH(COLUMNS($AD$1006:AJ1006),$AD$1006:$AU$1006,0)), HYPERLINK("#",""), HYPERLINK(CONCATENATE("#metadata!", ADDRESS(INDEX($Y$2:$Y$1001,MATCH(ROWS($W$2:W957),$W$2:$W$1001,0),0), INDEX($AD$1004:$AU$1004,1,MATCH(COLUMNS($AD$1006:AJ1006),$AD$1006:$AU$1006,0)))),"Fix")))</f>
        <v xml:space="preserve"> </v>
      </c>
      <c r="I957" s="4" t="str">
        <f ca="1">IF(OR(INDEX($X$2:$X$1001,MATCH(ROWS($W$2:W957),$W$2:$W$1001,0),1)&gt;=100000,INDEX($AD$1005:$AU$1005,1,MATCH(COLUMNS($AD$1006:AK1006),$AD$1006:$AU$1006,0))&gt;=100000), " ",IF(INDEX($AD$2:$AU$1001,MATCH(ROWS($W$2:W957),$W$2:$W$1001,0),MATCH(COLUMNS($AD$1006:AK1006),$AD$1006:$AU$1006,0)), HYPERLINK("#",""), HYPERLINK(CONCATENATE("#metadata!", ADDRESS(INDEX($Y$2:$Y$1001,MATCH(ROWS($W$2:W957),$W$2:$W$1001,0),0), INDEX($AD$1004:$AU$1004,1,MATCH(COLUMNS($AD$1006:AK1006),$AD$1006:$AU$1006,0)))),"Fix")))</f>
        <v xml:space="preserve"> </v>
      </c>
      <c r="J957" s="4" t="str">
        <f ca="1">IF(OR(INDEX($X$2:$X$1001,MATCH(ROWS($W$2:W957),$W$2:$W$1001,0),1)&gt;=100000,INDEX($AD$1005:$AU$1005,1,MATCH(COLUMNS($AD$1006:AL1006),$AD$1006:$AU$1006,0))&gt;=100000), " ",IF(INDEX($AD$2:$AU$1001,MATCH(ROWS($W$2:W957),$W$2:$W$1001,0),MATCH(COLUMNS($AD$1006:AL1006),$AD$1006:$AU$1006,0)), HYPERLINK("#",""), HYPERLINK(CONCATENATE("#metadata!", ADDRESS(INDEX($Y$2:$Y$1001,MATCH(ROWS($W$2:W957),$W$2:$W$1001,0),0), INDEX($AD$1004:$AU$1004,1,MATCH(COLUMNS($AD$1006:AL1006),$AD$1006:$AU$1006,0)))),"Fix")))</f>
        <v xml:space="preserve"> </v>
      </c>
      <c r="K957" s="4" t="str">
        <f ca="1">IF(OR(INDEX($X$2:$X$1001,MATCH(ROWS($W$2:W957),$W$2:$W$1001,0),1)&gt;=100000,INDEX($AD$1005:$AU$1005,1,MATCH(COLUMNS($AD$1006:AM1006),$AD$1006:$AU$1006,0))&gt;=100000), " ",IF(INDEX($AD$2:$AU$1001,MATCH(ROWS($W$2:W957),$W$2:$W$1001,0),MATCH(COLUMNS($AD$1006:AM1006),$AD$1006:$AU$1006,0)), HYPERLINK("#",""), HYPERLINK(CONCATENATE("#metadata!", ADDRESS(INDEX($Y$2:$Y$1001,MATCH(ROWS($W$2:W957),$W$2:$W$1001,0),0), INDEX($AD$1004:$AU$1004,1,MATCH(COLUMNS($AD$1006:AM1006),$AD$1006:$AU$1006,0)))),"Fix")))</f>
        <v xml:space="preserve"> </v>
      </c>
      <c r="L957" s="4" t="str">
        <f ca="1">IF(OR(INDEX($X$2:$X$1001,MATCH(ROWS($W$2:W957),$W$2:$W$1001,0),1)&gt;=100000,INDEX($AD$1005:$AU$1005,1,MATCH(COLUMNS($AD$1006:AN1006),$AD$1006:$AU$1006,0))&gt;=100000), " ",IF(INDEX($AD$2:$AU$1001,MATCH(ROWS($W$2:W957),$W$2:$W$1001,0),MATCH(COLUMNS($AD$1006:AN1006),$AD$1006:$AU$1006,0)), HYPERLINK("#",""), HYPERLINK(CONCATENATE("#metadata!", ADDRESS(INDEX($Y$2:$Y$1001,MATCH(ROWS($W$2:W957),$W$2:$W$1001,0),0), INDEX($AD$1004:$AU$1004,1,MATCH(COLUMNS($AD$1006:AN1006),$AD$1006:$AU$1006,0)))),"Fix")))</f>
        <v xml:space="preserve"> </v>
      </c>
      <c r="M957" s="4" t="str">
        <f ca="1">IF(OR(INDEX($X$2:$X$1001,MATCH(ROWS($W$2:W957),$W$2:$W$1001,0),1)&gt;=100000,INDEX($AD$1005:$AU$1005,1,MATCH(COLUMNS($AD$1006:AO1006),$AD$1006:$AU$1006,0))&gt;=100000), " ",IF(INDEX($AD$2:$AU$1001,MATCH(ROWS($W$2:W957),$W$2:$W$1001,0),MATCH(COLUMNS($AD$1006:AO1006),$AD$1006:$AU$1006,0)), HYPERLINK("#",""), HYPERLINK(CONCATENATE("#metadata!", ADDRESS(INDEX($Y$2:$Y$1001,MATCH(ROWS($W$2:W957),$W$2:$W$1001,0),0), INDEX($AD$1004:$AU$1004,1,MATCH(COLUMNS($AD$1006:AO1006),$AD$1006:$AU$1006,0)))),"Fix")))</f>
        <v xml:space="preserve"> </v>
      </c>
      <c r="N957" s="4" t="str">
        <f ca="1">IF(OR(INDEX($X$2:$X$1001,MATCH(ROWS($W$2:W957),$W$2:$W$1001,0),1)&gt;=100000,INDEX($AD$1005:$AU$1005,1,MATCH(COLUMNS($AD$1006:AP1006),$AD$1006:$AU$1006,0))&gt;=100000), " ",IF(INDEX($AD$2:$AU$1001,MATCH(ROWS($W$2:W957),$W$2:$W$1001,0),MATCH(COLUMNS($AD$1006:AP1006),$AD$1006:$AU$1006,0)), HYPERLINK("#",""), HYPERLINK(CONCATENATE("#metadata!", ADDRESS(INDEX($Y$2:$Y$1001,MATCH(ROWS($W$2:W957),$W$2:$W$1001,0),0), INDEX($AD$1004:$AU$1004,1,MATCH(COLUMNS($AD$1006:AP1006),$AD$1006:$AU$1006,0)))),"Fix")))</f>
        <v xml:space="preserve"> </v>
      </c>
      <c r="O957" s="4" t="str">
        <f ca="1">IF(OR(INDEX($X$2:$X$1001,MATCH(ROWS($W$2:W957),$W$2:$W$1001,0),1)&gt;=100000,INDEX($AD$1005:$AU$1005,1,MATCH(COLUMNS($AD$1006:AQ1006),$AD$1006:$AU$1006,0))&gt;=100000), " ",IF(INDEX($AD$2:$AU$1001,MATCH(ROWS($W$2:W957),$W$2:$W$1001,0),MATCH(COLUMNS($AD$1006:AQ1006),$AD$1006:$AU$1006,0)), HYPERLINK("#",""), HYPERLINK(CONCATENATE("#metadata!", ADDRESS(INDEX($Y$2:$Y$1001,MATCH(ROWS($W$2:W957),$W$2:$W$1001,0),0), INDEX($AD$1004:$AU$1004,1,MATCH(COLUMNS($AD$1006:AQ1006),$AD$1006:$AU$1006,0)))),"Fix")))</f>
        <v xml:space="preserve"> </v>
      </c>
      <c r="P957" s="4" t="str">
        <f ca="1">IF(OR(INDEX($X$2:$X$1001,MATCH(ROWS($W$2:W957),$W$2:$W$1001,0),1)&gt;=100000,INDEX($AD$1005:$AU$1005,1,MATCH(COLUMNS($AD$1006:AR1006),$AD$1006:$AU$1006,0))&gt;=100000), " ",IF(INDEX($AD$2:$AU$1001,MATCH(ROWS($W$2:W957),$W$2:$W$1001,0),MATCH(COLUMNS($AD$1006:AR1006),$AD$1006:$AU$1006,0)), HYPERLINK("#",""), HYPERLINK(CONCATENATE("#metadata!", ADDRESS(INDEX($Y$2:$Y$1001,MATCH(ROWS($W$2:W957),$W$2:$W$1001,0),0), INDEX($AD$1004:$AU$1004,1,MATCH(COLUMNS($AD$1006:AR1006),$AD$1006:$AU$1006,0)))),"Fix")))</f>
        <v xml:space="preserve"> </v>
      </c>
      <c r="Q957" s="4" t="str">
        <f ca="1">IF(OR(INDEX($X$2:$X$1001,MATCH(ROWS($W$2:W957),$W$2:$W$1001,0),1)&gt;=100000,INDEX($AD$1005:$AU$1005,1,MATCH(COLUMNS($AD$1006:AS1006),$AD$1006:$AU$1006,0))&gt;=100000), " ",IF(INDEX($AD$2:$AU$1001,MATCH(ROWS($W$2:W957),$W$2:$W$1001,0),MATCH(COLUMNS($AD$1006:AS1006),$AD$1006:$AU$1006,0)), HYPERLINK("#",""), HYPERLINK(CONCATENATE("#metadata!", ADDRESS(INDEX($Y$2:$Y$1001,MATCH(ROWS($W$2:W957),$W$2:$W$1001,0),0), INDEX($AD$1004:$AU$1004,1,MATCH(COLUMNS($AD$1006:AS1006),$AD$1006:$AU$1006,0)))),"Fix")))</f>
        <v xml:space="preserve"> </v>
      </c>
      <c r="R957" s="4" t="str">
        <f ca="1">IF(OR(INDEX($X$2:$X$1001,MATCH(ROWS($W$2:W957),$W$2:$W$1001,0),1)&gt;=100000,INDEX($AD$1005:$AU$1005,1,MATCH(COLUMNS($AD$1006:AT1006),$AD$1006:$AU$1006,0))&gt;=100000), " ",IF(INDEX($AD$2:$AU$1001,MATCH(ROWS($W$2:W957),$W$2:$W$1001,0),MATCH(COLUMNS($AD$1006:AT1006),$AD$1006:$AU$1006,0)), HYPERLINK("#",""), HYPERLINK(CONCATENATE("#metadata!", ADDRESS(INDEX($Y$2:$Y$1001,MATCH(ROWS($W$2:W957),$W$2:$W$1001,0),0), INDEX($AD$1004:$AU$1004,1,MATCH(COLUMNS($AD$1006:AT1006),$AD$1006:$AU$1006,0)))),"Fix")))</f>
        <v xml:space="preserve"> </v>
      </c>
      <c r="S957" s="4" t="str">
        <f ca="1">IF(OR(INDEX($X$2:$X$1001,MATCH(ROWS($W$2:W957),$W$2:$W$1001,0),1)&gt;=100000,INDEX($AD$1005:$AU$1005,1,MATCH(COLUMNS($AD$1006:AU1006),$AD$1006:$AU$1006,0))&gt;=100000), " ",IF(INDEX($AD$2:$AU$1001,MATCH(ROWS($W$2:W957),$W$2:$W$1001,0),MATCH(COLUMNS($AD$1006:AU1006),$AD$1006:$AU$1006,0)), HYPERLINK("#",""), HYPERLINK(CONCATENATE("#metadata!", ADDRESS(INDEX($Y$2:$Y$1001,MATCH(ROWS($W$2:W957),$W$2:$W$1001,0),0), INDEX($AD$1004:$AU$1004,1,MATCH(COLUMNS($AD$1006:AU1006),$AD$1006:$AU$1006,0)))),"Fix")))</f>
        <v xml:space="preserve"> </v>
      </c>
      <c r="W957">
        <v>956</v>
      </c>
      <c r="X957">
        <v>100957</v>
      </c>
      <c r="Y957">
        <v>957</v>
      </c>
      <c r="Z957" t="b">
        <f t="shared" si="14"/>
        <v>1</v>
      </c>
      <c r="AA957" t="b">
        <f>COUNTBLANK(metadata!B957:S957)=COLUMNS(metadata!B957:S957)</f>
        <v>1</v>
      </c>
      <c r="AB957" t="str">
        <v/>
      </c>
      <c r="AD957" t="b">
        <f ca="1">AND(IF(metadata!B957="",FALSE,TRUE),COUNTIF(metadata!B:B, metadata!B957) = 1,NOT(ISERROR(SUMPRODUCT(SEARCH(MID(metadata!B957,ROW(INDIRECT("1:"&amp;LEN(metadata!B957))), 1),"0123456789abcdefghijklmnopqrstuvwxyzABCDEFGHIJKLMNOPQRSTUVWXYZ.")))))</f>
        <v>0</v>
      </c>
      <c r="AE957" t="b">
        <f>OR(AND(IF(metadata!C957="",FALSE,TRUE),OR(EXACT(metadata!C957,"not applicable"),EXACT(metadata!C957,"missing: not collected"),EXACT(metadata!C957,"missing: not provided"),EXACT(metadata!C957,"missing: restricted access"))),AND(IF(metadata!C957="",FALSE,ISNUMBER(VALUE(metadata!C957))),metadata!C957&gt;0))</f>
        <v>0</v>
      </c>
      <c r="AF957" t="b">
        <f>AND(IF(metadata!D957="",FALSE,TRUE),EXACT(metadata!D957,"missing: not provided"))</f>
        <v>0</v>
      </c>
      <c r="AG957" t="b">
        <f>AND(IF(metadata!E957="",FALSE,TRUE),EXACT(metadata!E957,"Host-associated"))</f>
        <v>0</v>
      </c>
      <c r="AH957" t="b">
        <f>AND(IF(metadata!F957="",FALSE,TRUE),OR(EXACT(metadata!F957,"Animal"),EXACT(metadata!F957,"Fungus"),EXACT(metadata!F957,"Plant")))</f>
        <v>0</v>
      </c>
      <c r="AI957" t="b">
        <f>AND(IF(metadata!G957="",FALSE,TRUE),OR(EXACT(metadata!G957,"Plant secretion"),EXACT(metadata!G957,"Plant rhizosphere"),EXACT(metadata!G957,"Plant surface"),EXACT(metadata!G957,"Plant corpus"),EXACT(metadata!G957,"Fungus surface"),EXACT(metadata!G957,"Fungus corpus"),EXACT(metadata!G957,"Animal surface"),EXACT(metadata!G957,"Animal proximal gut"),EXACT(metadata!G957,"Animal corpus"),EXACT(metadata!G957,"Animal distal gut"),EXACT(metadata!G957,"Animal secretion")))</f>
        <v>0</v>
      </c>
      <c r="AJ957" t="b">
        <f>OR(AND(IF(metadata!H957="",FALSE,TRUE),OR(EXACT(metadata!H957,"missing: not collected"),EXACT(metadata!H957,"missing: not provided"),EXACT(metadata!H957,"missing: restricted access"))),AND(IF(metadata!H957="",FALSE,TRUE),OR(EXACT(metadata!H957,"organism-associated habitat"),EXACT(metadata!H957,"plant-associated habitat"),EXACT(metadata!H957,"animal-associated habitat"),EXACT(metadata!H957,"insecta-associated habitat"),EXACT(metadata!H957,"mammalia-associated habitat"),EXACT(metadata!H957,"human-associated habitat"),EXACT(metadata!H957,"livestock-associated habitat"))))</f>
        <v>0</v>
      </c>
      <c r="AK957" t="b">
        <f>AND(IF(metadata!I957="",FALSE,TRUE),EXACT(metadata!I957,"host-associated"))</f>
        <v>0</v>
      </c>
      <c r="AL957" t="b">
        <f>OR(AND(IF(metadata!J957="",FALSE,TRUE),OR(EXACT(metadata!J957,"not applicable"),EXACT(metadata!J957,"missing: not collected"),EXACT(metadata!J957,"missing: not provided"),EXACT(metadata!J957,"missing: restricted access"))),AND(IF(metadata!J957="",FALSE,ISNUMBER(VALUE(metadata!J957))),metadata!J957&gt;0))</f>
        <v>0</v>
      </c>
      <c r="AM957" t="b">
        <f>AND(IF(metadata!K957="",FALSE,TRUE),EXACT(metadata!K957,"missing: not provided"))</f>
        <v>0</v>
      </c>
      <c r="AN957" t="b">
        <f>IF(metadata!L957="",FALSE,TRUE)</f>
        <v>0</v>
      </c>
      <c r="AO957" t="b">
        <f>IF(metadata!M957="",FALSE,TRUE)</f>
        <v>0</v>
      </c>
      <c r="AP957" t="b">
        <f>OR(AND(IF(metadata!N957="",FALSE,TRUE),OR(EXACT(metadata!N957,"not applicable"),EXACT(metadata!N957,"missing: not collected"),EXACT(metadata!N957,"missing: not provided"))),AND(IF(metadata!N957="",FALSE,IF(ISERROR(INT(metadata!N957)),FALSE,INT(metadata!N957)=metadata!N957)),metadata!N957&gt;0))</f>
        <v>0</v>
      </c>
      <c r="AQ957" t="b">
        <f>AND(IF(metadata!O957="",FALSE,TRUE),EXACT(metadata!O957,"Not applicable"))</f>
        <v>0</v>
      </c>
      <c r="AR957" t="b">
        <f>OR(AND(IF(metadata!P957="",FALSE,TRUE),OR(EXACT(metadata!P957,"not applicable"),EXACT(metadata!P957,"missing: not collected"),EXACT(metadata!P957,"missing: not provided"),EXACT(metadata!P957,"missing: restricted access"))),IF(metadata!P957="",FALSE,IF(ISERROR(INT(metadata!P957)),FALSE,INT(metadata!P957)=metadata!P957)))</f>
        <v>0</v>
      </c>
      <c r="AS957" t="b">
        <f>AND(IF(metadata!Q957="",FALSE,TRUE),EXACT(metadata!Q957,"Not applicable"))</f>
        <v>0</v>
      </c>
      <c r="AT957" t="b">
        <f>OR(AND(IF(metadata!R957="",FALSE,TRUE),OR(EXACT(metadata!R957,"not applicable"),EXACT(metadata!R957,"missing: not collected"),EXACT(metadata!R957,"missing: not provided"),EXACT(metadata!R957,"missing: restricted access"))),AND(IF(metadata!R957="",FALSE,ISNUMBER(VALUE(metadata!R957))),metadata!R957&gt;0))</f>
        <v>0</v>
      </c>
      <c r="AU957" t="b">
        <f>AND(IF(metadata!S957="",FALSE,TRUE),EXACT(metadata!S957,"missing: not provided"))</f>
        <v>0</v>
      </c>
    </row>
    <row r="958" spans="1:47" x14ac:dyDescent="0.2">
      <c r="A958" s="5" t="str">
        <f ca="1">IF(B958=" "," ",HYPERLINK(CONCATENATE("#metadata!",ADDRESS(INDEX($Y$2:$Y$1001,MATCH(ROWS($W$2:W958),$W$2:$W$1001,0),0),1)),INDEX($AB$2:$AB$1001,MATCH(ROWS($W$2:W958),$W$2:$W$1001,0),0)))</f>
        <v xml:space="preserve"> </v>
      </c>
      <c r="B958" s="4" t="str">
        <f ca="1">IF(OR(INDEX($X$2:$X$1001,MATCH(ROWS($W$2:W958),$W$2:$W$1001,0),1)&gt;=100000,INDEX($AD$1005:$AU$1005,1,MATCH(COLUMNS($AD$1006:AD1006),$AD$1006:$AU$1006,0))&gt;=100000), " ",IF(INDEX($AD$2:$AU$1001,MATCH(ROWS($W$2:W958),$W$2:$W$1001,0),MATCH(COLUMNS($AD$1006:AD1006),$AD$1006:$AU$1006,0)), HYPERLINK("#",""), HYPERLINK(CONCATENATE("#metadata!", ADDRESS(INDEX($Y$2:$Y$1001,MATCH(ROWS($W$2:W958),$W$2:$W$1001,0),0), INDEX($AD$1004:$AU$1004,1,MATCH(COLUMNS($AD$1006:AD1006),$AD$1006:$AU$1006,0)))),"Fix")))</f>
        <v xml:space="preserve"> </v>
      </c>
      <c r="C958" s="4" t="str">
        <f ca="1">IF(OR(INDEX($X$2:$X$1001,MATCH(ROWS($W$2:W958),$W$2:$W$1001,0),1)&gt;=100000,INDEX($AD$1005:$AU$1005,1,MATCH(COLUMNS($AD$1006:AE1006),$AD$1006:$AU$1006,0))&gt;=100000), " ",IF(INDEX($AD$2:$AU$1001,MATCH(ROWS($W$2:W958),$W$2:$W$1001,0),MATCH(COLUMNS($AD$1006:AE1006),$AD$1006:$AU$1006,0)), HYPERLINK("#",""), HYPERLINK(CONCATENATE("#metadata!", ADDRESS(INDEX($Y$2:$Y$1001,MATCH(ROWS($W$2:W958),$W$2:$W$1001,0),0), INDEX($AD$1004:$AU$1004,1,MATCH(COLUMNS($AD$1006:AE1006),$AD$1006:$AU$1006,0)))),"Fix")))</f>
        <v xml:space="preserve"> </v>
      </c>
      <c r="D958" s="4" t="str">
        <f ca="1">IF(OR(INDEX($X$2:$X$1001,MATCH(ROWS($W$2:W958),$W$2:$W$1001,0),1)&gt;=100000,INDEX($AD$1005:$AU$1005,1,MATCH(COLUMNS($AD$1006:AF1006),$AD$1006:$AU$1006,0))&gt;=100000), " ",IF(INDEX($AD$2:$AU$1001,MATCH(ROWS($W$2:W958),$W$2:$W$1001,0),MATCH(COLUMNS($AD$1006:AF1006),$AD$1006:$AU$1006,0)), HYPERLINK("#",""), HYPERLINK(CONCATENATE("#metadata!", ADDRESS(INDEX($Y$2:$Y$1001,MATCH(ROWS($W$2:W958),$W$2:$W$1001,0),0), INDEX($AD$1004:$AU$1004,1,MATCH(COLUMNS($AD$1006:AF1006),$AD$1006:$AU$1006,0)))),"Fix")))</f>
        <v xml:space="preserve"> </v>
      </c>
      <c r="E958" s="4" t="str">
        <f ca="1">IF(OR(INDEX($X$2:$X$1001,MATCH(ROWS($W$2:W958),$W$2:$W$1001,0),1)&gt;=100000,INDEX($AD$1005:$AU$1005,1,MATCH(COLUMNS($AD$1006:AG1006),$AD$1006:$AU$1006,0))&gt;=100000), " ",IF(INDEX($AD$2:$AU$1001,MATCH(ROWS($W$2:W958),$W$2:$W$1001,0),MATCH(COLUMNS($AD$1006:AG1006),$AD$1006:$AU$1006,0)), HYPERLINK("#",""), HYPERLINK(CONCATENATE("#metadata!", ADDRESS(INDEX($Y$2:$Y$1001,MATCH(ROWS($W$2:W958),$W$2:$W$1001,0),0), INDEX($AD$1004:$AU$1004,1,MATCH(COLUMNS($AD$1006:AG1006),$AD$1006:$AU$1006,0)))),"Fix")))</f>
        <v xml:space="preserve"> </v>
      </c>
      <c r="F958" s="4" t="str">
        <f ca="1">IF(OR(INDEX($X$2:$X$1001,MATCH(ROWS($W$2:W958),$W$2:$W$1001,0),1)&gt;=100000,INDEX($AD$1005:$AU$1005,1,MATCH(COLUMNS($AD$1006:AH1006),$AD$1006:$AU$1006,0))&gt;=100000), " ",IF(INDEX($AD$2:$AU$1001,MATCH(ROWS($W$2:W958),$W$2:$W$1001,0),MATCH(COLUMNS($AD$1006:AH1006),$AD$1006:$AU$1006,0)), HYPERLINK("#",""), HYPERLINK(CONCATENATE("#metadata!", ADDRESS(INDEX($Y$2:$Y$1001,MATCH(ROWS($W$2:W958),$W$2:$W$1001,0),0), INDEX($AD$1004:$AU$1004,1,MATCH(COLUMNS($AD$1006:AH1006),$AD$1006:$AU$1006,0)))),"Fix")))</f>
        <v xml:space="preserve"> </v>
      </c>
      <c r="G958" s="4" t="str">
        <f ca="1">IF(OR(INDEX($X$2:$X$1001,MATCH(ROWS($W$2:W958),$W$2:$W$1001,0),1)&gt;=100000,INDEX($AD$1005:$AU$1005,1,MATCH(COLUMNS($AD$1006:AI1006),$AD$1006:$AU$1006,0))&gt;=100000), " ",IF(INDEX($AD$2:$AU$1001,MATCH(ROWS($W$2:W958),$W$2:$W$1001,0),MATCH(COLUMNS($AD$1006:AI1006),$AD$1006:$AU$1006,0)), HYPERLINK("#",""), HYPERLINK(CONCATENATE("#metadata!", ADDRESS(INDEX($Y$2:$Y$1001,MATCH(ROWS($W$2:W958),$W$2:$W$1001,0),0), INDEX($AD$1004:$AU$1004,1,MATCH(COLUMNS($AD$1006:AI1006),$AD$1006:$AU$1006,0)))),"Fix")))</f>
        <v xml:space="preserve"> </v>
      </c>
      <c r="H958" s="4" t="str">
        <f ca="1">IF(OR(INDEX($X$2:$X$1001,MATCH(ROWS($W$2:W958),$W$2:$W$1001,0),1)&gt;=100000,INDEX($AD$1005:$AU$1005,1,MATCH(COLUMNS($AD$1006:AJ1006),$AD$1006:$AU$1006,0))&gt;=100000), " ",IF(INDEX($AD$2:$AU$1001,MATCH(ROWS($W$2:W958),$W$2:$W$1001,0),MATCH(COLUMNS($AD$1006:AJ1006),$AD$1006:$AU$1006,0)), HYPERLINK("#",""), HYPERLINK(CONCATENATE("#metadata!", ADDRESS(INDEX($Y$2:$Y$1001,MATCH(ROWS($W$2:W958),$W$2:$W$1001,0),0), INDEX($AD$1004:$AU$1004,1,MATCH(COLUMNS($AD$1006:AJ1006),$AD$1006:$AU$1006,0)))),"Fix")))</f>
        <v xml:space="preserve"> </v>
      </c>
      <c r="I958" s="4" t="str">
        <f ca="1">IF(OR(INDEX($X$2:$X$1001,MATCH(ROWS($W$2:W958),$W$2:$W$1001,0),1)&gt;=100000,INDEX($AD$1005:$AU$1005,1,MATCH(COLUMNS($AD$1006:AK1006),$AD$1006:$AU$1006,0))&gt;=100000), " ",IF(INDEX($AD$2:$AU$1001,MATCH(ROWS($W$2:W958),$W$2:$W$1001,0),MATCH(COLUMNS($AD$1006:AK1006),$AD$1006:$AU$1006,0)), HYPERLINK("#",""), HYPERLINK(CONCATENATE("#metadata!", ADDRESS(INDEX($Y$2:$Y$1001,MATCH(ROWS($W$2:W958),$W$2:$W$1001,0),0), INDEX($AD$1004:$AU$1004,1,MATCH(COLUMNS($AD$1006:AK1006),$AD$1006:$AU$1006,0)))),"Fix")))</f>
        <v xml:space="preserve"> </v>
      </c>
      <c r="J958" s="4" t="str">
        <f ca="1">IF(OR(INDEX($X$2:$X$1001,MATCH(ROWS($W$2:W958),$W$2:$W$1001,0),1)&gt;=100000,INDEX($AD$1005:$AU$1005,1,MATCH(COLUMNS($AD$1006:AL1006),$AD$1006:$AU$1006,0))&gt;=100000), " ",IF(INDEX($AD$2:$AU$1001,MATCH(ROWS($W$2:W958),$W$2:$W$1001,0),MATCH(COLUMNS($AD$1006:AL1006),$AD$1006:$AU$1006,0)), HYPERLINK("#",""), HYPERLINK(CONCATENATE("#metadata!", ADDRESS(INDEX($Y$2:$Y$1001,MATCH(ROWS($W$2:W958),$W$2:$W$1001,0),0), INDEX($AD$1004:$AU$1004,1,MATCH(COLUMNS($AD$1006:AL1006),$AD$1006:$AU$1006,0)))),"Fix")))</f>
        <v xml:space="preserve"> </v>
      </c>
      <c r="K958" s="4" t="str">
        <f ca="1">IF(OR(INDEX($X$2:$X$1001,MATCH(ROWS($W$2:W958),$W$2:$W$1001,0),1)&gt;=100000,INDEX($AD$1005:$AU$1005,1,MATCH(COLUMNS($AD$1006:AM1006),$AD$1006:$AU$1006,0))&gt;=100000), " ",IF(INDEX($AD$2:$AU$1001,MATCH(ROWS($W$2:W958),$W$2:$W$1001,0),MATCH(COLUMNS($AD$1006:AM1006),$AD$1006:$AU$1006,0)), HYPERLINK("#",""), HYPERLINK(CONCATENATE("#metadata!", ADDRESS(INDEX($Y$2:$Y$1001,MATCH(ROWS($W$2:W958),$W$2:$W$1001,0),0), INDEX($AD$1004:$AU$1004,1,MATCH(COLUMNS($AD$1006:AM1006),$AD$1006:$AU$1006,0)))),"Fix")))</f>
        <v xml:space="preserve"> </v>
      </c>
      <c r="L958" s="4" t="str">
        <f ca="1">IF(OR(INDEX($X$2:$X$1001,MATCH(ROWS($W$2:W958),$W$2:$W$1001,0),1)&gt;=100000,INDEX($AD$1005:$AU$1005,1,MATCH(COLUMNS($AD$1006:AN1006),$AD$1006:$AU$1006,0))&gt;=100000), " ",IF(INDEX($AD$2:$AU$1001,MATCH(ROWS($W$2:W958),$W$2:$W$1001,0),MATCH(COLUMNS($AD$1006:AN1006),$AD$1006:$AU$1006,0)), HYPERLINK("#",""), HYPERLINK(CONCATENATE("#metadata!", ADDRESS(INDEX($Y$2:$Y$1001,MATCH(ROWS($W$2:W958),$W$2:$W$1001,0),0), INDEX($AD$1004:$AU$1004,1,MATCH(COLUMNS($AD$1006:AN1006),$AD$1006:$AU$1006,0)))),"Fix")))</f>
        <v xml:space="preserve"> </v>
      </c>
      <c r="M958" s="4" t="str">
        <f ca="1">IF(OR(INDEX($X$2:$X$1001,MATCH(ROWS($W$2:W958),$W$2:$W$1001,0),1)&gt;=100000,INDEX($AD$1005:$AU$1005,1,MATCH(COLUMNS($AD$1006:AO1006),$AD$1006:$AU$1006,0))&gt;=100000), " ",IF(INDEX($AD$2:$AU$1001,MATCH(ROWS($W$2:W958),$W$2:$W$1001,0),MATCH(COLUMNS($AD$1006:AO1006),$AD$1006:$AU$1006,0)), HYPERLINK("#",""), HYPERLINK(CONCATENATE("#metadata!", ADDRESS(INDEX($Y$2:$Y$1001,MATCH(ROWS($W$2:W958),$W$2:$W$1001,0),0), INDEX($AD$1004:$AU$1004,1,MATCH(COLUMNS($AD$1006:AO1006),$AD$1006:$AU$1006,0)))),"Fix")))</f>
        <v xml:space="preserve"> </v>
      </c>
      <c r="N958" s="4" t="str">
        <f ca="1">IF(OR(INDEX($X$2:$X$1001,MATCH(ROWS($W$2:W958),$W$2:$W$1001,0),1)&gt;=100000,INDEX($AD$1005:$AU$1005,1,MATCH(COLUMNS($AD$1006:AP1006),$AD$1006:$AU$1006,0))&gt;=100000), " ",IF(INDEX($AD$2:$AU$1001,MATCH(ROWS($W$2:W958),$W$2:$W$1001,0),MATCH(COLUMNS($AD$1006:AP1006),$AD$1006:$AU$1006,0)), HYPERLINK("#",""), HYPERLINK(CONCATENATE("#metadata!", ADDRESS(INDEX($Y$2:$Y$1001,MATCH(ROWS($W$2:W958),$W$2:$W$1001,0),0), INDEX($AD$1004:$AU$1004,1,MATCH(COLUMNS($AD$1006:AP1006),$AD$1006:$AU$1006,0)))),"Fix")))</f>
        <v xml:space="preserve"> </v>
      </c>
      <c r="O958" s="4" t="str">
        <f ca="1">IF(OR(INDEX($X$2:$X$1001,MATCH(ROWS($W$2:W958),$W$2:$W$1001,0),1)&gt;=100000,INDEX($AD$1005:$AU$1005,1,MATCH(COLUMNS($AD$1006:AQ1006),$AD$1006:$AU$1006,0))&gt;=100000), " ",IF(INDEX($AD$2:$AU$1001,MATCH(ROWS($W$2:W958),$W$2:$W$1001,0),MATCH(COLUMNS($AD$1006:AQ1006),$AD$1006:$AU$1006,0)), HYPERLINK("#",""), HYPERLINK(CONCATENATE("#metadata!", ADDRESS(INDEX($Y$2:$Y$1001,MATCH(ROWS($W$2:W958),$W$2:$W$1001,0),0), INDEX($AD$1004:$AU$1004,1,MATCH(COLUMNS($AD$1006:AQ1006),$AD$1006:$AU$1006,0)))),"Fix")))</f>
        <v xml:space="preserve"> </v>
      </c>
      <c r="P958" s="4" t="str">
        <f ca="1">IF(OR(INDEX($X$2:$X$1001,MATCH(ROWS($W$2:W958),$W$2:$W$1001,0),1)&gt;=100000,INDEX($AD$1005:$AU$1005,1,MATCH(COLUMNS($AD$1006:AR1006),$AD$1006:$AU$1006,0))&gt;=100000), " ",IF(INDEX($AD$2:$AU$1001,MATCH(ROWS($W$2:W958),$W$2:$W$1001,0),MATCH(COLUMNS($AD$1006:AR1006),$AD$1006:$AU$1006,0)), HYPERLINK("#",""), HYPERLINK(CONCATENATE("#metadata!", ADDRESS(INDEX($Y$2:$Y$1001,MATCH(ROWS($W$2:W958),$W$2:$W$1001,0),0), INDEX($AD$1004:$AU$1004,1,MATCH(COLUMNS($AD$1006:AR1006),$AD$1006:$AU$1006,0)))),"Fix")))</f>
        <v xml:space="preserve"> </v>
      </c>
      <c r="Q958" s="4" t="str">
        <f ca="1">IF(OR(INDEX($X$2:$X$1001,MATCH(ROWS($W$2:W958),$W$2:$W$1001,0),1)&gt;=100000,INDEX($AD$1005:$AU$1005,1,MATCH(COLUMNS($AD$1006:AS1006),$AD$1006:$AU$1006,0))&gt;=100000), " ",IF(INDEX($AD$2:$AU$1001,MATCH(ROWS($W$2:W958),$W$2:$W$1001,0),MATCH(COLUMNS($AD$1006:AS1006),$AD$1006:$AU$1006,0)), HYPERLINK("#",""), HYPERLINK(CONCATENATE("#metadata!", ADDRESS(INDEX($Y$2:$Y$1001,MATCH(ROWS($W$2:W958),$W$2:$W$1001,0),0), INDEX($AD$1004:$AU$1004,1,MATCH(COLUMNS($AD$1006:AS1006),$AD$1006:$AU$1006,0)))),"Fix")))</f>
        <v xml:space="preserve"> </v>
      </c>
      <c r="R958" s="4" t="str">
        <f ca="1">IF(OR(INDEX($X$2:$X$1001,MATCH(ROWS($W$2:W958),$W$2:$W$1001,0),1)&gt;=100000,INDEX($AD$1005:$AU$1005,1,MATCH(COLUMNS($AD$1006:AT1006),$AD$1006:$AU$1006,0))&gt;=100000), " ",IF(INDEX($AD$2:$AU$1001,MATCH(ROWS($W$2:W958),$W$2:$W$1001,0),MATCH(COLUMNS($AD$1006:AT1006),$AD$1006:$AU$1006,0)), HYPERLINK("#",""), HYPERLINK(CONCATENATE("#metadata!", ADDRESS(INDEX($Y$2:$Y$1001,MATCH(ROWS($W$2:W958),$W$2:$W$1001,0),0), INDEX($AD$1004:$AU$1004,1,MATCH(COLUMNS($AD$1006:AT1006),$AD$1006:$AU$1006,0)))),"Fix")))</f>
        <v xml:space="preserve"> </v>
      </c>
      <c r="S958" s="4" t="str">
        <f ca="1">IF(OR(INDEX($X$2:$X$1001,MATCH(ROWS($W$2:W958),$W$2:$W$1001,0),1)&gt;=100000,INDEX($AD$1005:$AU$1005,1,MATCH(COLUMNS($AD$1006:AU1006),$AD$1006:$AU$1006,0))&gt;=100000), " ",IF(INDEX($AD$2:$AU$1001,MATCH(ROWS($W$2:W958),$W$2:$W$1001,0),MATCH(COLUMNS($AD$1006:AU1006),$AD$1006:$AU$1006,0)), HYPERLINK("#",""), HYPERLINK(CONCATENATE("#metadata!", ADDRESS(INDEX($Y$2:$Y$1001,MATCH(ROWS($W$2:W958),$W$2:$W$1001,0),0), INDEX($AD$1004:$AU$1004,1,MATCH(COLUMNS($AD$1006:AU1006),$AD$1006:$AU$1006,0)))),"Fix")))</f>
        <v xml:space="preserve"> </v>
      </c>
      <c r="W958">
        <v>957</v>
      </c>
      <c r="X958">
        <v>100958</v>
      </c>
      <c r="Y958">
        <v>958</v>
      </c>
      <c r="Z958" t="b">
        <f t="shared" si="14"/>
        <v>1</v>
      </c>
      <c r="AA958" t="b">
        <f>COUNTBLANK(metadata!B958:S958)=COLUMNS(metadata!B958:S958)</f>
        <v>1</v>
      </c>
      <c r="AB958" t="str">
        <v/>
      </c>
      <c r="AD958" t="b">
        <f ca="1">AND(IF(metadata!B958="",FALSE,TRUE),COUNTIF(metadata!B:B, metadata!B958) = 1,NOT(ISERROR(SUMPRODUCT(SEARCH(MID(metadata!B958,ROW(INDIRECT("1:"&amp;LEN(metadata!B958))), 1),"0123456789abcdefghijklmnopqrstuvwxyzABCDEFGHIJKLMNOPQRSTUVWXYZ.")))))</f>
        <v>0</v>
      </c>
      <c r="AE958" t="b">
        <f>OR(AND(IF(metadata!C958="",FALSE,TRUE),OR(EXACT(metadata!C958,"not applicable"),EXACT(metadata!C958,"missing: not collected"),EXACT(metadata!C958,"missing: not provided"),EXACT(metadata!C958,"missing: restricted access"))),AND(IF(metadata!C958="",FALSE,ISNUMBER(VALUE(metadata!C958))),metadata!C958&gt;0))</f>
        <v>0</v>
      </c>
      <c r="AF958" t="b">
        <f>AND(IF(metadata!D958="",FALSE,TRUE),EXACT(metadata!D958,"missing: not provided"))</f>
        <v>0</v>
      </c>
      <c r="AG958" t="b">
        <f>AND(IF(metadata!E958="",FALSE,TRUE),EXACT(metadata!E958,"Host-associated"))</f>
        <v>0</v>
      </c>
      <c r="AH958" t="b">
        <f>AND(IF(metadata!F958="",FALSE,TRUE),OR(EXACT(metadata!F958,"Animal"),EXACT(metadata!F958,"Fungus"),EXACT(metadata!F958,"Plant")))</f>
        <v>0</v>
      </c>
      <c r="AI958" t="b">
        <f>AND(IF(metadata!G958="",FALSE,TRUE),OR(EXACT(metadata!G958,"Plant secretion"),EXACT(metadata!G958,"Plant rhizosphere"),EXACT(metadata!G958,"Plant surface"),EXACT(metadata!G958,"Plant corpus"),EXACT(metadata!G958,"Fungus surface"),EXACT(metadata!G958,"Fungus corpus"),EXACT(metadata!G958,"Animal surface"),EXACT(metadata!G958,"Animal proximal gut"),EXACT(metadata!G958,"Animal corpus"),EXACT(metadata!G958,"Animal distal gut"),EXACT(metadata!G958,"Animal secretion")))</f>
        <v>0</v>
      </c>
      <c r="AJ958" t="b">
        <f>OR(AND(IF(metadata!H958="",FALSE,TRUE),OR(EXACT(metadata!H958,"missing: not collected"),EXACT(metadata!H958,"missing: not provided"),EXACT(metadata!H958,"missing: restricted access"))),AND(IF(metadata!H958="",FALSE,TRUE),OR(EXACT(metadata!H958,"organism-associated habitat"),EXACT(metadata!H958,"plant-associated habitat"),EXACT(metadata!H958,"animal-associated habitat"),EXACT(metadata!H958,"insecta-associated habitat"),EXACT(metadata!H958,"mammalia-associated habitat"),EXACT(metadata!H958,"human-associated habitat"),EXACT(metadata!H958,"livestock-associated habitat"))))</f>
        <v>0</v>
      </c>
      <c r="AK958" t="b">
        <f>AND(IF(metadata!I958="",FALSE,TRUE),EXACT(metadata!I958,"host-associated"))</f>
        <v>0</v>
      </c>
      <c r="AL958" t="b">
        <f>OR(AND(IF(metadata!J958="",FALSE,TRUE),OR(EXACT(metadata!J958,"not applicable"),EXACT(metadata!J958,"missing: not collected"),EXACT(metadata!J958,"missing: not provided"),EXACT(metadata!J958,"missing: restricted access"))),AND(IF(metadata!J958="",FALSE,ISNUMBER(VALUE(metadata!J958))),metadata!J958&gt;0))</f>
        <v>0</v>
      </c>
      <c r="AM958" t="b">
        <f>AND(IF(metadata!K958="",FALSE,TRUE),EXACT(metadata!K958,"missing: not provided"))</f>
        <v>0</v>
      </c>
      <c r="AN958" t="b">
        <f>IF(metadata!L958="",FALSE,TRUE)</f>
        <v>0</v>
      </c>
      <c r="AO958" t="b">
        <f>IF(metadata!M958="",FALSE,TRUE)</f>
        <v>0</v>
      </c>
      <c r="AP958" t="b">
        <f>OR(AND(IF(metadata!N958="",FALSE,TRUE),OR(EXACT(metadata!N958,"not applicable"),EXACT(metadata!N958,"missing: not collected"),EXACT(metadata!N958,"missing: not provided"))),AND(IF(metadata!N958="",FALSE,IF(ISERROR(INT(metadata!N958)),FALSE,INT(metadata!N958)=metadata!N958)),metadata!N958&gt;0))</f>
        <v>0</v>
      </c>
      <c r="AQ958" t="b">
        <f>AND(IF(metadata!O958="",FALSE,TRUE),EXACT(metadata!O958,"Not applicable"))</f>
        <v>0</v>
      </c>
      <c r="AR958" t="b">
        <f>OR(AND(IF(metadata!P958="",FALSE,TRUE),OR(EXACT(metadata!P958,"not applicable"),EXACT(metadata!P958,"missing: not collected"),EXACT(metadata!P958,"missing: not provided"),EXACT(metadata!P958,"missing: restricted access"))),IF(metadata!P958="",FALSE,IF(ISERROR(INT(metadata!P958)),FALSE,INT(metadata!P958)=metadata!P958)))</f>
        <v>0</v>
      </c>
      <c r="AS958" t="b">
        <f>AND(IF(metadata!Q958="",FALSE,TRUE),EXACT(metadata!Q958,"Not applicable"))</f>
        <v>0</v>
      </c>
      <c r="AT958" t="b">
        <f>OR(AND(IF(metadata!R958="",FALSE,TRUE),OR(EXACT(metadata!R958,"not applicable"),EXACT(metadata!R958,"missing: not collected"),EXACT(metadata!R958,"missing: not provided"),EXACT(metadata!R958,"missing: restricted access"))),AND(IF(metadata!R958="",FALSE,ISNUMBER(VALUE(metadata!R958))),metadata!R958&gt;0))</f>
        <v>0</v>
      </c>
      <c r="AU958" t="b">
        <f>AND(IF(metadata!S958="",FALSE,TRUE),EXACT(metadata!S958,"missing: not provided"))</f>
        <v>0</v>
      </c>
    </row>
    <row r="959" spans="1:47" x14ac:dyDescent="0.2">
      <c r="A959" s="5" t="str">
        <f ca="1">IF(B959=" "," ",HYPERLINK(CONCATENATE("#metadata!",ADDRESS(INDEX($Y$2:$Y$1001,MATCH(ROWS($W$2:W959),$W$2:$W$1001,0),0),1)),INDEX($AB$2:$AB$1001,MATCH(ROWS($W$2:W959),$W$2:$W$1001,0),0)))</f>
        <v xml:space="preserve"> </v>
      </c>
      <c r="B959" s="4" t="str">
        <f ca="1">IF(OR(INDEX($X$2:$X$1001,MATCH(ROWS($W$2:W959),$W$2:$W$1001,0),1)&gt;=100000,INDEX($AD$1005:$AU$1005,1,MATCH(COLUMNS($AD$1006:AD1006),$AD$1006:$AU$1006,0))&gt;=100000), " ",IF(INDEX($AD$2:$AU$1001,MATCH(ROWS($W$2:W959),$W$2:$W$1001,0),MATCH(COLUMNS($AD$1006:AD1006),$AD$1006:$AU$1006,0)), HYPERLINK("#",""), HYPERLINK(CONCATENATE("#metadata!", ADDRESS(INDEX($Y$2:$Y$1001,MATCH(ROWS($W$2:W959),$W$2:$W$1001,0),0), INDEX($AD$1004:$AU$1004,1,MATCH(COLUMNS($AD$1006:AD1006),$AD$1006:$AU$1006,0)))),"Fix")))</f>
        <v xml:space="preserve"> </v>
      </c>
      <c r="C959" s="4" t="str">
        <f ca="1">IF(OR(INDEX($X$2:$X$1001,MATCH(ROWS($W$2:W959),$W$2:$W$1001,0),1)&gt;=100000,INDEX($AD$1005:$AU$1005,1,MATCH(COLUMNS($AD$1006:AE1006),$AD$1006:$AU$1006,0))&gt;=100000), " ",IF(INDEX($AD$2:$AU$1001,MATCH(ROWS($W$2:W959),$W$2:$W$1001,0),MATCH(COLUMNS($AD$1006:AE1006),$AD$1006:$AU$1006,0)), HYPERLINK("#",""), HYPERLINK(CONCATENATE("#metadata!", ADDRESS(INDEX($Y$2:$Y$1001,MATCH(ROWS($W$2:W959),$W$2:$W$1001,0),0), INDEX($AD$1004:$AU$1004,1,MATCH(COLUMNS($AD$1006:AE1006),$AD$1006:$AU$1006,0)))),"Fix")))</f>
        <v xml:space="preserve"> </v>
      </c>
      <c r="D959" s="4" t="str">
        <f ca="1">IF(OR(INDEX($X$2:$X$1001,MATCH(ROWS($W$2:W959),$W$2:$W$1001,0),1)&gt;=100000,INDEX($AD$1005:$AU$1005,1,MATCH(COLUMNS($AD$1006:AF1006),$AD$1006:$AU$1006,0))&gt;=100000), " ",IF(INDEX($AD$2:$AU$1001,MATCH(ROWS($W$2:W959),$W$2:$W$1001,0),MATCH(COLUMNS($AD$1006:AF1006),$AD$1006:$AU$1006,0)), HYPERLINK("#",""), HYPERLINK(CONCATENATE("#metadata!", ADDRESS(INDEX($Y$2:$Y$1001,MATCH(ROWS($W$2:W959),$W$2:$W$1001,0),0), INDEX($AD$1004:$AU$1004,1,MATCH(COLUMNS($AD$1006:AF1006),$AD$1006:$AU$1006,0)))),"Fix")))</f>
        <v xml:space="preserve"> </v>
      </c>
      <c r="E959" s="4" t="str">
        <f ca="1">IF(OR(INDEX($X$2:$X$1001,MATCH(ROWS($W$2:W959),$W$2:$W$1001,0),1)&gt;=100000,INDEX($AD$1005:$AU$1005,1,MATCH(COLUMNS($AD$1006:AG1006),$AD$1006:$AU$1006,0))&gt;=100000), " ",IF(INDEX($AD$2:$AU$1001,MATCH(ROWS($W$2:W959),$W$2:$W$1001,0),MATCH(COLUMNS($AD$1006:AG1006),$AD$1006:$AU$1006,0)), HYPERLINK("#",""), HYPERLINK(CONCATENATE("#metadata!", ADDRESS(INDEX($Y$2:$Y$1001,MATCH(ROWS($W$2:W959),$W$2:$W$1001,0),0), INDEX($AD$1004:$AU$1004,1,MATCH(COLUMNS($AD$1006:AG1006),$AD$1006:$AU$1006,0)))),"Fix")))</f>
        <v xml:space="preserve"> </v>
      </c>
      <c r="F959" s="4" t="str">
        <f ca="1">IF(OR(INDEX($X$2:$X$1001,MATCH(ROWS($W$2:W959),$W$2:$W$1001,0),1)&gt;=100000,INDEX($AD$1005:$AU$1005,1,MATCH(COLUMNS($AD$1006:AH1006),$AD$1006:$AU$1006,0))&gt;=100000), " ",IF(INDEX($AD$2:$AU$1001,MATCH(ROWS($W$2:W959),$W$2:$W$1001,0),MATCH(COLUMNS($AD$1006:AH1006),$AD$1006:$AU$1006,0)), HYPERLINK("#",""), HYPERLINK(CONCATENATE("#metadata!", ADDRESS(INDEX($Y$2:$Y$1001,MATCH(ROWS($W$2:W959),$W$2:$W$1001,0),0), INDEX($AD$1004:$AU$1004,1,MATCH(COLUMNS($AD$1006:AH1006),$AD$1006:$AU$1006,0)))),"Fix")))</f>
        <v xml:space="preserve"> </v>
      </c>
      <c r="G959" s="4" t="str">
        <f ca="1">IF(OR(INDEX($X$2:$X$1001,MATCH(ROWS($W$2:W959),$W$2:$W$1001,0),1)&gt;=100000,INDEX($AD$1005:$AU$1005,1,MATCH(COLUMNS($AD$1006:AI1006),$AD$1006:$AU$1006,0))&gt;=100000), " ",IF(INDEX($AD$2:$AU$1001,MATCH(ROWS($W$2:W959),$W$2:$W$1001,0),MATCH(COLUMNS($AD$1006:AI1006),$AD$1006:$AU$1006,0)), HYPERLINK("#",""), HYPERLINK(CONCATENATE("#metadata!", ADDRESS(INDEX($Y$2:$Y$1001,MATCH(ROWS($W$2:W959),$W$2:$W$1001,0),0), INDEX($AD$1004:$AU$1004,1,MATCH(COLUMNS($AD$1006:AI1006),$AD$1006:$AU$1006,0)))),"Fix")))</f>
        <v xml:space="preserve"> </v>
      </c>
      <c r="H959" s="4" t="str">
        <f ca="1">IF(OR(INDEX($X$2:$X$1001,MATCH(ROWS($W$2:W959),$W$2:$W$1001,0),1)&gt;=100000,INDEX($AD$1005:$AU$1005,1,MATCH(COLUMNS($AD$1006:AJ1006),$AD$1006:$AU$1006,0))&gt;=100000), " ",IF(INDEX($AD$2:$AU$1001,MATCH(ROWS($W$2:W959),$W$2:$W$1001,0),MATCH(COLUMNS($AD$1006:AJ1006),$AD$1006:$AU$1006,0)), HYPERLINK("#",""), HYPERLINK(CONCATENATE("#metadata!", ADDRESS(INDEX($Y$2:$Y$1001,MATCH(ROWS($W$2:W959),$W$2:$W$1001,0),0), INDEX($AD$1004:$AU$1004,1,MATCH(COLUMNS($AD$1006:AJ1006),$AD$1006:$AU$1006,0)))),"Fix")))</f>
        <v xml:space="preserve"> </v>
      </c>
      <c r="I959" s="4" t="str">
        <f ca="1">IF(OR(INDEX($X$2:$X$1001,MATCH(ROWS($W$2:W959),$W$2:$W$1001,0),1)&gt;=100000,INDEX($AD$1005:$AU$1005,1,MATCH(COLUMNS($AD$1006:AK1006),$AD$1006:$AU$1006,0))&gt;=100000), " ",IF(INDEX($AD$2:$AU$1001,MATCH(ROWS($W$2:W959),$W$2:$W$1001,0),MATCH(COLUMNS($AD$1006:AK1006),$AD$1006:$AU$1006,0)), HYPERLINK("#",""), HYPERLINK(CONCATENATE("#metadata!", ADDRESS(INDEX($Y$2:$Y$1001,MATCH(ROWS($W$2:W959),$W$2:$W$1001,0),0), INDEX($AD$1004:$AU$1004,1,MATCH(COLUMNS($AD$1006:AK1006),$AD$1006:$AU$1006,0)))),"Fix")))</f>
        <v xml:space="preserve"> </v>
      </c>
      <c r="J959" s="4" t="str">
        <f ca="1">IF(OR(INDEX($X$2:$X$1001,MATCH(ROWS($W$2:W959),$W$2:$W$1001,0),1)&gt;=100000,INDEX($AD$1005:$AU$1005,1,MATCH(COLUMNS($AD$1006:AL1006),$AD$1006:$AU$1006,0))&gt;=100000), " ",IF(INDEX($AD$2:$AU$1001,MATCH(ROWS($W$2:W959),$W$2:$W$1001,0),MATCH(COLUMNS($AD$1006:AL1006),$AD$1006:$AU$1006,0)), HYPERLINK("#",""), HYPERLINK(CONCATENATE("#metadata!", ADDRESS(INDEX($Y$2:$Y$1001,MATCH(ROWS($W$2:W959),$W$2:$W$1001,0),0), INDEX($AD$1004:$AU$1004,1,MATCH(COLUMNS($AD$1006:AL1006),$AD$1006:$AU$1006,0)))),"Fix")))</f>
        <v xml:space="preserve"> </v>
      </c>
      <c r="K959" s="4" t="str">
        <f ca="1">IF(OR(INDEX($X$2:$X$1001,MATCH(ROWS($W$2:W959),$W$2:$W$1001,0),1)&gt;=100000,INDEX($AD$1005:$AU$1005,1,MATCH(COLUMNS($AD$1006:AM1006),$AD$1006:$AU$1006,0))&gt;=100000), " ",IF(INDEX($AD$2:$AU$1001,MATCH(ROWS($W$2:W959),$W$2:$W$1001,0),MATCH(COLUMNS($AD$1006:AM1006),$AD$1006:$AU$1006,0)), HYPERLINK("#",""), HYPERLINK(CONCATENATE("#metadata!", ADDRESS(INDEX($Y$2:$Y$1001,MATCH(ROWS($W$2:W959),$W$2:$W$1001,0),0), INDEX($AD$1004:$AU$1004,1,MATCH(COLUMNS($AD$1006:AM1006),$AD$1006:$AU$1006,0)))),"Fix")))</f>
        <v xml:space="preserve"> </v>
      </c>
      <c r="L959" s="4" t="str">
        <f ca="1">IF(OR(INDEX($X$2:$X$1001,MATCH(ROWS($W$2:W959),$W$2:$W$1001,0),1)&gt;=100000,INDEX($AD$1005:$AU$1005,1,MATCH(COLUMNS($AD$1006:AN1006),$AD$1006:$AU$1006,0))&gt;=100000), " ",IF(INDEX($AD$2:$AU$1001,MATCH(ROWS($W$2:W959),$W$2:$W$1001,0),MATCH(COLUMNS($AD$1006:AN1006),$AD$1006:$AU$1006,0)), HYPERLINK("#",""), HYPERLINK(CONCATENATE("#metadata!", ADDRESS(INDEX($Y$2:$Y$1001,MATCH(ROWS($W$2:W959),$W$2:$W$1001,0),0), INDEX($AD$1004:$AU$1004,1,MATCH(COLUMNS($AD$1006:AN1006),$AD$1006:$AU$1006,0)))),"Fix")))</f>
        <v xml:space="preserve"> </v>
      </c>
      <c r="M959" s="4" t="str">
        <f ca="1">IF(OR(INDEX($X$2:$X$1001,MATCH(ROWS($W$2:W959),$W$2:$W$1001,0),1)&gt;=100000,INDEX($AD$1005:$AU$1005,1,MATCH(COLUMNS($AD$1006:AO1006),$AD$1006:$AU$1006,0))&gt;=100000), " ",IF(INDEX($AD$2:$AU$1001,MATCH(ROWS($W$2:W959),$W$2:$W$1001,0),MATCH(COLUMNS($AD$1006:AO1006),$AD$1006:$AU$1006,0)), HYPERLINK("#",""), HYPERLINK(CONCATENATE("#metadata!", ADDRESS(INDEX($Y$2:$Y$1001,MATCH(ROWS($W$2:W959),$W$2:$W$1001,0),0), INDEX($AD$1004:$AU$1004,1,MATCH(COLUMNS($AD$1006:AO1006),$AD$1006:$AU$1006,0)))),"Fix")))</f>
        <v xml:space="preserve"> </v>
      </c>
      <c r="N959" s="4" t="str">
        <f ca="1">IF(OR(INDEX($X$2:$X$1001,MATCH(ROWS($W$2:W959),$W$2:$W$1001,0),1)&gt;=100000,INDEX($AD$1005:$AU$1005,1,MATCH(COLUMNS($AD$1006:AP1006),$AD$1006:$AU$1006,0))&gt;=100000), " ",IF(INDEX($AD$2:$AU$1001,MATCH(ROWS($W$2:W959),$W$2:$W$1001,0),MATCH(COLUMNS($AD$1006:AP1006),$AD$1006:$AU$1006,0)), HYPERLINK("#",""), HYPERLINK(CONCATENATE("#metadata!", ADDRESS(INDEX($Y$2:$Y$1001,MATCH(ROWS($W$2:W959),$W$2:$W$1001,0),0), INDEX($AD$1004:$AU$1004,1,MATCH(COLUMNS($AD$1006:AP1006),$AD$1006:$AU$1006,0)))),"Fix")))</f>
        <v xml:space="preserve"> </v>
      </c>
      <c r="O959" s="4" t="str">
        <f ca="1">IF(OR(INDEX($X$2:$X$1001,MATCH(ROWS($W$2:W959),$W$2:$W$1001,0),1)&gt;=100000,INDEX($AD$1005:$AU$1005,1,MATCH(COLUMNS($AD$1006:AQ1006),$AD$1006:$AU$1006,0))&gt;=100000), " ",IF(INDEX($AD$2:$AU$1001,MATCH(ROWS($W$2:W959),$W$2:$W$1001,0),MATCH(COLUMNS($AD$1006:AQ1006),$AD$1006:$AU$1006,0)), HYPERLINK("#",""), HYPERLINK(CONCATENATE("#metadata!", ADDRESS(INDEX($Y$2:$Y$1001,MATCH(ROWS($W$2:W959),$W$2:$W$1001,0),0), INDEX($AD$1004:$AU$1004,1,MATCH(COLUMNS($AD$1006:AQ1006),$AD$1006:$AU$1006,0)))),"Fix")))</f>
        <v xml:space="preserve"> </v>
      </c>
      <c r="P959" s="4" t="str">
        <f ca="1">IF(OR(INDEX($X$2:$X$1001,MATCH(ROWS($W$2:W959),$W$2:$W$1001,0),1)&gt;=100000,INDEX($AD$1005:$AU$1005,1,MATCH(COLUMNS($AD$1006:AR1006),$AD$1006:$AU$1006,0))&gt;=100000), " ",IF(INDEX($AD$2:$AU$1001,MATCH(ROWS($W$2:W959),$W$2:$W$1001,0),MATCH(COLUMNS($AD$1006:AR1006),$AD$1006:$AU$1006,0)), HYPERLINK("#",""), HYPERLINK(CONCATENATE("#metadata!", ADDRESS(INDEX($Y$2:$Y$1001,MATCH(ROWS($W$2:W959),$W$2:$W$1001,0),0), INDEX($AD$1004:$AU$1004,1,MATCH(COLUMNS($AD$1006:AR1006),$AD$1006:$AU$1006,0)))),"Fix")))</f>
        <v xml:space="preserve"> </v>
      </c>
      <c r="Q959" s="4" t="str">
        <f ca="1">IF(OR(INDEX($X$2:$X$1001,MATCH(ROWS($W$2:W959),$W$2:$W$1001,0),1)&gt;=100000,INDEX($AD$1005:$AU$1005,1,MATCH(COLUMNS($AD$1006:AS1006),$AD$1006:$AU$1006,0))&gt;=100000), " ",IF(INDEX($AD$2:$AU$1001,MATCH(ROWS($W$2:W959),$W$2:$W$1001,0),MATCH(COLUMNS($AD$1006:AS1006),$AD$1006:$AU$1006,0)), HYPERLINK("#",""), HYPERLINK(CONCATENATE("#metadata!", ADDRESS(INDEX($Y$2:$Y$1001,MATCH(ROWS($W$2:W959),$W$2:$W$1001,0),0), INDEX($AD$1004:$AU$1004,1,MATCH(COLUMNS($AD$1006:AS1006),$AD$1006:$AU$1006,0)))),"Fix")))</f>
        <v xml:space="preserve"> </v>
      </c>
      <c r="R959" s="4" t="str">
        <f ca="1">IF(OR(INDEX($X$2:$X$1001,MATCH(ROWS($W$2:W959),$W$2:$W$1001,0),1)&gt;=100000,INDEX($AD$1005:$AU$1005,1,MATCH(COLUMNS($AD$1006:AT1006),$AD$1006:$AU$1006,0))&gt;=100000), " ",IF(INDEX($AD$2:$AU$1001,MATCH(ROWS($W$2:W959),$W$2:$W$1001,0),MATCH(COLUMNS($AD$1006:AT1006),$AD$1006:$AU$1006,0)), HYPERLINK("#",""), HYPERLINK(CONCATENATE("#metadata!", ADDRESS(INDEX($Y$2:$Y$1001,MATCH(ROWS($W$2:W959),$W$2:$W$1001,0),0), INDEX($AD$1004:$AU$1004,1,MATCH(COLUMNS($AD$1006:AT1006),$AD$1006:$AU$1006,0)))),"Fix")))</f>
        <v xml:space="preserve"> </v>
      </c>
      <c r="S959" s="4" t="str">
        <f ca="1">IF(OR(INDEX($X$2:$X$1001,MATCH(ROWS($W$2:W959),$W$2:$W$1001,0),1)&gt;=100000,INDEX($AD$1005:$AU$1005,1,MATCH(COLUMNS($AD$1006:AU1006),$AD$1006:$AU$1006,0))&gt;=100000), " ",IF(INDEX($AD$2:$AU$1001,MATCH(ROWS($W$2:W959),$W$2:$W$1001,0),MATCH(COLUMNS($AD$1006:AU1006),$AD$1006:$AU$1006,0)), HYPERLINK("#",""), HYPERLINK(CONCATENATE("#metadata!", ADDRESS(INDEX($Y$2:$Y$1001,MATCH(ROWS($W$2:W959),$W$2:$W$1001,0),0), INDEX($AD$1004:$AU$1004,1,MATCH(COLUMNS($AD$1006:AU1006),$AD$1006:$AU$1006,0)))),"Fix")))</f>
        <v xml:space="preserve"> </v>
      </c>
      <c r="W959">
        <v>958</v>
      </c>
      <c r="X959">
        <v>100959</v>
      </c>
      <c r="Y959">
        <v>959</v>
      </c>
      <c r="Z959" t="b">
        <f t="shared" si="14"/>
        <v>1</v>
      </c>
      <c r="AA959" t="b">
        <f>COUNTBLANK(metadata!B959:S959)=COLUMNS(metadata!B959:S959)</f>
        <v>1</v>
      </c>
      <c r="AB959" t="str">
        <v/>
      </c>
      <c r="AD959" t="b">
        <f ca="1">AND(IF(metadata!B959="",FALSE,TRUE),COUNTIF(metadata!B:B, metadata!B959) = 1,NOT(ISERROR(SUMPRODUCT(SEARCH(MID(metadata!B959,ROW(INDIRECT("1:"&amp;LEN(metadata!B959))), 1),"0123456789abcdefghijklmnopqrstuvwxyzABCDEFGHIJKLMNOPQRSTUVWXYZ.")))))</f>
        <v>0</v>
      </c>
      <c r="AE959" t="b">
        <f>OR(AND(IF(metadata!C959="",FALSE,TRUE),OR(EXACT(metadata!C959,"not applicable"),EXACT(metadata!C959,"missing: not collected"),EXACT(metadata!C959,"missing: not provided"),EXACT(metadata!C959,"missing: restricted access"))),AND(IF(metadata!C959="",FALSE,ISNUMBER(VALUE(metadata!C959))),metadata!C959&gt;0))</f>
        <v>0</v>
      </c>
      <c r="AF959" t="b">
        <f>AND(IF(metadata!D959="",FALSE,TRUE),EXACT(metadata!D959,"missing: not provided"))</f>
        <v>0</v>
      </c>
      <c r="AG959" t="b">
        <f>AND(IF(metadata!E959="",FALSE,TRUE),EXACT(metadata!E959,"Host-associated"))</f>
        <v>0</v>
      </c>
      <c r="AH959" t="b">
        <f>AND(IF(metadata!F959="",FALSE,TRUE),OR(EXACT(metadata!F959,"Animal"),EXACT(metadata!F959,"Fungus"),EXACT(metadata!F959,"Plant")))</f>
        <v>0</v>
      </c>
      <c r="AI959" t="b">
        <f>AND(IF(metadata!G959="",FALSE,TRUE),OR(EXACT(metadata!G959,"Plant secretion"),EXACT(metadata!G959,"Plant rhizosphere"),EXACT(metadata!G959,"Plant surface"),EXACT(metadata!G959,"Plant corpus"),EXACT(metadata!G959,"Fungus surface"),EXACT(metadata!G959,"Fungus corpus"),EXACT(metadata!G959,"Animal surface"),EXACT(metadata!G959,"Animal proximal gut"),EXACT(metadata!G959,"Animal corpus"),EXACT(metadata!G959,"Animal distal gut"),EXACT(metadata!G959,"Animal secretion")))</f>
        <v>0</v>
      </c>
      <c r="AJ959" t="b">
        <f>OR(AND(IF(metadata!H959="",FALSE,TRUE),OR(EXACT(metadata!H959,"missing: not collected"),EXACT(metadata!H959,"missing: not provided"),EXACT(metadata!H959,"missing: restricted access"))),AND(IF(metadata!H959="",FALSE,TRUE),OR(EXACT(metadata!H959,"organism-associated habitat"),EXACT(metadata!H959,"plant-associated habitat"),EXACT(metadata!H959,"animal-associated habitat"),EXACT(metadata!H959,"insecta-associated habitat"),EXACT(metadata!H959,"mammalia-associated habitat"),EXACT(metadata!H959,"human-associated habitat"),EXACT(metadata!H959,"livestock-associated habitat"))))</f>
        <v>0</v>
      </c>
      <c r="AK959" t="b">
        <f>AND(IF(metadata!I959="",FALSE,TRUE),EXACT(metadata!I959,"host-associated"))</f>
        <v>0</v>
      </c>
      <c r="AL959" t="b">
        <f>OR(AND(IF(metadata!J959="",FALSE,TRUE),OR(EXACT(metadata!J959,"not applicable"),EXACT(metadata!J959,"missing: not collected"),EXACT(metadata!J959,"missing: not provided"),EXACT(metadata!J959,"missing: restricted access"))),AND(IF(metadata!J959="",FALSE,ISNUMBER(VALUE(metadata!J959))),metadata!J959&gt;0))</f>
        <v>0</v>
      </c>
      <c r="AM959" t="b">
        <f>AND(IF(metadata!K959="",FALSE,TRUE),EXACT(metadata!K959,"missing: not provided"))</f>
        <v>0</v>
      </c>
      <c r="AN959" t="b">
        <f>IF(metadata!L959="",FALSE,TRUE)</f>
        <v>0</v>
      </c>
      <c r="AO959" t="b">
        <f>IF(metadata!M959="",FALSE,TRUE)</f>
        <v>0</v>
      </c>
      <c r="AP959" t="b">
        <f>OR(AND(IF(metadata!N959="",FALSE,TRUE),OR(EXACT(metadata!N959,"not applicable"),EXACT(metadata!N959,"missing: not collected"),EXACT(metadata!N959,"missing: not provided"))),AND(IF(metadata!N959="",FALSE,IF(ISERROR(INT(metadata!N959)),FALSE,INT(metadata!N959)=metadata!N959)),metadata!N959&gt;0))</f>
        <v>0</v>
      </c>
      <c r="AQ959" t="b">
        <f>AND(IF(metadata!O959="",FALSE,TRUE),EXACT(metadata!O959,"Not applicable"))</f>
        <v>0</v>
      </c>
      <c r="AR959" t="b">
        <f>OR(AND(IF(metadata!P959="",FALSE,TRUE),OR(EXACT(metadata!P959,"not applicable"),EXACT(metadata!P959,"missing: not collected"),EXACT(metadata!P959,"missing: not provided"),EXACT(metadata!P959,"missing: restricted access"))),IF(metadata!P959="",FALSE,IF(ISERROR(INT(metadata!P959)),FALSE,INT(metadata!P959)=metadata!P959)))</f>
        <v>0</v>
      </c>
      <c r="AS959" t="b">
        <f>AND(IF(metadata!Q959="",FALSE,TRUE),EXACT(metadata!Q959,"Not applicable"))</f>
        <v>0</v>
      </c>
      <c r="AT959" t="b">
        <f>OR(AND(IF(metadata!R959="",FALSE,TRUE),OR(EXACT(metadata!R959,"not applicable"),EXACT(metadata!R959,"missing: not collected"),EXACT(metadata!R959,"missing: not provided"),EXACT(metadata!R959,"missing: restricted access"))),AND(IF(metadata!R959="",FALSE,ISNUMBER(VALUE(metadata!R959))),metadata!R959&gt;0))</f>
        <v>0</v>
      </c>
      <c r="AU959" t="b">
        <f>AND(IF(metadata!S959="",FALSE,TRUE),EXACT(metadata!S959,"missing: not provided"))</f>
        <v>0</v>
      </c>
    </row>
    <row r="960" spans="1:47" x14ac:dyDescent="0.2">
      <c r="A960" s="5" t="str">
        <f ca="1">IF(B960=" "," ",HYPERLINK(CONCATENATE("#metadata!",ADDRESS(INDEX($Y$2:$Y$1001,MATCH(ROWS($W$2:W960),$W$2:$W$1001,0),0),1)),INDEX($AB$2:$AB$1001,MATCH(ROWS($W$2:W960),$W$2:$W$1001,0),0)))</f>
        <v xml:space="preserve"> </v>
      </c>
      <c r="B960" s="4" t="str">
        <f ca="1">IF(OR(INDEX($X$2:$X$1001,MATCH(ROWS($W$2:W960),$W$2:$W$1001,0),1)&gt;=100000,INDEX($AD$1005:$AU$1005,1,MATCH(COLUMNS($AD$1006:AD1006),$AD$1006:$AU$1006,0))&gt;=100000), " ",IF(INDEX($AD$2:$AU$1001,MATCH(ROWS($W$2:W960),$W$2:$W$1001,0),MATCH(COLUMNS($AD$1006:AD1006),$AD$1006:$AU$1006,0)), HYPERLINK("#",""), HYPERLINK(CONCATENATE("#metadata!", ADDRESS(INDEX($Y$2:$Y$1001,MATCH(ROWS($W$2:W960),$W$2:$W$1001,0),0), INDEX($AD$1004:$AU$1004,1,MATCH(COLUMNS($AD$1006:AD1006),$AD$1006:$AU$1006,0)))),"Fix")))</f>
        <v xml:space="preserve"> </v>
      </c>
      <c r="C960" s="4" t="str">
        <f ca="1">IF(OR(INDEX($X$2:$X$1001,MATCH(ROWS($W$2:W960),$W$2:$W$1001,0),1)&gt;=100000,INDEX($AD$1005:$AU$1005,1,MATCH(COLUMNS($AD$1006:AE1006),$AD$1006:$AU$1006,0))&gt;=100000), " ",IF(INDEX($AD$2:$AU$1001,MATCH(ROWS($W$2:W960),$W$2:$W$1001,0),MATCH(COLUMNS($AD$1006:AE1006),$AD$1006:$AU$1006,0)), HYPERLINK("#",""), HYPERLINK(CONCATENATE("#metadata!", ADDRESS(INDEX($Y$2:$Y$1001,MATCH(ROWS($W$2:W960),$W$2:$W$1001,0),0), INDEX($AD$1004:$AU$1004,1,MATCH(COLUMNS($AD$1006:AE1006),$AD$1006:$AU$1006,0)))),"Fix")))</f>
        <v xml:space="preserve"> </v>
      </c>
      <c r="D960" s="4" t="str">
        <f ca="1">IF(OR(INDEX($X$2:$X$1001,MATCH(ROWS($W$2:W960),$W$2:$W$1001,0),1)&gt;=100000,INDEX($AD$1005:$AU$1005,1,MATCH(COLUMNS($AD$1006:AF1006),$AD$1006:$AU$1006,0))&gt;=100000), " ",IF(INDEX($AD$2:$AU$1001,MATCH(ROWS($W$2:W960),$W$2:$W$1001,0),MATCH(COLUMNS($AD$1006:AF1006),$AD$1006:$AU$1006,0)), HYPERLINK("#",""), HYPERLINK(CONCATENATE("#metadata!", ADDRESS(INDEX($Y$2:$Y$1001,MATCH(ROWS($W$2:W960),$W$2:$W$1001,0),0), INDEX($AD$1004:$AU$1004,1,MATCH(COLUMNS($AD$1006:AF1006),$AD$1006:$AU$1006,0)))),"Fix")))</f>
        <v xml:space="preserve"> </v>
      </c>
      <c r="E960" s="4" t="str">
        <f ca="1">IF(OR(INDEX($X$2:$X$1001,MATCH(ROWS($W$2:W960),$W$2:$W$1001,0),1)&gt;=100000,INDEX($AD$1005:$AU$1005,1,MATCH(COLUMNS($AD$1006:AG1006),$AD$1006:$AU$1006,0))&gt;=100000), " ",IF(INDEX($AD$2:$AU$1001,MATCH(ROWS($W$2:W960),$W$2:$W$1001,0),MATCH(COLUMNS($AD$1006:AG1006),$AD$1006:$AU$1006,0)), HYPERLINK("#",""), HYPERLINK(CONCATENATE("#metadata!", ADDRESS(INDEX($Y$2:$Y$1001,MATCH(ROWS($W$2:W960),$W$2:$W$1001,0),0), INDEX($AD$1004:$AU$1004,1,MATCH(COLUMNS($AD$1006:AG1006),$AD$1006:$AU$1006,0)))),"Fix")))</f>
        <v xml:space="preserve"> </v>
      </c>
      <c r="F960" s="4" t="str">
        <f ca="1">IF(OR(INDEX($X$2:$X$1001,MATCH(ROWS($W$2:W960),$W$2:$W$1001,0),1)&gt;=100000,INDEX($AD$1005:$AU$1005,1,MATCH(COLUMNS($AD$1006:AH1006),$AD$1006:$AU$1006,0))&gt;=100000), " ",IF(INDEX($AD$2:$AU$1001,MATCH(ROWS($W$2:W960),$W$2:$W$1001,0),MATCH(COLUMNS($AD$1006:AH1006),$AD$1006:$AU$1006,0)), HYPERLINK("#",""), HYPERLINK(CONCATENATE("#metadata!", ADDRESS(INDEX($Y$2:$Y$1001,MATCH(ROWS($W$2:W960),$W$2:$W$1001,0),0), INDEX($AD$1004:$AU$1004,1,MATCH(COLUMNS($AD$1006:AH1006),$AD$1006:$AU$1006,0)))),"Fix")))</f>
        <v xml:space="preserve"> </v>
      </c>
      <c r="G960" s="4" t="str">
        <f ca="1">IF(OR(INDEX($X$2:$X$1001,MATCH(ROWS($W$2:W960),$W$2:$W$1001,0),1)&gt;=100000,INDEX($AD$1005:$AU$1005,1,MATCH(COLUMNS($AD$1006:AI1006),$AD$1006:$AU$1006,0))&gt;=100000), " ",IF(INDEX($AD$2:$AU$1001,MATCH(ROWS($W$2:W960),$W$2:$W$1001,0),MATCH(COLUMNS($AD$1006:AI1006),$AD$1006:$AU$1006,0)), HYPERLINK("#",""), HYPERLINK(CONCATENATE("#metadata!", ADDRESS(INDEX($Y$2:$Y$1001,MATCH(ROWS($W$2:W960),$W$2:$W$1001,0),0), INDEX($AD$1004:$AU$1004,1,MATCH(COLUMNS($AD$1006:AI1006),$AD$1006:$AU$1006,0)))),"Fix")))</f>
        <v xml:space="preserve"> </v>
      </c>
      <c r="H960" s="4" t="str">
        <f ca="1">IF(OR(INDEX($X$2:$X$1001,MATCH(ROWS($W$2:W960),$W$2:$W$1001,0),1)&gt;=100000,INDEX($AD$1005:$AU$1005,1,MATCH(COLUMNS($AD$1006:AJ1006),$AD$1006:$AU$1006,0))&gt;=100000), " ",IF(INDEX($AD$2:$AU$1001,MATCH(ROWS($W$2:W960),$W$2:$W$1001,0),MATCH(COLUMNS($AD$1006:AJ1006),$AD$1006:$AU$1006,0)), HYPERLINK("#",""), HYPERLINK(CONCATENATE("#metadata!", ADDRESS(INDEX($Y$2:$Y$1001,MATCH(ROWS($W$2:W960),$W$2:$W$1001,0),0), INDEX($AD$1004:$AU$1004,1,MATCH(COLUMNS($AD$1006:AJ1006),$AD$1006:$AU$1006,0)))),"Fix")))</f>
        <v xml:space="preserve"> </v>
      </c>
      <c r="I960" s="4" t="str">
        <f ca="1">IF(OR(INDEX($X$2:$X$1001,MATCH(ROWS($W$2:W960),$W$2:$W$1001,0),1)&gt;=100000,INDEX($AD$1005:$AU$1005,1,MATCH(COLUMNS($AD$1006:AK1006),$AD$1006:$AU$1006,0))&gt;=100000), " ",IF(INDEX($AD$2:$AU$1001,MATCH(ROWS($W$2:W960),$W$2:$W$1001,0),MATCH(COLUMNS($AD$1006:AK1006),$AD$1006:$AU$1006,0)), HYPERLINK("#",""), HYPERLINK(CONCATENATE("#metadata!", ADDRESS(INDEX($Y$2:$Y$1001,MATCH(ROWS($W$2:W960),$W$2:$W$1001,0),0), INDEX($AD$1004:$AU$1004,1,MATCH(COLUMNS($AD$1006:AK1006),$AD$1006:$AU$1006,0)))),"Fix")))</f>
        <v xml:space="preserve"> </v>
      </c>
      <c r="J960" s="4" t="str">
        <f ca="1">IF(OR(INDEX($X$2:$X$1001,MATCH(ROWS($W$2:W960),$W$2:$W$1001,0),1)&gt;=100000,INDEX($AD$1005:$AU$1005,1,MATCH(COLUMNS($AD$1006:AL1006),$AD$1006:$AU$1006,0))&gt;=100000), " ",IF(INDEX($AD$2:$AU$1001,MATCH(ROWS($W$2:W960),$W$2:$W$1001,0),MATCH(COLUMNS($AD$1006:AL1006),$AD$1006:$AU$1006,0)), HYPERLINK("#",""), HYPERLINK(CONCATENATE("#metadata!", ADDRESS(INDEX($Y$2:$Y$1001,MATCH(ROWS($W$2:W960),$W$2:$W$1001,0),0), INDEX($AD$1004:$AU$1004,1,MATCH(COLUMNS($AD$1006:AL1006),$AD$1006:$AU$1006,0)))),"Fix")))</f>
        <v xml:space="preserve"> </v>
      </c>
      <c r="K960" s="4" t="str">
        <f ca="1">IF(OR(INDEX($X$2:$X$1001,MATCH(ROWS($W$2:W960),$W$2:$W$1001,0),1)&gt;=100000,INDEX($AD$1005:$AU$1005,1,MATCH(COLUMNS($AD$1006:AM1006),$AD$1006:$AU$1006,0))&gt;=100000), " ",IF(INDEX($AD$2:$AU$1001,MATCH(ROWS($W$2:W960),$W$2:$W$1001,0),MATCH(COLUMNS($AD$1006:AM1006),$AD$1006:$AU$1006,0)), HYPERLINK("#",""), HYPERLINK(CONCATENATE("#metadata!", ADDRESS(INDEX($Y$2:$Y$1001,MATCH(ROWS($W$2:W960),$W$2:$W$1001,0),0), INDEX($AD$1004:$AU$1004,1,MATCH(COLUMNS($AD$1006:AM1006),$AD$1006:$AU$1006,0)))),"Fix")))</f>
        <v xml:space="preserve"> </v>
      </c>
      <c r="L960" s="4" t="str">
        <f ca="1">IF(OR(INDEX($X$2:$X$1001,MATCH(ROWS($W$2:W960),$W$2:$W$1001,0),1)&gt;=100000,INDEX($AD$1005:$AU$1005,1,MATCH(COLUMNS($AD$1006:AN1006),$AD$1006:$AU$1006,0))&gt;=100000), " ",IF(INDEX($AD$2:$AU$1001,MATCH(ROWS($W$2:W960),$W$2:$W$1001,0),MATCH(COLUMNS($AD$1006:AN1006),$AD$1006:$AU$1006,0)), HYPERLINK("#",""), HYPERLINK(CONCATENATE("#metadata!", ADDRESS(INDEX($Y$2:$Y$1001,MATCH(ROWS($W$2:W960),$W$2:$W$1001,0),0), INDEX($AD$1004:$AU$1004,1,MATCH(COLUMNS($AD$1006:AN1006),$AD$1006:$AU$1006,0)))),"Fix")))</f>
        <v xml:space="preserve"> </v>
      </c>
      <c r="M960" s="4" t="str">
        <f ca="1">IF(OR(INDEX($X$2:$X$1001,MATCH(ROWS($W$2:W960),$W$2:$W$1001,0),1)&gt;=100000,INDEX($AD$1005:$AU$1005,1,MATCH(COLUMNS($AD$1006:AO1006),$AD$1006:$AU$1006,0))&gt;=100000), " ",IF(INDEX($AD$2:$AU$1001,MATCH(ROWS($W$2:W960),$W$2:$W$1001,0),MATCH(COLUMNS($AD$1006:AO1006),$AD$1006:$AU$1006,0)), HYPERLINK("#",""), HYPERLINK(CONCATENATE("#metadata!", ADDRESS(INDEX($Y$2:$Y$1001,MATCH(ROWS($W$2:W960),$W$2:$W$1001,0),0), INDEX($AD$1004:$AU$1004,1,MATCH(COLUMNS($AD$1006:AO1006),$AD$1006:$AU$1006,0)))),"Fix")))</f>
        <v xml:space="preserve"> </v>
      </c>
      <c r="N960" s="4" t="str">
        <f ca="1">IF(OR(INDEX($X$2:$X$1001,MATCH(ROWS($W$2:W960),$W$2:$W$1001,0),1)&gt;=100000,INDEX($AD$1005:$AU$1005,1,MATCH(COLUMNS($AD$1006:AP1006),$AD$1006:$AU$1006,0))&gt;=100000), " ",IF(INDEX($AD$2:$AU$1001,MATCH(ROWS($W$2:W960),$W$2:$W$1001,0),MATCH(COLUMNS($AD$1006:AP1006),$AD$1006:$AU$1006,0)), HYPERLINK("#",""), HYPERLINK(CONCATENATE("#metadata!", ADDRESS(INDEX($Y$2:$Y$1001,MATCH(ROWS($W$2:W960),$W$2:$W$1001,0),0), INDEX($AD$1004:$AU$1004,1,MATCH(COLUMNS($AD$1006:AP1006),$AD$1006:$AU$1006,0)))),"Fix")))</f>
        <v xml:space="preserve"> </v>
      </c>
      <c r="O960" s="4" t="str">
        <f ca="1">IF(OR(INDEX($X$2:$X$1001,MATCH(ROWS($W$2:W960),$W$2:$W$1001,0),1)&gt;=100000,INDEX($AD$1005:$AU$1005,1,MATCH(COLUMNS($AD$1006:AQ1006),$AD$1006:$AU$1006,0))&gt;=100000), " ",IF(INDEX($AD$2:$AU$1001,MATCH(ROWS($W$2:W960),$W$2:$W$1001,0),MATCH(COLUMNS($AD$1006:AQ1006),$AD$1006:$AU$1006,0)), HYPERLINK("#",""), HYPERLINK(CONCATENATE("#metadata!", ADDRESS(INDEX($Y$2:$Y$1001,MATCH(ROWS($W$2:W960),$W$2:$W$1001,0),0), INDEX($AD$1004:$AU$1004,1,MATCH(COLUMNS($AD$1006:AQ1006),$AD$1006:$AU$1006,0)))),"Fix")))</f>
        <v xml:space="preserve"> </v>
      </c>
      <c r="P960" s="4" t="str">
        <f ca="1">IF(OR(INDEX($X$2:$X$1001,MATCH(ROWS($W$2:W960),$W$2:$W$1001,0),1)&gt;=100000,INDEX($AD$1005:$AU$1005,1,MATCH(COLUMNS($AD$1006:AR1006),$AD$1006:$AU$1006,0))&gt;=100000), " ",IF(INDEX($AD$2:$AU$1001,MATCH(ROWS($W$2:W960),$W$2:$W$1001,0),MATCH(COLUMNS($AD$1006:AR1006),$AD$1006:$AU$1006,0)), HYPERLINK("#",""), HYPERLINK(CONCATENATE("#metadata!", ADDRESS(INDEX($Y$2:$Y$1001,MATCH(ROWS($W$2:W960),$W$2:$W$1001,0),0), INDEX($AD$1004:$AU$1004,1,MATCH(COLUMNS($AD$1006:AR1006),$AD$1006:$AU$1006,0)))),"Fix")))</f>
        <v xml:space="preserve"> </v>
      </c>
      <c r="Q960" s="4" t="str">
        <f ca="1">IF(OR(INDEX($X$2:$X$1001,MATCH(ROWS($W$2:W960),$W$2:$W$1001,0),1)&gt;=100000,INDEX($AD$1005:$AU$1005,1,MATCH(COLUMNS($AD$1006:AS1006),$AD$1006:$AU$1006,0))&gt;=100000), " ",IF(INDEX($AD$2:$AU$1001,MATCH(ROWS($W$2:W960),$W$2:$W$1001,0),MATCH(COLUMNS($AD$1006:AS1006),$AD$1006:$AU$1006,0)), HYPERLINK("#",""), HYPERLINK(CONCATENATE("#metadata!", ADDRESS(INDEX($Y$2:$Y$1001,MATCH(ROWS($W$2:W960),$W$2:$W$1001,0),0), INDEX($AD$1004:$AU$1004,1,MATCH(COLUMNS($AD$1006:AS1006),$AD$1006:$AU$1006,0)))),"Fix")))</f>
        <v xml:space="preserve"> </v>
      </c>
      <c r="R960" s="4" t="str">
        <f ca="1">IF(OR(INDEX($X$2:$X$1001,MATCH(ROWS($W$2:W960),$W$2:$W$1001,0),1)&gt;=100000,INDEX($AD$1005:$AU$1005,1,MATCH(COLUMNS($AD$1006:AT1006),$AD$1006:$AU$1006,0))&gt;=100000), " ",IF(INDEX($AD$2:$AU$1001,MATCH(ROWS($W$2:W960),$W$2:$W$1001,0),MATCH(COLUMNS($AD$1006:AT1006),$AD$1006:$AU$1006,0)), HYPERLINK("#",""), HYPERLINK(CONCATENATE("#metadata!", ADDRESS(INDEX($Y$2:$Y$1001,MATCH(ROWS($W$2:W960),$W$2:$W$1001,0),0), INDEX($AD$1004:$AU$1004,1,MATCH(COLUMNS($AD$1006:AT1006),$AD$1006:$AU$1006,0)))),"Fix")))</f>
        <v xml:space="preserve"> </v>
      </c>
      <c r="S960" s="4" t="str">
        <f ca="1">IF(OR(INDEX($X$2:$X$1001,MATCH(ROWS($W$2:W960),$W$2:$W$1001,0),1)&gt;=100000,INDEX($AD$1005:$AU$1005,1,MATCH(COLUMNS($AD$1006:AU1006),$AD$1006:$AU$1006,0))&gt;=100000), " ",IF(INDEX($AD$2:$AU$1001,MATCH(ROWS($W$2:W960),$W$2:$W$1001,0),MATCH(COLUMNS($AD$1006:AU1006),$AD$1006:$AU$1006,0)), HYPERLINK("#",""), HYPERLINK(CONCATENATE("#metadata!", ADDRESS(INDEX($Y$2:$Y$1001,MATCH(ROWS($W$2:W960),$W$2:$W$1001,0),0), INDEX($AD$1004:$AU$1004,1,MATCH(COLUMNS($AD$1006:AU1006),$AD$1006:$AU$1006,0)))),"Fix")))</f>
        <v xml:space="preserve"> </v>
      </c>
      <c r="W960">
        <v>959</v>
      </c>
      <c r="X960">
        <v>100960</v>
      </c>
      <c r="Y960">
        <v>960</v>
      </c>
      <c r="Z960" t="b">
        <f t="shared" si="14"/>
        <v>1</v>
      </c>
      <c r="AA960" t="b">
        <f>COUNTBLANK(metadata!B960:S960)=COLUMNS(metadata!B960:S960)</f>
        <v>1</v>
      </c>
      <c r="AB960" t="str">
        <v/>
      </c>
      <c r="AD960" t="b">
        <f ca="1">AND(IF(metadata!B960="",FALSE,TRUE),COUNTIF(metadata!B:B, metadata!B960) = 1,NOT(ISERROR(SUMPRODUCT(SEARCH(MID(metadata!B960,ROW(INDIRECT("1:"&amp;LEN(metadata!B960))), 1),"0123456789abcdefghijklmnopqrstuvwxyzABCDEFGHIJKLMNOPQRSTUVWXYZ.")))))</f>
        <v>0</v>
      </c>
      <c r="AE960" t="b">
        <f>OR(AND(IF(metadata!C960="",FALSE,TRUE),OR(EXACT(metadata!C960,"not applicable"),EXACT(metadata!C960,"missing: not collected"),EXACT(metadata!C960,"missing: not provided"),EXACT(metadata!C960,"missing: restricted access"))),AND(IF(metadata!C960="",FALSE,ISNUMBER(VALUE(metadata!C960))),metadata!C960&gt;0))</f>
        <v>0</v>
      </c>
      <c r="AF960" t="b">
        <f>AND(IF(metadata!D960="",FALSE,TRUE),EXACT(metadata!D960,"missing: not provided"))</f>
        <v>0</v>
      </c>
      <c r="AG960" t="b">
        <f>AND(IF(metadata!E960="",FALSE,TRUE),EXACT(metadata!E960,"Host-associated"))</f>
        <v>0</v>
      </c>
      <c r="AH960" t="b">
        <f>AND(IF(metadata!F960="",FALSE,TRUE),OR(EXACT(metadata!F960,"Animal"),EXACT(metadata!F960,"Fungus"),EXACT(metadata!F960,"Plant")))</f>
        <v>0</v>
      </c>
      <c r="AI960" t="b">
        <f>AND(IF(metadata!G960="",FALSE,TRUE),OR(EXACT(metadata!G960,"Plant secretion"),EXACT(metadata!G960,"Plant rhizosphere"),EXACT(metadata!G960,"Plant surface"),EXACT(metadata!G960,"Plant corpus"),EXACT(metadata!G960,"Fungus surface"),EXACT(metadata!G960,"Fungus corpus"),EXACT(metadata!G960,"Animal surface"),EXACT(metadata!G960,"Animal proximal gut"),EXACT(metadata!G960,"Animal corpus"),EXACT(metadata!G960,"Animal distal gut"),EXACT(metadata!G960,"Animal secretion")))</f>
        <v>0</v>
      </c>
      <c r="AJ960" t="b">
        <f>OR(AND(IF(metadata!H960="",FALSE,TRUE),OR(EXACT(metadata!H960,"missing: not collected"),EXACT(metadata!H960,"missing: not provided"),EXACT(metadata!H960,"missing: restricted access"))),AND(IF(metadata!H960="",FALSE,TRUE),OR(EXACT(metadata!H960,"organism-associated habitat"),EXACT(metadata!H960,"plant-associated habitat"),EXACT(metadata!H960,"animal-associated habitat"),EXACT(metadata!H960,"insecta-associated habitat"),EXACT(metadata!H960,"mammalia-associated habitat"),EXACT(metadata!H960,"human-associated habitat"),EXACT(metadata!H960,"livestock-associated habitat"))))</f>
        <v>0</v>
      </c>
      <c r="AK960" t="b">
        <f>AND(IF(metadata!I960="",FALSE,TRUE),EXACT(metadata!I960,"host-associated"))</f>
        <v>0</v>
      </c>
      <c r="AL960" t="b">
        <f>OR(AND(IF(metadata!J960="",FALSE,TRUE),OR(EXACT(metadata!J960,"not applicable"),EXACT(metadata!J960,"missing: not collected"),EXACT(metadata!J960,"missing: not provided"),EXACT(metadata!J960,"missing: restricted access"))),AND(IF(metadata!J960="",FALSE,ISNUMBER(VALUE(metadata!J960))),metadata!J960&gt;0))</f>
        <v>0</v>
      </c>
      <c r="AM960" t="b">
        <f>AND(IF(metadata!K960="",FALSE,TRUE),EXACT(metadata!K960,"missing: not provided"))</f>
        <v>0</v>
      </c>
      <c r="AN960" t="b">
        <f>IF(metadata!L960="",FALSE,TRUE)</f>
        <v>0</v>
      </c>
      <c r="AO960" t="b">
        <f>IF(metadata!M960="",FALSE,TRUE)</f>
        <v>0</v>
      </c>
      <c r="AP960" t="b">
        <f>OR(AND(IF(metadata!N960="",FALSE,TRUE),OR(EXACT(metadata!N960,"not applicable"),EXACT(metadata!N960,"missing: not collected"),EXACT(metadata!N960,"missing: not provided"))),AND(IF(metadata!N960="",FALSE,IF(ISERROR(INT(metadata!N960)),FALSE,INT(metadata!N960)=metadata!N960)),metadata!N960&gt;0))</f>
        <v>0</v>
      </c>
      <c r="AQ960" t="b">
        <f>AND(IF(metadata!O960="",FALSE,TRUE),EXACT(metadata!O960,"Not applicable"))</f>
        <v>0</v>
      </c>
      <c r="AR960" t="b">
        <f>OR(AND(IF(metadata!P960="",FALSE,TRUE),OR(EXACT(metadata!P960,"not applicable"),EXACT(metadata!P960,"missing: not collected"),EXACT(metadata!P960,"missing: not provided"),EXACT(metadata!P960,"missing: restricted access"))),IF(metadata!P960="",FALSE,IF(ISERROR(INT(metadata!P960)),FALSE,INT(metadata!P960)=metadata!P960)))</f>
        <v>0</v>
      </c>
      <c r="AS960" t="b">
        <f>AND(IF(metadata!Q960="",FALSE,TRUE),EXACT(metadata!Q960,"Not applicable"))</f>
        <v>0</v>
      </c>
      <c r="AT960" t="b">
        <f>OR(AND(IF(metadata!R960="",FALSE,TRUE),OR(EXACT(metadata!R960,"not applicable"),EXACT(metadata!R960,"missing: not collected"),EXACT(metadata!R960,"missing: not provided"),EXACT(metadata!R960,"missing: restricted access"))),AND(IF(metadata!R960="",FALSE,ISNUMBER(VALUE(metadata!R960))),metadata!R960&gt;0))</f>
        <v>0</v>
      </c>
      <c r="AU960" t="b">
        <f>AND(IF(metadata!S960="",FALSE,TRUE),EXACT(metadata!S960,"missing: not provided"))</f>
        <v>0</v>
      </c>
    </row>
    <row r="961" spans="1:47" x14ac:dyDescent="0.2">
      <c r="A961" s="5" t="str">
        <f ca="1">IF(B961=" "," ",HYPERLINK(CONCATENATE("#metadata!",ADDRESS(INDEX($Y$2:$Y$1001,MATCH(ROWS($W$2:W961),$W$2:$W$1001,0),0),1)),INDEX($AB$2:$AB$1001,MATCH(ROWS($W$2:W961),$W$2:$W$1001,0),0)))</f>
        <v xml:space="preserve"> </v>
      </c>
      <c r="B961" s="4" t="str">
        <f ca="1">IF(OR(INDEX($X$2:$X$1001,MATCH(ROWS($W$2:W961),$W$2:$W$1001,0),1)&gt;=100000,INDEX($AD$1005:$AU$1005,1,MATCH(COLUMNS($AD$1006:AD1006),$AD$1006:$AU$1006,0))&gt;=100000), " ",IF(INDEX($AD$2:$AU$1001,MATCH(ROWS($W$2:W961),$W$2:$W$1001,0),MATCH(COLUMNS($AD$1006:AD1006),$AD$1006:$AU$1006,0)), HYPERLINK("#",""), HYPERLINK(CONCATENATE("#metadata!", ADDRESS(INDEX($Y$2:$Y$1001,MATCH(ROWS($W$2:W961),$W$2:$W$1001,0),0), INDEX($AD$1004:$AU$1004,1,MATCH(COLUMNS($AD$1006:AD1006),$AD$1006:$AU$1006,0)))),"Fix")))</f>
        <v xml:space="preserve"> </v>
      </c>
      <c r="C961" s="4" t="str">
        <f ca="1">IF(OR(INDEX($X$2:$X$1001,MATCH(ROWS($W$2:W961),$W$2:$W$1001,0),1)&gt;=100000,INDEX($AD$1005:$AU$1005,1,MATCH(COLUMNS($AD$1006:AE1006),$AD$1006:$AU$1006,0))&gt;=100000), " ",IF(INDEX($AD$2:$AU$1001,MATCH(ROWS($W$2:W961),$W$2:$W$1001,0),MATCH(COLUMNS($AD$1006:AE1006),$AD$1006:$AU$1006,0)), HYPERLINK("#",""), HYPERLINK(CONCATENATE("#metadata!", ADDRESS(INDEX($Y$2:$Y$1001,MATCH(ROWS($W$2:W961),$W$2:$W$1001,0),0), INDEX($AD$1004:$AU$1004,1,MATCH(COLUMNS($AD$1006:AE1006),$AD$1006:$AU$1006,0)))),"Fix")))</f>
        <v xml:space="preserve"> </v>
      </c>
      <c r="D961" s="4" t="str">
        <f ca="1">IF(OR(INDEX($X$2:$X$1001,MATCH(ROWS($W$2:W961),$W$2:$W$1001,0),1)&gt;=100000,INDEX($AD$1005:$AU$1005,1,MATCH(COLUMNS($AD$1006:AF1006),$AD$1006:$AU$1006,0))&gt;=100000), " ",IF(INDEX($AD$2:$AU$1001,MATCH(ROWS($W$2:W961),$W$2:$W$1001,0),MATCH(COLUMNS($AD$1006:AF1006),$AD$1006:$AU$1006,0)), HYPERLINK("#",""), HYPERLINK(CONCATENATE("#metadata!", ADDRESS(INDEX($Y$2:$Y$1001,MATCH(ROWS($W$2:W961),$W$2:$W$1001,0),0), INDEX($AD$1004:$AU$1004,1,MATCH(COLUMNS($AD$1006:AF1006),$AD$1006:$AU$1006,0)))),"Fix")))</f>
        <v xml:space="preserve"> </v>
      </c>
      <c r="E961" s="4" t="str">
        <f ca="1">IF(OR(INDEX($X$2:$X$1001,MATCH(ROWS($W$2:W961),$W$2:$W$1001,0),1)&gt;=100000,INDEX($AD$1005:$AU$1005,1,MATCH(COLUMNS($AD$1006:AG1006),$AD$1006:$AU$1006,0))&gt;=100000), " ",IF(INDEX($AD$2:$AU$1001,MATCH(ROWS($W$2:W961),$W$2:$W$1001,0),MATCH(COLUMNS($AD$1006:AG1006),$AD$1006:$AU$1006,0)), HYPERLINK("#",""), HYPERLINK(CONCATENATE("#metadata!", ADDRESS(INDEX($Y$2:$Y$1001,MATCH(ROWS($W$2:W961),$W$2:$W$1001,0),0), INDEX($AD$1004:$AU$1004,1,MATCH(COLUMNS($AD$1006:AG1006),$AD$1006:$AU$1006,0)))),"Fix")))</f>
        <v xml:space="preserve"> </v>
      </c>
      <c r="F961" s="4" t="str">
        <f ca="1">IF(OR(INDEX($X$2:$X$1001,MATCH(ROWS($W$2:W961),$W$2:$W$1001,0),1)&gt;=100000,INDEX($AD$1005:$AU$1005,1,MATCH(COLUMNS($AD$1006:AH1006),$AD$1006:$AU$1006,0))&gt;=100000), " ",IF(INDEX($AD$2:$AU$1001,MATCH(ROWS($W$2:W961),$W$2:$W$1001,0),MATCH(COLUMNS($AD$1006:AH1006),$AD$1006:$AU$1006,0)), HYPERLINK("#",""), HYPERLINK(CONCATENATE("#metadata!", ADDRESS(INDEX($Y$2:$Y$1001,MATCH(ROWS($W$2:W961),$W$2:$W$1001,0),0), INDEX($AD$1004:$AU$1004,1,MATCH(COLUMNS($AD$1006:AH1006),$AD$1006:$AU$1006,0)))),"Fix")))</f>
        <v xml:space="preserve"> </v>
      </c>
      <c r="G961" s="4" t="str">
        <f ca="1">IF(OR(INDEX($X$2:$X$1001,MATCH(ROWS($W$2:W961),$W$2:$W$1001,0),1)&gt;=100000,INDEX($AD$1005:$AU$1005,1,MATCH(COLUMNS($AD$1006:AI1006),$AD$1006:$AU$1006,0))&gt;=100000), " ",IF(INDEX($AD$2:$AU$1001,MATCH(ROWS($W$2:W961),$W$2:$W$1001,0),MATCH(COLUMNS($AD$1006:AI1006),$AD$1006:$AU$1006,0)), HYPERLINK("#",""), HYPERLINK(CONCATENATE("#metadata!", ADDRESS(INDEX($Y$2:$Y$1001,MATCH(ROWS($W$2:W961),$W$2:$W$1001,0),0), INDEX($AD$1004:$AU$1004,1,MATCH(COLUMNS($AD$1006:AI1006),$AD$1006:$AU$1006,0)))),"Fix")))</f>
        <v xml:space="preserve"> </v>
      </c>
      <c r="H961" s="4" t="str">
        <f ca="1">IF(OR(INDEX($X$2:$X$1001,MATCH(ROWS($W$2:W961),$W$2:$W$1001,0),1)&gt;=100000,INDEX($AD$1005:$AU$1005,1,MATCH(COLUMNS($AD$1006:AJ1006),$AD$1006:$AU$1006,0))&gt;=100000), " ",IF(INDEX($AD$2:$AU$1001,MATCH(ROWS($W$2:W961),$W$2:$W$1001,0),MATCH(COLUMNS($AD$1006:AJ1006),$AD$1006:$AU$1006,0)), HYPERLINK("#",""), HYPERLINK(CONCATENATE("#metadata!", ADDRESS(INDEX($Y$2:$Y$1001,MATCH(ROWS($W$2:W961),$W$2:$W$1001,0),0), INDEX($AD$1004:$AU$1004,1,MATCH(COLUMNS($AD$1006:AJ1006),$AD$1006:$AU$1006,0)))),"Fix")))</f>
        <v xml:space="preserve"> </v>
      </c>
      <c r="I961" s="4" t="str">
        <f ca="1">IF(OR(INDEX($X$2:$X$1001,MATCH(ROWS($W$2:W961),$W$2:$W$1001,0),1)&gt;=100000,INDEX($AD$1005:$AU$1005,1,MATCH(COLUMNS($AD$1006:AK1006),$AD$1006:$AU$1006,0))&gt;=100000), " ",IF(INDEX($AD$2:$AU$1001,MATCH(ROWS($W$2:W961),$W$2:$W$1001,0),MATCH(COLUMNS($AD$1006:AK1006),$AD$1006:$AU$1006,0)), HYPERLINK("#",""), HYPERLINK(CONCATENATE("#metadata!", ADDRESS(INDEX($Y$2:$Y$1001,MATCH(ROWS($W$2:W961),$W$2:$W$1001,0),0), INDEX($AD$1004:$AU$1004,1,MATCH(COLUMNS($AD$1006:AK1006),$AD$1006:$AU$1006,0)))),"Fix")))</f>
        <v xml:space="preserve"> </v>
      </c>
      <c r="J961" s="4" t="str">
        <f ca="1">IF(OR(INDEX($X$2:$X$1001,MATCH(ROWS($W$2:W961),$W$2:$W$1001,0),1)&gt;=100000,INDEX($AD$1005:$AU$1005,1,MATCH(COLUMNS($AD$1006:AL1006),$AD$1006:$AU$1006,0))&gt;=100000), " ",IF(INDEX($AD$2:$AU$1001,MATCH(ROWS($W$2:W961),$W$2:$W$1001,0),MATCH(COLUMNS($AD$1006:AL1006),$AD$1006:$AU$1006,0)), HYPERLINK("#",""), HYPERLINK(CONCATENATE("#metadata!", ADDRESS(INDEX($Y$2:$Y$1001,MATCH(ROWS($W$2:W961),$W$2:$W$1001,0),0), INDEX($AD$1004:$AU$1004,1,MATCH(COLUMNS($AD$1006:AL1006),$AD$1006:$AU$1006,0)))),"Fix")))</f>
        <v xml:space="preserve"> </v>
      </c>
      <c r="K961" s="4" t="str">
        <f ca="1">IF(OR(INDEX($X$2:$X$1001,MATCH(ROWS($W$2:W961),$W$2:$W$1001,0),1)&gt;=100000,INDEX($AD$1005:$AU$1005,1,MATCH(COLUMNS($AD$1006:AM1006),$AD$1006:$AU$1006,0))&gt;=100000), " ",IF(INDEX($AD$2:$AU$1001,MATCH(ROWS($W$2:W961),$W$2:$W$1001,0),MATCH(COLUMNS($AD$1006:AM1006),$AD$1006:$AU$1006,0)), HYPERLINK("#",""), HYPERLINK(CONCATENATE("#metadata!", ADDRESS(INDEX($Y$2:$Y$1001,MATCH(ROWS($W$2:W961),$W$2:$W$1001,0),0), INDEX($AD$1004:$AU$1004,1,MATCH(COLUMNS($AD$1006:AM1006),$AD$1006:$AU$1006,0)))),"Fix")))</f>
        <v xml:space="preserve"> </v>
      </c>
      <c r="L961" s="4" t="str">
        <f ca="1">IF(OR(INDEX($X$2:$X$1001,MATCH(ROWS($W$2:W961),$W$2:$W$1001,0),1)&gt;=100000,INDEX($AD$1005:$AU$1005,1,MATCH(COLUMNS($AD$1006:AN1006),$AD$1006:$AU$1006,0))&gt;=100000), " ",IF(INDEX($AD$2:$AU$1001,MATCH(ROWS($W$2:W961),$W$2:$W$1001,0),MATCH(COLUMNS($AD$1006:AN1006),$AD$1006:$AU$1006,0)), HYPERLINK("#",""), HYPERLINK(CONCATENATE("#metadata!", ADDRESS(INDEX($Y$2:$Y$1001,MATCH(ROWS($W$2:W961),$W$2:$W$1001,0),0), INDEX($AD$1004:$AU$1004,1,MATCH(COLUMNS($AD$1006:AN1006),$AD$1006:$AU$1006,0)))),"Fix")))</f>
        <v xml:space="preserve"> </v>
      </c>
      <c r="M961" s="4" t="str">
        <f ca="1">IF(OR(INDEX($X$2:$X$1001,MATCH(ROWS($W$2:W961),$W$2:$W$1001,0),1)&gt;=100000,INDEX($AD$1005:$AU$1005,1,MATCH(COLUMNS($AD$1006:AO1006),$AD$1006:$AU$1006,0))&gt;=100000), " ",IF(INDEX($AD$2:$AU$1001,MATCH(ROWS($W$2:W961),$W$2:$W$1001,0),MATCH(COLUMNS($AD$1006:AO1006),$AD$1006:$AU$1006,0)), HYPERLINK("#",""), HYPERLINK(CONCATENATE("#metadata!", ADDRESS(INDEX($Y$2:$Y$1001,MATCH(ROWS($W$2:W961),$W$2:$W$1001,0),0), INDEX($AD$1004:$AU$1004,1,MATCH(COLUMNS($AD$1006:AO1006),$AD$1006:$AU$1006,0)))),"Fix")))</f>
        <v xml:space="preserve"> </v>
      </c>
      <c r="N961" s="4" t="str">
        <f ca="1">IF(OR(INDEX($X$2:$X$1001,MATCH(ROWS($W$2:W961),$W$2:$W$1001,0),1)&gt;=100000,INDEX($AD$1005:$AU$1005,1,MATCH(COLUMNS($AD$1006:AP1006),$AD$1006:$AU$1006,0))&gt;=100000), " ",IF(INDEX($AD$2:$AU$1001,MATCH(ROWS($W$2:W961),$W$2:$W$1001,0),MATCH(COLUMNS($AD$1006:AP1006),$AD$1006:$AU$1006,0)), HYPERLINK("#",""), HYPERLINK(CONCATENATE("#metadata!", ADDRESS(INDEX($Y$2:$Y$1001,MATCH(ROWS($W$2:W961),$W$2:$W$1001,0),0), INDEX($AD$1004:$AU$1004,1,MATCH(COLUMNS($AD$1006:AP1006),$AD$1006:$AU$1006,0)))),"Fix")))</f>
        <v xml:space="preserve"> </v>
      </c>
      <c r="O961" s="4" t="str">
        <f ca="1">IF(OR(INDEX($X$2:$X$1001,MATCH(ROWS($W$2:W961),$W$2:$W$1001,0),1)&gt;=100000,INDEX($AD$1005:$AU$1005,1,MATCH(COLUMNS($AD$1006:AQ1006),$AD$1006:$AU$1006,0))&gt;=100000), " ",IF(INDEX($AD$2:$AU$1001,MATCH(ROWS($W$2:W961),$W$2:$W$1001,0),MATCH(COLUMNS($AD$1006:AQ1006),$AD$1006:$AU$1006,0)), HYPERLINK("#",""), HYPERLINK(CONCATENATE("#metadata!", ADDRESS(INDEX($Y$2:$Y$1001,MATCH(ROWS($W$2:W961),$W$2:$W$1001,0),0), INDEX($AD$1004:$AU$1004,1,MATCH(COLUMNS($AD$1006:AQ1006),$AD$1006:$AU$1006,0)))),"Fix")))</f>
        <v xml:space="preserve"> </v>
      </c>
      <c r="P961" s="4" t="str">
        <f ca="1">IF(OR(INDEX($X$2:$X$1001,MATCH(ROWS($W$2:W961),$W$2:$W$1001,0),1)&gt;=100000,INDEX($AD$1005:$AU$1005,1,MATCH(COLUMNS($AD$1006:AR1006),$AD$1006:$AU$1006,0))&gt;=100000), " ",IF(INDEX($AD$2:$AU$1001,MATCH(ROWS($W$2:W961),$W$2:$W$1001,0),MATCH(COLUMNS($AD$1006:AR1006),$AD$1006:$AU$1006,0)), HYPERLINK("#",""), HYPERLINK(CONCATENATE("#metadata!", ADDRESS(INDEX($Y$2:$Y$1001,MATCH(ROWS($W$2:W961),$W$2:$W$1001,0),0), INDEX($AD$1004:$AU$1004,1,MATCH(COLUMNS($AD$1006:AR1006),$AD$1006:$AU$1006,0)))),"Fix")))</f>
        <v xml:space="preserve"> </v>
      </c>
      <c r="Q961" s="4" t="str">
        <f ca="1">IF(OR(INDEX($X$2:$X$1001,MATCH(ROWS($W$2:W961),$W$2:$W$1001,0),1)&gt;=100000,INDEX($AD$1005:$AU$1005,1,MATCH(COLUMNS($AD$1006:AS1006),$AD$1006:$AU$1006,0))&gt;=100000), " ",IF(INDEX($AD$2:$AU$1001,MATCH(ROWS($W$2:W961),$W$2:$W$1001,0),MATCH(COLUMNS($AD$1006:AS1006),$AD$1006:$AU$1006,0)), HYPERLINK("#",""), HYPERLINK(CONCATENATE("#metadata!", ADDRESS(INDEX($Y$2:$Y$1001,MATCH(ROWS($W$2:W961),$W$2:$W$1001,0),0), INDEX($AD$1004:$AU$1004,1,MATCH(COLUMNS($AD$1006:AS1006),$AD$1006:$AU$1006,0)))),"Fix")))</f>
        <v xml:space="preserve"> </v>
      </c>
      <c r="R961" s="4" t="str">
        <f ca="1">IF(OR(INDEX($X$2:$X$1001,MATCH(ROWS($W$2:W961),$W$2:$W$1001,0),1)&gt;=100000,INDEX($AD$1005:$AU$1005,1,MATCH(COLUMNS($AD$1006:AT1006),$AD$1006:$AU$1006,0))&gt;=100000), " ",IF(INDEX($AD$2:$AU$1001,MATCH(ROWS($W$2:W961),$W$2:$W$1001,0),MATCH(COLUMNS($AD$1006:AT1006),$AD$1006:$AU$1006,0)), HYPERLINK("#",""), HYPERLINK(CONCATENATE("#metadata!", ADDRESS(INDEX($Y$2:$Y$1001,MATCH(ROWS($W$2:W961),$W$2:$W$1001,0),0), INDEX($AD$1004:$AU$1004,1,MATCH(COLUMNS($AD$1006:AT1006),$AD$1006:$AU$1006,0)))),"Fix")))</f>
        <v xml:space="preserve"> </v>
      </c>
      <c r="S961" s="4" t="str">
        <f ca="1">IF(OR(INDEX($X$2:$X$1001,MATCH(ROWS($W$2:W961),$W$2:$W$1001,0),1)&gt;=100000,INDEX($AD$1005:$AU$1005,1,MATCH(COLUMNS($AD$1006:AU1006),$AD$1006:$AU$1006,0))&gt;=100000), " ",IF(INDEX($AD$2:$AU$1001,MATCH(ROWS($W$2:W961),$W$2:$W$1001,0),MATCH(COLUMNS($AD$1006:AU1006),$AD$1006:$AU$1006,0)), HYPERLINK("#",""), HYPERLINK(CONCATENATE("#metadata!", ADDRESS(INDEX($Y$2:$Y$1001,MATCH(ROWS($W$2:W961),$W$2:$W$1001,0),0), INDEX($AD$1004:$AU$1004,1,MATCH(COLUMNS($AD$1006:AU1006),$AD$1006:$AU$1006,0)))),"Fix")))</f>
        <v xml:space="preserve"> </v>
      </c>
      <c r="W961">
        <v>960</v>
      </c>
      <c r="X961">
        <v>100961</v>
      </c>
      <c r="Y961">
        <v>961</v>
      </c>
      <c r="Z961" t="b">
        <f t="shared" si="14"/>
        <v>1</v>
      </c>
      <c r="AA961" t="b">
        <f>COUNTBLANK(metadata!B961:S961)=COLUMNS(metadata!B961:S961)</f>
        <v>1</v>
      </c>
      <c r="AB961" t="str">
        <v/>
      </c>
      <c r="AD961" t="b">
        <f ca="1">AND(IF(metadata!B961="",FALSE,TRUE),COUNTIF(metadata!B:B, metadata!B961) = 1,NOT(ISERROR(SUMPRODUCT(SEARCH(MID(metadata!B961,ROW(INDIRECT("1:"&amp;LEN(metadata!B961))), 1),"0123456789abcdefghijklmnopqrstuvwxyzABCDEFGHIJKLMNOPQRSTUVWXYZ.")))))</f>
        <v>0</v>
      </c>
      <c r="AE961" t="b">
        <f>OR(AND(IF(metadata!C961="",FALSE,TRUE),OR(EXACT(metadata!C961,"not applicable"),EXACT(metadata!C961,"missing: not collected"),EXACT(metadata!C961,"missing: not provided"),EXACT(metadata!C961,"missing: restricted access"))),AND(IF(metadata!C961="",FALSE,ISNUMBER(VALUE(metadata!C961))),metadata!C961&gt;0))</f>
        <v>0</v>
      </c>
      <c r="AF961" t="b">
        <f>AND(IF(metadata!D961="",FALSE,TRUE),EXACT(metadata!D961,"missing: not provided"))</f>
        <v>0</v>
      </c>
      <c r="AG961" t="b">
        <f>AND(IF(metadata!E961="",FALSE,TRUE),EXACT(metadata!E961,"Host-associated"))</f>
        <v>0</v>
      </c>
      <c r="AH961" t="b">
        <f>AND(IF(metadata!F961="",FALSE,TRUE),OR(EXACT(metadata!F961,"Animal"),EXACT(metadata!F961,"Fungus"),EXACT(metadata!F961,"Plant")))</f>
        <v>0</v>
      </c>
      <c r="AI961" t="b">
        <f>AND(IF(metadata!G961="",FALSE,TRUE),OR(EXACT(metadata!G961,"Plant secretion"),EXACT(metadata!G961,"Plant rhizosphere"),EXACT(metadata!G961,"Plant surface"),EXACT(metadata!G961,"Plant corpus"),EXACT(metadata!G961,"Fungus surface"),EXACT(metadata!G961,"Fungus corpus"),EXACT(metadata!G961,"Animal surface"),EXACT(metadata!G961,"Animal proximal gut"),EXACT(metadata!G961,"Animal corpus"),EXACT(metadata!G961,"Animal distal gut"),EXACT(metadata!G961,"Animal secretion")))</f>
        <v>0</v>
      </c>
      <c r="AJ961" t="b">
        <f>OR(AND(IF(metadata!H961="",FALSE,TRUE),OR(EXACT(metadata!H961,"missing: not collected"),EXACT(metadata!H961,"missing: not provided"),EXACT(metadata!H961,"missing: restricted access"))),AND(IF(metadata!H961="",FALSE,TRUE),OR(EXACT(metadata!H961,"organism-associated habitat"),EXACT(metadata!H961,"plant-associated habitat"),EXACT(metadata!H961,"animal-associated habitat"),EXACT(metadata!H961,"insecta-associated habitat"),EXACT(metadata!H961,"mammalia-associated habitat"),EXACT(metadata!H961,"human-associated habitat"),EXACT(metadata!H961,"livestock-associated habitat"))))</f>
        <v>0</v>
      </c>
      <c r="AK961" t="b">
        <f>AND(IF(metadata!I961="",FALSE,TRUE),EXACT(metadata!I961,"host-associated"))</f>
        <v>0</v>
      </c>
      <c r="AL961" t="b">
        <f>OR(AND(IF(metadata!J961="",FALSE,TRUE),OR(EXACT(metadata!J961,"not applicable"),EXACT(metadata!J961,"missing: not collected"),EXACT(metadata!J961,"missing: not provided"),EXACT(metadata!J961,"missing: restricted access"))),AND(IF(metadata!J961="",FALSE,ISNUMBER(VALUE(metadata!J961))),metadata!J961&gt;0))</f>
        <v>0</v>
      </c>
      <c r="AM961" t="b">
        <f>AND(IF(metadata!K961="",FALSE,TRUE),EXACT(metadata!K961,"missing: not provided"))</f>
        <v>0</v>
      </c>
      <c r="AN961" t="b">
        <f>IF(metadata!L961="",FALSE,TRUE)</f>
        <v>0</v>
      </c>
      <c r="AO961" t="b">
        <f>IF(metadata!M961="",FALSE,TRUE)</f>
        <v>0</v>
      </c>
      <c r="AP961" t="b">
        <f>OR(AND(IF(metadata!N961="",FALSE,TRUE),OR(EXACT(metadata!N961,"not applicable"),EXACT(metadata!N961,"missing: not collected"),EXACT(metadata!N961,"missing: not provided"))),AND(IF(metadata!N961="",FALSE,IF(ISERROR(INT(metadata!N961)),FALSE,INT(metadata!N961)=metadata!N961)),metadata!N961&gt;0))</f>
        <v>0</v>
      </c>
      <c r="AQ961" t="b">
        <f>AND(IF(metadata!O961="",FALSE,TRUE),EXACT(metadata!O961,"Not applicable"))</f>
        <v>0</v>
      </c>
      <c r="AR961" t="b">
        <f>OR(AND(IF(metadata!P961="",FALSE,TRUE),OR(EXACT(metadata!P961,"not applicable"),EXACT(metadata!P961,"missing: not collected"),EXACT(metadata!P961,"missing: not provided"),EXACT(metadata!P961,"missing: restricted access"))),IF(metadata!P961="",FALSE,IF(ISERROR(INT(metadata!P961)),FALSE,INT(metadata!P961)=metadata!P961)))</f>
        <v>0</v>
      </c>
      <c r="AS961" t="b">
        <f>AND(IF(metadata!Q961="",FALSE,TRUE),EXACT(metadata!Q961,"Not applicable"))</f>
        <v>0</v>
      </c>
      <c r="AT961" t="b">
        <f>OR(AND(IF(metadata!R961="",FALSE,TRUE),OR(EXACT(metadata!R961,"not applicable"),EXACT(metadata!R961,"missing: not collected"),EXACT(metadata!R961,"missing: not provided"),EXACT(metadata!R961,"missing: restricted access"))),AND(IF(metadata!R961="",FALSE,ISNUMBER(VALUE(metadata!R961))),metadata!R961&gt;0))</f>
        <v>0</v>
      </c>
      <c r="AU961" t="b">
        <f>AND(IF(metadata!S961="",FALSE,TRUE),EXACT(metadata!S961,"missing: not provided"))</f>
        <v>0</v>
      </c>
    </row>
    <row r="962" spans="1:47" x14ac:dyDescent="0.2">
      <c r="A962" s="5" t="str">
        <f ca="1">IF(B962=" "," ",HYPERLINK(CONCATENATE("#metadata!",ADDRESS(INDEX($Y$2:$Y$1001,MATCH(ROWS($W$2:W962),$W$2:$W$1001,0),0),1)),INDEX($AB$2:$AB$1001,MATCH(ROWS($W$2:W962),$W$2:$W$1001,0),0)))</f>
        <v xml:space="preserve"> </v>
      </c>
      <c r="B962" s="4" t="str">
        <f ca="1">IF(OR(INDEX($X$2:$X$1001,MATCH(ROWS($W$2:W962),$W$2:$W$1001,0),1)&gt;=100000,INDEX($AD$1005:$AU$1005,1,MATCH(COLUMNS($AD$1006:AD1006),$AD$1006:$AU$1006,0))&gt;=100000), " ",IF(INDEX($AD$2:$AU$1001,MATCH(ROWS($W$2:W962),$W$2:$W$1001,0),MATCH(COLUMNS($AD$1006:AD1006),$AD$1006:$AU$1006,0)), HYPERLINK("#",""), HYPERLINK(CONCATENATE("#metadata!", ADDRESS(INDEX($Y$2:$Y$1001,MATCH(ROWS($W$2:W962),$W$2:$W$1001,0),0), INDEX($AD$1004:$AU$1004,1,MATCH(COLUMNS($AD$1006:AD1006),$AD$1006:$AU$1006,0)))),"Fix")))</f>
        <v xml:space="preserve"> </v>
      </c>
      <c r="C962" s="4" t="str">
        <f ca="1">IF(OR(INDEX($X$2:$X$1001,MATCH(ROWS($W$2:W962),$W$2:$W$1001,0),1)&gt;=100000,INDEX($AD$1005:$AU$1005,1,MATCH(COLUMNS($AD$1006:AE1006),$AD$1006:$AU$1006,0))&gt;=100000), " ",IF(INDEX($AD$2:$AU$1001,MATCH(ROWS($W$2:W962),$W$2:$W$1001,0),MATCH(COLUMNS($AD$1006:AE1006),$AD$1006:$AU$1006,0)), HYPERLINK("#",""), HYPERLINK(CONCATENATE("#metadata!", ADDRESS(INDEX($Y$2:$Y$1001,MATCH(ROWS($W$2:W962),$W$2:$W$1001,0),0), INDEX($AD$1004:$AU$1004,1,MATCH(COLUMNS($AD$1006:AE1006),$AD$1006:$AU$1006,0)))),"Fix")))</f>
        <v xml:space="preserve"> </v>
      </c>
      <c r="D962" s="4" t="str">
        <f ca="1">IF(OR(INDEX($X$2:$X$1001,MATCH(ROWS($W$2:W962),$W$2:$W$1001,0),1)&gt;=100000,INDEX($AD$1005:$AU$1005,1,MATCH(COLUMNS($AD$1006:AF1006),$AD$1006:$AU$1006,0))&gt;=100000), " ",IF(INDEX($AD$2:$AU$1001,MATCH(ROWS($W$2:W962),$W$2:$W$1001,0),MATCH(COLUMNS($AD$1006:AF1006),$AD$1006:$AU$1006,0)), HYPERLINK("#",""), HYPERLINK(CONCATENATE("#metadata!", ADDRESS(INDEX($Y$2:$Y$1001,MATCH(ROWS($W$2:W962),$W$2:$W$1001,0),0), INDEX($AD$1004:$AU$1004,1,MATCH(COLUMNS($AD$1006:AF1006),$AD$1006:$AU$1006,0)))),"Fix")))</f>
        <v xml:space="preserve"> </v>
      </c>
      <c r="E962" s="4" t="str">
        <f ca="1">IF(OR(INDEX($X$2:$X$1001,MATCH(ROWS($W$2:W962),$W$2:$W$1001,0),1)&gt;=100000,INDEX($AD$1005:$AU$1005,1,MATCH(COLUMNS($AD$1006:AG1006),$AD$1006:$AU$1006,0))&gt;=100000), " ",IF(INDEX($AD$2:$AU$1001,MATCH(ROWS($W$2:W962),$W$2:$W$1001,0),MATCH(COLUMNS($AD$1006:AG1006),$AD$1006:$AU$1006,0)), HYPERLINK("#",""), HYPERLINK(CONCATENATE("#metadata!", ADDRESS(INDEX($Y$2:$Y$1001,MATCH(ROWS($W$2:W962),$W$2:$W$1001,0),0), INDEX($AD$1004:$AU$1004,1,MATCH(COLUMNS($AD$1006:AG1006),$AD$1006:$AU$1006,0)))),"Fix")))</f>
        <v xml:space="preserve"> </v>
      </c>
      <c r="F962" s="4" t="str">
        <f ca="1">IF(OR(INDEX($X$2:$X$1001,MATCH(ROWS($W$2:W962),$W$2:$W$1001,0),1)&gt;=100000,INDEX($AD$1005:$AU$1005,1,MATCH(COLUMNS($AD$1006:AH1006),$AD$1006:$AU$1006,0))&gt;=100000), " ",IF(INDEX($AD$2:$AU$1001,MATCH(ROWS($W$2:W962),$W$2:$W$1001,0),MATCH(COLUMNS($AD$1006:AH1006),$AD$1006:$AU$1006,0)), HYPERLINK("#",""), HYPERLINK(CONCATENATE("#metadata!", ADDRESS(INDEX($Y$2:$Y$1001,MATCH(ROWS($W$2:W962),$W$2:$W$1001,0),0), INDEX($AD$1004:$AU$1004,1,MATCH(COLUMNS($AD$1006:AH1006),$AD$1006:$AU$1006,0)))),"Fix")))</f>
        <v xml:space="preserve"> </v>
      </c>
      <c r="G962" s="4" t="str">
        <f ca="1">IF(OR(INDEX($X$2:$X$1001,MATCH(ROWS($W$2:W962),$W$2:$W$1001,0),1)&gt;=100000,INDEX($AD$1005:$AU$1005,1,MATCH(COLUMNS($AD$1006:AI1006),$AD$1006:$AU$1006,0))&gt;=100000), " ",IF(INDEX($AD$2:$AU$1001,MATCH(ROWS($W$2:W962),$W$2:$W$1001,0),MATCH(COLUMNS($AD$1006:AI1006),$AD$1006:$AU$1006,0)), HYPERLINK("#",""), HYPERLINK(CONCATENATE("#metadata!", ADDRESS(INDEX($Y$2:$Y$1001,MATCH(ROWS($W$2:W962),$W$2:$W$1001,0),0), INDEX($AD$1004:$AU$1004,1,MATCH(COLUMNS($AD$1006:AI1006),$AD$1006:$AU$1006,0)))),"Fix")))</f>
        <v xml:space="preserve"> </v>
      </c>
      <c r="H962" s="4" t="str">
        <f ca="1">IF(OR(INDEX($X$2:$X$1001,MATCH(ROWS($W$2:W962),$W$2:$W$1001,0),1)&gt;=100000,INDEX($AD$1005:$AU$1005,1,MATCH(COLUMNS($AD$1006:AJ1006),$AD$1006:$AU$1006,0))&gt;=100000), " ",IF(INDEX($AD$2:$AU$1001,MATCH(ROWS($W$2:W962),$W$2:$W$1001,0),MATCH(COLUMNS($AD$1006:AJ1006),$AD$1006:$AU$1006,0)), HYPERLINK("#",""), HYPERLINK(CONCATENATE("#metadata!", ADDRESS(INDEX($Y$2:$Y$1001,MATCH(ROWS($W$2:W962),$W$2:$W$1001,0),0), INDEX($AD$1004:$AU$1004,1,MATCH(COLUMNS($AD$1006:AJ1006),$AD$1006:$AU$1006,0)))),"Fix")))</f>
        <v xml:space="preserve"> </v>
      </c>
      <c r="I962" s="4" t="str">
        <f ca="1">IF(OR(INDEX($X$2:$X$1001,MATCH(ROWS($W$2:W962),$W$2:$W$1001,0),1)&gt;=100000,INDEX($AD$1005:$AU$1005,1,MATCH(COLUMNS($AD$1006:AK1006),$AD$1006:$AU$1006,0))&gt;=100000), " ",IF(INDEX($AD$2:$AU$1001,MATCH(ROWS($W$2:W962),$W$2:$W$1001,0),MATCH(COLUMNS($AD$1006:AK1006),$AD$1006:$AU$1006,0)), HYPERLINK("#",""), HYPERLINK(CONCATENATE("#metadata!", ADDRESS(INDEX($Y$2:$Y$1001,MATCH(ROWS($W$2:W962),$W$2:$W$1001,0),0), INDEX($AD$1004:$AU$1004,1,MATCH(COLUMNS($AD$1006:AK1006),$AD$1006:$AU$1006,0)))),"Fix")))</f>
        <v xml:space="preserve"> </v>
      </c>
      <c r="J962" s="4" t="str">
        <f ca="1">IF(OR(INDEX($X$2:$X$1001,MATCH(ROWS($W$2:W962),$W$2:$W$1001,0),1)&gt;=100000,INDEX($AD$1005:$AU$1005,1,MATCH(COLUMNS($AD$1006:AL1006),$AD$1006:$AU$1006,0))&gt;=100000), " ",IF(INDEX($AD$2:$AU$1001,MATCH(ROWS($W$2:W962),$W$2:$W$1001,0),MATCH(COLUMNS($AD$1006:AL1006),$AD$1006:$AU$1006,0)), HYPERLINK("#",""), HYPERLINK(CONCATENATE("#metadata!", ADDRESS(INDEX($Y$2:$Y$1001,MATCH(ROWS($W$2:W962),$W$2:$W$1001,0),0), INDEX($AD$1004:$AU$1004,1,MATCH(COLUMNS($AD$1006:AL1006),$AD$1006:$AU$1006,0)))),"Fix")))</f>
        <v xml:space="preserve"> </v>
      </c>
      <c r="K962" s="4" t="str">
        <f ca="1">IF(OR(INDEX($X$2:$X$1001,MATCH(ROWS($W$2:W962),$W$2:$W$1001,0),1)&gt;=100000,INDEX($AD$1005:$AU$1005,1,MATCH(COLUMNS($AD$1006:AM1006),$AD$1006:$AU$1006,0))&gt;=100000), " ",IF(INDEX($AD$2:$AU$1001,MATCH(ROWS($W$2:W962),$W$2:$W$1001,0),MATCH(COLUMNS($AD$1006:AM1006),$AD$1006:$AU$1006,0)), HYPERLINK("#",""), HYPERLINK(CONCATENATE("#metadata!", ADDRESS(INDEX($Y$2:$Y$1001,MATCH(ROWS($W$2:W962),$W$2:$W$1001,0),0), INDEX($AD$1004:$AU$1004,1,MATCH(COLUMNS($AD$1006:AM1006),$AD$1006:$AU$1006,0)))),"Fix")))</f>
        <v xml:space="preserve"> </v>
      </c>
      <c r="L962" s="4" t="str">
        <f ca="1">IF(OR(INDEX($X$2:$X$1001,MATCH(ROWS($W$2:W962),$W$2:$W$1001,0),1)&gt;=100000,INDEX($AD$1005:$AU$1005,1,MATCH(COLUMNS($AD$1006:AN1006),$AD$1006:$AU$1006,0))&gt;=100000), " ",IF(INDEX($AD$2:$AU$1001,MATCH(ROWS($W$2:W962),$W$2:$W$1001,0),MATCH(COLUMNS($AD$1006:AN1006),$AD$1006:$AU$1006,0)), HYPERLINK("#",""), HYPERLINK(CONCATENATE("#metadata!", ADDRESS(INDEX($Y$2:$Y$1001,MATCH(ROWS($W$2:W962),$W$2:$W$1001,0),0), INDEX($AD$1004:$AU$1004,1,MATCH(COLUMNS($AD$1006:AN1006),$AD$1006:$AU$1006,0)))),"Fix")))</f>
        <v xml:space="preserve"> </v>
      </c>
      <c r="M962" s="4" t="str">
        <f ca="1">IF(OR(INDEX($X$2:$X$1001,MATCH(ROWS($W$2:W962),$W$2:$W$1001,0),1)&gt;=100000,INDEX($AD$1005:$AU$1005,1,MATCH(COLUMNS($AD$1006:AO1006),$AD$1006:$AU$1006,0))&gt;=100000), " ",IF(INDEX($AD$2:$AU$1001,MATCH(ROWS($W$2:W962),$W$2:$W$1001,0),MATCH(COLUMNS($AD$1006:AO1006),$AD$1006:$AU$1006,0)), HYPERLINK("#",""), HYPERLINK(CONCATENATE("#metadata!", ADDRESS(INDEX($Y$2:$Y$1001,MATCH(ROWS($W$2:W962),$W$2:$W$1001,0),0), INDEX($AD$1004:$AU$1004,1,MATCH(COLUMNS($AD$1006:AO1006),$AD$1006:$AU$1006,0)))),"Fix")))</f>
        <v xml:space="preserve"> </v>
      </c>
      <c r="N962" s="4" t="str">
        <f ca="1">IF(OR(INDEX($X$2:$X$1001,MATCH(ROWS($W$2:W962),$W$2:$W$1001,0),1)&gt;=100000,INDEX($AD$1005:$AU$1005,1,MATCH(COLUMNS($AD$1006:AP1006),$AD$1006:$AU$1006,0))&gt;=100000), " ",IF(INDEX($AD$2:$AU$1001,MATCH(ROWS($W$2:W962),$W$2:$W$1001,0),MATCH(COLUMNS($AD$1006:AP1006),$AD$1006:$AU$1006,0)), HYPERLINK("#",""), HYPERLINK(CONCATENATE("#metadata!", ADDRESS(INDEX($Y$2:$Y$1001,MATCH(ROWS($W$2:W962),$W$2:$W$1001,0),0), INDEX($AD$1004:$AU$1004,1,MATCH(COLUMNS($AD$1006:AP1006),$AD$1006:$AU$1006,0)))),"Fix")))</f>
        <v xml:space="preserve"> </v>
      </c>
      <c r="O962" s="4" t="str">
        <f ca="1">IF(OR(INDEX($X$2:$X$1001,MATCH(ROWS($W$2:W962),$W$2:$W$1001,0),1)&gt;=100000,INDEX($AD$1005:$AU$1005,1,MATCH(COLUMNS($AD$1006:AQ1006),$AD$1006:$AU$1006,0))&gt;=100000), " ",IF(INDEX($AD$2:$AU$1001,MATCH(ROWS($W$2:W962),$W$2:$W$1001,0),MATCH(COLUMNS($AD$1006:AQ1006),$AD$1006:$AU$1006,0)), HYPERLINK("#",""), HYPERLINK(CONCATENATE("#metadata!", ADDRESS(INDEX($Y$2:$Y$1001,MATCH(ROWS($W$2:W962),$W$2:$W$1001,0),0), INDEX($AD$1004:$AU$1004,1,MATCH(COLUMNS($AD$1006:AQ1006),$AD$1006:$AU$1006,0)))),"Fix")))</f>
        <v xml:space="preserve"> </v>
      </c>
      <c r="P962" s="4" t="str">
        <f ca="1">IF(OR(INDEX($X$2:$X$1001,MATCH(ROWS($W$2:W962),$W$2:$W$1001,0),1)&gt;=100000,INDEX($AD$1005:$AU$1005,1,MATCH(COLUMNS($AD$1006:AR1006),$AD$1006:$AU$1006,0))&gt;=100000), " ",IF(INDEX($AD$2:$AU$1001,MATCH(ROWS($W$2:W962),$W$2:$W$1001,0),MATCH(COLUMNS($AD$1006:AR1006),$AD$1006:$AU$1006,0)), HYPERLINK("#",""), HYPERLINK(CONCATENATE("#metadata!", ADDRESS(INDEX($Y$2:$Y$1001,MATCH(ROWS($W$2:W962),$W$2:$W$1001,0),0), INDEX($AD$1004:$AU$1004,1,MATCH(COLUMNS($AD$1006:AR1006),$AD$1006:$AU$1006,0)))),"Fix")))</f>
        <v xml:space="preserve"> </v>
      </c>
      <c r="Q962" s="4" t="str">
        <f ca="1">IF(OR(INDEX($X$2:$X$1001,MATCH(ROWS($W$2:W962),$W$2:$W$1001,0),1)&gt;=100000,INDEX($AD$1005:$AU$1005,1,MATCH(COLUMNS($AD$1006:AS1006),$AD$1006:$AU$1006,0))&gt;=100000), " ",IF(INDEX($AD$2:$AU$1001,MATCH(ROWS($W$2:W962),$W$2:$W$1001,0),MATCH(COLUMNS($AD$1006:AS1006),$AD$1006:$AU$1006,0)), HYPERLINK("#",""), HYPERLINK(CONCATENATE("#metadata!", ADDRESS(INDEX($Y$2:$Y$1001,MATCH(ROWS($W$2:W962),$W$2:$W$1001,0),0), INDEX($AD$1004:$AU$1004,1,MATCH(COLUMNS($AD$1006:AS1006),$AD$1006:$AU$1006,0)))),"Fix")))</f>
        <v xml:space="preserve"> </v>
      </c>
      <c r="R962" s="4" t="str">
        <f ca="1">IF(OR(INDEX($X$2:$X$1001,MATCH(ROWS($W$2:W962),$W$2:$W$1001,0),1)&gt;=100000,INDEX($AD$1005:$AU$1005,1,MATCH(COLUMNS($AD$1006:AT1006),$AD$1006:$AU$1006,0))&gt;=100000), " ",IF(INDEX($AD$2:$AU$1001,MATCH(ROWS($W$2:W962),$W$2:$W$1001,0),MATCH(COLUMNS($AD$1006:AT1006),$AD$1006:$AU$1006,0)), HYPERLINK("#",""), HYPERLINK(CONCATENATE("#metadata!", ADDRESS(INDEX($Y$2:$Y$1001,MATCH(ROWS($W$2:W962),$W$2:$W$1001,0),0), INDEX($AD$1004:$AU$1004,1,MATCH(COLUMNS($AD$1006:AT1006),$AD$1006:$AU$1006,0)))),"Fix")))</f>
        <v xml:space="preserve"> </v>
      </c>
      <c r="S962" s="4" t="str">
        <f ca="1">IF(OR(INDEX($X$2:$X$1001,MATCH(ROWS($W$2:W962),$W$2:$W$1001,0),1)&gt;=100000,INDEX($AD$1005:$AU$1005,1,MATCH(COLUMNS($AD$1006:AU1006),$AD$1006:$AU$1006,0))&gt;=100000), " ",IF(INDEX($AD$2:$AU$1001,MATCH(ROWS($W$2:W962),$W$2:$W$1001,0),MATCH(COLUMNS($AD$1006:AU1006),$AD$1006:$AU$1006,0)), HYPERLINK("#",""), HYPERLINK(CONCATENATE("#metadata!", ADDRESS(INDEX($Y$2:$Y$1001,MATCH(ROWS($W$2:W962),$W$2:$W$1001,0),0), INDEX($AD$1004:$AU$1004,1,MATCH(COLUMNS($AD$1006:AU1006),$AD$1006:$AU$1006,0)))),"Fix")))</f>
        <v xml:space="preserve"> </v>
      </c>
      <c r="W962">
        <v>961</v>
      </c>
      <c r="X962">
        <v>100962</v>
      </c>
      <c r="Y962">
        <v>962</v>
      </c>
      <c r="Z962" t="b">
        <f t="shared" ref="Z962:Z1025" si="15">IF(AA962,TRUE,AND(AD962:AU962))</f>
        <v>1</v>
      </c>
      <c r="AA962" t="b">
        <f>COUNTBLANK(metadata!B962:S962)=COLUMNS(metadata!B962:S962)</f>
        <v>1</v>
      </c>
      <c r="AB962" t="str">
        <v/>
      </c>
      <c r="AD962" t="b">
        <f ca="1">AND(IF(metadata!B962="",FALSE,TRUE),COUNTIF(metadata!B:B, metadata!B962) = 1,NOT(ISERROR(SUMPRODUCT(SEARCH(MID(metadata!B962,ROW(INDIRECT("1:"&amp;LEN(metadata!B962))), 1),"0123456789abcdefghijklmnopqrstuvwxyzABCDEFGHIJKLMNOPQRSTUVWXYZ.")))))</f>
        <v>0</v>
      </c>
      <c r="AE962" t="b">
        <f>OR(AND(IF(metadata!C962="",FALSE,TRUE),OR(EXACT(metadata!C962,"not applicable"),EXACT(metadata!C962,"missing: not collected"),EXACT(metadata!C962,"missing: not provided"),EXACT(metadata!C962,"missing: restricted access"))),AND(IF(metadata!C962="",FALSE,ISNUMBER(VALUE(metadata!C962))),metadata!C962&gt;0))</f>
        <v>0</v>
      </c>
      <c r="AF962" t="b">
        <f>AND(IF(metadata!D962="",FALSE,TRUE),EXACT(metadata!D962,"missing: not provided"))</f>
        <v>0</v>
      </c>
      <c r="AG962" t="b">
        <f>AND(IF(metadata!E962="",FALSE,TRUE),EXACT(metadata!E962,"Host-associated"))</f>
        <v>0</v>
      </c>
      <c r="AH962" t="b">
        <f>AND(IF(metadata!F962="",FALSE,TRUE),OR(EXACT(metadata!F962,"Animal"),EXACT(metadata!F962,"Fungus"),EXACT(metadata!F962,"Plant")))</f>
        <v>0</v>
      </c>
      <c r="AI962" t="b">
        <f>AND(IF(metadata!G962="",FALSE,TRUE),OR(EXACT(metadata!G962,"Plant secretion"),EXACT(metadata!G962,"Plant rhizosphere"),EXACT(metadata!G962,"Plant surface"),EXACT(metadata!G962,"Plant corpus"),EXACT(metadata!G962,"Fungus surface"),EXACT(metadata!G962,"Fungus corpus"),EXACT(metadata!G962,"Animal surface"),EXACT(metadata!G962,"Animal proximal gut"),EXACT(metadata!G962,"Animal corpus"),EXACT(metadata!G962,"Animal distal gut"),EXACT(metadata!G962,"Animal secretion")))</f>
        <v>0</v>
      </c>
      <c r="AJ962" t="b">
        <f>OR(AND(IF(metadata!H962="",FALSE,TRUE),OR(EXACT(metadata!H962,"missing: not collected"),EXACT(metadata!H962,"missing: not provided"),EXACT(metadata!H962,"missing: restricted access"))),AND(IF(metadata!H962="",FALSE,TRUE),OR(EXACT(metadata!H962,"organism-associated habitat"),EXACT(metadata!H962,"plant-associated habitat"),EXACT(metadata!H962,"animal-associated habitat"),EXACT(metadata!H962,"insecta-associated habitat"),EXACT(metadata!H962,"mammalia-associated habitat"),EXACT(metadata!H962,"human-associated habitat"),EXACT(metadata!H962,"livestock-associated habitat"))))</f>
        <v>0</v>
      </c>
      <c r="AK962" t="b">
        <f>AND(IF(metadata!I962="",FALSE,TRUE),EXACT(metadata!I962,"host-associated"))</f>
        <v>0</v>
      </c>
      <c r="AL962" t="b">
        <f>OR(AND(IF(metadata!J962="",FALSE,TRUE),OR(EXACT(metadata!J962,"not applicable"),EXACT(metadata!J962,"missing: not collected"),EXACT(metadata!J962,"missing: not provided"),EXACT(metadata!J962,"missing: restricted access"))),AND(IF(metadata!J962="",FALSE,ISNUMBER(VALUE(metadata!J962))),metadata!J962&gt;0))</f>
        <v>0</v>
      </c>
      <c r="AM962" t="b">
        <f>AND(IF(metadata!K962="",FALSE,TRUE),EXACT(metadata!K962,"missing: not provided"))</f>
        <v>0</v>
      </c>
      <c r="AN962" t="b">
        <f>IF(metadata!L962="",FALSE,TRUE)</f>
        <v>0</v>
      </c>
      <c r="AO962" t="b">
        <f>IF(metadata!M962="",FALSE,TRUE)</f>
        <v>0</v>
      </c>
      <c r="AP962" t="b">
        <f>OR(AND(IF(metadata!N962="",FALSE,TRUE),OR(EXACT(metadata!N962,"not applicable"),EXACT(metadata!N962,"missing: not collected"),EXACT(metadata!N962,"missing: not provided"))),AND(IF(metadata!N962="",FALSE,IF(ISERROR(INT(metadata!N962)),FALSE,INT(metadata!N962)=metadata!N962)),metadata!N962&gt;0))</f>
        <v>0</v>
      </c>
      <c r="AQ962" t="b">
        <f>AND(IF(metadata!O962="",FALSE,TRUE),EXACT(metadata!O962,"Not applicable"))</f>
        <v>0</v>
      </c>
      <c r="AR962" t="b">
        <f>OR(AND(IF(metadata!P962="",FALSE,TRUE),OR(EXACT(metadata!P962,"not applicable"),EXACT(metadata!P962,"missing: not collected"),EXACT(metadata!P962,"missing: not provided"),EXACT(metadata!P962,"missing: restricted access"))),IF(metadata!P962="",FALSE,IF(ISERROR(INT(metadata!P962)),FALSE,INT(metadata!P962)=metadata!P962)))</f>
        <v>0</v>
      </c>
      <c r="AS962" t="b">
        <f>AND(IF(metadata!Q962="",FALSE,TRUE),EXACT(metadata!Q962,"Not applicable"))</f>
        <v>0</v>
      </c>
      <c r="AT962" t="b">
        <f>OR(AND(IF(metadata!R962="",FALSE,TRUE),OR(EXACT(metadata!R962,"not applicable"),EXACT(metadata!R962,"missing: not collected"),EXACT(metadata!R962,"missing: not provided"),EXACT(metadata!R962,"missing: restricted access"))),AND(IF(metadata!R962="",FALSE,ISNUMBER(VALUE(metadata!R962))),metadata!R962&gt;0))</f>
        <v>0</v>
      </c>
      <c r="AU962" t="b">
        <f>AND(IF(metadata!S962="",FALSE,TRUE),EXACT(metadata!S962,"missing: not provided"))</f>
        <v>0</v>
      </c>
    </row>
    <row r="963" spans="1:47" x14ac:dyDescent="0.2">
      <c r="A963" s="5" t="str">
        <f ca="1">IF(B963=" "," ",HYPERLINK(CONCATENATE("#metadata!",ADDRESS(INDEX($Y$2:$Y$1001,MATCH(ROWS($W$2:W963),$W$2:$W$1001,0),0),1)),INDEX($AB$2:$AB$1001,MATCH(ROWS($W$2:W963),$W$2:$W$1001,0),0)))</f>
        <v xml:space="preserve"> </v>
      </c>
      <c r="B963" s="4" t="str">
        <f ca="1">IF(OR(INDEX($X$2:$X$1001,MATCH(ROWS($W$2:W963),$W$2:$W$1001,0),1)&gt;=100000,INDEX($AD$1005:$AU$1005,1,MATCH(COLUMNS($AD$1006:AD1006),$AD$1006:$AU$1006,0))&gt;=100000), " ",IF(INDEX($AD$2:$AU$1001,MATCH(ROWS($W$2:W963),$W$2:$W$1001,0),MATCH(COLUMNS($AD$1006:AD1006),$AD$1006:$AU$1006,0)), HYPERLINK("#",""), HYPERLINK(CONCATENATE("#metadata!", ADDRESS(INDEX($Y$2:$Y$1001,MATCH(ROWS($W$2:W963),$W$2:$W$1001,0),0), INDEX($AD$1004:$AU$1004,1,MATCH(COLUMNS($AD$1006:AD1006),$AD$1006:$AU$1006,0)))),"Fix")))</f>
        <v xml:space="preserve"> </v>
      </c>
      <c r="C963" s="4" t="str">
        <f ca="1">IF(OR(INDEX($X$2:$X$1001,MATCH(ROWS($W$2:W963),$W$2:$W$1001,0),1)&gt;=100000,INDEX($AD$1005:$AU$1005,1,MATCH(COLUMNS($AD$1006:AE1006),$AD$1006:$AU$1006,0))&gt;=100000), " ",IF(INDEX($AD$2:$AU$1001,MATCH(ROWS($W$2:W963),$W$2:$W$1001,0),MATCH(COLUMNS($AD$1006:AE1006),$AD$1006:$AU$1006,0)), HYPERLINK("#",""), HYPERLINK(CONCATENATE("#metadata!", ADDRESS(INDEX($Y$2:$Y$1001,MATCH(ROWS($W$2:W963),$W$2:$W$1001,0),0), INDEX($AD$1004:$AU$1004,1,MATCH(COLUMNS($AD$1006:AE1006),$AD$1006:$AU$1006,0)))),"Fix")))</f>
        <v xml:space="preserve"> </v>
      </c>
      <c r="D963" s="4" t="str">
        <f ca="1">IF(OR(INDEX($X$2:$X$1001,MATCH(ROWS($W$2:W963),$W$2:$W$1001,0),1)&gt;=100000,INDEX($AD$1005:$AU$1005,1,MATCH(COLUMNS($AD$1006:AF1006),$AD$1006:$AU$1006,0))&gt;=100000), " ",IF(INDEX($AD$2:$AU$1001,MATCH(ROWS($W$2:W963),$W$2:$W$1001,0),MATCH(COLUMNS($AD$1006:AF1006),$AD$1006:$AU$1006,0)), HYPERLINK("#",""), HYPERLINK(CONCATENATE("#metadata!", ADDRESS(INDEX($Y$2:$Y$1001,MATCH(ROWS($W$2:W963),$W$2:$W$1001,0),0), INDEX($AD$1004:$AU$1004,1,MATCH(COLUMNS($AD$1006:AF1006),$AD$1006:$AU$1006,0)))),"Fix")))</f>
        <v xml:space="preserve"> </v>
      </c>
      <c r="E963" s="4" t="str">
        <f ca="1">IF(OR(INDEX($X$2:$X$1001,MATCH(ROWS($W$2:W963),$W$2:$W$1001,0),1)&gt;=100000,INDEX($AD$1005:$AU$1005,1,MATCH(COLUMNS($AD$1006:AG1006),$AD$1006:$AU$1006,0))&gt;=100000), " ",IF(INDEX($AD$2:$AU$1001,MATCH(ROWS($W$2:W963),$W$2:$W$1001,0),MATCH(COLUMNS($AD$1006:AG1006),$AD$1006:$AU$1006,0)), HYPERLINK("#",""), HYPERLINK(CONCATENATE("#metadata!", ADDRESS(INDEX($Y$2:$Y$1001,MATCH(ROWS($W$2:W963),$W$2:$W$1001,0),0), INDEX($AD$1004:$AU$1004,1,MATCH(COLUMNS($AD$1006:AG1006),$AD$1006:$AU$1006,0)))),"Fix")))</f>
        <v xml:space="preserve"> </v>
      </c>
      <c r="F963" s="4" t="str">
        <f ca="1">IF(OR(INDEX($X$2:$X$1001,MATCH(ROWS($W$2:W963),$W$2:$W$1001,0),1)&gt;=100000,INDEX($AD$1005:$AU$1005,1,MATCH(COLUMNS($AD$1006:AH1006),$AD$1006:$AU$1006,0))&gt;=100000), " ",IF(INDEX($AD$2:$AU$1001,MATCH(ROWS($W$2:W963),$W$2:$W$1001,0),MATCH(COLUMNS($AD$1006:AH1006),$AD$1006:$AU$1006,0)), HYPERLINK("#",""), HYPERLINK(CONCATENATE("#metadata!", ADDRESS(INDEX($Y$2:$Y$1001,MATCH(ROWS($W$2:W963),$W$2:$W$1001,0),0), INDEX($AD$1004:$AU$1004,1,MATCH(COLUMNS($AD$1006:AH1006),$AD$1006:$AU$1006,0)))),"Fix")))</f>
        <v xml:space="preserve"> </v>
      </c>
      <c r="G963" s="4" t="str">
        <f ca="1">IF(OR(INDEX($X$2:$X$1001,MATCH(ROWS($W$2:W963),$W$2:$W$1001,0),1)&gt;=100000,INDEX($AD$1005:$AU$1005,1,MATCH(COLUMNS($AD$1006:AI1006),$AD$1006:$AU$1006,0))&gt;=100000), " ",IF(INDEX($AD$2:$AU$1001,MATCH(ROWS($W$2:W963),$W$2:$W$1001,0),MATCH(COLUMNS($AD$1006:AI1006),$AD$1006:$AU$1006,0)), HYPERLINK("#",""), HYPERLINK(CONCATENATE("#metadata!", ADDRESS(INDEX($Y$2:$Y$1001,MATCH(ROWS($W$2:W963),$W$2:$W$1001,0),0), INDEX($AD$1004:$AU$1004,1,MATCH(COLUMNS($AD$1006:AI1006),$AD$1006:$AU$1006,0)))),"Fix")))</f>
        <v xml:space="preserve"> </v>
      </c>
      <c r="H963" s="4" t="str">
        <f ca="1">IF(OR(INDEX($X$2:$X$1001,MATCH(ROWS($W$2:W963),$W$2:$W$1001,0),1)&gt;=100000,INDEX($AD$1005:$AU$1005,1,MATCH(COLUMNS($AD$1006:AJ1006),$AD$1006:$AU$1006,0))&gt;=100000), " ",IF(INDEX($AD$2:$AU$1001,MATCH(ROWS($W$2:W963),$W$2:$W$1001,0),MATCH(COLUMNS($AD$1006:AJ1006),$AD$1006:$AU$1006,0)), HYPERLINK("#",""), HYPERLINK(CONCATENATE("#metadata!", ADDRESS(INDEX($Y$2:$Y$1001,MATCH(ROWS($W$2:W963),$W$2:$W$1001,0),0), INDEX($AD$1004:$AU$1004,1,MATCH(COLUMNS($AD$1006:AJ1006),$AD$1006:$AU$1006,0)))),"Fix")))</f>
        <v xml:space="preserve"> </v>
      </c>
      <c r="I963" s="4" t="str">
        <f ca="1">IF(OR(INDEX($X$2:$X$1001,MATCH(ROWS($W$2:W963),$W$2:$W$1001,0),1)&gt;=100000,INDEX($AD$1005:$AU$1005,1,MATCH(COLUMNS($AD$1006:AK1006),$AD$1006:$AU$1006,0))&gt;=100000), " ",IF(INDEX($AD$2:$AU$1001,MATCH(ROWS($W$2:W963),$W$2:$W$1001,0),MATCH(COLUMNS($AD$1006:AK1006),$AD$1006:$AU$1006,0)), HYPERLINK("#",""), HYPERLINK(CONCATENATE("#metadata!", ADDRESS(INDEX($Y$2:$Y$1001,MATCH(ROWS($W$2:W963),$W$2:$W$1001,0),0), INDEX($AD$1004:$AU$1004,1,MATCH(COLUMNS($AD$1006:AK1006),$AD$1006:$AU$1006,0)))),"Fix")))</f>
        <v xml:space="preserve"> </v>
      </c>
      <c r="J963" s="4" t="str">
        <f ca="1">IF(OR(INDEX($X$2:$X$1001,MATCH(ROWS($W$2:W963),$W$2:$W$1001,0),1)&gt;=100000,INDEX($AD$1005:$AU$1005,1,MATCH(COLUMNS($AD$1006:AL1006),$AD$1006:$AU$1006,0))&gt;=100000), " ",IF(INDEX($AD$2:$AU$1001,MATCH(ROWS($W$2:W963),$W$2:$W$1001,0),MATCH(COLUMNS($AD$1006:AL1006),$AD$1006:$AU$1006,0)), HYPERLINK("#",""), HYPERLINK(CONCATENATE("#metadata!", ADDRESS(INDEX($Y$2:$Y$1001,MATCH(ROWS($W$2:W963),$W$2:$W$1001,0),0), INDEX($AD$1004:$AU$1004,1,MATCH(COLUMNS($AD$1006:AL1006),$AD$1006:$AU$1006,0)))),"Fix")))</f>
        <v xml:space="preserve"> </v>
      </c>
      <c r="K963" s="4" t="str">
        <f ca="1">IF(OR(INDEX($X$2:$X$1001,MATCH(ROWS($W$2:W963),$W$2:$W$1001,0),1)&gt;=100000,INDEX($AD$1005:$AU$1005,1,MATCH(COLUMNS($AD$1006:AM1006),$AD$1006:$AU$1006,0))&gt;=100000), " ",IF(INDEX($AD$2:$AU$1001,MATCH(ROWS($W$2:W963),$W$2:$W$1001,0),MATCH(COLUMNS($AD$1006:AM1006),$AD$1006:$AU$1006,0)), HYPERLINK("#",""), HYPERLINK(CONCATENATE("#metadata!", ADDRESS(INDEX($Y$2:$Y$1001,MATCH(ROWS($W$2:W963),$W$2:$W$1001,0),0), INDEX($AD$1004:$AU$1004,1,MATCH(COLUMNS($AD$1006:AM1006),$AD$1006:$AU$1006,0)))),"Fix")))</f>
        <v xml:space="preserve"> </v>
      </c>
      <c r="L963" s="4" t="str">
        <f ca="1">IF(OR(INDEX($X$2:$X$1001,MATCH(ROWS($W$2:W963),$W$2:$W$1001,0),1)&gt;=100000,INDEX($AD$1005:$AU$1005,1,MATCH(COLUMNS($AD$1006:AN1006),$AD$1006:$AU$1006,0))&gt;=100000), " ",IF(INDEX($AD$2:$AU$1001,MATCH(ROWS($W$2:W963),$W$2:$W$1001,0),MATCH(COLUMNS($AD$1006:AN1006),$AD$1006:$AU$1006,0)), HYPERLINK("#",""), HYPERLINK(CONCATENATE("#metadata!", ADDRESS(INDEX($Y$2:$Y$1001,MATCH(ROWS($W$2:W963),$W$2:$W$1001,0),0), INDEX($AD$1004:$AU$1004,1,MATCH(COLUMNS($AD$1006:AN1006),$AD$1006:$AU$1006,0)))),"Fix")))</f>
        <v xml:space="preserve"> </v>
      </c>
      <c r="M963" s="4" t="str">
        <f ca="1">IF(OR(INDEX($X$2:$X$1001,MATCH(ROWS($W$2:W963),$W$2:$W$1001,0),1)&gt;=100000,INDEX($AD$1005:$AU$1005,1,MATCH(COLUMNS($AD$1006:AO1006),$AD$1006:$AU$1006,0))&gt;=100000), " ",IF(INDEX($AD$2:$AU$1001,MATCH(ROWS($W$2:W963),$W$2:$W$1001,0),MATCH(COLUMNS($AD$1006:AO1006),$AD$1006:$AU$1006,0)), HYPERLINK("#",""), HYPERLINK(CONCATENATE("#metadata!", ADDRESS(INDEX($Y$2:$Y$1001,MATCH(ROWS($W$2:W963),$W$2:$W$1001,0),0), INDEX($AD$1004:$AU$1004,1,MATCH(COLUMNS($AD$1006:AO1006),$AD$1006:$AU$1006,0)))),"Fix")))</f>
        <v xml:space="preserve"> </v>
      </c>
      <c r="N963" s="4" t="str">
        <f ca="1">IF(OR(INDEX($X$2:$X$1001,MATCH(ROWS($W$2:W963),$W$2:$W$1001,0),1)&gt;=100000,INDEX($AD$1005:$AU$1005,1,MATCH(COLUMNS($AD$1006:AP1006),$AD$1006:$AU$1006,0))&gt;=100000), " ",IF(INDEX($AD$2:$AU$1001,MATCH(ROWS($W$2:W963),$W$2:$W$1001,0),MATCH(COLUMNS($AD$1006:AP1006),$AD$1006:$AU$1006,0)), HYPERLINK("#",""), HYPERLINK(CONCATENATE("#metadata!", ADDRESS(INDEX($Y$2:$Y$1001,MATCH(ROWS($W$2:W963),$W$2:$W$1001,0),0), INDEX($AD$1004:$AU$1004,1,MATCH(COLUMNS($AD$1006:AP1006),$AD$1006:$AU$1006,0)))),"Fix")))</f>
        <v xml:space="preserve"> </v>
      </c>
      <c r="O963" s="4" t="str">
        <f ca="1">IF(OR(INDEX($X$2:$X$1001,MATCH(ROWS($W$2:W963),$W$2:$W$1001,0),1)&gt;=100000,INDEX($AD$1005:$AU$1005,1,MATCH(COLUMNS($AD$1006:AQ1006),$AD$1006:$AU$1006,0))&gt;=100000), " ",IF(INDEX($AD$2:$AU$1001,MATCH(ROWS($W$2:W963),$W$2:$W$1001,0),MATCH(COLUMNS($AD$1006:AQ1006),$AD$1006:$AU$1006,0)), HYPERLINK("#",""), HYPERLINK(CONCATENATE("#metadata!", ADDRESS(INDEX($Y$2:$Y$1001,MATCH(ROWS($W$2:W963),$W$2:$W$1001,0),0), INDEX($AD$1004:$AU$1004,1,MATCH(COLUMNS($AD$1006:AQ1006),$AD$1006:$AU$1006,0)))),"Fix")))</f>
        <v xml:space="preserve"> </v>
      </c>
      <c r="P963" s="4" t="str">
        <f ca="1">IF(OR(INDEX($X$2:$X$1001,MATCH(ROWS($W$2:W963),$W$2:$W$1001,0),1)&gt;=100000,INDEX($AD$1005:$AU$1005,1,MATCH(COLUMNS($AD$1006:AR1006),$AD$1006:$AU$1006,0))&gt;=100000), " ",IF(INDEX($AD$2:$AU$1001,MATCH(ROWS($W$2:W963),$W$2:$W$1001,0),MATCH(COLUMNS($AD$1006:AR1006),$AD$1006:$AU$1006,0)), HYPERLINK("#",""), HYPERLINK(CONCATENATE("#metadata!", ADDRESS(INDEX($Y$2:$Y$1001,MATCH(ROWS($W$2:W963),$W$2:$W$1001,0),0), INDEX($AD$1004:$AU$1004,1,MATCH(COLUMNS($AD$1006:AR1006),$AD$1006:$AU$1006,0)))),"Fix")))</f>
        <v xml:space="preserve"> </v>
      </c>
      <c r="Q963" s="4" t="str">
        <f ca="1">IF(OR(INDEX($X$2:$X$1001,MATCH(ROWS($W$2:W963),$W$2:$W$1001,0),1)&gt;=100000,INDEX($AD$1005:$AU$1005,1,MATCH(COLUMNS($AD$1006:AS1006),$AD$1006:$AU$1006,0))&gt;=100000), " ",IF(INDEX($AD$2:$AU$1001,MATCH(ROWS($W$2:W963),$W$2:$W$1001,0),MATCH(COLUMNS($AD$1006:AS1006),$AD$1006:$AU$1006,0)), HYPERLINK("#",""), HYPERLINK(CONCATENATE("#metadata!", ADDRESS(INDEX($Y$2:$Y$1001,MATCH(ROWS($W$2:W963),$W$2:$W$1001,0),0), INDEX($AD$1004:$AU$1004,1,MATCH(COLUMNS($AD$1006:AS1006),$AD$1006:$AU$1006,0)))),"Fix")))</f>
        <v xml:space="preserve"> </v>
      </c>
      <c r="R963" s="4" t="str">
        <f ca="1">IF(OR(INDEX($X$2:$X$1001,MATCH(ROWS($W$2:W963),$W$2:$W$1001,0),1)&gt;=100000,INDEX($AD$1005:$AU$1005,1,MATCH(COLUMNS($AD$1006:AT1006),$AD$1006:$AU$1006,0))&gt;=100000), " ",IF(INDEX($AD$2:$AU$1001,MATCH(ROWS($W$2:W963),$W$2:$W$1001,0),MATCH(COLUMNS($AD$1006:AT1006),$AD$1006:$AU$1006,0)), HYPERLINK("#",""), HYPERLINK(CONCATENATE("#metadata!", ADDRESS(INDEX($Y$2:$Y$1001,MATCH(ROWS($W$2:W963),$W$2:$W$1001,0),0), INDEX($AD$1004:$AU$1004,1,MATCH(COLUMNS($AD$1006:AT1006),$AD$1006:$AU$1006,0)))),"Fix")))</f>
        <v xml:space="preserve"> </v>
      </c>
      <c r="S963" s="4" t="str">
        <f ca="1">IF(OR(INDEX($X$2:$X$1001,MATCH(ROWS($W$2:W963),$W$2:$W$1001,0),1)&gt;=100000,INDEX($AD$1005:$AU$1005,1,MATCH(COLUMNS($AD$1006:AU1006),$AD$1006:$AU$1006,0))&gt;=100000), " ",IF(INDEX($AD$2:$AU$1001,MATCH(ROWS($W$2:W963),$W$2:$W$1001,0),MATCH(COLUMNS($AD$1006:AU1006),$AD$1006:$AU$1006,0)), HYPERLINK("#",""), HYPERLINK(CONCATENATE("#metadata!", ADDRESS(INDEX($Y$2:$Y$1001,MATCH(ROWS($W$2:W963),$W$2:$W$1001,0),0), INDEX($AD$1004:$AU$1004,1,MATCH(COLUMNS($AD$1006:AU1006),$AD$1006:$AU$1006,0)))),"Fix")))</f>
        <v xml:space="preserve"> </v>
      </c>
      <c r="W963">
        <v>962</v>
      </c>
      <c r="X963">
        <v>100963</v>
      </c>
      <c r="Y963">
        <v>963</v>
      </c>
      <c r="Z963" t="b">
        <f t="shared" si="15"/>
        <v>1</v>
      </c>
      <c r="AA963" t="b">
        <f>COUNTBLANK(metadata!B963:S963)=COLUMNS(metadata!B963:S963)</f>
        <v>1</v>
      </c>
      <c r="AB963" t="str">
        <v/>
      </c>
      <c r="AD963" t="b">
        <f ca="1">AND(IF(metadata!B963="",FALSE,TRUE),COUNTIF(metadata!B:B, metadata!B963) = 1,NOT(ISERROR(SUMPRODUCT(SEARCH(MID(metadata!B963,ROW(INDIRECT("1:"&amp;LEN(metadata!B963))), 1),"0123456789abcdefghijklmnopqrstuvwxyzABCDEFGHIJKLMNOPQRSTUVWXYZ.")))))</f>
        <v>0</v>
      </c>
      <c r="AE963" t="b">
        <f>OR(AND(IF(metadata!C963="",FALSE,TRUE),OR(EXACT(metadata!C963,"not applicable"),EXACT(metadata!C963,"missing: not collected"),EXACT(metadata!C963,"missing: not provided"),EXACT(metadata!C963,"missing: restricted access"))),AND(IF(metadata!C963="",FALSE,ISNUMBER(VALUE(metadata!C963))),metadata!C963&gt;0))</f>
        <v>0</v>
      </c>
      <c r="AF963" t="b">
        <f>AND(IF(metadata!D963="",FALSE,TRUE),EXACT(metadata!D963,"missing: not provided"))</f>
        <v>0</v>
      </c>
      <c r="AG963" t="b">
        <f>AND(IF(metadata!E963="",FALSE,TRUE),EXACT(metadata!E963,"Host-associated"))</f>
        <v>0</v>
      </c>
      <c r="AH963" t="b">
        <f>AND(IF(metadata!F963="",FALSE,TRUE),OR(EXACT(metadata!F963,"Animal"),EXACT(metadata!F963,"Fungus"),EXACT(metadata!F963,"Plant")))</f>
        <v>0</v>
      </c>
      <c r="AI963" t="b">
        <f>AND(IF(metadata!G963="",FALSE,TRUE),OR(EXACT(metadata!G963,"Plant secretion"),EXACT(metadata!G963,"Plant rhizosphere"),EXACT(metadata!G963,"Plant surface"),EXACT(metadata!G963,"Plant corpus"),EXACT(metadata!G963,"Fungus surface"),EXACT(metadata!G963,"Fungus corpus"),EXACT(metadata!G963,"Animal surface"),EXACT(metadata!G963,"Animal proximal gut"),EXACT(metadata!G963,"Animal corpus"),EXACT(metadata!G963,"Animal distal gut"),EXACT(metadata!G963,"Animal secretion")))</f>
        <v>0</v>
      </c>
      <c r="AJ963" t="b">
        <f>OR(AND(IF(metadata!H963="",FALSE,TRUE),OR(EXACT(metadata!H963,"missing: not collected"),EXACT(metadata!H963,"missing: not provided"),EXACT(metadata!H963,"missing: restricted access"))),AND(IF(metadata!H963="",FALSE,TRUE),OR(EXACT(metadata!H963,"organism-associated habitat"),EXACT(metadata!H963,"plant-associated habitat"),EXACT(metadata!H963,"animal-associated habitat"),EXACT(metadata!H963,"insecta-associated habitat"),EXACT(metadata!H963,"mammalia-associated habitat"),EXACT(metadata!H963,"human-associated habitat"),EXACT(metadata!H963,"livestock-associated habitat"))))</f>
        <v>0</v>
      </c>
      <c r="AK963" t="b">
        <f>AND(IF(metadata!I963="",FALSE,TRUE),EXACT(metadata!I963,"host-associated"))</f>
        <v>0</v>
      </c>
      <c r="AL963" t="b">
        <f>OR(AND(IF(metadata!J963="",FALSE,TRUE),OR(EXACT(metadata!J963,"not applicable"),EXACT(metadata!J963,"missing: not collected"),EXACT(metadata!J963,"missing: not provided"),EXACT(metadata!J963,"missing: restricted access"))),AND(IF(metadata!J963="",FALSE,ISNUMBER(VALUE(metadata!J963))),metadata!J963&gt;0))</f>
        <v>0</v>
      </c>
      <c r="AM963" t="b">
        <f>AND(IF(metadata!K963="",FALSE,TRUE),EXACT(metadata!K963,"missing: not provided"))</f>
        <v>0</v>
      </c>
      <c r="AN963" t="b">
        <f>IF(metadata!L963="",FALSE,TRUE)</f>
        <v>0</v>
      </c>
      <c r="AO963" t="b">
        <f>IF(metadata!M963="",FALSE,TRUE)</f>
        <v>0</v>
      </c>
      <c r="AP963" t="b">
        <f>OR(AND(IF(metadata!N963="",FALSE,TRUE),OR(EXACT(metadata!N963,"not applicable"),EXACT(metadata!N963,"missing: not collected"),EXACT(metadata!N963,"missing: not provided"))),AND(IF(metadata!N963="",FALSE,IF(ISERROR(INT(metadata!N963)),FALSE,INT(metadata!N963)=metadata!N963)),metadata!N963&gt;0))</f>
        <v>0</v>
      </c>
      <c r="AQ963" t="b">
        <f>AND(IF(metadata!O963="",FALSE,TRUE),EXACT(metadata!O963,"Not applicable"))</f>
        <v>0</v>
      </c>
      <c r="AR963" t="b">
        <f>OR(AND(IF(metadata!P963="",FALSE,TRUE),OR(EXACT(metadata!P963,"not applicable"),EXACT(metadata!P963,"missing: not collected"),EXACT(metadata!P963,"missing: not provided"),EXACT(metadata!P963,"missing: restricted access"))),IF(metadata!P963="",FALSE,IF(ISERROR(INT(metadata!P963)),FALSE,INT(metadata!P963)=metadata!P963)))</f>
        <v>0</v>
      </c>
      <c r="AS963" t="b">
        <f>AND(IF(metadata!Q963="",FALSE,TRUE),EXACT(metadata!Q963,"Not applicable"))</f>
        <v>0</v>
      </c>
      <c r="AT963" t="b">
        <f>OR(AND(IF(metadata!R963="",FALSE,TRUE),OR(EXACT(metadata!R963,"not applicable"),EXACT(metadata!R963,"missing: not collected"),EXACT(metadata!R963,"missing: not provided"),EXACT(metadata!R963,"missing: restricted access"))),AND(IF(metadata!R963="",FALSE,ISNUMBER(VALUE(metadata!R963))),metadata!R963&gt;0))</f>
        <v>0</v>
      </c>
      <c r="AU963" t="b">
        <f>AND(IF(metadata!S963="",FALSE,TRUE),EXACT(metadata!S963,"missing: not provided"))</f>
        <v>0</v>
      </c>
    </row>
    <row r="964" spans="1:47" x14ac:dyDescent="0.2">
      <c r="A964" s="5" t="str">
        <f ca="1">IF(B964=" "," ",HYPERLINK(CONCATENATE("#metadata!",ADDRESS(INDEX($Y$2:$Y$1001,MATCH(ROWS($W$2:W964),$W$2:$W$1001,0),0),1)),INDEX($AB$2:$AB$1001,MATCH(ROWS($W$2:W964),$W$2:$W$1001,0),0)))</f>
        <v xml:space="preserve"> </v>
      </c>
      <c r="B964" s="4" t="str">
        <f ca="1">IF(OR(INDEX($X$2:$X$1001,MATCH(ROWS($W$2:W964),$W$2:$W$1001,0),1)&gt;=100000,INDEX($AD$1005:$AU$1005,1,MATCH(COLUMNS($AD$1006:AD1006),$AD$1006:$AU$1006,0))&gt;=100000), " ",IF(INDEX($AD$2:$AU$1001,MATCH(ROWS($W$2:W964),$W$2:$W$1001,0),MATCH(COLUMNS($AD$1006:AD1006),$AD$1006:$AU$1006,0)), HYPERLINK("#",""), HYPERLINK(CONCATENATE("#metadata!", ADDRESS(INDEX($Y$2:$Y$1001,MATCH(ROWS($W$2:W964),$W$2:$W$1001,0),0), INDEX($AD$1004:$AU$1004,1,MATCH(COLUMNS($AD$1006:AD1006),$AD$1006:$AU$1006,0)))),"Fix")))</f>
        <v xml:space="preserve"> </v>
      </c>
      <c r="C964" s="4" t="str">
        <f ca="1">IF(OR(INDEX($X$2:$X$1001,MATCH(ROWS($W$2:W964),$W$2:$W$1001,0),1)&gt;=100000,INDEX($AD$1005:$AU$1005,1,MATCH(COLUMNS($AD$1006:AE1006),$AD$1006:$AU$1006,0))&gt;=100000), " ",IF(INDEX($AD$2:$AU$1001,MATCH(ROWS($W$2:W964),$W$2:$W$1001,0),MATCH(COLUMNS($AD$1006:AE1006),$AD$1006:$AU$1006,0)), HYPERLINK("#",""), HYPERLINK(CONCATENATE("#metadata!", ADDRESS(INDEX($Y$2:$Y$1001,MATCH(ROWS($W$2:W964),$W$2:$W$1001,0),0), INDEX($AD$1004:$AU$1004,1,MATCH(COLUMNS($AD$1006:AE1006),$AD$1006:$AU$1006,0)))),"Fix")))</f>
        <v xml:space="preserve"> </v>
      </c>
      <c r="D964" s="4" t="str">
        <f ca="1">IF(OR(INDEX($X$2:$X$1001,MATCH(ROWS($W$2:W964),$W$2:$W$1001,0),1)&gt;=100000,INDEX($AD$1005:$AU$1005,1,MATCH(COLUMNS($AD$1006:AF1006),$AD$1006:$AU$1006,0))&gt;=100000), " ",IF(INDEX($AD$2:$AU$1001,MATCH(ROWS($W$2:W964),$W$2:$W$1001,0),MATCH(COLUMNS($AD$1006:AF1006),$AD$1006:$AU$1006,0)), HYPERLINK("#",""), HYPERLINK(CONCATENATE("#metadata!", ADDRESS(INDEX($Y$2:$Y$1001,MATCH(ROWS($W$2:W964),$W$2:$W$1001,0),0), INDEX($AD$1004:$AU$1004,1,MATCH(COLUMNS($AD$1006:AF1006),$AD$1006:$AU$1006,0)))),"Fix")))</f>
        <v xml:space="preserve"> </v>
      </c>
      <c r="E964" s="4" t="str">
        <f ca="1">IF(OR(INDEX($X$2:$X$1001,MATCH(ROWS($W$2:W964),$W$2:$W$1001,0),1)&gt;=100000,INDEX($AD$1005:$AU$1005,1,MATCH(COLUMNS($AD$1006:AG1006),$AD$1006:$AU$1006,0))&gt;=100000), " ",IF(INDEX($AD$2:$AU$1001,MATCH(ROWS($W$2:W964),$W$2:$W$1001,0),MATCH(COLUMNS($AD$1006:AG1006),$AD$1006:$AU$1006,0)), HYPERLINK("#",""), HYPERLINK(CONCATENATE("#metadata!", ADDRESS(INDEX($Y$2:$Y$1001,MATCH(ROWS($W$2:W964),$W$2:$W$1001,0),0), INDEX($AD$1004:$AU$1004,1,MATCH(COLUMNS($AD$1006:AG1006),$AD$1006:$AU$1006,0)))),"Fix")))</f>
        <v xml:space="preserve"> </v>
      </c>
      <c r="F964" s="4" t="str">
        <f ca="1">IF(OR(INDEX($X$2:$X$1001,MATCH(ROWS($W$2:W964),$W$2:$W$1001,0),1)&gt;=100000,INDEX($AD$1005:$AU$1005,1,MATCH(COLUMNS($AD$1006:AH1006),$AD$1006:$AU$1006,0))&gt;=100000), " ",IF(INDEX($AD$2:$AU$1001,MATCH(ROWS($W$2:W964),$W$2:$W$1001,0),MATCH(COLUMNS($AD$1006:AH1006),$AD$1006:$AU$1006,0)), HYPERLINK("#",""), HYPERLINK(CONCATENATE("#metadata!", ADDRESS(INDEX($Y$2:$Y$1001,MATCH(ROWS($W$2:W964),$W$2:$W$1001,0),0), INDEX($AD$1004:$AU$1004,1,MATCH(COLUMNS($AD$1006:AH1006),$AD$1006:$AU$1006,0)))),"Fix")))</f>
        <v xml:space="preserve"> </v>
      </c>
      <c r="G964" s="4" t="str">
        <f ca="1">IF(OR(INDEX($X$2:$X$1001,MATCH(ROWS($W$2:W964),$W$2:$W$1001,0),1)&gt;=100000,INDEX($AD$1005:$AU$1005,1,MATCH(COLUMNS($AD$1006:AI1006),$AD$1006:$AU$1006,0))&gt;=100000), " ",IF(INDEX($AD$2:$AU$1001,MATCH(ROWS($W$2:W964),$W$2:$W$1001,0),MATCH(COLUMNS($AD$1006:AI1006),$AD$1006:$AU$1006,0)), HYPERLINK("#",""), HYPERLINK(CONCATENATE("#metadata!", ADDRESS(INDEX($Y$2:$Y$1001,MATCH(ROWS($W$2:W964),$W$2:$W$1001,0),0), INDEX($AD$1004:$AU$1004,1,MATCH(COLUMNS($AD$1006:AI1006),$AD$1006:$AU$1006,0)))),"Fix")))</f>
        <v xml:space="preserve"> </v>
      </c>
      <c r="H964" s="4" t="str">
        <f ca="1">IF(OR(INDEX($X$2:$X$1001,MATCH(ROWS($W$2:W964),$W$2:$W$1001,0),1)&gt;=100000,INDEX($AD$1005:$AU$1005,1,MATCH(COLUMNS($AD$1006:AJ1006),$AD$1006:$AU$1006,0))&gt;=100000), " ",IF(INDEX($AD$2:$AU$1001,MATCH(ROWS($W$2:W964),$W$2:$W$1001,0),MATCH(COLUMNS($AD$1006:AJ1006),$AD$1006:$AU$1006,0)), HYPERLINK("#",""), HYPERLINK(CONCATENATE("#metadata!", ADDRESS(INDEX($Y$2:$Y$1001,MATCH(ROWS($W$2:W964),$W$2:$W$1001,0),0), INDEX($AD$1004:$AU$1004,1,MATCH(COLUMNS($AD$1006:AJ1006),$AD$1006:$AU$1006,0)))),"Fix")))</f>
        <v xml:space="preserve"> </v>
      </c>
      <c r="I964" s="4" t="str">
        <f ca="1">IF(OR(INDEX($X$2:$X$1001,MATCH(ROWS($W$2:W964),$W$2:$W$1001,0),1)&gt;=100000,INDEX($AD$1005:$AU$1005,1,MATCH(COLUMNS($AD$1006:AK1006),$AD$1006:$AU$1006,0))&gt;=100000), " ",IF(INDEX($AD$2:$AU$1001,MATCH(ROWS($W$2:W964),$W$2:$W$1001,0),MATCH(COLUMNS($AD$1006:AK1006),$AD$1006:$AU$1006,0)), HYPERLINK("#",""), HYPERLINK(CONCATENATE("#metadata!", ADDRESS(INDEX($Y$2:$Y$1001,MATCH(ROWS($W$2:W964),$W$2:$W$1001,0),0), INDEX($AD$1004:$AU$1004,1,MATCH(COLUMNS($AD$1006:AK1006),$AD$1006:$AU$1006,0)))),"Fix")))</f>
        <v xml:space="preserve"> </v>
      </c>
      <c r="J964" s="4" t="str">
        <f ca="1">IF(OR(INDEX($X$2:$X$1001,MATCH(ROWS($W$2:W964),$W$2:$W$1001,0),1)&gt;=100000,INDEX($AD$1005:$AU$1005,1,MATCH(COLUMNS($AD$1006:AL1006),$AD$1006:$AU$1006,0))&gt;=100000), " ",IF(INDEX($AD$2:$AU$1001,MATCH(ROWS($W$2:W964),$W$2:$W$1001,0),MATCH(COLUMNS($AD$1006:AL1006),$AD$1006:$AU$1006,0)), HYPERLINK("#",""), HYPERLINK(CONCATENATE("#metadata!", ADDRESS(INDEX($Y$2:$Y$1001,MATCH(ROWS($W$2:W964),$W$2:$W$1001,0),0), INDEX($AD$1004:$AU$1004,1,MATCH(COLUMNS($AD$1006:AL1006),$AD$1006:$AU$1006,0)))),"Fix")))</f>
        <v xml:space="preserve"> </v>
      </c>
      <c r="K964" s="4" t="str">
        <f ca="1">IF(OR(INDEX($X$2:$X$1001,MATCH(ROWS($W$2:W964),$W$2:$W$1001,0),1)&gt;=100000,INDEX($AD$1005:$AU$1005,1,MATCH(COLUMNS($AD$1006:AM1006),$AD$1006:$AU$1006,0))&gt;=100000), " ",IF(INDEX($AD$2:$AU$1001,MATCH(ROWS($W$2:W964),$W$2:$W$1001,0),MATCH(COLUMNS($AD$1006:AM1006),$AD$1006:$AU$1006,0)), HYPERLINK("#",""), HYPERLINK(CONCATENATE("#metadata!", ADDRESS(INDEX($Y$2:$Y$1001,MATCH(ROWS($W$2:W964),$W$2:$W$1001,0),0), INDEX($AD$1004:$AU$1004,1,MATCH(COLUMNS($AD$1006:AM1006),$AD$1006:$AU$1006,0)))),"Fix")))</f>
        <v xml:space="preserve"> </v>
      </c>
      <c r="L964" s="4" t="str">
        <f ca="1">IF(OR(INDEX($X$2:$X$1001,MATCH(ROWS($W$2:W964),$W$2:$W$1001,0),1)&gt;=100000,INDEX($AD$1005:$AU$1005,1,MATCH(COLUMNS($AD$1006:AN1006),$AD$1006:$AU$1006,0))&gt;=100000), " ",IF(INDEX($AD$2:$AU$1001,MATCH(ROWS($W$2:W964),$W$2:$W$1001,0),MATCH(COLUMNS($AD$1006:AN1006),$AD$1006:$AU$1006,0)), HYPERLINK("#",""), HYPERLINK(CONCATENATE("#metadata!", ADDRESS(INDEX($Y$2:$Y$1001,MATCH(ROWS($W$2:W964),$W$2:$W$1001,0),0), INDEX($AD$1004:$AU$1004,1,MATCH(COLUMNS($AD$1006:AN1006),$AD$1006:$AU$1006,0)))),"Fix")))</f>
        <v xml:space="preserve"> </v>
      </c>
      <c r="M964" s="4" t="str">
        <f ca="1">IF(OR(INDEX($X$2:$X$1001,MATCH(ROWS($W$2:W964),$W$2:$W$1001,0),1)&gt;=100000,INDEX($AD$1005:$AU$1005,1,MATCH(COLUMNS($AD$1006:AO1006),$AD$1006:$AU$1006,0))&gt;=100000), " ",IF(INDEX($AD$2:$AU$1001,MATCH(ROWS($W$2:W964),$W$2:$W$1001,0),MATCH(COLUMNS($AD$1006:AO1006),$AD$1006:$AU$1006,0)), HYPERLINK("#",""), HYPERLINK(CONCATENATE("#metadata!", ADDRESS(INDEX($Y$2:$Y$1001,MATCH(ROWS($W$2:W964),$W$2:$W$1001,0),0), INDEX($AD$1004:$AU$1004,1,MATCH(COLUMNS($AD$1006:AO1006),$AD$1006:$AU$1006,0)))),"Fix")))</f>
        <v xml:space="preserve"> </v>
      </c>
      <c r="N964" s="4" t="str">
        <f ca="1">IF(OR(INDEX($X$2:$X$1001,MATCH(ROWS($W$2:W964),$W$2:$W$1001,0),1)&gt;=100000,INDEX($AD$1005:$AU$1005,1,MATCH(COLUMNS($AD$1006:AP1006),$AD$1006:$AU$1006,0))&gt;=100000), " ",IF(INDEX($AD$2:$AU$1001,MATCH(ROWS($W$2:W964),$W$2:$W$1001,0),MATCH(COLUMNS($AD$1006:AP1006),$AD$1006:$AU$1006,0)), HYPERLINK("#",""), HYPERLINK(CONCATENATE("#metadata!", ADDRESS(INDEX($Y$2:$Y$1001,MATCH(ROWS($W$2:W964),$W$2:$W$1001,0),0), INDEX($AD$1004:$AU$1004,1,MATCH(COLUMNS($AD$1006:AP1006),$AD$1006:$AU$1006,0)))),"Fix")))</f>
        <v xml:space="preserve"> </v>
      </c>
      <c r="O964" s="4" t="str">
        <f ca="1">IF(OR(INDEX($X$2:$X$1001,MATCH(ROWS($W$2:W964),$W$2:$W$1001,0),1)&gt;=100000,INDEX($AD$1005:$AU$1005,1,MATCH(COLUMNS($AD$1006:AQ1006),$AD$1006:$AU$1006,0))&gt;=100000), " ",IF(INDEX($AD$2:$AU$1001,MATCH(ROWS($W$2:W964),$W$2:$W$1001,0),MATCH(COLUMNS($AD$1006:AQ1006),$AD$1006:$AU$1006,0)), HYPERLINK("#",""), HYPERLINK(CONCATENATE("#metadata!", ADDRESS(INDEX($Y$2:$Y$1001,MATCH(ROWS($W$2:W964),$W$2:$W$1001,0),0), INDEX($AD$1004:$AU$1004,1,MATCH(COLUMNS($AD$1006:AQ1006),$AD$1006:$AU$1006,0)))),"Fix")))</f>
        <v xml:space="preserve"> </v>
      </c>
      <c r="P964" s="4" t="str">
        <f ca="1">IF(OR(INDEX($X$2:$X$1001,MATCH(ROWS($W$2:W964),$W$2:$W$1001,0),1)&gt;=100000,INDEX($AD$1005:$AU$1005,1,MATCH(COLUMNS($AD$1006:AR1006),$AD$1006:$AU$1006,0))&gt;=100000), " ",IF(INDEX($AD$2:$AU$1001,MATCH(ROWS($W$2:W964),$W$2:$W$1001,0),MATCH(COLUMNS($AD$1006:AR1006),$AD$1006:$AU$1006,0)), HYPERLINK("#",""), HYPERLINK(CONCATENATE("#metadata!", ADDRESS(INDEX($Y$2:$Y$1001,MATCH(ROWS($W$2:W964),$W$2:$W$1001,0),0), INDEX($AD$1004:$AU$1004,1,MATCH(COLUMNS($AD$1006:AR1006),$AD$1006:$AU$1006,0)))),"Fix")))</f>
        <v xml:space="preserve"> </v>
      </c>
      <c r="Q964" s="4" t="str">
        <f ca="1">IF(OR(INDEX($X$2:$X$1001,MATCH(ROWS($W$2:W964),$W$2:$W$1001,0),1)&gt;=100000,INDEX($AD$1005:$AU$1005,1,MATCH(COLUMNS($AD$1006:AS1006),$AD$1006:$AU$1006,0))&gt;=100000), " ",IF(INDEX($AD$2:$AU$1001,MATCH(ROWS($W$2:W964),$W$2:$W$1001,0),MATCH(COLUMNS($AD$1006:AS1006),$AD$1006:$AU$1006,0)), HYPERLINK("#",""), HYPERLINK(CONCATENATE("#metadata!", ADDRESS(INDEX($Y$2:$Y$1001,MATCH(ROWS($W$2:W964),$W$2:$W$1001,0),0), INDEX($AD$1004:$AU$1004,1,MATCH(COLUMNS($AD$1006:AS1006),$AD$1006:$AU$1006,0)))),"Fix")))</f>
        <v xml:space="preserve"> </v>
      </c>
      <c r="R964" s="4" t="str">
        <f ca="1">IF(OR(INDEX($X$2:$X$1001,MATCH(ROWS($W$2:W964),$W$2:$W$1001,0),1)&gt;=100000,INDEX($AD$1005:$AU$1005,1,MATCH(COLUMNS($AD$1006:AT1006),$AD$1006:$AU$1006,0))&gt;=100000), " ",IF(INDEX($AD$2:$AU$1001,MATCH(ROWS($W$2:W964),$W$2:$W$1001,0),MATCH(COLUMNS($AD$1006:AT1006),$AD$1006:$AU$1006,0)), HYPERLINK("#",""), HYPERLINK(CONCATENATE("#metadata!", ADDRESS(INDEX($Y$2:$Y$1001,MATCH(ROWS($W$2:W964),$W$2:$W$1001,0),0), INDEX($AD$1004:$AU$1004,1,MATCH(COLUMNS($AD$1006:AT1006),$AD$1006:$AU$1006,0)))),"Fix")))</f>
        <v xml:space="preserve"> </v>
      </c>
      <c r="S964" s="4" t="str">
        <f ca="1">IF(OR(INDEX($X$2:$X$1001,MATCH(ROWS($W$2:W964),$W$2:$W$1001,0),1)&gt;=100000,INDEX($AD$1005:$AU$1005,1,MATCH(COLUMNS($AD$1006:AU1006),$AD$1006:$AU$1006,0))&gt;=100000), " ",IF(INDEX($AD$2:$AU$1001,MATCH(ROWS($W$2:W964),$W$2:$W$1001,0),MATCH(COLUMNS($AD$1006:AU1006),$AD$1006:$AU$1006,0)), HYPERLINK("#",""), HYPERLINK(CONCATENATE("#metadata!", ADDRESS(INDEX($Y$2:$Y$1001,MATCH(ROWS($W$2:W964),$W$2:$W$1001,0),0), INDEX($AD$1004:$AU$1004,1,MATCH(COLUMNS($AD$1006:AU1006),$AD$1006:$AU$1006,0)))),"Fix")))</f>
        <v xml:space="preserve"> </v>
      </c>
      <c r="W964">
        <v>963</v>
      </c>
      <c r="X964">
        <v>100964</v>
      </c>
      <c r="Y964">
        <v>964</v>
      </c>
      <c r="Z964" t="b">
        <f t="shared" si="15"/>
        <v>1</v>
      </c>
      <c r="AA964" t="b">
        <f>COUNTBLANK(metadata!B964:S964)=COLUMNS(metadata!B964:S964)</f>
        <v>1</v>
      </c>
      <c r="AB964" t="str">
        <v/>
      </c>
      <c r="AD964" t="b">
        <f ca="1">AND(IF(metadata!B964="",FALSE,TRUE),COUNTIF(metadata!B:B, metadata!B964) = 1,NOT(ISERROR(SUMPRODUCT(SEARCH(MID(metadata!B964,ROW(INDIRECT("1:"&amp;LEN(metadata!B964))), 1),"0123456789abcdefghijklmnopqrstuvwxyzABCDEFGHIJKLMNOPQRSTUVWXYZ.")))))</f>
        <v>0</v>
      </c>
      <c r="AE964" t="b">
        <f>OR(AND(IF(metadata!C964="",FALSE,TRUE),OR(EXACT(metadata!C964,"not applicable"),EXACT(metadata!C964,"missing: not collected"),EXACT(metadata!C964,"missing: not provided"),EXACT(metadata!C964,"missing: restricted access"))),AND(IF(metadata!C964="",FALSE,ISNUMBER(VALUE(metadata!C964))),metadata!C964&gt;0))</f>
        <v>0</v>
      </c>
      <c r="AF964" t="b">
        <f>AND(IF(metadata!D964="",FALSE,TRUE),EXACT(metadata!D964,"missing: not provided"))</f>
        <v>0</v>
      </c>
      <c r="AG964" t="b">
        <f>AND(IF(metadata!E964="",FALSE,TRUE),EXACT(metadata!E964,"Host-associated"))</f>
        <v>0</v>
      </c>
      <c r="AH964" t="b">
        <f>AND(IF(metadata!F964="",FALSE,TRUE),OR(EXACT(metadata!F964,"Animal"),EXACT(metadata!F964,"Fungus"),EXACT(metadata!F964,"Plant")))</f>
        <v>0</v>
      </c>
      <c r="AI964" t="b">
        <f>AND(IF(metadata!G964="",FALSE,TRUE),OR(EXACT(metadata!G964,"Plant secretion"),EXACT(metadata!G964,"Plant rhizosphere"),EXACT(metadata!G964,"Plant surface"),EXACT(metadata!G964,"Plant corpus"),EXACT(metadata!G964,"Fungus surface"),EXACT(metadata!G964,"Fungus corpus"),EXACT(metadata!G964,"Animal surface"),EXACT(metadata!G964,"Animal proximal gut"),EXACT(metadata!G964,"Animal corpus"),EXACT(metadata!G964,"Animal distal gut"),EXACT(metadata!G964,"Animal secretion")))</f>
        <v>0</v>
      </c>
      <c r="AJ964" t="b">
        <f>OR(AND(IF(metadata!H964="",FALSE,TRUE),OR(EXACT(metadata!H964,"missing: not collected"),EXACT(metadata!H964,"missing: not provided"),EXACT(metadata!H964,"missing: restricted access"))),AND(IF(metadata!H964="",FALSE,TRUE),OR(EXACT(metadata!H964,"organism-associated habitat"),EXACT(metadata!H964,"plant-associated habitat"),EXACT(metadata!H964,"animal-associated habitat"),EXACT(metadata!H964,"insecta-associated habitat"),EXACT(metadata!H964,"mammalia-associated habitat"),EXACT(metadata!H964,"human-associated habitat"),EXACT(metadata!H964,"livestock-associated habitat"))))</f>
        <v>0</v>
      </c>
      <c r="AK964" t="b">
        <f>AND(IF(metadata!I964="",FALSE,TRUE),EXACT(metadata!I964,"host-associated"))</f>
        <v>0</v>
      </c>
      <c r="AL964" t="b">
        <f>OR(AND(IF(metadata!J964="",FALSE,TRUE),OR(EXACT(metadata!J964,"not applicable"),EXACT(metadata!J964,"missing: not collected"),EXACT(metadata!J964,"missing: not provided"),EXACT(metadata!J964,"missing: restricted access"))),AND(IF(metadata!J964="",FALSE,ISNUMBER(VALUE(metadata!J964))),metadata!J964&gt;0))</f>
        <v>0</v>
      </c>
      <c r="AM964" t="b">
        <f>AND(IF(metadata!K964="",FALSE,TRUE),EXACT(metadata!K964,"missing: not provided"))</f>
        <v>0</v>
      </c>
      <c r="AN964" t="b">
        <f>IF(metadata!L964="",FALSE,TRUE)</f>
        <v>0</v>
      </c>
      <c r="AO964" t="b">
        <f>IF(metadata!M964="",FALSE,TRUE)</f>
        <v>0</v>
      </c>
      <c r="AP964" t="b">
        <f>OR(AND(IF(metadata!N964="",FALSE,TRUE),OR(EXACT(metadata!N964,"not applicable"),EXACT(metadata!N964,"missing: not collected"),EXACT(metadata!N964,"missing: not provided"))),AND(IF(metadata!N964="",FALSE,IF(ISERROR(INT(metadata!N964)),FALSE,INT(metadata!N964)=metadata!N964)),metadata!N964&gt;0))</f>
        <v>0</v>
      </c>
      <c r="AQ964" t="b">
        <f>AND(IF(metadata!O964="",FALSE,TRUE),EXACT(metadata!O964,"Not applicable"))</f>
        <v>0</v>
      </c>
      <c r="AR964" t="b">
        <f>OR(AND(IF(metadata!P964="",FALSE,TRUE),OR(EXACT(metadata!P964,"not applicable"),EXACT(metadata!P964,"missing: not collected"),EXACT(metadata!P964,"missing: not provided"),EXACT(metadata!P964,"missing: restricted access"))),IF(metadata!P964="",FALSE,IF(ISERROR(INT(metadata!P964)),FALSE,INT(metadata!P964)=metadata!P964)))</f>
        <v>0</v>
      </c>
      <c r="AS964" t="b">
        <f>AND(IF(metadata!Q964="",FALSE,TRUE),EXACT(metadata!Q964,"Not applicable"))</f>
        <v>0</v>
      </c>
      <c r="AT964" t="b">
        <f>OR(AND(IF(metadata!R964="",FALSE,TRUE),OR(EXACT(metadata!R964,"not applicable"),EXACT(metadata!R964,"missing: not collected"),EXACT(metadata!R964,"missing: not provided"),EXACT(metadata!R964,"missing: restricted access"))),AND(IF(metadata!R964="",FALSE,ISNUMBER(VALUE(metadata!R964))),metadata!R964&gt;0))</f>
        <v>0</v>
      </c>
      <c r="AU964" t="b">
        <f>AND(IF(metadata!S964="",FALSE,TRUE),EXACT(metadata!S964,"missing: not provided"))</f>
        <v>0</v>
      </c>
    </row>
    <row r="965" spans="1:47" x14ac:dyDescent="0.2">
      <c r="A965" s="5" t="str">
        <f ca="1">IF(B965=" "," ",HYPERLINK(CONCATENATE("#metadata!",ADDRESS(INDEX($Y$2:$Y$1001,MATCH(ROWS($W$2:W965),$W$2:$W$1001,0),0),1)),INDEX($AB$2:$AB$1001,MATCH(ROWS($W$2:W965),$W$2:$W$1001,0),0)))</f>
        <v xml:space="preserve"> </v>
      </c>
      <c r="B965" s="4" t="str">
        <f ca="1">IF(OR(INDEX($X$2:$X$1001,MATCH(ROWS($W$2:W965),$W$2:$W$1001,0),1)&gt;=100000,INDEX($AD$1005:$AU$1005,1,MATCH(COLUMNS($AD$1006:AD1006),$AD$1006:$AU$1006,0))&gt;=100000), " ",IF(INDEX($AD$2:$AU$1001,MATCH(ROWS($W$2:W965),$W$2:$W$1001,0),MATCH(COLUMNS($AD$1006:AD1006),$AD$1006:$AU$1006,0)), HYPERLINK("#",""), HYPERLINK(CONCATENATE("#metadata!", ADDRESS(INDEX($Y$2:$Y$1001,MATCH(ROWS($W$2:W965),$W$2:$W$1001,0),0), INDEX($AD$1004:$AU$1004,1,MATCH(COLUMNS($AD$1006:AD1006),$AD$1006:$AU$1006,0)))),"Fix")))</f>
        <v xml:space="preserve"> </v>
      </c>
      <c r="C965" s="4" t="str">
        <f ca="1">IF(OR(INDEX($X$2:$X$1001,MATCH(ROWS($W$2:W965),$W$2:$W$1001,0),1)&gt;=100000,INDEX($AD$1005:$AU$1005,1,MATCH(COLUMNS($AD$1006:AE1006),$AD$1006:$AU$1006,0))&gt;=100000), " ",IF(INDEX($AD$2:$AU$1001,MATCH(ROWS($W$2:W965),$W$2:$W$1001,0),MATCH(COLUMNS($AD$1006:AE1006),$AD$1006:$AU$1006,0)), HYPERLINK("#",""), HYPERLINK(CONCATENATE("#metadata!", ADDRESS(INDEX($Y$2:$Y$1001,MATCH(ROWS($W$2:W965),$W$2:$W$1001,0),0), INDEX($AD$1004:$AU$1004,1,MATCH(COLUMNS($AD$1006:AE1006),$AD$1006:$AU$1006,0)))),"Fix")))</f>
        <v xml:space="preserve"> </v>
      </c>
      <c r="D965" s="4" t="str">
        <f ca="1">IF(OR(INDEX($X$2:$X$1001,MATCH(ROWS($W$2:W965),$W$2:$W$1001,0),1)&gt;=100000,INDEX($AD$1005:$AU$1005,1,MATCH(COLUMNS($AD$1006:AF1006),$AD$1006:$AU$1006,0))&gt;=100000), " ",IF(INDEX($AD$2:$AU$1001,MATCH(ROWS($W$2:W965),$W$2:$W$1001,0),MATCH(COLUMNS($AD$1006:AF1006),$AD$1006:$AU$1006,0)), HYPERLINK("#",""), HYPERLINK(CONCATENATE("#metadata!", ADDRESS(INDEX($Y$2:$Y$1001,MATCH(ROWS($W$2:W965),$W$2:$W$1001,0),0), INDEX($AD$1004:$AU$1004,1,MATCH(COLUMNS($AD$1006:AF1006),$AD$1006:$AU$1006,0)))),"Fix")))</f>
        <v xml:space="preserve"> </v>
      </c>
      <c r="E965" s="4" t="str">
        <f ca="1">IF(OR(INDEX($X$2:$X$1001,MATCH(ROWS($W$2:W965),$W$2:$W$1001,0),1)&gt;=100000,INDEX($AD$1005:$AU$1005,1,MATCH(COLUMNS($AD$1006:AG1006),$AD$1006:$AU$1006,0))&gt;=100000), " ",IF(INDEX($AD$2:$AU$1001,MATCH(ROWS($W$2:W965),$W$2:$W$1001,0),MATCH(COLUMNS($AD$1006:AG1006),$AD$1006:$AU$1006,0)), HYPERLINK("#",""), HYPERLINK(CONCATENATE("#metadata!", ADDRESS(INDEX($Y$2:$Y$1001,MATCH(ROWS($W$2:W965),$W$2:$W$1001,0),0), INDEX($AD$1004:$AU$1004,1,MATCH(COLUMNS($AD$1006:AG1006),$AD$1006:$AU$1006,0)))),"Fix")))</f>
        <v xml:space="preserve"> </v>
      </c>
      <c r="F965" s="4" t="str">
        <f ca="1">IF(OR(INDEX($X$2:$X$1001,MATCH(ROWS($W$2:W965),$W$2:$W$1001,0),1)&gt;=100000,INDEX($AD$1005:$AU$1005,1,MATCH(COLUMNS($AD$1006:AH1006),$AD$1006:$AU$1006,0))&gt;=100000), " ",IF(INDEX($AD$2:$AU$1001,MATCH(ROWS($W$2:W965),$W$2:$W$1001,0),MATCH(COLUMNS($AD$1006:AH1006),$AD$1006:$AU$1006,0)), HYPERLINK("#",""), HYPERLINK(CONCATENATE("#metadata!", ADDRESS(INDEX($Y$2:$Y$1001,MATCH(ROWS($W$2:W965),$W$2:$W$1001,0),0), INDEX($AD$1004:$AU$1004,1,MATCH(COLUMNS($AD$1006:AH1006),$AD$1006:$AU$1006,0)))),"Fix")))</f>
        <v xml:space="preserve"> </v>
      </c>
      <c r="G965" s="4" t="str">
        <f ca="1">IF(OR(INDEX($X$2:$X$1001,MATCH(ROWS($W$2:W965),$W$2:$W$1001,0),1)&gt;=100000,INDEX($AD$1005:$AU$1005,1,MATCH(COLUMNS($AD$1006:AI1006),$AD$1006:$AU$1006,0))&gt;=100000), " ",IF(INDEX($AD$2:$AU$1001,MATCH(ROWS($W$2:W965),$W$2:$W$1001,0),MATCH(COLUMNS($AD$1006:AI1006),$AD$1006:$AU$1006,0)), HYPERLINK("#",""), HYPERLINK(CONCATENATE("#metadata!", ADDRESS(INDEX($Y$2:$Y$1001,MATCH(ROWS($W$2:W965),$W$2:$W$1001,0),0), INDEX($AD$1004:$AU$1004,1,MATCH(COLUMNS($AD$1006:AI1006),$AD$1006:$AU$1006,0)))),"Fix")))</f>
        <v xml:space="preserve"> </v>
      </c>
      <c r="H965" s="4" t="str">
        <f ca="1">IF(OR(INDEX($X$2:$X$1001,MATCH(ROWS($W$2:W965),$W$2:$W$1001,0),1)&gt;=100000,INDEX($AD$1005:$AU$1005,1,MATCH(COLUMNS($AD$1006:AJ1006),$AD$1006:$AU$1006,0))&gt;=100000), " ",IF(INDEX($AD$2:$AU$1001,MATCH(ROWS($W$2:W965),$W$2:$W$1001,0),MATCH(COLUMNS($AD$1006:AJ1006),$AD$1006:$AU$1006,0)), HYPERLINK("#",""), HYPERLINK(CONCATENATE("#metadata!", ADDRESS(INDEX($Y$2:$Y$1001,MATCH(ROWS($W$2:W965),$W$2:$W$1001,0),0), INDEX($AD$1004:$AU$1004,1,MATCH(COLUMNS($AD$1006:AJ1006),$AD$1006:$AU$1006,0)))),"Fix")))</f>
        <v xml:space="preserve"> </v>
      </c>
      <c r="I965" s="4" t="str">
        <f ca="1">IF(OR(INDEX($X$2:$X$1001,MATCH(ROWS($W$2:W965),$W$2:$W$1001,0),1)&gt;=100000,INDEX($AD$1005:$AU$1005,1,MATCH(COLUMNS($AD$1006:AK1006),$AD$1006:$AU$1006,0))&gt;=100000), " ",IF(INDEX($AD$2:$AU$1001,MATCH(ROWS($W$2:W965),$W$2:$W$1001,0),MATCH(COLUMNS($AD$1006:AK1006),$AD$1006:$AU$1006,0)), HYPERLINK("#",""), HYPERLINK(CONCATENATE("#metadata!", ADDRESS(INDEX($Y$2:$Y$1001,MATCH(ROWS($W$2:W965),$W$2:$W$1001,0),0), INDEX($AD$1004:$AU$1004,1,MATCH(COLUMNS($AD$1006:AK1006),$AD$1006:$AU$1006,0)))),"Fix")))</f>
        <v xml:space="preserve"> </v>
      </c>
      <c r="J965" s="4" t="str">
        <f ca="1">IF(OR(INDEX($X$2:$X$1001,MATCH(ROWS($W$2:W965),$W$2:$W$1001,0),1)&gt;=100000,INDEX($AD$1005:$AU$1005,1,MATCH(COLUMNS($AD$1006:AL1006),$AD$1006:$AU$1006,0))&gt;=100000), " ",IF(INDEX($AD$2:$AU$1001,MATCH(ROWS($W$2:W965),$W$2:$W$1001,0),MATCH(COLUMNS($AD$1006:AL1006),$AD$1006:$AU$1006,0)), HYPERLINK("#",""), HYPERLINK(CONCATENATE("#metadata!", ADDRESS(INDEX($Y$2:$Y$1001,MATCH(ROWS($W$2:W965),$W$2:$W$1001,0),0), INDEX($AD$1004:$AU$1004,1,MATCH(COLUMNS($AD$1006:AL1006),$AD$1006:$AU$1006,0)))),"Fix")))</f>
        <v xml:space="preserve"> </v>
      </c>
      <c r="K965" s="4" t="str">
        <f ca="1">IF(OR(INDEX($X$2:$X$1001,MATCH(ROWS($W$2:W965),$W$2:$W$1001,0),1)&gt;=100000,INDEX($AD$1005:$AU$1005,1,MATCH(COLUMNS($AD$1006:AM1006),$AD$1006:$AU$1006,0))&gt;=100000), " ",IF(INDEX($AD$2:$AU$1001,MATCH(ROWS($W$2:W965),$W$2:$W$1001,0),MATCH(COLUMNS($AD$1006:AM1006),$AD$1006:$AU$1006,0)), HYPERLINK("#",""), HYPERLINK(CONCATENATE("#metadata!", ADDRESS(INDEX($Y$2:$Y$1001,MATCH(ROWS($W$2:W965),$W$2:$W$1001,0),0), INDEX($AD$1004:$AU$1004,1,MATCH(COLUMNS($AD$1006:AM1006),$AD$1006:$AU$1006,0)))),"Fix")))</f>
        <v xml:space="preserve"> </v>
      </c>
      <c r="L965" s="4" t="str">
        <f ca="1">IF(OR(INDEX($X$2:$X$1001,MATCH(ROWS($W$2:W965),$W$2:$W$1001,0),1)&gt;=100000,INDEX($AD$1005:$AU$1005,1,MATCH(COLUMNS($AD$1006:AN1006),$AD$1006:$AU$1006,0))&gt;=100000), " ",IF(INDEX($AD$2:$AU$1001,MATCH(ROWS($W$2:W965),$W$2:$W$1001,0),MATCH(COLUMNS($AD$1006:AN1006),$AD$1006:$AU$1006,0)), HYPERLINK("#",""), HYPERLINK(CONCATENATE("#metadata!", ADDRESS(INDEX($Y$2:$Y$1001,MATCH(ROWS($W$2:W965),$W$2:$W$1001,0),0), INDEX($AD$1004:$AU$1004,1,MATCH(COLUMNS($AD$1006:AN1006),$AD$1006:$AU$1006,0)))),"Fix")))</f>
        <v xml:space="preserve"> </v>
      </c>
      <c r="M965" s="4" t="str">
        <f ca="1">IF(OR(INDEX($X$2:$X$1001,MATCH(ROWS($W$2:W965),$W$2:$W$1001,0),1)&gt;=100000,INDEX($AD$1005:$AU$1005,1,MATCH(COLUMNS($AD$1006:AO1006),$AD$1006:$AU$1006,0))&gt;=100000), " ",IF(INDEX($AD$2:$AU$1001,MATCH(ROWS($W$2:W965),$W$2:$W$1001,0),MATCH(COLUMNS($AD$1006:AO1006),$AD$1006:$AU$1006,0)), HYPERLINK("#",""), HYPERLINK(CONCATENATE("#metadata!", ADDRESS(INDEX($Y$2:$Y$1001,MATCH(ROWS($W$2:W965),$W$2:$W$1001,0),0), INDEX($AD$1004:$AU$1004,1,MATCH(COLUMNS($AD$1006:AO1006),$AD$1006:$AU$1006,0)))),"Fix")))</f>
        <v xml:space="preserve"> </v>
      </c>
      <c r="N965" s="4" t="str">
        <f ca="1">IF(OR(INDEX($X$2:$X$1001,MATCH(ROWS($W$2:W965),$W$2:$W$1001,0),1)&gt;=100000,INDEX($AD$1005:$AU$1005,1,MATCH(COLUMNS($AD$1006:AP1006),$AD$1006:$AU$1006,0))&gt;=100000), " ",IF(INDEX($AD$2:$AU$1001,MATCH(ROWS($W$2:W965),$W$2:$W$1001,0),MATCH(COLUMNS($AD$1006:AP1006),$AD$1006:$AU$1006,0)), HYPERLINK("#",""), HYPERLINK(CONCATENATE("#metadata!", ADDRESS(INDEX($Y$2:$Y$1001,MATCH(ROWS($W$2:W965),$W$2:$W$1001,0),0), INDEX($AD$1004:$AU$1004,1,MATCH(COLUMNS($AD$1006:AP1006),$AD$1006:$AU$1006,0)))),"Fix")))</f>
        <v xml:space="preserve"> </v>
      </c>
      <c r="O965" s="4" t="str">
        <f ca="1">IF(OR(INDEX($X$2:$X$1001,MATCH(ROWS($W$2:W965),$W$2:$W$1001,0),1)&gt;=100000,INDEX($AD$1005:$AU$1005,1,MATCH(COLUMNS($AD$1006:AQ1006),$AD$1006:$AU$1006,0))&gt;=100000), " ",IF(INDEX($AD$2:$AU$1001,MATCH(ROWS($W$2:W965),$W$2:$W$1001,0),MATCH(COLUMNS($AD$1006:AQ1006),$AD$1006:$AU$1006,0)), HYPERLINK("#",""), HYPERLINK(CONCATENATE("#metadata!", ADDRESS(INDEX($Y$2:$Y$1001,MATCH(ROWS($W$2:W965),$W$2:$W$1001,0),0), INDEX($AD$1004:$AU$1004,1,MATCH(COLUMNS($AD$1006:AQ1006),$AD$1006:$AU$1006,0)))),"Fix")))</f>
        <v xml:space="preserve"> </v>
      </c>
      <c r="P965" s="4" t="str">
        <f ca="1">IF(OR(INDEX($X$2:$X$1001,MATCH(ROWS($W$2:W965),$W$2:$W$1001,0),1)&gt;=100000,INDEX($AD$1005:$AU$1005,1,MATCH(COLUMNS($AD$1006:AR1006),$AD$1006:$AU$1006,0))&gt;=100000), " ",IF(INDEX($AD$2:$AU$1001,MATCH(ROWS($W$2:W965),$W$2:$W$1001,0),MATCH(COLUMNS($AD$1006:AR1006),$AD$1006:$AU$1006,0)), HYPERLINK("#",""), HYPERLINK(CONCATENATE("#metadata!", ADDRESS(INDEX($Y$2:$Y$1001,MATCH(ROWS($W$2:W965),$W$2:$W$1001,0),0), INDEX($AD$1004:$AU$1004,1,MATCH(COLUMNS($AD$1006:AR1006),$AD$1006:$AU$1006,0)))),"Fix")))</f>
        <v xml:space="preserve"> </v>
      </c>
      <c r="Q965" s="4" t="str">
        <f ca="1">IF(OR(INDEX($X$2:$X$1001,MATCH(ROWS($W$2:W965),$W$2:$W$1001,0),1)&gt;=100000,INDEX($AD$1005:$AU$1005,1,MATCH(COLUMNS($AD$1006:AS1006),$AD$1006:$AU$1006,0))&gt;=100000), " ",IF(INDEX($AD$2:$AU$1001,MATCH(ROWS($W$2:W965),$W$2:$W$1001,0),MATCH(COLUMNS($AD$1006:AS1006),$AD$1006:$AU$1006,0)), HYPERLINK("#",""), HYPERLINK(CONCATENATE("#metadata!", ADDRESS(INDEX($Y$2:$Y$1001,MATCH(ROWS($W$2:W965),$W$2:$W$1001,0),0), INDEX($AD$1004:$AU$1004,1,MATCH(COLUMNS($AD$1006:AS1006),$AD$1006:$AU$1006,0)))),"Fix")))</f>
        <v xml:space="preserve"> </v>
      </c>
      <c r="R965" s="4" t="str">
        <f ca="1">IF(OR(INDEX($X$2:$X$1001,MATCH(ROWS($W$2:W965),$W$2:$W$1001,0),1)&gt;=100000,INDEX($AD$1005:$AU$1005,1,MATCH(COLUMNS($AD$1006:AT1006),$AD$1006:$AU$1006,0))&gt;=100000), " ",IF(INDEX($AD$2:$AU$1001,MATCH(ROWS($W$2:W965),$W$2:$W$1001,0),MATCH(COLUMNS($AD$1006:AT1006),$AD$1006:$AU$1006,0)), HYPERLINK("#",""), HYPERLINK(CONCATENATE("#metadata!", ADDRESS(INDEX($Y$2:$Y$1001,MATCH(ROWS($W$2:W965),$W$2:$W$1001,0),0), INDEX($AD$1004:$AU$1004,1,MATCH(COLUMNS($AD$1006:AT1006),$AD$1006:$AU$1006,0)))),"Fix")))</f>
        <v xml:space="preserve"> </v>
      </c>
      <c r="S965" s="4" t="str">
        <f ca="1">IF(OR(INDEX($X$2:$X$1001,MATCH(ROWS($W$2:W965),$W$2:$W$1001,0),1)&gt;=100000,INDEX($AD$1005:$AU$1005,1,MATCH(COLUMNS($AD$1006:AU1006),$AD$1006:$AU$1006,0))&gt;=100000), " ",IF(INDEX($AD$2:$AU$1001,MATCH(ROWS($W$2:W965),$W$2:$W$1001,0),MATCH(COLUMNS($AD$1006:AU1006),$AD$1006:$AU$1006,0)), HYPERLINK("#",""), HYPERLINK(CONCATENATE("#metadata!", ADDRESS(INDEX($Y$2:$Y$1001,MATCH(ROWS($W$2:W965),$W$2:$W$1001,0),0), INDEX($AD$1004:$AU$1004,1,MATCH(COLUMNS($AD$1006:AU1006),$AD$1006:$AU$1006,0)))),"Fix")))</f>
        <v xml:space="preserve"> </v>
      </c>
      <c r="W965">
        <v>964</v>
      </c>
      <c r="X965">
        <v>100965</v>
      </c>
      <c r="Y965">
        <v>965</v>
      </c>
      <c r="Z965" t="b">
        <f t="shared" si="15"/>
        <v>1</v>
      </c>
      <c r="AA965" t="b">
        <f>COUNTBLANK(metadata!B965:S965)=COLUMNS(metadata!B965:S965)</f>
        <v>1</v>
      </c>
      <c r="AB965" t="str">
        <v/>
      </c>
      <c r="AD965" t="b">
        <f ca="1">AND(IF(metadata!B965="",FALSE,TRUE),COUNTIF(metadata!B:B, metadata!B965) = 1,NOT(ISERROR(SUMPRODUCT(SEARCH(MID(metadata!B965,ROW(INDIRECT("1:"&amp;LEN(metadata!B965))), 1),"0123456789abcdefghijklmnopqrstuvwxyzABCDEFGHIJKLMNOPQRSTUVWXYZ.")))))</f>
        <v>0</v>
      </c>
      <c r="AE965" t="b">
        <f>OR(AND(IF(metadata!C965="",FALSE,TRUE),OR(EXACT(metadata!C965,"not applicable"),EXACT(metadata!C965,"missing: not collected"),EXACT(metadata!C965,"missing: not provided"),EXACT(metadata!C965,"missing: restricted access"))),AND(IF(metadata!C965="",FALSE,ISNUMBER(VALUE(metadata!C965))),metadata!C965&gt;0))</f>
        <v>0</v>
      </c>
      <c r="AF965" t="b">
        <f>AND(IF(metadata!D965="",FALSE,TRUE),EXACT(metadata!D965,"missing: not provided"))</f>
        <v>0</v>
      </c>
      <c r="AG965" t="b">
        <f>AND(IF(metadata!E965="",FALSE,TRUE),EXACT(metadata!E965,"Host-associated"))</f>
        <v>0</v>
      </c>
      <c r="AH965" t="b">
        <f>AND(IF(metadata!F965="",FALSE,TRUE),OR(EXACT(metadata!F965,"Animal"),EXACT(metadata!F965,"Fungus"),EXACT(metadata!F965,"Plant")))</f>
        <v>0</v>
      </c>
      <c r="AI965" t="b">
        <f>AND(IF(metadata!G965="",FALSE,TRUE),OR(EXACT(metadata!G965,"Plant secretion"),EXACT(metadata!G965,"Plant rhizosphere"),EXACT(metadata!G965,"Plant surface"),EXACT(metadata!G965,"Plant corpus"),EXACT(metadata!G965,"Fungus surface"),EXACT(metadata!G965,"Fungus corpus"),EXACT(metadata!G965,"Animal surface"),EXACT(metadata!G965,"Animal proximal gut"),EXACT(metadata!G965,"Animal corpus"),EXACT(metadata!G965,"Animal distal gut"),EXACT(metadata!G965,"Animal secretion")))</f>
        <v>0</v>
      </c>
      <c r="AJ965" t="b">
        <f>OR(AND(IF(metadata!H965="",FALSE,TRUE),OR(EXACT(metadata!H965,"missing: not collected"),EXACT(metadata!H965,"missing: not provided"),EXACT(metadata!H965,"missing: restricted access"))),AND(IF(metadata!H965="",FALSE,TRUE),OR(EXACT(metadata!H965,"organism-associated habitat"),EXACT(metadata!H965,"plant-associated habitat"),EXACT(metadata!H965,"animal-associated habitat"),EXACT(metadata!H965,"insecta-associated habitat"),EXACT(metadata!H965,"mammalia-associated habitat"),EXACT(metadata!H965,"human-associated habitat"),EXACT(metadata!H965,"livestock-associated habitat"))))</f>
        <v>0</v>
      </c>
      <c r="AK965" t="b">
        <f>AND(IF(metadata!I965="",FALSE,TRUE),EXACT(metadata!I965,"host-associated"))</f>
        <v>0</v>
      </c>
      <c r="AL965" t="b">
        <f>OR(AND(IF(metadata!J965="",FALSE,TRUE),OR(EXACT(metadata!J965,"not applicable"),EXACT(metadata!J965,"missing: not collected"),EXACT(metadata!J965,"missing: not provided"),EXACT(metadata!J965,"missing: restricted access"))),AND(IF(metadata!J965="",FALSE,ISNUMBER(VALUE(metadata!J965))),metadata!J965&gt;0))</f>
        <v>0</v>
      </c>
      <c r="AM965" t="b">
        <f>AND(IF(metadata!K965="",FALSE,TRUE),EXACT(metadata!K965,"missing: not provided"))</f>
        <v>0</v>
      </c>
      <c r="AN965" t="b">
        <f>IF(metadata!L965="",FALSE,TRUE)</f>
        <v>0</v>
      </c>
      <c r="AO965" t="b">
        <f>IF(metadata!M965="",FALSE,TRUE)</f>
        <v>0</v>
      </c>
      <c r="AP965" t="b">
        <f>OR(AND(IF(metadata!N965="",FALSE,TRUE),OR(EXACT(metadata!N965,"not applicable"),EXACT(metadata!N965,"missing: not collected"),EXACT(metadata!N965,"missing: not provided"))),AND(IF(metadata!N965="",FALSE,IF(ISERROR(INT(metadata!N965)),FALSE,INT(metadata!N965)=metadata!N965)),metadata!N965&gt;0))</f>
        <v>0</v>
      </c>
      <c r="AQ965" t="b">
        <f>AND(IF(metadata!O965="",FALSE,TRUE),EXACT(metadata!O965,"Not applicable"))</f>
        <v>0</v>
      </c>
      <c r="AR965" t="b">
        <f>OR(AND(IF(metadata!P965="",FALSE,TRUE),OR(EXACT(metadata!P965,"not applicable"),EXACT(metadata!P965,"missing: not collected"),EXACT(metadata!P965,"missing: not provided"),EXACT(metadata!P965,"missing: restricted access"))),IF(metadata!P965="",FALSE,IF(ISERROR(INT(metadata!P965)),FALSE,INT(metadata!P965)=metadata!P965)))</f>
        <v>0</v>
      </c>
      <c r="AS965" t="b">
        <f>AND(IF(metadata!Q965="",FALSE,TRUE),EXACT(metadata!Q965,"Not applicable"))</f>
        <v>0</v>
      </c>
      <c r="AT965" t="b">
        <f>OR(AND(IF(metadata!R965="",FALSE,TRUE),OR(EXACT(metadata!R965,"not applicable"),EXACT(metadata!R965,"missing: not collected"),EXACT(metadata!R965,"missing: not provided"),EXACT(metadata!R965,"missing: restricted access"))),AND(IF(metadata!R965="",FALSE,ISNUMBER(VALUE(metadata!R965))),metadata!R965&gt;0))</f>
        <v>0</v>
      </c>
      <c r="AU965" t="b">
        <f>AND(IF(metadata!S965="",FALSE,TRUE),EXACT(metadata!S965,"missing: not provided"))</f>
        <v>0</v>
      </c>
    </row>
    <row r="966" spans="1:47" x14ac:dyDescent="0.2">
      <c r="A966" s="5" t="str">
        <f ca="1">IF(B966=" "," ",HYPERLINK(CONCATENATE("#metadata!",ADDRESS(INDEX($Y$2:$Y$1001,MATCH(ROWS($W$2:W966),$W$2:$W$1001,0),0),1)),INDEX($AB$2:$AB$1001,MATCH(ROWS($W$2:W966),$W$2:$W$1001,0),0)))</f>
        <v xml:space="preserve"> </v>
      </c>
      <c r="B966" s="4" t="str">
        <f ca="1">IF(OR(INDEX($X$2:$X$1001,MATCH(ROWS($W$2:W966),$W$2:$W$1001,0),1)&gt;=100000,INDEX($AD$1005:$AU$1005,1,MATCH(COLUMNS($AD$1006:AD1006),$AD$1006:$AU$1006,0))&gt;=100000), " ",IF(INDEX($AD$2:$AU$1001,MATCH(ROWS($W$2:W966),$W$2:$W$1001,0),MATCH(COLUMNS($AD$1006:AD1006),$AD$1006:$AU$1006,0)), HYPERLINK("#",""), HYPERLINK(CONCATENATE("#metadata!", ADDRESS(INDEX($Y$2:$Y$1001,MATCH(ROWS($W$2:W966),$W$2:$W$1001,0),0), INDEX($AD$1004:$AU$1004,1,MATCH(COLUMNS($AD$1006:AD1006),$AD$1006:$AU$1006,0)))),"Fix")))</f>
        <v xml:space="preserve"> </v>
      </c>
      <c r="C966" s="4" t="str">
        <f ca="1">IF(OR(INDEX($X$2:$X$1001,MATCH(ROWS($W$2:W966),$W$2:$W$1001,0),1)&gt;=100000,INDEX($AD$1005:$AU$1005,1,MATCH(COLUMNS($AD$1006:AE1006),$AD$1006:$AU$1006,0))&gt;=100000), " ",IF(INDEX($AD$2:$AU$1001,MATCH(ROWS($W$2:W966),$W$2:$W$1001,0),MATCH(COLUMNS($AD$1006:AE1006),$AD$1006:$AU$1006,0)), HYPERLINK("#",""), HYPERLINK(CONCATENATE("#metadata!", ADDRESS(INDEX($Y$2:$Y$1001,MATCH(ROWS($W$2:W966),$W$2:$W$1001,0),0), INDEX($AD$1004:$AU$1004,1,MATCH(COLUMNS($AD$1006:AE1006),$AD$1006:$AU$1006,0)))),"Fix")))</f>
        <v xml:space="preserve"> </v>
      </c>
      <c r="D966" s="4" t="str">
        <f ca="1">IF(OR(INDEX($X$2:$X$1001,MATCH(ROWS($W$2:W966),$W$2:$W$1001,0),1)&gt;=100000,INDEX($AD$1005:$AU$1005,1,MATCH(COLUMNS($AD$1006:AF1006),$AD$1006:$AU$1006,0))&gt;=100000), " ",IF(INDEX($AD$2:$AU$1001,MATCH(ROWS($W$2:W966),$W$2:$W$1001,0),MATCH(COLUMNS($AD$1006:AF1006),$AD$1006:$AU$1006,0)), HYPERLINK("#",""), HYPERLINK(CONCATENATE("#metadata!", ADDRESS(INDEX($Y$2:$Y$1001,MATCH(ROWS($W$2:W966),$W$2:$W$1001,0),0), INDEX($AD$1004:$AU$1004,1,MATCH(COLUMNS($AD$1006:AF1006),$AD$1006:$AU$1006,0)))),"Fix")))</f>
        <v xml:space="preserve"> </v>
      </c>
      <c r="E966" s="4" t="str">
        <f ca="1">IF(OR(INDEX($X$2:$X$1001,MATCH(ROWS($W$2:W966),$W$2:$W$1001,0),1)&gt;=100000,INDEX($AD$1005:$AU$1005,1,MATCH(COLUMNS($AD$1006:AG1006),$AD$1006:$AU$1006,0))&gt;=100000), " ",IF(INDEX($AD$2:$AU$1001,MATCH(ROWS($W$2:W966),$W$2:$W$1001,0),MATCH(COLUMNS($AD$1006:AG1006),$AD$1006:$AU$1006,0)), HYPERLINK("#",""), HYPERLINK(CONCATENATE("#metadata!", ADDRESS(INDEX($Y$2:$Y$1001,MATCH(ROWS($W$2:W966),$W$2:$W$1001,0),0), INDEX($AD$1004:$AU$1004,1,MATCH(COLUMNS($AD$1006:AG1006),$AD$1006:$AU$1006,0)))),"Fix")))</f>
        <v xml:space="preserve"> </v>
      </c>
      <c r="F966" s="4" t="str">
        <f ca="1">IF(OR(INDEX($X$2:$X$1001,MATCH(ROWS($W$2:W966),$W$2:$W$1001,0),1)&gt;=100000,INDEX($AD$1005:$AU$1005,1,MATCH(COLUMNS($AD$1006:AH1006),$AD$1006:$AU$1006,0))&gt;=100000), " ",IF(INDEX($AD$2:$AU$1001,MATCH(ROWS($W$2:W966),$W$2:$W$1001,0),MATCH(COLUMNS($AD$1006:AH1006),$AD$1006:$AU$1006,0)), HYPERLINK("#",""), HYPERLINK(CONCATENATE("#metadata!", ADDRESS(INDEX($Y$2:$Y$1001,MATCH(ROWS($W$2:W966),$W$2:$W$1001,0),0), INDEX($AD$1004:$AU$1004,1,MATCH(COLUMNS($AD$1006:AH1006),$AD$1006:$AU$1006,0)))),"Fix")))</f>
        <v xml:space="preserve"> </v>
      </c>
      <c r="G966" s="4" t="str">
        <f ca="1">IF(OR(INDEX($X$2:$X$1001,MATCH(ROWS($W$2:W966),$W$2:$W$1001,0),1)&gt;=100000,INDEX($AD$1005:$AU$1005,1,MATCH(COLUMNS($AD$1006:AI1006),$AD$1006:$AU$1006,0))&gt;=100000), " ",IF(INDEX($AD$2:$AU$1001,MATCH(ROWS($W$2:W966),$W$2:$W$1001,0),MATCH(COLUMNS($AD$1006:AI1006),$AD$1006:$AU$1006,0)), HYPERLINK("#",""), HYPERLINK(CONCATENATE("#metadata!", ADDRESS(INDEX($Y$2:$Y$1001,MATCH(ROWS($W$2:W966),$W$2:$W$1001,0),0), INDEX($AD$1004:$AU$1004,1,MATCH(COLUMNS($AD$1006:AI1006),$AD$1006:$AU$1006,0)))),"Fix")))</f>
        <v xml:space="preserve"> </v>
      </c>
      <c r="H966" s="4" t="str">
        <f ca="1">IF(OR(INDEX($X$2:$X$1001,MATCH(ROWS($W$2:W966),$W$2:$W$1001,0),1)&gt;=100000,INDEX($AD$1005:$AU$1005,1,MATCH(COLUMNS($AD$1006:AJ1006),$AD$1006:$AU$1006,0))&gt;=100000), " ",IF(INDEX($AD$2:$AU$1001,MATCH(ROWS($W$2:W966),$W$2:$W$1001,0),MATCH(COLUMNS($AD$1006:AJ1006),$AD$1006:$AU$1006,0)), HYPERLINK("#",""), HYPERLINK(CONCATENATE("#metadata!", ADDRESS(INDEX($Y$2:$Y$1001,MATCH(ROWS($W$2:W966),$W$2:$W$1001,0),0), INDEX($AD$1004:$AU$1004,1,MATCH(COLUMNS($AD$1006:AJ1006),$AD$1006:$AU$1006,0)))),"Fix")))</f>
        <v xml:space="preserve"> </v>
      </c>
      <c r="I966" s="4" t="str">
        <f ca="1">IF(OR(INDEX($X$2:$X$1001,MATCH(ROWS($W$2:W966),$W$2:$W$1001,0),1)&gt;=100000,INDEX($AD$1005:$AU$1005,1,MATCH(COLUMNS($AD$1006:AK1006),$AD$1006:$AU$1006,0))&gt;=100000), " ",IF(INDEX($AD$2:$AU$1001,MATCH(ROWS($W$2:W966),$W$2:$W$1001,0),MATCH(COLUMNS($AD$1006:AK1006),$AD$1006:$AU$1006,0)), HYPERLINK("#",""), HYPERLINK(CONCATENATE("#metadata!", ADDRESS(INDEX($Y$2:$Y$1001,MATCH(ROWS($W$2:W966),$W$2:$W$1001,0),0), INDEX($AD$1004:$AU$1004,1,MATCH(COLUMNS($AD$1006:AK1006),$AD$1006:$AU$1006,0)))),"Fix")))</f>
        <v xml:space="preserve"> </v>
      </c>
      <c r="J966" s="4" t="str">
        <f ca="1">IF(OR(INDEX($X$2:$X$1001,MATCH(ROWS($W$2:W966),$W$2:$W$1001,0),1)&gt;=100000,INDEX($AD$1005:$AU$1005,1,MATCH(COLUMNS($AD$1006:AL1006),$AD$1006:$AU$1006,0))&gt;=100000), " ",IF(INDEX($AD$2:$AU$1001,MATCH(ROWS($W$2:W966),$W$2:$W$1001,0),MATCH(COLUMNS($AD$1006:AL1006),$AD$1006:$AU$1006,0)), HYPERLINK("#",""), HYPERLINK(CONCATENATE("#metadata!", ADDRESS(INDEX($Y$2:$Y$1001,MATCH(ROWS($W$2:W966),$W$2:$W$1001,0),0), INDEX($AD$1004:$AU$1004,1,MATCH(COLUMNS($AD$1006:AL1006),$AD$1006:$AU$1006,0)))),"Fix")))</f>
        <v xml:space="preserve"> </v>
      </c>
      <c r="K966" s="4" t="str">
        <f ca="1">IF(OR(INDEX($X$2:$X$1001,MATCH(ROWS($W$2:W966),$W$2:$W$1001,0),1)&gt;=100000,INDEX($AD$1005:$AU$1005,1,MATCH(COLUMNS($AD$1006:AM1006),$AD$1006:$AU$1006,0))&gt;=100000), " ",IF(INDEX($AD$2:$AU$1001,MATCH(ROWS($W$2:W966),$W$2:$W$1001,0),MATCH(COLUMNS($AD$1006:AM1006),$AD$1006:$AU$1006,0)), HYPERLINK("#",""), HYPERLINK(CONCATENATE("#metadata!", ADDRESS(INDEX($Y$2:$Y$1001,MATCH(ROWS($W$2:W966),$W$2:$W$1001,0),0), INDEX($AD$1004:$AU$1004,1,MATCH(COLUMNS($AD$1006:AM1006),$AD$1006:$AU$1006,0)))),"Fix")))</f>
        <v xml:space="preserve"> </v>
      </c>
      <c r="L966" s="4" t="str">
        <f ca="1">IF(OR(INDEX($X$2:$X$1001,MATCH(ROWS($W$2:W966),$W$2:$W$1001,0),1)&gt;=100000,INDEX($AD$1005:$AU$1005,1,MATCH(COLUMNS($AD$1006:AN1006),$AD$1006:$AU$1006,0))&gt;=100000), " ",IF(INDEX($AD$2:$AU$1001,MATCH(ROWS($W$2:W966),$W$2:$W$1001,0),MATCH(COLUMNS($AD$1006:AN1006),$AD$1006:$AU$1006,0)), HYPERLINK("#",""), HYPERLINK(CONCATENATE("#metadata!", ADDRESS(INDEX($Y$2:$Y$1001,MATCH(ROWS($W$2:W966),$W$2:$W$1001,0),0), INDEX($AD$1004:$AU$1004,1,MATCH(COLUMNS($AD$1006:AN1006),$AD$1006:$AU$1006,0)))),"Fix")))</f>
        <v xml:space="preserve"> </v>
      </c>
      <c r="M966" s="4" t="str">
        <f ca="1">IF(OR(INDEX($X$2:$X$1001,MATCH(ROWS($W$2:W966),$W$2:$W$1001,0),1)&gt;=100000,INDEX($AD$1005:$AU$1005,1,MATCH(COLUMNS($AD$1006:AO1006),$AD$1006:$AU$1006,0))&gt;=100000), " ",IF(INDEX($AD$2:$AU$1001,MATCH(ROWS($W$2:W966),$W$2:$W$1001,0),MATCH(COLUMNS($AD$1006:AO1006),$AD$1006:$AU$1006,0)), HYPERLINK("#",""), HYPERLINK(CONCATENATE("#metadata!", ADDRESS(INDEX($Y$2:$Y$1001,MATCH(ROWS($W$2:W966),$W$2:$W$1001,0),0), INDEX($AD$1004:$AU$1004,1,MATCH(COLUMNS($AD$1006:AO1006),$AD$1006:$AU$1006,0)))),"Fix")))</f>
        <v xml:space="preserve"> </v>
      </c>
      <c r="N966" s="4" t="str">
        <f ca="1">IF(OR(INDEX($X$2:$X$1001,MATCH(ROWS($W$2:W966),$W$2:$W$1001,0),1)&gt;=100000,INDEX($AD$1005:$AU$1005,1,MATCH(COLUMNS($AD$1006:AP1006),$AD$1006:$AU$1006,0))&gt;=100000), " ",IF(INDEX($AD$2:$AU$1001,MATCH(ROWS($W$2:W966),$W$2:$W$1001,0),MATCH(COLUMNS($AD$1006:AP1006),$AD$1006:$AU$1006,0)), HYPERLINK("#",""), HYPERLINK(CONCATENATE("#metadata!", ADDRESS(INDEX($Y$2:$Y$1001,MATCH(ROWS($W$2:W966),$W$2:$W$1001,0),0), INDEX($AD$1004:$AU$1004,1,MATCH(COLUMNS($AD$1006:AP1006),$AD$1006:$AU$1006,0)))),"Fix")))</f>
        <v xml:space="preserve"> </v>
      </c>
      <c r="O966" s="4" t="str">
        <f ca="1">IF(OR(INDEX($X$2:$X$1001,MATCH(ROWS($W$2:W966),$W$2:$W$1001,0),1)&gt;=100000,INDEX($AD$1005:$AU$1005,1,MATCH(COLUMNS($AD$1006:AQ1006),$AD$1006:$AU$1006,0))&gt;=100000), " ",IF(INDEX($AD$2:$AU$1001,MATCH(ROWS($W$2:W966),$W$2:$W$1001,0),MATCH(COLUMNS($AD$1006:AQ1006),$AD$1006:$AU$1006,0)), HYPERLINK("#",""), HYPERLINK(CONCATENATE("#metadata!", ADDRESS(INDEX($Y$2:$Y$1001,MATCH(ROWS($W$2:W966),$W$2:$W$1001,0),0), INDEX($AD$1004:$AU$1004,1,MATCH(COLUMNS($AD$1006:AQ1006),$AD$1006:$AU$1006,0)))),"Fix")))</f>
        <v xml:space="preserve"> </v>
      </c>
      <c r="P966" s="4" t="str">
        <f ca="1">IF(OR(INDEX($X$2:$X$1001,MATCH(ROWS($W$2:W966),$W$2:$W$1001,0),1)&gt;=100000,INDEX($AD$1005:$AU$1005,1,MATCH(COLUMNS($AD$1006:AR1006),$AD$1006:$AU$1006,0))&gt;=100000), " ",IF(INDEX($AD$2:$AU$1001,MATCH(ROWS($W$2:W966),$W$2:$W$1001,0),MATCH(COLUMNS($AD$1006:AR1006),$AD$1006:$AU$1006,0)), HYPERLINK("#",""), HYPERLINK(CONCATENATE("#metadata!", ADDRESS(INDEX($Y$2:$Y$1001,MATCH(ROWS($W$2:W966),$W$2:$W$1001,0),0), INDEX($AD$1004:$AU$1004,1,MATCH(COLUMNS($AD$1006:AR1006),$AD$1006:$AU$1006,0)))),"Fix")))</f>
        <v xml:space="preserve"> </v>
      </c>
      <c r="Q966" s="4" t="str">
        <f ca="1">IF(OR(INDEX($X$2:$X$1001,MATCH(ROWS($W$2:W966),$W$2:$W$1001,0),1)&gt;=100000,INDEX($AD$1005:$AU$1005,1,MATCH(COLUMNS($AD$1006:AS1006),$AD$1006:$AU$1006,0))&gt;=100000), " ",IF(INDEX($AD$2:$AU$1001,MATCH(ROWS($W$2:W966),$W$2:$W$1001,0),MATCH(COLUMNS($AD$1006:AS1006),$AD$1006:$AU$1006,0)), HYPERLINK("#",""), HYPERLINK(CONCATENATE("#metadata!", ADDRESS(INDEX($Y$2:$Y$1001,MATCH(ROWS($W$2:W966),$W$2:$W$1001,0),0), INDEX($AD$1004:$AU$1004,1,MATCH(COLUMNS($AD$1006:AS1006),$AD$1006:$AU$1006,0)))),"Fix")))</f>
        <v xml:space="preserve"> </v>
      </c>
      <c r="R966" s="4" t="str">
        <f ca="1">IF(OR(INDEX($X$2:$X$1001,MATCH(ROWS($W$2:W966),$W$2:$W$1001,0),1)&gt;=100000,INDEX($AD$1005:$AU$1005,1,MATCH(COLUMNS($AD$1006:AT1006),$AD$1006:$AU$1006,0))&gt;=100000), " ",IF(INDEX($AD$2:$AU$1001,MATCH(ROWS($W$2:W966),$W$2:$W$1001,0),MATCH(COLUMNS($AD$1006:AT1006),$AD$1006:$AU$1006,0)), HYPERLINK("#",""), HYPERLINK(CONCATENATE("#metadata!", ADDRESS(INDEX($Y$2:$Y$1001,MATCH(ROWS($W$2:W966),$W$2:$W$1001,0),0), INDEX($AD$1004:$AU$1004,1,MATCH(COLUMNS($AD$1006:AT1006),$AD$1006:$AU$1006,0)))),"Fix")))</f>
        <v xml:space="preserve"> </v>
      </c>
      <c r="S966" s="4" t="str">
        <f ca="1">IF(OR(INDEX($X$2:$X$1001,MATCH(ROWS($W$2:W966),$W$2:$W$1001,0),1)&gt;=100000,INDEX($AD$1005:$AU$1005,1,MATCH(COLUMNS($AD$1006:AU1006),$AD$1006:$AU$1006,0))&gt;=100000), " ",IF(INDEX($AD$2:$AU$1001,MATCH(ROWS($W$2:W966),$W$2:$W$1001,0),MATCH(COLUMNS($AD$1006:AU1006),$AD$1006:$AU$1006,0)), HYPERLINK("#",""), HYPERLINK(CONCATENATE("#metadata!", ADDRESS(INDEX($Y$2:$Y$1001,MATCH(ROWS($W$2:W966),$W$2:$W$1001,0),0), INDEX($AD$1004:$AU$1004,1,MATCH(COLUMNS($AD$1006:AU1006),$AD$1006:$AU$1006,0)))),"Fix")))</f>
        <v xml:space="preserve"> </v>
      </c>
      <c r="W966">
        <v>965</v>
      </c>
      <c r="X966">
        <v>100966</v>
      </c>
      <c r="Y966">
        <v>966</v>
      </c>
      <c r="Z966" t="b">
        <f t="shared" si="15"/>
        <v>1</v>
      </c>
      <c r="AA966" t="b">
        <f>COUNTBLANK(metadata!B966:S966)=COLUMNS(metadata!B966:S966)</f>
        <v>1</v>
      </c>
      <c r="AB966" t="str">
        <v/>
      </c>
      <c r="AD966" t="b">
        <f ca="1">AND(IF(metadata!B966="",FALSE,TRUE),COUNTIF(metadata!B:B, metadata!B966) = 1,NOT(ISERROR(SUMPRODUCT(SEARCH(MID(metadata!B966,ROW(INDIRECT("1:"&amp;LEN(metadata!B966))), 1),"0123456789abcdefghijklmnopqrstuvwxyzABCDEFGHIJKLMNOPQRSTUVWXYZ.")))))</f>
        <v>0</v>
      </c>
      <c r="AE966" t="b">
        <f>OR(AND(IF(metadata!C966="",FALSE,TRUE),OR(EXACT(metadata!C966,"not applicable"),EXACT(metadata!C966,"missing: not collected"),EXACT(metadata!C966,"missing: not provided"),EXACT(metadata!C966,"missing: restricted access"))),AND(IF(metadata!C966="",FALSE,ISNUMBER(VALUE(metadata!C966))),metadata!C966&gt;0))</f>
        <v>0</v>
      </c>
      <c r="AF966" t="b">
        <f>AND(IF(metadata!D966="",FALSE,TRUE),EXACT(metadata!D966,"missing: not provided"))</f>
        <v>0</v>
      </c>
      <c r="AG966" t="b">
        <f>AND(IF(metadata!E966="",FALSE,TRUE),EXACT(metadata!E966,"Host-associated"))</f>
        <v>0</v>
      </c>
      <c r="AH966" t="b">
        <f>AND(IF(metadata!F966="",FALSE,TRUE),OR(EXACT(metadata!F966,"Animal"),EXACT(metadata!F966,"Fungus"),EXACT(metadata!F966,"Plant")))</f>
        <v>0</v>
      </c>
      <c r="AI966" t="b">
        <f>AND(IF(metadata!G966="",FALSE,TRUE),OR(EXACT(metadata!G966,"Plant secretion"),EXACT(metadata!G966,"Plant rhizosphere"),EXACT(metadata!G966,"Plant surface"),EXACT(metadata!G966,"Plant corpus"),EXACT(metadata!G966,"Fungus surface"),EXACT(metadata!G966,"Fungus corpus"),EXACT(metadata!G966,"Animal surface"),EXACT(metadata!G966,"Animal proximal gut"),EXACT(metadata!G966,"Animal corpus"),EXACT(metadata!G966,"Animal distal gut"),EXACT(metadata!G966,"Animal secretion")))</f>
        <v>0</v>
      </c>
      <c r="AJ966" t="b">
        <f>OR(AND(IF(metadata!H966="",FALSE,TRUE),OR(EXACT(metadata!H966,"missing: not collected"),EXACT(metadata!H966,"missing: not provided"),EXACT(metadata!H966,"missing: restricted access"))),AND(IF(metadata!H966="",FALSE,TRUE),OR(EXACT(metadata!H966,"organism-associated habitat"),EXACT(metadata!H966,"plant-associated habitat"),EXACT(metadata!H966,"animal-associated habitat"),EXACT(metadata!H966,"insecta-associated habitat"),EXACT(metadata!H966,"mammalia-associated habitat"),EXACT(metadata!H966,"human-associated habitat"),EXACT(metadata!H966,"livestock-associated habitat"))))</f>
        <v>0</v>
      </c>
      <c r="AK966" t="b">
        <f>AND(IF(metadata!I966="",FALSE,TRUE),EXACT(metadata!I966,"host-associated"))</f>
        <v>0</v>
      </c>
      <c r="AL966" t="b">
        <f>OR(AND(IF(metadata!J966="",FALSE,TRUE),OR(EXACT(metadata!J966,"not applicable"),EXACT(metadata!J966,"missing: not collected"),EXACT(metadata!J966,"missing: not provided"),EXACT(metadata!J966,"missing: restricted access"))),AND(IF(metadata!J966="",FALSE,ISNUMBER(VALUE(metadata!J966))),metadata!J966&gt;0))</f>
        <v>0</v>
      </c>
      <c r="AM966" t="b">
        <f>AND(IF(metadata!K966="",FALSE,TRUE),EXACT(metadata!K966,"missing: not provided"))</f>
        <v>0</v>
      </c>
      <c r="AN966" t="b">
        <f>IF(metadata!L966="",FALSE,TRUE)</f>
        <v>0</v>
      </c>
      <c r="AO966" t="b">
        <f>IF(metadata!M966="",FALSE,TRUE)</f>
        <v>0</v>
      </c>
      <c r="AP966" t="b">
        <f>OR(AND(IF(metadata!N966="",FALSE,TRUE),OR(EXACT(metadata!N966,"not applicable"),EXACT(metadata!N966,"missing: not collected"),EXACT(metadata!N966,"missing: not provided"))),AND(IF(metadata!N966="",FALSE,IF(ISERROR(INT(metadata!N966)),FALSE,INT(metadata!N966)=metadata!N966)),metadata!N966&gt;0))</f>
        <v>0</v>
      </c>
      <c r="AQ966" t="b">
        <f>AND(IF(metadata!O966="",FALSE,TRUE),EXACT(metadata!O966,"Not applicable"))</f>
        <v>0</v>
      </c>
      <c r="AR966" t="b">
        <f>OR(AND(IF(metadata!P966="",FALSE,TRUE),OR(EXACT(metadata!P966,"not applicable"),EXACT(metadata!P966,"missing: not collected"),EXACT(metadata!P966,"missing: not provided"),EXACT(metadata!P966,"missing: restricted access"))),IF(metadata!P966="",FALSE,IF(ISERROR(INT(metadata!P966)),FALSE,INT(metadata!P966)=metadata!P966)))</f>
        <v>0</v>
      </c>
      <c r="AS966" t="b">
        <f>AND(IF(metadata!Q966="",FALSE,TRUE),EXACT(metadata!Q966,"Not applicable"))</f>
        <v>0</v>
      </c>
      <c r="AT966" t="b">
        <f>OR(AND(IF(metadata!R966="",FALSE,TRUE),OR(EXACT(metadata!R966,"not applicable"),EXACT(metadata!R966,"missing: not collected"),EXACT(metadata!R966,"missing: not provided"),EXACT(metadata!R966,"missing: restricted access"))),AND(IF(metadata!R966="",FALSE,ISNUMBER(VALUE(metadata!R966))),metadata!R966&gt;0))</f>
        <v>0</v>
      </c>
      <c r="AU966" t="b">
        <f>AND(IF(metadata!S966="",FALSE,TRUE),EXACT(metadata!S966,"missing: not provided"))</f>
        <v>0</v>
      </c>
    </row>
    <row r="967" spans="1:47" x14ac:dyDescent="0.2">
      <c r="A967" s="5" t="str">
        <f ca="1">IF(B967=" "," ",HYPERLINK(CONCATENATE("#metadata!",ADDRESS(INDEX($Y$2:$Y$1001,MATCH(ROWS($W$2:W967),$W$2:$W$1001,0),0),1)),INDEX($AB$2:$AB$1001,MATCH(ROWS($W$2:W967),$W$2:$W$1001,0),0)))</f>
        <v xml:space="preserve"> </v>
      </c>
      <c r="B967" s="4" t="str">
        <f ca="1">IF(OR(INDEX($X$2:$X$1001,MATCH(ROWS($W$2:W967),$W$2:$W$1001,0),1)&gt;=100000,INDEX($AD$1005:$AU$1005,1,MATCH(COLUMNS($AD$1006:AD1006),$AD$1006:$AU$1006,0))&gt;=100000), " ",IF(INDEX($AD$2:$AU$1001,MATCH(ROWS($W$2:W967),$W$2:$W$1001,0),MATCH(COLUMNS($AD$1006:AD1006),$AD$1006:$AU$1006,0)), HYPERLINK("#",""), HYPERLINK(CONCATENATE("#metadata!", ADDRESS(INDEX($Y$2:$Y$1001,MATCH(ROWS($W$2:W967),$W$2:$W$1001,0),0), INDEX($AD$1004:$AU$1004,1,MATCH(COLUMNS($AD$1006:AD1006),$AD$1006:$AU$1006,0)))),"Fix")))</f>
        <v xml:space="preserve"> </v>
      </c>
      <c r="C967" s="4" t="str">
        <f ca="1">IF(OR(INDEX($X$2:$X$1001,MATCH(ROWS($W$2:W967),$W$2:$W$1001,0),1)&gt;=100000,INDEX($AD$1005:$AU$1005,1,MATCH(COLUMNS($AD$1006:AE1006),$AD$1006:$AU$1006,0))&gt;=100000), " ",IF(INDEX($AD$2:$AU$1001,MATCH(ROWS($W$2:W967),$W$2:$W$1001,0),MATCH(COLUMNS($AD$1006:AE1006),$AD$1006:$AU$1006,0)), HYPERLINK("#",""), HYPERLINK(CONCATENATE("#metadata!", ADDRESS(INDEX($Y$2:$Y$1001,MATCH(ROWS($W$2:W967),$W$2:$W$1001,0),0), INDEX($AD$1004:$AU$1004,1,MATCH(COLUMNS($AD$1006:AE1006),$AD$1006:$AU$1006,0)))),"Fix")))</f>
        <v xml:space="preserve"> </v>
      </c>
      <c r="D967" s="4" t="str">
        <f ca="1">IF(OR(INDEX($X$2:$X$1001,MATCH(ROWS($W$2:W967),$W$2:$W$1001,0),1)&gt;=100000,INDEX($AD$1005:$AU$1005,1,MATCH(COLUMNS($AD$1006:AF1006),$AD$1006:$AU$1006,0))&gt;=100000), " ",IF(INDEX($AD$2:$AU$1001,MATCH(ROWS($W$2:W967),$W$2:$W$1001,0),MATCH(COLUMNS($AD$1006:AF1006),$AD$1006:$AU$1006,0)), HYPERLINK("#",""), HYPERLINK(CONCATENATE("#metadata!", ADDRESS(INDEX($Y$2:$Y$1001,MATCH(ROWS($W$2:W967),$W$2:$W$1001,0),0), INDEX($AD$1004:$AU$1004,1,MATCH(COLUMNS($AD$1006:AF1006),$AD$1006:$AU$1006,0)))),"Fix")))</f>
        <v xml:space="preserve"> </v>
      </c>
      <c r="E967" s="4" t="str">
        <f ca="1">IF(OR(INDEX($X$2:$X$1001,MATCH(ROWS($W$2:W967),$W$2:$W$1001,0),1)&gt;=100000,INDEX($AD$1005:$AU$1005,1,MATCH(COLUMNS($AD$1006:AG1006),$AD$1006:$AU$1006,0))&gt;=100000), " ",IF(INDEX($AD$2:$AU$1001,MATCH(ROWS($W$2:W967),$W$2:$W$1001,0),MATCH(COLUMNS($AD$1006:AG1006),$AD$1006:$AU$1006,0)), HYPERLINK("#",""), HYPERLINK(CONCATENATE("#metadata!", ADDRESS(INDEX($Y$2:$Y$1001,MATCH(ROWS($W$2:W967),$W$2:$W$1001,0),0), INDEX($AD$1004:$AU$1004,1,MATCH(COLUMNS($AD$1006:AG1006),$AD$1006:$AU$1006,0)))),"Fix")))</f>
        <v xml:space="preserve"> </v>
      </c>
      <c r="F967" s="4" t="str">
        <f ca="1">IF(OR(INDEX($X$2:$X$1001,MATCH(ROWS($W$2:W967),$W$2:$W$1001,0),1)&gt;=100000,INDEX($AD$1005:$AU$1005,1,MATCH(COLUMNS($AD$1006:AH1006),$AD$1006:$AU$1006,0))&gt;=100000), " ",IF(INDEX($AD$2:$AU$1001,MATCH(ROWS($W$2:W967),$W$2:$W$1001,0),MATCH(COLUMNS($AD$1006:AH1006),$AD$1006:$AU$1006,0)), HYPERLINK("#",""), HYPERLINK(CONCATENATE("#metadata!", ADDRESS(INDEX($Y$2:$Y$1001,MATCH(ROWS($W$2:W967),$W$2:$W$1001,0),0), INDEX($AD$1004:$AU$1004,1,MATCH(COLUMNS($AD$1006:AH1006),$AD$1006:$AU$1006,0)))),"Fix")))</f>
        <v xml:space="preserve"> </v>
      </c>
      <c r="G967" s="4" t="str">
        <f ca="1">IF(OR(INDEX($X$2:$X$1001,MATCH(ROWS($W$2:W967),$W$2:$W$1001,0),1)&gt;=100000,INDEX($AD$1005:$AU$1005,1,MATCH(COLUMNS($AD$1006:AI1006),$AD$1006:$AU$1006,0))&gt;=100000), " ",IF(INDEX($AD$2:$AU$1001,MATCH(ROWS($W$2:W967),$W$2:$W$1001,0),MATCH(COLUMNS($AD$1006:AI1006),$AD$1006:$AU$1006,0)), HYPERLINK("#",""), HYPERLINK(CONCATENATE("#metadata!", ADDRESS(INDEX($Y$2:$Y$1001,MATCH(ROWS($W$2:W967),$W$2:$W$1001,0),0), INDEX($AD$1004:$AU$1004,1,MATCH(COLUMNS($AD$1006:AI1006),$AD$1006:$AU$1006,0)))),"Fix")))</f>
        <v xml:space="preserve"> </v>
      </c>
      <c r="H967" s="4" t="str">
        <f ca="1">IF(OR(INDEX($X$2:$X$1001,MATCH(ROWS($W$2:W967),$W$2:$W$1001,0),1)&gt;=100000,INDEX($AD$1005:$AU$1005,1,MATCH(COLUMNS($AD$1006:AJ1006),$AD$1006:$AU$1006,0))&gt;=100000), " ",IF(INDEX($AD$2:$AU$1001,MATCH(ROWS($W$2:W967),$W$2:$W$1001,0),MATCH(COLUMNS($AD$1006:AJ1006),$AD$1006:$AU$1006,0)), HYPERLINK("#",""), HYPERLINK(CONCATENATE("#metadata!", ADDRESS(INDEX($Y$2:$Y$1001,MATCH(ROWS($W$2:W967),$W$2:$W$1001,0),0), INDEX($AD$1004:$AU$1004,1,MATCH(COLUMNS($AD$1006:AJ1006),$AD$1006:$AU$1006,0)))),"Fix")))</f>
        <v xml:space="preserve"> </v>
      </c>
      <c r="I967" s="4" t="str">
        <f ca="1">IF(OR(INDEX($X$2:$X$1001,MATCH(ROWS($W$2:W967),$W$2:$W$1001,0),1)&gt;=100000,INDEX($AD$1005:$AU$1005,1,MATCH(COLUMNS($AD$1006:AK1006),$AD$1006:$AU$1006,0))&gt;=100000), " ",IF(INDEX($AD$2:$AU$1001,MATCH(ROWS($W$2:W967),$W$2:$W$1001,0),MATCH(COLUMNS($AD$1006:AK1006),$AD$1006:$AU$1006,0)), HYPERLINK("#",""), HYPERLINK(CONCATENATE("#metadata!", ADDRESS(INDEX($Y$2:$Y$1001,MATCH(ROWS($W$2:W967),$W$2:$W$1001,0),0), INDEX($AD$1004:$AU$1004,1,MATCH(COLUMNS($AD$1006:AK1006),$AD$1006:$AU$1006,0)))),"Fix")))</f>
        <v xml:space="preserve"> </v>
      </c>
      <c r="J967" s="4" t="str">
        <f ca="1">IF(OR(INDEX($X$2:$X$1001,MATCH(ROWS($W$2:W967),$W$2:$W$1001,0),1)&gt;=100000,INDEX($AD$1005:$AU$1005,1,MATCH(COLUMNS($AD$1006:AL1006),$AD$1006:$AU$1006,0))&gt;=100000), " ",IF(INDEX($AD$2:$AU$1001,MATCH(ROWS($W$2:W967),$W$2:$W$1001,0),MATCH(COLUMNS($AD$1006:AL1006),$AD$1006:$AU$1006,0)), HYPERLINK("#",""), HYPERLINK(CONCATENATE("#metadata!", ADDRESS(INDEX($Y$2:$Y$1001,MATCH(ROWS($W$2:W967),$W$2:$W$1001,0),0), INDEX($AD$1004:$AU$1004,1,MATCH(COLUMNS($AD$1006:AL1006),$AD$1006:$AU$1006,0)))),"Fix")))</f>
        <v xml:space="preserve"> </v>
      </c>
      <c r="K967" s="4" t="str">
        <f ca="1">IF(OR(INDEX($X$2:$X$1001,MATCH(ROWS($W$2:W967),$W$2:$W$1001,0),1)&gt;=100000,INDEX($AD$1005:$AU$1005,1,MATCH(COLUMNS($AD$1006:AM1006),$AD$1006:$AU$1006,0))&gt;=100000), " ",IF(INDEX($AD$2:$AU$1001,MATCH(ROWS($W$2:W967),$W$2:$W$1001,0),MATCH(COLUMNS($AD$1006:AM1006),$AD$1006:$AU$1006,0)), HYPERLINK("#",""), HYPERLINK(CONCATENATE("#metadata!", ADDRESS(INDEX($Y$2:$Y$1001,MATCH(ROWS($W$2:W967),$W$2:$W$1001,0),0), INDEX($AD$1004:$AU$1004,1,MATCH(COLUMNS($AD$1006:AM1006),$AD$1006:$AU$1006,0)))),"Fix")))</f>
        <v xml:space="preserve"> </v>
      </c>
      <c r="L967" s="4" t="str">
        <f ca="1">IF(OR(INDEX($X$2:$X$1001,MATCH(ROWS($W$2:W967),$W$2:$W$1001,0),1)&gt;=100000,INDEX($AD$1005:$AU$1005,1,MATCH(COLUMNS($AD$1006:AN1006),$AD$1006:$AU$1006,0))&gt;=100000), " ",IF(INDEX($AD$2:$AU$1001,MATCH(ROWS($W$2:W967),$W$2:$W$1001,0),MATCH(COLUMNS($AD$1006:AN1006),$AD$1006:$AU$1006,0)), HYPERLINK("#",""), HYPERLINK(CONCATENATE("#metadata!", ADDRESS(INDEX($Y$2:$Y$1001,MATCH(ROWS($W$2:W967),$W$2:$W$1001,0),0), INDEX($AD$1004:$AU$1004,1,MATCH(COLUMNS($AD$1006:AN1006),$AD$1006:$AU$1006,0)))),"Fix")))</f>
        <v xml:space="preserve"> </v>
      </c>
      <c r="M967" s="4" t="str">
        <f ca="1">IF(OR(INDEX($X$2:$X$1001,MATCH(ROWS($W$2:W967),$W$2:$W$1001,0),1)&gt;=100000,INDEX($AD$1005:$AU$1005,1,MATCH(COLUMNS($AD$1006:AO1006),$AD$1006:$AU$1006,0))&gt;=100000), " ",IF(INDEX($AD$2:$AU$1001,MATCH(ROWS($W$2:W967),$W$2:$W$1001,0),MATCH(COLUMNS($AD$1006:AO1006),$AD$1006:$AU$1006,0)), HYPERLINK("#",""), HYPERLINK(CONCATENATE("#metadata!", ADDRESS(INDEX($Y$2:$Y$1001,MATCH(ROWS($W$2:W967),$W$2:$W$1001,0),0), INDEX($AD$1004:$AU$1004,1,MATCH(COLUMNS($AD$1006:AO1006),$AD$1006:$AU$1006,0)))),"Fix")))</f>
        <v xml:space="preserve"> </v>
      </c>
      <c r="N967" s="4" t="str">
        <f ca="1">IF(OR(INDEX($X$2:$X$1001,MATCH(ROWS($W$2:W967),$W$2:$W$1001,0),1)&gt;=100000,INDEX($AD$1005:$AU$1005,1,MATCH(COLUMNS($AD$1006:AP1006),$AD$1006:$AU$1006,0))&gt;=100000), " ",IF(INDEX($AD$2:$AU$1001,MATCH(ROWS($W$2:W967),$W$2:$W$1001,0),MATCH(COLUMNS($AD$1006:AP1006),$AD$1006:$AU$1006,0)), HYPERLINK("#",""), HYPERLINK(CONCATENATE("#metadata!", ADDRESS(INDEX($Y$2:$Y$1001,MATCH(ROWS($W$2:W967),$W$2:$W$1001,0),0), INDEX($AD$1004:$AU$1004,1,MATCH(COLUMNS($AD$1006:AP1006),$AD$1006:$AU$1006,0)))),"Fix")))</f>
        <v xml:space="preserve"> </v>
      </c>
      <c r="O967" s="4" t="str">
        <f ca="1">IF(OR(INDEX($X$2:$X$1001,MATCH(ROWS($W$2:W967),$W$2:$W$1001,0),1)&gt;=100000,INDEX($AD$1005:$AU$1005,1,MATCH(COLUMNS($AD$1006:AQ1006),$AD$1006:$AU$1006,0))&gt;=100000), " ",IF(INDEX($AD$2:$AU$1001,MATCH(ROWS($W$2:W967),$W$2:$W$1001,0),MATCH(COLUMNS($AD$1006:AQ1006),$AD$1006:$AU$1006,0)), HYPERLINK("#",""), HYPERLINK(CONCATENATE("#metadata!", ADDRESS(INDEX($Y$2:$Y$1001,MATCH(ROWS($W$2:W967),$W$2:$W$1001,0),0), INDEX($AD$1004:$AU$1004,1,MATCH(COLUMNS($AD$1006:AQ1006),$AD$1006:$AU$1006,0)))),"Fix")))</f>
        <v xml:space="preserve"> </v>
      </c>
      <c r="P967" s="4" t="str">
        <f ca="1">IF(OR(INDEX($X$2:$X$1001,MATCH(ROWS($W$2:W967),$W$2:$W$1001,0),1)&gt;=100000,INDEX($AD$1005:$AU$1005,1,MATCH(COLUMNS($AD$1006:AR1006),$AD$1006:$AU$1006,0))&gt;=100000), " ",IF(INDEX($AD$2:$AU$1001,MATCH(ROWS($W$2:W967),$W$2:$W$1001,0),MATCH(COLUMNS($AD$1006:AR1006),$AD$1006:$AU$1006,0)), HYPERLINK("#",""), HYPERLINK(CONCATENATE("#metadata!", ADDRESS(INDEX($Y$2:$Y$1001,MATCH(ROWS($W$2:W967),$W$2:$W$1001,0),0), INDEX($AD$1004:$AU$1004,1,MATCH(COLUMNS($AD$1006:AR1006),$AD$1006:$AU$1006,0)))),"Fix")))</f>
        <v xml:space="preserve"> </v>
      </c>
      <c r="Q967" s="4" t="str">
        <f ca="1">IF(OR(INDEX($X$2:$X$1001,MATCH(ROWS($W$2:W967),$W$2:$W$1001,0),1)&gt;=100000,INDEX($AD$1005:$AU$1005,1,MATCH(COLUMNS($AD$1006:AS1006),$AD$1006:$AU$1006,0))&gt;=100000), " ",IF(INDEX($AD$2:$AU$1001,MATCH(ROWS($W$2:W967),$W$2:$W$1001,0),MATCH(COLUMNS($AD$1006:AS1006),$AD$1006:$AU$1006,0)), HYPERLINK("#",""), HYPERLINK(CONCATENATE("#metadata!", ADDRESS(INDEX($Y$2:$Y$1001,MATCH(ROWS($W$2:W967),$W$2:$W$1001,0),0), INDEX($AD$1004:$AU$1004,1,MATCH(COLUMNS($AD$1006:AS1006),$AD$1006:$AU$1006,0)))),"Fix")))</f>
        <v xml:space="preserve"> </v>
      </c>
      <c r="R967" s="4" t="str">
        <f ca="1">IF(OR(INDEX($X$2:$X$1001,MATCH(ROWS($W$2:W967),$W$2:$W$1001,0),1)&gt;=100000,INDEX($AD$1005:$AU$1005,1,MATCH(COLUMNS($AD$1006:AT1006),$AD$1006:$AU$1006,0))&gt;=100000), " ",IF(INDEX($AD$2:$AU$1001,MATCH(ROWS($W$2:W967),$W$2:$W$1001,0),MATCH(COLUMNS($AD$1006:AT1006),$AD$1006:$AU$1006,0)), HYPERLINK("#",""), HYPERLINK(CONCATENATE("#metadata!", ADDRESS(INDEX($Y$2:$Y$1001,MATCH(ROWS($W$2:W967),$W$2:$W$1001,0),0), INDEX($AD$1004:$AU$1004,1,MATCH(COLUMNS($AD$1006:AT1006),$AD$1006:$AU$1006,0)))),"Fix")))</f>
        <v xml:space="preserve"> </v>
      </c>
      <c r="S967" s="4" t="str">
        <f ca="1">IF(OR(INDEX($X$2:$X$1001,MATCH(ROWS($W$2:W967),$W$2:$W$1001,0),1)&gt;=100000,INDEX($AD$1005:$AU$1005,1,MATCH(COLUMNS($AD$1006:AU1006),$AD$1006:$AU$1006,0))&gt;=100000), " ",IF(INDEX($AD$2:$AU$1001,MATCH(ROWS($W$2:W967),$W$2:$W$1001,0),MATCH(COLUMNS($AD$1006:AU1006),$AD$1006:$AU$1006,0)), HYPERLINK("#",""), HYPERLINK(CONCATENATE("#metadata!", ADDRESS(INDEX($Y$2:$Y$1001,MATCH(ROWS($W$2:W967),$W$2:$W$1001,0),0), INDEX($AD$1004:$AU$1004,1,MATCH(COLUMNS($AD$1006:AU1006),$AD$1006:$AU$1006,0)))),"Fix")))</f>
        <v xml:space="preserve"> </v>
      </c>
      <c r="W967">
        <v>966</v>
      </c>
      <c r="X967">
        <v>100967</v>
      </c>
      <c r="Y967">
        <v>967</v>
      </c>
      <c r="Z967" t="b">
        <f t="shared" si="15"/>
        <v>1</v>
      </c>
      <c r="AA967" t="b">
        <f>COUNTBLANK(metadata!B967:S967)=COLUMNS(metadata!B967:S967)</f>
        <v>1</v>
      </c>
      <c r="AB967" t="str">
        <v/>
      </c>
      <c r="AD967" t="b">
        <f ca="1">AND(IF(metadata!B967="",FALSE,TRUE),COUNTIF(metadata!B:B, metadata!B967) = 1,NOT(ISERROR(SUMPRODUCT(SEARCH(MID(metadata!B967,ROW(INDIRECT("1:"&amp;LEN(metadata!B967))), 1),"0123456789abcdefghijklmnopqrstuvwxyzABCDEFGHIJKLMNOPQRSTUVWXYZ.")))))</f>
        <v>0</v>
      </c>
      <c r="AE967" t="b">
        <f>OR(AND(IF(metadata!C967="",FALSE,TRUE),OR(EXACT(metadata!C967,"not applicable"),EXACT(metadata!C967,"missing: not collected"),EXACT(metadata!C967,"missing: not provided"),EXACT(metadata!C967,"missing: restricted access"))),AND(IF(metadata!C967="",FALSE,ISNUMBER(VALUE(metadata!C967))),metadata!C967&gt;0))</f>
        <v>0</v>
      </c>
      <c r="AF967" t="b">
        <f>AND(IF(metadata!D967="",FALSE,TRUE),EXACT(metadata!D967,"missing: not provided"))</f>
        <v>0</v>
      </c>
      <c r="AG967" t="b">
        <f>AND(IF(metadata!E967="",FALSE,TRUE),EXACT(metadata!E967,"Host-associated"))</f>
        <v>0</v>
      </c>
      <c r="AH967" t="b">
        <f>AND(IF(metadata!F967="",FALSE,TRUE),OR(EXACT(metadata!F967,"Animal"),EXACT(metadata!F967,"Fungus"),EXACT(metadata!F967,"Plant")))</f>
        <v>0</v>
      </c>
      <c r="AI967" t="b">
        <f>AND(IF(metadata!G967="",FALSE,TRUE),OR(EXACT(metadata!G967,"Plant secretion"),EXACT(metadata!G967,"Plant rhizosphere"),EXACT(metadata!G967,"Plant surface"),EXACT(metadata!G967,"Plant corpus"),EXACT(metadata!G967,"Fungus surface"),EXACT(metadata!G967,"Fungus corpus"),EXACT(metadata!G967,"Animal surface"),EXACT(metadata!G967,"Animal proximal gut"),EXACT(metadata!G967,"Animal corpus"),EXACT(metadata!G967,"Animal distal gut"),EXACT(metadata!G967,"Animal secretion")))</f>
        <v>0</v>
      </c>
      <c r="AJ967" t="b">
        <f>OR(AND(IF(metadata!H967="",FALSE,TRUE),OR(EXACT(metadata!H967,"missing: not collected"),EXACT(metadata!H967,"missing: not provided"),EXACT(metadata!H967,"missing: restricted access"))),AND(IF(metadata!H967="",FALSE,TRUE),OR(EXACT(metadata!H967,"organism-associated habitat"),EXACT(metadata!H967,"plant-associated habitat"),EXACT(metadata!H967,"animal-associated habitat"),EXACT(metadata!H967,"insecta-associated habitat"),EXACT(metadata!H967,"mammalia-associated habitat"),EXACT(metadata!H967,"human-associated habitat"),EXACT(metadata!H967,"livestock-associated habitat"))))</f>
        <v>0</v>
      </c>
      <c r="AK967" t="b">
        <f>AND(IF(metadata!I967="",FALSE,TRUE),EXACT(metadata!I967,"host-associated"))</f>
        <v>0</v>
      </c>
      <c r="AL967" t="b">
        <f>OR(AND(IF(metadata!J967="",FALSE,TRUE),OR(EXACT(metadata!J967,"not applicable"),EXACT(metadata!J967,"missing: not collected"),EXACT(metadata!J967,"missing: not provided"),EXACT(metadata!J967,"missing: restricted access"))),AND(IF(metadata!J967="",FALSE,ISNUMBER(VALUE(metadata!J967))),metadata!J967&gt;0))</f>
        <v>0</v>
      </c>
      <c r="AM967" t="b">
        <f>AND(IF(metadata!K967="",FALSE,TRUE),EXACT(metadata!K967,"missing: not provided"))</f>
        <v>0</v>
      </c>
      <c r="AN967" t="b">
        <f>IF(metadata!L967="",FALSE,TRUE)</f>
        <v>0</v>
      </c>
      <c r="AO967" t="b">
        <f>IF(metadata!M967="",FALSE,TRUE)</f>
        <v>0</v>
      </c>
      <c r="AP967" t="b">
        <f>OR(AND(IF(metadata!N967="",FALSE,TRUE),OR(EXACT(metadata!N967,"not applicable"),EXACT(metadata!N967,"missing: not collected"),EXACT(metadata!N967,"missing: not provided"))),AND(IF(metadata!N967="",FALSE,IF(ISERROR(INT(metadata!N967)),FALSE,INT(metadata!N967)=metadata!N967)),metadata!N967&gt;0))</f>
        <v>0</v>
      </c>
      <c r="AQ967" t="b">
        <f>AND(IF(metadata!O967="",FALSE,TRUE),EXACT(metadata!O967,"Not applicable"))</f>
        <v>0</v>
      </c>
      <c r="AR967" t="b">
        <f>OR(AND(IF(metadata!P967="",FALSE,TRUE),OR(EXACT(metadata!P967,"not applicable"),EXACT(metadata!P967,"missing: not collected"),EXACT(metadata!P967,"missing: not provided"),EXACT(metadata!P967,"missing: restricted access"))),IF(metadata!P967="",FALSE,IF(ISERROR(INT(metadata!P967)),FALSE,INT(metadata!P967)=metadata!P967)))</f>
        <v>0</v>
      </c>
      <c r="AS967" t="b">
        <f>AND(IF(metadata!Q967="",FALSE,TRUE),EXACT(metadata!Q967,"Not applicable"))</f>
        <v>0</v>
      </c>
      <c r="AT967" t="b">
        <f>OR(AND(IF(metadata!R967="",FALSE,TRUE),OR(EXACT(metadata!R967,"not applicable"),EXACT(metadata!R967,"missing: not collected"),EXACT(metadata!R967,"missing: not provided"),EXACT(metadata!R967,"missing: restricted access"))),AND(IF(metadata!R967="",FALSE,ISNUMBER(VALUE(metadata!R967))),metadata!R967&gt;0))</f>
        <v>0</v>
      </c>
      <c r="AU967" t="b">
        <f>AND(IF(metadata!S967="",FALSE,TRUE),EXACT(metadata!S967,"missing: not provided"))</f>
        <v>0</v>
      </c>
    </row>
    <row r="968" spans="1:47" x14ac:dyDescent="0.2">
      <c r="A968" s="5" t="str">
        <f ca="1">IF(B968=" "," ",HYPERLINK(CONCATENATE("#metadata!",ADDRESS(INDEX($Y$2:$Y$1001,MATCH(ROWS($W$2:W968),$W$2:$W$1001,0),0),1)),INDEX($AB$2:$AB$1001,MATCH(ROWS($W$2:W968),$W$2:$W$1001,0),0)))</f>
        <v xml:space="preserve"> </v>
      </c>
      <c r="B968" s="4" t="str">
        <f ca="1">IF(OR(INDEX($X$2:$X$1001,MATCH(ROWS($W$2:W968),$W$2:$W$1001,0),1)&gt;=100000,INDEX($AD$1005:$AU$1005,1,MATCH(COLUMNS($AD$1006:AD1006),$AD$1006:$AU$1006,0))&gt;=100000), " ",IF(INDEX($AD$2:$AU$1001,MATCH(ROWS($W$2:W968),$W$2:$W$1001,0),MATCH(COLUMNS($AD$1006:AD1006),$AD$1006:$AU$1006,0)), HYPERLINK("#",""), HYPERLINK(CONCATENATE("#metadata!", ADDRESS(INDEX($Y$2:$Y$1001,MATCH(ROWS($W$2:W968),$W$2:$W$1001,0),0), INDEX($AD$1004:$AU$1004,1,MATCH(COLUMNS($AD$1006:AD1006),$AD$1006:$AU$1006,0)))),"Fix")))</f>
        <v xml:space="preserve"> </v>
      </c>
      <c r="C968" s="4" t="str">
        <f ca="1">IF(OR(INDEX($X$2:$X$1001,MATCH(ROWS($W$2:W968),$W$2:$W$1001,0),1)&gt;=100000,INDEX($AD$1005:$AU$1005,1,MATCH(COLUMNS($AD$1006:AE1006),$AD$1006:$AU$1006,0))&gt;=100000), " ",IF(INDEX($AD$2:$AU$1001,MATCH(ROWS($W$2:W968),$W$2:$W$1001,0),MATCH(COLUMNS($AD$1006:AE1006),$AD$1006:$AU$1006,0)), HYPERLINK("#",""), HYPERLINK(CONCATENATE("#metadata!", ADDRESS(INDEX($Y$2:$Y$1001,MATCH(ROWS($W$2:W968),$W$2:$W$1001,0),0), INDEX($AD$1004:$AU$1004,1,MATCH(COLUMNS($AD$1006:AE1006),$AD$1006:$AU$1006,0)))),"Fix")))</f>
        <v xml:space="preserve"> </v>
      </c>
      <c r="D968" s="4" t="str">
        <f ca="1">IF(OR(INDEX($X$2:$X$1001,MATCH(ROWS($W$2:W968),$W$2:$W$1001,0),1)&gt;=100000,INDEX($AD$1005:$AU$1005,1,MATCH(COLUMNS($AD$1006:AF1006),$AD$1006:$AU$1006,0))&gt;=100000), " ",IF(INDEX($AD$2:$AU$1001,MATCH(ROWS($W$2:W968),$W$2:$W$1001,0),MATCH(COLUMNS($AD$1006:AF1006),$AD$1006:$AU$1006,0)), HYPERLINK("#",""), HYPERLINK(CONCATENATE("#metadata!", ADDRESS(INDEX($Y$2:$Y$1001,MATCH(ROWS($W$2:W968),$W$2:$W$1001,0),0), INDEX($AD$1004:$AU$1004,1,MATCH(COLUMNS($AD$1006:AF1006),$AD$1006:$AU$1006,0)))),"Fix")))</f>
        <v xml:space="preserve"> </v>
      </c>
      <c r="E968" s="4" t="str">
        <f ca="1">IF(OR(INDEX($X$2:$X$1001,MATCH(ROWS($W$2:W968),$W$2:$W$1001,0),1)&gt;=100000,INDEX($AD$1005:$AU$1005,1,MATCH(COLUMNS($AD$1006:AG1006),$AD$1006:$AU$1006,0))&gt;=100000), " ",IF(INDEX($AD$2:$AU$1001,MATCH(ROWS($W$2:W968),$W$2:$W$1001,0),MATCH(COLUMNS($AD$1006:AG1006),$AD$1006:$AU$1006,0)), HYPERLINK("#",""), HYPERLINK(CONCATENATE("#metadata!", ADDRESS(INDEX($Y$2:$Y$1001,MATCH(ROWS($W$2:W968),$W$2:$W$1001,0),0), INDEX($AD$1004:$AU$1004,1,MATCH(COLUMNS($AD$1006:AG1006),$AD$1006:$AU$1006,0)))),"Fix")))</f>
        <v xml:space="preserve"> </v>
      </c>
      <c r="F968" s="4" t="str">
        <f ca="1">IF(OR(INDEX($X$2:$X$1001,MATCH(ROWS($W$2:W968),$W$2:$W$1001,0),1)&gt;=100000,INDEX($AD$1005:$AU$1005,1,MATCH(COLUMNS($AD$1006:AH1006),$AD$1006:$AU$1006,0))&gt;=100000), " ",IF(INDEX($AD$2:$AU$1001,MATCH(ROWS($W$2:W968),$W$2:$W$1001,0),MATCH(COLUMNS($AD$1006:AH1006),$AD$1006:$AU$1006,0)), HYPERLINK("#",""), HYPERLINK(CONCATENATE("#metadata!", ADDRESS(INDEX($Y$2:$Y$1001,MATCH(ROWS($W$2:W968),$W$2:$W$1001,0),0), INDEX($AD$1004:$AU$1004,1,MATCH(COLUMNS($AD$1006:AH1006),$AD$1006:$AU$1006,0)))),"Fix")))</f>
        <v xml:space="preserve"> </v>
      </c>
      <c r="G968" s="4" t="str">
        <f ca="1">IF(OR(INDEX($X$2:$X$1001,MATCH(ROWS($W$2:W968),$W$2:$W$1001,0),1)&gt;=100000,INDEX($AD$1005:$AU$1005,1,MATCH(COLUMNS($AD$1006:AI1006),$AD$1006:$AU$1006,0))&gt;=100000), " ",IF(INDEX($AD$2:$AU$1001,MATCH(ROWS($W$2:W968),$W$2:$W$1001,0),MATCH(COLUMNS($AD$1006:AI1006),$AD$1006:$AU$1006,0)), HYPERLINK("#",""), HYPERLINK(CONCATENATE("#metadata!", ADDRESS(INDEX($Y$2:$Y$1001,MATCH(ROWS($W$2:W968),$W$2:$W$1001,0),0), INDEX($AD$1004:$AU$1004,1,MATCH(COLUMNS($AD$1006:AI1006),$AD$1006:$AU$1006,0)))),"Fix")))</f>
        <v xml:space="preserve"> </v>
      </c>
      <c r="H968" s="4" t="str">
        <f ca="1">IF(OR(INDEX($X$2:$X$1001,MATCH(ROWS($W$2:W968),$W$2:$W$1001,0),1)&gt;=100000,INDEX($AD$1005:$AU$1005,1,MATCH(COLUMNS($AD$1006:AJ1006),$AD$1006:$AU$1006,0))&gt;=100000), " ",IF(INDEX($AD$2:$AU$1001,MATCH(ROWS($W$2:W968),$W$2:$W$1001,0),MATCH(COLUMNS($AD$1006:AJ1006),$AD$1006:$AU$1006,0)), HYPERLINK("#",""), HYPERLINK(CONCATENATE("#metadata!", ADDRESS(INDEX($Y$2:$Y$1001,MATCH(ROWS($W$2:W968),$W$2:$W$1001,0),0), INDEX($AD$1004:$AU$1004,1,MATCH(COLUMNS($AD$1006:AJ1006),$AD$1006:$AU$1006,0)))),"Fix")))</f>
        <v xml:space="preserve"> </v>
      </c>
      <c r="I968" s="4" t="str">
        <f ca="1">IF(OR(INDEX($X$2:$X$1001,MATCH(ROWS($W$2:W968),$W$2:$W$1001,0),1)&gt;=100000,INDEX($AD$1005:$AU$1005,1,MATCH(COLUMNS($AD$1006:AK1006),$AD$1006:$AU$1006,0))&gt;=100000), " ",IF(INDEX($AD$2:$AU$1001,MATCH(ROWS($W$2:W968),$W$2:$W$1001,0),MATCH(COLUMNS($AD$1006:AK1006),$AD$1006:$AU$1006,0)), HYPERLINK("#",""), HYPERLINK(CONCATENATE("#metadata!", ADDRESS(INDEX($Y$2:$Y$1001,MATCH(ROWS($W$2:W968),$W$2:$W$1001,0),0), INDEX($AD$1004:$AU$1004,1,MATCH(COLUMNS($AD$1006:AK1006),$AD$1006:$AU$1006,0)))),"Fix")))</f>
        <v xml:space="preserve"> </v>
      </c>
      <c r="J968" s="4" t="str">
        <f ca="1">IF(OR(INDEX($X$2:$X$1001,MATCH(ROWS($W$2:W968),$W$2:$W$1001,0),1)&gt;=100000,INDEX($AD$1005:$AU$1005,1,MATCH(COLUMNS($AD$1006:AL1006),$AD$1006:$AU$1006,0))&gt;=100000), " ",IF(INDEX($AD$2:$AU$1001,MATCH(ROWS($W$2:W968),$W$2:$W$1001,0),MATCH(COLUMNS($AD$1006:AL1006),$AD$1006:$AU$1006,0)), HYPERLINK("#",""), HYPERLINK(CONCATENATE("#metadata!", ADDRESS(INDEX($Y$2:$Y$1001,MATCH(ROWS($W$2:W968),$W$2:$W$1001,0),0), INDEX($AD$1004:$AU$1004,1,MATCH(COLUMNS($AD$1006:AL1006),$AD$1006:$AU$1006,0)))),"Fix")))</f>
        <v xml:space="preserve"> </v>
      </c>
      <c r="K968" s="4" t="str">
        <f ca="1">IF(OR(INDEX($X$2:$X$1001,MATCH(ROWS($W$2:W968),$W$2:$W$1001,0),1)&gt;=100000,INDEX($AD$1005:$AU$1005,1,MATCH(COLUMNS($AD$1006:AM1006),$AD$1006:$AU$1006,0))&gt;=100000), " ",IF(INDEX($AD$2:$AU$1001,MATCH(ROWS($W$2:W968),$W$2:$W$1001,0),MATCH(COLUMNS($AD$1006:AM1006),$AD$1006:$AU$1006,0)), HYPERLINK("#",""), HYPERLINK(CONCATENATE("#metadata!", ADDRESS(INDEX($Y$2:$Y$1001,MATCH(ROWS($W$2:W968),$W$2:$W$1001,0),0), INDEX($AD$1004:$AU$1004,1,MATCH(COLUMNS($AD$1006:AM1006),$AD$1006:$AU$1006,0)))),"Fix")))</f>
        <v xml:space="preserve"> </v>
      </c>
      <c r="L968" s="4" t="str">
        <f ca="1">IF(OR(INDEX($X$2:$X$1001,MATCH(ROWS($W$2:W968),$W$2:$W$1001,0),1)&gt;=100000,INDEX($AD$1005:$AU$1005,1,MATCH(COLUMNS($AD$1006:AN1006),$AD$1006:$AU$1006,0))&gt;=100000), " ",IF(INDEX($AD$2:$AU$1001,MATCH(ROWS($W$2:W968),$W$2:$W$1001,0),MATCH(COLUMNS($AD$1006:AN1006),$AD$1006:$AU$1006,0)), HYPERLINK("#",""), HYPERLINK(CONCATENATE("#metadata!", ADDRESS(INDEX($Y$2:$Y$1001,MATCH(ROWS($W$2:W968),$W$2:$W$1001,0),0), INDEX($AD$1004:$AU$1004,1,MATCH(COLUMNS($AD$1006:AN1006),$AD$1006:$AU$1006,0)))),"Fix")))</f>
        <v xml:space="preserve"> </v>
      </c>
      <c r="M968" s="4" t="str">
        <f ca="1">IF(OR(INDEX($X$2:$X$1001,MATCH(ROWS($W$2:W968),$W$2:$W$1001,0),1)&gt;=100000,INDEX($AD$1005:$AU$1005,1,MATCH(COLUMNS($AD$1006:AO1006),$AD$1006:$AU$1006,0))&gt;=100000), " ",IF(INDEX($AD$2:$AU$1001,MATCH(ROWS($W$2:W968),$W$2:$W$1001,0),MATCH(COLUMNS($AD$1006:AO1006),$AD$1006:$AU$1006,0)), HYPERLINK("#",""), HYPERLINK(CONCATENATE("#metadata!", ADDRESS(INDEX($Y$2:$Y$1001,MATCH(ROWS($W$2:W968),$W$2:$W$1001,0),0), INDEX($AD$1004:$AU$1004,1,MATCH(COLUMNS($AD$1006:AO1006),$AD$1006:$AU$1006,0)))),"Fix")))</f>
        <v xml:space="preserve"> </v>
      </c>
      <c r="N968" s="4" t="str">
        <f ca="1">IF(OR(INDEX($X$2:$X$1001,MATCH(ROWS($W$2:W968),$W$2:$W$1001,0),1)&gt;=100000,INDEX($AD$1005:$AU$1005,1,MATCH(COLUMNS($AD$1006:AP1006),$AD$1006:$AU$1006,0))&gt;=100000), " ",IF(INDEX($AD$2:$AU$1001,MATCH(ROWS($W$2:W968),$W$2:$W$1001,0),MATCH(COLUMNS($AD$1006:AP1006),$AD$1006:$AU$1006,0)), HYPERLINK("#",""), HYPERLINK(CONCATENATE("#metadata!", ADDRESS(INDEX($Y$2:$Y$1001,MATCH(ROWS($W$2:W968),$W$2:$W$1001,0),0), INDEX($AD$1004:$AU$1004,1,MATCH(COLUMNS($AD$1006:AP1006),$AD$1006:$AU$1006,0)))),"Fix")))</f>
        <v xml:space="preserve"> </v>
      </c>
      <c r="O968" s="4" t="str">
        <f ca="1">IF(OR(INDEX($X$2:$X$1001,MATCH(ROWS($W$2:W968),$W$2:$W$1001,0),1)&gt;=100000,INDEX($AD$1005:$AU$1005,1,MATCH(COLUMNS($AD$1006:AQ1006),$AD$1006:$AU$1006,0))&gt;=100000), " ",IF(INDEX($AD$2:$AU$1001,MATCH(ROWS($W$2:W968),$W$2:$W$1001,0),MATCH(COLUMNS($AD$1006:AQ1006),$AD$1006:$AU$1006,0)), HYPERLINK("#",""), HYPERLINK(CONCATENATE("#metadata!", ADDRESS(INDEX($Y$2:$Y$1001,MATCH(ROWS($W$2:W968),$W$2:$W$1001,0),0), INDEX($AD$1004:$AU$1004,1,MATCH(COLUMNS($AD$1006:AQ1006),$AD$1006:$AU$1006,0)))),"Fix")))</f>
        <v xml:space="preserve"> </v>
      </c>
      <c r="P968" s="4" t="str">
        <f ca="1">IF(OR(INDEX($X$2:$X$1001,MATCH(ROWS($W$2:W968),$W$2:$W$1001,0),1)&gt;=100000,INDEX($AD$1005:$AU$1005,1,MATCH(COLUMNS($AD$1006:AR1006),$AD$1006:$AU$1006,0))&gt;=100000), " ",IF(INDEX($AD$2:$AU$1001,MATCH(ROWS($W$2:W968),$W$2:$W$1001,0),MATCH(COLUMNS($AD$1006:AR1006),$AD$1006:$AU$1006,0)), HYPERLINK("#",""), HYPERLINK(CONCATENATE("#metadata!", ADDRESS(INDEX($Y$2:$Y$1001,MATCH(ROWS($W$2:W968),$W$2:$W$1001,0),0), INDEX($AD$1004:$AU$1004,1,MATCH(COLUMNS($AD$1006:AR1006),$AD$1006:$AU$1006,0)))),"Fix")))</f>
        <v xml:space="preserve"> </v>
      </c>
      <c r="Q968" s="4" t="str">
        <f ca="1">IF(OR(INDEX($X$2:$X$1001,MATCH(ROWS($W$2:W968),$W$2:$W$1001,0),1)&gt;=100000,INDEX($AD$1005:$AU$1005,1,MATCH(COLUMNS($AD$1006:AS1006),$AD$1006:$AU$1006,0))&gt;=100000), " ",IF(INDEX($AD$2:$AU$1001,MATCH(ROWS($W$2:W968),$W$2:$W$1001,0),MATCH(COLUMNS($AD$1006:AS1006),$AD$1006:$AU$1006,0)), HYPERLINK("#",""), HYPERLINK(CONCATENATE("#metadata!", ADDRESS(INDEX($Y$2:$Y$1001,MATCH(ROWS($W$2:W968),$W$2:$W$1001,0),0), INDEX($AD$1004:$AU$1004,1,MATCH(COLUMNS($AD$1006:AS1006),$AD$1006:$AU$1006,0)))),"Fix")))</f>
        <v xml:space="preserve"> </v>
      </c>
      <c r="R968" s="4" t="str">
        <f ca="1">IF(OR(INDEX($X$2:$X$1001,MATCH(ROWS($W$2:W968),$W$2:$W$1001,0),1)&gt;=100000,INDEX($AD$1005:$AU$1005,1,MATCH(COLUMNS($AD$1006:AT1006),$AD$1006:$AU$1006,0))&gt;=100000), " ",IF(INDEX($AD$2:$AU$1001,MATCH(ROWS($W$2:W968),$W$2:$W$1001,0),MATCH(COLUMNS($AD$1006:AT1006),$AD$1006:$AU$1006,0)), HYPERLINK("#",""), HYPERLINK(CONCATENATE("#metadata!", ADDRESS(INDEX($Y$2:$Y$1001,MATCH(ROWS($W$2:W968),$W$2:$W$1001,0),0), INDEX($AD$1004:$AU$1004,1,MATCH(COLUMNS($AD$1006:AT1006),$AD$1006:$AU$1006,0)))),"Fix")))</f>
        <v xml:space="preserve"> </v>
      </c>
      <c r="S968" s="4" t="str">
        <f ca="1">IF(OR(INDEX($X$2:$X$1001,MATCH(ROWS($W$2:W968),$W$2:$W$1001,0),1)&gt;=100000,INDEX($AD$1005:$AU$1005,1,MATCH(COLUMNS($AD$1006:AU1006),$AD$1006:$AU$1006,0))&gt;=100000), " ",IF(INDEX($AD$2:$AU$1001,MATCH(ROWS($W$2:W968),$W$2:$W$1001,0),MATCH(COLUMNS($AD$1006:AU1006),$AD$1006:$AU$1006,0)), HYPERLINK("#",""), HYPERLINK(CONCATENATE("#metadata!", ADDRESS(INDEX($Y$2:$Y$1001,MATCH(ROWS($W$2:W968),$W$2:$W$1001,0),0), INDEX($AD$1004:$AU$1004,1,MATCH(COLUMNS($AD$1006:AU1006),$AD$1006:$AU$1006,0)))),"Fix")))</f>
        <v xml:space="preserve"> </v>
      </c>
      <c r="W968">
        <v>967</v>
      </c>
      <c r="X968">
        <v>100968</v>
      </c>
      <c r="Y968">
        <v>968</v>
      </c>
      <c r="Z968" t="b">
        <f t="shared" si="15"/>
        <v>1</v>
      </c>
      <c r="AA968" t="b">
        <f>COUNTBLANK(metadata!B968:S968)=COLUMNS(metadata!B968:S968)</f>
        <v>1</v>
      </c>
      <c r="AB968" t="str">
        <v/>
      </c>
      <c r="AD968" t="b">
        <f ca="1">AND(IF(metadata!B968="",FALSE,TRUE),COUNTIF(metadata!B:B, metadata!B968) = 1,NOT(ISERROR(SUMPRODUCT(SEARCH(MID(metadata!B968,ROW(INDIRECT("1:"&amp;LEN(metadata!B968))), 1),"0123456789abcdefghijklmnopqrstuvwxyzABCDEFGHIJKLMNOPQRSTUVWXYZ.")))))</f>
        <v>0</v>
      </c>
      <c r="AE968" t="b">
        <f>OR(AND(IF(metadata!C968="",FALSE,TRUE),OR(EXACT(metadata!C968,"not applicable"),EXACT(metadata!C968,"missing: not collected"),EXACT(metadata!C968,"missing: not provided"),EXACT(metadata!C968,"missing: restricted access"))),AND(IF(metadata!C968="",FALSE,ISNUMBER(VALUE(metadata!C968))),metadata!C968&gt;0))</f>
        <v>0</v>
      </c>
      <c r="AF968" t="b">
        <f>AND(IF(metadata!D968="",FALSE,TRUE),EXACT(metadata!D968,"missing: not provided"))</f>
        <v>0</v>
      </c>
      <c r="AG968" t="b">
        <f>AND(IF(metadata!E968="",FALSE,TRUE),EXACT(metadata!E968,"Host-associated"))</f>
        <v>0</v>
      </c>
      <c r="AH968" t="b">
        <f>AND(IF(metadata!F968="",FALSE,TRUE),OR(EXACT(metadata!F968,"Animal"),EXACT(metadata!F968,"Fungus"),EXACT(metadata!F968,"Plant")))</f>
        <v>0</v>
      </c>
      <c r="AI968" t="b">
        <f>AND(IF(metadata!G968="",FALSE,TRUE),OR(EXACT(metadata!G968,"Plant secretion"),EXACT(metadata!G968,"Plant rhizosphere"),EXACT(metadata!G968,"Plant surface"),EXACT(metadata!G968,"Plant corpus"),EXACT(metadata!G968,"Fungus surface"),EXACT(metadata!G968,"Fungus corpus"),EXACT(metadata!G968,"Animal surface"),EXACT(metadata!G968,"Animal proximal gut"),EXACT(metadata!G968,"Animal corpus"),EXACT(metadata!G968,"Animal distal gut"),EXACT(metadata!G968,"Animal secretion")))</f>
        <v>0</v>
      </c>
      <c r="AJ968" t="b">
        <f>OR(AND(IF(metadata!H968="",FALSE,TRUE),OR(EXACT(metadata!H968,"missing: not collected"),EXACT(metadata!H968,"missing: not provided"),EXACT(metadata!H968,"missing: restricted access"))),AND(IF(metadata!H968="",FALSE,TRUE),OR(EXACT(metadata!H968,"organism-associated habitat"),EXACT(metadata!H968,"plant-associated habitat"),EXACT(metadata!H968,"animal-associated habitat"),EXACT(metadata!H968,"insecta-associated habitat"),EXACT(metadata!H968,"mammalia-associated habitat"),EXACT(metadata!H968,"human-associated habitat"),EXACT(metadata!H968,"livestock-associated habitat"))))</f>
        <v>0</v>
      </c>
      <c r="AK968" t="b">
        <f>AND(IF(metadata!I968="",FALSE,TRUE),EXACT(metadata!I968,"host-associated"))</f>
        <v>0</v>
      </c>
      <c r="AL968" t="b">
        <f>OR(AND(IF(metadata!J968="",FALSE,TRUE),OR(EXACT(metadata!J968,"not applicable"),EXACT(metadata!J968,"missing: not collected"),EXACT(metadata!J968,"missing: not provided"),EXACT(metadata!J968,"missing: restricted access"))),AND(IF(metadata!J968="",FALSE,ISNUMBER(VALUE(metadata!J968))),metadata!J968&gt;0))</f>
        <v>0</v>
      </c>
      <c r="AM968" t="b">
        <f>AND(IF(metadata!K968="",FALSE,TRUE),EXACT(metadata!K968,"missing: not provided"))</f>
        <v>0</v>
      </c>
      <c r="AN968" t="b">
        <f>IF(metadata!L968="",FALSE,TRUE)</f>
        <v>0</v>
      </c>
      <c r="AO968" t="b">
        <f>IF(metadata!M968="",FALSE,TRUE)</f>
        <v>0</v>
      </c>
      <c r="AP968" t="b">
        <f>OR(AND(IF(metadata!N968="",FALSE,TRUE),OR(EXACT(metadata!N968,"not applicable"),EXACT(metadata!N968,"missing: not collected"),EXACT(metadata!N968,"missing: not provided"))),AND(IF(metadata!N968="",FALSE,IF(ISERROR(INT(metadata!N968)),FALSE,INT(metadata!N968)=metadata!N968)),metadata!N968&gt;0))</f>
        <v>0</v>
      </c>
      <c r="AQ968" t="b">
        <f>AND(IF(metadata!O968="",FALSE,TRUE),EXACT(metadata!O968,"Not applicable"))</f>
        <v>0</v>
      </c>
      <c r="AR968" t="b">
        <f>OR(AND(IF(metadata!P968="",FALSE,TRUE),OR(EXACT(metadata!P968,"not applicable"),EXACT(metadata!P968,"missing: not collected"),EXACT(metadata!P968,"missing: not provided"),EXACT(metadata!P968,"missing: restricted access"))),IF(metadata!P968="",FALSE,IF(ISERROR(INT(metadata!P968)),FALSE,INT(metadata!P968)=metadata!P968)))</f>
        <v>0</v>
      </c>
      <c r="AS968" t="b">
        <f>AND(IF(metadata!Q968="",FALSE,TRUE),EXACT(metadata!Q968,"Not applicable"))</f>
        <v>0</v>
      </c>
      <c r="AT968" t="b">
        <f>OR(AND(IF(metadata!R968="",FALSE,TRUE),OR(EXACT(metadata!R968,"not applicable"),EXACT(metadata!R968,"missing: not collected"),EXACT(metadata!R968,"missing: not provided"),EXACT(metadata!R968,"missing: restricted access"))),AND(IF(metadata!R968="",FALSE,ISNUMBER(VALUE(metadata!R968))),metadata!R968&gt;0))</f>
        <v>0</v>
      </c>
      <c r="AU968" t="b">
        <f>AND(IF(metadata!S968="",FALSE,TRUE),EXACT(metadata!S968,"missing: not provided"))</f>
        <v>0</v>
      </c>
    </row>
    <row r="969" spans="1:47" x14ac:dyDescent="0.2">
      <c r="A969" s="5" t="str">
        <f ca="1">IF(B969=" "," ",HYPERLINK(CONCATENATE("#metadata!",ADDRESS(INDEX($Y$2:$Y$1001,MATCH(ROWS($W$2:W969),$W$2:$W$1001,0),0),1)),INDEX($AB$2:$AB$1001,MATCH(ROWS($W$2:W969),$W$2:$W$1001,0),0)))</f>
        <v xml:space="preserve"> </v>
      </c>
      <c r="B969" s="4" t="str">
        <f ca="1">IF(OR(INDEX($X$2:$X$1001,MATCH(ROWS($W$2:W969),$W$2:$W$1001,0),1)&gt;=100000,INDEX($AD$1005:$AU$1005,1,MATCH(COLUMNS($AD$1006:AD1006),$AD$1006:$AU$1006,0))&gt;=100000), " ",IF(INDEX($AD$2:$AU$1001,MATCH(ROWS($W$2:W969),$W$2:$W$1001,0),MATCH(COLUMNS($AD$1006:AD1006),$AD$1006:$AU$1006,0)), HYPERLINK("#",""), HYPERLINK(CONCATENATE("#metadata!", ADDRESS(INDEX($Y$2:$Y$1001,MATCH(ROWS($W$2:W969),$W$2:$W$1001,0),0), INDEX($AD$1004:$AU$1004,1,MATCH(COLUMNS($AD$1006:AD1006),$AD$1006:$AU$1006,0)))),"Fix")))</f>
        <v xml:space="preserve"> </v>
      </c>
      <c r="C969" s="4" t="str">
        <f ca="1">IF(OR(INDEX($X$2:$X$1001,MATCH(ROWS($W$2:W969),$W$2:$W$1001,0),1)&gt;=100000,INDEX($AD$1005:$AU$1005,1,MATCH(COLUMNS($AD$1006:AE1006),$AD$1006:$AU$1006,0))&gt;=100000), " ",IF(INDEX($AD$2:$AU$1001,MATCH(ROWS($W$2:W969),$W$2:$W$1001,0),MATCH(COLUMNS($AD$1006:AE1006),$AD$1006:$AU$1006,0)), HYPERLINK("#",""), HYPERLINK(CONCATENATE("#metadata!", ADDRESS(INDEX($Y$2:$Y$1001,MATCH(ROWS($W$2:W969),$W$2:$W$1001,0),0), INDEX($AD$1004:$AU$1004,1,MATCH(COLUMNS($AD$1006:AE1006),$AD$1006:$AU$1006,0)))),"Fix")))</f>
        <v xml:space="preserve"> </v>
      </c>
      <c r="D969" s="4" t="str">
        <f ca="1">IF(OR(INDEX($X$2:$X$1001,MATCH(ROWS($W$2:W969),$W$2:$W$1001,0),1)&gt;=100000,INDEX($AD$1005:$AU$1005,1,MATCH(COLUMNS($AD$1006:AF1006),$AD$1006:$AU$1006,0))&gt;=100000), " ",IF(INDEX($AD$2:$AU$1001,MATCH(ROWS($W$2:W969),$W$2:$W$1001,0),MATCH(COLUMNS($AD$1006:AF1006),$AD$1006:$AU$1006,0)), HYPERLINK("#",""), HYPERLINK(CONCATENATE("#metadata!", ADDRESS(INDEX($Y$2:$Y$1001,MATCH(ROWS($W$2:W969),$W$2:$W$1001,0),0), INDEX($AD$1004:$AU$1004,1,MATCH(COLUMNS($AD$1006:AF1006),$AD$1006:$AU$1006,0)))),"Fix")))</f>
        <v xml:space="preserve"> </v>
      </c>
      <c r="E969" s="4" t="str">
        <f ca="1">IF(OR(INDEX($X$2:$X$1001,MATCH(ROWS($W$2:W969),$W$2:$W$1001,0),1)&gt;=100000,INDEX($AD$1005:$AU$1005,1,MATCH(COLUMNS($AD$1006:AG1006),$AD$1006:$AU$1006,0))&gt;=100000), " ",IF(INDEX($AD$2:$AU$1001,MATCH(ROWS($W$2:W969),$W$2:$W$1001,0),MATCH(COLUMNS($AD$1006:AG1006),$AD$1006:$AU$1006,0)), HYPERLINK("#",""), HYPERLINK(CONCATENATE("#metadata!", ADDRESS(INDEX($Y$2:$Y$1001,MATCH(ROWS($W$2:W969),$W$2:$W$1001,0),0), INDEX($AD$1004:$AU$1004,1,MATCH(COLUMNS($AD$1006:AG1006),$AD$1006:$AU$1006,0)))),"Fix")))</f>
        <v xml:space="preserve"> </v>
      </c>
      <c r="F969" s="4" t="str">
        <f ca="1">IF(OR(INDEX($X$2:$X$1001,MATCH(ROWS($W$2:W969),$W$2:$W$1001,0),1)&gt;=100000,INDEX($AD$1005:$AU$1005,1,MATCH(COLUMNS($AD$1006:AH1006),$AD$1006:$AU$1006,0))&gt;=100000), " ",IF(INDEX($AD$2:$AU$1001,MATCH(ROWS($W$2:W969),$W$2:$W$1001,0),MATCH(COLUMNS($AD$1006:AH1006),$AD$1006:$AU$1006,0)), HYPERLINK("#",""), HYPERLINK(CONCATENATE("#metadata!", ADDRESS(INDEX($Y$2:$Y$1001,MATCH(ROWS($W$2:W969),$W$2:$W$1001,0),0), INDEX($AD$1004:$AU$1004,1,MATCH(COLUMNS($AD$1006:AH1006),$AD$1006:$AU$1006,0)))),"Fix")))</f>
        <v xml:space="preserve"> </v>
      </c>
      <c r="G969" s="4" t="str">
        <f ca="1">IF(OR(INDEX($X$2:$X$1001,MATCH(ROWS($W$2:W969),$W$2:$W$1001,0),1)&gt;=100000,INDEX($AD$1005:$AU$1005,1,MATCH(COLUMNS($AD$1006:AI1006),$AD$1006:$AU$1006,0))&gt;=100000), " ",IF(INDEX($AD$2:$AU$1001,MATCH(ROWS($W$2:W969),$W$2:$W$1001,0),MATCH(COLUMNS($AD$1006:AI1006),$AD$1006:$AU$1006,0)), HYPERLINK("#",""), HYPERLINK(CONCATENATE("#metadata!", ADDRESS(INDEX($Y$2:$Y$1001,MATCH(ROWS($W$2:W969),$W$2:$W$1001,0),0), INDEX($AD$1004:$AU$1004,1,MATCH(COLUMNS($AD$1006:AI1006),$AD$1006:$AU$1006,0)))),"Fix")))</f>
        <v xml:space="preserve"> </v>
      </c>
      <c r="H969" s="4" t="str">
        <f ca="1">IF(OR(INDEX($X$2:$X$1001,MATCH(ROWS($W$2:W969),$W$2:$W$1001,0),1)&gt;=100000,INDEX($AD$1005:$AU$1005,1,MATCH(COLUMNS($AD$1006:AJ1006),$AD$1006:$AU$1006,0))&gt;=100000), " ",IF(INDEX($AD$2:$AU$1001,MATCH(ROWS($W$2:W969),$W$2:$W$1001,0),MATCH(COLUMNS($AD$1006:AJ1006),$AD$1006:$AU$1006,0)), HYPERLINK("#",""), HYPERLINK(CONCATENATE("#metadata!", ADDRESS(INDEX($Y$2:$Y$1001,MATCH(ROWS($W$2:W969),$W$2:$W$1001,0),0), INDEX($AD$1004:$AU$1004,1,MATCH(COLUMNS($AD$1006:AJ1006),$AD$1006:$AU$1006,0)))),"Fix")))</f>
        <v xml:space="preserve"> </v>
      </c>
      <c r="I969" s="4" t="str">
        <f ca="1">IF(OR(INDEX($X$2:$X$1001,MATCH(ROWS($W$2:W969),$W$2:$W$1001,0),1)&gt;=100000,INDEX($AD$1005:$AU$1005,1,MATCH(COLUMNS($AD$1006:AK1006),$AD$1006:$AU$1006,0))&gt;=100000), " ",IF(INDEX($AD$2:$AU$1001,MATCH(ROWS($W$2:W969),$W$2:$W$1001,0),MATCH(COLUMNS($AD$1006:AK1006),$AD$1006:$AU$1006,0)), HYPERLINK("#",""), HYPERLINK(CONCATENATE("#metadata!", ADDRESS(INDEX($Y$2:$Y$1001,MATCH(ROWS($W$2:W969),$W$2:$W$1001,0),0), INDEX($AD$1004:$AU$1004,1,MATCH(COLUMNS($AD$1006:AK1006),$AD$1006:$AU$1006,0)))),"Fix")))</f>
        <v xml:space="preserve"> </v>
      </c>
      <c r="J969" s="4" t="str">
        <f ca="1">IF(OR(INDEX($X$2:$X$1001,MATCH(ROWS($W$2:W969),$W$2:$W$1001,0),1)&gt;=100000,INDEX($AD$1005:$AU$1005,1,MATCH(COLUMNS($AD$1006:AL1006),$AD$1006:$AU$1006,0))&gt;=100000), " ",IF(INDEX($AD$2:$AU$1001,MATCH(ROWS($W$2:W969),$W$2:$W$1001,0),MATCH(COLUMNS($AD$1006:AL1006),$AD$1006:$AU$1006,0)), HYPERLINK("#",""), HYPERLINK(CONCATENATE("#metadata!", ADDRESS(INDEX($Y$2:$Y$1001,MATCH(ROWS($W$2:W969),$W$2:$W$1001,0),0), INDEX($AD$1004:$AU$1004,1,MATCH(COLUMNS($AD$1006:AL1006),$AD$1006:$AU$1006,0)))),"Fix")))</f>
        <v xml:space="preserve"> </v>
      </c>
      <c r="K969" s="4" t="str">
        <f ca="1">IF(OR(INDEX($X$2:$X$1001,MATCH(ROWS($W$2:W969),$W$2:$W$1001,0),1)&gt;=100000,INDEX($AD$1005:$AU$1005,1,MATCH(COLUMNS($AD$1006:AM1006),$AD$1006:$AU$1006,0))&gt;=100000), " ",IF(INDEX($AD$2:$AU$1001,MATCH(ROWS($W$2:W969),$W$2:$W$1001,0),MATCH(COLUMNS($AD$1006:AM1006),$AD$1006:$AU$1006,0)), HYPERLINK("#",""), HYPERLINK(CONCATENATE("#metadata!", ADDRESS(INDEX($Y$2:$Y$1001,MATCH(ROWS($W$2:W969),$W$2:$W$1001,0),0), INDEX($AD$1004:$AU$1004,1,MATCH(COLUMNS($AD$1006:AM1006),$AD$1006:$AU$1006,0)))),"Fix")))</f>
        <v xml:space="preserve"> </v>
      </c>
      <c r="L969" s="4" t="str">
        <f ca="1">IF(OR(INDEX($X$2:$X$1001,MATCH(ROWS($W$2:W969),$W$2:$W$1001,0),1)&gt;=100000,INDEX($AD$1005:$AU$1005,1,MATCH(COLUMNS($AD$1006:AN1006),$AD$1006:$AU$1006,0))&gt;=100000), " ",IF(INDEX($AD$2:$AU$1001,MATCH(ROWS($W$2:W969),$W$2:$W$1001,0),MATCH(COLUMNS($AD$1006:AN1006),$AD$1006:$AU$1006,0)), HYPERLINK("#",""), HYPERLINK(CONCATENATE("#metadata!", ADDRESS(INDEX($Y$2:$Y$1001,MATCH(ROWS($W$2:W969),$W$2:$W$1001,0),0), INDEX($AD$1004:$AU$1004,1,MATCH(COLUMNS($AD$1006:AN1006),$AD$1006:$AU$1006,0)))),"Fix")))</f>
        <v xml:space="preserve"> </v>
      </c>
      <c r="M969" s="4" t="str">
        <f ca="1">IF(OR(INDEX($X$2:$X$1001,MATCH(ROWS($W$2:W969),$W$2:$W$1001,0),1)&gt;=100000,INDEX($AD$1005:$AU$1005,1,MATCH(COLUMNS($AD$1006:AO1006),$AD$1006:$AU$1006,0))&gt;=100000), " ",IF(INDEX($AD$2:$AU$1001,MATCH(ROWS($W$2:W969),$W$2:$W$1001,0),MATCH(COLUMNS($AD$1006:AO1006),$AD$1006:$AU$1006,0)), HYPERLINK("#",""), HYPERLINK(CONCATENATE("#metadata!", ADDRESS(INDEX($Y$2:$Y$1001,MATCH(ROWS($W$2:W969),$W$2:$W$1001,0),0), INDEX($AD$1004:$AU$1004,1,MATCH(COLUMNS($AD$1006:AO1006),$AD$1006:$AU$1006,0)))),"Fix")))</f>
        <v xml:space="preserve"> </v>
      </c>
      <c r="N969" s="4" t="str">
        <f ca="1">IF(OR(INDEX($X$2:$X$1001,MATCH(ROWS($W$2:W969),$W$2:$W$1001,0),1)&gt;=100000,INDEX($AD$1005:$AU$1005,1,MATCH(COLUMNS($AD$1006:AP1006),$AD$1006:$AU$1006,0))&gt;=100000), " ",IF(INDEX($AD$2:$AU$1001,MATCH(ROWS($W$2:W969),$W$2:$W$1001,0),MATCH(COLUMNS($AD$1006:AP1006),$AD$1006:$AU$1006,0)), HYPERLINK("#",""), HYPERLINK(CONCATENATE("#metadata!", ADDRESS(INDEX($Y$2:$Y$1001,MATCH(ROWS($W$2:W969),$W$2:$W$1001,0),0), INDEX($AD$1004:$AU$1004,1,MATCH(COLUMNS($AD$1006:AP1006),$AD$1006:$AU$1006,0)))),"Fix")))</f>
        <v xml:space="preserve"> </v>
      </c>
      <c r="O969" s="4" t="str">
        <f ca="1">IF(OR(INDEX($X$2:$X$1001,MATCH(ROWS($W$2:W969),$W$2:$W$1001,0),1)&gt;=100000,INDEX($AD$1005:$AU$1005,1,MATCH(COLUMNS($AD$1006:AQ1006),$AD$1006:$AU$1006,0))&gt;=100000), " ",IF(INDEX($AD$2:$AU$1001,MATCH(ROWS($W$2:W969),$W$2:$W$1001,0),MATCH(COLUMNS($AD$1006:AQ1006),$AD$1006:$AU$1006,0)), HYPERLINK("#",""), HYPERLINK(CONCATENATE("#metadata!", ADDRESS(INDEX($Y$2:$Y$1001,MATCH(ROWS($W$2:W969),$W$2:$W$1001,0),0), INDEX($AD$1004:$AU$1004,1,MATCH(COLUMNS($AD$1006:AQ1006),$AD$1006:$AU$1006,0)))),"Fix")))</f>
        <v xml:space="preserve"> </v>
      </c>
      <c r="P969" s="4" t="str">
        <f ca="1">IF(OR(INDEX($X$2:$X$1001,MATCH(ROWS($W$2:W969),$W$2:$W$1001,0),1)&gt;=100000,INDEX($AD$1005:$AU$1005,1,MATCH(COLUMNS($AD$1006:AR1006),$AD$1006:$AU$1006,0))&gt;=100000), " ",IF(INDEX($AD$2:$AU$1001,MATCH(ROWS($W$2:W969),$W$2:$W$1001,0),MATCH(COLUMNS($AD$1006:AR1006),$AD$1006:$AU$1006,0)), HYPERLINK("#",""), HYPERLINK(CONCATENATE("#metadata!", ADDRESS(INDEX($Y$2:$Y$1001,MATCH(ROWS($W$2:W969),$W$2:$W$1001,0),0), INDEX($AD$1004:$AU$1004,1,MATCH(COLUMNS($AD$1006:AR1006),$AD$1006:$AU$1006,0)))),"Fix")))</f>
        <v xml:space="preserve"> </v>
      </c>
      <c r="Q969" s="4" t="str">
        <f ca="1">IF(OR(INDEX($X$2:$X$1001,MATCH(ROWS($W$2:W969),$W$2:$W$1001,0),1)&gt;=100000,INDEX($AD$1005:$AU$1005,1,MATCH(COLUMNS($AD$1006:AS1006),$AD$1006:$AU$1006,0))&gt;=100000), " ",IF(INDEX($AD$2:$AU$1001,MATCH(ROWS($W$2:W969),$W$2:$W$1001,0),MATCH(COLUMNS($AD$1006:AS1006),$AD$1006:$AU$1006,0)), HYPERLINK("#",""), HYPERLINK(CONCATENATE("#metadata!", ADDRESS(INDEX($Y$2:$Y$1001,MATCH(ROWS($W$2:W969),$W$2:$W$1001,0),0), INDEX($AD$1004:$AU$1004,1,MATCH(COLUMNS($AD$1006:AS1006),$AD$1006:$AU$1006,0)))),"Fix")))</f>
        <v xml:space="preserve"> </v>
      </c>
      <c r="R969" s="4" t="str">
        <f ca="1">IF(OR(INDEX($X$2:$X$1001,MATCH(ROWS($W$2:W969),$W$2:$W$1001,0),1)&gt;=100000,INDEX($AD$1005:$AU$1005,1,MATCH(COLUMNS($AD$1006:AT1006),$AD$1006:$AU$1006,0))&gt;=100000), " ",IF(INDEX($AD$2:$AU$1001,MATCH(ROWS($W$2:W969),$W$2:$W$1001,0),MATCH(COLUMNS($AD$1006:AT1006),$AD$1006:$AU$1006,0)), HYPERLINK("#",""), HYPERLINK(CONCATENATE("#metadata!", ADDRESS(INDEX($Y$2:$Y$1001,MATCH(ROWS($W$2:W969),$W$2:$W$1001,0),0), INDEX($AD$1004:$AU$1004,1,MATCH(COLUMNS($AD$1006:AT1006),$AD$1006:$AU$1006,0)))),"Fix")))</f>
        <v xml:space="preserve"> </v>
      </c>
      <c r="S969" s="4" t="str">
        <f ca="1">IF(OR(INDEX($X$2:$X$1001,MATCH(ROWS($W$2:W969),$W$2:$W$1001,0),1)&gt;=100000,INDEX($AD$1005:$AU$1005,1,MATCH(COLUMNS($AD$1006:AU1006),$AD$1006:$AU$1006,0))&gt;=100000), " ",IF(INDEX($AD$2:$AU$1001,MATCH(ROWS($W$2:W969),$W$2:$W$1001,0),MATCH(COLUMNS($AD$1006:AU1006),$AD$1006:$AU$1006,0)), HYPERLINK("#",""), HYPERLINK(CONCATENATE("#metadata!", ADDRESS(INDEX($Y$2:$Y$1001,MATCH(ROWS($W$2:W969),$W$2:$W$1001,0),0), INDEX($AD$1004:$AU$1004,1,MATCH(COLUMNS($AD$1006:AU1006),$AD$1006:$AU$1006,0)))),"Fix")))</f>
        <v xml:space="preserve"> </v>
      </c>
      <c r="W969">
        <v>968</v>
      </c>
      <c r="X969">
        <v>100969</v>
      </c>
      <c r="Y969">
        <v>969</v>
      </c>
      <c r="Z969" t="b">
        <f t="shared" si="15"/>
        <v>1</v>
      </c>
      <c r="AA969" t="b">
        <f>COUNTBLANK(metadata!B969:S969)=COLUMNS(metadata!B969:S969)</f>
        <v>1</v>
      </c>
      <c r="AB969" t="str">
        <v/>
      </c>
      <c r="AD969" t="b">
        <f ca="1">AND(IF(metadata!B969="",FALSE,TRUE),COUNTIF(metadata!B:B, metadata!B969) = 1,NOT(ISERROR(SUMPRODUCT(SEARCH(MID(metadata!B969,ROW(INDIRECT("1:"&amp;LEN(metadata!B969))), 1),"0123456789abcdefghijklmnopqrstuvwxyzABCDEFGHIJKLMNOPQRSTUVWXYZ.")))))</f>
        <v>0</v>
      </c>
      <c r="AE969" t="b">
        <f>OR(AND(IF(metadata!C969="",FALSE,TRUE),OR(EXACT(metadata!C969,"not applicable"),EXACT(metadata!C969,"missing: not collected"),EXACT(metadata!C969,"missing: not provided"),EXACT(metadata!C969,"missing: restricted access"))),AND(IF(metadata!C969="",FALSE,ISNUMBER(VALUE(metadata!C969))),metadata!C969&gt;0))</f>
        <v>0</v>
      </c>
      <c r="AF969" t="b">
        <f>AND(IF(metadata!D969="",FALSE,TRUE),EXACT(metadata!D969,"missing: not provided"))</f>
        <v>0</v>
      </c>
      <c r="AG969" t="b">
        <f>AND(IF(metadata!E969="",FALSE,TRUE),EXACT(metadata!E969,"Host-associated"))</f>
        <v>0</v>
      </c>
      <c r="AH969" t="b">
        <f>AND(IF(metadata!F969="",FALSE,TRUE),OR(EXACT(metadata!F969,"Animal"),EXACT(metadata!F969,"Fungus"),EXACT(metadata!F969,"Plant")))</f>
        <v>0</v>
      </c>
      <c r="AI969" t="b">
        <f>AND(IF(metadata!G969="",FALSE,TRUE),OR(EXACT(metadata!G969,"Plant secretion"),EXACT(metadata!G969,"Plant rhizosphere"),EXACT(metadata!G969,"Plant surface"),EXACT(metadata!G969,"Plant corpus"),EXACT(metadata!G969,"Fungus surface"),EXACT(metadata!G969,"Fungus corpus"),EXACT(metadata!G969,"Animal surface"),EXACT(metadata!G969,"Animal proximal gut"),EXACT(metadata!G969,"Animal corpus"),EXACT(metadata!G969,"Animal distal gut"),EXACT(metadata!G969,"Animal secretion")))</f>
        <v>0</v>
      </c>
      <c r="AJ969" t="b">
        <f>OR(AND(IF(metadata!H969="",FALSE,TRUE),OR(EXACT(metadata!H969,"missing: not collected"),EXACT(metadata!H969,"missing: not provided"),EXACT(metadata!H969,"missing: restricted access"))),AND(IF(metadata!H969="",FALSE,TRUE),OR(EXACT(metadata!H969,"organism-associated habitat"),EXACT(metadata!H969,"plant-associated habitat"),EXACT(metadata!H969,"animal-associated habitat"),EXACT(metadata!H969,"insecta-associated habitat"),EXACT(metadata!H969,"mammalia-associated habitat"),EXACT(metadata!H969,"human-associated habitat"),EXACT(metadata!H969,"livestock-associated habitat"))))</f>
        <v>0</v>
      </c>
      <c r="AK969" t="b">
        <f>AND(IF(metadata!I969="",FALSE,TRUE),EXACT(metadata!I969,"host-associated"))</f>
        <v>0</v>
      </c>
      <c r="AL969" t="b">
        <f>OR(AND(IF(metadata!J969="",FALSE,TRUE),OR(EXACT(metadata!J969,"not applicable"),EXACT(metadata!J969,"missing: not collected"),EXACT(metadata!J969,"missing: not provided"),EXACT(metadata!J969,"missing: restricted access"))),AND(IF(metadata!J969="",FALSE,ISNUMBER(VALUE(metadata!J969))),metadata!J969&gt;0))</f>
        <v>0</v>
      </c>
      <c r="AM969" t="b">
        <f>AND(IF(metadata!K969="",FALSE,TRUE),EXACT(metadata!K969,"missing: not provided"))</f>
        <v>0</v>
      </c>
      <c r="AN969" t="b">
        <f>IF(metadata!L969="",FALSE,TRUE)</f>
        <v>0</v>
      </c>
      <c r="AO969" t="b">
        <f>IF(metadata!M969="",FALSE,TRUE)</f>
        <v>0</v>
      </c>
      <c r="AP969" t="b">
        <f>OR(AND(IF(metadata!N969="",FALSE,TRUE),OR(EXACT(metadata!N969,"not applicable"),EXACT(metadata!N969,"missing: not collected"),EXACT(metadata!N969,"missing: not provided"))),AND(IF(metadata!N969="",FALSE,IF(ISERROR(INT(metadata!N969)),FALSE,INT(metadata!N969)=metadata!N969)),metadata!N969&gt;0))</f>
        <v>0</v>
      </c>
      <c r="AQ969" t="b">
        <f>AND(IF(metadata!O969="",FALSE,TRUE),EXACT(metadata!O969,"Not applicable"))</f>
        <v>0</v>
      </c>
      <c r="AR969" t="b">
        <f>OR(AND(IF(metadata!P969="",FALSE,TRUE),OR(EXACT(metadata!P969,"not applicable"),EXACT(metadata!P969,"missing: not collected"),EXACT(metadata!P969,"missing: not provided"),EXACT(metadata!P969,"missing: restricted access"))),IF(metadata!P969="",FALSE,IF(ISERROR(INT(metadata!P969)),FALSE,INT(metadata!P969)=metadata!P969)))</f>
        <v>0</v>
      </c>
      <c r="AS969" t="b">
        <f>AND(IF(metadata!Q969="",FALSE,TRUE),EXACT(metadata!Q969,"Not applicable"))</f>
        <v>0</v>
      </c>
      <c r="AT969" t="b">
        <f>OR(AND(IF(metadata!R969="",FALSE,TRUE),OR(EXACT(metadata!R969,"not applicable"),EXACT(metadata!R969,"missing: not collected"),EXACT(metadata!R969,"missing: not provided"),EXACT(metadata!R969,"missing: restricted access"))),AND(IF(metadata!R969="",FALSE,ISNUMBER(VALUE(metadata!R969))),metadata!R969&gt;0))</f>
        <v>0</v>
      </c>
      <c r="AU969" t="b">
        <f>AND(IF(metadata!S969="",FALSE,TRUE),EXACT(metadata!S969,"missing: not provided"))</f>
        <v>0</v>
      </c>
    </row>
    <row r="970" spans="1:47" x14ac:dyDescent="0.2">
      <c r="A970" s="5" t="str">
        <f ca="1">IF(B970=" "," ",HYPERLINK(CONCATENATE("#metadata!",ADDRESS(INDEX($Y$2:$Y$1001,MATCH(ROWS($W$2:W970),$W$2:$W$1001,0),0),1)),INDEX($AB$2:$AB$1001,MATCH(ROWS($W$2:W970),$W$2:$W$1001,0),0)))</f>
        <v xml:space="preserve"> </v>
      </c>
      <c r="B970" s="4" t="str">
        <f ca="1">IF(OR(INDEX($X$2:$X$1001,MATCH(ROWS($W$2:W970),$W$2:$W$1001,0),1)&gt;=100000,INDEX($AD$1005:$AU$1005,1,MATCH(COLUMNS($AD$1006:AD1006),$AD$1006:$AU$1006,0))&gt;=100000), " ",IF(INDEX($AD$2:$AU$1001,MATCH(ROWS($W$2:W970),$W$2:$W$1001,0),MATCH(COLUMNS($AD$1006:AD1006),$AD$1006:$AU$1006,0)), HYPERLINK("#",""), HYPERLINK(CONCATENATE("#metadata!", ADDRESS(INDEX($Y$2:$Y$1001,MATCH(ROWS($W$2:W970),$W$2:$W$1001,0),0), INDEX($AD$1004:$AU$1004,1,MATCH(COLUMNS($AD$1006:AD1006),$AD$1006:$AU$1006,0)))),"Fix")))</f>
        <v xml:space="preserve"> </v>
      </c>
      <c r="C970" s="4" t="str">
        <f ca="1">IF(OR(INDEX($X$2:$X$1001,MATCH(ROWS($W$2:W970),$W$2:$W$1001,0),1)&gt;=100000,INDEX($AD$1005:$AU$1005,1,MATCH(COLUMNS($AD$1006:AE1006),$AD$1006:$AU$1006,0))&gt;=100000), " ",IF(INDEX($AD$2:$AU$1001,MATCH(ROWS($W$2:W970),$W$2:$W$1001,0),MATCH(COLUMNS($AD$1006:AE1006),$AD$1006:$AU$1006,0)), HYPERLINK("#",""), HYPERLINK(CONCATENATE("#metadata!", ADDRESS(INDEX($Y$2:$Y$1001,MATCH(ROWS($W$2:W970),$W$2:$W$1001,0),0), INDEX($AD$1004:$AU$1004,1,MATCH(COLUMNS($AD$1006:AE1006),$AD$1006:$AU$1006,0)))),"Fix")))</f>
        <v xml:space="preserve"> </v>
      </c>
      <c r="D970" s="4" t="str">
        <f ca="1">IF(OR(INDEX($X$2:$X$1001,MATCH(ROWS($W$2:W970),$W$2:$W$1001,0),1)&gt;=100000,INDEX($AD$1005:$AU$1005,1,MATCH(COLUMNS($AD$1006:AF1006),$AD$1006:$AU$1006,0))&gt;=100000), " ",IF(INDEX($AD$2:$AU$1001,MATCH(ROWS($W$2:W970),$W$2:$W$1001,0),MATCH(COLUMNS($AD$1006:AF1006),$AD$1006:$AU$1006,0)), HYPERLINK("#",""), HYPERLINK(CONCATENATE("#metadata!", ADDRESS(INDEX($Y$2:$Y$1001,MATCH(ROWS($W$2:W970),$W$2:$W$1001,0),0), INDEX($AD$1004:$AU$1004,1,MATCH(COLUMNS($AD$1006:AF1006),$AD$1006:$AU$1006,0)))),"Fix")))</f>
        <v xml:space="preserve"> </v>
      </c>
      <c r="E970" s="4" t="str">
        <f ca="1">IF(OR(INDEX($X$2:$X$1001,MATCH(ROWS($W$2:W970),$W$2:$W$1001,0),1)&gt;=100000,INDEX($AD$1005:$AU$1005,1,MATCH(COLUMNS($AD$1006:AG1006),$AD$1006:$AU$1006,0))&gt;=100000), " ",IF(INDEX($AD$2:$AU$1001,MATCH(ROWS($W$2:W970),$W$2:$W$1001,0),MATCH(COLUMNS($AD$1006:AG1006),$AD$1006:$AU$1006,0)), HYPERLINK("#",""), HYPERLINK(CONCATENATE("#metadata!", ADDRESS(INDEX($Y$2:$Y$1001,MATCH(ROWS($W$2:W970),$W$2:$W$1001,0),0), INDEX($AD$1004:$AU$1004,1,MATCH(COLUMNS($AD$1006:AG1006),$AD$1006:$AU$1006,0)))),"Fix")))</f>
        <v xml:space="preserve"> </v>
      </c>
      <c r="F970" s="4" t="str">
        <f ca="1">IF(OR(INDEX($X$2:$X$1001,MATCH(ROWS($W$2:W970),$W$2:$W$1001,0),1)&gt;=100000,INDEX($AD$1005:$AU$1005,1,MATCH(COLUMNS($AD$1006:AH1006),$AD$1006:$AU$1006,0))&gt;=100000), " ",IF(INDEX($AD$2:$AU$1001,MATCH(ROWS($W$2:W970),$W$2:$W$1001,0),MATCH(COLUMNS($AD$1006:AH1006),$AD$1006:$AU$1006,0)), HYPERLINK("#",""), HYPERLINK(CONCATENATE("#metadata!", ADDRESS(INDEX($Y$2:$Y$1001,MATCH(ROWS($W$2:W970),$W$2:$W$1001,0),0), INDEX($AD$1004:$AU$1004,1,MATCH(COLUMNS($AD$1006:AH1006),$AD$1006:$AU$1006,0)))),"Fix")))</f>
        <v xml:space="preserve"> </v>
      </c>
      <c r="G970" s="4" t="str">
        <f ca="1">IF(OR(INDEX($X$2:$X$1001,MATCH(ROWS($W$2:W970),$W$2:$W$1001,0),1)&gt;=100000,INDEX($AD$1005:$AU$1005,1,MATCH(COLUMNS($AD$1006:AI1006),$AD$1006:$AU$1006,0))&gt;=100000), " ",IF(INDEX($AD$2:$AU$1001,MATCH(ROWS($W$2:W970),$W$2:$W$1001,0),MATCH(COLUMNS($AD$1006:AI1006),$AD$1006:$AU$1006,0)), HYPERLINK("#",""), HYPERLINK(CONCATENATE("#metadata!", ADDRESS(INDEX($Y$2:$Y$1001,MATCH(ROWS($W$2:W970),$W$2:$W$1001,0),0), INDEX($AD$1004:$AU$1004,1,MATCH(COLUMNS($AD$1006:AI1006),$AD$1006:$AU$1006,0)))),"Fix")))</f>
        <v xml:space="preserve"> </v>
      </c>
      <c r="H970" s="4" t="str">
        <f ca="1">IF(OR(INDEX($X$2:$X$1001,MATCH(ROWS($W$2:W970),$W$2:$W$1001,0),1)&gt;=100000,INDEX($AD$1005:$AU$1005,1,MATCH(COLUMNS($AD$1006:AJ1006),$AD$1006:$AU$1006,0))&gt;=100000), " ",IF(INDEX($AD$2:$AU$1001,MATCH(ROWS($W$2:W970),$W$2:$W$1001,0),MATCH(COLUMNS($AD$1006:AJ1006),$AD$1006:$AU$1006,0)), HYPERLINK("#",""), HYPERLINK(CONCATENATE("#metadata!", ADDRESS(INDEX($Y$2:$Y$1001,MATCH(ROWS($W$2:W970),$W$2:$W$1001,0),0), INDEX($AD$1004:$AU$1004,1,MATCH(COLUMNS($AD$1006:AJ1006),$AD$1006:$AU$1006,0)))),"Fix")))</f>
        <v xml:space="preserve"> </v>
      </c>
      <c r="I970" s="4" t="str">
        <f ca="1">IF(OR(INDEX($X$2:$X$1001,MATCH(ROWS($W$2:W970),$W$2:$W$1001,0),1)&gt;=100000,INDEX($AD$1005:$AU$1005,1,MATCH(COLUMNS($AD$1006:AK1006),$AD$1006:$AU$1006,0))&gt;=100000), " ",IF(INDEX($AD$2:$AU$1001,MATCH(ROWS($W$2:W970),$W$2:$W$1001,0),MATCH(COLUMNS($AD$1006:AK1006),$AD$1006:$AU$1006,0)), HYPERLINK("#",""), HYPERLINK(CONCATENATE("#metadata!", ADDRESS(INDEX($Y$2:$Y$1001,MATCH(ROWS($W$2:W970),$W$2:$W$1001,0),0), INDEX($AD$1004:$AU$1004,1,MATCH(COLUMNS($AD$1006:AK1006),$AD$1006:$AU$1006,0)))),"Fix")))</f>
        <v xml:space="preserve"> </v>
      </c>
      <c r="J970" s="4" t="str">
        <f ca="1">IF(OR(INDEX($X$2:$X$1001,MATCH(ROWS($W$2:W970),$W$2:$W$1001,0),1)&gt;=100000,INDEX($AD$1005:$AU$1005,1,MATCH(COLUMNS($AD$1006:AL1006),$AD$1006:$AU$1006,0))&gt;=100000), " ",IF(INDEX($AD$2:$AU$1001,MATCH(ROWS($W$2:W970),$W$2:$W$1001,0),MATCH(COLUMNS($AD$1006:AL1006),$AD$1006:$AU$1006,0)), HYPERLINK("#",""), HYPERLINK(CONCATENATE("#metadata!", ADDRESS(INDEX($Y$2:$Y$1001,MATCH(ROWS($W$2:W970),$W$2:$W$1001,0),0), INDEX($AD$1004:$AU$1004,1,MATCH(COLUMNS($AD$1006:AL1006),$AD$1006:$AU$1006,0)))),"Fix")))</f>
        <v xml:space="preserve"> </v>
      </c>
      <c r="K970" s="4" t="str">
        <f ca="1">IF(OR(INDEX($X$2:$X$1001,MATCH(ROWS($W$2:W970),$W$2:$W$1001,0),1)&gt;=100000,INDEX($AD$1005:$AU$1005,1,MATCH(COLUMNS($AD$1006:AM1006),$AD$1006:$AU$1006,0))&gt;=100000), " ",IF(INDEX($AD$2:$AU$1001,MATCH(ROWS($W$2:W970),$W$2:$W$1001,0),MATCH(COLUMNS($AD$1006:AM1006),$AD$1006:$AU$1006,0)), HYPERLINK("#",""), HYPERLINK(CONCATENATE("#metadata!", ADDRESS(INDEX($Y$2:$Y$1001,MATCH(ROWS($W$2:W970),$W$2:$W$1001,0),0), INDEX($AD$1004:$AU$1004,1,MATCH(COLUMNS($AD$1006:AM1006),$AD$1006:$AU$1006,0)))),"Fix")))</f>
        <v xml:space="preserve"> </v>
      </c>
      <c r="L970" s="4" t="str">
        <f ca="1">IF(OR(INDEX($X$2:$X$1001,MATCH(ROWS($W$2:W970),$W$2:$W$1001,0),1)&gt;=100000,INDEX($AD$1005:$AU$1005,1,MATCH(COLUMNS($AD$1006:AN1006),$AD$1006:$AU$1006,0))&gt;=100000), " ",IF(INDEX($AD$2:$AU$1001,MATCH(ROWS($W$2:W970),$W$2:$W$1001,0),MATCH(COLUMNS($AD$1006:AN1006),$AD$1006:$AU$1006,0)), HYPERLINK("#",""), HYPERLINK(CONCATENATE("#metadata!", ADDRESS(INDEX($Y$2:$Y$1001,MATCH(ROWS($W$2:W970),$W$2:$W$1001,0),0), INDEX($AD$1004:$AU$1004,1,MATCH(COLUMNS($AD$1006:AN1006),$AD$1006:$AU$1006,0)))),"Fix")))</f>
        <v xml:space="preserve"> </v>
      </c>
      <c r="M970" s="4" t="str">
        <f ca="1">IF(OR(INDEX($X$2:$X$1001,MATCH(ROWS($W$2:W970),$W$2:$W$1001,0),1)&gt;=100000,INDEX($AD$1005:$AU$1005,1,MATCH(COLUMNS($AD$1006:AO1006),$AD$1006:$AU$1006,0))&gt;=100000), " ",IF(INDEX($AD$2:$AU$1001,MATCH(ROWS($W$2:W970),$W$2:$W$1001,0),MATCH(COLUMNS($AD$1006:AO1006),$AD$1006:$AU$1006,0)), HYPERLINK("#",""), HYPERLINK(CONCATENATE("#metadata!", ADDRESS(INDEX($Y$2:$Y$1001,MATCH(ROWS($W$2:W970),$W$2:$W$1001,0),0), INDEX($AD$1004:$AU$1004,1,MATCH(COLUMNS($AD$1006:AO1006),$AD$1006:$AU$1006,0)))),"Fix")))</f>
        <v xml:space="preserve"> </v>
      </c>
      <c r="N970" s="4" t="str">
        <f ca="1">IF(OR(INDEX($X$2:$X$1001,MATCH(ROWS($W$2:W970),$W$2:$W$1001,0),1)&gt;=100000,INDEX($AD$1005:$AU$1005,1,MATCH(COLUMNS($AD$1006:AP1006),$AD$1006:$AU$1006,0))&gt;=100000), " ",IF(INDEX($AD$2:$AU$1001,MATCH(ROWS($W$2:W970),$W$2:$W$1001,0),MATCH(COLUMNS($AD$1006:AP1006),$AD$1006:$AU$1006,0)), HYPERLINK("#",""), HYPERLINK(CONCATENATE("#metadata!", ADDRESS(INDEX($Y$2:$Y$1001,MATCH(ROWS($W$2:W970),$W$2:$W$1001,0),0), INDEX($AD$1004:$AU$1004,1,MATCH(COLUMNS($AD$1006:AP1006),$AD$1006:$AU$1006,0)))),"Fix")))</f>
        <v xml:space="preserve"> </v>
      </c>
      <c r="O970" s="4" t="str">
        <f ca="1">IF(OR(INDEX($X$2:$X$1001,MATCH(ROWS($W$2:W970),$W$2:$W$1001,0),1)&gt;=100000,INDEX($AD$1005:$AU$1005,1,MATCH(COLUMNS($AD$1006:AQ1006),$AD$1006:$AU$1006,0))&gt;=100000), " ",IF(INDEX($AD$2:$AU$1001,MATCH(ROWS($W$2:W970),$W$2:$W$1001,0),MATCH(COLUMNS($AD$1006:AQ1006),$AD$1006:$AU$1006,0)), HYPERLINK("#",""), HYPERLINK(CONCATENATE("#metadata!", ADDRESS(INDEX($Y$2:$Y$1001,MATCH(ROWS($W$2:W970),$W$2:$W$1001,0),0), INDEX($AD$1004:$AU$1004,1,MATCH(COLUMNS($AD$1006:AQ1006),$AD$1006:$AU$1006,0)))),"Fix")))</f>
        <v xml:space="preserve"> </v>
      </c>
      <c r="P970" s="4" t="str">
        <f ca="1">IF(OR(INDEX($X$2:$X$1001,MATCH(ROWS($W$2:W970),$W$2:$W$1001,0),1)&gt;=100000,INDEX($AD$1005:$AU$1005,1,MATCH(COLUMNS($AD$1006:AR1006),$AD$1006:$AU$1006,0))&gt;=100000), " ",IF(INDEX($AD$2:$AU$1001,MATCH(ROWS($W$2:W970),$W$2:$W$1001,0),MATCH(COLUMNS($AD$1006:AR1006),$AD$1006:$AU$1006,0)), HYPERLINK("#",""), HYPERLINK(CONCATENATE("#metadata!", ADDRESS(INDEX($Y$2:$Y$1001,MATCH(ROWS($W$2:W970),$W$2:$W$1001,0),0), INDEX($AD$1004:$AU$1004,1,MATCH(COLUMNS($AD$1006:AR1006),$AD$1006:$AU$1006,0)))),"Fix")))</f>
        <v xml:space="preserve"> </v>
      </c>
      <c r="Q970" s="4" t="str">
        <f ca="1">IF(OR(INDEX($X$2:$X$1001,MATCH(ROWS($W$2:W970),$W$2:$W$1001,0),1)&gt;=100000,INDEX($AD$1005:$AU$1005,1,MATCH(COLUMNS($AD$1006:AS1006),$AD$1006:$AU$1006,0))&gt;=100000), " ",IF(INDEX($AD$2:$AU$1001,MATCH(ROWS($W$2:W970),$W$2:$W$1001,0),MATCH(COLUMNS($AD$1006:AS1006),$AD$1006:$AU$1006,0)), HYPERLINK("#",""), HYPERLINK(CONCATENATE("#metadata!", ADDRESS(INDEX($Y$2:$Y$1001,MATCH(ROWS($W$2:W970),$W$2:$W$1001,0),0), INDEX($AD$1004:$AU$1004,1,MATCH(COLUMNS($AD$1006:AS1006),$AD$1006:$AU$1006,0)))),"Fix")))</f>
        <v xml:space="preserve"> </v>
      </c>
      <c r="R970" s="4" t="str">
        <f ca="1">IF(OR(INDEX($X$2:$X$1001,MATCH(ROWS($W$2:W970),$W$2:$W$1001,0),1)&gt;=100000,INDEX($AD$1005:$AU$1005,1,MATCH(COLUMNS($AD$1006:AT1006),$AD$1006:$AU$1006,0))&gt;=100000), " ",IF(INDEX($AD$2:$AU$1001,MATCH(ROWS($W$2:W970),$W$2:$W$1001,0),MATCH(COLUMNS($AD$1006:AT1006),$AD$1006:$AU$1006,0)), HYPERLINK("#",""), HYPERLINK(CONCATENATE("#metadata!", ADDRESS(INDEX($Y$2:$Y$1001,MATCH(ROWS($W$2:W970),$W$2:$W$1001,0),0), INDEX($AD$1004:$AU$1004,1,MATCH(COLUMNS($AD$1006:AT1006),$AD$1006:$AU$1006,0)))),"Fix")))</f>
        <v xml:space="preserve"> </v>
      </c>
      <c r="S970" s="4" t="str">
        <f ca="1">IF(OR(INDEX($X$2:$X$1001,MATCH(ROWS($W$2:W970),$W$2:$W$1001,0),1)&gt;=100000,INDEX($AD$1005:$AU$1005,1,MATCH(COLUMNS($AD$1006:AU1006),$AD$1006:$AU$1006,0))&gt;=100000), " ",IF(INDEX($AD$2:$AU$1001,MATCH(ROWS($W$2:W970),$W$2:$W$1001,0),MATCH(COLUMNS($AD$1006:AU1006),$AD$1006:$AU$1006,0)), HYPERLINK("#",""), HYPERLINK(CONCATENATE("#metadata!", ADDRESS(INDEX($Y$2:$Y$1001,MATCH(ROWS($W$2:W970),$W$2:$W$1001,0),0), INDEX($AD$1004:$AU$1004,1,MATCH(COLUMNS($AD$1006:AU1006),$AD$1006:$AU$1006,0)))),"Fix")))</f>
        <v xml:space="preserve"> </v>
      </c>
      <c r="W970">
        <v>969</v>
      </c>
      <c r="X970">
        <v>100970</v>
      </c>
      <c r="Y970">
        <v>970</v>
      </c>
      <c r="Z970" t="b">
        <f t="shared" si="15"/>
        <v>1</v>
      </c>
      <c r="AA970" t="b">
        <f>COUNTBLANK(metadata!B970:S970)=COLUMNS(metadata!B970:S970)</f>
        <v>1</v>
      </c>
      <c r="AB970" t="str">
        <v/>
      </c>
      <c r="AD970" t="b">
        <f ca="1">AND(IF(metadata!B970="",FALSE,TRUE),COUNTIF(metadata!B:B, metadata!B970) = 1,NOT(ISERROR(SUMPRODUCT(SEARCH(MID(metadata!B970,ROW(INDIRECT("1:"&amp;LEN(metadata!B970))), 1),"0123456789abcdefghijklmnopqrstuvwxyzABCDEFGHIJKLMNOPQRSTUVWXYZ.")))))</f>
        <v>0</v>
      </c>
      <c r="AE970" t="b">
        <f>OR(AND(IF(metadata!C970="",FALSE,TRUE),OR(EXACT(metadata!C970,"not applicable"),EXACT(metadata!C970,"missing: not collected"),EXACT(metadata!C970,"missing: not provided"),EXACT(metadata!C970,"missing: restricted access"))),AND(IF(metadata!C970="",FALSE,ISNUMBER(VALUE(metadata!C970))),metadata!C970&gt;0))</f>
        <v>0</v>
      </c>
      <c r="AF970" t="b">
        <f>AND(IF(metadata!D970="",FALSE,TRUE),EXACT(metadata!D970,"missing: not provided"))</f>
        <v>0</v>
      </c>
      <c r="AG970" t="b">
        <f>AND(IF(metadata!E970="",FALSE,TRUE),EXACT(metadata!E970,"Host-associated"))</f>
        <v>0</v>
      </c>
      <c r="AH970" t="b">
        <f>AND(IF(metadata!F970="",FALSE,TRUE),OR(EXACT(metadata!F970,"Animal"),EXACT(metadata!F970,"Fungus"),EXACT(metadata!F970,"Plant")))</f>
        <v>0</v>
      </c>
      <c r="AI970" t="b">
        <f>AND(IF(metadata!G970="",FALSE,TRUE),OR(EXACT(metadata!G970,"Plant secretion"),EXACT(metadata!G970,"Plant rhizosphere"),EXACT(metadata!G970,"Plant surface"),EXACT(metadata!G970,"Plant corpus"),EXACT(metadata!G970,"Fungus surface"),EXACT(metadata!G970,"Fungus corpus"),EXACT(metadata!G970,"Animal surface"),EXACT(metadata!G970,"Animal proximal gut"),EXACT(metadata!G970,"Animal corpus"),EXACT(metadata!G970,"Animal distal gut"),EXACT(metadata!G970,"Animal secretion")))</f>
        <v>0</v>
      </c>
      <c r="AJ970" t="b">
        <f>OR(AND(IF(metadata!H970="",FALSE,TRUE),OR(EXACT(metadata!H970,"missing: not collected"),EXACT(metadata!H970,"missing: not provided"),EXACT(metadata!H970,"missing: restricted access"))),AND(IF(metadata!H970="",FALSE,TRUE),OR(EXACT(metadata!H970,"organism-associated habitat"),EXACT(metadata!H970,"plant-associated habitat"),EXACT(metadata!H970,"animal-associated habitat"),EXACT(metadata!H970,"insecta-associated habitat"),EXACT(metadata!H970,"mammalia-associated habitat"),EXACT(metadata!H970,"human-associated habitat"),EXACT(metadata!H970,"livestock-associated habitat"))))</f>
        <v>0</v>
      </c>
      <c r="AK970" t="b">
        <f>AND(IF(metadata!I970="",FALSE,TRUE),EXACT(metadata!I970,"host-associated"))</f>
        <v>0</v>
      </c>
      <c r="AL970" t="b">
        <f>OR(AND(IF(metadata!J970="",FALSE,TRUE),OR(EXACT(metadata!J970,"not applicable"),EXACT(metadata!J970,"missing: not collected"),EXACT(metadata!J970,"missing: not provided"),EXACT(metadata!J970,"missing: restricted access"))),AND(IF(metadata!J970="",FALSE,ISNUMBER(VALUE(metadata!J970))),metadata!J970&gt;0))</f>
        <v>0</v>
      </c>
      <c r="AM970" t="b">
        <f>AND(IF(metadata!K970="",FALSE,TRUE),EXACT(metadata!K970,"missing: not provided"))</f>
        <v>0</v>
      </c>
      <c r="AN970" t="b">
        <f>IF(metadata!L970="",FALSE,TRUE)</f>
        <v>0</v>
      </c>
      <c r="AO970" t="b">
        <f>IF(metadata!M970="",FALSE,TRUE)</f>
        <v>0</v>
      </c>
      <c r="AP970" t="b">
        <f>OR(AND(IF(metadata!N970="",FALSE,TRUE),OR(EXACT(metadata!N970,"not applicable"),EXACT(metadata!N970,"missing: not collected"),EXACT(metadata!N970,"missing: not provided"))),AND(IF(metadata!N970="",FALSE,IF(ISERROR(INT(metadata!N970)),FALSE,INT(metadata!N970)=metadata!N970)),metadata!N970&gt;0))</f>
        <v>0</v>
      </c>
      <c r="AQ970" t="b">
        <f>AND(IF(metadata!O970="",FALSE,TRUE),EXACT(metadata!O970,"Not applicable"))</f>
        <v>0</v>
      </c>
      <c r="AR970" t="b">
        <f>OR(AND(IF(metadata!P970="",FALSE,TRUE),OR(EXACT(metadata!P970,"not applicable"),EXACT(metadata!P970,"missing: not collected"),EXACT(metadata!P970,"missing: not provided"),EXACT(metadata!P970,"missing: restricted access"))),IF(metadata!P970="",FALSE,IF(ISERROR(INT(metadata!P970)),FALSE,INT(metadata!P970)=metadata!P970)))</f>
        <v>0</v>
      </c>
      <c r="AS970" t="b">
        <f>AND(IF(metadata!Q970="",FALSE,TRUE),EXACT(metadata!Q970,"Not applicable"))</f>
        <v>0</v>
      </c>
      <c r="AT970" t="b">
        <f>OR(AND(IF(metadata!R970="",FALSE,TRUE),OR(EXACT(metadata!R970,"not applicable"),EXACT(metadata!R970,"missing: not collected"),EXACT(metadata!R970,"missing: not provided"),EXACT(metadata!R970,"missing: restricted access"))),AND(IF(metadata!R970="",FALSE,ISNUMBER(VALUE(metadata!R970))),metadata!R970&gt;0))</f>
        <v>0</v>
      </c>
      <c r="AU970" t="b">
        <f>AND(IF(metadata!S970="",FALSE,TRUE),EXACT(metadata!S970,"missing: not provided"))</f>
        <v>0</v>
      </c>
    </row>
    <row r="971" spans="1:47" x14ac:dyDescent="0.2">
      <c r="A971" s="5" t="str">
        <f ca="1">IF(B971=" "," ",HYPERLINK(CONCATENATE("#metadata!",ADDRESS(INDEX($Y$2:$Y$1001,MATCH(ROWS($W$2:W971),$W$2:$W$1001,0),0),1)),INDEX($AB$2:$AB$1001,MATCH(ROWS($W$2:W971),$W$2:$W$1001,0),0)))</f>
        <v xml:space="preserve"> </v>
      </c>
      <c r="B971" s="4" t="str">
        <f ca="1">IF(OR(INDEX($X$2:$X$1001,MATCH(ROWS($W$2:W971),$W$2:$W$1001,0),1)&gt;=100000,INDEX($AD$1005:$AU$1005,1,MATCH(COLUMNS($AD$1006:AD1006),$AD$1006:$AU$1006,0))&gt;=100000), " ",IF(INDEX($AD$2:$AU$1001,MATCH(ROWS($W$2:W971),$W$2:$W$1001,0),MATCH(COLUMNS($AD$1006:AD1006),$AD$1006:$AU$1006,0)), HYPERLINK("#",""), HYPERLINK(CONCATENATE("#metadata!", ADDRESS(INDEX($Y$2:$Y$1001,MATCH(ROWS($W$2:W971),$W$2:$W$1001,0),0), INDEX($AD$1004:$AU$1004,1,MATCH(COLUMNS($AD$1006:AD1006),$AD$1006:$AU$1006,0)))),"Fix")))</f>
        <v xml:space="preserve"> </v>
      </c>
      <c r="C971" s="4" t="str">
        <f ca="1">IF(OR(INDEX($X$2:$X$1001,MATCH(ROWS($W$2:W971),$W$2:$W$1001,0),1)&gt;=100000,INDEX($AD$1005:$AU$1005,1,MATCH(COLUMNS($AD$1006:AE1006),$AD$1006:$AU$1006,0))&gt;=100000), " ",IF(INDEX($AD$2:$AU$1001,MATCH(ROWS($W$2:W971),$W$2:$W$1001,0),MATCH(COLUMNS($AD$1006:AE1006),$AD$1006:$AU$1006,0)), HYPERLINK("#",""), HYPERLINK(CONCATENATE("#metadata!", ADDRESS(INDEX($Y$2:$Y$1001,MATCH(ROWS($W$2:W971),$W$2:$W$1001,0),0), INDEX($AD$1004:$AU$1004,1,MATCH(COLUMNS($AD$1006:AE1006),$AD$1006:$AU$1006,0)))),"Fix")))</f>
        <v xml:space="preserve"> </v>
      </c>
      <c r="D971" s="4" t="str">
        <f ca="1">IF(OR(INDEX($X$2:$X$1001,MATCH(ROWS($W$2:W971),$W$2:$W$1001,0),1)&gt;=100000,INDEX($AD$1005:$AU$1005,1,MATCH(COLUMNS($AD$1006:AF1006),$AD$1006:$AU$1006,0))&gt;=100000), " ",IF(INDEX($AD$2:$AU$1001,MATCH(ROWS($W$2:W971),$W$2:$W$1001,0),MATCH(COLUMNS($AD$1006:AF1006),$AD$1006:$AU$1006,0)), HYPERLINK("#",""), HYPERLINK(CONCATENATE("#metadata!", ADDRESS(INDEX($Y$2:$Y$1001,MATCH(ROWS($W$2:W971),$W$2:$W$1001,0),0), INDEX($AD$1004:$AU$1004,1,MATCH(COLUMNS($AD$1006:AF1006),$AD$1006:$AU$1006,0)))),"Fix")))</f>
        <v xml:space="preserve"> </v>
      </c>
      <c r="E971" s="4" t="str">
        <f ca="1">IF(OR(INDEX($X$2:$X$1001,MATCH(ROWS($W$2:W971),$W$2:$W$1001,0),1)&gt;=100000,INDEX($AD$1005:$AU$1005,1,MATCH(COLUMNS($AD$1006:AG1006),$AD$1006:$AU$1006,0))&gt;=100000), " ",IF(INDEX($AD$2:$AU$1001,MATCH(ROWS($W$2:W971),$W$2:$W$1001,0),MATCH(COLUMNS($AD$1006:AG1006),$AD$1006:$AU$1006,0)), HYPERLINK("#",""), HYPERLINK(CONCATENATE("#metadata!", ADDRESS(INDEX($Y$2:$Y$1001,MATCH(ROWS($W$2:W971),$W$2:$W$1001,0),0), INDEX($AD$1004:$AU$1004,1,MATCH(COLUMNS($AD$1006:AG1006),$AD$1006:$AU$1006,0)))),"Fix")))</f>
        <v xml:space="preserve"> </v>
      </c>
      <c r="F971" s="4" t="str">
        <f ca="1">IF(OR(INDEX($X$2:$X$1001,MATCH(ROWS($W$2:W971),$W$2:$W$1001,0),1)&gt;=100000,INDEX($AD$1005:$AU$1005,1,MATCH(COLUMNS($AD$1006:AH1006),$AD$1006:$AU$1006,0))&gt;=100000), " ",IF(INDEX($AD$2:$AU$1001,MATCH(ROWS($W$2:W971),$W$2:$W$1001,0),MATCH(COLUMNS($AD$1006:AH1006),$AD$1006:$AU$1006,0)), HYPERLINK("#",""), HYPERLINK(CONCATENATE("#metadata!", ADDRESS(INDEX($Y$2:$Y$1001,MATCH(ROWS($W$2:W971),$W$2:$W$1001,0),0), INDEX($AD$1004:$AU$1004,1,MATCH(COLUMNS($AD$1006:AH1006),$AD$1006:$AU$1006,0)))),"Fix")))</f>
        <v xml:space="preserve"> </v>
      </c>
      <c r="G971" s="4" t="str">
        <f ca="1">IF(OR(INDEX($X$2:$X$1001,MATCH(ROWS($W$2:W971),$W$2:$W$1001,0),1)&gt;=100000,INDEX($AD$1005:$AU$1005,1,MATCH(COLUMNS($AD$1006:AI1006),$AD$1006:$AU$1006,0))&gt;=100000), " ",IF(INDEX($AD$2:$AU$1001,MATCH(ROWS($W$2:W971),$W$2:$W$1001,0),MATCH(COLUMNS($AD$1006:AI1006),$AD$1006:$AU$1006,0)), HYPERLINK("#",""), HYPERLINK(CONCATENATE("#metadata!", ADDRESS(INDEX($Y$2:$Y$1001,MATCH(ROWS($W$2:W971),$W$2:$W$1001,0),0), INDEX($AD$1004:$AU$1004,1,MATCH(COLUMNS($AD$1006:AI1006),$AD$1006:$AU$1006,0)))),"Fix")))</f>
        <v xml:space="preserve"> </v>
      </c>
      <c r="H971" s="4" t="str">
        <f ca="1">IF(OR(INDEX($X$2:$X$1001,MATCH(ROWS($W$2:W971),$W$2:$W$1001,0),1)&gt;=100000,INDEX($AD$1005:$AU$1005,1,MATCH(COLUMNS($AD$1006:AJ1006),$AD$1006:$AU$1006,0))&gt;=100000), " ",IF(INDEX($AD$2:$AU$1001,MATCH(ROWS($W$2:W971),$W$2:$W$1001,0),MATCH(COLUMNS($AD$1006:AJ1006),$AD$1006:$AU$1006,0)), HYPERLINK("#",""), HYPERLINK(CONCATENATE("#metadata!", ADDRESS(INDEX($Y$2:$Y$1001,MATCH(ROWS($W$2:W971),$W$2:$W$1001,0),0), INDEX($AD$1004:$AU$1004,1,MATCH(COLUMNS($AD$1006:AJ1006),$AD$1006:$AU$1006,0)))),"Fix")))</f>
        <v xml:space="preserve"> </v>
      </c>
      <c r="I971" s="4" t="str">
        <f ca="1">IF(OR(INDEX($X$2:$X$1001,MATCH(ROWS($W$2:W971),$W$2:$W$1001,0),1)&gt;=100000,INDEX($AD$1005:$AU$1005,1,MATCH(COLUMNS($AD$1006:AK1006),$AD$1006:$AU$1006,0))&gt;=100000), " ",IF(INDEX($AD$2:$AU$1001,MATCH(ROWS($W$2:W971),$W$2:$W$1001,0),MATCH(COLUMNS($AD$1006:AK1006),$AD$1006:$AU$1006,0)), HYPERLINK("#",""), HYPERLINK(CONCATENATE("#metadata!", ADDRESS(INDEX($Y$2:$Y$1001,MATCH(ROWS($W$2:W971),$W$2:$W$1001,0),0), INDEX($AD$1004:$AU$1004,1,MATCH(COLUMNS($AD$1006:AK1006),$AD$1006:$AU$1006,0)))),"Fix")))</f>
        <v xml:space="preserve"> </v>
      </c>
      <c r="J971" s="4" t="str">
        <f ca="1">IF(OR(INDEX($X$2:$X$1001,MATCH(ROWS($W$2:W971),$W$2:$W$1001,0),1)&gt;=100000,INDEX($AD$1005:$AU$1005,1,MATCH(COLUMNS($AD$1006:AL1006),$AD$1006:$AU$1006,0))&gt;=100000), " ",IF(INDEX($AD$2:$AU$1001,MATCH(ROWS($W$2:W971),$W$2:$W$1001,0),MATCH(COLUMNS($AD$1006:AL1006),$AD$1006:$AU$1006,0)), HYPERLINK("#",""), HYPERLINK(CONCATENATE("#metadata!", ADDRESS(INDEX($Y$2:$Y$1001,MATCH(ROWS($W$2:W971),$W$2:$W$1001,0),0), INDEX($AD$1004:$AU$1004,1,MATCH(COLUMNS($AD$1006:AL1006),$AD$1006:$AU$1006,0)))),"Fix")))</f>
        <v xml:space="preserve"> </v>
      </c>
      <c r="K971" s="4" t="str">
        <f ca="1">IF(OR(INDEX($X$2:$X$1001,MATCH(ROWS($W$2:W971),$W$2:$W$1001,0),1)&gt;=100000,INDEX($AD$1005:$AU$1005,1,MATCH(COLUMNS($AD$1006:AM1006),$AD$1006:$AU$1006,0))&gt;=100000), " ",IF(INDEX($AD$2:$AU$1001,MATCH(ROWS($W$2:W971),$W$2:$W$1001,0),MATCH(COLUMNS($AD$1006:AM1006),$AD$1006:$AU$1006,0)), HYPERLINK("#",""), HYPERLINK(CONCATENATE("#metadata!", ADDRESS(INDEX($Y$2:$Y$1001,MATCH(ROWS($W$2:W971),$W$2:$W$1001,0),0), INDEX($AD$1004:$AU$1004,1,MATCH(COLUMNS($AD$1006:AM1006),$AD$1006:$AU$1006,0)))),"Fix")))</f>
        <v xml:space="preserve"> </v>
      </c>
      <c r="L971" s="4" t="str">
        <f ca="1">IF(OR(INDEX($X$2:$X$1001,MATCH(ROWS($W$2:W971),$W$2:$W$1001,0),1)&gt;=100000,INDEX($AD$1005:$AU$1005,1,MATCH(COLUMNS($AD$1006:AN1006),$AD$1006:$AU$1006,0))&gt;=100000), " ",IF(INDEX($AD$2:$AU$1001,MATCH(ROWS($W$2:W971),$W$2:$W$1001,0),MATCH(COLUMNS($AD$1006:AN1006),$AD$1006:$AU$1006,0)), HYPERLINK("#",""), HYPERLINK(CONCATENATE("#metadata!", ADDRESS(INDEX($Y$2:$Y$1001,MATCH(ROWS($W$2:W971),$W$2:$W$1001,0),0), INDEX($AD$1004:$AU$1004,1,MATCH(COLUMNS($AD$1006:AN1006),$AD$1006:$AU$1006,0)))),"Fix")))</f>
        <v xml:space="preserve"> </v>
      </c>
      <c r="M971" s="4" t="str">
        <f ca="1">IF(OR(INDEX($X$2:$X$1001,MATCH(ROWS($W$2:W971),$W$2:$W$1001,0),1)&gt;=100000,INDEX($AD$1005:$AU$1005,1,MATCH(COLUMNS($AD$1006:AO1006),$AD$1006:$AU$1006,0))&gt;=100000), " ",IF(INDEX($AD$2:$AU$1001,MATCH(ROWS($W$2:W971),$W$2:$W$1001,0),MATCH(COLUMNS($AD$1006:AO1006),$AD$1006:$AU$1006,0)), HYPERLINK("#",""), HYPERLINK(CONCATENATE("#metadata!", ADDRESS(INDEX($Y$2:$Y$1001,MATCH(ROWS($W$2:W971),$W$2:$W$1001,0),0), INDEX($AD$1004:$AU$1004,1,MATCH(COLUMNS($AD$1006:AO1006),$AD$1006:$AU$1006,0)))),"Fix")))</f>
        <v xml:space="preserve"> </v>
      </c>
      <c r="N971" s="4" t="str">
        <f ca="1">IF(OR(INDEX($X$2:$X$1001,MATCH(ROWS($W$2:W971),$W$2:$W$1001,0),1)&gt;=100000,INDEX($AD$1005:$AU$1005,1,MATCH(COLUMNS($AD$1006:AP1006),$AD$1006:$AU$1006,0))&gt;=100000), " ",IF(INDEX($AD$2:$AU$1001,MATCH(ROWS($W$2:W971),$W$2:$W$1001,0),MATCH(COLUMNS($AD$1006:AP1006),$AD$1006:$AU$1006,0)), HYPERLINK("#",""), HYPERLINK(CONCATENATE("#metadata!", ADDRESS(INDEX($Y$2:$Y$1001,MATCH(ROWS($W$2:W971),$W$2:$W$1001,0),0), INDEX($AD$1004:$AU$1004,1,MATCH(COLUMNS($AD$1006:AP1006),$AD$1006:$AU$1006,0)))),"Fix")))</f>
        <v xml:space="preserve"> </v>
      </c>
      <c r="O971" s="4" t="str">
        <f ca="1">IF(OR(INDEX($X$2:$X$1001,MATCH(ROWS($W$2:W971),$W$2:$W$1001,0),1)&gt;=100000,INDEX($AD$1005:$AU$1005,1,MATCH(COLUMNS($AD$1006:AQ1006),$AD$1006:$AU$1006,0))&gt;=100000), " ",IF(INDEX($AD$2:$AU$1001,MATCH(ROWS($W$2:W971),$W$2:$W$1001,0),MATCH(COLUMNS($AD$1006:AQ1006),$AD$1006:$AU$1006,0)), HYPERLINK("#",""), HYPERLINK(CONCATENATE("#metadata!", ADDRESS(INDEX($Y$2:$Y$1001,MATCH(ROWS($W$2:W971),$W$2:$W$1001,0),0), INDEX($AD$1004:$AU$1004,1,MATCH(COLUMNS($AD$1006:AQ1006),$AD$1006:$AU$1006,0)))),"Fix")))</f>
        <v xml:space="preserve"> </v>
      </c>
      <c r="P971" s="4" t="str">
        <f ca="1">IF(OR(INDEX($X$2:$X$1001,MATCH(ROWS($W$2:W971),$W$2:$W$1001,0),1)&gt;=100000,INDEX($AD$1005:$AU$1005,1,MATCH(COLUMNS($AD$1006:AR1006),$AD$1006:$AU$1006,0))&gt;=100000), " ",IF(INDEX($AD$2:$AU$1001,MATCH(ROWS($W$2:W971),$W$2:$W$1001,0),MATCH(COLUMNS($AD$1006:AR1006),$AD$1006:$AU$1006,0)), HYPERLINK("#",""), HYPERLINK(CONCATENATE("#metadata!", ADDRESS(INDEX($Y$2:$Y$1001,MATCH(ROWS($W$2:W971),$W$2:$W$1001,0),0), INDEX($AD$1004:$AU$1004,1,MATCH(COLUMNS($AD$1006:AR1006),$AD$1006:$AU$1006,0)))),"Fix")))</f>
        <v xml:space="preserve"> </v>
      </c>
      <c r="Q971" s="4" t="str">
        <f ca="1">IF(OR(INDEX($X$2:$X$1001,MATCH(ROWS($W$2:W971),$W$2:$W$1001,0),1)&gt;=100000,INDEX($AD$1005:$AU$1005,1,MATCH(COLUMNS($AD$1006:AS1006),$AD$1006:$AU$1006,0))&gt;=100000), " ",IF(INDEX($AD$2:$AU$1001,MATCH(ROWS($W$2:W971),$W$2:$W$1001,0),MATCH(COLUMNS($AD$1006:AS1006),$AD$1006:$AU$1006,0)), HYPERLINK("#",""), HYPERLINK(CONCATENATE("#metadata!", ADDRESS(INDEX($Y$2:$Y$1001,MATCH(ROWS($W$2:W971),$W$2:$W$1001,0),0), INDEX($AD$1004:$AU$1004,1,MATCH(COLUMNS($AD$1006:AS1006),$AD$1006:$AU$1006,0)))),"Fix")))</f>
        <v xml:space="preserve"> </v>
      </c>
      <c r="R971" s="4" t="str">
        <f ca="1">IF(OR(INDEX($X$2:$X$1001,MATCH(ROWS($W$2:W971),$W$2:$W$1001,0),1)&gt;=100000,INDEX($AD$1005:$AU$1005,1,MATCH(COLUMNS($AD$1006:AT1006),$AD$1006:$AU$1006,0))&gt;=100000), " ",IF(INDEX($AD$2:$AU$1001,MATCH(ROWS($W$2:W971),$W$2:$W$1001,0),MATCH(COLUMNS($AD$1006:AT1006),$AD$1006:$AU$1006,0)), HYPERLINK("#",""), HYPERLINK(CONCATENATE("#metadata!", ADDRESS(INDEX($Y$2:$Y$1001,MATCH(ROWS($W$2:W971),$W$2:$W$1001,0),0), INDEX($AD$1004:$AU$1004,1,MATCH(COLUMNS($AD$1006:AT1006),$AD$1006:$AU$1006,0)))),"Fix")))</f>
        <v xml:space="preserve"> </v>
      </c>
      <c r="S971" s="4" t="str">
        <f ca="1">IF(OR(INDEX($X$2:$X$1001,MATCH(ROWS($W$2:W971),$W$2:$W$1001,0),1)&gt;=100000,INDEX($AD$1005:$AU$1005,1,MATCH(COLUMNS($AD$1006:AU1006),$AD$1006:$AU$1006,0))&gt;=100000), " ",IF(INDEX($AD$2:$AU$1001,MATCH(ROWS($W$2:W971),$W$2:$W$1001,0),MATCH(COLUMNS($AD$1006:AU1006),$AD$1006:$AU$1006,0)), HYPERLINK("#",""), HYPERLINK(CONCATENATE("#metadata!", ADDRESS(INDEX($Y$2:$Y$1001,MATCH(ROWS($W$2:W971),$W$2:$W$1001,0),0), INDEX($AD$1004:$AU$1004,1,MATCH(COLUMNS($AD$1006:AU1006),$AD$1006:$AU$1006,0)))),"Fix")))</f>
        <v xml:space="preserve"> </v>
      </c>
      <c r="W971">
        <v>970</v>
      </c>
      <c r="X971">
        <v>100971</v>
      </c>
      <c r="Y971">
        <v>971</v>
      </c>
      <c r="Z971" t="b">
        <f t="shared" si="15"/>
        <v>1</v>
      </c>
      <c r="AA971" t="b">
        <f>COUNTBLANK(metadata!B971:S971)=COLUMNS(metadata!B971:S971)</f>
        <v>1</v>
      </c>
      <c r="AB971" t="str">
        <v/>
      </c>
      <c r="AD971" t="b">
        <f ca="1">AND(IF(metadata!B971="",FALSE,TRUE),COUNTIF(metadata!B:B, metadata!B971) = 1,NOT(ISERROR(SUMPRODUCT(SEARCH(MID(metadata!B971,ROW(INDIRECT("1:"&amp;LEN(metadata!B971))), 1),"0123456789abcdefghijklmnopqrstuvwxyzABCDEFGHIJKLMNOPQRSTUVWXYZ.")))))</f>
        <v>0</v>
      </c>
      <c r="AE971" t="b">
        <f>OR(AND(IF(metadata!C971="",FALSE,TRUE),OR(EXACT(metadata!C971,"not applicable"),EXACT(metadata!C971,"missing: not collected"),EXACT(metadata!C971,"missing: not provided"),EXACT(metadata!C971,"missing: restricted access"))),AND(IF(metadata!C971="",FALSE,ISNUMBER(VALUE(metadata!C971))),metadata!C971&gt;0))</f>
        <v>0</v>
      </c>
      <c r="AF971" t="b">
        <f>AND(IF(metadata!D971="",FALSE,TRUE),EXACT(metadata!D971,"missing: not provided"))</f>
        <v>0</v>
      </c>
      <c r="AG971" t="b">
        <f>AND(IF(metadata!E971="",FALSE,TRUE),EXACT(metadata!E971,"Host-associated"))</f>
        <v>0</v>
      </c>
      <c r="AH971" t="b">
        <f>AND(IF(metadata!F971="",FALSE,TRUE),OR(EXACT(metadata!F971,"Animal"),EXACT(metadata!F971,"Fungus"),EXACT(metadata!F971,"Plant")))</f>
        <v>0</v>
      </c>
      <c r="AI971" t="b">
        <f>AND(IF(metadata!G971="",FALSE,TRUE),OR(EXACT(metadata!G971,"Plant secretion"),EXACT(metadata!G971,"Plant rhizosphere"),EXACT(metadata!G971,"Plant surface"),EXACT(metadata!G971,"Plant corpus"),EXACT(metadata!G971,"Fungus surface"),EXACT(metadata!G971,"Fungus corpus"),EXACT(metadata!G971,"Animal surface"),EXACT(metadata!G971,"Animal proximal gut"),EXACT(metadata!G971,"Animal corpus"),EXACT(metadata!G971,"Animal distal gut"),EXACT(metadata!G971,"Animal secretion")))</f>
        <v>0</v>
      </c>
      <c r="AJ971" t="b">
        <f>OR(AND(IF(metadata!H971="",FALSE,TRUE),OR(EXACT(metadata!H971,"missing: not collected"),EXACT(metadata!H971,"missing: not provided"),EXACT(metadata!H971,"missing: restricted access"))),AND(IF(metadata!H971="",FALSE,TRUE),OR(EXACT(metadata!H971,"organism-associated habitat"),EXACT(metadata!H971,"plant-associated habitat"),EXACT(metadata!H971,"animal-associated habitat"),EXACT(metadata!H971,"insecta-associated habitat"),EXACT(metadata!H971,"mammalia-associated habitat"),EXACT(metadata!H971,"human-associated habitat"),EXACT(metadata!H971,"livestock-associated habitat"))))</f>
        <v>0</v>
      </c>
      <c r="AK971" t="b">
        <f>AND(IF(metadata!I971="",FALSE,TRUE),EXACT(metadata!I971,"host-associated"))</f>
        <v>0</v>
      </c>
      <c r="AL971" t="b">
        <f>OR(AND(IF(metadata!J971="",FALSE,TRUE),OR(EXACT(metadata!J971,"not applicable"),EXACT(metadata!J971,"missing: not collected"),EXACT(metadata!J971,"missing: not provided"),EXACT(metadata!J971,"missing: restricted access"))),AND(IF(metadata!J971="",FALSE,ISNUMBER(VALUE(metadata!J971))),metadata!J971&gt;0))</f>
        <v>0</v>
      </c>
      <c r="AM971" t="b">
        <f>AND(IF(metadata!K971="",FALSE,TRUE),EXACT(metadata!K971,"missing: not provided"))</f>
        <v>0</v>
      </c>
      <c r="AN971" t="b">
        <f>IF(metadata!L971="",FALSE,TRUE)</f>
        <v>0</v>
      </c>
      <c r="AO971" t="b">
        <f>IF(metadata!M971="",FALSE,TRUE)</f>
        <v>0</v>
      </c>
      <c r="AP971" t="b">
        <f>OR(AND(IF(metadata!N971="",FALSE,TRUE),OR(EXACT(metadata!N971,"not applicable"),EXACT(metadata!N971,"missing: not collected"),EXACT(metadata!N971,"missing: not provided"))),AND(IF(metadata!N971="",FALSE,IF(ISERROR(INT(metadata!N971)),FALSE,INT(metadata!N971)=metadata!N971)),metadata!N971&gt;0))</f>
        <v>0</v>
      </c>
      <c r="AQ971" t="b">
        <f>AND(IF(metadata!O971="",FALSE,TRUE),EXACT(metadata!O971,"Not applicable"))</f>
        <v>0</v>
      </c>
      <c r="AR971" t="b">
        <f>OR(AND(IF(metadata!P971="",FALSE,TRUE),OR(EXACT(metadata!P971,"not applicable"),EXACT(metadata!P971,"missing: not collected"),EXACT(metadata!P971,"missing: not provided"),EXACT(metadata!P971,"missing: restricted access"))),IF(metadata!P971="",FALSE,IF(ISERROR(INT(metadata!P971)),FALSE,INT(metadata!P971)=metadata!P971)))</f>
        <v>0</v>
      </c>
      <c r="AS971" t="b">
        <f>AND(IF(metadata!Q971="",FALSE,TRUE),EXACT(metadata!Q971,"Not applicable"))</f>
        <v>0</v>
      </c>
      <c r="AT971" t="b">
        <f>OR(AND(IF(metadata!R971="",FALSE,TRUE),OR(EXACT(metadata!R971,"not applicable"),EXACT(metadata!R971,"missing: not collected"),EXACT(metadata!R971,"missing: not provided"),EXACT(metadata!R971,"missing: restricted access"))),AND(IF(metadata!R971="",FALSE,ISNUMBER(VALUE(metadata!R971))),metadata!R971&gt;0))</f>
        <v>0</v>
      </c>
      <c r="AU971" t="b">
        <f>AND(IF(metadata!S971="",FALSE,TRUE),EXACT(metadata!S971,"missing: not provided"))</f>
        <v>0</v>
      </c>
    </row>
    <row r="972" spans="1:47" x14ac:dyDescent="0.2">
      <c r="A972" s="5" t="str">
        <f ca="1">IF(B972=" "," ",HYPERLINK(CONCATENATE("#metadata!",ADDRESS(INDEX($Y$2:$Y$1001,MATCH(ROWS($W$2:W972),$W$2:$W$1001,0),0),1)),INDEX($AB$2:$AB$1001,MATCH(ROWS($W$2:W972),$W$2:$W$1001,0),0)))</f>
        <v xml:space="preserve"> </v>
      </c>
      <c r="B972" s="4" t="str">
        <f ca="1">IF(OR(INDEX($X$2:$X$1001,MATCH(ROWS($W$2:W972),$W$2:$W$1001,0),1)&gt;=100000,INDEX($AD$1005:$AU$1005,1,MATCH(COLUMNS($AD$1006:AD1006),$AD$1006:$AU$1006,0))&gt;=100000), " ",IF(INDEX($AD$2:$AU$1001,MATCH(ROWS($W$2:W972),$W$2:$W$1001,0),MATCH(COLUMNS($AD$1006:AD1006),$AD$1006:$AU$1006,0)), HYPERLINK("#",""), HYPERLINK(CONCATENATE("#metadata!", ADDRESS(INDEX($Y$2:$Y$1001,MATCH(ROWS($W$2:W972),$W$2:$W$1001,0),0), INDEX($AD$1004:$AU$1004,1,MATCH(COLUMNS($AD$1006:AD1006),$AD$1006:$AU$1006,0)))),"Fix")))</f>
        <v xml:space="preserve"> </v>
      </c>
      <c r="C972" s="4" t="str">
        <f ca="1">IF(OR(INDEX($X$2:$X$1001,MATCH(ROWS($W$2:W972),$W$2:$W$1001,0),1)&gt;=100000,INDEX($AD$1005:$AU$1005,1,MATCH(COLUMNS($AD$1006:AE1006),$AD$1006:$AU$1006,0))&gt;=100000), " ",IF(INDEX($AD$2:$AU$1001,MATCH(ROWS($W$2:W972),$W$2:$W$1001,0),MATCH(COLUMNS($AD$1006:AE1006),$AD$1006:$AU$1006,0)), HYPERLINK("#",""), HYPERLINK(CONCATENATE("#metadata!", ADDRESS(INDEX($Y$2:$Y$1001,MATCH(ROWS($W$2:W972),$W$2:$W$1001,0),0), INDEX($AD$1004:$AU$1004,1,MATCH(COLUMNS($AD$1006:AE1006),$AD$1006:$AU$1006,0)))),"Fix")))</f>
        <v xml:space="preserve"> </v>
      </c>
      <c r="D972" s="4" t="str">
        <f ca="1">IF(OR(INDEX($X$2:$X$1001,MATCH(ROWS($W$2:W972),$W$2:$W$1001,0),1)&gt;=100000,INDEX($AD$1005:$AU$1005,1,MATCH(COLUMNS($AD$1006:AF1006),$AD$1006:$AU$1006,0))&gt;=100000), " ",IF(INDEX($AD$2:$AU$1001,MATCH(ROWS($W$2:W972),$W$2:$W$1001,0),MATCH(COLUMNS($AD$1006:AF1006),$AD$1006:$AU$1006,0)), HYPERLINK("#",""), HYPERLINK(CONCATENATE("#metadata!", ADDRESS(INDEX($Y$2:$Y$1001,MATCH(ROWS($W$2:W972),$W$2:$W$1001,0),0), INDEX($AD$1004:$AU$1004,1,MATCH(COLUMNS($AD$1006:AF1006),$AD$1006:$AU$1006,0)))),"Fix")))</f>
        <v xml:space="preserve"> </v>
      </c>
      <c r="E972" s="4" t="str">
        <f ca="1">IF(OR(INDEX($X$2:$X$1001,MATCH(ROWS($W$2:W972),$W$2:$W$1001,0),1)&gt;=100000,INDEX($AD$1005:$AU$1005,1,MATCH(COLUMNS($AD$1006:AG1006),$AD$1006:$AU$1006,0))&gt;=100000), " ",IF(INDEX($AD$2:$AU$1001,MATCH(ROWS($W$2:W972),$W$2:$W$1001,0),MATCH(COLUMNS($AD$1006:AG1006),$AD$1006:$AU$1006,0)), HYPERLINK("#",""), HYPERLINK(CONCATENATE("#metadata!", ADDRESS(INDEX($Y$2:$Y$1001,MATCH(ROWS($W$2:W972),$W$2:$W$1001,0),0), INDEX($AD$1004:$AU$1004,1,MATCH(COLUMNS($AD$1006:AG1006),$AD$1006:$AU$1006,0)))),"Fix")))</f>
        <v xml:space="preserve"> </v>
      </c>
      <c r="F972" s="4" t="str">
        <f ca="1">IF(OR(INDEX($X$2:$X$1001,MATCH(ROWS($W$2:W972),$W$2:$W$1001,0),1)&gt;=100000,INDEX($AD$1005:$AU$1005,1,MATCH(COLUMNS($AD$1006:AH1006),$AD$1006:$AU$1006,0))&gt;=100000), " ",IF(INDEX($AD$2:$AU$1001,MATCH(ROWS($W$2:W972),$W$2:$W$1001,0),MATCH(COLUMNS($AD$1006:AH1006),$AD$1006:$AU$1006,0)), HYPERLINK("#",""), HYPERLINK(CONCATENATE("#metadata!", ADDRESS(INDEX($Y$2:$Y$1001,MATCH(ROWS($W$2:W972),$W$2:$W$1001,0),0), INDEX($AD$1004:$AU$1004,1,MATCH(COLUMNS($AD$1006:AH1006),$AD$1006:$AU$1006,0)))),"Fix")))</f>
        <v xml:space="preserve"> </v>
      </c>
      <c r="G972" s="4" t="str">
        <f ca="1">IF(OR(INDEX($X$2:$X$1001,MATCH(ROWS($W$2:W972),$W$2:$W$1001,0),1)&gt;=100000,INDEX($AD$1005:$AU$1005,1,MATCH(COLUMNS($AD$1006:AI1006),$AD$1006:$AU$1006,0))&gt;=100000), " ",IF(INDEX($AD$2:$AU$1001,MATCH(ROWS($W$2:W972),$W$2:$W$1001,0),MATCH(COLUMNS($AD$1006:AI1006),$AD$1006:$AU$1006,0)), HYPERLINK("#",""), HYPERLINK(CONCATENATE("#metadata!", ADDRESS(INDEX($Y$2:$Y$1001,MATCH(ROWS($W$2:W972),$W$2:$W$1001,0),0), INDEX($AD$1004:$AU$1004,1,MATCH(COLUMNS($AD$1006:AI1006),$AD$1006:$AU$1006,0)))),"Fix")))</f>
        <v xml:space="preserve"> </v>
      </c>
      <c r="H972" s="4" t="str">
        <f ca="1">IF(OR(INDEX($X$2:$X$1001,MATCH(ROWS($W$2:W972),$W$2:$W$1001,0),1)&gt;=100000,INDEX($AD$1005:$AU$1005,1,MATCH(COLUMNS($AD$1006:AJ1006),$AD$1006:$AU$1006,0))&gt;=100000), " ",IF(INDEX($AD$2:$AU$1001,MATCH(ROWS($W$2:W972),$W$2:$W$1001,0),MATCH(COLUMNS($AD$1006:AJ1006),$AD$1006:$AU$1006,0)), HYPERLINK("#",""), HYPERLINK(CONCATENATE("#metadata!", ADDRESS(INDEX($Y$2:$Y$1001,MATCH(ROWS($W$2:W972),$W$2:$W$1001,0),0), INDEX($AD$1004:$AU$1004,1,MATCH(COLUMNS($AD$1006:AJ1006),$AD$1006:$AU$1006,0)))),"Fix")))</f>
        <v xml:space="preserve"> </v>
      </c>
      <c r="I972" s="4" t="str">
        <f ca="1">IF(OR(INDEX($X$2:$X$1001,MATCH(ROWS($W$2:W972),$W$2:$W$1001,0),1)&gt;=100000,INDEX($AD$1005:$AU$1005,1,MATCH(COLUMNS($AD$1006:AK1006),$AD$1006:$AU$1006,0))&gt;=100000), " ",IF(INDEX($AD$2:$AU$1001,MATCH(ROWS($W$2:W972),$W$2:$W$1001,0),MATCH(COLUMNS($AD$1006:AK1006),$AD$1006:$AU$1006,0)), HYPERLINK("#",""), HYPERLINK(CONCATENATE("#metadata!", ADDRESS(INDEX($Y$2:$Y$1001,MATCH(ROWS($W$2:W972),$W$2:$W$1001,0),0), INDEX($AD$1004:$AU$1004,1,MATCH(COLUMNS($AD$1006:AK1006),$AD$1006:$AU$1006,0)))),"Fix")))</f>
        <v xml:space="preserve"> </v>
      </c>
      <c r="J972" s="4" t="str">
        <f ca="1">IF(OR(INDEX($X$2:$X$1001,MATCH(ROWS($W$2:W972),$W$2:$W$1001,0),1)&gt;=100000,INDEX($AD$1005:$AU$1005,1,MATCH(COLUMNS($AD$1006:AL1006),$AD$1006:$AU$1006,0))&gt;=100000), " ",IF(INDEX($AD$2:$AU$1001,MATCH(ROWS($W$2:W972),$W$2:$W$1001,0),MATCH(COLUMNS($AD$1006:AL1006),$AD$1006:$AU$1006,0)), HYPERLINK("#",""), HYPERLINK(CONCATENATE("#metadata!", ADDRESS(INDEX($Y$2:$Y$1001,MATCH(ROWS($W$2:W972),$W$2:$W$1001,0),0), INDEX($AD$1004:$AU$1004,1,MATCH(COLUMNS($AD$1006:AL1006),$AD$1006:$AU$1006,0)))),"Fix")))</f>
        <v xml:space="preserve"> </v>
      </c>
      <c r="K972" s="4" t="str">
        <f ca="1">IF(OR(INDEX($X$2:$X$1001,MATCH(ROWS($W$2:W972),$W$2:$W$1001,0),1)&gt;=100000,INDEX($AD$1005:$AU$1005,1,MATCH(COLUMNS($AD$1006:AM1006),$AD$1006:$AU$1006,0))&gt;=100000), " ",IF(INDEX($AD$2:$AU$1001,MATCH(ROWS($W$2:W972),$W$2:$W$1001,0),MATCH(COLUMNS($AD$1006:AM1006),$AD$1006:$AU$1006,0)), HYPERLINK("#",""), HYPERLINK(CONCATENATE("#metadata!", ADDRESS(INDEX($Y$2:$Y$1001,MATCH(ROWS($W$2:W972),$W$2:$W$1001,0),0), INDEX($AD$1004:$AU$1004,1,MATCH(COLUMNS($AD$1006:AM1006),$AD$1006:$AU$1006,0)))),"Fix")))</f>
        <v xml:space="preserve"> </v>
      </c>
      <c r="L972" s="4" t="str">
        <f ca="1">IF(OR(INDEX($X$2:$X$1001,MATCH(ROWS($W$2:W972),$W$2:$W$1001,0),1)&gt;=100000,INDEX($AD$1005:$AU$1005,1,MATCH(COLUMNS($AD$1006:AN1006),$AD$1006:$AU$1006,0))&gt;=100000), " ",IF(INDEX($AD$2:$AU$1001,MATCH(ROWS($W$2:W972),$W$2:$W$1001,0),MATCH(COLUMNS($AD$1006:AN1006),$AD$1006:$AU$1006,0)), HYPERLINK("#",""), HYPERLINK(CONCATENATE("#metadata!", ADDRESS(INDEX($Y$2:$Y$1001,MATCH(ROWS($W$2:W972),$W$2:$W$1001,0),0), INDEX($AD$1004:$AU$1004,1,MATCH(COLUMNS($AD$1006:AN1006),$AD$1006:$AU$1006,0)))),"Fix")))</f>
        <v xml:space="preserve"> </v>
      </c>
      <c r="M972" s="4" t="str">
        <f ca="1">IF(OR(INDEX($X$2:$X$1001,MATCH(ROWS($W$2:W972),$W$2:$W$1001,0),1)&gt;=100000,INDEX($AD$1005:$AU$1005,1,MATCH(COLUMNS($AD$1006:AO1006),$AD$1006:$AU$1006,0))&gt;=100000), " ",IF(INDEX($AD$2:$AU$1001,MATCH(ROWS($W$2:W972),$W$2:$W$1001,0),MATCH(COLUMNS($AD$1006:AO1006),$AD$1006:$AU$1006,0)), HYPERLINK("#",""), HYPERLINK(CONCATENATE("#metadata!", ADDRESS(INDEX($Y$2:$Y$1001,MATCH(ROWS($W$2:W972),$W$2:$W$1001,0),0), INDEX($AD$1004:$AU$1004,1,MATCH(COLUMNS($AD$1006:AO1006),$AD$1006:$AU$1006,0)))),"Fix")))</f>
        <v xml:space="preserve"> </v>
      </c>
      <c r="N972" s="4" t="str">
        <f ca="1">IF(OR(INDEX($X$2:$X$1001,MATCH(ROWS($W$2:W972),$W$2:$W$1001,0),1)&gt;=100000,INDEX($AD$1005:$AU$1005,1,MATCH(COLUMNS($AD$1006:AP1006),$AD$1006:$AU$1006,0))&gt;=100000), " ",IF(INDEX($AD$2:$AU$1001,MATCH(ROWS($W$2:W972),$W$2:$W$1001,0),MATCH(COLUMNS($AD$1006:AP1006),$AD$1006:$AU$1006,0)), HYPERLINK("#",""), HYPERLINK(CONCATENATE("#metadata!", ADDRESS(INDEX($Y$2:$Y$1001,MATCH(ROWS($W$2:W972),$W$2:$W$1001,0),0), INDEX($AD$1004:$AU$1004,1,MATCH(COLUMNS($AD$1006:AP1006),$AD$1006:$AU$1006,0)))),"Fix")))</f>
        <v xml:space="preserve"> </v>
      </c>
      <c r="O972" s="4" t="str">
        <f ca="1">IF(OR(INDEX($X$2:$X$1001,MATCH(ROWS($W$2:W972),$W$2:$W$1001,0),1)&gt;=100000,INDEX($AD$1005:$AU$1005,1,MATCH(COLUMNS($AD$1006:AQ1006),$AD$1006:$AU$1006,0))&gt;=100000), " ",IF(INDEX($AD$2:$AU$1001,MATCH(ROWS($W$2:W972),$W$2:$W$1001,0),MATCH(COLUMNS($AD$1006:AQ1006),$AD$1006:$AU$1006,0)), HYPERLINK("#",""), HYPERLINK(CONCATENATE("#metadata!", ADDRESS(INDEX($Y$2:$Y$1001,MATCH(ROWS($W$2:W972),$W$2:$W$1001,0),0), INDEX($AD$1004:$AU$1004,1,MATCH(COLUMNS($AD$1006:AQ1006),$AD$1006:$AU$1006,0)))),"Fix")))</f>
        <v xml:space="preserve"> </v>
      </c>
      <c r="P972" s="4" t="str">
        <f ca="1">IF(OR(INDEX($X$2:$X$1001,MATCH(ROWS($W$2:W972),$W$2:$W$1001,0),1)&gt;=100000,INDEX($AD$1005:$AU$1005,1,MATCH(COLUMNS($AD$1006:AR1006),$AD$1006:$AU$1006,0))&gt;=100000), " ",IF(INDEX($AD$2:$AU$1001,MATCH(ROWS($W$2:W972),$W$2:$W$1001,0),MATCH(COLUMNS($AD$1006:AR1006),$AD$1006:$AU$1006,0)), HYPERLINK("#",""), HYPERLINK(CONCATENATE("#metadata!", ADDRESS(INDEX($Y$2:$Y$1001,MATCH(ROWS($W$2:W972),$W$2:$W$1001,0),0), INDEX($AD$1004:$AU$1004,1,MATCH(COLUMNS($AD$1006:AR1006),$AD$1006:$AU$1006,0)))),"Fix")))</f>
        <v xml:space="preserve"> </v>
      </c>
      <c r="Q972" s="4" t="str">
        <f ca="1">IF(OR(INDEX($X$2:$X$1001,MATCH(ROWS($W$2:W972),$W$2:$W$1001,0),1)&gt;=100000,INDEX($AD$1005:$AU$1005,1,MATCH(COLUMNS($AD$1006:AS1006),$AD$1006:$AU$1006,0))&gt;=100000), " ",IF(INDEX($AD$2:$AU$1001,MATCH(ROWS($W$2:W972),$W$2:$W$1001,0),MATCH(COLUMNS($AD$1006:AS1006),$AD$1006:$AU$1006,0)), HYPERLINK("#",""), HYPERLINK(CONCATENATE("#metadata!", ADDRESS(INDEX($Y$2:$Y$1001,MATCH(ROWS($W$2:W972),$W$2:$W$1001,0),0), INDEX($AD$1004:$AU$1004,1,MATCH(COLUMNS($AD$1006:AS1006),$AD$1006:$AU$1006,0)))),"Fix")))</f>
        <v xml:space="preserve"> </v>
      </c>
      <c r="R972" s="4" t="str">
        <f ca="1">IF(OR(INDEX($X$2:$X$1001,MATCH(ROWS($W$2:W972),$W$2:$W$1001,0),1)&gt;=100000,INDEX($AD$1005:$AU$1005,1,MATCH(COLUMNS($AD$1006:AT1006),$AD$1006:$AU$1006,0))&gt;=100000), " ",IF(INDEX($AD$2:$AU$1001,MATCH(ROWS($W$2:W972),$W$2:$W$1001,0),MATCH(COLUMNS($AD$1006:AT1006),$AD$1006:$AU$1006,0)), HYPERLINK("#",""), HYPERLINK(CONCATENATE("#metadata!", ADDRESS(INDEX($Y$2:$Y$1001,MATCH(ROWS($W$2:W972),$W$2:$W$1001,0),0), INDEX($AD$1004:$AU$1004,1,MATCH(COLUMNS($AD$1006:AT1006),$AD$1006:$AU$1006,0)))),"Fix")))</f>
        <v xml:space="preserve"> </v>
      </c>
      <c r="S972" s="4" t="str">
        <f ca="1">IF(OR(INDEX($X$2:$X$1001,MATCH(ROWS($W$2:W972),$W$2:$W$1001,0),1)&gt;=100000,INDEX($AD$1005:$AU$1005,1,MATCH(COLUMNS($AD$1006:AU1006),$AD$1006:$AU$1006,0))&gt;=100000), " ",IF(INDEX($AD$2:$AU$1001,MATCH(ROWS($W$2:W972),$W$2:$W$1001,0),MATCH(COLUMNS($AD$1006:AU1006),$AD$1006:$AU$1006,0)), HYPERLINK("#",""), HYPERLINK(CONCATENATE("#metadata!", ADDRESS(INDEX($Y$2:$Y$1001,MATCH(ROWS($W$2:W972),$W$2:$W$1001,0),0), INDEX($AD$1004:$AU$1004,1,MATCH(COLUMNS($AD$1006:AU1006),$AD$1006:$AU$1006,0)))),"Fix")))</f>
        <v xml:space="preserve"> </v>
      </c>
      <c r="W972">
        <v>971</v>
      </c>
      <c r="X972">
        <v>100972</v>
      </c>
      <c r="Y972">
        <v>972</v>
      </c>
      <c r="Z972" t="b">
        <f t="shared" si="15"/>
        <v>1</v>
      </c>
      <c r="AA972" t="b">
        <f>COUNTBLANK(metadata!B972:S972)=COLUMNS(metadata!B972:S972)</f>
        <v>1</v>
      </c>
      <c r="AB972" t="str">
        <v/>
      </c>
      <c r="AD972" t="b">
        <f ca="1">AND(IF(metadata!B972="",FALSE,TRUE),COUNTIF(metadata!B:B, metadata!B972) = 1,NOT(ISERROR(SUMPRODUCT(SEARCH(MID(metadata!B972,ROW(INDIRECT("1:"&amp;LEN(metadata!B972))), 1),"0123456789abcdefghijklmnopqrstuvwxyzABCDEFGHIJKLMNOPQRSTUVWXYZ.")))))</f>
        <v>0</v>
      </c>
      <c r="AE972" t="b">
        <f>OR(AND(IF(metadata!C972="",FALSE,TRUE),OR(EXACT(metadata!C972,"not applicable"),EXACT(metadata!C972,"missing: not collected"),EXACT(metadata!C972,"missing: not provided"),EXACT(metadata!C972,"missing: restricted access"))),AND(IF(metadata!C972="",FALSE,ISNUMBER(VALUE(metadata!C972))),metadata!C972&gt;0))</f>
        <v>0</v>
      </c>
      <c r="AF972" t="b">
        <f>AND(IF(metadata!D972="",FALSE,TRUE),EXACT(metadata!D972,"missing: not provided"))</f>
        <v>0</v>
      </c>
      <c r="AG972" t="b">
        <f>AND(IF(metadata!E972="",FALSE,TRUE),EXACT(metadata!E972,"Host-associated"))</f>
        <v>0</v>
      </c>
      <c r="AH972" t="b">
        <f>AND(IF(metadata!F972="",FALSE,TRUE),OR(EXACT(metadata!F972,"Animal"),EXACT(metadata!F972,"Fungus"),EXACT(metadata!F972,"Plant")))</f>
        <v>0</v>
      </c>
      <c r="AI972" t="b">
        <f>AND(IF(metadata!G972="",FALSE,TRUE),OR(EXACT(metadata!G972,"Plant secretion"),EXACT(metadata!G972,"Plant rhizosphere"),EXACT(metadata!G972,"Plant surface"),EXACT(metadata!G972,"Plant corpus"),EXACT(metadata!G972,"Fungus surface"),EXACT(metadata!G972,"Fungus corpus"),EXACT(metadata!G972,"Animal surface"),EXACT(metadata!G972,"Animal proximal gut"),EXACT(metadata!G972,"Animal corpus"),EXACT(metadata!G972,"Animal distal gut"),EXACT(metadata!G972,"Animal secretion")))</f>
        <v>0</v>
      </c>
      <c r="AJ972" t="b">
        <f>OR(AND(IF(metadata!H972="",FALSE,TRUE),OR(EXACT(metadata!H972,"missing: not collected"),EXACT(metadata!H972,"missing: not provided"),EXACT(metadata!H972,"missing: restricted access"))),AND(IF(metadata!H972="",FALSE,TRUE),OR(EXACT(metadata!H972,"organism-associated habitat"),EXACT(metadata!H972,"plant-associated habitat"),EXACT(metadata!H972,"animal-associated habitat"),EXACT(metadata!H972,"insecta-associated habitat"),EXACT(metadata!H972,"mammalia-associated habitat"),EXACT(metadata!H972,"human-associated habitat"),EXACT(metadata!H972,"livestock-associated habitat"))))</f>
        <v>0</v>
      </c>
      <c r="AK972" t="b">
        <f>AND(IF(metadata!I972="",FALSE,TRUE),EXACT(metadata!I972,"host-associated"))</f>
        <v>0</v>
      </c>
      <c r="AL972" t="b">
        <f>OR(AND(IF(metadata!J972="",FALSE,TRUE),OR(EXACT(metadata!J972,"not applicable"),EXACT(metadata!J972,"missing: not collected"),EXACT(metadata!J972,"missing: not provided"),EXACT(metadata!J972,"missing: restricted access"))),AND(IF(metadata!J972="",FALSE,ISNUMBER(VALUE(metadata!J972))),metadata!J972&gt;0))</f>
        <v>0</v>
      </c>
      <c r="AM972" t="b">
        <f>AND(IF(metadata!K972="",FALSE,TRUE),EXACT(metadata!K972,"missing: not provided"))</f>
        <v>0</v>
      </c>
      <c r="AN972" t="b">
        <f>IF(metadata!L972="",FALSE,TRUE)</f>
        <v>0</v>
      </c>
      <c r="AO972" t="b">
        <f>IF(metadata!M972="",FALSE,TRUE)</f>
        <v>0</v>
      </c>
      <c r="AP972" t="b">
        <f>OR(AND(IF(metadata!N972="",FALSE,TRUE),OR(EXACT(metadata!N972,"not applicable"),EXACT(metadata!N972,"missing: not collected"),EXACT(metadata!N972,"missing: not provided"))),AND(IF(metadata!N972="",FALSE,IF(ISERROR(INT(metadata!N972)),FALSE,INT(metadata!N972)=metadata!N972)),metadata!N972&gt;0))</f>
        <v>0</v>
      </c>
      <c r="AQ972" t="b">
        <f>AND(IF(metadata!O972="",FALSE,TRUE),EXACT(metadata!O972,"Not applicable"))</f>
        <v>0</v>
      </c>
      <c r="AR972" t="b">
        <f>OR(AND(IF(metadata!P972="",FALSE,TRUE),OR(EXACT(metadata!P972,"not applicable"),EXACT(metadata!P972,"missing: not collected"),EXACT(metadata!P972,"missing: not provided"),EXACT(metadata!P972,"missing: restricted access"))),IF(metadata!P972="",FALSE,IF(ISERROR(INT(metadata!P972)),FALSE,INT(metadata!P972)=metadata!P972)))</f>
        <v>0</v>
      </c>
      <c r="AS972" t="b">
        <f>AND(IF(metadata!Q972="",FALSE,TRUE),EXACT(metadata!Q972,"Not applicable"))</f>
        <v>0</v>
      </c>
      <c r="AT972" t="b">
        <f>OR(AND(IF(metadata!R972="",FALSE,TRUE),OR(EXACT(metadata!R972,"not applicable"),EXACT(metadata!R972,"missing: not collected"),EXACT(metadata!R972,"missing: not provided"),EXACT(metadata!R972,"missing: restricted access"))),AND(IF(metadata!R972="",FALSE,ISNUMBER(VALUE(metadata!R972))),metadata!R972&gt;0))</f>
        <v>0</v>
      </c>
      <c r="AU972" t="b">
        <f>AND(IF(metadata!S972="",FALSE,TRUE),EXACT(metadata!S972,"missing: not provided"))</f>
        <v>0</v>
      </c>
    </row>
    <row r="973" spans="1:47" x14ac:dyDescent="0.2">
      <c r="A973" s="5" t="str">
        <f ca="1">IF(B973=" "," ",HYPERLINK(CONCATENATE("#metadata!",ADDRESS(INDEX($Y$2:$Y$1001,MATCH(ROWS($W$2:W973),$W$2:$W$1001,0),0),1)),INDEX($AB$2:$AB$1001,MATCH(ROWS($W$2:W973),$W$2:$W$1001,0),0)))</f>
        <v xml:space="preserve"> </v>
      </c>
      <c r="B973" s="4" t="str">
        <f ca="1">IF(OR(INDEX($X$2:$X$1001,MATCH(ROWS($W$2:W973),$W$2:$W$1001,0),1)&gt;=100000,INDEX($AD$1005:$AU$1005,1,MATCH(COLUMNS($AD$1006:AD1006),$AD$1006:$AU$1006,0))&gt;=100000), " ",IF(INDEX($AD$2:$AU$1001,MATCH(ROWS($W$2:W973),$W$2:$W$1001,0),MATCH(COLUMNS($AD$1006:AD1006),$AD$1006:$AU$1006,0)), HYPERLINK("#",""), HYPERLINK(CONCATENATE("#metadata!", ADDRESS(INDEX($Y$2:$Y$1001,MATCH(ROWS($W$2:W973),$W$2:$W$1001,0),0), INDEX($AD$1004:$AU$1004,1,MATCH(COLUMNS($AD$1006:AD1006),$AD$1006:$AU$1006,0)))),"Fix")))</f>
        <v xml:space="preserve"> </v>
      </c>
      <c r="C973" s="4" t="str">
        <f ca="1">IF(OR(INDEX($X$2:$X$1001,MATCH(ROWS($W$2:W973),$W$2:$W$1001,0),1)&gt;=100000,INDEX($AD$1005:$AU$1005,1,MATCH(COLUMNS($AD$1006:AE1006),$AD$1006:$AU$1006,0))&gt;=100000), " ",IF(INDEX($AD$2:$AU$1001,MATCH(ROWS($W$2:W973),$W$2:$W$1001,0),MATCH(COLUMNS($AD$1006:AE1006),$AD$1006:$AU$1006,0)), HYPERLINK("#",""), HYPERLINK(CONCATENATE("#metadata!", ADDRESS(INDEX($Y$2:$Y$1001,MATCH(ROWS($W$2:W973),$W$2:$W$1001,0),0), INDEX($AD$1004:$AU$1004,1,MATCH(COLUMNS($AD$1006:AE1006),$AD$1006:$AU$1006,0)))),"Fix")))</f>
        <v xml:space="preserve"> </v>
      </c>
      <c r="D973" s="4" t="str">
        <f ca="1">IF(OR(INDEX($X$2:$X$1001,MATCH(ROWS($W$2:W973),$W$2:$W$1001,0),1)&gt;=100000,INDEX($AD$1005:$AU$1005,1,MATCH(COLUMNS($AD$1006:AF1006),$AD$1006:$AU$1006,0))&gt;=100000), " ",IF(INDEX($AD$2:$AU$1001,MATCH(ROWS($W$2:W973),$W$2:$W$1001,0),MATCH(COLUMNS($AD$1006:AF1006),$AD$1006:$AU$1006,0)), HYPERLINK("#",""), HYPERLINK(CONCATENATE("#metadata!", ADDRESS(INDEX($Y$2:$Y$1001,MATCH(ROWS($W$2:W973),$W$2:$W$1001,0),0), INDEX($AD$1004:$AU$1004,1,MATCH(COLUMNS($AD$1006:AF1006),$AD$1006:$AU$1006,0)))),"Fix")))</f>
        <v xml:space="preserve"> </v>
      </c>
      <c r="E973" s="4" t="str">
        <f ca="1">IF(OR(INDEX($X$2:$X$1001,MATCH(ROWS($W$2:W973),$W$2:$W$1001,0),1)&gt;=100000,INDEX($AD$1005:$AU$1005,1,MATCH(COLUMNS($AD$1006:AG1006),$AD$1006:$AU$1006,0))&gt;=100000), " ",IF(INDEX($AD$2:$AU$1001,MATCH(ROWS($W$2:W973),$W$2:$W$1001,0),MATCH(COLUMNS($AD$1006:AG1006),$AD$1006:$AU$1006,0)), HYPERLINK("#",""), HYPERLINK(CONCATENATE("#metadata!", ADDRESS(INDEX($Y$2:$Y$1001,MATCH(ROWS($W$2:W973),$W$2:$W$1001,0),0), INDEX($AD$1004:$AU$1004,1,MATCH(COLUMNS($AD$1006:AG1006),$AD$1006:$AU$1006,0)))),"Fix")))</f>
        <v xml:space="preserve"> </v>
      </c>
      <c r="F973" s="4" t="str">
        <f ca="1">IF(OR(INDEX($X$2:$X$1001,MATCH(ROWS($W$2:W973),$W$2:$W$1001,0),1)&gt;=100000,INDEX($AD$1005:$AU$1005,1,MATCH(COLUMNS($AD$1006:AH1006),$AD$1006:$AU$1006,0))&gt;=100000), " ",IF(INDEX($AD$2:$AU$1001,MATCH(ROWS($W$2:W973),$W$2:$W$1001,0),MATCH(COLUMNS($AD$1006:AH1006),$AD$1006:$AU$1006,0)), HYPERLINK("#",""), HYPERLINK(CONCATENATE("#metadata!", ADDRESS(INDEX($Y$2:$Y$1001,MATCH(ROWS($W$2:W973),$W$2:$W$1001,0),0), INDEX($AD$1004:$AU$1004,1,MATCH(COLUMNS($AD$1006:AH1006),$AD$1006:$AU$1006,0)))),"Fix")))</f>
        <v xml:space="preserve"> </v>
      </c>
      <c r="G973" s="4" t="str">
        <f ca="1">IF(OR(INDEX($X$2:$X$1001,MATCH(ROWS($W$2:W973),$W$2:$W$1001,0),1)&gt;=100000,INDEX($AD$1005:$AU$1005,1,MATCH(COLUMNS($AD$1006:AI1006),$AD$1006:$AU$1006,0))&gt;=100000), " ",IF(INDEX($AD$2:$AU$1001,MATCH(ROWS($W$2:W973),$W$2:$W$1001,0),MATCH(COLUMNS($AD$1006:AI1006),$AD$1006:$AU$1006,0)), HYPERLINK("#",""), HYPERLINK(CONCATENATE("#metadata!", ADDRESS(INDEX($Y$2:$Y$1001,MATCH(ROWS($W$2:W973),$W$2:$W$1001,0),0), INDEX($AD$1004:$AU$1004,1,MATCH(COLUMNS($AD$1006:AI1006),$AD$1006:$AU$1006,0)))),"Fix")))</f>
        <v xml:space="preserve"> </v>
      </c>
      <c r="H973" s="4" t="str">
        <f ca="1">IF(OR(INDEX($X$2:$X$1001,MATCH(ROWS($W$2:W973),$W$2:$W$1001,0),1)&gt;=100000,INDEX($AD$1005:$AU$1005,1,MATCH(COLUMNS($AD$1006:AJ1006),$AD$1006:$AU$1006,0))&gt;=100000), " ",IF(INDEX($AD$2:$AU$1001,MATCH(ROWS($W$2:W973),$W$2:$W$1001,0),MATCH(COLUMNS($AD$1006:AJ1006),$AD$1006:$AU$1006,0)), HYPERLINK("#",""), HYPERLINK(CONCATENATE("#metadata!", ADDRESS(INDEX($Y$2:$Y$1001,MATCH(ROWS($W$2:W973),$W$2:$W$1001,0),0), INDEX($AD$1004:$AU$1004,1,MATCH(COLUMNS($AD$1006:AJ1006),$AD$1006:$AU$1006,0)))),"Fix")))</f>
        <v xml:space="preserve"> </v>
      </c>
      <c r="I973" s="4" t="str">
        <f ca="1">IF(OR(INDEX($X$2:$X$1001,MATCH(ROWS($W$2:W973),$W$2:$W$1001,0),1)&gt;=100000,INDEX($AD$1005:$AU$1005,1,MATCH(COLUMNS($AD$1006:AK1006),$AD$1006:$AU$1006,0))&gt;=100000), " ",IF(INDEX($AD$2:$AU$1001,MATCH(ROWS($W$2:W973),$W$2:$W$1001,0),MATCH(COLUMNS($AD$1006:AK1006),$AD$1006:$AU$1006,0)), HYPERLINK("#",""), HYPERLINK(CONCATENATE("#metadata!", ADDRESS(INDEX($Y$2:$Y$1001,MATCH(ROWS($W$2:W973),$W$2:$W$1001,0),0), INDEX($AD$1004:$AU$1004,1,MATCH(COLUMNS($AD$1006:AK1006),$AD$1006:$AU$1006,0)))),"Fix")))</f>
        <v xml:space="preserve"> </v>
      </c>
      <c r="J973" s="4" t="str">
        <f ca="1">IF(OR(INDEX($X$2:$X$1001,MATCH(ROWS($W$2:W973),$W$2:$W$1001,0),1)&gt;=100000,INDEX($AD$1005:$AU$1005,1,MATCH(COLUMNS($AD$1006:AL1006),$AD$1006:$AU$1006,0))&gt;=100000), " ",IF(INDEX($AD$2:$AU$1001,MATCH(ROWS($W$2:W973),$W$2:$W$1001,0),MATCH(COLUMNS($AD$1006:AL1006),$AD$1006:$AU$1006,0)), HYPERLINK("#",""), HYPERLINK(CONCATENATE("#metadata!", ADDRESS(INDEX($Y$2:$Y$1001,MATCH(ROWS($W$2:W973),$W$2:$W$1001,0),0), INDEX($AD$1004:$AU$1004,1,MATCH(COLUMNS($AD$1006:AL1006),$AD$1006:$AU$1006,0)))),"Fix")))</f>
        <v xml:space="preserve"> </v>
      </c>
      <c r="K973" s="4" t="str">
        <f ca="1">IF(OR(INDEX($X$2:$X$1001,MATCH(ROWS($W$2:W973),$W$2:$W$1001,0),1)&gt;=100000,INDEX($AD$1005:$AU$1005,1,MATCH(COLUMNS($AD$1006:AM1006),$AD$1006:$AU$1006,0))&gt;=100000), " ",IF(INDEX($AD$2:$AU$1001,MATCH(ROWS($W$2:W973),$W$2:$W$1001,0),MATCH(COLUMNS($AD$1006:AM1006),$AD$1006:$AU$1006,0)), HYPERLINK("#",""), HYPERLINK(CONCATENATE("#metadata!", ADDRESS(INDEX($Y$2:$Y$1001,MATCH(ROWS($W$2:W973),$W$2:$W$1001,0),0), INDEX($AD$1004:$AU$1004,1,MATCH(COLUMNS($AD$1006:AM1006),$AD$1006:$AU$1006,0)))),"Fix")))</f>
        <v xml:space="preserve"> </v>
      </c>
      <c r="L973" s="4" t="str">
        <f ca="1">IF(OR(INDEX($X$2:$X$1001,MATCH(ROWS($W$2:W973),$W$2:$W$1001,0),1)&gt;=100000,INDEX($AD$1005:$AU$1005,1,MATCH(COLUMNS($AD$1006:AN1006),$AD$1006:$AU$1006,0))&gt;=100000), " ",IF(INDEX($AD$2:$AU$1001,MATCH(ROWS($W$2:W973),$W$2:$W$1001,0),MATCH(COLUMNS($AD$1006:AN1006),$AD$1006:$AU$1006,0)), HYPERLINK("#",""), HYPERLINK(CONCATENATE("#metadata!", ADDRESS(INDEX($Y$2:$Y$1001,MATCH(ROWS($W$2:W973),$W$2:$W$1001,0),0), INDEX($AD$1004:$AU$1004,1,MATCH(COLUMNS($AD$1006:AN1006),$AD$1006:$AU$1006,0)))),"Fix")))</f>
        <v xml:space="preserve"> </v>
      </c>
      <c r="M973" s="4" t="str">
        <f ca="1">IF(OR(INDEX($X$2:$X$1001,MATCH(ROWS($W$2:W973),$W$2:$W$1001,0),1)&gt;=100000,INDEX($AD$1005:$AU$1005,1,MATCH(COLUMNS($AD$1006:AO1006),$AD$1006:$AU$1006,0))&gt;=100000), " ",IF(INDEX($AD$2:$AU$1001,MATCH(ROWS($W$2:W973),$W$2:$W$1001,0),MATCH(COLUMNS($AD$1006:AO1006),$AD$1006:$AU$1006,0)), HYPERLINK("#",""), HYPERLINK(CONCATENATE("#metadata!", ADDRESS(INDEX($Y$2:$Y$1001,MATCH(ROWS($W$2:W973),$W$2:$W$1001,0),0), INDEX($AD$1004:$AU$1004,1,MATCH(COLUMNS($AD$1006:AO1006),$AD$1006:$AU$1006,0)))),"Fix")))</f>
        <v xml:space="preserve"> </v>
      </c>
      <c r="N973" s="4" t="str">
        <f ca="1">IF(OR(INDEX($X$2:$X$1001,MATCH(ROWS($W$2:W973),$W$2:$W$1001,0),1)&gt;=100000,INDEX($AD$1005:$AU$1005,1,MATCH(COLUMNS($AD$1006:AP1006),$AD$1006:$AU$1006,0))&gt;=100000), " ",IF(INDEX($AD$2:$AU$1001,MATCH(ROWS($W$2:W973),$W$2:$W$1001,0),MATCH(COLUMNS($AD$1006:AP1006),$AD$1006:$AU$1006,0)), HYPERLINK("#",""), HYPERLINK(CONCATENATE("#metadata!", ADDRESS(INDEX($Y$2:$Y$1001,MATCH(ROWS($W$2:W973),$W$2:$W$1001,0),0), INDEX($AD$1004:$AU$1004,1,MATCH(COLUMNS($AD$1006:AP1006),$AD$1006:$AU$1006,0)))),"Fix")))</f>
        <v xml:space="preserve"> </v>
      </c>
      <c r="O973" s="4" t="str">
        <f ca="1">IF(OR(INDEX($X$2:$X$1001,MATCH(ROWS($W$2:W973),$W$2:$W$1001,0),1)&gt;=100000,INDEX($AD$1005:$AU$1005,1,MATCH(COLUMNS($AD$1006:AQ1006),$AD$1006:$AU$1006,0))&gt;=100000), " ",IF(INDEX($AD$2:$AU$1001,MATCH(ROWS($W$2:W973),$W$2:$W$1001,0),MATCH(COLUMNS($AD$1006:AQ1006),$AD$1006:$AU$1006,0)), HYPERLINK("#",""), HYPERLINK(CONCATENATE("#metadata!", ADDRESS(INDEX($Y$2:$Y$1001,MATCH(ROWS($W$2:W973),$W$2:$W$1001,0),0), INDEX($AD$1004:$AU$1004,1,MATCH(COLUMNS($AD$1006:AQ1006),$AD$1006:$AU$1006,0)))),"Fix")))</f>
        <v xml:space="preserve"> </v>
      </c>
      <c r="P973" s="4" t="str">
        <f ca="1">IF(OR(INDEX($X$2:$X$1001,MATCH(ROWS($W$2:W973),$W$2:$W$1001,0),1)&gt;=100000,INDEX($AD$1005:$AU$1005,1,MATCH(COLUMNS($AD$1006:AR1006),$AD$1006:$AU$1006,0))&gt;=100000), " ",IF(INDEX($AD$2:$AU$1001,MATCH(ROWS($W$2:W973),$W$2:$W$1001,0),MATCH(COLUMNS($AD$1006:AR1006),$AD$1006:$AU$1006,0)), HYPERLINK("#",""), HYPERLINK(CONCATENATE("#metadata!", ADDRESS(INDEX($Y$2:$Y$1001,MATCH(ROWS($W$2:W973),$W$2:$W$1001,0),0), INDEX($AD$1004:$AU$1004,1,MATCH(COLUMNS($AD$1006:AR1006),$AD$1006:$AU$1006,0)))),"Fix")))</f>
        <v xml:space="preserve"> </v>
      </c>
      <c r="Q973" s="4" t="str">
        <f ca="1">IF(OR(INDEX($X$2:$X$1001,MATCH(ROWS($W$2:W973),$W$2:$W$1001,0),1)&gt;=100000,INDEX($AD$1005:$AU$1005,1,MATCH(COLUMNS($AD$1006:AS1006),$AD$1006:$AU$1006,0))&gt;=100000), " ",IF(INDEX($AD$2:$AU$1001,MATCH(ROWS($W$2:W973),$W$2:$W$1001,0),MATCH(COLUMNS($AD$1006:AS1006),$AD$1006:$AU$1006,0)), HYPERLINK("#",""), HYPERLINK(CONCATENATE("#metadata!", ADDRESS(INDEX($Y$2:$Y$1001,MATCH(ROWS($W$2:W973),$W$2:$W$1001,0),0), INDEX($AD$1004:$AU$1004,1,MATCH(COLUMNS($AD$1006:AS1006),$AD$1006:$AU$1006,0)))),"Fix")))</f>
        <v xml:space="preserve"> </v>
      </c>
      <c r="R973" s="4" t="str">
        <f ca="1">IF(OR(INDEX($X$2:$X$1001,MATCH(ROWS($W$2:W973),$W$2:$W$1001,0),1)&gt;=100000,INDEX($AD$1005:$AU$1005,1,MATCH(COLUMNS($AD$1006:AT1006),$AD$1006:$AU$1006,0))&gt;=100000), " ",IF(INDEX($AD$2:$AU$1001,MATCH(ROWS($W$2:W973),$W$2:$W$1001,0),MATCH(COLUMNS($AD$1006:AT1006),$AD$1006:$AU$1006,0)), HYPERLINK("#",""), HYPERLINK(CONCATENATE("#metadata!", ADDRESS(INDEX($Y$2:$Y$1001,MATCH(ROWS($W$2:W973),$W$2:$W$1001,0),0), INDEX($AD$1004:$AU$1004,1,MATCH(COLUMNS($AD$1006:AT1006),$AD$1006:$AU$1006,0)))),"Fix")))</f>
        <v xml:space="preserve"> </v>
      </c>
      <c r="S973" s="4" t="str">
        <f ca="1">IF(OR(INDEX($X$2:$X$1001,MATCH(ROWS($W$2:W973),$W$2:$W$1001,0),1)&gt;=100000,INDEX($AD$1005:$AU$1005,1,MATCH(COLUMNS($AD$1006:AU1006),$AD$1006:$AU$1006,0))&gt;=100000), " ",IF(INDEX($AD$2:$AU$1001,MATCH(ROWS($W$2:W973),$W$2:$W$1001,0),MATCH(COLUMNS($AD$1006:AU1006),$AD$1006:$AU$1006,0)), HYPERLINK("#",""), HYPERLINK(CONCATENATE("#metadata!", ADDRESS(INDEX($Y$2:$Y$1001,MATCH(ROWS($W$2:W973),$W$2:$W$1001,0),0), INDEX($AD$1004:$AU$1004,1,MATCH(COLUMNS($AD$1006:AU1006),$AD$1006:$AU$1006,0)))),"Fix")))</f>
        <v xml:space="preserve"> </v>
      </c>
      <c r="W973">
        <v>972</v>
      </c>
      <c r="X973">
        <v>100973</v>
      </c>
      <c r="Y973">
        <v>973</v>
      </c>
      <c r="Z973" t="b">
        <f t="shared" si="15"/>
        <v>1</v>
      </c>
      <c r="AA973" t="b">
        <f>COUNTBLANK(metadata!B973:S973)=COLUMNS(metadata!B973:S973)</f>
        <v>1</v>
      </c>
      <c r="AB973" t="str">
        <v/>
      </c>
      <c r="AD973" t="b">
        <f ca="1">AND(IF(metadata!B973="",FALSE,TRUE),COUNTIF(metadata!B:B, metadata!B973) = 1,NOT(ISERROR(SUMPRODUCT(SEARCH(MID(metadata!B973,ROW(INDIRECT("1:"&amp;LEN(metadata!B973))), 1),"0123456789abcdefghijklmnopqrstuvwxyzABCDEFGHIJKLMNOPQRSTUVWXYZ.")))))</f>
        <v>0</v>
      </c>
      <c r="AE973" t="b">
        <f>OR(AND(IF(metadata!C973="",FALSE,TRUE),OR(EXACT(metadata!C973,"not applicable"),EXACT(metadata!C973,"missing: not collected"),EXACT(metadata!C973,"missing: not provided"),EXACT(metadata!C973,"missing: restricted access"))),AND(IF(metadata!C973="",FALSE,ISNUMBER(VALUE(metadata!C973))),metadata!C973&gt;0))</f>
        <v>0</v>
      </c>
      <c r="AF973" t="b">
        <f>AND(IF(metadata!D973="",FALSE,TRUE),EXACT(metadata!D973,"missing: not provided"))</f>
        <v>0</v>
      </c>
      <c r="AG973" t="b">
        <f>AND(IF(metadata!E973="",FALSE,TRUE),EXACT(metadata!E973,"Host-associated"))</f>
        <v>0</v>
      </c>
      <c r="AH973" t="b">
        <f>AND(IF(metadata!F973="",FALSE,TRUE),OR(EXACT(metadata!F973,"Animal"),EXACT(metadata!F973,"Fungus"),EXACT(metadata!F973,"Plant")))</f>
        <v>0</v>
      </c>
      <c r="AI973" t="b">
        <f>AND(IF(metadata!G973="",FALSE,TRUE),OR(EXACT(metadata!G973,"Plant secretion"),EXACT(metadata!G973,"Plant rhizosphere"),EXACT(metadata!G973,"Plant surface"),EXACT(metadata!G973,"Plant corpus"),EXACT(metadata!G973,"Fungus surface"),EXACT(metadata!G973,"Fungus corpus"),EXACT(metadata!G973,"Animal surface"),EXACT(metadata!G973,"Animal proximal gut"),EXACT(metadata!G973,"Animal corpus"),EXACT(metadata!G973,"Animal distal gut"),EXACT(metadata!G973,"Animal secretion")))</f>
        <v>0</v>
      </c>
      <c r="AJ973" t="b">
        <f>OR(AND(IF(metadata!H973="",FALSE,TRUE),OR(EXACT(metadata!H973,"missing: not collected"),EXACT(metadata!H973,"missing: not provided"),EXACT(metadata!H973,"missing: restricted access"))),AND(IF(metadata!H973="",FALSE,TRUE),OR(EXACT(metadata!H973,"organism-associated habitat"),EXACT(metadata!H973,"plant-associated habitat"),EXACT(metadata!H973,"animal-associated habitat"),EXACT(metadata!H973,"insecta-associated habitat"),EXACT(metadata!H973,"mammalia-associated habitat"),EXACT(metadata!H973,"human-associated habitat"),EXACT(metadata!H973,"livestock-associated habitat"))))</f>
        <v>0</v>
      </c>
      <c r="AK973" t="b">
        <f>AND(IF(metadata!I973="",FALSE,TRUE),EXACT(metadata!I973,"host-associated"))</f>
        <v>0</v>
      </c>
      <c r="AL973" t="b">
        <f>OR(AND(IF(metadata!J973="",FALSE,TRUE),OR(EXACT(metadata!J973,"not applicable"),EXACT(metadata!J973,"missing: not collected"),EXACT(metadata!J973,"missing: not provided"),EXACT(metadata!J973,"missing: restricted access"))),AND(IF(metadata!J973="",FALSE,ISNUMBER(VALUE(metadata!J973))),metadata!J973&gt;0))</f>
        <v>0</v>
      </c>
      <c r="AM973" t="b">
        <f>AND(IF(metadata!K973="",FALSE,TRUE),EXACT(metadata!K973,"missing: not provided"))</f>
        <v>0</v>
      </c>
      <c r="AN973" t="b">
        <f>IF(metadata!L973="",FALSE,TRUE)</f>
        <v>0</v>
      </c>
      <c r="AO973" t="b">
        <f>IF(metadata!M973="",FALSE,TRUE)</f>
        <v>0</v>
      </c>
      <c r="AP973" t="b">
        <f>OR(AND(IF(metadata!N973="",FALSE,TRUE),OR(EXACT(metadata!N973,"not applicable"),EXACT(metadata!N973,"missing: not collected"),EXACT(metadata!N973,"missing: not provided"))),AND(IF(metadata!N973="",FALSE,IF(ISERROR(INT(metadata!N973)),FALSE,INT(metadata!N973)=metadata!N973)),metadata!N973&gt;0))</f>
        <v>0</v>
      </c>
      <c r="AQ973" t="b">
        <f>AND(IF(metadata!O973="",FALSE,TRUE),EXACT(metadata!O973,"Not applicable"))</f>
        <v>0</v>
      </c>
      <c r="AR973" t="b">
        <f>OR(AND(IF(metadata!P973="",FALSE,TRUE),OR(EXACT(metadata!P973,"not applicable"),EXACT(metadata!P973,"missing: not collected"),EXACT(metadata!P973,"missing: not provided"),EXACT(metadata!P973,"missing: restricted access"))),IF(metadata!P973="",FALSE,IF(ISERROR(INT(metadata!P973)),FALSE,INT(metadata!P973)=metadata!P973)))</f>
        <v>0</v>
      </c>
      <c r="AS973" t="b">
        <f>AND(IF(metadata!Q973="",FALSE,TRUE),EXACT(metadata!Q973,"Not applicable"))</f>
        <v>0</v>
      </c>
      <c r="AT973" t="b">
        <f>OR(AND(IF(metadata!R973="",FALSE,TRUE),OR(EXACT(metadata!R973,"not applicable"),EXACT(metadata!R973,"missing: not collected"),EXACT(metadata!R973,"missing: not provided"),EXACT(metadata!R973,"missing: restricted access"))),AND(IF(metadata!R973="",FALSE,ISNUMBER(VALUE(metadata!R973))),metadata!R973&gt;0))</f>
        <v>0</v>
      </c>
      <c r="AU973" t="b">
        <f>AND(IF(metadata!S973="",FALSE,TRUE),EXACT(metadata!S973,"missing: not provided"))</f>
        <v>0</v>
      </c>
    </row>
    <row r="974" spans="1:47" x14ac:dyDescent="0.2">
      <c r="A974" s="5" t="str">
        <f ca="1">IF(B974=" "," ",HYPERLINK(CONCATENATE("#metadata!",ADDRESS(INDEX($Y$2:$Y$1001,MATCH(ROWS($W$2:W974),$W$2:$W$1001,0),0),1)),INDEX($AB$2:$AB$1001,MATCH(ROWS($W$2:W974),$W$2:$W$1001,0),0)))</f>
        <v xml:space="preserve"> </v>
      </c>
      <c r="B974" s="4" t="str">
        <f ca="1">IF(OR(INDEX($X$2:$X$1001,MATCH(ROWS($W$2:W974),$W$2:$W$1001,0),1)&gt;=100000,INDEX($AD$1005:$AU$1005,1,MATCH(COLUMNS($AD$1006:AD1006),$AD$1006:$AU$1006,0))&gt;=100000), " ",IF(INDEX($AD$2:$AU$1001,MATCH(ROWS($W$2:W974),$W$2:$W$1001,0),MATCH(COLUMNS($AD$1006:AD1006),$AD$1006:$AU$1006,0)), HYPERLINK("#",""), HYPERLINK(CONCATENATE("#metadata!", ADDRESS(INDEX($Y$2:$Y$1001,MATCH(ROWS($W$2:W974),$W$2:$W$1001,0),0), INDEX($AD$1004:$AU$1004,1,MATCH(COLUMNS($AD$1006:AD1006),$AD$1006:$AU$1006,0)))),"Fix")))</f>
        <v xml:space="preserve"> </v>
      </c>
      <c r="C974" s="4" t="str">
        <f ca="1">IF(OR(INDEX($X$2:$X$1001,MATCH(ROWS($W$2:W974),$W$2:$W$1001,0),1)&gt;=100000,INDEX($AD$1005:$AU$1005,1,MATCH(COLUMNS($AD$1006:AE1006),$AD$1006:$AU$1006,0))&gt;=100000), " ",IF(INDEX($AD$2:$AU$1001,MATCH(ROWS($W$2:W974),$W$2:$W$1001,0),MATCH(COLUMNS($AD$1006:AE1006),$AD$1006:$AU$1006,0)), HYPERLINK("#",""), HYPERLINK(CONCATENATE("#metadata!", ADDRESS(INDEX($Y$2:$Y$1001,MATCH(ROWS($W$2:W974),$W$2:$W$1001,0),0), INDEX($AD$1004:$AU$1004,1,MATCH(COLUMNS($AD$1006:AE1006),$AD$1006:$AU$1006,0)))),"Fix")))</f>
        <v xml:space="preserve"> </v>
      </c>
      <c r="D974" s="4" t="str">
        <f ca="1">IF(OR(INDEX($X$2:$X$1001,MATCH(ROWS($W$2:W974),$W$2:$W$1001,0),1)&gt;=100000,INDEX($AD$1005:$AU$1005,1,MATCH(COLUMNS($AD$1006:AF1006),$AD$1006:$AU$1006,0))&gt;=100000), " ",IF(INDEX($AD$2:$AU$1001,MATCH(ROWS($W$2:W974),$W$2:$W$1001,0),MATCH(COLUMNS($AD$1006:AF1006),$AD$1006:$AU$1006,0)), HYPERLINK("#",""), HYPERLINK(CONCATENATE("#metadata!", ADDRESS(INDEX($Y$2:$Y$1001,MATCH(ROWS($W$2:W974),$W$2:$W$1001,0),0), INDEX($AD$1004:$AU$1004,1,MATCH(COLUMNS($AD$1006:AF1006),$AD$1006:$AU$1006,0)))),"Fix")))</f>
        <v xml:space="preserve"> </v>
      </c>
      <c r="E974" s="4" t="str">
        <f ca="1">IF(OR(INDEX($X$2:$X$1001,MATCH(ROWS($W$2:W974),$W$2:$W$1001,0),1)&gt;=100000,INDEX($AD$1005:$AU$1005,1,MATCH(COLUMNS($AD$1006:AG1006),$AD$1006:$AU$1006,0))&gt;=100000), " ",IF(INDEX($AD$2:$AU$1001,MATCH(ROWS($W$2:W974),$W$2:$W$1001,0),MATCH(COLUMNS($AD$1006:AG1006),$AD$1006:$AU$1006,0)), HYPERLINK("#",""), HYPERLINK(CONCATENATE("#metadata!", ADDRESS(INDEX($Y$2:$Y$1001,MATCH(ROWS($W$2:W974),$W$2:$W$1001,0),0), INDEX($AD$1004:$AU$1004,1,MATCH(COLUMNS($AD$1006:AG1006),$AD$1006:$AU$1006,0)))),"Fix")))</f>
        <v xml:space="preserve"> </v>
      </c>
      <c r="F974" s="4" t="str">
        <f ca="1">IF(OR(INDEX($X$2:$X$1001,MATCH(ROWS($W$2:W974),$W$2:$W$1001,0),1)&gt;=100000,INDEX($AD$1005:$AU$1005,1,MATCH(COLUMNS($AD$1006:AH1006),$AD$1006:$AU$1006,0))&gt;=100000), " ",IF(INDEX($AD$2:$AU$1001,MATCH(ROWS($W$2:W974),$W$2:$W$1001,0),MATCH(COLUMNS($AD$1006:AH1006),$AD$1006:$AU$1006,0)), HYPERLINK("#",""), HYPERLINK(CONCATENATE("#metadata!", ADDRESS(INDEX($Y$2:$Y$1001,MATCH(ROWS($W$2:W974),$W$2:$W$1001,0),0), INDEX($AD$1004:$AU$1004,1,MATCH(COLUMNS($AD$1006:AH1006),$AD$1006:$AU$1006,0)))),"Fix")))</f>
        <v xml:space="preserve"> </v>
      </c>
      <c r="G974" s="4" t="str">
        <f ca="1">IF(OR(INDEX($X$2:$X$1001,MATCH(ROWS($W$2:W974),$W$2:$W$1001,0),1)&gt;=100000,INDEX($AD$1005:$AU$1005,1,MATCH(COLUMNS($AD$1006:AI1006),$AD$1006:$AU$1006,0))&gt;=100000), " ",IF(INDEX($AD$2:$AU$1001,MATCH(ROWS($W$2:W974),$W$2:$W$1001,0),MATCH(COLUMNS($AD$1006:AI1006),$AD$1006:$AU$1006,0)), HYPERLINK("#",""), HYPERLINK(CONCATENATE("#metadata!", ADDRESS(INDEX($Y$2:$Y$1001,MATCH(ROWS($W$2:W974),$W$2:$W$1001,0),0), INDEX($AD$1004:$AU$1004,1,MATCH(COLUMNS($AD$1006:AI1006),$AD$1006:$AU$1006,0)))),"Fix")))</f>
        <v xml:space="preserve"> </v>
      </c>
      <c r="H974" s="4" t="str">
        <f ca="1">IF(OR(INDEX($X$2:$X$1001,MATCH(ROWS($W$2:W974),$W$2:$W$1001,0),1)&gt;=100000,INDEX($AD$1005:$AU$1005,1,MATCH(COLUMNS($AD$1006:AJ1006),$AD$1006:$AU$1006,0))&gt;=100000), " ",IF(INDEX($AD$2:$AU$1001,MATCH(ROWS($W$2:W974),$W$2:$W$1001,0),MATCH(COLUMNS($AD$1006:AJ1006),$AD$1006:$AU$1006,0)), HYPERLINK("#",""), HYPERLINK(CONCATENATE("#metadata!", ADDRESS(INDEX($Y$2:$Y$1001,MATCH(ROWS($W$2:W974),$W$2:$W$1001,0),0), INDEX($AD$1004:$AU$1004,1,MATCH(COLUMNS($AD$1006:AJ1006),$AD$1006:$AU$1006,0)))),"Fix")))</f>
        <v xml:space="preserve"> </v>
      </c>
      <c r="I974" s="4" t="str">
        <f ca="1">IF(OR(INDEX($X$2:$X$1001,MATCH(ROWS($W$2:W974),$W$2:$W$1001,0),1)&gt;=100000,INDEX($AD$1005:$AU$1005,1,MATCH(COLUMNS($AD$1006:AK1006),$AD$1006:$AU$1006,0))&gt;=100000), " ",IF(INDEX($AD$2:$AU$1001,MATCH(ROWS($W$2:W974),$W$2:$W$1001,0),MATCH(COLUMNS($AD$1006:AK1006),$AD$1006:$AU$1006,0)), HYPERLINK("#",""), HYPERLINK(CONCATENATE("#metadata!", ADDRESS(INDEX($Y$2:$Y$1001,MATCH(ROWS($W$2:W974),$W$2:$W$1001,0),0), INDEX($AD$1004:$AU$1004,1,MATCH(COLUMNS($AD$1006:AK1006),$AD$1006:$AU$1006,0)))),"Fix")))</f>
        <v xml:space="preserve"> </v>
      </c>
      <c r="J974" s="4" t="str">
        <f ca="1">IF(OR(INDEX($X$2:$X$1001,MATCH(ROWS($W$2:W974),$W$2:$W$1001,0),1)&gt;=100000,INDEX($AD$1005:$AU$1005,1,MATCH(COLUMNS($AD$1006:AL1006),$AD$1006:$AU$1006,0))&gt;=100000), " ",IF(INDEX($AD$2:$AU$1001,MATCH(ROWS($W$2:W974),$W$2:$W$1001,0),MATCH(COLUMNS($AD$1006:AL1006),$AD$1006:$AU$1006,0)), HYPERLINK("#",""), HYPERLINK(CONCATENATE("#metadata!", ADDRESS(INDEX($Y$2:$Y$1001,MATCH(ROWS($W$2:W974),$W$2:$W$1001,0),0), INDEX($AD$1004:$AU$1004,1,MATCH(COLUMNS($AD$1006:AL1006),$AD$1006:$AU$1006,0)))),"Fix")))</f>
        <v xml:space="preserve"> </v>
      </c>
      <c r="K974" s="4" t="str">
        <f ca="1">IF(OR(INDEX($X$2:$X$1001,MATCH(ROWS($W$2:W974),$W$2:$W$1001,0),1)&gt;=100000,INDEX($AD$1005:$AU$1005,1,MATCH(COLUMNS($AD$1006:AM1006),$AD$1006:$AU$1006,0))&gt;=100000), " ",IF(INDEX($AD$2:$AU$1001,MATCH(ROWS($W$2:W974),$W$2:$W$1001,0),MATCH(COLUMNS($AD$1006:AM1006),$AD$1006:$AU$1006,0)), HYPERLINK("#",""), HYPERLINK(CONCATENATE("#metadata!", ADDRESS(INDEX($Y$2:$Y$1001,MATCH(ROWS($W$2:W974),$W$2:$W$1001,0),0), INDEX($AD$1004:$AU$1004,1,MATCH(COLUMNS($AD$1006:AM1006),$AD$1006:$AU$1006,0)))),"Fix")))</f>
        <v xml:space="preserve"> </v>
      </c>
      <c r="L974" s="4" t="str">
        <f ca="1">IF(OR(INDEX($X$2:$X$1001,MATCH(ROWS($W$2:W974),$W$2:$W$1001,0),1)&gt;=100000,INDEX($AD$1005:$AU$1005,1,MATCH(COLUMNS($AD$1006:AN1006),$AD$1006:$AU$1006,0))&gt;=100000), " ",IF(INDEX($AD$2:$AU$1001,MATCH(ROWS($W$2:W974),$W$2:$W$1001,0),MATCH(COLUMNS($AD$1006:AN1006),$AD$1006:$AU$1006,0)), HYPERLINK("#",""), HYPERLINK(CONCATENATE("#metadata!", ADDRESS(INDEX($Y$2:$Y$1001,MATCH(ROWS($W$2:W974),$W$2:$W$1001,0),0), INDEX($AD$1004:$AU$1004,1,MATCH(COLUMNS($AD$1006:AN1006),$AD$1006:$AU$1006,0)))),"Fix")))</f>
        <v xml:space="preserve"> </v>
      </c>
      <c r="M974" s="4" t="str">
        <f ca="1">IF(OR(INDEX($X$2:$X$1001,MATCH(ROWS($W$2:W974),$W$2:$W$1001,0),1)&gt;=100000,INDEX($AD$1005:$AU$1005,1,MATCH(COLUMNS($AD$1006:AO1006),$AD$1006:$AU$1006,0))&gt;=100000), " ",IF(INDEX($AD$2:$AU$1001,MATCH(ROWS($W$2:W974),$W$2:$W$1001,0),MATCH(COLUMNS($AD$1006:AO1006),$AD$1006:$AU$1006,0)), HYPERLINK("#",""), HYPERLINK(CONCATENATE("#metadata!", ADDRESS(INDEX($Y$2:$Y$1001,MATCH(ROWS($W$2:W974),$W$2:$W$1001,0),0), INDEX($AD$1004:$AU$1004,1,MATCH(COLUMNS($AD$1006:AO1006),$AD$1006:$AU$1006,0)))),"Fix")))</f>
        <v xml:space="preserve"> </v>
      </c>
      <c r="N974" s="4" t="str">
        <f ca="1">IF(OR(INDEX($X$2:$X$1001,MATCH(ROWS($W$2:W974),$W$2:$W$1001,0),1)&gt;=100000,INDEX($AD$1005:$AU$1005,1,MATCH(COLUMNS($AD$1006:AP1006),$AD$1006:$AU$1006,0))&gt;=100000), " ",IF(INDEX($AD$2:$AU$1001,MATCH(ROWS($W$2:W974),$W$2:$W$1001,0),MATCH(COLUMNS($AD$1006:AP1006),$AD$1006:$AU$1006,0)), HYPERLINK("#",""), HYPERLINK(CONCATENATE("#metadata!", ADDRESS(INDEX($Y$2:$Y$1001,MATCH(ROWS($W$2:W974),$W$2:$W$1001,0),0), INDEX($AD$1004:$AU$1004,1,MATCH(COLUMNS($AD$1006:AP1006),$AD$1006:$AU$1006,0)))),"Fix")))</f>
        <v xml:space="preserve"> </v>
      </c>
      <c r="O974" s="4" t="str">
        <f ca="1">IF(OR(INDEX($X$2:$X$1001,MATCH(ROWS($W$2:W974),$W$2:$W$1001,0),1)&gt;=100000,INDEX($AD$1005:$AU$1005,1,MATCH(COLUMNS($AD$1006:AQ1006),$AD$1006:$AU$1006,0))&gt;=100000), " ",IF(INDEX($AD$2:$AU$1001,MATCH(ROWS($W$2:W974),$W$2:$W$1001,0),MATCH(COLUMNS($AD$1006:AQ1006),$AD$1006:$AU$1006,0)), HYPERLINK("#",""), HYPERLINK(CONCATENATE("#metadata!", ADDRESS(INDEX($Y$2:$Y$1001,MATCH(ROWS($W$2:W974),$W$2:$W$1001,0),0), INDEX($AD$1004:$AU$1004,1,MATCH(COLUMNS($AD$1006:AQ1006),$AD$1006:$AU$1006,0)))),"Fix")))</f>
        <v xml:space="preserve"> </v>
      </c>
      <c r="P974" s="4" t="str">
        <f ca="1">IF(OR(INDEX($X$2:$X$1001,MATCH(ROWS($W$2:W974),$W$2:$W$1001,0),1)&gt;=100000,INDEX($AD$1005:$AU$1005,1,MATCH(COLUMNS($AD$1006:AR1006),$AD$1006:$AU$1006,0))&gt;=100000), " ",IF(INDEX($AD$2:$AU$1001,MATCH(ROWS($W$2:W974),$W$2:$W$1001,0),MATCH(COLUMNS($AD$1006:AR1006),$AD$1006:$AU$1006,0)), HYPERLINK("#",""), HYPERLINK(CONCATENATE("#metadata!", ADDRESS(INDEX($Y$2:$Y$1001,MATCH(ROWS($W$2:W974),$W$2:$W$1001,0),0), INDEX($AD$1004:$AU$1004,1,MATCH(COLUMNS($AD$1006:AR1006),$AD$1006:$AU$1006,0)))),"Fix")))</f>
        <v xml:space="preserve"> </v>
      </c>
      <c r="Q974" s="4" t="str">
        <f ca="1">IF(OR(INDEX($X$2:$X$1001,MATCH(ROWS($W$2:W974),$W$2:$W$1001,0),1)&gt;=100000,INDEX($AD$1005:$AU$1005,1,MATCH(COLUMNS($AD$1006:AS1006),$AD$1006:$AU$1006,0))&gt;=100000), " ",IF(INDEX($AD$2:$AU$1001,MATCH(ROWS($W$2:W974),$W$2:$W$1001,0),MATCH(COLUMNS($AD$1006:AS1006),$AD$1006:$AU$1006,0)), HYPERLINK("#",""), HYPERLINK(CONCATENATE("#metadata!", ADDRESS(INDEX($Y$2:$Y$1001,MATCH(ROWS($W$2:W974),$W$2:$W$1001,0),0), INDEX($AD$1004:$AU$1004,1,MATCH(COLUMNS($AD$1006:AS1006),$AD$1006:$AU$1006,0)))),"Fix")))</f>
        <v xml:space="preserve"> </v>
      </c>
      <c r="R974" s="4" t="str">
        <f ca="1">IF(OR(INDEX($X$2:$X$1001,MATCH(ROWS($W$2:W974),$W$2:$W$1001,0),1)&gt;=100000,INDEX($AD$1005:$AU$1005,1,MATCH(COLUMNS($AD$1006:AT1006),$AD$1006:$AU$1006,0))&gt;=100000), " ",IF(INDEX($AD$2:$AU$1001,MATCH(ROWS($W$2:W974),$W$2:$W$1001,0),MATCH(COLUMNS($AD$1006:AT1006),$AD$1006:$AU$1006,0)), HYPERLINK("#",""), HYPERLINK(CONCATENATE("#metadata!", ADDRESS(INDEX($Y$2:$Y$1001,MATCH(ROWS($W$2:W974),$W$2:$W$1001,0),0), INDEX($AD$1004:$AU$1004,1,MATCH(COLUMNS($AD$1006:AT1006),$AD$1006:$AU$1006,0)))),"Fix")))</f>
        <v xml:space="preserve"> </v>
      </c>
      <c r="S974" s="4" t="str">
        <f ca="1">IF(OR(INDEX($X$2:$X$1001,MATCH(ROWS($W$2:W974),$W$2:$W$1001,0),1)&gt;=100000,INDEX($AD$1005:$AU$1005,1,MATCH(COLUMNS($AD$1006:AU1006),$AD$1006:$AU$1006,0))&gt;=100000), " ",IF(INDEX($AD$2:$AU$1001,MATCH(ROWS($W$2:W974),$W$2:$W$1001,0),MATCH(COLUMNS($AD$1006:AU1006),$AD$1006:$AU$1006,0)), HYPERLINK("#",""), HYPERLINK(CONCATENATE("#metadata!", ADDRESS(INDEX($Y$2:$Y$1001,MATCH(ROWS($W$2:W974),$W$2:$W$1001,0),0), INDEX($AD$1004:$AU$1004,1,MATCH(COLUMNS($AD$1006:AU1006),$AD$1006:$AU$1006,0)))),"Fix")))</f>
        <v xml:space="preserve"> </v>
      </c>
      <c r="W974">
        <v>973</v>
      </c>
      <c r="X974">
        <v>100974</v>
      </c>
      <c r="Y974">
        <v>974</v>
      </c>
      <c r="Z974" t="b">
        <f t="shared" si="15"/>
        <v>1</v>
      </c>
      <c r="AA974" t="b">
        <f>COUNTBLANK(metadata!B974:S974)=COLUMNS(metadata!B974:S974)</f>
        <v>1</v>
      </c>
      <c r="AB974" t="str">
        <v/>
      </c>
      <c r="AD974" t="b">
        <f ca="1">AND(IF(metadata!B974="",FALSE,TRUE),COUNTIF(metadata!B:B, metadata!B974) = 1,NOT(ISERROR(SUMPRODUCT(SEARCH(MID(metadata!B974,ROW(INDIRECT("1:"&amp;LEN(metadata!B974))), 1),"0123456789abcdefghijklmnopqrstuvwxyzABCDEFGHIJKLMNOPQRSTUVWXYZ.")))))</f>
        <v>0</v>
      </c>
      <c r="AE974" t="b">
        <f>OR(AND(IF(metadata!C974="",FALSE,TRUE),OR(EXACT(metadata!C974,"not applicable"),EXACT(metadata!C974,"missing: not collected"),EXACT(metadata!C974,"missing: not provided"),EXACT(metadata!C974,"missing: restricted access"))),AND(IF(metadata!C974="",FALSE,ISNUMBER(VALUE(metadata!C974))),metadata!C974&gt;0))</f>
        <v>0</v>
      </c>
      <c r="AF974" t="b">
        <f>AND(IF(metadata!D974="",FALSE,TRUE),EXACT(metadata!D974,"missing: not provided"))</f>
        <v>0</v>
      </c>
      <c r="AG974" t="b">
        <f>AND(IF(metadata!E974="",FALSE,TRUE),EXACT(metadata!E974,"Host-associated"))</f>
        <v>0</v>
      </c>
      <c r="AH974" t="b">
        <f>AND(IF(metadata!F974="",FALSE,TRUE),OR(EXACT(metadata!F974,"Animal"),EXACT(metadata!F974,"Fungus"),EXACT(metadata!F974,"Plant")))</f>
        <v>0</v>
      </c>
      <c r="AI974" t="b">
        <f>AND(IF(metadata!G974="",FALSE,TRUE),OR(EXACT(metadata!G974,"Plant secretion"),EXACT(metadata!G974,"Plant rhizosphere"),EXACT(metadata!G974,"Plant surface"),EXACT(metadata!G974,"Plant corpus"),EXACT(metadata!G974,"Fungus surface"),EXACT(metadata!G974,"Fungus corpus"),EXACT(metadata!G974,"Animal surface"),EXACT(metadata!G974,"Animal proximal gut"),EXACT(metadata!G974,"Animal corpus"),EXACT(metadata!G974,"Animal distal gut"),EXACT(metadata!G974,"Animal secretion")))</f>
        <v>0</v>
      </c>
      <c r="AJ974" t="b">
        <f>OR(AND(IF(metadata!H974="",FALSE,TRUE),OR(EXACT(metadata!H974,"missing: not collected"),EXACT(metadata!H974,"missing: not provided"),EXACT(metadata!H974,"missing: restricted access"))),AND(IF(metadata!H974="",FALSE,TRUE),OR(EXACT(metadata!H974,"organism-associated habitat"),EXACT(metadata!H974,"plant-associated habitat"),EXACT(metadata!H974,"animal-associated habitat"),EXACT(metadata!H974,"insecta-associated habitat"),EXACT(metadata!H974,"mammalia-associated habitat"),EXACT(metadata!H974,"human-associated habitat"),EXACT(metadata!H974,"livestock-associated habitat"))))</f>
        <v>0</v>
      </c>
      <c r="AK974" t="b">
        <f>AND(IF(metadata!I974="",FALSE,TRUE),EXACT(metadata!I974,"host-associated"))</f>
        <v>0</v>
      </c>
      <c r="AL974" t="b">
        <f>OR(AND(IF(metadata!J974="",FALSE,TRUE),OR(EXACT(metadata!J974,"not applicable"),EXACT(metadata!J974,"missing: not collected"),EXACT(metadata!J974,"missing: not provided"),EXACT(metadata!J974,"missing: restricted access"))),AND(IF(metadata!J974="",FALSE,ISNUMBER(VALUE(metadata!J974))),metadata!J974&gt;0))</f>
        <v>0</v>
      </c>
      <c r="AM974" t="b">
        <f>AND(IF(metadata!K974="",FALSE,TRUE),EXACT(metadata!K974,"missing: not provided"))</f>
        <v>0</v>
      </c>
      <c r="AN974" t="b">
        <f>IF(metadata!L974="",FALSE,TRUE)</f>
        <v>0</v>
      </c>
      <c r="AO974" t="b">
        <f>IF(metadata!M974="",FALSE,TRUE)</f>
        <v>0</v>
      </c>
      <c r="AP974" t="b">
        <f>OR(AND(IF(metadata!N974="",FALSE,TRUE),OR(EXACT(metadata!N974,"not applicable"),EXACT(metadata!N974,"missing: not collected"),EXACT(metadata!N974,"missing: not provided"))),AND(IF(metadata!N974="",FALSE,IF(ISERROR(INT(metadata!N974)),FALSE,INT(metadata!N974)=metadata!N974)),metadata!N974&gt;0))</f>
        <v>0</v>
      </c>
      <c r="AQ974" t="b">
        <f>AND(IF(metadata!O974="",FALSE,TRUE),EXACT(metadata!O974,"Not applicable"))</f>
        <v>0</v>
      </c>
      <c r="AR974" t="b">
        <f>OR(AND(IF(metadata!P974="",FALSE,TRUE),OR(EXACT(metadata!P974,"not applicable"),EXACT(metadata!P974,"missing: not collected"),EXACT(metadata!P974,"missing: not provided"),EXACT(metadata!P974,"missing: restricted access"))),IF(metadata!P974="",FALSE,IF(ISERROR(INT(metadata!P974)),FALSE,INT(metadata!P974)=metadata!P974)))</f>
        <v>0</v>
      </c>
      <c r="AS974" t="b">
        <f>AND(IF(metadata!Q974="",FALSE,TRUE),EXACT(metadata!Q974,"Not applicable"))</f>
        <v>0</v>
      </c>
      <c r="AT974" t="b">
        <f>OR(AND(IF(metadata!R974="",FALSE,TRUE),OR(EXACT(metadata!R974,"not applicable"),EXACT(metadata!R974,"missing: not collected"),EXACT(metadata!R974,"missing: not provided"),EXACT(metadata!R974,"missing: restricted access"))),AND(IF(metadata!R974="",FALSE,ISNUMBER(VALUE(metadata!R974))),metadata!R974&gt;0))</f>
        <v>0</v>
      </c>
      <c r="AU974" t="b">
        <f>AND(IF(metadata!S974="",FALSE,TRUE),EXACT(metadata!S974,"missing: not provided"))</f>
        <v>0</v>
      </c>
    </row>
    <row r="975" spans="1:47" x14ac:dyDescent="0.2">
      <c r="A975" s="5" t="str">
        <f ca="1">IF(B975=" "," ",HYPERLINK(CONCATENATE("#metadata!",ADDRESS(INDEX($Y$2:$Y$1001,MATCH(ROWS($W$2:W975),$W$2:$W$1001,0),0),1)),INDEX($AB$2:$AB$1001,MATCH(ROWS($W$2:W975),$W$2:$W$1001,0),0)))</f>
        <v xml:space="preserve"> </v>
      </c>
      <c r="B975" s="4" t="str">
        <f ca="1">IF(OR(INDEX($X$2:$X$1001,MATCH(ROWS($W$2:W975),$W$2:$W$1001,0),1)&gt;=100000,INDEX($AD$1005:$AU$1005,1,MATCH(COLUMNS($AD$1006:AD1006),$AD$1006:$AU$1006,0))&gt;=100000), " ",IF(INDEX($AD$2:$AU$1001,MATCH(ROWS($W$2:W975),$W$2:$W$1001,0),MATCH(COLUMNS($AD$1006:AD1006),$AD$1006:$AU$1006,0)), HYPERLINK("#",""), HYPERLINK(CONCATENATE("#metadata!", ADDRESS(INDEX($Y$2:$Y$1001,MATCH(ROWS($W$2:W975),$W$2:$W$1001,0),0), INDEX($AD$1004:$AU$1004,1,MATCH(COLUMNS($AD$1006:AD1006),$AD$1006:$AU$1006,0)))),"Fix")))</f>
        <v xml:space="preserve"> </v>
      </c>
      <c r="C975" s="4" t="str">
        <f ca="1">IF(OR(INDEX($X$2:$X$1001,MATCH(ROWS($W$2:W975),$W$2:$W$1001,0),1)&gt;=100000,INDEX($AD$1005:$AU$1005,1,MATCH(COLUMNS($AD$1006:AE1006),$AD$1006:$AU$1006,0))&gt;=100000), " ",IF(INDEX($AD$2:$AU$1001,MATCH(ROWS($W$2:W975),$W$2:$W$1001,0),MATCH(COLUMNS($AD$1006:AE1006),$AD$1006:$AU$1006,0)), HYPERLINK("#",""), HYPERLINK(CONCATENATE("#metadata!", ADDRESS(INDEX($Y$2:$Y$1001,MATCH(ROWS($W$2:W975),$W$2:$W$1001,0),0), INDEX($AD$1004:$AU$1004,1,MATCH(COLUMNS($AD$1006:AE1006),$AD$1006:$AU$1006,0)))),"Fix")))</f>
        <v xml:space="preserve"> </v>
      </c>
      <c r="D975" s="4" t="str">
        <f ca="1">IF(OR(INDEX($X$2:$X$1001,MATCH(ROWS($W$2:W975),$W$2:$W$1001,0),1)&gt;=100000,INDEX($AD$1005:$AU$1005,1,MATCH(COLUMNS($AD$1006:AF1006),$AD$1006:$AU$1006,0))&gt;=100000), " ",IF(INDEX($AD$2:$AU$1001,MATCH(ROWS($W$2:W975),$W$2:$W$1001,0),MATCH(COLUMNS($AD$1006:AF1006),$AD$1006:$AU$1006,0)), HYPERLINK("#",""), HYPERLINK(CONCATENATE("#metadata!", ADDRESS(INDEX($Y$2:$Y$1001,MATCH(ROWS($W$2:W975),$W$2:$W$1001,0),0), INDEX($AD$1004:$AU$1004,1,MATCH(COLUMNS($AD$1006:AF1006),$AD$1006:$AU$1006,0)))),"Fix")))</f>
        <v xml:space="preserve"> </v>
      </c>
      <c r="E975" s="4" t="str">
        <f ca="1">IF(OR(INDEX($X$2:$X$1001,MATCH(ROWS($W$2:W975),$W$2:$W$1001,0),1)&gt;=100000,INDEX($AD$1005:$AU$1005,1,MATCH(COLUMNS($AD$1006:AG1006),$AD$1006:$AU$1006,0))&gt;=100000), " ",IF(INDEX($AD$2:$AU$1001,MATCH(ROWS($W$2:W975),$W$2:$W$1001,0),MATCH(COLUMNS($AD$1006:AG1006),$AD$1006:$AU$1006,0)), HYPERLINK("#",""), HYPERLINK(CONCATENATE("#metadata!", ADDRESS(INDEX($Y$2:$Y$1001,MATCH(ROWS($W$2:W975),$W$2:$W$1001,0),0), INDEX($AD$1004:$AU$1004,1,MATCH(COLUMNS($AD$1006:AG1006),$AD$1006:$AU$1006,0)))),"Fix")))</f>
        <v xml:space="preserve"> </v>
      </c>
      <c r="F975" s="4" t="str">
        <f ca="1">IF(OR(INDEX($X$2:$X$1001,MATCH(ROWS($W$2:W975),$W$2:$W$1001,0),1)&gt;=100000,INDEX($AD$1005:$AU$1005,1,MATCH(COLUMNS($AD$1006:AH1006),$AD$1006:$AU$1006,0))&gt;=100000), " ",IF(INDEX($AD$2:$AU$1001,MATCH(ROWS($W$2:W975),$W$2:$W$1001,0),MATCH(COLUMNS($AD$1006:AH1006),$AD$1006:$AU$1006,0)), HYPERLINK("#",""), HYPERLINK(CONCATENATE("#metadata!", ADDRESS(INDEX($Y$2:$Y$1001,MATCH(ROWS($W$2:W975),$W$2:$W$1001,0),0), INDEX($AD$1004:$AU$1004,1,MATCH(COLUMNS($AD$1006:AH1006),$AD$1006:$AU$1006,0)))),"Fix")))</f>
        <v xml:space="preserve"> </v>
      </c>
      <c r="G975" s="4" t="str">
        <f ca="1">IF(OR(INDEX($X$2:$X$1001,MATCH(ROWS($W$2:W975),$W$2:$W$1001,0),1)&gt;=100000,INDEX($AD$1005:$AU$1005,1,MATCH(COLUMNS($AD$1006:AI1006),$AD$1006:$AU$1006,0))&gt;=100000), " ",IF(INDEX($AD$2:$AU$1001,MATCH(ROWS($W$2:W975),$W$2:$W$1001,0),MATCH(COLUMNS($AD$1006:AI1006),$AD$1006:$AU$1006,0)), HYPERLINK("#",""), HYPERLINK(CONCATENATE("#metadata!", ADDRESS(INDEX($Y$2:$Y$1001,MATCH(ROWS($W$2:W975),$W$2:$W$1001,0),0), INDEX($AD$1004:$AU$1004,1,MATCH(COLUMNS($AD$1006:AI1006),$AD$1006:$AU$1006,0)))),"Fix")))</f>
        <v xml:space="preserve"> </v>
      </c>
      <c r="H975" s="4" t="str">
        <f ca="1">IF(OR(INDEX($X$2:$X$1001,MATCH(ROWS($W$2:W975),$W$2:$W$1001,0),1)&gt;=100000,INDEX($AD$1005:$AU$1005,1,MATCH(COLUMNS($AD$1006:AJ1006),$AD$1006:$AU$1006,0))&gt;=100000), " ",IF(INDEX($AD$2:$AU$1001,MATCH(ROWS($W$2:W975),$W$2:$W$1001,0),MATCH(COLUMNS($AD$1006:AJ1006),$AD$1006:$AU$1006,0)), HYPERLINK("#",""), HYPERLINK(CONCATENATE("#metadata!", ADDRESS(INDEX($Y$2:$Y$1001,MATCH(ROWS($W$2:W975),$W$2:$W$1001,0),0), INDEX($AD$1004:$AU$1004,1,MATCH(COLUMNS($AD$1006:AJ1006),$AD$1006:$AU$1006,0)))),"Fix")))</f>
        <v xml:space="preserve"> </v>
      </c>
      <c r="I975" s="4" t="str">
        <f ca="1">IF(OR(INDEX($X$2:$X$1001,MATCH(ROWS($W$2:W975),$W$2:$W$1001,0),1)&gt;=100000,INDEX($AD$1005:$AU$1005,1,MATCH(COLUMNS($AD$1006:AK1006),$AD$1006:$AU$1006,0))&gt;=100000), " ",IF(INDEX($AD$2:$AU$1001,MATCH(ROWS($W$2:W975),$W$2:$W$1001,0),MATCH(COLUMNS($AD$1006:AK1006),$AD$1006:$AU$1006,0)), HYPERLINK("#",""), HYPERLINK(CONCATENATE("#metadata!", ADDRESS(INDEX($Y$2:$Y$1001,MATCH(ROWS($W$2:W975),$W$2:$W$1001,0),0), INDEX($AD$1004:$AU$1004,1,MATCH(COLUMNS($AD$1006:AK1006),$AD$1006:$AU$1006,0)))),"Fix")))</f>
        <v xml:space="preserve"> </v>
      </c>
      <c r="J975" s="4" t="str">
        <f ca="1">IF(OR(INDEX($X$2:$X$1001,MATCH(ROWS($W$2:W975),$W$2:$W$1001,0),1)&gt;=100000,INDEX($AD$1005:$AU$1005,1,MATCH(COLUMNS($AD$1006:AL1006),$AD$1006:$AU$1006,0))&gt;=100000), " ",IF(INDEX($AD$2:$AU$1001,MATCH(ROWS($W$2:W975),$W$2:$W$1001,0),MATCH(COLUMNS($AD$1006:AL1006),$AD$1006:$AU$1006,0)), HYPERLINK("#",""), HYPERLINK(CONCATENATE("#metadata!", ADDRESS(INDEX($Y$2:$Y$1001,MATCH(ROWS($W$2:W975),$W$2:$W$1001,0),0), INDEX($AD$1004:$AU$1004,1,MATCH(COLUMNS($AD$1006:AL1006),$AD$1006:$AU$1006,0)))),"Fix")))</f>
        <v xml:space="preserve"> </v>
      </c>
      <c r="K975" s="4" t="str">
        <f ca="1">IF(OR(INDEX($X$2:$X$1001,MATCH(ROWS($W$2:W975),$W$2:$W$1001,0),1)&gt;=100000,INDEX($AD$1005:$AU$1005,1,MATCH(COLUMNS($AD$1006:AM1006),$AD$1006:$AU$1006,0))&gt;=100000), " ",IF(INDEX($AD$2:$AU$1001,MATCH(ROWS($W$2:W975),$W$2:$W$1001,0),MATCH(COLUMNS($AD$1006:AM1006),$AD$1006:$AU$1006,0)), HYPERLINK("#",""), HYPERLINK(CONCATENATE("#metadata!", ADDRESS(INDEX($Y$2:$Y$1001,MATCH(ROWS($W$2:W975),$W$2:$W$1001,0),0), INDEX($AD$1004:$AU$1004,1,MATCH(COLUMNS($AD$1006:AM1006),$AD$1006:$AU$1006,0)))),"Fix")))</f>
        <v xml:space="preserve"> </v>
      </c>
      <c r="L975" s="4" t="str">
        <f ca="1">IF(OR(INDEX($X$2:$X$1001,MATCH(ROWS($W$2:W975),$W$2:$W$1001,0),1)&gt;=100000,INDEX($AD$1005:$AU$1005,1,MATCH(COLUMNS($AD$1006:AN1006),$AD$1006:$AU$1006,0))&gt;=100000), " ",IF(INDEX($AD$2:$AU$1001,MATCH(ROWS($W$2:W975),$W$2:$W$1001,0),MATCH(COLUMNS($AD$1006:AN1006),$AD$1006:$AU$1006,0)), HYPERLINK("#",""), HYPERLINK(CONCATENATE("#metadata!", ADDRESS(INDEX($Y$2:$Y$1001,MATCH(ROWS($W$2:W975),$W$2:$W$1001,0),0), INDEX($AD$1004:$AU$1004,1,MATCH(COLUMNS($AD$1006:AN1006),$AD$1006:$AU$1006,0)))),"Fix")))</f>
        <v xml:space="preserve"> </v>
      </c>
      <c r="M975" s="4" t="str">
        <f ca="1">IF(OR(INDEX($X$2:$X$1001,MATCH(ROWS($W$2:W975),$W$2:$W$1001,0),1)&gt;=100000,INDEX($AD$1005:$AU$1005,1,MATCH(COLUMNS($AD$1006:AO1006),$AD$1006:$AU$1006,0))&gt;=100000), " ",IF(INDEX($AD$2:$AU$1001,MATCH(ROWS($W$2:W975),$W$2:$W$1001,0),MATCH(COLUMNS($AD$1006:AO1006),$AD$1006:$AU$1006,0)), HYPERLINK("#",""), HYPERLINK(CONCATENATE("#metadata!", ADDRESS(INDEX($Y$2:$Y$1001,MATCH(ROWS($W$2:W975),$W$2:$W$1001,0),0), INDEX($AD$1004:$AU$1004,1,MATCH(COLUMNS($AD$1006:AO1006),$AD$1006:$AU$1006,0)))),"Fix")))</f>
        <v xml:space="preserve"> </v>
      </c>
      <c r="N975" s="4" t="str">
        <f ca="1">IF(OR(INDEX($X$2:$X$1001,MATCH(ROWS($W$2:W975),$W$2:$W$1001,0),1)&gt;=100000,INDEX($AD$1005:$AU$1005,1,MATCH(COLUMNS($AD$1006:AP1006),$AD$1006:$AU$1006,0))&gt;=100000), " ",IF(INDEX($AD$2:$AU$1001,MATCH(ROWS($W$2:W975),$W$2:$W$1001,0),MATCH(COLUMNS($AD$1006:AP1006),$AD$1006:$AU$1006,0)), HYPERLINK("#",""), HYPERLINK(CONCATENATE("#metadata!", ADDRESS(INDEX($Y$2:$Y$1001,MATCH(ROWS($W$2:W975),$W$2:$W$1001,0),0), INDEX($AD$1004:$AU$1004,1,MATCH(COLUMNS($AD$1006:AP1006),$AD$1006:$AU$1006,0)))),"Fix")))</f>
        <v xml:space="preserve"> </v>
      </c>
      <c r="O975" s="4" t="str">
        <f ca="1">IF(OR(INDEX($X$2:$X$1001,MATCH(ROWS($W$2:W975),$W$2:$W$1001,0),1)&gt;=100000,INDEX($AD$1005:$AU$1005,1,MATCH(COLUMNS($AD$1006:AQ1006),$AD$1006:$AU$1006,0))&gt;=100000), " ",IF(INDEX($AD$2:$AU$1001,MATCH(ROWS($W$2:W975),$W$2:$W$1001,0),MATCH(COLUMNS($AD$1006:AQ1006),$AD$1006:$AU$1006,0)), HYPERLINK("#",""), HYPERLINK(CONCATENATE("#metadata!", ADDRESS(INDEX($Y$2:$Y$1001,MATCH(ROWS($W$2:W975),$W$2:$W$1001,0),0), INDEX($AD$1004:$AU$1004,1,MATCH(COLUMNS($AD$1006:AQ1006),$AD$1006:$AU$1006,0)))),"Fix")))</f>
        <v xml:space="preserve"> </v>
      </c>
      <c r="P975" s="4" t="str">
        <f ca="1">IF(OR(INDEX($X$2:$X$1001,MATCH(ROWS($W$2:W975),$W$2:$W$1001,0),1)&gt;=100000,INDEX($AD$1005:$AU$1005,1,MATCH(COLUMNS($AD$1006:AR1006),$AD$1006:$AU$1006,0))&gt;=100000), " ",IF(INDEX($AD$2:$AU$1001,MATCH(ROWS($W$2:W975),$W$2:$W$1001,0),MATCH(COLUMNS($AD$1006:AR1006),$AD$1006:$AU$1006,0)), HYPERLINK("#",""), HYPERLINK(CONCATENATE("#metadata!", ADDRESS(INDEX($Y$2:$Y$1001,MATCH(ROWS($W$2:W975),$W$2:$W$1001,0),0), INDEX($AD$1004:$AU$1004,1,MATCH(COLUMNS($AD$1006:AR1006),$AD$1006:$AU$1006,0)))),"Fix")))</f>
        <v xml:space="preserve"> </v>
      </c>
      <c r="Q975" s="4" t="str">
        <f ca="1">IF(OR(INDEX($X$2:$X$1001,MATCH(ROWS($W$2:W975),$W$2:$W$1001,0),1)&gt;=100000,INDEX($AD$1005:$AU$1005,1,MATCH(COLUMNS($AD$1006:AS1006),$AD$1006:$AU$1006,0))&gt;=100000), " ",IF(INDEX($AD$2:$AU$1001,MATCH(ROWS($W$2:W975),$W$2:$W$1001,0),MATCH(COLUMNS($AD$1006:AS1006),$AD$1006:$AU$1006,0)), HYPERLINK("#",""), HYPERLINK(CONCATENATE("#metadata!", ADDRESS(INDEX($Y$2:$Y$1001,MATCH(ROWS($W$2:W975),$W$2:$W$1001,0),0), INDEX($AD$1004:$AU$1004,1,MATCH(COLUMNS($AD$1006:AS1006),$AD$1006:$AU$1006,0)))),"Fix")))</f>
        <v xml:space="preserve"> </v>
      </c>
      <c r="R975" s="4" t="str">
        <f ca="1">IF(OR(INDEX($X$2:$X$1001,MATCH(ROWS($W$2:W975),$W$2:$W$1001,0),1)&gt;=100000,INDEX($AD$1005:$AU$1005,1,MATCH(COLUMNS($AD$1006:AT1006),$AD$1006:$AU$1006,0))&gt;=100000), " ",IF(INDEX($AD$2:$AU$1001,MATCH(ROWS($W$2:W975),$W$2:$W$1001,0),MATCH(COLUMNS($AD$1006:AT1006),$AD$1006:$AU$1006,0)), HYPERLINK("#",""), HYPERLINK(CONCATENATE("#metadata!", ADDRESS(INDEX($Y$2:$Y$1001,MATCH(ROWS($W$2:W975),$W$2:$W$1001,0),0), INDEX($AD$1004:$AU$1004,1,MATCH(COLUMNS($AD$1006:AT1006),$AD$1006:$AU$1006,0)))),"Fix")))</f>
        <v xml:space="preserve"> </v>
      </c>
      <c r="S975" s="4" t="str">
        <f ca="1">IF(OR(INDEX($X$2:$X$1001,MATCH(ROWS($W$2:W975),$W$2:$W$1001,0),1)&gt;=100000,INDEX($AD$1005:$AU$1005,1,MATCH(COLUMNS($AD$1006:AU1006),$AD$1006:$AU$1006,0))&gt;=100000), " ",IF(INDEX($AD$2:$AU$1001,MATCH(ROWS($W$2:W975),$W$2:$W$1001,0),MATCH(COLUMNS($AD$1006:AU1006),$AD$1006:$AU$1006,0)), HYPERLINK("#",""), HYPERLINK(CONCATENATE("#metadata!", ADDRESS(INDEX($Y$2:$Y$1001,MATCH(ROWS($W$2:W975),$W$2:$W$1001,0),0), INDEX($AD$1004:$AU$1004,1,MATCH(COLUMNS($AD$1006:AU1006),$AD$1006:$AU$1006,0)))),"Fix")))</f>
        <v xml:space="preserve"> </v>
      </c>
      <c r="W975">
        <v>974</v>
      </c>
      <c r="X975">
        <v>100975</v>
      </c>
      <c r="Y975">
        <v>975</v>
      </c>
      <c r="Z975" t="b">
        <f t="shared" si="15"/>
        <v>1</v>
      </c>
      <c r="AA975" t="b">
        <f>COUNTBLANK(metadata!B975:S975)=COLUMNS(metadata!B975:S975)</f>
        <v>1</v>
      </c>
      <c r="AB975" t="str">
        <v/>
      </c>
      <c r="AD975" t="b">
        <f ca="1">AND(IF(metadata!B975="",FALSE,TRUE),COUNTIF(metadata!B:B, metadata!B975) = 1,NOT(ISERROR(SUMPRODUCT(SEARCH(MID(metadata!B975,ROW(INDIRECT("1:"&amp;LEN(metadata!B975))), 1),"0123456789abcdefghijklmnopqrstuvwxyzABCDEFGHIJKLMNOPQRSTUVWXYZ.")))))</f>
        <v>0</v>
      </c>
      <c r="AE975" t="b">
        <f>OR(AND(IF(metadata!C975="",FALSE,TRUE),OR(EXACT(metadata!C975,"not applicable"),EXACT(metadata!C975,"missing: not collected"),EXACT(metadata!C975,"missing: not provided"),EXACT(metadata!C975,"missing: restricted access"))),AND(IF(metadata!C975="",FALSE,ISNUMBER(VALUE(metadata!C975))),metadata!C975&gt;0))</f>
        <v>0</v>
      </c>
      <c r="AF975" t="b">
        <f>AND(IF(metadata!D975="",FALSE,TRUE),EXACT(metadata!D975,"missing: not provided"))</f>
        <v>0</v>
      </c>
      <c r="AG975" t="b">
        <f>AND(IF(metadata!E975="",FALSE,TRUE),EXACT(metadata!E975,"Host-associated"))</f>
        <v>0</v>
      </c>
      <c r="AH975" t="b">
        <f>AND(IF(metadata!F975="",FALSE,TRUE),OR(EXACT(metadata!F975,"Animal"),EXACT(metadata!F975,"Fungus"),EXACT(metadata!F975,"Plant")))</f>
        <v>0</v>
      </c>
      <c r="AI975" t="b">
        <f>AND(IF(metadata!G975="",FALSE,TRUE),OR(EXACT(metadata!G975,"Plant secretion"),EXACT(metadata!G975,"Plant rhizosphere"),EXACT(metadata!G975,"Plant surface"),EXACT(metadata!G975,"Plant corpus"),EXACT(metadata!G975,"Fungus surface"),EXACT(metadata!G975,"Fungus corpus"),EXACT(metadata!G975,"Animal surface"),EXACT(metadata!G975,"Animal proximal gut"),EXACT(metadata!G975,"Animal corpus"),EXACT(metadata!G975,"Animal distal gut"),EXACT(metadata!G975,"Animal secretion")))</f>
        <v>0</v>
      </c>
      <c r="AJ975" t="b">
        <f>OR(AND(IF(metadata!H975="",FALSE,TRUE),OR(EXACT(metadata!H975,"missing: not collected"),EXACT(metadata!H975,"missing: not provided"),EXACT(metadata!H975,"missing: restricted access"))),AND(IF(metadata!H975="",FALSE,TRUE),OR(EXACT(metadata!H975,"organism-associated habitat"),EXACT(metadata!H975,"plant-associated habitat"),EXACT(metadata!H975,"animal-associated habitat"),EXACT(metadata!H975,"insecta-associated habitat"),EXACT(metadata!H975,"mammalia-associated habitat"),EXACT(metadata!H975,"human-associated habitat"),EXACT(metadata!H975,"livestock-associated habitat"))))</f>
        <v>0</v>
      </c>
      <c r="AK975" t="b">
        <f>AND(IF(metadata!I975="",FALSE,TRUE),EXACT(metadata!I975,"host-associated"))</f>
        <v>0</v>
      </c>
      <c r="AL975" t="b">
        <f>OR(AND(IF(metadata!J975="",FALSE,TRUE),OR(EXACT(metadata!J975,"not applicable"),EXACT(metadata!J975,"missing: not collected"),EXACT(metadata!J975,"missing: not provided"),EXACT(metadata!J975,"missing: restricted access"))),AND(IF(metadata!J975="",FALSE,ISNUMBER(VALUE(metadata!J975))),metadata!J975&gt;0))</f>
        <v>0</v>
      </c>
      <c r="AM975" t="b">
        <f>AND(IF(metadata!K975="",FALSE,TRUE),EXACT(metadata!K975,"missing: not provided"))</f>
        <v>0</v>
      </c>
      <c r="AN975" t="b">
        <f>IF(metadata!L975="",FALSE,TRUE)</f>
        <v>0</v>
      </c>
      <c r="AO975" t="b">
        <f>IF(metadata!M975="",FALSE,TRUE)</f>
        <v>0</v>
      </c>
      <c r="AP975" t="b">
        <f>OR(AND(IF(metadata!N975="",FALSE,TRUE),OR(EXACT(metadata!N975,"not applicable"),EXACT(metadata!N975,"missing: not collected"),EXACT(metadata!N975,"missing: not provided"))),AND(IF(metadata!N975="",FALSE,IF(ISERROR(INT(metadata!N975)),FALSE,INT(metadata!N975)=metadata!N975)),metadata!N975&gt;0))</f>
        <v>0</v>
      </c>
      <c r="AQ975" t="b">
        <f>AND(IF(metadata!O975="",FALSE,TRUE),EXACT(metadata!O975,"Not applicable"))</f>
        <v>0</v>
      </c>
      <c r="AR975" t="b">
        <f>OR(AND(IF(metadata!P975="",FALSE,TRUE),OR(EXACT(metadata!P975,"not applicable"),EXACT(metadata!P975,"missing: not collected"),EXACT(metadata!P975,"missing: not provided"),EXACT(metadata!P975,"missing: restricted access"))),IF(metadata!P975="",FALSE,IF(ISERROR(INT(metadata!P975)),FALSE,INT(metadata!P975)=metadata!P975)))</f>
        <v>0</v>
      </c>
      <c r="AS975" t="b">
        <f>AND(IF(metadata!Q975="",FALSE,TRUE),EXACT(metadata!Q975,"Not applicable"))</f>
        <v>0</v>
      </c>
      <c r="AT975" t="b">
        <f>OR(AND(IF(metadata!R975="",FALSE,TRUE),OR(EXACT(metadata!R975,"not applicable"),EXACT(metadata!R975,"missing: not collected"),EXACT(metadata!R975,"missing: not provided"),EXACT(metadata!R975,"missing: restricted access"))),AND(IF(metadata!R975="",FALSE,ISNUMBER(VALUE(metadata!R975))),metadata!R975&gt;0))</f>
        <v>0</v>
      </c>
      <c r="AU975" t="b">
        <f>AND(IF(metadata!S975="",FALSE,TRUE),EXACT(metadata!S975,"missing: not provided"))</f>
        <v>0</v>
      </c>
    </row>
    <row r="976" spans="1:47" x14ac:dyDescent="0.2">
      <c r="A976" s="5" t="str">
        <f ca="1">IF(B976=" "," ",HYPERLINK(CONCATENATE("#metadata!",ADDRESS(INDEX($Y$2:$Y$1001,MATCH(ROWS($W$2:W976),$W$2:$W$1001,0),0),1)),INDEX($AB$2:$AB$1001,MATCH(ROWS($W$2:W976),$W$2:$W$1001,0),0)))</f>
        <v xml:space="preserve"> </v>
      </c>
      <c r="B976" s="4" t="str">
        <f ca="1">IF(OR(INDEX($X$2:$X$1001,MATCH(ROWS($W$2:W976),$W$2:$W$1001,0),1)&gt;=100000,INDEX($AD$1005:$AU$1005,1,MATCH(COLUMNS($AD$1006:AD1006),$AD$1006:$AU$1006,0))&gt;=100000), " ",IF(INDEX($AD$2:$AU$1001,MATCH(ROWS($W$2:W976),$W$2:$W$1001,0),MATCH(COLUMNS($AD$1006:AD1006),$AD$1006:$AU$1006,0)), HYPERLINK("#",""), HYPERLINK(CONCATENATE("#metadata!", ADDRESS(INDEX($Y$2:$Y$1001,MATCH(ROWS($W$2:W976),$W$2:$W$1001,0),0), INDEX($AD$1004:$AU$1004,1,MATCH(COLUMNS($AD$1006:AD1006),$AD$1006:$AU$1006,0)))),"Fix")))</f>
        <v xml:space="preserve"> </v>
      </c>
      <c r="C976" s="4" t="str">
        <f ca="1">IF(OR(INDEX($X$2:$X$1001,MATCH(ROWS($W$2:W976),$W$2:$W$1001,0),1)&gt;=100000,INDEX($AD$1005:$AU$1005,1,MATCH(COLUMNS($AD$1006:AE1006),$AD$1006:$AU$1006,0))&gt;=100000), " ",IF(INDEX($AD$2:$AU$1001,MATCH(ROWS($W$2:W976),$W$2:$W$1001,0),MATCH(COLUMNS($AD$1006:AE1006),$AD$1006:$AU$1006,0)), HYPERLINK("#",""), HYPERLINK(CONCATENATE("#metadata!", ADDRESS(INDEX($Y$2:$Y$1001,MATCH(ROWS($W$2:W976),$W$2:$W$1001,0),0), INDEX($AD$1004:$AU$1004,1,MATCH(COLUMNS($AD$1006:AE1006),$AD$1006:$AU$1006,0)))),"Fix")))</f>
        <v xml:space="preserve"> </v>
      </c>
      <c r="D976" s="4" t="str">
        <f ca="1">IF(OR(INDEX($X$2:$X$1001,MATCH(ROWS($W$2:W976),$W$2:$W$1001,0),1)&gt;=100000,INDEX($AD$1005:$AU$1005,1,MATCH(COLUMNS($AD$1006:AF1006),$AD$1006:$AU$1006,0))&gt;=100000), " ",IF(INDEX($AD$2:$AU$1001,MATCH(ROWS($W$2:W976),$W$2:$W$1001,0),MATCH(COLUMNS($AD$1006:AF1006),$AD$1006:$AU$1006,0)), HYPERLINK("#",""), HYPERLINK(CONCATENATE("#metadata!", ADDRESS(INDEX($Y$2:$Y$1001,MATCH(ROWS($W$2:W976),$W$2:$W$1001,0),0), INDEX($AD$1004:$AU$1004,1,MATCH(COLUMNS($AD$1006:AF1006),$AD$1006:$AU$1006,0)))),"Fix")))</f>
        <v xml:space="preserve"> </v>
      </c>
      <c r="E976" s="4" t="str">
        <f ca="1">IF(OR(INDEX($X$2:$X$1001,MATCH(ROWS($W$2:W976),$W$2:$W$1001,0),1)&gt;=100000,INDEX($AD$1005:$AU$1005,1,MATCH(COLUMNS($AD$1006:AG1006),$AD$1006:$AU$1006,0))&gt;=100000), " ",IF(INDEX($AD$2:$AU$1001,MATCH(ROWS($W$2:W976),$W$2:$W$1001,0),MATCH(COLUMNS($AD$1006:AG1006),$AD$1006:$AU$1006,0)), HYPERLINK("#",""), HYPERLINK(CONCATENATE("#metadata!", ADDRESS(INDEX($Y$2:$Y$1001,MATCH(ROWS($W$2:W976),$W$2:$W$1001,0),0), INDEX($AD$1004:$AU$1004,1,MATCH(COLUMNS($AD$1006:AG1006),$AD$1006:$AU$1006,0)))),"Fix")))</f>
        <v xml:space="preserve"> </v>
      </c>
      <c r="F976" s="4" t="str">
        <f ca="1">IF(OR(INDEX($X$2:$X$1001,MATCH(ROWS($W$2:W976),$W$2:$W$1001,0),1)&gt;=100000,INDEX($AD$1005:$AU$1005,1,MATCH(COLUMNS($AD$1006:AH1006),$AD$1006:$AU$1006,0))&gt;=100000), " ",IF(INDEX($AD$2:$AU$1001,MATCH(ROWS($W$2:W976),$W$2:$W$1001,0),MATCH(COLUMNS($AD$1006:AH1006),$AD$1006:$AU$1006,0)), HYPERLINK("#",""), HYPERLINK(CONCATENATE("#metadata!", ADDRESS(INDEX($Y$2:$Y$1001,MATCH(ROWS($W$2:W976),$W$2:$W$1001,0),0), INDEX($AD$1004:$AU$1004,1,MATCH(COLUMNS($AD$1006:AH1006),$AD$1006:$AU$1006,0)))),"Fix")))</f>
        <v xml:space="preserve"> </v>
      </c>
      <c r="G976" s="4" t="str">
        <f ca="1">IF(OR(INDEX($X$2:$X$1001,MATCH(ROWS($W$2:W976),$W$2:$W$1001,0),1)&gt;=100000,INDEX($AD$1005:$AU$1005,1,MATCH(COLUMNS($AD$1006:AI1006),$AD$1006:$AU$1006,0))&gt;=100000), " ",IF(INDEX($AD$2:$AU$1001,MATCH(ROWS($W$2:W976),$W$2:$W$1001,0),MATCH(COLUMNS($AD$1006:AI1006),$AD$1006:$AU$1006,0)), HYPERLINK("#",""), HYPERLINK(CONCATENATE("#metadata!", ADDRESS(INDEX($Y$2:$Y$1001,MATCH(ROWS($W$2:W976),$W$2:$W$1001,0),0), INDEX($AD$1004:$AU$1004,1,MATCH(COLUMNS($AD$1006:AI1006),$AD$1006:$AU$1006,0)))),"Fix")))</f>
        <v xml:space="preserve"> </v>
      </c>
      <c r="H976" s="4" t="str">
        <f ca="1">IF(OR(INDEX($X$2:$X$1001,MATCH(ROWS($W$2:W976),$W$2:$W$1001,0),1)&gt;=100000,INDEX($AD$1005:$AU$1005,1,MATCH(COLUMNS($AD$1006:AJ1006),$AD$1006:$AU$1006,0))&gt;=100000), " ",IF(INDEX($AD$2:$AU$1001,MATCH(ROWS($W$2:W976),$W$2:$W$1001,0),MATCH(COLUMNS($AD$1006:AJ1006),$AD$1006:$AU$1006,0)), HYPERLINK("#",""), HYPERLINK(CONCATENATE("#metadata!", ADDRESS(INDEX($Y$2:$Y$1001,MATCH(ROWS($W$2:W976),$W$2:$W$1001,0),0), INDEX($AD$1004:$AU$1004,1,MATCH(COLUMNS($AD$1006:AJ1006),$AD$1006:$AU$1006,0)))),"Fix")))</f>
        <v xml:space="preserve"> </v>
      </c>
      <c r="I976" s="4" t="str">
        <f ca="1">IF(OR(INDEX($X$2:$X$1001,MATCH(ROWS($W$2:W976),$W$2:$W$1001,0),1)&gt;=100000,INDEX($AD$1005:$AU$1005,1,MATCH(COLUMNS($AD$1006:AK1006),$AD$1006:$AU$1006,0))&gt;=100000), " ",IF(INDEX($AD$2:$AU$1001,MATCH(ROWS($W$2:W976),$W$2:$W$1001,0),MATCH(COLUMNS($AD$1006:AK1006),$AD$1006:$AU$1006,0)), HYPERLINK("#",""), HYPERLINK(CONCATENATE("#metadata!", ADDRESS(INDEX($Y$2:$Y$1001,MATCH(ROWS($W$2:W976),$W$2:$W$1001,0),0), INDEX($AD$1004:$AU$1004,1,MATCH(COLUMNS($AD$1006:AK1006),$AD$1006:$AU$1006,0)))),"Fix")))</f>
        <v xml:space="preserve"> </v>
      </c>
      <c r="J976" s="4" t="str">
        <f ca="1">IF(OR(INDEX($X$2:$X$1001,MATCH(ROWS($W$2:W976),$W$2:$W$1001,0),1)&gt;=100000,INDEX($AD$1005:$AU$1005,1,MATCH(COLUMNS($AD$1006:AL1006),$AD$1006:$AU$1006,0))&gt;=100000), " ",IF(INDEX($AD$2:$AU$1001,MATCH(ROWS($W$2:W976),$W$2:$W$1001,0),MATCH(COLUMNS($AD$1006:AL1006),$AD$1006:$AU$1006,0)), HYPERLINK("#",""), HYPERLINK(CONCATENATE("#metadata!", ADDRESS(INDEX($Y$2:$Y$1001,MATCH(ROWS($W$2:W976),$W$2:$W$1001,0),0), INDEX($AD$1004:$AU$1004,1,MATCH(COLUMNS($AD$1006:AL1006),$AD$1006:$AU$1006,0)))),"Fix")))</f>
        <v xml:space="preserve"> </v>
      </c>
      <c r="K976" s="4" t="str">
        <f ca="1">IF(OR(INDEX($X$2:$X$1001,MATCH(ROWS($W$2:W976),$W$2:$W$1001,0),1)&gt;=100000,INDEX($AD$1005:$AU$1005,1,MATCH(COLUMNS($AD$1006:AM1006),$AD$1006:$AU$1006,0))&gt;=100000), " ",IF(INDEX($AD$2:$AU$1001,MATCH(ROWS($W$2:W976),$W$2:$W$1001,0),MATCH(COLUMNS($AD$1006:AM1006),$AD$1006:$AU$1006,0)), HYPERLINK("#",""), HYPERLINK(CONCATENATE("#metadata!", ADDRESS(INDEX($Y$2:$Y$1001,MATCH(ROWS($W$2:W976),$W$2:$W$1001,0),0), INDEX($AD$1004:$AU$1004,1,MATCH(COLUMNS($AD$1006:AM1006),$AD$1006:$AU$1006,0)))),"Fix")))</f>
        <v xml:space="preserve"> </v>
      </c>
      <c r="L976" s="4" t="str">
        <f ca="1">IF(OR(INDEX($X$2:$X$1001,MATCH(ROWS($W$2:W976),$W$2:$W$1001,0),1)&gt;=100000,INDEX($AD$1005:$AU$1005,1,MATCH(COLUMNS($AD$1006:AN1006),$AD$1006:$AU$1006,0))&gt;=100000), " ",IF(INDEX($AD$2:$AU$1001,MATCH(ROWS($W$2:W976),$W$2:$W$1001,0),MATCH(COLUMNS($AD$1006:AN1006),$AD$1006:$AU$1006,0)), HYPERLINK("#",""), HYPERLINK(CONCATENATE("#metadata!", ADDRESS(INDEX($Y$2:$Y$1001,MATCH(ROWS($W$2:W976),$W$2:$W$1001,0),0), INDEX($AD$1004:$AU$1004,1,MATCH(COLUMNS($AD$1006:AN1006),$AD$1006:$AU$1006,0)))),"Fix")))</f>
        <v xml:space="preserve"> </v>
      </c>
      <c r="M976" s="4" t="str">
        <f ca="1">IF(OR(INDEX($X$2:$X$1001,MATCH(ROWS($W$2:W976),$W$2:$W$1001,0),1)&gt;=100000,INDEX($AD$1005:$AU$1005,1,MATCH(COLUMNS($AD$1006:AO1006),$AD$1006:$AU$1006,0))&gt;=100000), " ",IF(INDEX($AD$2:$AU$1001,MATCH(ROWS($W$2:W976),$W$2:$W$1001,0),MATCH(COLUMNS($AD$1006:AO1006),$AD$1006:$AU$1006,0)), HYPERLINK("#",""), HYPERLINK(CONCATENATE("#metadata!", ADDRESS(INDEX($Y$2:$Y$1001,MATCH(ROWS($W$2:W976),$W$2:$W$1001,0),0), INDEX($AD$1004:$AU$1004,1,MATCH(COLUMNS($AD$1006:AO1006),$AD$1006:$AU$1006,0)))),"Fix")))</f>
        <v xml:space="preserve"> </v>
      </c>
      <c r="N976" s="4" t="str">
        <f ca="1">IF(OR(INDEX($X$2:$X$1001,MATCH(ROWS($W$2:W976),$W$2:$W$1001,0),1)&gt;=100000,INDEX($AD$1005:$AU$1005,1,MATCH(COLUMNS($AD$1006:AP1006),$AD$1006:$AU$1006,0))&gt;=100000), " ",IF(INDEX($AD$2:$AU$1001,MATCH(ROWS($W$2:W976),$W$2:$W$1001,0),MATCH(COLUMNS($AD$1006:AP1006),$AD$1006:$AU$1006,0)), HYPERLINK("#",""), HYPERLINK(CONCATENATE("#metadata!", ADDRESS(INDEX($Y$2:$Y$1001,MATCH(ROWS($W$2:W976),$W$2:$W$1001,0),0), INDEX($AD$1004:$AU$1004,1,MATCH(COLUMNS($AD$1006:AP1006),$AD$1006:$AU$1006,0)))),"Fix")))</f>
        <v xml:space="preserve"> </v>
      </c>
      <c r="O976" s="4" t="str">
        <f ca="1">IF(OR(INDEX($X$2:$X$1001,MATCH(ROWS($W$2:W976),$W$2:$W$1001,0),1)&gt;=100000,INDEX($AD$1005:$AU$1005,1,MATCH(COLUMNS($AD$1006:AQ1006),$AD$1006:$AU$1006,0))&gt;=100000), " ",IF(INDEX($AD$2:$AU$1001,MATCH(ROWS($W$2:W976),$W$2:$W$1001,0),MATCH(COLUMNS($AD$1006:AQ1006),$AD$1006:$AU$1006,0)), HYPERLINK("#",""), HYPERLINK(CONCATENATE("#metadata!", ADDRESS(INDEX($Y$2:$Y$1001,MATCH(ROWS($W$2:W976),$W$2:$W$1001,0),0), INDEX($AD$1004:$AU$1004,1,MATCH(COLUMNS($AD$1006:AQ1006),$AD$1006:$AU$1006,0)))),"Fix")))</f>
        <v xml:space="preserve"> </v>
      </c>
      <c r="P976" s="4" t="str">
        <f ca="1">IF(OR(INDEX($X$2:$X$1001,MATCH(ROWS($W$2:W976),$W$2:$W$1001,0),1)&gt;=100000,INDEX($AD$1005:$AU$1005,1,MATCH(COLUMNS($AD$1006:AR1006),$AD$1006:$AU$1006,0))&gt;=100000), " ",IF(INDEX($AD$2:$AU$1001,MATCH(ROWS($W$2:W976),$W$2:$W$1001,0),MATCH(COLUMNS($AD$1006:AR1006),$AD$1006:$AU$1006,0)), HYPERLINK("#",""), HYPERLINK(CONCATENATE("#metadata!", ADDRESS(INDEX($Y$2:$Y$1001,MATCH(ROWS($W$2:W976),$W$2:$W$1001,0),0), INDEX($AD$1004:$AU$1004,1,MATCH(COLUMNS($AD$1006:AR1006),$AD$1006:$AU$1006,0)))),"Fix")))</f>
        <v xml:space="preserve"> </v>
      </c>
      <c r="Q976" s="4" t="str">
        <f ca="1">IF(OR(INDEX($X$2:$X$1001,MATCH(ROWS($W$2:W976),$W$2:$W$1001,0),1)&gt;=100000,INDEX($AD$1005:$AU$1005,1,MATCH(COLUMNS($AD$1006:AS1006),$AD$1006:$AU$1006,0))&gt;=100000), " ",IF(INDEX($AD$2:$AU$1001,MATCH(ROWS($W$2:W976),$W$2:$W$1001,0),MATCH(COLUMNS($AD$1006:AS1006),$AD$1006:$AU$1006,0)), HYPERLINK("#",""), HYPERLINK(CONCATENATE("#metadata!", ADDRESS(INDEX($Y$2:$Y$1001,MATCH(ROWS($W$2:W976),$W$2:$W$1001,0),0), INDEX($AD$1004:$AU$1004,1,MATCH(COLUMNS($AD$1006:AS1006),$AD$1006:$AU$1006,0)))),"Fix")))</f>
        <v xml:space="preserve"> </v>
      </c>
      <c r="R976" s="4" t="str">
        <f ca="1">IF(OR(INDEX($X$2:$X$1001,MATCH(ROWS($W$2:W976),$W$2:$W$1001,0),1)&gt;=100000,INDEX($AD$1005:$AU$1005,1,MATCH(COLUMNS($AD$1006:AT1006),$AD$1006:$AU$1006,0))&gt;=100000), " ",IF(INDEX($AD$2:$AU$1001,MATCH(ROWS($W$2:W976),$W$2:$W$1001,0),MATCH(COLUMNS($AD$1006:AT1006),$AD$1006:$AU$1006,0)), HYPERLINK("#",""), HYPERLINK(CONCATENATE("#metadata!", ADDRESS(INDEX($Y$2:$Y$1001,MATCH(ROWS($W$2:W976),$W$2:$W$1001,0),0), INDEX($AD$1004:$AU$1004,1,MATCH(COLUMNS($AD$1006:AT1006),$AD$1006:$AU$1006,0)))),"Fix")))</f>
        <v xml:space="preserve"> </v>
      </c>
      <c r="S976" s="4" t="str">
        <f ca="1">IF(OR(INDEX($X$2:$X$1001,MATCH(ROWS($W$2:W976),$W$2:$W$1001,0),1)&gt;=100000,INDEX($AD$1005:$AU$1005,1,MATCH(COLUMNS($AD$1006:AU1006),$AD$1006:$AU$1006,0))&gt;=100000), " ",IF(INDEX($AD$2:$AU$1001,MATCH(ROWS($W$2:W976),$W$2:$W$1001,0),MATCH(COLUMNS($AD$1006:AU1006),$AD$1006:$AU$1006,0)), HYPERLINK("#",""), HYPERLINK(CONCATENATE("#metadata!", ADDRESS(INDEX($Y$2:$Y$1001,MATCH(ROWS($W$2:W976),$W$2:$W$1001,0),0), INDEX($AD$1004:$AU$1004,1,MATCH(COLUMNS($AD$1006:AU1006),$AD$1006:$AU$1006,0)))),"Fix")))</f>
        <v xml:space="preserve"> </v>
      </c>
      <c r="W976">
        <v>975</v>
      </c>
      <c r="X976">
        <v>100976</v>
      </c>
      <c r="Y976">
        <v>976</v>
      </c>
      <c r="Z976" t="b">
        <f t="shared" si="15"/>
        <v>1</v>
      </c>
      <c r="AA976" t="b">
        <f>COUNTBLANK(metadata!B976:S976)=COLUMNS(metadata!B976:S976)</f>
        <v>1</v>
      </c>
      <c r="AB976" t="str">
        <v/>
      </c>
      <c r="AD976" t="b">
        <f ca="1">AND(IF(metadata!B976="",FALSE,TRUE),COUNTIF(metadata!B:B, metadata!B976) = 1,NOT(ISERROR(SUMPRODUCT(SEARCH(MID(metadata!B976,ROW(INDIRECT("1:"&amp;LEN(metadata!B976))), 1),"0123456789abcdefghijklmnopqrstuvwxyzABCDEFGHIJKLMNOPQRSTUVWXYZ.")))))</f>
        <v>0</v>
      </c>
      <c r="AE976" t="b">
        <f>OR(AND(IF(metadata!C976="",FALSE,TRUE),OR(EXACT(metadata!C976,"not applicable"),EXACT(metadata!C976,"missing: not collected"),EXACT(metadata!C976,"missing: not provided"),EXACT(metadata!C976,"missing: restricted access"))),AND(IF(metadata!C976="",FALSE,ISNUMBER(VALUE(metadata!C976))),metadata!C976&gt;0))</f>
        <v>0</v>
      </c>
      <c r="AF976" t="b">
        <f>AND(IF(metadata!D976="",FALSE,TRUE),EXACT(metadata!D976,"missing: not provided"))</f>
        <v>0</v>
      </c>
      <c r="AG976" t="b">
        <f>AND(IF(metadata!E976="",FALSE,TRUE),EXACT(metadata!E976,"Host-associated"))</f>
        <v>0</v>
      </c>
      <c r="AH976" t="b">
        <f>AND(IF(metadata!F976="",FALSE,TRUE),OR(EXACT(metadata!F976,"Animal"),EXACT(metadata!F976,"Fungus"),EXACT(metadata!F976,"Plant")))</f>
        <v>0</v>
      </c>
      <c r="AI976" t="b">
        <f>AND(IF(metadata!G976="",FALSE,TRUE),OR(EXACT(metadata!G976,"Plant secretion"),EXACT(metadata!G976,"Plant rhizosphere"),EXACT(metadata!G976,"Plant surface"),EXACT(metadata!G976,"Plant corpus"),EXACT(metadata!G976,"Fungus surface"),EXACT(metadata!G976,"Fungus corpus"),EXACT(metadata!G976,"Animal surface"),EXACT(metadata!G976,"Animal proximal gut"),EXACT(metadata!G976,"Animal corpus"),EXACT(metadata!G976,"Animal distal gut"),EXACT(metadata!G976,"Animal secretion")))</f>
        <v>0</v>
      </c>
      <c r="AJ976" t="b">
        <f>OR(AND(IF(metadata!H976="",FALSE,TRUE),OR(EXACT(metadata!H976,"missing: not collected"),EXACT(metadata!H976,"missing: not provided"),EXACT(metadata!H976,"missing: restricted access"))),AND(IF(metadata!H976="",FALSE,TRUE),OR(EXACT(metadata!H976,"organism-associated habitat"),EXACT(metadata!H976,"plant-associated habitat"),EXACT(metadata!H976,"animal-associated habitat"),EXACT(metadata!H976,"insecta-associated habitat"),EXACT(metadata!H976,"mammalia-associated habitat"),EXACT(metadata!H976,"human-associated habitat"),EXACT(metadata!H976,"livestock-associated habitat"))))</f>
        <v>0</v>
      </c>
      <c r="AK976" t="b">
        <f>AND(IF(metadata!I976="",FALSE,TRUE),EXACT(metadata!I976,"host-associated"))</f>
        <v>0</v>
      </c>
      <c r="AL976" t="b">
        <f>OR(AND(IF(metadata!J976="",FALSE,TRUE),OR(EXACT(metadata!J976,"not applicable"),EXACT(metadata!J976,"missing: not collected"),EXACT(metadata!J976,"missing: not provided"),EXACT(metadata!J976,"missing: restricted access"))),AND(IF(metadata!J976="",FALSE,ISNUMBER(VALUE(metadata!J976))),metadata!J976&gt;0))</f>
        <v>0</v>
      </c>
      <c r="AM976" t="b">
        <f>AND(IF(metadata!K976="",FALSE,TRUE),EXACT(metadata!K976,"missing: not provided"))</f>
        <v>0</v>
      </c>
      <c r="AN976" t="b">
        <f>IF(metadata!L976="",FALSE,TRUE)</f>
        <v>0</v>
      </c>
      <c r="AO976" t="b">
        <f>IF(metadata!M976="",FALSE,TRUE)</f>
        <v>0</v>
      </c>
      <c r="AP976" t="b">
        <f>OR(AND(IF(metadata!N976="",FALSE,TRUE),OR(EXACT(metadata!N976,"not applicable"),EXACT(metadata!N976,"missing: not collected"),EXACT(metadata!N976,"missing: not provided"))),AND(IF(metadata!N976="",FALSE,IF(ISERROR(INT(metadata!N976)),FALSE,INT(metadata!N976)=metadata!N976)),metadata!N976&gt;0))</f>
        <v>0</v>
      </c>
      <c r="AQ976" t="b">
        <f>AND(IF(metadata!O976="",FALSE,TRUE),EXACT(metadata!O976,"Not applicable"))</f>
        <v>0</v>
      </c>
      <c r="AR976" t="b">
        <f>OR(AND(IF(metadata!P976="",FALSE,TRUE),OR(EXACT(metadata!P976,"not applicable"),EXACT(metadata!P976,"missing: not collected"),EXACT(metadata!P976,"missing: not provided"),EXACT(metadata!P976,"missing: restricted access"))),IF(metadata!P976="",FALSE,IF(ISERROR(INT(metadata!P976)),FALSE,INT(metadata!P976)=metadata!P976)))</f>
        <v>0</v>
      </c>
      <c r="AS976" t="b">
        <f>AND(IF(metadata!Q976="",FALSE,TRUE),EXACT(metadata!Q976,"Not applicable"))</f>
        <v>0</v>
      </c>
      <c r="AT976" t="b">
        <f>OR(AND(IF(metadata!R976="",FALSE,TRUE),OR(EXACT(metadata!R976,"not applicable"),EXACT(metadata!R976,"missing: not collected"),EXACT(metadata!R976,"missing: not provided"),EXACT(metadata!R976,"missing: restricted access"))),AND(IF(metadata!R976="",FALSE,ISNUMBER(VALUE(metadata!R976))),metadata!R976&gt;0))</f>
        <v>0</v>
      </c>
      <c r="AU976" t="b">
        <f>AND(IF(metadata!S976="",FALSE,TRUE),EXACT(metadata!S976,"missing: not provided"))</f>
        <v>0</v>
      </c>
    </row>
    <row r="977" spans="1:47" x14ac:dyDescent="0.2">
      <c r="A977" s="5" t="str">
        <f ca="1">IF(B977=" "," ",HYPERLINK(CONCATENATE("#metadata!",ADDRESS(INDEX($Y$2:$Y$1001,MATCH(ROWS($W$2:W977),$W$2:$W$1001,0),0),1)),INDEX($AB$2:$AB$1001,MATCH(ROWS($W$2:W977),$W$2:$W$1001,0),0)))</f>
        <v xml:space="preserve"> </v>
      </c>
      <c r="B977" s="4" t="str">
        <f ca="1">IF(OR(INDEX($X$2:$X$1001,MATCH(ROWS($W$2:W977),$W$2:$W$1001,0),1)&gt;=100000,INDEX($AD$1005:$AU$1005,1,MATCH(COLUMNS($AD$1006:AD1006),$AD$1006:$AU$1006,0))&gt;=100000), " ",IF(INDEX($AD$2:$AU$1001,MATCH(ROWS($W$2:W977),$W$2:$W$1001,0),MATCH(COLUMNS($AD$1006:AD1006),$AD$1006:$AU$1006,0)), HYPERLINK("#",""), HYPERLINK(CONCATENATE("#metadata!", ADDRESS(INDEX($Y$2:$Y$1001,MATCH(ROWS($W$2:W977),$W$2:$W$1001,0),0), INDEX($AD$1004:$AU$1004,1,MATCH(COLUMNS($AD$1006:AD1006),$AD$1006:$AU$1006,0)))),"Fix")))</f>
        <v xml:space="preserve"> </v>
      </c>
      <c r="C977" s="4" t="str">
        <f ca="1">IF(OR(INDEX($X$2:$X$1001,MATCH(ROWS($W$2:W977),$W$2:$W$1001,0),1)&gt;=100000,INDEX($AD$1005:$AU$1005,1,MATCH(COLUMNS($AD$1006:AE1006),$AD$1006:$AU$1006,0))&gt;=100000), " ",IF(INDEX($AD$2:$AU$1001,MATCH(ROWS($W$2:W977),$W$2:$W$1001,0),MATCH(COLUMNS($AD$1006:AE1006),$AD$1006:$AU$1006,0)), HYPERLINK("#",""), HYPERLINK(CONCATENATE("#metadata!", ADDRESS(INDEX($Y$2:$Y$1001,MATCH(ROWS($W$2:W977),$W$2:$W$1001,0),0), INDEX($AD$1004:$AU$1004,1,MATCH(COLUMNS($AD$1006:AE1006),$AD$1006:$AU$1006,0)))),"Fix")))</f>
        <v xml:space="preserve"> </v>
      </c>
      <c r="D977" s="4" t="str">
        <f ca="1">IF(OR(INDEX($X$2:$X$1001,MATCH(ROWS($W$2:W977),$W$2:$W$1001,0),1)&gt;=100000,INDEX($AD$1005:$AU$1005,1,MATCH(COLUMNS($AD$1006:AF1006),$AD$1006:$AU$1006,0))&gt;=100000), " ",IF(INDEX($AD$2:$AU$1001,MATCH(ROWS($W$2:W977),$W$2:$W$1001,0),MATCH(COLUMNS($AD$1006:AF1006),$AD$1006:$AU$1006,0)), HYPERLINK("#",""), HYPERLINK(CONCATENATE("#metadata!", ADDRESS(INDEX($Y$2:$Y$1001,MATCH(ROWS($W$2:W977),$W$2:$W$1001,0),0), INDEX($AD$1004:$AU$1004,1,MATCH(COLUMNS($AD$1006:AF1006),$AD$1006:$AU$1006,0)))),"Fix")))</f>
        <v xml:space="preserve"> </v>
      </c>
      <c r="E977" s="4" t="str">
        <f ca="1">IF(OR(INDEX($X$2:$X$1001,MATCH(ROWS($W$2:W977),$W$2:$W$1001,0),1)&gt;=100000,INDEX($AD$1005:$AU$1005,1,MATCH(COLUMNS($AD$1006:AG1006),$AD$1006:$AU$1006,0))&gt;=100000), " ",IF(INDEX($AD$2:$AU$1001,MATCH(ROWS($W$2:W977),$W$2:$W$1001,0),MATCH(COLUMNS($AD$1006:AG1006),$AD$1006:$AU$1006,0)), HYPERLINK("#",""), HYPERLINK(CONCATENATE("#metadata!", ADDRESS(INDEX($Y$2:$Y$1001,MATCH(ROWS($W$2:W977),$W$2:$W$1001,0),0), INDEX($AD$1004:$AU$1004,1,MATCH(COLUMNS($AD$1006:AG1006),$AD$1006:$AU$1006,0)))),"Fix")))</f>
        <v xml:space="preserve"> </v>
      </c>
      <c r="F977" s="4" t="str">
        <f ca="1">IF(OR(INDEX($X$2:$X$1001,MATCH(ROWS($W$2:W977),$W$2:$W$1001,0),1)&gt;=100000,INDEX($AD$1005:$AU$1005,1,MATCH(COLUMNS($AD$1006:AH1006),$AD$1006:$AU$1006,0))&gt;=100000), " ",IF(INDEX($AD$2:$AU$1001,MATCH(ROWS($W$2:W977),$W$2:$W$1001,0),MATCH(COLUMNS($AD$1006:AH1006),$AD$1006:$AU$1006,0)), HYPERLINK("#",""), HYPERLINK(CONCATENATE("#metadata!", ADDRESS(INDEX($Y$2:$Y$1001,MATCH(ROWS($W$2:W977),$W$2:$W$1001,0),0), INDEX($AD$1004:$AU$1004,1,MATCH(COLUMNS($AD$1006:AH1006),$AD$1006:$AU$1006,0)))),"Fix")))</f>
        <v xml:space="preserve"> </v>
      </c>
      <c r="G977" s="4" t="str">
        <f ca="1">IF(OR(INDEX($X$2:$X$1001,MATCH(ROWS($W$2:W977),$W$2:$W$1001,0),1)&gt;=100000,INDEX($AD$1005:$AU$1005,1,MATCH(COLUMNS($AD$1006:AI1006),$AD$1006:$AU$1006,0))&gt;=100000), " ",IF(INDEX($AD$2:$AU$1001,MATCH(ROWS($W$2:W977),$W$2:$W$1001,0),MATCH(COLUMNS($AD$1006:AI1006),$AD$1006:$AU$1006,0)), HYPERLINK("#",""), HYPERLINK(CONCATENATE("#metadata!", ADDRESS(INDEX($Y$2:$Y$1001,MATCH(ROWS($W$2:W977),$W$2:$W$1001,0),0), INDEX($AD$1004:$AU$1004,1,MATCH(COLUMNS($AD$1006:AI1006),$AD$1006:$AU$1006,0)))),"Fix")))</f>
        <v xml:space="preserve"> </v>
      </c>
      <c r="H977" s="4" t="str">
        <f ca="1">IF(OR(INDEX($X$2:$X$1001,MATCH(ROWS($W$2:W977),$W$2:$W$1001,0),1)&gt;=100000,INDEX($AD$1005:$AU$1005,1,MATCH(COLUMNS($AD$1006:AJ1006),$AD$1006:$AU$1006,0))&gt;=100000), " ",IF(INDEX($AD$2:$AU$1001,MATCH(ROWS($W$2:W977),$W$2:$W$1001,0),MATCH(COLUMNS($AD$1006:AJ1006),$AD$1006:$AU$1006,0)), HYPERLINK("#",""), HYPERLINK(CONCATENATE("#metadata!", ADDRESS(INDEX($Y$2:$Y$1001,MATCH(ROWS($W$2:W977),$W$2:$W$1001,0),0), INDEX($AD$1004:$AU$1004,1,MATCH(COLUMNS($AD$1006:AJ1006),$AD$1006:$AU$1006,0)))),"Fix")))</f>
        <v xml:space="preserve"> </v>
      </c>
      <c r="I977" s="4" t="str">
        <f ca="1">IF(OR(INDEX($X$2:$X$1001,MATCH(ROWS($W$2:W977),$W$2:$W$1001,0),1)&gt;=100000,INDEX($AD$1005:$AU$1005,1,MATCH(COLUMNS($AD$1006:AK1006),$AD$1006:$AU$1006,0))&gt;=100000), " ",IF(INDEX($AD$2:$AU$1001,MATCH(ROWS($W$2:W977),$W$2:$W$1001,0),MATCH(COLUMNS($AD$1006:AK1006),$AD$1006:$AU$1006,0)), HYPERLINK("#",""), HYPERLINK(CONCATENATE("#metadata!", ADDRESS(INDEX($Y$2:$Y$1001,MATCH(ROWS($W$2:W977),$W$2:$W$1001,0),0), INDEX($AD$1004:$AU$1004,1,MATCH(COLUMNS($AD$1006:AK1006),$AD$1006:$AU$1006,0)))),"Fix")))</f>
        <v xml:space="preserve"> </v>
      </c>
      <c r="J977" s="4" t="str">
        <f ca="1">IF(OR(INDEX($X$2:$X$1001,MATCH(ROWS($W$2:W977),$W$2:$W$1001,0),1)&gt;=100000,INDEX($AD$1005:$AU$1005,1,MATCH(COLUMNS($AD$1006:AL1006),$AD$1006:$AU$1006,0))&gt;=100000), " ",IF(INDEX($AD$2:$AU$1001,MATCH(ROWS($W$2:W977),$W$2:$W$1001,0),MATCH(COLUMNS($AD$1006:AL1006),$AD$1006:$AU$1006,0)), HYPERLINK("#",""), HYPERLINK(CONCATENATE("#metadata!", ADDRESS(INDEX($Y$2:$Y$1001,MATCH(ROWS($W$2:W977),$W$2:$W$1001,0),0), INDEX($AD$1004:$AU$1004,1,MATCH(COLUMNS($AD$1006:AL1006),$AD$1006:$AU$1006,0)))),"Fix")))</f>
        <v xml:space="preserve"> </v>
      </c>
      <c r="K977" s="4" t="str">
        <f ca="1">IF(OR(INDEX($X$2:$X$1001,MATCH(ROWS($W$2:W977),$W$2:$W$1001,0),1)&gt;=100000,INDEX($AD$1005:$AU$1005,1,MATCH(COLUMNS($AD$1006:AM1006),$AD$1006:$AU$1006,0))&gt;=100000), " ",IF(INDEX($AD$2:$AU$1001,MATCH(ROWS($W$2:W977),$W$2:$W$1001,0),MATCH(COLUMNS($AD$1006:AM1006),$AD$1006:$AU$1006,0)), HYPERLINK("#",""), HYPERLINK(CONCATENATE("#metadata!", ADDRESS(INDEX($Y$2:$Y$1001,MATCH(ROWS($W$2:W977),$W$2:$W$1001,0),0), INDEX($AD$1004:$AU$1004,1,MATCH(COLUMNS($AD$1006:AM1006),$AD$1006:$AU$1006,0)))),"Fix")))</f>
        <v xml:space="preserve"> </v>
      </c>
      <c r="L977" s="4" t="str">
        <f ca="1">IF(OR(INDEX($X$2:$X$1001,MATCH(ROWS($W$2:W977),$W$2:$W$1001,0),1)&gt;=100000,INDEX($AD$1005:$AU$1005,1,MATCH(COLUMNS($AD$1006:AN1006),$AD$1006:$AU$1006,0))&gt;=100000), " ",IF(INDEX($AD$2:$AU$1001,MATCH(ROWS($W$2:W977),$W$2:$W$1001,0),MATCH(COLUMNS($AD$1006:AN1006),$AD$1006:$AU$1006,0)), HYPERLINK("#",""), HYPERLINK(CONCATENATE("#metadata!", ADDRESS(INDEX($Y$2:$Y$1001,MATCH(ROWS($W$2:W977),$W$2:$W$1001,0),0), INDEX($AD$1004:$AU$1004,1,MATCH(COLUMNS($AD$1006:AN1006),$AD$1006:$AU$1006,0)))),"Fix")))</f>
        <v xml:space="preserve"> </v>
      </c>
      <c r="M977" s="4" t="str">
        <f ca="1">IF(OR(INDEX($X$2:$X$1001,MATCH(ROWS($W$2:W977),$W$2:$W$1001,0),1)&gt;=100000,INDEX($AD$1005:$AU$1005,1,MATCH(COLUMNS($AD$1006:AO1006),$AD$1006:$AU$1006,0))&gt;=100000), " ",IF(INDEX($AD$2:$AU$1001,MATCH(ROWS($W$2:W977),$W$2:$W$1001,0),MATCH(COLUMNS($AD$1006:AO1006),$AD$1006:$AU$1006,0)), HYPERLINK("#",""), HYPERLINK(CONCATENATE("#metadata!", ADDRESS(INDEX($Y$2:$Y$1001,MATCH(ROWS($W$2:W977),$W$2:$W$1001,0),0), INDEX($AD$1004:$AU$1004,1,MATCH(COLUMNS($AD$1006:AO1006),$AD$1006:$AU$1006,0)))),"Fix")))</f>
        <v xml:space="preserve"> </v>
      </c>
      <c r="N977" s="4" t="str">
        <f ca="1">IF(OR(INDEX($X$2:$X$1001,MATCH(ROWS($W$2:W977),$W$2:$W$1001,0),1)&gt;=100000,INDEX($AD$1005:$AU$1005,1,MATCH(COLUMNS($AD$1006:AP1006),$AD$1006:$AU$1006,0))&gt;=100000), " ",IF(INDEX($AD$2:$AU$1001,MATCH(ROWS($W$2:W977),$W$2:$W$1001,0),MATCH(COLUMNS($AD$1006:AP1006),$AD$1006:$AU$1006,0)), HYPERLINK("#",""), HYPERLINK(CONCATENATE("#metadata!", ADDRESS(INDEX($Y$2:$Y$1001,MATCH(ROWS($W$2:W977),$W$2:$W$1001,0),0), INDEX($AD$1004:$AU$1004,1,MATCH(COLUMNS($AD$1006:AP1006),$AD$1006:$AU$1006,0)))),"Fix")))</f>
        <v xml:space="preserve"> </v>
      </c>
      <c r="O977" s="4" t="str">
        <f ca="1">IF(OR(INDEX($X$2:$X$1001,MATCH(ROWS($W$2:W977),$W$2:$W$1001,0),1)&gt;=100000,INDEX($AD$1005:$AU$1005,1,MATCH(COLUMNS($AD$1006:AQ1006),$AD$1006:$AU$1006,0))&gt;=100000), " ",IF(INDEX($AD$2:$AU$1001,MATCH(ROWS($W$2:W977),$W$2:$W$1001,0),MATCH(COLUMNS($AD$1006:AQ1006),$AD$1006:$AU$1006,0)), HYPERLINK("#",""), HYPERLINK(CONCATENATE("#metadata!", ADDRESS(INDEX($Y$2:$Y$1001,MATCH(ROWS($W$2:W977),$W$2:$W$1001,0),0), INDEX($AD$1004:$AU$1004,1,MATCH(COLUMNS($AD$1006:AQ1006),$AD$1006:$AU$1006,0)))),"Fix")))</f>
        <v xml:space="preserve"> </v>
      </c>
      <c r="P977" s="4" t="str">
        <f ca="1">IF(OR(INDEX($X$2:$X$1001,MATCH(ROWS($W$2:W977),$W$2:$W$1001,0),1)&gt;=100000,INDEX($AD$1005:$AU$1005,1,MATCH(COLUMNS($AD$1006:AR1006),$AD$1006:$AU$1006,0))&gt;=100000), " ",IF(INDEX($AD$2:$AU$1001,MATCH(ROWS($W$2:W977),$W$2:$W$1001,0),MATCH(COLUMNS($AD$1006:AR1006),$AD$1006:$AU$1006,0)), HYPERLINK("#",""), HYPERLINK(CONCATENATE("#metadata!", ADDRESS(INDEX($Y$2:$Y$1001,MATCH(ROWS($W$2:W977),$W$2:$W$1001,0),0), INDEX($AD$1004:$AU$1004,1,MATCH(COLUMNS($AD$1006:AR1006),$AD$1006:$AU$1006,0)))),"Fix")))</f>
        <v xml:space="preserve"> </v>
      </c>
      <c r="Q977" s="4" t="str">
        <f ca="1">IF(OR(INDEX($X$2:$X$1001,MATCH(ROWS($W$2:W977),$W$2:$W$1001,0),1)&gt;=100000,INDEX($AD$1005:$AU$1005,1,MATCH(COLUMNS($AD$1006:AS1006),$AD$1006:$AU$1006,0))&gt;=100000), " ",IF(INDEX($AD$2:$AU$1001,MATCH(ROWS($W$2:W977),$W$2:$W$1001,0),MATCH(COLUMNS($AD$1006:AS1006),$AD$1006:$AU$1006,0)), HYPERLINK("#",""), HYPERLINK(CONCATENATE("#metadata!", ADDRESS(INDEX($Y$2:$Y$1001,MATCH(ROWS($W$2:W977),$W$2:$W$1001,0),0), INDEX($AD$1004:$AU$1004,1,MATCH(COLUMNS($AD$1006:AS1006),$AD$1006:$AU$1006,0)))),"Fix")))</f>
        <v xml:space="preserve"> </v>
      </c>
      <c r="R977" s="4" t="str">
        <f ca="1">IF(OR(INDEX($X$2:$X$1001,MATCH(ROWS($W$2:W977),$W$2:$W$1001,0),1)&gt;=100000,INDEX($AD$1005:$AU$1005,1,MATCH(COLUMNS($AD$1006:AT1006),$AD$1006:$AU$1006,0))&gt;=100000), " ",IF(INDEX($AD$2:$AU$1001,MATCH(ROWS($W$2:W977),$W$2:$W$1001,0),MATCH(COLUMNS($AD$1006:AT1006),$AD$1006:$AU$1006,0)), HYPERLINK("#",""), HYPERLINK(CONCATENATE("#metadata!", ADDRESS(INDEX($Y$2:$Y$1001,MATCH(ROWS($W$2:W977),$W$2:$W$1001,0),0), INDEX($AD$1004:$AU$1004,1,MATCH(COLUMNS($AD$1006:AT1006),$AD$1006:$AU$1006,0)))),"Fix")))</f>
        <v xml:space="preserve"> </v>
      </c>
      <c r="S977" s="4" t="str">
        <f ca="1">IF(OR(INDEX($X$2:$X$1001,MATCH(ROWS($W$2:W977),$W$2:$W$1001,0),1)&gt;=100000,INDEX($AD$1005:$AU$1005,1,MATCH(COLUMNS($AD$1006:AU1006),$AD$1006:$AU$1006,0))&gt;=100000), " ",IF(INDEX($AD$2:$AU$1001,MATCH(ROWS($W$2:W977),$W$2:$W$1001,0),MATCH(COLUMNS($AD$1006:AU1006),$AD$1006:$AU$1006,0)), HYPERLINK("#",""), HYPERLINK(CONCATENATE("#metadata!", ADDRESS(INDEX($Y$2:$Y$1001,MATCH(ROWS($W$2:W977),$W$2:$W$1001,0),0), INDEX($AD$1004:$AU$1004,1,MATCH(COLUMNS($AD$1006:AU1006),$AD$1006:$AU$1006,0)))),"Fix")))</f>
        <v xml:space="preserve"> </v>
      </c>
      <c r="W977">
        <v>976</v>
      </c>
      <c r="X977">
        <v>100977</v>
      </c>
      <c r="Y977">
        <v>977</v>
      </c>
      <c r="Z977" t="b">
        <f t="shared" si="15"/>
        <v>1</v>
      </c>
      <c r="AA977" t="b">
        <f>COUNTBLANK(metadata!B977:S977)=COLUMNS(metadata!B977:S977)</f>
        <v>1</v>
      </c>
      <c r="AB977" t="str">
        <v/>
      </c>
      <c r="AD977" t="b">
        <f ca="1">AND(IF(metadata!B977="",FALSE,TRUE),COUNTIF(metadata!B:B, metadata!B977) = 1,NOT(ISERROR(SUMPRODUCT(SEARCH(MID(metadata!B977,ROW(INDIRECT("1:"&amp;LEN(metadata!B977))), 1),"0123456789abcdefghijklmnopqrstuvwxyzABCDEFGHIJKLMNOPQRSTUVWXYZ.")))))</f>
        <v>0</v>
      </c>
      <c r="AE977" t="b">
        <f>OR(AND(IF(metadata!C977="",FALSE,TRUE),OR(EXACT(metadata!C977,"not applicable"),EXACT(metadata!C977,"missing: not collected"),EXACT(metadata!C977,"missing: not provided"),EXACT(metadata!C977,"missing: restricted access"))),AND(IF(metadata!C977="",FALSE,ISNUMBER(VALUE(metadata!C977))),metadata!C977&gt;0))</f>
        <v>0</v>
      </c>
      <c r="AF977" t="b">
        <f>AND(IF(metadata!D977="",FALSE,TRUE),EXACT(metadata!D977,"missing: not provided"))</f>
        <v>0</v>
      </c>
      <c r="AG977" t="b">
        <f>AND(IF(metadata!E977="",FALSE,TRUE),EXACT(metadata!E977,"Host-associated"))</f>
        <v>0</v>
      </c>
      <c r="AH977" t="b">
        <f>AND(IF(metadata!F977="",FALSE,TRUE),OR(EXACT(metadata!F977,"Animal"),EXACT(metadata!F977,"Fungus"),EXACT(metadata!F977,"Plant")))</f>
        <v>0</v>
      </c>
      <c r="AI977" t="b">
        <f>AND(IF(metadata!G977="",FALSE,TRUE),OR(EXACT(metadata!G977,"Plant secretion"),EXACT(metadata!G977,"Plant rhizosphere"),EXACT(metadata!G977,"Plant surface"),EXACT(metadata!G977,"Plant corpus"),EXACT(metadata!G977,"Fungus surface"),EXACT(metadata!G977,"Fungus corpus"),EXACT(metadata!G977,"Animal surface"),EXACT(metadata!G977,"Animal proximal gut"),EXACT(metadata!G977,"Animal corpus"),EXACT(metadata!G977,"Animal distal gut"),EXACT(metadata!G977,"Animal secretion")))</f>
        <v>0</v>
      </c>
      <c r="AJ977" t="b">
        <f>OR(AND(IF(metadata!H977="",FALSE,TRUE),OR(EXACT(metadata!H977,"missing: not collected"),EXACT(metadata!H977,"missing: not provided"),EXACT(metadata!H977,"missing: restricted access"))),AND(IF(metadata!H977="",FALSE,TRUE),OR(EXACT(metadata!H977,"organism-associated habitat"),EXACT(metadata!H977,"plant-associated habitat"),EXACT(metadata!H977,"animal-associated habitat"),EXACT(metadata!H977,"insecta-associated habitat"),EXACT(metadata!H977,"mammalia-associated habitat"),EXACT(metadata!H977,"human-associated habitat"),EXACT(metadata!H977,"livestock-associated habitat"))))</f>
        <v>0</v>
      </c>
      <c r="AK977" t="b">
        <f>AND(IF(metadata!I977="",FALSE,TRUE),EXACT(metadata!I977,"host-associated"))</f>
        <v>0</v>
      </c>
      <c r="AL977" t="b">
        <f>OR(AND(IF(metadata!J977="",FALSE,TRUE),OR(EXACT(metadata!J977,"not applicable"),EXACT(metadata!J977,"missing: not collected"),EXACT(metadata!J977,"missing: not provided"),EXACT(metadata!J977,"missing: restricted access"))),AND(IF(metadata!J977="",FALSE,ISNUMBER(VALUE(metadata!J977))),metadata!J977&gt;0))</f>
        <v>0</v>
      </c>
      <c r="AM977" t="b">
        <f>AND(IF(metadata!K977="",FALSE,TRUE),EXACT(metadata!K977,"missing: not provided"))</f>
        <v>0</v>
      </c>
      <c r="AN977" t="b">
        <f>IF(metadata!L977="",FALSE,TRUE)</f>
        <v>0</v>
      </c>
      <c r="AO977" t="b">
        <f>IF(metadata!M977="",FALSE,TRUE)</f>
        <v>0</v>
      </c>
      <c r="AP977" t="b">
        <f>OR(AND(IF(metadata!N977="",FALSE,TRUE),OR(EXACT(metadata!N977,"not applicable"),EXACT(metadata!N977,"missing: not collected"),EXACT(metadata!N977,"missing: not provided"))),AND(IF(metadata!N977="",FALSE,IF(ISERROR(INT(metadata!N977)),FALSE,INT(metadata!N977)=metadata!N977)),metadata!N977&gt;0))</f>
        <v>0</v>
      </c>
      <c r="AQ977" t="b">
        <f>AND(IF(metadata!O977="",FALSE,TRUE),EXACT(metadata!O977,"Not applicable"))</f>
        <v>0</v>
      </c>
      <c r="AR977" t="b">
        <f>OR(AND(IF(metadata!P977="",FALSE,TRUE),OR(EXACT(metadata!P977,"not applicable"),EXACT(metadata!P977,"missing: not collected"),EXACT(metadata!P977,"missing: not provided"),EXACT(metadata!P977,"missing: restricted access"))),IF(metadata!P977="",FALSE,IF(ISERROR(INT(metadata!P977)),FALSE,INT(metadata!P977)=metadata!P977)))</f>
        <v>0</v>
      </c>
      <c r="AS977" t="b">
        <f>AND(IF(metadata!Q977="",FALSE,TRUE),EXACT(metadata!Q977,"Not applicable"))</f>
        <v>0</v>
      </c>
      <c r="AT977" t="b">
        <f>OR(AND(IF(metadata!R977="",FALSE,TRUE),OR(EXACT(metadata!R977,"not applicable"),EXACT(metadata!R977,"missing: not collected"),EXACT(metadata!R977,"missing: not provided"),EXACT(metadata!R977,"missing: restricted access"))),AND(IF(metadata!R977="",FALSE,ISNUMBER(VALUE(metadata!R977))),metadata!R977&gt;0))</f>
        <v>0</v>
      </c>
      <c r="AU977" t="b">
        <f>AND(IF(metadata!S977="",FALSE,TRUE),EXACT(metadata!S977,"missing: not provided"))</f>
        <v>0</v>
      </c>
    </row>
    <row r="978" spans="1:47" x14ac:dyDescent="0.2">
      <c r="A978" s="5" t="str">
        <f ca="1">IF(B978=" "," ",HYPERLINK(CONCATENATE("#metadata!",ADDRESS(INDEX($Y$2:$Y$1001,MATCH(ROWS($W$2:W978),$W$2:$W$1001,0),0),1)),INDEX($AB$2:$AB$1001,MATCH(ROWS($W$2:W978),$W$2:$W$1001,0),0)))</f>
        <v xml:space="preserve"> </v>
      </c>
      <c r="B978" s="4" t="str">
        <f ca="1">IF(OR(INDEX($X$2:$X$1001,MATCH(ROWS($W$2:W978),$W$2:$W$1001,0),1)&gt;=100000,INDEX($AD$1005:$AU$1005,1,MATCH(COLUMNS($AD$1006:AD1006),$AD$1006:$AU$1006,0))&gt;=100000), " ",IF(INDEX($AD$2:$AU$1001,MATCH(ROWS($W$2:W978),$W$2:$W$1001,0),MATCH(COLUMNS($AD$1006:AD1006),$AD$1006:$AU$1006,0)), HYPERLINK("#",""), HYPERLINK(CONCATENATE("#metadata!", ADDRESS(INDEX($Y$2:$Y$1001,MATCH(ROWS($W$2:W978),$W$2:$W$1001,0),0), INDEX($AD$1004:$AU$1004,1,MATCH(COLUMNS($AD$1006:AD1006),$AD$1006:$AU$1006,0)))),"Fix")))</f>
        <v xml:space="preserve"> </v>
      </c>
      <c r="C978" s="4" t="str">
        <f ca="1">IF(OR(INDEX($X$2:$X$1001,MATCH(ROWS($W$2:W978),$W$2:$W$1001,0),1)&gt;=100000,INDEX($AD$1005:$AU$1005,1,MATCH(COLUMNS($AD$1006:AE1006),$AD$1006:$AU$1006,0))&gt;=100000), " ",IF(INDEX($AD$2:$AU$1001,MATCH(ROWS($W$2:W978),$W$2:$W$1001,0),MATCH(COLUMNS($AD$1006:AE1006),$AD$1006:$AU$1006,0)), HYPERLINK("#",""), HYPERLINK(CONCATENATE("#metadata!", ADDRESS(INDEX($Y$2:$Y$1001,MATCH(ROWS($W$2:W978),$W$2:$W$1001,0),0), INDEX($AD$1004:$AU$1004,1,MATCH(COLUMNS($AD$1006:AE1006),$AD$1006:$AU$1006,0)))),"Fix")))</f>
        <v xml:space="preserve"> </v>
      </c>
      <c r="D978" s="4" t="str">
        <f ca="1">IF(OR(INDEX($X$2:$X$1001,MATCH(ROWS($W$2:W978),$W$2:$W$1001,0),1)&gt;=100000,INDEX($AD$1005:$AU$1005,1,MATCH(COLUMNS($AD$1006:AF1006),$AD$1006:$AU$1006,0))&gt;=100000), " ",IF(INDEX($AD$2:$AU$1001,MATCH(ROWS($W$2:W978),$W$2:$W$1001,0),MATCH(COLUMNS($AD$1006:AF1006),$AD$1006:$AU$1006,0)), HYPERLINK("#",""), HYPERLINK(CONCATENATE("#metadata!", ADDRESS(INDEX($Y$2:$Y$1001,MATCH(ROWS($W$2:W978),$W$2:$W$1001,0),0), INDEX($AD$1004:$AU$1004,1,MATCH(COLUMNS($AD$1006:AF1006),$AD$1006:$AU$1006,0)))),"Fix")))</f>
        <v xml:space="preserve"> </v>
      </c>
      <c r="E978" s="4" t="str">
        <f ca="1">IF(OR(INDEX($X$2:$X$1001,MATCH(ROWS($W$2:W978),$W$2:$W$1001,0),1)&gt;=100000,INDEX($AD$1005:$AU$1005,1,MATCH(COLUMNS($AD$1006:AG1006),$AD$1006:$AU$1006,0))&gt;=100000), " ",IF(INDEX($AD$2:$AU$1001,MATCH(ROWS($W$2:W978),$W$2:$W$1001,0),MATCH(COLUMNS($AD$1006:AG1006),$AD$1006:$AU$1006,0)), HYPERLINK("#",""), HYPERLINK(CONCATENATE("#metadata!", ADDRESS(INDEX($Y$2:$Y$1001,MATCH(ROWS($W$2:W978),$W$2:$W$1001,0),0), INDEX($AD$1004:$AU$1004,1,MATCH(COLUMNS($AD$1006:AG1006),$AD$1006:$AU$1006,0)))),"Fix")))</f>
        <v xml:space="preserve"> </v>
      </c>
      <c r="F978" s="4" t="str">
        <f ca="1">IF(OR(INDEX($X$2:$X$1001,MATCH(ROWS($W$2:W978),$W$2:$W$1001,0),1)&gt;=100000,INDEX($AD$1005:$AU$1005,1,MATCH(COLUMNS($AD$1006:AH1006),$AD$1006:$AU$1006,0))&gt;=100000), " ",IF(INDEX($AD$2:$AU$1001,MATCH(ROWS($W$2:W978),$W$2:$W$1001,0),MATCH(COLUMNS($AD$1006:AH1006),$AD$1006:$AU$1006,0)), HYPERLINK("#",""), HYPERLINK(CONCATENATE("#metadata!", ADDRESS(INDEX($Y$2:$Y$1001,MATCH(ROWS($W$2:W978),$W$2:$W$1001,0),0), INDEX($AD$1004:$AU$1004,1,MATCH(COLUMNS($AD$1006:AH1006),$AD$1006:$AU$1006,0)))),"Fix")))</f>
        <v xml:space="preserve"> </v>
      </c>
      <c r="G978" s="4" t="str">
        <f ca="1">IF(OR(INDEX($X$2:$X$1001,MATCH(ROWS($W$2:W978),$W$2:$W$1001,0),1)&gt;=100000,INDEX($AD$1005:$AU$1005,1,MATCH(COLUMNS($AD$1006:AI1006),$AD$1006:$AU$1006,0))&gt;=100000), " ",IF(INDEX($AD$2:$AU$1001,MATCH(ROWS($W$2:W978),$W$2:$W$1001,0),MATCH(COLUMNS($AD$1006:AI1006),$AD$1006:$AU$1006,0)), HYPERLINK("#",""), HYPERLINK(CONCATENATE("#metadata!", ADDRESS(INDEX($Y$2:$Y$1001,MATCH(ROWS($W$2:W978),$W$2:$W$1001,0),0), INDEX($AD$1004:$AU$1004,1,MATCH(COLUMNS($AD$1006:AI1006),$AD$1006:$AU$1006,0)))),"Fix")))</f>
        <v xml:space="preserve"> </v>
      </c>
      <c r="H978" s="4" t="str">
        <f ca="1">IF(OR(INDEX($X$2:$X$1001,MATCH(ROWS($W$2:W978),$W$2:$W$1001,0),1)&gt;=100000,INDEX($AD$1005:$AU$1005,1,MATCH(COLUMNS($AD$1006:AJ1006),$AD$1006:$AU$1006,0))&gt;=100000), " ",IF(INDEX($AD$2:$AU$1001,MATCH(ROWS($W$2:W978),$W$2:$W$1001,0),MATCH(COLUMNS($AD$1006:AJ1006),$AD$1006:$AU$1006,0)), HYPERLINK("#",""), HYPERLINK(CONCATENATE("#metadata!", ADDRESS(INDEX($Y$2:$Y$1001,MATCH(ROWS($W$2:W978),$W$2:$W$1001,0),0), INDEX($AD$1004:$AU$1004,1,MATCH(COLUMNS($AD$1006:AJ1006),$AD$1006:$AU$1006,0)))),"Fix")))</f>
        <v xml:space="preserve"> </v>
      </c>
      <c r="I978" s="4" t="str">
        <f ca="1">IF(OR(INDEX($X$2:$X$1001,MATCH(ROWS($W$2:W978),$W$2:$W$1001,0),1)&gt;=100000,INDEX($AD$1005:$AU$1005,1,MATCH(COLUMNS($AD$1006:AK1006),$AD$1006:$AU$1006,0))&gt;=100000), " ",IF(INDEX($AD$2:$AU$1001,MATCH(ROWS($W$2:W978),$W$2:$W$1001,0),MATCH(COLUMNS($AD$1006:AK1006),$AD$1006:$AU$1006,0)), HYPERLINK("#",""), HYPERLINK(CONCATENATE("#metadata!", ADDRESS(INDEX($Y$2:$Y$1001,MATCH(ROWS($W$2:W978),$W$2:$W$1001,0),0), INDEX($AD$1004:$AU$1004,1,MATCH(COLUMNS($AD$1006:AK1006),$AD$1006:$AU$1006,0)))),"Fix")))</f>
        <v xml:space="preserve"> </v>
      </c>
      <c r="J978" s="4" t="str">
        <f ca="1">IF(OR(INDEX($X$2:$X$1001,MATCH(ROWS($W$2:W978),$W$2:$W$1001,0),1)&gt;=100000,INDEX($AD$1005:$AU$1005,1,MATCH(COLUMNS($AD$1006:AL1006),$AD$1006:$AU$1006,0))&gt;=100000), " ",IF(INDEX($AD$2:$AU$1001,MATCH(ROWS($W$2:W978),$W$2:$W$1001,0),MATCH(COLUMNS($AD$1006:AL1006),$AD$1006:$AU$1006,0)), HYPERLINK("#",""), HYPERLINK(CONCATENATE("#metadata!", ADDRESS(INDEX($Y$2:$Y$1001,MATCH(ROWS($W$2:W978),$W$2:$W$1001,0),0), INDEX($AD$1004:$AU$1004,1,MATCH(COLUMNS($AD$1006:AL1006),$AD$1006:$AU$1006,0)))),"Fix")))</f>
        <v xml:space="preserve"> </v>
      </c>
      <c r="K978" s="4" t="str">
        <f ca="1">IF(OR(INDEX($X$2:$X$1001,MATCH(ROWS($W$2:W978),$W$2:$W$1001,0),1)&gt;=100000,INDEX($AD$1005:$AU$1005,1,MATCH(COLUMNS($AD$1006:AM1006),$AD$1006:$AU$1006,0))&gt;=100000), " ",IF(INDEX($AD$2:$AU$1001,MATCH(ROWS($W$2:W978),$W$2:$W$1001,0),MATCH(COLUMNS($AD$1006:AM1006),$AD$1006:$AU$1006,0)), HYPERLINK("#",""), HYPERLINK(CONCATENATE("#metadata!", ADDRESS(INDEX($Y$2:$Y$1001,MATCH(ROWS($W$2:W978),$W$2:$W$1001,0),0), INDEX($AD$1004:$AU$1004,1,MATCH(COLUMNS($AD$1006:AM1006),$AD$1006:$AU$1006,0)))),"Fix")))</f>
        <v xml:space="preserve"> </v>
      </c>
      <c r="L978" s="4" t="str">
        <f ca="1">IF(OR(INDEX($X$2:$X$1001,MATCH(ROWS($W$2:W978),$W$2:$W$1001,0),1)&gt;=100000,INDEX($AD$1005:$AU$1005,1,MATCH(COLUMNS($AD$1006:AN1006),$AD$1006:$AU$1006,0))&gt;=100000), " ",IF(INDEX($AD$2:$AU$1001,MATCH(ROWS($W$2:W978),$W$2:$W$1001,0),MATCH(COLUMNS($AD$1006:AN1006),$AD$1006:$AU$1006,0)), HYPERLINK("#",""), HYPERLINK(CONCATENATE("#metadata!", ADDRESS(INDEX($Y$2:$Y$1001,MATCH(ROWS($W$2:W978),$W$2:$W$1001,0),0), INDEX($AD$1004:$AU$1004,1,MATCH(COLUMNS($AD$1006:AN1006),$AD$1006:$AU$1006,0)))),"Fix")))</f>
        <v xml:space="preserve"> </v>
      </c>
      <c r="M978" s="4" t="str">
        <f ca="1">IF(OR(INDEX($X$2:$X$1001,MATCH(ROWS($W$2:W978),$W$2:$W$1001,0),1)&gt;=100000,INDEX($AD$1005:$AU$1005,1,MATCH(COLUMNS($AD$1006:AO1006),$AD$1006:$AU$1006,0))&gt;=100000), " ",IF(INDEX($AD$2:$AU$1001,MATCH(ROWS($W$2:W978),$W$2:$W$1001,0),MATCH(COLUMNS($AD$1006:AO1006),$AD$1006:$AU$1006,0)), HYPERLINK("#",""), HYPERLINK(CONCATENATE("#metadata!", ADDRESS(INDEX($Y$2:$Y$1001,MATCH(ROWS($W$2:W978),$W$2:$W$1001,0),0), INDEX($AD$1004:$AU$1004,1,MATCH(COLUMNS($AD$1006:AO1006),$AD$1006:$AU$1006,0)))),"Fix")))</f>
        <v xml:space="preserve"> </v>
      </c>
      <c r="N978" s="4" t="str">
        <f ca="1">IF(OR(INDEX($X$2:$X$1001,MATCH(ROWS($W$2:W978),$W$2:$W$1001,0),1)&gt;=100000,INDEX($AD$1005:$AU$1005,1,MATCH(COLUMNS($AD$1006:AP1006),$AD$1006:$AU$1006,0))&gt;=100000), " ",IF(INDEX($AD$2:$AU$1001,MATCH(ROWS($W$2:W978),$W$2:$W$1001,0),MATCH(COLUMNS($AD$1006:AP1006),$AD$1006:$AU$1006,0)), HYPERLINK("#",""), HYPERLINK(CONCATENATE("#metadata!", ADDRESS(INDEX($Y$2:$Y$1001,MATCH(ROWS($W$2:W978),$W$2:$W$1001,0),0), INDEX($AD$1004:$AU$1004,1,MATCH(COLUMNS($AD$1006:AP1006),$AD$1006:$AU$1006,0)))),"Fix")))</f>
        <v xml:space="preserve"> </v>
      </c>
      <c r="O978" s="4" t="str">
        <f ca="1">IF(OR(INDEX($X$2:$X$1001,MATCH(ROWS($W$2:W978),$W$2:$W$1001,0),1)&gt;=100000,INDEX($AD$1005:$AU$1005,1,MATCH(COLUMNS($AD$1006:AQ1006),$AD$1006:$AU$1006,0))&gt;=100000), " ",IF(INDEX($AD$2:$AU$1001,MATCH(ROWS($W$2:W978),$W$2:$W$1001,0),MATCH(COLUMNS($AD$1006:AQ1006),$AD$1006:$AU$1006,0)), HYPERLINK("#",""), HYPERLINK(CONCATENATE("#metadata!", ADDRESS(INDEX($Y$2:$Y$1001,MATCH(ROWS($W$2:W978),$W$2:$W$1001,0),0), INDEX($AD$1004:$AU$1004,1,MATCH(COLUMNS($AD$1006:AQ1006),$AD$1006:$AU$1006,0)))),"Fix")))</f>
        <v xml:space="preserve"> </v>
      </c>
      <c r="P978" s="4" t="str">
        <f ca="1">IF(OR(INDEX($X$2:$X$1001,MATCH(ROWS($W$2:W978),$W$2:$W$1001,0),1)&gt;=100000,INDEX($AD$1005:$AU$1005,1,MATCH(COLUMNS($AD$1006:AR1006),$AD$1006:$AU$1006,0))&gt;=100000), " ",IF(INDEX($AD$2:$AU$1001,MATCH(ROWS($W$2:W978),$W$2:$W$1001,0),MATCH(COLUMNS($AD$1006:AR1006),$AD$1006:$AU$1006,0)), HYPERLINK("#",""), HYPERLINK(CONCATENATE("#metadata!", ADDRESS(INDEX($Y$2:$Y$1001,MATCH(ROWS($W$2:W978),$W$2:$W$1001,0),0), INDEX($AD$1004:$AU$1004,1,MATCH(COLUMNS($AD$1006:AR1006),$AD$1006:$AU$1006,0)))),"Fix")))</f>
        <v xml:space="preserve"> </v>
      </c>
      <c r="Q978" s="4" t="str">
        <f ca="1">IF(OR(INDEX($X$2:$X$1001,MATCH(ROWS($W$2:W978),$W$2:$W$1001,0),1)&gt;=100000,INDEX($AD$1005:$AU$1005,1,MATCH(COLUMNS($AD$1006:AS1006),$AD$1006:$AU$1006,0))&gt;=100000), " ",IF(INDEX($AD$2:$AU$1001,MATCH(ROWS($W$2:W978),$W$2:$W$1001,0),MATCH(COLUMNS($AD$1006:AS1006),$AD$1006:$AU$1006,0)), HYPERLINK("#",""), HYPERLINK(CONCATENATE("#metadata!", ADDRESS(INDEX($Y$2:$Y$1001,MATCH(ROWS($W$2:W978),$W$2:$W$1001,0),0), INDEX($AD$1004:$AU$1004,1,MATCH(COLUMNS($AD$1006:AS1006),$AD$1006:$AU$1006,0)))),"Fix")))</f>
        <v xml:space="preserve"> </v>
      </c>
      <c r="R978" s="4" t="str">
        <f ca="1">IF(OR(INDEX($X$2:$X$1001,MATCH(ROWS($W$2:W978),$W$2:$W$1001,0),1)&gt;=100000,INDEX($AD$1005:$AU$1005,1,MATCH(COLUMNS($AD$1006:AT1006),$AD$1006:$AU$1006,0))&gt;=100000), " ",IF(INDEX($AD$2:$AU$1001,MATCH(ROWS($W$2:W978),$W$2:$W$1001,0),MATCH(COLUMNS($AD$1006:AT1006),$AD$1006:$AU$1006,0)), HYPERLINK("#",""), HYPERLINK(CONCATENATE("#metadata!", ADDRESS(INDEX($Y$2:$Y$1001,MATCH(ROWS($W$2:W978),$W$2:$W$1001,0),0), INDEX($AD$1004:$AU$1004,1,MATCH(COLUMNS($AD$1006:AT1006),$AD$1006:$AU$1006,0)))),"Fix")))</f>
        <v xml:space="preserve"> </v>
      </c>
      <c r="S978" s="4" t="str">
        <f ca="1">IF(OR(INDEX($X$2:$X$1001,MATCH(ROWS($W$2:W978),$W$2:$W$1001,0),1)&gt;=100000,INDEX($AD$1005:$AU$1005,1,MATCH(COLUMNS($AD$1006:AU1006),$AD$1006:$AU$1006,0))&gt;=100000), " ",IF(INDEX($AD$2:$AU$1001,MATCH(ROWS($W$2:W978),$W$2:$W$1001,0),MATCH(COLUMNS($AD$1006:AU1006),$AD$1006:$AU$1006,0)), HYPERLINK("#",""), HYPERLINK(CONCATENATE("#metadata!", ADDRESS(INDEX($Y$2:$Y$1001,MATCH(ROWS($W$2:W978),$W$2:$W$1001,0),0), INDEX($AD$1004:$AU$1004,1,MATCH(COLUMNS($AD$1006:AU1006),$AD$1006:$AU$1006,0)))),"Fix")))</f>
        <v xml:space="preserve"> </v>
      </c>
      <c r="W978">
        <v>977</v>
      </c>
      <c r="X978">
        <v>100978</v>
      </c>
      <c r="Y978">
        <v>978</v>
      </c>
      <c r="Z978" t="b">
        <f t="shared" si="15"/>
        <v>1</v>
      </c>
      <c r="AA978" t="b">
        <f>COUNTBLANK(metadata!B978:S978)=COLUMNS(metadata!B978:S978)</f>
        <v>1</v>
      </c>
      <c r="AB978" t="str">
        <v/>
      </c>
      <c r="AD978" t="b">
        <f ca="1">AND(IF(metadata!B978="",FALSE,TRUE),COUNTIF(metadata!B:B, metadata!B978) = 1,NOT(ISERROR(SUMPRODUCT(SEARCH(MID(metadata!B978,ROW(INDIRECT("1:"&amp;LEN(metadata!B978))), 1),"0123456789abcdefghijklmnopqrstuvwxyzABCDEFGHIJKLMNOPQRSTUVWXYZ.")))))</f>
        <v>0</v>
      </c>
      <c r="AE978" t="b">
        <f>OR(AND(IF(metadata!C978="",FALSE,TRUE),OR(EXACT(metadata!C978,"not applicable"),EXACT(metadata!C978,"missing: not collected"),EXACT(metadata!C978,"missing: not provided"),EXACT(metadata!C978,"missing: restricted access"))),AND(IF(metadata!C978="",FALSE,ISNUMBER(VALUE(metadata!C978))),metadata!C978&gt;0))</f>
        <v>0</v>
      </c>
      <c r="AF978" t="b">
        <f>AND(IF(metadata!D978="",FALSE,TRUE),EXACT(metadata!D978,"missing: not provided"))</f>
        <v>0</v>
      </c>
      <c r="AG978" t="b">
        <f>AND(IF(metadata!E978="",FALSE,TRUE),EXACT(metadata!E978,"Host-associated"))</f>
        <v>0</v>
      </c>
      <c r="AH978" t="b">
        <f>AND(IF(metadata!F978="",FALSE,TRUE),OR(EXACT(metadata!F978,"Animal"),EXACT(metadata!F978,"Fungus"),EXACT(metadata!F978,"Plant")))</f>
        <v>0</v>
      </c>
      <c r="AI978" t="b">
        <f>AND(IF(metadata!G978="",FALSE,TRUE),OR(EXACT(metadata!G978,"Plant secretion"),EXACT(metadata!G978,"Plant rhizosphere"),EXACT(metadata!G978,"Plant surface"),EXACT(metadata!G978,"Plant corpus"),EXACT(metadata!G978,"Fungus surface"),EXACT(metadata!G978,"Fungus corpus"),EXACT(metadata!G978,"Animal surface"),EXACT(metadata!G978,"Animal proximal gut"),EXACT(metadata!G978,"Animal corpus"),EXACT(metadata!G978,"Animal distal gut"),EXACT(metadata!G978,"Animal secretion")))</f>
        <v>0</v>
      </c>
      <c r="AJ978" t="b">
        <f>OR(AND(IF(metadata!H978="",FALSE,TRUE),OR(EXACT(metadata!H978,"missing: not collected"),EXACT(metadata!H978,"missing: not provided"),EXACT(metadata!H978,"missing: restricted access"))),AND(IF(metadata!H978="",FALSE,TRUE),OR(EXACT(metadata!H978,"organism-associated habitat"),EXACT(metadata!H978,"plant-associated habitat"),EXACT(metadata!H978,"animal-associated habitat"),EXACT(metadata!H978,"insecta-associated habitat"),EXACT(metadata!H978,"mammalia-associated habitat"),EXACT(metadata!H978,"human-associated habitat"),EXACT(metadata!H978,"livestock-associated habitat"))))</f>
        <v>0</v>
      </c>
      <c r="AK978" t="b">
        <f>AND(IF(metadata!I978="",FALSE,TRUE),EXACT(metadata!I978,"host-associated"))</f>
        <v>0</v>
      </c>
      <c r="AL978" t="b">
        <f>OR(AND(IF(metadata!J978="",FALSE,TRUE),OR(EXACT(metadata!J978,"not applicable"),EXACT(metadata!J978,"missing: not collected"),EXACT(metadata!J978,"missing: not provided"),EXACT(metadata!J978,"missing: restricted access"))),AND(IF(metadata!J978="",FALSE,ISNUMBER(VALUE(metadata!J978))),metadata!J978&gt;0))</f>
        <v>0</v>
      </c>
      <c r="AM978" t="b">
        <f>AND(IF(metadata!K978="",FALSE,TRUE),EXACT(metadata!K978,"missing: not provided"))</f>
        <v>0</v>
      </c>
      <c r="AN978" t="b">
        <f>IF(metadata!L978="",FALSE,TRUE)</f>
        <v>0</v>
      </c>
      <c r="AO978" t="b">
        <f>IF(metadata!M978="",FALSE,TRUE)</f>
        <v>0</v>
      </c>
      <c r="AP978" t="b">
        <f>OR(AND(IF(metadata!N978="",FALSE,TRUE),OR(EXACT(metadata!N978,"not applicable"),EXACT(metadata!N978,"missing: not collected"),EXACT(metadata!N978,"missing: not provided"))),AND(IF(metadata!N978="",FALSE,IF(ISERROR(INT(metadata!N978)),FALSE,INT(metadata!N978)=metadata!N978)),metadata!N978&gt;0))</f>
        <v>0</v>
      </c>
      <c r="AQ978" t="b">
        <f>AND(IF(metadata!O978="",FALSE,TRUE),EXACT(metadata!O978,"Not applicable"))</f>
        <v>0</v>
      </c>
      <c r="AR978" t="b">
        <f>OR(AND(IF(metadata!P978="",FALSE,TRUE),OR(EXACT(metadata!P978,"not applicable"),EXACT(metadata!P978,"missing: not collected"),EXACT(metadata!P978,"missing: not provided"),EXACT(metadata!P978,"missing: restricted access"))),IF(metadata!P978="",FALSE,IF(ISERROR(INT(metadata!P978)),FALSE,INT(metadata!P978)=metadata!P978)))</f>
        <v>0</v>
      </c>
      <c r="AS978" t="b">
        <f>AND(IF(metadata!Q978="",FALSE,TRUE),EXACT(metadata!Q978,"Not applicable"))</f>
        <v>0</v>
      </c>
      <c r="AT978" t="b">
        <f>OR(AND(IF(metadata!R978="",FALSE,TRUE),OR(EXACT(metadata!R978,"not applicable"),EXACT(metadata!R978,"missing: not collected"),EXACT(metadata!R978,"missing: not provided"),EXACT(metadata!R978,"missing: restricted access"))),AND(IF(metadata!R978="",FALSE,ISNUMBER(VALUE(metadata!R978))),metadata!R978&gt;0))</f>
        <v>0</v>
      </c>
      <c r="AU978" t="b">
        <f>AND(IF(metadata!S978="",FALSE,TRUE),EXACT(metadata!S978,"missing: not provided"))</f>
        <v>0</v>
      </c>
    </row>
    <row r="979" spans="1:47" x14ac:dyDescent="0.2">
      <c r="A979" s="5" t="str">
        <f ca="1">IF(B979=" "," ",HYPERLINK(CONCATENATE("#metadata!",ADDRESS(INDEX($Y$2:$Y$1001,MATCH(ROWS($W$2:W979),$W$2:$W$1001,0),0),1)),INDEX($AB$2:$AB$1001,MATCH(ROWS($W$2:W979),$W$2:$W$1001,0),0)))</f>
        <v xml:space="preserve"> </v>
      </c>
      <c r="B979" s="4" t="str">
        <f ca="1">IF(OR(INDEX($X$2:$X$1001,MATCH(ROWS($W$2:W979),$W$2:$W$1001,0),1)&gt;=100000,INDEX($AD$1005:$AU$1005,1,MATCH(COLUMNS($AD$1006:AD1006),$AD$1006:$AU$1006,0))&gt;=100000), " ",IF(INDEX($AD$2:$AU$1001,MATCH(ROWS($W$2:W979),$W$2:$W$1001,0),MATCH(COLUMNS($AD$1006:AD1006),$AD$1006:$AU$1006,0)), HYPERLINK("#",""), HYPERLINK(CONCATENATE("#metadata!", ADDRESS(INDEX($Y$2:$Y$1001,MATCH(ROWS($W$2:W979),$W$2:$W$1001,0),0), INDEX($AD$1004:$AU$1004,1,MATCH(COLUMNS($AD$1006:AD1006),$AD$1006:$AU$1006,0)))),"Fix")))</f>
        <v xml:space="preserve"> </v>
      </c>
      <c r="C979" s="4" t="str">
        <f ca="1">IF(OR(INDEX($X$2:$X$1001,MATCH(ROWS($W$2:W979),$W$2:$W$1001,0),1)&gt;=100000,INDEX($AD$1005:$AU$1005,1,MATCH(COLUMNS($AD$1006:AE1006),$AD$1006:$AU$1006,0))&gt;=100000), " ",IF(INDEX($AD$2:$AU$1001,MATCH(ROWS($W$2:W979),$W$2:$W$1001,0),MATCH(COLUMNS($AD$1006:AE1006),$AD$1006:$AU$1006,0)), HYPERLINK("#",""), HYPERLINK(CONCATENATE("#metadata!", ADDRESS(INDEX($Y$2:$Y$1001,MATCH(ROWS($W$2:W979),$W$2:$W$1001,0),0), INDEX($AD$1004:$AU$1004,1,MATCH(COLUMNS($AD$1006:AE1006),$AD$1006:$AU$1006,0)))),"Fix")))</f>
        <v xml:space="preserve"> </v>
      </c>
      <c r="D979" s="4" t="str">
        <f ca="1">IF(OR(INDEX($X$2:$X$1001,MATCH(ROWS($W$2:W979),$W$2:$W$1001,0),1)&gt;=100000,INDEX($AD$1005:$AU$1005,1,MATCH(COLUMNS($AD$1006:AF1006),$AD$1006:$AU$1006,0))&gt;=100000), " ",IF(INDEX($AD$2:$AU$1001,MATCH(ROWS($W$2:W979),$W$2:$W$1001,0),MATCH(COLUMNS($AD$1006:AF1006),$AD$1006:$AU$1006,0)), HYPERLINK("#",""), HYPERLINK(CONCATENATE("#metadata!", ADDRESS(INDEX($Y$2:$Y$1001,MATCH(ROWS($W$2:W979),$W$2:$W$1001,0),0), INDEX($AD$1004:$AU$1004,1,MATCH(COLUMNS($AD$1006:AF1006),$AD$1006:$AU$1006,0)))),"Fix")))</f>
        <v xml:space="preserve"> </v>
      </c>
      <c r="E979" s="4" t="str">
        <f ca="1">IF(OR(INDEX($X$2:$X$1001,MATCH(ROWS($W$2:W979),$W$2:$W$1001,0),1)&gt;=100000,INDEX($AD$1005:$AU$1005,1,MATCH(COLUMNS($AD$1006:AG1006),$AD$1006:$AU$1006,0))&gt;=100000), " ",IF(INDEX($AD$2:$AU$1001,MATCH(ROWS($W$2:W979),$W$2:$W$1001,0),MATCH(COLUMNS($AD$1006:AG1006),$AD$1006:$AU$1006,0)), HYPERLINK("#",""), HYPERLINK(CONCATENATE("#metadata!", ADDRESS(INDEX($Y$2:$Y$1001,MATCH(ROWS($W$2:W979),$W$2:$W$1001,0),0), INDEX($AD$1004:$AU$1004,1,MATCH(COLUMNS($AD$1006:AG1006),$AD$1006:$AU$1006,0)))),"Fix")))</f>
        <v xml:space="preserve"> </v>
      </c>
      <c r="F979" s="4" t="str">
        <f ca="1">IF(OR(INDEX($X$2:$X$1001,MATCH(ROWS($W$2:W979),$W$2:$W$1001,0),1)&gt;=100000,INDEX($AD$1005:$AU$1005,1,MATCH(COLUMNS($AD$1006:AH1006),$AD$1006:$AU$1006,0))&gt;=100000), " ",IF(INDEX($AD$2:$AU$1001,MATCH(ROWS($W$2:W979),$W$2:$W$1001,0),MATCH(COLUMNS($AD$1006:AH1006),$AD$1006:$AU$1006,0)), HYPERLINK("#",""), HYPERLINK(CONCATENATE("#metadata!", ADDRESS(INDEX($Y$2:$Y$1001,MATCH(ROWS($W$2:W979),$W$2:$W$1001,0),0), INDEX($AD$1004:$AU$1004,1,MATCH(COLUMNS($AD$1006:AH1006),$AD$1006:$AU$1006,0)))),"Fix")))</f>
        <v xml:space="preserve"> </v>
      </c>
      <c r="G979" s="4" t="str">
        <f ca="1">IF(OR(INDEX($X$2:$X$1001,MATCH(ROWS($W$2:W979),$W$2:$W$1001,0),1)&gt;=100000,INDEX($AD$1005:$AU$1005,1,MATCH(COLUMNS($AD$1006:AI1006),$AD$1006:$AU$1006,0))&gt;=100000), " ",IF(INDEX($AD$2:$AU$1001,MATCH(ROWS($W$2:W979),$W$2:$W$1001,0),MATCH(COLUMNS($AD$1006:AI1006),$AD$1006:$AU$1006,0)), HYPERLINK("#",""), HYPERLINK(CONCATENATE("#metadata!", ADDRESS(INDEX($Y$2:$Y$1001,MATCH(ROWS($W$2:W979),$W$2:$W$1001,0),0), INDEX($AD$1004:$AU$1004,1,MATCH(COLUMNS($AD$1006:AI1006),$AD$1006:$AU$1006,0)))),"Fix")))</f>
        <v xml:space="preserve"> </v>
      </c>
      <c r="H979" s="4" t="str">
        <f ca="1">IF(OR(INDEX($X$2:$X$1001,MATCH(ROWS($W$2:W979),$W$2:$W$1001,0),1)&gt;=100000,INDEX($AD$1005:$AU$1005,1,MATCH(COLUMNS($AD$1006:AJ1006),$AD$1006:$AU$1006,0))&gt;=100000), " ",IF(INDEX($AD$2:$AU$1001,MATCH(ROWS($W$2:W979),$W$2:$W$1001,0),MATCH(COLUMNS($AD$1006:AJ1006),$AD$1006:$AU$1006,0)), HYPERLINK("#",""), HYPERLINK(CONCATENATE("#metadata!", ADDRESS(INDEX($Y$2:$Y$1001,MATCH(ROWS($W$2:W979),$W$2:$W$1001,0),0), INDEX($AD$1004:$AU$1004,1,MATCH(COLUMNS($AD$1006:AJ1006),$AD$1006:$AU$1006,0)))),"Fix")))</f>
        <v xml:space="preserve"> </v>
      </c>
      <c r="I979" s="4" t="str">
        <f ca="1">IF(OR(INDEX($X$2:$X$1001,MATCH(ROWS($W$2:W979),$W$2:$W$1001,0),1)&gt;=100000,INDEX($AD$1005:$AU$1005,1,MATCH(COLUMNS($AD$1006:AK1006),$AD$1006:$AU$1006,0))&gt;=100000), " ",IF(INDEX($AD$2:$AU$1001,MATCH(ROWS($W$2:W979),$W$2:$W$1001,0),MATCH(COLUMNS($AD$1006:AK1006),$AD$1006:$AU$1006,0)), HYPERLINK("#",""), HYPERLINK(CONCATENATE("#metadata!", ADDRESS(INDEX($Y$2:$Y$1001,MATCH(ROWS($W$2:W979),$W$2:$W$1001,0),0), INDEX($AD$1004:$AU$1004,1,MATCH(COLUMNS($AD$1006:AK1006),$AD$1006:$AU$1006,0)))),"Fix")))</f>
        <v xml:space="preserve"> </v>
      </c>
      <c r="J979" s="4" t="str">
        <f ca="1">IF(OR(INDEX($X$2:$X$1001,MATCH(ROWS($W$2:W979),$W$2:$W$1001,0),1)&gt;=100000,INDEX($AD$1005:$AU$1005,1,MATCH(COLUMNS($AD$1006:AL1006),$AD$1006:$AU$1006,0))&gt;=100000), " ",IF(INDEX($AD$2:$AU$1001,MATCH(ROWS($W$2:W979),$W$2:$W$1001,0),MATCH(COLUMNS($AD$1006:AL1006),$AD$1006:$AU$1006,0)), HYPERLINK("#",""), HYPERLINK(CONCATENATE("#metadata!", ADDRESS(INDEX($Y$2:$Y$1001,MATCH(ROWS($W$2:W979),$W$2:$W$1001,0),0), INDEX($AD$1004:$AU$1004,1,MATCH(COLUMNS($AD$1006:AL1006),$AD$1006:$AU$1006,0)))),"Fix")))</f>
        <v xml:space="preserve"> </v>
      </c>
      <c r="K979" s="4" t="str">
        <f ca="1">IF(OR(INDEX($X$2:$X$1001,MATCH(ROWS($W$2:W979),$W$2:$W$1001,0),1)&gt;=100000,INDEX($AD$1005:$AU$1005,1,MATCH(COLUMNS($AD$1006:AM1006),$AD$1006:$AU$1006,0))&gt;=100000), " ",IF(INDEX($AD$2:$AU$1001,MATCH(ROWS($W$2:W979),$W$2:$W$1001,0),MATCH(COLUMNS($AD$1006:AM1006),$AD$1006:$AU$1006,0)), HYPERLINK("#",""), HYPERLINK(CONCATENATE("#metadata!", ADDRESS(INDEX($Y$2:$Y$1001,MATCH(ROWS($W$2:W979),$W$2:$W$1001,0),0), INDEX($AD$1004:$AU$1004,1,MATCH(COLUMNS($AD$1006:AM1006),$AD$1006:$AU$1006,0)))),"Fix")))</f>
        <v xml:space="preserve"> </v>
      </c>
      <c r="L979" s="4" t="str">
        <f ca="1">IF(OR(INDEX($X$2:$X$1001,MATCH(ROWS($W$2:W979),$W$2:$W$1001,0),1)&gt;=100000,INDEX($AD$1005:$AU$1005,1,MATCH(COLUMNS($AD$1006:AN1006),$AD$1006:$AU$1006,0))&gt;=100000), " ",IF(INDEX($AD$2:$AU$1001,MATCH(ROWS($W$2:W979),$W$2:$W$1001,0),MATCH(COLUMNS($AD$1006:AN1006),$AD$1006:$AU$1006,0)), HYPERLINK("#",""), HYPERLINK(CONCATENATE("#metadata!", ADDRESS(INDEX($Y$2:$Y$1001,MATCH(ROWS($W$2:W979),$W$2:$W$1001,0),0), INDEX($AD$1004:$AU$1004,1,MATCH(COLUMNS($AD$1006:AN1006),$AD$1006:$AU$1006,0)))),"Fix")))</f>
        <v xml:space="preserve"> </v>
      </c>
      <c r="M979" s="4" t="str">
        <f ca="1">IF(OR(INDEX($X$2:$X$1001,MATCH(ROWS($W$2:W979),$W$2:$W$1001,0),1)&gt;=100000,INDEX($AD$1005:$AU$1005,1,MATCH(COLUMNS($AD$1006:AO1006),$AD$1006:$AU$1006,0))&gt;=100000), " ",IF(INDEX($AD$2:$AU$1001,MATCH(ROWS($W$2:W979),$W$2:$W$1001,0),MATCH(COLUMNS($AD$1006:AO1006),$AD$1006:$AU$1006,0)), HYPERLINK("#",""), HYPERLINK(CONCATENATE("#metadata!", ADDRESS(INDEX($Y$2:$Y$1001,MATCH(ROWS($W$2:W979),$W$2:$W$1001,0),0), INDEX($AD$1004:$AU$1004,1,MATCH(COLUMNS($AD$1006:AO1006),$AD$1006:$AU$1006,0)))),"Fix")))</f>
        <v xml:space="preserve"> </v>
      </c>
      <c r="N979" s="4" t="str">
        <f ca="1">IF(OR(INDEX($X$2:$X$1001,MATCH(ROWS($W$2:W979),$W$2:$W$1001,0),1)&gt;=100000,INDEX($AD$1005:$AU$1005,1,MATCH(COLUMNS($AD$1006:AP1006),$AD$1006:$AU$1006,0))&gt;=100000), " ",IF(INDEX($AD$2:$AU$1001,MATCH(ROWS($W$2:W979),$W$2:$W$1001,0),MATCH(COLUMNS($AD$1006:AP1006),$AD$1006:$AU$1006,0)), HYPERLINK("#",""), HYPERLINK(CONCATENATE("#metadata!", ADDRESS(INDEX($Y$2:$Y$1001,MATCH(ROWS($W$2:W979),$W$2:$W$1001,0),0), INDEX($AD$1004:$AU$1004,1,MATCH(COLUMNS($AD$1006:AP1006),$AD$1006:$AU$1006,0)))),"Fix")))</f>
        <v xml:space="preserve"> </v>
      </c>
      <c r="O979" s="4" t="str">
        <f ca="1">IF(OR(INDEX($X$2:$X$1001,MATCH(ROWS($W$2:W979),$W$2:$W$1001,0),1)&gt;=100000,INDEX($AD$1005:$AU$1005,1,MATCH(COLUMNS($AD$1006:AQ1006),$AD$1006:$AU$1006,0))&gt;=100000), " ",IF(INDEX($AD$2:$AU$1001,MATCH(ROWS($W$2:W979),$W$2:$W$1001,0),MATCH(COLUMNS($AD$1006:AQ1006),$AD$1006:$AU$1006,0)), HYPERLINK("#",""), HYPERLINK(CONCATENATE("#metadata!", ADDRESS(INDEX($Y$2:$Y$1001,MATCH(ROWS($W$2:W979),$W$2:$W$1001,0),0), INDEX($AD$1004:$AU$1004,1,MATCH(COLUMNS($AD$1006:AQ1006),$AD$1006:$AU$1006,0)))),"Fix")))</f>
        <v xml:space="preserve"> </v>
      </c>
      <c r="P979" s="4" t="str">
        <f ca="1">IF(OR(INDEX($X$2:$X$1001,MATCH(ROWS($W$2:W979),$W$2:$W$1001,0),1)&gt;=100000,INDEX($AD$1005:$AU$1005,1,MATCH(COLUMNS($AD$1006:AR1006),$AD$1006:$AU$1006,0))&gt;=100000), " ",IF(INDEX($AD$2:$AU$1001,MATCH(ROWS($W$2:W979),$W$2:$W$1001,0),MATCH(COLUMNS($AD$1006:AR1006),$AD$1006:$AU$1006,0)), HYPERLINK("#",""), HYPERLINK(CONCATENATE("#metadata!", ADDRESS(INDEX($Y$2:$Y$1001,MATCH(ROWS($W$2:W979),$W$2:$W$1001,0),0), INDEX($AD$1004:$AU$1004,1,MATCH(COLUMNS($AD$1006:AR1006),$AD$1006:$AU$1006,0)))),"Fix")))</f>
        <v xml:space="preserve"> </v>
      </c>
      <c r="Q979" s="4" t="str">
        <f ca="1">IF(OR(INDEX($X$2:$X$1001,MATCH(ROWS($W$2:W979),$W$2:$W$1001,0),1)&gt;=100000,INDEX($AD$1005:$AU$1005,1,MATCH(COLUMNS($AD$1006:AS1006),$AD$1006:$AU$1006,0))&gt;=100000), " ",IF(INDEX($AD$2:$AU$1001,MATCH(ROWS($W$2:W979),$W$2:$W$1001,0),MATCH(COLUMNS($AD$1006:AS1006),$AD$1006:$AU$1006,0)), HYPERLINK("#",""), HYPERLINK(CONCATENATE("#metadata!", ADDRESS(INDEX($Y$2:$Y$1001,MATCH(ROWS($W$2:W979),$W$2:$W$1001,0),0), INDEX($AD$1004:$AU$1004,1,MATCH(COLUMNS($AD$1006:AS1006),$AD$1006:$AU$1006,0)))),"Fix")))</f>
        <v xml:space="preserve"> </v>
      </c>
      <c r="R979" s="4" t="str">
        <f ca="1">IF(OR(INDEX($X$2:$X$1001,MATCH(ROWS($W$2:W979),$W$2:$W$1001,0),1)&gt;=100000,INDEX($AD$1005:$AU$1005,1,MATCH(COLUMNS($AD$1006:AT1006),$AD$1006:$AU$1006,0))&gt;=100000), " ",IF(INDEX($AD$2:$AU$1001,MATCH(ROWS($W$2:W979),$W$2:$W$1001,0),MATCH(COLUMNS($AD$1006:AT1006),$AD$1006:$AU$1006,0)), HYPERLINK("#",""), HYPERLINK(CONCATENATE("#metadata!", ADDRESS(INDEX($Y$2:$Y$1001,MATCH(ROWS($W$2:W979),$W$2:$W$1001,0),0), INDEX($AD$1004:$AU$1004,1,MATCH(COLUMNS($AD$1006:AT1006),$AD$1006:$AU$1006,0)))),"Fix")))</f>
        <v xml:space="preserve"> </v>
      </c>
      <c r="S979" s="4" t="str">
        <f ca="1">IF(OR(INDEX($X$2:$X$1001,MATCH(ROWS($W$2:W979),$W$2:$W$1001,0),1)&gt;=100000,INDEX($AD$1005:$AU$1005,1,MATCH(COLUMNS($AD$1006:AU1006),$AD$1006:$AU$1006,0))&gt;=100000), " ",IF(INDEX($AD$2:$AU$1001,MATCH(ROWS($W$2:W979),$W$2:$W$1001,0),MATCH(COLUMNS($AD$1006:AU1006),$AD$1006:$AU$1006,0)), HYPERLINK("#",""), HYPERLINK(CONCATENATE("#metadata!", ADDRESS(INDEX($Y$2:$Y$1001,MATCH(ROWS($W$2:W979),$W$2:$W$1001,0),0), INDEX($AD$1004:$AU$1004,1,MATCH(COLUMNS($AD$1006:AU1006),$AD$1006:$AU$1006,0)))),"Fix")))</f>
        <v xml:space="preserve"> </v>
      </c>
      <c r="W979">
        <v>978</v>
      </c>
      <c r="X979">
        <v>100979</v>
      </c>
      <c r="Y979">
        <v>979</v>
      </c>
      <c r="Z979" t="b">
        <f t="shared" si="15"/>
        <v>1</v>
      </c>
      <c r="AA979" t="b">
        <f>COUNTBLANK(metadata!B979:S979)=COLUMNS(metadata!B979:S979)</f>
        <v>1</v>
      </c>
      <c r="AB979" t="str">
        <v/>
      </c>
      <c r="AD979" t="b">
        <f ca="1">AND(IF(metadata!B979="",FALSE,TRUE),COUNTIF(metadata!B:B, metadata!B979) = 1,NOT(ISERROR(SUMPRODUCT(SEARCH(MID(metadata!B979,ROW(INDIRECT("1:"&amp;LEN(metadata!B979))), 1),"0123456789abcdefghijklmnopqrstuvwxyzABCDEFGHIJKLMNOPQRSTUVWXYZ.")))))</f>
        <v>0</v>
      </c>
      <c r="AE979" t="b">
        <f>OR(AND(IF(metadata!C979="",FALSE,TRUE),OR(EXACT(metadata!C979,"not applicable"),EXACT(metadata!C979,"missing: not collected"),EXACT(metadata!C979,"missing: not provided"),EXACT(metadata!C979,"missing: restricted access"))),AND(IF(metadata!C979="",FALSE,ISNUMBER(VALUE(metadata!C979))),metadata!C979&gt;0))</f>
        <v>0</v>
      </c>
      <c r="AF979" t="b">
        <f>AND(IF(metadata!D979="",FALSE,TRUE),EXACT(metadata!D979,"missing: not provided"))</f>
        <v>0</v>
      </c>
      <c r="AG979" t="b">
        <f>AND(IF(metadata!E979="",FALSE,TRUE),EXACT(metadata!E979,"Host-associated"))</f>
        <v>0</v>
      </c>
      <c r="AH979" t="b">
        <f>AND(IF(metadata!F979="",FALSE,TRUE),OR(EXACT(metadata!F979,"Animal"),EXACT(metadata!F979,"Fungus"),EXACT(metadata!F979,"Plant")))</f>
        <v>0</v>
      </c>
      <c r="AI979" t="b">
        <f>AND(IF(metadata!G979="",FALSE,TRUE),OR(EXACT(metadata!G979,"Plant secretion"),EXACT(metadata!G979,"Plant rhizosphere"),EXACT(metadata!G979,"Plant surface"),EXACT(metadata!G979,"Plant corpus"),EXACT(metadata!G979,"Fungus surface"),EXACT(metadata!G979,"Fungus corpus"),EXACT(metadata!G979,"Animal surface"),EXACT(metadata!G979,"Animal proximal gut"),EXACT(metadata!G979,"Animal corpus"),EXACT(metadata!G979,"Animal distal gut"),EXACT(metadata!G979,"Animal secretion")))</f>
        <v>0</v>
      </c>
      <c r="AJ979" t="b">
        <f>OR(AND(IF(metadata!H979="",FALSE,TRUE),OR(EXACT(metadata!H979,"missing: not collected"),EXACT(metadata!H979,"missing: not provided"),EXACT(metadata!H979,"missing: restricted access"))),AND(IF(metadata!H979="",FALSE,TRUE),OR(EXACT(metadata!H979,"organism-associated habitat"),EXACT(metadata!H979,"plant-associated habitat"),EXACT(metadata!H979,"animal-associated habitat"),EXACT(metadata!H979,"insecta-associated habitat"),EXACT(metadata!H979,"mammalia-associated habitat"),EXACT(metadata!H979,"human-associated habitat"),EXACT(metadata!H979,"livestock-associated habitat"))))</f>
        <v>0</v>
      </c>
      <c r="AK979" t="b">
        <f>AND(IF(metadata!I979="",FALSE,TRUE),EXACT(metadata!I979,"host-associated"))</f>
        <v>0</v>
      </c>
      <c r="AL979" t="b">
        <f>OR(AND(IF(metadata!J979="",FALSE,TRUE),OR(EXACT(metadata!J979,"not applicable"),EXACT(metadata!J979,"missing: not collected"),EXACT(metadata!J979,"missing: not provided"),EXACT(metadata!J979,"missing: restricted access"))),AND(IF(metadata!J979="",FALSE,ISNUMBER(VALUE(metadata!J979))),metadata!J979&gt;0))</f>
        <v>0</v>
      </c>
      <c r="AM979" t="b">
        <f>AND(IF(metadata!K979="",FALSE,TRUE),EXACT(metadata!K979,"missing: not provided"))</f>
        <v>0</v>
      </c>
      <c r="AN979" t="b">
        <f>IF(metadata!L979="",FALSE,TRUE)</f>
        <v>0</v>
      </c>
      <c r="AO979" t="b">
        <f>IF(metadata!M979="",FALSE,TRUE)</f>
        <v>0</v>
      </c>
      <c r="AP979" t="b">
        <f>OR(AND(IF(metadata!N979="",FALSE,TRUE),OR(EXACT(metadata!N979,"not applicable"),EXACT(metadata!N979,"missing: not collected"),EXACT(metadata!N979,"missing: not provided"))),AND(IF(metadata!N979="",FALSE,IF(ISERROR(INT(metadata!N979)),FALSE,INT(metadata!N979)=metadata!N979)),metadata!N979&gt;0))</f>
        <v>0</v>
      </c>
      <c r="AQ979" t="b">
        <f>AND(IF(metadata!O979="",FALSE,TRUE),EXACT(metadata!O979,"Not applicable"))</f>
        <v>0</v>
      </c>
      <c r="AR979" t="b">
        <f>OR(AND(IF(metadata!P979="",FALSE,TRUE),OR(EXACT(metadata!P979,"not applicable"),EXACT(metadata!P979,"missing: not collected"),EXACT(metadata!P979,"missing: not provided"),EXACT(metadata!P979,"missing: restricted access"))),IF(metadata!P979="",FALSE,IF(ISERROR(INT(metadata!P979)),FALSE,INT(metadata!P979)=metadata!P979)))</f>
        <v>0</v>
      </c>
      <c r="AS979" t="b">
        <f>AND(IF(metadata!Q979="",FALSE,TRUE),EXACT(metadata!Q979,"Not applicable"))</f>
        <v>0</v>
      </c>
      <c r="AT979" t="b">
        <f>OR(AND(IF(metadata!R979="",FALSE,TRUE),OR(EXACT(metadata!R979,"not applicable"),EXACT(metadata!R979,"missing: not collected"),EXACT(metadata!R979,"missing: not provided"),EXACT(metadata!R979,"missing: restricted access"))),AND(IF(metadata!R979="",FALSE,ISNUMBER(VALUE(metadata!R979))),metadata!R979&gt;0))</f>
        <v>0</v>
      </c>
      <c r="AU979" t="b">
        <f>AND(IF(metadata!S979="",FALSE,TRUE),EXACT(metadata!S979,"missing: not provided"))</f>
        <v>0</v>
      </c>
    </row>
    <row r="980" spans="1:47" x14ac:dyDescent="0.2">
      <c r="A980" s="5" t="str">
        <f ca="1">IF(B980=" "," ",HYPERLINK(CONCATENATE("#metadata!",ADDRESS(INDEX($Y$2:$Y$1001,MATCH(ROWS($W$2:W980),$W$2:$W$1001,0),0),1)),INDEX($AB$2:$AB$1001,MATCH(ROWS($W$2:W980),$W$2:$W$1001,0),0)))</f>
        <v xml:space="preserve"> </v>
      </c>
      <c r="B980" s="4" t="str">
        <f ca="1">IF(OR(INDEX($X$2:$X$1001,MATCH(ROWS($W$2:W980),$W$2:$W$1001,0),1)&gt;=100000,INDEX($AD$1005:$AU$1005,1,MATCH(COLUMNS($AD$1006:AD1006),$AD$1006:$AU$1006,0))&gt;=100000), " ",IF(INDEX($AD$2:$AU$1001,MATCH(ROWS($W$2:W980),$W$2:$W$1001,0),MATCH(COLUMNS($AD$1006:AD1006),$AD$1006:$AU$1006,0)), HYPERLINK("#",""), HYPERLINK(CONCATENATE("#metadata!", ADDRESS(INDEX($Y$2:$Y$1001,MATCH(ROWS($W$2:W980),$W$2:$W$1001,0),0), INDEX($AD$1004:$AU$1004,1,MATCH(COLUMNS($AD$1006:AD1006),$AD$1006:$AU$1006,0)))),"Fix")))</f>
        <v xml:space="preserve"> </v>
      </c>
      <c r="C980" s="4" t="str">
        <f ca="1">IF(OR(INDEX($X$2:$X$1001,MATCH(ROWS($W$2:W980),$W$2:$W$1001,0),1)&gt;=100000,INDEX($AD$1005:$AU$1005,1,MATCH(COLUMNS($AD$1006:AE1006),$AD$1006:$AU$1006,0))&gt;=100000), " ",IF(INDEX($AD$2:$AU$1001,MATCH(ROWS($W$2:W980),$W$2:$W$1001,0),MATCH(COLUMNS($AD$1006:AE1006),$AD$1006:$AU$1006,0)), HYPERLINK("#",""), HYPERLINK(CONCATENATE("#metadata!", ADDRESS(INDEX($Y$2:$Y$1001,MATCH(ROWS($W$2:W980),$W$2:$W$1001,0),0), INDEX($AD$1004:$AU$1004,1,MATCH(COLUMNS($AD$1006:AE1006),$AD$1006:$AU$1006,0)))),"Fix")))</f>
        <v xml:space="preserve"> </v>
      </c>
      <c r="D980" s="4" t="str">
        <f ca="1">IF(OR(INDEX($X$2:$X$1001,MATCH(ROWS($W$2:W980),$W$2:$W$1001,0),1)&gt;=100000,INDEX($AD$1005:$AU$1005,1,MATCH(COLUMNS($AD$1006:AF1006),$AD$1006:$AU$1006,0))&gt;=100000), " ",IF(INDEX($AD$2:$AU$1001,MATCH(ROWS($W$2:W980),$W$2:$W$1001,0),MATCH(COLUMNS($AD$1006:AF1006),$AD$1006:$AU$1006,0)), HYPERLINK("#",""), HYPERLINK(CONCATENATE("#metadata!", ADDRESS(INDEX($Y$2:$Y$1001,MATCH(ROWS($W$2:W980),$W$2:$W$1001,0),0), INDEX($AD$1004:$AU$1004,1,MATCH(COLUMNS($AD$1006:AF1006),$AD$1006:$AU$1006,0)))),"Fix")))</f>
        <v xml:space="preserve"> </v>
      </c>
      <c r="E980" s="4" t="str">
        <f ca="1">IF(OR(INDEX($X$2:$X$1001,MATCH(ROWS($W$2:W980),$W$2:$W$1001,0),1)&gt;=100000,INDEX($AD$1005:$AU$1005,1,MATCH(COLUMNS($AD$1006:AG1006),$AD$1006:$AU$1006,0))&gt;=100000), " ",IF(INDEX($AD$2:$AU$1001,MATCH(ROWS($W$2:W980),$W$2:$W$1001,0),MATCH(COLUMNS($AD$1006:AG1006),$AD$1006:$AU$1006,0)), HYPERLINK("#",""), HYPERLINK(CONCATENATE("#metadata!", ADDRESS(INDEX($Y$2:$Y$1001,MATCH(ROWS($W$2:W980),$W$2:$W$1001,0),0), INDEX($AD$1004:$AU$1004,1,MATCH(COLUMNS($AD$1006:AG1006),$AD$1006:$AU$1006,0)))),"Fix")))</f>
        <v xml:space="preserve"> </v>
      </c>
      <c r="F980" s="4" t="str">
        <f ca="1">IF(OR(INDEX($X$2:$X$1001,MATCH(ROWS($W$2:W980),$W$2:$W$1001,0),1)&gt;=100000,INDEX($AD$1005:$AU$1005,1,MATCH(COLUMNS($AD$1006:AH1006),$AD$1006:$AU$1006,0))&gt;=100000), " ",IF(INDEX($AD$2:$AU$1001,MATCH(ROWS($W$2:W980),$W$2:$W$1001,0),MATCH(COLUMNS($AD$1006:AH1006),$AD$1006:$AU$1006,0)), HYPERLINK("#",""), HYPERLINK(CONCATENATE("#metadata!", ADDRESS(INDEX($Y$2:$Y$1001,MATCH(ROWS($W$2:W980),$W$2:$W$1001,0),0), INDEX($AD$1004:$AU$1004,1,MATCH(COLUMNS($AD$1006:AH1006),$AD$1006:$AU$1006,0)))),"Fix")))</f>
        <v xml:space="preserve"> </v>
      </c>
      <c r="G980" s="4" t="str">
        <f ca="1">IF(OR(INDEX($X$2:$X$1001,MATCH(ROWS($W$2:W980),$W$2:$W$1001,0),1)&gt;=100000,INDEX($AD$1005:$AU$1005,1,MATCH(COLUMNS($AD$1006:AI1006),$AD$1006:$AU$1006,0))&gt;=100000), " ",IF(INDEX($AD$2:$AU$1001,MATCH(ROWS($W$2:W980),$W$2:$W$1001,0),MATCH(COLUMNS($AD$1006:AI1006),$AD$1006:$AU$1006,0)), HYPERLINK("#",""), HYPERLINK(CONCATENATE("#metadata!", ADDRESS(INDEX($Y$2:$Y$1001,MATCH(ROWS($W$2:W980),$W$2:$W$1001,0),0), INDEX($AD$1004:$AU$1004,1,MATCH(COLUMNS($AD$1006:AI1006),$AD$1006:$AU$1006,0)))),"Fix")))</f>
        <v xml:space="preserve"> </v>
      </c>
      <c r="H980" s="4" t="str">
        <f ca="1">IF(OR(INDEX($X$2:$X$1001,MATCH(ROWS($W$2:W980),$W$2:$W$1001,0),1)&gt;=100000,INDEX($AD$1005:$AU$1005,1,MATCH(COLUMNS($AD$1006:AJ1006),$AD$1006:$AU$1006,0))&gt;=100000), " ",IF(INDEX($AD$2:$AU$1001,MATCH(ROWS($W$2:W980),$W$2:$W$1001,0),MATCH(COLUMNS($AD$1006:AJ1006),$AD$1006:$AU$1006,0)), HYPERLINK("#",""), HYPERLINK(CONCATENATE("#metadata!", ADDRESS(INDEX($Y$2:$Y$1001,MATCH(ROWS($W$2:W980),$W$2:$W$1001,0),0), INDEX($AD$1004:$AU$1004,1,MATCH(COLUMNS($AD$1006:AJ1006),$AD$1006:$AU$1006,0)))),"Fix")))</f>
        <v xml:space="preserve"> </v>
      </c>
      <c r="I980" s="4" t="str">
        <f ca="1">IF(OR(INDEX($X$2:$X$1001,MATCH(ROWS($W$2:W980),$W$2:$W$1001,0),1)&gt;=100000,INDEX($AD$1005:$AU$1005,1,MATCH(COLUMNS($AD$1006:AK1006),$AD$1006:$AU$1006,0))&gt;=100000), " ",IF(INDEX($AD$2:$AU$1001,MATCH(ROWS($W$2:W980),$W$2:$W$1001,0),MATCH(COLUMNS($AD$1006:AK1006),$AD$1006:$AU$1006,0)), HYPERLINK("#",""), HYPERLINK(CONCATENATE("#metadata!", ADDRESS(INDEX($Y$2:$Y$1001,MATCH(ROWS($W$2:W980),$W$2:$W$1001,0),0), INDEX($AD$1004:$AU$1004,1,MATCH(COLUMNS($AD$1006:AK1006),$AD$1006:$AU$1006,0)))),"Fix")))</f>
        <v xml:space="preserve"> </v>
      </c>
      <c r="J980" s="4" t="str">
        <f ca="1">IF(OR(INDEX($X$2:$X$1001,MATCH(ROWS($W$2:W980),$W$2:$W$1001,0),1)&gt;=100000,INDEX($AD$1005:$AU$1005,1,MATCH(COLUMNS($AD$1006:AL1006),$AD$1006:$AU$1006,0))&gt;=100000), " ",IF(INDEX($AD$2:$AU$1001,MATCH(ROWS($W$2:W980),$W$2:$W$1001,0),MATCH(COLUMNS($AD$1006:AL1006),$AD$1006:$AU$1006,0)), HYPERLINK("#",""), HYPERLINK(CONCATENATE("#metadata!", ADDRESS(INDEX($Y$2:$Y$1001,MATCH(ROWS($W$2:W980),$W$2:$W$1001,0),0), INDEX($AD$1004:$AU$1004,1,MATCH(COLUMNS($AD$1006:AL1006),$AD$1006:$AU$1006,0)))),"Fix")))</f>
        <v xml:space="preserve"> </v>
      </c>
      <c r="K980" s="4" t="str">
        <f ca="1">IF(OR(INDEX($X$2:$X$1001,MATCH(ROWS($W$2:W980),$W$2:$W$1001,0),1)&gt;=100000,INDEX($AD$1005:$AU$1005,1,MATCH(COLUMNS($AD$1006:AM1006),$AD$1006:$AU$1006,0))&gt;=100000), " ",IF(INDEX($AD$2:$AU$1001,MATCH(ROWS($W$2:W980),$W$2:$W$1001,0),MATCH(COLUMNS($AD$1006:AM1006),$AD$1006:$AU$1006,0)), HYPERLINK("#",""), HYPERLINK(CONCATENATE("#metadata!", ADDRESS(INDEX($Y$2:$Y$1001,MATCH(ROWS($W$2:W980),$W$2:$W$1001,0),0), INDEX($AD$1004:$AU$1004,1,MATCH(COLUMNS($AD$1006:AM1006),$AD$1006:$AU$1006,0)))),"Fix")))</f>
        <v xml:space="preserve"> </v>
      </c>
      <c r="L980" s="4" t="str">
        <f ca="1">IF(OR(INDEX($X$2:$X$1001,MATCH(ROWS($W$2:W980),$W$2:$W$1001,0),1)&gt;=100000,INDEX($AD$1005:$AU$1005,1,MATCH(COLUMNS($AD$1006:AN1006),$AD$1006:$AU$1006,0))&gt;=100000), " ",IF(INDEX($AD$2:$AU$1001,MATCH(ROWS($W$2:W980),$W$2:$W$1001,0),MATCH(COLUMNS($AD$1006:AN1006),$AD$1006:$AU$1006,0)), HYPERLINK("#",""), HYPERLINK(CONCATENATE("#metadata!", ADDRESS(INDEX($Y$2:$Y$1001,MATCH(ROWS($W$2:W980),$W$2:$W$1001,0),0), INDEX($AD$1004:$AU$1004,1,MATCH(COLUMNS($AD$1006:AN1006),$AD$1006:$AU$1006,0)))),"Fix")))</f>
        <v xml:space="preserve"> </v>
      </c>
      <c r="M980" s="4" t="str">
        <f ca="1">IF(OR(INDEX($X$2:$X$1001,MATCH(ROWS($W$2:W980),$W$2:$W$1001,0),1)&gt;=100000,INDEX($AD$1005:$AU$1005,1,MATCH(COLUMNS($AD$1006:AO1006),$AD$1006:$AU$1006,0))&gt;=100000), " ",IF(INDEX($AD$2:$AU$1001,MATCH(ROWS($W$2:W980),$W$2:$W$1001,0),MATCH(COLUMNS($AD$1006:AO1006),$AD$1006:$AU$1006,0)), HYPERLINK("#",""), HYPERLINK(CONCATENATE("#metadata!", ADDRESS(INDEX($Y$2:$Y$1001,MATCH(ROWS($W$2:W980),$W$2:$W$1001,0),0), INDEX($AD$1004:$AU$1004,1,MATCH(COLUMNS($AD$1006:AO1006),$AD$1006:$AU$1006,0)))),"Fix")))</f>
        <v xml:space="preserve"> </v>
      </c>
      <c r="N980" s="4" t="str">
        <f ca="1">IF(OR(INDEX($X$2:$X$1001,MATCH(ROWS($W$2:W980),$W$2:$W$1001,0),1)&gt;=100000,INDEX($AD$1005:$AU$1005,1,MATCH(COLUMNS($AD$1006:AP1006),$AD$1006:$AU$1006,0))&gt;=100000), " ",IF(INDEX($AD$2:$AU$1001,MATCH(ROWS($W$2:W980),$W$2:$W$1001,0),MATCH(COLUMNS($AD$1006:AP1006),$AD$1006:$AU$1006,0)), HYPERLINK("#",""), HYPERLINK(CONCATENATE("#metadata!", ADDRESS(INDEX($Y$2:$Y$1001,MATCH(ROWS($W$2:W980),$W$2:$W$1001,0),0), INDEX($AD$1004:$AU$1004,1,MATCH(COLUMNS($AD$1006:AP1006),$AD$1006:$AU$1006,0)))),"Fix")))</f>
        <v xml:space="preserve"> </v>
      </c>
      <c r="O980" s="4" t="str">
        <f ca="1">IF(OR(INDEX($X$2:$X$1001,MATCH(ROWS($W$2:W980),$W$2:$W$1001,0),1)&gt;=100000,INDEX($AD$1005:$AU$1005,1,MATCH(COLUMNS($AD$1006:AQ1006),$AD$1006:$AU$1006,0))&gt;=100000), " ",IF(INDEX($AD$2:$AU$1001,MATCH(ROWS($W$2:W980),$W$2:$W$1001,0),MATCH(COLUMNS($AD$1006:AQ1006),$AD$1006:$AU$1006,0)), HYPERLINK("#",""), HYPERLINK(CONCATENATE("#metadata!", ADDRESS(INDEX($Y$2:$Y$1001,MATCH(ROWS($W$2:W980),$W$2:$W$1001,0),0), INDEX($AD$1004:$AU$1004,1,MATCH(COLUMNS($AD$1006:AQ1006),$AD$1006:$AU$1006,0)))),"Fix")))</f>
        <v xml:space="preserve"> </v>
      </c>
      <c r="P980" s="4" t="str">
        <f ca="1">IF(OR(INDEX($X$2:$X$1001,MATCH(ROWS($W$2:W980),$W$2:$W$1001,0),1)&gt;=100000,INDEX($AD$1005:$AU$1005,1,MATCH(COLUMNS($AD$1006:AR1006),$AD$1006:$AU$1006,0))&gt;=100000), " ",IF(INDEX($AD$2:$AU$1001,MATCH(ROWS($W$2:W980),$W$2:$W$1001,0),MATCH(COLUMNS($AD$1006:AR1006),$AD$1006:$AU$1006,0)), HYPERLINK("#",""), HYPERLINK(CONCATENATE("#metadata!", ADDRESS(INDEX($Y$2:$Y$1001,MATCH(ROWS($W$2:W980),$W$2:$W$1001,0),0), INDEX($AD$1004:$AU$1004,1,MATCH(COLUMNS($AD$1006:AR1006),$AD$1006:$AU$1006,0)))),"Fix")))</f>
        <v xml:space="preserve"> </v>
      </c>
      <c r="Q980" s="4" t="str">
        <f ca="1">IF(OR(INDEX($X$2:$X$1001,MATCH(ROWS($W$2:W980),$W$2:$W$1001,0),1)&gt;=100000,INDEX($AD$1005:$AU$1005,1,MATCH(COLUMNS($AD$1006:AS1006),$AD$1006:$AU$1006,0))&gt;=100000), " ",IF(INDEX($AD$2:$AU$1001,MATCH(ROWS($W$2:W980),$W$2:$W$1001,0),MATCH(COLUMNS($AD$1006:AS1006),$AD$1006:$AU$1006,0)), HYPERLINK("#",""), HYPERLINK(CONCATENATE("#metadata!", ADDRESS(INDEX($Y$2:$Y$1001,MATCH(ROWS($W$2:W980),$W$2:$W$1001,0),0), INDEX($AD$1004:$AU$1004,1,MATCH(COLUMNS($AD$1006:AS1006),$AD$1006:$AU$1006,0)))),"Fix")))</f>
        <v xml:space="preserve"> </v>
      </c>
      <c r="R980" s="4" t="str">
        <f ca="1">IF(OR(INDEX($X$2:$X$1001,MATCH(ROWS($W$2:W980),$W$2:$W$1001,0),1)&gt;=100000,INDEX($AD$1005:$AU$1005,1,MATCH(COLUMNS($AD$1006:AT1006),$AD$1006:$AU$1006,0))&gt;=100000), " ",IF(INDEX($AD$2:$AU$1001,MATCH(ROWS($W$2:W980),$W$2:$W$1001,0),MATCH(COLUMNS($AD$1006:AT1006),$AD$1006:$AU$1006,0)), HYPERLINK("#",""), HYPERLINK(CONCATENATE("#metadata!", ADDRESS(INDEX($Y$2:$Y$1001,MATCH(ROWS($W$2:W980),$W$2:$W$1001,0),0), INDEX($AD$1004:$AU$1004,1,MATCH(COLUMNS($AD$1006:AT1006),$AD$1006:$AU$1006,0)))),"Fix")))</f>
        <v xml:space="preserve"> </v>
      </c>
      <c r="S980" s="4" t="str">
        <f ca="1">IF(OR(INDEX($X$2:$X$1001,MATCH(ROWS($W$2:W980),$W$2:$W$1001,0),1)&gt;=100000,INDEX($AD$1005:$AU$1005,1,MATCH(COLUMNS($AD$1006:AU1006),$AD$1006:$AU$1006,0))&gt;=100000), " ",IF(INDEX($AD$2:$AU$1001,MATCH(ROWS($W$2:W980),$W$2:$W$1001,0),MATCH(COLUMNS($AD$1006:AU1006),$AD$1006:$AU$1006,0)), HYPERLINK("#",""), HYPERLINK(CONCATENATE("#metadata!", ADDRESS(INDEX($Y$2:$Y$1001,MATCH(ROWS($W$2:W980),$W$2:$W$1001,0),0), INDEX($AD$1004:$AU$1004,1,MATCH(COLUMNS($AD$1006:AU1006),$AD$1006:$AU$1006,0)))),"Fix")))</f>
        <v xml:space="preserve"> </v>
      </c>
      <c r="W980">
        <v>979</v>
      </c>
      <c r="X980">
        <v>100980</v>
      </c>
      <c r="Y980">
        <v>980</v>
      </c>
      <c r="Z980" t="b">
        <f t="shared" si="15"/>
        <v>1</v>
      </c>
      <c r="AA980" t="b">
        <f>COUNTBLANK(metadata!B980:S980)=COLUMNS(metadata!B980:S980)</f>
        <v>1</v>
      </c>
      <c r="AB980" t="str">
        <v/>
      </c>
      <c r="AD980" t="b">
        <f ca="1">AND(IF(metadata!B980="",FALSE,TRUE),COUNTIF(metadata!B:B, metadata!B980) = 1,NOT(ISERROR(SUMPRODUCT(SEARCH(MID(metadata!B980,ROW(INDIRECT("1:"&amp;LEN(metadata!B980))), 1),"0123456789abcdefghijklmnopqrstuvwxyzABCDEFGHIJKLMNOPQRSTUVWXYZ.")))))</f>
        <v>0</v>
      </c>
      <c r="AE980" t="b">
        <f>OR(AND(IF(metadata!C980="",FALSE,TRUE),OR(EXACT(metadata!C980,"not applicable"),EXACT(metadata!C980,"missing: not collected"),EXACT(metadata!C980,"missing: not provided"),EXACT(metadata!C980,"missing: restricted access"))),AND(IF(metadata!C980="",FALSE,ISNUMBER(VALUE(metadata!C980))),metadata!C980&gt;0))</f>
        <v>0</v>
      </c>
      <c r="AF980" t="b">
        <f>AND(IF(metadata!D980="",FALSE,TRUE),EXACT(metadata!D980,"missing: not provided"))</f>
        <v>0</v>
      </c>
      <c r="AG980" t="b">
        <f>AND(IF(metadata!E980="",FALSE,TRUE),EXACT(metadata!E980,"Host-associated"))</f>
        <v>0</v>
      </c>
      <c r="AH980" t="b">
        <f>AND(IF(metadata!F980="",FALSE,TRUE),OR(EXACT(metadata!F980,"Animal"),EXACT(metadata!F980,"Fungus"),EXACT(metadata!F980,"Plant")))</f>
        <v>0</v>
      </c>
      <c r="AI980" t="b">
        <f>AND(IF(metadata!G980="",FALSE,TRUE),OR(EXACT(metadata!G980,"Plant secretion"),EXACT(metadata!G980,"Plant rhizosphere"),EXACT(metadata!G980,"Plant surface"),EXACT(metadata!G980,"Plant corpus"),EXACT(metadata!G980,"Fungus surface"),EXACT(metadata!G980,"Fungus corpus"),EXACT(metadata!G980,"Animal surface"),EXACT(metadata!G980,"Animal proximal gut"),EXACT(metadata!G980,"Animal corpus"),EXACT(metadata!G980,"Animal distal gut"),EXACT(metadata!G980,"Animal secretion")))</f>
        <v>0</v>
      </c>
      <c r="AJ980" t="b">
        <f>OR(AND(IF(metadata!H980="",FALSE,TRUE),OR(EXACT(metadata!H980,"missing: not collected"),EXACT(metadata!H980,"missing: not provided"),EXACT(metadata!H980,"missing: restricted access"))),AND(IF(metadata!H980="",FALSE,TRUE),OR(EXACT(metadata!H980,"organism-associated habitat"),EXACT(metadata!H980,"plant-associated habitat"),EXACT(metadata!H980,"animal-associated habitat"),EXACT(metadata!H980,"insecta-associated habitat"),EXACT(metadata!H980,"mammalia-associated habitat"),EXACT(metadata!H980,"human-associated habitat"),EXACT(metadata!H980,"livestock-associated habitat"))))</f>
        <v>0</v>
      </c>
      <c r="AK980" t="b">
        <f>AND(IF(metadata!I980="",FALSE,TRUE),EXACT(metadata!I980,"host-associated"))</f>
        <v>0</v>
      </c>
      <c r="AL980" t="b">
        <f>OR(AND(IF(metadata!J980="",FALSE,TRUE),OR(EXACT(metadata!J980,"not applicable"),EXACT(metadata!J980,"missing: not collected"),EXACT(metadata!J980,"missing: not provided"),EXACT(metadata!J980,"missing: restricted access"))),AND(IF(metadata!J980="",FALSE,ISNUMBER(VALUE(metadata!J980))),metadata!J980&gt;0))</f>
        <v>0</v>
      </c>
      <c r="AM980" t="b">
        <f>AND(IF(metadata!K980="",FALSE,TRUE),EXACT(metadata!K980,"missing: not provided"))</f>
        <v>0</v>
      </c>
      <c r="AN980" t="b">
        <f>IF(metadata!L980="",FALSE,TRUE)</f>
        <v>0</v>
      </c>
      <c r="AO980" t="b">
        <f>IF(metadata!M980="",FALSE,TRUE)</f>
        <v>0</v>
      </c>
      <c r="AP980" t="b">
        <f>OR(AND(IF(metadata!N980="",FALSE,TRUE),OR(EXACT(metadata!N980,"not applicable"),EXACT(metadata!N980,"missing: not collected"),EXACT(metadata!N980,"missing: not provided"))),AND(IF(metadata!N980="",FALSE,IF(ISERROR(INT(metadata!N980)),FALSE,INT(metadata!N980)=metadata!N980)),metadata!N980&gt;0))</f>
        <v>0</v>
      </c>
      <c r="AQ980" t="b">
        <f>AND(IF(metadata!O980="",FALSE,TRUE),EXACT(metadata!O980,"Not applicable"))</f>
        <v>0</v>
      </c>
      <c r="AR980" t="b">
        <f>OR(AND(IF(metadata!P980="",FALSE,TRUE),OR(EXACT(metadata!P980,"not applicable"),EXACT(metadata!P980,"missing: not collected"),EXACT(metadata!P980,"missing: not provided"),EXACT(metadata!P980,"missing: restricted access"))),IF(metadata!P980="",FALSE,IF(ISERROR(INT(metadata!P980)),FALSE,INT(metadata!P980)=metadata!P980)))</f>
        <v>0</v>
      </c>
      <c r="AS980" t="b">
        <f>AND(IF(metadata!Q980="",FALSE,TRUE),EXACT(metadata!Q980,"Not applicable"))</f>
        <v>0</v>
      </c>
      <c r="AT980" t="b">
        <f>OR(AND(IF(metadata!R980="",FALSE,TRUE),OR(EXACT(metadata!R980,"not applicable"),EXACT(metadata!R980,"missing: not collected"),EXACT(metadata!R980,"missing: not provided"),EXACT(metadata!R980,"missing: restricted access"))),AND(IF(metadata!R980="",FALSE,ISNUMBER(VALUE(metadata!R980))),metadata!R980&gt;0))</f>
        <v>0</v>
      </c>
      <c r="AU980" t="b">
        <f>AND(IF(metadata!S980="",FALSE,TRUE),EXACT(metadata!S980,"missing: not provided"))</f>
        <v>0</v>
      </c>
    </row>
    <row r="981" spans="1:47" x14ac:dyDescent="0.2">
      <c r="A981" s="5" t="str">
        <f ca="1">IF(B981=" "," ",HYPERLINK(CONCATENATE("#metadata!",ADDRESS(INDEX($Y$2:$Y$1001,MATCH(ROWS($W$2:W981),$W$2:$W$1001,0),0),1)),INDEX($AB$2:$AB$1001,MATCH(ROWS($W$2:W981),$W$2:$W$1001,0),0)))</f>
        <v xml:space="preserve"> </v>
      </c>
      <c r="B981" s="4" t="str">
        <f ca="1">IF(OR(INDEX($X$2:$X$1001,MATCH(ROWS($W$2:W981),$W$2:$W$1001,0),1)&gt;=100000,INDEX($AD$1005:$AU$1005,1,MATCH(COLUMNS($AD$1006:AD1006),$AD$1006:$AU$1006,0))&gt;=100000), " ",IF(INDEX($AD$2:$AU$1001,MATCH(ROWS($W$2:W981),$W$2:$W$1001,0),MATCH(COLUMNS($AD$1006:AD1006),$AD$1006:$AU$1006,0)), HYPERLINK("#",""), HYPERLINK(CONCATENATE("#metadata!", ADDRESS(INDEX($Y$2:$Y$1001,MATCH(ROWS($W$2:W981),$W$2:$W$1001,0),0), INDEX($AD$1004:$AU$1004,1,MATCH(COLUMNS($AD$1006:AD1006),$AD$1006:$AU$1006,0)))),"Fix")))</f>
        <v xml:space="preserve"> </v>
      </c>
      <c r="C981" s="4" t="str">
        <f ca="1">IF(OR(INDEX($X$2:$X$1001,MATCH(ROWS($W$2:W981),$W$2:$W$1001,0),1)&gt;=100000,INDEX($AD$1005:$AU$1005,1,MATCH(COLUMNS($AD$1006:AE1006),$AD$1006:$AU$1006,0))&gt;=100000), " ",IF(INDEX($AD$2:$AU$1001,MATCH(ROWS($W$2:W981),$W$2:$W$1001,0),MATCH(COLUMNS($AD$1006:AE1006),$AD$1006:$AU$1006,0)), HYPERLINK("#",""), HYPERLINK(CONCATENATE("#metadata!", ADDRESS(INDEX($Y$2:$Y$1001,MATCH(ROWS($W$2:W981),$W$2:$W$1001,0),0), INDEX($AD$1004:$AU$1004,1,MATCH(COLUMNS($AD$1006:AE1006),$AD$1006:$AU$1006,0)))),"Fix")))</f>
        <v xml:space="preserve"> </v>
      </c>
      <c r="D981" s="4" t="str">
        <f ca="1">IF(OR(INDEX($X$2:$X$1001,MATCH(ROWS($W$2:W981),$W$2:$W$1001,0),1)&gt;=100000,INDEX($AD$1005:$AU$1005,1,MATCH(COLUMNS($AD$1006:AF1006),$AD$1006:$AU$1006,0))&gt;=100000), " ",IF(INDEX($AD$2:$AU$1001,MATCH(ROWS($W$2:W981),$W$2:$W$1001,0),MATCH(COLUMNS($AD$1006:AF1006),$AD$1006:$AU$1006,0)), HYPERLINK("#",""), HYPERLINK(CONCATENATE("#metadata!", ADDRESS(INDEX($Y$2:$Y$1001,MATCH(ROWS($W$2:W981),$W$2:$W$1001,0),0), INDEX($AD$1004:$AU$1004,1,MATCH(COLUMNS($AD$1006:AF1006),$AD$1006:$AU$1006,0)))),"Fix")))</f>
        <v xml:space="preserve"> </v>
      </c>
      <c r="E981" s="4" t="str">
        <f ca="1">IF(OR(INDEX($X$2:$X$1001,MATCH(ROWS($W$2:W981),$W$2:$W$1001,0),1)&gt;=100000,INDEX($AD$1005:$AU$1005,1,MATCH(COLUMNS($AD$1006:AG1006),$AD$1006:$AU$1006,0))&gt;=100000), " ",IF(INDEX($AD$2:$AU$1001,MATCH(ROWS($W$2:W981),$W$2:$W$1001,0),MATCH(COLUMNS($AD$1006:AG1006),$AD$1006:$AU$1006,0)), HYPERLINK("#",""), HYPERLINK(CONCATENATE("#metadata!", ADDRESS(INDEX($Y$2:$Y$1001,MATCH(ROWS($W$2:W981),$W$2:$W$1001,0),0), INDEX($AD$1004:$AU$1004,1,MATCH(COLUMNS($AD$1006:AG1006),$AD$1006:$AU$1006,0)))),"Fix")))</f>
        <v xml:space="preserve"> </v>
      </c>
      <c r="F981" s="4" t="str">
        <f ca="1">IF(OR(INDEX($X$2:$X$1001,MATCH(ROWS($W$2:W981),$W$2:$W$1001,0),1)&gt;=100000,INDEX($AD$1005:$AU$1005,1,MATCH(COLUMNS($AD$1006:AH1006),$AD$1006:$AU$1006,0))&gt;=100000), " ",IF(INDEX($AD$2:$AU$1001,MATCH(ROWS($W$2:W981),$W$2:$W$1001,0),MATCH(COLUMNS($AD$1006:AH1006),$AD$1006:$AU$1006,0)), HYPERLINK("#",""), HYPERLINK(CONCATENATE("#metadata!", ADDRESS(INDEX($Y$2:$Y$1001,MATCH(ROWS($W$2:W981),$W$2:$W$1001,0),0), INDEX($AD$1004:$AU$1004,1,MATCH(COLUMNS($AD$1006:AH1006),$AD$1006:$AU$1006,0)))),"Fix")))</f>
        <v xml:space="preserve"> </v>
      </c>
      <c r="G981" s="4" t="str">
        <f ca="1">IF(OR(INDEX($X$2:$X$1001,MATCH(ROWS($W$2:W981),$W$2:$W$1001,0),1)&gt;=100000,INDEX($AD$1005:$AU$1005,1,MATCH(COLUMNS($AD$1006:AI1006),$AD$1006:$AU$1006,0))&gt;=100000), " ",IF(INDEX($AD$2:$AU$1001,MATCH(ROWS($W$2:W981),$W$2:$W$1001,0),MATCH(COLUMNS($AD$1006:AI1006),$AD$1006:$AU$1006,0)), HYPERLINK("#",""), HYPERLINK(CONCATENATE("#metadata!", ADDRESS(INDEX($Y$2:$Y$1001,MATCH(ROWS($W$2:W981),$W$2:$W$1001,0),0), INDEX($AD$1004:$AU$1004,1,MATCH(COLUMNS($AD$1006:AI1006),$AD$1006:$AU$1006,0)))),"Fix")))</f>
        <v xml:space="preserve"> </v>
      </c>
      <c r="H981" s="4" t="str">
        <f ca="1">IF(OR(INDEX($X$2:$X$1001,MATCH(ROWS($W$2:W981),$W$2:$W$1001,0),1)&gt;=100000,INDEX($AD$1005:$AU$1005,1,MATCH(COLUMNS($AD$1006:AJ1006),$AD$1006:$AU$1006,0))&gt;=100000), " ",IF(INDEX($AD$2:$AU$1001,MATCH(ROWS($W$2:W981),$W$2:$W$1001,0),MATCH(COLUMNS($AD$1006:AJ1006),$AD$1006:$AU$1006,0)), HYPERLINK("#",""), HYPERLINK(CONCATENATE("#metadata!", ADDRESS(INDEX($Y$2:$Y$1001,MATCH(ROWS($W$2:W981),$W$2:$W$1001,0),0), INDEX($AD$1004:$AU$1004,1,MATCH(COLUMNS($AD$1006:AJ1006),$AD$1006:$AU$1006,0)))),"Fix")))</f>
        <v xml:space="preserve"> </v>
      </c>
      <c r="I981" s="4" t="str">
        <f ca="1">IF(OR(INDEX($X$2:$X$1001,MATCH(ROWS($W$2:W981),$W$2:$W$1001,0),1)&gt;=100000,INDEX($AD$1005:$AU$1005,1,MATCH(COLUMNS($AD$1006:AK1006),$AD$1006:$AU$1006,0))&gt;=100000), " ",IF(INDEX($AD$2:$AU$1001,MATCH(ROWS($W$2:W981),$W$2:$W$1001,0),MATCH(COLUMNS($AD$1006:AK1006),$AD$1006:$AU$1006,0)), HYPERLINK("#",""), HYPERLINK(CONCATENATE("#metadata!", ADDRESS(INDEX($Y$2:$Y$1001,MATCH(ROWS($W$2:W981),$W$2:$W$1001,0),0), INDEX($AD$1004:$AU$1004,1,MATCH(COLUMNS($AD$1006:AK1006),$AD$1006:$AU$1006,0)))),"Fix")))</f>
        <v xml:space="preserve"> </v>
      </c>
      <c r="J981" s="4" t="str">
        <f ca="1">IF(OR(INDEX($X$2:$X$1001,MATCH(ROWS($W$2:W981),$W$2:$W$1001,0),1)&gt;=100000,INDEX($AD$1005:$AU$1005,1,MATCH(COLUMNS($AD$1006:AL1006),$AD$1006:$AU$1006,0))&gt;=100000), " ",IF(INDEX($AD$2:$AU$1001,MATCH(ROWS($W$2:W981),$W$2:$W$1001,0),MATCH(COLUMNS($AD$1006:AL1006),$AD$1006:$AU$1006,0)), HYPERLINK("#",""), HYPERLINK(CONCATENATE("#metadata!", ADDRESS(INDEX($Y$2:$Y$1001,MATCH(ROWS($W$2:W981),$W$2:$W$1001,0),0), INDEX($AD$1004:$AU$1004,1,MATCH(COLUMNS($AD$1006:AL1006),$AD$1006:$AU$1006,0)))),"Fix")))</f>
        <v xml:space="preserve"> </v>
      </c>
      <c r="K981" s="4" t="str">
        <f ca="1">IF(OR(INDEX($X$2:$X$1001,MATCH(ROWS($W$2:W981),$W$2:$W$1001,0),1)&gt;=100000,INDEX($AD$1005:$AU$1005,1,MATCH(COLUMNS($AD$1006:AM1006),$AD$1006:$AU$1006,0))&gt;=100000), " ",IF(INDEX($AD$2:$AU$1001,MATCH(ROWS($W$2:W981),$W$2:$W$1001,0),MATCH(COLUMNS($AD$1006:AM1006),$AD$1006:$AU$1006,0)), HYPERLINK("#",""), HYPERLINK(CONCATENATE("#metadata!", ADDRESS(INDEX($Y$2:$Y$1001,MATCH(ROWS($W$2:W981),$W$2:$W$1001,0),0), INDEX($AD$1004:$AU$1004,1,MATCH(COLUMNS($AD$1006:AM1006),$AD$1006:$AU$1006,0)))),"Fix")))</f>
        <v xml:space="preserve"> </v>
      </c>
      <c r="L981" s="4" t="str">
        <f ca="1">IF(OR(INDEX($X$2:$X$1001,MATCH(ROWS($W$2:W981),$W$2:$W$1001,0),1)&gt;=100000,INDEX($AD$1005:$AU$1005,1,MATCH(COLUMNS($AD$1006:AN1006),$AD$1006:$AU$1006,0))&gt;=100000), " ",IF(INDEX($AD$2:$AU$1001,MATCH(ROWS($W$2:W981),$W$2:$W$1001,0),MATCH(COLUMNS($AD$1006:AN1006),$AD$1006:$AU$1006,0)), HYPERLINK("#",""), HYPERLINK(CONCATENATE("#metadata!", ADDRESS(INDEX($Y$2:$Y$1001,MATCH(ROWS($W$2:W981),$W$2:$W$1001,0),0), INDEX($AD$1004:$AU$1004,1,MATCH(COLUMNS($AD$1006:AN1006),$AD$1006:$AU$1006,0)))),"Fix")))</f>
        <v xml:space="preserve"> </v>
      </c>
      <c r="M981" s="4" t="str">
        <f ca="1">IF(OR(INDEX($X$2:$X$1001,MATCH(ROWS($W$2:W981),$W$2:$W$1001,0),1)&gt;=100000,INDEX($AD$1005:$AU$1005,1,MATCH(COLUMNS($AD$1006:AO1006),$AD$1006:$AU$1006,0))&gt;=100000), " ",IF(INDEX($AD$2:$AU$1001,MATCH(ROWS($W$2:W981),$W$2:$W$1001,0),MATCH(COLUMNS($AD$1006:AO1006),$AD$1006:$AU$1006,0)), HYPERLINK("#",""), HYPERLINK(CONCATENATE("#metadata!", ADDRESS(INDEX($Y$2:$Y$1001,MATCH(ROWS($W$2:W981),$W$2:$W$1001,0),0), INDEX($AD$1004:$AU$1004,1,MATCH(COLUMNS($AD$1006:AO1006),$AD$1006:$AU$1006,0)))),"Fix")))</f>
        <v xml:space="preserve"> </v>
      </c>
      <c r="N981" s="4" t="str">
        <f ca="1">IF(OR(INDEX($X$2:$X$1001,MATCH(ROWS($W$2:W981),$W$2:$W$1001,0),1)&gt;=100000,INDEX($AD$1005:$AU$1005,1,MATCH(COLUMNS($AD$1006:AP1006),$AD$1006:$AU$1006,0))&gt;=100000), " ",IF(INDEX($AD$2:$AU$1001,MATCH(ROWS($W$2:W981),$W$2:$W$1001,0),MATCH(COLUMNS($AD$1006:AP1006),$AD$1006:$AU$1006,0)), HYPERLINK("#",""), HYPERLINK(CONCATENATE("#metadata!", ADDRESS(INDEX($Y$2:$Y$1001,MATCH(ROWS($W$2:W981),$W$2:$W$1001,0),0), INDEX($AD$1004:$AU$1004,1,MATCH(COLUMNS($AD$1006:AP1006),$AD$1006:$AU$1006,0)))),"Fix")))</f>
        <v xml:space="preserve"> </v>
      </c>
      <c r="O981" s="4" t="str">
        <f ca="1">IF(OR(INDEX($X$2:$X$1001,MATCH(ROWS($W$2:W981),$W$2:$W$1001,0),1)&gt;=100000,INDEX($AD$1005:$AU$1005,1,MATCH(COLUMNS($AD$1006:AQ1006),$AD$1006:$AU$1006,0))&gt;=100000), " ",IF(INDEX($AD$2:$AU$1001,MATCH(ROWS($W$2:W981),$W$2:$W$1001,0),MATCH(COLUMNS($AD$1006:AQ1006),$AD$1006:$AU$1006,0)), HYPERLINK("#",""), HYPERLINK(CONCATENATE("#metadata!", ADDRESS(INDEX($Y$2:$Y$1001,MATCH(ROWS($W$2:W981),$W$2:$W$1001,0),0), INDEX($AD$1004:$AU$1004,1,MATCH(COLUMNS($AD$1006:AQ1006),$AD$1006:$AU$1006,0)))),"Fix")))</f>
        <v xml:space="preserve"> </v>
      </c>
      <c r="P981" s="4" t="str">
        <f ca="1">IF(OR(INDEX($X$2:$X$1001,MATCH(ROWS($W$2:W981),$W$2:$W$1001,0),1)&gt;=100000,INDEX($AD$1005:$AU$1005,1,MATCH(COLUMNS($AD$1006:AR1006),$AD$1006:$AU$1006,0))&gt;=100000), " ",IF(INDEX($AD$2:$AU$1001,MATCH(ROWS($W$2:W981),$W$2:$W$1001,0),MATCH(COLUMNS($AD$1006:AR1006),$AD$1006:$AU$1006,0)), HYPERLINK("#",""), HYPERLINK(CONCATENATE("#metadata!", ADDRESS(INDEX($Y$2:$Y$1001,MATCH(ROWS($W$2:W981),$W$2:$W$1001,0),0), INDEX($AD$1004:$AU$1004,1,MATCH(COLUMNS($AD$1006:AR1006),$AD$1006:$AU$1006,0)))),"Fix")))</f>
        <v xml:space="preserve"> </v>
      </c>
      <c r="Q981" s="4" t="str">
        <f ca="1">IF(OR(INDEX($X$2:$X$1001,MATCH(ROWS($W$2:W981),$W$2:$W$1001,0),1)&gt;=100000,INDEX($AD$1005:$AU$1005,1,MATCH(COLUMNS($AD$1006:AS1006),$AD$1006:$AU$1006,0))&gt;=100000), " ",IF(INDEX($AD$2:$AU$1001,MATCH(ROWS($W$2:W981),$W$2:$W$1001,0),MATCH(COLUMNS($AD$1006:AS1006),$AD$1006:$AU$1006,0)), HYPERLINK("#",""), HYPERLINK(CONCATENATE("#metadata!", ADDRESS(INDEX($Y$2:$Y$1001,MATCH(ROWS($W$2:W981),$W$2:$W$1001,0),0), INDEX($AD$1004:$AU$1004,1,MATCH(COLUMNS($AD$1006:AS1006),$AD$1006:$AU$1006,0)))),"Fix")))</f>
        <v xml:space="preserve"> </v>
      </c>
      <c r="R981" s="4" t="str">
        <f ca="1">IF(OR(INDEX($X$2:$X$1001,MATCH(ROWS($W$2:W981),$W$2:$W$1001,0),1)&gt;=100000,INDEX($AD$1005:$AU$1005,1,MATCH(COLUMNS($AD$1006:AT1006),$AD$1006:$AU$1006,0))&gt;=100000), " ",IF(INDEX($AD$2:$AU$1001,MATCH(ROWS($W$2:W981),$W$2:$W$1001,0),MATCH(COLUMNS($AD$1006:AT1006),$AD$1006:$AU$1006,0)), HYPERLINK("#",""), HYPERLINK(CONCATENATE("#metadata!", ADDRESS(INDEX($Y$2:$Y$1001,MATCH(ROWS($W$2:W981),$W$2:$W$1001,0),0), INDEX($AD$1004:$AU$1004,1,MATCH(COLUMNS($AD$1006:AT1006),$AD$1006:$AU$1006,0)))),"Fix")))</f>
        <v xml:space="preserve"> </v>
      </c>
      <c r="S981" s="4" t="str">
        <f ca="1">IF(OR(INDEX($X$2:$X$1001,MATCH(ROWS($W$2:W981),$W$2:$W$1001,0),1)&gt;=100000,INDEX($AD$1005:$AU$1005,1,MATCH(COLUMNS($AD$1006:AU1006),$AD$1006:$AU$1006,0))&gt;=100000), " ",IF(INDEX($AD$2:$AU$1001,MATCH(ROWS($W$2:W981),$W$2:$W$1001,0),MATCH(COLUMNS($AD$1006:AU1006),$AD$1006:$AU$1006,0)), HYPERLINK("#",""), HYPERLINK(CONCATENATE("#metadata!", ADDRESS(INDEX($Y$2:$Y$1001,MATCH(ROWS($W$2:W981),$W$2:$W$1001,0),0), INDEX($AD$1004:$AU$1004,1,MATCH(COLUMNS($AD$1006:AU1006),$AD$1006:$AU$1006,0)))),"Fix")))</f>
        <v xml:space="preserve"> </v>
      </c>
      <c r="W981">
        <v>980</v>
      </c>
      <c r="X981">
        <v>100981</v>
      </c>
      <c r="Y981">
        <v>981</v>
      </c>
      <c r="Z981" t="b">
        <f t="shared" si="15"/>
        <v>1</v>
      </c>
      <c r="AA981" t="b">
        <f>COUNTBLANK(metadata!B981:S981)=COLUMNS(metadata!B981:S981)</f>
        <v>1</v>
      </c>
      <c r="AB981" t="str">
        <v/>
      </c>
      <c r="AD981" t="b">
        <f ca="1">AND(IF(metadata!B981="",FALSE,TRUE),COUNTIF(metadata!B:B, metadata!B981) = 1,NOT(ISERROR(SUMPRODUCT(SEARCH(MID(metadata!B981,ROW(INDIRECT("1:"&amp;LEN(metadata!B981))), 1),"0123456789abcdefghijklmnopqrstuvwxyzABCDEFGHIJKLMNOPQRSTUVWXYZ.")))))</f>
        <v>0</v>
      </c>
      <c r="AE981" t="b">
        <f>OR(AND(IF(metadata!C981="",FALSE,TRUE),OR(EXACT(metadata!C981,"not applicable"),EXACT(metadata!C981,"missing: not collected"),EXACT(metadata!C981,"missing: not provided"),EXACT(metadata!C981,"missing: restricted access"))),AND(IF(metadata!C981="",FALSE,ISNUMBER(VALUE(metadata!C981))),metadata!C981&gt;0))</f>
        <v>0</v>
      </c>
      <c r="AF981" t="b">
        <f>AND(IF(metadata!D981="",FALSE,TRUE),EXACT(metadata!D981,"missing: not provided"))</f>
        <v>0</v>
      </c>
      <c r="AG981" t="b">
        <f>AND(IF(metadata!E981="",FALSE,TRUE),EXACT(metadata!E981,"Host-associated"))</f>
        <v>0</v>
      </c>
      <c r="AH981" t="b">
        <f>AND(IF(metadata!F981="",FALSE,TRUE),OR(EXACT(metadata!F981,"Animal"),EXACT(metadata!F981,"Fungus"),EXACT(metadata!F981,"Plant")))</f>
        <v>0</v>
      </c>
      <c r="AI981" t="b">
        <f>AND(IF(metadata!G981="",FALSE,TRUE),OR(EXACT(metadata!G981,"Plant secretion"),EXACT(metadata!G981,"Plant rhizosphere"),EXACT(metadata!G981,"Plant surface"),EXACT(metadata!G981,"Plant corpus"),EXACT(metadata!G981,"Fungus surface"),EXACT(metadata!G981,"Fungus corpus"),EXACT(metadata!G981,"Animal surface"),EXACT(metadata!G981,"Animal proximal gut"),EXACT(metadata!G981,"Animal corpus"),EXACT(metadata!G981,"Animal distal gut"),EXACT(metadata!G981,"Animal secretion")))</f>
        <v>0</v>
      </c>
      <c r="AJ981" t="b">
        <f>OR(AND(IF(metadata!H981="",FALSE,TRUE),OR(EXACT(metadata!H981,"missing: not collected"),EXACT(metadata!H981,"missing: not provided"),EXACT(metadata!H981,"missing: restricted access"))),AND(IF(metadata!H981="",FALSE,TRUE),OR(EXACT(metadata!H981,"organism-associated habitat"),EXACT(metadata!H981,"plant-associated habitat"),EXACT(metadata!H981,"animal-associated habitat"),EXACT(metadata!H981,"insecta-associated habitat"),EXACT(metadata!H981,"mammalia-associated habitat"),EXACT(metadata!H981,"human-associated habitat"),EXACT(metadata!H981,"livestock-associated habitat"))))</f>
        <v>0</v>
      </c>
      <c r="AK981" t="b">
        <f>AND(IF(metadata!I981="",FALSE,TRUE),EXACT(metadata!I981,"host-associated"))</f>
        <v>0</v>
      </c>
      <c r="AL981" t="b">
        <f>OR(AND(IF(metadata!J981="",FALSE,TRUE),OR(EXACT(metadata!J981,"not applicable"),EXACT(metadata!J981,"missing: not collected"),EXACT(metadata!J981,"missing: not provided"),EXACT(metadata!J981,"missing: restricted access"))),AND(IF(metadata!J981="",FALSE,ISNUMBER(VALUE(metadata!J981))),metadata!J981&gt;0))</f>
        <v>0</v>
      </c>
      <c r="AM981" t="b">
        <f>AND(IF(metadata!K981="",FALSE,TRUE),EXACT(metadata!K981,"missing: not provided"))</f>
        <v>0</v>
      </c>
      <c r="AN981" t="b">
        <f>IF(metadata!L981="",FALSE,TRUE)</f>
        <v>0</v>
      </c>
      <c r="AO981" t="b">
        <f>IF(metadata!M981="",FALSE,TRUE)</f>
        <v>0</v>
      </c>
      <c r="AP981" t="b">
        <f>OR(AND(IF(metadata!N981="",FALSE,TRUE),OR(EXACT(metadata!N981,"not applicable"),EXACT(metadata!N981,"missing: not collected"),EXACT(metadata!N981,"missing: not provided"))),AND(IF(metadata!N981="",FALSE,IF(ISERROR(INT(metadata!N981)),FALSE,INT(metadata!N981)=metadata!N981)),metadata!N981&gt;0))</f>
        <v>0</v>
      </c>
      <c r="AQ981" t="b">
        <f>AND(IF(metadata!O981="",FALSE,TRUE),EXACT(metadata!O981,"Not applicable"))</f>
        <v>0</v>
      </c>
      <c r="AR981" t="b">
        <f>OR(AND(IF(metadata!P981="",FALSE,TRUE),OR(EXACT(metadata!P981,"not applicable"),EXACT(metadata!P981,"missing: not collected"),EXACT(metadata!P981,"missing: not provided"),EXACT(metadata!P981,"missing: restricted access"))),IF(metadata!P981="",FALSE,IF(ISERROR(INT(metadata!P981)),FALSE,INT(metadata!P981)=metadata!P981)))</f>
        <v>0</v>
      </c>
      <c r="AS981" t="b">
        <f>AND(IF(metadata!Q981="",FALSE,TRUE),EXACT(metadata!Q981,"Not applicable"))</f>
        <v>0</v>
      </c>
      <c r="AT981" t="b">
        <f>OR(AND(IF(metadata!R981="",FALSE,TRUE),OR(EXACT(metadata!R981,"not applicable"),EXACT(metadata!R981,"missing: not collected"),EXACT(metadata!R981,"missing: not provided"),EXACT(metadata!R981,"missing: restricted access"))),AND(IF(metadata!R981="",FALSE,ISNUMBER(VALUE(metadata!R981))),metadata!R981&gt;0))</f>
        <v>0</v>
      </c>
      <c r="AU981" t="b">
        <f>AND(IF(metadata!S981="",FALSE,TRUE),EXACT(metadata!S981,"missing: not provided"))</f>
        <v>0</v>
      </c>
    </row>
    <row r="982" spans="1:47" x14ac:dyDescent="0.2">
      <c r="A982" s="5" t="str">
        <f ca="1">IF(B982=" "," ",HYPERLINK(CONCATENATE("#metadata!",ADDRESS(INDEX($Y$2:$Y$1001,MATCH(ROWS($W$2:W982),$W$2:$W$1001,0),0),1)),INDEX($AB$2:$AB$1001,MATCH(ROWS($W$2:W982),$W$2:$W$1001,0),0)))</f>
        <v xml:space="preserve"> </v>
      </c>
      <c r="B982" s="4" t="str">
        <f ca="1">IF(OR(INDEX($X$2:$X$1001,MATCH(ROWS($W$2:W982),$W$2:$W$1001,0),1)&gt;=100000,INDEX($AD$1005:$AU$1005,1,MATCH(COLUMNS($AD$1006:AD1006),$AD$1006:$AU$1006,0))&gt;=100000), " ",IF(INDEX($AD$2:$AU$1001,MATCH(ROWS($W$2:W982),$W$2:$W$1001,0),MATCH(COLUMNS($AD$1006:AD1006),$AD$1006:$AU$1006,0)), HYPERLINK("#",""), HYPERLINK(CONCATENATE("#metadata!", ADDRESS(INDEX($Y$2:$Y$1001,MATCH(ROWS($W$2:W982),$W$2:$W$1001,0),0), INDEX($AD$1004:$AU$1004,1,MATCH(COLUMNS($AD$1006:AD1006),$AD$1006:$AU$1006,0)))),"Fix")))</f>
        <v xml:space="preserve"> </v>
      </c>
      <c r="C982" s="4" t="str">
        <f ca="1">IF(OR(INDEX($X$2:$X$1001,MATCH(ROWS($W$2:W982),$W$2:$W$1001,0),1)&gt;=100000,INDEX($AD$1005:$AU$1005,1,MATCH(COLUMNS($AD$1006:AE1006),$AD$1006:$AU$1006,0))&gt;=100000), " ",IF(INDEX($AD$2:$AU$1001,MATCH(ROWS($W$2:W982),$W$2:$W$1001,0),MATCH(COLUMNS($AD$1006:AE1006),$AD$1006:$AU$1006,0)), HYPERLINK("#",""), HYPERLINK(CONCATENATE("#metadata!", ADDRESS(INDEX($Y$2:$Y$1001,MATCH(ROWS($W$2:W982),$W$2:$W$1001,0),0), INDEX($AD$1004:$AU$1004,1,MATCH(COLUMNS($AD$1006:AE1006),$AD$1006:$AU$1006,0)))),"Fix")))</f>
        <v xml:space="preserve"> </v>
      </c>
      <c r="D982" s="4" t="str">
        <f ca="1">IF(OR(INDEX($X$2:$X$1001,MATCH(ROWS($W$2:W982),$W$2:$W$1001,0),1)&gt;=100000,INDEX($AD$1005:$AU$1005,1,MATCH(COLUMNS($AD$1006:AF1006),$AD$1006:$AU$1006,0))&gt;=100000), " ",IF(INDEX($AD$2:$AU$1001,MATCH(ROWS($W$2:W982),$W$2:$W$1001,0),MATCH(COLUMNS($AD$1006:AF1006),$AD$1006:$AU$1006,0)), HYPERLINK("#",""), HYPERLINK(CONCATENATE("#metadata!", ADDRESS(INDEX($Y$2:$Y$1001,MATCH(ROWS($W$2:W982),$W$2:$W$1001,0),0), INDEX($AD$1004:$AU$1004,1,MATCH(COLUMNS($AD$1006:AF1006),$AD$1006:$AU$1006,0)))),"Fix")))</f>
        <v xml:space="preserve"> </v>
      </c>
      <c r="E982" s="4" t="str">
        <f ca="1">IF(OR(INDEX($X$2:$X$1001,MATCH(ROWS($W$2:W982),$W$2:$W$1001,0),1)&gt;=100000,INDEX($AD$1005:$AU$1005,1,MATCH(COLUMNS($AD$1006:AG1006),$AD$1006:$AU$1006,0))&gt;=100000), " ",IF(INDEX($AD$2:$AU$1001,MATCH(ROWS($W$2:W982),$W$2:$W$1001,0),MATCH(COLUMNS($AD$1006:AG1006),$AD$1006:$AU$1006,0)), HYPERLINK("#",""), HYPERLINK(CONCATENATE("#metadata!", ADDRESS(INDEX($Y$2:$Y$1001,MATCH(ROWS($W$2:W982),$W$2:$W$1001,0),0), INDEX($AD$1004:$AU$1004,1,MATCH(COLUMNS($AD$1006:AG1006),$AD$1006:$AU$1006,0)))),"Fix")))</f>
        <v xml:space="preserve"> </v>
      </c>
      <c r="F982" s="4" t="str">
        <f ca="1">IF(OR(INDEX($X$2:$X$1001,MATCH(ROWS($W$2:W982),$W$2:$W$1001,0),1)&gt;=100000,INDEX($AD$1005:$AU$1005,1,MATCH(COLUMNS($AD$1006:AH1006),$AD$1006:$AU$1006,0))&gt;=100000), " ",IF(INDEX($AD$2:$AU$1001,MATCH(ROWS($W$2:W982),$W$2:$W$1001,0),MATCH(COLUMNS($AD$1006:AH1006),$AD$1006:$AU$1006,0)), HYPERLINK("#",""), HYPERLINK(CONCATENATE("#metadata!", ADDRESS(INDEX($Y$2:$Y$1001,MATCH(ROWS($W$2:W982),$W$2:$W$1001,0),0), INDEX($AD$1004:$AU$1004,1,MATCH(COLUMNS($AD$1006:AH1006),$AD$1006:$AU$1006,0)))),"Fix")))</f>
        <v xml:space="preserve"> </v>
      </c>
      <c r="G982" s="4" t="str">
        <f ca="1">IF(OR(INDEX($X$2:$X$1001,MATCH(ROWS($W$2:W982),$W$2:$W$1001,0),1)&gt;=100000,INDEX($AD$1005:$AU$1005,1,MATCH(COLUMNS($AD$1006:AI1006),$AD$1006:$AU$1006,0))&gt;=100000), " ",IF(INDEX($AD$2:$AU$1001,MATCH(ROWS($W$2:W982),$W$2:$W$1001,0),MATCH(COLUMNS($AD$1006:AI1006),$AD$1006:$AU$1006,0)), HYPERLINK("#",""), HYPERLINK(CONCATENATE("#metadata!", ADDRESS(INDEX($Y$2:$Y$1001,MATCH(ROWS($W$2:W982),$W$2:$W$1001,0),0), INDEX($AD$1004:$AU$1004,1,MATCH(COLUMNS($AD$1006:AI1006),$AD$1006:$AU$1006,0)))),"Fix")))</f>
        <v xml:space="preserve"> </v>
      </c>
      <c r="H982" s="4" t="str">
        <f ca="1">IF(OR(INDEX($X$2:$X$1001,MATCH(ROWS($W$2:W982),$W$2:$W$1001,0),1)&gt;=100000,INDEX($AD$1005:$AU$1005,1,MATCH(COLUMNS($AD$1006:AJ1006),$AD$1006:$AU$1006,0))&gt;=100000), " ",IF(INDEX($AD$2:$AU$1001,MATCH(ROWS($W$2:W982),$W$2:$W$1001,0),MATCH(COLUMNS($AD$1006:AJ1006),$AD$1006:$AU$1006,0)), HYPERLINK("#",""), HYPERLINK(CONCATENATE("#metadata!", ADDRESS(INDEX($Y$2:$Y$1001,MATCH(ROWS($W$2:W982),$W$2:$W$1001,0),0), INDEX($AD$1004:$AU$1004,1,MATCH(COLUMNS($AD$1006:AJ1006),$AD$1006:$AU$1006,0)))),"Fix")))</f>
        <v xml:space="preserve"> </v>
      </c>
      <c r="I982" s="4" t="str">
        <f ca="1">IF(OR(INDEX($X$2:$X$1001,MATCH(ROWS($W$2:W982),$W$2:$W$1001,0),1)&gt;=100000,INDEX($AD$1005:$AU$1005,1,MATCH(COLUMNS($AD$1006:AK1006),$AD$1006:$AU$1006,0))&gt;=100000), " ",IF(INDEX($AD$2:$AU$1001,MATCH(ROWS($W$2:W982),$W$2:$W$1001,0),MATCH(COLUMNS($AD$1006:AK1006),$AD$1006:$AU$1006,0)), HYPERLINK("#",""), HYPERLINK(CONCATENATE("#metadata!", ADDRESS(INDEX($Y$2:$Y$1001,MATCH(ROWS($W$2:W982),$W$2:$W$1001,0),0), INDEX($AD$1004:$AU$1004,1,MATCH(COLUMNS($AD$1006:AK1006),$AD$1006:$AU$1006,0)))),"Fix")))</f>
        <v xml:space="preserve"> </v>
      </c>
      <c r="J982" s="4" t="str">
        <f ca="1">IF(OR(INDEX($X$2:$X$1001,MATCH(ROWS($W$2:W982),$W$2:$W$1001,0),1)&gt;=100000,INDEX($AD$1005:$AU$1005,1,MATCH(COLUMNS($AD$1006:AL1006),$AD$1006:$AU$1006,0))&gt;=100000), " ",IF(INDEX($AD$2:$AU$1001,MATCH(ROWS($W$2:W982),$W$2:$W$1001,0),MATCH(COLUMNS($AD$1006:AL1006),$AD$1006:$AU$1006,0)), HYPERLINK("#",""), HYPERLINK(CONCATENATE("#metadata!", ADDRESS(INDEX($Y$2:$Y$1001,MATCH(ROWS($W$2:W982),$W$2:$W$1001,0),0), INDEX($AD$1004:$AU$1004,1,MATCH(COLUMNS($AD$1006:AL1006),$AD$1006:$AU$1006,0)))),"Fix")))</f>
        <v xml:space="preserve"> </v>
      </c>
      <c r="K982" s="4" t="str">
        <f ca="1">IF(OR(INDEX($X$2:$X$1001,MATCH(ROWS($W$2:W982),$W$2:$W$1001,0),1)&gt;=100000,INDEX($AD$1005:$AU$1005,1,MATCH(COLUMNS($AD$1006:AM1006),$AD$1006:$AU$1006,0))&gt;=100000), " ",IF(INDEX($AD$2:$AU$1001,MATCH(ROWS($W$2:W982),$W$2:$W$1001,0),MATCH(COLUMNS($AD$1006:AM1006),$AD$1006:$AU$1006,0)), HYPERLINK("#",""), HYPERLINK(CONCATENATE("#metadata!", ADDRESS(INDEX($Y$2:$Y$1001,MATCH(ROWS($W$2:W982),$W$2:$W$1001,0),0), INDEX($AD$1004:$AU$1004,1,MATCH(COLUMNS($AD$1006:AM1006),$AD$1006:$AU$1006,0)))),"Fix")))</f>
        <v xml:space="preserve"> </v>
      </c>
      <c r="L982" s="4" t="str">
        <f ca="1">IF(OR(INDEX($X$2:$X$1001,MATCH(ROWS($W$2:W982),$W$2:$W$1001,0),1)&gt;=100000,INDEX($AD$1005:$AU$1005,1,MATCH(COLUMNS($AD$1006:AN1006),$AD$1006:$AU$1006,0))&gt;=100000), " ",IF(INDEX($AD$2:$AU$1001,MATCH(ROWS($W$2:W982),$W$2:$W$1001,0),MATCH(COLUMNS($AD$1006:AN1006),$AD$1006:$AU$1006,0)), HYPERLINK("#",""), HYPERLINK(CONCATENATE("#metadata!", ADDRESS(INDEX($Y$2:$Y$1001,MATCH(ROWS($W$2:W982),$W$2:$W$1001,0),0), INDEX($AD$1004:$AU$1004,1,MATCH(COLUMNS($AD$1006:AN1006),$AD$1006:$AU$1006,0)))),"Fix")))</f>
        <v xml:space="preserve"> </v>
      </c>
      <c r="M982" s="4" t="str">
        <f ca="1">IF(OR(INDEX($X$2:$X$1001,MATCH(ROWS($W$2:W982),$W$2:$W$1001,0),1)&gt;=100000,INDEX($AD$1005:$AU$1005,1,MATCH(COLUMNS($AD$1006:AO1006),$AD$1006:$AU$1006,0))&gt;=100000), " ",IF(INDEX($AD$2:$AU$1001,MATCH(ROWS($W$2:W982),$W$2:$W$1001,0),MATCH(COLUMNS($AD$1006:AO1006),$AD$1006:$AU$1006,0)), HYPERLINK("#",""), HYPERLINK(CONCATENATE("#metadata!", ADDRESS(INDEX($Y$2:$Y$1001,MATCH(ROWS($W$2:W982),$W$2:$W$1001,0),0), INDEX($AD$1004:$AU$1004,1,MATCH(COLUMNS($AD$1006:AO1006),$AD$1006:$AU$1006,0)))),"Fix")))</f>
        <v xml:space="preserve"> </v>
      </c>
      <c r="N982" s="4" t="str">
        <f ca="1">IF(OR(INDEX($X$2:$X$1001,MATCH(ROWS($W$2:W982),$W$2:$W$1001,0),1)&gt;=100000,INDEX($AD$1005:$AU$1005,1,MATCH(COLUMNS($AD$1006:AP1006),$AD$1006:$AU$1006,0))&gt;=100000), " ",IF(INDEX($AD$2:$AU$1001,MATCH(ROWS($W$2:W982),$W$2:$W$1001,0),MATCH(COLUMNS($AD$1006:AP1006),$AD$1006:$AU$1006,0)), HYPERLINK("#",""), HYPERLINK(CONCATENATE("#metadata!", ADDRESS(INDEX($Y$2:$Y$1001,MATCH(ROWS($W$2:W982),$W$2:$W$1001,0),0), INDEX($AD$1004:$AU$1004,1,MATCH(COLUMNS($AD$1006:AP1006),$AD$1006:$AU$1006,0)))),"Fix")))</f>
        <v xml:space="preserve"> </v>
      </c>
      <c r="O982" s="4" t="str">
        <f ca="1">IF(OR(INDEX($X$2:$X$1001,MATCH(ROWS($W$2:W982),$W$2:$W$1001,0),1)&gt;=100000,INDEX($AD$1005:$AU$1005,1,MATCH(COLUMNS($AD$1006:AQ1006),$AD$1006:$AU$1006,0))&gt;=100000), " ",IF(INDEX($AD$2:$AU$1001,MATCH(ROWS($W$2:W982),$W$2:$W$1001,0),MATCH(COLUMNS($AD$1006:AQ1006),$AD$1006:$AU$1006,0)), HYPERLINK("#",""), HYPERLINK(CONCATENATE("#metadata!", ADDRESS(INDEX($Y$2:$Y$1001,MATCH(ROWS($W$2:W982),$W$2:$W$1001,0),0), INDEX($AD$1004:$AU$1004,1,MATCH(COLUMNS($AD$1006:AQ1006),$AD$1006:$AU$1006,0)))),"Fix")))</f>
        <v xml:space="preserve"> </v>
      </c>
      <c r="P982" s="4" t="str">
        <f ca="1">IF(OR(INDEX($X$2:$X$1001,MATCH(ROWS($W$2:W982),$W$2:$W$1001,0),1)&gt;=100000,INDEX($AD$1005:$AU$1005,1,MATCH(COLUMNS($AD$1006:AR1006),$AD$1006:$AU$1006,0))&gt;=100000), " ",IF(INDEX($AD$2:$AU$1001,MATCH(ROWS($W$2:W982),$W$2:$W$1001,0),MATCH(COLUMNS($AD$1006:AR1006),$AD$1006:$AU$1006,0)), HYPERLINK("#",""), HYPERLINK(CONCATENATE("#metadata!", ADDRESS(INDEX($Y$2:$Y$1001,MATCH(ROWS($W$2:W982),$W$2:$W$1001,0),0), INDEX($AD$1004:$AU$1004,1,MATCH(COLUMNS($AD$1006:AR1006),$AD$1006:$AU$1006,0)))),"Fix")))</f>
        <v xml:space="preserve"> </v>
      </c>
      <c r="Q982" s="4" t="str">
        <f ca="1">IF(OR(INDEX($X$2:$X$1001,MATCH(ROWS($W$2:W982),$W$2:$W$1001,0),1)&gt;=100000,INDEX($AD$1005:$AU$1005,1,MATCH(COLUMNS($AD$1006:AS1006),$AD$1006:$AU$1006,0))&gt;=100000), " ",IF(INDEX($AD$2:$AU$1001,MATCH(ROWS($W$2:W982),$W$2:$W$1001,0),MATCH(COLUMNS($AD$1006:AS1006),$AD$1006:$AU$1006,0)), HYPERLINK("#",""), HYPERLINK(CONCATENATE("#metadata!", ADDRESS(INDEX($Y$2:$Y$1001,MATCH(ROWS($W$2:W982),$W$2:$W$1001,0),0), INDEX($AD$1004:$AU$1004,1,MATCH(COLUMNS($AD$1006:AS1006),$AD$1006:$AU$1006,0)))),"Fix")))</f>
        <v xml:space="preserve"> </v>
      </c>
      <c r="R982" s="4" t="str">
        <f ca="1">IF(OR(INDEX($X$2:$X$1001,MATCH(ROWS($W$2:W982),$W$2:$W$1001,0),1)&gt;=100000,INDEX($AD$1005:$AU$1005,1,MATCH(COLUMNS($AD$1006:AT1006),$AD$1006:$AU$1006,0))&gt;=100000), " ",IF(INDEX($AD$2:$AU$1001,MATCH(ROWS($W$2:W982),$W$2:$W$1001,0),MATCH(COLUMNS($AD$1006:AT1006),$AD$1006:$AU$1006,0)), HYPERLINK("#",""), HYPERLINK(CONCATENATE("#metadata!", ADDRESS(INDEX($Y$2:$Y$1001,MATCH(ROWS($W$2:W982),$W$2:$W$1001,0),0), INDEX($AD$1004:$AU$1004,1,MATCH(COLUMNS($AD$1006:AT1006),$AD$1006:$AU$1006,0)))),"Fix")))</f>
        <v xml:space="preserve"> </v>
      </c>
      <c r="S982" s="4" t="str">
        <f ca="1">IF(OR(INDEX($X$2:$X$1001,MATCH(ROWS($W$2:W982),$W$2:$W$1001,0),1)&gt;=100000,INDEX($AD$1005:$AU$1005,1,MATCH(COLUMNS($AD$1006:AU1006),$AD$1006:$AU$1006,0))&gt;=100000), " ",IF(INDEX($AD$2:$AU$1001,MATCH(ROWS($W$2:W982),$W$2:$W$1001,0),MATCH(COLUMNS($AD$1006:AU1006),$AD$1006:$AU$1006,0)), HYPERLINK("#",""), HYPERLINK(CONCATENATE("#metadata!", ADDRESS(INDEX($Y$2:$Y$1001,MATCH(ROWS($W$2:W982),$W$2:$W$1001,0),0), INDEX($AD$1004:$AU$1004,1,MATCH(COLUMNS($AD$1006:AU1006),$AD$1006:$AU$1006,0)))),"Fix")))</f>
        <v xml:space="preserve"> </v>
      </c>
      <c r="W982">
        <v>981</v>
      </c>
      <c r="X982">
        <v>100982</v>
      </c>
      <c r="Y982">
        <v>982</v>
      </c>
      <c r="Z982" t="b">
        <f t="shared" si="15"/>
        <v>1</v>
      </c>
      <c r="AA982" t="b">
        <f>COUNTBLANK(metadata!B982:S982)=COLUMNS(metadata!B982:S982)</f>
        <v>1</v>
      </c>
      <c r="AB982" t="str">
        <v/>
      </c>
      <c r="AD982" t="b">
        <f ca="1">AND(IF(metadata!B982="",FALSE,TRUE),COUNTIF(metadata!B:B, metadata!B982) = 1,NOT(ISERROR(SUMPRODUCT(SEARCH(MID(metadata!B982,ROW(INDIRECT("1:"&amp;LEN(metadata!B982))), 1),"0123456789abcdefghijklmnopqrstuvwxyzABCDEFGHIJKLMNOPQRSTUVWXYZ.")))))</f>
        <v>0</v>
      </c>
      <c r="AE982" t="b">
        <f>OR(AND(IF(metadata!C982="",FALSE,TRUE),OR(EXACT(metadata!C982,"not applicable"),EXACT(metadata!C982,"missing: not collected"),EXACT(metadata!C982,"missing: not provided"),EXACT(metadata!C982,"missing: restricted access"))),AND(IF(metadata!C982="",FALSE,ISNUMBER(VALUE(metadata!C982))),metadata!C982&gt;0))</f>
        <v>0</v>
      </c>
      <c r="AF982" t="b">
        <f>AND(IF(metadata!D982="",FALSE,TRUE),EXACT(metadata!D982,"missing: not provided"))</f>
        <v>0</v>
      </c>
      <c r="AG982" t="b">
        <f>AND(IF(metadata!E982="",FALSE,TRUE),EXACT(metadata!E982,"Host-associated"))</f>
        <v>0</v>
      </c>
      <c r="AH982" t="b">
        <f>AND(IF(metadata!F982="",FALSE,TRUE),OR(EXACT(metadata!F982,"Animal"),EXACT(metadata!F982,"Fungus"),EXACT(metadata!F982,"Plant")))</f>
        <v>0</v>
      </c>
      <c r="AI982" t="b">
        <f>AND(IF(metadata!G982="",FALSE,TRUE),OR(EXACT(metadata!G982,"Plant secretion"),EXACT(metadata!G982,"Plant rhizosphere"),EXACT(metadata!G982,"Plant surface"),EXACT(metadata!G982,"Plant corpus"),EXACT(metadata!G982,"Fungus surface"),EXACT(metadata!G982,"Fungus corpus"),EXACT(metadata!G982,"Animal surface"),EXACT(metadata!G982,"Animal proximal gut"),EXACT(metadata!G982,"Animal corpus"),EXACT(metadata!G982,"Animal distal gut"),EXACT(metadata!G982,"Animal secretion")))</f>
        <v>0</v>
      </c>
      <c r="AJ982" t="b">
        <f>OR(AND(IF(metadata!H982="",FALSE,TRUE),OR(EXACT(metadata!H982,"missing: not collected"),EXACT(metadata!H982,"missing: not provided"),EXACT(metadata!H982,"missing: restricted access"))),AND(IF(metadata!H982="",FALSE,TRUE),OR(EXACT(metadata!H982,"organism-associated habitat"),EXACT(metadata!H982,"plant-associated habitat"),EXACT(metadata!H982,"animal-associated habitat"),EXACT(metadata!H982,"insecta-associated habitat"),EXACT(metadata!H982,"mammalia-associated habitat"),EXACT(metadata!H982,"human-associated habitat"),EXACT(metadata!H982,"livestock-associated habitat"))))</f>
        <v>0</v>
      </c>
      <c r="AK982" t="b">
        <f>AND(IF(metadata!I982="",FALSE,TRUE),EXACT(metadata!I982,"host-associated"))</f>
        <v>0</v>
      </c>
      <c r="AL982" t="b">
        <f>OR(AND(IF(metadata!J982="",FALSE,TRUE),OR(EXACT(metadata!J982,"not applicable"),EXACT(metadata!J982,"missing: not collected"),EXACT(metadata!J982,"missing: not provided"),EXACT(metadata!J982,"missing: restricted access"))),AND(IF(metadata!J982="",FALSE,ISNUMBER(VALUE(metadata!J982))),metadata!J982&gt;0))</f>
        <v>0</v>
      </c>
      <c r="AM982" t="b">
        <f>AND(IF(metadata!K982="",FALSE,TRUE),EXACT(metadata!K982,"missing: not provided"))</f>
        <v>0</v>
      </c>
      <c r="AN982" t="b">
        <f>IF(metadata!L982="",FALSE,TRUE)</f>
        <v>0</v>
      </c>
      <c r="AO982" t="b">
        <f>IF(metadata!M982="",FALSE,TRUE)</f>
        <v>0</v>
      </c>
      <c r="AP982" t="b">
        <f>OR(AND(IF(metadata!N982="",FALSE,TRUE),OR(EXACT(metadata!N982,"not applicable"),EXACT(metadata!N982,"missing: not collected"),EXACT(metadata!N982,"missing: not provided"))),AND(IF(metadata!N982="",FALSE,IF(ISERROR(INT(metadata!N982)),FALSE,INT(metadata!N982)=metadata!N982)),metadata!N982&gt;0))</f>
        <v>0</v>
      </c>
      <c r="AQ982" t="b">
        <f>AND(IF(metadata!O982="",FALSE,TRUE),EXACT(metadata!O982,"Not applicable"))</f>
        <v>0</v>
      </c>
      <c r="AR982" t="b">
        <f>OR(AND(IF(metadata!P982="",FALSE,TRUE),OR(EXACT(metadata!P982,"not applicable"),EXACT(metadata!P982,"missing: not collected"),EXACT(metadata!P982,"missing: not provided"),EXACT(metadata!P982,"missing: restricted access"))),IF(metadata!P982="",FALSE,IF(ISERROR(INT(metadata!P982)),FALSE,INT(metadata!P982)=metadata!P982)))</f>
        <v>0</v>
      </c>
      <c r="AS982" t="b">
        <f>AND(IF(metadata!Q982="",FALSE,TRUE),EXACT(metadata!Q982,"Not applicable"))</f>
        <v>0</v>
      </c>
      <c r="AT982" t="b">
        <f>OR(AND(IF(metadata!R982="",FALSE,TRUE),OR(EXACT(metadata!R982,"not applicable"),EXACT(metadata!R982,"missing: not collected"),EXACT(metadata!R982,"missing: not provided"),EXACT(metadata!R982,"missing: restricted access"))),AND(IF(metadata!R982="",FALSE,ISNUMBER(VALUE(metadata!R982))),metadata!R982&gt;0))</f>
        <v>0</v>
      </c>
      <c r="AU982" t="b">
        <f>AND(IF(metadata!S982="",FALSE,TRUE),EXACT(metadata!S982,"missing: not provided"))</f>
        <v>0</v>
      </c>
    </row>
    <row r="983" spans="1:47" x14ac:dyDescent="0.2">
      <c r="A983" s="5" t="str">
        <f ca="1">IF(B983=" "," ",HYPERLINK(CONCATENATE("#metadata!",ADDRESS(INDEX($Y$2:$Y$1001,MATCH(ROWS($W$2:W983),$W$2:$W$1001,0),0),1)),INDEX($AB$2:$AB$1001,MATCH(ROWS($W$2:W983),$W$2:$W$1001,0),0)))</f>
        <v xml:space="preserve"> </v>
      </c>
      <c r="B983" s="4" t="str">
        <f ca="1">IF(OR(INDEX($X$2:$X$1001,MATCH(ROWS($W$2:W983),$W$2:$W$1001,0),1)&gt;=100000,INDEX($AD$1005:$AU$1005,1,MATCH(COLUMNS($AD$1006:AD1006),$AD$1006:$AU$1006,0))&gt;=100000), " ",IF(INDEX($AD$2:$AU$1001,MATCH(ROWS($W$2:W983),$W$2:$W$1001,0),MATCH(COLUMNS($AD$1006:AD1006),$AD$1006:$AU$1006,0)), HYPERLINK("#",""), HYPERLINK(CONCATENATE("#metadata!", ADDRESS(INDEX($Y$2:$Y$1001,MATCH(ROWS($W$2:W983),$W$2:$W$1001,0),0), INDEX($AD$1004:$AU$1004,1,MATCH(COLUMNS($AD$1006:AD1006),$AD$1006:$AU$1006,0)))),"Fix")))</f>
        <v xml:space="preserve"> </v>
      </c>
      <c r="C983" s="4" t="str">
        <f ca="1">IF(OR(INDEX($X$2:$X$1001,MATCH(ROWS($W$2:W983),$W$2:$W$1001,0),1)&gt;=100000,INDEX($AD$1005:$AU$1005,1,MATCH(COLUMNS($AD$1006:AE1006),$AD$1006:$AU$1006,0))&gt;=100000), " ",IF(INDEX($AD$2:$AU$1001,MATCH(ROWS($W$2:W983),$W$2:$W$1001,0),MATCH(COLUMNS($AD$1006:AE1006),$AD$1006:$AU$1006,0)), HYPERLINK("#",""), HYPERLINK(CONCATENATE("#metadata!", ADDRESS(INDEX($Y$2:$Y$1001,MATCH(ROWS($W$2:W983),$W$2:$W$1001,0),0), INDEX($AD$1004:$AU$1004,1,MATCH(COLUMNS($AD$1006:AE1006),$AD$1006:$AU$1006,0)))),"Fix")))</f>
        <v xml:space="preserve"> </v>
      </c>
      <c r="D983" s="4" t="str">
        <f ca="1">IF(OR(INDEX($X$2:$X$1001,MATCH(ROWS($W$2:W983),$W$2:$W$1001,0),1)&gt;=100000,INDEX($AD$1005:$AU$1005,1,MATCH(COLUMNS($AD$1006:AF1006),$AD$1006:$AU$1006,0))&gt;=100000), " ",IF(INDEX($AD$2:$AU$1001,MATCH(ROWS($W$2:W983),$W$2:$W$1001,0),MATCH(COLUMNS($AD$1006:AF1006),$AD$1006:$AU$1006,0)), HYPERLINK("#",""), HYPERLINK(CONCATENATE("#metadata!", ADDRESS(INDEX($Y$2:$Y$1001,MATCH(ROWS($W$2:W983),$W$2:$W$1001,0),0), INDEX($AD$1004:$AU$1004,1,MATCH(COLUMNS($AD$1006:AF1006),$AD$1006:$AU$1006,0)))),"Fix")))</f>
        <v xml:space="preserve"> </v>
      </c>
      <c r="E983" s="4" t="str">
        <f ca="1">IF(OR(INDEX($X$2:$X$1001,MATCH(ROWS($W$2:W983),$W$2:$W$1001,0),1)&gt;=100000,INDEX($AD$1005:$AU$1005,1,MATCH(COLUMNS($AD$1006:AG1006),$AD$1006:$AU$1006,0))&gt;=100000), " ",IF(INDEX($AD$2:$AU$1001,MATCH(ROWS($W$2:W983),$W$2:$W$1001,0),MATCH(COLUMNS($AD$1006:AG1006),$AD$1006:$AU$1006,0)), HYPERLINK("#",""), HYPERLINK(CONCATENATE("#metadata!", ADDRESS(INDEX($Y$2:$Y$1001,MATCH(ROWS($W$2:W983),$W$2:$W$1001,0),0), INDEX($AD$1004:$AU$1004,1,MATCH(COLUMNS($AD$1006:AG1006),$AD$1006:$AU$1006,0)))),"Fix")))</f>
        <v xml:space="preserve"> </v>
      </c>
      <c r="F983" s="4" t="str">
        <f ca="1">IF(OR(INDEX($X$2:$X$1001,MATCH(ROWS($W$2:W983),$W$2:$W$1001,0),1)&gt;=100000,INDEX($AD$1005:$AU$1005,1,MATCH(COLUMNS($AD$1006:AH1006),$AD$1006:$AU$1006,0))&gt;=100000), " ",IF(INDEX($AD$2:$AU$1001,MATCH(ROWS($W$2:W983),$W$2:$W$1001,0),MATCH(COLUMNS($AD$1006:AH1006),$AD$1006:$AU$1006,0)), HYPERLINK("#",""), HYPERLINK(CONCATENATE("#metadata!", ADDRESS(INDEX($Y$2:$Y$1001,MATCH(ROWS($W$2:W983),$W$2:$W$1001,0),0), INDEX($AD$1004:$AU$1004,1,MATCH(COLUMNS($AD$1006:AH1006),$AD$1006:$AU$1006,0)))),"Fix")))</f>
        <v xml:space="preserve"> </v>
      </c>
      <c r="G983" s="4" t="str">
        <f ca="1">IF(OR(INDEX($X$2:$X$1001,MATCH(ROWS($W$2:W983),$W$2:$W$1001,0),1)&gt;=100000,INDEX($AD$1005:$AU$1005,1,MATCH(COLUMNS($AD$1006:AI1006),$AD$1006:$AU$1006,0))&gt;=100000), " ",IF(INDEX($AD$2:$AU$1001,MATCH(ROWS($W$2:W983),$W$2:$W$1001,0),MATCH(COLUMNS($AD$1006:AI1006),$AD$1006:$AU$1006,0)), HYPERLINK("#",""), HYPERLINK(CONCATENATE("#metadata!", ADDRESS(INDEX($Y$2:$Y$1001,MATCH(ROWS($W$2:W983),$W$2:$W$1001,0),0), INDEX($AD$1004:$AU$1004,1,MATCH(COLUMNS($AD$1006:AI1006),$AD$1006:$AU$1006,0)))),"Fix")))</f>
        <v xml:space="preserve"> </v>
      </c>
      <c r="H983" s="4" t="str">
        <f ca="1">IF(OR(INDEX($X$2:$X$1001,MATCH(ROWS($W$2:W983),$W$2:$W$1001,0),1)&gt;=100000,INDEX($AD$1005:$AU$1005,1,MATCH(COLUMNS($AD$1006:AJ1006),$AD$1006:$AU$1006,0))&gt;=100000), " ",IF(INDEX($AD$2:$AU$1001,MATCH(ROWS($W$2:W983),$W$2:$W$1001,0),MATCH(COLUMNS($AD$1006:AJ1006),$AD$1006:$AU$1006,0)), HYPERLINK("#",""), HYPERLINK(CONCATENATE("#metadata!", ADDRESS(INDEX($Y$2:$Y$1001,MATCH(ROWS($W$2:W983),$W$2:$W$1001,0),0), INDEX($AD$1004:$AU$1004,1,MATCH(COLUMNS($AD$1006:AJ1006),$AD$1006:$AU$1006,0)))),"Fix")))</f>
        <v xml:space="preserve"> </v>
      </c>
      <c r="I983" s="4" t="str">
        <f ca="1">IF(OR(INDEX($X$2:$X$1001,MATCH(ROWS($W$2:W983),$W$2:$W$1001,0),1)&gt;=100000,INDEX($AD$1005:$AU$1005,1,MATCH(COLUMNS($AD$1006:AK1006),$AD$1006:$AU$1006,0))&gt;=100000), " ",IF(INDEX($AD$2:$AU$1001,MATCH(ROWS($W$2:W983),$W$2:$W$1001,0),MATCH(COLUMNS($AD$1006:AK1006),$AD$1006:$AU$1006,0)), HYPERLINK("#",""), HYPERLINK(CONCATENATE("#metadata!", ADDRESS(INDEX($Y$2:$Y$1001,MATCH(ROWS($W$2:W983),$W$2:$W$1001,0),0), INDEX($AD$1004:$AU$1004,1,MATCH(COLUMNS($AD$1006:AK1006),$AD$1006:$AU$1006,0)))),"Fix")))</f>
        <v xml:space="preserve"> </v>
      </c>
      <c r="J983" s="4" t="str">
        <f ca="1">IF(OR(INDEX($X$2:$X$1001,MATCH(ROWS($W$2:W983),$W$2:$W$1001,0),1)&gt;=100000,INDEX($AD$1005:$AU$1005,1,MATCH(COLUMNS($AD$1006:AL1006),$AD$1006:$AU$1006,0))&gt;=100000), " ",IF(INDEX($AD$2:$AU$1001,MATCH(ROWS($W$2:W983),$W$2:$W$1001,0),MATCH(COLUMNS($AD$1006:AL1006),$AD$1006:$AU$1006,0)), HYPERLINK("#",""), HYPERLINK(CONCATENATE("#metadata!", ADDRESS(INDEX($Y$2:$Y$1001,MATCH(ROWS($W$2:W983),$W$2:$W$1001,0),0), INDEX($AD$1004:$AU$1004,1,MATCH(COLUMNS($AD$1006:AL1006),$AD$1006:$AU$1006,0)))),"Fix")))</f>
        <v xml:space="preserve"> </v>
      </c>
      <c r="K983" s="4" t="str">
        <f ca="1">IF(OR(INDEX($X$2:$X$1001,MATCH(ROWS($W$2:W983),$W$2:$W$1001,0),1)&gt;=100000,INDEX($AD$1005:$AU$1005,1,MATCH(COLUMNS($AD$1006:AM1006),$AD$1006:$AU$1006,0))&gt;=100000), " ",IF(INDEX($AD$2:$AU$1001,MATCH(ROWS($W$2:W983),$W$2:$W$1001,0),MATCH(COLUMNS($AD$1006:AM1006),$AD$1006:$AU$1006,0)), HYPERLINK("#",""), HYPERLINK(CONCATENATE("#metadata!", ADDRESS(INDEX($Y$2:$Y$1001,MATCH(ROWS($W$2:W983),$W$2:$W$1001,0),0), INDEX($AD$1004:$AU$1004,1,MATCH(COLUMNS($AD$1006:AM1006),$AD$1006:$AU$1006,0)))),"Fix")))</f>
        <v xml:space="preserve"> </v>
      </c>
      <c r="L983" s="4" t="str">
        <f ca="1">IF(OR(INDEX($X$2:$X$1001,MATCH(ROWS($W$2:W983),$W$2:$W$1001,0),1)&gt;=100000,INDEX($AD$1005:$AU$1005,1,MATCH(COLUMNS($AD$1006:AN1006),$AD$1006:$AU$1006,0))&gt;=100000), " ",IF(INDEX($AD$2:$AU$1001,MATCH(ROWS($W$2:W983),$W$2:$W$1001,0),MATCH(COLUMNS($AD$1006:AN1006),$AD$1006:$AU$1006,0)), HYPERLINK("#",""), HYPERLINK(CONCATENATE("#metadata!", ADDRESS(INDEX($Y$2:$Y$1001,MATCH(ROWS($W$2:W983),$W$2:$W$1001,0),0), INDEX($AD$1004:$AU$1004,1,MATCH(COLUMNS($AD$1006:AN1006),$AD$1006:$AU$1006,0)))),"Fix")))</f>
        <v xml:space="preserve"> </v>
      </c>
      <c r="M983" s="4" t="str">
        <f ca="1">IF(OR(INDEX($X$2:$X$1001,MATCH(ROWS($W$2:W983),$W$2:$W$1001,0),1)&gt;=100000,INDEX($AD$1005:$AU$1005,1,MATCH(COLUMNS($AD$1006:AO1006),$AD$1006:$AU$1006,0))&gt;=100000), " ",IF(INDEX($AD$2:$AU$1001,MATCH(ROWS($W$2:W983),$W$2:$W$1001,0),MATCH(COLUMNS($AD$1006:AO1006),$AD$1006:$AU$1006,0)), HYPERLINK("#",""), HYPERLINK(CONCATENATE("#metadata!", ADDRESS(INDEX($Y$2:$Y$1001,MATCH(ROWS($W$2:W983),$W$2:$W$1001,0),0), INDEX($AD$1004:$AU$1004,1,MATCH(COLUMNS($AD$1006:AO1006),$AD$1006:$AU$1006,0)))),"Fix")))</f>
        <v xml:space="preserve"> </v>
      </c>
      <c r="N983" s="4" t="str">
        <f ca="1">IF(OR(INDEX($X$2:$X$1001,MATCH(ROWS($W$2:W983),$W$2:$W$1001,0),1)&gt;=100000,INDEX($AD$1005:$AU$1005,1,MATCH(COLUMNS($AD$1006:AP1006),$AD$1006:$AU$1006,0))&gt;=100000), " ",IF(INDEX($AD$2:$AU$1001,MATCH(ROWS($W$2:W983),$W$2:$W$1001,0),MATCH(COLUMNS($AD$1006:AP1006),$AD$1006:$AU$1006,0)), HYPERLINK("#",""), HYPERLINK(CONCATENATE("#metadata!", ADDRESS(INDEX($Y$2:$Y$1001,MATCH(ROWS($W$2:W983),$W$2:$W$1001,0),0), INDEX($AD$1004:$AU$1004,1,MATCH(COLUMNS($AD$1006:AP1006),$AD$1006:$AU$1006,0)))),"Fix")))</f>
        <v xml:space="preserve"> </v>
      </c>
      <c r="O983" s="4" t="str">
        <f ca="1">IF(OR(INDEX($X$2:$X$1001,MATCH(ROWS($W$2:W983),$W$2:$W$1001,0),1)&gt;=100000,INDEX($AD$1005:$AU$1005,1,MATCH(COLUMNS($AD$1006:AQ1006),$AD$1006:$AU$1006,0))&gt;=100000), " ",IF(INDEX($AD$2:$AU$1001,MATCH(ROWS($W$2:W983),$W$2:$W$1001,0),MATCH(COLUMNS($AD$1006:AQ1006),$AD$1006:$AU$1006,0)), HYPERLINK("#",""), HYPERLINK(CONCATENATE("#metadata!", ADDRESS(INDEX($Y$2:$Y$1001,MATCH(ROWS($W$2:W983),$W$2:$W$1001,0),0), INDEX($AD$1004:$AU$1004,1,MATCH(COLUMNS($AD$1006:AQ1006),$AD$1006:$AU$1006,0)))),"Fix")))</f>
        <v xml:space="preserve"> </v>
      </c>
      <c r="P983" s="4" t="str">
        <f ca="1">IF(OR(INDEX($X$2:$X$1001,MATCH(ROWS($W$2:W983),$W$2:$W$1001,0),1)&gt;=100000,INDEX($AD$1005:$AU$1005,1,MATCH(COLUMNS($AD$1006:AR1006),$AD$1006:$AU$1006,0))&gt;=100000), " ",IF(INDEX($AD$2:$AU$1001,MATCH(ROWS($W$2:W983),$W$2:$W$1001,0),MATCH(COLUMNS($AD$1006:AR1006),$AD$1006:$AU$1006,0)), HYPERLINK("#",""), HYPERLINK(CONCATENATE("#metadata!", ADDRESS(INDEX($Y$2:$Y$1001,MATCH(ROWS($W$2:W983),$W$2:$W$1001,0),0), INDEX($AD$1004:$AU$1004,1,MATCH(COLUMNS($AD$1006:AR1006),$AD$1006:$AU$1006,0)))),"Fix")))</f>
        <v xml:space="preserve"> </v>
      </c>
      <c r="Q983" s="4" t="str">
        <f ca="1">IF(OR(INDEX($X$2:$X$1001,MATCH(ROWS($W$2:W983),$W$2:$W$1001,0),1)&gt;=100000,INDEX($AD$1005:$AU$1005,1,MATCH(COLUMNS($AD$1006:AS1006),$AD$1006:$AU$1006,0))&gt;=100000), " ",IF(INDEX($AD$2:$AU$1001,MATCH(ROWS($W$2:W983),$W$2:$W$1001,0),MATCH(COLUMNS($AD$1006:AS1006),$AD$1006:$AU$1006,0)), HYPERLINK("#",""), HYPERLINK(CONCATENATE("#metadata!", ADDRESS(INDEX($Y$2:$Y$1001,MATCH(ROWS($W$2:W983),$W$2:$W$1001,0),0), INDEX($AD$1004:$AU$1004,1,MATCH(COLUMNS($AD$1006:AS1006),$AD$1006:$AU$1006,0)))),"Fix")))</f>
        <v xml:space="preserve"> </v>
      </c>
      <c r="R983" s="4" t="str">
        <f ca="1">IF(OR(INDEX($X$2:$X$1001,MATCH(ROWS($W$2:W983),$W$2:$W$1001,0),1)&gt;=100000,INDEX($AD$1005:$AU$1005,1,MATCH(COLUMNS($AD$1006:AT1006),$AD$1006:$AU$1006,0))&gt;=100000), " ",IF(INDEX($AD$2:$AU$1001,MATCH(ROWS($W$2:W983),$W$2:$W$1001,0),MATCH(COLUMNS($AD$1006:AT1006),$AD$1006:$AU$1006,0)), HYPERLINK("#",""), HYPERLINK(CONCATENATE("#metadata!", ADDRESS(INDEX($Y$2:$Y$1001,MATCH(ROWS($W$2:W983),$W$2:$W$1001,0),0), INDEX($AD$1004:$AU$1004,1,MATCH(COLUMNS($AD$1006:AT1006),$AD$1006:$AU$1006,0)))),"Fix")))</f>
        <v xml:space="preserve"> </v>
      </c>
      <c r="S983" s="4" t="str">
        <f ca="1">IF(OR(INDEX($X$2:$X$1001,MATCH(ROWS($W$2:W983),$W$2:$W$1001,0),1)&gt;=100000,INDEX($AD$1005:$AU$1005,1,MATCH(COLUMNS($AD$1006:AU1006),$AD$1006:$AU$1006,0))&gt;=100000), " ",IF(INDEX($AD$2:$AU$1001,MATCH(ROWS($W$2:W983),$W$2:$W$1001,0),MATCH(COLUMNS($AD$1006:AU1006),$AD$1006:$AU$1006,0)), HYPERLINK("#",""), HYPERLINK(CONCATENATE("#metadata!", ADDRESS(INDEX($Y$2:$Y$1001,MATCH(ROWS($W$2:W983),$W$2:$W$1001,0),0), INDEX($AD$1004:$AU$1004,1,MATCH(COLUMNS($AD$1006:AU1006),$AD$1006:$AU$1006,0)))),"Fix")))</f>
        <v xml:space="preserve"> </v>
      </c>
      <c r="W983">
        <v>982</v>
      </c>
      <c r="X983">
        <v>100983</v>
      </c>
      <c r="Y983">
        <v>983</v>
      </c>
      <c r="Z983" t="b">
        <f t="shared" si="15"/>
        <v>1</v>
      </c>
      <c r="AA983" t="b">
        <f>COUNTBLANK(metadata!B983:S983)=COLUMNS(metadata!B983:S983)</f>
        <v>1</v>
      </c>
      <c r="AB983" t="str">
        <v/>
      </c>
      <c r="AD983" t="b">
        <f ca="1">AND(IF(metadata!B983="",FALSE,TRUE),COUNTIF(metadata!B:B, metadata!B983) = 1,NOT(ISERROR(SUMPRODUCT(SEARCH(MID(metadata!B983,ROW(INDIRECT("1:"&amp;LEN(metadata!B983))), 1),"0123456789abcdefghijklmnopqrstuvwxyzABCDEFGHIJKLMNOPQRSTUVWXYZ.")))))</f>
        <v>0</v>
      </c>
      <c r="AE983" t="b">
        <f>OR(AND(IF(metadata!C983="",FALSE,TRUE),OR(EXACT(metadata!C983,"not applicable"),EXACT(metadata!C983,"missing: not collected"),EXACT(metadata!C983,"missing: not provided"),EXACT(metadata!C983,"missing: restricted access"))),AND(IF(metadata!C983="",FALSE,ISNUMBER(VALUE(metadata!C983))),metadata!C983&gt;0))</f>
        <v>0</v>
      </c>
      <c r="AF983" t="b">
        <f>AND(IF(metadata!D983="",FALSE,TRUE),EXACT(metadata!D983,"missing: not provided"))</f>
        <v>0</v>
      </c>
      <c r="AG983" t="b">
        <f>AND(IF(metadata!E983="",FALSE,TRUE),EXACT(metadata!E983,"Host-associated"))</f>
        <v>0</v>
      </c>
      <c r="AH983" t="b">
        <f>AND(IF(metadata!F983="",FALSE,TRUE),OR(EXACT(metadata!F983,"Animal"),EXACT(metadata!F983,"Fungus"),EXACT(metadata!F983,"Plant")))</f>
        <v>0</v>
      </c>
      <c r="AI983" t="b">
        <f>AND(IF(metadata!G983="",FALSE,TRUE),OR(EXACT(metadata!G983,"Plant secretion"),EXACT(metadata!G983,"Plant rhizosphere"),EXACT(metadata!G983,"Plant surface"),EXACT(metadata!G983,"Plant corpus"),EXACT(metadata!G983,"Fungus surface"),EXACT(metadata!G983,"Fungus corpus"),EXACT(metadata!G983,"Animal surface"),EXACT(metadata!G983,"Animal proximal gut"),EXACT(metadata!G983,"Animal corpus"),EXACT(metadata!G983,"Animal distal gut"),EXACT(metadata!G983,"Animal secretion")))</f>
        <v>0</v>
      </c>
      <c r="AJ983" t="b">
        <f>OR(AND(IF(metadata!H983="",FALSE,TRUE),OR(EXACT(metadata!H983,"missing: not collected"),EXACT(metadata!H983,"missing: not provided"),EXACT(metadata!H983,"missing: restricted access"))),AND(IF(metadata!H983="",FALSE,TRUE),OR(EXACT(metadata!H983,"organism-associated habitat"),EXACT(metadata!H983,"plant-associated habitat"),EXACT(metadata!H983,"animal-associated habitat"),EXACT(metadata!H983,"insecta-associated habitat"),EXACT(metadata!H983,"mammalia-associated habitat"),EXACT(metadata!H983,"human-associated habitat"),EXACT(metadata!H983,"livestock-associated habitat"))))</f>
        <v>0</v>
      </c>
      <c r="AK983" t="b">
        <f>AND(IF(metadata!I983="",FALSE,TRUE),EXACT(metadata!I983,"host-associated"))</f>
        <v>0</v>
      </c>
      <c r="AL983" t="b">
        <f>OR(AND(IF(metadata!J983="",FALSE,TRUE),OR(EXACT(metadata!J983,"not applicable"),EXACT(metadata!J983,"missing: not collected"),EXACT(metadata!J983,"missing: not provided"),EXACT(metadata!J983,"missing: restricted access"))),AND(IF(metadata!J983="",FALSE,ISNUMBER(VALUE(metadata!J983))),metadata!J983&gt;0))</f>
        <v>0</v>
      </c>
      <c r="AM983" t="b">
        <f>AND(IF(metadata!K983="",FALSE,TRUE),EXACT(metadata!K983,"missing: not provided"))</f>
        <v>0</v>
      </c>
      <c r="AN983" t="b">
        <f>IF(metadata!L983="",FALSE,TRUE)</f>
        <v>0</v>
      </c>
      <c r="AO983" t="b">
        <f>IF(metadata!M983="",FALSE,TRUE)</f>
        <v>0</v>
      </c>
      <c r="AP983" t="b">
        <f>OR(AND(IF(metadata!N983="",FALSE,TRUE),OR(EXACT(metadata!N983,"not applicable"),EXACT(metadata!N983,"missing: not collected"),EXACT(metadata!N983,"missing: not provided"))),AND(IF(metadata!N983="",FALSE,IF(ISERROR(INT(metadata!N983)),FALSE,INT(metadata!N983)=metadata!N983)),metadata!N983&gt;0))</f>
        <v>0</v>
      </c>
      <c r="AQ983" t="b">
        <f>AND(IF(metadata!O983="",FALSE,TRUE),EXACT(metadata!O983,"Not applicable"))</f>
        <v>0</v>
      </c>
      <c r="AR983" t="b">
        <f>OR(AND(IF(metadata!P983="",FALSE,TRUE),OR(EXACT(metadata!P983,"not applicable"),EXACT(metadata!P983,"missing: not collected"),EXACT(metadata!P983,"missing: not provided"),EXACT(metadata!P983,"missing: restricted access"))),IF(metadata!P983="",FALSE,IF(ISERROR(INT(metadata!P983)),FALSE,INT(metadata!P983)=metadata!P983)))</f>
        <v>0</v>
      </c>
      <c r="AS983" t="b">
        <f>AND(IF(metadata!Q983="",FALSE,TRUE),EXACT(metadata!Q983,"Not applicable"))</f>
        <v>0</v>
      </c>
      <c r="AT983" t="b">
        <f>OR(AND(IF(metadata!R983="",FALSE,TRUE),OR(EXACT(metadata!R983,"not applicable"),EXACT(metadata!R983,"missing: not collected"),EXACT(metadata!R983,"missing: not provided"),EXACT(metadata!R983,"missing: restricted access"))),AND(IF(metadata!R983="",FALSE,ISNUMBER(VALUE(metadata!R983))),metadata!R983&gt;0))</f>
        <v>0</v>
      </c>
      <c r="AU983" t="b">
        <f>AND(IF(metadata!S983="",FALSE,TRUE),EXACT(metadata!S983,"missing: not provided"))</f>
        <v>0</v>
      </c>
    </row>
    <row r="984" spans="1:47" x14ac:dyDescent="0.2">
      <c r="A984" s="5" t="str">
        <f ca="1">IF(B984=" "," ",HYPERLINK(CONCATENATE("#metadata!",ADDRESS(INDEX($Y$2:$Y$1001,MATCH(ROWS($W$2:W984),$W$2:$W$1001,0),0),1)),INDEX($AB$2:$AB$1001,MATCH(ROWS($W$2:W984),$W$2:$W$1001,0),0)))</f>
        <v xml:space="preserve"> </v>
      </c>
      <c r="B984" s="4" t="str">
        <f ca="1">IF(OR(INDEX($X$2:$X$1001,MATCH(ROWS($W$2:W984),$W$2:$W$1001,0),1)&gt;=100000,INDEX($AD$1005:$AU$1005,1,MATCH(COLUMNS($AD$1006:AD1006),$AD$1006:$AU$1006,0))&gt;=100000), " ",IF(INDEX($AD$2:$AU$1001,MATCH(ROWS($W$2:W984),$W$2:$W$1001,0),MATCH(COLUMNS($AD$1006:AD1006),$AD$1006:$AU$1006,0)), HYPERLINK("#",""), HYPERLINK(CONCATENATE("#metadata!", ADDRESS(INDEX($Y$2:$Y$1001,MATCH(ROWS($W$2:W984),$W$2:$W$1001,0),0), INDEX($AD$1004:$AU$1004,1,MATCH(COLUMNS($AD$1006:AD1006),$AD$1006:$AU$1006,0)))),"Fix")))</f>
        <v xml:space="preserve"> </v>
      </c>
      <c r="C984" s="4" t="str">
        <f ca="1">IF(OR(INDEX($X$2:$X$1001,MATCH(ROWS($W$2:W984),$W$2:$W$1001,0),1)&gt;=100000,INDEX($AD$1005:$AU$1005,1,MATCH(COLUMNS($AD$1006:AE1006),$AD$1006:$AU$1006,0))&gt;=100000), " ",IF(INDEX($AD$2:$AU$1001,MATCH(ROWS($W$2:W984),$W$2:$W$1001,0),MATCH(COLUMNS($AD$1006:AE1006),$AD$1006:$AU$1006,0)), HYPERLINK("#",""), HYPERLINK(CONCATENATE("#metadata!", ADDRESS(INDEX($Y$2:$Y$1001,MATCH(ROWS($W$2:W984),$W$2:$W$1001,0),0), INDEX($AD$1004:$AU$1004,1,MATCH(COLUMNS($AD$1006:AE1006),$AD$1006:$AU$1006,0)))),"Fix")))</f>
        <v xml:space="preserve"> </v>
      </c>
      <c r="D984" s="4" t="str">
        <f ca="1">IF(OR(INDEX($X$2:$X$1001,MATCH(ROWS($W$2:W984),$W$2:$W$1001,0),1)&gt;=100000,INDEX($AD$1005:$AU$1005,1,MATCH(COLUMNS($AD$1006:AF1006),$AD$1006:$AU$1006,0))&gt;=100000), " ",IF(INDEX($AD$2:$AU$1001,MATCH(ROWS($W$2:W984),$W$2:$W$1001,0),MATCH(COLUMNS($AD$1006:AF1006),$AD$1006:$AU$1006,0)), HYPERLINK("#",""), HYPERLINK(CONCATENATE("#metadata!", ADDRESS(INDEX($Y$2:$Y$1001,MATCH(ROWS($W$2:W984),$W$2:$W$1001,0),0), INDEX($AD$1004:$AU$1004,1,MATCH(COLUMNS($AD$1006:AF1006),$AD$1006:$AU$1006,0)))),"Fix")))</f>
        <v xml:space="preserve"> </v>
      </c>
      <c r="E984" s="4" t="str">
        <f ca="1">IF(OR(INDEX($X$2:$X$1001,MATCH(ROWS($W$2:W984),$W$2:$W$1001,0),1)&gt;=100000,INDEX($AD$1005:$AU$1005,1,MATCH(COLUMNS($AD$1006:AG1006),$AD$1006:$AU$1006,0))&gt;=100000), " ",IF(INDEX($AD$2:$AU$1001,MATCH(ROWS($W$2:W984),$W$2:$W$1001,0),MATCH(COLUMNS($AD$1006:AG1006),$AD$1006:$AU$1006,0)), HYPERLINK("#",""), HYPERLINK(CONCATENATE("#metadata!", ADDRESS(INDEX($Y$2:$Y$1001,MATCH(ROWS($W$2:W984),$W$2:$W$1001,0),0), INDEX($AD$1004:$AU$1004,1,MATCH(COLUMNS($AD$1006:AG1006),$AD$1006:$AU$1006,0)))),"Fix")))</f>
        <v xml:space="preserve"> </v>
      </c>
      <c r="F984" s="4" t="str">
        <f ca="1">IF(OR(INDEX($X$2:$X$1001,MATCH(ROWS($W$2:W984),$W$2:$W$1001,0),1)&gt;=100000,INDEX($AD$1005:$AU$1005,1,MATCH(COLUMNS($AD$1006:AH1006),$AD$1006:$AU$1006,0))&gt;=100000), " ",IF(INDEX($AD$2:$AU$1001,MATCH(ROWS($W$2:W984),$W$2:$W$1001,0),MATCH(COLUMNS($AD$1006:AH1006),$AD$1006:$AU$1006,0)), HYPERLINK("#",""), HYPERLINK(CONCATENATE("#metadata!", ADDRESS(INDEX($Y$2:$Y$1001,MATCH(ROWS($W$2:W984),$W$2:$W$1001,0),0), INDEX($AD$1004:$AU$1004,1,MATCH(COLUMNS($AD$1006:AH1006),$AD$1006:$AU$1006,0)))),"Fix")))</f>
        <v xml:space="preserve"> </v>
      </c>
      <c r="G984" s="4" t="str">
        <f ca="1">IF(OR(INDEX($X$2:$X$1001,MATCH(ROWS($W$2:W984),$W$2:$W$1001,0),1)&gt;=100000,INDEX($AD$1005:$AU$1005,1,MATCH(COLUMNS($AD$1006:AI1006),$AD$1006:$AU$1006,0))&gt;=100000), " ",IF(INDEX($AD$2:$AU$1001,MATCH(ROWS($W$2:W984),$W$2:$W$1001,0),MATCH(COLUMNS($AD$1006:AI1006),$AD$1006:$AU$1006,0)), HYPERLINK("#",""), HYPERLINK(CONCATENATE("#metadata!", ADDRESS(INDEX($Y$2:$Y$1001,MATCH(ROWS($W$2:W984),$W$2:$W$1001,0),0), INDEX($AD$1004:$AU$1004,1,MATCH(COLUMNS($AD$1006:AI1006),$AD$1006:$AU$1006,0)))),"Fix")))</f>
        <v xml:space="preserve"> </v>
      </c>
      <c r="H984" s="4" t="str">
        <f ca="1">IF(OR(INDEX($X$2:$X$1001,MATCH(ROWS($W$2:W984),$W$2:$W$1001,0),1)&gt;=100000,INDEX($AD$1005:$AU$1005,1,MATCH(COLUMNS($AD$1006:AJ1006),$AD$1006:$AU$1006,0))&gt;=100000), " ",IF(INDEX($AD$2:$AU$1001,MATCH(ROWS($W$2:W984),$W$2:$W$1001,0),MATCH(COLUMNS($AD$1006:AJ1006),$AD$1006:$AU$1006,0)), HYPERLINK("#",""), HYPERLINK(CONCATENATE("#metadata!", ADDRESS(INDEX($Y$2:$Y$1001,MATCH(ROWS($W$2:W984),$W$2:$W$1001,0),0), INDEX($AD$1004:$AU$1004,1,MATCH(COLUMNS($AD$1006:AJ1006),$AD$1006:$AU$1006,0)))),"Fix")))</f>
        <v xml:space="preserve"> </v>
      </c>
      <c r="I984" s="4" t="str">
        <f ca="1">IF(OR(INDEX($X$2:$X$1001,MATCH(ROWS($W$2:W984),$W$2:$W$1001,0),1)&gt;=100000,INDEX($AD$1005:$AU$1005,1,MATCH(COLUMNS($AD$1006:AK1006),$AD$1006:$AU$1006,0))&gt;=100000), " ",IF(INDEX($AD$2:$AU$1001,MATCH(ROWS($W$2:W984),$W$2:$W$1001,0),MATCH(COLUMNS($AD$1006:AK1006),$AD$1006:$AU$1006,0)), HYPERLINK("#",""), HYPERLINK(CONCATENATE("#metadata!", ADDRESS(INDEX($Y$2:$Y$1001,MATCH(ROWS($W$2:W984),$W$2:$W$1001,0),0), INDEX($AD$1004:$AU$1004,1,MATCH(COLUMNS($AD$1006:AK1006),$AD$1006:$AU$1006,0)))),"Fix")))</f>
        <v xml:space="preserve"> </v>
      </c>
      <c r="J984" s="4" t="str">
        <f ca="1">IF(OR(INDEX($X$2:$X$1001,MATCH(ROWS($W$2:W984),$W$2:$W$1001,0),1)&gt;=100000,INDEX($AD$1005:$AU$1005,1,MATCH(COLUMNS($AD$1006:AL1006),$AD$1006:$AU$1006,0))&gt;=100000), " ",IF(INDEX($AD$2:$AU$1001,MATCH(ROWS($W$2:W984),$W$2:$W$1001,0),MATCH(COLUMNS($AD$1006:AL1006),$AD$1006:$AU$1006,0)), HYPERLINK("#",""), HYPERLINK(CONCATENATE("#metadata!", ADDRESS(INDEX($Y$2:$Y$1001,MATCH(ROWS($W$2:W984),$W$2:$W$1001,0),0), INDEX($AD$1004:$AU$1004,1,MATCH(COLUMNS($AD$1006:AL1006),$AD$1006:$AU$1006,0)))),"Fix")))</f>
        <v xml:space="preserve"> </v>
      </c>
      <c r="K984" s="4" t="str">
        <f ca="1">IF(OR(INDEX($X$2:$X$1001,MATCH(ROWS($W$2:W984),$W$2:$W$1001,0),1)&gt;=100000,INDEX($AD$1005:$AU$1005,1,MATCH(COLUMNS($AD$1006:AM1006),$AD$1006:$AU$1006,0))&gt;=100000), " ",IF(INDEX($AD$2:$AU$1001,MATCH(ROWS($W$2:W984),$W$2:$W$1001,0),MATCH(COLUMNS($AD$1006:AM1006),$AD$1006:$AU$1006,0)), HYPERLINK("#",""), HYPERLINK(CONCATENATE("#metadata!", ADDRESS(INDEX($Y$2:$Y$1001,MATCH(ROWS($W$2:W984),$W$2:$W$1001,0),0), INDEX($AD$1004:$AU$1004,1,MATCH(COLUMNS($AD$1006:AM1006),$AD$1006:$AU$1006,0)))),"Fix")))</f>
        <v xml:space="preserve"> </v>
      </c>
      <c r="L984" s="4" t="str">
        <f ca="1">IF(OR(INDEX($X$2:$X$1001,MATCH(ROWS($W$2:W984),$W$2:$W$1001,0),1)&gt;=100000,INDEX($AD$1005:$AU$1005,1,MATCH(COLUMNS($AD$1006:AN1006),$AD$1006:$AU$1006,0))&gt;=100000), " ",IF(INDEX($AD$2:$AU$1001,MATCH(ROWS($W$2:W984),$W$2:$W$1001,0),MATCH(COLUMNS($AD$1006:AN1006),$AD$1006:$AU$1006,0)), HYPERLINK("#",""), HYPERLINK(CONCATENATE("#metadata!", ADDRESS(INDEX($Y$2:$Y$1001,MATCH(ROWS($W$2:W984),$W$2:$W$1001,0),0), INDEX($AD$1004:$AU$1004,1,MATCH(COLUMNS($AD$1006:AN1006),$AD$1006:$AU$1006,0)))),"Fix")))</f>
        <v xml:space="preserve"> </v>
      </c>
      <c r="M984" s="4" t="str">
        <f ca="1">IF(OR(INDEX($X$2:$X$1001,MATCH(ROWS($W$2:W984),$W$2:$W$1001,0),1)&gt;=100000,INDEX($AD$1005:$AU$1005,1,MATCH(COLUMNS($AD$1006:AO1006),$AD$1006:$AU$1006,0))&gt;=100000), " ",IF(INDEX($AD$2:$AU$1001,MATCH(ROWS($W$2:W984),$W$2:$W$1001,0),MATCH(COLUMNS($AD$1006:AO1006),$AD$1006:$AU$1006,0)), HYPERLINK("#",""), HYPERLINK(CONCATENATE("#metadata!", ADDRESS(INDEX($Y$2:$Y$1001,MATCH(ROWS($W$2:W984),$W$2:$W$1001,0),0), INDEX($AD$1004:$AU$1004,1,MATCH(COLUMNS($AD$1006:AO1006),$AD$1006:$AU$1006,0)))),"Fix")))</f>
        <v xml:space="preserve"> </v>
      </c>
      <c r="N984" s="4" t="str">
        <f ca="1">IF(OR(INDEX($X$2:$X$1001,MATCH(ROWS($W$2:W984),$W$2:$W$1001,0),1)&gt;=100000,INDEX($AD$1005:$AU$1005,1,MATCH(COLUMNS($AD$1006:AP1006),$AD$1006:$AU$1006,0))&gt;=100000), " ",IF(INDEX($AD$2:$AU$1001,MATCH(ROWS($W$2:W984),$W$2:$W$1001,0),MATCH(COLUMNS($AD$1006:AP1006),$AD$1006:$AU$1006,0)), HYPERLINK("#",""), HYPERLINK(CONCATENATE("#metadata!", ADDRESS(INDEX($Y$2:$Y$1001,MATCH(ROWS($W$2:W984),$W$2:$W$1001,0),0), INDEX($AD$1004:$AU$1004,1,MATCH(COLUMNS($AD$1006:AP1006),$AD$1006:$AU$1006,0)))),"Fix")))</f>
        <v xml:space="preserve"> </v>
      </c>
      <c r="O984" s="4" t="str">
        <f ca="1">IF(OR(INDEX($X$2:$X$1001,MATCH(ROWS($W$2:W984),$W$2:$W$1001,0),1)&gt;=100000,INDEX($AD$1005:$AU$1005,1,MATCH(COLUMNS($AD$1006:AQ1006),$AD$1006:$AU$1006,0))&gt;=100000), " ",IF(INDEX($AD$2:$AU$1001,MATCH(ROWS($W$2:W984),$W$2:$W$1001,0),MATCH(COLUMNS($AD$1006:AQ1006),$AD$1006:$AU$1006,0)), HYPERLINK("#",""), HYPERLINK(CONCATENATE("#metadata!", ADDRESS(INDEX($Y$2:$Y$1001,MATCH(ROWS($W$2:W984),$W$2:$W$1001,0),0), INDEX($AD$1004:$AU$1004,1,MATCH(COLUMNS($AD$1006:AQ1006),$AD$1006:$AU$1006,0)))),"Fix")))</f>
        <v xml:space="preserve"> </v>
      </c>
      <c r="P984" s="4" t="str">
        <f ca="1">IF(OR(INDEX($X$2:$X$1001,MATCH(ROWS($W$2:W984),$W$2:$W$1001,0),1)&gt;=100000,INDEX($AD$1005:$AU$1005,1,MATCH(COLUMNS($AD$1006:AR1006),$AD$1006:$AU$1006,0))&gt;=100000), " ",IF(INDEX($AD$2:$AU$1001,MATCH(ROWS($W$2:W984),$W$2:$W$1001,0),MATCH(COLUMNS($AD$1006:AR1006),$AD$1006:$AU$1006,0)), HYPERLINK("#",""), HYPERLINK(CONCATENATE("#metadata!", ADDRESS(INDEX($Y$2:$Y$1001,MATCH(ROWS($W$2:W984),$W$2:$W$1001,0),0), INDEX($AD$1004:$AU$1004,1,MATCH(COLUMNS($AD$1006:AR1006),$AD$1006:$AU$1006,0)))),"Fix")))</f>
        <v xml:space="preserve"> </v>
      </c>
      <c r="Q984" s="4" t="str">
        <f ca="1">IF(OR(INDEX($X$2:$X$1001,MATCH(ROWS($W$2:W984),$W$2:$W$1001,0),1)&gt;=100000,INDEX($AD$1005:$AU$1005,1,MATCH(COLUMNS($AD$1006:AS1006),$AD$1006:$AU$1006,0))&gt;=100000), " ",IF(INDEX($AD$2:$AU$1001,MATCH(ROWS($W$2:W984),$W$2:$W$1001,0),MATCH(COLUMNS($AD$1006:AS1006),$AD$1006:$AU$1006,0)), HYPERLINK("#",""), HYPERLINK(CONCATENATE("#metadata!", ADDRESS(INDEX($Y$2:$Y$1001,MATCH(ROWS($W$2:W984),$W$2:$W$1001,0),0), INDEX($AD$1004:$AU$1004,1,MATCH(COLUMNS($AD$1006:AS1006),$AD$1006:$AU$1006,0)))),"Fix")))</f>
        <v xml:space="preserve"> </v>
      </c>
      <c r="R984" s="4" t="str">
        <f ca="1">IF(OR(INDEX($X$2:$X$1001,MATCH(ROWS($W$2:W984),$W$2:$W$1001,0),1)&gt;=100000,INDEX($AD$1005:$AU$1005,1,MATCH(COLUMNS($AD$1006:AT1006),$AD$1006:$AU$1006,0))&gt;=100000), " ",IF(INDEX($AD$2:$AU$1001,MATCH(ROWS($W$2:W984),$W$2:$W$1001,0),MATCH(COLUMNS($AD$1006:AT1006),$AD$1006:$AU$1006,0)), HYPERLINK("#",""), HYPERLINK(CONCATENATE("#metadata!", ADDRESS(INDEX($Y$2:$Y$1001,MATCH(ROWS($W$2:W984),$W$2:$W$1001,0),0), INDEX($AD$1004:$AU$1004,1,MATCH(COLUMNS($AD$1006:AT1006),$AD$1006:$AU$1006,0)))),"Fix")))</f>
        <v xml:space="preserve"> </v>
      </c>
      <c r="S984" s="4" t="str">
        <f ca="1">IF(OR(INDEX($X$2:$X$1001,MATCH(ROWS($W$2:W984),$W$2:$W$1001,0),1)&gt;=100000,INDEX($AD$1005:$AU$1005,1,MATCH(COLUMNS($AD$1006:AU1006),$AD$1006:$AU$1006,0))&gt;=100000), " ",IF(INDEX($AD$2:$AU$1001,MATCH(ROWS($W$2:W984),$W$2:$W$1001,0),MATCH(COLUMNS($AD$1006:AU1006),$AD$1006:$AU$1006,0)), HYPERLINK("#",""), HYPERLINK(CONCATENATE("#metadata!", ADDRESS(INDEX($Y$2:$Y$1001,MATCH(ROWS($W$2:W984),$W$2:$W$1001,0),0), INDEX($AD$1004:$AU$1004,1,MATCH(COLUMNS($AD$1006:AU1006),$AD$1006:$AU$1006,0)))),"Fix")))</f>
        <v xml:space="preserve"> </v>
      </c>
      <c r="W984">
        <v>983</v>
      </c>
      <c r="X984">
        <v>100984</v>
      </c>
      <c r="Y984">
        <v>984</v>
      </c>
      <c r="Z984" t="b">
        <f t="shared" si="15"/>
        <v>1</v>
      </c>
      <c r="AA984" t="b">
        <f>COUNTBLANK(metadata!B984:S984)=COLUMNS(metadata!B984:S984)</f>
        <v>1</v>
      </c>
      <c r="AB984" t="str">
        <v/>
      </c>
      <c r="AD984" t="b">
        <f ca="1">AND(IF(metadata!B984="",FALSE,TRUE),COUNTIF(metadata!B:B, metadata!B984) = 1,NOT(ISERROR(SUMPRODUCT(SEARCH(MID(metadata!B984,ROW(INDIRECT("1:"&amp;LEN(metadata!B984))), 1),"0123456789abcdefghijklmnopqrstuvwxyzABCDEFGHIJKLMNOPQRSTUVWXYZ.")))))</f>
        <v>0</v>
      </c>
      <c r="AE984" t="b">
        <f>OR(AND(IF(metadata!C984="",FALSE,TRUE),OR(EXACT(metadata!C984,"not applicable"),EXACT(metadata!C984,"missing: not collected"),EXACT(metadata!C984,"missing: not provided"),EXACT(metadata!C984,"missing: restricted access"))),AND(IF(metadata!C984="",FALSE,ISNUMBER(VALUE(metadata!C984))),metadata!C984&gt;0))</f>
        <v>0</v>
      </c>
      <c r="AF984" t="b">
        <f>AND(IF(metadata!D984="",FALSE,TRUE),EXACT(metadata!D984,"missing: not provided"))</f>
        <v>0</v>
      </c>
      <c r="AG984" t="b">
        <f>AND(IF(metadata!E984="",FALSE,TRUE),EXACT(metadata!E984,"Host-associated"))</f>
        <v>0</v>
      </c>
      <c r="AH984" t="b">
        <f>AND(IF(metadata!F984="",FALSE,TRUE),OR(EXACT(metadata!F984,"Animal"),EXACT(metadata!F984,"Fungus"),EXACT(metadata!F984,"Plant")))</f>
        <v>0</v>
      </c>
      <c r="AI984" t="b">
        <f>AND(IF(metadata!G984="",FALSE,TRUE),OR(EXACT(metadata!G984,"Plant secretion"),EXACT(metadata!G984,"Plant rhizosphere"),EXACT(metadata!G984,"Plant surface"),EXACT(metadata!G984,"Plant corpus"),EXACT(metadata!G984,"Fungus surface"),EXACT(metadata!G984,"Fungus corpus"),EXACT(metadata!G984,"Animal surface"),EXACT(metadata!G984,"Animal proximal gut"),EXACT(metadata!G984,"Animal corpus"),EXACT(metadata!G984,"Animal distal gut"),EXACT(metadata!G984,"Animal secretion")))</f>
        <v>0</v>
      </c>
      <c r="AJ984" t="b">
        <f>OR(AND(IF(metadata!H984="",FALSE,TRUE),OR(EXACT(metadata!H984,"missing: not collected"),EXACT(metadata!H984,"missing: not provided"),EXACT(metadata!H984,"missing: restricted access"))),AND(IF(metadata!H984="",FALSE,TRUE),OR(EXACT(metadata!H984,"organism-associated habitat"),EXACT(metadata!H984,"plant-associated habitat"),EXACT(metadata!H984,"animal-associated habitat"),EXACT(metadata!H984,"insecta-associated habitat"),EXACT(metadata!H984,"mammalia-associated habitat"),EXACT(metadata!H984,"human-associated habitat"),EXACT(metadata!H984,"livestock-associated habitat"))))</f>
        <v>0</v>
      </c>
      <c r="AK984" t="b">
        <f>AND(IF(metadata!I984="",FALSE,TRUE),EXACT(metadata!I984,"host-associated"))</f>
        <v>0</v>
      </c>
      <c r="AL984" t="b">
        <f>OR(AND(IF(metadata!J984="",FALSE,TRUE),OR(EXACT(metadata!J984,"not applicable"),EXACT(metadata!J984,"missing: not collected"),EXACT(metadata!J984,"missing: not provided"),EXACT(metadata!J984,"missing: restricted access"))),AND(IF(metadata!J984="",FALSE,ISNUMBER(VALUE(metadata!J984))),metadata!J984&gt;0))</f>
        <v>0</v>
      </c>
      <c r="AM984" t="b">
        <f>AND(IF(metadata!K984="",FALSE,TRUE),EXACT(metadata!K984,"missing: not provided"))</f>
        <v>0</v>
      </c>
      <c r="AN984" t="b">
        <f>IF(metadata!L984="",FALSE,TRUE)</f>
        <v>0</v>
      </c>
      <c r="AO984" t="b">
        <f>IF(metadata!M984="",FALSE,TRUE)</f>
        <v>0</v>
      </c>
      <c r="AP984" t="b">
        <f>OR(AND(IF(metadata!N984="",FALSE,TRUE),OR(EXACT(metadata!N984,"not applicable"),EXACT(metadata!N984,"missing: not collected"),EXACT(metadata!N984,"missing: not provided"))),AND(IF(metadata!N984="",FALSE,IF(ISERROR(INT(metadata!N984)),FALSE,INT(metadata!N984)=metadata!N984)),metadata!N984&gt;0))</f>
        <v>0</v>
      </c>
      <c r="AQ984" t="b">
        <f>AND(IF(metadata!O984="",FALSE,TRUE),EXACT(metadata!O984,"Not applicable"))</f>
        <v>0</v>
      </c>
      <c r="AR984" t="b">
        <f>OR(AND(IF(metadata!P984="",FALSE,TRUE),OR(EXACT(metadata!P984,"not applicable"),EXACT(metadata!P984,"missing: not collected"),EXACT(metadata!P984,"missing: not provided"),EXACT(metadata!P984,"missing: restricted access"))),IF(metadata!P984="",FALSE,IF(ISERROR(INT(metadata!P984)),FALSE,INT(metadata!P984)=metadata!P984)))</f>
        <v>0</v>
      </c>
      <c r="AS984" t="b">
        <f>AND(IF(metadata!Q984="",FALSE,TRUE),EXACT(metadata!Q984,"Not applicable"))</f>
        <v>0</v>
      </c>
      <c r="AT984" t="b">
        <f>OR(AND(IF(metadata!R984="",FALSE,TRUE),OR(EXACT(metadata!R984,"not applicable"),EXACT(metadata!R984,"missing: not collected"),EXACT(metadata!R984,"missing: not provided"),EXACT(metadata!R984,"missing: restricted access"))),AND(IF(metadata!R984="",FALSE,ISNUMBER(VALUE(metadata!R984))),metadata!R984&gt;0))</f>
        <v>0</v>
      </c>
      <c r="AU984" t="b">
        <f>AND(IF(metadata!S984="",FALSE,TRUE),EXACT(metadata!S984,"missing: not provided"))</f>
        <v>0</v>
      </c>
    </row>
    <row r="985" spans="1:47" x14ac:dyDescent="0.2">
      <c r="A985" s="5" t="str">
        <f ca="1">IF(B985=" "," ",HYPERLINK(CONCATENATE("#metadata!",ADDRESS(INDEX($Y$2:$Y$1001,MATCH(ROWS($W$2:W985),$W$2:$W$1001,0),0),1)),INDEX($AB$2:$AB$1001,MATCH(ROWS($W$2:W985),$W$2:$W$1001,0),0)))</f>
        <v xml:space="preserve"> </v>
      </c>
      <c r="B985" s="4" t="str">
        <f ca="1">IF(OR(INDEX($X$2:$X$1001,MATCH(ROWS($W$2:W985),$W$2:$W$1001,0),1)&gt;=100000,INDEX($AD$1005:$AU$1005,1,MATCH(COLUMNS($AD$1006:AD1006),$AD$1006:$AU$1006,0))&gt;=100000), " ",IF(INDEX($AD$2:$AU$1001,MATCH(ROWS($W$2:W985),$W$2:$W$1001,0),MATCH(COLUMNS($AD$1006:AD1006),$AD$1006:$AU$1006,0)), HYPERLINK("#",""), HYPERLINK(CONCATENATE("#metadata!", ADDRESS(INDEX($Y$2:$Y$1001,MATCH(ROWS($W$2:W985),$W$2:$W$1001,0),0), INDEX($AD$1004:$AU$1004,1,MATCH(COLUMNS($AD$1006:AD1006),$AD$1006:$AU$1006,0)))),"Fix")))</f>
        <v xml:space="preserve"> </v>
      </c>
      <c r="C985" s="4" t="str">
        <f ca="1">IF(OR(INDEX($X$2:$X$1001,MATCH(ROWS($W$2:W985),$W$2:$W$1001,0),1)&gt;=100000,INDEX($AD$1005:$AU$1005,1,MATCH(COLUMNS($AD$1006:AE1006),$AD$1006:$AU$1006,0))&gt;=100000), " ",IF(INDEX($AD$2:$AU$1001,MATCH(ROWS($W$2:W985),$W$2:$W$1001,0),MATCH(COLUMNS($AD$1006:AE1006),$AD$1006:$AU$1006,0)), HYPERLINK("#",""), HYPERLINK(CONCATENATE("#metadata!", ADDRESS(INDEX($Y$2:$Y$1001,MATCH(ROWS($W$2:W985),$W$2:$W$1001,0),0), INDEX($AD$1004:$AU$1004,1,MATCH(COLUMNS($AD$1006:AE1006),$AD$1006:$AU$1006,0)))),"Fix")))</f>
        <v xml:space="preserve"> </v>
      </c>
      <c r="D985" s="4" t="str">
        <f ca="1">IF(OR(INDEX($X$2:$X$1001,MATCH(ROWS($W$2:W985),$W$2:$W$1001,0),1)&gt;=100000,INDEX($AD$1005:$AU$1005,1,MATCH(COLUMNS($AD$1006:AF1006),$AD$1006:$AU$1006,0))&gt;=100000), " ",IF(INDEX($AD$2:$AU$1001,MATCH(ROWS($W$2:W985),$W$2:$W$1001,0),MATCH(COLUMNS($AD$1006:AF1006),$AD$1006:$AU$1006,0)), HYPERLINK("#",""), HYPERLINK(CONCATENATE("#metadata!", ADDRESS(INDEX($Y$2:$Y$1001,MATCH(ROWS($W$2:W985),$W$2:$W$1001,0),0), INDEX($AD$1004:$AU$1004,1,MATCH(COLUMNS($AD$1006:AF1006),$AD$1006:$AU$1006,0)))),"Fix")))</f>
        <v xml:space="preserve"> </v>
      </c>
      <c r="E985" s="4" t="str">
        <f ca="1">IF(OR(INDEX($X$2:$X$1001,MATCH(ROWS($W$2:W985),$W$2:$W$1001,0),1)&gt;=100000,INDEX($AD$1005:$AU$1005,1,MATCH(COLUMNS($AD$1006:AG1006),$AD$1006:$AU$1006,0))&gt;=100000), " ",IF(INDEX($AD$2:$AU$1001,MATCH(ROWS($W$2:W985),$W$2:$W$1001,0),MATCH(COLUMNS($AD$1006:AG1006),$AD$1006:$AU$1006,0)), HYPERLINK("#",""), HYPERLINK(CONCATENATE("#metadata!", ADDRESS(INDEX($Y$2:$Y$1001,MATCH(ROWS($W$2:W985),$W$2:$W$1001,0),0), INDEX($AD$1004:$AU$1004,1,MATCH(COLUMNS($AD$1006:AG1006),$AD$1006:$AU$1006,0)))),"Fix")))</f>
        <v xml:space="preserve"> </v>
      </c>
      <c r="F985" s="4" t="str">
        <f ca="1">IF(OR(INDEX($X$2:$X$1001,MATCH(ROWS($W$2:W985),$W$2:$W$1001,0),1)&gt;=100000,INDEX($AD$1005:$AU$1005,1,MATCH(COLUMNS($AD$1006:AH1006),$AD$1006:$AU$1006,0))&gt;=100000), " ",IF(INDEX($AD$2:$AU$1001,MATCH(ROWS($W$2:W985),$W$2:$W$1001,0),MATCH(COLUMNS($AD$1006:AH1006),$AD$1006:$AU$1006,0)), HYPERLINK("#",""), HYPERLINK(CONCATENATE("#metadata!", ADDRESS(INDEX($Y$2:$Y$1001,MATCH(ROWS($W$2:W985),$W$2:$W$1001,0),0), INDEX($AD$1004:$AU$1004,1,MATCH(COLUMNS($AD$1006:AH1006),$AD$1006:$AU$1006,0)))),"Fix")))</f>
        <v xml:space="preserve"> </v>
      </c>
      <c r="G985" s="4" t="str">
        <f ca="1">IF(OR(INDEX($X$2:$X$1001,MATCH(ROWS($W$2:W985),$W$2:$W$1001,0),1)&gt;=100000,INDEX($AD$1005:$AU$1005,1,MATCH(COLUMNS($AD$1006:AI1006),$AD$1006:$AU$1006,0))&gt;=100000), " ",IF(INDEX($AD$2:$AU$1001,MATCH(ROWS($W$2:W985),$W$2:$W$1001,0),MATCH(COLUMNS($AD$1006:AI1006),$AD$1006:$AU$1006,0)), HYPERLINK("#",""), HYPERLINK(CONCATENATE("#metadata!", ADDRESS(INDEX($Y$2:$Y$1001,MATCH(ROWS($W$2:W985),$W$2:$W$1001,0),0), INDEX($AD$1004:$AU$1004,1,MATCH(COLUMNS($AD$1006:AI1006),$AD$1006:$AU$1006,0)))),"Fix")))</f>
        <v xml:space="preserve"> </v>
      </c>
      <c r="H985" s="4" t="str">
        <f ca="1">IF(OR(INDEX($X$2:$X$1001,MATCH(ROWS($W$2:W985),$W$2:$W$1001,0),1)&gt;=100000,INDEX($AD$1005:$AU$1005,1,MATCH(COLUMNS($AD$1006:AJ1006),$AD$1006:$AU$1006,0))&gt;=100000), " ",IF(INDEX($AD$2:$AU$1001,MATCH(ROWS($W$2:W985),$W$2:$W$1001,0),MATCH(COLUMNS($AD$1006:AJ1006),$AD$1006:$AU$1006,0)), HYPERLINK("#",""), HYPERLINK(CONCATENATE("#metadata!", ADDRESS(INDEX($Y$2:$Y$1001,MATCH(ROWS($W$2:W985),$W$2:$W$1001,0),0), INDEX($AD$1004:$AU$1004,1,MATCH(COLUMNS($AD$1006:AJ1006),$AD$1006:$AU$1006,0)))),"Fix")))</f>
        <v xml:space="preserve"> </v>
      </c>
      <c r="I985" s="4" t="str">
        <f ca="1">IF(OR(INDEX($X$2:$X$1001,MATCH(ROWS($W$2:W985),$W$2:$W$1001,0),1)&gt;=100000,INDEX($AD$1005:$AU$1005,1,MATCH(COLUMNS($AD$1006:AK1006),$AD$1006:$AU$1006,0))&gt;=100000), " ",IF(INDEX($AD$2:$AU$1001,MATCH(ROWS($W$2:W985),$W$2:$W$1001,0),MATCH(COLUMNS($AD$1006:AK1006),$AD$1006:$AU$1006,0)), HYPERLINK("#",""), HYPERLINK(CONCATENATE("#metadata!", ADDRESS(INDEX($Y$2:$Y$1001,MATCH(ROWS($W$2:W985),$W$2:$W$1001,0),0), INDEX($AD$1004:$AU$1004,1,MATCH(COLUMNS($AD$1006:AK1006),$AD$1006:$AU$1006,0)))),"Fix")))</f>
        <v xml:space="preserve"> </v>
      </c>
      <c r="J985" s="4" t="str">
        <f ca="1">IF(OR(INDEX($X$2:$X$1001,MATCH(ROWS($W$2:W985),$W$2:$W$1001,0),1)&gt;=100000,INDEX($AD$1005:$AU$1005,1,MATCH(COLUMNS($AD$1006:AL1006),$AD$1006:$AU$1006,0))&gt;=100000), " ",IF(INDEX($AD$2:$AU$1001,MATCH(ROWS($W$2:W985),$W$2:$W$1001,0),MATCH(COLUMNS($AD$1006:AL1006),$AD$1006:$AU$1006,0)), HYPERLINK("#",""), HYPERLINK(CONCATENATE("#metadata!", ADDRESS(INDEX($Y$2:$Y$1001,MATCH(ROWS($W$2:W985),$W$2:$W$1001,0),0), INDEX($AD$1004:$AU$1004,1,MATCH(COLUMNS($AD$1006:AL1006),$AD$1006:$AU$1006,0)))),"Fix")))</f>
        <v xml:space="preserve"> </v>
      </c>
      <c r="K985" s="4" t="str">
        <f ca="1">IF(OR(INDEX($X$2:$X$1001,MATCH(ROWS($W$2:W985),$W$2:$W$1001,0),1)&gt;=100000,INDEX($AD$1005:$AU$1005,1,MATCH(COLUMNS($AD$1006:AM1006),$AD$1006:$AU$1006,0))&gt;=100000), " ",IF(INDEX($AD$2:$AU$1001,MATCH(ROWS($W$2:W985),$W$2:$W$1001,0),MATCH(COLUMNS($AD$1006:AM1006),$AD$1006:$AU$1006,0)), HYPERLINK("#",""), HYPERLINK(CONCATENATE("#metadata!", ADDRESS(INDEX($Y$2:$Y$1001,MATCH(ROWS($W$2:W985),$W$2:$W$1001,0),0), INDEX($AD$1004:$AU$1004,1,MATCH(COLUMNS($AD$1006:AM1006),$AD$1006:$AU$1006,0)))),"Fix")))</f>
        <v xml:space="preserve"> </v>
      </c>
      <c r="L985" s="4" t="str">
        <f ca="1">IF(OR(INDEX($X$2:$X$1001,MATCH(ROWS($W$2:W985),$W$2:$W$1001,0),1)&gt;=100000,INDEX($AD$1005:$AU$1005,1,MATCH(COLUMNS($AD$1006:AN1006),$AD$1006:$AU$1006,0))&gt;=100000), " ",IF(INDEX($AD$2:$AU$1001,MATCH(ROWS($W$2:W985),$W$2:$W$1001,0),MATCH(COLUMNS($AD$1006:AN1006),$AD$1006:$AU$1006,0)), HYPERLINK("#",""), HYPERLINK(CONCATENATE("#metadata!", ADDRESS(INDEX($Y$2:$Y$1001,MATCH(ROWS($W$2:W985),$W$2:$W$1001,0),0), INDEX($AD$1004:$AU$1004,1,MATCH(COLUMNS($AD$1006:AN1006),$AD$1006:$AU$1006,0)))),"Fix")))</f>
        <v xml:space="preserve"> </v>
      </c>
      <c r="M985" s="4" t="str">
        <f ca="1">IF(OR(INDEX($X$2:$X$1001,MATCH(ROWS($W$2:W985),$W$2:$W$1001,0),1)&gt;=100000,INDEX($AD$1005:$AU$1005,1,MATCH(COLUMNS($AD$1006:AO1006),$AD$1006:$AU$1006,0))&gt;=100000), " ",IF(INDEX($AD$2:$AU$1001,MATCH(ROWS($W$2:W985),$W$2:$W$1001,0),MATCH(COLUMNS($AD$1006:AO1006),$AD$1006:$AU$1006,0)), HYPERLINK("#",""), HYPERLINK(CONCATENATE("#metadata!", ADDRESS(INDEX($Y$2:$Y$1001,MATCH(ROWS($W$2:W985),$W$2:$W$1001,0),0), INDEX($AD$1004:$AU$1004,1,MATCH(COLUMNS($AD$1006:AO1006),$AD$1006:$AU$1006,0)))),"Fix")))</f>
        <v xml:space="preserve"> </v>
      </c>
      <c r="N985" s="4" t="str">
        <f ca="1">IF(OR(INDEX($X$2:$X$1001,MATCH(ROWS($W$2:W985),$W$2:$W$1001,0),1)&gt;=100000,INDEX($AD$1005:$AU$1005,1,MATCH(COLUMNS($AD$1006:AP1006),$AD$1006:$AU$1006,0))&gt;=100000), " ",IF(INDEX($AD$2:$AU$1001,MATCH(ROWS($W$2:W985),$W$2:$W$1001,0),MATCH(COLUMNS($AD$1006:AP1006),$AD$1006:$AU$1006,0)), HYPERLINK("#",""), HYPERLINK(CONCATENATE("#metadata!", ADDRESS(INDEX($Y$2:$Y$1001,MATCH(ROWS($W$2:W985),$W$2:$W$1001,0),0), INDEX($AD$1004:$AU$1004,1,MATCH(COLUMNS($AD$1006:AP1006),$AD$1006:$AU$1006,0)))),"Fix")))</f>
        <v xml:space="preserve"> </v>
      </c>
      <c r="O985" s="4" t="str">
        <f ca="1">IF(OR(INDEX($X$2:$X$1001,MATCH(ROWS($W$2:W985),$W$2:$W$1001,0),1)&gt;=100000,INDEX($AD$1005:$AU$1005,1,MATCH(COLUMNS($AD$1006:AQ1006),$AD$1006:$AU$1006,0))&gt;=100000), " ",IF(INDEX($AD$2:$AU$1001,MATCH(ROWS($W$2:W985),$W$2:$W$1001,0),MATCH(COLUMNS($AD$1006:AQ1006),$AD$1006:$AU$1006,0)), HYPERLINK("#",""), HYPERLINK(CONCATENATE("#metadata!", ADDRESS(INDEX($Y$2:$Y$1001,MATCH(ROWS($W$2:W985),$W$2:$W$1001,0),0), INDEX($AD$1004:$AU$1004,1,MATCH(COLUMNS($AD$1006:AQ1006),$AD$1006:$AU$1006,0)))),"Fix")))</f>
        <v xml:space="preserve"> </v>
      </c>
      <c r="P985" s="4" t="str">
        <f ca="1">IF(OR(INDEX($X$2:$X$1001,MATCH(ROWS($W$2:W985),$W$2:$W$1001,0),1)&gt;=100000,INDEX($AD$1005:$AU$1005,1,MATCH(COLUMNS($AD$1006:AR1006),$AD$1006:$AU$1006,0))&gt;=100000), " ",IF(INDEX($AD$2:$AU$1001,MATCH(ROWS($W$2:W985),$W$2:$W$1001,0),MATCH(COLUMNS($AD$1006:AR1006),$AD$1006:$AU$1006,0)), HYPERLINK("#",""), HYPERLINK(CONCATENATE("#metadata!", ADDRESS(INDEX($Y$2:$Y$1001,MATCH(ROWS($W$2:W985),$W$2:$W$1001,0),0), INDEX($AD$1004:$AU$1004,1,MATCH(COLUMNS($AD$1006:AR1006),$AD$1006:$AU$1006,0)))),"Fix")))</f>
        <v xml:space="preserve"> </v>
      </c>
      <c r="Q985" s="4" t="str">
        <f ca="1">IF(OR(INDEX($X$2:$X$1001,MATCH(ROWS($W$2:W985),$W$2:$W$1001,0),1)&gt;=100000,INDEX($AD$1005:$AU$1005,1,MATCH(COLUMNS($AD$1006:AS1006),$AD$1006:$AU$1006,0))&gt;=100000), " ",IF(INDEX($AD$2:$AU$1001,MATCH(ROWS($W$2:W985),$W$2:$W$1001,0),MATCH(COLUMNS($AD$1006:AS1006),$AD$1006:$AU$1006,0)), HYPERLINK("#",""), HYPERLINK(CONCATENATE("#metadata!", ADDRESS(INDEX($Y$2:$Y$1001,MATCH(ROWS($W$2:W985),$W$2:$W$1001,0),0), INDEX($AD$1004:$AU$1004,1,MATCH(COLUMNS($AD$1006:AS1006),$AD$1006:$AU$1006,0)))),"Fix")))</f>
        <v xml:space="preserve"> </v>
      </c>
      <c r="R985" s="4" t="str">
        <f ca="1">IF(OR(INDEX($X$2:$X$1001,MATCH(ROWS($W$2:W985),$W$2:$W$1001,0),1)&gt;=100000,INDEX($AD$1005:$AU$1005,1,MATCH(COLUMNS($AD$1006:AT1006),$AD$1006:$AU$1006,0))&gt;=100000), " ",IF(INDEX($AD$2:$AU$1001,MATCH(ROWS($W$2:W985),$W$2:$W$1001,0),MATCH(COLUMNS($AD$1006:AT1006),$AD$1006:$AU$1006,0)), HYPERLINK("#",""), HYPERLINK(CONCATENATE("#metadata!", ADDRESS(INDEX($Y$2:$Y$1001,MATCH(ROWS($W$2:W985),$W$2:$W$1001,0),0), INDEX($AD$1004:$AU$1004,1,MATCH(COLUMNS($AD$1006:AT1006),$AD$1006:$AU$1006,0)))),"Fix")))</f>
        <v xml:space="preserve"> </v>
      </c>
      <c r="S985" s="4" t="str">
        <f ca="1">IF(OR(INDEX($X$2:$X$1001,MATCH(ROWS($W$2:W985),$W$2:$W$1001,0),1)&gt;=100000,INDEX($AD$1005:$AU$1005,1,MATCH(COLUMNS($AD$1006:AU1006),$AD$1006:$AU$1006,0))&gt;=100000), " ",IF(INDEX($AD$2:$AU$1001,MATCH(ROWS($W$2:W985),$W$2:$W$1001,0),MATCH(COLUMNS($AD$1006:AU1006),$AD$1006:$AU$1006,0)), HYPERLINK("#",""), HYPERLINK(CONCATENATE("#metadata!", ADDRESS(INDEX($Y$2:$Y$1001,MATCH(ROWS($W$2:W985),$W$2:$W$1001,0),0), INDEX($AD$1004:$AU$1004,1,MATCH(COLUMNS($AD$1006:AU1006),$AD$1006:$AU$1006,0)))),"Fix")))</f>
        <v xml:space="preserve"> </v>
      </c>
      <c r="W985">
        <v>984</v>
      </c>
      <c r="X985">
        <v>100985</v>
      </c>
      <c r="Y985">
        <v>985</v>
      </c>
      <c r="Z985" t="b">
        <f t="shared" si="15"/>
        <v>1</v>
      </c>
      <c r="AA985" t="b">
        <f>COUNTBLANK(metadata!B985:S985)=COLUMNS(metadata!B985:S985)</f>
        <v>1</v>
      </c>
      <c r="AB985" t="str">
        <v/>
      </c>
      <c r="AD985" t="b">
        <f ca="1">AND(IF(metadata!B985="",FALSE,TRUE),COUNTIF(metadata!B:B, metadata!B985) = 1,NOT(ISERROR(SUMPRODUCT(SEARCH(MID(metadata!B985,ROW(INDIRECT("1:"&amp;LEN(metadata!B985))), 1),"0123456789abcdefghijklmnopqrstuvwxyzABCDEFGHIJKLMNOPQRSTUVWXYZ.")))))</f>
        <v>0</v>
      </c>
      <c r="AE985" t="b">
        <f>OR(AND(IF(metadata!C985="",FALSE,TRUE),OR(EXACT(metadata!C985,"not applicable"),EXACT(metadata!C985,"missing: not collected"),EXACT(metadata!C985,"missing: not provided"),EXACT(metadata!C985,"missing: restricted access"))),AND(IF(metadata!C985="",FALSE,ISNUMBER(VALUE(metadata!C985))),metadata!C985&gt;0))</f>
        <v>0</v>
      </c>
      <c r="AF985" t="b">
        <f>AND(IF(metadata!D985="",FALSE,TRUE),EXACT(metadata!D985,"missing: not provided"))</f>
        <v>0</v>
      </c>
      <c r="AG985" t="b">
        <f>AND(IF(metadata!E985="",FALSE,TRUE),EXACT(metadata!E985,"Host-associated"))</f>
        <v>0</v>
      </c>
      <c r="AH985" t="b">
        <f>AND(IF(metadata!F985="",FALSE,TRUE),OR(EXACT(metadata!F985,"Animal"),EXACT(metadata!F985,"Fungus"),EXACT(metadata!F985,"Plant")))</f>
        <v>0</v>
      </c>
      <c r="AI985" t="b">
        <f>AND(IF(metadata!G985="",FALSE,TRUE),OR(EXACT(metadata!G985,"Plant secretion"),EXACT(metadata!G985,"Plant rhizosphere"),EXACT(metadata!G985,"Plant surface"),EXACT(metadata!G985,"Plant corpus"),EXACT(metadata!G985,"Fungus surface"),EXACT(metadata!G985,"Fungus corpus"),EXACT(metadata!G985,"Animal surface"),EXACT(metadata!G985,"Animal proximal gut"),EXACT(metadata!G985,"Animal corpus"),EXACT(metadata!G985,"Animal distal gut"),EXACT(metadata!G985,"Animal secretion")))</f>
        <v>0</v>
      </c>
      <c r="AJ985" t="b">
        <f>OR(AND(IF(metadata!H985="",FALSE,TRUE),OR(EXACT(metadata!H985,"missing: not collected"),EXACT(metadata!H985,"missing: not provided"),EXACT(metadata!H985,"missing: restricted access"))),AND(IF(metadata!H985="",FALSE,TRUE),OR(EXACT(metadata!H985,"organism-associated habitat"),EXACT(metadata!H985,"plant-associated habitat"),EXACT(metadata!H985,"animal-associated habitat"),EXACT(metadata!H985,"insecta-associated habitat"),EXACT(metadata!H985,"mammalia-associated habitat"),EXACT(metadata!H985,"human-associated habitat"),EXACT(metadata!H985,"livestock-associated habitat"))))</f>
        <v>0</v>
      </c>
      <c r="AK985" t="b">
        <f>AND(IF(metadata!I985="",FALSE,TRUE),EXACT(metadata!I985,"host-associated"))</f>
        <v>0</v>
      </c>
      <c r="AL985" t="b">
        <f>OR(AND(IF(metadata!J985="",FALSE,TRUE),OR(EXACT(metadata!J985,"not applicable"),EXACT(metadata!J985,"missing: not collected"),EXACT(metadata!J985,"missing: not provided"),EXACT(metadata!J985,"missing: restricted access"))),AND(IF(metadata!J985="",FALSE,ISNUMBER(VALUE(metadata!J985))),metadata!J985&gt;0))</f>
        <v>0</v>
      </c>
      <c r="AM985" t="b">
        <f>AND(IF(metadata!K985="",FALSE,TRUE),EXACT(metadata!K985,"missing: not provided"))</f>
        <v>0</v>
      </c>
      <c r="AN985" t="b">
        <f>IF(metadata!L985="",FALSE,TRUE)</f>
        <v>0</v>
      </c>
      <c r="AO985" t="b">
        <f>IF(metadata!M985="",FALSE,TRUE)</f>
        <v>0</v>
      </c>
      <c r="AP985" t="b">
        <f>OR(AND(IF(metadata!N985="",FALSE,TRUE),OR(EXACT(metadata!N985,"not applicable"),EXACT(metadata!N985,"missing: not collected"),EXACT(metadata!N985,"missing: not provided"))),AND(IF(metadata!N985="",FALSE,IF(ISERROR(INT(metadata!N985)),FALSE,INT(metadata!N985)=metadata!N985)),metadata!N985&gt;0))</f>
        <v>0</v>
      </c>
      <c r="AQ985" t="b">
        <f>AND(IF(metadata!O985="",FALSE,TRUE),EXACT(metadata!O985,"Not applicable"))</f>
        <v>0</v>
      </c>
      <c r="AR985" t="b">
        <f>OR(AND(IF(metadata!P985="",FALSE,TRUE),OR(EXACT(metadata!P985,"not applicable"),EXACT(metadata!P985,"missing: not collected"),EXACT(metadata!P985,"missing: not provided"),EXACT(metadata!P985,"missing: restricted access"))),IF(metadata!P985="",FALSE,IF(ISERROR(INT(metadata!P985)),FALSE,INT(metadata!P985)=metadata!P985)))</f>
        <v>0</v>
      </c>
      <c r="AS985" t="b">
        <f>AND(IF(metadata!Q985="",FALSE,TRUE),EXACT(metadata!Q985,"Not applicable"))</f>
        <v>0</v>
      </c>
      <c r="AT985" t="b">
        <f>OR(AND(IF(metadata!R985="",FALSE,TRUE),OR(EXACT(metadata!R985,"not applicable"),EXACT(metadata!R985,"missing: not collected"),EXACT(metadata!R985,"missing: not provided"),EXACT(metadata!R985,"missing: restricted access"))),AND(IF(metadata!R985="",FALSE,ISNUMBER(VALUE(metadata!R985))),metadata!R985&gt;0))</f>
        <v>0</v>
      </c>
      <c r="AU985" t="b">
        <f>AND(IF(metadata!S985="",FALSE,TRUE),EXACT(metadata!S985,"missing: not provided"))</f>
        <v>0</v>
      </c>
    </row>
    <row r="986" spans="1:47" x14ac:dyDescent="0.2">
      <c r="A986" s="5" t="str">
        <f ca="1">IF(B986=" "," ",HYPERLINK(CONCATENATE("#metadata!",ADDRESS(INDEX($Y$2:$Y$1001,MATCH(ROWS($W$2:W986),$W$2:$W$1001,0),0),1)),INDEX($AB$2:$AB$1001,MATCH(ROWS($W$2:W986),$W$2:$W$1001,0),0)))</f>
        <v xml:space="preserve"> </v>
      </c>
      <c r="B986" s="4" t="str">
        <f ca="1">IF(OR(INDEX($X$2:$X$1001,MATCH(ROWS($W$2:W986),$W$2:$W$1001,0),1)&gt;=100000,INDEX($AD$1005:$AU$1005,1,MATCH(COLUMNS($AD$1006:AD1006),$AD$1006:$AU$1006,0))&gt;=100000), " ",IF(INDEX($AD$2:$AU$1001,MATCH(ROWS($W$2:W986),$W$2:$W$1001,0),MATCH(COLUMNS($AD$1006:AD1006),$AD$1006:$AU$1006,0)), HYPERLINK("#",""), HYPERLINK(CONCATENATE("#metadata!", ADDRESS(INDEX($Y$2:$Y$1001,MATCH(ROWS($W$2:W986),$W$2:$W$1001,0),0), INDEX($AD$1004:$AU$1004,1,MATCH(COLUMNS($AD$1006:AD1006),$AD$1006:$AU$1006,0)))),"Fix")))</f>
        <v xml:space="preserve"> </v>
      </c>
      <c r="C986" s="4" t="str">
        <f ca="1">IF(OR(INDEX($X$2:$X$1001,MATCH(ROWS($W$2:W986),$W$2:$W$1001,0),1)&gt;=100000,INDEX($AD$1005:$AU$1005,1,MATCH(COLUMNS($AD$1006:AE1006),$AD$1006:$AU$1006,0))&gt;=100000), " ",IF(INDEX($AD$2:$AU$1001,MATCH(ROWS($W$2:W986),$W$2:$W$1001,0),MATCH(COLUMNS($AD$1006:AE1006),$AD$1006:$AU$1006,0)), HYPERLINK("#",""), HYPERLINK(CONCATENATE("#metadata!", ADDRESS(INDEX($Y$2:$Y$1001,MATCH(ROWS($W$2:W986),$W$2:$W$1001,0),0), INDEX($AD$1004:$AU$1004,1,MATCH(COLUMNS($AD$1006:AE1006),$AD$1006:$AU$1006,0)))),"Fix")))</f>
        <v xml:space="preserve"> </v>
      </c>
      <c r="D986" s="4" t="str">
        <f ca="1">IF(OR(INDEX($X$2:$X$1001,MATCH(ROWS($W$2:W986),$W$2:$W$1001,0),1)&gt;=100000,INDEX($AD$1005:$AU$1005,1,MATCH(COLUMNS($AD$1006:AF1006),$AD$1006:$AU$1006,0))&gt;=100000), " ",IF(INDEX($AD$2:$AU$1001,MATCH(ROWS($W$2:W986),$W$2:$W$1001,0),MATCH(COLUMNS($AD$1006:AF1006),$AD$1006:$AU$1006,0)), HYPERLINK("#",""), HYPERLINK(CONCATENATE("#metadata!", ADDRESS(INDEX($Y$2:$Y$1001,MATCH(ROWS($W$2:W986),$W$2:$W$1001,0),0), INDEX($AD$1004:$AU$1004,1,MATCH(COLUMNS($AD$1006:AF1006),$AD$1006:$AU$1006,0)))),"Fix")))</f>
        <v xml:space="preserve"> </v>
      </c>
      <c r="E986" s="4" t="str">
        <f ca="1">IF(OR(INDEX($X$2:$X$1001,MATCH(ROWS($W$2:W986),$W$2:$W$1001,0),1)&gt;=100000,INDEX($AD$1005:$AU$1005,1,MATCH(COLUMNS($AD$1006:AG1006),$AD$1006:$AU$1006,0))&gt;=100000), " ",IF(INDEX($AD$2:$AU$1001,MATCH(ROWS($W$2:W986),$W$2:$W$1001,0),MATCH(COLUMNS($AD$1006:AG1006),$AD$1006:$AU$1006,0)), HYPERLINK("#",""), HYPERLINK(CONCATENATE("#metadata!", ADDRESS(INDEX($Y$2:$Y$1001,MATCH(ROWS($W$2:W986),$W$2:$W$1001,0),0), INDEX($AD$1004:$AU$1004,1,MATCH(COLUMNS($AD$1006:AG1006),$AD$1006:$AU$1006,0)))),"Fix")))</f>
        <v xml:space="preserve"> </v>
      </c>
      <c r="F986" s="4" t="str">
        <f ca="1">IF(OR(INDEX($X$2:$X$1001,MATCH(ROWS($W$2:W986),$W$2:$W$1001,0),1)&gt;=100000,INDEX($AD$1005:$AU$1005,1,MATCH(COLUMNS($AD$1006:AH1006),$AD$1006:$AU$1006,0))&gt;=100000), " ",IF(INDEX($AD$2:$AU$1001,MATCH(ROWS($W$2:W986),$W$2:$W$1001,0),MATCH(COLUMNS($AD$1006:AH1006),$AD$1006:$AU$1006,0)), HYPERLINK("#",""), HYPERLINK(CONCATENATE("#metadata!", ADDRESS(INDEX($Y$2:$Y$1001,MATCH(ROWS($W$2:W986),$W$2:$W$1001,0),0), INDEX($AD$1004:$AU$1004,1,MATCH(COLUMNS($AD$1006:AH1006),$AD$1006:$AU$1006,0)))),"Fix")))</f>
        <v xml:space="preserve"> </v>
      </c>
      <c r="G986" s="4" t="str">
        <f ca="1">IF(OR(INDEX($X$2:$X$1001,MATCH(ROWS($W$2:W986),$W$2:$W$1001,0),1)&gt;=100000,INDEX($AD$1005:$AU$1005,1,MATCH(COLUMNS($AD$1006:AI1006),$AD$1006:$AU$1006,0))&gt;=100000), " ",IF(INDEX($AD$2:$AU$1001,MATCH(ROWS($W$2:W986),$W$2:$W$1001,0),MATCH(COLUMNS($AD$1006:AI1006),$AD$1006:$AU$1006,0)), HYPERLINK("#",""), HYPERLINK(CONCATENATE("#metadata!", ADDRESS(INDEX($Y$2:$Y$1001,MATCH(ROWS($W$2:W986),$W$2:$W$1001,0),0), INDEX($AD$1004:$AU$1004,1,MATCH(COLUMNS($AD$1006:AI1006),$AD$1006:$AU$1006,0)))),"Fix")))</f>
        <v xml:space="preserve"> </v>
      </c>
      <c r="H986" s="4" t="str">
        <f ca="1">IF(OR(INDEX($X$2:$X$1001,MATCH(ROWS($W$2:W986),$W$2:$W$1001,0),1)&gt;=100000,INDEX($AD$1005:$AU$1005,1,MATCH(COLUMNS($AD$1006:AJ1006),$AD$1006:$AU$1006,0))&gt;=100000), " ",IF(INDEX($AD$2:$AU$1001,MATCH(ROWS($W$2:W986),$W$2:$W$1001,0),MATCH(COLUMNS($AD$1006:AJ1006),$AD$1006:$AU$1006,0)), HYPERLINK("#",""), HYPERLINK(CONCATENATE("#metadata!", ADDRESS(INDEX($Y$2:$Y$1001,MATCH(ROWS($W$2:W986),$W$2:$W$1001,0),0), INDEX($AD$1004:$AU$1004,1,MATCH(COLUMNS($AD$1006:AJ1006),$AD$1006:$AU$1006,0)))),"Fix")))</f>
        <v xml:space="preserve"> </v>
      </c>
      <c r="I986" s="4" t="str">
        <f ca="1">IF(OR(INDEX($X$2:$X$1001,MATCH(ROWS($W$2:W986),$W$2:$W$1001,0),1)&gt;=100000,INDEX($AD$1005:$AU$1005,1,MATCH(COLUMNS($AD$1006:AK1006),$AD$1006:$AU$1006,0))&gt;=100000), " ",IF(INDEX($AD$2:$AU$1001,MATCH(ROWS($W$2:W986),$W$2:$W$1001,0),MATCH(COLUMNS($AD$1006:AK1006),$AD$1006:$AU$1006,0)), HYPERLINK("#",""), HYPERLINK(CONCATENATE("#metadata!", ADDRESS(INDEX($Y$2:$Y$1001,MATCH(ROWS($W$2:W986),$W$2:$W$1001,0),0), INDEX($AD$1004:$AU$1004,1,MATCH(COLUMNS($AD$1006:AK1006),$AD$1006:$AU$1006,0)))),"Fix")))</f>
        <v xml:space="preserve"> </v>
      </c>
      <c r="J986" s="4" t="str">
        <f ca="1">IF(OR(INDEX($X$2:$X$1001,MATCH(ROWS($W$2:W986),$W$2:$W$1001,0),1)&gt;=100000,INDEX($AD$1005:$AU$1005,1,MATCH(COLUMNS($AD$1006:AL1006),$AD$1006:$AU$1006,0))&gt;=100000), " ",IF(INDEX($AD$2:$AU$1001,MATCH(ROWS($W$2:W986),$W$2:$W$1001,0),MATCH(COLUMNS($AD$1006:AL1006),$AD$1006:$AU$1006,0)), HYPERLINK("#",""), HYPERLINK(CONCATENATE("#metadata!", ADDRESS(INDEX($Y$2:$Y$1001,MATCH(ROWS($W$2:W986),$W$2:$W$1001,0),0), INDEX($AD$1004:$AU$1004,1,MATCH(COLUMNS($AD$1006:AL1006),$AD$1006:$AU$1006,0)))),"Fix")))</f>
        <v xml:space="preserve"> </v>
      </c>
      <c r="K986" s="4" t="str">
        <f ca="1">IF(OR(INDEX($X$2:$X$1001,MATCH(ROWS($W$2:W986),$W$2:$W$1001,0),1)&gt;=100000,INDEX($AD$1005:$AU$1005,1,MATCH(COLUMNS($AD$1006:AM1006),$AD$1006:$AU$1006,0))&gt;=100000), " ",IF(INDEX($AD$2:$AU$1001,MATCH(ROWS($W$2:W986),$W$2:$W$1001,0),MATCH(COLUMNS($AD$1006:AM1006),$AD$1006:$AU$1006,0)), HYPERLINK("#",""), HYPERLINK(CONCATENATE("#metadata!", ADDRESS(INDEX($Y$2:$Y$1001,MATCH(ROWS($W$2:W986),$W$2:$W$1001,0),0), INDEX($AD$1004:$AU$1004,1,MATCH(COLUMNS($AD$1006:AM1006),$AD$1006:$AU$1006,0)))),"Fix")))</f>
        <v xml:space="preserve"> </v>
      </c>
      <c r="L986" s="4" t="str">
        <f ca="1">IF(OR(INDEX($X$2:$X$1001,MATCH(ROWS($W$2:W986),$W$2:$W$1001,0),1)&gt;=100000,INDEX($AD$1005:$AU$1005,1,MATCH(COLUMNS($AD$1006:AN1006),$AD$1006:$AU$1006,0))&gt;=100000), " ",IF(INDEX($AD$2:$AU$1001,MATCH(ROWS($W$2:W986),$W$2:$W$1001,0),MATCH(COLUMNS($AD$1006:AN1006),$AD$1006:$AU$1006,0)), HYPERLINK("#",""), HYPERLINK(CONCATENATE("#metadata!", ADDRESS(INDEX($Y$2:$Y$1001,MATCH(ROWS($W$2:W986),$W$2:$W$1001,0),0), INDEX($AD$1004:$AU$1004,1,MATCH(COLUMNS($AD$1006:AN1006),$AD$1006:$AU$1006,0)))),"Fix")))</f>
        <v xml:space="preserve"> </v>
      </c>
      <c r="M986" s="4" t="str">
        <f ca="1">IF(OR(INDEX($X$2:$X$1001,MATCH(ROWS($W$2:W986),$W$2:$W$1001,0),1)&gt;=100000,INDEX($AD$1005:$AU$1005,1,MATCH(COLUMNS($AD$1006:AO1006),$AD$1006:$AU$1006,0))&gt;=100000), " ",IF(INDEX($AD$2:$AU$1001,MATCH(ROWS($W$2:W986),$W$2:$W$1001,0),MATCH(COLUMNS($AD$1006:AO1006),$AD$1006:$AU$1006,0)), HYPERLINK("#",""), HYPERLINK(CONCATENATE("#metadata!", ADDRESS(INDEX($Y$2:$Y$1001,MATCH(ROWS($W$2:W986),$W$2:$W$1001,0),0), INDEX($AD$1004:$AU$1004,1,MATCH(COLUMNS($AD$1006:AO1006),$AD$1006:$AU$1006,0)))),"Fix")))</f>
        <v xml:space="preserve"> </v>
      </c>
      <c r="N986" s="4" t="str">
        <f ca="1">IF(OR(INDEX($X$2:$X$1001,MATCH(ROWS($W$2:W986),$W$2:$W$1001,0),1)&gt;=100000,INDEX($AD$1005:$AU$1005,1,MATCH(COLUMNS($AD$1006:AP1006),$AD$1006:$AU$1006,0))&gt;=100000), " ",IF(INDEX($AD$2:$AU$1001,MATCH(ROWS($W$2:W986),$W$2:$W$1001,0),MATCH(COLUMNS($AD$1006:AP1006),$AD$1006:$AU$1006,0)), HYPERLINK("#",""), HYPERLINK(CONCATENATE("#metadata!", ADDRESS(INDEX($Y$2:$Y$1001,MATCH(ROWS($W$2:W986),$W$2:$W$1001,0),0), INDEX($AD$1004:$AU$1004,1,MATCH(COLUMNS($AD$1006:AP1006),$AD$1006:$AU$1006,0)))),"Fix")))</f>
        <v xml:space="preserve"> </v>
      </c>
      <c r="O986" s="4" t="str">
        <f ca="1">IF(OR(INDEX($X$2:$X$1001,MATCH(ROWS($W$2:W986),$W$2:$W$1001,0),1)&gt;=100000,INDEX($AD$1005:$AU$1005,1,MATCH(COLUMNS($AD$1006:AQ1006),$AD$1006:$AU$1006,0))&gt;=100000), " ",IF(INDEX($AD$2:$AU$1001,MATCH(ROWS($W$2:W986),$W$2:$W$1001,0),MATCH(COLUMNS($AD$1006:AQ1006),$AD$1006:$AU$1006,0)), HYPERLINK("#",""), HYPERLINK(CONCATENATE("#metadata!", ADDRESS(INDEX($Y$2:$Y$1001,MATCH(ROWS($W$2:W986),$W$2:$W$1001,0),0), INDEX($AD$1004:$AU$1004,1,MATCH(COLUMNS($AD$1006:AQ1006),$AD$1006:$AU$1006,0)))),"Fix")))</f>
        <v xml:space="preserve"> </v>
      </c>
      <c r="P986" s="4" t="str">
        <f ca="1">IF(OR(INDEX($X$2:$X$1001,MATCH(ROWS($W$2:W986),$W$2:$W$1001,0),1)&gt;=100000,INDEX($AD$1005:$AU$1005,1,MATCH(COLUMNS($AD$1006:AR1006),$AD$1006:$AU$1006,0))&gt;=100000), " ",IF(INDEX($AD$2:$AU$1001,MATCH(ROWS($W$2:W986),$W$2:$W$1001,0),MATCH(COLUMNS($AD$1006:AR1006),$AD$1006:$AU$1006,0)), HYPERLINK("#",""), HYPERLINK(CONCATENATE("#metadata!", ADDRESS(INDEX($Y$2:$Y$1001,MATCH(ROWS($W$2:W986),$W$2:$W$1001,0),0), INDEX($AD$1004:$AU$1004,1,MATCH(COLUMNS($AD$1006:AR1006),$AD$1006:$AU$1006,0)))),"Fix")))</f>
        <v xml:space="preserve"> </v>
      </c>
      <c r="Q986" s="4" t="str">
        <f ca="1">IF(OR(INDEX($X$2:$X$1001,MATCH(ROWS($W$2:W986),$W$2:$W$1001,0),1)&gt;=100000,INDEX($AD$1005:$AU$1005,1,MATCH(COLUMNS($AD$1006:AS1006),$AD$1006:$AU$1006,0))&gt;=100000), " ",IF(INDEX($AD$2:$AU$1001,MATCH(ROWS($W$2:W986),$W$2:$W$1001,0),MATCH(COLUMNS($AD$1006:AS1006),$AD$1006:$AU$1006,0)), HYPERLINK("#",""), HYPERLINK(CONCATENATE("#metadata!", ADDRESS(INDEX($Y$2:$Y$1001,MATCH(ROWS($W$2:W986),$W$2:$W$1001,0),0), INDEX($AD$1004:$AU$1004,1,MATCH(COLUMNS($AD$1006:AS1006),$AD$1006:$AU$1006,0)))),"Fix")))</f>
        <v xml:space="preserve"> </v>
      </c>
      <c r="R986" s="4" t="str">
        <f ca="1">IF(OR(INDEX($X$2:$X$1001,MATCH(ROWS($W$2:W986),$W$2:$W$1001,0),1)&gt;=100000,INDEX($AD$1005:$AU$1005,1,MATCH(COLUMNS($AD$1006:AT1006),$AD$1006:$AU$1006,0))&gt;=100000), " ",IF(INDEX($AD$2:$AU$1001,MATCH(ROWS($W$2:W986),$W$2:$W$1001,0),MATCH(COLUMNS($AD$1006:AT1006),$AD$1006:$AU$1006,0)), HYPERLINK("#",""), HYPERLINK(CONCATENATE("#metadata!", ADDRESS(INDEX($Y$2:$Y$1001,MATCH(ROWS($W$2:W986),$W$2:$W$1001,0),0), INDEX($AD$1004:$AU$1004,1,MATCH(COLUMNS($AD$1006:AT1006),$AD$1006:$AU$1006,0)))),"Fix")))</f>
        <v xml:space="preserve"> </v>
      </c>
      <c r="S986" s="4" t="str">
        <f ca="1">IF(OR(INDEX($X$2:$X$1001,MATCH(ROWS($W$2:W986),$W$2:$W$1001,0),1)&gt;=100000,INDEX($AD$1005:$AU$1005,1,MATCH(COLUMNS($AD$1006:AU1006),$AD$1006:$AU$1006,0))&gt;=100000), " ",IF(INDEX($AD$2:$AU$1001,MATCH(ROWS($W$2:W986),$W$2:$W$1001,0),MATCH(COLUMNS($AD$1006:AU1006),$AD$1006:$AU$1006,0)), HYPERLINK("#",""), HYPERLINK(CONCATENATE("#metadata!", ADDRESS(INDEX($Y$2:$Y$1001,MATCH(ROWS($W$2:W986),$W$2:$W$1001,0),0), INDEX($AD$1004:$AU$1004,1,MATCH(COLUMNS($AD$1006:AU1006),$AD$1006:$AU$1006,0)))),"Fix")))</f>
        <v xml:space="preserve"> </v>
      </c>
      <c r="W986">
        <v>985</v>
      </c>
      <c r="X986">
        <v>100986</v>
      </c>
      <c r="Y986">
        <v>986</v>
      </c>
      <c r="Z986" t="b">
        <f t="shared" si="15"/>
        <v>1</v>
      </c>
      <c r="AA986" t="b">
        <f>COUNTBLANK(metadata!B986:S986)=COLUMNS(metadata!B986:S986)</f>
        <v>1</v>
      </c>
      <c r="AB986" t="str">
        <v/>
      </c>
      <c r="AD986" t="b">
        <f ca="1">AND(IF(metadata!B986="",FALSE,TRUE),COUNTIF(metadata!B:B, metadata!B986) = 1,NOT(ISERROR(SUMPRODUCT(SEARCH(MID(metadata!B986,ROW(INDIRECT("1:"&amp;LEN(metadata!B986))), 1),"0123456789abcdefghijklmnopqrstuvwxyzABCDEFGHIJKLMNOPQRSTUVWXYZ.")))))</f>
        <v>0</v>
      </c>
      <c r="AE986" t="b">
        <f>OR(AND(IF(metadata!C986="",FALSE,TRUE),OR(EXACT(metadata!C986,"not applicable"),EXACT(metadata!C986,"missing: not collected"),EXACT(metadata!C986,"missing: not provided"),EXACT(metadata!C986,"missing: restricted access"))),AND(IF(metadata!C986="",FALSE,ISNUMBER(VALUE(metadata!C986))),metadata!C986&gt;0))</f>
        <v>0</v>
      </c>
      <c r="AF986" t="b">
        <f>AND(IF(metadata!D986="",FALSE,TRUE),EXACT(metadata!D986,"missing: not provided"))</f>
        <v>0</v>
      </c>
      <c r="AG986" t="b">
        <f>AND(IF(metadata!E986="",FALSE,TRUE),EXACT(metadata!E986,"Host-associated"))</f>
        <v>0</v>
      </c>
      <c r="AH986" t="b">
        <f>AND(IF(metadata!F986="",FALSE,TRUE),OR(EXACT(metadata!F986,"Animal"),EXACT(metadata!F986,"Fungus"),EXACT(metadata!F986,"Plant")))</f>
        <v>0</v>
      </c>
      <c r="AI986" t="b">
        <f>AND(IF(metadata!G986="",FALSE,TRUE),OR(EXACT(metadata!G986,"Plant secretion"),EXACT(metadata!G986,"Plant rhizosphere"),EXACT(metadata!G986,"Plant surface"),EXACT(metadata!G986,"Plant corpus"),EXACT(metadata!G986,"Fungus surface"),EXACT(metadata!G986,"Fungus corpus"),EXACT(metadata!G986,"Animal surface"),EXACT(metadata!G986,"Animal proximal gut"),EXACT(metadata!G986,"Animal corpus"),EXACT(metadata!G986,"Animal distal gut"),EXACT(metadata!G986,"Animal secretion")))</f>
        <v>0</v>
      </c>
      <c r="AJ986" t="b">
        <f>OR(AND(IF(metadata!H986="",FALSE,TRUE),OR(EXACT(metadata!H986,"missing: not collected"),EXACT(metadata!H986,"missing: not provided"),EXACT(metadata!H986,"missing: restricted access"))),AND(IF(metadata!H986="",FALSE,TRUE),OR(EXACT(metadata!H986,"organism-associated habitat"),EXACT(metadata!H986,"plant-associated habitat"),EXACT(metadata!H986,"animal-associated habitat"),EXACT(metadata!H986,"insecta-associated habitat"),EXACT(metadata!H986,"mammalia-associated habitat"),EXACT(metadata!H986,"human-associated habitat"),EXACT(metadata!H986,"livestock-associated habitat"))))</f>
        <v>0</v>
      </c>
      <c r="AK986" t="b">
        <f>AND(IF(metadata!I986="",FALSE,TRUE),EXACT(metadata!I986,"host-associated"))</f>
        <v>0</v>
      </c>
      <c r="AL986" t="b">
        <f>OR(AND(IF(metadata!J986="",FALSE,TRUE),OR(EXACT(metadata!J986,"not applicable"),EXACT(metadata!J986,"missing: not collected"),EXACT(metadata!J986,"missing: not provided"),EXACT(metadata!J986,"missing: restricted access"))),AND(IF(metadata!J986="",FALSE,ISNUMBER(VALUE(metadata!J986))),metadata!J986&gt;0))</f>
        <v>0</v>
      </c>
      <c r="AM986" t="b">
        <f>AND(IF(metadata!K986="",FALSE,TRUE),EXACT(metadata!K986,"missing: not provided"))</f>
        <v>0</v>
      </c>
      <c r="AN986" t="b">
        <f>IF(metadata!L986="",FALSE,TRUE)</f>
        <v>0</v>
      </c>
      <c r="AO986" t="b">
        <f>IF(metadata!M986="",FALSE,TRUE)</f>
        <v>0</v>
      </c>
      <c r="AP986" t="b">
        <f>OR(AND(IF(metadata!N986="",FALSE,TRUE),OR(EXACT(metadata!N986,"not applicable"),EXACT(metadata!N986,"missing: not collected"),EXACT(metadata!N986,"missing: not provided"))),AND(IF(metadata!N986="",FALSE,IF(ISERROR(INT(metadata!N986)),FALSE,INT(metadata!N986)=metadata!N986)),metadata!N986&gt;0))</f>
        <v>0</v>
      </c>
      <c r="AQ986" t="b">
        <f>AND(IF(metadata!O986="",FALSE,TRUE),EXACT(metadata!O986,"Not applicable"))</f>
        <v>0</v>
      </c>
      <c r="AR986" t="b">
        <f>OR(AND(IF(metadata!P986="",FALSE,TRUE),OR(EXACT(metadata!P986,"not applicable"),EXACT(metadata!P986,"missing: not collected"),EXACT(metadata!P986,"missing: not provided"),EXACT(metadata!P986,"missing: restricted access"))),IF(metadata!P986="",FALSE,IF(ISERROR(INT(metadata!P986)),FALSE,INT(metadata!P986)=metadata!P986)))</f>
        <v>0</v>
      </c>
      <c r="AS986" t="b">
        <f>AND(IF(metadata!Q986="",FALSE,TRUE),EXACT(metadata!Q986,"Not applicable"))</f>
        <v>0</v>
      </c>
      <c r="AT986" t="b">
        <f>OR(AND(IF(metadata!R986="",FALSE,TRUE),OR(EXACT(metadata!R986,"not applicable"),EXACT(metadata!R986,"missing: not collected"),EXACT(metadata!R986,"missing: not provided"),EXACT(metadata!R986,"missing: restricted access"))),AND(IF(metadata!R986="",FALSE,ISNUMBER(VALUE(metadata!R986))),metadata!R986&gt;0))</f>
        <v>0</v>
      </c>
      <c r="AU986" t="b">
        <f>AND(IF(metadata!S986="",FALSE,TRUE),EXACT(metadata!S986,"missing: not provided"))</f>
        <v>0</v>
      </c>
    </row>
    <row r="987" spans="1:47" x14ac:dyDescent="0.2">
      <c r="A987" s="5" t="str">
        <f ca="1">IF(B987=" "," ",HYPERLINK(CONCATENATE("#metadata!",ADDRESS(INDEX($Y$2:$Y$1001,MATCH(ROWS($W$2:W987),$W$2:$W$1001,0),0),1)),INDEX($AB$2:$AB$1001,MATCH(ROWS($W$2:W987),$W$2:$W$1001,0),0)))</f>
        <v xml:space="preserve"> </v>
      </c>
      <c r="B987" s="4" t="str">
        <f ca="1">IF(OR(INDEX($X$2:$X$1001,MATCH(ROWS($W$2:W987),$W$2:$W$1001,0),1)&gt;=100000,INDEX($AD$1005:$AU$1005,1,MATCH(COLUMNS($AD$1006:AD1006),$AD$1006:$AU$1006,0))&gt;=100000), " ",IF(INDEX($AD$2:$AU$1001,MATCH(ROWS($W$2:W987),$W$2:$W$1001,0),MATCH(COLUMNS($AD$1006:AD1006),$AD$1006:$AU$1006,0)), HYPERLINK("#",""), HYPERLINK(CONCATENATE("#metadata!", ADDRESS(INDEX($Y$2:$Y$1001,MATCH(ROWS($W$2:W987),$W$2:$W$1001,0),0), INDEX($AD$1004:$AU$1004,1,MATCH(COLUMNS($AD$1006:AD1006),$AD$1006:$AU$1006,0)))),"Fix")))</f>
        <v xml:space="preserve"> </v>
      </c>
      <c r="C987" s="4" t="str">
        <f ca="1">IF(OR(INDEX($X$2:$X$1001,MATCH(ROWS($W$2:W987),$W$2:$W$1001,0),1)&gt;=100000,INDEX($AD$1005:$AU$1005,1,MATCH(COLUMNS($AD$1006:AE1006),$AD$1006:$AU$1006,0))&gt;=100000), " ",IF(INDEX($AD$2:$AU$1001,MATCH(ROWS($W$2:W987),$W$2:$W$1001,0),MATCH(COLUMNS($AD$1006:AE1006),$AD$1006:$AU$1006,0)), HYPERLINK("#",""), HYPERLINK(CONCATENATE("#metadata!", ADDRESS(INDEX($Y$2:$Y$1001,MATCH(ROWS($W$2:W987),$W$2:$W$1001,0),0), INDEX($AD$1004:$AU$1004,1,MATCH(COLUMNS($AD$1006:AE1006),$AD$1006:$AU$1006,0)))),"Fix")))</f>
        <v xml:space="preserve"> </v>
      </c>
      <c r="D987" s="4" t="str">
        <f ca="1">IF(OR(INDEX($X$2:$X$1001,MATCH(ROWS($W$2:W987),$W$2:$W$1001,0),1)&gt;=100000,INDEX($AD$1005:$AU$1005,1,MATCH(COLUMNS($AD$1006:AF1006),$AD$1006:$AU$1006,0))&gt;=100000), " ",IF(INDEX($AD$2:$AU$1001,MATCH(ROWS($W$2:W987),$W$2:$W$1001,0),MATCH(COLUMNS($AD$1006:AF1006),$AD$1006:$AU$1006,0)), HYPERLINK("#",""), HYPERLINK(CONCATENATE("#metadata!", ADDRESS(INDEX($Y$2:$Y$1001,MATCH(ROWS($W$2:W987),$W$2:$W$1001,0),0), INDEX($AD$1004:$AU$1004,1,MATCH(COLUMNS($AD$1006:AF1006),$AD$1006:$AU$1006,0)))),"Fix")))</f>
        <v xml:space="preserve"> </v>
      </c>
      <c r="E987" s="4" t="str">
        <f ca="1">IF(OR(INDEX($X$2:$X$1001,MATCH(ROWS($W$2:W987),$W$2:$W$1001,0),1)&gt;=100000,INDEX($AD$1005:$AU$1005,1,MATCH(COLUMNS($AD$1006:AG1006),$AD$1006:$AU$1006,0))&gt;=100000), " ",IF(INDEX($AD$2:$AU$1001,MATCH(ROWS($W$2:W987),$W$2:$W$1001,0),MATCH(COLUMNS($AD$1006:AG1006),$AD$1006:$AU$1006,0)), HYPERLINK("#",""), HYPERLINK(CONCATENATE("#metadata!", ADDRESS(INDEX($Y$2:$Y$1001,MATCH(ROWS($W$2:W987),$W$2:$W$1001,0),0), INDEX($AD$1004:$AU$1004,1,MATCH(COLUMNS($AD$1006:AG1006),$AD$1006:$AU$1006,0)))),"Fix")))</f>
        <v xml:space="preserve"> </v>
      </c>
      <c r="F987" s="4" t="str">
        <f ca="1">IF(OR(INDEX($X$2:$X$1001,MATCH(ROWS($W$2:W987),$W$2:$W$1001,0),1)&gt;=100000,INDEX($AD$1005:$AU$1005,1,MATCH(COLUMNS($AD$1006:AH1006),$AD$1006:$AU$1006,0))&gt;=100000), " ",IF(INDEX($AD$2:$AU$1001,MATCH(ROWS($W$2:W987),$W$2:$W$1001,0),MATCH(COLUMNS($AD$1006:AH1006),$AD$1006:$AU$1006,0)), HYPERLINK("#",""), HYPERLINK(CONCATENATE("#metadata!", ADDRESS(INDEX($Y$2:$Y$1001,MATCH(ROWS($W$2:W987),$W$2:$W$1001,0),0), INDEX($AD$1004:$AU$1004,1,MATCH(COLUMNS($AD$1006:AH1006),$AD$1006:$AU$1006,0)))),"Fix")))</f>
        <v xml:space="preserve"> </v>
      </c>
      <c r="G987" s="4" t="str">
        <f ca="1">IF(OR(INDEX($X$2:$X$1001,MATCH(ROWS($W$2:W987),$W$2:$W$1001,0),1)&gt;=100000,INDEX($AD$1005:$AU$1005,1,MATCH(COLUMNS($AD$1006:AI1006),$AD$1006:$AU$1006,0))&gt;=100000), " ",IF(INDEX($AD$2:$AU$1001,MATCH(ROWS($W$2:W987),$W$2:$W$1001,0),MATCH(COLUMNS($AD$1006:AI1006),$AD$1006:$AU$1006,0)), HYPERLINK("#",""), HYPERLINK(CONCATENATE("#metadata!", ADDRESS(INDEX($Y$2:$Y$1001,MATCH(ROWS($W$2:W987),$W$2:$W$1001,0),0), INDEX($AD$1004:$AU$1004,1,MATCH(COLUMNS($AD$1006:AI1006),$AD$1006:$AU$1006,0)))),"Fix")))</f>
        <v xml:space="preserve"> </v>
      </c>
      <c r="H987" s="4" t="str">
        <f ca="1">IF(OR(INDEX($X$2:$X$1001,MATCH(ROWS($W$2:W987),$W$2:$W$1001,0),1)&gt;=100000,INDEX($AD$1005:$AU$1005,1,MATCH(COLUMNS($AD$1006:AJ1006),$AD$1006:$AU$1006,0))&gt;=100000), " ",IF(INDEX($AD$2:$AU$1001,MATCH(ROWS($W$2:W987),$W$2:$W$1001,0),MATCH(COLUMNS($AD$1006:AJ1006),$AD$1006:$AU$1006,0)), HYPERLINK("#",""), HYPERLINK(CONCATENATE("#metadata!", ADDRESS(INDEX($Y$2:$Y$1001,MATCH(ROWS($W$2:W987),$W$2:$W$1001,0),0), INDEX($AD$1004:$AU$1004,1,MATCH(COLUMNS($AD$1006:AJ1006),$AD$1006:$AU$1006,0)))),"Fix")))</f>
        <v xml:space="preserve"> </v>
      </c>
      <c r="I987" s="4" t="str">
        <f ca="1">IF(OR(INDEX($X$2:$X$1001,MATCH(ROWS($W$2:W987),$W$2:$W$1001,0),1)&gt;=100000,INDEX($AD$1005:$AU$1005,1,MATCH(COLUMNS($AD$1006:AK1006),$AD$1006:$AU$1006,0))&gt;=100000), " ",IF(INDEX($AD$2:$AU$1001,MATCH(ROWS($W$2:W987),$W$2:$W$1001,0),MATCH(COLUMNS($AD$1006:AK1006),$AD$1006:$AU$1006,0)), HYPERLINK("#",""), HYPERLINK(CONCATENATE("#metadata!", ADDRESS(INDEX($Y$2:$Y$1001,MATCH(ROWS($W$2:W987),$W$2:$W$1001,0),0), INDEX($AD$1004:$AU$1004,1,MATCH(COLUMNS($AD$1006:AK1006),$AD$1006:$AU$1006,0)))),"Fix")))</f>
        <v xml:space="preserve"> </v>
      </c>
      <c r="J987" s="4" t="str">
        <f ca="1">IF(OR(INDEX($X$2:$X$1001,MATCH(ROWS($W$2:W987),$W$2:$W$1001,0),1)&gt;=100000,INDEX($AD$1005:$AU$1005,1,MATCH(COLUMNS($AD$1006:AL1006),$AD$1006:$AU$1006,0))&gt;=100000), " ",IF(INDEX($AD$2:$AU$1001,MATCH(ROWS($W$2:W987),$W$2:$W$1001,0),MATCH(COLUMNS($AD$1006:AL1006),$AD$1006:$AU$1006,0)), HYPERLINK("#",""), HYPERLINK(CONCATENATE("#metadata!", ADDRESS(INDEX($Y$2:$Y$1001,MATCH(ROWS($W$2:W987),$W$2:$W$1001,0),0), INDEX($AD$1004:$AU$1004,1,MATCH(COLUMNS($AD$1006:AL1006),$AD$1006:$AU$1006,0)))),"Fix")))</f>
        <v xml:space="preserve"> </v>
      </c>
      <c r="K987" s="4" t="str">
        <f ca="1">IF(OR(INDEX($X$2:$X$1001,MATCH(ROWS($W$2:W987),$W$2:$W$1001,0),1)&gt;=100000,INDEX($AD$1005:$AU$1005,1,MATCH(COLUMNS($AD$1006:AM1006),$AD$1006:$AU$1006,0))&gt;=100000), " ",IF(INDEX($AD$2:$AU$1001,MATCH(ROWS($W$2:W987),$W$2:$W$1001,0),MATCH(COLUMNS($AD$1006:AM1006),$AD$1006:$AU$1006,0)), HYPERLINK("#",""), HYPERLINK(CONCATENATE("#metadata!", ADDRESS(INDEX($Y$2:$Y$1001,MATCH(ROWS($W$2:W987),$W$2:$W$1001,0),0), INDEX($AD$1004:$AU$1004,1,MATCH(COLUMNS($AD$1006:AM1006),$AD$1006:$AU$1006,0)))),"Fix")))</f>
        <v xml:space="preserve"> </v>
      </c>
      <c r="L987" s="4" t="str">
        <f ca="1">IF(OR(INDEX($X$2:$X$1001,MATCH(ROWS($W$2:W987),$W$2:$W$1001,0),1)&gt;=100000,INDEX($AD$1005:$AU$1005,1,MATCH(COLUMNS($AD$1006:AN1006),$AD$1006:$AU$1006,0))&gt;=100000), " ",IF(INDEX($AD$2:$AU$1001,MATCH(ROWS($W$2:W987),$W$2:$W$1001,0),MATCH(COLUMNS($AD$1006:AN1006),$AD$1006:$AU$1006,0)), HYPERLINK("#",""), HYPERLINK(CONCATENATE("#metadata!", ADDRESS(INDEX($Y$2:$Y$1001,MATCH(ROWS($W$2:W987),$W$2:$W$1001,0),0), INDEX($AD$1004:$AU$1004,1,MATCH(COLUMNS($AD$1006:AN1006),$AD$1006:$AU$1006,0)))),"Fix")))</f>
        <v xml:space="preserve"> </v>
      </c>
      <c r="M987" s="4" t="str">
        <f ca="1">IF(OR(INDEX($X$2:$X$1001,MATCH(ROWS($W$2:W987),$W$2:$W$1001,0),1)&gt;=100000,INDEX($AD$1005:$AU$1005,1,MATCH(COLUMNS($AD$1006:AO1006),$AD$1006:$AU$1006,0))&gt;=100000), " ",IF(INDEX($AD$2:$AU$1001,MATCH(ROWS($W$2:W987),$W$2:$W$1001,0),MATCH(COLUMNS($AD$1006:AO1006),$AD$1006:$AU$1006,0)), HYPERLINK("#",""), HYPERLINK(CONCATENATE("#metadata!", ADDRESS(INDEX($Y$2:$Y$1001,MATCH(ROWS($W$2:W987),$W$2:$W$1001,0),0), INDEX($AD$1004:$AU$1004,1,MATCH(COLUMNS($AD$1006:AO1006),$AD$1006:$AU$1006,0)))),"Fix")))</f>
        <v xml:space="preserve"> </v>
      </c>
      <c r="N987" s="4" t="str">
        <f ca="1">IF(OR(INDEX($X$2:$X$1001,MATCH(ROWS($W$2:W987),$W$2:$W$1001,0),1)&gt;=100000,INDEX($AD$1005:$AU$1005,1,MATCH(COLUMNS($AD$1006:AP1006),$AD$1006:$AU$1006,0))&gt;=100000), " ",IF(INDEX($AD$2:$AU$1001,MATCH(ROWS($W$2:W987),$W$2:$W$1001,0),MATCH(COLUMNS($AD$1006:AP1006),$AD$1006:$AU$1006,0)), HYPERLINK("#",""), HYPERLINK(CONCATENATE("#metadata!", ADDRESS(INDEX($Y$2:$Y$1001,MATCH(ROWS($W$2:W987),$W$2:$W$1001,0),0), INDEX($AD$1004:$AU$1004,1,MATCH(COLUMNS($AD$1006:AP1006),$AD$1006:$AU$1006,0)))),"Fix")))</f>
        <v xml:space="preserve"> </v>
      </c>
      <c r="O987" s="4" t="str">
        <f ca="1">IF(OR(INDEX($X$2:$X$1001,MATCH(ROWS($W$2:W987),$W$2:$W$1001,0),1)&gt;=100000,INDEX($AD$1005:$AU$1005,1,MATCH(COLUMNS($AD$1006:AQ1006),$AD$1006:$AU$1006,0))&gt;=100000), " ",IF(INDEX($AD$2:$AU$1001,MATCH(ROWS($W$2:W987),$W$2:$W$1001,0),MATCH(COLUMNS($AD$1006:AQ1006),$AD$1006:$AU$1006,0)), HYPERLINK("#",""), HYPERLINK(CONCATENATE("#metadata!", ADDRESS(INDEX($Y$2:$Y$1001,MATCH(ROWS($W$2:W987),$W$2:$W$1001,0),0), INDEX($AD$1004:$AU$1004,1,MATCH(COLUMNS($AD$1006:AQ1006),$AD$1006:$AU$1006,0)))),"Fix")))</f>
        <v xml:space="preserve"> </v>
      </c>
      <c r="P987" s="4" t="str">
        <f ca="1">IF(OR(INDEX($X$2:$X$1001,MATCH(ROWS($W$2:W987),$W$2:$W$1001,0),1)&gt;=100000,INDEX($AD$1005:$AU$1005,1,MATCH(COLUMNS($AD$1006:AR1006),$AD$1006:$AU$1006,0))&gt;=100000), " ",IF(INDEX($AD$2:$AU$1001,MATCH(ROWS($W$2:W987),$W$2:$W$1001,0),MATCH(COLUMNS($AD$1006:AR1006),$AD$1006:$AU$1006,0)), HYPERLINK("#",""), HYPERLINK(CONCATENATE("#metadata!", ADDRESS(INDEX($Y$2:$Y$1001,MATCH(ROWS($W$2:W987),$W$2:$W$1001,0),0), INDEX($AD$1004:$AU$1004,1,MATCH(COLUMNS($AD$1006:AR1006),$AD$1006:$AU$1006,0)))),"Fix")))</f>
        <v xml:space="preserve"> </v>
      </c>
      <c r="Q987" s="4" t="str">
        <f ca="1">IF(OR(INDEX($X$2:$X$1001,MATCH(ROWS($W$2:W987),$W$2:$W$1001,0),1)&gt;=100000,INDEX($AD$1005:$AU$1005,1,MATCH(COLUMNS($AD$1006:AS1006),$AD$1006:$AU$1006,0))&gt;=100000), " ",IF(INDEX($AD$2:$AU$1001,MATCH(ROWS($W$2:W987),$W$2:$W$1001,0),MATCH(COLUMNS($AD$1006:AS1006),$AD$1006:$AU$1006,0)), HYPERLINK("#",""), HYPERLINK(CONCATENATE("#metadata!", ADDRESS(INDEX($Y$2:$Y$1001,MATCH(ROWS($W$2:W987),$W$2:$W$1001,0),0), INDEX($AD$1004:$AU$1004,1,MATCH(COLUMNS($AD$1006:AS1006),$AD$1006:$AU$1006,0)))),"Fix")))</f>
        <v xml:space="preserve"> </v>
      </c>
      <c r="R987" s="4" t="str">
        <f ca="1">IF(OR(INDEX($X$2:$X$1001,MATCH(ROWS($W$2:W987),$W$2:$W$1001,0),1)&gt;=100000,INDEX($AD$1005:$AU$1005,1,MATCH(COLUMNS($AD$1006:AT1006),$AD$1006:$AU$1006,0))&gt;=100000), " ",IF(INDEX($AD$2:$AU$1001,MATCH(ROWS($W$2:W987),$W$2:$W$1001,0),MATCH(COLUMNS($AD$1006:AT1006),$AD$1006:$AU$1006,0)), HYPERLINK("#",""), HYPERLINK(CONCATENATE("#metadata!", ADDRESS(INDEX($Y$2:$Y$1001,MATCH(ROWS($W$2:W987),$W$2:$W$1001,0),0), INDEX($AD$1004:$AU$1004,1,MATCH(COLUMNS($AD$1006:AT1006),$AD$1006:$AU$1006,0)))),"Fix")))</f>
        <v xml:space="preserve"> </v>
      </c>
      <c r="S987" s="4" t="str">
        <f ca="1">IF(OR(INDEX($X$2:$X$1001,MATCH(ROWS($W$2:W987),$W$2:$W$1001,0),1)&gt;=100000,INDEX($AD$1005:$AU$1005,1,MATCH(COLUMNS($AD$1006:AU1006),$AD$1006:$AU$1006,0))&gt;=100000), " ",IF(INDEX($AD$2:$AU$1001,MATCH(ROWS($W$2:W987),$W$2:$W$1001,0),MATCH(COLUMNS($AD$1006:AU1006),$AD$1006:$AU$1006,0)), HYPERLINK("#",""), HYPERLINK(CONCATENATE("#metadata!", ADDRESS(INDEX($Y$2:$Y$1001,MATCH(ROWS($W$2:W987),$W$2:$W$1001,0),0), INDEX($AD$1004:$AU$1004,1,MATCH(COLUMNS($AD$1006:AU1006),$AD$1006:$AU$1006,0)))),"Fix")))</f>
        <v xml:space="preserve"> </v>
      </c>
      <c r="W987">
        <v>986</v>
      </c>
      <c r="X987">
        <v>100987</v>
      </c>
      <c r="Y987">
        <v>987</v>
      </c>
      <c r="Z987" t="b">
        <f t="shared" si="15"/>
        <v>1</v>
      </c>
      <c r="AA987" t="b">
        <f>COUNTBLANK(metadata!B987:S987)=COLUMNS(metadata!B987:S987)</f>
        <v>1</v>
      </c>
      <c r="AB987" t="str">
        <v/>
      </c>
      <c r="AD987" t="b">
        <f ca="1">AND(IF(metadata!B987="",FALSE,TRUE),COUNTIF(metadata!B:B, metadata!B987) = 1,NOT(ISERROR(SUMPRODUCT(SEARCH(MID(metadata!B987,ROW(INDIRECT("1:"&amp;LEN(metadata!B987))), 1),"0123456789abcdefghijklmnopqrstuvwxyzABCDEFGHIJKLMNOPQRSTUVWXYZ.")))))</f>
        <v>0</v>
      </c>
      <c r="AE987" t="b">
        <f>OR(AND(IF(metadata!C987="",FALSE,TRUE),OR(EXACT(metadata!C987,"not applicable"),EXACT(metadata!C987,"missing: not collected"),EXACT(metadata!C987,"missing: not provided"),EXACT(metadata!C987,"missing: restricted access"))),AND(IF(metadata!C987="",FALSE,ISNUMBER(VALUE(metadata!C987))),metadata!C987&gt;0))</f>
        <v>0</v>
      </c>
      <c r="AF987" t="b">
        <f>AND(IF(metadata!D987="",FALSE,TRUE),EXACT(metadata!D987,"missing: not provided"))</f>
        <v>0</v>
      </c>
      <c r="AG987" t="b">
        <f>AND(IF(metadata!E987="",FALSE,TRUE),EXACT(metadata!E987,"Host-associated"))</f>
        <v>0</v>
      </c>
      <c r="AH987" t="b">
        <f>AND(IF(metadata!F987="",FALSE,TRUE),OR(EXACT(metadata!F987,"Animal"),EXACT(metadata!F987,"Fungus"),EXACT(metadata!F987,"Plant")))</f>
        <v>0</v>
      </c>
      <c r="AI987" t="b">
        <f>AND(IF(metadata!G987="",FALSE,TRUE),OR(EXACT(metadata!G987,"Plant secretion"),EXACT(metadata!G987,"Plant rhizosphere"),EXACT(metadata!G987,"Plant surface"),EXACT(metadata!G987,"Plant corpus"),EXACT(metadata!G987,"Fungus surface"),EXACT(metadata!G987,"Fungus corpus"),EXACT(metadata!G987,"Animal surface"),EXACT(metadata!G987,"Animal proximal gut"),EXACT(metadata!G987,"Animal corpus"),EXACT(metadata!G987,"Animal distal gut"),EXACT(metadata!G987,"Animal secretion")))</f>
        <v>0</v>
      </c>
      <c r="AJ987" t="b">
        <f>OR(AND(IF(metadata!H987="",FALSE,TRUE),OR(EXACT(metadata!H987,"missing: not collected"),EXACT(metadata!H987,"missing: not provided"),EXACT(metadata!H987,"missing: restricted access"))),AND(IF(metadata!H987="",FALSE,TRUE),OR(EXACT(metadata!H987,"organism-associated habitat"),EXACT(metadata!H987,"plant-associated habitat"),EXACT(metadata!H987,"animal-associated habitat"),EXACT(metadata!H987,"insecta-associated habitat"),EXACT(metadata!H987,"mammalia-associated habitat"),EXACT(metadata!H987,"human-associated habitat"),EXACT(metadata!H987,"livestock-associated habitat"))))</f>
        <v>0</v>
      </c>
      <c r="AK987" t="b">
        <f>AND(IF(metadata!I987="",FALSE,TRUE),EXACT(metadata!I987,"host-associated"))</f>
        <v>0</v>
      </c>
      <c r="AL987" t="b">
        <f>OR(AND(IF(metadata!J987="",FALSE,TRUE),OR(EXACT(metadata!J987,"not applicable"),EXACT(metadata!J987,"missing: not collected"),EXACT(metadata!J987,"missing: not provided"),EXACT(metadata!J987,"missing: restricted access"))),AND(IF(metadata!J987="",FALSE,ISNUMBER(VALUE(metadata!J987))),metadata!J987&gt;0))</f>
        <v>0</v>
      </c>
      <c r="AM987" t="b">
        <f>AND(IF(metadata!K987="",FALSE,TRUE),EXACT(metadata!K987,"missing: not provided"))</f>
        <v>0</v>
      </c>
      <c r="AN987" t="b">
        <f>IF(metadata!L987="",FALSE,TRUE)</f>
        <v>0</v>
      </c>
      <c r="AO987" t="b">
        <f>IF(metadata!M987="",FALSE,TRUE)</f>
        <v>0</v>
      </c>
      <c r="AP987" t="b">
        <f>OR(AND(IF(metadata!N987="",FALSE,TRUE),OR(EXACT(metadata!N987,"not applicable"),EXACT(metadata!N987,"missing: not collected"),EXACT(metadata!N987,"missing: not provided"))),AND(IF(metadata!N987="",FALSE,IF(ISERROR(INT(metadata!N987)),FALSE,INT(metadata!N987)=metadata!N987)),metadata!N987&gt;0))</f>
        <v>0</v>
      </c>
      <c r="AQ987" t="b">
        <f>AND(IF(metadata!O987="",FALSE,TRUE),EXACT(metadata!O987,"Not applicable"))</f>
        <v>0</v>
      </c>
      <c r="AR987" t="b">
        <f>OR(AND(IF(metadata!P987="",FALSE,TRUE),OR(EXACT(metadata!P987,"not applicable"),EXACT(metadata!P987,"missing: not collected"),EXACT(metadata!P987,"missing: not provided"),EXACT(metadata!P987,"missing: restricted access"))),IF(metadata!P987="",FALSE,IF(ISERROR(INT(metadata!P987)),FALSE,INT(metadata!P987)=metadata!P987)))</f>
        <v>0</v>
      </c>
      <c r="AS987" t="b">
        <f>AND(IF(metadata!Q987="",FALSE,TRUE),EXACT(metadata!Q987,"Not applicable"))</f>
        <v>0</v>
      </c>
      <c r="AT987" t="b">
        <f>OR(AND(IF(metadata!R987="",FALSE,TRUE),OR(EXACT(metadata!R987,"not applicable"),EXACT(metadata!R987,"missing: not collected"),EXACT(metadata!R987,"missing: not provided"),EXACT(metadata!R987,"missing: restricted access"))),AND(IF(metadata!R987="",FALSE,ISNUMBER(VALUE(metadata!R987))),metadata!R987&gt;0))</f>
        <v>0</v>
      </c>
      <c r="AU987" t="b">
        <f>AND(IF(metadata!S987="",FALSE,TRUE),EXACT(metadata!S987,"missing: not provided"))</f>
        <v>0</v>
      </c>
    </row>
    <row r="988" spans="1:47" x14ac:dyDescent="0.2">
      <c r="A988" s="5" t="str">
        <f ca="1">IF(B988=" "," ",HYPERLINK(CONCATENATE("#metadata!",ADDRESS(INDEX($Y$2:$Y$1001,MATCH(ROWS($W$2:W988),$W$2:$W$1001,0),0),1)),INDEX($AB$2:$AB$1001,MATCH(ROWS($W$2:W988),$W$2:$W$1001,0),0)))</f>
        <v xml:space="preserve"> </v>
      </c>
      <c r="B988" s="4" t="str">
        <f ca="1">IF(OR(INDEX($X$2:$X$1001,MATCH(ROWS($W$2:W988),$W$2:$W$1001,0),1)&gt;=100000,INDEX($AD$1005:$AU$1005,1,MATCH(COLUMNS($AD$1006:AD1006),$AD$1006:$AU$1006,0))&gt;=100000), " ",IF(INDEX($AD$2:$AU$1001,MATCH(ROWS($W$2:W988),$W$2:$W$1001,0),MATCH(COLUMNS($AD$1006:AD1006),$AD$1006:$AU$1006,0)), HYPERLINK("#",""), HYPERLINK(CONCATENATE("#metadata!", ADDRESS(INDEX($Y$2:$Y$1001,MATCH(ROWS($W$2:W988),$W$2:$W$1001,0),0), INDEX($AD$1004:$AU$1004,1,MATCH(COLUMNS($AD$1006:AD1006),$AD$1006:$AU$1006,0)))),"Fix")))</f>
        <v xml:space="preserve"> </v>
      </c>
      <c r="C988" s="4" t="str">
        <f ca="1">IF(OR(INDEX($X$2:$X$1001,MATCH(ROWS($W$2:W988),$W$2:$W$1001,0),1)&gt;=100000,INDEX($AD$1005:$AU$1005,1,MATCH(COLUMNS($AD$1006:AE1006),$AD$1006:$AU$1006,0))&gt;=100000), " ",IF(INDEX($AD$2:$AU$1001,MATCH(ROWS($W$2:W988),$W$2:$W$1001,0),MATCH(COLUMNS($AD$1006:AE1006),$AD$1006:$AU$1006,0)), HYPERLINK("#",""), HYPERLINK(CONCATENATE("#metadata!", ADDRESS(INDEX($Y$2:$Y$1001,MATCH(ROWS($W$2:W988),$W$2:$W$1001,0),0), INDEX($AD$1004:$AU$1004,1,MATCH(COLUMNS($AD$1006:AE1006),$AD$1006:$AU$1006,0)))),"Fix")))</f>
        <v xml:space="preserve"> </v>
      </c>
      <c r="D988" s="4" t="str">
        <f ca="1">IF(OR(INDEX($X$2:$X$1001,MATCH(ROWS($W$2:W988),$W$2:$W$1001,0),1)&gt;=100000,INDEX($AD$1005:$AU$1005,1,MATCH(COLUMNS($AD$1006:AF1006),$AD$1006:$AU$1006,0))&gt;=100000), " ",IF(INDEX($AD$2:$AU$1001,MATCH(ROWS($W$2:W988),$W$2:$W$1001,0),MATCH(COLUMNS($AD$1006:AF1006),$AD$1006:$AU$1006,0)), HYPERLINK("#",""), HYPERLINK(CONCATENATE("#metadata!", ADDRESS(INDEX($Y$2:$Y$1001,MATCH(ROWS($W$2:W988),$W$2:$W$1001,0),0), INDEX($AD$1004:$AU$1004,1,MATCH(COLUMNS($AD$1006:AF1006),$AD$1006:$AU$1006,0)))),"Fix")))</f>
        <v xml:space="preserve"> </v>
      </c>
      <c r="E988" s="4" t="str">
        <f ca="1">IF(OR(INDEX($X$2:$X$1001,MATCH(ROWS($W$2:W988),$W$2:$W$1001,0),1)&gt;=100000,INDEX($AD$1005:$AU$1005,1,MATCH(COLUMNS($AD$1006:AG1006),$AD$1006:$AU$1006,0))&gt;=100000), " ",IF(INDEX($AD$2:$AU$1001,MATCH(ROWS($W$2:W988),$W$2:$W$1001,0),MATCH(COLUMNS($AD$1006:AG1006),$AD$1006:$AU$1006,0)), HYPERLINK("#",""), HYPERLINK(CONCATENATE("#metadata!", ADDRESS(INDEX($Y$2:$Y$1001,MATCH(ROWS($W$2:W988),$W$2:$W$1001,0),0), INDEX($AD$1004:$AU$1004,1,MATCH(COLUMNS($AD$1006:AG1006),$AD$1006:$AU$1006,0)))),"Fix")))</f>
        <v xml:space="preserve"> </v>
      </c>
      <c r="F988" s="4" t="str">
        <f ca="1">IF(OR(INDEX($X$2:$X$1001,MATCH(ROWS($W$2:W988),$W$2:$W$1001,0),1)&gt;=100000,INDEX($AD$1005:$AU$1005,1,MATCH(COLUMNS($AD$1006:AH1006),$AD$1006:$AU$1006,0))&gt;=100000), " ",IF(INDEX($AD$2:$AU$1001,MATCH(ROWS($W$2:W988),$W$2:$W$1001,0),MATCH(COLUMNS($AD$1006:AH1006),$AD$1006:$AU$1006,0)), HYPERLINK("#",""), HYPERLINK(CONCATENATE("#metadata!", ADDRESS(INDEX($Y$2:$Y$1001,MATCH(ROWS($W$2:W988),$W$2:$W$1001,0),0), INDEX($AD$1004:$AU$1004,1,MATCH(COLUMNS($AD$1006:AH1006),$AD$1006:$AU$1006,0)))),"Fix")))</f>
        <v xml:space="preserve"> </v>
      </c>
      <c r="G988" s="4" t="str">
        <f ca="1">IF(OR(INDEX($X$2:$X$1001,MATCH(ROWS($W$2:W988),$W$2:$W$1001,0),1)&gt;=100000,INDEX($AD$1005:$AU$1005,1,MATCH(COLUMNS($AD$1006:AI1006),$AD$1006:$AU$1006,0))&gt;=100000), " ",IF(INDEX($AD$2:$AU$1001,MATCH(ROWS($W$2:W988),$W$2:$W$1001,0),MATCH(COLUMNS($AD$1006:AI1006),$AD$1006:$AU$1006,0)), HYPERLINK("#",""), HYPERLINK(CONCATENATE("#metadata!", ADDRESS(INDEX($Y$2:$Y$1001,MATCH(ROWS($W$2:W988),$W$2:$W$1001,0),0), INDEX($AD$1004:$AU$1004,1,MATCH(COLUMNS($AD$1006:AI1006),$AD$1006:$AU$1006,0)))),"Fix")))</f>
        <v xml:space="preserve"> </v>
      </c>
      <c r="H988" s="4" t="str">
        <f ca="1">IF(OR(INDEX($X$2:$X$1001,MATCH(ROWS($W$2:W988),$W$2:$W$1001,0),1)&gt;=100000,INDEX($AD$1005:$AU$1005,1,MATCH(COLUMNS($AD$1006:AJ1006),$AD$1006:$AU$1006,0))&gt;=100000), " ",IF(INDEX($AD$2:$AU$1001,MATCH(ROWS($W$2:W988),$W$2:$W$1001,0),MATCH(COLUMNS($AD$1006:AJ1006),$AD$1006:$AU$1006,0)), HYPERLINK("#",""), HYPERLINK(CONCATENATE("#metadata!", ADDRESS(INDEX($Y$2:$Y$1001,MATCH(ROWS($W$2:W988),$W$2:$W$1001,0),0), INDEX($AD$1004:$AU$1004,1,MATCH(COLUMNS($AD$1006:AJ1006),$AD$1006:$AU$1006,0)))),"Fix")))</f>
        <v xml:space="preserve"> </v>
      </c>
      <c r="I988" s="4" t="str">
        <f ca="1">IF(OR(INDEX($X$2:$X$1001,MATCH(ROWS($W$2:W988),$W$2:$W$1001,0),1)&gt;=100000,INDEX($AD$1005:$AU$1005,1,MATCH(COLUMNS($AD$1006:AK1006),$AD$1006:$AU$1006,0))&gt;=100000), " ",IF(INDEX($AD$2:$AU$1001,MATCH(ROWS($W$2:W988),$W$2:$W$1001,0),MATCH(COLUMNS($AD$1006:AK1006),$AD$1006:$AU$1006,0)), HYPERLINK("#",""), HYPERLINK(CONCATENATE("#metadata!", ADDRESS(INDEX($Y$2:$Y$1001,MATCH(ROWS($W$2:W988),$W$2:$W$1001,0),0), INDEX($AD$1004:$AU$1004,1,MATCH(COLUMNS($AD$1006:AK1006),$AD$1006:$AU$1006,0)))),"Fix")))</f>
        <v xml:space="preserve"> </v>
      </c>
      <c r="J988" s="4" t="str">
        <f ca="1">IF(OR(INDEX($X$2:$X$1001,MATCH(ROWS($W$2:W988),$W$2:$W$1001,0),1)&gt;=100000,INDEX($AD$1005:$AU$1005,1,MATCH(COLUMNS($AD$1006:AL1006),$AD$1006:$AU$1006,0))&gt;=100000), " ",IF(INDEX($AD$2:$AU$1001,MATCH(ROWS($W$2:W988),$W$2:$W$1001,0),MATCH(COLUMNS($AD$1006:AL1006),$AD$1006:$AU$1006,0)), HYPERLINK("#",""), HYPERLINK(CONCATENATE("#metadata!", ADDRESS(INDEX($Y$2:$Y$1001,MATCH(ROWS($W$2:W988),$W$2:$W$1001,0),0), INDEX($AD$1004:$AU$1004,1,MATCH(COLUMNS($AD$1006:AL1006),$AD$1006:$AU$1006,0)))),"Fix")))</f>
        <v xml:space="preserve"> </v>
      </c>
      <c r="K988" s="4" t="str">
        <f ca="1">IF(OR(INDEX($X$2:$X$1001,MATCH(ROWS($W$2:W988),$W$2:$W$1001,0),1)&gt;=100000,INDEX($AD$1005:$AU$1005,1,MATCH(COLUMNS($AD$1006:AM1006),$AD$1006:$AU$1006,0))&gt;=100000), " ",IF(INDEX($AD$2:$AU$1001,MATCH(ROWS($W$2:W988),$W$2:$W$1001,0),MATCH(COLUMNS($AD$1006:AM1006),$AD$1006:$AU$1006,0)), HYPERLINK("#",""), HYPERLINK(CONCATENATE("#metadata!", ADDRESS(INDEX($Y$2:$Y$1001,MATCH(ROWS($W$2:W988),$W$2:$W$1001,0),0), INDEX($AD$1004:$AU$1004,1,MATCH(COLUMNS($AD$1006:AM1006),$AD$1006:$AU$1006,0)))),"Fix")))</f>
        <v xml:space="preserve"> </v>
      </c>
      <c r="L988" s="4" t="str">
        <f ca="1">IF(OR(INDEX($X$2:$X$1001,MATCH(ROWS($W$2:W988),$W$2:$W$1001,0),1)&gt;=100000,INDEX($AD$1005:$AU$1005,1,MATCH(COLUMNS($AD$1006:AN1006),$AD$1006:$AU$1006,0))&gt;=100000), " ",IF(INDEX($AD$2:$AU$1001,MATCH(ROWS($W$2:W988),$W$2:$W$1001,0),MATCH(COLUMNS($AD$1006:AN1006),$AD$1006:$AU$1006,0)), HYPERLINK("#",""), HYPERLINK(CONCATENATE("#metadata!", ADDRESS(INDEX($Y$2:$Y$1001,MATCH(ROWS($W$2:W988),$W$2:$W$1001,0),0), INDEX($AD$1004:$AU$1004,1,MATCH(COLUMNS($AD$1006:AN1006),$AD$1006:$AU$1006,0)))),"Fix")))</f>
        <v xml:space="preserve"> </v>
      </c>
      <c r="M988" s="4" t="str">
        <f ca="1">IF(OR(INDEX($X$2:$X$1001,MATCH(ROWS($W$2:W988),$W$2:$W$1001,0),1)&gt;=100000,INDEX($AD$1005:$AU$1005,1,MATCH(COLUMNS($AD$1006:AO1006),$AD$1006:$AU$1006,0))&gt;=100000), " ",IF(INDEX($AD$2:$AU$1001,MATCH(ROWS($W$2:W988),$W$2:$W$1001,0),MATCH(COLUMNS($AD$1006:AO1006),$AD$1006:$AU$1006,0)), HYPERLINK("#",""), HYPERLINK(CONCATENATE("#metadata!", ADDRESS(INDEX($Y$2:$Y$1001,MATCH(ROWS($W$2:W988),$W$2:$W$1001,0),0), INDEX($AD$1004:$AU$1004,1,MATCH(COLUMNS($AD$1006:AO1006),$AD$1006:$AU$1006,0)))),"Fix")))</f>
        <v xml:space="preserve"> </v>
      </c>
      <c r="N988" s="4" t="str">
        <f ca="1">IF(OR(INDEX($X$2:$X$1001,MATCH(ROWS($W$2:W988),$W$2:$W$1001,0),1)&gt;=100000,INDEX($AD$1005:$AU$1005,1,MATCH(COLUMNS($AD$1006:AP1006),$AD$1006:$AU$1006,0))&gt;=100000), " ",IF(INDEX($AD$2:$AU$1001,MATCH(ROWS($W$2:W988),$W$2:$W$1001,0),MATCH(COLUMNS($AD$1006:AP1006),$AD$1006:$AU$1006,0)), HYPERLINK("#",""), HYPERLINK(CONCATENATE("#metadata!", ADDRESS(INDEX($Y$2:$Y$1001,MATCH(ROWS($W$2:W988),$W$2:$W$1001,0),0), INDEX($AD$1004:$AU$1004,1,MATCH(COLUMNS($AD$1006:AP1006),$AD$1006:$AU$1006,0)))),"Fix")))</f>
        <v xml:space="preserve"> </v>
      </c>
      <c r="O988" s="4" t="str">
        <f ca="1">IF(OR(INDEX($X$2:$X$1001,MATCH(ROWS($W$2:W988),$W$2:$W$1001,0),1)&gt;=100000,INDEX($AD$1005:$AU$1005,1,MATCH(COLUMNS($AD$1006:AQ1006),$AD$1006:$AU$1006,0))&gt;=100000), " ",IF(INDEX($AD$2:$AU$1001,MATCH(ROWS($W$2:W988),$W$2:$W$1001,0),MATCH(COLUMNS($AD$1006:AQ1006),$AD$1006:$AU$1006,0)), HYPERLINK("#",""), HYPERLINK(CONCATENATE("#metadata!", ADDRESS(INDEX($Y$2:$Y$1001,MATCH(ROWS($W$2:W988),$W$2:$W$1001,0),0), INDEX($AD$1004:$AU$1004,1,MATCH(COLUMNS($AD$1006:AQ1006),$AD$1006:$AU$1006,0)))),"Fix")))</f>
        <v xml:space="preserve"> </v>
      </c>
      <c r="P988" s="4" t="str">
        <f ca="1">IF(OR(INDEX($X$2:$X$1001,MATCH(ROWS($W$2:W988),$W$2:$W$1001,0),1)&gt;=100000,INDEX($AD$1005:$AU$1005,1,MATCH(COLUMNS($AD$1006:AR1006),$AD$1006:$AU$1006,0))&gt;=100000), " ",IF(INDEX($AD$2:$AU$1001,MATCH(ROWS($W$2:W988),$W$2:$W$1001,0),MATCH(COLUMNS($AD$1006:AR1006),$AD$1006:$AU$1006,0)), HYPERLINK("#",""), HYPERLINK(CONCATENATE("#metadata!", ADDRESS(INDEX($Y$2:$Y$1001,MATCH(ROWS($W$2:W988),$W$2:$W$1001,0),0), INDEX($AD$1004:$AU$1004,1,MATCH(COLUMNS($AD$1006:AR1006),$AD$1006:$AU$1006,0)))),"Fix")))</f>
        <v xml:space="preserve"> </v>
      </c>
      <c r="Q988" s="4" t="str">
        <f ca="1">IF(OR(INDEX($X$2:$X$1001,MATCH(ROWS($W$2:W988),$W$2:$W$1001,0),1)&gt;=100000,INDEX($AD$1005:$AU$1005,1,MATCH(COLUMNS($AD$1006:AS1006),$AD$1006:$AU$1006,0))&gt;=100000), " ",IF(INDEX($AD$2:$AU$1001,MATCH(ROWS($W$2:W988),$W$2:$W$1001,0),MATCH(COLUMNS($AD$1006:AS1006),$AD$1006:$AU$1006,0)), HYPERLINK("#",""), HYPERLINK(CONCATENATE("#metadata!", ADDRESS(INDEX($Y$2:$Y$1001,MATCH(ROWS($W$2:W988),$W$2:$W$1001,0),0), INDEX($AD$1004:$AU$1004,1,MATCH(COLUMNS($AD$1006:AS1006),$AD$1006:$AU$1006,0)))),"Fix")))</f>
        <v xml:space="preserve"> </v>
      </c>
      <c r="R988" s="4" t="str">
        <f ca="1">IF(OR(INDEX($X$2:$X$1001,MATCH(ROWS($W$2:W988),$W$2:$W$1001,0),1)&gt;=100000,INDEX($AD$1005:$AU$1005,1,MATCH(COLUMNS($AD$1006:AT1006),$AD$1006:$AU$1006,0))&gt;=100000), " ",IF(INDEX($AD$2:$AU$1001,MATCH(ROWS($W$2:W988),$W$2:$W$1001,0),MATCH(COLUMNS($AD$1006:AT1006),$AD$1006:$AU$1006,0)), HYPERLINK("#",""), HYPERLINK(CONCATENATE("#metadata!", ADDRESS(INDEX($Y$2:$Y$1001,MATCH(ROWS($W$2:W988),$W$2:$W$1001,0),0), INDEX($AD$1004:$AU$1004,1,MATCH(COLUMNS($AD$1006:AT1006),$AD$1006:$AU$1006,0)))),"Fix")))</f>
        <v xml:space="preserve"> </v>
      </c>
      <c r="S988" s="4" t="str">
        <f ca="1">IF(OR(INDEX($X$2:$X$1001,MATCH(ROWS($W$2:W988),$W$2:$W$1001,0),1)&gt;=100000,INDEX($AD$1005:$AU$1005,1,MATCH(COLUMNS($AD$1006:AU1006),$AD$1006:$AU$1006,0))&gt;=100000), " ",IF(INDEX($AD$2:$AU$1001,MATCH(ROWS($W$2:W988),$W$2:$W$1001,0),MATCH(COLUMNS($AD$1006:AU1006),$AD$1006:$AU$1006,0)), HYPERLINK("#",""), HYPERLINK(CONCATENATE("#metadata!", ADDRESS(INDEX($Y$2:$Y$1001,MATCH(ROWS($W$2:W988),$W$2:$W$1001,0),0), INDEX($AD$1004:$AU$1004,1,MATCH(COLUMNS($AD$1006:AU1006),$AD$1006:$AU$1006,0)))),"Fix")))</f>
        <v xml:space="preserve"> </v>
      </c>
      <c r="W988">
        <v>987</v>
      </c>
      <c r="X988">
        <v>100988</v>
      </c>
      <c r="Y988">
        <v>988</v>
      </c>
      <c r="Z988" t="b">
        <f t="shared" si="15"/>
        <v>1</v>
      </c>
      <c r="AA988" t="b">
        <f>COUNTBLANK(metadata!B988:S988)=COLUMNS(metadata!B988:S988)</f>
        <v>1</v>
      </c>
      <c r="AB988" t="str">
        <v/>
      </c>
      <c r="AD988" t="b">
        <f ca="1">AND(IF(metadata!B988="",FALSE,TRUE),COUNTIF(metadata!B:B, metadata!B988) = 1,NOT(ISERROR(SUMPRODUCT(SEARCH(MID(metadata!B988,ROW(INDIRECT("1:"&amp;LEN(metadata!B988))), 1),"0123456789abcdefghijklmnopqrstuvwxyzABCDEFGHIJKLMNOPQRSTUVWXYZ.")))))</f>
        <v>0</v>
      </c>
      <c r="AE988" t="b">
        <f>OR(AND(IF(metadata!C988="",FALSE,TRUE),OR(EXACT(metadata!C988,"not applicable"),EXACT(metadata!C988,"missing: not collected"),EXACT(metadata!C988,"missing: not provided"),EXACT(metadata!C988,"missing: restricted access"))),AND(IF(metadata!C988="",FALSE,ISNUMBER(VALUE(metadata!C988))),metadata!C988&gt;0))</f>
        <v>0</v>
      </c>
      <c r="AF988" t="b">
        <f>AND(IF(metadata!D988="",FALSE,TRUE),EXACT(metadata!D988,"missing: not provided"))</f>
        <v>0</v>
      </c>
      <c r="AG988" t="b">
        <f>AND(IF(metadata!E988="",FALSE,TRUE),EXACT(metadata!E988,"Host-associated"))</f>
        <v>0</v>
      </c>
      <c r="AH988" t="b">
        <f>AND(IF(metadata!F988="",FALSE,TRUE),OR(EXACT(metadata!F988,"Animal"),EXACT(metadata!F988,"Fungus"),EXACT(metadata!F988,"Plant")))</f>
        <v>0</v>
      </c>
      <c r="AI988" t="b">
        <f>AND(IF(metadata!G988="",FALSE,TRUE),OR(EXACT(metadata!G988,"Plant secretion"),EXACT(metadata!G988,"Plant rhizosphere"),EXACT(metadata!G988,"Plant surface"),EXACT(metadata!G988,"Plant corpus"),EXACT(metadata!G988,"Fungus surface"),EXACT(metadata!G988,"Fungus corpus"),EXACT(metadata!G988,"Animal surface"),EXACT(metadata!G988,"Animal proximal gut"),EXACT(metadata!G988,"Animal corpus"),EXACT(metadata!G988,"Animal distal gut"),EXACT(metadata!G988,"Animal secretion")))</f>
        <v>0</v>
      </c>
      <c r="AJ988" t="b">
        <f>OR(AND(IF(metadata!H988="",FALSE,TRUE),OR(EXACT(metadata!H988,"missing: not collected"),EXACT(metadata!H988,"missing: not provided"),EXACT(metadata!H988,"missing: restricted access"))),AND(IF(metadata!H988="",FALSE,TRUE),OR(EXACT(metadata!H988,"organism-associated habitat"),EXACT(metadata!H988,"plant-associated habitat"),EXACT(metadata!H988,"animal-associated habitat"),EXACT(metadata!H988,"insecta-associated habitat"),EXACT(metadata!H988,"mammalia-associated habitat"),EXACT(metadata!H988,"human-associated habitat"),EXACT(metadata!H988,"livestock-associated habitat"))))</f>
        <v>0</v>
      </c>
      <c r="AK988" t="b">
        <f>AND(IF(metadata!I988="",FALSE,TRUE),EXACT(metadata!I988,"host-associated"))</f>
        <v>0</v>
      </c>
      <c r="AL988" t="b">
        <f>OR(AND(IF(metadata!J988="",FALSE,TRUE),OR(EXACT(metadata!J988,"not applicable"),EXACT(metadata!J988,"missing: not collected"),EXACT(metadata!J988,"missing: not provided"),EXACT(metadata!J988,"missing: restricted access"))),AND(IF(metadata!J988="",FALSE,ISNUMBER(VALUE(metadata!J988))),metadata!J988&gt;0))</f>
        <v>0</v>
      </c>
      <c r="AM988" t="b">
        <f>AND(IF(metadata!K988="",FALSE,TRUE),EXACT(metadata!K988,"missing: not provided"))</f>
        <v>0</v>
      </c>
      <c r="AN988" t="b">
        <f>IF(metadata!L988="",FALSE,TRUE)</f>
        <v>0</v>
      </c>
      <c r="AO988" t="b">
        <f>IF(metadata!M988="",FALSE,TRUE)</f>
        <v>0</v>
      </c>
      <c r="AP988" t="b">
        <f>OR(AND(IF(metadata!N988="",FALSE,TRUE),OR(EXACT(metadata!N988,"not applicable"),EXACT(metadata!N988,"missing: not collected"),EXACT(metadata!N988,"missing: not provided"))),AND(IF(metadata!N988="",FALSE,IF(ISERROR(INT(metadata!N988)),FALSE,INT(metadata!N988)=metadata!N988)),metadata!N988&gt;0))</f>
        <v>0</v>
      </c>
      <c r="AQ988" t="b">
        <f>AND(IF(metadata!O988="",FALSE,TRUE),EXACT(metadata!O988,"Not applicable"))</f>
        <v>0</v>
      </c>
      <c r="AR988" t="b">
        <f>OR(AND(IF(metadata!P988="",FALSE,TRUE),OR(EXACT(metadata!P988,"not applicable"),EXACT(metadata!P988,"missing: not collected"),EXACT(metadata!P988,"missing: not provided"),EXACT(metadata!P988,"missing: restricted access"))),IF(metadata!P988="",FALSE,IF(ISERROR(INT(metadata!P988)),FALSE,INT(metadata!P988)=metadata!P988)))</f>
        <v>0</v>
      </c>
      <c r="AS988" t="b">
        <f>AND(IF(metadata!Q988="",FALSE,TRUE),EXACT(metadata!Q988,"Not applicable"))</f>
        <v>0</v>
      </c>
      <c r="AT988" t="b">
        <f>OR(AND(IF(metadata!R988="",FALSE,TRUE),OR(EXACT(metadata!R988,"not applicable"),EXACT(metadata!R988,"missing: not collected"),EXACT(metadata!R988,"missing: not provided"),EXACT(metadata!R988,"missing: restricted access"))),AND(IF(metadata!R988="",FALSE,ISNUMBER(VALUE(metadata!R988))),metadata!R988&gt;0))</f>
        <v>0</v>
      </c>
      <c r="AU988" t="b">
        <f>AND(IF(metadata!S988="",FALSE,TRUE),EXACT(metadata!S988,"missing: not provided"))</f>
        <v>0</v>
      </c>
    </row>
    <row r="989" spans="1:47" x14ac:dyDescent="0.2">
      <c r="A989" s="5" t="str">
        <f ca="1">IF(B989=" "," ",HYPERLINK(CONCATENATE("#metadata!",ADDRESS(INDEX($Y$2:$Y$1001,MATCH(ROWS($W$2:W989),$W$2:$W$1001,0),0),1)),INDEX($AB$2:$AB$1001,MATCH(ROWS($W$2:W989),$W$2:$W$1001,0),0)))</f>
        <v xml:space="preserve"> </v>
      </c>
      <c r="B989" s="4" t="str">
        <f ca="1">IF(OR(INDEX($X$2:$X$1001,MATCH(ROWS($W$2:W989),$W$2:$W$1001,0),1)&gt;=100000,INDEX($AD$1005:$AU$1005,1,MATCH(COLUMNS($AD$1006:AD1006),$AD$1006:$AU$1006,0))&gt;=100000), " ",IF(INDEX($AD$2:$AU$1001,MATCH(ROWS($W$2:W989),$W$2:$W$1001,0),MATCH(COLUMNS($AD$1006:AD1006),$AD$1006:$AU$1006,0)), HYPERLINK("#",""), HYPERLINK(CONCATENATE("#metadata!", ADDRESS(INDEX($Y$2:$Y$1001,MATCH(ROWS($W$2:W989),$W$2:$W$1001,0),0), INDEX($AD$1004:$AU$1004,1,MATCH(COLUMNS($AD$1006:AD1006),$AD$1006:$AU$1006,0)))),"Fix")))</f>
        <v xml:space="preserve"> </v>
      </c>
      <c r="C989" s="4" t="str">
        <f ca="1">IF(OR(INDEX($X$2:$X$1001,MATCH(ROWS($W$2:W989),$W$2:$W$1001,0),1)&gt;=100000,INDEX($AD$1005:$AU$1005,1,MATCH(COLUMNS($AD$1006:AE1006),$AD$1006:$AU$1006,0))&gt;=100000), " ",IF(INDEX($AD$2:$AU$1001,MATCH(ROWS($W$2:W989),$W$2:$W$1001,0),MATCH(COLUMNS($AD$1006:AE1006),$AD$1006:$AU$1006,0)), HYPERLINK("#",""), HYPERLINK(CONCATENATE("#metadata!", ADDRESS(INDEX($Y$2:$Y$1001,MATCH(ROWS($W$2:W989),$W$2:$W$1001,0),0), INDEX($AD$1004:$AU$1004,1,MATCH(COLUMNS($AD$1006:AE1006),$AD$1006:$AU$1006,0)))),"Fix")))</f>
        <v xml:space="preserve"> </v>
      </c>
      <c r="D989" s="4" t="str">
        <f ca="1">IF(OR(INDEX($X$2:$X$1001,MATCH(ROWS($W$2:W989),$W$2:$W$1001,0),1)&gt;=100000,INDEX($AD$1005:$AU$1005,1,MATCH(COLUMNS($AD$1006:AF1006),$AD$1006:$AU$1006,0))&gt;=100000), " ",IF(INDEX($AD$2:$AU$1001,MATCH(ROWS($W$2:W989),$W$2:$W$1001,0),MATCH(COLUMNS($AD$1006:AF1006),$AD$1006:$AU$1006,0)), HYPERLINK("#",""), HYPERLINK(CONCATENATE("#metadata!", ADDRESS(INDEX($Y$2:$Y$1001,MATCH(ROWS($W$2:W989),$W$2:$W$1001,0),0), INDEX($AD$1004:$AU$1004,1,MATCH(COLUMNS($AD$1006:AF1006),$AD$1006:$AU$1006,0)))),"Fix")))</f>
        <v xml:space="preserve"> </v>
      </c>
      <c r="E989" s="4" t="str">
        <f ca="1">IF(OR(INDEX($X$2:$X$1001,MATCH(ROWS($W$2:W989),$W$2:$W$1001,0),1)&gt;=100000,INDEX($AD$1005:$AU$1005,1,MATCH(COLUMNS($AD$1006:AG1006),$AD$1006:$AU$1006,0))&gt;=100000), " ",IF(INDEX($AD$2:$AU$1001,MATCH(ROWS($W$2:W989),$W$2:$W$1001,0),MATCH(COLUMNS($AD$1006:AG1006),$AD$1006:$AU$1006,0)), HYPERLINK("#",""), HYPERLINK(CONCATENATE("#metadata!", ADDRESS(INDEX($Y$2:$Y$1001,MATCH(ROWS($W$2:W989),$W$2:$W$1001,0),0), INDEX($AD$1004:$AU$1004,1,MATCH(COLUMNS($AD$1006:AG1006),$AD$1006:$AU$1006,0)))),"Fix")))</f>
        <v xml:space="preserve"> </v>
      </c>
      <c r="F989" s="4" t="str">
        <f ca="1">IF(OR(INDEX($X$2:$X$1001,MATCH(ROWS($W$2:W989),$W$2:$W$1001,0),1)&gt;=100000,INDEX($AD$1005:$AU$1005,1,MATCH(COLUMNS($AD$1006:AH1006),$AD$1006:$AU$1006,0))&gt;=100000), " ",IF(INDEX($AD$2:$AU$1001,MATCH(ROWS($W$2:W989),$W$2:$W$1001,0),MATCH(COLUMNS($AD$1006:AH1006),$AD$1006:$AU$1006,0)), HYPERLINK("#",""), HYPERLINK(CONCATENATE("#metadata!", ADDRESS(INDEX($Y$2:$Y$1001,MATCH(ROWS($W$2:W989),$W$2:$W$1001,0),0), INDEX($AD$1004:$AU$1004,1,MATCH(COLUMNS($AD$1006:AH1006),$AD$1006:$AU$1006,0)))),"Fix")))</f>
        <v xml:space="preserve"> </v>
      </c>
      <c r="G989" s="4" t="str">
        <f ca="1">IF(OR(INDEX($X$2:$X$1001,MATCH(ROWS($W$2:W989),$W$2:$W$1001,0),1)&gt;=100000,INDEX($AD$1005:$AU$1005,1,MATCH(COLUMNS($AD$1006:AI1006),$AD$1006:$AU$1006,0))&gt;=100000), " ",IF(INDEX($AD$2:$AU$1001,MATCH(ROWS($W$2:W989),$W$2:$W$1001,0),MATCH(COLUMNS($AD$1006:AI1006),$AD$1006:$AU$1006,0)), HYPERLINK("#",""), HYPERLINK(CONCATENATE("#metadata!", ADDRESS(INDEX($Y$2:$Y$1001,MATCH(ROWS($W$2:W989),$W$2:$W$1001,0),0), INDEX($AD$1004:$AU$1004,1,MATCH(COLUMNS($AD$1006:AI1006),$AD$1006:$AU$1006,0)))),"Fix")))</f>
        <v xml:space="preserve"> </v>
      </c>
      <c r="H989" s="4" t="str">
        <f ca="1">IF(OR(INDEX($X$2:$X$1001,MATCH(ROWS($W$2:W989),$W$2:$W$1001,0),1)&gt;=100000,INDEX($AD$1005:$AU$1005,1,MATCH(COLUMNS($AD$1006:AJ1006),$AD$1006:$AU$1006,0))&gt;=100000), " ",IF(INDEX($AD$2:$AU$1001,MATCH(ROWS($W$2:W989),$W$2:$W$1001,0),MATCH(COLUMNS($AD$1006:AJ1006),$AD$1006:$AU$1006,0)), HYPERLINK("#",""), HYPERLINK(CONCATENATE("#metadata!", ADDRESS(INDEX($Y$2:$Y$1001,MATCH(ROWS($W$2:W989),$W$2:$W$1001,0),0), INDEX($AD$1004:$AU$1004,1,MATCH(COLUMNS($AD$1006:AJ1006),$AD$1006:$AU$1006,0)))),"Fix")))</f>
        <v xml:space="preserve"> </v>
      </c>
      <c r="I989" s="4" t="str">
        <f ca="1">IF(OR(INDEX($X$2:$X$1001,MATCH(ROWS($W$2:W989),$W$2:$W$1001,0),1)&gt;=100000,INDEX($AD$1005:$AU$1005,1,MATCH(COLUMNS($AD$1006:AK1006),$AD$1006:$AU$1006,0))&gt;=100000), " ",IF(INDEX($AD$2:$AU$1001,MATCH(ROWS($W$2:W989),$W$2:$W$1001,0),MATCH(COLUMNS($AD$1006:AK1006),$AD$1006:$AU$1006,0)), HYPERLINK("#",""), HYPERLINK(CONCATENATE("#metadata!", ADDRESS(INDEX($Y$2:$Y$1001,MATCH(ROWS($W$2:W989),$W$2:$W$1001,0),0), INDEX($AD$1004:$AU$1004,1,MATCH(COLUMNS($AD$1006:AK1006),$AD$1006:$AU$1006,0)))),"Fix")))</f>
        <v xml:space="preserve"> </v>
      </c>
      <c r="J989" s="4" t="str">
        <f ca="1">IF(OR(INDEX($X$2:$X$1001,MATCH(ROWS($W$2:W989),$W$2:$W$1001,0),1)&gt;=100000,INDEX($AD$1005:$AU$1005,1,MATCH(COLUMNS($AD$1006:AL1006),$AD$1006:$AU$1006,0))&gt;=100000), " ",IF(INDEX($AD$2:$AU$1001,MATCH(ROWS($W$2:W989),$W$2:$W$1001,0),MATCH(COLUMNS($AD$1006:AL1006),$AD$1006:$AU$1006,0)), HYPERLINK("#",""), HYPERLINK(CONCATENATE("#metadata!", ADDRESS(INDEX($Y$2:$Y$1001,MATCH(ROWS($W$2:W989),$W$2:$W$1001,0),0), INDEX($AD$1004:$AU$1004,1,MATCH(COLUMNS($AD$1006:AL1006),$AD$1006:$AU$1006,0)))),"Fix")))</f>
        <v xml:space="preserve"> </v>
      </c>
      <c r="K989" s="4" t="str">
        <f ca="1">IF(OR(INDEX($X$2:$X$1001,MATCH(ROWS($W$2:W989),$W$2:$W$1001,0),1)&gt;=100000,INDEX($AD$1005:$AU$1005,1,MATCH(COLUMNS($AD$1006:AM1006),$AD$1006:$AU$1006,0))&gt;=100000), " ",IF(INDEX($AD$2:$AU$1001,MATCH(ROWS($W$2:W989),$W$2:$W$1001,0),MATCH(COLUMNS($AD$1006:AM1006),$AD$1006:$AU$1006,0)), HYPERLINK("#",""), HYPERLINK(CONCATENATE("#metadata!", ADDRESS(INDEX($Y$2:$Y$1001,MATCH(ROWS($W$2:W989),$W$2:$W$1001,0),0), INDEX($AD$1004:$AU$1004,1,MATCH(COLUMNS($AD$1006:AM1006),$AD$1006:$AU$1006,0)))),"Fix")))</f>
        <v xml:space="preserve"> </v>
      </c>
      <c r="L989" s="4" t="str">
        <f ca="1">IF(OR(INDEX($X$2:$X$1001,MATCH(ROWS($W$2:W989),$W$2:$W$1001,0),1)&gt;=100000,INDEX($AD$1005:$AU$1005,1,MATCH(COLUMNS($AD$1006:AN1006),$AD$1006:$AU$1006,0))&gt;=100000), " ",IF(INDEX($AD$2:$AU$1001,MATCH(ROWS($W$2:W989),$W$2:$W$1001,0),MATCH(COLUMNS($AD$1006:AN1006),$AD$1006:$AU$1006,0)), HYPERLINK("#",""), HYPERLINK(CONCATENATE("#metadata!", ADDRESS(INDEX($Y$2:$Y$1001,MATCH(ROWS($W$2:W989),$W$2:$W$1001,0),0), INDEX($AD$1004:$AU$1004,1,MATCH(COLUMNS($AD$1006:AN1006),$AD$1006:$AU$1006,0)))),"Fix")))</f>
        <v xml:space="preserve"> </v>
      </c>
      <c r="M989" s="4" t="str">
        <f ca="1">IF(OR(INDEX($X$2:$X$1001,MATCH(ROWS($W$2:W989),$W$2:$W$1001,0),1)&gt;=100000,INDEX($AD$1005:$AU$1005,1,MATCH(COLUMNS($AD$1006:AO1006),$AD$1006:$AU$1006,0))&gt;=100000), " ",IF(INDEX($AD$2:$AU$1001,MATCH(ROWS($W$2:W989),$W$2:$W$1001,0),MATCH(COLUMNS($AD$1006:AO1006),$AD$1006:$AU$1006,0)), HYPERLINK("#",""), HYPERLINK(CONCATENATE("#metadata!", ADDRESS(INDEX($Y$2:$Y$1001,MATCH(ROWS($W$2:W989),$W$2:$W$1001,0),0), INDEX($AD$1004:$AU$1004,1,MATCH(COLUMNS($AD$1006:AO1006),$AD$1006:$AU$1006,0)))),"Fix")))</f>
        <v xml:space="preserve"> </v>
      </c>
      <c r="N989" s="4" t="str">
        <f ca="1">IF(OR(INDEX($X$2:$X$1001,MATCH(ROWS($W$2:W989),$W$2:$W$1001,0),1)&gt;=100000,INDEX($AD$1005:$AU$1005,1,MATCH(COLUMNS($AD$1006:AP1006),$AD$1006:$AU$1006,0))&gt;=100000), " ",IF(INDEX($AD$2:$AU$1001,MATCH(ROWS($W$2:W989),$W$2:$W$1001,0),MATCH(COLUMNS($AD$1006:AP1006),$AD$1006:$AU$1006,0)), HYPERLINK("#",""), HYPERLINK(CONCATENATE("#metadata!", ADDRESS(INDEX($Y$2:$Y$1001,MATCH(ROWS($W$2:W989),$W$2:$W$1001,0),0), INDEX($AD$1004:$AU$1004,1,MATCH(COLUMNS($AD$1006:AP1006),$AD$1006:$AU$1006,0)))),"Fix")))</f>
        <v xml:space="preserve"> </v>
      </c>
      <c r="O989" s="4" t="str">
        <f ca="1">IF(OR(INDEX($X$2:$X$1001,MATCH(ROWS($W$2:W989),$W$2:$W$1001,0),1)&gt;=100000,INDEX($AD$1005:$AU$1005,1,MATCH(COLUMNS($AD$1006:AQ1006),$AD$1006:$AU$1006,0))&gt;=100000), " ",IF(INDEX($AD$2:$AU$1001,MATCH(ROWS($W$2:W989),$W$2:$W$1001,0),MATCH(COLUMNS($AD$1006:AQ1006),$AD$1006:$AU$1006,0)), HYPERLINK("#",""), HYPERLINK(CONCATENATE("#metadata!", ADDRESS(INDEX($Y$2:$Y$1001,MATCH(ROWS($W$2:W989),$W$2:$W$1001,0),0), INDEX($AD$1004:$AU$1004,1,MATCH(COLUMNS($AD$1006:AQ1006),$AD$1006:$AU$1006,0)))),"Fix")))</f>
        <v xml:space="preserve"> </v>
      </c>
      <c r="P989" s="4" t="str">
        <f ca="1">IF(OR(INDEX($X$2:$X$1001,MATCH(ROWS($W$2:W989),$W$2:$W$1001,0),1)&gt;=100000,INDEX($AD$1005:$AU$1005,1,MATCH(COLUMNS($AD$1006:AR1006),$AD$1006:$AU$1006,0))&gt;=100000), " ",IF(INDEX($AD$2:$AU$1001,MATCH(ROWS($W$2:W989),$W$2:$W$1001,0),MATCH(COLUMNS($AD$1006:AR1006),$AD$1006:$AU$1006,0)), HYPERLINK("#",""), HYPERLINK(CONCATENATE("#metadata!", ADDRESS(INDEX($Y$2:$Y$1001,MATCH(ROWS($W$2:W989),$W$2:$W$1001,0),0), INDEX($AD$1004:$AU$1004,1,MATCH(COLUMNS($AD$1006:AR1006),$AD$1006:$AU$1006,0)))),"Fix")))</f>
        <v xml:space="preserve"> </v>
      </c>
      <c r="Q989" s="4" t="str">
        <f ca="1">IF(OR(INDEX($X$2:$X$1001,MATCH(ROWS($W$2:W989),$W$2:$W$1001,0),1)&gt;=100000,INDEX($AD$1005:$AU$1005,1,MATCH(COLUMNS($AD$1006:AS1006),$AD$1006:$AU$1006,0))&gt;=100000), " ",IF(INDEX($AD$2:$AU$1001,MATCH(ROWS($W$2:W989),$W$2:$W$1001,0),MATCH(COLUMNS($AD$1006:AS1006),$AD$1006:$AU$1006,0)), HYPERLINK("#",""), HYPERLINK(CONCATENATE("#metadata!", ADDRESS(INDEX($Y$2:$Y$1001,MATCH(ROWS($W$2:W989),$W$2:$W$1001,0),0), INDEX($AD$1004:$AU$1004,1,MATCH(COLUMNS($AD$1006:AS1006),$AD$1006:$AU$1006,0)))),"Fix")))</f>
        <v xml:space="preserve"> </v>
      </c>
      <c r="R989" s="4" t="str">
        <f ca="1">IF(OR(INDEX($X$2:$X$1001,MATCH(ROWS($W$2:W989),$W$2:$W$1001,0),1)&gt;=100000,INDEX($AD$1005:$AU$1005,1,MATCH(COLUMNS($AD$1006:AT1006),$AD$1006:$AU$1006,0))&gt;=100000), " ",IF(INDEX($AD$2:$AU$1001,MATCH(ROWS($W$2:W989),$W$2:$W$1001,0),MATCH(COLUMNS($AD$1006:AT1006),$AD$1006:$AU$1006,0)), HYPERLINK("#",""), HYPERLINK(CONCATENATE("#metadata!", ADDRESS(INDEX($Y$2:$Y$1001,MATCH(ROWS($W$2:W989),$W$2:$W$1001,0),0), INDEX($AD$1004:$AU$1004,1,MATCH(COLUMNS($AD$1006:AT1006),$AD$1006:$AU$1006,0)))),"Fix")))</f>
        <v xml:space="preserve"> </v>
      </c>
      <c r="S989" s="4" t="str">
        <f ca="1">IF(OR(INDEX($X$2:$X$1001,MATCH(ROWS($W$2:W989),$W$2:$W$1001,0),1)&gt;=100000,INDEX($AD$1005:$AU$1005,1,MATCH(COLUMNS($AD$1006:AU1006),$AD$1006:$AU$1006,0))&gt;=100000), " ",IF(INDEX($AD$2:$AU$1001,MATCH(ROWS($W$2:W989),$W$2:$W$1001,0),MATCH(COLUMNS($AD$1006:AU1006),$AD$1006:$AU$1006,0)), HYPERLINK("#",""), HYPERLINK(CONCATENATE("#metadata!", ADDRESS(INDEX($Y$2:$Y$1001,MATCH(ROWS($W$2:W989),$W$2:$W$1001,0),0), INDEX($AD$1004:$AU$1004,1,MATCH(COLUMNS($AD$1006:AU1006),$AD$1006:$AU$1006,0)))),"Fix")))</f>
        <v xml:space="preserve"> </v>
      </c>
      <c r="W989">
        <v>988</v>
      </c>
      <c r="X989">
        <v>100989</v>
      </c>
      <c r="Y989">
        <v>989</v>
      </c>
      <c r="Z989" t="b">
        <f t="shared" si="15"/>
        <v>1</v>
      </c>
      <c r="AA989" t="b">
        <f>COUNTBLANK(metadata!B989:S989)=COLUMNS(metadata!B989:S989)</f>
        <v>1</v>
      </c>
      <c r="AB989" t="str">
        <v/>
      </c>
      <c r="AD989" t="b">
        <f ca="1">AND(IF(metadata!B989="",FALSE,TRUE),COUNTIF(metadata!B:B, metadata!B989) = 1,NOT(ISERROR(SUMPRODUCT(SEARCH(MID(metadata!B989,ROW(INDIRECT("1:"&amp;LEN(metadata!B989))), 1),"0123456789abcdefghijklmnopqrstuvwxyzABCDEFGHIJKLMNOPQRSTUVWXYZ.")))))</f>
        <v>0</v>
      </c>
      <c r="AE989" t="b">
        <f>OR(AND(IF(metadata!C989="",FALSE,TRUE),OR(EXACT(metadata!C989,"not applicable"),EXACT(metadata!C989,"missing: not collected"),EXACT(metadata!C989,"missing: not provided"),EXACT(metadata!C989,"missing: restricted access"))),AND(IF(metadata!C989="",FALSE,ISNUMBER(VALUE(metadata!C989))),metadata!C989&gt;0))</f>
        <v>0</v>
      </c>
      <c r="AF989" t="b">
        <f>AND(IF(metadata!D989="",FALSE,TRUE),EXACT(metadata!D989,"missing: not provided"))</f>
        <v>0</v>
      </c>
      <c r="AG989" t="b">
        <f>AND(IF(metadata!E989="",FALSE,TRUE),EXACT(metadata!E989,"Host-associated"))</f>
        <v>0</v>
      </c>
      <c r="AH989" t="b">
        <f>AND(IF(metadata!F989="",FALSE,TRUE),OR(EXACT(metadata!F989,"Animal"),EXACT(metadata!F989,"Fungus"),EXACT(metadata!F989,"Plant")))</f>
        <v>0</v>
      </c>
      <c r="AI989" t="b">
        <f>AND(IF(metadata!G989="",FALSE,TRUE),OR(EXACT(metadata!G989,"Plant secretion"),EXACT(metadata!G989,"Plant rhizosphere"),EXACT(metadata!G989,"Plant surface"),EXACT(metadata!G989,"Plant corpus"),EXACT(metadata!G989,"Fungus surface"),EXACT(metadata!G989,"Fungus corpus"),EXACT(metadata!G989,"Animal surface"),EXACT(metadata!G989,"Animal proximal gut"),EXACT(metadata!G989,"Animal corpus"),EXACT(metadata!G989,"Animal distal gut"),EXACT(metadata!G989,"Animal secretion")))</f>
        <v>0</v>
      </c>
      <c r="AJ989" t="b">
        <f>OR(AND(IF(metadata!H989="",FALSE,TRUE),OR(EXACT(metadata!H989,"missing: not collected"),EXACT(metadata!H989,"missing: not provided"),EXACT(metadata!H989,"missing: restricted access"))),AND(IF(metadata!H989="",FALSE,TRUE),OR(EXACT(metadata!H989,"organism-associated habitat"),EXACT(metadata!H989,"plant-associated habitat"),EXACT(metadata!H989,"animal-associated habitat"),EXACT(metadata!H989,"insecta-associated habitat"),EXACT(metadata!H989,"mammalia-associated habitat"),EXACT(metadata!H989,"human-associated habitat"),EXACT(metadata!H989,"livestock-associated habitat"))))</f>
        <v>0</v>
      </c>
      <c r="AK989" t="b">
        <f>AND(IF(metadata!I989="",FALSE,TRUE),EXACT(metadata!I989,"host-associated"))</f>
        <v>0</v>
      </c>
      <c r="AL989" t="b">
        <f>OR(AND(IF(metadata!J989="",FALSE,TRUE),OR(EXACT(metadata!J989,"not applicable"),EXACT(metadata!J989,"missing: not collected"),EXACT(metadata!J989,"missing: not provided"),EXACT(metadata!J989,"missing: restricted access"))),AND(IF(metadata!J989="",FALSE,ISNUMBER(VALUE(metadata!J989))),metadata!J989&gt;0))</f>
        <v>0</v>
      </c>
      <c r="AM989" t="b">
        <f>AND(IF(metadata!K989="",FALSE,TRUE),EXACT(metadata!K989,"missing: not provided"))</f>
        <v>0</v>
      </c>
      <c r="AN989" t="b">
        <f>IF(metadata!L989="",FALSE,TRUE)</f>
        <v>0</v>
      </c>
      <c r="AO989" t="b">
        <f>IF(metadata!M989="",FALSE,TRUE)</f>
        <v>0</v>
      </c>
      <c r="AP989" t="b">
        <f>OR(AND(IF(metadata!N989="",FALSE,TRUE),OR(EXACT(metadata!N989,"not applicable"),EXACT(metadata!N989,"missing: not collected"),EXACT(metadata!N989,"missing: not provided"))),AND(IF(metadata!N989="",FALSE,IF(ISERROR(INT(metadata!N989)),FALSE,INT(metadata!N989)=metadata!N989)),metadata!N989&gt;0))</f>
        <v>0</v>
      </c>
      <c r="AQ989" t="b">
        <f>AND(IF(metadata!O989="",FALSE,TRUE),EXACT(metadata!O989,"Not applicable"))</f>
        <v>0</v>
      </c>
      <c r="AR989" t="b">
        <f>OR(AND(IF(metadata!P989="",FALSE,TRUE),OR(EXACT(metadata!P989,"not applicable"),EXACT(metadata!P989,"missing: not collected"),EXACT(metadata!P989,"missing: not provided"),EXACT(metadata!P989,"missing: restricted access"))),IF(metadata!P989="",FALSE,IF(ISERROR(INT(metadata!P989)),FALSE,INT(metadata!P989)=metadata!P989)))</f>
        <v>0</v>
      </c>
      <c r="AS989" t="b">
        <f>AND(IF(metadata!Q989="",FALSE,TRUE),EXACT(metadata!Q989,"Not applicable"))</f>
        <v>0</v>
      </c>
      <c r="AT989" t="b">
        <f>OR(AND(IF(metadata!R989="",FALSE,TRUE),OR(EXACT(metadata!R989,"not applicable"),EXACT(metadata!R989,"missing: not collected"),EXACT(metadata!R989,"missing: not provided"),EXACT(metadata!R989,"missing: restricted access"))),AND(IF(metadata!R989="",FALSE,ISNUMBER(VALUE(metadata!R989))),metadata!R989&gt;0))</f>
        <v>0</v>
      </c>
      <c r="AU989" t="b">
        <f>AND(IF(metadata!S989="",FALSE,TRUE),EXACT(metadata!S989,"missing: not provided"))</f>
        <v>0</v>
      </c>
    </row>
    <row r="990" spans="1:47" x14ac:dyDescent="0.2">
      <c r="A990" s="5" t="str">
        <f ca="1">IF(B990=" "," ",HYPERLINK(CONCATENATE("#metadata!",ADDRESS(INDEX($Y$2:$Y$1001,MATCH(ROWS($W$2:W990),$W$2:$W$1001,0),0),1)),INDEX($AB$2:$AB$1001,MATCH(ROWS($W$2:W990),$W$2:$W$1001,0),0)))</f>
        <v xml:space="preserve"> </v>
      </c>
      <c r="B990" s="4" t="str">
        <f ca="1">IF(OR(INDEX($X$2:$X$1001,MATCH(ROWS($W$2:W990),$W$2:$W$1001,0),1)&gt;=100000,INDEX($AD$1005:$AU$1005,1,MATCH(COLUMNS($AD$1006:AD1006),$AD$1006:$AU$1006,0))&gt;=100000), " ",IF(INDEX($AD$2:$AU$1001,MATCH(ROWS($W$2:W990),$W$2:$W$1001,0),MATCH(COLUMNS($AD$1006:AD1006),$AD$1006:$AU$1006,0)), HYPERLINK("#",""), HYPERLINK(CONCATENATE("#metadata!", ADDRESS(INDEX($Y$2:$Y$1001,MATCH(ROWS($W$2:W990),$W$2:$W$1001,0),0), INDEX($AD$1004:$AU$1004,1,MATCH(COLUMNS($AD$1006:AD1006),$AD$1006:$AU$1006,0)))),"Fix")))</f>
        <v xml:space="preserve"> </v>
      </c>
      <c r="C990" s="4" t="str">
        <f ca="1">IF(OR(INDEX($X$2:$X$1001,MATCH(ROWS($W$2:W990),$W$2:$W$1001,0),1)&gt;=100000,INDEX($AD$1005:$AU$1005,1,MATCH(COLUMNS($AD$1006:AE1006),$AD$1006:$AU$1006,0))&gt;=100000), " ",IF(INDEX($AD$2:$AU$1001,MATCH(ROWS($W$2:W990),$W$2:$W$1001,0),MATCH(COLUMNS($AD$1006:AE1006),$AD$1006:$AU$1006,0)), HYPERLINK("#",""), HYPERLINK(CONCATENATE("#metadata!", ADDRESS(INDEX($Y$2:$Y$1001,MATCH(ROWS($W$2:W990),$W$2:$W$1001,0),0), INDEX($AD$1004:$AU$1004,1,MATCH(COLUMNS($AD$1006:AE1006),$AD$1006:$AU$1006,0)))),"Fix")))</f>
        <v xml:space="preserve"> </v>
      </c>
      <c r="D990" s="4" t="str">
        <f ca="1">IF(OR(INDEX($X$2:$X$1001,MATCH(ROWS($W$2:W990),$W$2:$W$1001,0),1)&gt;=100000,INDEX($AD$1005:$AU$1005,1,MATCH(COLUMNS($AD$1006:AF1006),$AD$1006:$AU$1006,0))&gt;=100000), " ",IF(INDEX($AD$2:$AU$1001,MATCH(ROWS($W$2:W990),$W$2:$W$1001,0),MATCH(COLUMNS($AD$1006:AF1006),$AD$1006:$AU$1006,0)), HYPERLINK("#",""), HYPERLINK(CONCATENATE("#metadata!", ADDRESS(INDEX($Y$2:$Y$1001,MATCH(ROWS($W$2:W990),$W$2:$W$1001,0),0), INDEX($AD$1004:$AU$1004,1,MATCH(COLUMNS($AD$1006:AF1006),$AD$1006:$AU$1006,0)))),"Fix")))</f>
        <v xml:space="preserve"> </v>
      </c>
      <c r="E990" s="4" t="str">
        <f ca="1">IF(OR(INDEX($X$2:$X$1001,MATCH(ROWS($W$2:W990),$W$2:$W$1001,0),1)&gt;=100000,INDEX($AD$1005:$AU$1005,1,MATCH(COLUMNS($AD$1006:AG1006),$AD$1006:$AU$1006,0))&gt;=100000), " ",IF(INDEX($AD$2:$AU$1001,MATCH(ROWS($W$2:W990),$W$2:$W$1001,0),MATCH(COLUMNS($AD$1006:AG1006),$AD$1006:$AU$1006,0)), HYPERLINK("#",""), HYPERLINK(CONCATENATE("#metadata!", ADDRESS(INDEX($Y$2:$Y$1001,MATCH(ROWS($W$2:W990),$W$2:$W$1001,0),0), INDEX($AD$1004:$AU$1004,1,MATCH(COLUMNS($AD$1006:AG1006),$AD$1006:$AU$1006,0)))),"Fix")))</f>
        <v xml:space="preserve"> </v>
      </c>
      <c r="F990" s="4" t="str">
        <f ca="1">IF(OR(INDEX($X$2:$X$1001,MATCH(ROWS($W$2:W990),$W$2:$W$1001,0),1)&gt;=100000,INDEX($AD$1005:$AU$1005,1,MATCH(COLUMNS($AD$1006:AH1006),$AD$1006:$AU$1006,0))&gt;=100000), " ",IF(INDEX($AD$2:$AU$1001,MATCH(ROWS($W$2:W990),$W$2:$W$1001,0),MATCH(COLUMNS($AD$1006:AH1006),$AD$1006:$AU$1006,0)), HYPERLINK("#",""), HYPERLINK(CONCATENATE("#metadata!", ADDRESS(INDEX($Y$2:$Y$1001,MATCH(ROWS($W$2:W990),$W$2:$W$1001,0),0), INDEX($AD$1004:$AU$1004,1,MATCH(COLUMNS($AD$1006:AH1006),$AD$1006:$AU$1006,0)))),"Fix")))</f>
        <v xml:space="preserve"> </v>
      </c>
      <c r="G990" s="4" t="str">
        <f ca="1">IF(OR(INDEX($X$2:$X$1001,MATCH(ROWS($W$2:W990),$W$2:$W$1001,0),1)&gt;=100000,INDEX($AD$1005:$AU$1005,1,MATCH(COLUMNS($AD$1006:AI1006),$AD$1006:$AU$1006,0))&gt;=100000), " ",IF(INDEX($AD$2:$AU$1001,MATCH(ROWS($W$2:W990),$W$2:$W$1001,0),MATCH(COLUMNS($AD$1006:AI1006),$AD$1006:$AU$1006,0)), HYPERLINK("#",""), HYPERLINK(CONCATENATE("#metadata!", ADDRESS(INDEX($Y$2:$Y$1001,MATCH(ROWS($W$2:W990),$W$2:$W$1001,0),0), INDEX($AD$1004:$AU$1004,1,MATCH(COLUMNS($AD$1006:AI1006),$AD$1006:$AU$1006,0)))),"Fix")))</f>
        <v xml:space="preserve"> </v>
      </c>
      <c r="H990" s="4" t="str">
        <f ca="1">IF(OR(INDEX($X$2:$X$1001,MATCH(ROWS($W$2:W990),$W$2:$W$1001,0),1)&gt;=100000,INDEX($AD$1005:$AU$1005,1,MATCH(COLUMNS($AD$1006:AJ1006),$AD$1006:$AU$1006,0))&gt;=100000), " ",IF(INDEX($AD$2:$AU$1001,MATCH(ROWS($W$2:W990),$W$2:$W$1001,0),MATCH(COLUMNS($AD$1006:AJ1006),$AD$1006:$AU$1006,0)), HYPERLINK("#",""), HYPERLINK(CONCATENATE("#metadata!", ADDRESS(INDEX($Y$2:$Y$1001,MATCH(ROWS($W$2:W990),$W$2:$W$1001,0),0), INDEX($AD$1004:$AU$1004,1,MATCH(COLUMNS($AD$1006:AJ1006),$AD$1006:$AU$1006,0)))),"Fix")))</f>
        <v xml:space="preserve"> </v>
      </c>
      <c r="I990" s="4" t="str">
        <f ca="1">IF(OR(INDEX($X$2:$X$1001,MATCH(ROWS($W$2:W990),$W$2:$W$1001,0),1)&gt;=100000,INDEX($AD$1005:$AU$1005,1,MATCH(COLUMNS($AD$1006:AK1006),$AD$1006:$AU$1006,0))&gt;=100000), " ",IF(INDEX($AD$2:$AU$1001,MATCH(ROWS($W$2:W990),$W$2:$W$1001,0),MATCH(COLUMNS($AD$1006:AK1006),$AD$1006:$AU$1006,0)), HYPERLINK("#",""), HYPERLINK(CONCATENATE("#metadata!", ADDRESS(INDEX($Y$2:$Y$1001,MATCH(ROWS($W$2:W990),$W$2:$W$1001,0),0), INDEX($AD$1004:$AU$1004,1,MATCH(COLUMNS($AD$1006:AK1006),$AD$1006:$AU$1006,0)))),"Fix")))</f>
        <v xml:space="preserve"> </v>
      </c>
      <c r="J990" s="4" t="str">
        <f ca="1">IF(OR(INDEX($X$2:$X$1001,MATCH(ROWS($W$2:W990),$W$2:$W$1001,0),1)&gt;=100000,INDEX($AD$1005:$AU$1005,1,MATCH(COLUMNS($AD$1006:AL1006),$AD$1006:$AU$1006,0))&gt;=100000), " ",IF(INDEX($AD$2:$AU$1001,MATCH(ROWS($W$2:W990),$W$2:$W$1001,0),MATCH(COLUMNS($AD$1006:AL1006),$AD$1006:$AU$1006,0)), HYPERLINK("#",""), HYPERLINK(CONCATENATE("#metadata!", ADDRESS(INDEX($Y$2:$Y$1001,MATCH(ROWS($W$2:W990),$W$2:$W$1001,0),0), INDEX($AD$1004:$AU$1004,1,MATCH(COLUMNS($AD$1006:AL1006),$AD$1006:$AU$1006,0)))),"Fix")))</f>
        <v xml:space="preserve"> </v>
      </c>
      <c r="K990" s="4" t="str">
        <f ca="1">IF(OR(INDEX($X$2:$X$1001,MATCH(ROWS($W$2:W990),$W$2:$W$1001,0),1)&gt;=100000,INDEX($AD$1005:$AU$1005,1,MATCH(COLUMNS($AD$1006:AM1006),$AD$1006:$AU$1006,0))&gt;=100000), " ",IF(INDEX($AD$2:$AU$1001,MATCH(ROWS($W$2:W990),$W$2:$W$1001,0),MATCH(COLUMNS($AD$1006:AM1006),$AD$1006:$AU$1006,0)), HYPERLINK("#",""), HYPERLINK(CONCATENATE("#metadata!", ADDRESS(INDEX($Y$2:$Y$1001,MATCH(ROWS($W$2:W990),$W$2:$W$1001,0),0), INDEX($AD$1004:$AU$1004,1,MATCH(COLUMNS($AD$1006:AM1006),$AD$1006:$AU$1006,0)))),"Fix")))</f>
        <v xml:space="preserve"> </v>
      </c>
      <c r="L990" s="4" t="str">
        <f ca="1">IF(OR(INDEX($X$2:$X$1001,MATCH(ROWS($W$2:W990),$W$2:$W$1001,0),1)&gt;=100000,INDEX($AD$1005:$AU$1005,1,MATCH(COLUMNS($AD$1006:AN1006),$AD$1006:$AU$1006,0))&gt;=100000), " ",IF(INDEX($AD$2:$AU$1001,MATCH(ROWS($W$2:W990),$W$2:$W$1001,0),MATCH(COLUMNS($AD$1006:AN1006),$AD$1006:$AU$1006,0)), HYPERLINK("#",""), HYPERLINK(CONCATENATE("#metadata!", ADDRESS(INDEX($Y$2:$Y$1001,MATCH(ROWS($W$2:W990),$W$2:$W$1001,0),0), INDEX($AD$1004:$AU$1004,1,MATCH(COLUMNS($AD$1006:AN1006),$AD$1006:$AU$1006,0)))),"Fix")))</f>
        <v xml:space="preserve"> </v>
      </c>
      <c r="M990" s="4" t="str">
        <f ca="1">IF(OR(INDEX($X$2:$X$1001,MATCH(ROWS($W$2:W990),$W$2:$W$1001,0),1)&gt;=100000,INDEX($AD$1005:$AU$1005,1,MATCH(COLUMNS($AD$1006:AO1006),$AD$1006:$AU$1006,0))&gt;=100000), " ",IF(INDEX($AD$2:$AU$1001,MATCH(ROWS($W$2:W990),$W$2:$W$1001,0),MATCH(COLUMNS($AD$1006:AO1006),$AD$1006:$AU$1006,0)), HYPERLINK("#",""), HYPERLINK(CONCATENATE("#metadata!", ADDRESS(INDEX($Y$2:$Y$1001,MATCH(ROWS($W$2:W990),$W$2:$W$1001,0),0), INDEX($AD$1004:$AU$1004,1,MATCH(COLUMNS($AD$1006:AO1006),$AD$1006:$AU$1006,0)))),"Fix")))</f>
        <v xml:space="preserve"> </v>
      </c>
      <c r="N990" s="4" t="str">
        <f ca="1">IF(OR(INDEX($X$2:$X$1001,MATCH(ROWS($W$2:W990),$W$2:$W$1001,0),1)&gt;=100000,INDEX($AD$1005:$AU$1005,1,MATCH(COLUMNS($AD$1006:AP1006),$AD$1006:$AU$1006,0))&gt;=100000), " ",IF(INDEX($AD$2:$AU$1001,MATCH(ROWS($W$2:W990),$W$2:$W$1001,0),MATCH(COLUMNS($AD$1006:AP1006),$AD$1006:$AU$1006,0)), HYPERLINK("#",""), HYPERLINK(CONCATENATE("#metadata!", ADDRESS(INDEX($Y$2:$Y$1001,MATCH(ROWS($W$2:W990),$W$2:$W$1001,0),0), INDEX($AD$1004:$AU$1004,1,MATCH(COLUMNS($AD$1006:AP1006),$AD$1006:$AU$1006,0)))),"Fix")))</f>
        <v xml:space="preserve"> </v>
      </c>
      <c r="O990" s="4" t="str">
        <f ca="1">IF(OR(INDEX($X$2:$X$1001,MATCH(ROWS($W$2:W990),$W$2:$W$1001,0),1)&gt;=100000,INDEX($AD$1005:$AU$1005,1,MATCH(COLUMNS($AD$1006:AQ1006),$AD$1006:$AU$1006,0))&gt;=100000), " ",IF(INDEX($AD$2:$AU$1001,MATCH(ROWS($W$2:W990),$W$2:$W$1001,0),MATCH(COLUMNS($AD$1006:AQ1006),$AD$1006:$AU$1006,0)), HYPERLINK("#",""), HYPERLINK(CONCATENATE("#metadata!", ADDRESS(INDEX($Y$2:$Y$1001,MATCH(ROWS($W$2:W990),$W$2:$W$1001,0),0), INDEX($AD$1004:$AU$1004,1,MATCH(COLUMNS($AD$1006:AQ1006),$AD$1006:$AU$1006,0)))),"Fix")))</f>
        <v xml:space="preserve"> </v>
      </c>
      <c r="P990" s="4" t="str">
        <f ca="1">IF(OR(INDEX($X$2:$X$1001,MATCH(ROWS($W$2:W990),$W$2:$W$1001,0),1)&gt;=100000,INDEX($AD$1005:$AU$1005,1,MATCH(COLUMNS($AD$1006:AR1006),$AD$1006:$AU$1006,0))&gt;=100000), " ",IF(INDEX($AD$2:$AU$1001,MATCH(ROWS($W$2:W990),$W$2:$W$1001,0),MATCH(COLUMNS($AD$1006:AR1006),$AD$1006:$AU$1006,0)), HYPERLINK("#",""), HYPERLINK(CONCATENATE("#metadata!", ADDRESS(INDEX($Y$2:$Y$1001,MATCH(ROWS($W$2:W990),$W$2:$W$1001,0),0), INDEX($AD$1004:$AU$1004,1,MATCH(COLUMNS($AD$1006:AR1006),$AD$1006:$AU$1006,0)))),"Fix")))</f>
        <v xml:space="preserve"> </v>
      </c>
      <c r="Q990" s="4" t="str">
        <f ca="1">IF(OR(INDEX($X$2:$X$1001,MATCH(ROWS($W$2:W990),$W$2:$W$1001,0),1)&gt;=100000,INDEX($AD$1005:$AU$1005,1,MATCH(COLUMNS($AD$1006:AS1006),$AD$1006:$AU$1006,0))&gt;=100000), " ",IF(INDEX($AD$2:$AU$1001,MATCH(ROWS($W$2:W990),$W$2:$W$1001,0),MATCH(COLUMNS($AD$1006:AS1006),$AD$1006:$AU$1006,0)), HYPERLINK("#",""), HYPERLINK(CONCATENATE("#metadata!", ADDRESS(INDEX($Y$2:$Y$1001,MATCH(ROWS($W$2:W990),$W$2:$W$1001,0),0), INDEX($AD$1004:$AU$1004,1,MATCH(COLUMNS($AD$1006:AS1006),$AD$1006:$AU$1006,0)))),"Fix")))</f>
        <v xml:space="preserve"> </v>
      </c>
      <c r="R990" s="4" t="str">
        <f ca="1">IF(OR(INDEX($X$2:$X$1001,MATCH(ROWS($W$2:W990),$W$2:$W$1001,0),1)&gt;=100000,INDEX($AD$1005:$AU$1005,1,MATCH(COLUMNS($AD$1006:AT1006),$AD$1006:$AU$1006,0))&gt;=100000), " ",IF(INDEX($AD$2:$AU$1001,MATCH(ROWS($W$2:W990),$W$2:$W$1001,0),MATCH(COLUMNS($AD$1006:AT1006),$AD$1006:$AU$1006,0)), HYPERLINK("#",""), HYPERLINK(CONCATENATE("#metadata!", ADDRESS(INDEX($Y$2:$Y$1001,MATCH(ROWS($W$2:W990),$W$2:$W$1001,0),0), INDEX($AD$1004:$AU$1004,1,MATCH(COLUMNS($AD$1006:AT1006),$AD$1006:$AU$1006,0)))),"Fix")))</f>
        <v xml:space="preserve"> </v>
      </c>
      <c r="S990" s="4" t="str">
        <f ca="1">IF(OR(INDEX($X$2:$X$1001,MATCH(ROWS($W$2:W990),$W$2:$W$1001,0),1)&gt;=100000,INDEX($AD$1005:$AU$1005,1,MATCH(COLUMNS($AD$1006:AU1006),$AD$1006:$AU$1006,0))&gt;=100000), " ",IF(INDEX($AD$2:$AU$1001,MATCH(ROWS($W$2:W990),$W$2:$W$1001,0),MATCH(COLUMNS($AD$1006:AU1006),$AD$1006:$AU$1006,0)), HYPERLINK("#",""), HYPERLINK(CONCATENATE("#metadata!", ADDRESS(INDEX($Y$2:$Y$1001,MATCH(ROWS($W$2:W990),$W$2:$W$1001,0),0), INDEX($AD$1004:$AU$1004,1,MATCH(COLUMNS($AD$1006:AU1006),$AD$1006:$AU$1006,0)))),"Fix")))</f>
        <v xml:space="preserve"> </v>
      </c>
      <c r="W990">
        <v>989</v>
      </c>
      <c r="X990">
        <v>100990</v>
      </c>
      <c r="Y990">
        <v>990</v>
      </c>
      <c r="Z990" t="b">
        <f t="shared" si="15"/>
        <v>1</v>
      </c>
      <c r="AA990" t="b">
        <f>COUNTBLANK(metadata!B990:S990)=COLUMNS(metadata!B990:S990)</f>
        <v>1</v>
      </c>
      <c r="AB990" t="str">
        <v/>
      </c>
      <c r="AD990" t="b">
        <f ca="1">AND(IF(metadata!B990="",FALSE,TRUE),COUNTIF(metadata!B:B, metadata!B990) = 1,NOT(ISERROR(SUMPRODUCT(SEARCH(MID(metadata!B990,ROW(INDIRECT("1:"&amp;LEN(metadata!B990))), 1),"0123456789abcdefghijklmnopqrstuvwxyzABCDEFGHIJKLMNOPQRSTUVWXYZ.")))))</f>
        <v>0</v>
      </c>
      <c r="AE990" t="b">
        <f>OR(AND(IF(metadata!C990="",FALSE,TRUE),OR(EXACT(metadata!C990,"not applicable"),EXACT(metadata!C990,"missing: not collected"),EXACT(metadata!C990,"missing: not provided"),EXACT(metadata!C990,"missing: restricted access"))),AND(IF(metadata!C990="",FALSE,ISNUMBER(VALUE(metadata!C990))),metadata!C990&gt;0))</f>
        <v>0</v>
      </c>
      <c r="AF990" t="b">
        <f>AND(IF(metadata!D990="",FALSE,TRUE),EXACT(metadata!D990,"missing: not provided"))</f>
        <v>0</v>
      </c>
      <c r="AG990" t="b">
        <f>AND(IF(metadata!E990="",FALSE,TRUE),EXACT(metadata!E990,"Host-associated"))</f>
        <v>0</v>
      </c>
      <c r="AH990" t="b">
        <f>AND(IF(metadata!F990="",FALSE,TRUE),OR(EXACT(metadata!F990,"Animal"),EXACT(metadata!F990,"Fungus"),EXACT(metadata!F990,"Plant")))</f>
        <v>0</v>
      </c>
      <c r="AI990" t="b">
        <f>AND(IF(metadata!G990="",FALSE,TRUE),OR(EXACT(metadata!G990,"Plant secretion"),EXACT(metadata!G990,"Plant rhizosphere"),EXACT(metadata!G990,"Plant surface"),EXACT(metadata!G990,"Plant corpus"),EXACT(metadata!G990,"Fungus surface"),EXACT(metadata!G990,"Fungus corpus"),EXACT(metadata!G990,"Animal surface"),EXACT(metadata!G990,"Animal proximal gut"),EXACT(metadata!G990,"Animal corpus"),EXACT(metadata!G990,"Animal distal gut"),EXACT(metadata!G990,"Animal secretion")))</f>
        <v>0</v>
      </c>
      <c r="AJ990" t="b">
        <f>OR(AND(IF(metadata!H990="",FALSE,TRUE),OR(EXACT(metadata!H990,"missing: not collected"),EXACT(metadata!H990,"missing: not provided"),EXACT(metadata!H990,"missing: restricted access"))),AND(IF(metadata!H990="",FALSE,TRUE),OR(EXACT(metadata!H990,"organism-associated habitat"),EXACT(metadata!H990,"plant-associated habitat"),EXACT(metadata!H990,"animal-associated habitat"),EXACT(metadata!H990,"insecta-associated habitat"),EXACT(metadata!H990,"mammalia-associated habitat"),EXACT(metadata!H990,"human-associated habitat"),EXACT(metadata!H990,"livestock-associated habitat"))))</f>
        <v>0</v>
      </c>
      <c r="AK990" t="b">
        <f>AND(IF(metadata!I990="",FALSE,TRUE),EXACT(metadata!I990,"host-associated"))</f>
        <v>0</v>
      </c>
      <c r="AL990" t="b">
        <f>OR(AND(IF(metadata!J990="",FALSE,TRUE),OR(EXACT(metadata!J990,"not applicable"),EXACT(metadata!J990,"missing: not collected"),EXACT(metadata!J990,"missing: not provided"),EXACT(metadata!J990,"missing: restricted access"))),AND(IF(metadata!J990="",FALSE,ISNUMBER(VALUE(metadata!J990))),metadata!J990&gt;0))</f>
        <v>0</v>
      </c>
      <c r="AM990" t="b">
        <f>AND(IF(metadata!K990="",FALSE,TRUE),EXACT(metadata!K990,"missing: not provided"))</f>
        <v>0</v>
      </c>
      <c r="AN990" t="b">
        <f>IF(metadata!L990="",FALSE,TRUE)</f>
        <v>0</v>
      </c>
      <c r="AO990" t="b">
        <f>IF(metadata!M990="",FALSE,TRUE)</f>
        <v>0</v>
      </c>
      <c r="AP990" t="b">
        <f>OR(AND(IF(metadata!N990="",FALSE,TRUE),OR(EXACT(metadata!N990,"not applicable"),EXACT(metadata!N990,"missing: not collected"),EXACT(metadata!N990,"missing: not provided"))),AND(IF(metadata!N990="",FALSE,IF(ISERROR(INT(metadata!N990)),FALSE,INT(metadata!N990)=metadata!N990)),metadata!N990&gt;0))</f>
        <v>0</v>
      </c>
      <c r="AQ990" t="b">
        <f>AND(IF(metadata!O990="",FALSE,TRUE),EXACT(metadata!O990,"Not applicable"))</f>
        <v>0</v>
      </c>
      <c r="AR990" t="b">
        <f>OR(AND(IF(metadata!P990="",FALSE,TRUE),OR(EXACT(metadata!P990,"not applicable"),EXACT(metadata!P990,"missing: not collected"),EXACT(metadata!P990,"missing: not provided"),EXACT(metadata!P990,"missing: restricted access"))),IF(metadata!P990="",FALSE,IF(ISERROR(INT(metadata!P990)),FALSE,INT(metadata!P990)=metadata!P990)))</f>
        <v>0</v>
      </c>
      <c r="AS990" t="b">
        <f>AND(IF(metadata!Q990="",FALSE,TRUE),EXACT(metadata!Q990,"Not applicable"))</f>
        <v>0</v>
      </c>
      <c r="AT990" t="b">
        <f>OR(AND(IF(metadata!R990="",FALSE,TRUE),OR(EXACT(metadata!R990,"not applicable"),EXACT(metadata!R990,"missing: not collected"),EXACT(metadata!R990,"missing: not provided"),EXACT(metadata!R990,"missing: restricted access"))),AND(IF(metadata!R990="",FALSE,ISNUMBER(VALUE(metadata!R990))),metadata!R990&gt;0))</f>
        <v>0</v>
      </c>
      <c r="AU990" t="b">
        <f>AND(IF(metadata!S990="",FALSE,TRUE),EXACT(metadata!S990,"missing: not provided"))</f>
        <v>0</v>
      </c>
    </row>
    <row r="991" spans="1:47" x14ac:dyDescent="0.2">
      <c r="A991" s="5" t="str">
        <f ca="1">IF(B991=" "," ",HYPERLINK(CONCATENATE("#metadata!",ADDRESS(INDEX($Y$2:$Y$1001,MATCH(ROWS($W$2:W991),$W$2:$W$1001,0),0),1)),INDEX($AB$2:$AB$1001,MATCH(ROWS($W$2:W991),$W$2:$W$1001,0),0)))</f>
        <v xml:space="preserve"> </v>
      </c>
      <c r="B991" s="4" t="str">
        <f ca="1">IF(OR(INDEX($X$2:$X$1001,MATCH(ROWS($W$2:W991),$W$2:$W$1001,0),1)&gt;=100000,INDEX($AD$1005:$AU$1005,1,MATCH(COLUMNS($AD$1006:AD1006),$AD$1006:$AU$1006,0))&gt;=100000), " ",IF(INDEX($AD$2:$AU$1001,MATCH(ROWS($W$2:W991),$W$2:$W$1001,0),MATCH(COLUMNS($AD$1006:AD1006),$AD$1006:$AU$1006,0)), HYPERLINK("#",""), HYPERLINK(CONCATENATE("#metadata!", ADDRESS(INDEX($Y$2:$Y$1001,MATCH(ROWS($W$2:W991),$W$2:$W$1001,0),0), INDEX($AD$1004:$AU$1004,1,MATCH(COLUMNS($AD$1006:AD1006),$AD$1006:$AU$1006,0)))),"Fix")))</f>
        <v xml:space="preserve"> </v>
      </c>
      <c r="C991" s="4" t="str">
        <f ca="1">IF(OR(INDEX($X$2:$X$1001,MATCH(ROWS($W$2:W991),$W$2:$W$1001,0),1)&gt;=100000,INDEX($AD$1005:$AU$1005,1,MATCH(COLUMNS($AD$1006:AE1006),$AD$1006:$AU$1006,0))&gt;=100000), " ",IF(INDEX($AD$2:$AU$1001,MATCH(ROWS($W$2:W991),$W$2:$W$1001,0),MATCH(COLUMNS($AD$1006:AE1006),$AD$1006:$AU$1006,0)), HYPERLINK("#",""), HYPERLINK(CONCATENATE("#metadata!", ADDRESS(INDEX($Y$2:$Y$1001,MATCH(ROWS($W$2:W991),$W$2:$W$1001,0),0), INDEX($AD$1004:$AU$1004,1,MATCH(COLUMNS($AD$1006:AE1006),$AD$1006:$AU$1006,0)))),"Fix")))</f>
        <v xml:space="preserve"> </v>
      </c>
      <c r="D991" s="4" t="str">
        <f ca="1">IF(OR(INDEX($X$2:$X$1001,MATCH(ROWS($W$2:W991),$W$2:$W$1001,0),1)&gt;=100000,INDEX($AD$1005:$AU$1005,1,MATCH(COLUMNS($AD$1006:AF1006),$AD$1006:$AU$1006,0))&gt;=100000), " ",IF(INDEX($AD$2:$AU$1001,MATCH(ROWS($W$2:W991),$W$2:$W$1001,0),MATCH(COLUMNS($AD$1006:AF1006),$AD$1006:$AU$1006,0)), HYPERLINK("#",""), HYPERLINK(CONCATENATE("#metadata!", ADDRESS(INDEX($Y$2:$Y$1001,MATCH(ROWS($W$2:W991),$W$2:$W$1001,0),0), INDEX($AD$1004:$AU$1004,1,MATCH(COLUMNS($AD$1006:AF1006),$AD$1006:$AU$1006,0)))),"Fix")))</f>
        <v xml:space="preserve"> </v>
      </c>
      <c r="E991" s="4" t="str">
        <f ca="1">IF(OR(INDEX($X$2:$X$1001,MATCH(ROWS($W$2:W991),$W$2:$W$1001,0),1)&gt;=100000,INDEX($AD$1005:$AU$1005,1,MATCH(COLUMNS($AD$1006:AG1006),$AD$1006:$AU$1006,0))&gt;=100000), " ",IF(INDEX($AD$2:$AU$1001,MATCH(ROWS($W$2:W991),$W$2:$W$1001,0),MATCH(COLUMNS($AD$1006:AG1006),$AD$1006:$AU$1006,0)), HYPERLINK("#",""), HYPERLINK(CONCATENATE("#metadata!", ADDRESS(INDEX($Y$2:$Y$1001,MATCH(ROWS($W$2:W991),$W$2:$W$1001,0),0), INDEX($AD$1004:$AU$1004,1,MATCH(COLUMNS($AD$1006:AG1006),$AD$1006:$AU$1006,0)))),"Fix")))</f>
        <v xml:space="preserve"> </v>
      </c>
      <c r="F991" s="4" t="str">
        <f ca="1">IF(OR(INDEX($X$2:$X$1001,MATCH(ROWS($W$2:W991),$W$2:$W$1001,0),1)&gt;=100000,INDEX($AD$1005:$AU$1005,1,MATCH(COLUMNS($AD$1006:AH1006),$AD$1006:$AU$1006,0))&gt;=100000), " ",IF(INDEX($AD$2:$AU$1001,MATCH(ROWS($W$2:W991),$W$2:$W$1001,0),MATCH(COLUMNS($AD$1006:AH1006),$AD$1006:$AU$1006,0)), HYPERLINK("#",""), HYPERLINK(CONCATENATE("#metadata!", ADDRESS(INDEX($Y$2:$Y$1001,MATCH(ROWS($W$2:W991),$W$2:$W$1001,0),0), INDEX($AD$1004:$AU$1004,1,MATCH(COLUMNS($AD$1006:AH1006),$AD$1006:$AU$1006,0)))),"Fix")))</f>
        <v xml:space="preserve"> </v>
      </c>
      <c r="G991" s="4" t="str">
        <f ca="1">IF(OR(INDEX($X$2:$X$1001,MATCH(ROWS($W$2:W991),$W$2:$W$1001,0),1)&gt;=100000,INDEX($AD$1005:$AU$1005,1,MATCH(COLUMNS($AD$1006:AI1006),$AD$1006:$AU$1006,0))&gt;=100000), " ",IF(INDEX($AD$2:$AU$1001,MATCH(ROWS($W$2:W991),$W$2:$W$1001,0),MATCH(COLUMNS($AD$1006:AI1006),$AD$1006:$AU$1006,0)), HYPERLINK("#",""), HYPERLINK(CONCATENATE("#metadata!", ADDRESS(INDEX($Y$2:$Y$1001,MATCH(ROWS($W$2:W991),$W$2:$W$1001,0),0), INDEX($AD$1004:$AU$1004,1,MATCH(COLUMNS($AD$1006:AI1006),$AD$1006:$AU$1006,0)))),"Fix")))</f>
        <v xml:space="preserve"> </v>
      </c>
      <c r="H991" s="4" t="str">
        <f ca="1">IF(OR(INDEX($X$2:$X$1001,MATCH(ROWS($W$2:W991),$W$2:$W$1001,0),1)&gt;=100000,INDEX($AD$1005:$AU$1005,1,MATCH(COLUMNS($AD$1006:AJ1006),$AD$1006:$AU$1006,0))&gt;=100000), " ",IF(INDEX($AD$2:$AU$1001,MATCH(ROWS($W$2:W991),$W$2:$W$1001,0),MATCH(COLUMNS($AD$1006:AJ1006),$AD$1006:$AU$1006,0)), HYPERLINK("#",""), HYPERLINK(CONCATENATE("#metadata!", ADDRESS(INDEX($Y$2:$Y$1001,MATCH(ROWS($W$2:W991),$W$2:$W$1001,0),0), INDEX($AD$1004:$AU$1004,1,MATCH(COLUMNS($AD$1006:AJ1006),$AD$1006:$AU$1006,0)))),"Fix")))</f>
        <v xml:space="preserve"> </v>
      </c>
      <c r="I991" s="4" t="str">
        <f ca="1">IF(OR(INDEX($X$2:$X$1001,MATCH(ROWS($W$2:W991),$W$2:$W$1001,0),1)&gt;=100000,INDEX($AD$1005:$AU$1005,1,MATCH(COLUMNS($AD$1006:AK1006),$AD$1006:$AU$1006,0))&gt;=100000), " ",IF(INDEX($AD$2:$AU$1001,MATCH(ROWS($W$2:W991),$W$2:$W$1001,0),MATCH(COLUMNS($AD$1006:AK1006),$AD$1006:$AU$1006,0)), HYPERLINK("#",""), HYPERLINK(CONCATENATE("#metadata!", ADDRESS(INDEX($Y$2:$Y$1001,MATCH(ROWS($W$2:W991),$W$2:$W$1001,0),0), INDEX($AD$1004:$AU$1004,1,MATCH(COLUMNS($AD$1006:AK1006),$AD$1006:$AU$1006,0)))),"Fix")))</f>
        <v xml:space="preserve"> </v>
      </c>
      <c r="J991" s="4" t="str">
        <f ca="1">IF(OR(INDEX($X$2:$X$1001,MATCH(ROWS($W$2:W991),$W$2:$W$1001,0),1)&gt;=100000,INDEX($AD$1005:$AU$1005,1,MATCH(COLUMNS($AD$1006:AL1006),$AD$1006:$AU$1006,0))&gt;=100000), " ",IF(INDEX($AD$2:$AU$1001,MATCH(ROWS($W$2:W991),$W$2:$W$1001,0),MATCH(COLUMNS($AD$1006:AL1006),$AD$1006:$AU$1006,0)), HYPERLINK("#",""), HYPERLINK(CONCATENATE("#metadata!", ADDRESS(INDEX($Y$2:$Y$1001,MATCH(ROWS($W$2:W991),$W$2:$W$1001,0),0), INDEX($AD$1004:$AU$1004,1,MATCH(COLUMNS($AD$1006:AL1006),$AD$1006:$AU$1006,0)))),"Fix")))</f>
        <v xml:space="preserve"> </v>
      </c>
      <c r="K991" s="4" t="str">
        <f ca="1">IF(OR(INDEX($X$2:$X$1001,MATCH(ROWS($W$2:W991),$W$2:$W$1001,0),1)&gt;=100000,INDEX($AD$1005:$AU$1005,1,MATCH(COLUMNS($AD$1006:AM1006),$AD$1006:$AU$1006,0))&gt;=100000), " ",IF(INDEX($AD$2:$AU$1001,MATCH(ROWS($W$2:W991),$W$2:$W$1001,0),MATCH(COLUMNS($AD$1006:AM1006),$AD$1006:$AU$1006,0)), HYPERLINK("#",""), HYPERLINK(CONCATENATE("#metadata!", ADDRESS(INDEX($Y$2:$Y$1001,MATCH(ROWS($W$2:W991),$W$2:$W$1001,0),0), INDEX($AD$1004:$AU$1004,1,MATCH(COLUMNS($AD$1006:AM1006),$AD$1006:$AU$1006,0)))),"Fix")))</f>
        <v xml:space="preserve"> </v>
      </c>
      <c r="L991" s="4" t="str">
        <f ca="1">IF(OR(INDEX($X$2:$X$1001,MATCH(ROWS($W$2:W991),$W$2:$W$1001,0),1)&gt;=100000,INDEX($AD$1005:$AU$1005,1,MATCH(COLUMNS($AD$1006:AN1006),$AD$1006:$AU$1006,0))&gt;=100000), " ",IF(INDEX($AD$2:$AU$1001,MATCH(ROWS($W$2:W991),$W$2:$W$1001,0),MATCH(COLUMNS($AD$1006:AN1006),$AD$1006:$AU$1006,0)), HYPERLINK("#",""), HYPERLINK(CONCATENATE("#metadata!", ADDRESS(INDEX($Y$2:$Y$1001,MATCH(ROWS($W$2:W991),$W$2:$W$1001,0),0), INDEX($AD$1004:$AU$1004,1,MATCH(COLUMNS($AD$1006:AN1006),$AD$1006:$AU$1006,0)))),"Fix")))</f>
        <v xml:space="preserve"> </v>
      </c>
      <c r="M991" s="4" t="str">
        <f ca="1">IF(OR(INDEX($X$2:$X$1001,MATCH(ROWS($W$2:W991),$W$2:$W$1001,0),1)&gt;=100000,INDEX($AD$1005:$AU$1005,1,MATCH(COLUMNS($AD$1006:AO1006),$AD$1006:$AU$1006,0))&gt;=100000), " ",IF(INDEX($AD$2:$AU$1001,MATCH(ROWS($W$2:W991),$W$2:$W$1001,0),MATCH(COLUMNS($AD$1006:AO1006),$AD$1006:$AU$1006,0)), HYPERLINK("#",""), HYPERLINK(CONCATENATE("#metadata!", ADDRESS(INDEX($Y$2:$Y$1001,MATCH(ROWS($W$2:W991),$W$2:$W$1001,0),0), INDEX($AD$1004:$AU$1004,1,MATCH(COLUMNS($AD$1006:AO1006),$AD$1006:$AU$1006,0)))),"Fix")))</f>
        <v xml:space="preserve"> </v>
      </c>
      <c r="N991" s="4" t="str">
        <f ca="1">IF(OR(INDEX($X$2:$X$1001,MATCH(ROWS($W$2:W991),$W$2:$W$1001,0),1)&gt;=100000,INDEX($AD$1005:$AU$1005,1,MATCH(COLUMNS($AD$1006:AP1006),$AD$1006:$AU$1006,0))&gt;=100000), " ",IF(INDEX($AD$2:$AU$1001,MATCH(ROWS($W$2:W991),$W$2:$W$1001,0),MATCH(COLUMNS($AD$1006:AP1006),$AD$1006:$AU$1006,0)), HYPERLINK("#",""), HYPERLINK(CONCATENATE("#metadata!", ADDRESS(INDEX($Y$2:$Y$1001,MATCH(ROWS($W$2:W991),$W$2:$W$1001,0),0), INDEX($AD$1004:$AU$1004,1,MATCH(COLUMNS($AD$1006:AP1006),$AD$1006:$AU$1006,0)))),"Fix")))</f>
        <v xml:space="preserve"> </v>
      </c>
      <c r="O991" s="4" t="str">
        <f ca="1">IF(OR(INDEX($X$2:$X$1001,MATCH(ROWS($W$2:W991),$W$2:$W$1001,0),1)&gt;=100000,INDEX($AD$1005:$AU$1005,1,MATCH(COLUMNS($AD$1006:AQ1006),$AD$1006:$AU$1006,0))&gt;=100000), " ",IF(INDEX($AD$2:$AU$1001,MATCH(ROWS($W$2:W991),$W$2:$W$1001,0),MATCH(COLUMNS($AD$1006:AQ1006),$AD$1006:$AU$1006,0)), HYPERLINK("#",""), HYPERLINK(CONCATENATE("#metadata!", ADDRESS(INDEX($Y$2:$Y$1001,MATCH(ROWS($W$2:W991),$W$2:$W$1001,0),0), INDEX($AD$1004:$AU$1004,1,MATCH(COLUMNS($AD$1006:AQ1006),$AD$1006:$AU$1006,0)))),"Fix")))</f>
        <v xml:space="preserve"> </v>
      </c>
      <c r="P991" s="4" t="str">
        <f ca="1">IF(OR(INDEX($X$2:$X$1001,MATCH(ROWS($W$2:W991),$W$2:$W$1001,0),1)&gt;=100000,INDEX($AD$1005:$AU$1005,1,MATCH(COLUMNS($AD$1006:AR1006),$AD$1006:$AU$1006,0))&gt;=100000), " ",IF(INDEX($AD$2:$AU$1001,MATCH(ROWS($W$2:W991),$W$2:$W$1001,0),MATCH(COLUMNS($AD$1006:AR1006),$AD$1006:$AU$1006,0)), HYPERLINK("#",""), HYPERLINK(CONCATENATE("#metadata!", ADDRESS(INDEX($Y$2:$Y$1001,MATCH(ROWS($W$2:W991),$W$2:$W$1001,0),0), INDEX($AD$1004:$AU$1004,1,MATCH(COLUMNS($AD$1006:AR1006),$AD$1006:$AU$1006,0)))),"Fix")))</f>
        <v xml:space="preserve"> </v>
      </c>
      <c r="Q991" s="4" t="str">
        <f ca="1">IF(OR(INDEX($X$2:$X$1001,MATCH(ROWS($W$2:W991),$W$2:$W$1001,0),1)&gt;=100000,INDEX($AD$1005:$AU$1005,1,MATCH(COLUMNS($AD$1006:AS1006),$AD$1006:$AU$1006,0))&gt;=100000), " ",IF(INDEX($AD$2:$AU$1001,MATCH(ROWS($W$2:W991),$W$2:$W$1001,0),MATCH(COLUMNS($AD$1006:AS1006),$AD$1006:$AU$1006,0)), HYPERLINK("#",""), HYPERLINK(CONCATENATE("#metadata!", ADDRESS(INDEX($Y$2:$Y$1001,MATCH(ROWS($W$2:W991),$W$2:$W$1001,0),0), INDEX($AD$1004:$AU$1004,1,MATCH(COLUMNS($AD$1006:AS1006),$AD$1006:$AU$1006,0)))),"Fix")))</f>
        <v xml:space="preserve"> </v>
      </c>
      <c r="R991" s="4" t="str">
        <f ca="1">IF(OR(INDEX($X$2:$X$1001,MATCH(ROWS($W$2:W991),$W$2:$W$1001,0),1)&gt;=100000,INDEX($AD$1005:$AU$1005,1,MATCH(COLUMNS($AD$1006:AT1006),$AD$1006:$AU$1006,0))&gt;=100000), " ",IF(INDEX($AD$2:$AU$1001,MATCH(ROWS($W$2:W991),$W$2:$W$1001,0),MATCH(COLUMNS($AD$1006:AT1006),$AD$1006:$AU$1006,0)), HYPERLINK("#",""), HYPERLINK(CONCATENATE("#metadata!", ADDRESS(INDEX($Y$2:$Y$1001,MATCH(ROWS($W$2:W991),$W$2:$W$1001,0),0), INDEX($AD$1004:$AU$1004,1,MATCH(COLUMNS($AD$1006:AT1006),$AD$1006:$AU$1006,0)))),"Fix")))</f>
        <v xml:space="preserve"> </v>
      </c>
      <c r="S991" s="4" t="str">
        <f ca="1">IF(OR(INDEX($X$2:$X$1001,MATCH(ROWS($W$2:W991),$W$2:$W$1001,0),1)&gt;=100000,INDEX($AD$1005:$AU$1005,1,MATCH(COLUMNS($AD$1006:AU1006),$AD$1006:$AU$1006,0))&gt;=100000), " ",IF(INDEX($AD$2:$AU$1001,MATCH(ROWS($W$2:W991),$W$2:$W$1001,0),MATCH(COLUMNS($AD$1006:AU1006),$AD$1006:$AU$1006,0)), HYPERLINK("#",""), HYPERLINK(CONCATENATE("#metadata!", ADDRESS(INDEX($Y$2:$Y$1001,MATCH(ROWS($W$2:W991),$W$2:$W$1001,0),0), INDEX($AD$1004:$AU$1004,1,MATCH(COLUMNS($AD$1006:AU1006),$AD$1006:$AU$1006,0)))),"Fix")))</f>
        <v xml:space="preserve"> </v>
      </c>
      <c r="W991">
        <v>990</v>
      </c>
      <c r="X991">
        <v>100991</v>
      </c>
      <c r="Y991">
        <v>991</v>
      </c>
      <c r="Z991" t="b">
        <f t="shared" si="15"/>
        <v>1</v>
      </c>
      <c r="AA991" t="b">
        <f>COUNTBLANK(metadata!B991:S991)=COLUMNS(metadata!B991:S991)</f>
        <v>1</v>
      </c>
      <c r="AB991" t="str">
        <v/>
      </c>
      <c r="AD991" t="b">
        <f ca="1">AND(IF(metadata!B991="",FALSE,TRUE),COUNTIF(metadata!B:B, metadata!B991) = 1,NOT(ISERROR(SUMPRODUCT(SEARCH(MID(metadata!B991,ROW(INDIRECT("1:"&amp;LEN(metadata!B991))), 1),"0123456789abcdefghijklmnopqrstuvwxyzABCDEFGHIJKLMNOPQRSTUVWXYZ.")))))</f>
        <v>0</v>
      </c>
      <c r="AE991" t="b">
        <f>OR(AND(IF(metadata!C991="",FALSE,TRUE),OR(EXACT(metadata!C991,"not applicable"),EXACT(metadata!C991,"missing: not collected"),EXACT(metadata!C991,"missing: not provided"),EXACT(metadata!C991,"missing: restricted access"))),AND(IF(metadata!C991="",FALSE,ISNUMBER(VALUE(metadata!C991))),metadata!C991&gt;0))</f>
        <v>0</v>
      </c>
      <c r="AF991" t="b">
        <f>AND(IF(metadata!D991="",FALSE,TRUE),EXACT(metadata!D991,"missing: not provided"))</f>
        <v>0</v>
      </c>
      <c r="AG991" t="b">
        <f>AND(IF(metadata!E991="",FALSE,TRUE),EXACT(metadata!E991,"Host-associated"))</f>
        <v>0</v>
      </c>
      <c r="AH991" t="b">
        <f>AND(IF(metadata!F991="",FALSE,TRUE),OR(EXACT(metadata!F991,"Animal"),EXACT(metadata!F991,"Fungus"),EXACT(metadata!F991,"Plant")))</f>
        <v>0</v>
      </c>
      <c r="AI991" t="b">
        <f>AND(IF(metadata!G991="",FALSE,TRUE),OR(EXACT(metadata!G991,"Plant secretion"),EXACT(metadata!G991,"Plant rhizosphere"),EXACT(metadata!G991,"Plant surface"),EXACT(metadata!G991,"Plant corpus"),EXACT(metadata!G991,"Fungus surface"),EXACT(metadata!G991,"Fungus corpus"),EXACT(metadata!G991,"Animal surface"),EXACT(metadata!G991,"Animal proximal gut"),EXACT(metadata!G991,"Animal corpus"),EXACT(metadata!G991,"Animal distal gut"),EXACT(metadata!G991,"Animal secretion")))</f>
        <v>0</v>
      </c>
      <c r="AJ991" t="b">
        <f>OR(AND(IF(metadata!H991="",FALSE,TRUE),OR(EXACT(metadata!H991,"missing: not collected"),EXACT(metadata!H991,"missing: not provided"),EXACT(metadata!H991,"missing: restricted access"))),AND(IF(metadata!H991="",FALSE,TRUE),OR(EXACT(metadata!H991,"organism-associated habitat"),EXACT(metadata!H991,"plant-associated habitat"),EXACT(metadata!H991,"animal-associated habitat"),EXACT(metadata!H991,"insecta-associated habitat"),EXACT(metadata!H991,"mammalia-associated habitat"),EXACT(metadata!H991,"human-associated habitat"),EXACT(metadata!H991,"livestock-associated habitat"))))</f>
        <v>0</v>
      </c>
      <c r="AK991" t="b">
        <f>AND(IF(metadata!I991="",FALSE,TRUE),EXACT(metadata!I991,"host-associated"))</f>
        <v>0</v>
      </c>
      <c r="AL991" t="b">
        <f>OR(AND(IF(metadata!J991="",FALSE,TRUE),OR(EXACT(metadata!J991,"not applicable"),EXACT(metadata!J991,"missing: not collected"),EXACT(metadata!J991,"missing: not provided"),EXACT(metadata!J991,"missing: restricted access"))),AND(IF(metadata!J991="",FALSE,ISNUMBER(VALUE(metadata!J991))),metadata!J991&gt;0))</f>
        <v>0</v>
      </c>
      <c r="AM991" t="b">
        <f>AND(IF(metadata!K991="",FALSE,TRUE),EXACT(metadata!K991,"missing: not provided"))</f>
        <v>0</v>
      </c>
      <c r="AN991" t="b">
        <f>IF(metadata!L991="",FALSE,TRUE)</f>
        <v>0</v>
      </c>
      <c r="AO991" t="b">
        <f>IF(metadata!M991="",FALSE,TRUE)</f>
        <v>0</v>
      </c>
      <c r="AP991" t="b">
        <f>OR(AND(IF(metadata!N991="",FALSE,TRUE),OR(EXACT(metadata!N991,"not applicable"),EXACT(metadata!N991,"missing: not collected"),EXACT(metadata!N991,"missing: not provided"))),AND(IF(metadata!N991="",FALSE,IF(ISERROR(INT(metadata!N991)),FALSE,INT(metadata!N991)=metadata!N991)),metadata!N991&gt;0))</f>
        <v>0</v>
      </c>
      <c r="AQ991" t="b">
        <f>AND(IF(metadata!O991="",FALSE,TRUE),EXACT(metadata!O991,"Not applicable"))</f>
        <v>0</v>
      </c>
      <c r="AR991" t="b">
        <f>OR(AND(IF(metadata!P991="",FALSE,TRUE),OR(EXACT(metadata!P991,"not applicable"),EXACT(metadata!P991,"missing: not collected"),EXACT(metadata!P991,"missing: not provided"),EXACT(metadata!P991,"missing: restricted access"))),IF(metadata!P991="",FALSE,IF(ISERROR(INT(metadata!P991)),FALSE,INT(metadata!P991)=metadata!P991)))</f>
        <v>0</v>
      </c>
      <c r="AS991" t="b">
        <f>AND(IF(metadata!Q991="",FALSE,TRUE),EXACT(metadata!Q991,"Not applicable"))</f>
        <v>0</v>
      </c>
      <c r="AT991" t="b">
        <f>OR(AND(IF(metadata!R991="",FALSE,TRUE),OR(EXACT(metadata!R991,"not applicable"),EXACT(metadata!R991,"missing: not collected"),EXACT(metadata!R991,"missing: not provided"),EXACT(metadata!R991,"missing: restricted access"))),AND(IF(metadata!R991="",FALSE,ISNUMBER(VALUE(metadata!R991))),metadata!R991&gt;0))</f>
        <v>0</v>
      </c>
      <c r="AU991" t="b">
        <f>AND(IF(metadata!S991="",FALSE,TRUE),EXACT(metadata!S991,"missing: not provided"))</f>
        <v>0</v>
      </c>
    </row>
    <row r="992" spans="1:47" x14ac:dyDescent="0.2">
      <c r="A992" s="5" t="str">
        <f ca="1">IF(B992=" "," ",HYPERLINK(CONCATENATE("#metadata!",ADDRESS(INDEX($Y$2:$Y$1001,MATCH(ROWS($W$2:W992),$W$2:$W$1001,0),0),1)),INDEX($AB$2:$AB$1001,MATCH(ROWS($W$2:W992),$W$2:$W$1001,0),0)))</f>
        <v xml:space="preserve"> </v>
      </c>
      <c r="B992" s="4" t="str">
        <f ca="1">IF(OR(INDEX($X$2:$X$1001,MATCH(ROWS($W$2:W992),$W$2:$W$1001,0),1)&gt;=100000,INDEX($AD$1005:$AU$1005,1,MATCH(COLUMNS($AD$1006:AD1006),$AD$1006:$AU$1006,0))&gt;=100000), " ",IF(INDEX($AD$2:$AU$1001,MATCH(ROWS($W$2:W992),$W$2:$W$1001,0),MATCH(COLUMNS($AD$1006:AD1006),$AD$1006:$AU$1006,0)), HYPERLINK("#",""), HYPERLINK(CONCATENATE("#metadata!", ADDRESS(INDEX($Y$2:$Y$1001,MATCH(ROWS($W$2:W992),$W$2:$W$1001,0),0), INDEX($AD$1004:$AU$1004,1,MATCH(COLUMNS($AD$1006:AD1006),$AD$1006:$AU$1006,0)))),"Fix")))</f>
        <v xml:space="preserve"> </v>
      </c>
      <c r="C992" s="4" t="str">
        <f ca="1">IF(OR(INDEX($X$2:$X$1001,MATCH(ROWS($W$2:W992),$W$2:$W$1001,0),1)&gt;=100000,INDEX($AD$1005:$AU$1005,1,MATCH(COLUMNS($AD$1006:AE1006),$AD$1006:$AU$1006,0))&gt;=100000), " ",IF(INDEX($AD$2:$AU$1001,MATCH(ROWS($W$2:W992),$W$2:$W$1001,0),MATCH(COLUMNS($AD$1006:AE1006),$AD$1006:$AU$1006,0)), HYPERLINK("#",""), HYPERLINK(CONCATENATE("#metadata!", ADDRESS(INDEX($Y$2:$Y$1001,MATCH(ROWS($W$2:W992),$W$2:$W$1001,0),0), INDEX($AD$1004:$AU$1004,1,MATCH(COLUMNS($AD$1006:AE1006),$AD$1006:$AU$1006,0)))),"Fix")))</f>
        <v xml:space="preserve"> </v>
      </c>
      <c r="D992" s="4" t="str">
        <f ca="1">IF(OR(INDEX($X$2:$X$1001,MATCH(ROWS($W$2:W992),$W$2:$W$1001,0),1)&gt;=100000,INDEX($AD$1005:$AU$1005,1,MATCH(COLUMNS($AD$1006:AF1006),$AD$1006:$AU$1006,0))&gt;=100000), " ",IF(INDEX($AD$2:$AU$1001,MATCH(ROWS($W$2:W992),$W$2:$W$1001,0),MATCH(COLUMNS($AD$1006:AF1006),$AD$1006:$AU$1006,0)), HYPERLINK("#",""), HYPERLINK(CONCATENATE("#metadata!", ADDRESS(INDEX($Y$2:$Y$1001,MATCH(ROWS($W$2:W992),$W$2:$W$1001,0),0), INDEX($AD$1004:$AU$1004,1,MATCH(COLUMNS($AD$1006:AF1006),$AD$1006:$AU$1006,0)))),"Fix")))</f>
        <v xml:space="preserve"> </v>
      </c>
      <c r="E992" s="4" t="str">
        <f ca="1">IF(OR(INDEX($X$2:$X$1001,MATCH(ROWS($W$2:W992),$W$2:$W$1001,0),1)&gt;=100000,INDEX($AD$1005:$AU$1005,1,MATCH(COLUMNS($AD$1006:AG1006),$AD$1006:$AU$1006,0))&gt;=100000), " ",IF(INDEX($AD$2:$AU$1001,MATCH(ROWS($W$2:W992),$W$2:$W$1001,0),MATCH(COLUMNS($AD$1006:AG1006),$AD$1006:$AU$1006,0)), HYPERLINK("#",""), HYPERLINK(CONCATENATE("#metadata!", ADDRESS(INDEX($Y$2:$Y$1001,MATCH(ROWS($W$2:W992),$W$2:$W$1001,0),0), INDEX($AD$1004:$AU$1004,1,MATCH(COLUMNS($AD$1006:AG1006),$AD$1006:$AU$1006,0)))),"Fix")))</f>
        <v xml:space="preserve"> </v>
      </c>
      <c r="F992" s="4" t="str">
        <f ca="1">IF(OR(INDEX($X$2:$X$1001,MATCH(ROWS($W$2:W992),$W$2:$W$1001,0),1)&gt;=100000,INDEX($AD$1005:$AU$1005,1,MATCH(COLUMNS($AD$1006:AH1006),$AD$1006:$AU$1006,0))&gt;=100000), " ",IF(INDEX($AD$2:$AU$1001,MATCH(ROWS($W$2:W992),$W$2:$W$1001,0),MATCH(COLUMNS($AD$1006:AH1006),$AD$1006:$AU$1006,0)), HYPERLINK("#",""), HYPERLINK(CONCATENATE("#metadata!", ADDRESS(INDEX($Y$2:$Y$1001,MATCH(ROWS($W$2:W992),$W$2:$W$1001,0),0), INDEX($AD$1004:$AU$1004,1,MATCH(COLUMNS($AD$1006:AH1006),$AD$1006:$AU$1006,0)))),"Fix")))</f>
        <v xml:space="preserve"> </v>
      </c>
      <c r="G992" s="4" t="str">
        <f ca="1">IF(OR(INDEX($X$2:$X$1001,MATCH(ROWS($W$2:W992),$W$2:$W$1001,0),1)&gt;=100000,INDEX($AD$1005:$AU$1005,1,MATCH(COLUMNS($AD$1006:AI1006),$AD$1006:$AU$1006,0))&gt;=100000), " ",IF(INDEX($AD$2:$AU$1001,MATCH(ROWS($W$2:W992),$W$2:$W$1001,0),MATCH(COLUMNS($AD$1006:AI1006),$AD$1006:$AU$1006,0)), HYPERLINK("#",""), HYPERLINK(CONCATENATE("#metadata!", ADDRESS(INDEX($Y$2:$Y$1001,MATCH(ROWS($W$2:W992),$W$2:$W$1001,0),0), INDEX($AD$1004:$AU$1004,1,MATCH(COLUMNS($AD$1006:AI1006),$AD$1006:$AU$1006,0)))),"Fix")))</f>
        <v xml:space="preserve"> </v>
      </c>
      <c r="H992" s="4" t="str">
        <f ca="1">IF(OR(INDEX($X$2:$X$1001,MATCH(ROWS($W$2:W992),$W$2:$W$1001,0),1)&gt;=100000,INDEX($AD$1005:$AU$1005,1,MATCH(COLUMNS($AD$1006:AJ1006),$AD$1006:$AU$1006,0))&gt;=100000), " ",IF(INDEX($AD$2:$AU$1001,MATCH(ROWS($W$2:W992),$W$2:$W$1001,0),MATCH(COLUMNS($AD$1006:AJ1006),$AD$1006:$AU$1006,0)), HYPERLINK("#",""), HYPERLINK(CONCATENATE("#metadata!", ADDRESS(INDEX($Y$2:$Y$1001,MATCH(ROWS($W$2:W992),$W$2:$W$1001,0),0), INDEX($AD$1004:$AU$1004,1,MATCH(COLUMNS($AD$1006:AJ1006),$AD$1006:$AU$1006,0)))),"Fix")))</f>
        <v xml:space="preserve"> </v>
      </c>
      <c r="I992" s="4" t="str">
        <f ca="1">IF(OR(INDEX($X$2:$X$1001,MATCH(ROWS($W$2:W992),$W$2:$W$1001,0),1)&gt;=100000,INDEX($AD$1005:$AU$1005,1,MATCH(COLUMNS($AD$1006:AK1006),$AD$1006:$AU$1006,0))&gt;=100000), " ",IF(INDEX($AD$2:$AU$1001,MATCH(ROWS($W$2:W992),$W$2:$W$1001,0),MATCH(COLUMNS($AD$1006:AK1006),$AD$1006:$AU$1006,0)), HYPERLINK("#",""), HYPERLINK(CONCATENATE("#metadata!", ADDRESS(INDEX($Y$2:$Y$1001,MATCH(ROWS($W$2:W992),$W$2:$W$1001,0),0), INDEX($AD$1004:$AU$1004,1,MATCH(COLUMNS($AD$1006:AK1006),$AD$1006:$AU$1006,0)))),"Fix")))</f>
        <v xml:space="preserve"> </v>
      </c>
      <c r="J992" s="4" t="str">
        <f ca="1">IF(OR(INDEX($X$2:$X$1001,MATCH(ROWS($W$2:W992),$W$2:$W$1001,0),1)&gt;=100000,INDEX($AD$1005:$AU$1005,1,MATCH(COLUMNS($AD$1006:AL1006),$AD$1006:$AU$1006,0))&gt;=100000), " ",IF(INDEX($AD$2:$AU$1001,MATCH(ROWS($W$2:W992),$W$2:$W$1001,0),MATCH(COLUMNS($AD$1006:AL1006),$AD$1006:$AU$1006,0)), HYPERLINK("#",""), HYPERLINK(CONCATENATE("#metadata!", ADDRESS(INDEX($Y$2:$Y$1001,MATCH(ROWS($W$2:W992),$W$2:$W$1001,0),0), INDEX($AD$1004:$AU$1004,1,MATCH(COLUMNS($AD$1006:AL1006),$AD$1006:$AU$1006,0)))),"Fix")))</f>
        <v xml:space="preserve"> </v>
      </c>
      <c r="K992" s="4" t="str">
        <f ca="1">IF(OR(INDEX($X$2:$X$1001,MATCH(ROWS($W$2:W992),$W$2:$W$1001,0),1)&gt;=100000,INDEX($AD$1005:$AU$1005,1,MATCH(COLUMNS($AD$1006:AM1006),$AD$1006:$AU$1006,0))&gt;=100000), " ",IF(INDEX($AD$2:$AU$1001,MATCH(ROWS($W$2:W992),$W$2:$W$1001,0),MATCH(COLUMNS($AD$1006:AM1006),$AD$1006:$AU$1006,0)), HYPERLINK("#",""), HYPERLINK(CONCATENATE("#metadata!", ADDRESS(INDEX($Y$2:$Y$1001,MATCH(ROWS($W$2:W992),$W$2:$W$1001,0),0), INDEX($AD$1004:$AU$1004,1,MATCH(COLUMNS($AD$1006:AM1006),$AD$1006:$AU$1006,0)))),"Fix")))</f>
        <v xml:space="preserve"> </v>
      </c>
      <c r="L992" s="4" t="str">
        <f ca="1">IF(OR(INDEX($X$2:$X$1001,MATCH(ROWS($W$2:W992),$W$2:$W$1001,0),1)&gt;=100000,INDEX($AD$1005:$AU$1005,1,MATCH(COLUMNS($AD$1006:AN1006),$AD$1006:$AU$1006,0))&gt;=100000), " ",IF(INDEX($AD$2:$AU$1001,MATCH(ROWS($W$2:W992),$W$2:$W$1001,0),MATCH(COLUMNS($AD$1006:AN1006),$AD$1006:$AU$1006,0)), HYPERLINK("#",""), HYPERLINK(CONCATENATE("#metadata!", ADDRESS(INDEX($Y$2:$Y$1001,MATCH(ROWS($W$2:W992),$W$2:$W$1001,0),0), INDEX($AD$1004:$AU$1004,1,MATCH(COLUMNS($AD$1006:AN1006),$AD$1006:$AU$1006,0)))),"Fix")))</f>
        <v xml:space="preserve"> </v>
      </c>
      <c r="M992" s="4" t="str">
        <f ca="1">IF(OR(INDEX($X$2:$X$1001,MATCH(ROWS($W$2:W992),$W$2:$W$1001,0),1)&gt;=100000,INDEX($AD$1005:$AU$1005,1,MATCH(COLUMNS($AD$1006:AO1006),$AD$1006:$AU$1006,0))&gt;=100000), " ",IF(INDEX($AD$2:$AU$1001,MATCH(ROWS($W$2:W992),$W$2:$W$1001,0),MATCH(COLUMNS($AD$1006:AO1006),$AD$1006:$AU$1006,0)), HYPERLINK("#",""), HYPERLINK(CONCATENATE("#metadata!", ADDRESS(INDEX($Y$2:$Y$1001,MATCH(ROWS($W$2:W992),$W$2:$W$1001,0),0), INDEX($AD$1004:$AU$1004,1,MATCH(COLUMNS($AD$1006:AO1006),$AD$1006:$AU$1006,0)))),"Fix")))</f>
        <v xml:space="preserve"> </v>
      </c>
      <c r="N992" s="4" t="str">
        <f ca="1">IF(OR(INDEX($X$2:$X$1001,MATCH(ROWS($W$2:W992),$W$2:$W$1001,0),1)&gt;=100000,INDEX($AD$1005:$AU$1005,1,MATCH(COLUMNS($AD$1006:AP1006),$AD$1006:$AU$1006,0))&gt;=100000), " ",IF(INDEX($AD$2:$AU$1001,MATCH(ROWS($W$2:W992),$W$2:$W$1001,0),MATCH(COLUMNS($AD$1006:AP1006),$AD$1006:$AU$1006,0)), HYPERLINK("#",""), HYPERLINK(CONCATENATE("#metadata!", ADDRESS(INDEX($Y$2:$Y$1001,MATCH(ROWS($W$2:W992),$W$2:$W$1001,0),0), INDEX($AD$1004:$AU$1004,1,MATCH(COLUMNS($AD$1006:AP1006),$AD$1006:$AU$1006,0)))),"Fix")))</f>
        <v xml:space="preserve"> </v>
      </c>
      <c r="O992" s="4" t="str">
        <f ca="1">IF(OR(INDEX($X$2:$X$1001,MATCH(ROWS($W$2:W992),$W$2:$W$1001,0),1)&gt;=100000,INDEX($AD$1005:$AU$1005,1,MATCH(COLUMNS($AD$1006:AQ1006),$AD$1006:$AU$1006,0))&gt;=100000), " ",IF(INDEX($AD$2:$AU$1001,MATCH(ROWS($W$2:W992),$W$2:$W$1001,0),MATCH(COLUMNS($AD$1006:AQ1006),$AD$1006:$AU$1006,0)), HYPERLINK("#",""), HYPERLINK(CONCATENATE("#metadata!", ADDRESS(INDEX($Y$2:$Y$1001,MATCH(ROWS($W$2:W992),$W$2:$W$1001,0),0), INDEX($AD$1004:$AU$1004,1,MATCH(COLUMNS($AD$1006:AQ1006),$AD$1006:$AU$1006,0)))),"Fix")))</f>
        <v xml:space="preserve"> </v>
      </c>
      <c r="P992" s="4" t="str">
        <f ca="1">IF(OR(INDEX($X$2:$X$1001,MATCH(ROWS($W$2:W992),$W$2:$W$1001,0),1)&gt;=100000,INDEX($AD$1005:$AU$1005,1,MATCH(COLUMNS($AD$1006:AR1006),$AD$1006:$AU$1006,0))&gt;=100000), " ",IF(INDEX($AD$2:$AU$1001,MATCH(ROWS($W$2:W992),$W$2:$W$1001,0),MATCH(COLUMNS($AD$1006:AR1006),$AD$1006:$AU$1006,0)), HYPERLINK("#",""), HYPERLINK(CONCATENATE("#metadata!", ADDRESS(INDEX($Y$2:$Y$1001,MATCH(ROWS($W$2:W992),$W$2:$W$1001,0),0), INDEX($AD$1004:$AU$1004,1,MATCH(COLUMNS($AD$1006:AR1006),$AD$1006:$AU$1006,0)))),"Fix")))</f>
        <v xml:space="preserve"> </v>
      </c>
      <c r="Q992" s="4" t="str">
        <f ca="1">IF(OR(INDEX($X$2:$X$1001,MATCH(ROWS($W$2:W992),$W$2:$W$1001,0),1)&gt;=100000,INDEX($AD$1005:$AU$1005,1,MATCH(COLUMNS($AD$1006:AS1006),$AD$1006:$AU$1006,0))&gt;=100000), " ",IF(INDEX($AD$2:$AU$1001,MATCH(ROWS($W$2:W992),$W$2:$W$1001,0),MATCH(COLUMNS($AD$1006:AS1006),$AD$1006:$AU$1006,0)), HYPERLINK("#",""), HYPERLINK(CONCATENATE("#metadata!", ADDRESS(INDEX($Y$2:$Y$1001,MATCH(ROWS($W$2:W992),$W$2:$W$1001,0),0), INDEX($AD$1004:$AU$1004,1,MATCH(COLUMNS($AD$1006:AS1006),$AD$1006:$AU$1006,0)))),"Fix")))</f>
        <v xml:space="preserve"> </v>
      </c>
      <c r="R992" s="4" t="str">
        <f ca="1">IF(OR(INDEX($X$2:$X$1001,MATCH(ROWS($W$2:W992),$W$2:$W$1001,0),1)&gt;=100000,INDEX($AD$1005:$AU$1005,1,MATCH(COLUMNS($AD$1006:AT1006),$AD$1006:$AU$1006,0))&gt;=100000), " ",IF(INDEX($AD$2:$AU$1001,MATCH(ROWS($W$2:W992),$W$2:$W$1001,0),MATCH(COLUMNS($AD$1006:AT1006),$AD$1006:$AU$1006,0)), HYPERLINK("#",""), HYPERLINK(CONCATENATE("#metadata!", ADDRESS(INDEX($Y$2:$Y$1001,MATCH(ROWS($W$2:W992),$W$2:$W$1001,0),0), INDEX($AD$1004:$AU$1004,1,MATCH(COLUMNS($AD$1006:AT1006),$AD$1006:$AU$1006,0)))),"Fix")))</f>
        <v xml:space="preserve"> </v>
      </c>
      <c r="S992" s="4" t="str">
        <f ca="1">IF(OR(INDEX($X$2:$X$1001,MATCH(ROWS($W$2:W992),$W$2:$W$1001,0),1)&gt;=100000,INDEX($AD$1005:$AU$1005,1,MATCH(COLUMNS($AD$1006:AU1006),$AD$1006:$AU$1006,0))&gt;=100000), " ",IF(INDEX($AD$2:$AU$1001,MATCH(ROWS($W$2:W992),$W$2:$W$1001,0),MATCH(COLUMNS($AD$1006:AU1006),$AD$1006:$AU$1006,0)), HYPERLINK("#",""), HYPERLINK(CONCATENATE("#metadata!", ADDRESS(INDEX($Y$2:$Y$1001,MATCH(ROWS($W$2:W992),$W$2:$W$1001,0),0), INDEX($AD$1004:$AU$1004,1,MATCH(COLUMNS($AD$1006:AU1006),$AD$1006:$AU$1006,0)))),"Fix")))</f>
        <v xml:space="preserve"> </v>
      </c>
      <c r="W992">
        <v>991</v>
      </c>
      <c r="X992">
        <v>100992</v>
      </c>
      <c r="Y992">
        <v>992</v>
      </c>
      <c r="Z992" t="b">
        <f t="shared" si="15"/>
        <v>1</v>
      </c>
      <c r="AA992" t="b">
        <f>COUNTBLANK(metadata!B992:S992)=COLUMNS(metadata!B992:S992)</f>
        <v>1</v>
      </c>
      <c r="AB992" t="str">
        <v/>
      </c>
      <c r="AD992" t="b">
        <f ca="1">AND(IF(metadata!B992="",FALSE,TRUE),COUNTIF(metadata!B:B, metadata!B992) = 1,NOT(ISERROR(SUMPRODUCT(SEARCH(MID(metadata!B992,ROW(INDIRECT("1:"&amp;LEN(metadata!B992))), 1),"0123456789abcdefghijklmnopqrstuvwxyzABCDEFGHIJKLMNOPQRSTUVWXYZ.")))))</f>
        <v>0</v>
      </c>
      <c r="AE992" t="b">
        <f>OR(AND(IF(metadata!C992="",FALSE,TRUE),OR(EXACT(metadata!C992,"not applicable"),EXACT(metadata!C992,"missing: not collected"),EXACT(metadata!C992,"missing: not provided"),EXACT(metadata!C992,"missing: restricted access"))),AND(IF(metadata!C992="",FALSE,ISNUMBER(VALUE(metadata!C992))),metadata!C992&gt;0))</f>
        <v>0</v>
      </c>
      <c r="AF992" t="b">
        <f>AND(IF(metadata!D992="",FALSE,TRUE),EXACT(metadata!D992,"missing: not provided"))</f>
        <v>0</v>
      </c>
      <c r="AG992" t="b">
        <f>AND(IF(metadata!E992="",FALSE,TRUE),EXACT(metadata!E992,"Host-associated"))</f>
        <v>0</v>
      </c>
      <c r="AH992" t="b">
        <f>AND(IF(metadata!F992="",FALSE,TRUE),OR(EXACT(metadata!F992,"Animal"),EXACT(metadata!F992,"Fungus"),EXACT(metadata!F992,"Plant")))</f>
        <v>0</v>
      </c>
      <c r="AI992" t="b">
        <f>AND(IF(metadata!G992="",FALSE,TRUE),OR(EXACT(metadata!G992,"Plant secretion"),EXACT(metadata!G992,"Plant rhizosphere"),EXACT(metadata!G992,"Plant surface"),EXACT(metadata!G992,"Plant corpus"),EXACT(metadata!G992,"Fungus surface"),EXACT(metadata!G992,"Fungus corpus"),EXACT(metadata!G992,"Animal surface"),EXACT(metadata!G992,"Animal proximal gut"),EXACT(metadata!G992,"Animal corpus"),EXACT(metadata!G992,"Animal distal gut"),EXACT(metadata!G992,"Animal secretion")))</f>
        <v>0</v>
      </c>
      <c r="AJ992" t="b">
        <f>OR(AND(IF(metadata!H992="",FALSE,TRUE),OR(EXACT(metadata!H992,"missing: not collected"),EXACT(metadata!H992,"missing: not provided"),EXACT(metadata!H992,"missing: restricted access"))),AND(IF(metadata!H992="",FALSE,TRUE),OR(EXACT(metadata!H992,"organism-associated habitat"),EXACT(metadata!H992,"plant-associated habitat"),EXACT(metadata!H992,"animal-associated habitat"),EXACT(metadata!H992,"insecta-associated habitat"),EXACT(metadata!H992,"mammalia-associated habitat"),EXACT(metadata!H992,"human-associated habitat"),EXACT(metadata!H992,"livestock-associated habitat"))))</f>
        <v>0</v>
      </c>
      <c r="AK992" t="b">
        <f>AND(IF(metadata!I992="",FALSE,TRUE),EXACT(metadata!I992,"host-associated"))</f>
        <v>0</v>
      </c>
      <c r="AL992" t="b">
        <f>OR(AND(IF(metadata!J992="",FALSE,TRUE),OR(EXACT(metadata!J992,"not applicable"),EXACT(metadata!J992,"missing: not collected"),EXACT(metadata!J992,"missing: not provided"),EXACT(metadata!J992,"missing: restricted access"))),AND(IF(metadata!J992="",FALSE,ISNUMBER(VALUE(metadata!J992))),metadata!J992&gt;0))</f>
        <v>0</v>
      </c>
      <c r="AM992" t="b">
        <f>AND(IF(metadata!K992="",FALSE,TRUE),EXACT(metadata!K992,"missing: not provided"))</f>
        <v>0</v>
      </c>
      <c r="AN992" t="b">
        <f>IF(metadata!L992="",FALSE,TRUE)</f>
        <v>0</v>
      </c>
      <c r="AO992" t="b">
        <f>IF(metadata!M992="",FALSE,TRUE)</f>
        <v>0</v>
      </c>
      <c r="AP992" t="b">
        <f>OR(AND(IF(metadata!N992="",FALSE,TRUE),OR(EXACT(metadata!N992,"not applicable"),EXACT(metadata!N992,"missing: not collected"),EXACT(metadata!N992,"missing: not provided"))),AND(IF(metadata!N992="",FALSE,IF(ISERROR(INT(metadata!N992)),FALSE,INT(metadata!N992)=metadata!N992)),metadata!N992&gt;0))</f>
        <v>0</v>
      </c>
      <c r="AQ992" t="b">
        <f>AND(IF(metadata!O992="",FALSE,TRUE),EXACT(metadata!O992,"Not applicable"))</f>
        <v>0</v>
      </c>
      <c r="AR992" t="b">
        <f>OR(AND(IF(metadata!P992="",FALSE,TRUE),OR(EXACT(metadata!P992,"not applicable"),EXACT(metadata!P992,"missing: not collected"),EXACT(metadata!P992,"missing: not provided"),EXACT(metadata!P992,"missing: restricted access"))),IF(metadata!P992="",FALSE,IF(ISERROR(INT(metadata!P992)),FALSE,INT(metadata!P992)=metadata!P992)))</f>
        <v>0</v>
      </c>
      <c r="AS992" t="b">
        <f>AND(IF(metadata!Q992="",FALSE,TRUE),EXACT(metadata!Q992,"Not applicable"))</f>
        <v>0</v>
      </c>
      <c r="AT992" t="b">
        <f>OR(AND(IF(metadata!R992="",FALSE,TRUE),OR(EXACT(metadata!R992,"not applicable"),EXACT(metadata!R992,"missing: not collected"),EXACT(metadata!R992,"missing: not provided"),EXACT(metadata!R992,"missing: restricted access"))),AND(IF(metadata!R992="",FALSE,ISNUMBER(VALUE(metadata!R992))),metadata!R992&gt;0))</f>
        <v>0</v>
      </c>
      <c r="AU992" t="b">
        <f>AND(IF(metadata!S992="",FALSE,TRUE),EXACT(metadata!S992,"missing: not provided"))</f>
        <v>0</v>
      </c>
    </row>
    <row r="993" spans="1:47" x14ac:dyDescent="0.2">
      <c r="A993" s="5" t="str">
        <f ca="1">IF(B993=" "," ",HYPERLINK(CONCATENATE("#metadata!",ADDRESS(INDEX($Y$2:$Y$1001,MATCH(ROWS($W$2:W993),$W$2:$W$1001,0),0),1)),INDEX($AB$2:$AB$1001,MATCH(ROWS($W$2:W993),$W$2:$W$1001,0),0)))</f>
        <v xml:space="preserve"> </v>
      </c>
      <c r="B993" s="4" t="str">
        <f ca="1">IF(OR(INDEX($X$2:$X$1001,MATCH(ROWS($W$2:W993),$W$2:$W$1001,0),1)&gt;=100000,INDEX($AD$1005:$AU$1005,1,MATCH(COLUMNS($AD$1006:AD1006),$AD$1006:$AU$1006,0))&gt;=100000), " ",IF(INDEX($AD$2:$AU$1001,MATCH(ROWS($W$2:W993),$W$2:$W$1001,0),MATCH(COLUMNS($AD$1006:AD1006),$AD$1006:$AU$1006,0)), HYPERLINK("#",""), HYPERLINK(CONCATENATE("#metadata!", ADDRESS(INDEX($Y$2:$Y$1001,MATCH(ROWS($W$2:W993),$W$2:$W$1001,0),0), INDEX($AD$1004:$AU$1004,1,MATCH(COLUMNS($AD$1006:AD1006),$AD$1006:$AU$1006,0)))),"Fix")))</f>
        <v xml:space="preserve"> </v>
      </c>
      <c r="C993" s="4" t="str">
        <f ca="1">IF(OR(INDEX($X$2:$X$1001,MATCH(ROWS($W$2:W993),$W$2:$W$1001,0),1)&gt;=100000,INDEX($AD$1005:$AU$1005,1,MATCH(COLUMNS($AD$1006:AE1006),$AD$1006:$AU$1006,0))&gt;=100000), " ",IF(INDEX($AD$2:$AU$1001,MATCH(ROWS($W$2:W993),$W$2:$W$1001,0),MATCH(COLUMNS($AD$1006:AE1006),$AD$1006:$AU$1006,0)), HYPERLINK("#",""), HYPERLINK(CONCATENATE("#metadata!", ADDRESS(INDEX($Y$2:$Y$1001,MATCH(ROWS($W$2:W993),$W$2:$W$1001,0),0), INDEX($AD$1004:$AU$1004,1,MATCH(COLUMNS($AD$1006:AE1006),$AD$1006:$AU$1006,0)))),"Fix")))</f>
        <v xml:space="preserve"> </v>
      </c>
      <c r="D993" s="4" t="str">
        <f ca="1">IF(OR(INDEX($X$2:$X$1001,MATCH(ROWS($W$2:W993),$W$2:$W$1001,0),1)&gt;=100000,INDEX($AD$1005:$AU$1005,1,MATCH(COLUMNS($AD$1006:AF1006),$AD$1006:$AU$1006,0))&gt;=100000), " ",IF(INDEX($AD$2:$AU$1001,MATCH(ROWS($W$2:W993),$W$2:$W$1001,0),MATCH(COLUMNS($AD$1006:AF1006),$AD$1006:$AU$1006,0)), HYPERLINK("#",""), HYPERLINK(CONCATENATE("#metadata!", ADDRESS(INDEX($Y$2:$Y$1001,MATCH(ROWS($W$2:W993),$W$2:$W$1001,0),0), INDEX($AD$1004:$AU$1004,1,MATCH(COLUMNS($AD$1006:AF1006),$AD$1006:$AU$1006,0)))),"Fix")))</f>
        <v xml:space="preserve"> </v>
      </c>
      <c r="E993" s="4" t="str">
        <f ca="1">IF(OR(INDEX($X$2:$X$1001,MATCH(ROWS($W$2:W993),$W$2:$W$1001,0),1)&gt;=100000,INDEX($AD$1005:$AU$1005,1,MATCH(COLUMNS($AD$1006:AG1006),$AD$1006:$AU$1006,0))&gt;=100000), " ",IF(INDEX($AD$2:$AU$1001,MATCH(ROWS($W$2:W993),$W$2:$W$1001,0),MATCH(COLUMNS($AD$1006:AG1006),$AD$1006:$AU$1006,0)), HYPERLINK("#",""), HYPERLINK(CONCATENATE("#metadata!", ADDRESS(INDEX($Y$2:$Y$1001,MATCH(ROWS($W$2:W993),$W$2:$W$1001,0),0), INDEX($AD$1004:$AU$1004,1,MATCH(COLUMNS($AD$1006:AG1006),$AD$1006:$AU$1006,0)))),"Fix")))</f>
        <v xml:space="preserve"> </v>
      </c>
      <c r="F993" s="4" t="str">
        <f ca="1">IF(OR(INDEX($X$2:$X$1001,MATCH(ROWS($W$2:W993),$W$2:$W$1001,0),1)&gt;=100000,INDEX($AD$1005:$AU$1005,1,MATCH(COLUMNS($AD$1006:AH1006),$AD$1006:$AU$1006,0))&gt;=100000), " ",IF(INDEX($AD$2:$AU$1001,MATCH(ROWS($W$2:W993),$W$2:$W$1001,0),MATCH(COLUMNS($AD$1006:AH1006),$AD$1006:$AU$1006,0)), HYPERLINK("#",""), HYPERLINK(CONCATENATE("#metadata!", ADDRESS(INDEX($Y$2:$Y$1001,MATCH(ROWS($W$2:W993),$W$2:$W$1001,0),0), INDEX($AD$1004:$AU$1004,1,MATCH(COLUMNS($AD$1006:AH1006),$AD$1006:$AU$1006,0)))),"Fix")))</f>
        <v xml:space="preserve"> </v>
      </c>
      <c r="G993" s="4" t="str">
        <f ca="1">IF(OR(INDEX($X$2:$X$1001,MATCH(ROWS($W$2:W993),$W$2:$W$1001,0),1)&gt;=100000,INDEX($AD$1005:$AU$1005,1,MATCH(COLUMNS($AD$1006:AI1006),$AD$1006:$AU$1006,0))&gt;=100000), " ",IF(INDEX($AD$2:$AU$1001,MATCH(ROWS($W$2:W993),$W$2:$W$1001,0),MATCH(COLUMNS($AD$1006:AI1006),$AD$1006:$AU$1006,0)), HYPERLINK("#",""), HYPERLINK(CONCATENATE("#metadata!", ADDRESS(INDEX($Y$2:$Y$1001,MATCH(ROWS($W$2:W993),$W$2:$W$1001,0),0), INDEX($AD$1004:$AU$1004,1,MATCH(COLUMNS($AD$1006:AI1006),$AD$1006:$AU$1006,0)))),"Fix")))</f>
        <v xml:space="preserve"> </v>
      </c>
      <c r="H993" s="4" t="str">
        <f ca="1">IF(OR(INDEX($X$2:$X$1001,MATCH(ROWS($W$2:W993),$W$2:$W$1001,0),1)&gt;=100000,INDEX($AD$1005:$AU$1005,1,MATCH(COLUMNS($AD$1006:AJ1006),$AD$1006:$AU$1006,0))&gt;=100000), " ",IF(INDEX($AD$2:$AU$1001,MATCH(ROWS($W$2:W993),$W$2:$W$1001,0),MATCH(COLUMNS($AD$1006:AJ1006),$AD$1006:$AU$1006,0)), HYPERLINK("#",""), HYPERLINK(CONCATENATE("#metadata!", ADDRESS(INDEX($Y$2:$Y$1001,MATCH(ROWS($W$2:W993),$W$2:$W$1001,0),0), INDEX($AD$1004:$AU$1004,1,MATCH(COLUMNS($AD$1006:AJ1006),$AD$1006:$AU$1006,0)))),"Fix")))</f>
        <v xml:space="preserve"> </v>
      </c>
      <c r="I993" s="4" t="str">
        <f ca="1">IF(OR(INDEX($X$2:$X$1001,MATCH(ROWS($W$2:W993),$W$2:$W$1001,0),1)&gt;=100000,INDEX($AD$1005:$AU$1005,1,MATCH(COLUMNS($AD$1006:AK1006),$AD$1006:$AU$1006,0))&gt;=100000), " ",IF(INDEX($AD$2:$AU$1001,MATCH(ROWS($W$2:W993),$W$2:$W$1001,0),MATCH(COLUMNS($AD$1006:AK1006),$AD$1006:$AU$1006,0)), HYPERLINK("#",""), HYPERLINK(CONCATENATE("#metadata!", ADDRESS(INDEX($Y$2:$Y$1001,MATCH(ROWS($W$2:W993),$W$2:$W$1001,0),0), INDEX($AD$1004:$AU$1004,1,MATCH(COLUMNS($AD$1006:AK1006),$AD$1006:$AU$1006,0)))),"Fix")))</f>
        <v xml:space="preserve"> </v>
      </c>
      <c r="J993" s="4" t="str">
        <f ca="1">IF(OR(INDEX($X$2:$X$1001,MATCH(ROWS($W$2:W993),$W$2:$W$1001,0),1)&gt;=100000,INDEX($AD$1005:$AU$1005,1,MATCH(COLUMNS($AD$1006:AL1006),$AD$1006:$AU$1006,0))&gt;=100000), " ",IF(INDEX($AD$2:$AU$1001,MATCH(ROWS($W$2:W993),$W$2:$W$1001,0),MATCH(COLUMNS($AD$1006:AL1006),$AD$1006:$AU$1006,0)), HYPERLINK("#",""), HYPERLINK(CONCATENATE("#metadata!", ADDRESS(INDEX($Y$2:$Y$1001,MATCH(ROWS($W$2:W993),$W$2:$W$1001,0),0), INDEX($AD$1004:$AU$1004,1,MATCH(COLUMNS($AD$1006:AL1006),$AD$1006:$AU$1006,0)))),"Fix")))</f>
        <v xml:space="preserve"> </v>
      </c>
      <c r="K993" s="4" t="str">
        <f ca="1">IF(OR(INDEX($X$2:$X$1001,MATCH(ROWS($W$2:W993),$W$2:$W$1001,0),1)&gt;=100000,INDEX($AD$1005:$AU$1005,1,MATCH(COLUMNS($AD$1006:AM1006),$AD$1006:$AU$1006,0))&gt;=100000), " ",IF(INDEX($AD$2:$AU$1001,MATCH(ROWS($W$2:W993),$W$2:$W$1001,0),MATCH(COLUMNS($AD$1006:AM1006),$AD$1006:$AU$1006,0)), HYPERLINK("#",""), HYPERLINK(CONCATENATE("#metadata!", ADDRESS(INDEX($Y$2:$Y$1001,MATCH(ROWS($W$2:W993),$W$2:$W$1001,0),0), INDEX($AD$1004:$AU$1004,1,MATCH(COLUMNS($AD$1006:AM1006),$AD$1006:$AU$1006,0)))),"Fix")))</f>
        <v xml:space="preserve"> </v>
      </c>
      <c r="L993" s="4" t="str">
        <f ca="1">IF(OR(INDEX($X$2:$X$1001,MATCH(ROWS($W$2:W993),$W$2:$W$1001,0),1)&gt;=100000,INDEX($AD$1005:$AU$1005,1,MATCH(COLUMNS($AD$1006:AN1006),$AD$1006:$AU$1006,0))&gt;=100000), " ",IF(INDEX($AD$2:$AU$1001,MATCH(ROWS($W$2:W993),$W$2:$W$1001,0),MATCH(COLUMNS($AD$1006:AN1006),$AD$1006:$AU$1006,0)), HYPERLINK("#",""), HYPERLINK(CONCATENATE("#metadata!", ADDRESS(INDEX($Y$2:$Y$1001,MATCH(ROWS($W$2:W993),$W$2:$W$1001,0),0), INDEX($AD$1004:$AU$1004,1,MATCH(COLUMNS($AD$1006:AN1006),$AD$1006:$AU$1006,0)))),"Fix")))</f>
        <v xml:space="preserve"> </v>
      </c>
      <c r="M993" s="4" t="str">
        <f ca="1">IF(OR(INDEX($X$2:$X$1001,MATCH(ROWS($W$2:W993),$W$2:$W$1001,0),1)&gt;=100000,INDEX($AD$1005:$AU$1005,1,MATCH(COLUMNS($AD$1006:AO1006),$AD$1006:$AU$1006,0))&gt;=100000), " ",IF(INDEX($AD$2:$AU$1001,MATCH(ROWS($W$2:W993),$W$2:$W$1001,0),MATCH(COLUMNS($AD$1006:AO1006),$AD$1006:$AU$1006,0)), HYPERLINK("#",""), HYPERLINK(CONCATENATE("#metadata!", ADDRESS(INDEX($Y$2:$Y$1001,MATCH(ROWS($W$2:W993),$W$2:$W$1001,0),0), INDEX($AD$1004:$AU$1004,1,MATCH(COLUMNS($AD$1006:AO1006),$AD$1006:$AU$1006,0)))),"Fix")))</f>
        <v xml:space="preserve"> </v>
      </c>
      <c r="N993" s="4" t="str">
        <f ca="1">IF(OR(INDEX($X$2:$X$1001,MATCH(ROWS($W$2:W993),$W$2:$W$1001,0),1)&gt;=100000,INDEX($AD$1005:$AU$1005,1,MATCH(COLUMNS($AD$1006:AP1006),$AD$1006:$AU$1006,0))&gt;=100000), " ",IF(INDEX($AD$2:$AU$1001,MATCH(ROWS($W$2:W993),$W$2:$W$1001,0),MATCH(COLUMNS($AD$1006:AP1006),$AD$1006:$AU$1006,0)), HYPERLINK("#",""), HYPERLINK(CONCATENATE("#metadata!", ADDRESS(INDEX($Y$2:$Y$1001,MATCH(ROWS($W$2:W993),$W$2:$W$1001,0),0), INDEX($AD$1004:$AU$1004,1,MATCH(COLUMNS($AD$1006:AP1006),$AD$1006:$AU$1006,0)))),"Fix")))</f>
        <v xml:space="preserve"> </v>
      </c>
      <c r="O993" s="4" t="str">
        <f ca="1">IF(OR(INDEX($X$2:$X$1001,MATCH(ROWS($W$2:W993),$W$2:$W$1001,0),1)&gt;=100000,INDEX($AD$1005:$AU$1005,1,MATCH(COLUMNS($AD$1006:AQ1006),$AD$1006:$AU$1006,0))&gt;=100000), " ",IF(INDEX($AD$2:$AU$1001,MATCH(ROWS($W$2:W993),$W$2:$W$1001,0),MATCH(COLUMNS($AD$1006:AQ1006),$AD$1006:$AU$1006,0)), HYPERLINK("#",""), HYPERLINK(CONCATENATE("#metadata!", ADDRESS(INDEX($Y$2:$Y$1001,MATCH(ROWS($W$2:W993),$W$2:$W$1001,0),0), INDEX($AD$1004:$AU$1004,1,MATCH(COLUMNS($AD$1006:AQ1006),$AD$1006:$AU$1006,0)))),"Fix")))</f>
        <v xml:space="preserve"> </v>
      </c>
      <c r="P993" s="4" t="str">
        <f ca="1">IF(OR(INDEX($X$2:$X$1001,MATCH(ROWS($W$2:W993),$W$2:$W$1001,0),1)&gt;=100000,INDEX($AD$1005:$AU$1005,1,MATCH(COLUMNS($AD$1006:AR1006),$AD$1006:$AU$1006,0))&gt;=100000), " ",IF(INDEX($AD$2:$AU$1001,MATCH(ROWS($W$2:W993),$W$2:$W$1001,0),MATCH(COLUMNS($AD$1006:AR1006),$AD$1006:$AU$1006,0)), HYPERLINK("#",""), HYPERLINK(CONCATENATE("#metadata!", ADDRESS(INDEX($Y$2:$Y$1001,MATCH(ROWS($W$2:W993),$W$2:$W$1001,0),0), INDEX($AD$1004:$AU$1004,1,MATCH(COLUMNS($AD$1006:AR1006),$AD$1006:$AU$1006,0)))),"Fix")))</f>
        <v xml:space="preserve"> </v>
      </c>
      <c r="Q993" s="4" t="str">
        <f ca="1">IF(OR(INDEX($X$2:$X$1001,MATCH(ROWS($W$2:W993),$W$2:$W$1001,0),1)&gt;=100000,INDEX($AD$1005:$AU$1005,1,MATCH(COLUMNS($AD$1006:AS1006),$AD$1006:$AU$1006,0))&gt;=100000), " ",IF(INDEX($AD$2:$AU$1001,MATCH(ROWS($W$2:W993),$W$2:$W$1001,0),MATCH(COLUMNS($AD$1006:AS1006),$AD$1006:$AU$1006,0)), HYPERLINK("#",""), HYPERLINK(CONCATENATE("#metadata!", ADDRESS(INDEX($Y$2:$Y$1001,MATCH(ROWS($W$2:W993),$W$2:$W$1001,0),0), INDEX($AD$1004:$AU$1004,1,MATCH(COLUMNS($AD$1006:AS1006),$AD$1006:$AU$1006,0)))),"Fix")))</f>
        <v xml:space="preserve"> </v>
      </c>
      <c r="R993" s="4" t="str">
        <f ca="1">IF(OR(INDEX($X$2:$X$1001,MATCH(ROWS($W$2:W993),$W$2:$W$1001,0),1)&gt;=100000,INDEX($AD$1005:$AU$1005,1,MATCH(COLUMNS($AD$1006:AT1006),$AD$1006:$AU$1006,0))&gt;=100000), " ",IF(INDEX($AD$2:$AU$1001,MATCH(ROWS($W$2:W993),$W$2:$W$1001,0),MATCH(COLUMNS($AD$1006:AT1006),$AD$1006:$AU$1006,0)), HYPERLINK("#",""), HYPERLINK(CONCATENATE("#metadata!", ADDRESS(INDEX($Y$2:$Y$1001,MATCH(ROWS($W$2:W993),$W$2:$W$1001,0),0), INDEX($AD$1004:$AU$1004,1,MATCH(COLUMNS($AD$1006:AT1006),$AD$1006:$AU$1006,0)))),"Fix")))</f>
        <v xml:space="preserve"> </v>
      </c>
      <c r="S993" s="4" t="str">
        <f ca="1">IF(OR(INDEX($X$2:$X$1001,MATCH(ROWS($W$2:W993),$W$2:$W$1001,0),1)&gt;=100000,INDEX($AD$1005:$AU$1005,1,MATCH(COLUMNS($AD$1006:AU1006),$AD$1006:$AU$1006,0))&gt;=100000), " ",IF(INDEX($AD$2:$AU$1001,MATCH(ROWS($W$2:W993),$W$2:$W$1001,0),MATCH(COLUMNS($AD$1006:AU1006),$AD$1006:$AU$1006,0)), HYPERLINK("#",""), HYPERLINK(CONCATENATE("#metadata!", ADDRESS(INDEX($Y$2:$Y$1001,MATCH(ROWS($W$2:W993),$W$2:$W$1001,0),0), INDEX($AD$1004:$AU$1004,1,MATCH(COLUMNS($AD$1006:AU1006),$AD$1006:$AU$1006,0)))),"Fix")))</f>
        <v xml:space="preserve"> </v>
      </c>
      <c r="W993">
        <v>992</v>
      </c>
      <c r="X993">
        <v>100993</v>
      </c>
      <c r="Y993">
        <v>993</v>
      </c>
      <c r="Z993" t="b">
        <f t="shared" si="15"/>
        <v>1</v>
      </c>
      <c r="AA993" t="b">
        <f>COUNTBLANK(metadata!B993:S993)=COLUMNS(metadata!B993:S993)</f>
        <v>1</v>
      </c>
      <c r="AB993" t="str">
        <v/>
      </c>
      <c r="AD993" t="b">
        <f ca="1">AND(IF(metadata!B993="",FALSE,TRUE),COUNTIF(metadata!B:B, metadata!B993) = 1,NOT(ISERROR(SUMPRODUCT(SEARCH(MID(metadata!B993,ROW(INDIRECT("1:"&amp;LEN(metadata!B993))), 1),"0123456789abcdefghijklmnopqrstuvwxyzABCDEFGHIJKLMNOPQRSTUVWXYZ.")))))</f>
        <v>0</v>
      </c>
      <c r="AE993" t="b">
        <f>OR(AND(IF(metadata!C993="",FALSE,TRUE),OR(EXACT(metadata!C993,"not applicable"),EXACT(metadata!C993,"missing: not collected"),EXACT(metadata!C993,"missing: not provided"),EXACT(metadata!C993,"missing: restricted access"))),AND(IF(metadata!C993="",FALSE,ISNUMBER(VALUE(metadata!C993))),metadata!C993&gt;0))</f>
        <v>0</v>
      </c>
      <c r="AF993" t="b">
        <f>AND(IF(metadata!D993="",FALSE,TRUE),EXACT(metadata!D993,"missing: not provided"))</f>
        <v>0</v>
      </c>
      <c r="AG993" t="b">
        <f>AND(IF(metadata!E993="",FALSE,TRUE),EXACT(metadata!E993,"Host-associated"))</f>
        <v>0</v>
      </c>
      <c r="AH993" t="b">
        <f>AND(IF(metadata!F993="",FALSE,TRUE),OR(EXACT(metadata!F993,"Animal"),EXACT(metadata!F993,"Fungus"),EXACT(metadata!F993,"Plant")))</f>
        <v>0</v>
      </c>
      <c r="AI993" t="b">
        <f>AND(IF(metadata!G993="",FALSE,TRUE),OR(EXACT(metadata!G993,"Plant secretion"),EXACT(metadata!G993,"Plant rhizosphere"),EXACT(metadata!G993,"Plant surface"),EXACT(metadata!G993,"Plant corpus"),EXACT(metadata!G993,"Fungus surface"),EXACT(metadata!G993,"Fungus corpus"),EXACT(metadata!G993,"Animal surface"),EXACT(metadata!G993,"Animal proximal gut"),EXACT(metadata!G993,"Animal corpus"),EXACT(metadata!G993,"Animal distal gut"),EXACT(metadata!G993,"Animal secretion")))</f>
        <v>0</v>
      </c>
      <c r="AJ993" t="b">
        <f>OR(AND(IF(metadata!H993="",FALSE,TRUE),OR(EXACT(metadata!H993,"missing: not collected"),EXACT(metadata!H993,"missing: not provided"),EXACT(metadata!H993,"missing: restricted access"))),AND(IF(metadata!H993="",FALSE,TRUE),OR(EXACT(metadata!H993,"organism-associated habitat"),EXACT(metadata!H993,"plant-associated habitat"),EXACT(metadata!H993,"animal-associated habitat"),EXACT(metadata!H993,"insecta-associated habitat"),EXACT(metadata!H993,"mammalia-associated habitat"),EXACT(metadata!H993,"human-associated habitat"),EXACT(metadata!H993,"livestock-associated habitat"))))</f>
        <v>0</v>
      </c>
      <c r="AK993" t="b">
        <f>AND(IF(metadata!I993="",FALSE,TRUE),EXACT(metadata!I993,"host-associated"))</f>
        <v>0</v>
      </c>
      <c r="AL993" t="b">
        <f>OR(AND(IF(metadata!J993="",FALSE,TRUE),OR(EXACT(metadata!J993,"not applicable"),EXACT(metadata!J993,"missing: not collected"),EXACT(metadata!J993,"missing: not provided"),EXACT(metadata!J993,"missing: restricted access"))),AND(IF(metadata!J993="",FALSE,ISNUMBER(VALUE(metadata!J993))),metadata!J993&gt;0))</f>
        <v>0</v>
      </c>
      <c r="AM993" t="b">
        <f>AND(IF(metadata!K993="",FALSE,TRUE),EXACT(metadata!K993,"missing: not provided"))</f>
        <v>0</v>
      </c>
      <c r="AN993" t="b">
        <f>IF(metadata!L993="",FALSE,TRUE)</f>
        <v>0</v>
      </c>
      <c r="AO993" t="b">
        <f>IF(metadata!M993="",FALSE,TRUE)</f>
        <v>0</v>
      </c>
      <c r="AP993" t="b">
        <f>OR(AND(IF(metadata!N993="",FALSE,TRUE),OR(EXACT(metadata!N993,"not applicable"),EXACT(metadata!N993,"missing: not collected"),EXACT(metadata!N993,"missing: not provided"))),AND(IF(metadata!N993="",FALSE,IF(ISERROR(INT(metadata!N993)),FALSE,INT(metadata!N993)=metadata!N993)),metadata!N993&gt;0))</f>
        <v>0</v>
      </c>
      <c r="AQ993" t="b">
        <f>AND(IF(metadata!O993="",FALSE,TRUE),EXACT(metadata!O993,"Not applicable"))</f>
        <v>0</v>
      </c>
      <c r="AR993" t="b">
        <f>OR(AND(IF(metadata!P993="",FALSE,TRUE),OR(EXACT(metadata!P993,"not applicable"),EXACT(metadata!P993,"missing: not collected"),EXACT(metadata!P993,"missing: not provided"),EXACT(metadata!P993,"missing: restricted access"))),IF(metadata!P993="",FALSE,IF(ISERROR(INT(metadata!P993)),FALSE,INT(metadata!P993)=metadata!P993)))</f>
        <v>0</v>
      </c>
      <c r="AS993" t="b">
        <f>AND(IF(metadata!Q993="",FALSE,TRUE),EXACT(metadata!Q993,"Not applicable"))</f>
        <v>0</v>
      </c>
      <c r="AT993" t="b">
        <f>OR(AND(IF(metadata!R993="",FALSE,TRUE),OR(EXACT(metadata!R993,"not applicable"),EXACT(metadata!R993,"missing: not collected"),EXACT(metadata!R993,"missing: not provided"),EXACT(metadata!R993,"missing: restricted access"))),AND(IF(metadata!R993="",FALSE,ISNUMBER(VALUE(metadata!R993))),metadata!R993&gt;0))</f>
        <v>0</v>
      </c>
      <c r="AU993" t="b">
        <f>AND(IF(metadata!S993="",FALSE,TRUE),EXACT(metadata!S993,"missing: not provided"))</f>
        <v>0</v>
      </c>
    </row>
    <row r="994" spans="1:47" x14ac:dyDescent="0.2">
      <c r="A994" s="5" t="str">
        <f ca="1">IF(B994=" "," ",HYPERLINK(CONCATENATE("#metadata!",ADDRESS(INDEX($Y$2:$Y$1001,MATCH(ROWS($W$2:W994),$W$2:$W$1001,0),0),1)),INDEX($AB$2:$AB$1001,MATCH(ROWS($W$2:W994),$W$2:$W$1001,0),0)))</f>
        <v xml:space="preserve"> </v>
      </c>
      <c r="B994" s="4" t="str">
        <f ca="1">IF(OR(INDEX($X$2:$X$1001,MATCH(ROWS($W$2:W994),$W$2:$W$1001,0),1)&gt;=100000,INDEX($AD$1005:$AU$1005,1,MATCH(COLUMNS($AD$1006:AD1006),$AD$1006:$AU$1006,0))&gt;=100000), " ",IF(INDEX($AD$2:$AU$1001,MATCH(ROWS($W$2:W994),$W$2:$W$1001,0),MATCH(COLUMNS($AD$1006:AD1006),$AD$1006:$AU$1006,0)), HYPERLINK("#",""), HYPERLINK(CONCATENATE("#metadata!", ADDRESS(INDEX($Y$2:$Y$1001,MATCH(ROWS($W$2:W994),$W$2:$W$1001,0),0), INDEX($AD$1004:$AU$1004,1,MATCH(COLUMNS($AD$1006:AD1006),$AD$1006:$AU$1006,0)))),"Fix")))</f>
        <v xml:space="preserve"> </v>
      </c>
      <c r="C994" s="4" t="str">
        <f ca="1">IF(OR(INDEX($X$2:$X$1001,MATCH(ROWS($W$2:W994),$W$2:$W$1001,0),1)&gt;=100000,INDEX($AD$1005:$AU$1005,1,MATCH(COLUMNS($AD$1006:AE1006),$AD$1006:$AU$1006,0))&gt;=100000), " ",IF(INDEX($AD$2:$AU$1001,MATCH(ROWS($W$2:W994),$W$2:$W$1001,0),MATCH(COLUMNS($AD$1006:AE1006),$AD$1006:$AU$1006,0)), HYPERLINK("#",""), HYPERLINK(CONCATENATE("#metadata!", ADDRESS(INDEX($Y$2:$Y$1001,MATCH(ROWS($W$2:W994),$W$2:$W$1001,0),0), INDEX($AD$1004:$AU$1004,1,MATCH(COLUMNS($AD$1006:AE1006),$AD$1006:$AU$1006,0)))),"Fix")))</f>
        <v xml:space="preserve"> </v>
      </c>
      <c r="D994" s="4" t="str">
        <f ca="1">IF(OR(INDEX($X$2:$X$1001,MATCH(ROWS($W$2:W994),$W$2:$W$1001,0),1)&gt;=100000,INDEX($AD$1005:$AU$1005,1,MATCH(COLUMNS($AD$1006:AF1006),$AD$1006:$AU$1006,0))&gt;=100000), " ",IF(INDEX($AD$2:$AU$1001,MATCH(ROWS($W$2:W994),$W$2:$W$1001,0),MATCH(COLUMNS($AD$1006:AF1006),$AD$1006:$AU$1006,0)), HYPERLINK("#",""), HYPERLINK(CONCATENATE("#metadata!", ADDRESS(INDEX($Y$2:$Y$1001,MATCH(ROWS($W$2:W994),$W$2:$W$1001,0),0), INDEX($AD$1004:$AU$1004,1,MATCH(COLUMNS($AD$1006:AF1006),$AD$1006:$AU$1006,0)))),"Fix")))</f>
        <v xml:space="preserve"> </v>
      </c>
      <c r="E994" s="4" t="str">
        <f ca="1">IF(OR(INDEX($X$2:$X$1001,MATCH(ROWS($W$2:W994),$W$2:$W$1001,0),1)&gt;=100000,INDEX($AD$1005:$AU$1005,1,MATCH(COLUMNS($AD$1006:AG1006),$AD$1006:$AU$1006,0))&gt;=100000), " ",IF(INDEX($AD$2:$AU$1001,MATCH(ROWS($W$2:W994),$W$2:$W$1001,0),MATCH(COLUMNS($AD$1006:AG1006),$AD$1006:$AU$1006,0)), HYPERLINK("#",""), HYPERLINK(CONCATENATE("#metadata!", ADDRESS(INDEX($Y$2:$Y$1001,MATCH(ROWS($W$2:W994),$W$2:$W$1001,0),0), INDEX($AD$1004:$AU$1004,1,MATCH(COLUMNS($AD$1006:AG1006),$AD$1006:$AU$1006,0)))),"Fix")))</f>
        <v xml:space="preserve"> </v>
      </c>
      <c r="F994" s="4" t="str">
        <f ca="1">IF(OR(INDEX($X$2:$X$1001,MATCH(ROWS($W$2:W994),$W$2:$W$1001,0),1)&gt;=100000,INDEX($AD$1005:$AU$1005,1,MATCH(COLUMNS($AD$1006:AH1006),$AD$1006:$AU$1006,0))&gt;=100000), " ",IF(INDEX($AD$2:$AU$1001,MATCH(ROWS($W$2:W994),$W$2:$W$1001,0),MATCH(COLUMNS($AD$1006:AH1006),$AD$1006:$AU$1006,0)), HYPERLINK("#",""), HYPERLINK(CONCATENATE("#metadata!", ADDRESS(INDEX($Y$2:$Y$1001,MATCH(ROWS($W$2:W994),$W$2:$W$1001,0),0), INDEX($AD$1004:$AU$1004,1,MATCH(COLUMNS($AD$1006:AH1006),$AD$1006:$AU$1006,0)))),"Fix")))</f>
        <v xml:space="preserve"> </v>
      </c>
      <c r="G994" s="4" t="str">
        <f ca="1">IF(OR(INDEX($X$2:$X$1001,MATCH(ROWS($W$2:W994),$W$2:$W$1001,0),1)&gt;=100000,INDEX($AD$1005:$AU$1005,1,MATCH(COLUMNS($AD$1006:AI1006),$AD$1006:$AU$1006,0))&gt;=100000), " ",IF(INDEX($AD$2:$AU$1001,MATCH(ROWS($W$2:W994),$W$2:$W$1001,0),MATCH(COLUMNS($AD$1006:AI1006),$AD$1006:$AU$1006,0)), HYPERLINK("#",""), HYPERLINK(CONCATENATE("#metadata!", ADDRESS(INDEX($Y$2:$Y$1001,MATCH(ROWS($W$2:W994),$W$2:$W$1001,0),0), INDEX($AD$1004:$AU$1004,1,MATCH(COLUMNS($AD$1006:AI1006),$AD$1006:$AU$1006,0)))),"Fix")))</f>
        <v xml:space="preserve"> </v>
      </c>
      <c r="H994" s="4" t="str">
        <f ca="1">IF(OR(INDEX($X$2:$X$1001,MATCH(ROWS($W$2:W994),$W$2:$W$1001,0),1)&gt;=100000,INDEX($AD$1005:$AU$1005,1,MATCH(COLUMNS($AD$1006:AJ1006),$AD$1006:$AU$1006,0))&gt;=100000), " ",IF(INDEX($AD$2:$AU$1001,MATCH(ROWS($W$2:W994),$W$2:$W$1001,0),MATCH(COLUMNS($AD$1006:AJ1006),$AD$1006:$AU$1006,0)), HYPERLINK("#",""), HYPERLINK(CONCATENATE("#metadata!", ADDRESS(INDEX($Y$2:$Y$1001,MATCH(ROWS($W$2:W994),$W$2:$W$1001,0),0), INDEX($AD$1004:$AU$1004,1,MATCH(COLUMNS($AD$1006:AJ1006),$AD$1006:$AU$1006,0)))),"Fix")))</f>
        <v xml:space="preserve"> </v>
      </c>
      <c r="I994" s="4" t="str">
        <f ca="1">IF(OR(INDEX($X$2:$X$1001,MATCH(ROWS($W$2:W994),$W$2:$W$1001,0),1)&gt;=100000,INDEX($AD$1005:$AU$1005,1,MATCH(COLUMNS($AD$1006:AK1006),$AD$1006:$AU$1006,0))&gt;=100000), " ",IF(INDEX($AD$2:$AU$1001,MATCH(ROWS($W$2:W994),$W$2:$W$1001,0),MATCH(COLUMNS($AD$1006:AK1006),$AD$1006:$AU$1006,0)), HYPERLINK("#",""), HYPERLINK(CONCATENATE("#metadata!", ADDRESS(INDEX($Y$2:$Y$1001,MATCH(ROWS($W$2:W994),$W$2:$W$1001,0),0), INDEX($AD$1004:$AU$1004,1,MATCH(COLUMNS($AD$1006:AK1006),$AD$1006:$AU$1006,0)))),"Fix")))</f>
        <v xml:space="preserve"> </v>
      </c>
      <c r="J994" s="4" t="str">
        <f ca="1">IF(OR(INDEX($X$2:$X$1001,MATCH(ROWS($W$2:W994),$W$2:$W$1001,0),1)&gt;=100000,INDEX($AD$1005:$AU$1005,1,MATCH(COLUMNS($AD$1006:AL1006),$AD$1006:$AU$1006,0))&gt;=100000), " ",IF(INDEX($AD$2:$AU$1001,MATCH(ROWS($W$2:W994),$W$2:$W$1001,0),MATCH(COLUMNS($AD$1006:AL1006),$AD$1006:$AU$1006,0)), HYPERLINK("#",""), HYPERLINK(CONCATENATE("#metadata!", ADDRESS(INDEX($Y$2:$Y$1001,MATCH(ROWS($W$2:W994),$W$2:$W$1001,0),0), INDEX($AD$1004:$AU$1004,1,MATCH(COLUMNS($AD$1006:AL1006),$AD$1006:$AU$1006,0)))),"Fix")))</f>
        <v xml:space="preserve"> </v>
      </c>
      <c r="K994" s="4" t="str">
        <f ca="1">IF(OR(INDEX($X$2:$X$1001,MATCH(ROWS($W$2:W994),$W$2:$W$1001,0),1)&gt;=100000,INDEX($AD$1005:$AU$1005,1,MATCH(COLUMNS($AD$1006:AM1006),$AD$1006:$AU$1006,0))&gt;=100000), " ",IF(INDEX($AD$2:$AU$1001,MATCH(ROWS($W$2:W994),$W$2:$W$1001,0),MATCH(COLUMNS($AD$1006:AM1006),$AD$1006:$AU$1006,0)), HYPERLINK("#",""), HYPERLINK(CONCATENATE("#metadata!", ADDRESS(INDEX($Y$2:$Y$1001,MATCH(ROWS($W$2:W994),$W$2:$W$1001,0),0), INDEX($AD$1004:$AU$1004,1,MATCH(COLUMNS($AD$1006:AM1006),$AD$1006:$AU$1006,0)))),"Fix")))</f>
        <v xml:space="preserve"> </v>
      </c>
      <c r="L994" s="4" t="str">
        <f ca="1">IF(OR(INDEX($X$2:$X$1001,MATCH(ROWS($W$2:W994),$W$2:$W$1001,0),1)&gt;=100000,INDEX($AD$1005:$AU$1005,1,MATCH(COLUMNS($AD$1006:AN1006),$AD$1006:$AU$1006,0))&gt;=100000), " ",IF(INDEX($AD$2:$AU$1001,MATCH(ROWS($W$2:W994),$W$2:$W$1001,0),MATCH(COLUMNS($AD$1006:AN1006),$AD$1006:$AU$1006,0)), HYPERLINK("#",""), HYPERLINK(CONCATENATE("#metadata!", ADDRESS(INDEX($Y$2:$Y$1001,MATCH(ROWS($W$2:W994),$W$2:$W$1001,0),0), INDEX($AD$1004:$AU$1004,1,MATCH(COLUMNS($AD$1006:AN1006),$AD$1006:$AU$1006,0)))),"Fix")))</f>
        <v xml:space="preserve"> </v>
      </c>
      <c r="M994" s="4" t="str">
        <f ca="1">IF(OR(INDEX($X$2:$X$1001,MATCH(ROWS($W$2:W994),$W$2:$W$1001,0),1)&gt;=100000,INDEX($AD$1005:$AU$1005,1,MATCH(COLUMNS($AD$1006:AO1006),$AD$1006:$AU$1006,0))&gt;=100000), " ",IF(INDEX($AD$2:$AU$1001,MATCH(ROWS($W$2:W994),$W$2:$W$1001,0),MATCH(COLUMNS($AD$1006:AO1006),$AD$1006:$AU$1006,0)), HYPERLINK("#",""), HYPERLINK(CONCATENATE("#metadata!", ADDRESS(INDEX($Y$2:$Y$1001,MATCH(ROWS($W$2:W994),$W$2:$W$1001,0),0), INDEX($AD$1004:$AU$1004,1,MATCH(COLUMNS($AD$1006:AO1006),$AD$1006:$AU$1006,0)))),"Fix")))</f>
        <v xml:space="preserve"> </v>
      </c>
      <c r="N994" s="4" t="str">
        <f ca="1">IF(OR(INDEX($X$2:$X$1001,MATCH(ROWS($W$2:W994),$W$2:$W$1001,0),1)&gt;=100000,INDEX($AD$1005:$AU$1005,1,MATCH(COLUMNS($AD$1006:AP1006),$AD$1006:$AU$1006,0))&gt;=100000), " ",IF(INDEX($AD$2:$AU$1001,MATCH(ROWS($W$2:W994),$W$2:$W$1001,0),MATCH(COLUMNS($AD$1006:AP1006),$AD$1006:$AU$1006,0)), HYPERLINK("#",""), HYPERLINK(CONCATENATE("#metadata!", ADDRESS(INDEX($Y$2:$Y$1001,MATCH(ROWS($W$2:W994),$W$2:$W$1001,0),0), INDEX($AD$1004:$AU$1004,1,MATCH(COLUMNS($AD$1006:AP1006),$AD$1006:$AU$1006,0)))),"Fix")))</f>
        <v xml:space="preserve"> </v>
      </c>
      <c r="O994" s="4" t="str">
        <f ca="1">IF(OR(INDEX($X$2:$X$1001,MATCH(ROWS($W$2:W994),$W$2:$W$1001,0),1)&gt;=100000,INDEX($AD$1005:$AU$1005,1,MATCH(COLUMNS($AD$1006:AQ1006),$AD$1006:$AU$1006,0))&gt;=100000), " ",IF(INDEX($AD$2:$AU$1001,MATCH(ROWS($W$2:W994),$W$2:$W$1001,0),MATCH(COLUMNS($AD$1006:AQ1006),$AD$1006:$AU$1006,0)), HYPERLINK("#",""), HYPERLINK(CONCATENATE("#metadata!", ADDRESS(INDEX($Y$2:$Y$1001,MATCH(ROWS($W$2:W994),$W$2:$W$1001,0),0), INDEX($AD$1004:$AU$1004,1,MATCH(COLUMNS($AD$1006:AQ1006),$AD$1006:$AU$1006,0)))),"Fix")))</f>
        <v xml:space="preserve"> </v>
      </c>
      <c r="P994" s="4" t="str">
        <f ca="1">IF(OR(INDEX($X$2:$X$1001,MATCH(ROWS($W$2:W994),$W$2:$W$1001,0),1)&gt;=100000,INDEX($AD$1005:$AU$1005,1,MATCH(COLUMNS($AD$1006:AR1006),$AD$1006:$AU$1006,0))&gt;=100000), " ",IF(INDEX($AD$2:$AU$1001,MATCH(ROWS($W$2:W994),$W$2:$W$1001,0),MATCH(COLUMNS($AD$1006:AR1006),$AD$1006:$AU$1006,0)), HYPERLINK("#",""), HYPERLINK(CONCATENATE("#metadata!", ADDRESS(INDEX($Y$2:$Y$1001,MATCH(ROWS($W$2:W994),$W$2:$W$1001,0),0), INDEX($AD$1004:$AU$1004,1,MATCH(COLUMNS($AD$1006:AR1006),$AD$1006:$AU$1006,0)))),"Fix")))</f>
        <v xml:space="preserve"> </v>
      </c>
      <c r="Q994" s="4" t="str">
        <f ca="1">IF(OR(INDEX($X$2:$X$1001,MATCH(ROWS($W$2:W994),$W$2:$W$1001,0),1)&gt;=100000,INDEX($AD$1005:$AU$1005,1,MATCH(COLUMNS($AD$1006:AS1006),$AD$1006:$AU$1006,0))&gt;=100000), " ",IF(INDEX($AD$2:$AU$1001,MATCH(ROWS($W$2:W994),$W$2:$W$1001,0),MATCH(COLUMNS($AD$1006:AS1006),$AD$1006:$AU$1006,0)), HYPERLINK("#",""), HYPERLINK(CONCATENATE("#metadata!", ADDRESS(INDEX($Y$2:$Y$1001,MATCH(ROWS($W$2:W994),$W$2:$W$1001,0),0), INDEX($AD$1004:$AU$1004,1,MATCH(COLUMNS($AD$1006:AS1006),$AD$1006:$AU$1006,0)))),"Fix")))</f>
        <v xml:space="preserve"> </v>
      </c>
      <c r="R994" s="4" t="str">
        <f ca="1">IF(OR(INDEX($X$2:$X$1001,MATCH(ROWS($W$2:W994),$W$2:$W$1001,0),1)&gt;=100000,INDEX($AD$1005:$AU$1005,1,MATCH(COLUMNS($AD$1006:AT1006),$AD$1006:$AU$1006,0))&gt;=100000), " ",IF(INDEX($AD$2:$AU$1001,MATCH(ROWS($W$2:W994),$W$2:$W$1001,0),MATCH(COLUMNS($AD$1006:AT1006),$AD$1006:$AU$1006,0)), HYPERLINK("#",""), HYPERLINK(CONCATENATE("#metadata!", ADDRESS(INDEX($Y$2:$Y$1001,MATCH(ROWS($W$2:W994),$W$2:$W$1001,0),0), INDEX($AD$1004:$AU$1004,1,MATCH(COLUMNS($AD$1006:AT1006),$AD$1006:$AU$1006,0)))),"Fix")))</f>
        <v xml:space="preserve"> </v>
      </c>
      <c r="S994" s="4" t="str">
        <f ca="1">IF(OR(INDEX($X$2:$X$1001,MATCH(ROWS($W$2:W994),$W$2:$W$1001,0),1)&gt;=100000,INDEX($AD$1005:$AU$1005,1,MATCH(COLUMNS($AD$1006:AU1006),$AD$1006:$AU$1006,0))&gt;=100000), " ",IF(INDEX($AD$2:$AU$1001,MATCH(ROWS($W$2:W994),$W$2:$W$1001,0),MATCH(COLUMNS($AD$1006:AU1006),$AD$1006:$AU$1006,0)), HYPERLINK("#",""), HYPERLINK(CONCATENATE("#metadata!", ADDRESS(INDEX($Y$2:$Y$1001,MATCH(ROWS($W$2:W994),$W$2:$W$1001,0),0), INDEX($AD$1004:$AU$1004,1,MATCH(COLUMNS($AD$1006:AU1006),$AD$1006:$AU$1006,0)))),"Fix")))</f>
        <v xml:space="preserve"> </v>
      </c>
      <c r="W994">
        <v>993</v>
      </c>
      <c r="X994">
        <v>100994</v>
      </c>
      <c r="Y994">
        <v>994</v>
      </c>
      <c r="Z994" t="b">
        <f t="shared" si="15"/>
        <v>1</v>
      </c>
      <c r="AA994" t="b">
        <f>COUNTBLANK(metadata!B994:S994)=COLUMNS(metadata!B994:S994)</f>
        <v>1</v>
      </c>
      <c r="AB994" t="str">
        <v/>
      </c>
      <c r="AD994" t="b">
        <f ca="1">AND(IF(metadata!B994="",FALSE,TRUE),COUNTIF(metadata!B:B, metadata!B994) = 1,NOT(ISERROR(SUMPRODUCT(SEARCH(MID(metadata!B994,ROW(INDIRECT("1:"&amp;LEN(metadata!B994))), 1),"0123456789abcdefghijklmnopqrstuvwxyzABCDEFGHIJKLMNOPQRSTUVWXYZ.")))))</f>
        <v>0</v>
      </c>
      <c r="AE994" t="b">
        <f>OR(AND(IF(metadata!C994="",FALSE,TRUE),OR(EXACT(metadata!C994,"not applicable"),EXACT(metadata!C994,"missing: not collected"),EXACT(metadata!C994,"missing: not provided"),EXACT(metadata!C994,"missing: restricted access"))),AND(IF(metadata!C994="",FALSE,ISNUMBER(VALUE(metadata!C994))),metadata!C994&gt;0))</f>
        <v>0</v>
      </c>
      <c r="AF994" t="b">
        <f>AND(IF(metadata!D994="",FALSE,TRUE),EXACT(metadata!D994,"missing: not provided"))</f>
        <v>0</v>
      </c>
      <c r="AG994" t="b">
        <f>AND(IF(metadata!E994="",FALSE,TRUE),EXACT(metadata!E994,"Host-associated"))</f>
        <v>0</v>
      </c>
      <c r="AH994" t="b">
        <f>AND(IF(metadata!F994="",FALSE,TRUE),OR(EXACT(metadata!F994,"Animal"),EXACT(metadata!F994,"Fungus"),EXACT(metadata!F994,"Plant")))</f>
        <v>0</v>
      </c>
      <c r="AI994" t="b">
        <f>AND(IF(metadata!G994="",FALSE,TRUE),OR(EXACT(metadata!G994,"Plant secretion"),EXACT(metadata!G994,"Plant rhizosphere"),EXACT(metadata!G994,"Plant surface"),EXACT(metadata!G994,"Plant corpus"),EXACT(metadata!G994,"Fungus surface"),EXACT(metadata!G994,"Fungus corpus"),EXACT(metadata!G994,"Animal surface"),EXACT(metadata!G994,"Animal proximal gut"),EXACT(metadata!G994,"Animal corpus"),EXACT(metadata!G994,"Animal distal gut"),EXACT(metadata!G994,"Animal secretion")))</f>
        <v>0</v>
      </c>
      <c r="AJ994" t="b">
        <f>OR(AND(IF(metadata!H994="",FALSE,TRUE),OR(EXACT(metadata!H994,"missing: not collected"),EXACT(metadata!H994,"missing: not provided"),EXACT(metadata!H994,"missing: restricted access"))),AND(IF(metadata!H994="",FALSE,TRUE),OR(EXACT(metadata!H994,"organism-associated habitat"),EXACT(metadata!H994,"plant-associated habitat"),EXACT(metadata!H994,"animal-associated habitat"),EXACT(metadata!H994,"insecta-associated habitat"),EXACT(metadata!H994,"mammalia-associated habitat"),EXACT(metadata!H994,"human-associated habitat"),EXACT(metadata!H994,"livestock-associated habitat"))))</f>
        <v>0</v>
      </c>
      <c r="AK994" t="b">
        <f>AND(IF(metadata!I994="",FALSE,TRUE),EXACT(metadata!I994,"host-associated"))</f>
        <v>0</v>
      </c>
      <c r="AL994" t="b">
        <f>OR(AND(IF(metadata!J994="",FALSE,TRUE),OR(EXACT(metadata!J994,"not applicable"),EXACT(metadata!J994,"missing: not collected"),EXACT(metadata!J994,"missing: not provided"),EXACT(metadata!J994,"missing: restricted access"))),AND(IF(metadata!J994="",FALSE,ISNUMBER(VALUE(metadata!J994))),metadata!J994&gt;0))</f>
        <v>0</v>
      </c>
      <c r="AM994" t="b">
        <f>AND(IF(metadata!K994="",FALSE,TRUE),EXACT(metadata!K994,"missing: not provided"))</f>
        <v>0</v>
      </c>
      <c r="AN994" t="b">
        <f>IF(metadata!L994="",FALSE,TRUE)</f>
        <v>0</v>
      </c>
      <c r="AO994" t="b">
        <f>IF(metadata!M994="",FALSE,TRUE)</f>
        <v>0</v>
      </c>
      <c r="AP994" t="b">
        <f>OR(AND(IF(metadata!N994="",FALSE,TRUE),OR(EXACT(metadata!N994,"not applicable"),EXACT(metadata!N994,"missing: not collected"),EXACT(metadata!N994,"missing: not provided"))),AND(IF(metadata!N994="",FALSE,IF(ISERROR(INT(metadata!N994)),FALSE,INT(metadata!N994)=metadata!N994)),metadata!N994&gt;0))</f>
        <v>0</v>
      </c>
      <c r="AQ994" t="b">
        <f>AND(IF(metadata!O994="",FALSE,TRUE),EXACT(metadata!O994,"Not applicable"))</f>
        <v>0</v>
      </c>
      <c r="AR994" t="b">
        <f>OR(AND(IF(metadata!P994="",FALSE,TRUE),OR(EXACT(metadata!P994,"not applicable"),EXACT(metadata!P994,"missing: not collected"),EXACT(metadata!P994,"missing: not provided"),EXACT(metadata!P994,"missing: restricted access"))),IF(metadata!P994="",FALSE,IF(ISERROR(INT(metadata!P994)),FALSE,INT(metadata!P994)=metadata!P994)))</f>
        <v>0</v>
      </c>
      <c r="AS994" t="b">
        <f>AND(IF(metadata!Q994="",FALSE,TRUE),EXACT(metadata!Q994,"Not applicable"))</f>
        <v>0</v>
      </c>
      <c r="AT994" t="b">
        <f>OR(AND(IF(metadata!R994="",FALSE,TRUE),OR(EXACT(metadata!R994,"not applicable"),EXACT(metadata!R994,"missing: not collected"),EXACT(metadata!R994,"missing: not provided"),EXACT(metadata!R994,"missing: restricted access"))),AND(IF(metadata!R994="",FALSE,ISNUMBER(VALUE(metadata!R994))),metadata!R994&gt;0))</f>
        <v>0</v>
      </c>
      <c r="AU994" t="b">
        <f>AND(IF(metadata!S994="",FALSE,TRUE),EXACT(metadata!S994,"missing: not provided"))</f>
        <v>0</v>
      </c>
    </row>
    <row r="995" spans="1:47" x14ac:dyDescent="0.2">
      <c r="A995" s="5" t="str">
        <f ca="1">IF(B995=" "," ",HYPERLINK(CONCATENATE("#metadata!",ADDRESS(INDEX($Y$2:$Y$1001,MATCH(ROWS($W$2:W995),$W$2:$W$1001,0),0),1)),INDEX($AB$2:$AB$1001,MATCH(ROWS($W$2:W995),$W$2:$W$1001,0),0)))</f>
        <v xml:space="preserve"> </v>
      </c>
      <c r="B995" s="4" t="str">
        <f ca="1">IF(OR(INDEX($X$2:$X$1001,MATCH(ROWS($W$2:W995),$W$2:$W$1001,0),1)&gt;=100000,INDEX($AD$1005:$AU$1005,1,MATCH(COLUMNS($AD$1006:AD1006),$AD$1006:$AU$1006,0))&gt;=100000), " ",IF(INDEX($AD$2:$AU$1001,MATCH(ROWS($W$2:W995),$W$2:$W$1001,0),MATCH(COLUMNS($AD$1006:AD1006),$AD$1006:$AU$1006,0)), HYPERLINK("#",""), HYPERLINK(CONCATENATE("#metadata!", ADDRESS(INDEX($Y$2:$Y$1001,MATCH(ROWS($W$2:W995),$W$2:$W$1001,0),0), INDEX($AD$1004:$AU$1004,1,MATCH(COLUMNS($AD$1006:AD1006),$AD$1006:$AU$1006,0)))),"Fix")))</f>
        <v xml:space="preserve"> </v>
      </c>
      <c r="C995" s="4" t="str">
        <f ca="1">IF(OR(INDEX($X$2:$X$1001,MATCH(ROWS($W$2:W995),$W$2:$W$1001,0),1)&gt;=100000,INDEX($AD$1005:$AU$1005,1,MATCH(COLUMNS($AD$1006:AE1006),$AD$1006:$AU$1006,0))&gt;=100000), " ",IF(INDEX($AD$2:$AU$1001,MATCH(ROWS($W$2:W995),$W$2:$W$1001,0),MATCH(COLUMNS($AD$1006:AE1006),$AD$1006:$AU$1006,0)), HYPERLINK("#",""), HYPERLINK(CONCATENATE("#metadata!", ADDRESS(INDEX($Y$2:$Y$1001,MATCH(ROWS($W$2:W995),$W$2:$W$1001,0),0), INDEX($AD$1004:$AU$1004,1,MATCH(COLUMNS($AD$1006:AE1006),$AD$1006:$AU$1006,0)))),"Fix")))</f>
        <v xml:space="preserve"> </v>
      </c>
      <c r="D995" s="4" t="str">
        <f ca="1">IF(OR(INDEX($X$2:$X$1001,MATCH(ROWS($W$2:W995),$W$2:$W$1001,0),1)&gt;=100000,INDEX($AD$1005:$AU$1005,1,MATCH(COLUMNS($AD$1006:AF1006),$AD$1006:$AU$1006,0))&gt;=100000), " ",IF(INDEX($AD$2:$AU$1001,MATCH(ROWS($W$2:W995),$W$2:$W$1001,0),MATCH(COLUMNS($AD$1006:AF1006),$AD$1006:$AU$1006,0)), HYPERLINK("#",""), HYPERLINK(CONCATENATE("#metadata!", ADDRESS(INDEX($Y$2:$Y$1001,MATCH(ROWS($W$2:W995),$W$2:$W$1001,0),0), INDEX($AD$1004:$AU$1004,1,MATCH(COLUMNS($AD$1006:AF1006),$AD$1006:$AU$1006,0)))),"Fix")))</f>
        <v xml:space="preserve"> </v>
      </c>
      <c r="E995" s="4" t="str">
        <f ca="1">IF(OR(INDEX($X$2:$X$1001,MATCH(ROWS($W$2:W995),$W$2:$W$1001,0),1)&gt;=100000,INDEX($AD$1005:$AU$1005,1,MATCH(COLUMNS($AD$1006:AG1006),$AD$1006:$AU$1006,0))&gt;=100000), " ",IF(INDEX($AD$2:$AU$1001,MATCH(ROWS($W$2:W995),$W$2:$W$1001,0),MATCH(COLUMNS($AD$1006:AG1006),$AD$1006:$AU$1006,0)), HYPERLINK("#",""), HYPERLINK(CONCATENATE("#metadata!", ADDRESS(INDEX($Y$2:$Y$1001,MATCH(ROWS($W$2:W995),$W$2:$W$1001,0),0), INDEX($AD$1004:$AU$1004,1,MATCH(COLUMNS($AD$1006:AG1006),$AD$1006:$AU$1006,0)))),"Fix")))</f>
        <v xml:space="preserve"> </v>
      </c>
      <c r="F995" s="4" t="str">
        <f ca="1">IF(OR(INDEX($X$2:$X$1001,MATCH(ROWS($W$2:W995),$W$2:$W$1001,0),1)&gt;=100000,INDEX($AD$1005:$AU$1005,1,MATCH(COLUMNS($AD$1006:AH1006),$AD$1006:$AU$1006,0))&gt;=100000), " ",IF(INDEX($AD$2:$AU$1001,MATCH(ROWS($W$2:W995),$W$2:$W$1001,0),MATCH(COLUMNS($AD$1006:AH1006),$AD$1006:$AU$1006,0)), HYPERLINK("#",""), HYPERLINK(CONCATENATE("#metadata!", ADDRESS(INDEX($Y$2:$Y$1001,MATCH(ROWS($W$2:W995),$W$2:$W$1001,0),0), INDEX($AD$1004:$AU$1004,1,MATCH(COLUMNS($AD$1006:AH1006),$AD$1006:$AU$1006,0)))),"Fix")))</f>
        <v xml:space="preserve"> </v>
      </c>
      <c r="G995" s="4" t="str">
        <f ca="1">IF(OR(INDEX($X$2:$X$1001,MATCH(ROWS($W$2:W995),$W$2:$W$1001,0),1)&gt;=100000,INDEX($AD$1005:$AU$1005,1,MATCH(COLUMNS($AD$1006:AI1006),$AD$1006:$AU$1006,0))&gt;=100000), " ",IF(INDEX($AD$2:$AU$1001,MATCH(ROWS($W$2:W995),$W$2:$W$1001,0),MATCH(COLUMNS($AD$1006:AI1006),$AD$1006:$AU$1006,0)), HYPERLINK("#",""), HYPERLINK(CONCATENATE("#metadata!", ADDRESS(INDEX($Y$2:$Y$1001,MATCH(ROWS($W$2:W995),$W$2:$W$1001,0),0), INDEX($AD$1004:$AU$1004,1,MATCH(COLUMNS($AD$1006:AI1006),$AD$1006:$AU$1006,0)))),"Fix")))</f>
        <v xml:space="preserve"> </v>
      </c>
      <c r="H995" s="4" t="str">
        <f ca="1">IF(OR(INDEX($X$2:$X$1001,MATCH(ROWS($W$2:W995),$W$2:$W$1001,0),1)&gt;=100000,INDEX($AD$1005:$AU$1005,1,MATCH(COLUMNS($AD$1006:AJ1006),$AD$1006:$AU$1006,0))&gt;=100000), " ",IF(INDEX($AD$2:$AU$1001,MATCH(ROWS($W$2:W995),$W$2:$W$1001,0),MATCH(COLUMNS($AD$1006:AJ1006),$AD$1006:$AU$1006,0)), HYPERLINK("#",""), HYPERLINK(CONCATENATE("#metadata!", ADDRESS(INDEX($Y$2:$Y$1001,MATCH(ROWS($W$2:W995),$W$2:$W$1001,0),0), INDEX($AD$1004:$AU$1004,1,MATCH(COLUMNS($AD$1006:AJ1006),$AD$1006:$AU$1006,0)))),"Fix")))</f>
        <v xml:space="preserve"> </v>
      </c>
      <c r="I995" s="4" t="str">
        <f ca="1">IF(OR(INDEX($X$2:$X$1001,MATCH(ROWS($W$2:W995),$W$2:$W$1001,0),1)&gt;=100000,INDEX($AD$1005:$AU$1005,1,MATCH(COLUMNS($AD$1006:AK1006),$AD$1006:$AU$1006,0))&gt;=100000), " ",IF(INDEX($AD$2:$AU$1001,MATCH(ROWS($W$2:W995),$W$2:$W$1001,0),MATCH(COLUMNS($AD$1006:AK1006),$AD$1006:$AU$1006,0)), HYPERLINK("#",""), HYPERLINK(CONCATENATE("#metadata!", ADDRESS(INDEX($Y$2:$Y$1001,MATCH(ROWS($W$2:W995),$W$2:$W$1001,0),0), INDEX($AD$1004:$AU$1004,1,MATCH(COLUMNS($AD$1006:AK1006),$AD$1006:$AU$1006,0)))),"Fix")))</f>
        <v xml:space="preserve"> </v>
      </c>
      <c r="J995" s="4" t="str">
        <f ca="1">IF(OR(INDEX($X$2:$X$1001,MATCH(ROWS($W$2:W995),$W$2:$W$1001,0),1)&gt;=100000,INDEX($AD$1005:$AU$1005,1,MATCH(COLUMNS($AD$1006:AL1006),$AD$1006:$AU$1006,0))&gt;=100000), " ",IF(INDEX($AD$2:$AU$1001,MATCH(ROWS($W$2:W995),$W$2:$W$1001,0),MATCH(COLUMNS($AD$1006:AL1006),$AD$1006:$AU$1006,0)), HYPERLINK("#",""), HYPERLINK(CONCATENATE("#metadata!", ADDRESS(INDEX($Y$2:$Y$1001,MATCH(ROWS($W$2:W995),$W$2:$W$1001,0),0), INDEX($AD$1004:$AU$1004,1,MATCH(COLUMNS($AD$1006:AL1006),$AD$1006:$AU$1006,0)))),"Fix")))</f>
        <v xml:space="preserve"> </v>
      </c>
      <c r="K995" s="4" t="str">
        <f ca="1">IF(OR(INDEX($X$2:$X$1001,MATCH(ROWS($W$2:W995),$W$2:$W$1001,0),1)&gt;=100000,INDEX($AD$1005:$AU$1005,1,MATCH(COLUMNS($AD$1006:AM1006),$AD$1006:$AU$1006,0))&gt;=100000), " ",IF(INDEX($AD$2:$AU$1001,MATCH(ROWS($W$2:W995),$W$2:$W$1001,0),MATCH(COLUMNS($AD$1006:AM1006),$AD$1006:$AU$1006,0)), HYPERLINK("#",""), HYPERLINK(CONCATENATE("#metadata!", ADDRESS(INDEX($Y$2:$Y$1001,MATCH(ROWS($W$2:W995),$W$2:$W$1001,0),0), INDEX($AD$1004:$AU$1004,1,MATCH(COLUMNS($AD$1006:AM1006),$AD$1006:$AU$1006,0)))),"Fix")))</f>
        <v xml:space="preserve"> </v>
      </c>
      <c r="L995" s="4" t="str">
        <f ca="1">IF(OR(INDEX($X$2:$X$1001,MATCH(ROWS($W$2:W995),$W$2:$W$1001,0),1)&gt;=100000,INDEX($AD$1005:$AU$1005,1,MATCH(COLUMNS($AD$1006:AN1006),$AD$1006:$AU$1006,0))&gt;=100000), " ",IF(INDEX($AD$2:$AU$1001,MATCH(ROWS($W$2:W995),$W$2:$W$1001,0),MATCH(COLUMNS($AD$1006:AN1006),$AD$1006:$AU$1006,0)), HYPERLINK("#",""), HYPERLINK(CONCATENATE("#metadata!", ADDRESS(INDEX($Y$2:$Y$1001,MATCH(ROWS($W$2:W995),$W$2:$W$1001,0),0), INDEX($AD$1004:$AU$1004,1,MATCH(COLUMNS($AD$1006:AN1006),$AD$1006:$AU$1006,0)))),"Fix")))</f>
        <v xml:space="preserve"> </v>
      </c>
      <c r="M995" s="4" t="str">
        <f ca="1">IF(OR(INDEX($X$2:$X$1001,MATCH(ROWS($W$2:W995),$W$2:$W$1001,0),1)&gt;=100000,INDEX($AD$1005:$AU$1005,1,MATCH(COLUMNS($AD$1006:AO1006),$AD$1006:$AU$1006,0))&gt;=100000), " ",IF(INDEX($AD$2:$AU$1001,MATCH(ROWS($W$2:W995),$W$2:$W$1001,0),MATCH(COLUMNS($AD$1006:AO1006),$AD$1006:$AU$1006,0)), HYPERLINK("#",""), HYPERLINK(CONCATENATE("#metadata!", ADDRESS(INDEX($Y$2:$Y$1001,MATCH(ROWS($W$2:W995),$W$2:$W$1001,0),0), INDEX($AD$1004:$AU$1004,1,MATCH(COLUMNS($AD$1006:AO1006),$AD$1006:$AU$1006,0)))),"Fix")))</f>
        <v xml:space="preserve"> </v>
      </c>
      <c r="N995" s="4" t="str">
        <f ca="1">IF(OR(INDEX($X$2:$X$1001,MATCH(ROWS($W$2:W995),$W$2:$W$1001,0),1)&gt;=100000,INDEX($AD$1005:$AU$1005,1,MATCH(COLUMNS($AD$1006:AP1006),$AD$1006:$AU$1006,0))&gt;=100000), " ",IF(INDEX($AD$2:$AU$1001,MATCH(ROWS($W$2:W995),$W$2:$W$1001,0),MATCH(COLUMNS($AD$1006:AP1006),$AD$1006:$AU$1006,0)), HYPERLINK("#",""), HYPERLINK(CONCATENATE("#metadata!", ADDRESS(INDEX($Y$2:$Y$1001,MATCH(ROWS($W$2:W995),$W$2:$W$1001,0),0), INDEX($AD$1004:$AU$1004,1,MATCH(COLUMNS($AD$1006:AP1006),$AD$1006:$AU$1006,0)))),"Fix")))</f>
        <v xml:space="preserve"> </v>
      </c>
      <c r="O995" s="4" t="str">
        <f ca="1">IF(OR(INDEX($X$2:$X$1001,MATCH(ROWS($W$2:W995),$W$2:$W$1001,0),1)&gt;=100000,INDEX($AD$1005:$AU$1005,1,MATCH(COLUMNS($AD$1006:AQ1006),$AD$1006:$AU$1006,0))&gt;=100000), " ",IF(INDEX($AD$2:$AU$1001,MATCH(ROWS($W$2:W995),$W$2:$W$1001,0),MATCH(COLUMNS($AD$1006:AQ1006),$AD$1006:$AU$1006,0)), HYPERLINK("#",""), HYPERLINK(CONCATENATE("#metadata!", ADDRESS(INDEX($Y$2:$Y$1001,MATCH(ROWS($W$2:W995),$W$2:$W$1001,0),0), INDEX($AD$1004:$AU$1004,1,MATCH(COLUMNS($AD$1006:AQ1006),$AD$1006:$AU$1006,0)))),"Fix")))</f>
        <v xml:space="preserve"> </v>
      </c>
      <c r="P995" s="4" t="str">
        <f ca="1">IF(OR(INDEX($X$2:$X$1001,MATCH(ROWS($W$2:W995),$W$2:$W$1001,0),1)&gt;=100000,INDEX($AD$1005:$AU$1005,1,MATCH(COLUMNS($AD$1006:AR1006),$AD$1006:$AU$1006,0))&gt;=100000), " ",IF(INDEX($AD$2:$AU$1001,MATCH(ROWS($W$2:W995),$W$2:$W$1001,0),MATCH(COLUMNS($AD$1006:AR1006),$AD$1006:$AU$1006,0)), HYPERLINK("#",""), HYPERLINK(CONCATENATE("#metadata!", ADDRESS(INDEX($Y$2:$Y$1001,MATCH(ROWS($W$2:W995),$W$2:$W$1001,0),0), INDEX($AD$1004:$AU$1004,1,MATCH(COLUMNS($AD$1006:AR1006),$AD$1006:$AU$1006,0)))),"Fix")))</f>
        <v xml:space="preserve"> </v>
      </c>
      <c r="Q995" s="4" t="str">
        <f ca="1">IF(OR(INDEX($X$2:$X$1001,MATCH(ROWS($W$2:W995),$W$2:$W$1001,0),1)&gt;=100000,INDEX($AD$1005:$AU$1005,1,MATCH(COLUMNS($AD$1006:AS1006),$AD$1006:$AU$1006,0))&gt;=100000), " ",IF(INDEX($AD$2:$AU$1001,MATCH(ROWS($W$2:W995),$W$2:$W$1001,0),MATCH(COLUMNS($AD$1006:AS1006),$AD$1006:$AU$1006,0)), HYPERLINK("#",""), HYPERLINK(CONCATENATE("#metadata!", ADDRESS(INDEX($Y$2:$Y$1001,MATCH(ROWS($W$2:W995),$W$2:$W$1001,0),0), INDEX($AD$1004:$AU$1004,1,MATCH(COLUMNS($AD$1006:AS1006),$AD$1006:$AU$1006,0)))),"Fix")))</f>
        <v xml:space="preserve"> </v>
      </c>
      <c r="R995" s="4" t="str">
        <f ca="1">IF(OR(INDEX($X$2:$X$1001,MATCH(ROWS($W$2:W995),$W$2:$W$1001,0),1)&gt;=100000,INDEX($AD$1005:$AU$1005,1,MATCH(COLUMNS($AD$1006:AT1006),$AD$1006:$AU$1006,0))&gt;=100000), " ",IF(INDEX($AD$2:$AU$1001,MATCH(ROWS($W$2:W995),$W$2:$W$1001,0),MATCH(COLUMNS($AD$1006:AT1006),$AD$1006:$AU$1006,0)), HYPERLINK("#",""), HYPERLINK(CONCATENATE("#metadata!", ADDRESS(INDEX($Y$2:$Y$1001,MATCH(ROWS($W$2:W995),$W$2:$W$1001,0),0), INDEX($AD$1004:$AU$1004,1,MATCH(COLUMNS($AD$1006:AT1006),$AD$1006:$AU$1006,0)))),"Fix")))</f>
        <v xml:space="preserve"> </v>
      </c>
      <c r="S995" s="4" t="str">
        <f ca="1">IF(OR(INDEX($X$2:$X$1001,MATCH(ROWS($W$2:W995),$W$2:$W$1001,0),1)&gt;=100000,INDEX($AD$1005:$AU$1005,1,MATCH(COLUMNS($AD$1006:AU1006),$AD$1006:$AU$1006,0))&gt;=100000), " ",IF(INDEX($AD$2:$AU$1001,MATCH(ROWS($W$2:W995),$W$2:$W$1001,0),MATCH(COLUMNS($AD$1006:AU1006),$AD$1006:$AU$1006,0)), HYPERLINK("#",""), HYPERLINK(CONCATENATE("#metadata!", ADDRESS(INDEX($Y$2:$Y$1001,MATCH(ROWS($W$2:W995),$W$2:$W$1001,0),0), INDEX($AD$1004:$AU$1004,1,MATCH(COLUMNS($AD$1006:AU1006),$AD$1006:$AU$1006,0)))),"Fix")))</f>
        <v xml:space="preserve"> </v>
      </c>
      <c r="W995">
        <v>994</v>
      </c>
      <c r="X995">
        <v>100995</v>
      </c>
      <c r="Y995">
        <v>995</v>
      </c>
      <c r="Z995" t="b">
        <f t="shared" si="15"/>
        <v>1</v>
      </c>
      <c r="AA995" t="b">
        <f>COUNTBLANK(metadata!B995:S995)=COLUMNS(metadata!B995:S995)</f>
        <v>1</v>
      </c>
      <c r="AB995" t="str">
        <v/>
      </c>
      <c r="AD995" t="b">
        <f ca="1">AND(IF(metadata!B995="",FALSE,TRUE),COUNTIF(metadata!B:B, metadata!B995) = 1,NOT(ISERROR(SUMPRODUCT(SEARCH(MID(metadata!B995,ROW(INDIRECT("1:"&amp;LEN(metadata!B995))), 1),"0123456789abcdefghijklmnopqrstuvwxyzABCDEFGHIJKLMNOPQRSTUVWXYZ.")))))</f>
        <v>0</v>
      </c>
      <c r="AE995" t="b">
        <f>OR(AND(IF(metadata!C995="",FALSE,TRUE),OR(EXACT(metadata!C995,"not applicable"),EXACT(metadata!C995,"missing: not collected"),EXACT(metadata!C995,"missing: not provided"),EXACT(metadata!C995,"missing: restricted access"))),AND(IF(metadata!C995="",FALSE,ISNUMBER(VALUE(metadata!C995))),metadata!C995&gt;0))</f>
        <v>0</v>
      </c>
      <c r="AF995" t="b">
        <f>AND(IF(metadata!D995="",FALSE,TRUE),EXACT(metadata!D995,"missing: not provided"))</f>
        <v>0</v>
      </c>
      <c r="AG995" t="b">
        <f>AND(IF(metadata!E995="",FALSE,TRUE),EXACT(metadata!E995,"Host-associated"))</f>
        <v>0</v>
      </c>
      <c r="AH995" t="b">
        <f>AND(IF(metadata!F995="",FALSE,TRUE),OR(EXACT(metadata!F995,"Animal"),EXACT(metadata!F995,"Fungus"),EXACT(metadata!F995,"Plant")))</f>
        <v>0</v>
      </c>
      <c r="AI995" t="b">
        <f>AND(IF(metadata!G995="",FALSE,TRUE),OR(EXACT(metadata!G995,"Plant secretion"),EXACT(metadata!G995,"Plant rhizosphere"),EXACT(metadata!G995,"Plant surface"),EXACT(metadata!G995,"Plant corpus"),EXACT(metadata!G995,"Fungus surface"),EXACT(metadata!G995,"Fungus corpus"),EXACT(metadata!G995,"Animal surface"),EXACT(metadata!G995,"Animal proximal gut"),EXACT(metadata!G995,"Animal corpus"),EXACT(metadata!G995,"Animal distal gut"),EXACT(metadata!G995,"Animal secretion")))</f>
        <v>0</v>
      </c>
      <c r="AJ995" t="b">
        <f>OR(AND(IF(metadata!H995="",FALSE,TRUE),OR(EXACT(metadata!H995,"missing: not collected"),EXACT(metadata!H995,"missing: not provided"),EXACT(metadata!H995,"missing: restricted access"))),AND(IF(metadata!H995="",FALSE,TRUE),OR(EXACT(metadata!H995,"organism-associated habitat"),EXACT(metadata!H995,"plant-associated habitat"),EXACT(metadata!H995,"animal-associated habitat"),EXACT(metadata!H995,"insecta-associated habitat"),EXACT(metadata!H995,"mammalia-associated habitat"),EXACT(metadata!H995,"human-associated habitat"),EXACT(metadata!H995,"livestock-associated habitat"))))</f>
        <v>0</v>
      </c>
      <c r="AK995" t="b">
        <f>AND(IF(metadata!I995="",FALSE,TRUE),EXACT(metadata!I995,"host-associated"))</f>
        <v>0</v>
      </c>
      <c r="AL995" t="b">
        <f>OR(AND(IF(metadata!J995="",FALSE,TRUE),OR(EXACT(metadata!J995,"not applicable"),EXACT(metadata!J995,"missing: not collected"),EXACT(metadata!J995,"missing: not provided"),EXACT(metadata!J995,"missing: restricted access"))),AND(IF(metadata!J995="",FALSE,ISNUMBER(VALUE(metadata!J995))),metadata!J995&gt;0))</f>
        <v>0</v>
      </c>
      <c r="AM995" t="b">
        <f>AND(IF(metadata!K995="",FALSE,TRUE),EXACT(metadata!K995,"missing: not provided"))</f>
        <v>0</v>
      </c>
      <c r="AN995" t="b">
        <f>IF(metadata!L995="",FALSE,TRUE)</f>
        <v>0</v>
      </c>
      <c r="AO995" t="b">
        <f>IF(metadata!M995="",FALSE,TRUE)</f>
        <v>0</v>
      </c>
      <c r="AP995" t="b">
        <f>OR(AND(IF(metadata!N995="",FALSE,TRUE),OR(EXACT(metadata!N995,"not applicable"),EXACT(metadata!N995,"missing: not collected"),EXACT(metadata!N995,"missing: not provided"))),AND(IF(metadata!N995="",FALSE,IF(ISERROR(INT(metadata!N995)),FALSE,INT(metadata!N995)=metadata!N995)),metadata!N995&gt;0))</f>
        <v>0</v>
      </c>
      <c r="AQ995" t="b">
        <f>AND(IF(metadata!O995="",FALSE,TRUE),EXACT(metadata!O995,"Not applicable"))</f>
        <v>0</v>
      </c>
      <c r="AR995" t="b">
        <f>OR(AND(IF(metadata!P995="",FALSE,TRUE),OR(EXACT(metadata!P995,"not applicable"),EXACT(metadata!P995,"missing: not collected"),EXACT(metadata!P995,"missing: not provided"),EXACT(metadata!P995,"missing: restricted access"))),IF(metadata!P995="",FALSE,IF(ISERROR(INT(metadata!P995)),FALSE,INT(metadata!P995)=metadata!P995)))</f>
        <v>0</v>
      </c>
      <c r="AS995" t="b">
        <f>AND(IF(metadata!Q995="",FALSE,TRUE),EXACT(metadata!Q995,"Not applicable"))</f>
        <v>0</v>
      </c>
      <c r="AT995" t="b">
        <f>OR(AND(IF(metadata!R995="",FALSE,TRUE),OR(EXACT(metadata!R995,"not applicable"),EXACT(metadata!R995,"missing: not collected"),EXACT(metadata!R995,"missing: not provided"),EXACT(metadata!R995,"missing: restricted access"))),AND(IF(metadata!R995="",FALSE,ISNUMBER(VALUE(metadata!R995))),metadata!R995&gt;0))</f>
        <v>0</v>
      </c>
      <c r="AU995" t="b">
        <f>AND(IF(metadata!S995="",FALSE,TRUE),EXACT(metadata!S995,"missing: not provided"))</f>
        <v>0</v>
      </c>
    </row>
    <row r="996" spans="1:47" x14ac:dyDescent="0.2">
      <c r="A996" s="5" t="str">
        <f ca="1">IF(B996=" "," ",HYPERLINK(CONCATENATE("#metadata!",ADDRESS(INDEX($Y$2:$Y$1001,MATCH(ROWS($W$2:W996),$W$2:$W$1001,0),0),1)),INDEX($AB$2:$AB$1001,MATCH(ROWS($W$2:W996),$W$2:$W$1001,0),0)))</f>
        <v xml:space="preserve"> </v>
      </c>
      <c r="B996" s="4" t="str">
        <f ca="1">IF(OR(INDEX($X$2:$X$1001,MATCH(ROWS($W$2:W996),$W$2:$W$1001,0),1)&gt;=100000,INDEX($AD$1005:$AU$1005,1,MATCH(COLUMNS($AD$1006:AD1006),$AD$1006:$AU$1006,0))&gt;=100000), " ",IF(INDEX($AD$2:$AU$1001,MATCH(ROWS($W$2:W996),$W$2:$W$1001,0),MATCH(COLUMNS($AD$1006:AD1006),$AD$1006:$AU$1006,0)), HYPERLINK("#",""), HYPERLINK(CONCATENATE("#metadata!", ADDRESS(INDEX($Y$2:$Y$1001,MATCH(ROWS($W$2:W996),$W$2:$W$1001,0),0), INDEX($AD$1004:$AU$1004,1,MATCH(COLUMNS($AD$1006:AD1006),$AD$1006:$AU$1006,0)))),"Fix")))</f>
        <v xml:space="preserve"> </v>
      </c>
      <c r="C996" s="4" t="str">
        <f ca="1">IF(OR(INDEX($X$2:$X$1001,MATCH(ROWS($W$2:W996),$W$2:$W$1001,0),1)&gt;=100000,INDEX($AD$1005:$AU$1005,1,MATCH(COLUMNS($AD$1006:AE1006),$AD$1006:$AU$1006,0))&gt;=100000), " ",IF(INDEX($AD$2:$AU$1001,MATCH(ROWS($W$2:W996),$W$2:$W$1001,0),MATCH(COLUMNS($AD$1006:AE1006),$AD$1006:$AU$1006,0)), HYPERLINK("#",""), HYPERLINK(CONCATENATE("#metadata!", ADDRESS(INDEX($Y$2:$Y$1001,MATCH(ROWS($W$2:W996),$W$2:$W$1001,0),0), INDEX($AD$1004:$AU$1004,1,MATCH(COLUMNS($AD$1006:AE1006),$AD$1006:$AU$1006,0)))),"Fix")))</f>
        <v xml:space="preserve"> </v>
      </c>
      <c r="D996" s="4" t="str">
        <f ca="1">IF(OR(INDEX($X$2:$X$1001,MATCH(ROWS($W$2:W996),$W$2:$W$1001,0),1)&gt;=100000,INDEX($AD$1005:$AU$1005,1,MATCH(COLUMNS($AD$1006:AF1006),$AD$1006:$AU$1006,0))&gt;=100000), " ",IF(INDEX($AD$2:$AU$1001,MATCH(ROWS($W$2:W996),$W$2:$W$1001,0),MATCH(COLUMNS($AD$1006:AF1006),$AD$1006:$AU$1006,0)), HYPERLINK("#",""), HYPERLINK(CONCATENATE("#metadata!", ADDRESS(INDEX($Y$2:$Y$1001,MATCH(ROWS($W$2:W996),$W$2:$W$1001,0),0), INDEX($AD$1004:$AU$1004,1,MATCH(COLUMNS($AD$1006:AF1006),$AD$1006:$AU$1006,0)))),"Fix")))</f>
        <v xml:space="preserve"> </v>
      </c>
      <c r="E996" s="4" t="str">
        <f ca="1">IF(OR(INDEX($X$2:$X$1001,MATCH(ROWS($W$2:W996),$W$2:$W$1001,0),1)&gt;=100000,INDEX($AD$1005:$AU$1005,1,MATCH(COLUMNS($AD$1006:AG1006),$AD$1006:$AU$1006,0))&gt;=100000), " ",IF(INDEX($AD$2:$AU$1001,MATCH(ROWS($W$2:W996),$W$2:$W$1001,0),MATCH(COLUMNS($AD$1006:AG1006),$AD$1006:$AU$1006,0)), HYPERLINK("#",""), HYPERLINK(CONCATENATE("#metadata!", ADDRESS(INDEX($Y$2:$Y$1001,MATCH(ROWS($W$2:W996),$W$2:$W$1001,0),0), INDEX($AD$1004:$AU$1004,1,MATCH(COLUMNS($AD$1006:AG1006),$AD$1006:$AU$1006,0)))),"Fix")))</f>
        <v xml:space="preserve"> </v>
      </c>
      <c r="F996" s="4" t="str">
        <f ca="1">IF(OR(INDEX($X$2:$X$1001,MATCH(ROWS($W$2:W996),$W$2:$W$1001,0),1)&gt;=100000,INDEX($AD$1005:$AU$1005,1,MATCH(COLUMNS($AD$1006:AH1006),$AD$1006:$AU$1006,0))&gt;=100000), " ",IF(INDEX($AD$2:$AU$1001,MATCH(ROWS($W$2:W996),$W$2:$W$1001,0),MATCH(COLUMNS($AD$1006:AH1006),$AD$1006:$AU$1006,0)), HYPERLINK("#",""), HYPERLINK(CONCATENATE("#metadata!", ADDRESS(INDEX($Y$2:$Y$1001,MATCH(ROWS($W$2:W996),$W$2:$W$1001,0),0), INDEX($AD$1004:$AU$1004,1,MATCH(COLUMNS($AD$1006:AH1006),$AD$1006:$AU$1006,0)))),"Fix")))</f>
        <v xml:space="preserve"> </v>
      </c>
      <c r="G996" s="4" t="str">
        <f ca="1">IF(OR(INDEX($X$2:$X$1001,MATCH(ROWS($W$2:W996),$W$2:$W$1001,0),1)&gt;=100000,INDEX($AD$1005:$AU$1005,1,MATCH(COLUMNS($AD$1006:AI1006),$AD$1006:$AU$1006,0))&gt;=100000), " ",IF(INDEX($AD$2:$AU$1001,MATCH(ROWS($W$2:W996),$W$2:$W$1001,0),MATCH(COLUMNS($AD$1006:AI1006),$AD$1006:$AU$1006,0)), HYPERLINK("#",""), HYPERLINK(CONCATENATE("#metadata!", ADDRESS(INDEX($Y$2:$Y$1001,MATCH(ROWS($W$2:W996),$W$2:$W$1001,0),0), INDEX($AD$1004:$AU$1004,1,MATCH(COLUMNS($AD$1006:AI1006),$AD$1006:$AU$1006,0)))),"Fix")))</f>
        <v xml:space="preserve"> </v>
      </c>
      <c r="H996" s="4" t="str">
        <f ca="1">IF(OR(INDEX($X$2:$X$1001,MATCH(ROWS($W$2:W996),$W$2:$W$1001,0),1)&gt;=100000,INDEX($AD$1005:$AU$1005,1,MATCH(COLUMNS($AD$1006:AJ1006),$AD$1006:$AU$1006,0))&gt;=100000), " ",IF(INDEX($AD$2:$AU$1001,MATCH(ROWS($W$2:W996),$W$2:$W$1001,0),MATCH(COLUMNS($AD$1006:AJ1006),$AD$1006:$AU$1006,0)), HYPERLINK("#",""), HYPERLINK(CONCATENATE("#metadata!", ADDRESS(INDEX($Y$2:$Y$1001,MATCH(ROWS($W$2:W996),$W$2:$W$1001,0),0), INDEX($AD$1004:$AU$1004,1,MATCH(COLUMNS($AD$1006:AJ1006),$AD$1006:$AU$1006,0)))),"Fix")))</f>
        <v xml:space="preserve"> </v>
      </c>
      <c r="I996" s="4" t="str">
        <f ca="1">IF(OR(INDEX($X$2:$X$1001,MATCH(ROWS($W$2:W996),$W$2:$W$1001,0),1)&gt;=100000,INDEX($AD$1005:$AU$1005,1,MATCH(COLUMNS($AD$1006:AK1006),$AD$1006:$AU$1006,0))&gt;=100000), " ",IF(INDEX($AD$2:$AU$1001,MATCH(ROWS($W$2:W996),$W$2:$W$1001,0),MATCH(COLUMNS($AD$1006:AK1006),$AD$1006:$AU$1006,0)), HYPERLINK("#",""), HYPERLINK(CONCATENATE("#metadata!", ADDRESS(INDEX($Y$2:$Y$1001,MATCH(ROWS($W$2:W996),$W$2:$W$1001,0),0), INDEX($AD$1004:$AU$1004,1,MATCH(COLUMNS($AD$1006:AK1006),$AD$1006:$AU$1006,0)))),"Fix")))</f>
        <v xml:space="preserve"> </v>
      </c>
      <c r="J996" s="4" t="str">
        <f ca="1">IF(OR(INDEX($X$2:$X$1001,MATCH(ROWS($W$2:W996),$W$2:$W$1001,0),1)&gt;=100000,INDEX($AD$1005:$AU$1005,1,MATCH(COLUMNS($AD$1006:AL1006),$AD$1006:$AU$1006,0))&gt;=100000), " ",IF(INDEX($AD$2:$AU$1001,MATCH(ROWS($W$2:W996),$W$2:$W$1001,0),MATCH(COLUMNS($AD$1006:AL1006),$AD$1006:$AU$1006,0)), HYPERLINK("#",""), HYPERLINK(CONCATENATE("#metadata!", ADDRESS(INDEX($Y$2:$Y$1001,MATCH(ROWS($W$2:W996),$W$2:$W$1001,0),0), INDEX($AD$1004:$AU$1004,1,MATCH(COLUMNS($AD$1006:AL1006),$AD$1006:$AU$1006,0)))),"Fix")))</f>
        <v xml:space="preserve"> </v>
      </c>
      <c r="K996" s="4" t="str">
        <f ca="1">IF(OR(INDEX($X$2:$X$1001,MATCH(ROWS($W$2:W996),$W$2:$W$1001,0),1)&gt;=100000,INDEX($AD$1005:$AU$1005,1,MATCH(COLUMNS($AD$1006:AM1006),$AD$1006:$AU$1006,0))&gt;=100000), " ",IF(INDEX($AD$2:$AU$1001,MATCH(ROWS($W$2:W996),$W$2:$W$1001,0),MATCH(COLUMNS($AD$1006:AM1006),$AD$1006:$AU$1006,0)), HYPERLINK("#",""), HYPERLINK(CONCATENATE("#metadata!", ADDRESS(INDEX($Y$2:$Y$1001,MATCH(ROWS($W$2:W996),$W$2:$W$1001,0),0), INDEX($AD$1004:$AU$1004,1,MATCH(COLUMNS($AD$1006:AM1006),$AD$1006:$AU$1006,0)))),"Fix")))</f>
        <v xml:space="preserve"> </v>
      </c>
      <c r="L996" s="4" t="str">
        <f ca="1">IF(OR(INDEX($X$2:$X$1001,MATCH(ROWS($W$2:W996),$W$2:$W$1001,0),1)&gt;=100000,INDEX($AD$1005:$AU$1005,1,MATCH(COLUMNS($AD$1006:AN1006),$AD$1006:$AU$1006,0))&gt;=100000), " ",IF(INDEX($AD$2:$AU$1001,MATCH(ROWS($W$2:W996),$W$2:$W$1001,0),MATCH(COLUMNS($AD$1006:AN1006),$AD$1006:$AU$1006,0)), HYPERLINK("#",""), HYPERLINK(CONCATENATE("#metadata!", ADDRESS(INDEX($Y$2:$Y$1001,MATCH(ROWS($W$2:W996),$W$2:$W$1001,0),0), INDEX($AD$1004:$AU$1004,1,MATCH(COLUMNS($AD$1006:AN1006),$AD$1006:$AU$1006,0)))),"Fix")))</f>
        <v xml:space="preserve"> </v>
      </c>
      <c r="M996" s="4" t="str">
        <f ca="1">IF(OR(INDEX($X$2:$X$1001,MATCH(ROWS($W$2:W996),$W$2:$W$1001,0),1)&gt;=100000,INDEX($AD$1005:$AU$1005,1,MATCH(COLUMNS($AD$1006:AO1006),$AD$1006:$AU$1006,0))&gt;=100000), " ",IF(INDEX($AD$2:$AU$1001,MATCH(ROWS($W$2:W996),$W$2:$W$1001,0),MATCH(COLUMNS($AD$1006:AO1006),$AD$1006:$AU$1006,0)), HYPERLINK("#",""), HYPERLINK(CONCATENATE("#metadata!", ADDRESS(INDEX($Y$2:$Y$1001,MATCH(ROWS($W$2:W996),$W$2:$W$1001,0),0), INDEX($AD$1004:$AU$1004,1,MATCH(COLUMNS($AD$1006:AO1006),$AD$1006:$AU$1006,0)))),"Fix")))</f>
        <v xml:space="preserve"> </v>
      </c>
      <c r="N996" s="4" t="str">
        <f ca="1">IF(OR(INDEX($X$2:$X$1001,MATCH(ROWS($W$2:W996),$W$2:$W$1001,0),1)&gt;=100000,INDEX($AD$1005:$AU$1005,1,MATCH(COLUMNS($AD$1006:AP1006),$AD$1006:$AU$1006,0))&gt;=100000), " ",IF(INDEX($AD$2:$AU$1001,MATCH(ROWS($W$2:W996),$W$2:$W$1001,0),MATCH(COLUMNS($AD$1006:AP1006),$AD$1006:$AU$1006,0)), HYPERLINK("#",""), HYPERLINK(CONCATENATE("#metadata!", ADDRESS(INDEX($Y$2:$Y$1001,MATCH(ROWS($W$2:W996),$W$2:$W$1001,0),0), INDEX($AD$1004:$AU$1004,1,MATCH(COLUMNS($AD$1006:AP1006),$AD$1006:$AU$1006,0)))),"Fix")))</f>
        <v xml:space="preserve"> </v>
      </c>
      <c r="O996" s="4" t="str">
        <f ca="1">IF(OR(INDEX($X$2:$X$1001,MATCH(ROWS($W$2:W996),$W$2:$W$1001,0),1)&gt;=100000,INDEX($AD$1005:$AU$1005,1,MATCH(COLUMNS($AD$1006:AQ1006),$AD$1006:$AU$1006,0))&gt;=100000), " ",IF(INDEX($AD$2:$AU$1001,MATCH(ROWS($W$2:W996),$W$2:$W$1001,0),MATCH(COLUMNS($AD$1006:AQ1006),$AD$1006:$AU$1006,0)), HYPERLINK("#",""), HYPERLINK(CONCATENATE("#metadata!", ADDRESS(INDEX($Y$2:$Y$1001,MATCH(ROWS($W$2:W996),$W$2:$W$1001,0),0), INDEX($AD$1004:$AU$1004,1,MATCH(COLUMNS($AD$1006:AQ1006),$AD$1006:$AU$1006,0)))),"Fix")))</f>
        <v xml:space="preserve"> </v>
      </c>
      <c r="P996" s="4" t="str">
        <f ca="1">IF(OR(INDEX($X$2:$X$1001,MATCH(ROWS($W$2:W996),$W$2:$W$1001,0),1)&gt;=100000,INDEX($AD$1005:$AU$1005,1,MATCH(COLUMNS($AD$1006:AR1006),$AD$1006:$AU$1006,0))&gt;=100000), " ",IF(INDEX($AD$2:$AU$1001,MATCH(ROWS($W$2:W996),$W$2:$W$1001,0),MATCH(COLUMNS($AD$1006:AR1006),$AD$1006:$AU$1006,0)), HYPERLINK("#",""), HYPERLINK(CONCATENATE("#metadata!", ADDRESS(INDEX($Y$2:$Y$1001,MATCH(ROWS($W$2:W996),$W$2:$W$1001,0),0), INDEX($AD$1004:$AU$1004,1,MATCH(COLUMNS($AD$1006:AR1006),$AD$1006:$AU$1006,0)))),"Fix")))</f>
        <v xml:space="preserve"> </v>
      </c>
      <c r="Q996" s="4" t="str">
        <f ca="1">IF(OR(INDEX($X$2:$X$1001,MATCH(ROWS($W$2:W996),$W$2:$W$1001,0),1)&gt;=100000,INDEX($AD$1005:$AU$1005,1,MATCH(COLUMNS($AD$1006:AS1006),$AD$1006:$AU$1006,0))&gt;=100000), " ",IF(INDEX($AD$2:$AU$1001,MATCH(ROWS($W$2:W996),$W$2:$W$1001,0),MATCH(COLUMNS($AD$1006:AS1006),$AD$1006:$AU$1006,0)), HYPERLINK("#",""), HYPERLINK(CONCATENATE("#metadata!", ADDRESS(INDEX($Y$2:$Y$1001,MATCH(ROWS($W$2:W996),$W$2:$W$1001,0),0), INDEX($AD$1004:$AU$1004,1,MATCH(COLUMNS($AD$1006:AS1006),$AD$1006:$AU$1006,0)))),"Fix")))</f>
        <v xml:space="preserve"> </v>
      </c>
      <c r="R996" s="4" t="str">
        <f ca="1">IF(OR(INDEX($X$2:$X$1001,MATCH(ROWS($W$2:W996),$W$2:$W$1001,0),1)&gt;=100000,INDEX($AD$1005:$AU$1005,1,MATCH(COLUMNS($AD$1006:AT1006),$AD$1006:$AU$1006,0))&gt;=100000), " ",IF(INDEX($AD$2:$AU$1001,MATCH(ROWS($W$2:W996),$W$2:$W$1001,0),MATCH(COLUMNS($AD$1006:AT1006),$AD$1006:$AU$1006,0)), HYPERLINK("#",""), HYPERLINK(CONCATENATE("#metadata!", ADDRESS(INDEX($Y$2:$Y$1001,MATCH(ROWS($W$2:W996),$W$2:$W$1001,0),0), INDEX($AD$1004:$AU$1004,1,MATCH(COLUMNS($AD$1006:AT1006),$AD$1006:$AU$1006,0)))),"Fix")))</f>
        <v xml:space="preserve"> </v>
      </c>
      <c r="S996" s="4" t="str">
        <f ca="1">IF(OR(INDEX($X$2:$X$1001,MATCH(ROWS($W$2:W996),$W$2:$W$1001,0),1)&gt;=100000,INDEX($AD$1005:$AU$1005,1,MATCH(COLUMNS($AD$1006:AU1006),$AD$1006:$AU$1006,0))&gt;=100000), " ",IF(INDEX($AD$2:$AU$1001,MATCH(ROWS($W$2:W996),$W$2:$W$1001,0),MATCH(COLUMNS($AD$1006:AU1006),$AD$1006:$AU$1006,0)), HYPERLINK("#",""), HYPERLINK(CONCATENATE("#metadata!", ADDRESS(INDEX($Y$2:$Y$1001,MATCH(ROWS($W$2:W996),$W$2:$W$1001,0),0), INDEX($AD$1004:$AU$1004,1,MATCH(COLUMNS($AD$1006:AU1006),$AD$1006:$AU$1006,0)))),"Fix")))</f>
        <v xml:space="preserve"> </v>
      </c>
      <c r="W996">
        <v>995</v>
      </c>
      <c r="X996">
        <v>100996</v>
      </c>
      <c r="Y996">
        <v>996</v>
      </c>
      <c r="Z996" t="b">
        <f t="shared" si="15"/>
        <v>1</v>
      </c>
      <c r="AA996" t="b">
        <f>COUNTBLANK(metadata!B996:S996)=COLUMNS(metadata!B996:S996)</f>
        <v>1</v>
      </c>
      <c r="AB996" t="str">
        <v/>
      </c>
      <c r="AD996" t="b">
        <f ca="1">AND(IF(metadata!B996="",FALSE,TRUE),COUNTIF(metadata!B:B, metadata!B996) = 1,NOT(ISERROR(SUMPRODUCT(SEARCH(MID(metadata!B996,ROW(INDIRECT("1:"&amp;LEN(metadata!B996))), 1),"0123456789abcdefghijklmnopqrstuvwxyzABCDEFGHIJKLMNOPQRSTUVWXYZ.")))))</f>
        <v>0</v>
      </c>
      <c r="AE996" t="b">
        <f>OR(AND(IF(metadata!C996="",FALSE,TRUE),OR(EXACT(metadata!C996,"not applicable"),EXACT(metadata!C996,"missing: not collected"),EXACT(metadata!C996,"missing: not provided"),EXACT(metadata!C996,"missing: restricted access"))),AND(IF(metadata!C996="",FALSE,ISNUMBER(VALUE(metadata!C996))),metadata!C996&gt;0))</f>
        <v>0</v>
      </c>
      <c r="AF996" t="b">
        <f>AND(IF(metadata!D996="",FALSE,TRUE),EXACT(metadata!D996,"missing: not provided"))</f>
        <v>0</v>
      </c>
      <c r="AG996" t="b">
        <f>AND(IF(metadata!E996="",FALSE,TRUE),EXACT(metadata!E996,"Host-associated"))</f>
        <v>0</v>
      </c>
      <c r="AH996" t="b">
        <f>AND(IF(metadata!F996="",FALSE,TRUE),OR(EXACT(metadata!F996,"Animal"),EXACT(metadata!F996,"Fungus"),EXACT(metadata!F996,"Plant")))</f>
        <v>0</v>
      </c>
      <c r="AI996" t="b">
        <f>AND(IF(metadata!G996="",FALSE,TRUE),OR(EXACT(metadata!G996,"Plant secretion"),EXACT(metadata!G996,"Plant rhizosphere"),EXACT(metadata!G996,"Plant surface"),EXACT(metadata!G996,"Plant corpus"),EXACT(metadata!G996,"Fungus surface"),EXACT(metadata!G996,"Fungus corpus"),EXACT(metadata!G996,"Animal surface"),EXACT(metadata!G996,"Animal proximal gut"),EXACT(metadata!G996,"Animal corpus"),EXACT(metadata!G996,"Animal distal gut"),EXACT(metadata!G996,"Animal secretion")))</f>
        <v>0</v>
      </c>
      <c r="AJ996" t="b">
        <f>OR(AND(IF(metadata!H996="",FALSE,TRUE),OR(EXACT(metadata!H996,"missing: not collected"),EXACT(metadata!H996,"missing: not provided"),EXACT(metadata!H996,"missing: restricted access"))),AND(IF(metadata!H996="",FALSE,TRUE),OR(EXACT(metadata!H996,"organism-associated habitat"),EXACT(metadata!H996,"plant-associated habitat"),EXACT(metadata!H996,"animal-associated habitat"),EXACT(metadata!H996,"insecta-associated habitat"),EXACT(metadata!H996,"mammalia-associated habitat"),EXACT(metadata!H996,"human-associated habitat"),EXACT(metadata!H996,"livestock-associated habitat"))))</f>
        <v>0</v>
      </c>
      <c r="AK996" t="b">
        <f>AND(IF(metadata!I996="",FALSE,TRUE),EXACT(metadata!I996,"host-associated"))</f>
        <v>0</v>
      </c>
      <c r="AL996" t="b">
        <f>OR(AND(IF(metadata!J996="",FALSE,TRUE),OR(EXACT(metadata!J996,"not applicable"),EXACT(metadata!J996,"missing: not collected"),EXACT(metadata!J996,"missing: not provided"),EXACT(metadata!J996,"missing: restricted access"))),AND(IF(metadata!J996="",FALSE,ISNUMBER(VALUE(metadata!J996))),metadata!J996&gt;0))</f>
        <v>0</v>
      </c>
      <c r="AM996" t="b">
        <f>AND(IF(metadata!K996="",FALSE,TRUE),EXACT(metadata!K996,"missing: not provided"))</f>
        <v>0</v>
      </c>
      <c r="AN996" t="b">
        <f>IF(metadata!L996="",FALSE,TRUE)</f>
        <v>0</v>
      </c>
      <c r="AO996" t="b">
        <f>IF(metadata!M996="",FALSE,TRUE)</f>
        <v>0</v>
      </c>
      <c r="AP996" t="b">
        <f>OR(AND(IF(metadata!N996="",FALSE,TRUE),OR(EXACT(metadata!N996,"not applicable"),EXACT(metadata!N996,"missing: not collected"),EXACT(metadata!N996,"missing: not provided"))),AND(IF(metadata!N996="",FALSE,IF(ISERROR(INT(metadata!N996)),FALSE,INT(metadata!N996)=metadata!N996)),metadata!N996&gt;0))</f>
        <v>0</v>
      </c>
      <c r="AQ996" t="b">
        <f>AND(IF(metadata!O996="",FALSE,TRUE),EXACT(metadata!O996,"Not applicable"))</f>
        <v>0</v>
      </c>
      <c r="AR996" t="b">
        <f>OR(AND(IF(metadata!P996="",FALSE,TRUE),OR(EXACT(metadata!P996,"not applicable"),EXACT(metadata!P996,"missing: not collected"),EXACT(metadata!P996,"missing: not provided"),EXACT(metadata!P996,"missing: restricted access"))),IF(metadata!P996="",FALSE,IF(ISERROR(INT(metadata!P996)),FALSE,INT(metadata!P996)=metadata!P996)))</f>
        <v>0</v>
      </c>
      <c r="AS996" t="b">
        <f>AND(IF(metadata!Q996="",FALSE,TRUE),EXACT(metadata!Q996,"Not applicable"))</f>
        <v>0</v>
      </c>
      <c r="AT996" t="b">
        <f>OR(AND(IF(metadata!R996="",FALSE,TRUE),OR(EXACT(metadata!R996,"not applicable"),EXACT(metadata!R996,"missing: not collected"),EXACT(metadata!R996,"missing: not provided"),EXACT(metadata!R996,"missing: restricted access"))),AND(IF(metadata!R996="",FALSE,ISNUMBER(VALUE(metadata!R996))),metadata!R996&gt;0))</f>
        <v>0</v>
      </c>
      <c r="AU996" t="b">
        <f>AND(IF(metadata!S996="",FALSE,TRUE),EXACT(metadata!S996,"missing: not provided"))</f>
        <v>0</v>
      </c>
    </row>
    <row r="997" spans="1:47" x14ac:dyDescent="0.2">
      <c r="A997" s="5" t="str">
        <f ca="1">IF(B997=" "," ",HYPERLINK(CONCATENATE("#metadata!",ADDRESS(INDEX($Y$2:$Y$1001,MATCH(ROWS($W$2:W997),$W$2:$W$1001,0),0),1)),INDEX($AB$2:$AB$1001,MATCH(ROWS($W$2:W997),$W$2:$W$1001,0),0)))</f>
        <v xml:space="preserve"> </v>
      </c>
      <c r="B997" s="4" t="str">
        <f ca="1">IF(OR(INDEX($X$2:$X$1001,MATCH(ROWS($W$2:W997),$W$2:$W$1001,0),1)&gt;=100000,INDEX($AD$1005:$AU$1005,1,MATCH(COLUMNS($AD$1006:AD1006),$AD$1006:$AU$1006,0))&gt;=100000), " ",IF(INDEX($AD$2:$AU$1001,MATCH(ROWS($W$2:W997),$W$2:$W$1001,0),MATCH(COLUMNS($AD$1006:AD1006),$AD$1006:$AU$1006,0)), HYPERLINK("#",""), HYPERLINK(CONCATENATE("#metadata!", ADDRESS(INDEX($Y$2:$Y$1001,MATCH(ROWS($W$2:W997),$W$2:$W$1001,0),0), INDEX($AD$1004:$AU$1004,1,MATCH(COLUMNS($AD$1006:AD1006),$AD$1006:$AU$1006,0)))),"Fix")))</f>
        <v xml:space="preserve"> </v>
      </c>
      <c r="C997" s="4" t="str">
        <f ca="1">IF(OR(INDEX($X$2:$X$1001,MATCH(ROWS($W$2:W997),$W$2:$W$1001,0),1)&gt;=100000,INDEX($AD$1005:$AU$1005,1,MATCH(COLUMNS($AD$1006:AE1006),$AD$1006:$AU$1006,0))&gt;=100000), " ",IF(INDEX($AD$2:$AU$1001,MATCH(ROWS($W$2:W997),$W$2:$W$1001,0),MATCH(COLUMNS($AD$1006:AE1006),$AD$1006:$AU$1006,0)), HYPERLINK("#",""), HYPERLINK(CONCATENATE("#metadata!", ADDRESS(INDEX($Y$2:$Y$1001,MATCH(ROWS($W$2:W997),$W$2:$W$1001,0),0), INDEX($AD$1004:$AU$1004,1,MATCH(COLUMNS($AD$1006:AE1006),$AD$1006:$AU$1006,0)))),"Fix")))</f>
        <v xml:space="preserve"> </v>
      </c>
      <c r="D997" s="4" t="str">
        <f ca="1">IF(OR(INDEX($X$2:$X$1001,MATCH(ROWS($W$2:W997),$W$2:$W$1001,0),1)&gt;=100000,INDEX($AD$1005:$AU$1005,1,MATCH(COLUMNS($AD$1006:AF1006),$AD$1006:$AU$1006,0))&gt;=100000), " ",IF(INDEX($AD$2:$AU$1001,MATCH(ROWS($W$2:W997),$W$2:$W$1001,0),MATCH(COLUMNS($AD$1006:AF1006),$AD$1006:$AU$1006,0)), HYPERLINK("#",""), HYPERLINK(CONCATENATE("#metadata!", ADDRESS(INDEX($Y$2:$Y$1001,MATCH(ROWS($W$2:W997),$W$2:$W$1001,0),0), INDEX($AD$1004:$AU$1004,1,MATCH(COLUMNS($AD$1006:AF1006),$AD$1006:$AU$1006,0)))),"Fix")))</f>
        <v xml:space="preserve"> </v>
      </c>
      <c r="E997" s="4" t="str">
        <f ca="1">IF(OR(INDEX($X$2:$X$1001,MATCH(ROWS($W$2:W997),$W$2:$W$1001,0),1)&gt;=100000,INDEX($AD$1005:$AU$1005,1,MATCH(COLUMNS($AD$1006:AG1006),$AD$1006:$AU$1006,0))&gt;=100000), " ",IF(INDEX($AD$2:$AU$1001,MATCH(ROWS($W$2:W997),$W$2:$W$1001,0),MATCH(COLUMNS($AD$1006:AG1006),$AD$1006:$AU$1006,0)), HYPERLINK("#",""), HYPERLINK(CONCATENATE("#metadata!", ADDRESS(INDEX($Y$2:$Y$1001,MATCH(ROWS($W$2:W997),$W$2:$W$1001,0),0), INDEX($AD$1004:$AU$1004,1,MATCH(COLUMNS($AD$1006:AG1006),$AD$1006:$AU$1006,0)))),"Fix")))</f>
        <v xml:space="preserve"> </v>
      </c>
      <c r="F997" s="4" t="str">
        <f ca="1">IF(OR(INDEX($X$2:$X$1001,MATCH(ROWS($W$2:W997),$W$2:$W$1001,0),1)&gt;=100000,INDEX($AD$1005:$AU$1005,1,MATCH(COLUMNS($AD$1006:AH1006),$AD$1006:$AU$1006,0))&gt;=100000), " ",IF(INDEX($AD$2:$AU$1001,MATCH(ROWS($W$2:W997),$W$2:$W$1001,0),MATCH(COLUMNS($AD$1006:AH1006),$AD$1006:$AU$1006,0)), HYPERLINK("#",""), HYPERLINK(CONCATENATE("#metadata!", ADDRESS(INDEX($Y$2:$Y$1001,MATCH(ROWS($W$2:W997),$W$2:$W$1001,0),0), INDEX($AD$1004:$AU$1004,1,MATCH(COLUMNS($AD$1006:AH1006),$AD$1006:$AU$1006,0)))),"Fix")))</f>
        <v xml:space="preserve"> </v>
      </c>
      <c r="G997" s="4" t="str">
        <f ca="1">IF(OR(INDEX($X$2:$X$1001,MATCH(ROWS($W$2:W997),$W$2:$W$1001,0),1)&gt;=100000,INDEX($AD$1005:$AU$1005,1,MATCH(COLUMNS($AD$1006:AI1006),$AD$1006:$AU$1006,0))&gt;=100000), " ",IF(INDEX($AD$2:$AU$1001,MATCH(ROWS($W$2:W997),$W$2:$W$1001,0),MATCH(COLUMNS($AD$1006:AI1006),$AD$1006:$AU$1006,0)), HYPERLINK("#",""), HYPERLINK(CONCATENATE("#metadata!", ADDRESS(INDEX($Y$2:$Y$1001,MATCH(ROWS($W$2:W997),$W$2:$W$1001,0),0), INDEX($AD$1004:$AU$1004,1,MATCH(COLUMNS($AD$1006:AI1006),$AD$1006:$AU$1006,0)))),"Fix")))</f>
        <v xml:space="preserve"> </v>
      </c>
      <c r="H997" s="4" t="str">
        <f ca="1">IF(OR(INDEX($X$2:$X$1001,MATCH(ROWS($W$2:W997),$W$2:$W$1001,0),1)&gt;=100000,INDEX($AD$1005:$AU$1005,1,MATCH(COLUMNS($AD$1006:AJ1006),$AD$1006:$AU$1006,0))&gt;=100000), " ",IF(INDEX($AD$2:$AU$1001,MATCH(ROWS($W$2:W997),$W$2:$W$1001,0),MATCH(COLUMNS($AD$1006:AJ1006),$AD$1006:$AU$1006,0)), HYPERLINK("#",""), HYPERLINK(CONCATENATE("#metadata!", ADDRESS(INDEX($Y$2:$Y$1001,MATCH(ROWS($W$2:W997),$W$2:$W$1001,0),0), INDEX($AD$1004:$AU$1004,1,MATCH(COLUMNS($AD$1006:AJ1006),$AD$1006:$AU$1006,0)))),"Fix")))</f>
        <v xml:space="preserve"> </v>
      </c>
      <c r="I997" s="4" t="str">
        <f ca="1">IF(OR(INDEX($X$2:$X$1001,MATCH(ROWS($W$2:W997),$W$2:$W$1001,0),1)&gt;=100000,INDEX($AD$1005:$AU$1005,1,MATCH(COLUMNS($AD$1006:AK1006),$AD$1006:$AU$1006,0))&gt;=100000), " ",IF(INDEX($AD$2:$AU$1001,MATCH(ROWS($W$2:W997),$W$2:$W$1001,0),MATCH(COLUMNS($AD$1006:AK1006),$AD$1006:$AU$1006,0)), HYPERLINK("#",""), HYPERLINK(CONCATENATE("#metadata!", ADDRESS(INDEX($Y$2:$Y$1001,MATCH(ROWS($W$2:W997),$W$2:$W$1001,0),0), INDEX($AD$1004:$AU$1004,1,MATCH(COLUMNS($AD$1006:AK1006),$AD$1006:$AU$1006,0)))),"Fix")))</f>
        <v xml:space="preserve"> </v>
      </c>
      <c r="J997" s="4" t="str">
        <f ca="1">IF(OR(INDEX($X$2:$X$1001,MATCH(ROWS($W$2:W997),$W$2:$W$1001,0),1)&gt;=100000,INDEX($AD$1005:$AU$1005,1,MATCH(COLUMNS($AD$1006:AL1006),$AD$1006:$AU$1006,0))&gt;=100000), " ",IF(INDEX($AD$2:$AU$1001,MATCH(ROWS($W$2:W997),$W$2:$W$1001,0),MATCH(COLUMNS($AD$1006:AL1006),$AD$1006:$AU$1006,0)), HYPERLINK("#",""), HYPERLINK(CONCATENATE("#metadata!", ADDRESS(INDEX($Y$2:$Y$1001,MATCH(ROWS($W$2:W997),$W$2:$W$1001,0),0), INDEX($AD$1004:$AU$1004,1,MATCH(COLUMNS($AD$1006:AL1006),$AD$1006:$AU$1006,0)))),"Fix")))</f>
        <v xml:space="preserve"> </v>
      </c>
      <c r="K997" s="4" t="str">
        <f ca="1">IF(OR(INDEX($X$2:$X$1001,MATCH(ROWS($W$2:W997),$W$2:$W$1001,0),1)&gt;=100000,INDEX($AD$1005:$AU$1005,1,MATCH(COLUMNS($AD$1006:AM1006),$AD$1006:$AU$1006,0))&gt;=100000), " ",IF(INDEX($AD$2:$AU$1001,MATCH(ROWS($W$2:W997),$W$2:$W$1001,0),MATCH(COLUMNS($AD$1006:AM1006),$AD$1006:$AU$1006,0)), HYPERLINK("#",""), HYPERLINK(CONCATENATE("#metadata!", ADDRESS(INDEX($Y$2:$Y$1001,MATCH(ROWS($W$2:W997),$W$2:$W$1001,0),0), INDEX($AD$1004:$AU$1004,1,MATCH(COLUMNS($AD$1006:AM1006),$AD$1006:$AU$1006,0)))),"Fix")))</f>
        <v xml:space="preserve"> </v>
      </c>
      <c r="L997" s="4" t="str">
        <f ca="1">IF(OR(INDEX($X$2:$X$1001,MATCH(ROWS($W$2:W997),$W$2:$W$1001,0),1)&gt;=100000,INDEX($AD$1005:$AU$1005,1,MATCH(COLUMNS($AD$1006:AN1006),$AD$1006:$AU$1006,0))&gt;=100000), " ",IF(INDEX($AD$2:$AU$1001,MATCH(ROWS($W$2:W997),$W$2:$W$1001,0),MATCH(COLUMNS($AD$1006:AN1006),$AD$1006:$AU$1006,0)), HYPERLINK("#",""), HYPERLINK(CONCATENATE("#metadata!", ADDRESS(INDEX($Y$2:$Y$1001,MATCH(ROWS($W$2:W997),$W$2:$W$1001,0),0), INDEX($AD$1004:$AU$1004,1,MATCH(COLUMNS($AD$1006:AN1006),$AD$1006:$AU$1006,0)))),"Fix")))</f>
        <v xml:space="preserve"> </v>
      </c>
      <c r="M997" s="4" t="str">
        <f ca="1">IF(OR(INDEX($X$2:$X$1001,MATCH(ROWS($W$2:W997),$W$2:$W$1001,0),1)&gt;=100000,INDEX($AD$1005:$AU$1005,1,MATCH(COLUMNS($AD$1006:AO1006),$AD$1006:$AU$1006,0))&gt;=100000), " ",IF(INDEX($AD$2:$AU$1001,MATCH(ROWS($W$2:W997),$W$2:$W$1001,0),MATCH(COLUMNS($AD$1006:AO1006),$AD$1006:$AU$1006,0)), HYPERLINK("#",""), HYPERLINK(CONCATENATE("#metadata!", ADDRESS(INDEX($Y$2:$Y$1001,MATCH(ROWS($W$2:W997),$W$2:$W$1001,0),0), INDEX($AD$1004:$AU$1004,1,MATCH(COLUMNS($AD$1006:AO1006),$AD$1006:$AU$1006,0)))),"Fix")))</f>
        <v xml:space="preserve"> </v>
      </c>
      <c r="N997" s="4" t="str">
        <f ca="1">IF(OR(INDEX($X$2:$X$1001,MATCH(ROWS($W$2:W997),$W$2:$W$1001,0),1)&gt;=100000,INDEX($AD$1005:$AU$1005,1,MATCH(COLUMNS($AD$1006:AP1006),$AD$1006:$AU$1006,0))&gt;=100000), " ",IF(INDEX($AD$2:$AU$1001,MATCH(ROWS($W$2:W997),$W$2:$W$1001,0),MATCH(COLUMNS($AD$1006:AP1006),$AD$1006:$AU$1006,0)), HYPERLINK("#",""), HYPERLINK(CONCATENATE("#metadata!", ADDRESS(INDEX($Y$2:$Y$1001,MATCH(ROWS($W$2:W997),$W$2:$W$1001,0),0), INDEX($AD$1004:$AU$1004,1,MATCH(COLUMNS($AD$1006:AP1006),$AD$1006:$AU$1006,0)))),"Fix")))</f>
        <v xml:space="preserve"> </v>
      </c>
      <c r="O997" s="4" t="str">
        <f ca="1">IF(OR(INDEX($X$2:$X$1001,MATCH(ROWS($W$2:W997),$W$2:$W$1001,0),1)&gt;=100000,INDEX($AD$1005:$AU$1005,1,MATCH(COLUMNS($AD$1006:AQ1006),$AD$1006:$AU$1006,0))&gt;=100000), " ",IF(INDEX($AD$2:$AU$1001,MATCH(ROWS($W$2:W997),$W$2:$W$1001,0),MATCH(COLUMNS($AD$1006:AQ1006),$AD$1006:$AU$1006,0)), HYPERLINK("#",""), HYPERLINK(CONCATENATE("#metadata!", ADDRESS(INDEX($Y$2:$Y$1001,MATCH(ROWS($W$2:W997),$W$2:$W$1001,0),0), INDEX($AD$1004:$AU$1004,1,MATCH(COLUMNS($AD$1006:AQ1006),$AD$1006:$AU$1006,0)))),"Fix")))</f>
        <v xml:space="preserve"> </v>
      </c>
      <c r="P997" s="4" t="str">
        <f ca="1">IF(OR(INDEX($X$2:$X$1001,MATCH(ROWS($W$2:W997),$W$2:$W$1001,0),1)&gt;=100000,INDEX($AD$1005:$AU$1005,1,MATCH(COLUMNS($AD$1006:AR1006),$AD$1006:$AU$1006,0))&gt;=100000), " ",IF(INDEX($AD$2:$AU$1001,MATCH(ROWS($W$2:W997),$W$2:$W$1001,0),MATCH(COLUMNS($AD$1006:AR1006),$AD$1006:$AU$1006,0)), HYPERLINK("#",""), HYPERLINK(CONCATENATE("#metadata!", ADDRESS(INDEX($Y$2:$Y$1001,MATCH(ROWS($W$2:W997),$W$2:$W$1001,0),0), INDEX($AD$1004:$AU$1004,1,MATCH(COLUMNS($AD$1006:AR1006),$AD$1006:$AU$1006,0)))),"Fix")))</f>
        <v xml:space="preserve"> </v>
      </c>
      <c r="Q997" s="4" t="str">
        <f ca="1">IF(OR(INDEX($X$2:$X$1001,MATCH(ROWS($W$2:W997),$W$2:$W$1001,0),1)&gt;=100000,INDEX($AD$1005:$AU$1005,1,MATCH(COLUMNS($AD$1006:AS1006),$AD$1006:$AU$1006,0))&gt;=100000), " ",IF(INDEX($AD$2:$AU$1001,MATCH(ROWS($W$2:W997),$W$2:$W$1001,0),MATCH(COLUMNS($AD$1006:AS1006),$AD$1006:$AU$1006,0)), HYPERLINK("#",""), HYPERLINK(CONCATENATE("#metadata!", ADDRESS(INDEX($Y$2:$Y$1001,MATCH(ROWS($W$2:W997),$W$2:$W$1001,0),0), INDEX($AD$1004:$AU$1004,1,MATCH(COLUMNS($AD$1006:AS1006),$AD$1006:$AU$1006,0)))),"Fix")))</f>
        <v xml:space="preserve"> </v>
      </c>
      <c r="R997" s="4" t="str">
        <f ca="1">IF(OR(INDEX($X$2:$X$1001,MATCH(ROWS($W$2:W997),$W$2:$W$1001,0),1)&gt;=100000,INDEX($AD$1005:$AU$1005,1,MATCH(COLUMNS($AD$1006:AT1006),$AD$1006:$AU$1006,0))&gt;=100000), " ",IF(INDEX($AD$2:$AU$1001,MATCH(ROWS($W$2:W997),$W$2:$W$1001,0),MATCH(COLUMNS($AD$1006:AT1006),$AD$1006:$AU$1006,0)), HYPERLINK("#",""), HYPERLINK(CONCATENATE("#metadata!", ADDRESS(INDEX($Y$2:$Y$1001,MATCH(ROWS($W$2:W997),$W$2:$W$1001,0),0), INDEX($AD$1004:$AU$1004,1,MATCH(COLUMNS($AD$1006:AT1006),$AD$1006:$AU$1006,0)))),"Fix")))</f>
        <v xml:space="preserve"> </v>
      </c>
      <c r="S997" s="4" t="str">
        <f ca="1">IF(OR(INDEX($X$2:$X$1001,MATCH(ROWS($W$2:W997),$W$2:$W$1001,0),1)&gt;=100000,INDEX($AD$1005:$AU$1005,1,MATCH(COLUMNS($AD$1006:AU1006),$AD$1006:$AU$1006,0))&gt;=100000), " ",IF(INDEX($AD$2:$AU$1001,MATCH(ROWS($W$2:W997),$W$2:$W$1001,0),MATCH(COLUMNS($AD$1006:AU1006),$AD$1006:$AU$1006,0)), HYPERLINK("#",""), HYPERLINK(CONCATENATE("#metadata!", ADDRESS(INDEX($Y$2:$Y$1001,MATCH(ROWS($W$2:W997),$W$2:$W$1001,0),0), INDEX($AD$1004:$AU$1004,1,MATCH(COLUMNS($AD$1006:AU1006),$AD$1006:$AU$1006,0)))),"Fix")))</f>
        <v xml:space="preserve"> </v>
      </c>
      <c r="W997">
        <v>996</v>
      </c>
      <c r="X997">
        <v>100997</v>
      </c>
      <c r="Y997">
        <v>997</v>
      </c>
      <c r="Z997" t="b">
        <f t="shared" si="15"/>
        <v>1</v>
      </c>
      <c r="AA997" t="b">
        <f>COUNTBLANK(metadata!B997:S997)=COLUMNS(metadata!B997:S997)</f>
        <v>1</v>
      </c>
      <c r="AB997" t="str">
        <v/>
      </c>
      <c r="AD997" t="b">
        <f ca="1">AND(IF(metadata!B997="",FALSE,TRUE),COUNTIF(metadata!B:B, metadata!B997) = 1,NOT(ISERROR(SUMPRODUCT(SEARCH(MID(metadata!B997,ROW(INDIRECT("1:"&amp;LEN(metadata!B997))), 1),"0123456789abcdefghijklmnopqrstuvwxyzABCDEFGHIJKLMNOPQRSTUVWXYZ.")))))</f>
        <v>0</v>
      </c>
      <c r="AE997" t="b">
        <f>OR(AND(IF(metadata!C997="",FALSE,TRUE),OR(EXACT(metadata!C997,"not applicable"),EXACT(metadata!C997,"missing: not collected"),EXACT(metadata!C997,"missing: not provided"),EXACT(metadata!C997,"missing: restricted access"))),AND(IF(metadata!C997="",FALSE,ISNUMBER(VALUE(metadata!C997))),metadata!C997&gt;0))</f>
        <v>0</v>
      </c>
      <c r="AF997" t="b">
        <f>AND(IF(metadata!D997="",FALSE,TRUE),EXACT(metadata!D997,"missing: not provided"))</f>
        <v>0</v>
      </c>
      <c r="AG997" t="b">
        <f>AND(IF(metadata!E997="",FALSE,TRUE),EXACT(metadata!E997,"Host-associated"))</f>
        <v>0</v>
      </c>
      <c r="AH997" t="b">
        <f>AND(IF(metadata!F997="",FALSE,TRUE),OR(EXACT(metadata!F997,"Animal"),EXACT(metadata!F997,"Fungus"),EXACT(metadata!F997,"Plant")))</f>
        <v>0</v>
      </c>
      <c r="AI997" t="b">
        <f>AND(IF(metadata!G997="",FALSE,TRUE),OR(EXACT(metadata!G997,"Plant secretion"),EXACT(metadata!G997,"Plant rhizosphere"),EXACT(metadata!G997,"Plant surface"),EXACT(metadata!G997,"Plant corpus"),EXACT(metadata!G997,"Fungus surface"),EXACT(metadata!G997,"Fungus corpus"),EXACT(metadata!G997,"Animal surface"),EXACT(metadata!G997,"Animal proximal gut"),EXACT(metadata!G997,"Animal corpus"),EXACT(metadata!G997,"Animal distal gut"),EXACT(metadata!G997,"Animal secretion")))</f>
        <v>0</v>
      </c>
      <c r="AJ997" t="b">
        <f>OR(AND(IF(metadata!H997="",FALSE,TRUE),OR(EXACT(metadata!H997,"missing: not collected"),EXACT(metadata!H997,"missing: not provided"),EXACT(metadata!H997,"missing: restricted access"))),AND(IF(metadata!H997="",FALSE,TRUE),OR(EXACT(metadata!H997,"organism-associated habitat"),EXACT(metadata!H997,"plant-associated habitat"),EXACT(metadata!H997,"animal-associated habitat"),EXACT(metadata!H997,"insecta-associated habitat"),EXACT(metadata!H997,"mammalia-associated habitat"),EXACT(metadata!H997,"human-associated habitat"),EXACT(metadata!H997,"livestock-associated habitat"))))</f>
        <v>0</v>
      </c>
      <c r="AK997" t="b">
        <f>AND(IF(metadata!I997="",FALSE,TRUE),EXACT(metadata!I997,"host-associated"))</f>
        <v>0</v>
      </c>
      <c r="AL997" t="b">
        <f>OR(AND(IF(metadata!J997="",FALSE,TRUE),OR(EXACT(metadata!J997,"not applicable"),EXACT(metadata!J997,"missing: not collected"),EXACT(metadata!J997,"missing: not provided"),EXACT(metadata!J997,"missing: restricted access"))),AND(IF(metadata!J997="",FALSE,ISNUMBER(VALUE(metadata!J997))),metadata!J997&gt;0))</f>
        <v>0</v>
      </c>
      <c r="AM997" t="b">
        <f>AND(IF(metadata!K997="",FALSE,TRUE),EXACT(metadata!K997,"missing: not provided"))</f>
        <v>0</v>
      </c>
      <c r="AN997" t="b">
        <f>IF(metadata!L997="",FALSE,TRUE)</f>
        <v>0</v>
      </c>
      <c r="AO997" t="b">
        <f>IF(metadata!M997="",FALSE,TRUE)</f>
        <v>0</v>
      </c>
      <c r="AP997" t="b">
        <f>OR(AND(IF(metadata!N997="",FALSE,TRUE),OR(EXACT(metadata!N997,"not applicable"),EXACT(metadata!N997,"missing: not collected"),EXACT(metadata!N997,"missing: not provided"))),AND(IF(metadata!N997="",FALSE,IF(ISERROR(INT(metadata!N997)),FALSE,INT(metadata!N997)=metadata!N997)),metadata!N997&gt;0))</f>
        <v>0</v>
      </c>
      <c r="AQ997" t="b">
        <f>AND(IF(metadata!O997="",FALSE,TRUE),EXACT(metadata!O997,"Not applicable"))</f>
        <v>0</v>
      </c>
      <c r="AR997" t="b">
        <f>OR(AND(IF(metadata!P997="",FALSE,TRUE),OR(EXACT(metadata!P997,"not applicable"),EXACT(metadata!P997,"missing: not collected"),EXACT(metadata!P997,"missing: not provided"),EXACT(metadata!P997,"missing: restricted access"))),IF(metadata!P997="",FALSE,IF(ISERROR(INT(metadata!P997)),FALSE,INT(metadata!P997)=metadata!P997)))</f>
        <v>0</v>
      </c>
      <c r="AS997" t="b">
        <f>AND(IF(metadata!Q997="",FALSE,TRUE),EXACT(metadata!Q997,"Not applicable"))</f>
        <v>0</v>
      </c>
      <c r="AT997" t="b">
        <f>OR(AND(IF(metadata!R997="",FALSE,TRUE),OR(EXACT(metadata!R997,"not applicable"),EXACT(metadata!R997,"missing: not collected"),EXACT(metadata!R997,"missing: not provided"),EXACT(metadata!R997,"missing: restricted access"))),AND(IF(metadata!R997="",FALSE,ISNUMBER(VALUE(metadata!R997))),metadata!R997&gt;0))</f>
        <v>0</v>
      </c>
      <c r="AU997" t="b">
        <f>AND(IF(metadata!S997="",FALSE,TRUE),EXACT(metadata!S997,"missing: not provided"))</f>
        <v>0</v>
      </c>
    </row>
    <row r="998" spans="1:47" x14ac:dyDescent="0.2">
      <c r="A998" s="5" t="str">
        <f ca="1">IF(B998=" "," ",HYPERLINK(CONCATENATE("#metadata!",ADDRESS(INDEX($Y$2:$Y$1001,MATCH(ROWS($W$2:W998),$W$2:$W$1001,0),0),1)),INDEX($AB$2:$AB$1001,MATCH(ROWS($W$2:W998),$W$2:$W$1001,0),0)))</f>
        <v xml:space="preserve"> </v>
      </c>
      <c r="B998" s="4" t="str">
        <f ca="1">IF(OR(INDEX($X$2:$X$1001,MATCH(ROWS($W$2:W998),$W$2:$W$1001,0),1)&gt;=100000,INDEX($AD$1005:$AU$1005,1,MATCH(COLUMNS($AD$1006:AD1006),$AD$1006:$AU$1006,0))&gt;=100000), " ",IF(INDEX($AD$2:$AU$1001,MATCH(ROWS($W$2:W998),$W$2:$W$1001,0),MATCH(COLUMNS($AD$1006:AD1006),$AD$1006:$AU$1006,0)), HYPERLINK("#",""), HYPERLINK(CONCATENATE("#metadata!", ADDRESS(INDEX($Y$2:$Y$1001,MATCH(ROWS($W$2:W998),$W$2:$W$1001,0),0), INDEX($AD$1004:$AU$1004,1,MATCH(COLUMNS($AD$1006:AD1006),$AD$1006:$AU$1006,0)))),"Fix")))</f>
        <v xml:space="preserve"> </v>
      </c>
      <c r="C998" s="4" t="str">
        <f ca="1">IF(OR(INDEX($X$2:$X$1001,MATCH(ROWS($W$2:W998),$W$2:$W$1001,0),1)&gt;=100000,INDEX($AD$1005:$AU$1005,1,MATCH(COLUMNS($AD$1006:AE1006),$AD$1006:$AU$1006,0))&gt;=100000), " ",IF(INDEX($AD$2:$AU$1001,MATCH(ROWS($W$2:W998),$W$2:$W$1001,0),MATCH(COLUMNS($AD$1006:AE1006),$AD$1006:$AU$1006,0)), HYPERLINK("#",""), HYPERLINK(CONCATENATE("#metadata!", ADDRESS(INDEX($Y$2:$Y$1001,MATCH(ROWS($W$2:W998),$W$2:$W$1001,0),0), INDEX($AD$1004:$AU$1004,1,MATCH(COLUMNS($AD$1006:AE1006),$AD$1006:$AU$1006,0)))),"Fix")))</f>
        <v xml:space="preserve"> </v>
      </c>
      <c r="D998" s="4" t="str">
        <f ca="1">IF(OR(INDEX($X$2:$X$1001,MATCH(ROWS($W$2:W998),$W$2:$W$1001,0),1)&gt;=100000,INDEX($AD$1005:$AU$1005,1,MATCH(COLUMNS($AD$1006:AF1006),$AD$1006:$AU$1006,0))&gt;=100000), " ",IF(INDEX($AD$2:$AU$1001,MATCH(ROWS($W$2:W998),$W$2:$W$1001,0),MATCH(COLUMNS($AD$1006:AF1006),$AD$1006:$AU$1006,0)), HYPERLINK("#",""), HYPERLINK(CONCATENATE("#metadata!", ADDRESS(INDEX($Y$2:$Y$1001,MATCH(ROWS($W$2:W998),$W$2:$W$1001,0),0), INDEX($AD$1004:$AU$1004,1,MATCH(COLUMNS($AD$1006:AF1006),$AD$1006:$AU$1006,0)))),"Fix")))</f>
        <v xml:space="preserve"> </v>
      </c>
      <c r="E998" s="4" t="str">
        <f ca="1">IF(OR(INDEX($X$2:$X$1001,MATCH(ROWS($W$2:W998),$W$2:$W$1001,0),1)&gt;=100000,INDEX($AD$1005:$AU$1005,1,MATCH(COLUMNS($AD$1006:AG1006),$AD$1006:$AU$1006,0))&gt;=100000), " ",IF(INDEX($AD$2:$AU$1001,MATCH(ROWS($W$2:W998),$W$2:$W$1001,0),MATCH(COLUMNS($AD$1006:AG1006),$AD$1006:$AU$1006,0)), HYPERLINK("#",""), HYPERLINK(CONCATENATE("#metadata!", ADDRESS(INDEX($Y$2:$Y$1001,MATCH(ROWS($W$2:W998),$W$2:$W$1001,0),0), INDEX($AD$1004:$AU$1004,1,MATCH(COLUMNS($AD$1006:AG1006),$AD$1006:$AU$1006,0)))),"Fix")))</f>
        <v xml:space="preserve"> </v>
      </c>
      <c r="F998" s="4" t="str">
        <f ca="1">IF(OR(INDEX($X$2:$X$1001,MATCH(ROWS($W$2:W998),$W$2:$W$1001,0),1)&gt;=100000,INDEX($AD$1005:$AU$1005,1,MATCH(COLUMNS($AD$1006:AH1006),$AD$1006:$AU$1006,0))&gt;=100000), " ",IF(INDEX($AD$2:$AU$1001,MATCH(ROWS($W$2:W998),$W$2:$W$1001,0),MATCH(COLUMNS($AD$1006:AH1006),$AD$1006:$AU$1006,0)), HYPERLINK("#",""), HYPERLINK(CONCATENATE("#metadata!", ADDRESS(INDEX($Y$2:$Y$1001,MATCH(ROWS($W$2:W998),$W$2:$W$1001,0),0), INDEX($AD$1004:$AU$1004,1,MATCH(COLUMNS($AD$1006:AH1006),$AD$1006:$AU$1006,0)))),"Fix")))</f>
        <v xml:space="preserve"> </v>
      </c>
      <c r="G998" s="4" t="str">
        <f ca="1">IF(OR(INDEX($X$2:$X$1001,MATCH(ROWS($W$2:W998),$W$2:$W$1001,0),1)&gt;=100000,INDEX($AD$1005:$AU$1005,1,MATCH(COLUMNS($AD$1006:AI1006),$AD$1006:$AU$1006,0))&gt;=100000), " ",IF(INDEX($AD$2:$AU$1001,MATCH(ROWS($W$2:W998),$W$2:$W$1001,0),MATCH(COLUMNS($AD$1006:AI1006),$AD$1006:$AU$1006,0)), HYPERLINK("#",""), HYPERLINK(CONCATENATE("#metadata!", ADDRESS(INDEX($Y$2:$Y$1001,MATCH(ROWS($W$2:W998),$W$2:$W$1001,0),0), INDEX($AD$1004:$AU$1004,1,MATCH(COLUMNS($AD$1006:AI1006),$AD$1006:$AU$1006,0)))),"Fix")))</f>
        <v xml:space="preserve"> </v>
      </c>
      <c r="H998" s="4" t="str">
        <f ca="1">IF(OR(INDEX($X$2:$X$1001,MATCH(ROWS($W$2:W998),$W$2:$W$1001,0),1)&gt;=100000,INDEX($AD$1005:$AU$1005,1,MATCH(COLUMNS($AD$1006:AJ1006),$AD$1006:$AU$1006,0))&gt;=100000), " ",IF(INDEX($AD$2:$AU$1001,MATCH(ROWS($W$2:W998),$W$2:$W$1001,0),MATCH(COLUMNS($AD$1006:AJ1006),$AD$1006:$AU$1006,0)), HYPERLINK("#",""), HYPERLINK(CONCATENATE("#metadata!", ADDRESS(INDEX($Y$2:$Y$1001,MATCH(ROWS($W$2:W998),$W$2:$W$1001,0),0), INDEX($AD$1004:$AU$1004,1,MATCH(COLUMNS($AD$1006:AJ1006),$AD$1006:$AU$1006,0)))),"Fix")))</f>
        <v xml:space="preserve"> </v>
      </c>
      <c r="I998" s="4" t="str">
        <f ca="1">IF(OR(INDEX($X$2:$X$1001,MATCH(ROWS($W$2:W998),$W$2:$W$1001,0),1)&gt;=100000,INDEX($AD$1005:$AU$1005,1,MATCH(COLUMNS($AD$1006:AK1006),$AD$1006:$AU$1006,0))&gt;=100000), " ",IF(INDEX($AD$2:$AU$1001,MATCH(ROWS($W$2:W998),$W$2:$W$1001,0),MATCH(COLUMNS($AD$1006:AK1006),$AD$1006:$AU$1006,0)), HYPERLINK("#",""), HYPERLINK(CONCATENATE("#metadata!", ADDRESS(INDEX($Y$2:$Y$1001,MATCH(ROWS($W$2:W998),$W$2:$W$1001,0),0), INDEX($AD$1004:$AU$1004,1,MATCH(COLUMNS($AD$1006:AK1006),$AD$1006:$AU$1006,0)))),"Fix")))</f>
        <v xml:space="preserve"> </v>
      </c>
      <c r="J998" s="4" t="str">
        <f ca="1">IF(OR(INDEX($X$2:$X$1001,MATCH(ROWS($W$2:W998),$W$2:$W$1001,0),1)&gt;=100000,INDEX($AD$1005:$AU$1005,1,MATCH(COLUMNS($AD$1006:AL1006),$AD$1006:$AU$1006,0))&gt;=100000), " ",IF(INDEX($AD$2:$AU$1001,MATCH(ROWS($W$2:W998),$W$2:$W$1001,0),MATCH(COLUMNS($AD$1006:AL1006),$AD$1006:$AU$1006,0)), HYPERLINK("#",""), HYPERLINK(CONCATENATE("#metadata!", ADDRESS(INDEX($Y$2:$Y$1001,MATCH(ROWS($W$2:W998),$W$2:$W$1001,0),0), INDEX($AD$1004:$AU$1004,1,MATCH(COLUMNS($AD$1006:AL1006),$AD$1006:$AU$1006,0)))),"Fix")))</f>
        <v xml:space="preserve"> </v>
      </c>
      <c r="K998" s="4" t="str">
        <f ca="1">IF(OR(INDEX($X$2:$X$1001,MATCH(ROWS($W$2:W998),$W$2:$W$1001,0),1)&gt;=100000,INDEX($AD$1005:$AU$1005,1,MATCH(COLUMNS($AD$1006:AM1006),$AD$1006:$AU$1006,0))&gt;=100000), " ",IF(INDEX($AD$2:$AU$1001,MATCH(ROWS($W$2:W998),$W$2:$W$1001,0),MATCH(COLUMNS($AD$1006:AM1006),$AD$1006:$AU$1006,0)), HYPERLINK("#",""), HYPERLINK(CONCATENATE("#metadata!", ADDRESS(INDEX($Y$2:$Y$1001,MATCH(ROWS($W$2:W998),$W$2:$W$1001,0),0), INDEX($AD$1004:$AU$1004,1,MATCH(COLUMNS($AD$1006:AM1006),$AD$1006:$AU$1006,0)))),"Fix")))</f>
        <v xml:space="preserve"> </v>
      </c>
      <c r="L998" s="4" t="str">
        <f ca="1">IF(OR(INDEX($X$2:$X$1001,MATCH(ROWS($W$2:W998),$W$2:$W$1001,0),1)&gt;=100000,INDEX($AD$1005:$AU$1005,1,MATCH(COLUMNS($AD$1006:AN1006),$AD$1006:$AU$1006,0))&gt;=100000), " ",IF(INDEX($AD$2:$AU$1001,MATCH(ROWS($W$2:W998),$W$2:$W$1001,0),MATCH(COLUMNS($AD$1006:AN1006),$AD$1006:$AU$1006,0)), HYPERLINK("#",""), HYPERLINK(CONCATENATE("#metadata!", ADDRESS(INDEX($Y$2:$Y$1001,MATCH(ROWS($W$2:W998),$W$2:$W$1001,0),0), INDEX($AD$1004:$AU$1004,1,MATCH(COLUMNS($AD$1006:AN1006),$AD$1006:$AU$1006,0)))),"Fix")))</f>
        <v xml:space="preserve"> </v>
      </c>
      <c r="M998" s="4" t="str">
        <f ca="1">IF(OR(INDEX($X$2:$X$1001,MATCH(ROWS($W$2:W998),$W$2:$W$1001,0),1)&gt;=100000,INDEX($AD$1005:$AU$1005,1,MATCH(COLUMNS($AD$1006:AO1006),$AD$1006:$AU$1006,0))&gt;=100000), " ",IF(INDEX($AD$2:$AU$1001,MATCH(ROWS($W$2:W998),$W$2:$W$1001,0),MATCH(COLUMNS($AD$1006:AO1006),$AD$1006:$AU$1006,0)), HYPERLINK("#",""), HYPERLINK(CONCATENATE("#metadata!", ADDRESS(INDEX($Y$2:$Y$1001,MATCH(ROWS($W$2:W998),$W$2:$W$1001,0),0), INDEX($AD$1004:$AU$1004,1,MATCH(COLUMNS($AD$1006:AO1006),$AD$1006:$AU$1006,0)))),"Fix")))</f>
        <v xml:space="preserve"> </v>
      </c>
      <c r="N998" s="4" t="str">
        <f ca="1">IF(OR(INDEX($X$2:$X$1001,MATCH(ROWS($W$2:W998),$W$2:$W$1001,0),1)&gt;=100000,INDEX($AD$1005:$AU$1005,1,MATCH(COLUMNS($AD$1006:AP1006),$AD$1006:$AU$1006,0))&gt;=100000), " ",IF(INDEX($AD$2:$AU$1001,MATCH(ROWS($W$2:W998),$W$2:$W$1001,0),MATCH(COLUMNS($AD$1006:AP1006),$AD$1006:$AU$1006,0)), HYPERLINK("#",""), HYPERLINK(CONCATENATE("#metadata!", ADDRESS(INDEX($Y$2:$Y$1001,MATCH(ROWS($W$2:W998),$W$2:$W$1001,0),0), INDEX($AD$1004:$AU$1004,1,MATCH(COLUMNS($AD$1006:AP1006),$AD$1006:$AU$1006,0)))),"Fix")))</f>
        <v xml:space="preserve"> </v>
      </c>
      <c r="O998" s="4" t="str">
        <f ca="1">IF(OR(INDEX($X$2:$X$1001,MATCH(ROWS($W$2:W998),$W$2:$W$1001,0),1)&gt;=100000,INDEX($AD$1005:$AU$1005,1,MATCH(COLUMNS($AD$1006:AQ1006),$AD$1006:$AU$1006,0))&gt;=100000), " ",IF(INDEX($AD$2:$AU$1001,MATCH(ROWS($W$2:W998),$W$2:$W$1001,0),MATCH(COLUMNS($AD$1006:AQ1006),$AD$1006:$AU$1006,0)), HYPERLINK("#",""), HYPERLINK(CONCATENATE("#metadata!", ADDRESS(INDEX($Y$2:$Y$1001,MATCH(ROWS($W$2:W998),$W$2:$W$1001,0),0), INDEX($AD$1004:$AU$1004,1,MATCH(COLUMNS($AD$1006:AQ1006),$AD$1006:$AU$1006,0)))),"Fix")))</f>
        <v xml:space="preserve"> </v>
      </c>
      <c r="P998" s="4" t="str">
        <f ca="1">IF(OR(INDEX($X$2:$X$1001,MATCH(ROWS($W$2:W998),$W$2:$W$1001,0),1)&gt;=100000,INDEX($AD$1005:$AU$1005,1,MATCH(COLUMNS($AD$1006:AR1006),$AD$1006:$AU$1006,0))&gt;=100000), " ",IF(INDEX($AD$2:$AU$1001,MATCH(ROWS($W$2:W998),$W$2:$W$1001,0),MATCH(COLUMNS($AD$1006:AR1006),$AD$1006:$AU$1006,0)), HYPERLINK("#",""), HYPERLINK(CONCATENATE("#metadata!", ADDRESS(INDEX($Y$2:$Y$1001,MATCH(ROWS($W$2:W998),$W$2:$W$1001,0),0), INDEX($AD$1004:$AU$1004,1,MATCH(COLUMNS($AD$1006:AR1006),$AD$1006:$AU$1006,0)))),"Fix")))</f>
        <v xml:space="preserve"> </v>
      </c>
      <c r="Q998" s="4" t="str">
        <f ca="1">IF(OR(INDEX($X$2:$X$1001,MATCH(ROWS($W$2:W998),$W$2:$W$1001,0),1)&gt;=100000,INDEX($AD$1005:$AU$1005,1,MATCH(COLUMNS($AD$1006:AS1006),$AD$1006:$AU$1006,0))&gt;=100000), " ",IF(INDEX($AD$2:$AU$1001,MATCH(ROWS($W$2:W998),$W$2:$W$1001,0),MATCH(COLUMNS($AD$1006:AS1006),$AD$1006:$AU$1006,0)), HYPERLINK("#",""), HYPERLINK(CONCATENATE("#metadata!", ADDRESS(INDEX($Y$2:$Y$1001,MATCH(ROWS($W$2:W998),$W$2:$W$1001,0),0), INDEX($AD$1004:$AU$1004,1,MATCH(COLUMNS($AD$1006:AS1006),$AD$1006:$AU$1006,0)))),"Fix")))</f>
        <v xml:space="preserve"> </v>
      </c>
      <c r="R998" s="4" t="str">
        <f ca="1">IF(OR(INDEX($X$2:$X$1001,MATCH(ROWS($W$2:W998),$W$2:$W$1001,0),1)&gt;=100000,INDEX($AD$1005:$AU$1005,1,MATCH(COLUMNS($AD$1006:AT1006),$AD$1006:$AU$1006,0))&gt;=100000), " ",IF(INDEX($AD$2:$AU$1001,MATCH(ROWS($W$2:W998),$W$2:$W$1001,0),MATCH(COLUMNS($AD$1006:AT1006),$AD$1006:$AU$1006,0)), HYPERLINK("#",""), HYPERLINK(CONCATENATE("#metadata!", ADDRESS(INDEX($Y$2:$Y$1001,MATCH(ROWS($W$2:W998),$W$2:$W$1001,0),0), INDEX($AD$1004:$AU$1004,1,MATCH(COLUMNS($AD$1006:AT1006),$AD$1006:$AU$1006,0)))),"Fix")))</f>
        <v xml:space="preserve"> </v>
      </c>
      <c r="S998" s="4" t="str">
        <f ca="1">IF(OR(INDEX($X$2:$X$1001,MATCH(ROWS($W$2:W998),$W$2:$W$1001,0),1)&gt;=100000,INDEX($AD$1005:$AU$1005,1,MATCH(COLUMNS($AD$1006:AU1006),$AD$1006:$AU$1006,0))&gt;=100000), " ",IF(INDEX($AD$2:$AU$1001,MATCH(ROWS($W$2:W998),$W$2:$W$1001,0),MATCH(COLUMNS($AD$1006:AU1006),$AD$1006:$AU$1006,0)), HYPERLINK("#",""), HYPERLINK(CONCATENATE("#metadata!", ADDRESS(INDEX($Y$2:$Y$1001,MATCH(ROWS($W$2:W998),$W$2:$W$1001,0),0), INDEX($AD$1004:$AU$1004,1,MATCH(COLUMNS($AD$1006:AU1006),$AD$1006:$AU$1006,0)))),"Fix")))</f>
        <v xml:space="preserve"> </v>
      </c>
      <c r="W998">
        <v>997</v>
      </c>
      <c r="X998">
        <v>100998</v>
      </c>
      <c r="Y998">
        <v>998</v>
      </c>
      <c r="Z998" t="b">
        <f t="shared" si="15"/>
        <v>1</v>
      </c>
      <c r="AA998" t="b">
        <f>COUNTBLANK(metadata!B998:S998)=COLUMNS(metadata!B998:S998)</f>
        <v>1</v>
      </c>
      <c r="AB998" t="str">
        <v/>
      </c>
      <c r="AD998" t="b">
        <f ca="1">AND(IF(metadata!B998="",FALSE,TRUE),COUNTIF(metadata!B:B, metadata!B998) = 1,NOT(ISERROR(SUMPRODUCT(SEARCH(MID(metadata!B998,ROW(INDIRECT("1:"&amp;LEN(metadata!B998))), 1),"0123456789abcdefghijklmnopqrstuvwxyzABCDEFGHIJKLMNOPQRSTUVWXYZ.")))))</f>
        <v>0</v>
      </c>
      <c r="AE998" t="b">
        <f>OR(AND(IF(metadata!C998="",FALSE,TRUE),OR(EXACT(metadata!C998,"not applicable"),EXACT(metadata!C998,"missing: not collected"),EXACT(metadata!C998,"missing: not provided"),EXACT(metadata!C998,"missing: restricted access"))),AND(IF(metadata!C998="",FALSE,ISNUMBER(VALUE(metadata!C998))),metadata!C998&gt;0))</f>
        <v>0</v>
      </c>
      <c r="AF998" t="b">
        <f>AND(IF(metadata!D998="",FALSE,TRUE),EXACT(metadata!D998,"missing: not provided"))</f>
        <v>0</v>
      </c>
      <c r="AG998" t="b">
        <f>AND(IF(metadata!E998="",FALSE,TRUE),EXACT(metadata!E998,"Host-associated"))</f>
        <v>0</v>
      </c>
      <c r="AH998" t="b">
        <f>AND(IF(metadata!F998="",FALSE,TRUE),OR(EXACT(metadata!F998,"Animal"),EXACT(metadata!F998,"Fungus"),EXACT(metadata!F998,"Plant")))</f>
        <v>0</v>
      </c>
      <c r="AI998" t="b">
        <f>AND(IF(metadata!G998="",FALSE,TRUE),OR(EXACT(metadata!G998,"Plant secretion"),EXACT(metadata!G998,"Plant rhizosphere"),EXACT(metadata!G998,"Plant surface"),EXACT(metadata!G998,"Plant corpus"),EXACT(metadata!G998,"Fungus surface"),EXACT(metadata!G998,"Fungus corpus"),EXACT(metadata!G998,"Animal surface"),EXACT(metadata!G998,"Animal proximal gut"),EXACT(metadata!G998,"Animal corpus"),EXACT(metadata!G998,"Animal distal gut"),EXACT(metadata!G998,"Animal secretion")))</f>
        <v>0</v>
      </c>
      <c r="AJ998" t="b">
        <f>OR(AND(IF(metadata!H998="",FALSE,TRUE),OR(EXACT(metadata!H998,"missing: not collected"),EXACT(metadata!H998,"missing: not provided"),EXACT(metadata!H998,"missing: restricted access"))),AND(IF(metadata!H998="",FALSE,TRUE),OR(EXACT(metadata!H998,"organism-associated habitat"),EXACT(metadata!H998,"plant-associated habitat"),EXACT(metadata!H998,"animal-associated habitat"),EXACT(metadata!H998,"insecta-associated habitat"),EXACT(metadata!H998,"mammalia-associated habitat"),EXACT(metadata!H998,"human-associated habitat"),EXACT(metadata!H998,"livestock-associated habitat"))))</f>
        <v>0</v>
      </c>
      <c r="AK998" t="b">
        <f>AND(IF(metadata!I998="",FALSE,TRUE),EXACT(metadata!I998,"host-associated"))</f>
        <v>0</v>
      </c>
      <c r="AL998" t="b">
        <f>OR(AND(IF(metadata!J998="",FALSE,TRUE),OR(EXACT(metadata!J998,"not applicable"),EXACT(metadata!J998,"missing: not collected"),EXACT(metadata!J998,"missing: not provided"),EXACT(metadata!J998,"missing: restricted access"))),AND(IF(metadata!J998="",FALSE,ISNUMBER(VALUE(metadata!J998))),metadata!J998&gt;0))</f>
        <v>0</v>
      </c>
      <c r="AM998" t="b">
        <f>AND(IF(metadata!K998="",FALSE,TRUE),EXACT(metadata!K998,"missing: not provided"))</f>
        <v>0</v>
      </c>
      <c r="AN998" t="b">
        <f>IF(metadata!L998="",FALSE,TRUE)</f>
        <v>0</v>
      </c>
      <c r="AO998" t="b">
        <f>IF(metadata!M998="",FALSE,TRUE)</f>
        <v>0</v>
      </c>
      <c r="AP998" t="b">
        <f>OR(AND(IF(metadata!N998="",FALSE,TRUE),OR(EXACT(metadata!N998,"not applicable"),EXACT(metadata!N998,"missing: not collected"),EXACT(metadata!N998,"missing: not provided"))),AND(IF(metadata!N998="",FALSE,IF(ISERROR(INT(metadata!N998)),FALSE,INT(metadata!N998)=metadata!N998)),metadata!N998&gt;0))</f>
        <v>0</v>
      </c>
      <c r="AQ998" t="b">
        <f>AND(IF(metadata!O998="",FALSE,TRUE),EXACT(metadata!O998,"Not applicable"))</f>
        <v>0</v>
      </c>
      <c r="AR998" t="b">
        <f>OR(AND(IF(metadata!P998="",FALSE,TRUE),OR(EXACT(metadata!P998,"not applicable"),EXACT(metadata!P998,"missing: not collected"),EXACT(metadata!P998,"missing: not provided"),EXACT(metadata!P998,"missing: restricted access"))),IF(metadata!P998="",FALSE,IF(ISERROR(INT(metadata!P998)),FALSE,INT(metadata!P998)=metadata!P998)))</f>
        <v>0</v>
      </c>
      <c r="AS998" t="b">
        <f>AND(IF(metadata!Q998="",FALSE,TRUE),EXACT(metadata!Q998,"Not applicable"))</f>
        <v>0</v>
      </c>
      <c r="AT998" t="b">
        <f>OR(AND(IF(metadata!R998="",FALSE,TRUE),OR(EXACT(metadata!R998,"not applicable"),EXACT(metadata!R998,"missing: not collected"),EXACT(metadata!R998,"missing: not provided"),EXACT(metadata!R998,"missing: restricted access"))),AND(IF(metadata!R998="",FALSE,ISNUMBER(VALUE(metadata!R998))),metadata!R998&gt;0))</f>
        <v>0</v>
      </c>
      <c r="AU998" t="b">
        <f>AND(IF(metadata!S998="",FALSE,TRUE),EXACT(metadata!S998,"missing: not provided"))</f>
        <v>0</v>
      </c>
    </row>
    <row r="999" spans="1:47" x14ac:dyDescent="0.2">
      <c r="A999" s="5" t="str">
        <f ca="1">IF(B999=" "," ",HYPERLINK(CONCATENATE("#metadata!",ADDRESS(INDEX($Y$2:$Y$1001,MATCH(ROWS($W$2:W999),$W$2:$W$1001,0),0),1)),INDEX($AB$2:$AB$1001,MATCH(ROWS($W$2:W999),$W$2:$W$1001,0),0)))</f>
        <v xml:space="preserve"> </v>
      </c>
      <c r="B999" s="4" t="str">
        <f ca="1">IF(OR(INDEX($X$2:$X$1001,MATCH(ROWS($W$2:W999),$W$2:$W$1001,0),1)&gt;=100000,INDEX($AD$1005:$AU$1005,1,MATCH(COLUMNS($AD$1006:AD1006),$AD$1006:$AU$1006,0))&gt;=100000), " ",IF(INDEX($AD$2:$AU$1001,MATCH(ROWS($W$2:W999),$W$2:$W$1001,0),MATCH(COLUMNS($AD$1006:AD1006),$AD$1006:$AU$1006,0)), HYPERLINK("#",""), HYPERLINK(CONCATENATE("#metadata!", ADDRESS(INDEX($Y$2:$Y$1001,MATCH(ROWS($W$2:W999),$W$2:$W$1001,0),0), INDEX($AD$1004:$AU$1004,1,MATCH(COLUMNS($AD$1006:AD1006),$AD$1006:$AU$1006,0)))),"Fix")))</f>
        <v xml:space="preserve"> </v>
      </c>
      <c r="C999" s="4" t="str">
        <f ca="1">IF(OR(INDEX($X$2:$X$1001,MATCH(ROWS($W$2:W999),$W$2:$W$1001,0),1)&gt;=100000,INDEX($AD$1005:$AU$1005,1,MATCH(COLUMNS($AD$1006:AE1006),$AD$1006:$AU$1006,0))&gt;=100000), " ",IF(INDEX($AD$2:$AU$1001,MATCH(ROWS($W$2:W999),$W$2:$W$1001,0),MATCH(COLUMNS($AD$1006:AE1006),$AD$1006:$AU$1006,0)), HYPERLINK("#",""), HYPERLINK(CONCATENATE("#metadata!", ADDRESS(INDEX($Y$2:$Y$1001,MATCH(ROWS($W$2:W999),$W$2:$W$1001,0),0), INDEX($AD$1004:$AU$1004,1,MATCH(COLUMNS($AD$1006:AE1006),$AD$1006:$AU$1006,0)))),"Fix")))</f>
        <v xml:space="preserve"> </v>
      </c>
      <c r="D999" s="4" t="str">
        <f ca="1">IF(OR(INDEX($X$2:$X$1001,MATCH(ROWS($W$2:W999),$W$2:$W$1001,0),1)&gt;=100000,INDEX($AD$1005:$AU$1005,1,MATCH(COLUMNS($AD$1006:AF1006),$AD$1006:$AU$1006,0))&gt;=100000), " ",IF(INDEX($AD$2:$AU$1001,MATCH(ROWS($W$2:W999),$W$2:$W$1001,0),MATCH(COLUMNS($AD$1006:AF1006),$AD$1006:$AU$1006,0)), HYPERLINK("#",""), HYPERLINK(CONCATENATE("#metadata!", ADDRESS(INDEX($Y$2:$Y$1001,MATCH(ROWS($W$2:W999),$W$2:$W$1001,0),0), INDEX($AD$1004:$AU$1004,1,MATCH(COLUMNS($AD$1006:AF1006),$AD$1006:$AU$1006,0)))),"Fix")))</f>
        <v xml:space="preserve"> </v>
      </c>
      <c r="E999" s="4" t="str">
        <f ca="1">IF(OR(INDEX($X$2:$X$1001,MATCH(ROWS($W$2:W999),$W$2:$W$1001,0),1)&gt;=100000,INDEX($AD$1005:$AU$1005,1,MATCH(COLUMNS($AD$1006:AG1006),$AD$1006:$AU$1006,0))&gt;=100000), " ",IF(INDEX($AD$2:$AU$1001,MATCH(ROWS($W$2:W999),$W$2:$W$1001,0),MATCH(COLUMNS($AD$1006:AG1006),$AD$1006:$AU$1006,0)), HYPERLINK("#",""), HYPERLINK(CONCATENATE("#metadata!", ADDRESS(INDEX($Y$2:$Y$1001,MATCH(ROWS($W$2:W999),$W$2:$W$1001,0),0), INDEX($AD$1004:$AU$1004,1,MATCH(COLUMNS($AD$1006:AG1006),$AD$1006:$AU$1006,0)))),"Fix")))</f>
        <v xml:space="preserve"> </v>
      </c>
      <c r="F999" s="4" t="str">
        <f ca="1">IF(OR(INDEX($X$2:$X$1001,MATCH(ROWS($W$2:W999),$W$2:$W$1001,0),1)&gt;=100000,INDEX($AD$1005:$AU$1005,1,MATCH(COLUMNS($AD$1006:AH1006),$AD$1006:$AU$1006,0))&gt;=100000), " ",IF(INDEX($AD$2:$AU$1001,MATCH(ROWS($W$2:W999),$W$2:$W$1001,0),MATCH(COLUMNS($AD$1006:AH1006),$AD$1006:$AU$1006,0)), HYPERLINK("#",""), HYPERLINK(CONCATENATE("#metadata!", ADDRESS(INDEX($Y$2:$Y$1001,MATCH(ROWS($W$2:W999),$W$2:$W$1001,0),0), INDEX($AD$1004:$AU$1004,1,MATCH(COLUMNS($AD$1006:AH1006),$AD$1006:$AU$1006,0)))),"Fix")))</f>
        <v xml:space="preserve"> </v>
      </c>
      <c r="G999" s="4" t="str">
        <f ca="1">IF(OR(INDEX($X$2:$X$1001,MATCH(ROWS($W$2:W999),$W$2:$W$1001,0),1)&gt;=100000,INDEX($AD$1005:$AU$1005,1,MATCH(COLUMNS($AD$1006:AI1006),$AD$1006:$AU$1006,0))&gt;=100000), " ",IF(INDEX($AD$2:$AU$1001,MATCH(ROWS($W$2:W999),$W$2:$W$1001,0),MATCH(COLUMNS($AD$1006:AI1006),$AD$1006:$AU$1006,0)), HYPERLINK("#",""), HYPERLINK(CONCATENATE("#metadata!", ADDRESS(INDEX($Y$2:$Y$1001,MATCH(ROWS($W$2:W999),$W$2:$W$1001,0),0), INDEX($AD$1004:$AU$1004,1,MATCH(COLUMNS($AD$1006:AI1006),$AD$1006:$AU$1006,0)))),"Fix")))</f>
        <v xml:space="preserve"> </v>
      </c>
      <c r="H999" s="4" t="str">
        <f ca="1">IF(OR(INDEX($X$2:$X$1001,MATCH(ROWS($W$2:W999),$W$2:$W$1001,0),1)&gt;=100000,INDEX($AD$1005:$AU$1005,1,MATCH(COLUMNS($AD$1006:AJ1006),$AD$1006:$AU$1006,0))&gt;=100000), " ",IF(INDEX($AD$2:$AU$1001,MATCH(ROWS($W$2:W999),$W$2:$W$1001,0),MATCH(COLUMNS($AD$1006:AJ1006),$AD$1006:$AU$1006,0)), HYPERLINK("#",""), HYPERLINK(CONCATENATE("#metadata!", ADDRESS(INDEX($Y$2:$Y$1001,MATCH(ROWS($W$2:W999),$W$2:$W$1001,0),0), INDEX($AD$1004:$AU$1004,1,MATCH(COLUMNS($AD$1006:AJ1006),$AD$1006:$AU$1006,0)))),"Fix")))</f>
        <v xml:space="preserve"> </v>
      </c>
      <c r="I999" s="4" t="str">
        <f ca="1">IF(OR(INDEX($X$2:$X$1001,MATCH(ROWS($W$2:W999),$W$2:$W$1001,0),1)&gt;=100000,INDEX($AD$1005:$AU$1005,1,MATCH(COLUMNS($AD$1006:AK1006),$AD$1006:$AU$1006,0))&gt;=100000), " ",IF(INDEX($AD$2:$AU$1001,MATCH(ROWS($W$2:W999),$W$2:$W$1001,0),MATCH(COLUMNS($AD$1006:AK1006),$AD$1006:$AU$1006,0)), HYPERLINK("#",""), HYPERLINK(CONCATENATE("#metadata!", ADDRESS(INDEX($Y$2:$Y$1001,MATCH(ROWS($W$2:W999),$W$2:$W$1001,0),0), INDEX($AD$1004:$AU$1004,1,MATCH(COLUMNS($AD$1006:AK1006),$AD$1006:$AU$1006,0)))),"Fix")))</f>
        <v xml:space="preserve"> </v>
      </c>
      <c r="J999" s="4" t="str">
        <f ca="1">IF(OR(INDEX($X$2:$X$1001,MATCH(ROWS($W$2:W999),$W$2:$W$1001,0),1)&gt;=100000,INDEX($AD$1005:$AU$1005,1,MATCH(COLUMNS($AD$1006:AL1006),$AD$1006:$AU$1006,0))&gt;=100000), " ",IF(INDEX($AD$2:$AU$1001,MATCH(ROWS($W$2:W999),$W$2:$W$1001,0),MATCH(COLUMNS($AD$1006:AL1006),$AD$1006:$AU$1006,0)), HYPERLINK("#",""), HYPERLINK(CONCATENATE("#metadata!", ADDRESS(INDEX($Y$2:$Y$1001,MATCH(ROWS($W$2:W999),$W$2:$W$1001,0),0), INDEX($AD$1004:$AU$1004,1,MATCH(COLUMNS($AD$1006:AL1006),$AD$1006:$AU$1006,0)))),"Fix")))</f>
        <v xml:space="preserve"> </v>
      </c>
      <c r="K999" s="4" t="str">
        <f ca="1">IF(OR(INDEX($X$2:$X$1001,MATCH(ROWS($W$2:W999),$W$2:$W$1001,0),1)&gt;=100000,INDEX($AD$1005:$AU$1005,1,MATCH(COLUMNS($AD$1006:AM1006),$AD$1006:$AU$1006,0))&gt;=100000), " ",IF(INDEX($AD$2:$AU$1001,MATCH(ROWS($W$2:W999),$W$2:$W$1001,0),MATCH(COLUMNS($AD$1006:AM1006),$AD$1006:$AU$1006,0)), HYPERLINK("#",""), HYPERLINK(CONCATENATE("#metadata!", ADDRESS(INDEX($Y$2:$Y$1001,MATCH(ROWS($W$2:W999),$W$2:$W$1001,0),0), INDEX($AD$1004:$AU$1004,1,MATCH(COLUMNS($AD$1006:AM1006),$AD$1006:$AU$1006,0)))),"Fix")))</f>
        <v xml:space="preserve"> </v>
      </c>
      <c r="L999" s="4" t="str">
        <f ca="1">IF(OR(INDEX($X$2:$X$1001,MATCH(ROWS($W$2:W999),$W$2:$W$1001,0),1)&gt;=100000,INDEX($AD$1005:$AU$1005,1,MATCH(COLUMNS($AD$1006:AN1006),$AD$1006:$AU$1006,0))&gt;=100000), " ",IF(INDEX($AD$2:$AU$1001,MATCH(ROWS($W$2:W999),$W$2:$W$1001,0),MATCH(COLUMNS($AD$1006:AN1006),$AD$1006:$AU$1006,0)), HYPERLINK("#",""), HYPERLINK(CONCATENATE("#metadata!", ADDRESS(INDEX($Y$2:$Y$1001,MATCH(ROWS($W$2:W999),$W$2:$W$1001,0),0), INDEX($AD$1004:$AU$1004,1,MATCH(COLUMNS($AD$1006:AN1006),$AD$1006:$AU$1006,0)))),"Fix")))</f>
        <v xml:space="preserve"> </v>
      </c>
      <c r="M999" s="4" t="str">
        <f ca="1">IF(OR(INDEX($X$2:$X$1001,MATCH(ROWS($W$2:W999),$W$2:$W$1001,0),1)&gt;=100000,INDEX($AD$1005:$AU$1005,1,MATCH(COLUMNS($AD$1006:AO1006),$AD$1006:$AU$1006,0))&gt;=100000), " ",IF(INDEX($AD$2:$AU$1001,MATCH(ROWS($W$2:W999),$W$2:$W$1001,0),MATCH(COLUMNS($AD$1006:AO1006),$AD$1006:$AU$1006,0)), HYPERLINK("#",""), HYPERLINK(CONCATENATE("#metadata!", ADDRESS(INDEX($Y$2:$Y$1001,MATCH(ROWS($W$2:W999),$W$2:$W$1001,0),0), INDEX($AD$1004:$AU$1004,1,MATCH(COLUMNS($AD$1006:AO1006),$AD$1006:$AU$1006,0)))),"Fix")))</f>
        <v xml:space="preserve"> </v>
      </c>
      <c r="N999" s="4" t="str">
        <f ca="1">IF(OR(INDEX($X$2:$X$1001,MATCH(ROWS($W$2:W999),$W$2:$W$1001,0),1)&gt;=100000,INDEX($AD$1005:$AU$1005,1,MATCH(COLUMNS($AD$1006:AP1006),$AD$1006:$AU$1006,0))&gt;=100000), " ",IF(INDEX($AD$2:$AU$1001,MATCH(ROWS($W$2:W999),$W$2:$W$1001,0),MATCH(COLUMNS($AD$1006:AP1006),$AD$1006:$AU$1006,0)), HYPERLINK("#",""), HYPERLINK(CONCATENATE("#metadata!", ADDRESS(INDEX($Y$2:$Y$1001,MATCH(ROWS($W$2:W999),$W$2:$W$1001,0),0), INDEX($AD$1004:$AU$1004,1,MATCH(COLUMNS($AD$1006:AP1006),$AD$1006:$AU$1006,0)))),"Fix")))</f>
        <v xml:space="preserve"> </v>
      </c>
      <c r="O999" s="4" t="str">
        <f ca="1">IF(OR(INDEX($X$2:$X$1001,MATCH(ROWS($W$2:W999),$W$2:$W$1001,0),1)&gt;=100000,INDEX($AD$1005:$AU$1005,1,MATCH(COLUMNS($AD$1006:AQ1006),$AD$1006:$AU$1006,0))&gt;=100000), " ",IF(INDEX($AD$2:$AU$1001,MATCH(ROWS($W$2:W999),$W$2:$W$1001,0),MATCH(COLUMNS($AD$1006:AQ1006),$AD$1006:$AU$1006,0)), HYPERLINK("#",""), HYPERLINK(CONCATENATE("#metadata!", ADDRESS(INDEX($Y$2:$Y$1001,MATCH(ROWS($W$2:W999),$W$2:$W$1001,0),0), INDEX($AD$1004:$AU$1004,1,MATCH(COLUMNS($AD$1006:AQ1006),$AD$1006:$AU$1006,0)))),"Fix")))</f>
        <v xml:space="preserve"> </v>
      </c>
      <c r="P999" s="4" t="str">
        <f ca="1">IF(OR(INDEX($X$2:$X$1001,MATCH(ROWS($W$2:W999),$W$2:$W$1001,0),1)&gt;=100000,INDEX($AD$1005:$AU$1005,1,MATCH(COLUMNS($AD$1006:AR1006),$AD$1006:$AU$1006,0))&gt;=100000), " ",IF(INDEX($AD$2:$AU$1001,MATCH(ROWS($W$2:W999),$W$2:$W$1001,0),MATCH(COLUMNS($AD$1006:AR1006),$AD$1006:$AU$1006,0)), HYPERLINK("#",""), HYPERLINK(CONCATENATE("#metadata!", ADDRESS(INDEX($Y$2:$Y$1001,MATCH(ROWS($W$2:W999),$W$2:$W$1001,0),0), INDEX($AD$1004:$AU$1004,1,MATCH(COLUMNS($AD$1006:AR1006),$AD$1006:$AU$1006,0)))),"Fix")))</f>
        <v xml:space="preserve"> </v>
      </c>
      <c r="Q999" s="4" t="str">
        <f ca="1">IF(OR(INDEX($X$2:$X$1001,MATCH(ROWS($W$2:W999),$W$2:$W$1001,0),1)&gt;=100000,INDEX($AD$1005:$AU$1005,1,MATCH(COLUMNS($AD$1006:AS1006),$AD$1006:$AU$1006,0))&gt;=100000), " ",IF(INDEX($AD$2:$AU$1001,MATCH(ROWS($W$2:W999),$W$2:$W$1001,0),MATCH(COLUMNS($AD$1006:AS1006),$AD$1006:$AU$1006,0)), HYPERLINK("#",""), HYPERLINK(CONCATENATE("#metadata!", ADDRESS(INDEX($Y$2:$Y$1001,MATCH(ROWS($W$2:W999),$W$2:$W$1001,0),0), INDEX($AD$1004:$AU$1004,1,MATCH(COLUMNS($AD$1006:AS1006),$AD$1006:$AU$1006,0)))),"Fix")))</f>
        <v xml:space="preserve"> </v>
      </c>
      <c r="R999" s="4" t="str">
        <f ca="1">IF(OR(INDEX($X$2:$X$1001,MATCH(ROWS($W$2:W999),$W$2:$W$1001,0),1)&gt;=100000,INDEX($AD$1005:$AU$1005,1,MATCH(COLUMNS($AD$1006:AT1006),$AD$1006:$AU$1006,0))&gt;=100000), " ",IF(INDEX($AD$2:$AU$1001,MATCH(ROWS($W$2:W999),$W$2:$W$1001,0),MATCH(COLUMNS($AD$1006:AT1006),$AD$1006:$AU$1006,0)), HYPERLINK("#",""), HYPERLINK(CONCATENATE("#metadata!", ADDRESS(INDEX($Y$2:$Y$1001,MATCH(ROWS($W$2:W999),$W$2:$W$1001,0),0), INDEX($AD$1004:$AU$1004,1,MATCH(COLUMNS($AD$1006:AT1006),$AD$1006:$AU$1006,0)))),"Fix")))</f>
        <v xml:space="preserve"> </v>
      </c>
      <c r="S999" s="4" t="str">
        <f ca="1">IF(OR(INDEX($X$2:$X$1001,MATCH(ROWS($W$2:W999),$W$2:$W$1001,0),1)&gt;=100000,INDEX($AD$1005:$AU$1005,1,MATCH(COLUMNS($AD$1006:AU1006),$AD$1006:$AU$1006,0))&gt;=100000), " ",IF(INDEX($AD$2:$AU$1001,MATCH(ROWS($W$2:W999),$W$2:$W$1001,0),MATCH(COLUMNS($AD$1006:AU1006),$AD$1006:$AU$1006,0)), HYPERLINK("#",""), HYPERLINK(CONCATENATE("#metadata!", ADDRESS(INDEX($Y$2:$Y$1001,MATCH(ROWS($W$2:W999),$W$2:$W$1001,0),0), INDEX($AD$1004:$AU$1004,1,MATCH(COLUMNS($AD$1006:AU1006),$AD$1006:$AU$1006,0)))),"Fix")))</f>
        <v xml:space="preserve"> </v>
      </c>
      <c r="W999">
        <v>998</v>
      </c>
      <c r="X999">
        <v>100999</v>
      </c>
      <c r="Y999">
        <v>999</v>
      </c>
      <c r="Z999" t="b">
        <f t="shared" si="15"/>
        <v>1</v>
      </c>
      <c r="AA999" t="b">
        <f>COUNTBLANK(metadata!B999:S999)=COLUMNS(metadata!B999:S999)</f>
        <v>1</v>
      </c>
      <c r="AB999" t="str">
        <v/>
      </c>
      <c r="AD999" t="b">
        <f ca="1">AND(IF(metadata!B999="",FALSE,TRUE),COUNTIF(metadata!B:B, metadata!B999) = 1,NOT(ISERROR(SUMPRODUCT(SEARCH(MID(metadata!B999,ROW(INDIRECT("1:"&amp;LEN(metadata!B999))), 1),"0123456789abcdefghijklmnopqrstuvwxyzABCDEFGHIJKLMNOPQRSTUVWXYZ.")))))</f>
        <v>0</v>
      </c>
      <c r="AE999" t="b">
        <f>OR(AND(IF(metadata!C999="",FALSE,TRUE),OR(EXACT(metadata!C999,"not applicable"),EXACT(metadata!C999,"missing: not collected"),EXACT(metadata!C999,"missing: not provided"),EXACT(metadata!C999,"missing: restricted access"))),AND(IF(metadata!C999="",FALSE,ISNUMBER(VALUE(metadata!C999))),metadata!C999&gt;0))</f>
        <v>0</v>
      </c>
      <c r="AF999" t="b">
        <f>AND(IF(metadata!D999="",FALSE,TRUE),EXACT(metadata!D999,"missing: not provided"))</f>
        <v>0</v>
      </c>
      <c r="AG999" t="b">
        <f>AND(IF(metadata!E999="",FALSE,TRUE),EXACT(metadata!E999,"Host-associated"))</f>
        <v>0</v>
      </c>
      <c r="AH999" t="b">
        <f>AND(IF(metadata!F999="",FALSE,TRUE),OR(EXACT(metadata!F999,"Animal"),EXACT(metadata!F999,"Fungus"),EXACT(metadata!F999,"Plant")))</f>
        <v>0</v>
      </c>
      <c r="AI999" t="b">
        <f>AND(IF(metadata!G999="",FALSE,TRUE),OR(EXACT(metadata!G999,"Plant secretion"),EXACT(metadata!G999,"Plant rhizosphere"),EXACT(metadata!G999,"Plant surface"),EXACT(metadata!G999,"Plant corpus"),EXACT(metadata!G999,"Fungus surface"),EXACT(metadata!G999,"Fungus corpus"),EXACT(metadata!G999,"Animal surface"),EXACT(metadata!G999,"Animal proximal gut"),EXACT(metadata!G999,"Animal corpus"),EXACT(metadata!G999,"Animal distal gut"),EXACT(metadata!G999,"Animal secretion")))</f>
        <v>0</v>
      </c>
      <c r="AJ999" t="b">
        <f>OR(AND(IF(metadata!H999="",FALSE,TRUE),OR(EXACT(metadata!H999,"missing: not collected"),EXACT(metadata!H999,"missing: not provided"),EXACT(metadata!H999,"missing: restricted access"))),AND(IF(metadata!H999="",FALSE,TRUE),OR(EXACT(metadata!H999,"organism-associated habitat"),EXACT(metadata!H999,"plant-associated habitat"),EXACT(metadata!H999,"animal-associated habitat"),EXACT(metadata!H999,"insecta-associated habitat"),EXACT(metadata!H999,"mammalia-associated habitat"),EXACT(metadata!H999,"human-associated habitat"),EXACT(metadata!H999,"livestock-associated habitat"))))</f>
        <v>0</v>
      </c>
      <c r="AK999" t="b">
        <f>AND(IF(metadata!I999="",FALSE,TRUE),EXACT(metadata!I999,"host-associated"))</f>
        <v>0</v>
      </c>
      <c r="AL999" t="b">
        <f>OR(AND(IF(metadata!J999="",FALSE,TRUE),OR(EXACT(metadata!J999,"not applicable"),EXACT(metadata!J999,"missing: not collected"),EXACT(metadata!J999,"missing: not provided"),EXACT(metadata!J999,"missing: restricted access"))),AND(IF(metadata!J999="",FALSE,ISNUMBER(VALUE(metadata!J999))),metadata!J999&gt;0))</f>
        <v>0</v>
      </c>
      <c r="AM999" t="b">
        <f>AND(IF(metadata!K999="",FALSE,TRUE),EXACT(metadata!K999,"missing: not provided"))</f>
        <v>0</v>
      </c>
      <c r="AN999" t="b">
        <f>IF(metadata!L999="",FALSE,TRUE)</f>
        <v>0</v>
      </c>
      <c r="AO999" t="b">
        <f>IF(metadata!M999="",FALSE,TRUE)</f>
        <v>0</v>
      </c>
      <c r="AP999" t="b">
        <f>OR(AND(IF(metadata!N999="",FALSE,TRUE),OR(EXACT(metadata!N999,"not applicable"),EXACT(metadata!N999,"missing: not collected"),EXACT(metadata!N999,"missing: not provided"))),AND(IF(metadata!N999="",FALSE,IF(ISERROR(INT(metadata!N999)),FALSE,INT(metadata!N999)=metadata!N999)),metadata!N999&gt;0))</f>
        <v>0</v>
      </c>
      <c r="AQ999" t="b">
        <f>AND(IF(metadata!O999="",FALSE,TRUE),EXACT(metadata!O999,"Not applicable"))</f>
        <v>0</v>
      </c>
      <c r="AR999" t="b">
        <f>OR(AND(IF(metadata!P999="",FALSE,TRUE),OR(EXACT(metadata!P999,"not applicable"),EXACT(metadata!P999,"missing: not collected"),EXACT(metadata!P999,"missing: not provided"),EXACT(metadata!P999,"missing: restricted access"))),IF(metadata!P999="",FALSE,IF(ISERROR(INT(metadata!P999)),FALSE,INT(metadata!P999)=metadata!P999)))</f>
        <v>0</v>
      </c>
      <c r="AS999" t="b">
        <f>AND(IF(metadata!Q999="",FALSE,TRUE),EXACT(metadata!Q999,"Not applicable"))</f>
        <v>0</v>
      </c>
      <c r="AT999" t="b">
        <f>OR(AND(IF(metadata!R999="",FALSE,TRUE),OR(EXACT(metadata!R999,"not applicable"),EXACT(metadata!R999,"missing: not collected"),EXACT(metadata!R999,"missing: not provided"),EXACT(metadata!R999,"missing: restricted access"))),AND(IF(metadata!R999="",FALSE,ISNUMBER(VALUE(metadata!R999))),metadata!R999&gt;0))</f>
        <v>0</v>
      </c>
      <c r="AU999" t="b">
        <f>AND(IF(metadata!S999="",FALSE,TRUE),EXACT(metadata!S999,"missing: not provided"))</f>
        <v>0</v>
      </c>
    </row>
    <row r="1000" spans="1:47" x14ac:dyDescent="0.2">
      <c r="A1000" s="5" t="str">
        <f ca="1">IF(B1000=" "," ",HYPERLINK(CONCATENATE("#metadata!",ADDRESS(INDEX($Y$2:$Y$1001,MATCH(ROWS($W$2:W1000),$W$2:$W$1001,0),0),1)),INDEX($AB$2:$AB$1001,MATCH(ROWS($W$2:W1000),$W$2:$W$1001,0),0)))</f>
        <v xml:space="preserve"> </v>
      </c>
      <c r="B1000" s="4" t="str">
        <f ca="1">IF(OR(INDEX($X$2:$X$1001,MATCH(ROWS($W$2:W1000),$W$2:$W$1001,0),1)&gt;=100000,INDEX($AD$1005:$AU$1005,1,MATCH(COLUMNS($AD$1006:AD1006),$AD$1006:$AU$1006,0))&gt;=100000), " ",IF(INDEX($AD$2:$AU$1001,MATCH(ROWS($W$2:W1000),$W$2:$W$1001,0),MATCH(COLUMNS($AD$1006:AD1006),$AD$1006:$AU$1006,0)), HYPERLINK("#",""), HYPERLINK(CONCATENATE("#metadata!", ADDRESS(INDEX($Y$2:$Y$1001,MATCH(ROWS($W$2:W1000),$W$2:$W$1001,0),0), INDEX($AD$1004:$AU$1004,1,MATCH(COLUMNS($AD$1006:AD1006),$AD$1006:$AU$1006,0)))),"Fix")))</f>
        <v xml:space="preserve"> </v>
      </c>
      <c r="C1000" s="4" t="str">
        <f ca="1">IF(OR(INDEX($X$2:$X$1001,MATCH(ROWS($W$2:W1000),$W$2:$W$1001,0),1)&gt;=100000,INDEX($AD$1005:$AU$1005,1,MATCH(COLUMNS($AD$1006:AE1006),$AD$1006:$AU$1006,0))&gt;=100000), " ",IF(INDEX($AD$2:$AU$1001,MATCH(ROWS($W$2:W1000),$W$2:$W$1001,0),MATCH(COLUMNS($AD$1006:AE1006),$AD$1006:$AU$1006,0)), HYPERLINK("#",""), HYPERLINK(CONCATENATE("#metadata!", ADDRESS(INDEX($Y$2:$Y$1001,MATCH(ROWS($W$2:W1000),$W$2:$W$1001,0),0), INDEX($AD$1004:$AU$1004,1,MATCH(COLUMNS($AD$1006:AE1006),$AD$1006:$AU$1006,0)))),"Fix")))</f>
        <v xml:space="preserve"> </v>
      </c>
      <c r="D1000" s="4" t="str">
        <f ca="1">IF(OR(INDEX($X$2:$X$1001,MATCH(ROWS($W$2:W1000),$W$2:$W$1001,0),1)&gt;=100000,INDEX($AD$1005:$AU$1005,1,MATCH(COLUMNS($AD$1006:AF1006),$AD$1006:$AU$1006,0))&gt;=100000), " ",IF(INDEX($AD$2:$AU$1001,MATCH(ROWS($W$2:W1000),$W$2:$W$1001,0),MATCH(COLUMNS($AD$1006:AF1006),$AD$1006:$AU$1006,0)), HYPERLINK("#",""), HYPERLINK(CONCATENATE("#metadata!", ADDRESS(INDEX($Y$2:$Y$1001,MATCH(ROWS($W$2:W1000),$W$2:$W$1001,0),0), INDEX($AD$1004:$AU$1004,1,MATCH(COLUMNS($AD$1006:AF1006),$AD$1006:$AU$1006,0)))),"Fix")))</f>
        <v xml:space="preserve"> </v>
      </c>
      <c r="E1000" s="4" t="str">
        <f ca="1">IF(OR(INDEX($X$2:$X$1001,MATCH(ROWS($W$2:W1000),$W$2:$W$1001,0),1)&gt;=100000,INDEX($AD$1005:$AU$1005,1,MATCH(COLUMNS($AD$1006:AG1006),$AD$1006:$AU$1006,0))&gt;=100000), " ",IF(INDEX($AD$2:$AU$1001,MATCH(ROWS($W$2:W1000),$W$2:$W$1001,0),MATCH(COLUMNS($AD$1006:AG1006),$AD$1006:$AU$1006,0)), HYPERLINK("#",""), HYPERLINK(CONCATENATE("#metadata!", ADDRESS(INDEX($Y$2:$Y$1001,MATCH(ROWS($W$2:W1000),$W$2:$W$1001,0),0), INDEX($AD$1004:$AU$1004,1,MATCH(COLUMNS($AD$1006:AG1006),$AD$1006:$AU$1006,0)))),"Fix")))</f>
        <v xml:space="preserve"> </v>
      </c>
      <c r="F1000" s="4" t="str">
        <f ca="1">IF(OR(INDEX($X$2:$X$1001,MATCH(ROWS($W$2:W1000),$W$2:$W$1001,0),1)&gt;=100000,INDEX($AD$1005:$AU$1005,1,MATCH(COLUMNS($AD$1006:AH1006),$AD$1006:$AU$1006,0))&gt;=100000), " ",IF(INDEX($AD$2:$AU$1001,MATCH(ROWS($W$2:W1000),$W$2:$W$1001,0),MATCH(COLUMNS($AD$1006:AH1006),$AD$1006:$AU$1006,0)), HYPERLINK("#",""), HYPERLINK(CONCATENATE("#metadata!", ADDRESS(INDEX($Y$2:$Y$1001,MATCH(ROWS($W$2:W1000),$W$2:$W$1001,0),0), INDEX($AD$1004:$AU$1004,1,MATCH(COLUMNS($AD$1006:AH1006),$AD$1006:$AU$1006,0)))),"Fix")))</f>
        <v xml:space="preserve"> </v>
      </c>
      <c r="G1000" s="4" t="str">
        <f ca="1">IF(OR(INDEX($X$2:$X$1001,MATCH(ROWS($W$2:W1000),$W$2:$W$1001,0),1)&gt;=100000,INDEX($AD$1005:$AU$1005,1,MATCH(COLUMNS($AD$1006:AI1006),$AD$1006:$AU$1006,0))&gt;=100000), " ",IF(INDEX($AD$2:$AU$1001,MATCH(ROWS($W$2:W1000),$W$2:$W$1001,0),MATCH(COLUMNS($AD$1006:AI1006),$AD$1006:$AU$1006,0)), HYPERLINK("#",""), HYPERLINK(CONCATENATE("#metadata!", ADDRESS(INDEX($Y$2:$Y$1001,MATCH(ROWS($W$2:W1000),$W$2:$W$1001,0),0), INDEX($AD$1004:$AU$1004,1,MATCH(COLUMNS($AD$1006:AI1006),$AD$1006:$AU$1006,0)))),"Fix")))</f>
        <v xml:space="preserve"> </v>
      </c>
      <c r="H1000" s="4" t="str">
        <f ca="1">IF(OR(INDEX($X$2:$X$1001,MATCH(ROWS($W$2:W1000),$W$2:$W$1001,0),1)&gt;=100000,INDEX($AD$1005:$AU$1005,1,MATCH(COLUMNS($AD$1006:AJ1006),$AD$1006:$AU$1006,0))&gt;=100000), " ",IF(INDEX($AD$2:$AU$1001,MATCH(ROWS($W$2:W1000),$W$2:$W$1001,0),MATCH(COLUMNS($AD$1006:AJ1006),$AD$1006:$AU$1006,0)), HYPERLINK("#",""), HYPERLINK(CONCATENATE("#metadata!", ADDRESS(INDEX($Y$2:$Y$1001,MATCH(ROWS($W$2:W1000),$W$2:$W$1001,0),0), INDEX($AD$1004:$AU$1004,1,MATCH(COLUMNS($AD$1006:AJ1006),$AD$1006:$AU$1006,0)))),"Fix")))</f>
        <v xml:space="preserve"> </v>
      </c>
      <c r="I1000" s="4" t="str">
        <f ca="1">IF(OR(INDEX($X$2:$X$1001,MATCH(ROWS($W$2:W1000),$W$2:$W$1001,0),1)&gt;=100000,INDEX($AD$1005:$AU$1005,1,MATCH(COLUMNS($AD$1006:AK1006),$AD$1006:$AU$1006,0))&gt;=100000), " ",IF(INDEX($AD$2:$AU$1001,MATCH(ROWS($W$2:W1000),$W$2:$W$1001,0),MATCH(COLUMNS($AD$1006:AK1006),$AD$1006:$AU$1006,0)), HYPERLINK("#",""), HYPERLINK(CONCATENATE("#metadata!", ADDRESS(INDEX($Y$2:$Y$1001,MATCH(ROWS($W$2:W1000),$W$2:$W$1001,0),0), INDEX($AD$1004:$AU$1004,1,MATCH(COLUMNS($AD$1006:AK1006),$AD$1006:$AU$1006,0)))),"Fix")))</f>
        <v xml:space="preserve"> </v>
      </c>
      <c r="J1000" s="4" t="str">
        <f ca="1">IF(OR(INDEX($X$2:$X$1001,MATCH(ROWS($W$2:W1000),$W$2:$W$1001,0),1)&gt;=100000,INDEX($AD$1005:$AU$1005,1,MATCH(COLUMNS($AD$1006:AL1006),$AD$1006:$AU$1006,0))&gt;=100000), " ",IF(INDEX($AD$2:$AU$1001,MATCH(ROWS($W$2:W1000),$W$2:$W$1001,0),MATCH(COLUMNS($AD$1006:AL1006),$AD$1006:$AU$1006,0)), HYPERLINK("#",""), HYPERLINK(CONCATENATE("#metadata!", ADDRESS(INDEX($Y$2:$Y$1001,MATCH(ROWS($W$2:W1000),$W$2:$W$1001,0),0), INDEX($AD$1004:$AU$1004,1,MATCH(COLUMNS($AD$1006:AL1006),$AD$1006:$AU$1006,0)))),"Fix")))</f>
        <v xml:space="preserve"> </v>
      </c>
      <c r="K1000" s="4" t="str">
        <f ca="1">IF(OR(INDEX($X$2:$X$1001,MATCH(ROWS($W$2:W1000),$W$2:$W$1001,0),1)&gt;=100000,INDEX($AD$1005:$AU$1005,1,MATCH(COLUMNS($AD$1006:AM1006),$AD$1006:$AU$1006,0))&gt;=100000), " ",IF(INDEX($AD$2:$AU$1001,MATCH(ROWS($W$2:W1000),$W$2:$W$1001,0),MATCH(COLUMNS($AD$1006:AM1006),$AD$1006:$AU$1006,0)), HYPERLINK("#",""), HYPERLINK(CONCATENATE("#metadata!", ADDRESS(INDEX($Y$2:$Y$1001,MATCH(ROWS($W$2:W1000),$W$2:$W$1001,0),0), INDEX($AD$1004:$AU$1004,1,MATCH(COLUMNS($AD$1006:AM1006),$AD$1006:$AU$1006,0)))),"Fix")))</f>
        <v xml:space="preserve"> </v>
      </c>
      <c r="L1000" s="4" t="str">
        <f ca="1">IF(OR(INDEX($X$2:$X$1001,MATCH(ROWS($W$2:W1000),$W$2:$W$1001,0),1)&gt;=100000,INDEX($AD$1005:$AU$1005,1,MATCH(COLUMNS($AD$1006:AN1006),$AD$1006:$AU$1006,0))&gt;=100000), " ",IF(INDEX($AD$2:$AU$1001,MATCH(ROWS($W$2:W1000),$W$2:$W$1001,0),MATCH(COLUMNS($AD$1006:AN1006),$AD$1006:$AU$1006,0)), HYPERLINK("#",""), HYPERLINK(CONCATENATE("#metadata!", ADDRESS(INDEX($Y$2:$Y$1001,MATCH(ROWS($W$2:W1000),$W$2:$W$1001,0),0), INDEX($AD$1004:$AU$1004,1,MATCH(COLUMNS($AD$1006:AN1006),$AD$1006:$AU$1006,0)))),"Fix")))</f>
        <v xml:space="preserve"> </v>
      </c>
      <c r="M1000" s="4" t="str">
        <f ca="1">IF(OR(INDEX($X$2:$X$1001,MATCH(ROWS($W$2:W1000),$W$2:$W$1001,0),1)&gt;=100000,INDEX($AD$1005:$AU$1005,1,MATCH(COLUMNS($AD$1006:AO1006),$AD$1006:$AU$1006,0))&gt;=100000), " ",IF(INDEX($AD$2:$AU$1001,MATCH(ROWS($W$2:W1000),$W$2:$W$1001,0),MATCH(COLUMNS($AD$1006:AO1006),$AD$1006:$AU$1006,0)), HYPERLINK("#",""), HYPERLINK(CONCATENATE("#metadata!", ADDRESS(INDEX($Y$2:$Y$1001,MATCH(ROWS($W$2:W1000),$W$2:$W$1001,0),0), INDEX($AD$1004:$AU$1004,1,MATCH(COLUMNS($AD$1006:AO1006),$AD$1006:$AU$1006,0)))),"Fix")))</f>
        <v xml:space="preserve"> </v>
      </c>
      <c r="N1000" s="4" t="str">
        <f ca="1">IF(OR(INDEX($X$2:$X$1001,MATCH(ROWS($W$2:W1000),$W$2:$W$1001,0),1)&gt;=100000,INDEX($AD$1005:$AU$1005,1,MATCH(COLUMNS($AD$1006:AP1006),$AD$1006:$AU$1006,0))&gt;=100000), " ",IF(INDEX($AD$2:$AU$1001,MATCH(ROWS($W$2:W1000),$W$2:$W$1001,0),MATCH(COLUMNS($AD$1006:AP1006),$AD$1006:$AU$1006,0)), HYPERLINK("#",""), HYPERLINK(CONCATENATE("#metadata!", ADDRESS(INDEX($Y$2:$Y$1001,MATCH(ROWS($W$2:W1000),$W$2:$W$1001,0),0), INDEX($AD$1004:$AU$1004,1,MATCH(COLUMNS($AD$1006:AP1006),$AD$1006:$AU$1006,0)))),"Fix")))</f>
        <v xml:space="preserve"> </v>
      </c>
      <c r="O1000" s="4" t="str">
        <f ca="1">IF(OR(INDEX($X$2:$X$1001,MATCH(ROWS($W$2:W1000),$W$2:$W$1001,0),1)&gt;=100000,INDEX($AD$1005:$AU$1005,1,MATCH(COLUMNS($AD$1006:AQ1006),$AD$1006:$AU$1006,0))&gt;=100000), " ",IF(INDEX($AD$2:$AU$1001,MATCH(ROWS($W$2:W1000),$W$2:$W$1001,0),MATCH(COLUMNS($AD$1006:AQ1006),$AD$1006:$AU$1006,0)), HYPERLINK("#",""), HYPERLINK(CONCATENATE("#metadata!", ADDRESS(INDEX($Y$2:$Y$1001,MATCH(ROWS($W$2:W1000),$W$2:$W$1001,0),0), INDEX($AD$1004:$AU$1004,1,MATCH(COLUMNS($AD$1006:AQ1006),$AD$1006:$AU$1006,0)))),"Fix")))</f>
        <v xml:space="preserve"> </v>
      </c>
      <c r="P1000" s="4" t="str">
        <f ca="1">IF(OR(INDEX($X$2:$X$1001,MATCH(ROWS($W$2:W1000),$W$2:$W$1001,0),1)&gt;=100000,INDEX($AD$1005:$AU$1005,1,MATCH(COLUMNS($AD$1006:AR1006),$AD$1006:$AU$1006,0))&gt;=100000), " ",IF(INDEX($AD$2:$AU$1001,MATCH(ROWS($W$2:W1000),$W$2:$W$1001,0),MATCH(COLUMNS($AD$1006:AR1006),$AD$1006:$AU$1006,0)), HYPERLINK("#",""), HYPERLINK(CONCATENATE("#metadata!", ADDRESS(INDEX($Y$2:$Y$1001,MATCH(ROWS($W$2:W1000),$W$2:$W$1001,0),0), INDEX($AD$1004:$AU$1004,1,MATCH(COLUMNS($AD$1006:AR1006),$AD$1006:$AU$1006,0)))),"Fix")))</f>
        <v xml:space="preserve"> </v>
      </c>
      <c r="Q1000" s="4" t="str">
        <f ca="1">IF(OR(INDEX($X$2:$X$1001,MATCH(ROWS($W$2:W1000),$W$2:$W$1001,0),1)&gt;=100000,INDEX($AD$1005:$AU$1005,1,MATCH(COLUMNS($AD$1006:AS1006),$AD$1006:$AU$1006,0))&gt;=100000), " ",IF(INDEX($AD$2:$AU$1001,MATCH(ROWS($W$2:W1000),$W$2:$W$1001,0),MATCH(COLUMNS($AD$1006:AS1006),$AD$1006:$AU$1006,0)), HYPERLINK("#",""), HYPERLINK(CONCATENATE("#metadata!", ADDRESS(INDEX($Y$2:$Y$1001,MATCH(ROWS($W$2:W1000),$W$2:$W$1001,0),0), INDEX($AD$1004:$AU$1004,1,MATCH(COLUMNS($AD$1006:AS1006),$AD$1006:$AU$1006,0)))),"Fix")))</f>
        <v xml:space="preserve"> </v>
      </c>
      <c r="R1000" s="4" t="str">
        <f ca="1">IF(OR(INDEX($X$2:$X$1001,MATCH(ROWS($W$2:W1000),$W$2:$W$1001,0),1)&gt;=100000,INDEX($AD$1005:$AU$1005,1,MATCH(COLUMNS($AD$1006:AT1006),$AD$1006:$AU$1006,0))&gt;=100000), " ",IF(INDEX($AD$2:$AU$1001,MATCH(ROWS($W$2:W1000),$W$2:$W$1001,0),MATCH(COLUMNS($AD$1006:AT1006),$AD$1006:$AU$1006,0)), HYPERLINK("#",""), HYPERLINK(CONCATENATE("#metadata!", ADDRESS(INDEX($Y$2:$Y$1001,MATCH(ROWS($W$2:W1000),$W$2:$W$1001,0),0), INDEX($AD$1004:$AU$1004,1,MATCH(COLUMNS($AD$1006:AT1006),$AD$1006:$AU$1006,0)))),"Fix")))</f>
        <v xml:space="preserve"> </v>
      </c>
      <c r="S1000" s="4" t="str">
        <f ca="1">IF(OR(INDEX($X$2:$X$1001,MATCH(ROWS($W$2:W1000),$W$2:$W$1001,0),1)&gt;=100000,INDEX($AD$1005:$AU$1005,1,MATCH(COLUMNS($AD$1006:AU1006),$AD$1006:$AU$1006,0))&gt;=100000), " ",IF(INDEX($AD$2:$AU$1001,MATCH(ROWS($W$2:W1000),$W$2:$W$1001,0),MATCH(COLUMNS($AD$1006:AU1006),$AD$1006:$AU$1006,0)), HYPERLINK("#",""), HYPERLINK(CONCATENATE("#metadata!", ADDRESS(INDEX($Y$2:$Y$1001,MATCH(ROWS($W$2:W1000),$W$2:$W$1001,0),0), INDEX($AD$1004:$AU$1004,1,MATCH(COLUMNS($AD$1006:AU1006),$AD$1006:$AU$1006,0)))),"Fix")))</f>
        <v xml:space="preserve"> </v>
      </c>
      <c r="W1000">
        <v>999</v>
      </c>
      <c r="X1000">
        <v>101000</v>
      </c>
      <c r="Y1000">
        <v>1000</v>
      </c>
      <c r="Z1000" t="b">
        <f t="shared" si="15"/>
        <v>1</v>
      </c>
      <c r="AA1000" t="b">
        <f>COUNTBLANK(metadata!B1000:S1000)=COLUMNS(metadata!B1000:S1000)</f>
        <v>1</v>
      </c>
      <c r="AB1000" t="str">
        <v/>
      </c>
      <c r="AD1000" t="b">
        <f ca="1">AND(IF(metadata!B1000="",FALSE,TRUE),COUNTIF(metadata!B:B, metadata!B1000) = 1,NOT(ISERROR(SUMPRODUCT(SEARCH(MID(metadata!B1000,ROW(INDIRECT("1:"&amp;LEN(metadata!B1000))), 1),"0123456789abcdefghijklmnopqrstuvwxyzABCDEFGHIJKLMNOPQRSTUVWXYZ.")))))</f>
        <v>0</v>
      </c>
      <c r="AE1000" t="b">
        <f>OR(AND(IF(metadata!C1000="",FALSE,TRUE),OR(EXACT(metadata!C1000,"not applicable"),EXACT(metadata!C1000,"missing: not collected"),EXACT(metadata!C1000,"missing: not provided"),EXACT(metadata!C1000,"missing: restricted access"))),AND(IF(metadata!C1000="",FALSE,ISNUMBER(VALUE(metadata!C1000))),metadata!C1000&gt;0))</f>
        <v>0</v>
      </c>
      <c r="AF1000" t="b">
        <f>AND(IF(metadata!D1000="",FALSE,TRUE),EXACT(metadata!D1000,"missing: not provided"))</f>
        <v>0</v>
      </c>
      <c r="AG1000" t="b">
        <f>AND(IF(metadata!E1000="",FALSE,TRUE),EXACT(metadata!E1000,"Host-associated"))</f>
        <v>0</v>
      </c>
      <c r="AH1000" t="b">
        <f>AND(IF(metadata!F1000="",FALSE,TRUE),OR(EXACT(metadata!F1000,"Animal"),EXACT(metadata!F1000,"Fungus"),EXACT(metadata!F1000,"Plant")))</f>
        <v>0</v>
      </c>
      <c r="AI1000" t="b">
        <f>AND(IF(metadata!G1000="",FALSE,TRUE),OR(EXACT(metadata!G1000,"Plant secretion"),EXACT(metadata!G1000,"Plant rhizosphere"),EXACT(metadata!G1000,"Plant surface"),EXACT(metadata!G1000,"Plant corpus"),EXACT(metadata!G1000,"Fungus surface"),EXACT(metadata!G1000,"Fungus corpus"),EXACT(metadata!G1000,"Animal surface"),EXACT(metadata!G1000,"Animal proximal gut"),EXACT(metadata!G1000,"Animal corpus"),EXACT(metadata!G1000,"Animal distal gut"),EXACT(metadata!G1000,"Animal secretion")))</f>
        <v>0</v>
      </c>
      <c r="AJ1000" t="b">
        <f>OR(AND(IF(metadata!H1000="",FALSE,TRUE),OR(EXACT(metadata!H1000,"missing: not collected"),EXACT(metadata!H1000,"missing: not provided"),EXACT(metadata!H1000,"missing: restricted access"))),AND(IF(metadata!H1000="",FALSE,TRUE),OR(EXACT(metadata!H1000,"organism-associated habitat"),EXACT(metadata!H1000,"plant-associated habitat"),EXACT(metadata!H1000,"animal-associated habitat"),EXACT(metadata!H1000,"insecta-associated habitat"),EXACT(metadata!H1000,"mammalia-associated habitat"),EXACT(metadata!H1000,"human-associated habitat"),EXACT(metadata!H1000,"livestock-associated habitat"))))</f>
        <v>0</v>
      </c>
      <c r="AK1000" t="b">
        <f>AND(IF(metadata!I1000="",FALSE,TRUE),EXACT(metadata!I1000,"host-associated"))</f>
        <v>0</v>
      </c>
      <c r="AL1000" t="b">
        <f>OR(AND(IF(metadata!J1000="",FALSE,TRUE),OR(EXACT(metadata!J1000,"not applicable"),EXACT(metadata!J1000,"missing: not collected"),EXACT(metadata!J1000,"missing: not provided"),EXACT(metadata!J1000,"missing: restricted access"))),AND(IF(metadata!J1000="",FALSE,ISNUMBER(VALUE(metadata!J1000))),metadata!J1000&gt;0))</f>
        <v>0</v>
      </c>
      <c r="AM1000" t="b">
        <f>AND(IF(metadata!K1000="",FALSE,TRUE),EXACT(metadata!K1000,"missing: not provided"))</f>
        <v>0</v>
      </c>
      <c r="AN1000" t="b">
        <f>IF(metadata!L1000="",FALSE,TRUE)</f>
        <v>0</v>
      </c>
      <c r="AO1000" t="b">
        <f>IF(metadata!M1000="",FALSE,TRUE)</f>
        <v>0</v>
      </c>
      <c r="AP1000" t="b">
        <f>OR(AND(IF(metadata!N1000="",FALSE,TRUE),OR(EXACT(metadata!N1000,"not applicable"),EXACT(metadata!N1000,"missing: not collected"),EXACT(metadata!N1000,"missing: not provided"))),AND(IF(metadata!N1000="",FALSE,IF(ISERROR(INT(metadata!N1000)),FALSE,INT(metadata!N1000)=metadata!N1000)),metadata!N1000&gt;0))</f>
        <v>0</v>
      </c>
      <c r="AQ1000" t="b">
        <f>AND(IF(metadata!O1000="",FALSE,TRUE),EXACT(metadata!O1000,"Not applicable"))</f>
        <v>0</v>
      </c>
      <c r="AR1000" t="b">
        <f>OR(AND(IF(metadata!P1000="",FALSE,TRUE),OR(EXACT(metadata!P1000,"not applicable"),EXACT(metadata!P1000,"missing: not collected"),EXACT(metadata!P1000,"missing: not provided"),EXACT(metadata!P1000,"missing: restricted access"))),IF(metadata!P1000="",FALSE,IF(ISERROR(INT(metadata!P1000)),FALSE,INT(metadata!P1000)=metadata!P1000)))</f>
        <v>0</v>
      </c>
      <c r="AS1000" t="b">
        <f>AND(IF(metadata!Q1000="",FALSE,TRUE),EXACT(metadata!Q1000,"Not applicable"))</f>
        <v>0</v>
      </c>
      <c r="AT1000" t="b">
        <f>OR(AND(IF(metadata!R1000="",FALSE,TRUE),OR(EXACT(metadata!R1000,"not applicable"),EXACT(metadata!R1000,"missing: not collected"),EXACT(metadata!R1000,"missing: not provided"),EXACT(metadata!R1000,"missing: restricted access"))),AND(IF(metadata!R1000="",FALSE,ISNUMBER(VALUE(metadata!R1000))),metadata!R1000&gt;0))</f>
        <v>0</v>
      </c>
      <c r="AU1000" t="b">
        <f>AND(IF(metadata!S1000="",FALSE,TRUE),EXACT(metadata!S1000,"missing: not provided"))</f>
        <v>0</v>
      </c>
    </row>
    <row r="1001" spans="1:47" x14ac:dyDescent="0.2">
      <c r="A1001" s="5" t="str">
        <f ca="1">IF(B1001=" "," ",HYPERLINK(CONCATENATE("#metadata!",ADDRESS(INDEX($Y$2:$Y$1001,MATCH(ROWS($W$2:W1001),$W$2:$W$1001,0),0),1)),INDEX($AB$2:$AB$1001,MATCH(ROWS($W$2:W1001),$W$2:$W$1001,0),0)))</f>
        <v xml:space="preserve"> </v>
      </c>
      <c r="B1001" s="4" t="str">
        <f ca="1">IF(OR(INDEX($X$2:$X$1001,MATCH(ROWS($W$2:W1001),$W$2:$W$1001,0),1)&gt;=100000,INDEX($AD$1005:$AU$1005,1,MATCH(COLUMNS($AD$1006:AD1006),$AD$1006:$AU$1006,0))&gt;=100000), " ",IF(INDEX($AD$2:$AU$1001,MATCH(ROWS($W$2:W1001),$W$2:$W$1001,0),MATCH(COLUMNS($AD$1006:AD1006),$AD$1006:$AU$1006,0)), HYPERLINK("#",""), HYPERLINK(CONCATENATE("#metadata!", ADDRESS(INDEX($Y$2:$Y$1001,MATCH(ROWS($W$2:W1001),$W$2:$W$1001,0),0), INDEX($AD$1004:$AU$1004,1,MATCH(COLUMNS($AD$1006:AD1006),$AD$1006:$AU$1006,0)))),"Fix")))</f>
        <v xml:space="preserve"> </v>
      </c>
      <c r="C1001" s="4" t="str">
        <f ca="1">IF(OR(INDEX($X$2:$X$1001,MATCH(ROWS($W$2:W1001),$W$2:$W$1001,0),1)&gt;=100000,INDEX($AD$1005:$AU$1005,1,MATCH(COLUMNS($AD$1006:AE1006),$AD$1006:$AU$1006,0))&gt;=100000), " ",IF(INDEX($AD$2:$AU$1001,MATCH(ROWS($W$2:W1001),$W$2:$W$1001,0),MATCH(COLUMNS($AD$1006:AE1006),$AD$1006:$AU$1006,0)), HYPERLINK("#",""), HYPERLINK(CONCATENATE("#metadata!", ADDRESS(INDEX($Y$2:$Y$1001,MATCH(ROWS($W$2:W1001),$W$2:$W$1001,0),0), INDEX($AD$1004:$AU$1004,1,MATCH(COLUMNS($AD$1006:AE1006),$AD$1006:$AU$1006,0)))),"Fix")))</f>
        <v xml:space="preserve"> </v>
      </c>
      <c r="D1001" s="4" t="str">
        <f ca="1">IF(OR(INDEX($X$2:$X$1001,MATCH(ROWS($W$2:W1001),$W$2:$W$1001,0),1)&gt;=100000,INDEX($AD$1005:$AU$1005,1,MATCH(COLUMNS($AD$1006:AF1006),$AD$1006:$AU$1006,0))&gt;=100000), " ",IF(INDEX($AD$2:$AU$1001,MATCH(ROWS($W$2:W1001),$W$2:$W$1001,0),MATCH(COLUMNS($AD$1006:AF1006),$AD$1006:$AU$1006,0)), HYPERLINK("#",""), HYPERLINK(CONCATENATE("#metadata!", ADDRESS(INDEX($Y$2:$Y$1001,MATCH(ROWS($W$2:W1001),$W$2:$W$1001,0),0), INDEX($AD$1004:$AU$1004,1,MATCH(COLUMNS($AD$1006:AF1006),$AD$1006:$AU$1006,0)))),"Fix")))</f>
        <v xml:space="preserve"> </v>
      </c>
      <c r="E1001" s="4" t="str">
        <f ca="1">IF(OR(INDEX($X$2:$X$1001,MATCH(ROWS($W$2:W1001),$W$2:$W$1001,0),1)&gt;=100000,INDEX($AD$1005:$AU$1005,1,MATCH(COLUMNS($AD$1006:AG1006),$AD$1006:$AU$1006,0))&gt;=100000), " ",IF(INDEX($AD$2:$AU$1001,MATCH(ROWS($W$2:W1001),$W$2:$W$1001,0),MATCH(COLUMNS($AD$1006:AG1006),$AD$1006:$AU$1006,0)), HYPERLINK("#",""), HYPERLINK(CONCATENATE("#metadata!", ADDRESS(INDEX($Y$2:$Y$1001,MATCH(ROWS($W$2:W1001),$W$2:$W$1001,0),0), INDEX($AD$1004:$AU$1004,1,MATCH(COLUMNS($AD$1006:AG1006),$AD$1006:$AU$1006,0)))),"Fix")))</f>
        <v xml:space="preserve"> </v>
      </c>
      <c r="F1001" s="4" t="str">
        <f ca="1">IF(OR(INDEX($X$2:$X$1001,MATCH(ROWS($W$2:W1001),$W$2:$W$1001,0),1)&gt;=100000,INDEX($AD$1005:$AU$1005,1,MATCH(COLUMNS($AD$1006:AH1006),$AD$1006:$AU$1006,0))&gt;=100000), " ",IF(INDEX($AD$2:$AU$1001,MATCH(ROWS($W$2:W1001),$W$2:$W$1001,0),MATCH(COLUMNS($AD$1006:AH1006),$AD$1006:$AU$1006,0)), HYPERLINK("#",""), HYPERLINK(CONCATENATE("#metadata!", ADDRESS(INDEX($Y$2:$Y$1001,MATCH(ROWS($W$2:W1001),$W$2:$W$1001,0),0), INDEX($AD$1004:$AU$1004,1,MATCH(COLUMNS($AD$1006:AH1006),$AD$1006:$AU$1006,0)))),"Fix")))</f>
        <v xml:space="preserve"> </v>
      </c>
      <c r="G1001" s="4" t="str">
        <f ca="1">IF(OR(INDEX($X$2:$X$1001,MATCH(ROWS($W$2:W1001),$W$2:$W$1001,0),1)&gt;=100000,INDEX($AD$1005:$AU$1005,1,MATCH(COLUMNS($AD$1006:AI1006),$AD$1006:$AU$1006,0))&gt;=100000), " ",IF(INDEX($AD$2:$AU$1001,MATCH(ROWS($W$2:W1001),$W$2:$W$1001,0),MATCH(COLUMNS($AD$1006:AI1006),$AD$1006:$AU$1006,0)), HYPERLINK("#",""), HYPERLINK(CONCATENATE("#metadata!", ADDRESS(INDEX($Y$2:$Y$1001,MATCH(ROWS($W$2:W1001),$W$2:$W$1001,0),0), INDEX($AD$1004:$AU$1004,1,MATCH(COLUMNS($AD$1006:AI1006),$AD$1006:$AU$1006,0)))),"Fix")))</f>
        <v xml:space="preserve"> </v>
      </c>
      <c r="H1001" s="4" t="str">
        <f ca="1">IF(OR(INDEX($X$2:$X$1001,MATCH(ROWS($W$2:W1001),$W$2:$W$1001,0),1)&gt;=100000,INDEX($AD$1005:$AU$1005,1,MATCH(COLUMNS($AD$1006:AJ1006),$AD$1006:$AU$1006,0))&gt;=100000), " ",IF(INDEX($AD$2:$AU$1001,MATCH(ROWS($W$2:W1001),$W$2:$W$1001,0),MATCH(COLUMNS($AD$1006:AJ1006),$AD$1006:$AU$1006,0)), HYPERLINK("#",""), HYPERLINK(CONCATENATE("#metadata!", ADDRESS(INDEX($Y$2:$Y$1001,MATCH(ROWS($W$2:W1001),$W$2:$W$1001,0),0), INDEX($AD$1004:$AU$1004,1,MATCH(COLUMNS($AD$1006:AJ1006),$AD$1006:$AU$1006,0)))),"Fix")))</f>
        <v xml:space="preserve"> </v>
      </c>
      <c r="I1001" s="4" t="str">
        <f ca="1">IF(OR(INDEX($X$2:$X$1001,MATCH(ROWS($W$2:W1001),$W$2:$W$1001,0),1)&gt;=100000,INDEX($AD$1005:$AU$1005,1,MATCH(COLUMNS($AD$1006:AK1006),$AD$1006:$AU$1006,0))&gt;=100000), " ",IF(INDEX($AD$2:$AU$1001,MATCH(ROWS($W$2:W1001),$W$2:$W$1001,0),MATCH(COLUMNS($AD$1006:AK1006),$AD$1006:$AU$1006,0)), HYPERLINK("#",""), HYPERLINK(CONCATENATE("#metadata!", ADDRESS(INDEX($Y$2:$Y$1001,MATCH(ROWS($W$2:W1001),$W$2:$W$1001,0),0), INDEX($AD$1004:$AU$1004,1,MATCH(COLUMNS($AD$1006:AK1006),$AD$1006:$AU$1006,0)))),"Fix")))</f>
        <v xml:space="preserve"> </v>
      </c>
      <c r="J1001" s="4" t="str">
        <f ca="1">IF(OR(INDEX($X$2:$X$1001,MATCH(ROWS($W$2:W1001),$W$2:$W$1001,0),1)&gt;=100000,INDEX($AD$1005:$AU$1005,1,MATCH(COLUMNS($AD$1006:AL1006),$AD$1006:$AU$1006,0))&gt;=100000), " ",IF(INDEX($AD$2:$AU$1001,MATCH(ROWS($W$2:W1001),$W$2:$W$1001,0),MATCH(COLUMNS($AD$1006:AL1006),$AD$1006:$AU$1006,0)), HYPERLINK("#",""), HYPERLINK(CONCATENATE("#metadata!", ADDRESS(INDEX($Y$2:$Y$1001,MATCH(ROWS($W$2:W1001),$W$2:$W$1001,0),0), INDEX($AD$1004:$AU$1004,1,MATCH(COLUMNS($AD$1006:AL1006),$AD$1006:$AU$1006,0)))),"Fix")))</f>
        <v xml:space="preserve"> </v>
      </c>
      <c r="K1001" s="4" t="str">
        <f ca="1">IF(OR(INDEX($X$2:$X$1001,MATCH(ROWS($W$2:W1001),$W$2:$W$1001,0),1)&gt;=100000,INDEX($AD$1005:$AU$1005,1,MATCH(COLUMNS($AD$1006:AM1006),$AD$1006:$AU$1006,0))&gt;=100000), " ",IF(INDEX($AD$2:$AU$1001,MATCH(ROWS($W$2:W1001),$W$2:$W$1001,0),MATCH(COLUMNS($AD$1006:AM1006),$AD$1006:$AU$1006,0)), HYPERLINK("#",""), HYPERLINK(CONCATENATE("#metadata!", ADDRESS(INDEX($Y$2:$Y$1001,MATCH(ROWS($W$2:W1001),$W$2:$W$1001,0),0), INDEX($AD$1004:$AU$1004,1,MATCH(COLUMNS($AD$1006:AM1006),$AD$1006:$AU$1006,0)))),"Fix")))</f>
        <v xml:space="preserve"> </v>
      </c>
      <c r="L1001" s="4" t="str">
        <f ca="1">IF(OR(INDEX($X$2:$X$1001,MATCH(ROWS($W$2:W1001),$W$2:$W$1001,0),1)&gt;=100000,INDEX($AD$1005:$AU$1005,1,MATCH(COLUMNS($AD$1006:AN1006),$AD$1006:$AU$1006,0))&gt;=100000), " ",IF(INDEX($AD$2:$AU$1001,MATCH(ROWS($W$2:W1001),$W$2:$W$1001,0),MATCH(COLUMNS($AD$1006:AN1006),$AD$1006:$AU$1006,0)), HYPERLINK("#",""), HYPERLINK(CONCATENATE("#metadata!", ADDRESS(INDEX($Y$2:$Y$1001,MATCH(ROWS($W$2:W1001),$W$2:$W$1001,0),0), INDEX($AD$1004:$AU$1004,1,MATCH(COLUMNS($AD$1006:AN1006),$AD$1006:$AU$1006,0)))),"Fix")))</f>
        <v xml:space="preserve"> </v>
      </c>
      <c r="M1001" s="4" t="str">
        <f ca="1">IF(OR(INDEX($X$2:$X$1001,MATCH(ROWS($W$2:W1001),$W$2:$W$1001,0),1)&gt;=100000,INDEX($AD$1005:$AU$1005,1,MATCH(COLUMNS($AD$1006:AO1006),$AD$1006:$AU$1006,0))&gt;=100000), " ",IF(INDEX($AD$2:$AU$1001,MATCH(ROWS($W$2:W1001),$W$2:$W$1001,0),MATCH(COLUMNS($AD$1006:AO1006),$AD$1006:$AU$1006,0)), HYPERLINK("#",""), HYPERLINK(CONCATENATE("#metadata!", ADDRESS(INDEX($Y$2:$Y$1001,MATCH(ROWS($W$2:W1001),$W$2:$W$1001,0),0), INDEX($AD$1004:$AU$1004,1,MATCH(COLUMNS($AD$1006:AO1006),$AD$1006:$AU$1006,0)))),"Fix")))</f>
        <v xml:space="preserve"> </v>
      </c>
      <c r="N1001" s="4" t="str">
        <f ca="1">IF(OR(INDEX($X$2:$X$1001,MATCH(ROWS($W$2:W1001),$W$2:$W$1001,0),1)&gt;=100000,INDEX($AD$1005:$AU$1005,1,MATCH(COLUMNS($AD$1006:AP1006),$AD$1006:$AU$1006,0))&gt;=100000), " ",IF(INDEX($AD$2:$AU$1001,MATCH(ROWS($W$2:W1001),$W$2:$W$1001,0),MATCH(COLUMNS($AD$1006:AP1006),$AD$1006:$AU$1006,0)), HYPERLINK("#",""), HYPERLINK(CONCATENATE("#metadata!", ADDRESS(INDEX($Y$2:$Y$1001,MATCH(ROWS($W$2:W1001),$W$2:$W$1001,0),0), INDEX($AD$1004:$AU$1004,1,MATCH(COLUMNS($AD$1006:AP1006),$AD$1006:$AU$1006,0)))),"Fix")))</f>
        <v xml:space="preserve"> </v>
      </c>
      <c r="O1001" s="4" t="str">
        <f ca="1">IF(OR(INDEX($X$2:$X$1001,MATCH(ROWS($W$2:W1001),$W$2:$W$1001,0),1)&gt;=100000,INDEX($AD$1005:$AU$1005,1,MATCH(COLUMNS($AD$1006:AQ1006),$AD$1006:$AU$1006,0))&gt;=100000), " ",IF(INDEX($AD$2:$AU$1001,MATCH(ROWS($W$2:W1001),$W$2:$W$1001,0),MATCH(COLUMNS($AD$1006:AQ1006),$AD$1006:$AU$1006,0)), HYPERLINK("#",""), HYPERLINK(CONCATENATE("#metadata!", ADDRESS(INDEX($Y$2:$Y$1001,MATCH(ROWS($W$2:W1001),$W$2:$W$1001,0),0), INDEX($AD$1004:$AU$1004,1,MATCH(COLUMNS($AD$1006:AQ1006),$AD$1006:$AU$1006,0)))),"Fix")))</f>
        <v xml:space="preserve"> </v>
      </c>
      <c r="P1001" s="4" t="str">
        <f ca="1">IF(OR(INDEX($X$2:$X$1001,MATCH(ROWS($W$2:W1001),$W$2:$W$1001,0),1)&gt;=100000,INDEX($AD$1005:$AU$1005,1,MATCH(COLUMNS($AD$1006:AR1006),$AD$1006:$AU$1006,0))&gt;=100000), " ",IF(INDEX($AD$2:$AU$1001,MATCH(ROWS($W$2:W1001),$W$2:$W$1001,0),MATCH(COLUMNS($AD$1006:AR1006),$AD$1006:$AU$1006,0)), HYPERLINK("#",""), HYPERLINK(CONCATENATE("#metadata!", ADDRESS(INDEX($Y$2:$Y$1001,MATCH(ROWS($W$2:W1001),$W$2:$W$1001,0),0), INDEX($AD$1004:$AU$1004,1,MATCH(COLUMNS($AD$1006:AR1006),$AD$1006:$AU$1006,0)))),"Fix")))</f>
        <v xml:space="preserve"> </v>
      </c>
      <c r="Q1001" s="4" t="str">
        <f ca="1">IF(OR(INDEX($X$2:$X$1001,MATCH(ROWS($W$2:W1001),$W$2:$W$1001,0),1)&gt;=100000,INDEX($AD$1005:$AU$1005,1,MATCH(COLUMNS($AD$1006:AS1006),$AD$1006:$AU$1006,0))&gt;=100000), " ",IF(INDEX($AD$2:$AU$1001,MATCH(ROWS($W$2:W1001),$W$2:$W$1001,0),MATCH(COLUMNS($AD$1006:AS1006),$AD$1006:$AU$1006,0)), HYPERLINK("#",""), HYPERLINK(CONCATENATE("#metadata!", ADDRESS(INDEX($Y$2:$Y$1001,MATCH(ROWS($W$2:W1001),$W$2:$W$1001,0),0), INDEX($AD$1004:$AU$1004,1,MATCH(COLUMNS($AD$1006:AS1006),$AD$1006:$AU$1006,0)))),"Fix")))</f>
        <v xml:space="preserve"> </v>
      </c>
      <c r="R1001" s="4" t="str">
        <f ca="1">IF(OR(INDEX($X$2:$X$1001,MATCH(ROWS($W$2:W1001),$W$2:$W$1001,0),1)&gt;=100000,INDEX($AD$1005:$AU$1005,1,MATCH(COLUMNS($AD$1006:AT1006),$AD$1006:$AU$1006,0))&gt;=100000), " ",IF(INDEX($AD$2:$AU$1001,MATCH(ROWS($W$2:W1001),$W$2:$W$1001,0),MATCH(COLUMNS($AD$1006:AT1006),$AD$1006:$AU$1006,0)), HYPERLINK("#",""), HYPERLINK(CONCATENATE("#metadata!", ADDRESS(INDEX($Y$2:$Y$1001,MATCH(ROWS($W$2:W1001),$W$2:$W$1001,0),0), INDEX($AD$1004:$AU$1004,1,MATCH(COLUMNS($AD$1006:AT1006),$AD$1006:$AU$1006,0)))),"Fix")))</f>
        <v xml:space="preserve"> </v>
      </c>
      <c r="S1001" s="4" t="str">
        <f ca="1">IF(OR(INDEX($X$2:$X$1001,MATCH(ROWS($W$2:W1001),$W$2:$W$1001,0),1)&gt;=100000,INDEX($AD$1005:$AU$1005,1,MATCH(COLUMNS($AD$1006:AU1006),$AD$1006:$AU$1006,0))&gt;=100000), " ",IF(INDEX($AD$2:$AU$1001,MATCH(ROWS($W$2:W1001),$W$2:$W$1001,0),MATCH(COLUMNS($AD$1006:AU1006),$AD$1006:$AU$1006,0)), HYPERLINK("#",""), HYPERLINK(CONCATENATE("#metadata!", ADDRESS(INDEX($Y$2:$Y$1001,MATCH(ROWS($W$2:W1001),$W$2:$W$1001,0),0), INDEX($AD$1004:$AU$1004,1,MATCH(COLUMNS($AD$1006:AU1006),$AD$1006:$AU$1006,0)))),"Fix")))</f>
        <v xml:space="preserve"> </v>
      </c>
      <c r="W1001">
        <v>1000</v>
      </c>
      <c r="X1001">
        <v>101001</v>
      </c>
      <c r="Y1001">
        <v>1001</v>
      </c>
      <c r="Z1001" t="b">
        <f t="shared" si="15"/>
        <v>1</v>
      </c>
      <c r="AA1001" t="b">
        <f>COUNTBLANK(metadata!B1001:S1001)=COLUMNS(metadata!B1001:S1001)</f>
        <v>1</v>
      </c>
      <c r="AB1001" t="str">
        <v/>
      </c>
      <c r="AD1001" t="b">
        <f ca="1">AND(IF(metadata!B1001="",FALSE,TRUE),COUNTIF(metadata!B:B, metadata!B1001) = 1,NOT(ISERROR(SUMPRODUCT(SEARCH(MID(metadata!B1001,ROW(INDIRECT("1:"&amp;LEN(metadata!B1001))), 1),"0123456789abcdefghijklmnopqrstuvwxyzABCDEFGHIJKLMNOPQRSTUVWXYZ.")))))</f>
        <v>0</v>
      </c>
      <c r="AE1001" t="b">
        <f>OR(AND(IF(metadata!C1001="",FALSE,TRUE),OR(EXACT(metadata!C1001,"not applicable"),EXACT(metadata!C1001,"missing: not collected"),EXACT(metadata!C1001,"missing: not provided"),EXACT(metadata!C1001,"missing: restricted access"))),AND(IF(metadata!C1001="",FALSE,ISNUMBER(VALUE(metadata!C1001))),metadata!C1001&gt;0))</f>
        <v>0</v>
      </c>
      <c r="AF1001" t="b">
        <f>AND(IF(metadata!D1001="",FALSE,TRUE),EXACT(metadata!D1001,"missing: not provided"))</f>
        <v>0</v>
      </c>
      <c r="AG1001" t="b">
        <f>AND(IF(metadata!E1001="",FALSE,TRUE),EXACT(metadata!E1001,"Host-associated"))</f>
        <v>0</v>
      </c>
      <c r="AH1001" t="b">
        <f>AND(IF(metadata!F1001="",FALSE,TRUE),OR(EXACT(metadata!F1001,"Animal"),EXACT(metadata!F1001,"Fungus"),EXACT(metadata!F1001,"Plant")))</f>
        <v>0</v>
      </c>
      <c r="AI1001" t="b">
        <f>AND(IF(metadata!G1001="",FALSE,TRUE),OR(EXACT(metadata!G1001,"Plant secretion"),EXACT(metadata!G1001,"Plant rhizosphere"),EXACT(metadata!G1001,"Plant surface"),EXACT(metadata!G1001,"Plant corpus"),EXACT(metadata!G1001,"Fungus surface"),EXACT(metadata!G1001,"Fungus corpus"),EXACT(metadata!G1001,"Animal surface"),EXACT(metadata!G1001,"Animal proximal gut"),EXACT(metadata!G1001,"Animal corpus"),EXACT(metadata!G1001,"Animal distal gut"),EXACT(metadata!G1001,"Animal secretion")))</f>
        <v>0</v>
      </c>
      <c r="AJ1001" t="b">
        <f>OR(AND(IF(metadata!H1001="",FALSE,TRUE),OR(EXACT(metadata!H1001,"missing: not collected"),EXACT(metadata!H1001,"missing: not provided"),EXACT(metadata!H1001,"missing: restricted access"))),AND(IF(metadata!H1001="",FALSE,TRUE),OR(EXACT(metadata!H1001,"organism-associated habitat"),EXACT(metadata!H1001,"plant-associated habitat"),EXACT(metadata!H1001,"animal-associated habitat"),EXACT(metadata!H1001,"insecta-associated habitat"),EXACT(metadata!H1001,"mammalia-associated habitat"),EXACT(metadata!H1001,"human-associated habitat"),EXACT(metadata!H1001,"livestock-associated habitat"))))</f>
        <v>0</v>
      </c>
      <c r="AK1001" t="b">
        <f>AND(IF(metadata!I1001="",FALSE,TRUE),EXACT(metadata!I1001,"host-associated"))</f>
        <v>0</v>
      </c>
      <c r="AL1001" t="b">
        <f>OR(AND(IF(metadata!J1001="",FALSE,TRUE),OR(EXACT(metadata!J1001,"not applicable"),EXACT(metadata!J1001,"missing: not collected"),EXACT(metadata!J1001,"missing: not provided"),EXACT(metadata!J1001,"missing: restricted access"))),AND(IF(metadata!J1001="",FALSE,ISNUMBER(VALUE(metadata!J1001))),metadata!J1001&gt;0))</f>
        <v>0</v>
      </c>
      <c r="AM1001" t="b">
        <f>AND(IF(metadata!K1001="",FALSE,TRUE),EXACT(metadata!K1001,"missing: not provided"))</f>
        <v>0</v>
      </c>
      <c r="AN1001" t="b">
        <f>IF(metadata!L1001="",FALSE,TRUE)</f>
        <v>0</v>
      </c>
      <c r="AO1001" t="b">
        <f>IF(metadata!M1001="",FALSE,TRUE)</f>
        <v>0</v>
      </c>
      <c r="AP1001" t="b">
        <f>OR(AND(IF(metadata!N1001="",FALSE,TRUE),OR(EXACT(metadata!N1001,"not applicable"),EXACT(metadata!N1001,"missing: not collected"),EXACT(metadata!N1001,"missing: not provided"))),AND(IF(metadata!N1001="",FALSE,IF(ISERROR(INT(metadata!N1001)),FALSE,INT(metadata!N1001)=metadata!N1001)),metadata!N1001&gt;0))</f>
        <v>0</v>
      </c>
      <c r="AQ1001" t="b">
        <f>AND(IF(metadata!O1001="",FALSE,TRUE),EXACT(metadata!O1001,"Not applicable"))</f>
        <v>0</v>
      </c>
      <c r="AR1001" t="b">
        <f>OR(AND(IF(metadata!P1001="",FALSE,TRUE),OR(EXACT(metadata!P1001,"not applicable"),EXACT(metadata!P1001,"missing: not collected"),EXACT(metadata!P1001,"missing: not provided"),EXACT(metadata!P1001,"missing: restricted access"))),IF(metadata!P1001="",FALSE,IF(ISERROR(INT(metadata!P1001)),FALSE,INT(metadata!P1001)=metadata!P1001)))</f>
        <v>0</v>
      </c>
      <c r="AS1001" t="b">
        <f>AND(IF(metadata!Q1001="",FALSE,TRUE),EXACT(metadata!Q1001,"Not applicable"))</f>
        <v>0</v>
      </c>
      <c r="AT1001" t="b">
        <f>OR(AND(IF(metadata!R1001="",FALSE,TRUE),OR(EXACT(metadata!R1001,"not applicable"),EXACT(metadata!R1001,"missing: not collected"),EXACT(metadata!R1001,"missing: not provided"),EXACT(metadata!R1001,"missing: restricted access"))),AND(IF(metadata!R1001="",FALSE,ISNUMBER(VALUE(metadata!R1001))),metadata!R1001&gt;0))</f>
        <v>0</v>
      </c>
      <c r="AU1001" t="b">
        <f>AND(IF(metadata!S1001="",FALSE,TRUE),EXACT(metadata!S1001,"missing: not provided"))</f>
        <v>0</v>
      </c>
    </row>
    <row r="1003" spans="1:47" x14ac:dyDescent="0.2">
      <c r="AC1003" s="3" t="s">
        <v>25</v>
      </c>
      <c r="AD1003" t="b">
        <f t="array" aca="1" ref="AD1003" ca="1">AND(IF($AA2:$AA1001,TRUE,AD2:AD1001))</f>
        <v>1</v>
      </c>
      <c r="AE1003" t="b">
        <f t="array" ref="AE1003">AND(IF($AA2:$AA1001,TRUE,AE2:AE1001))</f>
        <v>1</v>
      </c>
      <c r="AF1003" t="b">
        <f t="array" ref="AF1003">AND(IF($AA2:$AA1001,TRUE,AF2:AF1001))</f>
        <v>1</v>
      </c>
      <c r="AG1003" t="b">
        <f t="array" ref="AG1003">AND(IF($AA2:$AA1001,TRUE,AG2:AG1001))</f>
        <v>1</v>
      </c>
      <c r="AH1003" t="b">
        <f t="array" ref="AH1003">AND(IF($AA2:$AA1001,TRUE,AH2:AH1001))</f>
        <v>1</v>
      </c>
      <c r="AI1003" t="b">
        <f t="array" ref="AI1003">AND(IF($AA2:$AA1001,TRUE,AI2:AI1001))</f>
        <v>1</v>
      </c>
      <c r="AJ1003" t="b">
        <f t="array" ref="AJ1003">AND(IF($AA2:$AA1001,TRUE,AJ2:AJ1001))</f>
        <v>1</v>
      </c>
      <c r="AK1003" t="b">
        <f t="array" ref="AK1003">AND(IF($AA2:$AA1001,TRUE,AK2:AK1001))</f>
        <v>1</v>
      </c>
      <c r="AL1003" t="b">
        <f t="array" ref="AL1003">AND(IF($AA2:$AA1001,TRUE,AL2:AL1001))</f>
        <v>1</v>
      </c>
      <c r="AM1003" t="b">
        <f t="array" ref="AM1003">AND(IF($AA2:$AA1001,TRUE,AM2:AM1001))</f>
        <v>1</v>
      </c>
      <c r="AN1003" t="b">
        <f t="array" ref="AN1003">AND(IF($AA2:$AA1001,TRUE,AN2:AN1001))</f>
        <v>1</v>
      </c>
      <c r="AO1003" t="b">
        <f t="array" ref="AO1003">AND(IF($AA2:$AA1001,TRUE,AO2:AO1001))</f>
        <v>1</v>
      </c>
      <c r="AP1003" t="b">
        <f t="array" ref="AP1003">AND(IF($AA2:$AA1001,TRUE,AP2:AP1001))</f>
        <v>1</v>
      </c>
      <c r="AQ1003" t="b">
        <f t="array" ref="AQ1003">AND(IF($AA2:$AA1001,TRUE,AQ2:AQ1001))</f>
        <v>1</v>
      </c>
      <c r="AR1003" t="b">
        <f t="array" ref="AR1003">AND(IF($AA2:$AA1001,TRUE,AR2:AR1001))</f>
        <v>1</v>
      </c>
      <c r="AS1003" t="b">
        <f t="array" ref="AS1003">AND(IF($AA2:$AA1001,TRUE,AS2:AS1001))</f>
        <v>1</v>
      </c>
      <c r="AT1003" t="b">
        <f t="array" ref="AT1003">AND(IF($AA2:$AA1001,TRUE,AT2:AT1001))</f>
        <v>1</v>
      </c>
      <c r="AU1003" t="b">
        <f t="array" ref="AU1003">AND(IF($AA2:$AA1001,TRUE,AU2:AU1001))</f>
        <v>1</v>
      </c>
    </row>
    <row r="1004" spans="1:47" x14ac:dyDescent="0.2">
      <c r="AC1004" s="3" t="s">
        <v>26</v>
      </c>
      <c r="AD1004">
        <f t="array" ref="AD1004:AU1004">COLUMN(metadata!B1004:S1004)</f>
        <v>2</v>
      </c>
      <c r="AE1004">
        <v>3</v>
      </c>
      <c r="AF1004">
        <v>4</v>
      </c>
      <c r="AG1004">
        <v>5</v>
      </c>
      <c r="AH1004">
        <v>6</v>
      </c>
      <c r="AI1004">
        <v>7</v>
      </c>
      <c r="AJ1004">
        <v>8</v>
      </c>
      <c r="AK1004">
        <v>9</v>
      </c>
      <c r="AL1004">
        <v>10</v>
      </c>
      <c r="AM1004">
        <v>11</v>
      </c>
      <c r="AN1004">
        <v>12</v>
      </c>
      <c r="AO1004">
        <v>13</v>
      </c>
      <c r="AP1004">
        <v>14</v>
      </c>
      <c r="AQ1004">
        <v>15</v>
      </c>
      <c r="AR1004">
        <v>16</v>
      </c>
      <c r="AS1004">
        <v>17</v>
      </c>
      <c r="AT1004">
        <v>18</v>
      </c>
      <c r="AU1004">
        <v>19</v>
      </c>
    </row>
    <row r="1005" spans="1:47" x14ac:dyDescent="0.2">
      <c r="AC1005" s="3" t="s">
        <v>27</v>
      </c>
      <c r="AD1005">
        <f t="array" ref="AD1005:AU1005" ca="1">INT(AD1003:AU1003)*100000+$AD$1004:$AU$1004</f>
        <v>100002</v>
      </c>
      <c r="AE1005">
        <v>100003</v>
      </c>
      <c r="AF1005">
        <v>100004</v>
      </c>
      <c r="AG1005">
        <v>100005</v>
      </c>
      <c r="AH1005">
        <v>100006</v>
      </c>
      <c r="AI1005">
        <v>100007</v>
      </c>
      <c r="AJ1005">
        <v>100008</v>
      </c>
      <c r="AK1005">
        <v>100009</v>
      </c>
      <c r="AL1005">
        <v>100010</v>
      </c>
      <c r="AM1005">
        <v>100011</v>
      </c>
      <c r="AN1005">
        <v>100012</v>
      </c>
      <c r="AO1005">
        <v>100013</v>
      </c>
      <c r="AP1005">
        <v>100014</v>
      </c>
      <c r="AQ1005">
        <v>100015</v>
      </c>
      <c r="AR1005">
        <v>100016</v>
      </c>
      <c r="AS1005">
        <v>100017</v>
      </c>
      <c r="AT1005">
        <v>100018</v>
      </c>
      <c r="AU1005">
        <v>100019</v>
      </c>
    </row>
    <row r="1006" spans="1:47" x14ac:dyDescent="0.2">
      <c r="AC1006" s="3" t="s">
        <v>28</v>
      </c>
      <c r="AD1006">
        <f t="array" aca="1" ref="AD1006:AU1006" ca="1">COUNTIF($AD1005:$AU1005,"&lt;="&amp;AD$1005:AU1005)</f>
        <v>1</v>
      </c>
      <c r="AE1006">
        <f ca="1"/>
        <v>2</v>
      </c>
      <c r="AF1006">
        <f ca="1"/>
        <v>3</v>
      </c>
      <c r="AG1006">
        <f ca="1"/>
        <v>4</v>
      </c>
      <c r="AH1006">
        <f ca="1"/>
        <v>5</v>
      </c>
      <c r="AI1006">
        <f ca="1"/>
        <v>6</v>
      </c>
      <c r="AJ1006">
        <f ca="1"/>
        <v>7</v>
      </c>
      <c r="AK1006">
        <f ca="1"/>
        <v>8</v>
      </c>
      <c r="AL1006">
        <f ca="1"/>
        <v>9</v>
      </c>
      <c r="AM1006">
        <f ca="1"/>
        <v>10</v>
      </c>
      <c r="AN1006">
        <f ca="1"/>
        <v>11</v>
      </c>
      <c r="AO1006">
        <f ca="1"/>
        <v>12</v>
      </c>
      <c r="AP1006">
        <f ca="1"/>
        <v>13</v>
      </c>
      <c r="AQ1006">
        <f ca="1"/>
        <v>14</v>
      </c>
      <c r="AR1006">
        <f ca="1"/>
        <v>15</v>
      </c>
      <c r="AS1006">
        <f ca="1"/>
        <v>16</v>
      </c>
      <c r="AT1006">
        <f ca="1"/>
        <v>17</v>
      </c>
      <c r="AU1006">
        <f ca="1"/>
        <v>18</v>
      </c>
    </row>
  </sheetData>
  <sheetProtection sheet="1" objects="1" scenarios="1"/>
  <conditionalFormatting sqref="B2:S1001">
    <cfRule type="cellIs" dxfId="1" priority="1" operator="equal">
      <formula>""</formula>
    </cfRule>
    <cfRule type="cellIs" dxfId="0"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sheetData>
    <row r="1" spans="1:2" x14ac:dyDescent="0.2">
      <c r="A1" s="3" t="s">
        <v>29</v>
      </c>
      <c r="B1" s="3" t="s">
        <v>30</v>
      </c>
    </row>
    <row r="2" spans="1:2" x14ac:dyDescent="0.2">
      <c r="A2" s="3" t="s">
        <v>1</v>
      </c>
      <c r="B2" t="s">
        <v>31</v>
      </c>
    </row>
    <row r="3" spans="1:2" x14ac:dyDescent="0.2">
      <c r="A3" s="3" t="s">
        <v>3</v>
      </c>
      <c r="B3" t="s">
        <v>32</v>
      </c>
    </row>
    <row r="4" spans="1:2" x14ac:dyDescent="0.2">
      <c r="A4" s="3" t="s">
        <v>4</v>
      </c>
      <c r="B4" t="s">
        <v>33</v>
      </c>
    </row>
    <row r="5" spans="1:2" x14ac:dyDescent="0.2">
      <c r="A5" s="3" t="s">
        <v>5</v>
      </c>
      <c r="B5" t="s">
        <v>34</v>
      </c>
    </row>
    <row r="6" spans="1:2" x14ac:dyDescent="0.2">
      <c r="A6" s="3" t="s">
        <v>6</v>
      </c>
      <c r="B6" t="s">
        <v>35</v>
      </c>
    </row>
    <row r="7" spans="1:2" x14ac:dyDescent="0.2">
      <c r="A7" s="3" t="s">
        <v>7</v>
      </c>
      <c r="B7" t="s">
        <v>36</v>
      </c>
    </row>
    <row r="8" spans="1:2" x14ac:dyDescent="0.2">
      <c r="A8" s="3" t="s">
        <v>8</v>
      </c>
      <c r="B8" t="s">
        <v>37</v>
      </c>
    </row>
    <row r="9" spans="1:2" x14ac:dyDescent="0.2">
      <c r="A9" s="3" t="s">
        <v>9</v>
      </c>
      <c r="B9" t="s">
        <v>38</v>
      </c>
    </row>
    <row r="10" spans="1:2" x14ac:dyDescent="0.2">
      <c r="A10" s="3" t="s">
        <v>10</v>
      </c>
      <c r="B10" t="s">
        <v>39</v>
      </c>
    </row>
    <row r="11" spans="1:2" x14ac:dyDescent="0.2">
      <c r="A11" s="3" t="s">
        <v>11</v>
      </c>
      <c r="B11" t="s">
        <v>33</v>
      </c>
    </row>
    <row r="12" spans="1:2" x14ac:dyDescent="0.2">
      <c r="A12" s="3" t="s">
        <v>12</v>
      </c>
      <c r="B12" t="s">
        <v>40</v>
      </c>
    </row>
    <row r="13" spans="1:2" x14ac:dyDescent="0.2">
      <c r="A13" s="3" t="s">
        <v>13</v>
      </c>
      <c r="B13" t="s">
        <v>41</v>
      </c>
    </row>
    <row r="14" spans="1:2" x14ac:dyDescent="0.2">
      <c r="A14" s="3" t="s">
        <v>14</v>
      </c>
      <c r="B14" t="s">
        <v>42</v>
      </c>
    </row>
    <row r="15" spans="1:2" x14ac:dyDescent="0.2">
      <c r="A15" s="3" t="s">
        <v>15</v>
      </c>
      <c r="B15" t="s">
        <v>43</v>
      </c>
    </row>
    <row r="16" spans="1:2" x14ac:dyDescent="0.2">
      <c r="A16" s="3" t="s">
        <v>16</v>
      </c>
      <c r="B16" t="s">
        <v>44</v>
      </c>
    </row>
    <row r="17" spans="1:2" x14ac:dyDescent="0.2">
      <c r="A17" s="3" t="s">
        <v>17</v>
      </c>
      <c r="B17" t="s">
        <v>43</v>
      </c>
    </row>
    <row r="18" spans="1:2" x14ac:dyDescent="0.2">
      <c r="A18" s="3" t="s">
        <v>18</v>
      </c>
      <c r="B18" t="s">
        <v>45</v>
      </c>
    </row>
    <row r="19" spans="1:2" x14ac:dyDescent="0.2">
      <c r="A19" s="3" t="s">
        <v>19</v>
      </c>
      <c r="B19" t="s">
        <v>33</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sheetData>
    <row r="1" spans="1:1" ht="409" x14ac:dyDescent="0.2">
      <c r="A1" s="6"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sheetData>
    <row r="1" spans="1:1" x14ac:dyDescent="0.2">
      <c r="A1" t="s">
        <v>46</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ColWidth="8.83203125" defaultRowHeight="15" x14ac:dyDescent="0.2"/>
  <sheetData>
    <row r="1" spans="1:1" x14ac:dyDescent="0.2">
      <c r="A1" t="s">
        <v>47</v>
      </c>
    </row>
    <row r="2" spans="1:1" x14ac:dyDescent="0.2">
      <c r="A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Amanda Birmingham</cp:lastModifiedBy>
  <dcterms:created xsi:type="dcterms:W3CDTF">2018-01-04T05:35:01Z</dcterms:created>
  <dcterms:modified xsi:type="dcterms:W3CDTF">2018-01-04T05:37:47Z</dcterms:modified>
</cp:coreProperties>
</file>